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QUADRO RESUMO" sheetId="1" r:id="rId4"/>
    <sheet state="visible" name="Planilha_Sintética_Geral" sheetId="2" r:id="rId5"/>
    <sheet state="visible" name="1.SUPERVISAO_TECNICA" sheetId="3" r:id="rId6"/>
    <sheet state="visible" name="2.EQUIPE_RESIDENTE" sheetId="4" r:id="rId7"/>
    <sheet state="visible" name="3.SERVIÇOS_ESPECIALIZADOS_ROTIN" sheetId="5" r:id="rId8"/>
    <sheet state="visible" name="7. BDI SERVIÇOS" sheetId="6" r:id="rId9"/>
    <sheet state="visible" name="8. BDI MERO FORNECIMENTO" sheetId="7" r:id="rId10"/>
    <sheet state="visible" name="4.SERVIÇOS_ESPECIALIZADOS_SOB_D" sheetId="8" r:id="rId11"/>
    <sheet state="visible" name="5.SERVIÇOS_GERAIS_SOB_DEMANDA" sheetId="9" r:id="rId12"/>
    <sheet state="visible" name="6.PEÇAS_E_MATERIAIS_CURITIBA" sheetId="10" r:id="rId13"/>
    <sheet state="visible" name="9. SEGURO E ALIMENTAÇÃO" sheetId="11" r:id="rId14"/>
    <sheet state="visible" name="10. COMPOSIÇÕES ESPECIALIZADOS " sheetId="12" r:id="rId15"/>
    <sheet state="visible" name="11.COMPOSIÇÕES GERAIS" sheetId="13" r:id="rId16"/>
    <sheet state="visible" name="12.COT.MERCADO" sheetId="14" r:id="rId17"/>
    <sheet state="visible" name="13. RELATORIO QUANT. EXTINTORES" sheetId="15" r:id="rId18"/>
    <sheet state="visible" name="14. RELATORIO QUANT. GERADORES" sheetId="16" r:id="rId19"/>
    <sheet state="visible" name="15. RELATORIO QUANT. NO_BREAKs" sheetId="17" r:id="rId20"/>
    <sheet state="visible" name="16. RELATORIO QUANT. AR CONDICI" sheetId="18" r:id="rId21"/>
    <sheet state="visible" name="17. DADOS - HISTORICO MANUT. 20" sheetId="19" r:id="rId22"/>
    <sheet state="visible" name="18. DADOS - HISTORICO MANUT. 20" sheetId="20" r:id="rId23"/>
    <sheet state="visible" name=" 19.ARRED_HIST_CONSOLIDADO_E_ME" sheetId="21" r:id="rId24"/>
    <sheet state="visible" name="20-A.SINAPI-I" sheetId="22" r:id="rId25"/>
    <sheet state="visible" name="20-B.SINAPI-S" sheetId="23" r:id="rId26"/>
    <sheet state="visible" name="21 - Curva ABC Serviços Sob dem" sheetId="24" r:id="rId27"/>
    <sheet state="visible" name="22. Curva ABC Insumos Sob Deman" sheetId="25" r:id="rId28"/>
  </sheets>
  <definedNames>
    <definedName hidden="1" localSheetId="24" name="Z_F2556E8B_7D95_4D2E_AD85_0C42B5E725B7_.wvu.FilterData">'22. Curva ABC Insumos Sob Deman'!$K$3:$K$448</definedName>
    <definedName hidden="1" localSheetId="24" name="Z_3E9AE7B7_F4EF_4DB9_8230_994F8725EFA6_.wvu.FilterData">'22. Curva ABC Insumos Sob Deman'!$A$3:$K$448</definedName>
  </definedNames>
  <calcPr/>
  <customWorkbookViews>
    <customWorkbookView activeSheetId="0" maximized="1" windowHeight="0" windowWidth="0" guid="{F2556E8B-7D95-4D2E-AD85-0C42B5E725B7}" name="Filtro 1"/>
    <customWorkbookView activeSheetId="0" maximized="1" windowHeight="0" windowWidth="0" guid="{3E9AE7B7-F4EF-4DB9-8230-994F8725EFA6}" name="Filtro 2"/>
  </customWorkbookViews>
</workbook>
</file>

<file path=xl/sharedStrings.xml><?xml version="1.0" encoding="utf-8"?>
<sst xmlns="http://schemas.openxmlformats.org/spreadsheetml/2006/main" count="55477" uniqueCount="18401">
  <si>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</si>
  <si>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QUADRO RESUMO</t>
  </si>
  <si>
    <t>Processo nº 08385.002737/2021-34 - Manutenção Predial SR/PF/PR e Unidades Descentralizadas</t>
  </si>
  <si>
    <t>PROPOSTA</t>
  </si>
  <si>
    <t>COM BDI</t>
  </si>
  <si>
    <t>desconto obrigatorio
itens 4, 5 e 6</t>
  </si>
  <si>
    <t>Grupo</t>
  </si>
  <si>
    <t>Item</t>
  </si>
  <si>
    <t>Descrição</t>
  </si>
  <si>
    <t>CATSER</t>
  </si>
  <si>
    <t>Unid.</t>
  </si>
  <si>
    <t>Quant.</t>
  </si>
  <si>
    <t>Valor Unitário</t>
  </si>
  <si>
    <t>Valor Anual</t>
  </si>
  <si>
    <t>Valor Total</t>
  </si>
  <si>
    <t>1</t>
  </si>
  <si>
    <t>Mês</t>
  </si>
  <si>
    <t>mês</t>
  </si>
  <si>
    <t>2</t>
  </si>
  <si>
    <t>3</t>
  </si>
  <si>
    <t>4</t>
  </si>
  <si>
    <t>5</t>
  </si>
  <si>
    <t>6</t>
  </si>
  <si>
    <t xml:space="preserve">Valor Total Estimado dos Serviços </t>
  </si>
  <si>
    <t>soma</t>
  </si>
  <si>
    <t>Valor Total Global da Proposta (anual)</t>
  </si>
  <si>
    <t>ano</t>
  </si>
  <si>
    <t>Valor Total Global da Proposta (02 anos)</t>
  </si>
  <si>
    <t>2 anos</t>
  </si>
  <si>
    <t>SUMÁRIO</t>
  </si>
  <si>
    <t>1. SUPERVISAO TÉCNICA TODAS AS LOCALIDADES - PLANILHA DE CUSTOS</t>
  </si>
  <si>
    <t xml:space="preserve">2. EQUIPE RESIDENTE SR/PF/PR - PLANILHA DE CUSTOS </t>
  </si>
  <si>
    <t>3. SERVIÇOS ESPECIALIZADOS - ROTINAS DE MANUTENÇÃO - SINTÉTICA</t>
  </si>
  <si>
    <t>4. SERVIÇOS ESPECIALIZADOS - EXECUÇÃO SOB DEMANDA - SINTÉTICA</t>
  </si>
  <si>
    <t>5. SERVIÇOS GERAIS DE MANUTENÇÃO - EXECUÇÃO SOB DEMANDA - SINTÉTICA</t>
  </si>
  <si>
    <t>6. PEÇAS E MATERIAIS - SOB DEMANDA - EXECUÇÃO DE SERVIÇOS PELA EQUIPE RESIDENTE</t>
  </si>
  <si>
    <t>7. BDI SERVIÇOS</t>
  </si>
  <si>
    <t>8. BDI MERO FORNECIMENTO</t>
  </si>
  <si>
    <t>9. ESTIMATIVAS SEGURO E ALIMENTAÇÃO - EQUIPE RESIDENTE</t>
  </si>
  <si>
    <t>10. PLANILHA ANALÍTICA DE COMPOSIÇÕES CLIMATIZAÇÃO</t>
  </si>
  <si>
    <t>11. PLANILHA ANALÍTICA DE COMPOSIÇÕES - SERVIÇOS GERAIS DE MANUTENÇÃO</t>
  </si>
  <si>
    <t>12. PLANILHA DE ORÇAMENTOS PRÓPRIOS - COTAÇÃO DE MERCADO</t>
  </si>
  <si>
    <t>13. RELATÓRIO - LEVANTAMENTO DE QUANTIDADE EXTINTORES</t>
  </si>
  <si>
    <t>14. RELATÓRIO - LEVANTAMENTO QUANTIDADE DE GERADORES</t>
  </si>
  <si>
    <t>15. RELATÓRIO - LEVANTAMENTO QUANTIDADE NO-BREAKs</t>
  </si>
  <si>
    <t xml:space="preserve">16. RELATÓRIO - LEVANTAMENTO DE QUANTITATIVO DE CLIMATIZAÇÃO </t>
  </si>
  <si>
    <t>17 - RELATÓRIO - HISTORICO DE MANUTENÇÃO 2020 - DELEGACIA DE POLÍCIA FEDERAL EM FOZ DO IGUAÇU</t>
  </si>
  <si>
    <t>18 - RELATÓRIO - HISTORICO DE MANUTENÇÃO 2022 - DELEGACIA DE POLÍCIA FEDERAL EM FOZ DO IGUAÇU</t>
  </si>
  <si>
    <t>19. RELATÓRIO HISTORICO CONSOLIDADO E CALCULADORA PARA SERVIÇOS  SOB DEMANDA - ARREDONDAMENTO DE QUANTIDADES</t>
  </si>
  <si>
    <t>20-A. TABELA SINAPI INSUMOS</t>
  </si>
  <si>
    <t>20-B - TABELA SINAPI SERVIÇOS</t>
  </si>
  <si>
    <t>21. CURVA ABC DE SERVIÇOS</t>
  </si>
  <si>
    <t>22. CURVA ABC DE INSUMOS</t>
  </si>
  <si>
    <t>SINTETICA GERAL</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</si>
  <si>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</si>
  <si>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PLANILHA SINTÉTICA GERAL</t>
  </si>
  <si>
    <t xml:space="preserve">1. Razão Social da Empresa:                                   2. CNPJ Nº: </t>
  </si>
  <si>
    <t>Bancos</t>
  </si>
  <si>
    <t>BDI para Mão de Obra (serviços)</t>
  </si>
  <si>
    <t>3. Inscrição Estadual:                                               4. Inscrição Municipal: N/A</t>
  </si>
  <si>
    <t>SINAPI - 06/2023 - Paraná e
Cotações de mercado.</t>
  </si>
  <si>
    <t>Curitiba</t>
  </si>
  <si>
    <t>Maringá</t>
  </si>
  <si>
    <t>Londrina</t>
  </si>
  <si>
    <t>Ponta Grossa</t>
  </si>
  <si>
    <t>Guarapuava</t>
  </si>
  <si>
    <t>Paranaguá</t>
  </si>
  <si>
    <t xml:space="preserve">5. Endereço:                                                               6. Telefone: </t>
  </si>
  <si>
    <r>
      <rPr>
        <rFont val="Calibri"/>
        <b/>
        <color theme="1"/>
        <sz val="9.0"/>
      </rPr>
      <t>7. Validade da proposta:</t>
    </r>
    <r>
      <rPr>
        <rFont val="Calibri"/>
        <color theme="1"/>
        <sz val="9.0"/>
      </rPr>
      <t xml:space="preserve"> </t>
    </r>
  </si>
  <si>
    <r>
      <rPr>
        <rFont val="Calibri"/>
        <b/>
        <color theme="1"/>
        <sz val="9.0"/>
      </rPr>
      <t xml:space="preserve">8. Prazo de pagamento: </t>
    </r>
    <r>
      <rPr>
        <rFont val="Calibri"/>
        <color theme="1"/>
        <sz val="9.0"/>
      </rPr>
      <t>Conforme Edital</t>
    </r>
  </si>
  <si>
    <t>BDI para Materiais e Equipamentos</t>
  </si>
  <si>
    <r>
      <rPr>
        <rFont val="Calibri"/>
        <b/>
        <color theme="1"/>
        <sz val="9.0"/>
      </rPr>
      <t>9. Banco:</t>
    </r>
    <r>
      <rPr>
        <rFont val="Calibri"/>
        <color theme="1"/>
        <sz val="9.0"/>
      </rPr>
      <t xml:space="preserve">  _________/ Agência:  ______C/c: ______</t>
    </r>
  </si>
  <si>
    <t>BDI para Materiais e Equipamentos - Item 3</t>
  </si>
  <si>
    <t>BDI para Materiais e Equipamentos - Item 1 - Supervisão Técnica</t>
  </si>
  <si>
    <t>10. Representante da Empresa:                           11. Cargo:</t>
  </si>
  <si>
    <t>BDI Serviços para Item 1 - Supervisão Técnica</t>
  </si>
  <si>
    <r>
      <rPr>
        <rFont val="Calibri"/>
        <b/>
        <color theme="1"/>
        <sz val="9.0"/>
      </rPr>
      <t>12. A unidade da federação na qual será emitido o documento fiscal é:</t>
    </r>
    <r>
      <rPr>
        <rFont val="Calibri"/>
        <color theme="1"/>
        <sz val="9.0"/>
      </rPr>
      <t xml:space="preserve"> </t>
    </r>
  </si>
  <si>
    <t>BDI Serviços para Item 2 - Postos de Trabalho</t>
  </si>
  <si>
    <t>BDI para Materiais e Equipamentos - Item 2 - Postos de Trabalho</t>
  </si>
  <si>
    <t>ITEM</t>
  </si>
  <si>
    <t>Código</t>
  </si>
  <si>
    <t>Código da tabela de origem</t>
  </si>
  <si>
    <t>Tabela de Origem</t>
  </si>
  <si>
    <t>Und</t>
  </si>
  <si>
    <t>Valor Unit</t>
  </si>
  <si>
    <t>Valor Unit com BDI</t>
  </si>
  <si>
    <t>Total com BDI</t>
  </si>
  <si>
    <t>M.O.</t>
  </si>
  <si>
    <t>MAT. + EQUIP. + SERV. TERC. + OUTROS</t>
  </si>
  <si>
    <t>TOTAL</t>
  </si>
  <si>
    <t>Peso (%)</t>
  </si>
  <si>
    <t>SUPERVISÃO TÉCNICA - TODAS AS UNIDADES</t>
  </si>
  <si>
    <t>1.1.1</t>
  </si>
  <si>
    <t>EF_01</t>
  </si>
  <si>
    <t>EQUIPE_RESIDENTE_SUPERVISÃO</t>
  </si>
  <si>
    <t>MÊS</t>
  </si>
  <si>
    <t>EQUIPE RESIDENTE - APENAS CURITIBA</t>
  </si>
  <si>
    <t>1.2.1</t>
  </si>
  <si>
    <t>EF_02</t>
  </si>
  <si>
    <t>1.2.2</t>
  </si>
  <si>
    <t>EF_03</t>
  </si>
  <si>
    <t>1.2.3</t>
  </si>
  <si>
    <t>EF_04</t>
  </si>
  <si>
    <t>1.2.4</t>
  </si>
  <si>
    <t>EF_05</t>
  </si>
  <si>
    <t>SERVIÇOS ESPECIALIZADOS - ROTINAS DE MANUTENÇÃO - TODAS AS UNIDADES</t>
  </si>
  <si>
    <t>3.1</t>
  </si>
  <si>
    <t>Sistema de Geração de Energia - Geradores - SR/PF/PR</t>
  </si>
  <si>
    <t>.31.1</t>
  </si>
  <si>
    <t>SERV_GERAD_001</t>
  </si>
  <si>
    <t>COT.MERCADO</t>
  </si>
  <si>
    <t>3.2</t>
  </si>
  <si>
    <t>Sistema de Energia Ininterrupta - No Breaks - SR/PF/PR</t>
  </si>
  <si>
    <t>3.2.1</t>
  </si>
  <si>
    <t>SERV_NOBREAK_003</t>
  </si>
  <si>
    <t>3.2.2</t>
  </si>
  <si>
    <t>SERV_NOBREAK_005</t>
  </si>
  <si>
    <t>3.2.3</t>
  </si>
  <si>
    <t>SERV_NOBREAK_006</t>
  </si>
  <si>
    <t>3.3</t>
  </si>
  <si>
    <t>Sistema de Refrigeração - Chiller - SR/PF/PR</t>
  </si>
  <si>
    <t>3.3.1</t>
  </si>
  <si>
    <t>CHI_SER_001</t>
  </si>
  <si>
    <t>3.4</t>
  </si>
  <si>
    <t>Sistema de Geração de Energia - Geradores - DPF/LDA/PR</t>
  </si>
  <si>
    <t>3.4.1</t>
  </si>
  <si>
    <t>SERV_GERAD_002</t>
  </si>
  <si>
    <t>3.5</t>
  </si>
  <si>
    <t>Sistema de Energia Ininterrupta - No Breaks - DPF/LDA/PR</t>
  </si>
  <si>
    <t>3.5.1</t>
  </si>
  <si>
    <t>SERV_NOBREAK_004</t>
  </si>
  <si>
    <t>3.6</t>
  </si>
  <si>
    <t>Sistema de Energia Ininterrupta - No Breaks - DPF/MGA/PR</t>
  </si>
  <si>
    <t>3.6.1</t>
  </si>
  <si>
    <t>SERV_NOBREAK_001</t>
  </si>
  <si>
    <t>3.7</t>
  </si>
  <si>
    <t>Sistema de Energia Ininterrupta - No Breaks - DPF/PGZ/PR</t>
  </si>
  <si>
    <t>3.7.1</t>
  </si>
  <si>
    <t>3.7.2</t>
  </si>
  <si>
    <t>SERV_NOBREAK_002</t>
  </si>
  <si>
    <t>3.8</t>
  </si>
  <si>
    <t>Sistema de Energia Ininterrupta - No Breaks  - DPF/PNG/PR</t>
  </si>
  <si>
    <t>3.8.1</t>
  </si>
  <si>
    <t>SERVIÇOS ESPECIALIZADOS - SOB DEMANDA - TODAS AS UNIDADES</t>
  </si>
  <si>
    <t>4.1</t>
  </si>
  <si>
    <t>Prevenção contra Incêndios - SR/PF/PR</t>
  </si>
  <si>
    <t>4.1.1</t>
  </si>
  <si>
    <t>MAN_COT.030</t>
  </si>
  <si>
    <t>4.1.2</t>
  </si>
  <si>
    <t>MAN_COT.031</t>
  </si>
  <si>
    <t>4.1.3</t>
  </si>
  <si>
    <t>MAN_COT.032</t>
  </si>
  <si>
    <t>4.1.4</t>
  </si>
  <si>
    <t>MAN_COT.033</t>
  </si>
  <si>
    <t>4.1.5</t>
  </si>
  <si>
    <t>MAN_COT.035</t>
  </si>
  <si>
    <t>4.1.6</t>
  </si>
  <si>
    <t>MAN_COT.036</t>
  </si>
  <si>
    <t>4.1.7</t>
  </si>
  <si>
    <t>MAN_COT.037</t>
  </si>
  <si>
    <t>4.1.8</t>
  </si>
  <si>
    <t>MAN_COT.038</t>
  </si>
  <si>
    <t>4.1.9</t>
  </si>
  <si>
    <t>MAN_COT.039</t>
  </si>
  <si>
    <t>4.1.10</t>
  </si>
  <si>
    <t>MAN_COT.040</t>
  </si>
  <si>
    <t>4.2</t>
  </si>
  <si>
    <t>4.2.1</t>
  </si>
  <si>
    <t>SERV_NOBREAK_007</t>
  </si>
  <si>
    <t>4.2.2</t>
  </si>
  <si>
    <t>SERV_NOBREAK_008</t>
  </si>
  <si>
    <t>4.2.3</t>
  </si>
  <si>
    <t>SERV_NOBREAK_009</t>
  </si>
  <si>
    <t>4.3</t>
  </si>
  <si>
    <t>Prevenção contra Incêndios - DPF/LDA/PR</t>
  </si>
  <si>
    <t>4.3.1</t>
  </si>
  <si>
    <t>4.3.2</t>
  </si>
  <si>
    <t>4.3.3</t>
  </si>
  <si>
    <t>4.4</t>
  </si>
  <si>
    <t>4.4.1</t>
  </si>
  <si>
    <t>SERV_NOBREAK_010</t>
  </si>
  <si>
    <t>4.5</t>
  </si>
  <si>
    <t>Prevenção contra Incêndios - DPF/MGA/PR</t>
  </si>
  <si>
    <t>4.5.1</t>
  </si>
  <si>
    <t>MAN_COT.029</t>
  </si>
  <si>
    <t>4.5.2</t>
  </si>
  <si>
    <t>4.5.3</t>
  </si>
  <si>
    <t>MAN_COT.034</t>
  </si>
  <si>
    <t>4.5.4</t>
  </si>
  <si>
    <t>4.6</t>
  </si>
  <si>
    <t>4.6.1</t>
  </si>
  <si>
    <t>SERV_NOBREAK_011</t>
  </si>
  <si>
    <t>4.6.2</t>
  </si>
  <si>
    <t>SERV_NOBREAK_012</t>
  </si>
  <si>
    <t>4.7</t>
  </si>
  <si>
    <t>Prevenção contra Incêndios - DPF/PGZ/PR</t>
  </si>
  <si>
    <t>4.7.1</t>
  </si>
  <si>
    <t>4.7.2</t>
  </si>
  <si>
    <t>4.7.3</t>
  </si>
  <si>
    <t>4.8</t>
  </si>
  <si>
    <t>4.8.1</t>
  </si>
  <si>
    <t>SERV_NOBREAK_013</t>
  </si>
  <si>
    <t>4.8.2</t>
  </si>
  <si>
    <t>SERV_NOBREAK_014</t>
  </si>
  <si>
    <t>4.9</t>
  </si>
  <si>
    <t>Prevenção contra Incêndios - DPF/GPB/PR</t>
  </si>
  <si>
    <t>4.9.1</t>
  </si>
  <si>
    <t>4.9.2</t>
  </si>
  <si>
    <t>4.9.3</t>
  </si>
  <si>
    <t>4.10</t>
  </si>
  <si>
    <t>Prevenção contra Incêndios - DPF/PNG/PR</t>
  </si>
  <si>
    <t>4.10.1</t>
  </si>
  <si>
    <t>4.11</t>
  </si>
  <si>
    <t>Sistema de Energia Ininterrupta - No Breaks - DPF/PNG/PR</t>
  </si>
  <si>
    <t>4.11.1</t>
  </si>
  <si>
    <t>SERVIÇOS GERAIS - SOB DEMANDA - TODAS AS UNIDADES</t>
  </si>
  <si>
    <t>PROFISSIONAIS</t>
  </si>
  <si>
    <t>5.1.1</t>
  </si>
  <si>
    <t>SINAPI-S</t>
  </si>
  <si>
    <t>5.1.2</t>
  </si>
  <si>
    <t>5.1.3</t>
  </si>
  <si>
    <t>5.1.4</t>
  </si>
  <si>
    <t>5.1.5</t>
  </si>
  <si>
    <t>5.1.6</t>
  </si>
  <si>
    <t>5.1.7</t>
  </si>
  <si>
    <t>5.1.8</t>
  </si>
  <si>
    <t>5.1.9</t>
  </si>
  <si>
    <t>5.1.10</t>
  </si>
  <si>
    <t>SERVIÇOS CIVIL, ELÉTRICA E HIDRÁULICA</t>
  </si>
  <si>
    <t>5.2.1</t>
  </si>
  <si>
    <t>COMPOSIÇÕES</t>
  </si>
  <si>
    <t>5.2.2</t>
  </si>
  <si>
    <t>5.2.3</t>
  </si>
  <si>
    <t>5.2.4</t>
  </si>
  <si>
    <t>5.2.5</t>
  </si>
  <si>
    <t>5.2.6</t>
  </si>
  <si>
    <t>5.2.7</t>
  </si>
  <si>
    <t>5.2.8</t>
  </si>
  <si>
    <t>5.2.9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</si>
  <si>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</si>
  <si>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</si>
  <si>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</si>
  <si>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</si>
  <si>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</si>
  <si>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</si>
  <si>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</si>
  <si>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</si>
  <si>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</si>
  <si>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</si>
  <si>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</si>
  <si>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</si>
  <si>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</si>
  <si>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</si>
  <si>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</si>
  <si>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</si>
  <si>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</si>
  <si>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</si>
  <si>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</si>
  <si>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</si>
  <si>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</si>
  <si>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</si>
  <si>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</si>
  <si>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</si>
  <si>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</si>
  <si>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</si>
  <si>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</si>
  <si>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</si>
  <si>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</si>
  <si>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</si>
  <si>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</si>
  <si>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</si>
  <si>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</si>
  <si>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</si>
  <si>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</si>
  <si>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</si>
  <si>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</si>
  <si>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</si>
  <si>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</si>
  <si>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</si>
  <si>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</si>
  <si>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</si>
  <si>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</si>
  <si>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</si>
  <si>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</si>
  <si>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</si>
  <si>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</si>
  <si>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SINAPI-I</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</si>
  <si>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</si>
  <si>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</si>
  <si>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</si>
  <si>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</si>
  <si>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</si>
  <si>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</si>
  <si>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</si>
  <si>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</si>
  <si>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</si>
  <si>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</si>
  <si>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</si>
  <si>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</si>
  <si>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</si>
  <si>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</si>
  <si>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</si>
  <si>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</si>
  <si>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</si>
  <si>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</si>
  <si>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</si>
  <si>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</si>
  <si>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</si>
  <si>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</si>
  <si>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</si>
  <si>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</si>
  <si>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</si>
  <si>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</si>
  <si>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</si>
  <si>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</si>
  <si>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</si>
  <si>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</si>
  <si>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</si>
  <si>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</si>
  <si>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</si>
  <si>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</si>
  <si>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</si>
  <si>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</si>
  <si>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</si>
  <si>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</si>
  <si>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</si>
  <si>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</si>
  <si>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</si>
  <si>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</si>
  <si>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</si>
  <si>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5.2.100</t>
  </si>
  <si>
    <t>5.2.101</t>
  </si>
  <si>
    <t>5.2.102</t>
  </si>
  <si>
    <t>5.2.103</t>
  </si>
  <si>
    <t>5.2.104</t>
  </si>
  <si>
    <t>5.2.105</t>
  </si>
  <si>
    <t>5.2.106</t>
  </si>
  <si>
    <t>5.2.107</t>
  </si>
  <si>
    <t>5.2.108</t>
  </si>
  <si>
    <t>5.2.109</t>
  </si>
  <si>
    <t>5.2.110</t>
  </si>
  <si>
    <t>5.2.111</t>
  </si>
  <si>
    <t>5.2.112</t>
  </si>
  <si>
    <t>5.2.113</t>
  </si>
  <si>
    <t>5.2.114</t>
  </si>
  <si>
    <t>5.2.115</t>
  </si>
  <si>
    <t>5.2.116</t>
  </si>
  <si>
    <t>5.2.117</t>
  </si>
  <si>
    <t>5.2.118</t>
  </si>
  <si>
    <t>5.2.119</t>
  </si>
  <si>
    <t>5.2.120</t>
  </si>
  <si>
    <t>5.2.121</t>
  </si>
  <si>
    <t>5.2.122</t>
  </si>
  <si>
    <t>5.2.123</t>
  </si>
  <si>
    <t>5.2.124</t>
  </si>
  <si>
    <t>5.2.125</t>
  </si>
  <si>
    <t>5.2.126</t>
  </si>
  <si>
    <t>5.2.127</t>
  </si>
  <si>
    <t>5.2.128</t>
  </si>
  <si>
    <t>5.2.129</t>
  </si>
  <si>
    <t>5.2.130</t>
  </si>
  <si>
    <t>5.2.131</t>
  </si>
  <si>
    <t>5.2.132</t>
  </si>
  <si>
    <t>5.2.133</t>
  </si>
  <si>
    <t>5.2.134</t>
  </si>
  <si>
    <t>5.2.135</t>
  </si>
  <si>
    <t>5.2.136</t>
  </si>
  <si>
    <t>5.2.137</t>
  </si>
  <si>
    <t>5.2.138</t>
  </si>
  <si>
    <t>5.2.139</t>
  </si>
  <si>
    <t>5.2.140</t>
  </si>
  <si>
    <t>5.2.141</t>
  </si>
  <si>
    <t>5.2.142</t>
  </si>
  <si>
    <t>5.2.143</t>
  </si>
  <si>
    <t>5.2.144</t>
  </si>
  <si>
    <t>5.2.145</t>
  </si>
  <si>
    <t>5.2.146</t>
  </si>
  <si>
    <t>5.2.147</t>
  </si>
  <si>
    <t>5.2.148</t>
  </si>
  <si>
    <t>5.2.149</t>
  </si>
  <si>
    <t>5.2.150</t>
  </si>
  <si>
    <t>5.2.151</t>
  </si>
  <si>
    <t>5.2.152</t>
  </si>
  <si>
    <t>5.2.153</t>
  </si>
  <si>
    <t>5.2.154</t>
  </si>
  <si>
    <t>5.2.155</t>
  </si>
  <si>
    <t>5.2.156</t>
  </si>
  <si>
    <t>5.2.157</t>
  </si>
  <si>
    <t>5.2.158</t>
  </si>
  <si>
    <t>5.2.159</t>
  </si>
  <si>
    <t>5.2.160</t>
  </si>
  <si>
    <t>5.2.161</t>
  </si>
  <si>
    <t>5.2.162</t>
  </si>
  <si>
    <t>5.2.163</t>
  </si>
  <si>
    <t>5.2.164</t>
  </si>
  <si>
    <t>5.2.165</t>
  </si>
  <si>
    <t>5.2.166</t>
  </si>
  <si>
    <t>5.2.167</t>
  </si>
  <si>
    <t>5.2.168</t>
  </si>
  <si>
    <t>5.2.169</t>
  </si>
  <si>
    <t>5.2.170</t>
  </si>
  <si>
    <t>5.2.171</t>
  </si>
  <si>
    <t>5.2.172</t>
  </si>
  <si>
    <t>5.2.173</t>
  </si>
  <si>
    <t>5.2.174</t>
  </si>
  <si>
    <t>5.2.175</t>
  </si>
  <si>
    <t>5.2.176</t>
  </si>
  <si>
    <t>5.2.177</t>
  </si>
  <si>
    <t>5.2.178</t>
  </si>
  <si>
    <t>5.2.179</t>
  </si>
  <si>
    <t>5.2.180</t>
  </si>
  <si>
    <t>5.2.181</t>
  </si>
  <si>
    <t>5.2.182</t>
  </si>
  <si>
    <t>5.2.183</t>
  </si>
  <si>
    <t>5.2.184</t>
  </si>
  <si>
    <t>5.2.185</t>
  </si>
  <si>
    <t>5.2.186</t>
  </si>
  <si>
    <t>5.2.187</t>
  </si>
  <si>
    <t>5.2.188</t>
  </si>
  <si>
    <t>5.2.189</t>
  </si>
  <si>
    <t>5.2.190</t>
  </si>
  <si>
    <t>5.2.191</t>
  </si>
  <si>
    <t>5.2.192</t>
  </si>
  <si>
    <t>5.2.193</t>
  </si>
  <si>
    <t>5.2.194</t>
  </si>
  <si>
    <t>5.2.195</t>
  </si>
  <si>
    <t>5.2.196</t>
  </si>
  <si>
    <t>5.2.197</t>
  </si>
  <si>
    <t>5.2.198</t>
  </si>
  <si>
    <t>5.2.199</t>
  </si>
  <si>
    <t>5.2.200</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</si>
  <si>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</si>
  <si>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</si>
  <si>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</si>
  <si>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</si>
  <si>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</si>
  <si>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</si>
  <si>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</si>
  <si>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</si>
  <si>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</si>
  <si>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</si>
  <si>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</si>
  <si>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</si>
  <si>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</si>
  <si>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</si>
  <si>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</si>
  <si>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</si>
  <si>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</si>
  <si>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</si>
  <si>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</si>
  <si>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</si>
  <si>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</si>
  <si>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</si>
  <si>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</si>
  <si>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</si>
  <si>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</si>
  <si>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5.2.226</t>
  </si>
  <si>
    <t>5.2.227</t>
  </si>
  <si>
    <t>5.2.228</t>
  </si>
  <si>
    <t>5.2.229</t>
  </si>
  <si>
    <t>5.2.230</t>
  </si>
  <si>
    <t>5.2.231</t>
  </si>
  <si>
    <t>5.2.232</t>
  </si>
  <si>
    <t>5.2.233</t>
  </si>
  <si>
    <t>5.2.234</t>
  </si>
  <si>
    <t>5.2.235</t>
  </si>
  <si>
    <t>5.2.236</t>
  </si>
  <si>
    <t>5.2.237</t>
  </si>
  <si>
    <t>5.2.238</t>
  </si>
  <si>
    <t>5.2.239</t>
  </si>
  <si>
    <t>5.2.240</t>
  </si>
  <si>
    <t>5.2.241</t>
  </si>
  <si>
    <t>5.2.242</t>
  </si>
  <si>
    <t>5.2.243</t>
  </si>
  <si>
    <t>5.2.244</t>
  </si>
  <si>
    <t>5.2.245</t>
  </si>
  <si>
    <t>5.2.246</t>
  </si>
  <si>
    <t>5.2.247</t>
  </si>
  <si>
    <t>5.2.248</t>
  </si>
  <si>
    <t>5.2.249</t>
  </si>
  <si>
    <t>5.2.250</t>
  </si>
  <si>
    <t>5.2.251</t>
  </si>
  <si>
    <t>5.2.252</t>
  </si>
  <si>
    <t>5.2.253</t>
  </si>
  <si>
    <t>5.2.254</t>
  </si>
  <si>
    <t>5.2.255</t>
  </si>
  <si>
    <t>5.2.256</t>
  </si>
  <si>
    <t>5.2.257</t>
  </si>
  <si>
    <t>5.2.258</t>
  </si>
  <si>
    <t>5.2.259</t>
  </si>
  <si>
    <t>5.2.260</t>
  </si>
  <si>
    <t>5.2.261</t>
  </si>
  <si>
    <t>5.2.262</t>
  </si>
  <si>
    <t>5.2.263</t>
  </si>
  <si>
    <t>5.2.264</t>
  </si>
  <si>
    <t>5.2.265</t>
  </si>
  <si>
    <t>5.2.266</t>
  </si>
  <si>
    <t>5.2.267</t>
  </si>
  <si>
    <t>SERVIÇOS REFRIGERAÇÃO</t>
  </si>
  <si>
    <t>5.3.1</t>
  </si>
  <si>
    <t>SPLIT_SERV_001</t>
  </si>
  <si>
    <t>5.3.2</t>
  </si>
  <si>
    <t>SPLIT_SERV_002</t>
  </si>
  <si>
    <t>5.3.3</t>
  </si>
  <si>
    <t>SPLIT_SERV_003</t>
  </si>
  <si>
    <t>5.3.4</t>
  </si>
  <si>
    <t>SPLIT_SERV_004</t>
  </si>
  <si>
    <t>5.3.5</t>
  </si>
  <si>
    <t>SPLIT_SERV_005</t>
  </si>
  <si>
    <t>5.3.6</t>
  </si>
  <si>
    <t>SPLIT_SERV_006</t>
  </si>
  <si>
    <t>5.3.7</t>
  </si>
  <si>
    <t>SPLIT_SERV_007</t>
  </si>
  <si>
    <t>5.3.8</t>
  </si>
  <si>
    <t>SPLIT_SERV_008</t>
  </si>
  <si>
    <t>5.3.9</t>
  </si>
  <si>
    <t>SPLIT_SERV_009</t>
  </si>
  <si>
    <t>5.3.10</t>
  </si>
  <si>
    <t>SPLIT_SERV_010</t>
  </si>
  <si>
    <t>5.3.11</t>
  </si>
  <si>
    <t>SPLIT_SERV_011</t>
  </si>
  <si>
    <t>5.3.12</t>
  </si>
  <si>
    <t>SPLIT_SERV_012</t>
  </si>
  <si>
    <t>5.3.13</t>
  </si>
  <si>
    <t>REFRI. 001</t>
  </si>
  <si>
    <t>5.3.14</t>
  </si>
  <si>
    <t>REFRI. 002</t>
  </si>
  <si>
    <t>5.3.15</t>
  </si>
  <si>
    <t>REFRI. 003</t>
  </si>
  <si>
    <t>5.3.16</t>
  </si>
  <si>
    <t>REFRI. 004</t>
  </si>
  <si>
    <t>5.3.17</t>
  </si>
  <si>
    <t>REFRI. 005</t>
  </si>
  <si>
    <t>5.3.18</t>
  </si>
  <si>
    <t>REFRI. 006</t>
  </si>
  <si>
    <t>5.3.19</t>
  </si>
  <si>
    <t>REFRI. 007</t>
  </si>
  <si>
    <t>5.3.20</t>
  </si>
  <si>
    <t>REFRI. 008</t>
  </si>
  <si>
    <t>5.3.21</t>
  </si>
  <si>
    <t>REFRI. 009</t>
  </si>
  <si>
    <t>5.3.22</t>
  </si>
  <si>
    <t>REFRI. 010</t>
  </si>
  <si>
    <t>5.3.23</t>
  </si>
  <si>
    <t>REFRI. 012</t>
  </si>
  <si>
    <t>5.3.24</t>
  </si>
  <si>
    <t>REFRI. 013</t>
  </si>
  <si>
    <t>5.3.25</t>
  </si>
  <si>
    <t>REFRI. 014</t>
  </si>
  <si>
    <t>5.3.26</t>
  </si>
  <si>
    <t>REFRI. 015</t>
  </si>
  <si>
    <t>5.3.27</t>
  </si>
  <si>
    <t>REFRI. 016</t>
  </si>
  <si>
    <t>PEÇAS E MATERIAIS - APENAS CURITIBA</t>
  </si>
  <si>
    <t>6.1</t>
  </si>
  <si>
    <t>Elétrica</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</si>
  <si>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</si>
  <si>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</si>
  <si>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</si>
  <si>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</si>
  <si>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</si>
  <si>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</si>
  <si>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</si>
  <si>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</si>
  <si>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</si>
  <si>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</si>
  <si>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</si>
  <si>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</si>
  <si>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</si>
  <si>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</si>
  <si>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</si>
  <si>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</si>
  <si>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</si>
  <si>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</si>
  <si>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</si>
  <si>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</si>
  <si>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</si>
  <si>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</si>
  <si>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</si>
  <si>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</si>
  <si>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</si>
  <si>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</si>
  <si>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</si>
  <si>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</si>
  <si>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</si>
  <si>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</si>
  <si>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</si>
  <si>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</si>
  <si>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</si>
  <si>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</si>
  <si>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</si>
  <si>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</si>
  <si>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</si>
  <si>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</si>
  <si>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</si>
  <si>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</si>
  <si>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</si>
  <si>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</si>
  <si>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</si>
  <si>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</si>
  <si>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</si>
  <si>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</si>
  <si>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</si>
  <si>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</si>
  <si>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</si>
  <si>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</si>
  <si>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</si>
  <si>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</si>
  <si>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</si>
  <si>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</si>
  <si>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</si>
  <si>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</si>
  <si>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</si>
  <si>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</si>
  <si>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</si>
  <si>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</si>
  <si>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</si>
  <si>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</si>
  <si>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</si>
  <si>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</si>
  <si>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</si>
  <si>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</si>
  <si>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</si>
  <si>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</si>
  <si>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</si>
  <si>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</si>
  <si>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</si>
  <si>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</si>
  <si>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</si>
  <si>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</si>
  <si>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</si>
  <si>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</si>
  <si>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</si>
  <si>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</si>
  <si>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</si>
  <si>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</si>
  <si>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</si>
  <si>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</si>
  <si>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</si>
  <si>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</si>
  <si>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</si>
  <si>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</si>
  <si>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</si>
  <si>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</si>
  <si>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</si>
  <si>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</si>
  <si>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</si>
  <si>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</si>
  <si>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</si>
  <si>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</si>
  <si>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</si>
  <si>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</si>
  <si>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</si>
  <si>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</si>
  <si>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</si>
  <si>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6.1.100</t>
  </si>
  <si>
    <t>6.1.101</t>
  </si>
  <si>
    <t>6.1.102</t>
  </si>
  <si>
    <t>6.1.103</t>
  </si>
  <si>
    <t>6.1.104</t>
  </si>
  <si>
    <t>6.1.105</t>
  </si>
  <si>
    <t>6.1.106</t>
  </si>
  <si>
    <t>6.1.107</t>
  </si>
  <si>
    <t>6.1.108</t>
  </si>
  <si>
    <t>6.1.109</t>
  </si>
  <si>
    <t>6.1.110</t>
  </si>
  <si>
    <t>6.1.111</t>
  </si>
  <si>
    <t>6.1.112</t>
  </si>
  <si>
    <t>6.1.113</t>
  </si>
  <si>
    <t>6.1.114</t>
  </si>
  <si>
    <t>6.1.115</t>
  </si>
  <si>
    <t>6.1.116</t>
  </si>
  <si>
    <t>6.1.117</t>
  </si>
  <si>
    <t>6.1.118</t>
  </si>
  <si>
    <t>6.1.119</t>
  </si>
  <si>
    <t>6.1.120</t>
  </si>
  <si>
    <t>6.1.121</t>
  </si>
  <si>
    <t>6.1.122</t>
  </si>
  <si>
    <t>6.1.123</t>
  </si>
  <si>
    <t>6.1.124</t>
  </si>
  <si>
    <t>6.1.125</t>
  </si>
  <si>
    <t>6.1.126</t>
  </si>
  <si>
    <t>6.1.127</t>
  </si>
  <si>
    <t>6.1.128</t>
  </si>
  <si>
    <t>6.1.129</t>
  </si>
  <si>
    <t>6.1.130</t>
  </si>
  <si>
    <t>6.1.131</t>
  </si>
  <si>
    <t>6.1.132</t>
  </si>
  <si>
    <t>6.1.133</t>
  </si>
  <si>
    <t>6.1.134</t>
  </si>
  <si>
    <t>6.1.135</t>
  </si>
  <si>
    <t>6.1.136</t>
  </si>
  <si>
    <t>6.1.137</t>
  </si>
  <si>
    <t>6.1.138</t>
  </si>
  <si>
    <t>6.1.139</t>
  </si>
  <si>
    <t>6.2</t>
  </si>
  <si>
    <t>Hidráulica</t>
  </si>
  <si>
    <t>6.2.1</t>
  </si>
  <si>
    <t>6.2.2</t>
  </si>
  <si>
    <t>6.2.3</t>
  </si>
  <si>
    <t>6.2.4</t>
  </si>
  <si>
    <t>6.2.5</t>
  </si>
  <si>
    <t>6.2.6</t>
  </si>
  <si>
    <t>6.2.7</t>
  </si>
  <si>
    <t>6.2.8</t>
  </si>
  <si>
    <t>6.2.9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</si>
  <si>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</si>
  <si>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</si>
  <si>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</si>
  <si>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</si>
  <si>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</si>
  <si>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</si>
  <si>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</si>
  <si>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</si>
  <si>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</si>
  <si>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</si>
  <si>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</si>
  <si>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</si>
  <si>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</si>
  <si>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</si>
  <si>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</si>
  <si>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</si>
  <si>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</si>
  <si>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</si>
  <si>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</si>
  <si>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</si>
  <si>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</si>
  <si>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</si>
  <si>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</si>
  <si>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</si>
  <si>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</si>
  <si>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</si>
  <si>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</si>
  <si>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</si>
  <si>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</si>
  <si>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</si>
  <si>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</si>
  <si>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</si>
  <si>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</si>
  <si>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</si>
  <si>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</si>
  <si>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</si>
  <si>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</si>
  <si>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</si>
  <si>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</si>
  <si>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</si>
  <si>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</si>
  <si>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</si>
  <si>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</si>
  <si>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</si>
  <si>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</si>
  <si>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</si>
  <si>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</si>
  <si>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</si>
  <si>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</si>
  <si>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</si>
  <si>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</si>
  <si>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</si>
  <si>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</si>
  <si>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</si>
  <si>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</si>
  <si>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</si>
  <si>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</si>
  <si>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</si>
  <si>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</si>
  <si>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</si>
  <si>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</si>
  <si>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</si>
  <si>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</si>
  <si>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</si>
  <si>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</si>
  <si>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</si>
  <si>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</si>
  <si>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</si>
  <si>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</si>
  <si>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</si>
  <si>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</si>
  <si>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</si>
  <si>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</si>
  <si>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</si>
  <si>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</si>
  <si>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</si>
  <si>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</si>
  <si>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</si>
  <si>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</si>
  <si>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</si>
  <si>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</si>
  <si>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</si>
  <si>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</si>
  <si>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</si>
  <si>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</si>
  <si>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</si>
  <si>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</si>
  <si>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</si>
  <si>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</si>
  <si>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</si>
  <si>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6.2.100</t>
  </si>
  <si>
    <t>6.2.101</t>
  </si>
  <si>
    <t>6.2.102</t>
  </si>
  <si>
    <t>6.2.103</t>
  </si>
  <si>
    <t>6.2.104</t>
  </si>
  <si>
    <t>6.2.105</t>
  </si>
  <si>
    <t>6.2.106</t>
  </si>
  <si>
    <t>6.2.107</t>
  </si>
  <si>
    <t>6.2.108</t>
  </si>
  <si>
    <t>6.2.109</t>
  </si>
  <si>
    <t>6.2.110</t>
  </si>
  <si>
    <t>6.2.111</t>
  </si>
  <si>
    <t>6.2.112</t>
  </si>
  <si>
    <t>6.2.113</t>
  </si>
  <si>
    <t>6.2.114</t>
  </si>
  <si>
    <t>6.2.115</t>
  </si>
  <si>
    <t>6.2.116</t>
  </si>
  <si>
    <t>6.2.117</t>
  </si>
  <si>
    <t>6.2.118</t>
  </si>
  <si>
    <t>6.2.119</t>
  </si>
  <si>
    <t>6.2.120</t>
  </si>
  <si>
    <t>6.2.121</t>
  </si>
  <si>
    <t>6.2.122</t>
  </si>
  <si>
    <t>6.2.123</t>
  </si>
  <si>
    <t>6.2.124</t>
  </si>
  <si>
    <t>6.2.125</t>
  </si>
  <si>
    <t>6.2.126</t>
  </si>
  <si>
    <t>6.2.127</t>
  </si>
  <si>
    <t>6.2.128</t>
  </si>
  <si>
    <t>6.2.129</t>
  </si>
  <si>
    <t>6.2.130</t>
  </si>
  <si>
    <t>6.2.131</t>
  </si>
  <si>
    <t>6.2.132</t>
  </si>
  <si>
    <t>6.2.133</t>
  </si>
  <si>
    <t>6.2.134</t>
  </si>
  <si>
    <t>6.2.135</t>
  </si>
  <si>
    <t>6.2.136</t>
  </si>
  <si>
    <t>6.2.137</t>
  </si>
  <si>
    <t>6.2.138</t>
  </si>
  <si>
    <t>6.2.139</t>
  </si>
  <si>
    <t>6.2.140</t>
  </si>
  <si>
    <t>6.2.141</t>
  </si>
  <si>
    <t>6.2.142</t>
  </si>
  <si>
    <t>6.2.143</t>
  </si>
  <si>
    <t>6.2.144</t>
  </si>
  <si>
    <t>6.2.145</t>
  </si>
  <si>
    <t>6.2.146</t>
  </si>
  <si>
    <t>6.2.147</t>
  </si>
  <si>
    <t>6.2.148</t>
  </si>
  <si>
    <t>6.2.149</t>
  </si>
  <si>
    <t>6.2.150</t>
  </si>
  <si>
    <t>6.2.151</t>
  </si>
  <si>
    <t>6.2.152</t>
  </si>
  <si>
    <t>6.2.153</t>
  </si>
  <si>
    <t>6.2.154</t>
  </si>
  <si>
    <t>6.2.155</t>
  </si>
  <si>
    <t>6.2.156</t>
  </si>
  <si>
    <t>6.2.157</t>
  </si>
  <si>
    <t>6.2.158</t>
  </si>
  <si>
    <t>6.2.159</t>
  </si>
  <si>
    <t>6.2.160</t>
  </si>
  <si>
    <t>6.2.161</t>
  </si>
  <si>
    <t>6.2.162</t>
  </si>
  <si>
    <t>6.2.163</t>
  </si>
  <si>
    <t>6.2.164</t>
  </si>
  <si>
    <t>6.2.165</t>
  </si>
  <si>
    <t>6.2.166</t>
  </si>
  <si>
    <t>6.2.167</t>
  </si>
  <si>
    <t>6.2.168</t>
  </si>
  <si>
    <t>6.2.169</t>
  </si>
  <si>
    <t>6.2.170</t>
  </si>
  <si>
    <t>6.2.171</t>
  </si>
  <si>
    <t>6.2.172</t>
  </si>
  <si>
    <t>6.2.173</t>
  </si>
  <si>
    <t>6.2.174</t>
  </si>
  <si>
    <t>6.2.175</t>
  </si>
  <si>
    <t>6.2.176</t>
  </si>
  <si>
    <t>6.2.177</t>
  </si>
  <si>
    <t>6.2.178</t>
  </si>
  <si>
    <t>6.2.179</t>
  </si>
  <si>
    <t>6.2.180</t>
  </si>
  <si>
    <t>6.2.181</t>
  </si>
  <si>
    <t>6.2.182</t>
  </si>
  <si>
    <t>6.2.183</t>
  </si>
  <si>
    <t>6.2.184</t>
  </si>
  <si>
    <t>6.2.185</t>
  </si>
  <si>
    <t>6.2.186</t>
  </si>
  <si>
    <t>6.2.187</t>
  </si>
  <si>
    <t>6.2.188</t>
  </si>
  <si>
    <t>6.2.189</t>
  </si>
  <si>
    <t>6.2.190</t>
  </si>
  <si>
    <t>6.2.191</t>
  </si>
  <si>
    <t>6.2.192</t>
  </si>
  <si>
    <t>6.2.193</t>
  </si>
  <si>
    <t>6.2.194</t>
  </si>
  <si>
    <t>6.2.195</t>
  </si>
  <si>
    <t>6.2.196</t>
  </si>
  <si>
    <t>6.2.197</t>
  </si>
  <si>
    <t>6.2.198</t>
  </si>
  <si>
    <t>6.2.199</t>
  </si>
  <si>
    <t>6.2.200</t>
  </si>
  <si>
    <t>6.2.201</t>
  </si>
  <si>
    <t>6.2.202</t>
  </si>
  <si>
    <t>6.2.203</t>
  </si>
  <si>
    <t>6.2.204</t>
  </si>
  <si>
    <t>6.2.205</t>
  </si>
  <si>
    <t>6.2.206</t>
  </si>
  <si>
    <t>6.2.207</t>
  </si>
  <si>
    <t>6.2.208</t>
  </si>
  <si>
    <t>6.2.209</t>
  </si>
  <si>
    <t>6.2.210</t>
  </si>
  <si>
    <t>6.2.211</t>
  </si>
  <si>
    <t>6.2.212</t>
  </si>
  <si>
    <t>6.2.213</t>
  </si>
  <si>
    <t>6.2.214</t>
  </si>
  <si>
    <t>6.2.215</t>
  </si>
  <si>
    <t>6.2.216</t>
  </si>
  <si>
    <t>6.2.217</t>
  </si>
  <si>
    <t>6.2.218</t>
  </si>
  <si>
    <t>6.2.219</t>
  </si>
  <si>
    <t>6.2.220</t>
  </si>
  <si>
    <t>6.2.221</t>
  </si>
  <si>
    <t>6.2.222</t>
  </si>
  <si>
    <t>6.2.223</t>
  </si>
  <si>
    <t>6.2.224</t>
  </si>
  <si>
    <t>6.2.225</t>
  </si>
  <si>
    <t>6.2.226</t>
  </si>
  <si>
    <t>6.2.227</t>
  </si>
  <si>
    <t>6.2.228</t>
  </si>
  <si>
    <t>6.2.229</t>
  </si>
  <si>
    <t>6.2.230</t>
  </si>
  <si>
    <t>6.2.231</t>
  </si>
  <si>
    <t>6.2.232</t>
  </si>
  <si>
    <t>6.2.233</t>
  </si>
  <si>
    <t>6.2.234</t>
  </si>
  <si>
    <t>6.2.235</t>
  </si>
  <si>
    <t>6.2.236</t>
  </si>
  <si>
    <t>6.2.237</t>
  </si>
  <si>
    <t>6.2.238</t>
  </si>
  <si>
    <t>6.2.239</t>
  </si>
  <si>
    <t>6.2.240</t>
  </si>
  <si>
    <t>6.2.241</t>
  </si>
  <si>
    <t>6.2.242</t>
  </si>
  <si>
    <t>6.2.243</t>
  </si>
  <si>
    <t>6.2.244</t>
  </si>
  <si>
    <t>6.2.245</t>
  </si>
  <si>
    <t>6.2.246</t>
  </si>
  <si>
    <t>6.2.247</t>
  </si>
  <si>
    <t>6.2.248</t>
  </si>
  <si>
    <t>6.2.249</t>
  </si>
  <si>
    <t>6.2.250</t>
  </si>
  <si>
    <t>6.2.251</t>
  </si>
  <si>
    <t>6.2.252</t>
  </si>
  <si>
    <t>6.2.253</t>
  </si>
  <si>
    <t>6.2.254</t>
  </si>
  <si>
    <t>6.2.255</t>
  </si>
  <si>
    <t>6.2.256</t>
  </si>
  <si>
    <t>6.2.257</t>
  </si>
  <si>
    <t>6.2.258</t>
  </si>
  <si>
    <t>6.2.259</t>
  </si>
  <si>
    <t>6.2.260</t>
  </si>
  <si>
    <t>6.2.261</t>
  </si>
  <si>
    <t>6.2.262</t>
  </si>
  <si>
    <t>6.2.263</t>
  </si>
  <si>
    <t>6.2.264</t>
  </si>
  <si>
    <t>6.2.265</t>
  </si>
  <si>
    <t>6.2.266</t>
  </si>
  <si>
    <t>6.2.267</t>
  </si>
  <si>
    <t>6.2.268</t>
  </si>
  <si>
    <t>6.2.269</t>
  </si>
  <si>
    <t>6.2.270</t>
  </si>
  <si>
    <t>6.2.271</t>
  </si>
  <si>
    <t>6.2.272</t>
  </si>
  <si>
    <t>6.2.273</t>
  </si>
  <si>
    <t>6.2.274</t>
  </si>
  <si>
    <t>6.2.275</t>
  </si>
  <si>
    <t>6.2.276</t>
  </si>
  <si>
    <t>6.2.277</t>
  </si>
  <si>
    <t>6.2.278</t>
  </si>
  <si>
    <t>6.2.279</t>
  </si>
  <si>
    <t>6.2.280</t>
  </si>
  <si>
    <t>6.2.281</t>
  </si>
  <si>
    <t>6.2.282</t>
  </si>
  <si>
    <t>6.2.283</t>
  </si>
  <si>
    <t>6.2.284</t>
  </si>
  <si>
    <t>6.2.285</t>
  </si>
  <si>
    <t>6.2.286</t>
  </si>
  <si>
    <t>6.2.287</t>
  </si>
  <si>
    <t>6.2.288</t>
  </si>
  <si>
    <t>6.2.289</t>
  </si>
  <si>
    <t>6.2.290</t>
  </si>
  <si>
    <t>6.2.291</t>
  </si>
  <si>
    <t>6.2.292</t>
  </si>
  <si>
    <t>6.2.293</t>
  </si>
  <si>
    <t>6.2.294</t>
  </si>
  <si>
    <t>6.2.295</t>
  </si>
  <si>
    <t>6.2.296</t>
  </si>
  <si>
    <t>6.2.297</t>
  </si>
  <si>
    <t>6.2.298</t>
  </si>
  <si>
    <t>6.3</t>
  </si>
  <si>
    <t>Geral</t>
  </si>
  <si>
    <t>6.3.1</t>
  </si>
  <si>
    <t>6.3.2</t>
  </si>
  <si>
    <t>6.3.3</t>
  </si>
  <si>
    <t>6.3.4</t>
  </si>
  <si>
    <t>6.3.5</t>
  </si>
  <si>
    <t>6.3.6</t>
  </si>
  <si>
    <t>6.3.7</t>
  </si>
  <si>
    <t>6.3.8</t>
  </si>
  <si>
    <t>6.3.9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</si>
  <si>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</si>
  <si>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</si>
  <si>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</si>
  <si>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</si>
  <si>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</si>
  <si>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</si>
  <si>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</si>
  <si>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</si>
  <si>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</si>
  <si>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</si>
  <si>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</si>
  <si>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</si>
  <si>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</si>
  <si>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</si>
  <si>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</si>
  <si>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</si>
  <si>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</si>
  <si>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</si>
  <si>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</si>
  <si>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</si>
  <si>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</si>
  <si>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</si>
  <si>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</si>
  <si>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</si>
  <si>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</si>
  <si>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</si>
  <si>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</si>
  <si>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</si>
  <si>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6.4</t>
  </si>
  <si>
    <t>Material Básico</t>
  </si>
  <si>
    <t>6.4.1</t>
  </si>
  <si>
    <t>6.4.2</t>
  </si>
  <si>
    <t>6.4.3</t>
  </si>
  <si>
    <t>6.4.4</t>
  </si>
  <si>
    <t>6.4.5</t>
  </si>
  <si>
    <t>6.4.6</t>
  </si>
  <si>
    <t>6.4.7</t>
  </si>
  <si>
    <t>6.4.8</t>
  </si>
  <si>
    <t>6.5</t>
  </si>
  <si>
    <t>APARELHOS DE AR CONDICIONADO</t>
  </si>
  <si>
    <t>6.5.1</t>
  </si>
  <si>
    <t>Compressores, Motores Ventiladores e Placas de comando</t>
  </si>
  <si>
    <t>6.5.1.1</t>
  </si>
  <si>
    <t>AR_MAT_001</t>
  </si>
  <si>
    <t>6.5.1.2</t>
  </si>
  <si>
    <t>AR_MAT_002</t>
  </si>
  <si>
    <t>6.5.1.3</t>
  </si>
  <si>
    <t>AR_MAT_003</t>
  </si>
  <si>
    <t>6.5.1.4</t>
  </si>
  <si>
    <t>AR_MAT_004</t>
  </si>
  <si>
    <t>6.5.1.5</t>
  </si>
  <si>
    <t>AR_MAT_005</t>
  </si>
  <si>
    <t>6.5.1.6</t>
  </si>
  <si>
    <t>AR_MAT_006</t>
  </si>
  <si>
    <t>6.5.1.7</t>
  </si>
  <si>
    <t>AR_MAT_007</t>
  </si>
  <si>
    <t>6.5.1.8</t>
  </si>
  <si>
    <t>AR_MAT_008</t>
  </si>
  <si>
    <t>6.5.1.9</t>
  </si>
  <si>
    <t>AR_MAT_009</t>
  </si>
  <si>
    <t>6.5.1.10</t>
  </si>
  <si>
    <t>AR_MAT_010</t>
  </si>
  <si>
    <t>6.5.1.11</t>
  </si>
  <si>
    <t>AR_MAT_011</t>
  </si>
  <si>
    <t>6.5.1.12</t>
  </si>
  <si>
    <t>AR_MAT_012</t>
  </si>
  <si>
    <t>6.5.1.13</t>
  </si>
  <si>
    <t>AR_MAT_013</t>
  </si>
  <si>
    <t>6.5.1.14</t>
  </si>
  <si>
    <t>AR_MAT_014</t>
  </si>
  <si>
    <t>6.5.1.15</t>
  </si>
  <si>
    <t>AR_MAT_015</t>
  </si>
  <si>
    <t>6.5.1.16</t>
  </si>
  <si>
    <t>AR_MAT_016</t>
  </si>
  <si>
    <t>6.5.1.17</t>
  </si>
  <si>
    <t>AR_MAT_017</t>
  </si>
  <si>
    <t>6.5.1.18</t>
  </si>
  <si>
    <t>AR_MAT_018</t>
  </si>
  <si>
    <t>6.5.1.19</t>
  </si>
  <si>
    <t>AR_MAT_019</t>
  </si>
  <si>
    <t>6.5.1.20</t>
  </si>
  <si>
    <t>AR_MAT_020</t>
  </si>
  <si>
    <t>6.5.1.21</t>
  </si>
  <si>
    <t>AR_MAT_021</t>
  </si>
  <si>
    <t>6.5.1.22</t>
  </si>
  <si>
    <t>AR_MAT_022</t>
  </si>
  <si>
    <t>6.5.1.23</t>
  </si>
  <si>
    <t>AR_MAT_023</t>
  </si>
  <si>
    <t>6.5.1.24</t>
  </si>
  <si>
    <t>AR_MAT_024</t>
  </si>
  <si>
    <t>6.5.1.25</t>
  </si>
  <si>
    <t>AR_MAT_025</t>
  </si>
  <si>
    <t>6.5.1.26</t>
  </si>
  <si>
    <t>AR_MAT_026</t>
  </si>
  <si>
    <t>6.5.1.27</t>
  </si>
  <si>
    <t>AR_MAT_027</t>
  </si>
  <si>
    <t>6.5.1.28</t>
  </si>
  <si>
    <t>AR_MAT_028</t>
  </si>
  <si>
    <t>6.5.2</t>
  </si>
  <si>
    <t>Correias</t>
  </si>
  <si>
    <t>6.5.2.1</t>
  </si>
  <si>
    <t>AR_MAT_040</t>
  </si>
  <si>
    <t>6.5.2.2</t>
  </si>
  <si>
    <t>AR_MAT_041</t>
  </si>
  <si>
    <t>6.5.2.3</t>
  </si>
  <si>
    <t>AR_MAT_042</t>
  </si>
  <si>
    <t>6.5.2.4</t>
  </si>
  <si>
    <t>AR_MAT_043</t>
  </si>
  <si>
    <t>6.5.2.5</t>
  </si>
  <si>
    <t>AR_MAT_044</t>
  </si>
  <si>
    <t>6.5.2.6</t>
  </si>
  <si>
    <t>AR_MAT_045</t>
  </si>
  <si>
    <t>6.5.2.7</t>
  </si>
  <si>
    <t>AR_MAT_046</t>
  </si>
  <si>
    <t>6.5.2.8</t>
  </si>
  <si>
    <t>AR_MAT_047</t>
  </si>
  <si>
    <t>6.5.2.9</t>
  </si>
  <si>
    <t>AR_MAT_048</t>
  </si>
  <si>
    <t>6.5.2.10</t>
  </si>
  <si>
    <t>AR_MAT_049</t>
  </si>
  <si>
    <t>6.5.2.11</t>
  </si>
  <si>
    <t>AR_MAT_050</t>
  </si>
  <si>
    <t>6.5.2.12</t>
  </si>
  <si>
    <t>AR_MAT_051</t>
  </si>
  <si>
    <t>6.5.3</t>
  </si>
  <si>
    <t>Fluídos Refrigerantes</t>
  </si>
  <si>
    <t>6.5.3.1</t>
  </si>
  <si>
    <t>MAN_COT.043</t>
  </si>
  <si>
    <t>6.5.3.2</t>
  </si>
  <si>
    <t>MAN_COT.045</t>
  </si>
  <si>
    <t>6.5.3.3</t>
  </si>
  <si>
    <t>AR_MAT_038</t>
  </si>
  <si>
    <t>6.5.4</t>
  </si>
  <si>
    <t>Instrumentação</t>
  </si>
  <si>
    <t>6.5.4.1</t>
  </si>
  <si>
    <t>6.5.4.2</t>
  </si>
  <si>
    <t>AR_MAT_074</t>
  </si>
  <si>
    <t>6.5.5</t>
  </si>
  <si>
    <t>Tubo Cobre Split</t>
  </si>
  <si>
    <t>6.5.5.1</t>
  </si>
  <si>
    <t>6.5.5.2</t>
  </si>
  <si>
    <t>6.5.5.3</t>
  </si>
  <si>
    <t>6.5.5.4</t>
  </si>
  <si>
    <t>6.5.5.5</t>
  </si>
  <si>
    <t>6.5.5.6</t>
  </si>
  <si>
    <t>6.5.5.7</t>
  </si>
  <si>
    <t>6.5.6</t>
  </si>
  <si>
    <t>Parafusos, porcas e afins</t>
  </si>
  <si>
    <t>6.5.6.1</t>
  </si>
  <si>
    <t>6.5.6.2</t>
  </si>
  <si>
    <t>6.5.6.3</t>
  </si>
  <si>
    <t>6.5.6.4</t>
  </si>
  <si>
    <t>6.5.6.5</t>
  </si>
  <si>
    <t>6.5.6.6</t>
  </si>
  <si>
    <t>MAN_COT.005</t>
  </si>
  <si>
    <t>6.5.6.7</t>
  </si>
  <si>
    <t>MAN_COT.008</t>
  </si>
  <si>
    <t>6.5.6.8</t>
  </si>
  <si>
    <t>MAN_COT.009</t>
  </si>
  <si>
    <t>6.5.6.9</t>
  </si>
  <si>
    <t>MAN_COT.046</t>
  </si>
  <si>
    <t>6.5.6.10</t>
  </si>
  <si>
    <t>MAN_COT.047</t>
  </si>
  <si>
    <t>6.5.6.11</t>
  </si>
  <si>
    <t>MAN_COT.048</t>
  </si>
  <si>
    <t>6.5.6.12</t>
  </si>
  <si>
    <t>6.5.7</t>
  </si>
  <si>
    <t>Rolamentos</t>
  </si>
  <si>
    <t>6.5.7.1</t>
  </si>
  <si>
    <t>AR_MAT_052</t>
  </si>
  <si>
    <t>6.5.7.2</t>
  </si>
  <si>
    <t>AR_MAT_053</t>
  </si>
  <si>
    <t>6.5.8</t>
  </si>
  <si>
    <t>Conexões</t>
  </si>
  <si>
    <t>6.5.8.1</t>
  </si>
  <si>
    <t>6.5.8.2</t>
  </si>
  <si>
    <t>AR_MAT_054</t>
  </si>
  <si>
    <t>6.5.8.3</t>
  </si>
  <si>
    <t>6.5.8.4</t>
  </si>
  <si>
    <t>6.5.8.5</t>
  </si>
  <si>
    <t>6.5.8.6</t>
  </si>
  <si>
    <t>6.5.8.7</t>
  </si>
  <si>
    <t>6.5.8.8</t>
  </si>
  <si>
    <t>6.5.8.9</t>
  </si>
  <si>
    <t>6.5.8.10</t>
  </si>
  <si>
    <t>6.5.8.11</t>
  </si>
  <si>
    <t>6.5.8.12</t>
  </si>
  <si>
    <t>6.5.9</t>
  </si>
  <si>
    <t>Peças Chiller</t>
  </si>
  <si>
    <t>6.5.9.1</t>
  </si>
  <si>
    <t>6.5.9.2</t>
  </si>
  <si>
    <t>CHI_MAT_001</t>
  </si>
  <si>
    <t>6.5.9.3</t>
  </si>
  <si>
    <t>CHI_MAT_002</t>
  </si>
  <si>
    <t>6.5.9.4</t>
  </si>
  <si>
    <t>CHI_MAT_006</t>
  </si>
  <si>
    <t>6.5.9.5</t>
  </si>
  <si>
    <t>CHI_MAT_008</t>
  </si>
  <si>
    <t>6.5.9.6</t>
  </si>
  <si>
    <t>CHI_MAT_009</t>
  </si>
  <si>
    <t>6.5.9.7</t>
  </si>
  <si>
    <t>CHI_MAT_010</t>
  </si>
  <si>
    <t>6.5.9.8</t>
  </si>
  <si>
    <t>CHI_MAT_011</t>
  </si>
  <si>
    <t>6.5.9.9</t>
  </si>
  <si>
    <t>CHI_MAT_012</t>
  </si>
  <si>
    <t>6.5.9.10</t>
  </si>
  <si>
    <t>CHI_MAT_013</t>
  </si>
  <si>
    <t>6.5.9.11</t>
  </si>
  <si>
    <t>CHI_MAT_014</t>
  </si>
  <si>
    <t>6.5.9.12</t>
  </si>
  <si>
    <t>CHI_MAT_015</t>
  </si>
  <si>
    <t>6.5.9.13</t>
  </si>
  <si>
    <t>CHI_MAT_016</t>
  </si>
  <si>
    <t>6.5.9.14</t>
  </si>
  <si>
    <t>CHI_MAT_017</t>
  </si>
  <si>
    <t>6.5.9.15</t>
  </si>
  <si>
    <t>CHI_MAT_018</t>
  </si>
  <si>
    <t>6.5.9.16</t>
  </si>
  <si>
    <t>CHI_MAT_019</t>
  </si>
  <si>
    <t>6.5.9.17</t>
  </si>
  <si>
    <t>CHI_MAT_020</t>
  </si>
  <si>
    <t>6.5.9.18</t>
  </si>
  <si>
    <t>CHI_MAT_021</t>
  </si>
  <si>
    <t>6.5.9.19</t>
  </si>
  <si>
    <t>CHI_MAT_022</t>
  </si>
  <si>
    <t>6.5.9.20</t>
  </si>
  <si>
    <t>CHI_MAT_023</t>
  </si>
  <si>
    <t>6.5.9.21</t>
  </si>
  <si>
    <t>CHI_MAT_024</t>
  </si>
  <si>
    <t>6.5.9.22</t>
  </si>
  <si>
    <t>CHI_MAT_025</t>
  </si>
  <si>
    <t>6.5.9.23</t>
  </si>
  <si>
    <t>CHI_MAT_026</t>
  </si>
  <si>
    <t>6.5.9.24</t>
  </si>
  <si>
    <t>CHI_MAT_027</t>
  </si>
  <si>
    <t>6.5.9.25</t>
  </si>
  <si>
    <t>CHI_MAT_028</t>
  </si>
  <si>
    <t>6.5.9.26</t>
  </si>
  <si>
    <t>CHI_MAT_029</t>
  </si>
  <si>
    <t>6.5.9.27</t>
  </si>
  <si>
    <t>CHI_MAT_030</t>
  </si>
  <si>
    <t>6.5.9.28</t>
  </si>
  <si>
    <t>CHI_MAT_031</t>
  </si>
  <si>
    <t>6.5.9.29</t>
  </si>
  <si>
    <t>CHI_MAT_032</t>
  </si>
  <si>
    <t>6.5.9.30</t>
  </si>
  <si>
    <t>CHI_MAT_033</t>
  </si>
  <si>
    <t>6.5.9.31</t>
  </si>
  <si>
    <t>CHI_MAT_034</t>
  </si>
  <si>
    <t>6.5.9.32</t>
  </si>
  <si>
    <t>CHI_MAT_035</t>
  </si>
  <si>
    <t>6.5.9.33</t>
  </si>
  <si>
    <t>CHI_MAT_036</t>
  </si>
  <si>
    <t>6.5.9.34</t>
  </si>
  <si>
    <t>CHI_MAT_037</t>
  </si>
  <si>
    <t>6.5.9.35</t>
  </si>
  <si>
    <t>CHI_MAT_038</t>
  </si>
  <si>
    <t>6.5.9.36</t>
  </si>
  <si>
    <t>CHI_MAT_039</t>
  </si>
  <si>
    <t>6.5.9.37</t>
  </si>
  <si>
    <t>CHI_MAT_040</t>
  </si>
  <si>
    <t>6.5.10</t>
  </si>
  <si>
    <t>Diversos</t>
  </si>
  <si>
    <t>6.5.10.1</t>
  </si>
  <si>
    <t>6.5.10.2</t>
  </si>
  <si>
    <t>6.5.10.3</t>
  </si>
  <si>
    <t>6.5.10.4</t>
  </si>
  <si>
    <t>6.5.10.5</t>
  </si>
  <si>
    <t>6.5.10.6</t>
  </si>
  <si>
    <t>MAN_COT.002</t>
  </si>
  <si>
    <t>6.5.10.7</t>
  </si>
  <si>
    <t>MAN_COT.055</t>
  </si>
  <si>
    <t>6.5.10.8</t>
  </si>
  <si>
    <t>6.5.10.9</t>
  </si>
  <si>
    <t>AR_MAT_055</t>
  </si>
  <si>
    <t>6.5.10.10</t>
  </si>
  <si>
    <t>6.5.10.11</t>
  </si>
  <si>
    <t>6.5.10.12</t>
  </si>
  <si>
    <t>6.5.10.13</t>
  </si>
  <si>
    <t>6.5.10.14</t>
  </si>
  <si>
    <t>6.5.10.15</t>
  </si>
  <si>
    <t>6.5.10.16</t>
  </si>
  <si>
    <t>AR_MAT_056</t>
  </si>
  <si>
    <t>6.5.10.17</t>
  </si>
  <si>
    <t>AR_MAT_057</t>
  </si>
  <si>
    <t>6.5.10.18</t>
  </si>
  <si>
    <t>AR_MAT_058</t>
  </si>
  <si>
    <t>6.5.11</t>
  </si>
  <si>
    <t>Solda e Brasagem</t>
  </si>
  <si>
    <t>6.5.11.1</t>
  </si>
  <si>
    <t>6.5.11.2</t>
  </si>
  <si>
    <t>6.5.11.3</t>
  </si>
  <si>
    <t>6.5.11.4</t>
  </si>
  <si>
    <t>6.5.11.5</t>
  </si>
  <si>
    <t>AR_MAT_059</t>
  </si>
  <si>
    <t>6.5.12</t>
  </si>
  <si>
    <t>Válvulas</t>
  </si>
  <si>
    <t>6.5.12.1</t>
  </si>
  <si>
    <t>6.5.12.2</t>
  </si>
  <si>
    <t>AR_MAT_060</t>
  </si>
  <si>
    <t>6.5.12.3</t>
  </si>
  <si>
    <t>AR_MAT_061</t>
  </si>
  <si>
    <t>6.5.12.4</t>
  </si>
  <si>
    <t>AR_MAT_062</t>
  </si>
  <si>
    <t>6.5.12.5</t>
  </si>
  <si>
    <t>AR_MAT_063</t>
  </si>
  <si>
    <t>6.5.13</t>
  </si>
  <si>
    <t>Dutos, isolamentos e afins</t>
  </si>
  <si>
    <t>6.5.13.1</t>
  </si>
  <si>
    <t>MAN_COT.049</t>
  </si>
  <si>
    <t>6.5.13.2</t>
  </si>
  <si>
    <t>MAN_COT.050</t>
  </si>
  <si>
    <t>6.5.13.3</t>
  </si>
  <si>
    <t>MAN_COT.051</t>
  </si>
  <si>
    <t>6.5.13.4</t>
  </si>
  <si>
    <t>MAN_COT.052</t>
  </si>
  <si>
    <t>6.5.13.5</t>
  </si>
  <si>
    <t>MAN_COT.053</t>
  </si>
  <si>
    <t>6.5.13.6</t>
  </si>
  <si>
    <t>MAN_COT.054</t>
  </si>
  <si>
    <t>6.5.13.7</t>
  </si>
  <si>
    <t>6.5.13.8</t>
  </si>
  <si>
    <t>6.5.13.9</t>
  </si>
  <si>
    <t>AR_MAT_064</t>
  </si>
  <si>
    <t>6.5.13.10</t>
  </si>
  <si>
    <t>AR_MAT_065</t>
  </si>
  <si>
    <t>6.5.13.11</t>
  </si>
  <si>
    <t>AR_MAT_066</t>
  </si>
  <si>
    <t>6.5.13.12</t>
  </si>
  <si>
    <t>AR_MAT_067</t>
  </si>
  <si>
    <t>6.5.14</t>
  </si>
  <si>
    <t>Capacitores</t>
  </si>
  <si>
    <t>6.5.14.1</t>
  </si>
  <si>
    <t>AR_MAT_029</t>
  </si>
  <si>
    <t>6.5.14.2</t>
  </si>
  <si>
    <t>AR_MAT_030</t>
  </si>
  <si>
    <t>6.5.14.3</t>
  </si>
  <si>
    <t>AR_MAT_031</t>
  </si>
  <si>
    <t>6.5.14.4</t>
  </si>
  <si>
    <t>AR_MAT_032</t>
  </si>
  <si>
    <t>6.5.14.5</t>
  </si>
  <si>
    <t>AR_MAT_033</t>
  </si>
  <si>
    <t>6.5.14.6</t>
  </si>
  <si>
    <t>AR_MAT_034</t>
  </si>
  <si>
    <t>6.5.14.7</t>
  </si>
  <si>
    <t>AR_MAT_035</t>
  </si>
  <si>
    <t>6.5.14.8</t>
  </si>
  <si>
    <t>AR_MAT_036</t>
  </si>
  <si>
    <t>6.5.14.9</t>
  </si>
  <si>
    <t>AR_MAT_037</t>
  </si>
  <si>
    <t>6.5.15</t>
  </si>
  <si>
    <t>Elétrica e Afins</t>
  </si>
  <si>
    <t>6.5.15.1</t>
  </si>
  <si>
    <t>6.5.15.2</t>
  </si>
  <si>
    <t>6.5.15.3</t>
  </si>
  <si>
    <t>MAN_COT.015</t>
  </si>
  <si>
    <t>6.5.15.4</t>
  </si>
  <si>
    <t>MAN_COT.056</t>
  </si>
  <si>
    <t>6.5.15.5</t>
  </si>
  <si>
    <t>MAN_COT.057</t>
  </si>
  <si>
    <t>6.5.15.6</t>
  </si>
  <si>
    <t>6.5.15.7</t>
  </si>
  <si>
    <t>6.5.16</t>
  </si>
  <si>
    <t>Lubrificante, Óleo e Afins</t>
  </si>
  <si>
    <t>6.5.16.1</t>
  </si>
  <si>
    <t>6.5.16.2</t>
  </si>
  <si>
    <t>AR_MAT_069</t>
  </si>
  <si>
    <t>6.5.16.3</t>
  </si>
  <si>
    <t>AR_MAT_070</t>
  </si>
  <si>
    <t>6.5.16.4</t>
  </si>
  <si>
    <t>AR_MAT_071</t>
  </si>
  <si>
    <t>6.5.16.5</t>
  </si>
  <si>
    <t>AR_MAT_072</t>
  </si>
  <si>
    <t>6.6</t>
  </si>
  <si>
    <t>GERADORES</t>
  </si>
  <si>
    <t>6.6.1</t>
  </si>
  <si>
    <t>6.6.2</t>
  </si>
  <si>
    <t>6.6.3</t>
  </si>
  <si>
    <t>6.6.4</t>
  </si>
  <si>
    <t>6.6.5</t>
  </si>
  <si>
    <t>6.6.6</t>
  </si>
  <si>
    <t>6.6.7</t>
  </si>
  <si>
    <t>6.6.8</t>
  </si>
  <si>
    <t>6.6.9</t>
  </si>
  <si>
    <t>6.6.10</t>
  </si>
  <si>
    <t>6.6.11</t>
  </si>
  <si>
    <t>6.6.12</t>
  </si>
  <si>
    <t>6.6.13</t>
  </si>
  <si>
    <t>6.6.14</t>
  </si>
  <si>
    <t>TOTAIS</t>
  </si>
  <si>
    <t>Total sem BDI</t>
  </si>
  <si>
    <t>Total do BDI</t>
  </si>
  <si>
    <t>Total Geral</t>
  </si>
  <si>
    <r>
      <rPr>
        <rFont val="Calibri, Arial"/>
        <color theme="1"/>
        <sz val="8.0"/>
      </rPr>
      <t xml:space="preserve">SERVIÇO PÚBLICO FEDERAL
</t>
    </r>
    <r>
      <rPr>
        <rFont val="Calibri, Arial"/>
        <b/>
        <color theme="1"/>
        <sz val="8.0"/>
      </rPr>
      <t>MJSP - POLÍCIA FEDERAL</t>
    </r>
    <r>
      <rPr>
        <rFont val="Calibri, Arial"/>
        <color theme="1"/>
        <sz val="8.0"/>
      </rPr>
      <t xml:space="preserve">
                         GRUPO TÉCNICO DE EDIFICAÇÕES       GTED/SR/PF/PR</t>
    </r>
  </si>
  <si>
    <t>1 - SUPERVISÃO TÉCNICA - PLANILHA DE CUSTOS</t>
  </si>
  <si>
    <t>ENGENHEIRO ELETRICISTA - SR/PF/PR</t>
  </si>
  <si>
    <t>SERVIÇO PÚBLICO FEDERAL
MJSP - POLÍCIA FEDERAL
GRUPO TÉCNICO DE EDIFICAÇÕES - GTED/SR/PF/PR</t>
  </si>
  <si>
    <t>Processo nº 08385.002737/2021-34</t>
  </si>
  <si>
    <r>
      <rPr>
        <rFont val="Calibri, Arial"/>
        <color rgb="FF000000"/>
        <sz val="9.0"/>
      </rPr>
      <t>Pregão Eletrônico nº</t>
    </r>
    <r>
      <rPr>
        <rFont val="Calibri"/>
        <color rgb="FF000000"/>
        <sz val="9.0"/>
      </rPr>
      <t xml:space="preserve">  </t>
    </r>
  </si>
  <si>
    <t>Dia __/___/2023 às ___:___ horas</t>
  </si>
  <si>
    <t>I - Discriminação dos Serviços (dados referentes à contratação)</t>
  </si>
  <si>
    <t>A</t>
  </si>
  <si>
    <t xml:space="preserve">Data de apresentação da proposta (dia/mês/ano) </t>
  </si>
  <si>
    <t>B</t>
  </si>
  <si>
    <t xml:space="preserve">Município/UF </t>
  </si>
  <si>
    <t>Curitiba/PR</t>
  </si>
  <si>
    <t>C</t>
  </si>
  <si>
    <t>Ano Acordo, Convenção ou Sentença Normativa em Dissídio Coletivo</t>
  </si>
  <si>
    <t>SINDUSCON-PR  2022/24 PR001817/2022</t>
  </si>
  <si>
    <t>D</t>
  </si>
  <si>
    <r>
      <rPr>
        <rFont val="Calibri, Arial"/>
        <color rgb="FF000000"/>
        <sz val="9.0"/>
      </rPr>
      <t>N</t>
    </r>
    <r>
      <rPr>
        <rFont val="Calibri"/>
        <strike/>
        <color rgb="FF000000"/>
        <sz val="9.0"/>
      </rPr>
      <t>º</t>
    </r>
    <r>
      <rPr>
        <rFont val="Calibri"/>
        <color rgb="FF000000"/>
        <sz val="9.0"/>
      </rPr>
      <t xml:space="preserve"> de meses de execução contratual</t>
    </r>
  </si>
  <si>
    <t>II - Identificação do Serviço</t>
  </si>
  <si>
    <t>Tipo de Serviço</t>
  </si>
  <si>
    <t>Quantidade</t>
  </si>
  <si>
    <t>Engenheiro Eletricista</t>
  </si>
  <si>
    <t>Mão-de-obra</t>
  </si>
  <si>
    <r>
      <rPr>
        <rFont val="Calibri, Arial"/>
        <b/>
        <color rgb="FF000000"/>
        <sz val="9.0"/>
      </rPr>
      <t>Mão-de-obra vinculada à execução contratual</t>
    </r>
    <r>
      <rPr>
        <rFont val="Calibri"/>
        <b val="0"/>
        <color rgb="FF000000"/>
        <sz val="9.0"/>
      </rPr>
      <t xml:space="preserve"> </t>
    </r>
  </si>
  <si>
    <t>Dados complementares para composição dos custos referente à mão-de-obra</t>
  </si>
  <si>
    <t>Tipo de serviço (mesmo serviço com características distintas)</t>
  </si>
  <si>
    <t>Continuado</t>
  </si>
  <si>
    <t>Classificação Brasileira de Ocupações (CBO)</t>
  </si>
  <si>
    <t>2143-05</t>
  </si>
  <si>
    <t>Salário Normativo da Categoria Profissional (jornada de 40 horas por semana)</t>
  </si>
  <si>
    <t>Categoria profissional (vinculada à execução contratual)</t>
  </si>
  <si>
    <t>ENGENHEIRO ELETRICISTA</t>
  </si>
  <si>
    <t>Data base da categoria (dia/mês/ano)</t>
  </si>
  <si>
    <t>SINAPI 06/2023 - Desonerada</t>
  </si>
  <si>
    <t>Módulo 1 - Composição da Remuneração</t>
  </si>
  <si>
    <t>Composição da Remuneração</t>
  </si>
  <si>
    <t>%</t>
  </si>
  <si>
    <t>Valor (R$)</t>
  </si>
  <si>
    <t>Salário Base (jornada de 80h/mês - (10 dias úteis de efetivo trabalho por mês)</t>
  </si>
  <si>
    <t>Adicional de periculosidade</t>
  </si>
  <si>
    <t xml:space="preserve">Adicional de insalubridade </t>
  </si>
  <si>
    <t>Adicional noturno</t>
  </si>
  <si>
    <t>E</t>
  </si>
  <si>
    <t>Adicional de Hora Noturna Reduzida</t>
  </si>
  <si>
    <t>F</t>
  </si>
  <si>
    <t>Adicional de Hora Extra no Feriado Trabalhado</t>
  </si>
  <si>
    <t>G</t>
  </si>
  <si>
    <t>Outros (especificar)</t>
  </si>
  <si>
    <t>Total da Remuneração</t>
  </si>
  <si>
    <t>Módulo 2 - Encargos e Benefícios Anuais, Mensais e Diários</t>
  </si>
  <si>
    <t>2.1</t>
  </si>
  <si>
    <t>Submódulo 2.1 - 13º (décimo terceiro) Salário, Férias e Adicional de Férias</t>
  </si>
  <si>
    <t xml:space="preserve">13 º Salário </t>
  </si>
  <si>
    <t>Férias e Adicional de Férias</t>
  </si>
  <si>
    <t>B1</t>
  </si>
  <si>
    <t>Férias (Substituto na cobertura de Férias)</t>
  </si>
  <si>
    <t>B2</t>
  </si>
  <si>
    <t>Adicional de Férias</t>
  </si>
  <si>
    <t>Subtotal</t>
  </si>
  <si>
    <t>Incidência do Submódulo 2.2 sobre 13º Salário</t>
  </si>
  <si>
    <t>Total</t>
  </si>
  <si>
    <t>2.2</t>
  </si>
  <si>
    <t>GPS, FGTS e outras contribuições</t>
  </si>
  <si>
    <t>INSS</t>
  </si>
  <si>
    <t>Salário Educação</t>
  </si>
  <si>
    <t>SAT - Seguro acidente do trabalho - SAT/RAT X FAP</t>
  </si>
  <si>
    <t>SESI ou SESC</t>
  </si>
  <si>
    <t>SENAI ou SENAC</t>
  </si>
  <si>
    <t>SEBRAE</t>
  </si>
  <si>
    <t>INCRA</t>
  </si>
  <si>
    <t>H</t>
  </si>
  <si>
    <t>FGTS</t>
  </si>
  <si>
    <t>I</t>
  </si>
  <si>
    <t>SECONCI</t>
  </si>
  <si>
    <t xml:space="preserve"> TOTAL</t>
  </si>
  <si>
    <t>2.3</t>
  </si>
  <si>
    <t>Benefícios Mensais e Diários</t>
  </si>
  <si>
    <t>Transporte (  - desc.6% s/sal.) - 4 dias trabalhados/mês</t>
  </si>
  <si>
    <t>a = valor da passagem do transp. coletivo no município da prest. do serviço</t>
  </si>
  <si>
    <t>b = quantidade de passagens por dia por empregado</t>
  </si>
  <si>
    <t xml:space="preserve"> Auxílio-Refeição/Alimentação</t>
  </si>
  <si>
    <t>Valor do Auxilio Refeição/Alimentação (conforme CCT vigente da categoria)</t>
  </si>
  <si>
    <t>Valor Unitário de Vale Refeição/Alimentação (carga horária 220h mensais)</t>
  </si>
  <si>
    <t>Carga horária do profissional para esta contratação (h)</t>
  </si>
  <si>
    <t>220</t>
  </si>
  <si>
    <t>Quantidade dias úteis trabalhados (média mensal)</t>
  </si>
  <si>
    <t>21</t>
  </si>
  <si>
    <t>Seguro de vida (cooparticipativo)</t>
  </si>
  <si>
    <t>Abono Natalino</t>
  </si>
  <si>
    <t>Quadro-Resumo do Módulo 2 - Encargos e Benefícios anuais, mensais e diários</t>
  </si>
  <si>
    <t xml:space="preserve"> 13º (décimo terceiro) Salário, Férias e Adicional de Férias</t>
  </si>
  <si>
    <t>Módulo 3 - Provisão para Rescisão</t>
  </si>
  <si>
    <t>Aviso prévio indenizado</t>
  </si>
  <si>
    <t>Incidência do FGTS sobre aviso prévio indenizado</t>
  </si>
  <si>
    <t>Multa do FGTS do aviso prévio indenizado (5,55% STF - fls 187/199 volume IV)</t>
  </si>
  <si>
    <t xml:space="preserve">Aviso prévio trabalhado  </t>
  </si>
  <si>
    <t>Incidência do submódulo 2.2 sobre Aviso Prévio Trabalhado</t>
  </si>
  <si>
    <t>Multa do FGTS e contribuição social s/ aviso prévio trabalhado</t>
  </si>
  <si>
    <t>Módulo 4 - Custo de Reposição do Profissional Ausente</t>
  </si>
  <si>
    <t>Substituto nas Ausências Legais</t>
  </si>
  <si>
    <t>Substituto na cobertura de Férias</t>
  </si>
  <si>
    <t>Substituto na cobertura de Ausências Legais</t>
  </si>
  <si>
    <t>Substituto na cobertura de Licença paternidade</t>
  </si>
  <si>
    <t>Substituto na cobertura de Ausência por Acidente de Trabalho</t>
  </si>
  <si>
    <t>Substituto na cobertura de Afastamento maternidade</t>
  </si>
  <si>
    <t>Substituto na cobertura de Outras ausências (especificar)</t>
  </si>
  <si>
    <t>Incidência do Submódulo 2.2 - Encargos</t>
  </si>
  <si>
    <t>Intrajornada</t>
  </si>
  <si>
    <t>Intervalo para repouso ou alimentação</t>
  </si>
  <si>
    <t>Não se aplica</t>
  </si>
  <si>
    <t>Quadro-Resumo do Módulo 4 - Custo de Reposição do Profissional Ausente</t>
  </si>
  <si>
    <t>Ausências Legais</t>
  </si>
  <si>
    <t>Módulo 5 - Insumos Diversos</t>
  </si>
  <si>
    <t>Insumos Diversos (valores mensair por empregado)</t>
  </si>
  <si>
    <t>Uniformes e EPIs</t>
  </si>
  <si>
    <t>Materiais</t>
  </si>
  <si>
    <t>Ferramental</t>
  </si>
  <si>
    <t>Subtotal (A+B+C)</t>
  </si>
  <si>
    <t>Módulo 6 - Custos Indiretos, Tributos e Lucro</t>
  </si>
  <si>
    <t>BDI</t>
  </si>
  <si>
    <t>BDI conforme cálculo do Anexo</t>
  </si>
  <si>
    <t>2. QUADRO-RESUMO DO CUSTO POR EMPREGADO</t>
  </si>
  <si>
    <t>Mão-de-obra vinculada à execução contratual (valor por empregado)</t>
  </si>
  <si>
    <t>(R$)</t>
  </si>
  <si>
    <t>Módulo 1 – Composição da Remuneração</t>
  </si>
  <si>
    <t>Subtotal (A + B +C+ D)</t>
  </si>
  <si>
    <t>Subtotal (E)</t>
  </si>
  <si>
    <t xml:space="preserve">Módulo 6 – Custos indiretos, tributos e lucro </t>
  </si>
  <si>
    <t>Subtotal (F)</t>
  </si>
  <si>
    <t>VALOR TOTAL POR EMPREGADO</t>
  </si>
  <si>
    <t>3. QUADRO DEMONSTRATIVO DO VALOR GLOBAL DA PROPOSTA</t>
  </si>
  <si>
    <t>Tipo de Serviço (A)</t>
  </si>
  <si>
    <t>Valor Proposto por Empregado (B)</t>
  </si>
  <si>
    <t>Qtde. de Postos (E)</t>
  </si>
  <si>
    <t>Valor Total do Serviço (F) = (DxE)</t>
  </si>
  <si>
    <t>Engenheiro Eletricista            CBO 2143-05</t>
  </si>
  <si>
    <t>4. QUADRO DEMONSTRATIVO DO VALOR GLOBAL DA PROPOSTA</t>
  </si>
  <si>
    <t>DESCRIÇÃO</t>
  </si>
  <si>
    <t>VALOR (R$)</t>
  </si>
  <si>
    <t>Valor proposto por unidade de medida *</t>
  </si>
  <si>
    <t>Valor mensal do serviço</t>
  </si>
  <si>
    <t>Valor global da proposta
(Valor mensal do serviço multiplicado por 12 (doze), número de meses do
contrato).</t>
  </si>
  <si>
    <t>NOTAS</t>
  </si>
  <si>
    <t xml:space="preserve"> 1/12meses = 0,0833 = 8,33%; Cotação de  8,33% sobre o valor do Módulo 1 - Composição da remuneração, conforme Anexo XII da IN 5/17</t>
  </si>
  <si>
    <t>B (B1 e B2)</t>
  </si>
  <si>
    <t>Cotação de Férias (B1) e Adicional de Férias (B2) do profissional titular, 
conforme item 14 do ANEXO XII da IN 5/17. 
Estamos tratando aqui das férias e 1/3 adicional de férias do empregado titular. Não confundir com a provisão do empregado substituto na cobertura de férias. Como a alíquota de 12,1% é obtida pela soma das férias de 9,09% (1/11 =0,090 = 9,09%)  e do adicional de férias de 3,025% ((1/3)/11 = 0,030 = 3,03%), sendo que o valor de férias ocorre somente no primeiro ano de contrato, assim, em caso de prorrogação contratual este quesito será reduzido a alíquota de 3,025%.</t>
  </si>
  <si>
    <t>Submódulo 2.1 - GPS, FGTS e outras contribuições</t>
  </si>
  <si>
    <t>INSS = 0%. Fundamentação: art. 22, inciso I da Lei nº 8.212/91.</t>
  </si>
  <si>
    <t>Salário Educação = 2,5%. Fundamentação: art. 3º, inciso I, do Decreto nº 87.043/82.</t>
  </si>
  <si>
    <t>SAT (RAT x FAP)= 1%, 2% ou 3% x FAP. Fundamentação: art. 22, inciso II, alíneas ‘b’ e ‘c’, da Lei nº 8.212/91. A definição de risco leve, médio ou grave, ficou a critério do Anexo V do Decreto nº 3048/99(link is external) que determina o grau de risco do estabelecimento de acordo com sua atividade (pelo CNAE(link is external)) preponderante (com maior número de empregados). CNAE 78.20-5-00(link is external) - Locação de mão-de-obra temporária = 3%</t>
  </si>
  <si>
    <t>SESC = 1,5%. Fundamentação: art. 30 da Lei nº 8.036/90 e art. 1º da Lei nº 8.154/90.</t>
  </si>
  <si>
    <t xml:space="preserve">SENAC = 1%. Fundamentação: Decreto-Lei nº 2.318/86 </t>
  </si>
  <si>
    <t>SEBRAE = 0,6%. Fundamentação: Lei nº 8.029/90, alterada pela Lei nº 8.154/90.</t>
  </si>
  <si>
    <t>INCRA = 0,2%. Fundamentação: art. 1º, inciso I, do Decreto-Lei nº 1.146/70.</t>
  </si>
  <si>
    <t>FGTS = 8%. Fundamentação: art. 15 da Lei nº 8.036/90 e art. 7º, inciso III, da Constituição Federal de 1988.</t>
  </si>
  <si>
    <t>Aviso prévio indenizado: Custa 30 (trinta) dias de trabalho. Ele é calculado considerando a probabilidade de acontecer mediante base estatística, normalmente pesquisando-se a RAIS para o serviço, entretanto essa estatística é oriunda de estudo do STF (fls. 187/199 – volume IV), que aponta 5,55% de empregados demitidos não trabalham durante o aviso prévio, citado no Acórdão TCU nº 1904/2007 Plenário(link is external). Fundamentação: art. 7º, inciso XXI, da Constituição Federal e art. 487 da CLT e Acórdão TCU nº 1904/2007 Plenário.
1 salário integral x (1 mês não trabalhado / 12 meses) x 5,55% estatística = 0,46%
Onde: 5,55% = percentual de empregados demitidos que não trabalham durante o aviso prévio, de acordo com estudo do STF (fls. 187/199 - volume IV)</t>
  </si>
  <si>
    <t>Incidência do FGTS sobre aviso prévio indenizado: Não existe contribuição previdenciária sobre verbas não salariais (indenizatórias). Portanto, tratando-se de aviso prévio indenizado, só restou a incidência do FGTS.
8% FGTS x 0,46% = 0,04%</t>
  </si>
  <si>
    <t>Acórdão 1904/07 TCU Plenário e Acórdão de Relação 522/2019 - TCU Plenário:
O item ‘Aviso-Prévio Indenizado’ (inciso XXI do art. 7º da Constituição Federal e art. 487 da CLT),  o empregado não trabalha por mais 30 dias e é instantaneamente desvinculado do empregador. Assim, o funcionário tem direito a receber uma indenização e a contratada tem de arcar com esse ônus. 
(Remuneração + 13º salário + Férias + Adicional de férias) x 50% multa x 8% Fgts x 0,9 =
(1 Remuneração + 0,0833 13º Salário + 0,0833 Férias + 0,0278 Adic.Férias) x 0,4 Multa x 0,08 FGTS x0,0555 = 1,94%
1,94% x 50% de ponderação = 0,11%
5,55% = percentual de empregados demitidos que não trabalham durante o aviso prévio, de acordo com estudo do STF (fls. 187/199 - volume IV)</t>
  </si>
  <si>
    <t>Aviso prévio trabalhado: Custa 7 (sete) dias de trabalho. O empregado recebe o salário integral e tem direito a 7 (sete) dias de licença para procurar emprego.  O que se provisiona aqui não é o valor dos 30 (trinta) dias do aviso prévio porque este já está dentro da remuneração normal contida na planilha, mas o valor do custo dos 7 (sete) dias que deverá ser coberto por outro empregado. Base de cálculo: Módulo 1 + Módulo 2 + 13º + Adicional de Férias. Fundamentação: art. 7º, inciso XXI, da Constituição Federal e parágrafo único do art. 488 da CLT.
Índice: [ (1 remuneração integral / 30 dias) x 7 dias] / 12 meses = 1,94%</t>
  </si>
  <si>
    <t>Total dos encargos do submódulo 2.2 multiplicado pelo custo de referência do Aviso Prévio Trabalhado composto por: Módulo 1 + Módulo 2 + 13º + Adicional de Férias.</t>
  </si>
  <si>
    <t>Corresponde ao valor da multa do FGTS indenizado (40%) + contribuição social s/FGTS (10%), que incide sobre a alíquota do FGTS (8%) aplicado sobre salário, férias e 13º salário.
O Anexo II da IN SEGES 5/2017 diz que deve ser retido 5% pra fins de multa do FGTS (trabalhado+indenizado) para a conta vinculada. Não se sabe a fórmula usada. 
Como a multa do FGTS voltou para 40% (foi retirado os 10% em janeiro/2020 que somava 50%) então, o COMPRASNET divulgou nota de que esse índice passou para 4%, mas novamente não divulgou a memória de cálculo (fórmula) e nem alteraram a IN ainda que manda reter 5%: https://www.comprasgovernamentais.gov.br/index.php/noticias/1238-extincao-contribuicao-social-sobre-o-fgts
Pois bem, o que se sabia era o seguinte, que segundo a pesquisa RAIS, o empregado permanece mais ou menos 3 anos no emprego, dependendo do serviço pesquisado. Então, ao longo de 60 meses (prazo máximo que o contrato pode ser prorrogado) metade dos empregados já receberam aviso-prévio indenizado, daí fazemos a provisão com essa ponderação de 50% como ensinado na planilha do Comprasnet. No manual do Comprasnet diz-se que 10% (dez porcento) dos empregados pedem demissão, portanto eles não tem direito à multa nem ao saque do FGTS e daí a fórmula da provisão deve recair sobre os 90% (0,9) que recebem.
(Remuneração + 13º salário + Férias + Adicional de férias) x 50% multa x 8% Fgts x 0,9 =
(1 Remuneração + 0,0833 13º Salário + 0,0833 Férias + 0,0278 Adic.Férias) x 0,4 Multa x 0,08 FGTS x0,9 = 3,44%
3,44% x 50% de ponderação = 1,72%</t>
  </si>
  <si>
    <t>4.1 - Substituto nas Ausências Legais</t>
  </si>
  <si>
    <t>1 salário x (1/12) = 0,0833 = 8,33%.  Todavia, observe que apenas no primeiro ano do contrato o empregado tem que trabalhar 12 meses pra gozar férias. 
Incidência de alíquota de 13,3% (treze vírgula três por cento) como encargo de férias, quando, em princípio, o correto seria 11,11% (onze vírgula onze por cento), correspondente a 8,33% (oito vírgula trinta e três por cento) mais 2,78% (dois vírgula setenta e oito por cento), considerando o afastamento de trinta dias a cada período de doze meses mais o abono de férias de um terço da remuneração (achado II.16);</t>
  </si>
  <si>
    <t>Faltas abonadas por lei, 2 dias em caso de morte do cônjuge, ascendente ou descendente; 1 dia para registro de nascimento de filho; 3 dias para casamento; 1 dia para doação de sangue; 2 dias para alistamento eleitoral; e 1 dia para exigências do serviço militar; entre outros. (1 dia/30 dias) x (1/12 meses) = 0,0028 = 0,28%. Fundamentação: art. 473 da CLT(link is external) e Acórdão TCU 6771/2009.</t>
  </si>
  <si>
    <t xml:space="preserve">Custo de ausência do trabalhador pelo período de cinco dias.
Criada pela CF, art. 7º inciso XIX, combinado com o art. 10, §1º, ADCT. De acordo com o IBGE, nascem filhos de 1,5% dos trabalhadores no período de um ano (Acórdão TCU n. 3.006/2001 – Plenário). Dessa forma a provisão para este item corresponde a: 
Cálculo: ((5/30) /12) x 0,015 x 100  = 0,02%   </t>
  </si>
  <si>
    <t xml:space="preserve">O Regulamento Geral da Previdência obriga o empregador a assumir o ônus financeiro pelo prazo de 15 dias no caso de acidente de trabalho previsto no art. 131 da CLT. De acordo com os números mais recentes apresentados pelo Ministério da Previdência de Assistência Social, baseados em informações prestadas pelos
empregadores, por meio da GFIP, 0,78% dos empregados se acidentam no ano. Assim a
provisão corresponde a:
Calculo:  ((15/30)/12) x 0,0078 x 100 = 0,03%.  </t>
  </si>
  <si>
    <t xml:space="preserve">Afastamento de 120 dias sem prejuízo da remuneração. Criada pelo art. 7º, inciso XVIII, da CF. Regulado pela Lei n. 8.213/1991, art. 72. O salário é custeado pelo Instituto Nacional de Seguridade Social‐INSS. Cabe à empresa a Contribuição Patronal, o FGTS e as provisões relativas a 13º Salário. A Lei n. 11.770/2008 preconiza a prorrogação por 60 dias. Nesse caso, a empresa paga o salário‐maternidade e compensa no pagamento do Imposto de Renda, não sendo necessário o desembolso pelo órgão. (Estudo CNJ – Resolução 098/2009).
De acordo com dados estatísticos do IBGE, a taxa de natalidade brasileira é de 1,44%. Estima‐se que 10% das empregadas engravidam em cada ano de execução contratual. Considerando‐se o custo de encargos como sendo 45,09% da remuneração (CPP 20,00% + SAT 4,00% + 13º Salário 9,09% + FGTS 8,00% + Multa Rescisória 4,00%) e que a licença‐maternidade dure 6 meses, a provisão para este item corresponde a:  
Cálculo: (0,0144 x 0,1 x 0,4509 x 6/12) = 0,03%.  </t>
  </si>
  <si>
    <t xml:space="preserve">Aplica‐se o percentual (%) do submódulo 2.2 – Encargos previdenciários e FGTS sobre o valor encontrado para o Custo de Reposição do Profissional Ausente.
</t>
  </si>
  <si>
    <r>
      <rPr>
        <rFont val="Calibri, Arial"/>
        <color theme="1"/>
        <sz val="8.0"/>
      </rPr>
      <t xml:space="preserve">SERVIÇO PÚBLICO FEDERAL
</t>
    </r>
    <r>
      <rPr>
        <rFont val="Calibri, Arial"/>
        <b/>
        <color theme="1"/>
        <sz val="8.0"/>
      </rPr>
      <t>MJSP - POLÍCIA FEDERAL</t>
    </r>
    <r>
      <rPr>
        <rFont val="Calibri, Arial"/>
        <color theme="1"/>
        <sz val="8.0"/>
      </rPr>
      <t xml:space="preserve">
                         GRUPO TÉCNICO DE EDIFICAÇÕES       GTED/SR/PF/PR</t>
    </r>
  </si>
  <si>
    <t>2 - EQUIPE RESIDENTE - PLANILHA DE CUSTOS</t>
  </si>
  <si>
    <t>OFICIAL DE MANUTENÇÃO ELETRICISTA - SR/PF/PR</t>
  </si>
  <si>
    <t>OFICIAL DE MANUTENÇÃO PEDREIRO - SR/PF/PR</t>
  </si>
  <si>
    <t>SERVENTE - SR/PF/PR</t>
  </si>
  <si>
    <t>OFICIAL DE MANUTENÇÃO - MECÂNICO DE REFRIGERAÇÃO - SR/PF/PR</t>
  </si>
  <si>
    <r>
      <rPr>
        <rFont val="Calibri, Arial"/>
        <color rgb="FF000000"/>
        <sz val="9.0"/>
      </rPr>
      <t>Pregão Eletrônico nº</t>
    </r>
    <r>
      <rPr>
        <rFont val="Calibri"/>
        <color rgb="FF000000"/>
        <sz val="9.0"/>
      </rPr>
      <t xml:space="preserve">  </t>
    </r>
  </si>
  <si>
    <r>
      <rPr>
        <rFont val="Calibri, Arial"/>
        <color rgb="FF000000"/>
        <sz val="9.0"/>
      </rPr>
      <t>Pregão Eletrônico nº</t>
    </r>
    <r>
      <rPr>
        <rFont val="Calibri"/>
        <color rgb="FF000000"/>
        <sz val="9.0"/>
      </rPr>
      <t xml:space="preserve">  </t>
    </r>
  </si>
  <si>
    <r>
      <rPr>
        <rFont val="Calibri, Arial"/>
        <color rgb="FF000000"/>
        <sz val="9.0"/>
      </rPr>
      <t>Pregão Eletrônico nº</t>
    </r>
    <r>
      <rPr>
        <rFont val="Calibri"/>
        <color rgb="FF000000"/>
        <sz val="9.0"/>
      </rPr>
      <t xml:space="preserve">  </t>
    </r>
  </si>
  <si>
    <r>
      <rPr>
        <rFont val="Calibri, Arial"/>
        <color rgb="FF000000"/>
        <sz val="9.0"/>
      </rPr>
      <t>Pregão Eletrônico nº</t>
    </r>
    <r>
      <rPr>
        <rFont val="Calibri"/>
        <color rgb="FF000000"/>
        <sz val="9.0"/>
      </rPr>
      <t xml:space="preserve">  </t>
    </r>
  </si>
  <si>
    <r>
      <rPr>
        <rFont val="Calibri, Arial"/>
        <color rgb="FF000000"/>
        <sz val="9.0"/>
      </rPr>
      <t>N</t>
    </r>
    <r>
      <rPr>
        <rFont val="Calibri"/>
        <strike/>
        <color rgb="FF000000"/>
        <sz val="9.0"/>
      </rPr>
      <t>º</t>
    </r>
    <r>
      <rPr>
        <rFont val="Calibri"/>
        <color rgb="FF000000"/>
        <sz val="9.0"/>
      </rPr>
      <t xml:space="preserve"> de meses de execução contratual</t>
    </r>
  </si>
  <si>
    <r>
      <rPr>
        <rFont val="Calibri, Arial"/>
        <color rgb="FF000000"/>
        <sz val="9.0"/>
      </rPr>
      <t>N</t>
    </r>
    <r>
      <rPr>
        <rFont val="Calibri"/>
        <strike/>
        <color rgb="FF000000"/>
        <sz val="9.0"/>
      </rPr>
      <t>º</t>
    </r>
    <r>
      <rPr>
        <rFont val="Calibri"/>
        <color rgb="FF000000"/>
        <sz val="9.0"/>
      </rPr>
      <t xml:space="preserve"> de meses de execução contratual</t>
    </r>
  </si>
  <si>
    <r>
      <rPr>
        <rFont val="Calibri, Arial"/>
        <color rgb="FF000000"/>
        <sz val="9.0"/>
      </rPr>
      <t>N</t>
    </r>
    <r>
      <rPr>
        <rFont val="Calibri"/>
        <strike/>
        <color rgb="FF000000"/>
        <sz val="9.0"/>
      </rPr>
      <t>º</t>
    </r>
    <r>
      <rPr>
        <rFont val="Calibri"/>
        <color rgb="FF000000"/>
        <sz val="9.0"/>
      </rPr>
      <t xml:space="preserve"> de meses de execução contratual</t>
    </r>
  </si>
  <si>
    <r>
      <rPr>
        <rFont val="Calibri, Arial"/>
        <color rgb="FF000000"/>
        <sz val="9.0"/>
      </rPr>
      <t>N</t>
    </r>
    <r>
      <rPr>
        <rFont val="Calibri"/>
        <strike/>
        <color rgb="FF000000"/>
        <sz val="9.0"/>
      </rPr>
      <t>º</t>
    </r>
    <r>
      <rPr>
        <rFont val="Calibri"/>
        <color rgb="FF000000"/>
        <sz val="9.0"/>
      </rPr>
      <t xml:space="preserve"> de meses de execução contratual</t>
    </r>
  </si>
  <si>
    <t>Oficial de Manutenção - Profissional Eletricista</t>
  </si>
  <si>
    <t>Oficial de Manutenção - Profisional Pedreiro</t>
  </si>
  <si>
    <t>Auxiliar de Manutenção - Servente</t>
  </si>
  <si>
    <t>Oficial de Manutenção - Mecânico de Refrigeração</t>
  </si>
  <si>
    <r>
      <rPr>
        <rFont val="Calibri, Arial"/>
        <b/>
        <color rgb="FF000000"/>
        <sz val="9.0"/>
      </rPr>
      <t>Mão-de-obra vinculada à execução contratual</t>
    </r>
    <r>
      <rPr>
        <rFont val="Calibri"/>
        <b val="0"/>
        <color rgb="FF000000"/>
        <sz val="9.0"/>
      </rPr>
      <t xml:space="preserve"> </t>
    </r>
  </si>
  <si>
    <r>
      <rPr>
        <rFont val="Calibri, Arial"/>
        <b/>
        <color rgb="FF000000"/>
        <sz val="9.0"/>
      </rPr>
      <t>Mão-de-obra vinculada à execução contratual</t>
    </r>
    <r>
      <rPr>
        <rFont val="Calibri"/>
        <b val="0"/>
        <color rgb="FF000000"/>
        <sz val="9.0"/>
      </rPr>
      <t xml:space="preserve"> </t>
    </r>
  </si>
  <si>
    <r>
      <rPr>
        <rFont val="Calibri, Arial"/>
        <b/>
        <color rgb="FF000000"/>
        <sz val="9.0"/>
      </rPr>
      <t>Mão-de-obra vinculada à execução contratual</t>
    </r>
    <r>
      <rPr>
        <rFont val="Calibri"/>
        <b val="0"/>
        <color rgb="FF000000"/>
        <sz val="9.0"/>
      </rPr>
      <t xml:space="preserve"> </t>
    </r>
  </si>
  <si>
    <r>
      <rPr>
        <rFont val="Calibri, Arial"/>
        <b/>
        <color rgb="FF000000"/>
        <sz val="9.0"/>
      </rPr>
      <t>Mão-de-obra vinculada à execução contratual</t>
    </r>
    <r>
      <rPr>
        <rFont val="Calibri"/>
        <b val="0"/>
        <color rgb="FF000000"/>
        <sz val="9.0"/>
      </rPr>
      <t xml:space="preserve"> </t>
    </r>
  </si>
  <si>
    <t>7156-10</t>
  </si>
  <si>
    <t>7241-10</t>
  </si>
  <si>
    <t>7152-10</t>
  </si>
  <si>
    <t>9112-05</t>
  </si>
  <si>
    <t>PROFISSIONAL ELETRICISTA</t>
  </si>
  <si>
    <t>PROFISSIONAL PEDREIRO</t>
  </si>
  <si>
    <t>SERVENTE</t>
  </si>
  <si>
    <t>MECÂNICO DE REFRIGERAÇÃO</t>
  </si>
  <si>
    <t>a. Composição da Remuneração</t>
  </si>
  <si>
    <t>Salário Base (jornada de 44 horas por semana, de segunda-feira à sexta-feira)</t>
  </si>
  <si>
    <t>Transporte (  - desc.6% s/sal.)</t>
  </si>
  <si>
    <t xml:space="preserve"> Auxílio Refeição/Alimentação</t>
  </si>
  <si>
    <t>Multa do FGTS do aviso prévio indenizado</t>
  </si>
  <si>
    <t>Uniformes</t>
  </si>
  <si>
    <t>BDI conforme cálculo do Anexo XVI- Composição do BDI</t>
  </si>
  <si>
    <t>Oficial Eletricista CBO 7156-10</t>
  </si>
  <si>
    <t>Oficial Encanador      CBO 7241-10</t>
  </si>
  <si>
    <t>Oficial Pedreiro     CBO 7152-10</t>
  </si>
  <si>
    <t>Mecânico de Refrigeração      CBO 9112-05</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</si>
  <si>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</si>
  <si>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3 - SERVIÇOS ESPECIALIZADOS/ROTINAS - SINTÉTICA</t>
  </si>
  <si>
    <t xml:space="preserve">BDI para Mão de Obra </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</si>
  <si>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</si>
  <si>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7 - COMPOSIÇÃO DE BDIS SERVIÇOS - MÃO DE OBRA SR/PF/PR, DPF/PNG/PR, DPF/PGZ/PR, DPF/GPB/PR, DPF/LDA/PR E DPF/MGA/PR</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</si>
  <si>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</si>
  <si>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</si>
  <si>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t>Desonerado: NÃO</t>
  </si>
  <si>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</si>
  <si>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CURITIBA/PR</t>
    </r>
  </si>
  <si>
    <t>Composição do BDI sugerida</t>
  </si>
  <si>
    <t>Intervalos admissíveis sem justificativa</t>
  </si>
  <si>
    <t>Composição de BDI Adotada</t>
  </si>
  <si>
    <t>BDI Proposto</t>
  </si>
  <si>
    <t>1º Quartil</t>
  </si>
  <si>
    <t>Médio</t>
  </si>
  <si>
    <t>3º Quartil</t>
  </si>
  <si>
    <t>Garantia + Seguro (G+S)</t>
  </si>
  <si>
    <t>BDI=((1+AC+R+GS)x(1+Df)x(1+L))/(1-I)</t>
  </si>
  <si>
    <t>Risco (R)</t>
  </si>
  <si>
    <t>Despesas financeiras (Df)</t>
  </si>
  <si>
    <t>Limites = 20,34% a 25,00% (não desonerado)</t>
  </si>
  <si>
    <t>Administração Central (Ac)</t>
  </si>
  <si>
    <t>Observações:</t>
  </si>
  <si>
    <t>Lucro (L)</t>
  </si>
  <si>
    <t>i) Composição do BDI, intervalos admissíveis e fórmula de cálculo nos termos do Acórdão 2622/2013 do TCU. Foi considerado, por similaridade, o item construção de edifícios.</t>
  </si>
  <si>
    <t>Impostos( I)</t>
  </si>
  <si>
    <t>Não aplicável</t>
  </si>
  <si>
    <t>Impostos (I)</t>
  </si>
  <si>
    <t>PIS</t>
  </si>
  <si>
    <t>COFINS</t>
  </si>
  <si>
    <t>ISS</t>
  </si>
  <si>
    <t>ii) Tributos adotados = PIS+COFINS+ISS</t>
  </si>
  <si>
    <t>CPRB - Lei 12.546/11</t>
  </si>
  <si>
    <t xml:space="preserve">Declaro par os devidos fins que o regime de Contribuição Previdenciária sobre a Receita Bruta adotado para elaboração do orçamento foi COM Desoneração. </t>
  </si>
  <si>
    <t>A empresa licitante deverá apresentar o BDI de acordo com seu regime de tributação e classificação.</t>
  </si>
  <si>
    <t>ISS serviço de Manutenção predial - 5%, conforme inciso IV, Art. 4º, Lei Complementar n° 40/2001.</t>
  </si>
  <si>
    <t>BDI para item 2 - Postos de Trabalho SR/PF/PR</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</si>
  <si>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</si>
  <si>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</si>
  <si>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</si>
  <si>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CURITIBA/PR</t>
    </r>
  </si>
  <si>
    <t>BDI para Item 1 - Supervisão Técnica</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</si>
  <si>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</si>
  <si>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</si>
  <si>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</si>
  <si>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CURITIBA/PR</t>
    </r>
  </si>
  <si>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</si>
  <si>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</si>
  <si>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t>Empreendimento: MANUTENÇÃO PREDIAL DA SUPERINTENDÊNCIA REGIONAL DA POLÍCIA FEDERAL NO ESTADO DO PARANÁ SR/PF/PR, BEM COMO NAS SUAS UNIDADES SUBORDINADAS DPF/PNG/PR, DPF/PGZ/PR, DPF/GPB/PR, DPF/LDA/PR E DPF/MGA/PR</t>
  </si>
  <si>
    <r>
      <rPr>
        <rFont val="Calibri"/>
        <color theme="1"/>
        <sz val="12.0"/>
      </rPr>
      <t xml:space="preserve">Município Aplicável: </t>
    </r>
    <r>
      <rPr>
        <rFont val="Calibri"/>
        <b/>
        <color theme="1"/>
        <sz val="12.0"/>
      </rPr>
      <t>MARINGÁ/PR</t>
    </r>
  </si>
  <si>
    <t>ISS serviço de Manutenção predial - 3%, conforme item 7.05 do anexo I da Lei Complementar n° 677/2007.</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</si>
  <si>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</si>
  <si>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</si>
  <si>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</si>
  <si>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LONDRINA/PR</t>
    </r>
  </si>
  <si>
    <t>ISS serviço de Manutenção predial - 3%, conforme item 7.05 da tabela I do anexo A da Lei 7.303/97-CTML</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</si>
  <si>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</si>
  <si>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</si>
  <si>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</si>
  <si>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PONTA GROSSA/PR</t>
    </r>
  </si>
  <si>
    <t>ISS serviço de Manutenção predial - 5%, conforme item 15 da tabela I da Lei 6857/01</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</si>
  <si>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</si>
  <si>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</si>
  <si>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</si>
  <si>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GUARAPUAVA/PR</t>
    </r>
  </si>
  <si>
    <t xml:space="preserve">ISS serviço de Manutenção predial - 5%, conforme § 4º do Art. 11 da Lei Complementar Nº 17/2006. </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</si>
  <si>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</si>
  <si>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</si>
  <si>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</si>
  <si>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2.0"/>
      </rPr>
      <t xml:space="preserve">Município Aplicável: </t>
    </r>
    <r>
      <rPr>
        <rFont val="Calibri"/>
        <b/>
        <color theme="1"/>
        <sz val="12.0"/>
      </rPr>
      <t>PARANAGUÁ/PR</t>
    </r>
  </si>
  <si>
    <t>ISS serviço de Manutenção predial - 4%, conforme item 7.05 da tabel anexo I da Lei Complementar n° 147/12.</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</si>
  <si>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</si>
  <si>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8. COMPOSIÇÃO DE BDI - FORNECIMENTO DE MATERIAIS - SR/PF/PR, DPF/PNG/PR, DPF/PGZ/PR, DPF/GPB/PR, DPF/LDA/PR E DPF/MGA/PR</t>
  </si>
  <si>
    <r>
      <rPr>
        <rFont val="Calibri"/>
        <color theme="1"/>
        <sz val="9.0"/>
      </rPr>
      <t xml:space="preserve">Proponente: </t>
    </r>
    <r>
      <rPr>
        <rFont val="Calibri"/>
        <b/>
        <color theme="1"/>
        <sz val="9.0"/>
      </rPr>
      <t>SUPERINTENDÊNCIA REGIONAL DE POLÍCIA FEDERAL NO ESTADO DO PARANÁ</t>
    </r>
  </si>
  <si>
    <r>
      <rPr>
        <rFont val="Calibri"/>
        <color theme="1"/>
        <sz val="9.0"/>
      </rPr>
      <t xml:space="preserve">Tipo de Obra: </t>
    </r>
    <r>
      <rPr>
        <rFont val="Calibri"/>
        <b/>
        <color theme="1"/>
        <sz val="9.0"/>
      </rPr>
      <t>MANUTENÇÃO PREDIAL</t>
    </r>
  </si>
  <si>
    <r>
      <rPr>
        <rFont val="Calibri"/>
        <color theme="1"/>
        <sz val="9.0"/>
      </rPr>
      <t xml:space="preserve">Desonerado: </t>
    </r>
    <r>
      <rPr>
        <rFont val="Calibri"/>
        <b/>
        <color theme="1"/>
        <sz val="9.0"/>
      </rPr>
      <t>SIM</t>
    </r>
  </si>
  <si>
    <r>
      <rPr>
        <rFont val="Calibri"/>
        <color theme="1"/>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</si>
  <si>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
        <color theme="1"/>
        <sz val="11.0"/>
      </rPr>
      <t xml:space="preserve">Município Aplicável: </t>
    </r>
    <r>
      <rPr>
        <rFont val="Calibri"/>
        <b/>
        <color theme="1"/>
        <sz val="11.0"/>
      </rPr>
      <t>CURTIBA/PR, MARINGÁ/PR, LONDRINA/PR, PONTRA GROSSA/PR, PARANAGUÁ/PR e  GUARAPUAVA/PR</t>
    </r>
  </si>
  <si>
    <t>Limites = 11,10% a 16,80%</t>
  </si>
  <si>
    <t>BDI para Item 3 - Rotinas Serviços Especializados</t>
  </si>
  <si>
    <r>
      <rPr>
        <rFont val="Calibri,Arial"/>
        <color rgb="FF000000"/>
        <sz val="9.0"/>
      </rPr>
      <t xml:space="preserve">Proponente: </t>
    </r>
    <r>
      <rPr>
        <rFont val="Calibri"/>
        <b/>
        <color theme="1"/>
        <sz val="9.0"/>
      </rPr>
      <t>SUPERINTENDÊNCIA REGIONAL DE POLÍCIA FEDERAL NO ESTADO DO PARANÁ</t>
    </r>
  </si>
  <si>
    <r>
      <rPr>
        <rFont val="Calibri,Arial"/>
        <color rgb="FF000000"/>
        <sz val="9.0"/>
      </rPr>
      <t xml:space="preserve">Tipo de Obra: </t>
    </r>
    <r>
      <rPr>
        <rFont val="Calibri"/>
        <b/>
        <color theme="1"/>
        <sz val="9.0"/>
      </rPr>
      <t>MANUTENÇÃO PREDIAL</t>
    </r>
  </si>
  <si>
    <r>
      <rPr>
        <rFont val="Calibri,Arial"/>
        <color rgb="FF000000"/>
        <sz val="9.0"/>
      </rPr>
      <t xml:space="preserve">Desonerado: </t>
    </r>
    <r>
      <rPr>
        <rFont val="Calibri"/>
        <b/>
        <color theme="1"/>
        <sz val="9.0"/>
      </rPr>
      <t>SIM</t>
    </r>
  </si>
  <si>
    <r>
      <rPr>
        <rFont val="Calibri,Arial"/>
        <color rgb="FF000000"/>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</si>
  <si>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Arial"/>
        <color rgb="FF000000"/>
        <sz val="11.0"/>
      </rPr>
      <t xml:space="preserve">Município Aplicável: </t>
    </r>
    <r>
      <rPr>
        <rFont val="Calibri,Arial"/>
        <b/>
        <color rgb="FF000000"/>
        <sz val="11.0"/>
      </rPr>
      <t>CURTIBA/PR, MARINGÁ/PR, LONDRINA/PR, PONTRA GROSSA/PR, PARANAGUÁ/PR e  GUARAPUAVA/PR</t>
    </r>
  </si>
  <si>
    <r>
      <rPr>
        <rFont val="Calibri,Arial"/>
        <color rgb="FF000000"/>
        <sz val="9.0"/>
      </rPr>
      <t xml:space="preserve">Proponente: </t>
    </r>
    <r>
      <rPr>
        <rFont val="Calibri"/>
        <b/>
        <color theme="1"/>
        <sz val="9.0"/>
      </rPr>
      <t>SUPERINTENDÊNCIA REGIONAL DE POLÍCIA FEDERAL NO ESTADO DO PARANÁ</t>
    </r>
  </si>
  <si>
    <r>
      <rPr>
        <rFont val="Calibri,Arial"/>
        <color rgb="FF000000"/>
        <sz val="9.0"/>
      </rPr>
      <t xml:space="preserve">Tipo de Obra: </t>
    </r>
    <r>
      <rPr>
        <rFont val="Calibri"/>
        <b/>
        <color theme="1"/>
        <sz val="9.0"/>
      </rPr>
      <t>MANUTENÇÃO PREDIAL</t>
    </r>
  </si>
  <si>
    <r>
      <rPr>
        <rFont val="Calibri,Arial"/>
        <color rgb="FF000000"/>
        <sz val="9.0"/>
      </rPr>
      <t xml:space="preserve">Desonerado: </t>
    </r>
    <r>
      <rPr>
        <rFont val="Calibri"/>
        <b/>
        <color theme="1"/>
        <sz val="9.0"/>
      </rPr>
      <t>SIM</t>
    </r>
  </si>
  <si>
    <r>
      <rPr>
        <rFont val="Calibri,Arial"/>
        <color rgb="FF000000"/>
        <sz val="9.0"/>
      </rPr>
      <t xml:space="preserve">Empreendimento: </t>
    </r>
    <r>
      <rPr>
        <rFont val="Calibri"/>
        <b/>
        <color theme="1"/>
        <sz val="9.0"/>
      </rPr>
      <t>MANUTENÇÃO PREDIAL DA SUPERINTENDÊNCIA REGIONAL DA POLÍCIA FEDERAL NO ESTADO DO PARANÁ SR/PF/PR, BEM COMO NAS SUAS UNIDADES SUBORDINADAS DPF/PNG/PR, DPF/PGZ/PR, DPF/GPB/PR, DPF/LDA/PR E DPF/MGA/PR</t>
    </r>
  </si>
  <si>
    <r>
      <rPr>
        <rFont val="Calibri,Arial"/>
        <color rgb="FF000000"/>
        <sz val="11.0"/>
      </rPr>
      <t xml:space="preserve">Município Aplicável: </t>
    </r>
    <r>
      <rPr>
        <rFont val="Calibri,Arial"/>
        <b/>
        <color rgb="FF000000"/>
        <sz val="11.0"/>
      </rPr>
      <t>CURTIBA/PR</t>
    </r>
  </si>
  <si>
    <t>BDI para Item 2 - Postos de Trabalho</t>
  </si>
  <si>
    <r>
      <rPr>
        <rFont val="Calibri,Arial"/>
        <color rgb="FF000000"/>
        <sz val="9.0"/>
      </rPr>
      <t xml:space="preserve">Proponente: </t>
    </r>
    <r>
      <rPr>
        <rFont val="Calibri"/>
        <b/>
        <color theme="1"/>
        <sz val="9.0"/>
      </rPr>
      <t>SUPERINTENDÊNCIA REGIONAL DE POLÍCIA FEDERAL NO ESTADO DO PARANÁ</t>
    </r>
  </si>
  <si>
    <r>
      <rPr>
        <rFont val="Calibri,Arial"/>
        <color rgb="FF000000"/>
        <sz val="9.0"/>
      </rPr>
      <t xml:space="preserve">Tipo de Obra: </t>
    </r>
    <r>
      <rPr>
        <rFont val="Calibri"/>
        <b/>
        <color theme="1"/>
        <sz val="9.0"/>
      </rPr>
      <t>MANUTENÇÃO PREDIAL</t>
    </r>
  </si>
  <si>
    <r>
      <rPr>
        <rFont val="Calibri,Arial"/>
        <color rgb="FF000000"/>
        <sz val="9.0"/>
      </rPr>
      <t xml:space="preserve">Desonerado: </t>
    </r>
    <r>
      <rPr>
        <rFont val="Calibri"/>
        <b/>
        <color theme="1"/>
        <sz val="9.0"/>
      </rPr>
      <t>SIM</t>
    </r>
  </si>
  <si>
    <r>
      <rPr>
        <rFont val="Calibri,Arial"/>
        <color rgb="FF000000"/>
        <sz val="9.0"/>
      </rPr>
      <t xml:space="preserve">Empreendimento: </t>
    </r>
    <r>
      <rPr>
        <rFont val="Calibri,Arial"/>
        <b/>
        <color rgb="FF000000"/>
        <sz val="9.0"/>
      </rPr>
      <t>MANUTENÇÃO PREDIAL DA SUPERINTENDÊNCIA REGIONAL DA POLÍCIA FEDERAL NO ESTADO DO PARANÁ SR/PF/PR, BEM COMO NAS SUAS UNIDADES SUBORDINADAS DPF/PNG/PR, DPF/PGZ/PR, DPF/GPB/PR, DPF/LDA/PR E DPF/MGA/PR</t>
    </r>
  </si>
  <si>
    <r>
      <rPr>
        <rFont val="Calibri,Arial"/>
        <color rgb="FF000000"/>
        <sz val="11.0"/>
      </rPr>
      <t xml:space="preserve">Município Aplicável: </t>
    </r>
    <r>
      <rPr>
        <rFont val="Calibri,Arial"/>
        <b/>
        <color rgb="FF000000"/>
        <sz val="11.0"/>
      </rPr>
      <t>CURITIBA/PR</t>
    </r>
  </si>
  <si>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</si>
  <si>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4 - SERVIÇOS ESPECIALIZADOS/SOB DEMANDA - SINTÉTICA</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</si>
  <si>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</si>
  <si>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5 - SERVIÇOS GERAIS DE MANUTENÇÃO/SOB DEMANDA</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</si>
  <si>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</si>
  <si>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6 - PEÇAS E MATERIAIS/SOB DEMANDA - EXECUÇÃO DE SERVIÇOS PELA EQUIPE RESIDENTE</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</si>
  <si>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</si>
  <si>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9. ESTIMATIVAS SEGURO E VALE ALIMENTAÇÃO - MANUTENÇÃO PREDIAL SR/PF/PR, DPF/PNG/PR, DPF/PGZ/PR, DPF/GPB/PR, DPF/LDA/PR E DPF/MGA/PR</t>
  </si>
  <si>
    <t>Obra</t>
  </si>
  <si>
    <t>TR Manutenção Predial - Planilha de Custo e Formação de Preços - Todas Unidades</t>
  </si>
  <si>
    <t>SINAPI - 06/2023 - Paraná</t>
  </si>
  <si>
    <t>CÓDIGO</t>
  </si>
  <si>
    <t>REFERÊNCIA</t>
  </si>
  <si>
    <t>TABELA</t>
  </si>
  <si>
    <t>Unidade</t>
  </si>
  <si>
    <t>Valor Mensal</t>
  </si>
  <si>
    <t>OBSERVAR COPARTICIPAÇÃO DE 50% PARA AMBAS AS PARTES</t>
  </si>
  <si>
    <t>CCT 2022/2024 SINTRACON</t>
  </si>
  <si>
    <t>SINTRACON</t>
  </si>
  <si>
    <t>VALE ALIMENTAÇÃO</t>
  </si>
  <si>
    <t>https://www.sintraconcuritiba.org.br/files/1169/CCT%20Constru%C3%A7%C3%A3o%20Civil%202022_2024.pdf</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</si>
  <si>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</si>
  <si>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Composições Unitárias</t>
  </si>
  <si>
    <t>PRÓPRIO</t>
  </si>
  <si>
    <t>FORNECIMENTO E INSTALAÇÃO DE TUBULAÇÃO EM COBRE P/ INTERLIGAÇÃO DO CONDENSADOR AO EVAPORADOR, INCLUSIVE ISOLAMENTO, ALIMENTAÇÃO ELÉTRICA, CONEXÕES E FIXAÇÕES, P/ CONDICIONADORES DE AR SPLIT SYSTEM ATÉ 9.000 BTUS.</t>
  </si>
  <si>
    <t>M</t>
  </si>
  <si>
    <t>Fonte</t>
  </si>
  <si>
    <t>Und.</t>
  </si>
  <si>
    <t>Valor Unit.
M.O</t>
  </si>
  <si>
    <t>Valor Unit.
Mat. + Equip + Serv. Terc.+ Outros</t>
  </si>
  <si>
    <t>Coef.</t>
  </si>
  <si>
    <t>Valor Total
M.O.</t>
  </si>
  <si>
    <t>Valor Total
Mat. + Equip + Serv. Terc.+ Outros</t>
  </si>
  <si>
    <t>MAN_COT.001</t>
  </si>
  <si>
    <t>MAN_COT.014</t>
  </si>
  <si>
    <t>MAN_COT.003</t>
  </si>
  <si>
    <t>MAN_COT.004</t>
  </si>
  <si>
    <t>CONFORME COMPOSIÇÃO ORSE 7289. HORAS DE M.O. CONFORME COMP. SINAPI 97327 E 97328.</t>
  </si>
  <si>
    <t>FORNECIMENTO E INSTALAÇÃO DE TUBULAÇÃO EM COBRE P/ INTERLIGAÇÃO DO CONDENSADOR AO EVAPORADOR, INCLUSIVE ISOLAMENTO, ALIMENTAÇÃO ELÉTRICA, CONEXÕES E FIXAÇÕES, P/ CONDICIONADORES DE AR SPLIT SYSTEM ACIMA DE 9.000 BTUS ATÉ 12.000 BTUS.</t>
  </si>
  <si>
    <r>
      <rPr>
        <rFont val="Calibri,Arial"/>
        <b val="0"/>
        <color rgb="FF000000"/>
        <sz val="9.0"/>
      </rPr>
      <t>CONFORME COMPOSIÇÃO ORSE 7289</t>
    </r>
    <r>
      <rPr>
        <rFont val="Calibri,Arial"/>
        <b/>
        <color rgb="FF000000"/>
        <sz val="9.0"/>
      </rPr>
      <t xml:space="preserve">. </t>
    </r>
    <r>
      <rPr>
        <rFont val="Calibri,Arial"/>
        <b val="0"/>
        <color rgb="FF000000"/>
        <sz val="9.0"/>
      </rPr>
      <t>HORAS DE M.O. CONFORME COMP. SINAPI 97327 E 97329.</t>
    </r>
  </si>
  <si>
    <t>FORNECIMENTO E INSTALAÇÃO DE TUBULAÇÃO EM COBRE P/ INTERLIGAÇÃO DO CONDENSADOR AO EVAPORADOR, INCLUSIVE ISOLAMENTO, ALIMENTAÇÃO ELÉTRICA, CONEXÕES E FIXAÇÕES, P/ CONDICIONADORES DE AR SPLIT SYSTEM ACIMA DE 12.000 BTUS ATÉ 18.000 BTUS.</t>
  </si>
  <si>
    <r>
      <rPr>
        <rFont val="Calibri,Arial"/>
        <b val="0"/>
        <color rgb="FF000000"/>
        <sz val="9.0"/>
      </rPr>
      <t>CONFORME COMPOSIÇÃO ORSE 7289</t>
    </r>
    <r>
      <rPr>
        <rFont val="Calibri,Arial"/>
        <b/>
        <color rgb="FF000000"/>
        <sz val="9.0"/>
      </rPr>
      <t xml:space="preserve">. </t>
    </r>
    <r>
      <rPr>
        <rFont val="Calibri,Arial"/>
        <b val="0"/>
        <color rgb="FF000000"/>
        <sz val="9.0"/>
      </rPr>
      <t>HORAS DE M.O. CONFORME COMP. SINAPI 97327 E 97330.</t>
    </r>
  </si>
  <si>
    <t>FORNECIMENTO E INSTALAÇÃO DE TUBULAÇÃO EM COBRE P/ INTERLIGAÇÃO DO CONDENSADOR AO EVAPORADOR, INCLUSIVE ISOLAMENTO, ALIMENTAÇÃO ELÉTRICA, CONEXÕES E FIXAÇÕES, P/ CONDICIONADORES DE AR SPLIT SYSTEM DE ACIMA DE 18.000 BTUS ATÉ 24.000 BTUS.</t>
  </si>
  <si>
    <r>
      <rPr>
        <rFont val="Calibri"/>
        <b val="0"/>
        <color theme="1"/>
        <sz val="9.0"/>
      </rPr>
      <t>CONFORME COMPOSIÇÃO ORSE 7289</t>
    </r>
    <r>
      <rPr>
        <rFont val="Calibri"/>
        <b/>
        <color theme="1"/>
        <sz val="9.0"/>
      </rPr>
      <t xml:space="preserve">. </t>
    </r>
    <r>
      <rPr>
        <rFont val="Calibri"/>
        <b val="0"/>
        <color theme="1"/>
        <sz val="9.0"/>
      </rPr>
      <t>HORAS DE M.O. CONFORME COMP. SINAPI 97327 E 97330.</t>
    </r>
  </si>
  <si>
    <t>FORNECIMENTO E INSTALAÇÃO DE TUBULAÇÃO EM COBRE P/ INTERLIGAÇÃO DO CONDENSADOR AO EVAPORADOR, INCLUSIVE ISOLAMENTO, ALIMENTAÇÃO ELÉTRICA, CONEXÕES E FIXAÇÕES, P/ CONDICIONADORES DE AR SPLIT SYSTEM ACIMA DE 24.000 BTUS ATÉ 36.000 BTUS.</t>
  </si>
  <si>
    <r>
      <rPr>
        <rFont val="Calibri,Arial"/>
        <b val="0"/>
        <color rgb="FF000000"/>
        <sz val="9.0"/>
      </rPr>
      <t>CONFORME COMPOSIÇÃO ORSE 7289</t>
    </r>
    <r>
      <rPr>
        <rFont val="Calibri,Arial"/>
        <b/>
        <color rgb="FF000000"/>
        <sz val="9.0"/>
      </rPr>
      <t xml:space="preserve">. </t>
    </r>
    <r>
      <rPr>
        <rFont val="Calibri,Arial"/>
        <b val="0"/>
        <color rgb="FF000000"/>
        <sz val="9.0"/>
      </rPr>
      <t>HORAS DE M.O. CONFORME COMP. SINAPI 97328 E 97330.</t>
    </r>
  </si>
  <si>
    <t>FORNECIMENTO E INSTALAÇÃO DE TUBULAÇÃO EM COBRE P/ INTERLIGAÇÃO DO CONDENSADOR AO EVAPORADOR, INCLUSIVE ISOLAMENTO, ALIMENTAÇÃO ELÉTRICA, CONEXÕES E FIXAÇÕES, P/ CONDICIONADORES DE AR SPLIT SYSTEM DE ACIMA DE 36.000 BUTS ATÉ 48.000 BTUS.</t>
  </si>
  <si>
    <r>
      <rPr>
        <rFont val="Calibri,Arial"/>
        <b val="0"/>
        <color rgb="FF000000"/>
        <sz val="9.0"/>
      </rPr>
      <t>CONFORME COMPOSIÇÃO ORSE 7289</t>
    </r>
    <r>
      <rPr>
        <rFont val="Calibri,Arial"/>
        <b/>
        <color rgb="FF000000"/>
        <sz val="9.0"/>
      </rPr>
      <t xml:space="preserve">. </t>
    </r>
    <r>
      <rPr>
        <rFont val="Calibri,Arial"/>
        <b val="0"/>
        <color rgb="FF000000"/>
        <sz val="9.0"/>
      </rPr>
      <t>HORAS DE M.O. CONFORME COMP. SINAPI 97328 E 97330.</t>
    </r>
  </si>
  <si>
    <t>FORNECIMENTO E INSTALAÇÃO DE TUBULAÇÃO EM COBRE P/ INTERLIGAÇÃO DO CONDENSADOR AO EVAPORADOR, INCLUSIVE ISOLAMENTO, ALIMENTAÇÃO ELÉTRICA, CONEXÕES E FIXAÇÕES, P/ CONDICIONADORES DE AR SPLIT SYSTEM DE ACIMA DE 48.000 BUTS ATÉ 60.000 BTUS.</t>
  </si>
  <si>
    <r>
      <rPr>
        <rFont val="Calibri,Arial"/>
        <b val="0"/>
        <color theme="1"/>
        <sz val="9.0"/>
      </rPr>
      <t>CONFORME COMPOSIÇÃO ORSE 7289</t>
    </r>
    <r>
      <rPr>
        <rFont val="Calibri,Arial"/>
        <b/>
        <color theme="1"/>
        <sz val="9.0"/>
      </rPr>
      <t xml:space="preserve">. </t>
    </r>
    <r>
      <rPr>
        <rFont val="Calibri,Arial"/>
        <b val="0"/>
        <color theme="1"/>
        <sz val="9.0"/>
      </rPr>
      <t>HORAS DE M.O. CONFORME COMP. SINAPI 97328 E 97330.</t>
    </r>
  </si>
  <si>
    <t>SERVIÇO DE INSTALAÇÃO DE CONDICIONADOR DE AR TIPO SPLIT HIGH WALL, ATÉ 9.000 BTU - CONTEMPLA MATERIAIS, MÃO DE OBRA, SUPORTE E TUBULAÇÃO ATÉ 3,0M</t>
  </si>
  <si>
    <t xml:space="preserve">UN </t>
  </si>
  <si>
    <t>MAN_COT.016</t>
  </si>
  <si>
    <t>CONFORME COMPOSIÇÃO ORSE 4464</t>
  </si>
  <si>
    <t>SERVIÇO DE INSTALAÇÃO DE CONDICIONADOR DE AR TIPO SPLIT HIGH WALL, ACIMA DE 9.000 BTUS ATÉ 30.000 BTUS - CONTEMPLA MATERIAIS, MÃO DE OBRA, SUPORTE E TUBULAÇÃO ATÉ 3,0M</t>
  </si>
  <si>
    <t>MAN_COT.019</t>
  </si>
  <si>
    <t>CONFORME COMPOSIÇÃO ORSE 4465, 4469 E 4471</t>
  </si>
  <si>
    <t>SERVIÇO DE INSTALAÇÃO DE CONDICIONADOR DE AR TIPO SPLIT HIGH WALL, ACIMA DE 30.000 BTUS ATÉ 36.000 BTUS - CONTEMPLA MATERIAIS, MÃO DE OBRA, SUPORTE E TUBULAÇÃO ATÉ 3,0M</t>
  </si>
  <si>
    <t>MAN_COT.021</t>
  </si>
  <si>
    <t>CONFORME COMPOSIÇÃO ORSE 4473</t>
  </si>
  <si>
    <t>REFRI. 011</t>
  </si>
  <si>
    <t>SERVIÇO DE INSTALAÇÃO DE CONDICIONADOR DE AR TIPO SPLIT PISO-TETO, DE 12.000 BTUS ATÉ 18.000 BTUS - CONTEMPLA MATERIAIS, MÃO DE OBRA, SUPORTE E TUBULAÇÃO ATÉ 3,0M</t>
  </si>
  <si>
    <t>CONFORME COMPOSIÇÃO ORSE 4466 E 4468</t>
  </si>
  <si>
    <t>SERVIÇO DE INSTALAÇÃO DE CONDICIONADOR DE AR TIPO SPLIT PISO-TETO, ACIMA DE 18.000 BTUS ATÉ 24.000 BTUS - CONTEMPLA MATERIAIS, MÃO DE OBRA, SUPORTE E TUBULAÇÃO ATÉ 3,0M</t>
  </si>
  <si>
    <t>MAN_COT.024</t>
  </si>
  <si>
    <t>CONFORME COMPOSIÇÃO ORSE 4470</t>
  </si>
  <si>
    <t>SERVIÇO DE INSTALAÇÃO DE CONDICIONADOR DE AR TIPO SPLIT PISO-TETO, ACIMA DE 24.000 BTUS ATÉ 30.000 BTUS - CONTEMPLA MATERIAIS, MÃO DE OBRA, SUPORTE E TUBULAÇÃO ATÉ 3,0M</t>
  </si>
  <si>
    <t>MAN_COT.025</t>
  </si>
  <si>
    <t>CONFORME COMPOSIÇÃO ORSE 4472</t>
  </si>
  <si>
    <t>SERVIÇO DE INSTALAÇÃO DE CONDICIONADOR DE AR TIPO SPLIT PISO-TETO, ACIMA DE 30.000 BTUS ATÉ 36.000 BTUS - CONTEMPLA MATERIAIS, MÃO DE OBRA, SUPORTE E TUBULAÇÃO ATÉ 3,0M</t>
  </si>
  <si>
    <t>MAN_COT.026</t>
  </si>
  <si>
    <t>CONFORME COMPOSIÇÃO ORSE 4474</t>
  </si>
  <si>
    <t>SERVIÇO DE INSTALAÇÃO DE CONDICIONADOR DE AR TIPO SPLIT PISO-TETO, ACIMA DE 36.000 BTUS ATÉ 48.000 BTUS - CONTEMPLA MATERIAIS, MÃO DE OBRA, SUPORTE E TUBULAÇÃO ATÉ 3,0M</t>
  </si>
  <si>
    <t>MAN_COT.027</t>
  </si>
  <si>
    <t>SERVIÇO DE INSTALAÇÃO DE CONDICIONADOR DE AR TIPO SPLIT PISO-TETO, ACIMA DE 48.000 BTUS ATÉ 60.000 BTUS - CONTEMPLA MATERIAIS, MÃO DE OBRA, SUPORTE E TUBULAÇÃO ATÉ 3,0M</t>
  </si>
  <si>
    <t>MAN_COT.028</t>
  </si>
  <si>
    <t>CONFORME COMPOSIÇÃO ORSE 4475</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</si>
  <si>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</si>
  <si>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GERAL</t>
  </si>
  <si>
    <t>Próprio</t>
  </si>
  <si>
    <t>MAN_PR_001</t>
  </si>
  <si>
    <t>FORNECIMENTO E INSTALAÇÃO DE SUPORTE DE PAREDE FIXO PARA TV E MONITOR DE 32 À 80 POLEGADAS</t>
  </si>
  <si>
    <t>UN</t>
  </si>
  <si>
    <t>COT_MAN_001</t>
  </si>
  <si>
    <t>Composição baseada na ORSE 12395.</t>
  </si>
  <si>
    <t>MAN_PR_002</t>
  </si>
  <si>
    <t>FORNECIMENTO E INSTALAÇÃO DE CABO DE AÇO 1/8 REVESTIDO COM PVC, TOTAL 50M, PARA PORTA BANDEIRAS</t>
  </si>
  <si>
    <t>COT_MAN_004</t>
  </si>
  <si>
    <t>Instalação dos cabos: Por proximidade, com base na composição AGETOP CIVIL 070520 substituindo-se a mão de obra por SINAPI.
Andaimes (locação mínima de 7 dias): área = 2m (B) x 6m (h) x 2 lados + 1,20m (profund.) x 6m (altura) x 2 lados = 38,4m² x (7dias/30dias) = 8,96m²/mês
Montagem e desmontagem conforme modulação do andaime (2m de base x 1,2m de profundidade x 2m de altura) = 2m de base x 6m altura = 12m2</t>
  </si>
  <si>
    <t>MAN_PR_003</t>
  </si>
  <si>
    <t>FORNECIMENTO E INSTALAÇÃO DE VENTILADOR DE PAREDE 50CM COM 6 PÁS, 200W, BIVOLT</t>
  </si>
  <si>
    <t>COT_MAN_002</t>
  </si>
  <si>
    <t>Com base na composição ORSE 4401, substituindo-se os itens por SINAPI ou cotação de mercado</t>
  </si>
  <si>
    <t>MAN_PR_004</t>
  </si>
  <si>
    <t>FORNECIMENTO E INSTALAÇÃO DE PLACAS DE FORRO DE FIBRA MINERAL - EXCLUSIVE ESTRUTURA DE SUSTENTAÇÃO</t>
  </si>
  <si>
    <t>Mão de obra com base na composição FDE 10.70.002, utilizando-se os coeficientes de mão de obra e convertendo para UN (foi utilizado o coeficiente de 5% de desperdício).</t>
  </si>
  <si>
    <t>MAN_PR_005</t>
  </si>
  <si>
    <t>FORNECIMENTO E INSTALAÇÃO DE BATERIA SELADA 12V - 60 AH</t>
  </si>
  <si>
    <t>COT_MAN_003</t>
  </si>
  <si>
    <t>Com base na composição IOPES 160663, substituindo-se os itens por SINAPI ou cotação de mercado.</t>
  </si>
  <si>
    <t>MAN_PR_006</t>
  </si>
  <si>
    <t>FORNECIMENTO E INSTALAÇÃO DE REFLETOR LED, CORPO DE ALUMÍNIO, VIDRO TEMPERADO, POTÊNCIA 30W, BIVOLT, TEMP. COR 3000K, IP-66</t>
  </si>
  <si>
    <t>Com base na composição ORSE 11153, substituindo-se os itens por SINAPI ou cotação de mercado.</t>
  </si>
  <si>
    <t>MAN_PR_007</t>
  </si>
  <si>
    <t>DESENTUPIMENTO DE LOUÇAS</t>
  </si>
  <si>
    <t>Desinstalação: Com base na composição SEDOP 02856, substituindo-se os itens por SINAPI ou cotação de mercado.;
Desentupimento de canos: Com base na composição FDE 08.82.050, substituindo-se a mão de obra por sinapi e considerando um ramal de 1,5m lineares de tubo.
Reinstalação: com base na composição SINAPI 100858, utilizando-se somente a mão de obra.</t>
  </si>
  <si>
    <t>MAN_PR_008</t>
  </si>
  <si>
    <t>RETIRADA E RECOLOCAÇÃO DE DIVISÓRIA NAVAL</t>
  </si>
  <si>
    <t>M2</t>
  </si>
  <si>
    <t>Retirada: Com base na composição ORSE 12631, substituindo-se os itens por SINAPI.
Reinstalação: Com base na composição ORSE 12630, substituindo-se os itens por SINAPI.</t>
  </si>
  <si>
    <t>MAN_PR_009</t>
  </si>
  <si>
    <t>FORNECIMENTO E INSTALAÇÃO DE PLACA DE SINALIZAÇÃO FOTOLUMINOSCENTE 13x26CM</t>
  </si>
  <si>
    <t>Com base na composição SEDOP 241468, substituindo-se os itens por SINAPI</t>
  </si>
  <si>
    <t>MAN_PR_010</t>
  </si>
  <si>
    <t>TESTE DE ENERGIZAÇÃO DE CERCA ELÉTRICA</t>
  </si>
  <si>
    <t>Com base na composição IOPES 152231, substituindo-se os itens por SINAPI</t>
  </si>
  <si>
    <t>MAN_PR_011</t>
  </si>
  <si>
    <t>TESTE FUNCIONAL EM CIRCUITOS</t>
  </si>
  <si>
    <t>MAN_PR_012</t>
  </si>
  <si>
    <t>RETIRADA DE LÂMPADA E ACONDICIONAMENTO EM CAIXA DE PAPELÃO, EXCLUSIVE FORNECIMENTO DA CAIXA</t>
  </si>
  <si>
    <t>Com base na composição EMOP 21.004.0190-A, substituindo-se os itens por SINAPI</t>
  </si>
  <si>
    <t>MAN_PR_013</t>
  </si>
  <si>
    <t>FORNECIMENTO E INSTALAÇÃO DE PERSIANA EM PVC BRANCO, LÂMINA COM LARGURA DE 89MM, SEM BANDÔ</t>
  </si>
  <si>
    <t>COT_MAN_005</t>
  </si>
  <si>
    <t>MAN_PR_014</t>
  </si>
  <si>
    <t>FORNECIMENTO E INSTALAÇÃO DE EXTENSÃO ELÉTRICA COM CABO  DE COBRE PP CORDPLAST 3 X 2,5MM2, ISOLAMENTO 40/750V COM ISOLAÇÃO PP 70ºC, COMPRIMENTO DE 1,5M</t>
  </si>
  <si>
    <t>COT_MAN_007</t>
  </si>
  <si>
    <t>PLUG: mão de obra com base na composição CPOS 40.20.240, substituindo-se por SINAPI;
CABO PP: mão de obra com base na composição CPOS 39.24.152, substituindo-se por SINAPI;</t>
  </si>
  <si>
    <t>MAN_PR_015</t>
  </si>
  <si>
    <t>VEDAÇÃO DE ELEMENTOS COM SILICONE PASTOSO</t>
  </si>
  <si>
    <t>Com base na composição ORSE 10972, substituindo-se os itens por SINAPI</t>
  </si>
  <si>
    <t>MAN_PR_016</t>
  </si>
  <si>
    <t>VISITA TÉCNICA DE OFICIAL DE ELÉTRICA E AJUDANTE PARA VERIFICAÇÃO DE PROBLEMA GERAL</t>
  </si>
  <si>
    <t>Para Mão de Obra: Foi considerado 30min de deslocamento mais 1h para verificação e identificação do problema;
Gasolina: Foi considerado deslocamento total de 15km dentro da cidade com rendimento de 8km/l para o veículo.</t>
  </si>
  <si>
    <t>MAN_PR_017</t>
  </si>
  <si>
    <t>FORNECIMENTO E INSTALAÇÃO DE KIT MOTOR PPA 1/4HP, 500KG, DESLIZANTE, INCLUÍNDO 2 CONTROLE E 5M DE CREMALHEIRA, NÃO INCLUSO EXECUÇÃO DE BASE DE FIXAÇÃO E GUIA</t>
  </si>
  <si>
    <t>COT_MAN_008</t>
  </si>
  <si>
    <t>Para Mão de Obra: Como estimativa de custo horário de mão de obra, foi utilizada a composição CPOS 69.05.160 por similaridade.</t>
  </si>
  <si>
    <t>MAN_PR_018</t>
  </si>
  <si>
    <t>FORNECIMENTO E INSTALAÇÃO DE PLACA CENTRAL DE COMANDO UNIVERSAL X2 FULL ST IPEC PARA AUTOMATIZADORES</t>
  </si>
  <si>
    <t>COT_MAN_009</t>
  </si>
  <si>
    <t>Para Mão de Obra: Como estimativa de custo horário de mão de obra, foi utilizada a composição ORSE 11957 por similaridade.</t>
  </si>
  <si>
    <t>MAN_PR_019</t>
  </si>
  <si>
    <t>DESENTUPIMENTO E LIMPEZA DE BACIAS SANITÁRIAS</t>
  </si>
  <si>
    <t>Com base na composição EMOP 05.001.0370-0, substituindo-se os itens por SINAPI.</t>
  </si>
  <si>
    <t>MAN_PR_020</t>
  </si>
  <si>
    <t>TESTE, LIMPEZA E REAPERTO DOS COMPONENTES PARA QUADROS DE DISTRIBUIÇÃO ATÉ 64 CIRCUITOS</t>
  </si>
  <si>
    <t>Com base na composição IOPES 152235, retirando-se a ART e substituindo-se a mão de obra por eletricista e auxiliar.</t>
  </si>
  <si>
    <t>MAN_PR_021</t>
  </si>
  <si>
    <t>REPARO DE VAZAMENTO EM BACIAS SANITÁRIAS COM A RETIRADA, COLOCAÇÃO DE NOVAS VEDAÇÕES E REASSENTAMENTO</t>
  </si>
  <si>
    <t>Mão de Obra: Com base na composição EMOP 15.003.0410-A, subtituindo-se os itens por SINAPI;
Materiais para reassentamento: Com base na composição SINAPI 95469 desconsiderando-se os parafusos e a bacia que deverão ser reaproveitadas.</t>
  </si>
  <si>
    <t>MAN_PR_022</t>
  </si>
  <si>
    <t>VERIFICAÇÃO E TESTE DE PONTO/CIRCUITO COM EMISSÃO DE RELATÓRIO</t>
  </si>
  <si>
    <t>Com base na composição IOPES 152230, substituindo-se os itens por SINAPI</t>
  </si>
  <si>
    <t>MAN_PR_023</t>
  </si>
  <si>
    <t>RETIRADA E RECOLOCAÇÃO DE PORTA DE DIVISÓRIA, UM MÓDULO</t>
  </si>
  <si>
    <t>Retirada de divisória com reaproveitamento: Com base na composição FDE 04.60.011, substituindo-se os itens por SINAPI.
Recoloação: Com base na composição FDE 04.70.011, substituindo-se a mão de obra para SINAPI.
Foram considerados 2 módulos de 0,9x2,10 para a retirada e para a instalação.</t>
  </si>
  <si>
    <t>MAN_PR_024</t>
  </si>
  <si>
    <t>VERIFICAÇÃO DE VAZAMENTO EM INSTALAÇÕES INTERNAS POR RAMAL</t>
  </si>
  <si>
    <t>Com base na composição EMBASA 26.12.40, substituindo-se a mão por similares do SINAPI. Foi desconsiderado o custo com o veículo tendo em vista que este deverá estar previsto em composição distinta.</t>
  </si>
  <si>
    <t>MAN_PR_025</t>
  </si>
  <si>
    <t>FORNECIMENTO E INSTALAÇÃO DE CANALETA EM PVC PARA INSTALAÇÃO ELÉTRICA APARENTE, INCLUSIVE CONEXÕES, DIMENSÕES 20 X 10 MM</t>
  </si>
  <si>
    <t>COT_MAN_010</t>
  </si>
  <si>
    <t>Com base na composição ORSE 767, substituindo-se os itens por SINAPI ou cotação de mercado.</t>
  </si>
  <si>
    <t>MAN_PR_026</t>
  </si>
  <si>
    <t>FORNECIMENTO E INSTALAÇÃO DE FECHADURA BIOMÉTRICA PARA PORTA, ABERTURA TIPO SENHA OU CHAVEIRO DE PROXIMIDADE. REF: INTELBRAS FR 320 OU SIMILAR</t>
  </si>
  <si>
    <t>COT_MAN_011</t>
  </si>
  <si>
    <t>Por similaridade, com base na composição CPOS 28.01.150, substituindo-se os itens por SINAPI ou cotação de mercado.</t>
  </si>
  <si>
    <t>MAN_PR_027</t>
  </si>
  <si>
    <t>SUBSTITUIÇÃO DE PLUGUE 2P+T DE 20A, 250V</t>
  </si>
  <si>
    <t>COT_MAN_012</t>
  </si>
  <si>
    <t>Por similaridade, com base na composição CPOS 40.20.240, substituindo-se os itens por SINAPI ou cotação de mercado.</t>
  </si>
  <si>
    <t>MAN_PR_028</t>
  </si>
  <si>
    <t>SERVIÇO DE LIMPEZA DE FOSSA SÉPTICA OU SUMIDOURO - VIAGEM DE 7M3</t>
  </si>
  <si>
    <t>VG</t>
  </si>
  <si>
    <t>COT_MAN_013</t>
  </si>
  <si>
    <t>MAN_PR_029</t>
  </si>
  <si>
    <t>TAMPA DE CONCRETO ARMADO PARA CAIXAS DE PASSAGEM 0,60X0,60X0,07M</t>
  </si>
  <si>
    <t>Por similaridade, com base na composição SINAPI de 11/2020, atualizando-se os itens.</t>
  </si>
  <si>
    <t>MAN_PR_030</t>
  </si>
  <si>
    <t>FORNECIMENTO E INSTALAÇÃO DE LIXEIRA EM PLÁSTICO POLIPROPILENO (PP) COM PROTEÇÃO UV, COM CAPACIDADE DE 50L, PARA COLETA SELETIVA COM SUPORTE (POSTE)</t>
  </si>
  <si>
    <t>COT_MAN_014</t>
  </si>
  <si>
    <t>Por similaridade, com base na composição ORSE 10536, substituindo-se os itens por SINAPI ou cotação de mercado.</t>
  </si>
  <si>
    <t>MAN_PR_031</t>
  </si>
  <si>
    <t>REPARO PARA VÁLVULA DE DESCARGA, COMPLETO - FORNECIMENTO E INSTALAÇÃO</t>
  </si>
  <si>
    <t>COT_MAN_015</t>
  </si>
  <si>
    <t>Por similaridade, com base na composição IOPES 142103, substituindo-se os itens por SINAPI ou cotação de mercado.</t>
  </si>
  <si>
    <t>MAN_PR_032</t>
  </si>
  <si>
    <t xml:space="preserve">ESCADA DO TIPO MARINHEIRO EM AÇO GALVANIZADO COM PROTEÇÃO </t>
  </si>
  <si>
    <t>COT_MAN_016</t>
  </si>
  <si>
    <t>MAN_PR_033</t>
  </si>
  <si>
    <t>FORNECIMENTO E INSTALAÇÃO DE PORTEIRO ELETRONICO. REF.: INTELBRAS IPR 8010 OU SIMILAR</t>
  </si>
  <si>
    <t>COT_MAN_017</t>
  </si>
  <si>
    <t>Com base na composição CPOS 66.02.130, substituindo-se os itens por SINAPI ou cotação de mercado.</t>
  </si>
  <si>
    <t>MAN_PR_034</t>
  </si>
  <si>
    <t>TRATAMENTO DE FISSURAS ESTÁVEIS (NÃO ATIVAS) EM ELEMENTO DE CONCRETO</t>
  </si>
  <si>
    <t>Com base na composição CPOS 11.20.130, substituindo-se os itens por SINAPI ou cotação de mercado.</t>
  </si>
  <si>
    <t>MAN_PR_035</t>
  </si>
  <si>
    <t>LIMPEZA DE CAIXA D'AGUA OU CISTERNA, COM CAPACIDADE DE 2001 A 20000L, INCLUSIVE DESINFECCAO CONFORME NORMAS DA SANEPAR</t>
  </si>
  <si>
    <t>COT_MAN_018</t>
  </si>
  <si>
    <t>MAN_PR_036</t>
  </si>
  <si>
    <t>LIMPEZA DE CAIXA DE PASSAGEM OU DE GORDURA</t>
  </si>
  <si>
    <t>Com base na composição ORSE 12636, substituindo-se os itens por SINAPI e ignorando o item argamassa.</t>
  </si>
  <si>
    <t>MAN_PR_037</t>
  </si>
  <si>
    <t>LUBRIFICAÇÃO DE FERRAGEM</t>
  </si>
  <si>
    <t>Com base na composição ORSE 4368, substituindo-se os itens por SINAPI. Utilizou-se a graxa no insumo ao invés do óleo lubrificante. Foi considerado a densidade de 0,91g/cm³ na conversão</t>
  </si>
  <si>
    <t>MAN_PR_038</t>
  </si>
  <si>
    <t>FORNECIMENTO E INSTALAÇÃO DE REFLETOR LED 400W, CORPO DE ALUMÍNIO, VIDRO TEMPERADO, BIVOLT, TEMP. COR BRANCO FRIO COM PROTEÇÃO IP-67</t>
  </si>
  <si>
    <t>COT_MAN_019</t>
  </si>
  <si>
    <t>Com base na composição ORSE 11626, substituindo-se os itens por SINAPI ou cotação de mercado.</t>
  </si>
  <si>
    <t>MAN_PR_039</t>
  </si>
  <si>
    <t>FORNECIMENTO E INSTALAÇÃO DE BOX PARA BANHEIRO EM ALUMÍNIO BRANCO E VIDRO TEMPERADO INCOLOR 8MM, INCLUSIVE FERRAGENS, COMPLETO</t>
  </si>
  <si>
    <t>COT_MAN_020</t>
  </si>
  <si>
    <t>MAN_PR_040</t>
  </si>
  <si>
    <t>LAUDO TECNICO SPDA CONFORME NBR 5419, INCLUSIVE EMISSÃO DE ART</t>
  </si>
  <si>
    <t>COT_MAN_021</t>
  </si>
  <si>
    <t>MAN_PR_041</t>
  </si>
  <si>
    <t>FORNECIMENTO E INSTALAÇÃO DE PONTO DE ATERRAMENTO, INCLUÍNDO 1M DE CABO DE COBRE NU 50MM2, HASTE E CAIXA DE INSPEÇÃO</t>
  </si>
  <si>
    <t>MAN_PR_042</t>
  </si>
  <si>
    <t>LIMPEZA E DESOBSTRUÇÃO DE CALHAS DE ZINCO</t>
  </si>
  <si>
    <t>Com base na composição ORSE 4865, substituindo-se os itens por SINAPI ou cotação de mercado.</t>
  </si>
  <si>
    <t>MAN_PR_043</t>
  </si>
  <si>
    <t>SUBSTITUIÇÃO DE MANGUEIRA PARA COMPRESSOR DO TIPO ENGATE RÁPIDO - FORNECIMENTO E INSTALAÇÃO</t>
  </si>
  <si>
    <t>COT_MAN_022</t>
  </si>
  <si>
    <t>Por similaridade, coeficiente da mão de obra com base na composição ORSE 10883.</t>
  </si>
  <si>
    <t>MAN_PR_044</t>
  </si>
  <si>
    <t>CALIBRADOR ELETRÔNICO PARA PNEUS, BIVOLT, BLINDADO. REF. STOKAIR-M2000 OU SIMILAR - FORNECIMENTO E INSTALAÇÃO</t>
  </si>
  <si>
    <t>COT_MAN_023</t>
  </si>
  <si>
    <t>Por similaridade, coeficiente da mão de obra com base na composição SETOP ARC-COM-015.</t>
  </si>
  <si>
    <t>MAN_PR_045</t>
  </si>
  <si>
    <t>FECHADURA DE SOBREPOR PAR APORTA CORTA FOGO (SEM CHAVE) - FORNECIMENTO E INSTALAÇÃO</t>
  </si>
  <si>
    <t>COT_MAN_024</t>
  </si>
  <si>
    <t>Por similaridade, com base na composição ORSE 10003, substituindo-se os itens por SINAPI ou cotações de mercado.</t>
  </si>
  <si>
    <t>MAN_PR_046</t>
  </si>
  <si>
    <t>BOTOEIRA COM RETENÇÃO PARA QUADRO/PAINEL</t>
  </si>
  <si>
    <t>COT_MAN_025</t>
  </si>
  <si>
    <t>Com base na composição CPOS 40.20.090, substituindo-se os itens por SINAPI ou cotações de mercado.</t>
  </si>
  <si>
    <t>MAN_PR_047</t>
  </si>
  <si>
    <t>DUCHA HIGIÊNCIA PLÁSTICA COM REGISTRO METÁLICO 1/2" - FORNECIMENTO E INSTALAÇÃO</t>
  </si>
  <si>
    <t>MAN_PR_048</t>
  </si>
  <si>
    <t>VISITA TÉCNICA DE OFICIAL DE CIVIL E AJUDANTE PARA VERIFICAÇÃO DE PROBLEMA GERAL</t>
  </si>
  <si>
    <t>MAN_PR_050</t>
  </si>
  <si>
    <t>VISITA TÉCNICA DE OFICIAL DE HIDRÁULICA E AJUDANTE PARA VERIFICAÇÃO DE PROBLEMA GERAL</t>
  </si>
  <si>
    <t>MAN_PR_051</t>
  </si>
  <si>
    <t>SERVIÇO DE MONTAGEM DE MÓVEIS/ARMÁRIOS EM MDF</t>
  </si>
  <si>
    <t>Com base na composição SEDOP 251463, considerando apenas a mão de obra e substituindo por SINAPI.</t>
  </si>
  <si>
    <t>MAN_PR_052</t>
  </si>
  <si>
    <t>REVESTIMENTO COM CHAPA EM FÓRMICA FOSCA, ESP. = 1,3MM, COLADA COM FORMICOLA OU SIMILAR</t>
  </si>
  <si>
    <t>Com base na composição ORSE 1924, considerando apenas a mão de obra e substituindo por SINAPI.</t>
  </si>
  <si>
    <t>MAN_PR_053</t>
  </si>
  <si>
    <t>LOCAÇÃO DE CAÇAMBA ESTACIONÁRIA DE ENTULHO, CAPACIDADE DE 4M³, RESÍDUOS CLASSE A, 7 DIAS</t>
  </si>
  <si>
    <t>COT_MAN_026</t>
  </si>
  <si>
    <t>MAN_PR_054</t>
  </si>
  <si>
    <t>FORNECIMENTO E INSTALAÇÃO DE FUSÍVEL TIPO NH 00 DE 6A ATÉ 125A</t>
  </si>
  <si>
    <t>COT_MAN_027</t>
  </si>
  <si>
    <t>Com base na composição CPOS 37.12.020, substituindo-se os itens por SINAPI ou cotação de mercado.</t>
  </si>
  <si>
    <t>MAN_PR_056</t>
  </si>
  <si>
    <t>FORNECIMENTO E INSTALAÇÃO DE ADAPTADOR DE PORCELANA PARA LÂMPADA BASE E40 PARA E27</t>
  </si>
  <si>
    <t>COT_MAN_028</t>
  </si>
  <si>
    <t>Com base na composição ORSE 8662, substituindo-se os itens por SINAPI ou cotação de mercado.</t>
  </si>
  <si>
    <t>MAN_PR_057</t>
  </si>
  <si>
    <t>FORNECIMENTO E INSTALAÇÃO DE  MOLA HIDRÁULICA AÉREA PARA PORTAS ATÉ 950MM E PESO DE ATÉ 65KG, COM CORPO EM ALUMÍNIO E BRAÇO DE AÇO, SEM BRAÇO DE PARADA</t>
  </si>
  <si>
    <t>Com base na composição CPOS 28.01.160, substituindo-se os itens por SINAPI ou cotação de mercado.</t>
  </si>
  <si>
    <t>MAN_PR_058</t>
  </si>
  <si>
    <t>FORNECIMENTO E INSTALAÇÃO DE BOBINA PARA CONTATOR CWM9 A CWM25, 380V</t>
  </si>
  <si>
    <t>COT_MAN_029</t>
  </si>
  <si>
    <t>Por similaridade, com base na composição SINAPI 101901, substituindo-se o contator por bobina e removendo-se o terminal a compressão.</t>
  </si>
  <si>
    <t>MAN_PR_059</t>
  </si>
  <si>
    <t>FORNECIMENTO E INSTALAÇÃO DE CABO DE COBRE PP CORDPLAST 3 X 2,5MM2, 450/750V</t>
  </si>
  <si>
    <t>Com base na composição ORSE 5023, substituindo-se os itens por SINAPI ou cotação de mercado.</t>
  </si>
  <si>
    <t>MAN_PR_060</t>
  </si>
  <si>
    <t>CONECTOR PARA CABOS 4MM2 3 VIAS. REF. WAGO 221-413 OU SIMILAR</t>
  </si>
  <si>
    <t>COT_MAN_030</t>
  </si>
  <si>
    <t>Com base na composição CPOS 39.20.005, substituindo-se os itens por SINAPI ou cotação de mercado.</t>
  </si>
  <si>
    <t>MAN_PR_061</t>
  </si>
  <si>
    <t>FORNECIMENTO E INSTALAÇÃO DE CANALETA EM ALUMÍNIO COM DIVISÓRIA PARA INSTALAÇÃO ELÉTRICA EM PISO, INCLUSIVE CONEXÕES, DIMENSÕES 20 X 10 MM</t>
  </si>
  <si>
    <t>COT_MAN_031</t>
  </si>
  <si>
    <t>MAN_PR_062</t>
  </si>
  <si>
    <t>KIT COMPLETO UNIVERSAL PARA REPARO EM CAIXA ACOPLADA - FORNECIMENTO E INSTALAÇÃO</t>
  </si>
  <si>
    <t>COT_MAN_032</t>
  </si>
  <si>
    <t>Com base na composição FDE 08.80.019, substituindo-se os itens por SINAPI ou cotação de mercado.</t>
  </si>
  <si>
    <t>MAN_PR_063</t>
  </si>
  <si>
    <t>CERCA ELÉTRICA INDUSTRIAL INCLUSIVE FIXAÇÃO, CENTRAL DE CHOQUE, BATERIA, SIRENE,HASTES, ATERRAMENTO, FIOS E PLACAS DE ATENÇÃO</t>
  </si>
  <si>
    <t>COT_MAN_033</t>
  </si>
  <si>
    <t>Por similaridade, com base na composição ORSE 4628, substituindo-se os itens por SINAPI ou cotação de mercado.</t>
  </si>
  <si>
    <t>MAN_PR_064</t>
  </si>
  <si>
    <t>FORNECIMENTO E INSTALAÇÃO DE CABO DE COBRE PP CORDPLAST 3 X 4,0MM2, 450/750V</t>
  </si>
  <si>
    <t>MAN_COT.012</t>
  </si>
  <si>
    <t>Com base na composição ORSE 11753, substituindo-se os itens por SINAPI ou cotação de mercado.</t>
  </si>
  <si>
    <t>MAN_PR_065</t>
  </si>
  <si>
    <t>FORNECIMENTO E INSTALAÇÃO DE GRELHA PARA RALO EM PVC, REDONDA, 10CM. REF. TIGRE OU SIMILAR</t>
  </si>
  <si>
    <t>COT_MAN_034</t>
  </si>
  <si>
    <t>Com base na composição ORSE 10317, substituindo-se os itens por SINAPI ou cotação de mercado.</t>
  </si>
  <si>
    <t>MAN_PR_066</t>
  </si>
  <si>
    <t>FORNECIMENTO E INSTALAÇÃO DE CAIXA P/ BOTOEIRA PLÁSTICA 1 FURO 22 mm</t>
  </si>
  <si>
    <t>COT_MAN_035</t>
  </si>
  <si>
    <t>MAN_PR_067</t>
  </si>
  <si>
    <t>FORNECIMENTO E INSTALAÇÃO DE CONJUNTO MONTADO DE TOMADA 2P + T, ABNT, DE SOBREPOR, 20A, SISTEMA X</t>
  </si>
  <si>
    <t>COT_MAN_037</t>
  </si>
  <si>
    <t>Com base na composição ORSE 12156, substituindo-se os itens por SINAPI ou cotação de mercado.</t>
  </si>
  <si>
    <t>MAN_PR_068</t>
  </si>
  <si>
    <t>FORNECIMENTO E INSTALAÇÃO DE TECLADO CONTROLADOR DE ACESSO TOUCH SCREEN, COM PROXIMIDADE 125 KHZ E SENHA. REF. CONTROL ID</t>
  </si>
  <si>
    <t>COT_MAN_039</t>
  </si>
  <si>
    <t>Por similaridade, com base na composição CPOS 61.15.181, substituindo-se os itens por SINAPI ou cotação de mercado.</t>
  </si>
  <si>
    <t>MAN_PR_069</t>
  </si>
  <si>
    <t>FORNECIMENTO E INSTALAÇÃO DE LÂMPADA LED BULBO E27, 60W DE POTÊNCIA, COR BRANCO FRIO 6500K</t>
  </si>
  <si>
    <t>COT_MAN_006</t>
  </si>
  <si>
    <t>Com base na composição SINAPI 97610, substituindo-se a lâmpada pela correspondente.</t>
  </si>
  <si>
    <t>MAN_PR_070</t>
  </si>
  <si>
    <t>FORNECIMENTO E INSTALAÇÃO DE RELÊ TÉRMICO BIMETAL PARA USO EM MOTORES TRIFÁSICOS, TENSÃO 380V, POTÊNCIA DE ATÉ 15 CV, CORRENTE NOMINAL MÁXIMA DE 22A</t>
  </si>
  <si>
    <t>Com base na composição FDE 09.83.073, substituindo-se os itens por SINAPI ou cotação de mercado.</t>
  </si>
  <si>
    <t>MAN_PR_071</t>
  </si>
  <si>
    <t>FORNECIMENTO E INSTALAÇÃO DE REFLETOR LED 5OW DE POTÊNCIA, BRANCO FRIO, 6500K, BIVOLT</t>
  </si>
  <si>
    <t>Com base na composição ORSE 12807, substituindo-se os itens por SINAPI ou cotação de mercado.</t>
  </si>
  <si>
    <t>MAN_PR_072</t>
  </si>
  <si>
    <t>FORNECIMENTO E INSTALAÇÃO DE DISPOSITIVO DE PROTEÇÃO CONTRA SURTO DE TENSÃO DPS 20KA - 175V</t>
  </si>
  <si>
    <t>Com base na composição ORSE 13150, substituindo-se os itens por SINAPI ou cotação de mercado.</t>
  </si>
  <si>
    <t>MAN_PR_073</t>
  </si>
  <si>
    <t>CONECTOR DE DERIVAÇÃO PERFURANTE 10-95MM2</t>
  </si>
  <si>
    <t>COT_MAN_071</t>
  </si>
  <si>
    <t>Com base na composição ORSE 1201008424, substituindo-se os itens por SINAPI ou cotação de mercado.</t>
  </si>
  <si>
    <t>MAN_PR_074</t>
  </si>
  <si>
    <t>FORNECIMENTO E INSTALAÇÃO KIT DE PROTECAO ARSTOP PARA AR CONDICIONADO, TOMADA PADRAO 2P+T 20 A, COM DISJUNTOR BIPOLAR DIN 20A</t>
  </si>
  <si>
    <t>COT_MAN_072</t>
  </si>
  <si>
    <t>Com base na composição ORSE 472, substituindo-se os itens por SINAPI ou cotação de mercado.</t>
  </si>
  <si>
    <t>MAN_PR_075</t>
  </si>
  <si>
    <t>PINTURA ADESIVA P/ CONCRETO, A BASE DE RESINA EPOXI ( SIKADUR 32 )</t>
  </si>
  <si>
    <t xml:space="preserve">KG    </t>
  </si>
  <si>
    <t>Com base na composição SINAPI 79471 de 01/2020, atualizando os insumos.</t>
  </si>
  <si>
    <t>MAN_PR_076</t>
  </si>
  <si>
    <t>FORNECIMENTO E INSTALAÇÃO DE CAIXA PARA QUADRO DE COMANDO TIPO CC PLAST 30X20X17CM CINZA/TR</t>
  </si>
  <si>
    <t>COT_MAN_073</t>
  </si>
  <si>
    <t>Com base na composição AGETOP CIVIL 070701, substituindo-se os itens por SINAPI ou cotação de mercado.</t>
  </si>
  <si>
    <t>CLIMATIZAÇÃO</t>
  </si>
  <si>
    <r>
      <rPr>
        <rFont val="Calibri,Arial"/>
        <b val="0"/>
        <color theme="1"/>
        <sz val="9.0"/>
      </rPr>
      <t>CONFORME COMPOSIÇÃO ORSE 7289</t>
    </r>
    <r>
      <rPr>
        <rFont val="Calibri,Arial"/>
        <color theme="1"/>
        <sz val="9.0"/>
      </rPr>
      <t xml:space="preserve">. </t>
    </r>
    <r>
      <rPr>
        <rFont val="Calibri,Arial"/>
        <b val="0"/>
        <color theme="1"/>
        <sz val="9.0"/>
      </rPr>
      <t>HORAS DE M.O. CONFORME COMP. SINAPI 97327 E 97329.</t>
    </r>
  </si>
  <si>
    <r>
      <rPr>
        <rFont val="Calibri,Arial"/>
        <b val="0"/>
        <color theme="1"/>
        <sz val="9.0"/>
      </rPr>
      <t>CONFORME COMPOSIÇÃO ORSE 7289</t>
    </r>
    <r>
      <rPr>
        <rFont val="Calibri,Arial"/>
        <color theme="1"/>
        <sz val="9.0"/>
      </rPr>
      <t xml:space="preserve">. </t>
    </r>
    <r>
      <rPr>
        <rFont val="Calibri,Arial"/>
        <b val="0"/>
        <color theme="1"/>
        <sz val="9.0"/>
      </rPr>
      <t>HORAS DE M.O. CONFORME COMP. SINAPI 97327 E 97330.</t>
    </r>
  </si>
  <si>
    <r>
      <rPr>
        <rFont val="Calibri,Arial"/>
        <b val="0"/>
        <color rgb="FF000000"/>
        <sz val="9.0"/>
      </rPr>
      <t>CONFORME COMPOSIÇÃO ORSE 7289</t>
    </r>
    <r>
      <rPr>
        <rFont val="Calibri,Arial"/>
        <b/>
        <color rgb="FF000000"/>
        <sz val="9.0"/>
      </rPr>
      <t xml:space="preserve">. </t>
    </r>
    <r>
      <rPr>
        <rFont val="Calibri,Arial"/>
        <b val="0"/>
        <color rgb="FF000000"/>
        <sz val="9.0"/>
      </rPr>
      <t>HORAS DE M.O. CONFORME COMP. SINAPI 97327 E 97330.</t>
    </r>
  </si>
  <si>
    <r>
      <rPr>
        <rFont val="Calibri,Arial"/>
        <b val="0"/>
        <color theme="1"/>
        <sz val="9.0"/>
      </rPr>
      <t>CONFORME COMPOSIÇÃO ORSE 7289</t>
    </r>
    <r>
      <rPr>
        <rFont val="Calibri,Arial"/>
        <color theme="1"/>
        <sz val="9.0"/>
      </rPr>
      <t xml:space="preserve">. </t>
    </r>
    <r>
      <rPr>
        <rFont val="Calibri,Arial"/>
        <b val="0"/>
        <color theme="1"/>
        <sz val="9.0"/>
      </rPr>
      <t>HORAS DE M.O. CONFORME COMP. SINAPI 97328 E 97330.</t>
    </r>
  </si>
  <si>
    <r>
      <rPr>
        <rFont val="Calibri,Arial"/>
        <b val="0"/>
        <color theme="1"/>
        <sz val="9.0"/>
      </rPr>
      <t>CONFORME COMPOSIÇÃO ORSE 7289</t>
    </r>
    <r>
      <rPr>
        <rFont val="Calibri,Arial"/>
        <color theme="1"/>
        <sz val="9.0"/>
      </rPr>
      <t xml:space="preserve">. </t>
    </r>
    <r>
      <rPr>
        <rFont val="Calibri,Arial"/>
        <b val="0"/>
        <color theme="1"/>
        <sz val="9.0"/>
      </rPr>
      <t>HORAS DE M.O. CONFORME COMP. SINAPI 97328 E 97330.</t>
    </r>
  </si>
  <si>
    <r>
      <rPr>
        <rFont val="Calibri,Arial"/>
        <b val="0"/>
        <color theme="1"/>
        <sz val="9.0"/>
      </rPr>
      <t>CONFORME COMPOSIÇÃO ORSE 7289</t>
    </r>
    <r>
      <rPr>
        <rFont val="Calibri,Arial"/>
        <color theme="1"/>
        <sz val="9.0"/>
      </rPr>
      <t xml:space="preserve">. </t>
    </r>
    <r>
      <rPr>
        <rFont val="Calibri,Arial"/>
        <b val="0"/>
        <color theme="1"/>
        <sz val="9.0"/>
      </rPr>
      <t>HORAS DE M.O. CONFORME COMP. SINAPI 97328 E 97330.</t>
    </r>
  </si>
  <si>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</si>
  <si>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Planilha de Pesquisa de Preços</t>
  </si>
  <si>
    <t>Obra TR manutenção predial SR/PF/MS, DPF/PNG/PR, DPF/PGZ/PR, DPF/GPB/PR, DPF/LDA/PR E DPF/MGA/PR</t>
  </si>
  <si>
    <t>UNIFORMES</t>
  </si>
  <si>
    <t>1ª Etapa (homogeneidade das cotações)</t>
  </si>
  <si>
    <t>UNI_MAT_001</t>
  </si>
  <si>
    <t>CONJUNTO CALÇA E CAMISA MANGA LONGA BRIM NR10 ANTI CHAMA</t>
  </si>
  <si>
    <t>Preço de Referência</t>
  </si>
  <si>
    <t>Média</t>
  </si>
  <si>
    <t>As cotações precisam ser saneadas (CV≥25%)?</t>
  </si>
  <si>
    <t>FONTE</t>
  </si>
  <si>
    <t>EMPRESA</t>
  </si>
  <si>
    <t>CNPJ</t>
  </si>
  <si>
    <t>DATA</t>
  </si>
  <si>
    <t>UNIDADE</t>
  </si>
  <si>
    <t>VALOR UNIT(R$)</t>
  </si>
  <si>
    <t>OBSERVAÇÕES</t>
  </si>
  <si>
    <t>Desvio Padrão</t>
  </si>
  <si>
    <t>COT. INTERNET</t>
  </si>
  <si>
    <t>DIVISEG EQUIPAMENTOS LTDA</t>
  </si>
  <si>
    <t>01.820.068/0001-80</t>
  </si>
  <si>
    <t>17/07/2023</t>
  </si>
  <si>
    <t>CONJUNTO EM BRIM ANTICHAMA (COM REFLETIVO) - UNIFORME FR - NR10</t>
  </si>
  <si>
    <t>https://www.divisegloja.com.br/uniformes/conjunto-nr10-em-brim-anti-chama-com-refletivo-risco-i-e-ii</t>
  </si>
  <si>
    <t>Coef. de Variação</t>
  </si>
  <si>
    <t>RENASCER EPI</t>
  </si>
  <si>
    <t>28.813.781/0001-52</t>
  </si>
  <si>
    <t>UNIFORME CONJUNTO ELETRICISTA NR10 RISCO 2 ANTI CHAMA ARCO ELETRICO</t>
  </si>
  <si>
    <t>https://www.renascerepi.com.br/vestimenta/eletricista/conjunto-eletricista-nr10-risco-2-anti-chama?parceiro=5163&amp;gclid=Cj0KCQiA5aWOBhDMARIsAIXLlkdEIHF2lXW1D6eMSMc22zNomgZJCbmdlHbF__vwm3qZLfel1N9hLCcaAobHEALw_wcB</t>
  </si>
  <si>
    <t>Lim. Superior</t>
  </si>
  <si>
    <t>SUPER EPI</t>
  </si>
  <si>
    <t>26.588.821/0001-84</t>
  </si>
  <si>
    <t>Conjunto Eletricista NR 10 Anti Chama com Faixa Refletiva</t>
  </si>
  <si>
    <t>https://www.superepi.com.br/conjunto-eletricista-cinza-nr10-risco-ii-atpv-11-0-com-refletivo-eqpro-ca-41146-e-41147-p1063829?tsid=16&amp;gclid=Cj0KCQiA8aOeBhCWARIsANRFrQHrab5Y1hsbAnHt9_qLCojDVoEnUG2m8xY3LjsaAeE3xxOeRb_iPbgaAjg8EALw_wcB</t>
  </si>
  <si>
    <t>Lim. Inferior</t>
  </si>
  <si>
    <t>UNI_MAT_002</t>
  </si>
  <si>
    <t>CAMISA BRIM MANGA CURTA COM BOTÃO, GOLA E BOLSO FRONTAL - UNIFORME PROFISSIONAL</t>
  </si>
  <si>
    <t>HM Uniformes</t>
  </si>
  <si>
    <t>28.978.952/0001-01</t>
  </si>
  <si>
    <t>21/07/2023</t>
  </si>
  <si>
    <t>Jaleco Brim Manga Curta Com 3 Bolsos Uniforme Profissional Cinza</t>
  </si>
  <si>
    <t>https://www.hmloja.com.br/camisas/camisas-brim/jaleco-brim-manga-curta-com-3-bolsos-uniforme-profissional-cinza?variant_id=1339</t>
  </si>
  <si>
    <t>FARDAS EXPRESS</t>
  </si>
  <si>
    <t>39.725.883/0001-32</t>
  </si>
  <si>
    <t>Camisa Profissional Mangas Curtas C/Botões Caqui</t>
  </si>
  <si>
    <t>https://www.fardasexpress.com.br/camisa-profissional-mangas-curtas-c-botoes-caqui-70268?utm_source=&amp;utm_medium=&amp;utm_campaign=&amp;gclid=Cj0KCQiA-K2MBhC-ARIsAMtLKRv26l7lyA6g9oGIl1RwJTbbXgRhst9dGyXhk8YlkPW-j7Fhe7tEEwUaAtBtEALw_wcB</t>
  </si>
  <si>
    <t>EQUIVALE</t>
  </si>
  <si>
    <t>CAMISA BRIM MANGA CURTA COM BOTÃO UNIFORME PROFISSIONAL</t>
  </si>
  <si>
    <t>https://www.equivale.com.br/vestimentas/camisas/camisa-brim-manga-curta-com-botao-uniforme-profissional</t>
  </si>
  <si>
    <t>UNI_MAT_003</t>
  </si>
  <si>
    <t>CINTO DE COURO BASICO PRETO 3,5CM LARGURA COM FIVELA EM ABS COMPRIMENTO 100CM. REF. FERRACINI OU SIMILAR</t>
  </si>
  <si>
    <t>VETERANO</t>
  </si>
  <si>
    <t>37.742.313/0001-25</t>
  </si>
  <si>
    <t>Cinto Couro BLACK</t>
  </si>
  <si>
    <t>https://www.useveterano.com.br/produto-cinto-blackout-couro-preto-fivela-preta-vtcto51pt?gclid=Cj0KCQiA8aOeBhCWARIsANRFrQGkeKUyHRS5SOLrtzLy-v21aGUTJQMmh3k88pa8NOYYEOG7wD6bybkaAm-_EALw_wcB</t>
  </si>
  <si>
    <t>NEW SUNSET</t>
  </si>
  <si>
    <t>34.204.485/0001-57</t>
  </si>
  <si>
    <t>Cinto Masculino de Couro Modelo John</t>
  </si>
  <si>
    <t>https://newsunset.com.br/products/cinto-masculino-de-couro-modelo-john?currency=BRL&amp;variant=42628977426689&amp;utm_medium=cpc&amp;utm_source=google&amp;utm_campaign=Google%20Shopping&amp;gclid=Cj0KCQjw08aYBhDlARIsAA_gb0cE3NYW8hHxlF5eNtzvAHAJKoHXSrbUYzcw14wAY2WlsPf6af8rbp4aAhuxEALw_wcB</t>
  </si>
  <si>
    <t>FERRACINI</t>
  </si>
  <si>
    <t>53.577.383/0006-36</t>
  </si>
  <si>
    <t xml:space="preserve">CINTO FERRACINI MASCULINO PRETO
</t>
  </si>
  <si>
    <t>https://www.ferracini.com.br/cinto-ferracini-masculino-fc565a/p</t>
  </si>
  <si>
    <t>UNI_MAT_004</t>
  </si>
  <si>
    <t>JAQUETA DE FRIO RISCO 2 NR 10 ANTI CHAMA</t>
  </si>
  <si>
    <t>NET EPI</t>
  </si>
  <si>
    <t>05.884.946/0003-43</t>
  </si>
  <si>
    <t>20/07/2023</t>
  </si>
  <si>
    <t xml:space="preserve">Camisa Eletricista Commanders Nr 10 Frcotton Cinza Chumbo Com Faixa C.A. 41836
</t>
  </si>
  <si>
    <t>https://www.netepi.com.br/vestimentas-de-seguranca/roupa-para-arco-eletrico/camisa-eletricista-commanders-nr-10-frcotton-cinza-chumbo-com-faixa-c-a-41836?variant_id=919&amp;parceiro=2479&amp;gclid=CjwKCAjwtuOlBhBREiwA7agf1iW0mM1k-y-EhjT7-4TU-fgcoPETeqf1spG6Zlb2xch807BytvNg4xoC80MQAvD_BwE</t>
  </si>
  <si>
    <t>SAFETY TRAB</t>
  </si>
  <si>
    <t xml:space="preserve"> 37.878.068/0001-88</t>
  </si>
  <si>
    <t>Camisa com Refletivo para Eletricista NR10 Cinza Maicol CA 44108</t>
  </si>
  <si>
    <t>https://safetytrab.com.br/produto/camisa-com-refletivo-para-eletricista-nr10-cinza-maicol-ca-44108/?attribute_tamanhos=P&amp;utm_source=Google%20Shopping_Feed_Pro&amp;utm_campaign=Google_Feed_Pro&amp;utm_medium=cpc_Feed_Pro&amp;utm_term=43072&amp;gclid=CjwKCAjwtuOlBhBREiwA7agf1ji7XT78ie78_WfItqu9LJpf5ddIh7FZAPfPJxyNmUClET7e87V4nRoCg34QAvD_BwE</t>
  </si>
  <si>
    <t>Zeus do Brasil</t>
  </si>
  <si>
    <t>82.699.588/0001-88</t>
  </si>
  <si>
    <t>Camisa eletricista NR10 risco 2 cinza claro classe 1 e 2 com refletivo laranja M CA 38905</t>
  </si>
  <si>
    <t>https://lojazeusdobrasil.com.br/produtos/detalhes/camisa-eletricista-nr10-risco-2-cinza-claro-classe-1-e-2-com-refletivo-laranja/?gclid=Cj0KCQiAq7COBhC2ARIsANsPATGTcAez0_dyIm24q8_J7AFShxn5ToZMp1N-3xJFvrGG0f7wURxKce4aAtkTEALw_wcB</t>
  </si>
  <si>
    <t>UNI_MAT_005</t>
  </si>
  <si>
    <t xml:space="preserve">CONJUNTO CALÇA E CAMISA MANGA LONGA BRIM </t>
  </si>
  <si>
    <t>MERCADO LIVRE</t>
  </si>
  <si>
    <t xml:space="preserve">03.007.331/0001-41
</t>
  </si>
  <si>
    <t>Kit Conjunto Uniforme Jaleco Camisa + Calça Brim Empresas</t>
  </si>
  <si>
    <t>https://produto.mercadolivre.com.br/MLB-2678462949-kit-conjunto-uniforme-jaleco-camisa-calca-brim-empresas-_JM?matt_tool=74052327&amp;matt_word=&amp;matt_source=google&amp;matt_campaign_id=14302214850&amp;matt_ad_group_id=124787834046&amp;matt_match_type=&amp;matt_network=g&amp;matt_device=c&amp;matt_creative=539425483915&amp;matt_keyword=&amp;matt_ad_position=&amp;matt_ad_type=pla&amp;matt_merchant_id=684966194&amp;matt_product_id=MLB2678462949-174644335349&amp;matt_product_partition_id=1799330811973&amp;matt_target_id=aud-387561341739:pla-1799330811973&amp;gclid=Cj0KCQiA8aOeBhCWARIsANRFrQHf5BH_GTaNPigDSPNcn3nV8sWzn10PfpJgK380qmWAUa0aYcfEqzYaAkuOEALw_wcB</t>
  </si>
  <si>
    <t>HM Uniformes, Calçados e EPI</t>
  </si>
  <si>
    <t>Conjunto Brim Uniforme Profissional Manga Longa Azul Marinho</t>
  </si>
  <si>
    <t>https://www.hmloja.com.br/conjunto-brim-uniforme-profissional-manga-longa-azul-marinho</t>
  </si>
  <si>
    <t>Magazine Luiza S/A</t>
  </si>
  <si>
    <t>47.960.950/1088-36</t>
  </si>
  <si>
    <t>Conjunto Brim Camisa Manga Longa e Calça Azul - Triane Roupas Funcionais</t>
  </si>
  <si>
    <t>https://www.magazineluiza.com.br/conjunto-brim-camisa-manga-longa-e-calca-azul-triane-roupas-funcionais/p/bk9165fe4d/pi/undo/</t>
  </si>
  <si>
    <t>UNI_MAT_006</t>
  </si>
  <si>
    <t>JAQUETA DE FRIO MICROFIBRA</t>
  </si>
  <si>
    <t>NETSHOES</t>
  </si>
  <si>
    <t>Jaqueta Masculina de Microfibra Rovitex Cinza</t>
  </si>
  <si>
    <t>https://www.netshoes.com.br/jaqueta-masculina-microfibra-malwee-cinza-E86-6256-010?campaign=gglepqpla&amp;srsltid=AeTuncqY5CATyPtaMGsrCg812fVqKfI-n7Ufnvlo0skNgG9-EjnGmyoHSs8</t>
  </si>
  <si>
    <t>CASAS BAHIA</t>
  </si>
  <si>
    <t>33.041.260/0652-90</t>
  </si>
  <si>
    <t>https://www.casasbahia.com.br/jaqueta-masculina-microfibra-malwee-1533931154/p/1533931154?utm_medium=Cpc&amp;utm_source=google_freelisting&amp;IdSku=1533931154&amp;idLojista=100218&amp;tipoLojista=3P</t>
  </si>
  <si>
    <t>PONTO FRIO</t>
  </si>
  <si>
    <t>https://www.pontofrio.com.br/jaqueta-masculina-microfibra-malwee-1533931154/p/1533931154?utm_medium=cpc&amp;utm_source=google_freelisting&amp;IdSku=1533931154&amp;idLojista=100218&amp;tipoLojista=3P</t>
  </si>
  <si>
    <t>MATERIAIS - CHILLER</t>
  </si>
  <si>
    <t>Filtro Y de 1.1/2"</t>
  </si>
  <si>
    <t>AMERICANAS S.A</t>
  </si>
  <si>
    <t>00.776.574/0006-60</t>
  </si>
  <si>
    <t>Filtro Y Tela Inox 1.1/2 Polegada</t>
  </si>
  <si>
    <t>https://www.americanas.com.br/produto/50360444?epar=bp_pl_00_go_pla_casaeconst_geral_gmv&amp;opn=YSMESP&amp;WT.srch=1&amp;gclid=CjwKCAiA5t-OBhByEiwAhR-hmz0EkP_eZ0_bE8k59PDX0cOrwYAQaSCnUFiQOUf4eC0OVeqn_IY5NxoCkkIQAvD_BwE</t>
  </si>
  <si>
    <t>HIDRO.ECO.BR</t>
  </si>
  <si>
    <t>19.365.983/0001-98</t>
  </si>
  <si>
    <t>Filtro Y latão tela inox GENEBRE</t>
  </si>
  <si>
    <t>https://www.hidro.eco.br/3302-filtro-y?utm_source=Site&amp;utm_medium=GoogleMerchant&amp;utm_campaign=GoogleMerchant&amp;sku=HGN330208&amp;gclid=EAIaIQobChMIyteL-57H-gIVROZcCh0j5QSIEAQYBCABEgJVNPD_BwE</t>
  </si>
  <si>
    <t>HIDRAUNET</t>
  </si>
  <si>
    <t>23.827.404/0001-59</t>
  </si>
  <si>
    <t>https://www.hidraunet.com.br/filtro-y-tela-inox-112-polegada.html</t>
  </si>
  <si>
    <t>Proteção Mecânica do isolamento, em alumínio liso espessUrí 0,5mm - 15M²</t>
  </si>
  <si>
    <t>TERAC</t>
  </si>
  <si>
    <t xml:space="preserve"> 29.002.845/0001-06</t>
  </si>
  <si>
    <t>Aluminio Liso Esp. 0,5mm - Bobina Com 15m2</t>
  </si>
  <si>
    <t>https://www.terac.com.br/aluminio/aluminio-liso/aluminio-liso-esp-0-5mm-bobina-com-15m2</t>
  </si>
  <si>
    <t xml:space="preserve"> 41.385.789/0001-23</t>
  </si>
  <si>
    <t>Aluminio Liso em Bobina - Espessura 0,5mm - Rolo 15m2</t>
  </si>
  <si>
    <t>https://www.totalisolamentos.com.br/aluminio/aluminio-liso/bobinas/aluminio-liso-em-bobina-espessura-0-5mm-rolo-15m2</t>
  </si>
  <si>
    <t>LEROY MERLIN</t>
  </si>
  <si>
    <t>01.438.784/0048-60</t>
  </si>
  <si>
    <t>Bobina Aluminio Liso 0,50 X 1000mm C/ 15m2 - Terac</t>
  </si>
  <si>
    <t>https://www.leroymerlin.com.br/bobina-aluminio-liso-0,50-x-1000mm-c--15m2-terac_1566973673</t>
  </si>
  <si>
    <t>Nitrogênio</t>
  </si>
  <si>
    <t xml:space="preserve">M³ </t>
  </si>
  <si>
    <t>COT. DIRETA</t>
  </si>
  <si>
    <t>BARÃO GASES</t>
  </si>
  <si>
    <t>05.073.749/0001-82</t>
  </si>
  <si>
    <t>NITROGÊNIO</t>
  </si>
  <si>
    <t>M3</t>
  </si>
  <si>
    <t>OXIMINAS GASES LTDA</t>
  </si>
  <si>
    <t> 08.434.780/0001-90</t>
  </si>
  <si>
    <t>OXIGÊNIO LONDRINA</t>
  </si>
  <si>
    <t>05.654.696/0001-93</t>
  </si>
  <si>
    <t>Termômetro Capela Reto Conexäo 1/2 BSP  Escala -10 A 50GR</t>
  </si>
  <si>
    <t>MADEIRA MADEIRA</t>
  </si>
  <si>
    <t>10.490.181/0001-35</t>
  </si>
  <si>
    <t>Termômetro Capela Angular 0 a 50 Graus Haste 50mm</t>
  </si>
  <si>
    <t>https://www.madeiramadeira.com.br/termometro-capela-angular-0-a-50-graus-haste-50mm-718340995.html?index=prod-poc-madeira</t>
  </si>
  <si>
    <t>CHILLER PEÇAS</t>
  </si>
  <si>
    <t xml:space="preserve">03.007.331/0001-41 </t>
  </si>
  <si>
    <t>Termômetro Capela Reto 50mm Range de 0 a 50°C</t>
  </si>
  <si>
    <t>https://www.chillerpecas.com.br/produtos/termometro-capela-reto-50mm-range-de-0-a-50c/?pf=gs&amp;variant=483815218&amp;gclid=CjwKCAjwtuOlBhBREiwA7agf1jwcOqG_Vqt34pq-CtTBxRATUWHbmnjVC-I2D7EKe4wbf2WmH6UD6xoCvpgQAvD_BwE</t>
  </si>
  <si>
    <t>Frio Shopping</t>
  </si>
  <si>
    <t>10.631.556/0001-30</t>
  </si>
  <si>
    <t>TERMÔMETRO CAPELA RETO 0 A 50 GRAUS HASTE 50MM</t>
  </si>
  <si>
    <t>https://www.frioshopping.com/ferramentas/termometro/termometro-capela-reto-0-a-50-graus-haste-50mm</t>
  </si>
  <si>
    <t>Tubo esponjoso l9mm para revest. de tubo de cobre 5/8", tipo armaftex</t>
  </si>
  <si>
    <t>FRIO PEÇAS</t>
  </si>
  <si>
    <t>09.316.105/0001-29</t>
  </si>
  <si>
    <t>Isolante Elastomérico Armaflex 5/8 19x15 Preto</t>
  </si>
  <si>
    <t>https://www.friopecas.com.br/isolante-elastomerico-armaflex-5-8-19-15-preto/p?idsku=144701&amp;gclid=Cj0KCQjw08aYBhDlARIsAA_gb0evovqp1ZuoZo0aK0MB0Nf-twfFiYLKn3QDBPfXxIdcGMGBH_StrnQaAryJEALw_wcB</t>
  </si>
  <si>
    <t>Tubo Isolante Astomerico Classi Armaflex 5/8 15mm Parede 9mm</t>
  </si>
  <si>
    <t>https://www.americanas.com.br/produto/1287590625?epar=bp_pl_00_go_cc_d_9100_n_comp_tk1&amp;opn=YSMESP&amp;WT.srch=1&amp;offerId=619e6a5dd9fd6edeec25d1a3&amp;gclid=Cj0KCQjw08aYBhDlARIsAA_gb0e8BEGkreTsCKN-TbB8D7SfaFRADJWRejWgE7dNh7OGwTyERBCnB-AaAlbdEALw_wcB</t>
  </si>
  <si>
    <t>Tubo Esponjoso Para Isolamento De Tubulação De Cobre 5/8</t>
  </si>
  <si>
    <t>https://produto.mercadolivre.com.br/MLB-1040083685-tubo-esponjoso-para-isolamento-de-tubulaco-de-cobre-58-_JM?matt_tool=18956390&amp;utm_source=google_shopping&amp;utm_medium=organic</t>
  </si>
  <si>
    <t>Tubo esponjoso 19mm para revest. de tubo de cobre 3/8", tipo armaflex</t>
  </si>
  <si>
    <t>Tubo Isolante Elastomérico Armaflex 3/8 Preto Esponjoso</t>
  </si>
  <si>
    <t>https://www.americanas.com.br/produto/3286608344?epar=bp_pl_00_go_pla_casaeconst_geral_gmv&amp;opn=YSMESP&amp;WT.srch=1&amp;gclid=CjwKCAiA5t-OBhByEiwAhR-hm8B8V83e7_ExUL2a31bC87gt-lIVWgG3Hr1xry-HcFYwQcULRjsx-hoCZz0QAvD_BwE</t>
  </si>
  <si>
    <t>https://www.casasbahia.com.br/tubo-isolante-elastomerico-armaflex-3-8-preto-esponjoso-c1brh010-1512726691/p/1512726691?utm_medium=Cpc&amp;utm_source=GP_PLA&amp;IdSku=1512726691&amp;idLojista=14785&amp;utm_campaign=3P_AllProducts_SSC&amp;gclid=CjwKCAiA5t-OBhByEiwAhR-hm3t2YZf4UHOpkJSYqk3tQxiUpndKXdx1Op6-JbdGgzwwAVOF72SZERoCFroQAvD_BwE</t>
  </si>
  <si>
    <t>EXTRA</t>
  </si>
  <si>
    <t>https://www.extra.com.br/tubo-isolante-elastomerico-armaflex-3-8-preto-esponjoso-c1brh010-1512726691/p/1512726691?utm_medium=cpc&amp;utm_source=GP_PLA&amp;IdSku=1512726691&amp;idLojista=14785&amp;utm_campaign=3P_ARVE_SSC&amp;gclid=CjwKCAiA5t-OBhByEiwAhR-hm9LkUfuq6fFUrAPx5FEZsT3r5C-pxaZxUJv-cGFTSjYgFO-HYzfyJBoC3xwQAvD_BwE</t>
  </si>
  <si>
    <t>Arruela lisa Ø 1/4” - cento</t>
  </si>
  <si>
    <t> COT. INTERNET</t>
  </si>
  <si>
    <t>ELETRORASTRO</t>
  </si>
  <si>
    <t>85.014.793/0007-46</t>
  </si>
  <si>
    <t>ARRUELA LISA ZINCADA 1/4 COM 100 UNIDADES MANUFATURADO</t>
  </si>
  <si>
    <t>https://www.eletrorastro.com.br/produto/arruela-lisa-zincada-1-4-com-100-unidades-manufaturado-85490</t>
  </si>
  <si>
    <t>Eletrodex Eletrônica LTDA EPP</t>
  </si>
  <si>
    <t>10.707.399/0001-07</t>
  </si>
  <si>
    <t>ARRUELA LISA</t>
  </si>
  <si>
    <t>https://www.eletrodex.net/acessorios/montagem/porcasparafusos/arruela-lisa?parceiro=2574</t>
  </si>
  <si>
    <t>ARTESANA</t>
  </si>
  <si>
    <t>55.010.060/0001-87</t>
  </si>
  <si>
    <t>Arruela lisa zincada 1/4</t>
  </si>
  <si>
    <t>https://www.artesana.com.br/produto/arruela-lisa-1-4-cento-65948</t>
  </si>
  <si>
    <t>Arruela lisa Ø 3/8”</t>
  </si>
  <si>
    <t>PIRES MARTINS</t>
  </si>
  <si>
    <t>58.512.658/0001-62</t>
  </si>
  <si>
    <t>Arruela Lisa 3/8 Pol. - 100 peças</t>
  </si>
  <si>
    <t>https://www.piresmartins.com.br/arruela-lisa-3-8-pol-100-pecas/p#7-7</t>
  </si>
  <si>
    <t> </t>
  </si>
  <si>
    <t>ARRUELA LISA ZINCADO 3/8 COM 100 HOST PARAFUSOS</t>
  </si>
  <si>
    <t>https://www.eletrorastro.com.br/produto/arruela-lisa-zincado-3-8-com-100-host-parafusos-91186</t>
  </si>
  <si>
    <t>ARRUELA LISA 3/8" (CENTO)</t>
  </si>
  <si>
    <t>https://www.artesana.com.br/produto/arruela-lisa-3-8-cento-65949?atributo=3/8":185</t>
  </si>
  <si>
    <t xml:space="preserve">Arruela lisa Ø 5/16” </t>
  </si>
  <si>
    <t>CASA ADROFECHA</t>
  </si>
  <si>
    <t>53.291.258/0001-50</t>
  </si>
  <si>
    <t>Arruela Lisa Zincada</t>
  </si>
  <si>
    <t>https://www.adrofecha.com.br/ferramentas-e-acessorios/manuais/fixacao/arruela-lisa-zincada?variant_id=623</t>
  </si>
  <si>
    <t> CCP PARAFUSOS E FERRAMENTAS</t>
  </si>
  <si>
    <t> 30.000.593/0001-57</t>
  </si>
  <si>
    <t> ARRUELA LISA 5/16 ZINCADA</t>
  </si>
  <si>
    <t>https://www.ccpvirtual.com.br/arruela-lisa-5-16-zincada/p</t>
  </si>
  <si>
    <t> LOJA ELÉTRICA LTDA</t>
  </si>
  <si>
    <t> 17.155.342/0010-74</t>
  </si>
  <si>
    <t> ARRUELA LISA GALVANIZADA D 5/16"</t>
  </si>
  <si>
    <t>http://www.lojaeletrica.com.br/arruela-lisa-galvanizada-d-516,product,2250200000050,dept,0.aspx</t>
  </si>
  <si>
    <t>Barra roscada Ø 1/2”com 1 metro - galvanizada</t>
  </si>
  <si>
    <t>PIRES MARTIINS</t>
  </si>
  <si>
    <t>BARRA ROSCADA UNC 1/2 X 1000</t>
  </si>
  <si>
    <t>https://www.piresmartins.com.br/barra-rosqueada-1-2-pol-unc/p/1644/</t>
  </si>
  <si>
    <t>Barra Roscada Unc - 1 Metro X 1/2 Galvanizada 1pç</t>
  </si>
  <si>
    <t>https://produto.mercadolivre.com.br/MLB-2132030925-barra-roscada-unc-1-metro-x-12-galvanizada-1pc-_JM?matt_tool=18956390&amp;utm_source=google_shopping&amp;utm_medium=organic</t>
  </si>
  <si>
    <t>JH FER</t>
  </si>
  <si>
    <t>29.790.857/0001-34</t>
  </si>
  <si>
    <t xml:space="preserve">Barra Roscada Ferro Zincada de 1 Metro 1/2" PolegadaCod. do Produto: 445 </t>
  </si>
  <si>
    <t>https://www.jhfer.com.br/barra-roscada-ferro-zincada-de-1-metro-1-2-polegada/p/445?c=16&amp;t=34</t>
  </si>
  <si>
    <t>Rebite de Repuxo 3,2 x 6,0mm - cento</t>
  </si>
  <si>
    <t>FERIMPORT</t>
  </si>
  <si>
    <t>01.791.324/0001-58</t>
  </si>
  <si>
    <t>Rebite de Repuxo Vonder 3,2 mm X 6 mm</t>
  </si>
  <si>
    <t>https://www.ferimport.com.br/rebite-de-repuxo-vonder-32-mm-x-6-mm/p?idsku=45975</t>
  </si>
  <si>
    <t>SHOPEE</t>
  </si>
  <si>
    <t>35.635.824/0001-12</t>
  </si>
  <si>
    <t>Rebite de Repuxo em Alumínio 3,2mm x 6,0mm, Preto Pacote com 100 peças Nove54</t>
  </si>
  <si>
    <t>https://shopee.com.br/Rebite-de-Repuxo-em-Alumínio-3-2mm-x-6-0mm--Preto-Pacote-com-100-peças-Nove54-i.288121706.18028866313</t>
  </si>
  <si>
    <t>DUTRA MAQUINAS</t>
  </si>
  <si>
    <t>50.970.342/0001-02</t>
  </si>
  <si>
    <t>Rebite de repuxo 3,2 x 6 mm embalagem com 100 peças</t>
  </si>
  <si>
    <t>https://www.dutramaquinas.com.br/p/rebite-de-repuxo-3-2-x-6-mm-embalagem-com-100-pecas-vd306-28-91-232-060</t>
  </si>
  <si>
    <t>Rebite de Repuxo 4,8 x 12mm - cento</t>
  </si>
  <si>
    <t>BRAFER</t>
  </si>
  <si>
    <t>12.058.950/0001-56</t>
  </si>
  <si>
    <t>Rebite Repuxo 4,8 X 12 Aluminio Natural 100 Unidade</t>
  </si>
  <si>
    <t>https://www.lojabrafer.com.br/rebite-repuxo-4-8-x-12-aluminio-natural-100-unidade/p/kit2059?c=5&amp;t=1018</t>
  </si>
  <si>
    <t>MAGAZINE LUIZA</t>
  </si>
  <si>
    <t>Rebite de Repuxo em Alumínio de 4 x 8 mm - 100 unidades - Royal</t>
  </si>
  <si>
    <t>https://www.magazineluiza.com.br/rebite-de-repuxo-em-aluminio-de-4-x-8-mm-100-unidades-royal/p/gbja7hf741/fs/rebr/?&amp;seller_id=royalmaquinas</t>
  </si>
  <si>
    <t>https://produto.mercadolivre.com.br/MLB-2131568447-rebite-repuxo-48-x-12-aluminio-natural-100-unidade-_JM?matt_tool=18956390&amp;utm_source=google_shopping&amp;utm_medium=organic</t>
  </si>
  <si>
    <t>Rebite de Repuxo 4,0 x 16,0mm - cento</t>
  </si>
  <si>
    <t>03.007.331/0001-41</t>
  </si>
  <si>
    <t>Rebite Repuxo De Alumínio 4,0x16,0mm Mandril Aço Com 100 Peç</t>
  </si>
  <si>
    <t>https://produto.mercadolivre.com.br/MLB-2147356561-rebite-repuxo-de-aluminio-40x160mm-mandril-aco-com-100-pec-_JM?matt_tool=54307261&amp;matt_word=&amp;matt_source=google&amp;matt_campaign_id=14302215582&amp;matt_ad_group_id=134553712748&amp;matt_match_type=&amp;matt_network=g&amp;matt_device=c&amp;matt_creative=539425529704&amp;matt_keyword=&amp;matt_ad_position=&amp;matt_ad_type=pla&amp;matt_merchant_id=110843732&amp;matt_product_id=MLB2147356561&amp;matt_product_partition_id=1402510728900&amp;matt_target_id=aud-315891067339:pla-1402510728900&amp;gclid=Cj0KCQjw08aYBhDlARIsAA_gb0ebVt-jsaxDu9IRUoH7i1nijstvv1QV3WV9tGM4F6uBKFXY2fHZebUaAgeLEALw_wcB</t>
  </si>
  <si>
    <t>Rebite Pop Repuxo Alumínio 416 - 4X16,0mm Com 100 Unidades</t>
  </si>
  <si>
    <t>https://www.americanas.com.br/produto/3248014027?epar=bp_pl_00_go_pla_casaeconst_geral_gmv&amp;opn=YSMESP&amp;WT.srch=1&amp;gclid=CjwKCAiA5t-OBhByEiwAhR-hmx4JmvpAFAgKITRO049OqfN5enO7SD68vDqhxPIjHklrXKRFDuihZhoCM5YQAvD_BwE</t>
  </si>
  <si>
    <t>SHOPTIME</t>
  </si>
  <si>
    <t>Rebite Pop Repuxo Alumínio 416 - 4X16,0Mm Com 100 Unidades</t>
  </si>
  <si>
    <t>https://www.shoptime.com.br/produto/3248014027?pfm_carac=rebite-pop-repuxo-aluminio-416-4x16-0mm-com-100-unidades&amp;pfm_index=5&amp;pfm_page=search&amp;pfm_pos=grid&amp;pfm_type=search_page&amp;offerId=609086e652131c3c81cab921</t>
  </si>
  <si>
    <t>Parafuso parabolt Ø 1/4” x 1.3/4”</t>
  </si>
  <si>
    <t>FERRAMENTAS KENNEDY</t>
  </si>
  <si>
    <t>08.858.579/0015-35</t>
  </si>
  <si>
    <t>Chumbador Parabolt 1/4" x 3.1/4" 100 peças Worker</t>
  </si>
  <si>
    <t>https://www.ferramentaskennedy.com.br/100057927/chumbador-parabolt-14-x-314-100-pecas-worker?gclid=CjwKCAjwtuOlBhBREiwA7agf1lK8V5WDaxfK11nS_dG3NCj5ufrp252JZXgKmz8uRtMIGhWK6MTGehoCO_IQAvD_BwE</t>
  </si>
  <si>
    <t>SUPER PRO</t>
  </si>
  <si>
    <t>08.858.579/0004-82</t>
  </si>
  <si>
    <t>CHUMBADOR PARABOLT 1/4" X 3.1/4" 100 PEÇAS WORKER</t>
  </si>
  <si>
    <t>https://www.superproatacado.com.br/6193/chumbador-parabolt-14-x-314-100-pecas-worker?gclid=CjwKCAjwtuOlBhBREiwA7agf1oUZOuElRt7xrD8kBVl_h6GRB2-7FQA1PysLS8T0f5-LtOAh8rNZoxoCl_8QAvD_BwE</t>
  </si>
  <si>
    <t>Chumbador Pba 1/4 X 3.1/4 C/porca E Arruela (100pçs) Ancora</t>
  </si>
  <si>
    <t>https://produto.mercadolivre.com.br/MLB-1060516407-chumbador-pba-14-x-314-cporca-e-arruela-100pcs-ancora-_JM?matt_tool=54307261&amp;matt_word=&amp;matt_source=google&amp;matt_campaign_id=14302215582&amp;matt_ad_group_id=150145935527&amp;matt_match_type=&amp;matt_network=g&amp;matt_device=c&amp;matt_creative=649558500197&amp;matt_keyword=&amp;matt_ad_position=&amp;matt_ad_type=pla&amp;matt_merchant_id=138926532&amp;matt_product_id=MLB1060516407&amp;matt_product_partition_id=1985503511994&amp;matt_target_id=aud-2009166904988:pla-1985503511994&amp;gclid=CjwKCAjwtuOlBhBREiwA7agf1t1l3fqPWxgPgVqJ_lGct9GZYbBr7eKSY6nauXe06dU-wr-eb3m_UhoCaPgQAvD_BwE</t>
  </si>
  <si>
    <t>Parafuso parabolt Ø 5/16”x 2”</t>
  </si>
  <si>
    <t>CCP Parafusos e Ferramentas</t>
  </si>
  <si>
    <t>30.000.593./0001- 57</t>
  </si>
  <si>
    <t>CHUMBADOR 5/16 X 2" -PBA / WB / TECBOLT - AÇO ZINCADO - PACOTE COM 1 PEÇA(S)</t>
  </si>
  <si>
    <t>https://www.ccpvirtual.com.br/chumbador-5-16-x-2-pba-wb-tecbolt-aco-zincado/p?idsku=57266&amp;gclid=CjwKCAiA5t-OBhByEiwAhR-hmwXGxKQCAY1_hnoDO_KyELpFPARp1KzDwmmanU6s-sDxdc2MV5VMTRoCLzQQAvD_BwE</t>
  </si>
  <si>
    <t>COPAL PARAFUSOS</t>
  </si>
  <si>
    <t>89.580.310/0001-36</t>
  </si>
  <si>
    <t>CHUMBADOR PBA 5/16 x 2</t>
  </si>
  <si>
    <t>https://www.copalparafusos.com.br/chumbador-pba-516-x-2?utm_camp=gshop&amp;idgrade=15272</t>
  </si>
  <si>
    <t>Anhanguera Ferramentas</t>
  </si>
  <si>
    <t xml:space="preserve"> 00.565.813/0001-29 </t>
  </si>
  <si>
    <t>CHUMBADOR CBV COM PRISIONEIRO 5/16'' 2921516750 VONDER</t>
  </si>
  <si>
    <t>https://www.anhangueraferramentas.com.br/produto/chumbador-cbv-com-prisioneiro-5-16-2921516750-vonder-111802</t>
  </si>
  <si>
    <t>Parafuso cabeça sextavada Ø 1/2" x 4"</t>
  </si>
  <si>
    <t>PARAFUSO FÁCIL</t>
  </si>
  <si>
    <t>01.056.640/0001-86</t>
  </si>
  <si>
    <t>Parafuso Sextavado UNC 1/2" X 4" Grau 2 Aço Carbono Zincado (Trivalente)</t>
  </si>
  <si>
    <t>https://www.parafusofacil.com.br/ProdutosDetalhes.php?Codigo=1097058&amp;gad=1&amp;gclid=Cj0KCQjw2eilBhCCARIsAG0Pf8tKz133H8TlGPDXIb_cNXRPdnGEkbmvs6PTWbEI8f6axcEUVe0FuaUaAuX0EALw_wcB</t>
  </si>
  <si>
    <t>JOFEPAR</t>
  </si>
  <si>
    <t>07.957.854/0001-00</t>
  </si>
  <si>
    <t>PARAFUSO SEXTAVADO FERRO WW ROSCA PARCIAL 1/2 X 4´´</t>
  </si>
  <si>
    <t>https://www.jofepar.com.br/parafuso-sextavado-ferro-ww-rosca-parcial-1-2-x-4-p578</t>
  </si>
  <si>
    <t>CCP PARAFUSOS E FERRAMENTAS</t>
  </si>
  <si>
    <t>PARAFUSO SEXTAVADO DE FERRO ROSCA PARCIAL 1/2-12 X 4 BSW ZINCADO</t>
  </si>
  <si>
    <t>https://www.ccpvirtual.com.br/parafuso-sextavado-de-ferro-rosca-parcial-1-2-12-x-4-bsw-zincado/p</t>
  </si>
  <si>
    <t>Parafuso cabeça sextavada Ø 1/4" x 4"</t>
  </si>
  <si>
    <t>COCAMAR</t>
  </si>
  <si>
    <t>79.114.450/0255-83</t>
  </si>
  <si>
    <t xml:space="preserve">Parafuso Sextavado Rosca Parcial 10mm X 40mm
</t>
  </si>
  <si>
    <t>https://www.lojacocamar.com.br/parafuso-sextavado-rosca-parcial-10mm-x-40mm/p?idsku=2561</t>
  </si>
  <si>
    <t>PARAFUSO SEXTAVADO ROSCA INTEIRA 1/4 X 2" INOX - 100 Pçs</t>
  </si>
  <si>
    <t>https://www.jofepar.com.br/parafuso-inox-304-sextavado-rosca-inteira-unc-1-4-x-2-1-2-p4082?gclid=Cj0KCQjw08aYBhDlARIsAA_gb0cwK46Kl3IL-d85emEtiAC263NvBv3rSstkTGMwYbVG1svYkdEEfmcaApXBEALw_wcB</t>
  </si>
  <si>
    <t>Parafuso Sextavado Inox 304 Rosca Total Polegada</t>
  </si>
  <si>
    <t>https://www.jofepar.com.br/parafuso-latao-sextavado-1-4-x-3-4-p3762</t>
  </si>
  <si>
    <t>Parafuso cabeça sextavada Ø 3/8" x 1.1/4"</t>
  </si>
  <si>
    <t>PARAFUSO SEXTAVADO FERRO UNC ROSCA INTEIRA 3/8 X 1.1/4´´</t>
  </si>
  <si>
    <t>https://www.jofepar.com.br/parafuso-sextavado-ferro-unc-rosca-inteira-3-8-x-1-1-4-p563</t>
  </si>
  <si>
    <t xml:space="preserve">Parafuso Sextavado 3/8 X 1.1/4 Rosca Inteira Zincado BrancoCod. do Produto: 564 </t>
  </si>
  <si>
    <t>https://www.lojabrafer.com.br/parafuso-sextavado-3-8-x-1-1-4-rosca-inteira-zincado-branco/p/564?c=1&amp;t=286</t>
  </si>
  <si>
    <t>Parafuso Sextavado UNC 3/8" X 1.1/4" Grau 2 Ferro Zincado (Trivalente)</t>
  </si>
  <si>
    <t>https://www.parafusofacil.com.br/ProdutosDetalhes.php?Codigo=1097229</t>
  </si>
  <si>
    <t>Porca sextavada Ø 1/4” - cento</t>
  </si>
  <si>
    <t xml:space="preserve">ARTESANA DIVISORIAS E FORROS </t>
  </si>
  <si>
    <t>PORCA SEXTAVADA 1/4 (CENTO)</t>
  </si>
  <si>
    <t>https://www.artesana.com.br/produto/porca-sextavada-1-4-cento-65978</t>
  </si>
  <si>
    <t>Porca Sextavada Zincada 1/4 Com 100 Peças</t>
  </si>
  <si>
    <t>https://www.leroymerlin.com.br/porca-sextavada-zincada-1-4--com-100-pecas_1567002571</t>
  </si>
  <si>
    <t>PORCA SEXTAVADA 1/4 (100pç)</t>
  </si>
  <si>
    <t>https://www.artesana.com.br/produto/porca-sextavada-1-4-cento-65978?utm_source=&amp;utm_medium=&amp;utm_campaign=</t>
  </si>
  <si>
    <t>Porca sextavada Ø 3/8” - cento</t>
  </si>
  <si>
    <t>HIPERFER</t>
  </si>
  <si>
    <t>29.641.894/0001-80</t>
  </si>
  <si>
    <t>Porca Sextavada 3/8’’ Zincada, Rosca UNC Caixa com 100 Peças Ciser</t>
  </si>
  <si>
    <t>https://www.hiperfer.com.br/porca-sextavada-3-8-zincada-rosca-unc-caixa-com-100-pecas-ciser?utm_source=google&amp;utm_medium=Shopping&amp;utm_campaign=porca-sextavada-3-8-zincada-rosca-unc-caixa-com-100-pecas-ciser&amp;inStock</t>
  </si>
  <si>
    <t>CASELAR</t>
  </si>
  <si>
    <t xml:space="preserve"> 05.101.950/0001-26</t>
  </si>
  <si>
    <t>Porca Sext Unc 3/8 Zb (cento)</t>
  </si>
  <si>
    <t>https://www.caselar.com.br/produtos/ver/3096/porca-sext-unc-3-8-zb-cento--tracking-google-shopping?gclid=CjwKCAiA5t-OBhByEiwAhR-hmxRC6hV0OkSvqysNtI3Fh1pRcbPc2LTeiedh1Sr9-VYnJnR_0uOjMxoC3sAQAvD_BwE#.YdhtO_7MKUk</t>
  </si>
  <si>
    <t>IMPERATRIZ IMPORTADOS</t>
  </si>
  <si>
    <t>25.152.772/0001-70</t>
  </si>
  <si>
    <t>PORCA SEXTAVADA GALVANIZADA 3/8″ CHAVE 9/16″ 100 PEÇAS</t>
  </si>
  <si>
    <t>https://imperatrizimportados.com.br/produto/porca-sextavada-galvanizada-3-8-chave-9-16-100-pecas/</t>
  </si>
  <si>
    <t>Manta de borracha 3,2mm X 1m</t>
  </si>
  <si>
    <t xml:space="preserve">M </t>
  </si>
  <si>
    <t>PIATÃ</t>
  </si>
  <si>
    <t>02.939.491/0001-66</t>
  </si>
  <si>
    <t>26/07/2023</t>
  </si>
  <si>
    <t>Lençol de Borracha 3,2 mm Espessura x 1 metro de largura (vendido por metro) - Orion</t>
  </si>
  <si>
    <t>https://www.piatatem.com.br/lencol-de-borracha-3-2-mm-espessura-x-1-metro-de-largura--vendido-por-metro----orion-51740664?parceiro=5635&amp;srsltid=ASuE1wTUBlfX11Xb9HyKgXFCdH-PG1N04JUkGEZ5gdYgayKceAi9c7FfAj0</t>
  </si>
  <si>
    <t>ROTA 166</t>
  </si>
  <si>
    <t>Lençol Borracha 3,2mm de Espessura x 1,00 metro Largura com Lona - Orion (Venda por Metro)</t>
  </si>
  <si>
    <t>https://www.rota166.com.br/lencol-borracha-3-2mm-de-espessura-x-1-00-metro-largura-com-lona-orion?parceiro=4956&amp;gad=1&amp;gclid=Cj0KCQjw2eilBhCCARIsAG0Pf8sT-AxGvPkD0b0bVVYspvkzdGcH6H7nnG4wGRU8SD3ObO-htnKum0MaAqIeEALw_wcB</t>
  </si>
  <si>
    <t>MAGALU</t>
  </si>
  <si>
    <t>Lençol Borracha Orion Natural Nr1087 3,2mm 1,0mm 10 Metros</t>
  </si>
  <si>
    <t>https://www.magazineluiza.com.br/lencol-borracha-orion-natural-nr1087-32mm-10mm-10-metros/p/jk3j13e531/fs/mtdb/?seller_id=sodivel&amp;region_id=123473&amp;utm_source=google&amp;utm_medium=pla&amp;utm_campaign=&amp;partner_id=69098&amp;gclid=Cj0KCQjwiIOmBhDjARIsAP6YhSW2aDvHCqPLLUMypi-qh3TRcc9DytVb3pPzoRe6kvBEfb0ET4Co3bMaAtJkEALw_wcB&amp;gclsrc=aw.ds</t>
  </si>
  <si>
    <t>Manta filtrante Poliéster</t>
  </si>
  <si>
    <t>MAGAZINE LUIZA S/A</t>
  </si>
  <si>
    <t>Manta Filtrante Poliéster P/cabines De Pintura E Ar (5x1m) - AGS FILTROS</t>
  </si>
  <si>
    <t>https://www.magazineluiza.com.br/manta-filtrante-poliester-p-cabines-de-pintura-e-ar-5x1m-ags-filtros/p/da3ka0dg8k/pi/mpsu/?&amp;seller_id=agsfiltros</t>
  </si>
  <si>
    <t>EMBRAR</t>
  </si>
  <si>
    <t>03.343.938/0001-00</t>
  </si>
  <si>
    <t>Manta Filtrante Poliéster Branca G3 1,50M X 20M</t>
  </si>
  <si>
    <t>https://www.embrar.com.br/manta-isolamento-branca/p?idsku=14496</t>
  </si>
  <si>
    <t>Manta Filtrante Poliéster G3 G4 Cabine Pintura Ar Cond10x1,5</t>
  </si>
  <si>
    <t>https://produto.mercadolivre.com.br/MLB-2704500315-manta-filtrante-poliester-g3-g4-cabine-pintura-ar-cond10x15-_JM?matt_tool=18956390&amp;utm_source=google_shopping&amp;utm_medium=organic</t>
  </si>
  <si>
    <t>Óleo lubrificante SAE 90</t>
  </si>
  <si>
    <t>L</t>
  </si>
  <si>
    <t>JOCAR</t>
  </si>
  <si>
    <t>43.130.186/0005-30</t>
  </si>
  <si>
    <t xml:space="preserve">Óleo do câmbio - Texaco - universal EP SAE 90 - 1 Litro - cada (unidade) - 703297
</t>
  </si>
  <si>
    <t>https://www.jocar.com.br/produto/703297-oleo-do-cambio-texaco-universal-ep-sae-90-1-litro-703297/?ORG=4&amp;gclid=CjwKCAiAz--OBhBIEiwAG1rIOlaJ2unxUkn2D2eF71Sd8Eiv5SC_PYg1l7m5R9dK_T2psOjusjyq8xoCVDQQAvD_BwE</t>
  </si>
  <si>
    <t>Óleo Lubrificante Mineral SAE 90 API GL-5 Thor 1 litro</t>
  </si>
  <si>
    <t>https://www.magazineluiza.com.br/oleo-lubrificante-mineral-sae-90-api-gl-5-thor-1-litro/p/ha7dc101hh/au/lbau/</t>
  </si>
  <si>
    <t>Óleo Lubrificante Engrenagem Sae 90 Lubrax Gl 5 20 Litros</t>
  </si>
  <si>
    <t>https://produto.mercadolivre.com.br/MLB-2725065874-oleo-lubrificante-engrenagem-sae-90-lubrax-gl-5-20-litros-_JM?matt_tool=18956390&amp;utm_source=google_shopping&amp;utm_medium=organic</t>
  </si>
  <si>
    <t>Parafuso sextavado rosca parcial 5/16" x 3"</t>
  </si>
  <si>
    <t>PARAFUSO SEXTAVADO FERRO UNC ROSCA PARCIAL 5/16 X 3 - 20 Pçs</t>
  </si>
  <si>
    <t>https://www.jofepar.com.br/parafuso-sextavado-ferro-unc-rosca-parcial-5-16-x-3-p619</t>
  </si>
  <si>
    <t>VEMKITEM</t>
  </si>
  <si>
    <t>01.787.508/0001-44</t>
  </si>
  <si>
    <t>Parafuso com Porca Cabeça Sextavado 5/16″ X 3″ - 20 Pçs</t>
  </si>
  <si>
    <t>https://vemkitem.com/produto/parafuso-com-porca-cabeca-sextavado-5-16-x-3/</t>
  </si>
  <si>
    <t>Parafuso Sextavado Rosca Parcial 5/16 X 3 Zincado - 20 Pçs</t>
  </si>
  <si>
    <t>https://produto.mercadolivre.com.br/MLB-1764067971-parafuso-sextavado-rosca-parcial-516-x-3-zincado-20-pcs-_JM?matt_tool=18956390&amp;utm_source=google_shopping&amp;utm_medium=organic</t>
  </si>
  <si>
    <t>Detergente Desincrustante Profissional limpa metal 5L. Ref: Thilex, Solupan, Metasil ou similar</t>
  </si>
  <si>
    <t>FRIOPEÇAS</t>
  </si>
  <si>
    <t>Detergente Desincrustante Profissional Jato Plus</t>
  </si>
  <si>
    <t>https://www.friopecas.com.br/detergente-desincrustante-profissional-jato-plus/p?idsku=108377&amp;gclid=CjwKCAiA4veMBhAMEiwAU4XRr-6A6Rkqkerd6d2rEXj6BYygi_ONJCaNQUugklAtoeaHh6zKM0JdixoC660QAvD_BwE</t>
  </si>
  <si>
    <t>MULTIFRIO</t>
  </si>
  <si>
    <t>57.704.363/0001-25</t>
  </si>
  <si>
    <t>Metasil Jato Plus Detergente Desengraxante 5 Litros</t>
  </si>
  <si>
    <t>https://www.multifrioshop.com/acessorios-ar-condicionado/higienizacao/metasil-jato-plus-detergente-desengraxante-5-litros?parceiro=2316&amp;gclid=CjwKCAiA4veMBhAMEiwAU4XRr3AaZmH0Z7TOgjb4AC4wtwuAzO5eD2OVI0WC0xIOgxI4ErmuAqA7GBoCZiIQAvD_BwE</t>
  </si>
  <si>
    <t>SAMATEC</t>
  </si>
  <si>
    <t>03.526.735/0001-41</t>
  </si>
  <si>
    <t>DETERGENTE PROFISSIONAL DESINCRUSTANTE JATO PLUS METASIL</t>
  </si>
  <si>
    <t>https://www.samatec.com.br/detergente-profissional-desincrustante-jato-plus-metasil-/p?idsku=2003212</t>
  </si>
  <si>
    <t>Vaselina Sólida 3kg</t>
  </si>
  <si>
    <t>Vaselina Sólida Industrial Branca 3Kg - Resim</t>
  </si>
  <si>
    <t>https://www.magazineluiza.com.br/vaselina-solida-industrial-branca-3-kg-v11g-resim/p/ge361b81f3/pa/pats/</t>
  </si>
  <si>
    <t>Vaselina Sólida Industrial Econômica - 3,00kg</t>
  </si>
  <si>
    <t>https://www.casasbahia.com.br/vaselina-solida-industrial-economica-300kg-1519446465/p/1519446465?utm_medium=Cpc&amp;utm_source=google_freelisting&amp;IdSku=1519446465&amp;idLojista=16521</t>
  </si>
  <si>
    <t>TUDOFER COMERCIO DE FERRAMENTAS</t>
  </si>
  <si>
    <t>10.189.395/0001-76</t>
  </si>
  <si>
    <t>Vaselina Sólida Industrial Viluz Balde C/ 3kg</t>
  </si>
  <si>
    <t>https://www.tudodeferramentas.com.br/vaselina-solida-industrial-viluz-balde-c-3kg?utm_source=Site&amp;utm_medium=GoogleMerchant&amp;utm_campaign=GoogleMerchant</t>
  </si>
  <si>
    <t>Lâmina para Serra</t>
  </si>
  <si>
    <t>Lâmina Para Arco De Serra 24t 300mm Com 3 Peças Na Cartela StarTools</t>
  </si>
  <si>
    <t>https://shopee.com.br/product/441876138/11010174261</t>
  </si>
  <si>
    <t xml:space="preserve"> 00.915.086/0001-82</t>
  </si>
  <si>
    <t xml:space="preserve">Lâmina Serra Manual Bimetálica 12''-305Mm 18 Dentes Collins
</t>
  </si>
  <si>
    <t>https://www.ferramentaskennedy.com.br/100072566/lamina-serra-manual-bimetalica-12-305mm-18-dentes-collins?utm_source=google&amp;utm_medium=cpc&amp;utm_campaign=google_shop</t>
  </si>
  <si>
    <t>Lâmina Para Arco De Serra 12 Pol. Multiuso Profissional 3pcs - Aço Forte</t>
  </si>
  <si>
    <t>https://www.magazineluiza.com.br/lamina-para-arco-de-serra-12-pol-multiuso-profissional-3pcs-aco-forte/p/cgh0a6bgh1/fs/adsr/?&amp;seller_id=raip</t>
  </si>
  <si>
    <t>Grelha de Insuflamento 40x40</t>
  </si>
  <si>
    <t>RPS COMERCIAL</t>
  </si>
  <si>
    <t>23.990.263/0001-90</t>
  </si>
  <si>
    <t>Grelha Grade De Insuflamento Ar Climatizado Etc 40 X 40 Cm</t>
  </si>
  <si>
    <t>https://www.rpsar.com.br/MLB-1660996242-grelha-grade-de-insuflamento-ar-climatizado-etc-40-x-40-cm-_JM</t>
  </si>
  <si>
    <t>https://produto.mercadolivre.com.br/MLB-1660996242-grelha-grade-de-insuflamento-ar-climatizado-etc-40-x-40-cm-_JM?matt_tool=40343894&amp;matt_word=&amp;matt_source=google&amp;matt_campaign_id=14303413655&amp;matt_ad_group_id=125984293117&amp;matt_match_type=&amp;matt_network=g&amp;matt_device=c&amp;matt_creative=539354956680&amp;matt_keyword=&amp;matt_ad_position=&amp;matt_ad_type=pla&amp;matt_merchant_id=284595280&amp;matt_product_id=MLB1660996242&amp;matt_product_partition_id=1404886571418&amp;matt_target_id=pla-1404886571418&amp;gclid=CjwKCAiAz--OBhBIEiwAG1rIOg9BIAd3BfAUQkaZhnmltZCML_6MZeHMFo3uKtNYhgTC0uAVmzz7mxoCyeIQAvD_BwE</t>
  </si>
  <si>
    <t xml:space="preserve">NOVA EXAUSTORES </t>
  </si>
  <si>
    <t>08.022.764/0001-90</t>
  </si>
  <si>
    <t>GRELHA SIMPLES DEFLEXÃO EM ALUMINIO ANODIZADO FOSCO</t>
  </si>
  <si>
    <t>https://www.novaexaustores.com.br/acessorios-pventilacao-e-exaustao/grelha-simples-deflexao-em-aluminio-anodizado-fosco?variant_id=4064</t>
  </si>
  <si>
    <t>SENSOR TEMPERATURA 30RB 10M</t>
  </si>
  <si>
    <t>Sensor Com Cabo Ntc Hitachi Chiller Hle7707c Modelo Rcu15iasa7l</t>
  </si>
  <si>
    <t>https://www.americanas.com.br/produto/80830312?opn=YSMESP</t>
  </si>
  <si>
    <t>Sensor Com Cabo Ntc Hitachi Chiller Hle7707c Rcu15iasa7l</t>
  </si>
  <si>
    <t>https://produto.mercadolivre.com.br/MLB-1722306918-sensor-com-cabo-ntc-hitachi-chiller-hle7707c-rcu15iasa7l-_JM?matt_tool=18956390&amp;utm_source=google_shopping&amp;utm_medium=organic</t>
  </si>
  <si>
    <t>Sensor Com Cabo NTC Hitachi Chiller HLE7707C Modelo RCU15IASA7L</t>
  </si>
  <si>
    <t>https://www.magazineluiza.com.br/sensor-com-cabo-ntc-hitachi-chiller-hle7707c-modelo-rcu15iasa7l/p/ck82b5fk2d/au/stau/?&amp;seller_id=frioshopping</t>
  </si>
  <si>
    <t>CONECTOR TRANSDUTOR  DE PRESSAO</t>
  </si>
  <si>
    <t>RIO PRETO AR</t>
  </si>
  <si>
    <t>11.216.411/0001-35</t>
  </si>
  <si>
    <t>CABO CARRIER CONECTOR TRANSDUTOR DE PRESSAO (CABO)</t>
  </si>
  <si>
    <t>https://www.riopretoar.com.br/index.php/conector-carrier-transdutor-de-pressao-cabo-conector-carrier-transdutor-de-pressao-cabo.html</t>
  </si>
  <si>
    <t>Cabo Para Transdutor De Pressão Prvz-lf 3 X0.2mm Omron</t>
  </si>
  <si>
    <t>https://produto.mercadolivre.com.br/MLB-1698673353-cabo-para-transdutor-de-presso-prvz-lf-3-x02mm-omron-_JM?searchVariation=67066000021#searchVariation=67066000021&amp;position=25&amp;search_layout=stack&amp;type=item&amp;tracking_id=37b76be3-a88a-434d-86b9-18a257f5b793</t>
  </si>
  <si>
    <t>CP AUTOMAÇÃO</t>
  </si>
  <si>
    <t>07.159.095/0001-30</t>
  </si>
  <si>
    <t>CABO PARA TRANSDUTOR DE PRESSÃO PRVZ-LF 3 X0.2MM OMRON</t>
  </si>
  <si>
    <t>https://www.cpautomacao.com.br/produto/cabo-para-transdutor-de-pressao-prvz-lf-3-x02mm-omron/</t>
  </si>
  <si>
    <t>CABO/CONECTOR  DO SENSOR NACIONAL</t>
  </si>
  <si>
    <t>ENGETRONIC</t>
  </si>
  <si>
    <t>07.242.853/0001-89</t>
  </si>
  <si>
    <t>Cabo de 2m com Conector M8 180º / 4 vias - V31-GM-2M-PVC (109029)</t>
  </si>
  <si>
    <t>https://www.engetronic-sc.com.br/produtos/ver/352/cabo-para-sensor-conector-m8-angular-4-pinos-2-metros-v31wm2mpvc-pf-109032-</t>
  </si>
  <si>
    <t>R.E. Control Store</t>
  </si>
  <si>
    <t>39.661.406/0001-50</t>
  </si>
  <si>
    <t>CABO CONECTOR M8 CL3-8 3 PINOS FEMEA ANGULAR 90 2m</t>
  </si>
  <si>
    <t>https://www.recontrolstore.com.br/cabos-acessorios/cabo-conector-m8-3p-pinos-p-sensores-angulo-90-3-fios-2m?parceiro=9459</t>
  </si>
  <si>
    <t>VIEWTECH</t>
  </si>
  <si>
    <t>07.327.325/0001-22</t>
  </si>
  <si>
    <t>Cabo para Sensor M12 4 pinos Fêmea 2m 250V 4A Pepperl Fuchs</t>
  </si>
  <si>
    <t>https://www.viewtech.ind.br/catalog/product/view/id/4925/s/conector-femea-m12-4-pinos-2m-250vca-vcc-4a-pepperl-fuchs-vt/?utm_source=&amp;utm_medium=&amp;utm_campaign=&amp;utm_term=&amp;utm_content=&amp;gclid=CjwKCAiAz--OBhBIEiwAG1rIOlB2AEt_1DY0FsI6OsvmC_0IRD3w48iQbAm5DkZXjHX9wK3UdyE2zBoCJ_QQAvD_BwE</t>
  </si>
  <si>
    <t xml:space="preserve">TRANSD DE BAIXA PRESSAO </t>
  </si>
  <si>
    <t>Transdutor De Pressao De Baixa (19240044 )(1,759)</t>
  </si>
  <si>
    <t>https://produto.mercadolivre.com.br/MLB-1591687948-transdutor-de-pressao-de-baixa-19240044-1759-_JM?matt_tool=18956390&amp;utm_source=google_shopping&amp;utm_medium=organic</t>
  </si>
  <si>
    <t>TOTAL AR</t>
  </si>
  <si>
    <t>06.928.749/0001-80</t>
  </si>
  <si>
    <t>TRANSDUTOR DE PRESSAO DE BAIXA (19240044 )</t>
  </si>
  <si>
    <t>https://www.totalar.net/produtos/transdutor-de-pressao-de-baixa-19240044/</t>
  </si>
  <si>
    <t>IMPACTO REFRIGERAÇAO</t>
  </si>
  <si>
    <t>10.419.473/0001-81</t>
  </si>
  <si>
    <t>Transdutor Oleo Pressão Alta/Baixa 39301023 Chiller Carrier</t>
  </si>
  <si>
    <t>https://www.impactorefrigeracao.com.br/produto/transdutor-oleo-pressao-altabaixa-39301023-chiller-carrier.html?utm_source=Site&amp;utm_medium=GoogleMerchant&amp;utm_campaign=GoogleMerchant</t>
  </si>
  <si>
    <t>FILTRO SECADOR SMICRONS CHILLER 30XA</t>
  </si>
  <si>
    <t>M&amp;A CHILLER</t>
  </si>
  <si>
    <t>47.283.230/0001-79</t>
  </si>
  <si>
    <t>Filtro De Óleo Externo Carrier Chiller 30gx E 30hx</t>
  </si>
  <si>
    <t>https://nema4852381.mercadoshops.com.br/MLB-1951415210-filtro-de-oleo-externo-carrier-chiller-30gx-e-30hx-_JM</t>
  </si>
  <si>
    <t>Filtro Secador Chiller Carrie Kh45le120 ( C-415)</t>
  </si>
  <si>
    <t>https://produto.mercadolivre.com.br/MLB-1951415210-filtro-de-oleo-externo-carrier-chiller-30gx-e-30hx-_JM?matt_tool=36571132&amp;matt_word=&amp;matt_source=google&amp;matt_campaign_id=14303413676&amp;matt_ad_group_id=125984296077&amp;matt_match_type=&amp;matt_network=g&amp;matt_device=c&amp;matt_creative=539354956920&amp;matt_keyword=&amp;matt_ad_position=&amp;matt_ad_type=pla&amp;matt_merchant_id=500176569&amp;matt_product_id=MLB1951415210&amp;matt_product_partition_id=1639321648021&amp;matt_target_id=aud-1439668500373:pla-1639321648021&amp;gclid=Cj0KCQjw08aYBhDlARIsAA_gb0fMPP0UfesRKuvS_Q9K-xSxju-THTlOXfcGHkIoMdrEqVkUKglYuBsaAk5_EALw_wcB</t>
  </si>
  <si>
    <t>FILTRO CARRIER DE OLEO EXTERNO SORLAN</t>
  </si>
  <si>
    <t>https://www.riopretoar.com.br/index.php/filtro-oleo-sporlan-parker-carrier-externo-30-hx-130-chilers-3194.html</t>
  </si>
  <si>
    <t>CHAVE DE FLUXO DE AGUA ELET.</t>
  </si>
  <si>
    <t xml:space="preserve">Chave De Fluxo Fluxostato Água Mod. Imp-23 220v 1
</t>
  </si>
  <si>
    <t>https://produto.mercadolivre.com.br/MLB-1689328399-chave-de-fluxo-fluxostato-agua-mod-imp-23-220v-1-_JM?matt_tool=14804773&amp;matt_word=&amp;matt_source=google&amp;matt_campaign_id=14302215543&amp;matt_ad_group_id=134553705348&amp;matt_match_type=&amp;matt_network=g&amp;matt_device=c&amp;matt_creative=539425529185&amp;matt_keyword=&amp;matt_ad_position=&amp;matt_ad_type=pla&amp;matt_merchant_id=134389638&amp;matt_product_id=MLB1689328399&amp;matt_product_partition_id=1404320022641&amp;matt_target_id=aud-395642386021:pla-1404320022641&amp;gclid=Cj0KCQjw08aYBhDlARIsAA_gb0fe_IL_QmDMbmYMBDeYMLLlXR595B1UQPnePLrvW1UcPe1Mf9Lu2X0aAiJoEALw_wcB</t>
  </si>
  <si>
    <t xml:space="preserve">03.343.938/0001-00 </t>
  </si>
  <si>
    <t xml:space="preserve">Chave de Fluxo (Fluxostato) Tipo Palheta 1”
</t>
  </si>
  <si>
    <t>https://www.embrar.com.br/chave-de-fluxo-fluxostato/p?idsku=13295</t>
  </si>
  <si>
    <t>Quality Tubos</t>
  </si>
  <si>
    <t>29.851.289/0001-34</t>
  </si>
  <si>
    <t xml:space="preserve">Chave de Fluxo de 1"
</t>
  </si>
  <si>
    <t>https://www.lojaqualitytubos.com.br/chave-de-fluxo-de-1-p995610?utm_source=google&amp;utm_medium=upc&amp;utm_campaign=qualitytubos&amp;gclid=CjwKCAiAz--OBhBIEiwAG1rIOrwFp0amLYH_Q9-fEcXJQCH8l8tm_rVSzPEEiVDaJn2karIaaHNxNxoCLX4QAvD_BwE</t>
  </si>
  <si>
    <t>BOBINA DA SOLENOIDE 24V - COMPR. 06T/06N</t>
  </si>
  <si>
    <t xml:space="preserve">Bobina Solenoide 24VCC para Válvula Pneumática Festo MSFWG
</t>
  </si>
  <si>
    <t>https://www.viewtech.ind.br/catalog/product/view/id/3913/s/bobina-solenoide-24vcc-para-valvula-pneumatica-festo-msfwg/?utm_source=&amp;utm_medium=&amp;utm_campaign=&amp;utm_term=&amp;utm_content=&amp;gclid=CjwKCAiAz--OBhBIEiwAG1rIOiHounVYh1BgjC5CMF_TbEJYcyFN7OWL3fPLQC8JGughidHCHgq-sBoC4tQQAvD_BwE</t>
  </si>
  <si>
    <t>CANAL AGRÍCOLA</t>
  </si>
  <si>
    <t>17.326.065/0001-24</t>
  </si>
  <si>
    <t xml:space="preserve">Válvula Solenóide 24V 1" RainBird 100-HV (H01000)
</t>
  </si>
  <si>
    <t>https://www.canalagricola.com.br/valvula-solenoide-rainbird-100hv</t>
  </si>
  <si>
    <t>EBAY</t>
  </si>
  <si>
    <t>19.057.374/0001-71</t>
  </si>
  <si>
    <t>FESTO 42VAC 24VDC 4.5W 50/60HZ Bobina Solenóide, Msfg - 24/42-50/60-0D</t>
  </si>
  <si>
    <t>https://www.ebay.com/itm/185759180633?hash=item2b401c2759:g:4q0AAOSwM3Rj2sVN&amp;amdata=enc%3AAQAIAAAA0JKQZ19HVPPsJTKX5ks2aTh19cbLMxXmsdOGxGNN2k9IqkiuHiO3ubEj7KbevipeIyN8sX8xVSC89dP23SS8GdapMa8%2B43%2FRNHjBs4S%2Fpmux0u9%2FnUoMlTC%2BA7wqUYrTWxCO3h%2FlkWeCcrFedmgDj8oftAObOaCaktUPdVU1M4fgXsPJ15Wr%2BAotWcU1yHre3a0GYxPDQD2QUio9DZtPjAM9BQqf%2B20NRkQjQMQGnntPAnQud1NQvE0uP0EV3epkkGDEBBy9NSGdS8t0OgaJIA0%3D%7Ctkp%3ABFBMgOf2iq9i</t>
  </si>
  <si>
    <t>PRESSOSTATO DE ALTA 30XW STD - 203 PSIG</t>
  </si>
  <si>
    <t>Pressostato Cebolinha Alta - 200 Psi | 300 Psi - Rac 045210</t>
  </si>
  <si>
    <t>https://produto.mercadolivre.com.br/MLB-1963797965-pressostato-cebolinha-alta-200-psi-300-psi-rac-045210-_JM?matt_tool=25475285&amp;matt_word=&amp;matt_source=google&amp;matt_campaign_id=14303413805&amp;matt_ad_group_id=125984296757&amp;matt_match_type=&amp;matt_network=g&amp;matt_device=c&amp;matt_creative=539354956947&amp;matt_keyword=&amp;matt_ad_position=&amp;matt_ad_type=pla&amp;matt_merchant_id=358974374&amp;matt_product_id=MLB1963797965&amp;matt_product_partition_id=1402779085816&amp;matt_target_id=pla-1402779085816&amp;gclid=CjwKCAiA24SPBhB0EiwAjBgkhkRFCTxm2v3ijISzuwp29izo872RHQNOo6AdvI7aTWdutgX2rbFDNhoCZQ0QAvD_BwE</t>
  </si>
  <si>
    <t>Pressostato De Alta Texas 25PS06-0017</t>
  </si>
  <si>
    <t>https://shopee.com.br/product/330008689/10290537319</t>
  </si>
  <si>
    <t>FRIOPAR</t>
  </si>
  <si>
    <t>30.058.821/0001-40</t>
  </si>
  <si>
    <t>Pressostato de Alta R410 PC0004 Rosca</t>
  </si>
  <si>
    <t>https://frioparcomercial.com.br/produto/pressostato-de-alta-r410-pc0004-rosca/</t>
  </si>
  <si>
    <t>SERVIÇOS ESPECIALIZADOS - CHILLER</t>
  </si>
  <si>
    <t xml:space="preserve">SERVIÇO DE MANUTENÇÃO QUADRIMESTRAL contendo: 01 (um) Sistema de climatização central composto por 04 chillers (Marca HITACHI) com as seguintes capacidades: 01 chiller de 260 TR - RCU 260AZ4ATP; 01 chiller de 210 TR - RCU 210AZ4ATP; 02 chillers de 30 TR (apenas um funcionando) - RCU 030AS2ATP e 030AS2ATP; </t>
  </si>
  <si>
    <t xml:space="preserve">ANO </t>
  </si>
  <si>
    <t>JOHNSON CONTROLS</t>
  </si>
  <si>
    <t>33.284.522/0006-26</t>
  </si>
  <si>
    <t>19/07/2023</t>
  </si>
  <si>
    <t>MENSAL = 4.154,23</t>
  </si>
  <si>
    <t>ANO</t>
  </si>
  <si>
    <t>PREVENTIVA REFRIGERAÇÃO</t>
  </si>
  <si>
    <t>90.389.417/0001-02</t>
  </si>
  <si>
    <t>MENSAL = 6.065,00</t>
  </si>
  <si>
    <t>CENTRIVAC</t>
  </si>
  <si>
    <t>22.156.367/0001-31</t>
  </si>
  <si>
    <t>25/07/2023</t>
  </si>
  <si>
    <t>QUADRIMESTRAL = 22.650,69</t>
  </si>
  <si>
    <t>MATERIAIS - REFRIGERAÇÃO - SPLITS E ACJS</t>
  </si>
  <si>
    <t>COMPRESSOR CAPACIDADE 7.000 A 7.500 BTUS ROTATIVO R22 220V</t>
  </si>
  <si>
    <t>AMERICANAS</t>
  </si>
  <si>
    <t>Compressor Rotativo 7000/7500 Btus R-22 220V</t>
  </si>
  <si>
    <t>https://www.americanas.com.br/produto/5420739549?opn=YSMESP&amp;offerId=62ce7bd74862ecc395b3e2c1&amp;srsltid=AeTuncqJT65TuMKrshfTuCqDb1MsBImX_gnCnICf6ZBG9nc10by5GjTTBOw</t>
  </si>
  <si>
    <t>Compressor Rotativo Ar 7000 Btu 110v R410a Midea 05505098</t>
  </si>
  <si>
    <t>https://www.magazineluiza.com.br/compressor-rotativo-ar-7000-btu-110v-r410a-midea-05505098/p/ec769617ge/ar/arsp/</t>
  </si>
  <si>
    <t>Compressor Rotativo 7000/7500 Btus R-22 220v</t>
  </si>
  <si>
    <t>https://produto.mercadolivre.com.br/MLB-2687878176-compressor-rotativo-70007500-btus-r-22-220v-_JM#position=1&amp;search_layout=stack&amp;type=item&amp;tracking_id=b8c35627-1681-4cfa-a3b7-a684dbf88ff4</t>
  </si>
  <si>
    <t>COMPRESSOR CAPACIDADE 9.000 BTUS ROTATIVO R22 220V</t>
  </si>
  <si>
    <t>Compressor Rotativo Samsung 9.000 Btus R22 220V</t>
  </si>
  <si>
    <t>https://www.embrar.com.br//compressor-rotativo-9000-r22/p?idsku=12039</t>
  </si>
  <si>
    <t>AR TECH</t>
  </si>
  <si>
    <t>39.777.798/0001-18</t>
  </si>
  <si>
    <t>Compressor Rotativo 9kbtu R22 220v 60hz Rga5492eus Original W10339281</t>
  </si>
  <si>
    <t>https://www.lojaartech.com.br/compressor-rotativo-9kbtu-r22-220v-60hz-rga5492eus-original-w10339281</t>
  </si>
  <si>
    <t>Compressor Rotativo 9.000 Btu 220v R22 Ar Condicionado</t>
  </si>
  <si>
    <t>https://produto.mercadolivre.com.br/MLB-1092436977-compressor-rotativo-9000-btu-220v-r22-ar-condicionado-_JM?matt_tool=67377542&amp;matt_word=&amp;matt_source=google&amp;matt_campaign_id=14303413625&amp;matt_ad_group_id=135261093353&amp;matt_match_type=&amp;matt_network=g&amp;matt_device=c&amp;matt_creative=584295662777&amp;matt_keyword=&amp;matt_ad_position=&amp;matt_ad_type=pla&amp;matt_merchant_id=524013103&amp;matt_product_id=MLB1092436977&amp;matt_product_partition_id=1639350991621&amp;matt_target_id=aud-1010920718318:pla-1639350991621&amp;gclid=Cj0KCQjw08aYBhDlARIsAA_gb0fHGl-My8uD5Zn9tvkytBjMuGcdOECciVrnHsB5f7-Ixc_UT6BGRLYaAhj-EALw_wcB</t>
  </si>
  <si>
    <t>COMPRESSOR CAPACIDADE 12.000 BTUS ROTATIVO R22 220V</t>
  </si>
  <si>
    <t>Compressor Rotativo 12.000btus R22 220V LG QJ208KAC</t>
  </si>
  <si>
    <t>https://www.lojaartech.com.br/compressor-rotativo-12000btus-r22-220v-lg-qj208kac-?utm_source=google&amp;utm_medium=Shopping&amp;utm_campaign=compressor-rotativo-12000btus-r22-220v-lg-qj208kac-&amp;inStock&amp;parceiro=8962&amp;gclid=CjwKCAiAs92MBhAXEiwAXTi25yLRxi3Y0shY8JhR3SAIBzzh81w_DLLhAqDTfi3_8v8BHZRhOpD8PxoCY_oQAvD_BwE</t>
  </si>
  <si>
    <t>ompressor Rotativo 12.000btus R22 220V LG QJ208KAC - ARTECH</t>
  </si>
  <si>
    <t>https://www.magazineluiza.com.br/compressor-rotativo-12-000btus-r22-220v-lg-qj208kac-artech/p/fdja20d2kc/fs/cdar/?&amp;seller_id=lojaartechrefrigeracaoeclimatiza</t>
  </si>
  <si>
    <t>CATAVENTO</t>
  </si>
  <si>
    <t>10.834.465/0001-00</t>
  </si>
  <si>
    <t>COMPRESSOR 12000 BTUS ROTATIVO R22 220V 1F RECHI - 44R292AK-FESD</t>
  </si>
  <si>
    <t>https://www.refrigeracaocatavento.com.br/pecas-para-ar-condicionado/compressores/compressor-12000-btus-rotativo-r22-220v-1f-rechi-44r292ak-fesd?parceiro=6374&amp;gclid=Cj0KCQjw2eilBhCCARIsAG0Pf8v30QsIpBvRyf90vw1kGJBcOpDWR17Yt4P_NoOn_nKyFHBZMKDh40kaAp34EALw_wcB</t>
  </si>
  <si>
    <t>COMPRESSOR CAPACIDADE 18.000 BTUS ROTATIVO R22 220V</t>
  </si>
  <si>
    <t>Compressor Rotativo 18.000 BTUS 220V 60HZ R22 R132H6B</t>
  </si>
  <si>
    <t>https://www.lojaartech.com.br/compressor-rotativo-18000-btus-220v-60hz-r22-r132h6b-?utm_source=google&amp;utm_medium=Shopping&amp;utm_campaign=compressor-rotativo-18000-btus-220v-60hz-r22-r132h6b-&amp;inStock&amp;parceiro=8962&amp;gclid=CjwKCAiAs92MBhAXEiwAXTi25zbClumDffpFnXMVMe_N_TLbGQXjEYAvsVr2xG5UvrLpauS7rtL6YxoCK_kQAvD_BwE</t>
  </si>
  <si>
    <t>MULTI FRIO</t>
  </si>
  <si>
    <t>Motor Compressor Rotativo 19000 BTUS 220V Gás R22 Ar Condicionado</t>
  </si>
  <si>
    <t>https://www.multifrioshop.com/acessorios-ar-condicionado/compressores/motor-compressor-rotativo-19000-btus-220v-gas-r22-ar-condicionado?parceiro=2316&amp;gclid=CjwKCAiAs92MBhAXEiwAXTi2509I7n7psqMaobDjjnL5yRyLBIO788XJbDFkYEAcF71ytXTvdFP-XhoCwUkQAvD_BwE</t>
  </si>
  <si>
    <t>INSTALAR</t>
  </si>
  <si>
    <t>11.896.946/0001-02</t>
  </si>
  <si>
    <t>Compressor 18000 Btus Rotativo R22 220V</t>
  </si>
  <si>
    <t>https://www.webinstalar.com.br/compressor-rotativo-18000-btus?utm_source=Site&amp;utm_medium=GoogleMerchant&amp;utm_campaign=GoogleMerchant&amp;srsltid=AeTuncrK3TUkI8kOQyNgnPPu5TiiiruSMf1AReTVHlGmyqTr7nYD4-BCs-U</t>
  </si>
  <si>
    <t>COMPRESSOR CAPACIDADE 24.000 BTUS ROTATIVO R22 220V</t>
  </si>
  <si>
    <t>ELETROFIGOR</t>
  </si>
  <si>
    <t>07.885.198/0001-87</t>
  </si>
  <si>
    <t>Compressor 22000 24000 Btus R410A 220V 1F Rotativo Highly Asl211Un-C8Eu</t>
  </si>
  <si>
    <t>https://www.eletrofrigor.com.br/compressor-24000-btus-r410-220v-1f-rotativo-highly-shw73tc4-u.html?srsltid=ASuE1wTOmt80PqzUJIbWLndoqNRjMgCr3asvyk2fHCIbLnxkTeDIM2cv1y4</t>
  </si>
  <si>
    <t>Compressor Rotativo Ar Condicionado 21000 A 24000 220v R22</t>
  </si>
  <si>
    <t>https://produto.mercadolivre.com.br/MLB-2622609088-compressor-rotativo-ar-condicionado-21000-a-24000-220v-r22-_JM?matt_tool=36571132&amp;matt_word=&amp;matt_source=google&amp;matt_campaign_id=14303413676&amp;matt_ad_group_id=125984296077&amp;matt_match_type=&amp;matt_network=g&amp;matt_device=c&amp;matt_creative=539354956920&amp;matt_keyword=&amp;matt_ad_position=&amp;matt_ad_type=pla&amp;matt_merchant_id=584937380&amp;matt_product_id=MLB2622609088&amp;matt_product_partition_id=1639321648021&amp;matt_target_id=aud-1010920718318:pla-1639321648021&amp;gclid=Cj0KCQjw08aYBhDlARIsAA_gb0ejrlCCs54R085RbOA2ofb3lteRE9ArSp88IcQy3qCeJ46CqnlppXUaAniMEALw_wcB</t>
  </si>
  <si>
    <t>Compressor Rotativo Sanyo CRSS 24.000 Btu/h 220V 60Hz R22</t>
  </si>
  <si>
    <t>https://www.embrar.com.br/-compressor-rotativo-24000-btus-r22/p?idsku=14423</t>
  </si>
  <si>
    <t>COMPRESSOR CAPACIDADE 30.000 BTUS ROTATIVO R22 220V</t>
  </si>
  <si>
    <t>Compressor Rotativo 30.000 BTUs R22 220V PH401X3CS</t>
  </si>
  <si>
    <t>https://www.lojaartech.com.br/compressor-rotativo-30000-btus-r22-220v-ph401x3cs-?utm_source=google&amp;utm_medium=Shopping&amp;utm_campaign=compressor-rotativo-30000-btus-r22-220v-ph401x3cs-&amp;inStock&amp;parceiro=8962&amp;gclid=CjwKCAiAs92MBhAXEiwAXTi252-3IxTBwoMz9-ghnOWfDPBio5Mp0Q8mMnms6AXn6om7aC6gKSF7mRoC4ZQQAvD_BwE</t>
  </si>
  <si>
    <t>Motor Compressor Rotativo 30.000 BTUS 220V Gás R22 Ar Condicionado</t>
  </si>
  <si>
    <t>https://www.multifrioshop.com/acessorios-ar-condicionado/compressores/motor-compressor-rotativo-30-000-btus-220v-gas-r22?parceiro=2316&amp;gclid=CjwKCAiAs92MBhAXEiwAXTi25xWpg76jKAC0XA-KA3_ptGU0eyvvPaJWw6KFIHdEFaCsZsbN2DBqoBoCqWAQAvD_BwE</t>
  </si>
  <si>
    <t>Compressor rotativo gmcc 30.000 btus R22 220V PH401X3CS-3MUU</t>
  </si>
  <si>
    <t>https://www.americanas.com.br/produto/5205973594?opn=YSMESP&amp;offerId=62975722234ca7e6fd80bf09&amp;srsltid=AeTuncqWtcb88dAr5b_y1AK1CMX26IsbndmIWawXC1VPqtm0uGOGJK2ZDQE</t>
  </si>
  <si>
    <t xml:space="preserve">COMPRESSOR CAPACIDADE 36.000 BTUS ROTATIVO R22 220V. </t>
  </si>
  <si>
    <t>ELETROFRIGOR</t>
  </si>
  <si>
    <t xml:space="preserve"> 07.885.198/0001-87</t>
  </si>
  <si>
    <t>COMPRESSOR 36000 BTUS 3TR R410 220V 1F ROTATIVO HIGHLY ATH356UN-C9EU</t>
  </si>
  <si>
    <t>https://www.eletrofrigor.com.br/compressor-36000-btus-r410-220v-rotativo-1f-highly-ath356un-c9eu.html</t>
  </si>
  <si>
    <t xml:space="preserve">MERCADO LIVRE </t>
  </si>
  <si>
    <t>Compressor Rotativo 36.000 Btus R22 220v</t>
  </si>
  <si>
    <t>https://produto.mercadolivre.com.br/MLB-2022338581-compressor-rotativo-36000-btus-r22-220v-_JM#position=3&amp;search_layout=stack&amp;type=item&amp;tracking_id=5c777f47-ef7f-4503-813a-5b16315d6256</t>
  </si>
  <si>
    <t>COMPRESSOR ROTATIVO 36.000BTUS R22 220V</t>
  </si>
  <si>
    <t>https://www.lojaartech.com.br/compressor-rotativo-36000btus-r22-220v-?utm_source=google&amp;utm_medium=Shopping&amp;utm_campaign=compressor-rotativo-36000btus-r22-220v-&amp;inStock=&amp;srsltid=AeTuncpQYe4Ri5jVPdNxb_whFRlNUyoBSs2s1oHwhQgqTHzO_3yRp7WkdPc</t>
  </si>
  <si>
    <t>COMPRESSOR CAPACIDADE 48.000 BTUS ROTATIVO R22 220V. REF.: SCROLL SANYO CSB303H6B</t>
  </si>
  <si>
    <t xml:space="preserve"> 14.146.897/0001-70</t>
  </si>
  <si>
    <t>Motor Compressor SCROLL 48.000 BTUS 4TR 220V Trifásico Gás R22 Ar Condicionado</t>
  </si>
  <si>
    <t>https://www.multifrioshop.com/acessorios-ar-condicionado/compressores/motor-compressor-scroll-48-000-btus-4tr-220v-gas-r22?parceiro=2316&amp;gclid=Cj0KCQjw08aYBhDlARIsAA_gb0f02nnOcP8uOsHdeUixVkEUMaQMBjDfSR8NYtBjef0GDTV5hLuz9DgaAg70EALw_wcB</t>
  </si>
  <si>
    <t xml:space="preserve">TOTAL AR
</t>
  </si>
  <si>
    <t>17.477.076/0001-05</t>
  </si>
  <si>
    <t>COMPRESSOR SCROLL SANYO 48000 BTU R22 60 HZ 3PH C-SB303H6B</t>
  </si>
  <si>
    <t>https://www.totalar.net/produtos/compressor-sanyo-c-sb303h6b-5500084-48k-220-3-60-r22-scroll/</t>
  </si>
  <si>
    <t>Compressor Scroll Panasonic 4tr Ar Condicionado Trifásico Csb303h6b</t>
  </si>
  <si>
    <t>https://produto.mercadolivre.com.br/MLB-1035832609-compressor-scroll-panasonic-4tr-ar-condicionado-trifasico-csb303h6b-_JM?matt_tool=67377542&amp;matt_word=&amp;matt_source=google&amp;matt_campaign_id=14303413625&amp;matt_ad_group_id=125984290237&amp;matt_match_type=&amp;matt_network=g&amp;matt_device=c&amp;matt_creative=539354956458&amp;matt_keyword=&amp;matt_ad_position=&amp;matt_ad_type=pla&amp;matt_merchant_id=702342460&amp;matt_product_id=MLB1035832609&amp;matt_product_partition_id=1818924157918&amp;matt_target_id=aud-2009166904988:pla-1818924157918&amp;gclid=Cj0KCQjwiIOmBhDjARIsAP6YhSUITZNxmI5Ia_2OFm27O0UQ2XRSAjN29btaBV0ZNByohjwi8w5KNgoaAtDDEALw_wcB</t>
  </si>
  <si>
    <t>COMPRESSOR CAPACIDADE 60.000 BTUS ROTATIVO R22 220V. REF.: SRCOLL COPELAND ZR57KETF552E</t>
  </si>
  <si>
    <t>Compressor Scroll 60.000 BTUS R22 220V 5TR</t>
  </si>
  <si>
    <t>https://www.lojaartech.com.br/compressor-scroll-60.000-btus-r22-220v-5tr-?utm_source=google&amp;utm_medium=Shopping&amp;utm_campaign=compressor-scroll-60.000-btus-r22-220v-5tr-&amp;inStock&amp;parceiro=8962&amp;gclid=CjwKCAiAs92MBhAXEiwAXTi25yMaKArnN18w9iCxvkmGRt7LvqiDcIhFyBJNh6q27Y4F7nCVkXBH6xoCEjYQAvD_BwE</t>
  </si>
  <si>
    <t>COMPRESSOR 60000 BTUS R22 220V 3F SCROLL COPELAND ZR57KETF552E</t>
  </si>
  <si>
    <t>https://www.eletrofrigor.com.br/compressor-60000-btus-r22-220v-3f-scroll-copeland-zr57ketf552e.html?gclid=CjwKCAiAs92MBhAXEiwAXTi25zZp869U2-g0AE1rd8H4akinnhWuXYet1C_U1cPAb5aiCXq8YNEyzhoChNsQAvD_BwE</t>
  </si>
  <si>
    <t>SUBMARINO</t>
  </si>
  <si>
    <t>Compressor Scroll 60.000 Btus R22 373h6b, 5tr, 220v Trifasico</t>
  </si>
  <si>
    <t>https://www.submarino.com.br/produto/3279804241?epar=bp_pl_00_go_g35132&amp;epar=bp_pl_00_go_g35132&amp;opn=XMLGOOGLE&amp;WT.srch=1&amp;utm_medium=buscappc&amp;utm_source=google&amp;utm_campaign=marca%3Asuba%3Bmidia%3Abuscappc%3Bformato%3Apla%3Bsubformato%3A00%3Bidcampanha%3Ag35132&amp;gclid=CjwKCAiAs92MBhAXEiwAXTi2507T7zCc4RTFPtx3GaDq13CHqKSoisbYaEcqhZtAuO4Kx9iziR-9ehoCBmwQAvD_BwE</t>
  </si>
  <si>
    <t>MOTOR VENTILADOR DA CONDENSADORA AR CONDICIONADO SPLIT DE 9.000 ATÉ 12.000 BTUS 220V. REF.: MIDEA, CARRIER 25906085</t>
  </si>
  <si>
    <t>IMPACTO REFRIGERAÇÃO</t>
  </si>
  <si>
    <t xml:space="preserve">10.419.473/0001-81
</t>
  </si>
  <si>
    <t>Motor Ventilador Condensador 25906085 Ar Condicionado 7500 - 12000 BTUs Carrier Springer Midea</t>
  </si>
  <si>
    <t>https://www.impactorefrigeracao.com.br/motor-ventilador-condensador-25906085-ar-condicionado-7500-12000-btus-carrier-springer-midea?utm_source=Site&amp;utm_medium=GoogleMerchant&amp;utm_campaign=GoogleMerchant&amp;gclid=Cj0KCQjw08aYBhDlARIsAA_gb0f455dUmEyLri5VLJJGL1dfwXFlSnsV1fa28IDxCk7l2UDGQ5S9Gn0aAl_XEALw_wcB</t>
  </si>
  <si>
    <t>Motor Ventilador Condensa 25906085 Ar Split Springer - Midea</t>
  </si>
  <si>
    <t>https://www.magazineluiza.com.br/motor-ventilador-condensa-25906085-ar-split-springer-midea/p/gjdbf3cjg8/ar/arsp/?&amp;seller_id=olistplus</t>
  </si>
  <si>
    <t>MOTOR VENTILADOR CONDENSADORA AR CONDICIONADO 220V SPRINGER CARRIER MIDEA 25906085</t>
  </si>
  <si>
    <t>https://www.eletrofrigor.com.br/motor-ventilador-condensadora-ar-condicionado-springer-up-adimiral-11d-maxi-flex-way-comfee-carrier.html?gclid=CjwKCAiA4veMBhAMEiwAU4XRr1HiWiBsSE3VY-7xqsoPC_HcYTkAUzHoPRnL1STHUTES5uHmT1u_mhoCmnsQAvD_BwE</t>
  </si>
  <si>
    <t>MOTOR VENTILADOR DA CONDENSADORA AR CONDICIONADO SPLIT DE 18.000 ATÉ 30.000 BTUS 220V. REF.: CARRIER 25906088</t>
  </si>
  <si>
    <t>Ventilador Da Condensadora Springer Midea 18-30.000-25906088</t>
  </si>
  <si>
    <t>https://produto.mercadolivre.com.br/MLB-2009765297-ventilador-da-condensadora-springer-midea-18-30000-25906088-_JM?matt_tool=18956390&amp;utm_source=google_shopping&amp;utm_medium=organic</t>
  </si>
  <si>
    <t>MOTOR ELETRICO AC 1/15 CV 220V 60HZ (25906088)</t>
  </si>
  <si>
    <t>https://www.totalar.net/produtos/motor-eletrico-ac-1-15-cv-220v-60hz-25906088/?pf=gs</t>
  </si>
  <si>
    <t>CLIMA NORTE REFRIGERAÇÃO</t>
  </si>
  <si>
    <t>35.839.747/0001-12</t>
  </si>
  <si>
    <t>MOTOR CONDENSADORA 25906088 18000 A 30000 BTUS MIDEA CARRIER</t>
  </si>
  <si>
    <t>https://www.climanorte.com.br/pecas/motor-condensadora-25906088-18000-a-30000-btus-midea-carrier?parceiro=5572&amp;srsltid=AeTuncqTvCNeDbQu99pVit62jqphSfPbNFKk4vtauhJtR6gPr2BcPT9YZBs</t>
  </si>
  <si>
    <t>MOTOR VENTILADOR DA CONDENSADORA AR CONDICIONADO SPLIT DE 36.000 ATÉ 60.000 BTUS 220V/380V. REF.: MIDEA, SPRINGER, CARRIER 25901797</t>
  </si>
  <si>
    <t>MOTOR CONDENSADORA SPRINGER CARRIER SPACE PISO TETO 36 48 60 BTUS 220V - 25901797</t>
  </si>
  <si>
    <t>https://www.climanorte.com.br/pecas/motor-condensadora-springer-carrier-space-piso-teto-36-48-60-btus-220v-25901797-631?parceiro=5572&amp;srsltid=AeTuncpb9xmMgeVrpk1P_MfcJClH8g4mJ4bo-9hgmPco-r630dxFpa0wooQ</t>
  </si>
  <si>
    <t>DIFUSOR AR CONDICIONADO</t>
  </si>
  <si>
    <t>03.058.421/0001-61</t>
  </si>
  <si>
    <t>Motor Ventilador Condensador Elétrico AC 1/4CV 220V/60Hz 38CC,36,48,60000BTU - 25901797</t>
  </si>
  <si>
    <t>https://www.difusor.com.br/motor-ventilador-condensador-eletrico-ac-14cv-220v60hz-38cc364860k-25901797</t>
  </si>
  <si>
    <t>ECPVENDAS</t>
  </si>
  <si>
    <t>03.764.699/0001-54</t>
  </si>
  <si>
    <t>MOTOR VENTILADOR CONDENSADORA 1/4CV 220V 36K 48K 60K MIDEA SPRINGER CARRIER 25901797</t>
  </si>
  <si>
    <t>https://www.ecpvendas.com.br/motores/motor-ventilador-condensadora-14cv-220v-36k-48k-60k-midea-springer-carrier-25901797?parceiro=1981</t>
  </si>
  <si>
    <t>MOTOR VENTILADOR DA EVAPORADORA AR CONDICIONADO SPLIT DE 7.500 ATÉ 12.000 BTUS 220V. REF. EOS UNIVERSAL OU SIMILAR</t>
  </si>
  <si>
    <t>Motor Ventilador Evaporadora York 7.500/12.000 BTU/h - 220v - Weg</t>
  </si>
  <si>
    <t>https://www.magazineluiza.com.br/motor-ventilador-evaporadora-york-7-500-12-000-btu-h-220v-weg/p/fj959a5j88/ar/arvc/?&amp;seller_id=casarefriar&amp;utm_source=google&amp;utm_medium=pla&amp;utm_campaign=&amp;partner_id=69093&amp;gclid=CjwKCAjwsMGYBhAEEiwAGUXJaTjzS4VskUsXew_gZ5cyFLf82d392oIBTYFPZwwntFux-FUI4qJotxoCFCMQAvD_BwE&amp;gclsrc=aw.ds</t>
  </si>
  <si>
    <t>REFRITRON</t>
  </si>
  <si>
    <t>27.691.358/0001-64</t>
  </si>
  <si>
    <t>MOTOR VENTILADOR EVAPORADOR HW 7 A 12K SPRINGER, MIDEA, CARRIER, ADMIRAL RPG20B AC 20W 220~240V/60HZ 202400300137</t>
  </si>
  <si>
    <t>https://www.refritron.com.br/pecas-para-ar-condicionado-split-e-janela/motor-ventilador-evaporador/motor-ventilador-evaporador-hw-7-a-12k-springer-midea-carrier-admiral-rpg20b-ac-20w-220-240v60hz-202400300137?parceiro=7321</t>
  </si>
  <si>
    <t>Motor Ventilador Evaporadora York 7.500/12.000 BTU/h - 220v</t>
  </si>
  <si>
    <t>https://www.americanas.com.br/produto/3597839271?epar=bp_pl_00_go_aa_pmax_geral&amp;opn=YSMESP&amp;WT.srch=1&amp;offerId=60fc395252131c3c819c83d1&amp;gclid=CjwKCAjwsMGYBhAEEiwAGUXJab-6K6HkBZUtfnKpfWZVmPESuQU9ChH2Iij8x-WeRwIO42pztTNIcRoCHZsQAvD_BwE</t>
  </si>
  <si>
    <t>MOTOR VENTILADOR DA EVAPORADORA AR CONDICIONADO SPLIT DE 18.000 BTUS BTUS 220V. REF. SPRINGER CARRIER MIDEA 2024003A0009 OU SIMILAR</t>
  </si>
  <si>
    <t xml:space="preserve">ELETROFRIGOR
</t>
  </si>
  <si>
    <t>MOTOR VENTILADOR EVAPORADORA AR CONDICIONADO 220V LG EAU39170203</t>
  </si>
  <si>
    <t>https://www.eletrofrigor.com.br/motor-ventilador-evaporadora-ar-condicionado-split-lg-18-btus.html</t>
  </si>
  <si>
    <t>Motor Ventilador Evaporadora Ecologic; 18000 Btus Fria e Quente Fria Elgin</t>
  </si>
  <si>
    <t>https://www.lojaartech.com.br/motor-ventilador-evaporadora-ecologic-18000-btus-fria-e-quente-fria-elgin-?utm_source=google&amp;utm_medium=Shopping&amp;utm_campaign=motor-ventilador-evaporadora-ecologic-18000-btus-fria-e-quente-fria-elgin-&amp;inStock&amp;parceiro=8962&amp;gclid=Cj0KCQjw2eilBhCCARIsAG0Pf8uQNdVmIfrDGgCvp7sJsGVv7WJpicA7-73_MCTQKnDBKlf8dRvt6t8aAh0JEALw_wcB</t>
  </si>
  <si>
    <t>Motor Evaporadora 7500 A 18000 Btu Midea/spring 202400300137</t>
  </si>
  <si>
    <t>https://produto.mercadolivre.com.br/MLB-1734761211-motor-evaporadora-7500-a-18000-btu-mideaspring-202400300137-_JM?matt_tool=18956390&amp;utm_source=google_shopping&amp;utm_medium=organic</t>
  </si>
  <si>
    <t>MOTOR VENTILADOR DA EVAPORADORA AR CONDICIONADO SPLIT DE 24.000 BTUS 220V. REF. ELGIN, SPRINGER, MIDEA OU SIMILAR</t>
  </si>
  <si>
    <t>NORTE REFRIGERAÇAO</t>
  </si>
  <si>
    <t>04.920.658/0001-72</t>
  </si>
  <si>
    <t>Motor Ventilador para Evaporadora Midea/Carrier 12/18000BTUs 220V YKFG</t>
  </si>
  <si>
    <t>https://www.norterefrigeracao.com.br/motor-ventilador-da-evaporadora-midea-carrier-12-18000btu-220v-ykfg?parceiro=6706</t>
  </si>
  <si>
    <t>Motor Ventilador Evaporador 25901168 Ar Condicionado 24000 BTUs Piso Teto Carrier Springer</t>
  </si>
  <si>
    <t>https://www.impactorefrigeracao.com.br/motor-ventilador-evaporador-25901168-ar-condicionado-24000-btus-piso-teto-carrier-springer?utm_source=Site&amp;utm_medium=GoogleMerchant&amp;utm_campaign=GoogleMerchant</t>
  </si>
  <si>
    <t>Motor Ventilador Evaporadora 24.000 Btus Ecologic Elgin</t>
  </si>
  <si>
    <t>https://www.lojaartech.com.br/motor-ventilador-evaporadora-24000-btus-ecologic-elgin-1?utm_source=google&amp;utm_medium=Shopping&amp;utm_campaign=motor-ventilador-evaporadora-24000-btus-ecologic-elgin-1&amp;inStock&amp;parceiro=8962&amp;gclid=CjwKCAiAs92MBhAXEiwAXTi256CD7Ah-s8EpMUSS1q1aUn0KoqZIjRul-ksAovbkFWPL-rBVe9XE6RoCr5sQAvD_BwE</t>
  </si>
  <si>
    <t>MOTOR VENTILADOR DA EVAPORADORA AR CONDICIONADO SPLIT DE 30.000 BTUS 220V. REF. AGRATTO, CARRIER, ELGIN OU SIMILAR</t>
  </si>
  <si>
    <t>MOTOR CONDENSADORA ECOLOGIC 24 E 30.000 BTUS ELGIN YDK68-6E4</t>
  </si>
  <si>
    <t>https://www.lojaartech.com.br/motor-condensadora-ecologic-24-e-30000-btus-elgin-ydk68-6e4-?utm_source=google&amp;utm_medium=Shopping&amp;utm_campaign=motor-condensadora-ecologic-24-e-30000-btus-elgin-ydk68-6e4-&amp;inStock&amp;parceiro=8962&amp;gclid=CjwKCAjwsMGYBhAEEiwAGUXJafbFdZwpMg-FODYMNPaO_Yydv2LQLHuG80GLAgufegaGdoYza9zssRoCdrEQAvD_BwE</t>
  </si>
  <si>
    <t>Motor Evaporadora Ar Midea Springer Rpg60b 30.000 Btus</t>
  </si>
  <si>
    <t>https://produto.mercadolivre.com.br/MLB-1949755638-motor-evaporadora-ar-midea-springer-rpg60b-30000-btus-_JM?matt_tool=36571132&amp;matt_word=&amp;matt_source=google&amp;matt_campaign_id=14303413676&amp;matt_ad_group_id=125984296077&amp;matt_match_type=&amp;matt_network=g&amp;matt_device=c&amp;matt_creative=539354956920&amp;matt_keyword=&amp;matt_ad_position=&amp;matt_ad_type=pla&amp;matt_merchant_id=114444202&amp;matt_product_id=MLB1949755638&amp;matt_product_partition_id=1639321648021&amp;matt_target_id=aud-315891067179:pla-1639321648021&amp;gclid=CjwKCAjwsMGYBhAEEiwAGUXJaflMoYmnV702_jB5PCyLYtyUqRogMo1BxVNl0V-jhGzmVYtLiArgFxoCG9AQAvD_BwE</t>
  </si>
  <si>
    <t>Motor Ventilador Evaporadora 30.000 Btus Agratto Fit Ccs30 Original</t>
  </si>
  <si>
    <t>https://shopee.com.br/product/452104342/9360783714</t>
  </si>
  <si>
    <t>MOTOR VENTILADOR DA EVAPORADORA AR CONDICIONADO SPLIT DE 36.000 BTUS 220V. REF. SPLIT TETO CARRIER SPRINGER 36000 BTUS</t>
  </si>
  <si>
    <t xml:space="preserve">IMPACTO REFRIGERAÇAO </t>
  </si>
  <si>
    <t>Motor Ventilador Evaporador 25901158 Ar Condicionado 30000 36000 BTUs Piso Teto Carrier Springer</t>
  </si>
  <si>
    <t>https://www.impactorefrigeracao.com.br/motor-ventilador-evaporador-25901158-ar-condicionado-30000-36000-btus-piso-teto-carrier-springer?utm_source=Site&amp;utm_medium=GoogleMerchant&amp;utm_campaign=GoogleMerchant</t>
  </si>
  <si>
    <t>Motor Ventilador Evap 36000 Btus Carrier - 25901222</t>
  </si>
  <si>
    <t>https://produto.mercadolivre.com.br/MLB-1232189913-motor-ventilador-evap-36000-btus-carrier-25901222-_JM?matt_tool=18956390&amp;utm_source=google_shopping&amp;utm_medium=organic</t>
  </si>
  <si>
    <t>TUDO AR CONDICIONADO</t>
  </si>
  <si>
    <t>36.718.624/0001-96</t>
  </si>
  <si>
    <t>Motor Evaporadora Carrier Piso Teto 36.000 Btu's 220v (Cód. 25901796)</t>
  </si>
  <si>
    <t>https://www.tudoar.com.br/motor/motor-evaporadora-carrier-piso-teto-36-000-btu-s-220v-cod-25901796</t>
  </si>
  <si>
    <t>MOTOR VENTILADOR DA EVAPORADORA AR CONDICIONADO SPLIT DE 48.000 BTUS A 60.000 BTUS 220V. REF. SPLIT TETO CARRIER SPRINGER 48000 BTUS</t>
  </si>
  <si>
    <t>MOTOR VENTILADOR 25901795 EVAPORADORA AR CONDICIONADO 48000 OU 60000 BTUS PISO TETO CARRIER SPRINGER</t>
  </si>
  <si>
    <t>https://www.climanorte.com.br/pecas/motor-ventilador-25901795-evaporadora-ar-condicionado-48000-ou-60000-btus-piso-teto-carrier-springer?parceiro=5572&amp;srsltid=AeTuncq_z0dsPnPjfew6f5LORdH92S6GWNMcyLIyfi4Tm7F9AsNvvdJEkTU</t>
  </si>
  <si>
    <t>Motor Ventilador Ar Springer 36/48/60 Btus 220v 25901797</t>
  </si>
  <si>
    <t>https://produto.mercadolivre.com.br/MLB-2055484516-motor-ventilador-ar-springer-364860-btus-220v-25901797-_JM?matt_tool=67377542&amp;matt_word=&amp;matt_source=google&amp;matt_campaign_id=14303413625&amp;matt_ad_group_id=125984290237&amp;matt_match_type=&amp;matt_network=g&amp;matt_device=c&amp;matt_creative=539354956458&amp;matt_keyword=&amp;matt_ad_position=&amp;matt_ad_type=pla&amp;matt_merchant_id=465056934&amp;matt_product_id=MLB2055484516&amp;matt_product_partition_id=1637488161591&amp;matt_target_id=aud-329638142375:pla-1637488161591&amp;gclid=CjwKCAjwsMGYBhAEEiwAGUXJaQ5xPMC9sCvae9nGpN0NUh6ogKn0WmfcgVI3CnwAIAoksGP5WsQ0thoCs9AQAvD_BwE</t>
  </si>
  <si>
    <t>Motor Ventilador Evaporador 25901211 Ar Condicionado 48000 60000 BTUs Piso Teto Carrier Springer</t>
  </si>
  <si>
    <t>https://www.impactorefrigeracao.com.br/motor-ventilador-evaporador-25901211-ar-condicionado-48000-60000-btus-piso-teto-carrier-springer</t>
  </si>
  <si>
    <t xml:space="preserve">Placa de comando (da unidade evaporadora) ar condicionado SPLIT HI-WALL 9.000 Btus  REF.: Midea 17122000A15551 ou similar </t>
  </si>
  <si>
    <t>Placa Principal Evaporadora 17122000A15551 Ar Condicionado Inverter 9000 BTUs Springer Midea</t>
  </si>
  <si>
    <t>https://www.impactorefrigeracao.com.br/placa-principal-evaporadora-17122000a15551-ar-condicionado-inverter-9000-btus-springer-midea</t>
  </si>
  <si>
    <t>Placa Eletrônica Evaporadora Midea Cód. 17122000A04451/17122000007893</t>
  </si>
  <si>
    <t>https://www.tudoar.com.br/placa-eletronica/placa-eletronica-evaporadora-midea-cod-17122000a0445117122000007893</t>
  </si>
  <si>
    <t>SPLIT PEÇAS</t>
  </si>
  <si>
    <t>23.910.588/0001-16</t>
  </si>
  <si>
    <t>Placa da Evaporadora Midea Springer 9.000 Btus Quente e Frio 17122000A15551</t>
  </si>
  <si>
    <t>https://www.splitpecas.com.br/pecas-para-ar-condicionado/placa-da-evaporadora-midea-springer-9-000-btus-quente-e-frio-17122000a15551--p</t>
  </si>
  <si>
    <t>Placa de comando (da unidade evaporadora) ar condicionado SPLIT HI-WALL 12.000 Btus  REF.: MIDEA CARRIER 42MTCB12M5 201332590965 ou similar</t>
  </si>
  <si>
    <t>18/07/2023</t>
  </si>
  <si>
    <t>PLACA DA EVAPORADORA MIDEA CARRIER HI WALL 12.000 BTUS SO FRIO 2013325A0683</t>
  </si>
  <si>
    <t>https://www.eletrofrigor.com.br/placa-da-evaporadora-midea-carrier-hi-wall-12-000-btus-so-frio-2013325a0683.html?gclid=CjwKCAjwsMGYBhAEEiwAGUXJaaf_DRjQqV8gK69jaWnyI86DsKCx9TznBGVADAbfJF_DPATS5OQwahoCN-MQAvD_BwE</t>
  </si>
  <si>
    <t>Placa Evaporadora Inverter 12.000 Btus 2013325a0607</t>
  </si>
  <si>
    <t>https://produto.mercadolivre.com.br/MLB-1357463324-placa-evaporadora-inverter-12000-btus-2013325a0607-_JM?matt_tool=18956390&amp;utm_source=google_shopping&amp;utm_medium=organic</t>
  </si>
  <si>
    <t>PEÇAS PRO AR</t>
  </si>
  <si>
    <t>16.694.072/0001-16</t>
  </si>
  <si>
    <t>Placa Eletrônica da Condensadora Midea Eco Inverter Split Hi Wall 12.000Btu/h 38MEQA12M5</t>
  </si>
  <si>
    <t>https://www.pecasproar.com.br/placa-eletronica-da-condensadora/midea/eco-inverter-split-hi-wall-12.000btu/h-38meqa12m5?utm_source=Site&amp;utm_medium=GoogleMerchant&amp;utm_campaign=GoogleMerchant</t>
  </si>
  <si>
    <t>Placa de comando (da unidade evaporadora) ar condicionado SPLIT HI-WALL 18.000 Btus  REF.: New Carrier mod 2013328A0364 ou similar</t>
  </si>
  <si>
    <t>Placa Principal Evaporador 2013328A0311 Ar Condicionado 18000 BTUs Inverter Midea</t>
  </si>
  <si>
    <t>https://www.impactorefrigeracao.com.br/placa-principal-evaporador-2013328a0311-ar-condicionado-18000-btus-inverter-midea?utm_source=Site&amp;utm_medium=GoogleMerchant&amp;utm_campaign=GoogleMerchant</t>
  </si>
  <si>
    <t>INVERNIA PEÇAS</t>
  </si>
  <si>
    <t>35.115.264/0001-75</t>
  </si>
  <si>
    <t>PLACA ELET PRINCIPAL EVAP HW MIDEA LUNA/NEW LUNA 18.000BTUS 2013328A0364/17122000007856</t>
  </si>
  <si>
    <t>https://www.inverniapecas.com.br/pecas-para-ar-condicionado/pecas-para-ar-condicionado-split-e-outros/placa-elet-principal-evap-hw-midea-lunanew-luna-18-000btus-2013328a036417122000007856</t>
  </si>
  <si>
    <t>Placa Evaporadora Split Carrier Lucc 18.000 Btus</t>
  </si>
  <si>
    <t>https://produto.mercadolivre.com.br/MLB-1582264717-placa-evaporadora-split-carrier-lucc-18000-btus-_JM?matt_tool=18956390&amp;utm_source=google_shopping&amp;utm_medium=organic</t>
  </si>
  <si>
    <t>Placa de comando (da unidade evaporadora) ar condicionado SPLIT HI-WALL 24.000  - 30.000 Btus  REF.: Media mod 201333090103 ou similar</t>
  </si>
  <si>
    <t>Placa Comando Split 42mt 42mm Original Midea - 201333090103</t>
  </si>
  <si>
    <t>https://shopee.com.br/product/338964891/18531196587</t>
  </si>
  <si>
    <t>Placa Comando Split 42mt 42mm Original Midea 201333090103</t>
  </si>
  <si>
    <t>https://www.magazineluiza.com.br/placa-comando-split-42mt-42mm-original-midea-201333090103/p/ce207eedjf/ar/parc/?&amp;seller_id=citymaster3&amp;utm_source=google&amp;utm_medium=pla&amp;utm_campaign=&amp;partner_id=69093&amp;gclid=Cj0KCQjw2eilBhCCARIsAG0Pf8tRCwfXzlWilJUEMgoJLk-jjaGQxa2OhqTHdIIsKo760sI06hohZWIaAv7AEALw_wcB&amp;gclsrc=aw.ds</t>
  </si>
  <si>
    <t>Placa Principal Evaporador 201333090103 Ar Condicionado 22000 24000 BTUs Midea Comfee</t>
  </si>
  <si>
    <t>https://www.impactorefrigeracao.com.br/placa-principal-evaporador-201333090103-ar-condicionado-22000-24000-btus-midea-comfee?utm_source=Site&amp;utm_medium=GoogleMerchant&amp;utm_campaign=GoogleMerchant</t>
  </si>
  <si>
    <t>Placa de comando (da unidade evaporadora) ar condicionado SPLIT PISO/TETO 30.000 - 60.000 BTUS. REF.: Eco Elgin ARC141290609401 ou similar</t>
  </si>
  <si>
    <t>Placa Principal 1712200000963 Evaporador 30000 Btus Midea</t>
  </si>
  <si>
    <t>https://produto.mercadolivre.com.br/MLB-1623548082-placa-principal-1712200000963-evaporador-30000-btus-midea-_JM?matt_tool=50857357&amp;matt_word=&amp;matt_source=google&amp;matt_campaign_id=14303413847&amp;matt_ad_group_id=125984302037&amp;matt_match_type=&amp;matt_network=g&amp;matt_device=c&amp;matt_creative=539354957262&amp;matt_keyword=&amp;matt_ad_position=&amp;matt_ad_type=pla&amp;matt_merchant_id=140857347&amp;matt_product_id=MLB1623548082&amp;matt_product_partition_id=1636957835000&amp;matt_target_id=aud-315891067179:pla-1636957835000&amp;gclid=CjwKCAjwsMGYBhAEEiwAGUXJaYrycdMhBP26F2KiDblyh6LJ-k8K1RiuUwzbpX1b2zmzL-eZHW0u5hoCZdcQAvD_BwE</t>
  </si>
  <si>
    <t>Placa Evaporadora Piso E Teto 18000 A 80000 Btus Fria Elgin</t>
  </si>
  <si>
    <t>https://www.americanas.com.br/produto/3279731969?pfm_carac=placa-evaporadora-18000-a-60000-btu-piso-teto-q-f-elgin&amp;pfm_index=2&amp;pfm_page=search&amp;pfm_pos=grid&amp;pfm_type=search_page&amp;offerId=609bd9b752131c3c81bdc674</t>
  </si>
  <si>
    <t>Placa Evaporadora 30, 36, 48, 60.000 Btus Q/F Piso Teto Atualle Eco Elgin</t>
  </si>
  <si>
    <t>https://www.lojaartech.com.br/placa-evaporadora-30364860000-btus-qf-piso-teto-atualle-eco-elgin-?utm_source=google&amp;utm_medium=Shopping&amp;utm_campaign=placa-evaporadora-30364860000-btus-qf-piso-teto-atualle-eco-elgin-&amp;inStock&amp;parceiro=8962&amp;gclid=Cj0KCQiAhf2MBhDNARIsAKXU5GRlQhw24EntGtni39Mua3eurYZqYejlVBZ2RJLQDyIDQWv2Iy04MhoaArFKEALw_wcB</t>
  </si>
  <si>
    <t>Placa de comando (da unidade condensadora) ar condicionado SPLIT HI-WALL 9.000 até 12.000 Btus  REF.: MIDEA CARRIER 201337390164 ou similar</t>
  </si>
  <si>
    <t>ECP CLIMATIZAÇÃO</t>
  </si>
  <si>
    <t>201337390164 Placa Eletrônica Condensadora Midea Carrier</t>
  </si>
  <si>
    <t>https://www.ecpvendas.com.br/placas-eletronicas/placa-eletronica-condensadora-9k-12k-btus-201337390164-midea-carrier</t>
  </si>
  <si>
    <t>Placa Da Unidade Condensadora Completa Split Inverte LG</t>
  </si>
  <si>
    <t>https://produto.mercadolivre.com.br/MLB-1767729420-placa-da-unidade-condensadora-completa-split-inverte-lg-_JM?matt_tool=18956390&amp;utm_source=google_shopping&amp;utm_medium=organic</t>
  </si>
  <si>
    <t>Placa Condensadora 12.000btus Inverter Fria Hvfe12b2ia Hvfe12b2nb Elgin</t>
  </si>
  <si>
    <t>https://www.americanas.com.br/produto/3279835101?opn=YSMESP&amp;offerId=609be02152131c3c81c7814d&amp;srsltid=AeTuncrBj4bEna3MzqpbXTwMIRGzwrzN-MzvtJ0XlknBM-texjj9U765FjQ</t>
  </si>
  <si>
    <t>Placa de comando (da unidade condensadora) ar condicionado SPLIT HI-WALL 18.000 Btus  REF.: CARRIER ECO INVERTER 201337790035 ou similar</t>
  </si>
  <si>
    <t>Placa Evaporadora 18.000 Btus Fria Inverter Hvfi18b2ia Hvfi18b2ib Elgin</t>
  </si>
  <si>
    <t>https://www.americanas.com.br/produto/3279786151?epar=bp_pl_00_go_aa_pmax_geral&amp;opn=YSMESP&amp;WT.srch=1&amp;offerId=609bdd6752131c3c81c382e6&amp;gclid=CjwKCAjwsMGYBhAEEiwAGUXJaVZrQRidGHBsPe-VDVXCqAfFlZYMIkUN4QhDZwGQnQyYiZy-i2aw9hoCppkQAvD_BwE</t>
  </si>
  <si>
    <t>Placa Principal Condensador 201337790035 Ar Condicionado 18000 BTUs Inverter Carrier</t>
  </si>
  <si>
    <t>https://www.impactorefrigeracao.com.br/placa-principal-condensador-201337790035-ar-condicionado-18000-btus-inverter-carrier?utm_source=Site&amp;utm_medium=GoogleMerchant&amp;utm_campaign=GoogleMerchant</t>
  </si>
  <si>
    <t>Placa Eletrônica Principal Condensadora 18.000 Btus Inverter 201337790035 - Carrier</t>
  </si>
  <si>
    <t>https://www.magazineluiza.com.br/placa-eletronica-principal-condensadora-18-000-btus-inverter-201337790035-carrier/p/bf0006k5ge/ar/parc/?&amp;seller_id=frioshopping&amp;utm_source=google&amp;utm_medium=pla&amp;utm_campaign=&amp;partner_id=69093&amp;gclid=CjwKCAjwsMGYBhAEEiwAGUXJaYrUrvbhKZhGv2xK3V8VQWVFs0Hb7WUXRNzEfT1IcWmpu5x9KC_ZwhoCDXMQAvD_BwE&amp;gclsrc=aw.ds</t>
  </si>
  <si>
    <t>Placa de comando (da unidade condensadora) ar condicionado SPLIT HI-WALL 24.000 Btus  REF.: ELGIN MOD HVQE24B2IA ou similar</t>
  </si>
  <si>
    <t>24/07/2023</t>
  </si>
  <si>
    <t>Placa de comando elgin inverter 24.000btu q/f hvqe24b2nc</t>
  </si>
  <si>
    <t>https://www.magazineluiza.com.br/placa-de-comando-elgin-inverter-24-000btu-q-f-hvqe24b2nc/p/eek6ak5dcd/ar/aave/?&amp;seller_id=arconpartspecas&amp;utm_source=google&amp;utm_medium=pla&amp;utm_campaign=&amp;partner_id=69093&amp;gclid=Cj0KCQjwwvilBhCFARIsADvYi7IUmOtwzMgFa7rvoYucCyhuFwd0XMCEFmf8qpMRv0Fy2h96RU2hxI8aAsejEALw_wcB&amp;gclsrc=aw.ds</t>
  </si>
  <si>
    <t>Placa Condensadora 24.000 Btus Eco Inverter Elgin</t>
  </si>
  <si>
    <t>https://produto.mercadolivre.com.br/MLB-1760197148-placa-condensadora-24000-btus-eco-inverter-elgin-_JM?matt_tool=50857357&amp;matt_word=&amp;matt_source=google&amp;matt_campaign_id=14303413847&amp;matt_ad_group_id=125984302037&amp;matt_match_type=&amp;matt_network=g&amp;matt_device=c&amp;matt_creative=539354957262&amp;matt_keyword=&amp;matt_ad_position=&amp;matt_ad_type=pla&amp;matt_merchant_id=205408661&amp;matt_product_id=MLB1760197148&amp;matt_product_partition_id=1823429903714&amp;matt_target_id=pla-1823429903714&amp;gclid=Cj0KCQjwwvilBhCFARIsADvYi7Lv1VDXpq9Q6bR1j4qE-Q46kULrP8Jc4BXn1sujhiyQ_Y9dIGtF36oaApPOEALw_wcB</t>
  </si>
  <si>
    <t>Placa Condensadora 24.000 Btus Fria e Q/F Inverter Elgin</t>
  </si>
  <si>
    <t>https://www.lojaartech.com.br/conjunto-da-placa-de-comando-24000-btus-fria-e-qf-inverter-elgin-?utm_source=google&amp;utm_medium=Shopping&amp;utm_campaign=conjunto-da-placa-de-comando-24000-btus-fria-e-qf-inverter-elgin-&amp;inStock</t>
  </si>
  <si>
    <t>Placa de comando (da unidade condensadora) ar condicionado SPLIT HI-WALL 30.000 Btus  REF.: Springer, Midea, Carrier INVERTER FRIO ou similar</t>
  </si>
  <si>
    <t xml:space="preserve">FRIO SHOPPING </t>
  </si>
  <si>
    <t>PLACA ELETRÔNICA DE POTENCIA CONDENSADORA AR CONDICIONADO SPLIT MIDEA 30.000 BTUS</t>
  </si>
  <si>
    <t>https://www.frioshopping.com/pecas/springercarriermidea/placa-eletronica-de-potencia-condensadora-ar-condicionado-split-midea-30000-btu</t>
  </si>
  <si>
    <t>Placa Eletrônica de Potencia Condensadora Ar-Condicionado Split Midea 30.000 Btus</t>
  </si>
  <si>
    <t>https://www.madeiramadeira.com.br/placa-eletronica-de-potencia-condensadora-ar-condicionado-split-midea-30-000-btus-1913888.html?origem=pla-1913888&amp;utm_source=google&amp;utm_medium=cpc&amp;utm_content=acessorios-3994&amp;utm_term=&amp;utm_id=17663024828&amp;gclid=CjwKCAjwsMGYBhAEEiwAGUXJaXy_EYnzNXr9-mqGwaTzMkYs7BAt5mrtLgQYlOcm6_zk8AEDDVAfDRoCSNgQAvD_BwE</t>
  </si>
  <si>
    <t>Placa Eletrônica de Potencia Condensadora Ar Condicionado Split Midea 30.000 Btus</t>
  </si>
  <si>
    <t>https://www.magazineluiza.com.br/placa-eletronica-de-potencia-condensadora-ar-condicionado-split-midea-30-000-btus/p/dge4h49333/ar/parc/?&amp;seller_id=frioshopping</t>
  </si>
  <si>
    <t>Placa de comando (da unidade condensadora) ar condicionado SPLIT PISO/TETO 48.000 Btus  REF.: KOMECO kop36.48fcqc koc36.48fcqc 380v g4 ou similar</t>
  </si>
  <si>
    <t>PLACA CONDENSADORA SPLIT PISO TETO KOMECO KOP36.48FCQC KOC36.48FCQC 380V G4</t>
  </si>
  <si>
    <t>https://shopee.com.br/PLACA-CONDENSADORA-SPLIT-PISO-TETO-KOMECO-KOP36.48FCQC-KOC36.48FCQC-380V-G4-i.344374327.12342556139</t>
  </si>
  <si>
    <t>Placa condensadora split piso teto komeco kop36.48fcqc koc36.48fcqc 380v g4</t>
  </si>
  <si>
    <t>https://www.magazineluiza.com.br/placa-condensadora-split-piso-teto-komeco-kop36-48fcqc-koc36-48fcqc-380v-g4/p/ba0afajk1d/ar/parc/?&amp;seller_id=instalarclimatizacao</t>
  </si>
  <si>
    <t>Web INSTALAR</t>
  </si>
  <si>
    <t xml:space="preserve"> 11.896.946/0001-02</t>
  </si>
  <si>
    <t>Placa Condensador Split Piso Teto Komeco KOP36.48FCQC KOC36.48FCQC 380V G4</t>
  </si>
  <si>
    <t>https://www.webinstalar.com.br/produto/placa-condensadora-split-piso-teto-komeco-kop3648fcqc-koc3648fcqc-380v-g4.html?utm_source=Site&amp;utm_medium=GoogleMerchant&amp;utm_campaign=GoogleMerchant</t>
  </si>
  <si>
    <t>Capacitor Partida 2,0 μF 380 V TML. REF.: VIX OU SIMILAR</t>
  </si>
  <si>
    <t>WEB INSTALAR</t>
  </si>
  <si>
    <t>Capacitor 2 Uf 380V Copo Aluminio Suryha</t>
  </si>
  <si>
    <t>https://www.webinstalar.com.br/capacitor-2-uf-380v-copo-aluminio-suryha?utm_source=Site&amp;utm_medium=GoogleMerchant&amp;utm_campaign=GoogleMerchant&amp;srsltid=ASuE1wSgj8l7CKNIUiqFmNAe7cZRhPoMEJgP-YAU-zWcbh1c4IDtNCvI0ZY</t>
  </si>
  <si>
    <t>BUSCAPÉ</t>
  </si>
  <si>
    <t>09.083.175/0001-84</t>
  </si>
  <si>
    <t>Capacitor Permanente 20MF Vix – 380 Volts</t>
  </si>
  <si>
    <t>https://www.buscape.com.br/lead?oid=406159020&amp;sortorder=-1&amp;index=&amp;searchterm=null&amp;pagesize=-1&amp;channel=&amp;og=19221&amp;pla=2022-09-30T16:43:45.244507</t>
  </si>
  <si>
    <t>CAPACITOR PERMANENTE 20+2uf-380V</t>
  </si>
  <si>
    <t>https://www.pecasproar.com.br/capacitor-permanente-20-2uf-380v?utm_source=Site&amp;utm_medium=GoogleMerchant&amp;utm_campaign=GoogleMerchant</t>
  </si>
  <si>
    <t>Capacitor Partida 3,0 μF  380V. REF.: VIX OU SIMILAR</t>
  </si>
  <si>
    <t>FRIGELAR</t>
  </si>
  <si>
    <t>92.660.406/0001-19</t>
  </si>
  <si>
    <t>Capacitor Simples 3 Mfd 380V com Terminal 40mm X 60mm Corpo Aluminio EOS</t>
  </si>
  <si>
    <t>https://www.frigelar.com.br/capacitor-simples-3-mfd-380v-com-terminal-40mm-x-60mm-corpo-aluminio/p/kit5041</t>
  </si>
  <si>
    <t xml:space="preserve">INVERNIA PEÇAS </t>
  </si>
  <si>
    <t>CAPACITOR PERMANENTE 3 UF 380V AL</t>
  </si>
  <si>
    <t>https://www.inverniapecas.com.br/pecas-para-ar-condicionado/pecas-para-ar-condicionado-split-e-outros/capacitor-permanente-3-uf-380v-al?parceiro=3669</t>
  </si>
  <si>
    <t>Capacitor Permanente 3mf Vix - 380 Volts</t>
  </si>
  <si>
    <t>https://produto.mercadolivre.com.br/MLB-2011909875-capacitor-permanente-3mf-vix-380-volts-_JM?matt_tool=50857357&amp;matt_word=&amp;matt_source=google&amp;matt_campaign_id=14303413847&amp;matt_ad_group_id=139467063328&amp;matt_match_type=&amp;matt_network=g&amp;matt_device=c&amp;matt_creative=584295662858&amp;matt_keyword=&amp;matt_ad_position=&amp;matt_ad_type=pla&amp;matt_merchant_id=223204864&amp;matt_product_id=MLB2011909875&amp;matt_product_partition_id=1635198762606&amp;matt_target_id=aud-329638142375:pla-1635198762606&amp;gclid=CjwKCAjwsMGYBhAEEiwAGUXJaTTo_FYhiVEdDx0chuJSCh0tmNawE-3y0OB6t1R4ijAaxAl664TOrxoCWeoQAvD_BwE</t>
  </si>
  <si>
    <t>Capacitor Partida 6,0 μF  380V TML. REF.: VIX OU SIMILAR</t>
  </si>
  <si>
    <t>Capacitor Simples 6 Mfd 380V com Terminal 40mm X 60mm Corpo Aluminio EOS</t>
  </si>
  <si>
    <t>https://www.frigelar.com.br/capacitor-simples-6-mfd-380v-com-terminal-40mm-x-60mm-corpo-aluminio/p/kit5059</t>
  </si>
  <si>
    <t>Capacitor Permanente 6MF Vix - 380 Volts</t>
  </si>
  <si>
    <t>https://www.friopecas.com.br/capacitor-permanente-6mf-vix-380-volts/p?idsku=108309</t>
  </si>
  <si>
    <t xml:space="preserve">33.041.260/0652-90
</t>
  </si>
  <si>
    <t>Capacitor Permanente 10MF Vix – 380 Volts</t>
  </si>
  <si>
    <t>https://www.casasbahia.com.br/capacitor-permanente-10mf-vix-380-volts-1515828184/p/1515828184?utm_medium=Cpc&amp;utm_source=google_freelisting&amp;IdSku=1515828184&amp;idLojista=14785&amp;tipoLojista=3P</t>
  </si>
  <si>
    <t>Capacitor Partida 20 μF  380V - TML. REF.: VIX OU SIMILAR</t>
  </si>
  <si>
    <t xml:space="preserve"> 47.960.950/1088-36</t>
  </si>
  <si>
    <t>https://www.magazineluiza.com.br/capacitor-permanente-20mf-vix-380-volts/p/khc77gh98c/cj/ccto/?&amp;seller_id=friopecas</t>
  </si>
  <si>
    <t>https://www.friopecas.com.br/capacitor-permanente-20mf-vix-380-volts/p?idsku=108316</t>
  </si>
  <si>
    <t>Capacitor Permanente 20mf Vix – 380 Volts</t>
  </si>
  <si>
    <t>https://www.leroymerlin.com.br/capacitor-permanente-20mf-vix---380-volts_1567804992?region=outros</t>
  </si>
  <si>
    <t>Capacitor Partida 25 μF  380/400V TML. REF.: VIX OU SIMILAR</t>
  </si>
  <si>
    <t>Capacitor Permanente 25MF Vix – 380 Volts</t>
  </si>
  <si>
    <t>https://www.magazineluiza.com.br/capacitor-permanente-25mf-vix-380-volts/p/gek95c94a7/cj/ccto/?&amp;seller_id=friopecas</t>
  </si>
  <si>
    <t>https://www.friopecas.com.br/capacitor-permanente-25mf-vix-380-volts/p?idsku=106825</t>
  </si>
  <si>
    <t>Capacitor 25MF 380V</t>
  </si>
  <si>
    <t>https://www.pecasproar.com.br/capacitor/25mf-380v?utm_source=Site&amp;utm_medium=GoogleMerchant&amp;utm_campaign=GoogleMerchant</t>
  </si>
  <si>
    <t>Capacitor Partida 30 μF  380V TML. REF.: VIX OU SIMILAR</t>
  </si>
  <si>
    <t>Capacitor Duplo 40+5 MF Vix - 380v</t>
  </si>
  <si>
    <t>https://www.magazineluiza.com.br/capacitor-duplo-40-5-mf-vix-380v/p/jbhje4chea/cj/ccto/?&amp;seller_id=friopecas</t>
  </si>
  <si>
    <t>Cisel Express</t>
  </si>
  <si>
    <t>55.716.955/0001-31</t>
  </si>
  <si>
    <t>Capacitor Permanente IPC - 30uf - 2 Fios</t>
  </si>
  <si>
    <t>https://www.cisel.com.br/linha-motores-eletricos/capacitor-permanente-30-uf-2-fios?parceiro=6811</t>
  </si>
  <si>
    <t>REFRISOL</t>
  </si>
  <si>
    <t>02.551.354/0001-50</t>
  </si>
  <si>
    <t>Capacitor Ar-Condicionado 30 MFD C/Terminal simples 380v EOS</t>
  </si>
  <si>
    <t>https://www.refrisol.com.br/pecas-e-acessorios/capacitor-permanente-30-mfd-cterminal-380v-eos?parceiro=2010</t>
  </si>
  <si>
    <t>Capacitor Partida 35 μF  380V TML. REF.: VIX OU SIMILAR</t>
  </si>
  <si>
    <t>CARREFOUR</t>
  </si>
  <si>
    <t>45.543.915/0846-95</t>
  </si>
  <si>
    <t>Capacitor Permanente Vix 60 MF 380 Volts</t>
  </si>
  <si>
    <t>https://www.carrefour.com.br/capacitor-permanente-vix-60-mf-380-volts-mp21079206/p</t>
  </si>
  <si>
    <t>Capacitor Duplo 35 Mfd 380v EOS Com Terminal Alumínio</t>
  </si>
  <si>
    <t>https://www.magazineluiza.com.br/capacitor-duplo-35-mfd-380v-eos-com-terminal-aluminio/p/jekh5egfg7/cj/ccto/?&amp;seller_id=friomaq</t>
  </si>
  <si>
    <t>Proesi Componentes Elétricos</t>
  </si>
  <si>
    <t>10.428.528/0001-10</t>
  </si>
  <si>
    <t xml:space="preserve">Capacitor de Partida para Motor 35uF/400V - Faston Duplo - WEG
</t>
  </si>
  <si>
    <t>https://proesi.com.br/capacitor-de-partida-para-motor-35uf-400v-faston-duplo-weg.html</t>
  </si>
  <si>
    <t>Capacitor Partida 40 μF  380V TML. REF.: VIX OU SIMILAR</t>
  </si>
  <si>
    <t>Capacitor Permanente Vix 45 MF -380 Volts</t>
  </si>
  <si>
    <t>https://www.friopecas.com.br/capacitor-permanente-vix-45-mf-380-volts/p?idsku=106829</t>
  </si>
  <si>
    <t>Proelis</t>
  </si>
  <si>
    <t>60.232.162/0001-87</t>
  </si>
  <si>
    <t>Capacitor 40uf mf 380V</t>
  </si>
  <si>
    <t>https://www.proelis.com.br/capacitor-permanente-40uf-mf-380v.php</t>
  </si>
  <si>
    <t>Capacitor Permanente Vix 40mf - 380 Volts</t>
  </si>
  <si>
    <t>https://www.leroymerlin.com.br/capacitor-permanente-vix-40mf-380-volts_1567805000?region=outros</t>
  </si>
  <si>
    <t>Capacitor Partida 45 μF  380V TML. REF.: VIX OU SIMILAR</t>
  </si>
  <si>
    <t>Capacitor Permanente Vix 45MF - 250 Volts</t>
  </si>
  <si>
    <t>https://www.magazineluiza.com.br/capacitor-permanente-vix-45mf-250-volts/p/kce45c6d4a/cj/ccto/?&amp;seller_id=friopecas</t>
  </si>
  <si>
    <t>https://www.friopecas.com.br/capacitor-permanente-vix-45mf-250-volts/p?idsku=108332</t>
  </si>
  <si>
    <t>Capacitor Permanente Vix 45uF - 250v</t>
  </si>
  <si>
    <t>https://www.carrefour.com.br/capacitor-permanente-vix-55-mf-380-volts-mp21074979/p</t>
  </si>
  <si>
    <t>Gás R134a - 13,6 Kg</t>
  </si>
  <si>
    <t>DUFRIO</t>
  </si>
  <si>
    <t>01.754.239/0018-68</t>
  </si>
  <si>
    <t>Fluído Gás Refrigerante Dugold Tetrafluoretano R134a 13,6kg ONU3159</t>
  </si>
  <si>
    <t>https://www.dufrio.com.br/fluido-refrigerante-r134-dugold-tetrafluoretano-136kg-onu3159.html?utm_source=google&amp;utm_medium=shopping&amp;apwc=Y2FuYWxJbnRlZ3JhY2FvPTQ0N3xwcm9kdXRvPTg2Mzk=&amp;gclid=CjwKCAiA4veMBhAMEiwAU4XRrzuBxjiQcNccLFvyxfAElGiFy1eYAYxptU8fQ5dd5ajIz11v28rJGRoClbAQAvD_BwE</t>
  </si>
  <si>
    <t>Gás Refrigerante R134a EOS Cilindro de 13,6Kg</t>
  </si>
  <si>
    <t>https://www.frigelar.com.br/gas-refrigerante-r134a-eos-cilindro-de-136kg/p/kit5119?gclid=Cj0KCQjw08aYBhDlARIsAA_gb0f26ibk9pLeKoBtmSB3vyq-yo9aTf84zDEIiE_7g0JrM4OFRflpgAsaAmINEALw_wcB</t>
  </si>
  <si>
    <t>Gás Refrigerante R134A - Cilindro 13.6kgs</t>
  </si>
  <si>
    <t>https://www.embrar.com.br/gas-refrigerante-r134a-cilindro/p?idsku=11979</t>
  </si>
  <si>
    <t>AR_MAT_039</t>
  </si>
  <si>
    <t>Capacitor Permanente Vix 55 MF 380 Volts</t>
  </si>
  <si>
    <t>Correia tipo V A-32. REF: WORKER, REXON OU SIMILAR</t>
  </si>
  <si>
    <t>Correia em "V" A-32</t>
  </si>
  <si>
    <t>http://www.dutramaquinas.com.br/p/correia-em-v-a-32-66-97-103-200?gclid=CjwKCAiA4veMBhAMEiwAU4XRr5NROTXr8L_omEIu4S8oif5A7YD8FrbbA4EqAnBYoAE5G5vcyoD4MxoCLAEQAvD_BwE</t>
  </si>
  <si>
    <t>ELASTOBOR</t>
  </si>
  <si>
    <t>53.840.542/0002-10</t>
  </si>
  <si>
    <t>Correia em V Rexon Modelo A-32</t>
  </si>
  <si>
    <t>https://www.elastobor.com.br/correia-em-v-rexon-modelo-a-32/p?idsku=122013026</t>
  </si>
  <si>
    <t>00.915.086/0001-82</t>
  </si>
  <si>
    <t>Correia em V Tipo a Worker</t>
  </si>
  <si>
    <t>https://www.ferramentaskennedy.com.br/100031146/correia-em-v-tipo-a-32-worker?utm_source=google&amp;utm_medium=cpc&amp;utm_campaign=google_shop&amp;gclid=CjwKCAiA4veMBhAMEiwAU4XRryG8mTOJ52LbFkGkmogJOLaV5Moi8hE16i5fboudkvEtEUGwpYk9XxoCWkAQAvD_BwE</t>
  </si>
  <si>
    <t>Correia tipo V B-41. REF.: POWER MAKE, REXON OU SIMILAR</t>
  </si>
  <si>
    <t xml:space="preserve">ABELT </t>
  </si>
  <si>
    <t>13.059.663/0001-23</t>
  </si>
  <si>
    <t>Correia em V BX-41 KEIPER</t>
  </si>
  <si>
    <t>https://abelt-loja.com.br/produto/correia-em-v-bx-41-keiper/?utm_source=Google%20Shopping&amp;utm_campaign=Todos%20os%20Produtos&amp;utm_medium=cpc&amp;utm_term=1354&amp;gclid=Cj0KCQjw2eilBhCCARIsAG0Pf8vRotlWj_OwvUCJHkNfMORmtgMCYsbI6Zbhx5o1BRXW0FnJgpeOLN8aAkvgEALw_wcB</t>
  </si>
  <si>
    <t>Correia em V Rexon Modelo B-41</t>
  </si>
  <si>
    <t>https://www.elastobor.com.br/correia-em-v-rexon-modelo-b-41/p?idsku=122014020</t>
  </si>
  <si>
    <t>Correia em V Tipo B-41 Worker</t>
  </si>
  <si>
    <t>https://www.ferramentaskennedy.com.br/100032021/correia-em-v-tipo-b-41-worker?utm_source=google&amp;utm_medium=cpc&amp;utm_campaign=google_shop&amp;gclid=EAIaIQobChMIyb-KoavH-gIVvRPUAR3s3QfxEAQYAiABEgLq5_D_BwE</t>
  </si>
  <si>
    <t>Correia tipo V B-54. REF.: POWER SPAN OU SIMILAR</t>
  </si>
  <si>
    <t>Correia De Transmissão Em V Lisa B-54 Elite</t>
  </si>
  <si>
    <t>https://produto.mercadolivre.com.br/MLB-2151285905-correia-de-transmisso-em-v-lisa-b-54-elite-_JM#position=12&amp;search_layout=stack&amp;type=item&amp;tracking_id=60c4f7b3-ba64-4660-a3eb-2d8251f65b2b</t>
  </si>
  <si>
    <t>LF MAQUINAS E EQUIPAMENTOS</t>
  </si>
  <si>
    <t>91.845.735/0004-14</t>
  </si>
  <si>
    <t>Correia B54 Lisa Importada Power Span</t>
  </si>
  <si>
    <t>https://www.lfmaquinaseferramentas.com.br/correia-b54-powerspan/p?idsku=9676&amp;gclid=CjwKCAiA4veMBhAMEiwAU4XRr2Rlnr-qZamcw5-j6hl99rFUSQ_rD9HfT1EmcwNrD92-E6JSLwXbzhoC1jgQAvD_BwE</t>
  </si>
  <si>
    <t>Ferramentas Kennedy</t>
  </si>
  <si>
    <t>Correia Em V Tipo A 054 Power Span</t>
  </si>
  <si>
    <t>https://www.ferramentaskennedy.com.br/100055645/correia-em-v-tipo-a-054-power-span</t>
  </si>
  <si>
    <t>Correia tipo V B-53. REF.: POWER SPAN OU SIMILAR</t>
  </si>
  <si>
    <t>Magazine Luiza</t>
  </si>
  <si>
    <t>B 053 correia power span - CONTINENTAL</t>
  </si>
  <si>
    <t>https://www.magazineluiza.com.br/b-053-correia-power-span-continental/p/bg3dejeaj9/pi/cidl/?seller_id=crmmuchiutt&amp;utm_source=google&amp;utm_medium=pla&amp;utm_campaign=&amp;partner_id=68055&amp;gclid=Cj0KCQjw8NilBhDOARIsAHzpbLA8ldI5q8_PcI1MztFApCnV3b5woIsfBHo7f8P6tlYY0W6ipLGQ-lMaAuXbEALw_wcB&amp;gclsrc=aw.ds</t>
  </si>
  <si>
    <t>Correia Em V Tipo B 053 Power Span</t>
  </si>
  <si>
    <t>https://www.ferramentaskennedy.com.br/100055729/correia-em-v-tipo-b-053-power-span?gclid=Cj0KCQjw8NilBhDOARIsAHzpbLDYlNz-UhE3_-bXMlNM4MRVyvIoi2_8X8JzJJrvH15y4eEl3qhGCAkaAl40EALw_wcB</t>
  </si>
  <si>
    <t>Mercado Livre</t>
  </si>
  <si>
    <t>Correia Industrial Em V Transpower Perfil B Mod. B-53</t>
  </si>
  <si>
    <t>https://produto.mercadolivre.com.br/MLB-868994095-correia-industrial-em-v-transpower-perfil-b-mod-b-53-_JM?matt_tool=18956390&amp;utm_source=google_shopping&amp;utm_medium=organic</t>
  </si>
  <si>
    <t>Correia tipo V B-64. REF.: POWER SPAN OU SIMILAR</t>
  </si>
  <si>
    <t>SODIVEL</t>
  </si>
  <si>
    <t>77.182.442/0001-20</t>
  </si>
  <si>
    <t>Correia Em V B064 Power Span</t>
  </si>
  <si>
    <t>https://lojavirtual.sodivel.com.br/produtos/correia-em-v-b064-power-span/</t>
  </si>
  <si>
    <t>americanas s.a</t>
  </si>
  <si>
    <t>Correia Perfil V B-64 Industrial - Vonder</t>
  </si>
  <si>
    <t>https://www.americanas.com.br/produto/5975775244?pfm_carac=correiav-b-64&amp;pfm_index=4&amp;pfm_page=search&amp;pfm_pos=grid&amp;pfm_type=search_page&amp;offerId=632db9049064f2befb4bd8c0&amp;cor=Sortido&amp;condition=NEW</t>
  </si>
  <si>
    <t>Correia Em V Tipo B-64 Worker</t>
  </si>
  <si>
    <t>https://www.ferramentaskennedy.com.br/100047744/correia-em-v-tipo-b-64-worker?gclid=Cj0KCQjw8NilBhDOARIsAHzpbLAlz4x41_CGzd9s5kdqW_zSwQraNr33KzlAhYwuKT8mdgr-7uVzTAsaAjm3EALw_wcB</t>
  </si>
  <si>
    <t>Correia tipo V B-52. REF.: POWER SPAN OU SIMILAR</t>
  </si>
  <si>
    <t>Loja do Mecânico</t>
  </si>
  <si>
    <t>29.302.348/0001-15</t>
  </si>
  <si>
    <t>Correia Em V B052 Power Span - POWER SPAN-570676</t>
  </si>
  <si>
    <t>https://www.lojadomecanico.com.br/produto/570676/37/813/Correia-Em-V-B052-Power-Span/153/?utm_source=googleshopping&amp;utm_campaign=xmlshopping&amp;utm_medium=cpc&amp;utm_content=570676&amp;gclid=Cj0KCQjw8NilBhDOARIsAHzpbLAhPSy-TaVjRE2ADVJmtRuaI8iZkLX0efx9AvTvKguhmqQGbGUmSaQaAtSXEALw_wcB</t>
  </si>
  <si>
    <t>SuperPRO Atacado</t>
  </si>
  <si>
    <t>CORREIA EM V TIPO B52 PS POWER SPAN</t>
  </si>
  <si>
    <t>https://www.superproatacado.com.br/12816/correia-em-v-tipo-b52-ps-power-span?gclid=Cj0KCQjw8NilBhDOARIsAHzpbLD9T12UoVsbBEy85vqtuMjljy8GJrHJpEJxCxEpnkoVOSngh0NLKN0aAqqaEALw_wcB</t>
  </si>
  <si>
    <t>Correia Em V B052 Power Span</t>
  </si>
  <si>
    <t>https://lojavirtual.sodivel.com.br/produtos/correia-em-v-b052-power-span/</t>
  </si>
  <si>
    <t>Correia tipo V B-49. REF.: POWER SPAN OU SIMILAR</t>
  </si>
  <si>
    <t>LOJA BRAFER</t>
  </si>
  <si>
    <t xml:space="preserve">Correia em V B-49 Rexon
</t>
  </si>
  <si>
    <t>https://www.lojabrafer.com.br/correia-em-v-b-49-rexon/p/85?c=1&amp;t=1039&amp;gclid=Cj0KCQjw08aYBhDlARIsAA_gb0eivUcrpJ61WFXgX05i6JZQUfgylflaxnB3xw0tp1YXiynCyvLiHgcaAnm3EALw_wcB</t>
  </si>
  <si>
    <t>AGRIBOR</t>
  </si>
  <si>
    <t>04.135.054-0005-49</t>
  </si>
  <si>
    <t>Correia Industrial B49 Lisa Em V Multibelt</t>
  </si>
  <si>
    <t>https://www.agribor.com.br/produto/correia-industrial-b49-lisa-em-v-multibelt-71630?utm_source=&amp;utm_medium=&amp;utm_campaign=&amp;gclid=Cj0KCQjw08aYBhDlARIsAA_gb0eaobfLCTzG28McMdxe1cODvqeSYbFPsLnJoQPtrAm0kA9oQpO2lzcaAi9gEALw_wcB</t>
  </si>
  <si>
    <t>FERRAMENTAS GERAIS</t>
  </si>
  <si>
    <t>92.664.028/0001-41</t>
  </si>
  <si>
    <t xml:space="preserve">CORREIA PERFIL V B-49 CIRCUNFERÊNCIA INTERNA 1245MM - VONDER
</t>
  </si>
  <si>
    <t>https://www.fg.com.br/correia-perfil-v-b-49-circunferencia-interna-1245mm---vonder/p?idsku=1088608&amp;gclid=Cj0KCQjw08aYBhDlARIsAA_gb0cYztN4PPrp3ZP-WIooZTT81BYTZlTXF6Tl4g1LUtDMmLCYoeNC4lcaAvEIEALw_wcB</t>
  </si>
  <si>
    <t>Correia tipo V B-42. REF.: POWER SPAN OU SIMILAR</t>
  </si>
  <si>
    <t>Casa das Correias e Borrachas</t>
  </si>
  <si>
    <t>02.377.167/0004-44</t>
  </si>
  <si>
    <t>Correia de Transmissão em V Lisa B-42 Elite</t>
  </si>
  <si>
    <t>https://www.lfmaquinaseferramentas.com.br/correia-a79-power-span-2055mm-externa-lisa/p?idsku=9591</t>
  </si>
  <si>
    <t>Correia Em V B042 Power Span - POWER SPAN-570665</t>
  </si>
  <si>
    <t>https://www.lojadomecanico.com.br/produto/570665/37/813/Correia-Em-V-B042-Power-Span/153/?utm_source=googleshopping&amp;utm_campaign=xmlshopping&amp;utm_medium=cpc&amp;utm_content=570665&amp;gclid=Cj0KCQjw8NilBhDOARIsAHzpbLBEjbp-zZirmet0JtDyQ-wCpYt6qG53BovjBQMnovA-uGLzeIyvkYwaAofhEALw_wcB</t>
  </si>
  <si>
    <t>Correia Em V B042 Power Span</t>
  </si>
  <si>
    <t>https://lojavirtual.sodivel.com.br/produtos/correia-em-v-b042-power-span/</t>
  </si>
  <si>
    <t>Correia tipo V A-55. REF.: POWER SPAN OU SIMILAR</t>
  </si>
  <si>
    <t>Correia Em V A055 Power Span</t>
  </si>
  <si>
    <t>https://www.magazineluiza.com.br/correia-em-v-a055-power-span/p/bg97h5e26c/au/crau/?&amp;seller_id=sodivel</t>
  </si>
  <si>
    <t>Correia de Transmissão em V Lisa A-55 Elite</t>
  </si>
  <si>
    <t>https://www.casadascorreiaseborrachas.com.br/produto/correia-de-transmissao-em-v-lisa-a-55-elite.html?gclid=Cj0KCQjw8NilBhDOARIsAHzpbLAYrE-5AMMYh-KQgV_VdcIBNM2b-bC6DsVU_NI8WfssEIT_5py-43UaAvmIEALw_wcB</t>
  </si>
  <si>
    <t>https://lojavirtual.sodivel.com.br/produtos/correia-em-v-a055-power-span/</t>
  </si>
  <si>
    <t>Correia C 128 multi v 3T. REF: VONDER OU SIMILAR</t>
  </si>
  <si>
    <t>CIA CAMPO MAQUINAS E FERRAMENTAS</t>
  </si>
  <si>
    <t>80.479.231/0001-69</t>
  </si>
  <si>
    <t>Correia Multi V C-128 Uso Industrial - Vonder Plus</t>
  </si>
  <si>
    <t>https://www.cicampo.com.br/correia-multi-v-c-128-uso-industrial-vonder-plus?parceiro=8650</t>
  </si>
  <si>
    <t>LOJA DO MECÂNICO</t>
  </si>
  <si>
    <t>Correia perfil V C-128 VONDER - VONDER-6697312800</t>
  </si>
  <si>
    <t>https://www.lojadomecanico.com.br/produto/129835/37/813/Correia-perfil-V-C-128-VONDER/153/?utm_source=googleshopping&amp;utm_campaign=xmlshopping&amp;utm_medium=cpc&amp;utm_content=129835&amp;gclid=CjwKCAiA4veMBhAMEiwAU4XRr4o1ILhzxZN4zORe0cc1gUye4fg7PMfiulXM4SkI0viWRPglR79CVxoC7-8QAvD_BwE</t>
  </si>
  <si>
    <t>Casa Ferrari</t>
  </si>
  <si>
    <t>23.208.450/0001-70</t>
  </si>
  <si>
    <t>CORREIA PERFIL "V" C-128 INDUSTRIAL - VONDER</t>
  </si>
  <si>
    <t>https://www.casaferrari.com.br/correia-perfil-v-c-128-industrial-vonder?utm_source=google&amp;utm_medium=Shopping&amp;utm_campaign=correia-perfil-v-c-128-industrial-vonder&amp;inStock&amp;gclid=Cj0KCQjw8NilBhDOARIsAHzpbLB01LKmY_ahB-_jBtUjNb3D4p0GxPbRnKT7Dl-0MRj818jZcI7t5WgaAo-eEALw_wcB</t>
  </si>
  <si>
    <t>Correia C 112 multi v 3T. REF: VONDER OU SIMILAR</t>
  </si>
  <si>
    <t>CONQUISTA MAQUINAS E FERRAMENTAS</t>
  </si>
  <si>
    <t>Correia C-112 Vonder</t>
  </si>
  <si>
    <t>https://www.conquistamaquinas.com.br/pecas-e-acessorios/correias/perfil-c/correia-c-112-condor?parceiro=8956</t>
  </si>
  <si>
    <t>CORREIA PERFIL V C-112 CIRCUNFERÊNCIA INTERNA 2845MM - VONDER</t>
  </si>
  <si>
    <t>https://www.fg.com.br/correia-perfil-v-c-112-circunferencia-interna-2845mm---vonder-inativo/p?idsku=1088704&amp;gclid=Cj0KCQjw2eilBhCCARIsAG0Pf8v3xsJKturAktx5Z1SMNRHZ1Qvw7-WOpHZBBjp_Fu7hk0-3N_hXaakaAhiaEALw_wcB</t>
  </si>
  <si>
    <t>Correia Multi V C-112 Uso Industrial - Vonder Plus</t>
  </si>
  <si>
    <t>https://www.cicampo.com.br/correia-multi-v-c-112-uso-industrial-vonder-plus?parceiro=8650</t>
  </si>
  <si>
    <t>Correia C 225 multi v 3T. REF: POWER SPAN, VONDER OU SIMILAR</t>
  </si>
  <si>
    <t>Correia em V Tipo C225 Ps Power Span</t>
  </si>
  <si>
    <t>https://www.ferramentaskennedy.com.br/100055617/correia-em-v-tipo-c225-ps-power-span?utm_source=google&amp;utm_medium=cpc&amp;utm_campaign=google_shop&amp;gclid=CjwKCAiA4veMBhAMEiwAU4XRr059oy_GUYKVP1_c_H_uCNneA7D6LwWKI_IS_r1601hi-6e7e7oD8xoC4moQAvD_BwE</t>
  </si>
  <si>
    <t>Correia perfil V C-225 VONDER - VONDER-6697322500</t>
  </si>
  <si>
    <t>https://www.lojadomecanico.com.br/produto/129844/37/813/Correia-perfil-V-C-225-VONDER/153/?utm_source=googleshopping&amp;utm_campaign=xmlshopping&amp;utm_medium=cpc&amp;utm_content=129844</t>
  </si>
  <si>
    <t>Correia C 225 Industrial Em V Marca Rexon</t>
  </si>
  <si>
    <t>https://produto.mercadolivre.com.br/MLB-1816128573-correia-c-225-industrial-em-v-marca-rexon-_JM?matt_tool=30024720&amp;matt_word=&amp;matt_source=google&amp;matt_campaign_id=14302215585&amp;matt_ad_group_id=134553713028&amp;matt_match_type=&amp;matt_network=g&amp;matt_device=c&amp;matt_creative=539425529719&amp;matt_keyword=&amp;matt_ad_position=&amp;matt_ad_type=pla&amp;matt_merchant_id=338224392&amp;matt_product_id=MLB1816128573&amp;matt_product_partition_id=1800969656615&amp;matt_target_id=pla-1800969656615&amp;gclid=Cj0KCQjw8NilBhDOARIsAHzpbLCVSHRacE7ZIYUa1RmoRzBSlWkRf9J9WGh8qlU8E-iB5AmCP0trdosaAmHAEALw_wcB</t>
  </si>
  <si>
    <t>Rolamento 6209 ZZ/C3. REF: NSK OU SIMILAR</t>
  </si>
  <si>
    <t>MÉRITO COMERCIAL</t>
  </si>
  <si>
    <t>01.582.892/0001-49</t>
  </si>
  <si>
    <t xml:space="preserve">Rolamento Rígido de Esfera 6209 Zz C3
</t>
  </si>
  <si>
    <t>https://www.meritocomercial.com.br/rolamento-rigido-de-esfera-6209-zz-c3-4001001003059-p1034797?utm_referrer=https%3A%2F%2Fwww.google.com%2F</t>
  </si>
  <si>
    <t xml:space="preserve"> 00.776.574/0006-60</t>
  </si>
  <si>
    <t>Rolamento 6209 zz.c3</t>
  </si>
  <si>
    <t>https://www.shoptime.com.br/produto/10685566?epar=bp_pl_dr_go_ssccasaeconst_geral_gmv&amp;opn=GOOGLEXML&amp;WT.srch=1&amp;epar=bp_pl_dr_go_ssccasaeconst_geral_gmv&amp;utm_medium=buscappc&amp;utm_source=google&amp;utm_campaign=marca:shop%3Bmidia:buscappc%3Bformato:pla%3Bsubformato:dra%3Bidcampanha:ssccasaeconst_geral_gmv&amp;gclid=CjwKCAiA4veMBhAMEiwAU4XRr1TGlKy1j_yAzNPMDMpaoSbrfJ3XAQRcCAenotXZE6vA20RJQd3w_BoCvkIQAvD_BwE</t>
  </si>
  <si>
    <t>IRSA</t>
  </si>
  <si>
    <t>57.496.580/0001-77</t>
  </si>
  <si>
    <t>6209/C3 - Rolamentos Rígidos de Esferas - SKF</t>
  </si>
  <si>
    <t>https://www.irsa.com.br/6209-c3-rolamentos-rigidos-de-esferas-skf?gclid=Cj0KCQjw2eilBhCCARIsAG0Pf8uHS-i5Gmb78VRRa1_KePep9fS8GaGRIcUYa7ZpMQTOy3NXXrIwxHwaAsBcEALw_wcB</t>
  </si>
  <si>
    <t>Rolamento Rígido de Esferas 6307-ZZ/C3. REF: NSK 6307-ZZ/C3</t>
  </si>
  <si>
    <t>CORREMOL</t>
  </si>
  <si>
    <t>Rolamento 6307 ZZ C3 NSK 35X80X21</t>
  </si>
  <si>
    <t>https://www.corremol.com.br/rolamento-6307-zz-c3-nsk-35x80x21/p/5175?c=16&amp;t=22&amp;gclid=Cj0KCQjw2eilBhCCARIsAG0Pf8uxLTd-9ezwChL-ZEZtR24mdtqTBTRwu21QbNPjowfrgYlEFgtZG4waAjVDEALw_wcB</t>
  </si>
  <si>
    <t>COFERMETA</t>
  </si>
  <si>
    <t>17.281.973/0013-82</t>
  </si>
  <si>
    <t>Rolamento Rígido de Esferas 6307 - SKF</t>
  </si>
  <si>
    <t>https://www.cofermeta.com.br/rolamentos/rolamentos/rigidos-de-esferas/rolamento-rigido-de-esferas-6307-skf?parceiro=9290</t>
  </si>
  <si>
    <t>6307-2Z/C3 - Rolamentos Rígidos de Esferas - SKF</t>
  </si>
  <si>
    <t>https://www.irsa.com.br/6307-2z-c3-rolamentos-rigidos-de-esferas-skf?gclid=Cj0KCQjw2eilBhCCARIsAG0Pf8vkfb8WKCNqK5grLecv6fLk3wPcLuvffhDY65314cHJuGxC3C4vbTYaAmOkEALw_wcB</t>
  </si>
  <si>
    <t>Válvula Filtro Y em Latão com Tela Inox de 1.1/2"</t>
  </si>
  <si>
    <t>QUALITY TUBOS</t>
  </si>
  <si>
    <t>https://www.lojaqualitytubos.com.br/valvula-filtro-y-em-latao-com-tela-inox-de-1-1-2-p999567?utm_source=google&amp;utm_medium=upc&amp;utm_campaign=qualitytubos&amp;gclid=CjwKCAiA4veMBhAMEiwAU4XRr0AXKaW3_IHwCKkfuIC098FWIzmIHVXts11ZM0oiLcBb7Ykc_kurmhoCn4UQAvD_BwE</t>
  </si>
  <si>
    <t>Filtro Y Tela Inox 1.1/2, Emmeti</t>
  </si>
  <si>
    <t>https://www.americanas.com.br/produto/3598142328?epar=bp_pl_00_go_pla_casaeconst_geral_gmv&amp;opn=YSMESP&amp;WT.srch=1&amp;gclid=CjwKCAiA4veMBhAMEiwAU4XRrw3QW9RkFo-FmBkVeND61iyED_sCX18-nxYHsYUKzSzVBe8AzZJ11xoCT_4QAvD_BwE</t>
  </si>
  <si>
    <t>Filtro Y 1.1/2 Polegada Latão Com Tela De Aço Inox Emmeti</t>
  </si>
  <si>
    <t>https://produto.mercadolivre.com.br/MLB-2969836079-filtro-y-112-polegada-lato-com-tela-de-aco-inox-emmeti-_JM#position=7&amp;search_layout=stack&amp;type=item&amp;tracking_id=052a9e8c-1707-4814-aea8-57a505f44eba</t>
  </si>
  <si>
    <t>Filtro Secador de cobre 1" com Ponteira comp. 70mm</t>
  </si>
  <si>
    <t>EMBRAPAR</t>
  </si>
  <si>
    <t>Filtro Secador de Cobre 1" com Ponteira</t>
  </si>
  <si>
    <t>https://www.embrar.com.br/filtro-secador-cobre-1-ponteira/p?idsku=12505</t>
  </si>
  <si>
    <t>ELETRÔNICA LINHA BRANCA</t>
  </si>
  <si>
    <t>11.341.324/0001-00</t>
  </si>
  <si>
    <t>Filtro Secador De Cobre Médio Sem Rabicho Para Geladeira Refrigeração</t>
  </si>
  <si>
    <t>https://www.eletronicalinhabranca.com.br/filtro-secador-de-cobre-medio-sem-rabicho-para-geladeira-refrigeracao</t>
  </si>
  <si>
    <t>MKS SHOP</t>
  </si>
  <si>
    <t>33.695.629/0001-52</t>
  </si>
  <si>
    <t>Filtro Secador EOS D-1870 Com Ponteira Seco 3/4 70MM E 1/4</t>
  </si>
  <si>
    <t>https://www.mksshop.com.br/pecas-eletrodomesticos/pecas-refrigerador/filtro-secador-eos-d-1870-com-ponteira-seco-34-70mm-e-14?parceiro=4410&amp;gclid=Cj0KCQjw08aYBhDlARIsAA_gb0eLtbYn2qDhOoCatpo_A4SL-PQ2BPlZVHMdN4WASmXjv_-kcH_PDX0aAtcFEALw_wcB</t>
  </si>
  <si>
    <t>Controle Remoto Universal EOS para Ar Condicionado Split. REF: EOS KIT000687 ou similar</t>
  </si>
  <si>
    <t xml:space="preserve">92.660.406/0001-19 </t>
  </si>
  <si>
    <t>Controle Remoto Universal EOS para Ar Condicionado Split</t>
  </si>
  <si>
    <t>https://www.frigelar.com.br/controle-remoto-universal-eos-para-ar-condicionado-split/p/kit000687</t>
  </si>
  <si>
    <t>KABUM</t>
  </si>
  <si>
    <t>05.570.714/0001-59</t>
  </si>
  <si>
    <t>Controle Remoto Universal Eos Para Ar Condicionado Split -</t>
  </si>
  <si>
    <t>https://www.kabum.com.br/produto/191907/controle-remoto-universal-eos-para-ar-condicionado-split-</t>
  </si>
  <si>
    <t>Controle remoto universal split eos</t>
  </si>
  <si>
    <t>https://www.magazineluiza.com.br/controle-remoto-universal-eos-para-ar-condicionado-split-fujitsu-eos-ft-ii-eos-ft-ii/p/fe698f3bg1/ar/crac/</t>
  </si>
  <si>
    <t>Kit de Pilhas Alcalinas AAA Palito com 16 unidades. REF: DURACELL ou similar</t>
  </si>
  <si>
    <t>AMAZON</t>
  </si>
  <si>
    <t>15.436.940/0001-03</t>
  </si>
  <si>
    <t>Pilha Alcalina AAA Palito DURACELL com 16 unidades</t>
  </si>
  <si>
    <t>https://www.amazon.com.br/Pilha-Alcalina-Palito-Duracell-3020719/dp/B078GSWP44/ref=asc_df_B078GSWP44/?tag=googleshopp00-20&amp;linkCode=df0&amp;hvadid=379739367028&amp;hvpos=&amp;hvnetw=g&amp;hvrand=14973176420602728273&amp;hvpone=&amp;hvptwo=&amp;hvqmt=&amp;hvdev=c&amp;hvdvcmdl=&amp;hvlocint=&amp;hvlocphy=1031634&amp;hvtargid=pla-811046182680&amp;th=1</t>
  </si>
  <si>
    <t>Pilha Alcalina AAA Palito com 16 Unidades - DURACELL-563</t>
  </si>
  <si>
    <t>https://www.lojadomecanico.com.br/produto/165506/49/671/Pilha-Alcalina-AAA-Palito-com-16-Unidades/153/?utm_source=googleshopping&amp;utm_campaign=xmlshopping&amp;utm_medium=cpc&amp;utm_content=165506</t>
  </si>
  <si>
    <t>KALUNGA</t>
  </si>
  <si>
    <t xml:space="preserve">43.283.811/0001-50 </t>
  </si>
  <si>
    <t>Pilha Alcalina Duracell Palito AAA - BT 16 UM</t>
  </si>
  <si>
    <t>https://www.kalunga.com.br/prod/pilha-alcalina-duracell-palito-aaa-bt-16-un/623801</t>
  </si>
  <si>
    <t>Refil Gás Map Pro Para Maçarico Com 400g</t>
  </si>
  <si>
    <t>GRUPO SANTOS</t>
  </si>
  <si>
    <t xml:space="preserve">28.045.711/0001-00 </t>
  </si>
  <si>
    <t>https://www.grupposantos.com.br/gas-mapp-refil-macarico-vix-400g?utm_source=Site&amp;utm_medium=GoogleMerchant&amp;utm_campaign=GoogleMerchant&amp;gclid=CjwKCAiA4veMBhAMEiwAU4XRr8ya9TqNltM7d8_0KJDbiGa5fQbLQN3NWE6s5VZ5v0YLk7mHZAXjbxoCtaMQAvD_BwE</t>
  </si>
  <si>
    <t>Refil Gás Mapp para Maçarico 400G Worker</t>
  </si>
  <si>
    <t>https://www.ferramentaskennedy.com.br/100041928/refil-gas-mapp-para-macarico-400g-worker?utm_source=google&amp;utm_medium=cpc&amp;utm_campaign=google_shop&amp;gclid=CjwKCAiA4veMBhAMEiwAU4XRr2e6hcNKua6pljD8OYVm9cHYUUMvtffrG_BeaQN6TXkrFhTdVX4RHxoCYj8QAvD_BwE</t>
  </si>
  <si>
    <t>REFRIGERAÇÃO CATA VENTO</t>
  </si>
  <si>
    <t>Refil Para Maçarico Gás Mapp EOS 400g</t>
  </si>
  <si>
    <t>https://www.refrigeracaocatavento.com.br/refil-macarico-gas-map-eos-400g?parceiro=6374&amp;gclid=CjwKCAiA8bqOBhANEiwA-sIlN3SkhzE8zdyI60F_twPA1Bl6fiIjxQRL96JqG-qzvh4H2WXRJlft1RoCv0sQAvD_BwE</t>
  </si>
  <si>
    <t>Válvula Motorizada 3 Vias 1” ON-OFF Retorno Elétrico REF: Actua Controls ou similar</t>
  </si>
  <si>
    <t>Válvula Esfera Motorizada 3 Vias 1" ON-OFF Retorno Elétrico ACTBV80S-325 - Actua Controls</t>
  </si>
  <si>
    <t>https://www.magazineluiza.com.br/valvula-esfera-motorizada-3-vias-1-on-off-retorno-eletrico-actbv80s-325-actua-controls/p/aeab1kj75k/ed/vvlv/</t>
  </si>
  <si>
    <t>Válvula Esfera Motorizada 3 Vias 1 On-off Retorno Elétrico</t>
  </si>
  <si>
    <t>https://produto.mercadolivre.com.br/MLB-1357149145-valvula-esfera-motorizada-3-vias-1-on-off-retorno-eletrico-_JM?matt_tool=40343894&amp;matt_word=&amp;matt_source=google&amp;matt_campaign_id=14303413655&amp;matt_ad_group_id=133855953276&amp;matt_match_type=&amp;matt_network=g&amp;matt_device=c&amp;matt_creative=584156655519&amp;matt_keyword=&amp;matt_ad_position=&amp;matt_ad_type=pla&amp;matt_merchant_id=668985748&amp;matt_product_id=MLB1357149145&amp;matt_product_partition_id=1816238256222&amp;matt_target_id=aud-2009166904988:pla-1816238256222&amp;gclid=Cj0KCQjw2eilBhCCARIsAG0Pf8sH8XREz00H-nZNTeE1CZCkyJGIBbwUH_1xtVwWTq3EGqi6c8ZbgogaAhEzEALw_wcB</t>
  </si>
  <si>
    <t>Válvula Esfera Motorizada 3 Vias 1" ON-OFF Retorno Elétrico ACTBV80S-325</t>
  </si>
  <si>
    <t>https://www.madeiramadeira.com.br/valvula-esfera-motorizada-3-vias-1-on-off-retorno-eletrico-actbv80s-325-3900673.html</t>
  </si>
  <si>
    <t>Válvula Motorizada 3 Vias 3/4” ON-OFF Retorno Elétrico REF: Actua Controls ou similar</t>
  </si>
  <si>
    <t>Válvula Esfera Motorizada 3 Vias 3/4" ON-OFF Retorno Elétrico ACTBV80S-320 - Actua Controls</t>
  </si>
  <si>
    <t>https://www.magazineluiza.com.br/valvula-esfera-motorizada-3-vias-3-4-on-off-retorno-eletrico-actbv80s-320-actua-controls/p/hj2bgk47fa/ed/vvlv/</t>
  </si>
  <si>
    <t>Válvula Esfera Motorizada 3 Vias 3/4 On-off Retorno Elétrico</t>
  </si>
  <si>
    <t>https://produto.mercadolivre.com.br/MLB-1357149151-valvula-esfera-motorizada-3-vias-34-on-off-retorno-eletrico-_JM?matt_tool=63064967&amp;matt_word=&amp;matt_source=google&amp;matt_campaign_id=14303413826&amp;matt_ad_group_id=133431076203&amp;matt_match_type=&amp;matt_network=g&amp;matt_device=c&amp;matt_creative=584156655540&amp;matt_keyword=&amp;matt_ad_position=&amp;matt_ad_type=pla&amp;matt_merchant_id=585367050&amp;matt_product_id=MLB1357149151&amp;matt_product_partition_id=691191464150&amp;matt_target_id=aud-532123541969:pla-691191464150&amp;gclid=Cj0KCQjw08aYBhDlARIsAA_gb0c5WhXzrk5tP6WuWYq3XSPpHoFplGAwL6OVekQIpvt9OJDFg8cBztIaAntREALw_wcB</t>
  </si>
  <si>
    <t>03.271.700/0001-09</t>
  </si>
  <si>
    <t>VALVULA ESFERA ON-OFF RET.ELETRICO, 3 VIAS, 3/4" CV=8,85 220V ( ACTBV80S-320 )(1,669)</t>
  </si>
  <si>
    <t>https://www.totalar.net/produtos/valvula-esfera-on-off-ret-eletrico-3-vias-3-4-cv885-220v-actbv80s-320-1669/</t>
  </si>
  <si>
    <t>Válvula Motorizada 3 Vias 1/2” ON-OFF Retorno Elétrico REF: Actua Controls ou similar</t>
  </si>
  <si>
    <t>Válvula Esfera Motorizada 3 Vias 1/2” ON-OFF Retorno Elétrico ACTBV80S-315 - Actua Controls</t>
  </si>
  <si>
    <t>https://www.magazineluiza.com.br/valvula-esfera-motorizada-3-vias-1-2-on-off-retorno-eletrico-actbv80s-315-actua-controls/p/aa24757ke7/ed/vvlv/?&amp;seller_id=frioshopping</t>
  </si>
  <si>
    <t>Válvula Esfera Motorizada 3 Vias 1/2 On-off Retorno Elétrico</t>
  </si>
  <si>
    <t>https://produto.mercadolivre.com.br/MLB-1357152343-valvula-esfera-motorizada-3-vias-12-on-off-retorno-eletrico-_JM?matt_tool=18956390&amp;utm_source=google_shopping&amp;utm_medium=organic</t>
  </si>
  <si>
    <t>Válvula Esfera Motorizada 3 Vias 1/2" ON-OFF Retorno Elétrico ACTBV80S-315</t>
  </si>
  <si>
    <t>https://www.madeiramadeira.com.br/valvula-esfera-motorizada-3-vias-1-2-on-off-retorno-eletrico-actbv80s-315-4466578.html</t>
  </si>
  <si>
    <t>Válvula De Esfera GBC 5/8"</t>
  </si>
  <si>
    <t>Válvula Esfera GBC 16S com Schrader 5/8" - Danfoss</t>
  </si>
  <si>
    <t>https://www.refrigeracaocatavento.com.br/outras-categorias/refrigeracao-comercial/valvula-esfera-gbc-c-schrader-58-danfoss?parceiro=6374</t>
  </si>
  <si>
    <t>DIFUSOR</t>
  </si>
  <si>
    <t xml:space="preserve">03.058.421/0001-61 </t>
  </si>
  <si>
    <t>Válvula Esfera 5/8" GBC 16S Solda C/Schander EOLO</t>
  </si>
  <si>
    <t>https://www.difusor.com.br/valvula-esfera-58-gbc-16s-solda-cscharder-eolo?utm_source=Site&amp;utm_medium=GoogleMerchant&amp;utm_campaign=GoogleMerchant&amp;gclid=Cj0KCQjw08aYBhDlARIsAA_gb0eou6pC0X9DwOomUwNbLLtM_EFN2_NzJrW0fQ5akXKP65v2oRLktloaAphxEALw_wcB</t>
  </si>
  <si>
    <t>VALV ESFERA GBC 5/8 C/SCHRADER (1,759)</t>
  </si>
  <si>
    <t>https://www.totalar.net/produtos/valv-esfera-gbc-5-8-c-schrader-1759/?pf=gs&amp;variant=167135004</t>
  </si>
  <si>
    <t>TUBO ESPONJOSO 1/2 BLINDADO PRETO BARRA COM 2 METROS. REF: VIX OU SIMILAR</t>
  </si>
  <si>
    <t>Tubo Isolante Esponjoso Cz 1" - Vix</t>
  </si>
  <si>
    <t>https://www.magazineluiza.com.br/tubo-isolante-esponjoso-cz-1-vix/p/ja331b1e4h/es/islt/?&amp;seller_id=friopecas</t>
  </si>
  <si>
    <t>SEMATEC</t>
  </si>
  <si>
    <t>TUBO ESPONJOSO 1/2 BLINDADO PRETO BARRA COM 2 METROS</t>
  </si>
  <si>
    <t>https://www.samatec.com.br/tubo-esponjoso-1-2-blindado-preto-barra-com-2-metros/p?idsku=2003260&amp;gclid=CjwKCAiA4veMBhAMEiwAU4XRrycrVKw59Q0g8SJ9i-ktImxb0S9Rkfoe1gSdU57Ek0W0T5g51f63ZRoC7bIQAvD_BwE</t>
  </si>
  <si>
    <t>Tubo Isolante Esponjoso Vix Blindado 1/2" Preto</t>
  </si>
  <si>
    <t>https://www.friopecas.com.br/tubo-isolante-esponjoso-vix-blindado-1-2-preto/p?idsku=111344&amp;gclid=CjwKCAiA4veMBhAMEiwAU4XRr4YcP02YWjcTFSsGC7wGK3hrCC_Gpbj4RuJcmqyCpo48Xv2N9paBYRoCfLsQAvD_BwE</t>
  </si>
  <si>
    <t>TUBO ESPONJOSO 3/4 BLINDADO PRETO BARRA COM 2 METROS. REF: VIX OU SIMILAR</t>
  </si>
  <si>
    <t>Tubo Isolante Esponjoso Vix Blindado 3/4” Preto</t>
  </si>
  <si>
    <t>https://www.magazineluiza.com.br/tubo-isolante-esponjoso-vix-blindado-3-4-preto/p/jab32d87j8/es/elcm/?&amp;seller_id=friopecas&amp;utm_source=google&amp;utm_medium=pla&amp;utm_campaign=&amp;partner_id=60485&amp;gclid=CjwKCAiA4veMBhAMEiwAU4XRr7KrxmTaK1bIrPr5ggcfdFI8iemsAhmSFgXCqtHCRvhwSLgVAh6DlBoC1vIQAvD_BwE&amp;gclsrc=aw.ds</t>
  </si>
  <si>
    <t>TUBO ESPONJOSO 3/4 BLINDADO PRETO BARRA COM 2 METROS</t>
  </si>
  <si>
    <t>https://www.samatec.com.br/tubo-esponjoso-3-4-blindado-preto-barra-com-2-metros/p?idsku=2003267&amp;gclid=CjwKCAiA4veMBhAMEiwAU4XRr5-BwDeRG1OkGo7DCgxDUyQc9e8tTT3Ou84JiyNu8QFMBsDWwQeNqhoC73AQAvD_BwE</t>
  </si>
  <si>
    <t>Tubo Isolante Esponjoso Vix Blindado 3/4" Preto</t>
  </si>
  <si>
    <t>https://www.friopecas.com.br/tubo-isolante-esponjoso-vix-blindado-3-4-preto/p?idsku=111343&amp;gclid=CjwKCAiA4veMBhAMEiwAU4XRr8Q-d90PDRniGQSWMawofMsrELlLqi5fcUDrlLRuDyuY231NpHtq_hoCQAMQAvD_BwE</t>
  </si>
  <si>
    <t>Duto flexível aluminizado 200mm com 10 metros para exaustão. REF: SICFLUX OU SIMILAR</t>
  </si>
  <si>
    <t>Duto Flexivel Aluminizado 200mm - 10 Metros + Rolo De Fita</t>
  </si>
  <si>
    <t>https://produto.mercadolivre.com.br/MLB-2990574264-duto-flexivel-aluminizado-200mm-10-metros-rolo-de-fita-_JM?matt_tool=18956390&amp;utm_source=google_shopping&amp;utm_medium=organic</t>
  </si>
  <si>
    <t>MAPASEG</t>
  </si>
  <si>
    <t>17.862.586/0001-04</t>
  </si>
  <si>
    <t>DA08 - DUTO FLEXÍVEL DE ALUMÍNIO PARA EXAUSTOR 200MM COM 10 MTS</t>
  </si>
  <si>
    <t>https://www.mapaseg.com.br/da08-duto-flexivel-de-aluminio-para-exaustor-200mm-com-10-mts-pr-1033-388444.htm</t>
  </si>
  <si>
    <t>NOVA EXAUSTORES</t>
  </si>
  <si>
    <t>Duto Flexivel Aluminizado (Rolo c/10 metros)</t>
  </si>
  <si>
    <t>https://www.novaexaustores.com.br/acessorios-pventilacao-e-exaustao/duto-flexivel-aluminizado-rl-c10-mts?variant_id=1234&amp;parceiro=1604&amp;srsltid=AeTuncprkeYReYkgXPeaIM4ab7ST_HNwsh8eZ_27rUbKUOGgIN17znIRVik</t>
  </si>
  <si>
    <t>FITA ALUMíNIO ALUMINIZADA REFRIGERAÇÃO AR CONDICIONADO 48MM X 50M. REF: VIX ou similar</t>
  </si>
  <si>
    <t>Fita Adesiva de Polipr. Aluminizado (BOPP) 48mm X 50m</t>
  </si>
  <si>
    <t>https://www.novaexaustores.com.br/acessorios-pventilacao-e-exaustao/fita-adesiva-de-polipropileno-aluminizado-bopp-48-mm-x-50-m?parceiro=1604&amp;gclid=Cj0KCQjw2eilBhCCARIsAG0Pf8vP3sT8L8Zei5eKZkNKDHyvkyIqDroSR9Lab4f5YrJrXJ4tMPCTNvYaAlLyEALw_wcB</t>
  </si>
  <si>
    <t>Fita Aluminizada Vix 48mm x 50 m</t>
  </si>
  <si>
    <t>https://www.friopecas.com.br/fita-aluminizada-vix-48-m-m-50-m/p?idsku=119090</t>
  </si>
  <si>
    <t>https://www.americanas.com.br/produto/3593670623?epar=bp_pl_oa_go_smartshop_pap&amp;opn=YSMESP&amp;WT.srch=1&amp;gclid=CjwKCAiA4veMBhAMEiwAU4XRrxHT2vh6xI-3JvYnXA0RJfd9seXaI1OeEmVpmA2-JoC6fwtrZqRM8xoCnicQAvD_BwE</t>
  </si>
  <si>
    <t>AR_MAT_068</t>
  </si>
  <si>
    <t>Óleo lubrificante para Compressor AW 150 - 1L. REF: PRESSURE ou similar</t>
  </si>
  <si>
    <t>Óleo Para Compressores e Sistemas Hidráulicos AW 150 1 Litro Vonder</t>
  </si>
  <si>
    <t>https://www.magazineluiza.com.br/oleo-para-compressores-e-sistemas-hidraulicos-aw-150-1-litro-vonder/p/ba51485c9k/fs/olpc/?&amp;seller_id=lojatendymais</t>
  </si>
  <si>
    <t>ZAMPAR</t>
  </si>
  <si>
    <t>29.379.920/0001-44</t>
  </si>
  <si>
    <t>OLEO LUBRIFICANTE AW ISO 150 1 LITRO PRESSURE</t>
  </si>
  <si>
    <t>https://zamparferramentas.com.br/oleo-lubrificante-aw-iso-150-1-litro-pressure</t>
  </si>
  <si>
    <t>Óleo para Compressor AW150 1000 ml - PRESSURE-AW150</t>
  </si>
  <si>
    <t>https://www.lojadomecanico.com.br/produto/3074/32/250/Oleo-para-Compressor-AW150-1000-ml/153/?utm_source=googleshopping&amp;utm_campaign=xmlshopping&amp;utm_medium=cpc&amp;utm_content=3074</t>
  </si>
  <si>
    <t>Lubrificante Spray - 200g/300 ml. REF: VONDER ou similar</t>
  </si>
  <si>
    <t>ELETROLUZ</t>
  </si>
  <si>
    <t>00.502.754/0001-40</t>
  </si>
  <si>
    <t>Vonder Lubrificante Spray 300ML</t>
  </si>
  <si>
    <t>https://www.eletroluz.net/95202/vonder-lubrificante-spray-300ml/?gclid=Cj0KCQiAhf2MBhDNARIsAKXU5GTe4fbJmz5wLZy-4zY-CR0EBNAtVgl91E-B6bABRozADEFLUbN7KFsaAnmlEALw_wcB</t>
  </si>
  <si>
    <t>Silicone Em Spray 200 G/300 ml - VONDER-5160040106</t>
  </si>
  <si>
    <t>https://www.lojadomecanico.com.br/produto/126263/32/250/Silicone-Em-Spray-200-G300-ml/153/?utm_source=googleshopping&amp;utm_campaign=xmlshopping&amp;utm_medium=cpc&amp;utm_content=126263</t>
  </si>
  <si>
    <t>GUIMEPAR</t>
  </si>
  <si>
    <t>23.157.174/0001-68</t>
  </si>
  <si>
    <t>Óleo lubrificante spray 300ml/200g Vonder</t>
  </si>
  <si>
    <t>https://www.guimepa.com.br/oleo-lubrificante-spray-300ml-200g-vonder.html</t>
  </si>
  <si>
    <t>Desingripante Spray 300 ml. REF: White Lub Super ORBI-03 ou similar</t>
  </si>
  <si>
    <t>Desengripante Spray White Lub Super 300ml - ORBI-O3</t>
  </si>
  <si>
    <t>https://www.lojadomecanico.com.br/produto/63882/32/250/Desengripante-Spray-White-Lub-Super-300ml/153/?utm_source=googleshopping&amp;utm_campaign=xmlshopping&amp;utm_medium=cpc&amp;utm_content=63882&amp;gclid=Cj0KCQiAhf2MBhDNARIsAKXU5GTaFv6MpEejtvVAGCmpDowRcz54ZYCK-eSrPlPP_xxE2sWJ1M-XxdEaAoWQEALw_wcB</t>
  </si>
  <si>
    <t>PALÁCIO DAS FERRAMENTAS</t>
  </si>
  <si>
    <t>68.422.419/0001-75</t>
  </si>
  <si>
    <t>Desengripante Spray 300 ML WHITE LUB</t>
  </si>
  <si>
    <t>https://www.palaciodasferramentas.com.br/produto/5778/produtos-p-limpeza/desengripantes/desengripante-spray-300-ml-white-lub/?campaign_id=1&amp;campaign_source_id=3&amp;campaign_source=gshopping&amp;utm_source=google%20shopping&amp;utm_medium=cpc&amp;utm_campaign=google%20shopping&amp;gclid=Cj0KCQiAhf2MBhDNARIsAKXU5GRpygs0AHp_tW1Rc_Nz3BbA8SNg5BdgxxOUHL5m_odYVBnRAdhmAD0aAiysEALw_wcB</t>
  </si>
  <si>
    <t xml:space="preserve"> 33.041.260/0652-90</t>
  </si>
  <si>
    <t>Desengripante White Lub Super Spray 300ML Orbi</t>
  </si>
  <si>
    <t>https://www.casasbahia.com.br/desengripante-white-lub-super-spray-300ml-orbi-1511595672/p/1511595672?utm_medium=Cpc&amp;utm_source=google_freelisting&amp;IdSku=1511595672&amp;idLojista=41754</t>
  </si>
  <si>
    <t>Adesivo Bond em Bisnarga 3g. REF: Scoth Bond ou similar</t>
  </si>
  <si>
    <t>ESFERA PAPELARIA</t>
  </si>
  <si>
    <t>04.958.949/0001-50</t>
  </si>
  <si>
    <t>Cola Instantânea Schotch Bond 3g 3M</t>
  </si>
  <si>
    <t>https://www.esferapapelaria.com.br/cola-instantanea-schotch-bond-3g-3m?parceiro=6268&amp;gclid=Cj0KCQjw08aYBhDlARIsAA_gb0cwoofc0dGDUE-FD6wgoQjPqHZ_UWz4iJZ-_EKDZYBllQzo0GaA_1AaAi72EALw_wcB</t>
  </si>
  <si>
    <t>TUA CASA FERRAGEM</t>
  </si>
  <si>
    <t>23.240.420/0001-40</t>
  </si>
  <si>
    <t>Adesivo Instantâneo Scotch Bond 3g – 3m</t>
  </si>
  <si>
    <t>https://tuacasaferragem.com.br/produto/adesivo-instantaneo-scotch-bond-3g-3/</t>
  </si>
  <si>
    <t>Cola Adesiva Instantênea Scotch Bond 3g - 3M</t>
  </si>
  <si>
    <t>https://www.palacio.com.br/cola-adesiva-instantenea-scotch-bond-3g---3m/p?idsku=1151&amp;gclid=Cj0KCQiAhf2MBhDNARIsAKXU5GQma3dQRnely1f_TfmI79_21pbEanpjqrSm78X7LCFDZd3f9O9--qkaAmgjEALw_wcB</t>
  </si>
  <si>
    <t>Graxa Especial Para Lubrificação - 10KG. REF: Unigrax Ca-2 10kg Ingrax ou similar</t>
  </si>
  <si>
    <t>DIAFER</t>
  </si>
  <si>
    <t>04.798.677/0001-78</t>
  </si>
  <si>
    <t>GRAXA CASTANHA UNIGRAX PARA CHASSIS CA-2 10KG INGRAX</t>
  </si>
  <si>
    <t>https://www.diafer.com.br/graxa-castanha-unigrax-para-chassis-ca-2-10kg-ingrax/p?idsku=44207</t>
  </si>
  <si>
    <t>ROYAL MÁQUINAS E FERRAMENTAS</t>
  </si>
  <si>
    <t>04.234.082/0001-90</t>
  </si>
  <si>
    <t>Graxa Unigrax Ca-2 10kg - Uni</t>
  </si>
  <si>
    <t>https://www.royalmaquinas.com.br/graxa-unigrax-ca-2-10kg-uni.html?gclid=Cj0KCQiAhf2MBhDNARIsAKXU5GQjE1I8EQliKINs9XbJOJELIjqpQQ_0o6Ur6Fz015MTa0ZpVf-cVUgaAuZWEALw_wcB</t>
  </si>
  <si>
    <t>Graxa Lubrificante (Chassis 2) Balde 10 Kg - FALUB</t>
  </si>
  <si>
    <t>https://www.magazineluiza.com.br/graxa-lubrificante-chassis-2-balde-10-kg-falub/p/hh754a8173/es/olbc/?&amp;seller_id=baseagricola&amp;utm_source=google&amp;utm_medium=pla&amp;utm_campaign=&amp;partner_id=60485&amp;gclid=CjwKCAiA8bqOBhANEiwA-sIlN8-oa2JZBv3CImprStS_1lKSMg-zmqq1SN7PBcd8BO_J2wODwlBoEhoCEzsQAvD_BwE&amp;gclsrc=aw.ds</t>
  </si>
  <si>
    <t>AR_MAT_073</t>
  </si>
  <si>
    <t>Vaselina Solida Uso Industrial 90g. REF: Worker ou similar</t>
  </si>
  <si>
    <t>92.613.413/0001-60</t>
  </si>
  <si>
    <t>Vaselina Sólida 90g Worker</t>
  </si>
  <si>
    <t>https://www.adrofecha.com.br/quimicos/lubrificantes/vaselina-solida-90g-worker</t>
  </si>
  <si>
    <t>Vaselina Solida 90GR - Worker</t>
  </si>
  <si>
    <t>https://www.magazineluiza.com.br/vaselina-solida-90gr-worker/p/gc89311eae/cp/vsln/?&amp;seller_id=vitoriaferragens</t>
  </si>
  <si>
    <t>Vaselina Sólida Industrial 90G Worker</t>
  </si>
  <si>
    <t>https://www.ferramentaskennedy.com.br/100046878/vaselina-solida-industrial-90g-worker?utm_source=google&amp;utm_medium=cpc&amp;utm_campaign=google_shop</t>
  </si>
  <si>
    <t>Termômetro Capela Reto 0 a 50 Graus Haste 50mm</t>
  </si>
  <si>
    <t>Termometro Capela 0 - 50ºc Haste 50mm,rosca 1/2 Bsp.</t>
  </si>
  <si>
    <t>https://produto.mercadolivre.com.br/MLB-3035479133-termometro-capela-0-50c-haste-50mmrosca-12-bsp-_JM?matt_tool=18956390&amp;utm_source=google_shopping&amp;utm_medium=organic</t>
  </si>
  <si>
    <t>35.028.609/0001-53</t>
  </si>
  <si>
    <t>Termômetro Capela Angular 25mm Range de 0 a 50°C</t>
  </si>
  <si>
    <t>https://www.chillerpecas.com.br/produtos/termometro-capela-angular-25mm-range-de-0-a-50c/?pf=gs&amp;variant=393578678&amp;srsltid=AeTuncpVE-KuSsFeckJppKBLppiv9-gLMAkA0UhDyKe7vDAbthg-g9LAsYY</t>
  </si>
  <si>
    <t>FRIO SHOPPING</t>
  </si>
  <si>
    <t>Termômetro Baixa Temperatura Escala Interna 50+50:1 °c Liq</t>
  </si>
  <si>
    <t>SERVIÇOS - REFRIGERAÇÃO - SPLITS E ACJS</t>
  </si>
  <si>
    <t>SERVIÇO DE MANUTENÇÃO PREVENTIVA E CORRETIVA DE APARELHOS DE AR CONDICIONADO SPLIT ATÉ 9.000 BTUS, COM FORNECIMENTO DE PEÇAS E MATERIAIS (COM EXCEÇÃO DO COMPRESSOR PARA AR CONDICIONADO, MOTOR VENTILADOR DA UNIDADE CONDENSADORA OU EVAPORADORA E PLACA DE COMANDO DA UNIDADE CONDENSADORA OU EVAPORADORA)</t>
  </si>
  <si>
    <t>ARSEG AR CONDICIONADO</t>
  </si>
  <si>
    <t>16.873.534/0001-62</t>
  </si>
  <si>
    <t>Manutenção preventiva em aparelho tipo split, modelo hiwall, 9.000btu’s.</t>
  </si>
  <si>
    <t>RB ENGENHARIA E CLIMATIZAÇÃO CLINI AR</t>
  </si>
  <si>
    <t>22.376.118/0001-51</t>
  </si>
  <si>
    <t>TEC AR</t>
  </si>
  <si>
    <t>28.192.111/0001-66</t>
  </si>
  <si>
    <t>27/07/2023</t>
  </si>
  <si>
    <t>SERVIÇO DE MANUTENÇÃO PREVENTIVA E CORRETIVA DE APARELHOS DE AR CONDICIONADO SPLIT ACIMA DE 9.000 BTUS ATÉ 12.000 BTUS, COM FORNECIMENTO DE PEÇAS E MATERIAIS (COM EXCEÇÃO DO COMPRESSOR PARA AR CONDICIONADO, MOTOR VENTILADOR DA UNIDADE CONDENSADORA OU EVAPORADORA E PLACA DE COMANDO DA UNIDADE CONDENSADORA OU EVAPORADORA)</t>
  </si>
  <si>
    <t>Manutenção preventiva em aparelho tipo split, modelo hiwall, 12.000btu’s.</t>
  </si>
  <si>
    <t>SERVIÇO DE MANUTENÇÃO PREVENTIVA E CORRETIVA DE APARELHOS DE AR CONDICIONADO SPLIT ACIMA DE 12.000 BTUS ATÉ 18.000 BTUS, COM FORNECIMENTO DE PEÇAS E MATERIAIS (COM EXCEÇÃO DO COMPRESSOR PARA AR CONDICIONADO, MOTOR VENTILADOR DA UNIDADE CONDENSADORA OU EVAPORADORA E PLACA DE COMANDO DA UNIDADE CONDENSADORA OU EVAPORADORA)</t>
  </si>
  <si>
    <t>Manutenção preventiva em aparelho tipo split, modelo hiwall, 18.000btu’s.</t>
  </si>
  <si>
    <t>SERVIÇO MENSAL DE MANUTENÇÃO PREVENTIVA E CORRETIVA DE APARELHOS DE AR CONDICIONADO SPLIT ACIMA DE 18.000 BTUS ATÉ 24.000 BTUS, COM FORNECIMENTO DE PEÇAS E MATERIAIS (COM EXCEÇÃO DO COMPRESSOR PARA AR CONDICIONADO, MOTOR VENTILADOR DA UNIDADE CONDENSADORA OU EVAPORADORA E PLACA DE COMANDO DA UNIDADE CONDENSADORA OU EVAPORADORA)</t>
  </si>
  <si>
    <t>RAFA AR CLIMATIZAÇÃO</t>
  </si>
  <si>
    <t>43.704.171/0001-04</t>
  </si>
  <si>
    <t>Higienização e manutenção troca de peças</t>
  </si>
  <si>
    <t>SERVIÇO DE MANUTENÇÃO PREVENTIVA E CORRETIVA DE APARELHOS DE AR CONDICIONADO SPLIT ACIMA DE 24.000 BTUS ATÉ 30.000 BTUS, COM FORNECIMENTO DE PEÇAS E MATERIAIS (COM EXCEÇÃO DO COMPRESSOR PARA AR CONDICIONADO, MOTOR VENTILADOR DA UNIDADE CONDENSADORA OU EVAPORADORA E PLACA DE COMANDO DA UNIDADE CONDENSADORA OU EVAPORADORA)</t>
  </si>
  <si>
    <t>RB ENGENHARIA E CLIMATIZAÇÃO</t>
  </si>
  <si>
    <t>SERVIÇO DE MANUTENÇÃO PREVENTIVA E CORRETIVA DE APARELHOS DE AR CONDICIONADO SPLIT ACIMA DE 30.000 BTUS ATÉ 36.000 BTUS, COM FORNECIMENTO DE PEÇAS E MATERIAIS (COM EXCEÇÃO DO COMPRESSOR PARA AR CONDICIONADO, MOTOR VENTILADOR DA UNIDADE CONDENSADORA OU EVAPORADORA E PLACA DE COMANDO DA UNIDADE CONDENSADORA OU EVAPORADORA)</t>
  </si>
  <si>
    <t>SERVIÇO DE MANUTENÇÃO PREVENTIVA E CORRETIVA DE APARELHOS DE AR CONDICIONADO SPLIT ACIMA DE 36.000 BTUS ATÉ 48.000 BTUS, COM FORNECIMENTO DE PEÇAS E MATERIAIS (COM EXCEÇÃO DO COMPRESSOR PARA AR CONDICIONADO, MOTOR VENTILADOR DA UNIDADE CONDENSADORA OU EVAPORADORA E PLACA DE COMANDO DA UNIDADE CONDENSADORA OU EVAPORADORA)</t>
  </si>
  <si>
    <t>SERVIÇO DE MANUTENÇÃO PREVENTIVA E CORRETIVA DE APARELHOS DE AR CONDICIONADO SPLIT ACIMA DE 48.000 BTUS ATÉ 60.000 BTUS, COM FORNECIMENTO DE PEÇAS E MATERIAIS (COM EXCEÇÃO DO COMPRESSOR PARA AR CONDICIONADO, MOTOR VENTILADOR DA UNIDADE CONDENSADORA OU EVAPORADORA E PLACA DE COMANDO DA UNIDADE CONDENSADORA OU EVAPORADORA)</t>
  </si>
  <si>
    <t>SERVIÇO DE MANUTENÇÃO PREVENTIVA E CORRETIVA DE APARELHOS DE AR CONDICIONADO DO TIPO JANELA ATÉ 9.000 BTUS, COM FORNECIMENTO DE PEÇAS E MATERIAIS (COM EXCEÇÃO DO COMPRESSOR PARA AR CONDICIONADO, MOTOR VENTILADOR DA UNIDADE CONDENSADORA OU EVAPORADORA E PLACA DE COMANDO DA UNIDADE CONDENSADORA OU EVAPORADORA)</t>
  </si>
  <si>
    <t>Manutenção preventiva em aparelho tipo janela, 9.000btu’s.</t>
  </si>
  <si>
    <t>SERVIÇO DE MANUTENÇÃO PREVENTIVA E CORRETIVA DE APARELHOS DE AR CONDICIONADO DO TIPO JANELA ACIMA DE 9.000 BTUS ATÉ 12.000 BTUS, COM FORNECIMENTO DE PEÇAS E MATERIAIS (COM EXCEÇÃO DO COMPRESSOR PARA AR CONDICIONADO, MOTOR VENTILADOR DA UNIDADE CONDENSADORA OU EVAPORADORA E PLACA DE COMANDO DA UNIDADE CONDENSADORA OU EVAPORADORA)</t>
  </si>
  <si>
    <t>Manutenção preventiva em aparelho tipo janela, 12.000btu’s.</t>
  </si>
  <si>
    <t>SERVIÇO DE MANUTENÇÃO PREVENTIVA E CORRETIVA DE APARELHOS DE AR CONDICIONADO TIPO JANELA ACIMA DE 12.000 BTUS ATÉ 18.000 BTUS, COM FORNECIMENTO DE PEÇAS E MATERIAIS (COM EXCEÇÃO DO COMPRESSOR PARA AR CONDICIONADO, MOTOR VENTILADOR DA UNIDADE CONDENSADORA OU EVAPORADORA E PLACA DE COMANDO DA UNIDADE CONDENSADORA OU EVAPORADORA)</t>
  </si>
  <si>
    <t>SS.A AR CONDICIONADO</t>
  </si>
  <si>
    <t>43.362.337/0001-51</t>
  </si>
  <si>
    <t>SERVIÇO DE MANUTENÇÃO PREVENTIVA E CORRETIVA DE APARELHOS DE AR CONDICIONADO TIPO JANELA ACIMA DE 18.000 BTUS ATÉ 27.000 BTUS, COM FORNECIMENTO DE PEÇAS E MATERIAIS (COM EXCEÇÃO DO COMPRESSOR PARA AR CONDICIONADO, MOTOR VENTILADOR DA UNIDADE CONDENSADORA OU EVAPORADORA E PLACA DE COMANDO DA UNIDADE CONDENSADORA OU EVAPORADORA)</t>
  </si>
  <si>
    <t>Manutenção preventiva em aparelho tipo janela, 27.000btu’s.</t>
  </si>
  <si>
    <t>SERVIÇO - NOBREAK</t>
  </si>
  <si>
    <t>Serviço de Manutenção Preventiva de Nobreak até 5 KVA, revisão e limpeza geral conforme rotina estipulada em TR</t>
  </si>
  <si>
    <t>MTL MANUTENÇÃO</t>
  </si>
  <si>
    <t>22.674.482/0001-06</t>
  </si>
  <si>
    <t/>
  </si>
  <si>
    <t>STALTEK</t>
  </si>
  <si>
    <t>50.463.438/0001-84</t>
  </si>
  <si>
    <t>POWERCOM BRASIL</t>
  </si>
  <si>
    <t>07.494.227/0001-80</t>
  </si>
  <si>
    <t>Serviço de Manutenção Preventiva de Nobreak de 20 KVA, revisão e limpeza geral conforme rotina estipulada em TR</t>
  </si>
  <si>
    <t>47.745.364/0001-64</t>
  </si>
  <si>
    <t>RBF DO BRASIL</t>
  </si>
  <si>
    <t>10.255.249/0001-00</t>
  </si>
  <si>
    <t>Serviço de Manutenção Preventiva de Nobreak de 30 KVA, revisão e limpeza geral conforme rotina estipulada em TR</t>
  </si>
  <si>
    <t>Serviço de Manutenção Preventiva de Nobreak de 40 KVA, revisão e limpeza geral conforme rotina estipulada em TR</t>
  </si>
  <si>
    <t>Serviço de Manutenção Preventiva de Nobreak de 60 KVA, revisão e limpeza geral conforme rotina estipulada em TR</t>
  </si>
  <si>
    <t>Serviço de Manutenção Preventiva de Nobreak de 100 KVA,revisão e limpeza geral conforme rotina estipulada em TR</t>
  </si>
  <si>
    <t>Substituição de banco de baterias composto por 62 unidades de 100 Ah - Mão de obra e Material</t>
  </si>
  <si>
    <t>POWERCOM</t>
  </si>
  <si>
    <t>BATERIA SELADA VRLA 12V/100AH</t>
  </si>
  <si>
    <t>Substituição de banco de baterias composto por 124 unidades de 18 Ah - Mão de obra e Material</t>
  </si>
  <si>
    <t>BATERIA SELADA VRLA 12V/18Ah</t>
  </si>
  <si>
    <t>Sonkey</t>
  </si>
  <si>
    <t>01.725.627/0002-53</t>
  </si>
  <si>
    <t>01/08/2023</t>
  </si>
  <si>
    <t>Bateria Estacionária Selada 12V/18A VRLA UP12180 UNIPOWER</t>
  </si>
  <si>
    <t>https://www.sonkey.com.br/bateria-selada-12v-18a-up12180-unipower?gclid=EAIaIQobChMIvLnvjqSY9gIVloKRCh0KfAsdEAQYByABEgK5ZPD_BwE#</t>
  </si>
  <si>
    <t xml:space="preserve">Bateria Estacionária Selada 12V/18A vrla UP12180 unipower
</t>
  </si>
  <si>
    <t>https://www.americanas.com.br/produto/5459376861?epar=bp_pl_00_go_aut_d_11_n_comp_tk2&amp;opn=YSMESP&amp;WT.srch=1&amp;offerId=62e35befadbc5f39b92b0b7c&amp;gclid=Cj0KCQjw08aYBhDlARIsAA_gb0dCIM61xUl5myvPTeRy-_AwFDE-Bx6Kq9OlQ400VXS1maaWylt6QLgaAkACEALw_wcB</t>
  </si>
  <si>
    <t>Substituição de banco de baterias composto por 336 unidades de 9 Ah - Mão de obra e Material</t>
  </si>
  <si>
    <t>BATERIA SELADA VRLA 12V/09Ah</t>
  </si>
  <si>
    <t>Baterias VRLA 12V 9Ah</t>
  </si>
  <si>
    <t>Bateria Selada Gel Duran 9ah 12v Nobreak</t>
  </si>
  <si>
    <t>https://produto.mercadolivre.com.br/MLB-992101294-bateria-selada-weg-12v-9ah-nova-original-vida-util-5-anos-_JM?matt_tool=18956390&amp;utm_source=google_shopping&amp;utm_medium=organic</t>
  </si>
  <si>
    <t>Substituição de banco de baterias composto por 128 unidades de 9 Ah - Mão de obra e Material</t>
  </si>
  <si>
    <t>Bateria Estacionária Selada 12v/9a Vrla Up1290 Unipower</t>
  </si>
  <si>
    <t>https://www.shoptime.com.br/produto/5607455061?pfm_carac=bateria-moura-aldo-solar-12mva-9-estacionaria-nobreak-selada-12v-9ah&amp;pfm_index=2&amp;pfm_page=search&amp;pfm_pos=grid&amp;pfm_type=search_page&amp;offerId=63e55276401db3b86b64bcae</t>
  </si>
  <si>
    <t>Substituição de banco de baterias composto por 32 unidades de 7 Ah - Mão de obra e Material</t>
  </si>
  <si>
    <t>BATERIA SELADA VRLA 12V/07Ah</t>
  </si>
  <si>
    <t>ALARME CENTER</t>
  </si>
  <si>
    <t xml:space="preserve"> 17.808.682/0001-66</t>
  </si>
  <si>
    <t>Bateria 12v 7Ah Moura Selada AGM</t>
  </si>
  <si>
    <t>https://alarmecenter.com/produto/bateria-12v-7ah-moura-alarme-cerca-eletrica-no-break-incendio/?utm_source=Google+Shopping&amp;utm_medium=cpc&amp;utm_campaign=GS+CTX&amp;utm_term=GS-CTX&amp;gclid=Cj0KCQjw08aYBhDlARIsAA_gb0eEh53BfAa1nkVH-uuoF7cQQd6F1aWfIvF00LHZBkVe1Z9eYbyTKq4aAsKPEALw_wcB</t>
  </si>
  <si>
    <t>BATERIAS DURAN</t>
  </si>
  <si>
    <t>13.498.573/0001-39</t>
  </si>
  <si>
    <t>Bateria Selada Gel Ciclo Profundo Duran 7ah 12v Nobreak</t>
  </si>
  <si>
    <t>https://www.bateriasduran.com.br/baterias/baterias-vrla-agm-gel/bateria-selada-gel-ciclo-profundo-duran-7ah-12v-nobreak</t>
  </si>
  <si>
    <t>Substituição de banco de baterias composto por 8 unidades de 9 Ah - Mão de obra e Material</t>
  </si>
  <si>
    <t>https://www.magazineluiza.com.br/bateria-selada-chumbo-acido-gel-12v-9ah-vrla-agm-nobreak-ciclo-profundo-get-power/p/aa9cjf5515/cj/batr/?seller_id=bpintermediacao</t>
  </si>
  <si>
    <t>Substituição de banco de baterias composto por 24 unidades de 45 Ah - Mão de obra e Material</t>
  </si>
  <si>
    <t>03.499.243/0001-04</t>
  </si>
  <si>
    <t>Bateria Automotiva Selada Jupiter 45ah 12v Com Prata</t>
  </si>
  <si>
    <t>https://produto.mercadolivre.com.br/MLB-701111903-bateria-automotiva-selada-jupiter-45ah-12v-com-prata-_JM?matt_tool=18956390&amp;utm_source=google_shopping&amp;utm_medium=organic</t>
  </si>
  <si>
    <t>Baterias Estacionária 12V 45Ah</t>
  </si>
  <si>
    <t>ENERGIA EXTRA</t>
  </si>
  <si>
    <t>12.966.746/0001-33</t>
  </si>
  <si>
    <t>Bateria Estacionária Moura Nobreak 12MN45 - 45Ah</t>
  </si>
  <si>
    <t>https://www.nobreakcerto.com.br/bateria-estacionaria-moura-nobreak-12mn45-45ah-pr-499-404854.htm</t>
  </si>
  <si>
    <t>Substituição de banco de baterias composto por 4 unidades de 7 Ah - Mão de obra e Material</t>
  </si>
  <si>
    <t>Bateria 12v 7a Central De Alarme E Cerca Elétrica Nobreak</t>
  </si>
  <si>
    <t>https://produto.mercadolivre.com.br/MLB-760276218-bateria-12v-7a-central-de-alarme-e-cerca-eletrica-nobreak-_JM?matt_tool=18956390&amp;utm_source=google_shopping&amp;utm_medium=organic</t>
  </si>
  <si>
    <t xml:space="preserve">ENERGIA EXTRA </t>
  </si>
  <si>
    <t>Bateria Selada 12V 7ah GetPower Vrla Agm - Alarme, Nobreak - GET POWER</t>
  </si>
  <si>
    <t>https://www.nobreakcerto.com.br/bateria-selada-vrla-agm-powertek-12v-7ah-pr-388-404854.htm?gclid=CjwKCAiA9tyQBhAIEiwA6tdCrBmn7DMz2kxYr-JT5OI1elOO9UfJcWzlws5_5gWzOTifO398pTMPFhoCCUgQAvD_BwE</t>
  </si>
  <si>
    <t>SERVIÇOS ESPECIALIZADOS - GRUPOS GERADORES</t>
  </si>
  <si>
    <t>SERVIÇO DE MANUTENÇÃO PREVENTIVA, CORRETIVA E EMERGENCIAL PARA GRUPO GERADOR SCANIA 450KVA MAQUIGERAL (WEG GTA 315), MOTOR SCANIA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t>
  </si>
  <si>
    <t>POTÊNCIA GERADORES</t>
  </si>
  <si>
    <t>18.576.497/0001-56</t>
  </si>
  <si>
    <t>PLUSMASTER</t>
  </si>
  <si>
    <t>73.207.649/0001-51</t>
  </si>
  <si>
    <t>SERVIÇO DE MANUTENÇÃO PREVENTIVA, CORRETIVA E EMERGENCIAL PARA GRUPO GERADOR STEMAC 150KVA (DS 7320), MOTOR MWM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t>
  </si>
  <si>
    <t>OUTROS</t>
  </si>
  <si>
    <t xml:space="preserve">Fita isolante de alta fusão 19 mm x 10 m </t>
  </si>
  <si>
    <t>SANTIL TUDO EM MATERIAL ELÉTRICO</t>
  </si>
  <si>
    <t> 49.474.398/0008-63</t>
  </si>
  <si>
    <t> FITA ISOLANTE ALTA FUSÃO PRETA 19MM X 10M - 3M</t>
  </si>
  <si>
    <t>https://www.santil.com.br/produto/fita-isolante-alta-fusao-preta-19mm-x-10m-3m/393322</t>
  </si>
  <si>
    <t xml:space="preserve">Amazon </t>
  </si>
  <si>
    <t>3M Scotch, Fita de Autofusão, 23, 19mm x 10m</t>
  </si>
  <si>
    <t>https://www.amazon.com.br/Fita-Autofusão-Scotch-23br-Preta/dp/B075XFQB15/ref=asc_df_B075XFQB15/?tag=googleshopp00-20&amp;linkCode=df0&amp;hvadid=379733817007&amp;hvpos=&amp;hvnetw=g&amp;hvrand=16232073285469498373&amp;hvpone=&amp;hvptwo=&amp;hvqmt=&amp;hvdev=c&amp;hvdvcmdl=&amp;hvlocint=&amp;hvlocphy=1031634&amp;hvtargid=pla-910696321569&amp;psc=1</t>
  </si>
  <si>
    <t> CASA DO MECÂNICO</t>
  </si>
  <si>
    <t> 94.038.874/0001-81</t>
  </si>
  <si>
    <t> Fita ISolante Alta Fusão 19mm x 10m Prysmian</t>
  </si>
  <si>
    <t>https://www.casadomecanico.com.br/fita-isolante-alta-fusao-19mm-x-10m-prysmian-p6259/</t>
  </si>
  <si>
    <t>Fita adesiva silver tape 48mm x 50m</t>
  </si>
  <si>
    <t>Fita Silver Tape Cinza 48mm x 50m EOS</t>
  </si>
  <si>
    <t>https://www.difusor.com.br/fita-silver-tape-cinza-48mm-x-50m-eos?utm_source=Site&amp;utm_medium=GoogleMerchant&amp;utm_campaign=GoogleMerchant&amp;gclid=Cj0KCQjw8NilBhDOARIsAHzpbLDmObOeyp55ZrX7jMeYZmgo8G9ehhfCu1TeLS2OU3nAjYTAu05vG8oaAj3BEALw_wcB</t>
  </si>
  <si>
    <t> 43.283.811/0007-50</t>
  </si>
  <si>
    <t> Fita adesiva multiuso 48mmx50m silver tape 960 Adelbras PT 1 UN</t>
  </si>
  <si>
    <t>https://www.kalunga.com.br/prod/fita-adesiva-multiuso-48mmx50m-silver-tape-960-adelbras-pt-1-un/301197</t>
  </si>
  <si>
    <t>FERPAM</t>
  </si>
  <si>
    <t> 01.040.887/0001-04</t>
  </si>
  <si>
    <t> Fita adesiva multiuso Silver Tape 48mm x 50m prata Adelbras</t>
  </si>
  <si>
    <t>https://www.ferpam.com.br/fita-multiuso-silver-tape-prata-48mm-x-50m-adelbras.html</t>
  </si>
  <si>
    <t>Fita em aço 1/2" Fusimec ou similar</t>
  </si>
  <si>
    <t>UNICASERV</t>
  </si>
  <si>
    <t xml:space="preserve"> 07.709.614/0001-96</t>
  </si>
  <si>
    <t> FITA DE AÇO INOX LISA PARA CINTAR POSTE FUSIMEC 1/2" X 0,5MM X 25M</t>
  </si>
  <si>
    <t>https://www.unicaserv.com.br/fita-inox-fusimec-1/2</t>
  </si>
  <si>
    <t> Fita de Aço Inox lisa para cintar poste Fusimec 1/2” x 0,5mm x 25m - Pier Telecom</t>
  </si>
  <si>
    <t>https://www.magazineluiza.com.br/fita-de-aco-inox-lisa-para-cintar-poste-fusimec-1-2-x-05mm-x-25m-pier-telecom/p/hd6j4d485g/pi/fipe/</t>
  </si>
  <si>
    <t>Fita De Aço Inox 430, Largura: 1/2'' X 0,5mm Rolo C/ 30m</t>
  </si>
  <si>
    <t>https://www.submarino.com.br/produto/2399970876?opn=XMLGOOGLE&amp;offerId=5f91cfbc33948c48c94ee11b</t>
  </si>
  <si>
    <t xml:space="preserve">Parafuso de ferro zincado c/rosca 3/8 " x 1 1/2" </t>
  </si>
  <si>
    <t>Parafuso Sextavado Zincado 3/8x1.1/2 Ch 9/16 Zincado 200un.</t>
  </si>
  <si>
    <t>https://produto.mercadolivre.com.br/MLB-2009145220-parafuso-sextavado-zincado-38x112-ch-916-zincado-200un-_JM?matt_tool=30906007&amp;matt_word=Default_URL_MLB&amp;matt_source=google&amp;matt_campaign_id=10575252929&amp;matt_ad_group_id=100178588610&amp;matt_match_type=&amp;matt_network=g&amp;matt_device=c&amp;matt_creative=450709635100&amp;matt_keyword=&amp;matt_ad_position=&amp;matt_ad_type=&amp;matt_merchant_id=&amp;matt_product_id=&amp;matt_product_partition_id=&amp;matt_target_id=dsa-392429114560&amp;gclid=Cj0KCQjw8NilBhDOARIsAHzpbLCD52m_YLeMpHs_ekXW3J2PaP7jE-7PRfmhTbx7d8X6OuwbFF1NbZkaAg1NEALw_wcB</t>
  </si>
  <si>
    <t>PARAFUSO SEXTAVADO DE FERRO ROSCA INTEIRA 3/8-16 X 1.1/2 UNC ZINCADO</t>
  </si>
  <si>
    <t>https://www.ccpvirtual.com.br/parafuso-sextavado-de-ferro-rosca-inteira-38-16-x-1-12-unc-zincado-pacote-com-200-pecas/p</t>
  </si>
  <si>
    <t>MEGA LOJISTA</t>
  </si>
  <si>
    <t>22.842.094/0001-89</t>
  </si>
  <si>
    <t>Parafuso Sextavado Rosca Inteira 3/8 16-UNC X 1-1/2 ASME B18.2.1 Aço Carbono Grau 2 Zincado Branco
(Embalagem com 200 Unidades)</t>
  </si>
  <si>
    <t>https://www.megalojista.com.br/fixadores/parafusos/parafuso-sextavado-rosca-inteira/parafuso-sextavado-rosca-inteira-3-8-16-unc-x-1-1-2-asme-b18-2-1-aco-carbono-grau-2-zincado-branco.html</t>
  </si>
  <si>
    <t>Arruela lisa de aço galvanizada de Ø 1/4"</t>
  </si>
  <si>
    <t> PARAFUSO FÁCIL</t>
  </si>
  <si>
    <t> 01.056.640/0001-86</t>
  </si>
  <si>
    <t> Arruela Lisa 1/4" ( 6.8 x 18 x 1.2 ) Aço Carbono Zincado (Trivalente)</t>
  </si>
  <si>
    <t>https://www.parafusofacil.com.br/ProdutosDetalhes.php?Codigo=1222201&amp;gclid=Cj0KCQjw1vSZBhDuARIsAKZlijQS7__QJfM9niwnAhmYLNzPd79E6FMlp1kfOoTERvDstr0k-Xvrj2oaAiWrEALw_wcB</t>
  </si>
  <si>
    <t>ELETRONOR DISTRIB DE MAT ELETRICOS</t>
  </si>
  <si>
    <t>05.047.273/0002-96</t>
  </si>
  <si>
    <t> ARRUELA LISA 1/4 GE REF. 40100010 - ELETROPOLL</t>
  </si>
  <si>
    <t>https://loja.eletronor.com.br//arruela-lisa-1-4-ge-ref--40100010---eletropoll-01/p?idsku=129&amp;gclid=CjwKCAiAzrWOBhBjEiwAq85QZySKRV1kK2gexTRmLt_8M-mBLfPowHMk4kfi8edFmbadGdOZcHQRRBoCJasQAvD_BwE</t>
  </si>
  <si>
    <t>JOFEPAR PARAFUSOS E FERRAMENTAS</t>
  </si>
  <si>
    <t> ARRUELA LISA - 1/4" X 1,2 ( 490 )</t>
  </si>
  <si>
    <t>https://www.jofepar.com.br/arruela-lisa-1-4-x-1,2-490-p1173</t>
  </si>
  <si>
    <t>MAN_COT.006</t>
  </si>
  <si>
    <t>Arruela de pressão 3/8"</t>
  </si>
  <si>
    <t>Arruela De Pressão Travante 3/8 (9,53mm) Zincado 200 Peças</t>
  </si>
  <si>
    <t>https://produto.mercadolivre.com.br/MLB-2058881669-arruela-de-presso-travante-38-953mm-zincado-200-pecas-_JM?matt_tool=73118705&amp;matt_word=&amp;matt_source=google&amp;matt_campaign_id=14302215555&amp;matt_ad_group_id=134553706788&amp;matt_match_type=&amp;matt_network=g&amp;matt_device=c&amp;matt_creative=539425529245&amp;matt_keyword=&amp;matt_ad_position=&amp;matt_ad_type=pla&amp;matt_merchant_id=109548783&amp;matt_product_id=MLB2058881669&amp;matt_product_partition_id=1800321081254&amp;matt_target_id=aud-2009166904988:pla-1800321081254&amp;gclid=Cj0KCQjw8NilBhDOARIsAHzpbLBiCF9NdvHuilQArSqRFS3yiugvbLMD46OenWNqGHD2I4pwvVRZZ6gaAjVREALw_wcB</t>
  </si>
  <si>
    <t>Arruela Pressão 3/8" ( 9.7 x 16.15 x 2.0 ) Aço Mola Zincado (Trivalente)</t>
  </si>
  <si>
    <t>https://www.parafusofacil.com.br/arruelas/arruela-pressao/arruela-pressao-38-9-7-x-16-15-x-2-0-aco-mola-zincado-trivalente/</t>
  </si>
  <si>
    <t xml:space="preserve">COPAL PARAFUSOS </t>
  </si>
  <si>
    <t>ARRUELA DE PRESSÃO INOX 3/8</t>
  </si>
  <si>
    <t>https://www.copalparafusos.com.br/arruela-de-pressao-inox-38?utm_camp=gshop&amp;idgrade=364704</t>
  </si>
  <si>
    <t>MAN_COT.007</t>
  </si>
  <si>
    <t>Arruela de pressão 5/16"</t>
  </si>
  <si>
    <t>Arruela Pressão 5/16" ( 8.1 x 14.15 x 1.45 ) Aço Mola Polido</t>
  </si>
  <si>
    <t>https://www.parafusofacil.com.br/ProdutosDetalhes.php?Codigo=1108592&amp;gad=1&amp;gclid=Cj0KCQjw8NilBhDOARIsAHzpbLBl3AjcPKu9PcSllYWauBhboldctaxQ53Anv56JUOMqUiwPbBolKqoaApt-EALw_wcB</t>
  </si>
  <si>
    <t>Arruela De Pressão 5/16 Zincada 100 Und</t>
  </si>
  <si>
    <t>https://produto.mercadolivre.com.br/MLB-2638240870-arruela-de-presso-516-zincada-100-und-_JM?matt_tool=18956390&amp;utm_source=google_shopping&amp;utm_medium=organic</t>
  </si>
  <si>
    <t> ARRUELA DE PRESSÃO INOX 304 - 5/16 - PACOTE COM 500 PEÇA(S)</t>
  </si>
  <si>
    <t>https://www.ccpvirtual.com.br/arruela-de-pressao-inox-304-516-pacote-com-500-pecas/p?idsku=46451&amp;gclid=Cj0KCQiA5aWOBhDMARIsAIXLlkeRhC3WmcDEw-AtJ9v6y0hJLeePdH1gSoF5S0JmW8Y1DrKjSo8TWZUaAhAhEALw_wcB</t>
  </si>
  <si>
    <t>Arruela lisa de 3/8"</t>
  </si>
  <si>
    <t>ARRUELA LISA - 3/8" X 1,2 ( 262 )</t>
  </si>
  <si>
    <t>https://www.jofepar.com.br/arruela-lisa-3-8-x-1,2-262-p1175</t>
  </si>
  <si>
    <t> MERCADO LIVRE</t>
  </si>
  <si>
    <t> 03.007.331/0001-41</t>
  </si>
  <si>
    <t> Arruela Lisa 3/8 Zincado caixa Com 2000 Unidades</t>
  </si>
  <si>
    <t>https://produto.mercadolivre.com.br/MLB-2733967448-arruela-38-lisa-galvanizado-caixa-c-2000-pcs-_JM#is_advertising=true&amp;position=10&amp;search_layout=stack&amp;type=pad&amp;tracking_id=358baa64-f259-435b-827f-92a71dbe824b&amp;is_advertising=true&amp;ad_domain=VQCATCORE_LST&amp;ad_position=10&amp;ad_click_id=Nzk3ZmE1ZGYtNmQyMy00YjU4LThkZjgtMjJmMDYzYmYwY2E2</t>
  </si>
  <si>
    <t> ARRUELA LISA 3/8 ZINCADA</t>
  </si>
  <si>
    <t>https://www.ccpvirtual.com.br/arruela-lisa-3-8-zincada/p</t>
  </si>
  <si>
    <t>Arruela lisa de 5/16"</t>
  </si>
  <si>
    <t>VEGA MAQUINAS</t>
  </si>
  <si>
    <t>Arruela Lisa 5/16" - Nova</t>
  </si>
  <si>
    <t>https://www.vegamaquinas.com.br/arruela-lisa-5-16-nova-pr-12750-229827.htm?gclid=Cj0KCQiA5aWOBhDMARIsAIXLlkdnZDFaLlPdwL7vItlisYdwOkHCdtbJVTeBfQysdOSppVX7s-Ra4JYaAsdfEALw_wcB</t>
  </si>
  <si>
    <t>Arruela lisa e 5/16 pol ferro zb - Vonder</t>
  </si>
  <si>
    <t>https://www.magazineluiza.com.br/arruela-lisa-e-5-16-pol-ferro-zb-vonder/p/ebaf3bf1j2/fs/arru/?&amp;seller_id=clubedacasanovaeraltda</t>
  </si>
  <si>
    <t>MAN_COT.010</t>
  </si>
  <si>
    <t>Lamina de serra 1/2x12"</t>
  </si>
  <si>
    <t>LÂMINA DE SERRA MANUAL BI-METAL UNIQUE STARRETT BS1224</t>
  </si>
  <si>
    <t>https://www.amazon.com.br/Serrinha-Dentes-Safe-Flex-Bi-Metal-12-STARRETT-BS1224/dp/B00AC1JPDK/ref=asc_df_B00AC1JPDK/?tag=googleshopp00-20&amp;linkCode=df0&amp;hvadid=379817630822&amp;hvpos=&amp;hvnetw=g&amp;hvrand=1454003743495738911&amp;hvpone=&amp;hvptwo=&amp;hvqmt=&amp;hvdev=c&amp;hvdvcmdl=&amp;hvlocint=&amp;hvlocphy=1031634&amp;hvtargid=pla-657539737632&amp;psc=1</t>
  </si>
  <si>
    <t>ULTRA MÁQUINAS</t>
  </si>
  <si>
    <t>00.314.550/0003-47</t>
  </si>
  <si>
    <t> LÂMINA DE SERRA MANUAL 12 X 1/2 X 32 RS1232 STARRETT</t>
  </si>
  <si>
    <t>https://www.ultramaquinas.com.br/produto/lamina-de-serra-manual-12-x-1-2-x-32-rs1232-starrett-71812</t>
  </si>
  <si>
    <t> ANT FERRAMENTAS</t>
  </si>
  <si>
    <t> 74.671.991/0001-70</t>
  </si>
  <si>
    <t> LÂMINA PARA SERRA MANUAL BIMETAL STARRETT 12"X1/2"X18D BS1218</t>
  </si>
  <si>
    <t>https://www.antferramentas.com.br/lamina-para-serra-manual-bimetal-starrett--12-x1-2-x18d-bs1218/p</t>
  </si>
  <si>
    <t>MAN_COT.011</t>
  </si>
  <si>
    <t>Calha de isolamento elumaflex ou similar 28x25mm</t>
  </si>
  <si>
    <t>COUTO MATERIAIS</t>
  </si>
  <si>
    <t>19.375.081/0001-32</t>
  </si>
  <si>
    <t>ELUMAFLEX ISOLANTE TERM 28MM 2.00M ELUMA</t>
  </si>
  <si>
    <t>https://www.coutomateriais.com.br/elumaflex-isolante-term-28mm-2-00m-eluma-31617</t>
  </si>
  <si>
    <t> HIMATER MATERIAIS E EQUIPAMENTOS</t>
  </si>
  <si>
    <t> 30.250.781/0007-33</t>
  </si>
  <si>
    <t> Calha de Isolamento Térmico Flexível – 2 Metros</t>
  </si>
  <si>
    <t>https://himater.com.br/produtos/calha-de-isolamento-termico-flexivel-2-metros/?attribute_modelo=28mm&amp;utm_source=Google%20Shopping&amp;utm_campaign=Shopping%20-%20Himater&amp;utm_medium=cpc&amp;utm_term=10338</t>
  </si>
  <si>
    <t> MULTI ELÉTRICA</t>
  </si>
  <si>
    <t> 05.208.559/0001-25</t>
  </si>
  <si>
    <t> ELUMAFLEX 28MM ELUMA</t>
  </si>
  <si>
    <t>https://www.multieletrica.com.br/eluma-elumaflex-28mm</t>
  </si>
  <si>
    <t>Cabo de cobre PP Cordplast 3 x 4.0 mm2, 450/750v</t>
  </si>
  <si>
    <t>Cabo Eletrico Pp 3 X 4,0mm Fio De Cobre 50 Metros</t>
  </si>
  <si>
    <t>https://produto.mercadolivre.com.br/MLB-3477420924-cabo-eletrico-pp-3-x-40mm-fio-de-cobre-50-metros-_JM?matt_tool=45029758&amp;matt_word=&amp;matt_source=google&amp;matt_campaign_id=14302215522&amp;matt_ad_group_id=150145935567&amp;matt_match_type=&amp;matt_network=g&amp;matt_device=c&amp;matt_creative=649558500182&amp;matt_keyword=&amp;matt_ad_position=&amp;matt_ad_type=pla&amp;matt_merchant_id=554845527&amp;matt_product_id=MLB3477420924&amp;matt_product_partition_id=1962976109513&amp;matt_target_id=aud-2009166904988:pla-1962976109513&amp;gclid=Cj0KCQjw8NilBhDOARIsAHzpbLAIW1AUFidMTAFLenrOzrHbpGqzZJ59OPMvXTv4o_5pwQvJ5I3EwHUaAqAiEALw_wcB</t>
  </si>
  <si>
    <t>Casa e Garagem</t>
  </si>
  <si>
    <t>49.216.581/0001-92</t>
  </si>
  <si>
    <t>Cabo Fio Pp 3x4,0mm Preto Rl 100 Metros Sil</t>
  </si>
  <si>
    <t>https://www.casaegaragem.com.br/produto/cabo-fio-pp-3x4-0mm-preto-rl-100-metros-sil-75292?utm_source=&amp;utm_medium=&amp;utm_campaign=&amp;gclid=Cj0KCQjw8NilBhDOARIsAHzpbLBLjMz7WOT9RMq7EyZZVOkVGHcQckqwRsaGP-W3sUxWtn0V9-2dqvoaAuX4EALw_wcB</t>
  </si>
  <si>
    <t>M. Pereira Materiais Hidraulicos</t>
  </si>
  <si>
    <t>32.275.413/0001-75</t>
  </si>
  <si>
    <t>20 Metros Cabo Pp 3 X 4 Mm Flexível 3 Vias X 4 Mm - Cobrecom</t>
  </si>
  <si>
    <t>https://www.mpereirahidro.com.br/MLB-2814735000-20-metros-cabo-pp-3-x-4-mm-flexivel-3-vias-x-4-mm-cobrecom-_JM?variation=175327851337&amp;gclid=Cj0KCQjw8NilBhDOARIsAHzpbLAx6qI8w0cKNvNP2TszzzbHqrSelluPwH-1qscQ-dnRNtJ_GIj-EvIaAh04EALw_wcB</t>
  </si>
  <si>
    <t>MAN_COT.013</t>
  </si>
  <si>
    <t>Cabo de cobre PP Cordplast 3 x 6,0 mm2, 450/750v</t>
  </si>
  <si>
    <t>TEKY COMERCIO E IMPORTAÇÃO</t>
  </si>
  <si>
    <t>09.438.550/0001-61</t>
  </si>
  <si>
    <t> Cabo Cobre 3x 6mm² Isolado PVC 500V 70° Preto NM 247-5 Pp</t>
  </si>
  <si>
    <t>https://www.teky.com.br/8529/cabo-cobre-3x-6mm-isolado-pvc-500v-70-preto-nm-247-5-pp</t>
  </si>
  <si>
    <t>ELESYSTEM</t>
  </si>
  <si>
    <t> 10.358.961/0001-26</t>
  </si>
  <si>
    <t>Cabo PP Flexível Corfio/Sil/Cobrecom 3x6,0mm² 500v Por Metro</t>
  </si>
  <si>
    <t>https://www.eletrosystemcabos.com.br/cabo-pp-flexivel-corfio-sil-cobrecom-3x6-0mm2-500v-por-metro/p/610?c=1&amp;t=1&amp;gclid=Cj0KCQjw08aYBhDlARIsAA_gb0cVSt67DNPXEVO5IlpS_pEgyW0fGCp9-YlvZlorni0R8aYzDdN68XUaArphEALw_wcB</t>
  </si>
  <si>
    <t>Multieletrica</t>
  </si>
  <si>
    <t>05.208.559/0001-25</t>
  </si>
  <si>
    <t>CABO PP 1KV 3 X 6,0MM</t>
  </si>
  <si>
    <t>https://www.multieletrica.com.br/eletrica/cabos-e-fios/eletricos/cabo-pp-1kv-3x6-0mm</t>
  </si>
  <si>
    <t>Cabo de cobre PP Cordplast 3 x 2,5 mm2, 450/750v</t>
  </si>
  <si>
    <t>ASOLUÇÃO ELETRÔNICA</t>
  </si>
  <si>
    <t>00.559.915/0001-31</t>
  </si>
  <si>
    <t>Cabo PP Flexivel 3 x 2,50mm 500V</t>
  </si>
  <si>
    <t>https://www.solucaocabos.com.br/cabo-pp-flexivel-3-x-250mm-500v/p?idsku=15272&amp;gclid=Cj0KCQjw8NilBhDOARIsAHzpbLBz7nDwv0Z4eiIWYccYFgWsZGpR-bqaMhE7uuBmMDwJvxuF7cjDWfQaAnKNEALw_wcB</t>
  </si>
  <si>
    <t>JC MATERIAIS</t>
  </si>
  <si>
    <t>49.728.819/0001-69</t>
  </si>
  <si>
    <t>CABO FLEXÍVEL PP PRETO, 3 X 2,50 MM, POR METRO</t>
  </si>
  <si>
    <t>https://www.jcmateriais.com.br/produto/cabo-flexivel-pp-preto-3-x-2-50-mm-por-metro/7234</t>
  </si>
  <si>
    <t>Cabo Flexível Sil PP 3,0 X 2,5mm Silflex 100m</t>
  </si>
  <si>
    <t>https://www.amazon.com.br/Cabo-Flexível-Sil-Silflex-100m/dp/B07BHWFLKK/ref=asc_df_B07BHWFLKK/?tag=googleshopp00-20&amp;linkCode=df0&amp;hvadid=379728501964&amp;hvpos=&amp;hvnetw=g&amp;hvrand=15859737598604406642&amp;hvpone=&amp;hvptwo=&amp;hvqmt=&amp;hvdev=c&amp;hvdvcmdl=&amp;hvlocint=&amp;hvlocphy=1031634&amp;hvtargid=pla-1651741345101&amp;psc=1</t>
  </si>
  <si>
    <t>Cabo de cobre PP Cordplast 3 x 1,5 mm2, 450/750v</t>
  </si>
  <si>
    <t>Dimensional</t>
  </si>
  <si>
    <t>06.913.480/0015-63</t>
  </si>
  <si>
    <t>Cabo Flexível 1KV 90 Graus Celsius HEPR 3x1,5mm Preto EPROFLEX90 Induscabos</t>
  </si>
  <si>
    <t>https://www.dimensional.com.br/cabo-flexivel-1kv-90-graus-celsius-hepr-3x1-5mm-preto-eproflex90-induscabos/p?idsku=53729&amp;gclid=Cj0KCQjwk96lBhDHARIsAEKO4xYvn0Ojk74_RNobZztJAKuIggBfQWOwETT7KPiELwzVYGTcfOJjCgUaAneXEALw_wcB</t>
  </si>
  <si>
    <t>Cabo Flexível Pp com 3 Condutores 1,5mm 500V 100m Megatron</t>
  </si>
  <si>
    <t>https://www.ferramentaskennedy.com.br/100054666/cabo-flexivel-pp-com-3-condutores-15mm-500v-100m-megatron?gclid=Cj0KCQjwk96lBhDHARIsAEKO4xZ8U_uj2idCZc-bZFdJr3klA-aKw_kczDUgLSdRnor3ssBPXWIdRjIaAiQUEALw_wcB</t>
  </si>
  <si>
    <t>CABO PP 1KV 3 X 1,5MM</t>
  </si>
  <si>
    <t>https://www.multieletrica.com.br/eletrica/cabos-e-fios/eletricos/cabo-pp-1kv-3x1-5mm</t>
  </si>
  <si>
    <t>Instalação de condicionador de ar tipo split high wall, 9000 btus - contempla a mão de obra, suporte e tubulação até 3,0m</t>
  </si>
  <si>
    <t>Carrefour</t>
  </si>
  <si>
    <t>Instalação de Ar Condicionado de 7 a 12 mil BTUS</t>
  </si>
  <si>
    <t>https://www.carrefour.com.br/instalacao_ar_condicionado_7_a_12_mil_btus_instar7x12/p</t>
  </si>
  <si>
    <t>Instalação Ar Condicionado Split High Wall 7000 a 14000 Btus Só Frio ou Quente e Frio Agyx</t>
  </si>
  <si>
    <t>https://www.frigelar.com.br/instalacao-ar-condicionado-split-high-wall-7000-a-14000-btus-so-frio-ou-quente-e-frio/p/fglinst08</t>
  </si>
  <si>
    <t> Instalação de Ar Condicionado Split</t>
  </si>
  <si>
    <t>https://www.extra.com.br/instalacao-de-ar-condicionado-split-1519620735.html</t>
  </si>
  <si>
    <t>MAN_COT.017</t>
  </si>
  <si>
    <t>Instalação de condicionador de ar tipo split high wall, 12000 btus - contempla a mão de obra, suporte e tubulação até 3,0m</t>
  </si>
  <si>
    <t>SODIMAC</t>
  </si>
  <si>
    <t>08.362.685/0001-28</t>
  </si>
  <si>
    <t>Serviço de Instalação de Ar Condicionado até 12000 BTUs (Com Kit)</t>
  </si>
  <si>
    <t>https://www.sodimac.com.br/sodimac-br/product/200000111/serviço-de-instalaçao-de-ar-condicionado-ate-12000-btus-com-kit/200000111/</t>
  </si>
  <si>
    <t> WEBCONTINENTAL</t>
  </si>
  <si>
    <t> 08.584.116/0001-27</t>
  </si>
  <si>
    <t> Serviço de Instalação de Ar condicionado Split Hi Wall de 7000 a 12000 BTUs</t>
  </si>
  <si>
    <t>https://www.webcontinental.com.br/servi%C3%A7o-de-instala%C3%A7%C3%A3o-de-ar-condicionado-split-hi-wall-de-7000-a-12000-btus/product/58939</t>
  </si>
  <si>
    <t>MAN_COT.018</t>
  </si>
  <si>
    <t>Instalação de condicionador de ar tipo split high wall, 18000 btus - contempla a mão de obra, suporte e tubulação até 3,0m</t>
  </si>
  <si>
    <t>Instalação Ar Condicionado Split High Wall 15000 a 24000 Btus Só Frio ou Quente e Frio Agyx</t>
  </si>
  <si>
    <t>https://www.frigelar.com.br/instalacao-ar-condicionado-split-high-wall-15000-a-24000-btus-so-frio-ou-quente-e-frio/p/fglinst10</t>
  </si>
  <si>
    <t>LEVEROS</t>
  </si>
  <si>
    <t>61.502.324/0001-12</t>
  </si>
  <si>
    <t>Instalação de Ar-Condicionado Split Parede 15.000 a 19.000 BTUs</t>
  </si>
  <si>
    <t>https://www.leveros.com.br/3000001206-instalacao-5m-split-hw-15k-a-19k-leveros/p?idsku=2011973</t>
  </si>
  <si>
    <t>Extra</t>
  </si>
  <si>
    <t>https://www.extra.com.br/instalacao-de-ar-condicionado-split-1519621108.html</t>
  </si>
  <si>
    <t>Instalação de condicionador de ar tipo split high wall, 24000 btus - contempla a mão de obra, suporte e tubulação até 3,0m</t>
  </si>
  <si>
    <t>VITOR REFRIGERAÇÃO</t>
  </si>
  <si>
    <t>93.445/963/0001-80</t>
  </si>
  <si>
    <t>INSTALAÇÃO AR CONDICIONADO HI WALL 24000 BTUS</t>
  </si>
  <si>
    <t>https://www.vitorarcondicionado.com.br/instalac-o-ar-condicionado-hi-wall-24000-btus.html</t>
  </si>
  <si>
    <t>MAN_COT.020</t>
  </si>
  <si>
    <t>Instalação de condicionador de ar tipo split high wall, 30000 btus - contempla a mão de obra, suporte e tubulação até 3,0m</t>
  </si>
  <si>
    <t>Ambient Air</t>
  </si>
  <si>
    <t>42.493.940/0001-00</t>
  </si>
  <si>
    <t>Instalação de Ar Condicionado Split Hi Wall Inverter de 30000 Btus Frio</t>
  </si>
  <si>
    <t>https://loja.ambientair.com.br/instalacao-split-hi-wall-inverter-de-30000-btus-frio-ate-3-metros-copy-367-/p</t>
  </si>
  <si>
    <t>Parada do Ar Condicionado</t>
  </si>
  <si>
    <t>21.796.294/0001-80</t>
  </si>
  <si>
    <t>Instalação de Ar Condicionado tipo Split 27.000 a 30.000 Btu/h</t>
  </si>
  <si>
    <t>https://www.paradadoar.com.br/product-page/instalação-de-ar-tipo-split-27-000-a-30-000-btu-h-1</t>
  </si>
  <si>
    <t>Instalação de condicionador de ar tipo split, 36000 btus - contempla a mão de obra, suporte e tubulação até 3,0m</t>
  </si>
  <si>
    <t> Instalação de ar condicionado Split Piso Teto de 12000 a 36000 BTUs - iSnow</t>
  </si>
  <si>
    <t>https://www.magazineluiza.com.br/instalacao-de-ar-condicionado-split-piso-teto-de-12000-a-36000-btus-isnow/p/6536069/se/otse/</t>
  </si>
  <si>
    <t> Serviço de Instalação de Ar condicionado Split Piso Teto de 12000 a 36000 BTUs</t>
  </si>
  <si>
    <t>https://www.webcontinental.com.br/servi%C3%A7o-de-instala%C3%A7%C3%A3o-de-ar-condicionado-split-piso-teto-de-12000-a-36000-btus/product/58936</t>
  </si>
  <si>
    <t>Instalação Ar Condicionado Split Piso Teto 31000 a 80000 Btus Só Frio ou Quente e Frio Agyx</t>
  </si>
  <si>
    <t>https://www.frigelar.com.br/instalacao-ar-condicionado-split-piso-e-teto-31000-a-80000-btus-so-frio-ou-quente-e-frio/p/fglinst07</t>
  </si>
  <si>
    <t> MAN_COT.023</t>
  </si>
  <si>
    <t>Instalação de condicionador de ar tipo split piso-teto, 18000 btus- contempla a mão de obra, suporte e tubulação até 3,0m</t>
  </si>
  <si>
    <t> Instalação de Ar-Condicionado Piso Teto 15.000 a 19.000 BTUs</t>
  </si>
  <si>
    <t>https://www.leveros.com.br/3000001209-instalacao-5m-split-pt-15k-a-19k-leveros/p?idsku=2011976</t>
  </si>
  <si>
    <t>Instalação Ar Condicionado Split Piso Teto 15000 a 30000 Btus Só Frio ou Quente e Frio Agyx</t>
  </si>
  <si>
    <t>https://www.frigelar.com.br/instalacao-ar-condicionado-split-piso-e-teto-15000-a-30000-btus-so-frio-ou-quente-e-frio/p/fglinst06?gclid=CjwKCAiAleOeBhBdEiwAfgmXf9JTNjqiZ3vEWaFSoh8rfwT0ISC_0XSNjaOCvD47IEw1__quccj8lhoCNWsQAvD_BwE</t>
  </si>
  <si>
    <t>Instalação de condicionador de ar tipo split piso-teto, 24000 btus - contempla a mão de obra, suporte e tubulação até 3,0m</t>
  </si>
  <si>
    <t>Instalação de Ar-Condicionado Piso Teto 20.000 a 30.000 BTUs</t>
  </si>
  <si>
    <t>https://www.leveros.com.br/3000001210-instalacao-5m-split-pt-20k-a-30k-leveros/p</t>
  </si>
  <si>
    <t>https://www.frigelar.com.br/instalacao-ar-condicionado-split-piso-e-teto-15000-a-30000-btus-so-frio-ou-quente-e-frio/p/fglinst06</t>
  </si>
  <si>
    <t>Instalação de condicionador de ar tipo split piso-teto, 30000 btus - contempla a mão de obra, suporte e tubulação até 3,0m</t>
  </si>
  <si>
    <t>Instalação de condicionador de ar tipo split piso-teto, 36000 btus- contempla a mão de obra, suporte e tubulação até 3,0m</t>
  </si>
  <si>
    <t>INSTALAÇÃO AR CONDICIONADO PISO TETO 36000 BTUS</t>
  </si>
  <si>
    <t>https://www.vitorarcondicionado.com.br/https-www-vitorarcondicionado-com-br-servicos-piso-teto-instalac-o-ar-condicionado-hi-wall-36000-btus-html.html</t>
  </si>
  <si>
    <t>Instalação de Ar-Condicionado Piso Teto 31.000 a 40.000 BTUs</t>
  </si>
  <si>
    <t>https://www.leveros.com.br/3000001211-instalacao-5m-split-pt-31k-a-40k-leveros/p</t>
  </si>
  <si>
    <t>Instalação de condicionador de ar tipo split piso-teto, 48000 btus - contempla a mão de obra, suporte e tubulação até 3,0m</t>
  </si>
  <si>
    <t>INSTALAÇÃO AR CONDICIONADO PISO TETO 48000 BTUS</t>
  </si>
  <si>
    <t>https://www.vitorarcondicionado.com.br/servicos/hi-wall/piso-teto/instalac-o-ar-condicionado-hi-wall-48000-btus.html</t>
  </si>
  <si>
    <t>Instalação de Ar-Condicionado Piso Teto 41.000 a 60.000 BTUs</t>
  </si>
  <si>
    <t>https://www.leveros.com.br/3000001212-instalacao-5m-split-pt-41k-a-60k-leveros/p</t>
  </si>
  <si>
    <t>FRIGEALR</t>
  </si>
  <si>
    <t>Instalação de condicionador de ar tipo split piso-teto,60000 btus - contempla a mão de obra, suporte e tubulação até 3,0m</t>
  </si>
  <si>
    <t>SFRIAR</t>
  </si>
  <si>
    <t>22.036.374/0001-08</t>
  </si>
  <si>
    <t>Instalação de Ar Condicionado Piso Teto Convencional 60.000 / 80.000 BTU/s</t>
  </si>
  <si>
    <t>https://www.sfriarcondicionado.com.br/loja/servicos/instalacao-de-ar-condicionado/instalacao-de-ar-condicionado-piso-teto-convencional-60000-80000-btus/</t>
  </si>
  <si>
    <t>Recarga de extintor de gás carbônico (CO2) classe AB - 4Kg</t>
  </si>
  <si>
    <t>CPOS</t>
  </si>
  <si>
    <t>EXTINCAMP</t>
  </si>
  <si>
    <t>10.382.841/0001-64</t>
  </si>
  <si>
    <t>SERVIÇO RECARGA EXTINTOR CO2 4 KG</t>
  </si>
  <si>
    <t>EXTINTORES FERRARI</t>
  </si>
  <si>
    <t>05.240.229/0001-17</t>
  </si>
  <si>
    <t>RECARGA DE EXTINTOR CO2 4KG</t>
  </si>
  <si>
    <t>NACIONAL EXTINTORES</t>
  </si>
  <si>
    <t>02.786.624/0002-92</t>
  </si>
  <si>
    <t>CARGA EXT CO² 4KG NACIONAL</t>
  </si>
  <si>
    <t>Recarga de extintor de gás carbônico (CO2) classe AB - 6Kg</t>
  </si>
  <si>
    <t>CARGA EXT CO² 6KG NACIONAL</t>
  </si>
  <si>
    <t>SERVIÇO RECARGA EXTINTOR CO2 6 KG</t>
  </si>
  <si>
    <t>RECARGA DE EXTINTOR CO2 6KG</t>
  </si>
  <si>
    <t>Recarga de extintor de gás carbônico (CO2) classe AB - 10Kg</t>
  </si>
  <si>
    <t>SERVIÇO RECARGA EXTINTOR CO2 10 KG</t>
  </si>
  <si>
    <t>EXTINTOR CO² 10 KG NACIONAL</t>
  </si>
  <si>
    <t>RECARGA DE EXTINTOR CO2 10KG</t>
  </si>
  <si>
    <t>Recarga de extintor de gás carbônico (CO2) classe AB - 25Kg</t>
  </si>
  <si>
    <t>EXTINTOR CO² 25KG - CARGA</t>
  </si>
  <si>
    <t>GRUPO AEROTEX</t>
  </si>
  <si>
    <t>04.823.635/0001-40</t>
  </si>
  <si>
    <t>RECARGA DE EXTINTOR GÁS CARBÔNICO 25KG - 10021</t>
  </si>
  <si>
    <t>https://www.aerotexextintores.com.br/produto/recarga-de-extintor-gas-carbonico-25-kg-10021/</t>
  </si>
  <si>
    <t>CARGA EXTINTOR CO² 25KG NACIONAL</t>
  </si>
  <si>
    <t>Recarga de extintor de pó químico seco (PQS) classe ABC - 4Kg</t>
  </si>
  <si>
    <t>SERVIÇO RECARGA EXTINTOR ABC 4 KG</t>
  </si>
  <si>
    <t>CARGO EXT PQS 4KG ABC NACIONAL</t>
  </si>
  <si>
    <t>RECARGA DE EXTINTOR DE PQS 4KG ABC</t>
  </si>
  <si>
    <t>Recarga de extintor de pó químico seco (PQS) classe BC - 4Kg</t>
  </si>
  <si>
    <t>CWB EXTINTORES</t>
  </si>
  <si>
    <t>20.637.095/0001-66</t>
  </si>
  <si>
    <t>28/07/2023</t>
  </si>
  <si>
    <t>CARGA EXT PQS 4KG BC NACIONAL</t>
  </si>
  <si>
    <t>RECARGA DE EXTINTOR PÓ 4KG</t>
  </si>
  <si>
    <t>Recarga de extintor de pó químico seco (PQS) classe ABC - 6Kg</t>
  </si>
  <si>
    <t>RECARGA DE EXTINTOR DE PQS 6KG ABC</t>
  </si>
  <si>
    <t>SERVIÇO RECARGA EXTINTOR ABC 6 KG</t>
  </si>
  <si>
    <t>CARGA EXT PQS 6KG ABC NACIONAL</t>
  </si>
  <si>
    <t>Recarga de extintor de pó químico seco (PQS) classe ABC - 12Kg</t>
  </si>
  <si>
    <t>SERVIÇO RECARGA EXTINTOR ABC 12 KG</t>
  </si>
  <si>
    <t>CARGA EXT PQS 12KG ABC NACIONAL</t>
  </si>
  <si>
    <t>RECARGA DE EXTINTOR DE PQS 12KG ABC</t>
  </si>
  <si>
    <t>Recarga de extintor de pó químico seco (PQS) classe BC - 20Kg</t>
  </si>
  <si>
    <t>SERVIÇO RECARGA EXTINTOR PÓ 20 KG BC</t>
  </si>
  <si>
    <t xml:space="preserve">CARGA EXT PQS 20 KG BC NACIONAL </t>
  </si>
  <si>
    <t>RECARGA DE EXTINTOR PÓ 20KG</t>
  </si>
  <si>
    <t>Recarga de extintor de pó químico seco (PQS) classe BC - 50Kg</t>
  </si>
  <si>
    <t>SERVIÇO RECARGA EXTINTOR PÓ 50 KG BC</t>
  </si>
  <si>
    <t xml:space="preserve">CARGA EXT PQS 50KG BC NACIONAL </t>
  </si>
  <si>
    <t>RECARGA DE EXTINTOR PÓ 50KG</t>
  </si>
  <si>
    <t>Recarga de extintor de espuma mecânica classe AB - 50 L</t>
  </si>
  <si>
    <t>RECARGA DE EXTINTOR ESPUMA MECÂNICA 50 LITROS - 10044</t>
  </si>
  <si>
    <t>https://www.aerotexextintores.com.br/produto/recarga-de-extintor-espuma-mecanica-50-litros-10044/</t>
  </si>
  <si>
    <t>RECARGA DE EXTINTOR DE ESPUMA 50L</t>
  </si>
  <si>
    <t>CARGA EXT ESPUMA MECANICA 50L</t>
  </si>
  <si>
    <t>Recarga de extintor de água pressurizada classe A - 10 L</t>
  </si>
  <si>
    <t>RECARGA DE EXTINTOR AP 10L</t>
  </si>
  <si>
    <t>CARGA EXT AGUA 10L NACIONAL</t>
  </si>
  <si>
    <t>RECARGA DE EXTINTOR ÁGUA PRESS 10 LITROS - 10000</t>
  </si>
  <si>
    <t>https://www.aerotexextintores.com.br/produto/recarga-de-extintor-agua-press-10-litros-10000-2/</t>
  </si>
  <si>
    <t>MAN_COT.041</t>
  </si>
  <si>
    <t>Fornecimento de ar condicionado tipo split wall 30.000 BTU's (evaporadora e condensadora)</t>
  </si>
  <si>
    <t>Ar-Condicionado Split HW Philco PAC30000FM 30.000 BTUs Só Frio 220V</t>
  </si>
  <si>
    <t>https://www.leveros.com.br/ar-condicionado-split-hw-philco-pac30000fm-30000-btus-so-frio-220v/p?idsku=2027373&amp;gclid=Cj0KCQjwk96lBhDHARIsAEKO4xZdVpUExt1uJW5gCpB8shLcWAebXChzhSoIQRUN3IUF68VFrsJhUSAaAnouEALw_wcB</t>
  </si>
  <si>
    <t xml:space="preserve"> 09.316.105/0001-29</t>
  </si>
  <si>
    <t> Ar Condicionado Split Hi Wall Philco 30000 BTU/h Frio PAC30000FM9 – 220 Volts</t>
  </si>
  <si>
    <t>https://www.friopecas.com.br/ar-condicionado-split-hi-wall-philco-30000-btu-frio-monofasico-pac30000fm9-220volts/p?idsku=130467</t>
  </si>
  <si>
    <t> AMERICANAS S.A</t>
  </si>
  <si>
    <t> 00.776.574/0006-60</t>
  </si>
  <si>
    <t>Ar Condicionado Split Hi Wall Agratto Eco 30.000 Btus Frio 220v</t>
  </si>
  <si>
    <t>https://www.americanas.com.br/produto/53456125?pfm_carac=ar-condicionado-split-hi-wall-agratto-eco-30-000&amp;pfm_index=1&amp;pfm_page=search&amp;pfm_pos=grid&amp;pfm_type=search_page&amp;offerId=64b59247579fbc8d9173a5db&amp;voltagem=220V%2F220&amp;condition=NEW</t>
  </si>
  <si>
    <t>MAN_COT.042</t>
  </si>
  <si>
    <t>Fornecimento de ar condicionado tipo split 48.000 BTU's (evaporadora e condensadora)</t>
  </si>
  <si>
    <t>75.315.333/0001-09</t>
  </si>
  <si>
    <t>Ar Condicionado Split Piso Teto Elgin Eco 48.000 BTU/h Frio Trifásico OUFE48B3NA 220 Volts</t>
  </si>
  <si>
    <t>https://www.carrefour.com.br/ar-condicionado-split-piso-teto-elgin-eco-48000-btuh-frio-trifasico-oufe48b3na-220-volts-mp14021227/p</t>
  </si>
  <si>
    <t>CLIMA RIO</t>
  </si>
  <si>
    <t>08.824.171/0006-51</t>
  </si>
  <si>
    <t>Ar Condicionado Split Piso Teto Carrier 48.000 Btus Frio Trifásico 220v</t>
  </si>
  <si>
    <t>https://www.climario.com.br/ar-condicionado-split-piso-teto-carrier-48000-btus-frio-trifasico-220v/p?idsku=19620#</t>
  </si>
  <si>
    <t xml:space="preserve">FRIO PEÇAS </t>
  </si>
  <si>
    <t>Ar Condicionado Split Piso Teto Elgin Eco 48.000 BTU/h Frio Trifásico OUFE48B3NA</t>
  </si>
  <si>
    <t>https://www.friopecas.com.br/ar-condicionado-split-piso-teto-elgin-eco-48000btuh-frio-trifasico-oufe48b3na-/p</t>
  </si>
  <si>
    <t>Gás refrigerante R22</t>
  </si>
  <si>
    <t>KG</t>
  </si>
  <si>
    <t>REFRIGÁS COMERCIO E SERVIÇOS DE REFRIGERAÇÃO</t>
  </si>
  <si>
    <t>61.649.760/0005-42</t>
  </si>
  <si>
    <t>Gás R22 Freon Chemours 1Kg Lata</t>
  </si>
  <si>
    <t>https://www.refrigas.com.br/fluido-refrigerante-chemours-freon-r22-1kg-lata.html?gclid=Cj0KCQiA_bieBhDSARIsADU4zLcOnlDwp43HZximZi1l2X6wIk7XqPMGV3LXdGZbodk2dvL4RrT7r-gaAoqcEALw_wcB</t>
  </si>
  <si>
    <t>ARTECH CLIMATIZAÇÃO</t>
  </si>
  <si>
    <t>Gás Refrigerante R22 1 KG</t>
  </si>
  <si>
    <t>https://www.lojaartech.com.br/gas-refrigerante-r22-latinha-</t>
  </si>
  <si>
    <t> SANTOS COMERCIO REFRIG INDL E CLIMATIZAÇÃO</t>
  </si>
  <si>
    <t> 28.045.711/0001-00</t>
  </si>
  <si>
    <t> Gás R22 Ar Condicionado Split 1kg</t>
  </si>
  <si>
    <t>https://www.grupposantos.com.br/gas-refrigerante-r-22-1kg-vix?utm_source=Site&amp;utm_medium=GoogleMerchant&amp;utm_campaign=GoogleMerchant&amp;gclid=Cj0KCQiAq7COBhC2ARIsANsPATETxBXwtdCJrvZtTuTDOEqd4W6mLkcnDiycOVrPohlrDA_O5ogQMksaAi3NEALw_wcB</t>
  </si>
  <si>
    <t>Gás R410 A - 750g</t>
  </si>
  <si>
    <t>FRIGELAR COMÉRCIO E INDUSTRIA LTDA</t>
  </si>
  <si>
    <t>92.660.406/0003-80</t>
  </si>
  <si>
    <t> Gás Refrigerante R410a EOS Cilindro de 750g com Válvula e Manopla</t>
  </si>
  <si>
    <t>https://www.frigelar.com.br/gas-refrigerante-r410a-eos-cilindro-de-750g-com-valvula-e-manopla/p/kit5126</t>
  </si>
  <si>
    <t>Gás Fluído Lata R410A 410 410A 750Gr Com Válvula Dugold</t>
  </si>
  <si>
    <t>https://www.magazineluiza.com.br/gas-fluido-lata-r410a-410-410a-750gr-com-valvula-dugold/p/ge9hhc392h/ar/aave/?&amp;seller_id=olistplus</t>
  </si>
  <si>
    <t>REFRIGERAÇÃO</t>
  </si>
  <si>
    <t> 22.755.966.0001-71</t>
  </si>
  <si>
    <t> GAS R410 REFIL 750G EOS</t>
  </si>
  <si>
    <t>https://www.fsrefrigeracaobelem.com.br/product-page/gas-r410-refil-750g-eos?utm_source=google&amp;utm_medium=wix_google_feed&amp;utm_campaign=freelistings</t>
  </si>
  <si>
    <t>Porca sextavada 1/4"</t>
  </si>
  <si>
    <t>WEB CONTINENTAL</t>
  </si>
  <si>
    <t>08.584.116/0001-27</t>
  </si>
  <si>
    <t>Porca Sextavada 1/4?? Zincada, Rosca Unc Pacote Com 100 Peças Ciser</t>
  </si>
  <si>
    <t>https://www.webcontinental.com.br/porca-sextavada-1-4-zincada-rosca-unc-pacote-com-100-pecas-ciser-004313004164/p?gclid=Cj0KCQjwk96lBhDHARIsAEKO4xZ9Y5JWAQK10yg9gU2jWoXCHtOoOTFrsaNr3apGI9Rc7ViQGga7PxMaAvyrEALw_wcB</t>
  </si>
  <si>
    <t>AGROMETAL</t>
  </si>
  <si>
    <t>48.539.548/0001-30</t>
  </si>
  <si>
    <t>Porca Sextavada UNC ZB 1/4" Polegada - Vonder - Referência: 2852011401</t>
  </si>
  <si>
    <t>https://www.lojaagrometal.com.br/produto/porca-sextavada-unc-zb-1-4-polegada-com-100-pecas-vonder-referencia-2852011401-87002</t>
  </si>
  <si>
    <t>Porca Sextavada UNC 1/4" - 20 Chave 7/16" Aço Carbono Grau 5 Polido</t>
  </si>
  <si>
    <t>https://www.parafusofacil.com.br/porcas/porca-sextavada/porca-sextavada-unc-14-20-chave-716-aco-carbono-grau-5-polido/</t>
  </si>
  <si>
    <t>Porca sextavada 5/16"</t>
  </si>
  <si>
    <t>Porca Sextavada 5/16 Unc Zincado Branco Cx 500pçs</t>
  </si>
  <si>
    <t>https://produto.mercadolivre.com.br/MLB-2164671507-porca-sextavada-516-unc-zincado-branco-cx-500pcs-_JM#is_advertising=true&amp;position=1&amp;search_layout=stack&amp;type=pad&amp;tracking_id=62442b00-3eb8-4874-855a-60f9a0ca6db4&amp;is_advertising=true&amp;ad_domain=VQCATCORE_LST&amp;ad_position=1&amp;ad_click_id=OWUyY2QyODMtMGE5OC00ZTAzLTkzZTEtNDI5MzFjNDUyYzg4</t>
  </si>
  <si>
    <t>Casa dos Parafusos Franca</t>
  </si>
  <si>
    <t>33.251.614/0001-03</t>
  </si>
  <si>
    <t>Porca Sext Polida Unc 5/16</t>
  </si>
  <si>
    <t>https://www.casadosparafusosfranca.com.br/fixadores/porcas/travante/porca-sext-polida-unc-516?parceiro=7954&amp;srsltid=AR5OiO0E0aqrQC59la4CKBXlymUJ1FxcsIAuDFyc1ghQw3t8A4OO3EpBS1w</t>
  </si>
  <si>
    <t>Copal Parafusos</t>
  </si>
  <si>
    <t>PORCA SEXTAVADA UNC 5/16 POLIDA</t>
  </si>
  <si>
    <t>https://www.copalparafusos.com.br/porca-sextavada-unc-516-polida?utm_camp=gshop&amp;idgrade=15129</t>
  </si>
  <si>
    <t>Porca sextavada 3/8 "</t>
  </si>
  <si>
    <t>Porca Sextavada 3/8 Polida Unc 16 - 200 Peças</t>
  </si>
  <si>
    <t>https://produto.mercadolivre.com.br/MLB-3718626602-porca-sextavada-38-polida-unc-16-200-pecas-_JM#position=5&amp;search_layout=stack&amp;type=item&amp;tracking_id=2a7ba336-72bc-45e2-adc8-33e1fbe5171b</t>
  </si>
  <si>
    <t> BRAFER</t>
  </si>
  <si>
    <t> 12.058.950/0001-56</t>
  </si>
  <si>
    <t> Porca Sextavada 3/8 - 16UNC Rosca Grossa G2 Polida</t>
  </si>
  <si>
    <t>https://www.lojabrafer.com.br/porca-sextavada-3-8-16unc-rosca-grossa-g2-polida/p/5908?c=13&amp;t=586</t>
  </si>
  <si>
    <t>Porca Sextavada Polida Unc 3/8</t>
  </si>
  <si>
    <t>https://www.casadosparafusosfranca.com.br/fixadores/porcas/porcas-suporte-de-disco-de-lixa/porca-sexta-polida-unc-38?parceiro=7954&amp;srsltid=AR5OiO3bUD71o0OLZ3rWTOiCQkUOTRhkkjDTZFzbiPu3lbGae69sfiel8uM</t>
  </si>
  <si>
    <t>Isolamento esponjoso elastomérico para tubo de cobre 1/4"</t>
  </si>
  <si>
    <t>Friovix Comércio de Refrigeração</t>
  </si>
  <si>
    <t>Isolante Elastomérica Epex 1/4 - 19X06</t>
  </si>
  <si>
    <t>https://www.friopecas.com.br/isolante-elastomerica-epex-1-4-19-6/p?idsku=109344</t>
  </si>
  <si>
    <t>COLDPARTS</t>
  </si>
  <si>
    <t>36.574.759/0001-25</t>
  </si>
  <si>
    <t>Tubo Isolante Esponjoso Blindado 1/4 ( 6mm ) Cobre Ar Cond</t>
  </si>
  <si>
    <t>https://www.coldpartsrefrigeracao.com.br/tubo-isolante-esponjoso-blindado-14-6mm-cobre-ar-cond-?utm_source=Site&amp;utm_medium=GoogleMerchant&amp;utm_campaign=GoogleMerchant&amp;gclid=Cj0KCQjw1vSZBhDuARIsAKZlijTbh9mR4TgFd2O877Z0P71XPHot-lOfQvNyYHBfRGz-MQMEA06yQaEaAjZgEALw_wcB</t>
  </si>
  <si>
    <t> Tubo Isolante Elastomérico Armaflex 1/4” Preto Esponjoso C1BRH006</t>
  </si>
  <si>
    <t>https://www.magazineluiza.com.br/tubo-isolante-elastomerico-armaflex-1-4-preto-esponjoso-c1brh006/p/acakeeh6g8/au/otau/?&amp;seller_id=friopecas&amp;utm_source=google&amp;utm_medium=pla&amp;utm_campaign=&amp;partner_id=54222&amp;gclid=CjwKCAiAiKuOBhBQEiwAId_sK0kssf0SpcNhql2_drYoeoqNsBVTTCTxkFvT9iF6Q6-y7DJupUNLnBoCox0QAvD_BwE&amp;gclsrc=aw.ds</t>
  </si>
  <si>
    <t>Isolamento esponjoso elastomérico para tubo de cobre 3/8"</t>
  </si>
  <si>
    <t> Tubo Isolante Elastomérico Armaflex 3/8 Preto Esponjoso C1BRH010</t>
  </si>
  <si>
    <t>https://www.friopecas.com.br/tubo-isolante-elastomerico-armaflex-3-8-preto-c1brh010-/p?idsku=131269</t>
  </si>
  <si>
    <t>Americanas s.a.</t>
  </si>
  <si>
    <t>https://www.americanas.com.br/produto/3286608344?epar=bp_pl_00_go_pla_casaeconst_geral_gmv&amp;opn=YSMESP&amp;WT.srch=1&amp;gclid=CjwKCAiAiKuOBhBQEiwAId_sK9fwh-xaH1NCl4M2JWB2ODykQgMKU7wSkxMwO3BmCQgVB8GgCLltBBoCf8gQAvD_BwE</t>
  </si>
  <si>
    <t>Tubo Isolante Térmico Uv Ar Condicionado 3/8 Branco Ou Preto</t>
  </si>
  <si>
    <t>https://produto.mercadolivre.com.br/MLB-2639562722-tubo-isolante-termico-uv-ar-condicionado-38-branco-ou-preto-_JM#position=3&amp;search_layout=stack&amp;type=item&amp;tracking_id=f6c60ac6-0e19-4521-94e5-b662fcddaa4b</t>
  </si>
  <si>
    <t>Isolamento esponjoso elastomérico para tubo de cobre 1/2"</t>
  </si>
  <si>
    <t> Tubo Isolante Elastomérico Armaflex 1/2 Preto C1brh012</t>
  </si>
  <si>
    <t>https://www.leroymerlin.com.br/tubo-isolante-elastomerico-armaflex-1-2-preto-c1brh012_1567633555?region=outros</t>
  </si>
  <si>
    <t>Tubo Isolante Elastomérico Armaflex 1/2 Preto C1brh012</t>
  </si>
  <si>
    <t>https://produto.mercadolivre.com.br/MLB-2033280834-tubo-isolante-elastomerico-armaflex-12-preto-c1brh012-_JM?matt_tool=45029758&amp;matt_word=&amp;matt_source=google&amp;matt_campaign_id=14302215522&amp;matt_ad_group_id=134553699828&amp;matt_match_type=&amp;matt_network=g&amp;matt_device=c&amp;matt_creative=539425477825&amp;matt_keyword=&amp;matt_ad_position=&amp;matt_ad_type=pla&amp;matt_merchant_id=223204864&amp;matt_product_id=MLB2033280834&amp;matt_product_partition_id=1405369424543&amp;matt_target_id=aud-264949471102:pla-1405369424543&amp;gclid=Cj0KCQjw08aYBhDlARIsAA_gb0dbuVcSoB6R3hgxI2oyDT00jFDFVzlNvRw9Vw8MhINXdsX3iD7PrdIaAmxpEALw_wcB</t>
  </si>
  <si>
    <t xml:space="preserve">Extra </t>
  </si>
  <si>
    <t> Tubo Isolante Elastomérico Armaflex 1/2 Preto C1BRH012</t>
  </si>
  <si>
    <t>https://www.extra.com.br/tubo-isolante-elastomerico-armaflex-1-2-preto-c1brh012-1521601955/p/1521601955?utm_medium=cpc&amp;utm_source=google_freelisting&amp;IdSku=1521601955&amp;idLojista=14785</t>
  </si>
  <si>
    <t>Isolamento esponjoso elastomérico para tubo de cobre 5/8"</t>
  </si>
  <si>
    <t xml:space="preserve">Submarino </t>
  </si>
  <si>
    <t>Tubo Isolante Elastomerico 5/8 19mm 2 Metros</t>
  </si>
  <si>
    <t>https://www.submarino.com.br/produto/7283567508?pfm_carac=isolante-elastomerico-5-8&amp;pfm_index=1&amp;pfm_page=search&amp;pfm_pos=grid&amp;pfm_type=search_page&amp;offerId=642890a5579fbc8d9176702f</t>
  </si>
  <si>
    <t>Tubo Isolante Elastomérico Armaflex 1 5/8 19x42mm Preto Esponjoso C1BRM042</t>
  </si>
  <si>
    <t>https://www.friopecas.com.br/tubo-isolante-elastomerico-armaflex-1-5-8-19x42mm-preto-c1brm042/p?idsku=111972&amp;gclid=Cj0KCQjwk96lBhDHARIsAEKO4xYRmt9daHCVIQVw7jEApNg2TWNc2kZkuumx8tlJfz8HLLg73-pi8TgaAihmEALw_wcB</t>
  </si>
  <si>
    <t>Tubo Isolante Elastomérico Af Armaflex 5/8 15mm Parede 25mm Barra de 2 metros</t>
  </si>
  <si>
    <t>https://www.frigelar.com.br/tubo-isolante-elastomerico-af-armaflex-5-8-15mm-parede-25mm-barra-de-2-metros/p/kit3492?utm_content=7e8206cef5da4e0d9eb2aa754bd3a2b2</t>
  </si>
  <si>
    <t>Isolamento esponjoso elastomérico para tubo de cobre 3/4"</t>
  </si>
  <si>
    <t> Friovix Comércio de Refrigeração</t>
  </si>
  <si>
    <t> Tubo Isolante Elastomérico Armaflex 3/4" Preto Esponjoso C1BRH018</t>
  </si>
  <si>
    <t>https://www.friopecas.com.br/tubo-isolante-elastomerico-armaflex-3-4-preto-c1brh018/p?idsku=131271&amp;gclid=CjwKCAiAiKuOBhBQEiwAId_sK9Zmxropjl1SFzN8tXlq8_EQ_iQ7UzU6KgnKkD0u86QFVTT2w0OWCBoCOkIQAvD_BwE</t>
  </si>
  <si>
    <t>Frigelar Comércio e Indústria Ltda</t>
  </si>
  <si>
    <t> Tubo Isolante Elastomerico Class1 Armaflex 3/4 18mm Parede 18mm Barra de 2 metros</t>
  </si>
  <si>
    <t>https://www.frigelar.com.br/tubo-isolante-elastomerico-class1-armaflex-3-4-18mm-parede-18mm-barra-de-2-metros/p/kit3468?gclid=CjwKCAiAiKuOBhBQEiwAId_sK3kwtvYaUpC1fXcSA0alwJNB_6w1l-5Cvo6Xn8tzh_U9RH_tSZ5e-BoCo08QAvD_BwE</t>
  </si>
  <si>
    <t> Tubo Isolante Elastomérico Armaflex 3/4 Preto Esponjoso C1BRH018</t>
  </si>
  <si>
    <t>https://www.americanas.com.br/produto/3286616213?epar=bp_pl_00_go_pla_casaeconst_geral_gmv&amp;opn=YSMESP&amp;WT.srch=1&amp;gclid=CjwKCAiAiKuOBhBQEiwAId_sK45C0RIXOHSxFqAmo67qcIxExQQI0zd5ds1jMY_ReP29uMt3pcF4ehoCg2IQAvD_BwE</t>
  </si>
  <si>
    <t>Isolamento esponjoso elastomérico para tubo de cobre 7/8"</t>
  </si>
  <si>
    <t>Isolante Elastomérico Vix C0 7/8 - 13x22 (5m)</t>
  </si>
  <si>
    <t>https://www.leroymerlin.com.br/isolante-elastomerico-vix-c0-7-8-13x22_1570130100?region=outros</t>
  </si>
  <si>
    <t>Ribeiro &amp; Morais Comercio de Refrigeração LTDA</t>
  </si>
  <si>
    <t>19.432.880/0001-01</t>
  </si>
  <si>
    <t> TUBO ISOLANTE ELASTOMERICO 7/8 19X22MM BARRA 2M</t>
  </si>
  <si>
    <t>https://www.gelatudo.com.br/produto/tubo-isolante-elastomerico-78-19x22mm-barra-2m.html?gclid=Cj0KCQiAq7COBhC2ARIsANsPATHcBK9AC0p2OHnrx5HGcXbYDYEPLBWjUrNZkotxkbDXz0Z-sVePLBYaArdeEALw_wcB</t>
  </si>
  <si>
    <t> Tubo Isolante Elastomerico Class1 Armaflex 7/8 22mm Parede 19mm Barra de 2 metros</t>
  </si>
  <si>
    <t>https://www.frigelar.com.br/tubo-isolante-elastomerico-class1-armaflex-7-8-22mm-parede-19mm-barra-de-2-metros/p/kit3501</t>
  </si>
  <si>
    <t>Thinner, ref. Natrielli ou equivalente</t>
  </si>
  <si>
    <t xml:space="preserve">L </t>
  </si>
  <si>
    <t> MCF Materiais</t>
  </si>
  <si>
    <t> 06.275.140/0001-59</t>
  </si>
  <si>
    <t>Thinner 5 Litros - Itaqua</t>
  </si>
  <si>
    <t>https://www.mcfmateriais.com.br/thinner-itaqua-5lt</t>
  </si>
  <si>
    <t>A. CAMARGO</t>
  </si>
  <si>
    <t>01.561.794.0001/25</t>
  </si>
  <si>
    <t> THINNER (LIMPEZA) 500-2750 (5LTS)</t>
  </si>
  <si>
    <t>https://www.acamargo.com/thinner-5-litros.html</t>
  </si>
  <si>
    <t> TORRES CABRAL</t>
  </si>
  <si>
    <t>  10.691.953/0001-05</t>
  </si>
  <si>
    <t> Thinner Premium 5L Eucatex</t>
  </si>
  <si>
    <t>https://www.torrescabral.com.br/thinner-premium-5l-9100-eucatex?parceiro=3933</t>
  </si>
  <si>
    <t>Relé de falta de fase 127-220V, ref. 3UGO2 40-OA507</t>
  </si>
  <si>
    <t> AMAZON</t>
  </si>
  <si>
    <t> 15.436.940/0001-03</t>
  </si>
  <si>
    <t> Relé de Falta de Fase e Sequência DFF3-460 220-460VCA Metaltex</t>
  </si>
  <si>
    <t>https://www.amazon.com.br/Falta-Sequência-DFF3-460-220-460VCA-Metaltex/dp/B07X3XQYZG/ref=asc_df_B07X3XQYZG/?tag=googleshopp00-20&amp;linkCode=df0&amp;hvadid=379817630822&amp;hvpos=&amp;hvnetw=g&amp;hvrand=14494293475914508727&amp;hvpone=&amp;hvptwo=&amp;hvqmt=&amp;hvdev=c&amp;hvdvcmdl=&amp;hvlocint=&amp;hvlocphy=1031634&amp;hvtargid=pla-1655643501744&amp;psc=1</t>
  </si>
  <si>
    <t>ViewTech</t>
  </si>
  <si>
    <t> Rele Falta de Fase com Neutro Altronic Trifasico 220V FSN 22</t>
  </si>
  <si>
    <t>https://www.viewtech.ind.br/catalog/product/view/id/2957/s/rele-falta-de-fase-com-neutro-altronic-trifasico-220v-fsn-22/?utm_source=&amp;utm_medium=&amp;utm_campaign=&amp;utm_term=&amp;utm_content=&amp;gclid=Cj0KCQiAq7COBhC2ARIsANsPATECIAPAgO1MPLapzSvIxDqYkt-ZarozXW-5ETjw80mrCDEGGqIAyQQaAvtWEALw_wcB</t>
  </si>
  <si>
    <t> Junção Eletro Eletrônica Ltda</t>
  </si>
  <si>
    <t> 54.967.989/0001-36</t>
  </si>
  <si>
    <t> FSN-22 MM RELÉ DE PROTEÇÃO DE FALTA DE FASE SEM RETARDO ALTRONIC</t>
  </si>
  <si>
    <r>
      <rPr>
        <rFont val="Calibri"/>
        <color rgb="FF1155CC"/>
        <sz val="9.0"/>
        <u/>
      </rPr>
      <t> https://www.juncao.com.br/fsn-22-mm-rele-de-protecao-de-falta-de-fase-sem-retardo-1-spdt-altronic</t>
    </r>
  </si>
  <si>
    <t>Plugue para tomada, tipo macho, 2P+T 10A</t>
  </si>
  <si>
    <t>AGRO-COMERCIAL AFUBRA</t>
  </si>
  <si>
    <t>74.072.513/0044-84</t>
  </si>
  <si>
    <t>Plugue Macho Tramontina 2 Pinos + Terra 10A 250V Preto - 57403/003</t>
  </si>
  <si>
    <t>https://www.lojasafubra.com.br/plugue-macho-tramontina-2-pinos-terra-10a-250v-preto-57403-003/p?idsku=12312&amp;gclid=Cj0KCQjw1vSZBhDuARIsAKZlijSuO5QSlQqo9cUQWvKymfmYLb9SdgmRH008KUml3lE4Pgk7dGOZM9YaAnaYEALw_wcB</t>
  </si>
  <si>
    <t> PLUG MACHO PRETO 10A 2P+T NBR14136 57403003 TRAMONTINA</t>
  </si>
  <si>
    <t>http://www.lojaeletrica.com.br/plug-macho-preto-10a-2pt-nbr14136-57403003-tramontina,product,2321806630160,dept,0.aspx</t>
  </si>
  <si>
    <t>ANHANGUERA COMÉRCIO DE FERRAMENTAS</t>
  </si>
  <si>
    <t> 00.565.813/0001-29</t>
  </si>
  <si>
    <t> PLUGUE MACHO RETO 2P+T 10A 250V BRANCO 57402/003 TRAMONTINA ELETRIK</t>
  </si>
  <si>
    <t>https://www.anhangueraferramentas.com.br/produto/plugue-macho-reto-2p-t-10a-250v-tramontina-eletrik-95671?utm_source=google&amp;utm_medium=cpc&amp;utm_campaign=</t>
  </si>
  <si>
    <t>MAN_COT.058</t>
  </si>
  <si>
    <t>Vaselina liquida 1000ml</t>
  </si>
  <si>
    <t> VASILA LIQUIDA 1L</t>
  </si>
  <si>
    <t>https://www.magazineluiza.com.br/vaselina-liquida-1l-marca/p/bc1fkd4622/cp/vsln/?&amp;seller_id=multichemicals</t>
  </si>
  <si>
    <t>SHOP TIME</t>
  </si>
  <si>
    <t>VASILINA MORIA LIQUIDA 1L</t>
  </si>
  <si>
    <t>https://www.shoptime.com.br/produto/58770370?opn=GOOGLEXML&amp;offerId=5c9c511249a1cfe01958b6dd&amp;srsltid=Ad5pg_E-jTnwGUwXkjGozywIfZtqywwDHSGe49RQO_X6XNiRHXexTFEYgsQ</t>
  </si>
  <si>
    <t>UTILIDADES CLINICAS</t>
  </si>
  <si>
    <t>13.612.214/0001-60</t>
  </si>
  <si>
    <t>Vaselina Líquida 1L - VIC PHARMA</t>
  </si>
  <si>
    <t>https://www.utilidadesclinicas.com.br/vaselina-liquida-1l-vic-pharma.html?gclid=Cj0KCQjwk96lBhDHARIsAEKO4xZpab3Xz0v9lH1dqXCe6x6Fk6Ogp4iVtzRbsDOo7z5qoP5ykZB9-awaAgLrEALw_wcB</t>
  </si>
  <si>
    <t>PARA EVENTUAL</t>
  </si>
  <si>
    <t>Suporte de parede fixo para TV e Monitor Sumay Sm- Spf3280 de 32 à 80 Polegadas</t>
  </si>
  <si>
    <t>VALOR UNITÁRIO (R$)</t>
  </si>
  <si>
    <t>COT. ONLINE</t>
  </si>
  <si>
    <t>Suporte De Parede Fixo TV E Monitor Sumay Sm-Spf3280 32 À 80 Pol</t>
  </si>
  <si>
    <t>https://www.shoptime.com.br/produto/42027656?opn=GOOGLEXML&amp;offerId=5b85c2e0b6ac28684b33730b&amp;srsltid=AeTuncpNyBmpfxZkO-optMf5MWzGb3vYwzjmLKPw9K5Ypq0RZtKno7EJ0qY</t>
  </si>
  <si>
    <t>https://www.americanas.com.br/produto/42027656?opn=YSMESP&amp;offerId=5b85c2d7172743a0f512aa1f&amp;srsltid=AeTuncqAb53xL9Yz9Gur0D8LPBcpzSIeQ1ksc7oR-eSI7igaApk2ZpVCHJY</t>
  </si>
  <si>
    <t>https://www.magazineluiza.com.br/suporte-de-parede-fixo-tv-e-monitor-sumay-sm-spf3280-32-a-80-pol/p/eb98eeh4c4/et/sufx/</t>
  </si>
  <si>
    <t>VENTILADOR DE PAREDE 50CM COM 6 PÁS, 200W BIVOLT</t>
  </si>
  <si>
    <t>Ventilador de Parede Ventisol Turbo 6 Steel Osc, 6 pás, 50cm, 200w - Bivolt</t>
  </si>
  <si>
    <t>https://www.americanas.com.br/produto/1901858207?opn=YSMESP&amp;offerId=63a2253c401db3b86b482b0a&amp;srsltid=AeTuncrRZu5-j6QRw6VMgB7zKdFZaEBtsguYMexeextMYtYXKizWZYEiHzg&amp;tamanho=50cm&amp;cor=Preto&amp;voltagem=Bivolt&amp;condition=NEW</t>
  </si>
  <si>
    <t>Ventilador de parede Ventisol Turbo 6 Steel Osc, 6 pás, 50cm, 200w - Bivolt</t>
  </si>
  <si>
    <t>https://www.casasbahia.com.br/ventilador-de-parede-ventisol-turbo-6-steel-osc-6-pas-50cm-200w-1504663382/p/1504663382?utm_medium=Cpc&amp;utm_source=google_freelisting&amp;IdSku=1504663382&amp;idLojista=31644&amp;tipoLojista=3P</t>
  </si>
  <si>
    <t>https://www.magazineluiza.com.br/ventilador-de-parede-ventisol-turbo-6-steel-osc-6-pas-50cm-200w-bivolt/p/dh5a91ae15/ar/arvp/?&amp;seller_id=techshop</t>
  </si>
  <si>
    <t>BATERIA SELADA 12V 60AH. REF M60GD DA MOURA OU SIMILAR</t>
  </si>
  <si>
    <t>LOJAS COLOMBO</t>
  </si>
  <si>
    <t>89.848.543/0015-72</t>
  </si>
  <si>
    <t>Bateria Moura 60 Amperes - M60GD MGE2 SLI</t>
  </si>
  <si>
    <t>https://www.colombo.com.br/produto/Automotivo/Bateria-Moura-60-Amperes-M60GD-MGE2-SLI?portal=8B36E9207C24C76E6719268E49201D94-seller-1</t>
  </si>
  <si>
    <t>https://www.magazineluiza.com.br/bateria-moura-60-amperes-m60gd-mge2-sli/p/jhb5acb4k6/au/baau/</t>
  </si>
  <si>
    <t>DPASCHOAL</t>
  </si>
  <si>
    <t>45.987.005/0001-98</t>
  </si>
  <si>
    <t>Bateria Moura 60A M60Ad Direito</t>
  </si>
  <si>
    <t>https://www.dpaschoal.com.br/bateria-moura-60a-m60ad-direito/p?idsku=6128998&amp;srsltid=ASuE1wQPzuOImnWbpuv3QrQ0-P6zXWYkhHDorjAGd7SypSDcbNSSY2pneWY</t>
  </si>
  <si>
    <t>CABO DE AÇO 1/8 REVESTIDO COM PVC - 50M</t>
  </si>
  <si>
    <t>Cabo De Aço 18 Revestido com Pvc 50 Metros - Cabos Metalpark</t>
  </si>
  <si>
    <t>https://www.magazineluiza.com.br/cabo-de-aco-18-revestido-com-pvc-50-metros-cabos-metalpark/p/ee1aag77ha/pi/cbac/?&amp;seller_id=olistplus</t>
  </si>
  <si>
    <t>Cabo De Aço 18 Revestido com Pvc 50 Metros</t>
  </si>
  <si>
    <t>https://www.casasbahia.com.br/cabo-de-aco-18-revestido-com-pvc-50-metros-1521876526/p/1521876526?utm_medium=Cpc&amp;utm_source=google_freelisting&amp;IdSku=1521876526&amp;idLojista=145309&amp;tipoLojista=3P</t>
  </si>
  <si>
    <t>https://www.extra.com.br/cabo-de-aco-18-revestido-com-pvc-50-metros/p/1521876526</t>
  </si>
  <si>
    <t>PERSIANA VERTICAL EM PVC BRANCO 9CM SEM BANDÔ - FORNECIMENTO E INSTALAÇÃO</t>
  </si>
  <si>
    <t>Iukesu Persianas</t>
  </si>
  <si>
    <t>19.671.363/0001-87</t>
  </si>
  <si>
    <t xml:space="preserve">ONLINE PERSIANAS </t>
  </si>
  <si>
    <t>68.417.542/0001-06</t>
  </si>
  <si>
    <t>PERSIANA VERTICAL EM P.V.C. LISO SEM BANDÔ</t>
  </si>
  <si>
    <t>https://www.onlinepersianas.com.br/persiana-vertical-em-pvc-liso-sem-bando.868.html</t>
  </si>
  <si>
    <t>PERSIANET</t>
  </si>
  <si>
    <t>20.305.960/0001-77</t>
  </si>
  <si>
    <t xml:space="preserve">PERSIANA VERTICAL PVC BASIC
</t>
  </si>
  <si>
    <t>https://www.persianet.com.br/pvc/persiana-vertical-pvc-basic</t>
  </si>
  <si>
    <t>LÂMPADA LED BULBO E27, 60W DE POTÊNCIA, BRANCO FRIO</t>
  </si>
  <si>
    <t>Lâmpada Led Bulbo Alta Potência 60w E27 Branco Frio 4800lm Cor Da Luz Branco-frio</t>
  </si>
  <si>
    <t>https://www.mercadolivre.com.br/lmpada-led-bulbo-alta-potncia-60w-e27-branco-frio-4800lm-cor-da-luz-branco-frio/p/MLB21349340?pdp_filters=category:MLB8462#searchVariation=MLB21349340&amp;position=5&amp;search_layout=grid&amp;type=product&amp;tracking_id=e103762b-775d-4360-82a2-78c9823330af</t>
  </si>
  <si>
    <t>COMBINADO</t>
  </si>
  <si>
    <t>45.618.763/0001-39</t>
  </si>
  <si>
    <t>Lampada LED Bulbo 60w e27 Branco Frio</t>
  </si>
  <si>
    <t>https://combinado.com.br/lampada-led-bulbo-60w-e27-branco-frio.html?mp_feed=MDozOjRkc0JUZFBJSFR2K0ZYMUVhTGpacVI1MjgxUnlSakJVOHh2dUxhbz0=</t>
  </si>
  <si>
    <t>Bulbo Led 60w E27 Alta Potência Branco Frio 6500k Econômico Bivolt +adaptador E40 - YE</t>
  </si>
  <si>
    <t>https://www.magazineluiza.com.br/bulbo-led-60w-e27-alta-potencia-branco-frio-6500k-economico-bivolt-adaptador-e40-ye/p/ccjh9cd410/cj/lald/?&amp;seller_id=ilumirahled</t>
  </si>
  <si>
    <t xml:space="preserve">CONJUNTO PLUGUE MACHO E FÊMEA 2P+T 20A </t>
  </si>
  <si>
    <t>Plugue Macho 3 Pinos 10a 90 Graus + Tomada Femea 3 Pinos 20a 180 Graus Preto</t>
  </si>
  <si>
    <t>https://www.americanas.com.br/produto/3092508767?opn=YSMESP&amp;offerId=6063d31a0c07044266226a3f&amp;srsltid=AeTuncrABEYJiumCAkKFYJYKOmc2K7PEMjfWCJ0BOcfXyiEPPjCeRyo7EqG</t>
  </si>
  <si>
    <t>Plug Plugue Macho 90 Graus + Tomada Femea 3 Pinos 20a Preto</t>
  </si>
  <si>
    <t>https://www.google.com/url?q=https://www.carrefour.com.br/plug-plugue-macho-90-graus-tomada-femea-3-pinos-20a-preto-mp910733308/p&amp;sa=U&amp;ved=0ahUKEwiigYjsgsL8AhUQupUCHZiLATUQgOUECHg&amp;usg=AOvVaw3MR5MoFvCg91kbiAsOI0-a</t>
  </si>
  <si>
    <t>Plugue Macho 3 Pinos 10a 90 Graus + Tomada Femea 3 Pinos 20a 180 Graus Preto - MARGIRIUS</t>
  </si>
  <si>
    <t>https://www.magazineluiza.com.br/plugue-macho-3-pinos-10a-90-graus-tomada-femea-3-pinos-20a-180-graus-preto-margirius/p/bj54401k5h/cj/mael/?&amp;seller_id=armazemsilvestre</t>
  </si>
  <si>
    <t>KIT MOTOR PPA 1/4HP, 500KG, DESLIZANTE, INCLUÍNDO 2 CONTROLE E 5M DE CREMALHEIRA</t>
  </si>
  <si>
    <t>Kit Motor Ppa Dz Hub Legero 1/4cv Portão Deslizante 500kg 5m</t>
  </si>
  <si>
    <t>https://www.magazineluiza.com.br/kit-motor-ppa-dz-hub-legero-1-4cv-portao-deslizante-500kg-5m/p/ccjb3330b4/cj/aupo/?&amp;seller_id=megsegurancaeletronica</t>
  </si>
  <si>
    <t>MEG SEGURANÇA ELETRÔNICA</t>
  </si>
  <si>
    <t>05.425.000/0001-57</t>
  </si>
  <si>
    <t>Kit Motor Ppa Dz Hub Legero 1/4hp Portão Deslizante 500kg 6m</t>
  </si>
  <si>
    <t>https://www.megsegurancaeletronica.com.br/MLB-2704802759-kit-motor-ppa-dz-hub-legero-14hp-porto-deslizante-500kg-5m-_JM?variation=174756740495</t>
  </si>
  <si>
    <t>Kit Motor Ppa Dz Hub Legero 1/4hp Portão Deslizante 500kg 4m</t>
  </si>
  <si>
    <t>https://www.submarino.com.br/produto/5462118214?opn=XMLGOOGLE&amp;offerId=62d7efe5d4af6a4f9429e978&amp;voltagem=127v&amp;condition=NEW</t>
  </si>
  <si>
    <t>Placa Central De Comando Universal X2 Full ST IPEC Para Automatizadores</t>
  </si>
  <si>
    <t>Placa De Portão Eletrônico Universal</t>
  </si>
  <si>
    <t>https://www.submarino.com.br/produto/2337335121?opn=XMLGOOGLE&amp;offerId=5f8e6dd733948c48c97b35d2</t>
  </si>
  <si>
    <t>UPPER SEG</t>
  </si>
  <si>
    <t>17.354.683/0001-88</t>
  </si>
  <si>
    <t>Central de Comando Universal X2 Full ST IPEC Para Automatizadores</t>
  </si>
  <si>
    <t>https://www.upperseg.com.br/automatizadores/ipec/acessorios-ipec/central-de-comando-universal-x2-full-st-ipec-para-automatizadores/</t>
  </si>
  <si>
    <t>Central De Portão X2 St Full</t>
  </si>
  <si>
    <t>https://www.extra.com.br/placa-central-x2-full-st-universal-marcas-comando-motor/p/1514256169</t>
  </si>
  <si>
    <t>CANALETA EM PVC (LARGURA: 20MM / ALUTRA: 10MM / COMPRIMENTO: 2M) COM FITA DUPLA FACE</t>
  </si>
  <si>
    <t>Canaleta com Fita Dupla Face e Divisória Branca 20x10x2000mm - 57300119 - tramontina</t>
  </si>
  <si>
    <t>https://www.americanas.com.br/produto/5009899761?opn=YSMESP&amp;offerId=626c399587c00289c2f48f6b&amp;srsltid=AeTuncrPJXISiJMoP_jA641sDCCZLYNYGvjJ3jYYm_vvP2zhSbMwICkKkE8</t>
  </si>
  <si>
    <t>Canaleta 20x10x2000 mm sem Divisória Tramontina Branca</t>
  </si>
  <si>
    <t>https://www.pontofrio.com.br/Utilidades-Domesticas/AcessorioseUtensilios/AcessoriosDeCozinha/canaleta-20x10x2000-mm-sem-divisoria-tramontina-branca-1518194711.html?IdSku=1518194711?utm_source=google_freelisting</t>
  </si>
  <si>
    <t>TRAMONTINA</t>
  </si>
  <si>
    <t>61.652.608/0001-95</t>
  </si>
  <si>
    <t>Canaleta 20 x 10 x 2000 mm Tramontina Branca sem Divisoria com Cinta Dupla Face</t>
  </si>
  <si>
    <t>https://www.tramontina.com.br/canaleta-20-x-10-x-2000-mm-tramontina-branca-sem-divisoria-com-cinta-dupla-face/57300118.html</t>
  </si>
  <si>
    <t>FECHADURA ELETRÔNICA DIGITAL INTELBRAS FR 320</t>
  </si>
  <si>
    <t>Fechadura Digital Intelbras Fr320 Embutir</t>
  </si>
  <si>
    <t>https://www.submarino.com.br/produto/134374833?opn=XMLGOOGLE&amp;offerId=5cf056736d4819e8b18a6aaf&amp;voltagem=BIVOLT&amp;condition=NEW</t>
  </si>
  <si>
    <t>Fechadura Eletrônica Digital de Embutir Acionada por Cartão, Senha FR320 Intelbras</t>
  </si>
  <si>
    <t>https://www.leroymerlin.com.br/fechadura-eletronica-digital-de-embutir-acionada-por-cartao-senha-fr320-intelbras_89416901?region=grande_sao_paulo</t>
  </si>
  <si>
    <t>Fechadura Digital, intelbras, FR 320, Preto</t>
  </si>
  <si>
    <t>https://www.amazon.com.br/Fechadura-Digital-Intelbras-FR-320/dp/B0757143NG?source=ps-sl-shoppingads-lpcontext&amp;ref_=fplfs&amp;psc=1&amp;smid=A1ZZFT5FULY4LN</t>
  </si>
  <si>
    <t>PLUGUE MACHO 2P+T 250V 20A</t>
  </si>
  <si>
    <t>Plugue Macho 2p+t 250 V 20 A Tramontina Preto Tramontina</t>
  </si>
  <si>
    <t>https://www.carrefour.com.br/plugue-macho-2pt-250-v-20-a-tramontina-preto-tramontina-mp920893715/p</t>
  </si>
  <si>
    <t>Plugue Macho 2P+T 250 V 20 A Tramontina Preto</t>
  </si>
  <si>
    <t>https://www.magazineluiza.com.br/plugue-macho-2p-t-250-v-20-a-tramontina-preto/p/cj2gfad20g/cj/plad/?&amp;seller_id=expresso102</t>
  </si>
  <si>
    <t>Plugue Macho 2p+t 20 A 250 V Tramontina Preto</t>
  </si>
  <si>
    <t>https://www.casasbahia.com.br/material-construcao/eletrica-casa/TomadasePlacas/plugue-macho-2p-t-20-a-250-v-tramontina-preto-1530709851.html?IdSku=1530709851?utm_source=google_freelisting</t>
  </si>
  <si>
    <t>SERVIÇO DE LIMPEZA DE FOSSA SÉPTICA OU SUMIDOURO  - VIAGEM 7M3</t>
  </si>
  <si>
    <t>FDE</t>
  </si>
  <si>
    <t>04/2023</t>
  </si>
  <si>
    <t>LIMPEZA FOSSA SEPTICA</t>
  </si>
  <si>
    <t>Insumo originalmente em M3. Convertido em viagem para compatibilidade de unidades</t>
  </si>
  <si>
    <t>SIURB</t>
  </si>
  <si>
    <t>01/2023</t>
  </si>
  <si>
    <t>LIMPEZA FOSSA SÉPTICA - VIAGEM DE 7 M3</t>
  </si>
  <si>
    <t>M.03.000.020450</t>
  </si>
  <si>
    <t>05/2023</t>
  </si>
  <si>
    <t>Limpeza fossa séptica</t>
  </si>
  <si>
    <t xml:space="preserve">LIXEIXA INDIVIDUAL, EM PLÁSTIVO POLIPROPILENO (PP) COM PROTEÇÃO UV, PARA COLETA SELETIVA 50L COM POSTE </t>
  </si>
  <si>
    <t>JW SEU FORNECEDOR</t>
  </si>
  <si>
    <t>09.359.984/0001-76</t>
  </si>
  <si>
    <t>Lixeira Individual Para Coleta Seletiva 50L Com Poste - ST8</t>
  </si>
  <si>
    <t>https://jwseufornecedor.lojaintegrada.com.br/lixeira-individual-para-coleta-seletiva-50l-com-poste?utm_source=Site&amp;utm_medium=GoogleMerchant&amp;utm_campaign=GoogleMerchant&amp;sku=ST8c</t>
  </si>
  <si>
    <t>SIM SUPRIMENTOS</t>
  </si>
  <si>
    <t>44.568.048/0001-76</t>
  </si>
  <si>
    <t>Lixeira para Coleta Seletiva Azul (Papéis) Boca de Lobo com Poste 50 Litros JSN</t>
  </si>
  <si>
    <t>https://www.simmsuprimentos.com.br/lixeira-para-coleta-seletiva-azul--papeis--boca-de-lobo-com-poste-50-litros-jsn-5959/p?idsku=1977</t>
  </si>
  <si>
    <t>BENZOLIMP</t>
  </si>
  <si>
    <t xml:space="preserve"> 24.816.847/0001-07</t>
  </si>
  <si>
    <t>Lixeira Coleta Seletiva Tampa Frontal Com Poste - 50L - COR: Verde</t>
  </si>
  <si>
    <t>https://www.benzolimp.com.br/lixeira-coleta-seletiva-tampa-frontal-com-poste---50l---cor-verde</t>
  </si>
  <si>
    <t>REPARO PARA VÁLVULA DE DESCARGA, COMPLETO</t>
  </si>
  <si>
    <t>Reparo Descarga Válvula Hydra Max 2550 Clean Pro C/Cruzeta 349406</t>
  </si>
  <si>
    <t>https://www.amazon.com.br/Reparo-Descarga-Válvula-Cruzeta-349406/dp/B0B5HDW8DV/ref=asc_df_B0B5HDW8DV/?tag=googleshopp00-20&amp;linkCode=df0&amp;hvadid=379733782231&amp;hvpos=&amp;hvnetw=g&amp;hvrand=6135241839852413051&amp;hvpone=&amp;hvptwo=&amp;hvqmt=&amp;hvdev=c&amp;hvdvcmdl=&amp;hvlocint=&amp;hvlocphy=1031634&amp;hvtargid=pla-1790274315016&amp;psc=1</t>
  </si>
  <si>
    <t>Reparo Válvula Hydra 2550 Max Original Dn32/dn40 4686.325</t>
  </si>
  <si>
    <t>https://www.americanas.com.br/produto/5083328529?opn=YSMESP&amp;offerId=627d904787c00289c24b4058&amp;srsltid=AeTuncr1ClwNUekx6VSSZtQvmxuiD3bk4iT8oMuXHjmiKA11A_lQhRrOeGI</t>
  </si>
  <si>
    <t>https://www.magazineluiza.com.br/reparo-valvula-hydra-2550-max-original-dn32-dn40-4686-325/p/gkd1g95bga/cj/repd/?&amp;seller_id=basforte</t>
  </si>
  <si>
    <t>ESCADA DE MARINHEIRO EM AÇO GALVANIZADO</t>
  </si>
  <si>
    <t>H.04.000.031375</t>
  </si>
  <si>
    <t>Escada marinheiro galvanizada</t>
  </si>
  <si>
    <t>3.13.75</t>
  </si>
  <si>
    <t>EM-05 ESCADA MARINHEIRO GALVANIZADA</t>
  </si>
  <si>
    <t xml:space="preserve">Escada De Alumínio Marinheiro </t>
  </si>
  <si>
    <t>https://www.mercadolivre.com.br/escada-de-aluminio-marinheiro-200-m/p/MLB21464037?pdp_filters=category:MLB1500#searchVariation=MLB21464037&amp;position=3&amp;search_layout=stack&amp;type=product&amp;tracking_id=752122a9-f32f-4cb4-ba46-d285c2402b77</t>
  </si>
  <si>
    <t>Kit Porteiro Eletrônico Residencial IPR 8010 Intelbras</t>
  </si>
  <si>
    <t>https://www.leroymerlin.com.br/kit-porteiro-eletronico-residencial-ipr-8010-intelbras_89821200?region=grande_sao_paulo</t>
  </si>
  <si>
    <t>43.283.811/0001-50</t>
  </si>
  <si>
    <t>Porteiro eletrônico residencial, IPR 8010, 4521010, Intelbras - CX 1 UN</t>
  </si>
  <si>
    <t>https://www.kalunga.com.br/prod/porteiro-eletronico-residencial-ipr-8010-4521010-intelbras-cx-1-un/144277</t>
  </si>
  <si>
    <t>Porteiro Residencial Intelbras Ipr 8010 4521010</t>
  </si>
  <si>
    <t>https://www.kabum.com.br/produto/197810/porteiro-residencial-intelbras-ipr-8010-4521010?srsltid=AeTuncqMQTCNlNuMOvtiF0INupOuuuJuszAsc4jAuNw7K2Ckc-f8BG35Gpo</t>
  </si>
  <si>
    <t>ÁGUA SANITÁRIA 5L</t>
  </si>
  <si>
    <t>PAGUE MENOS</t>
  </si>
  <si>
    <t>60.494.416/0015-30</t>
  </si>
  <si>
    <t>Água Sanitária Ypê 5l</t>
  </si>
  <si>
    <t>https://www.superpaguemenos.com.br/agua-sanitaria-ype-5l/p?googleshopping=1</t>
  </si>
  <si>
    <t>Água Sanitária YPÊ com Cloro Ativo Galão 5 L. Triplo benefício: Alveja, Desinfeta, Bactericida.</t>
  </si>
  <si>
    <t>https://www.extra.com.br/agua-sanitaria-ype-com-cloro-ativo-galao-5-l-triplo-beneficio-alveja-desinfeta-bactericida-1522715077/p/1522715077?utm_medium=cpc&amp;utm_source=google_freelisting&amp;IdSku=1522715077&amp;idLojista=160945&amp;tipoLojista=3P</t>
  </si>
  <si>
    <t>OCEANO B2B</t>
  </si>
  <si>
    <t>03.746.938/0001-43</t>
  </si>
  <si>
    <t>Água Sanitária Ypê 5L</t>
  </si>
  <si>
    <t>https://www.oceanob2b.com/agua-sanitaria-ype-5l-p1007599?tsid=16</t>
  </si>
  <si>
    <t>REFLETOR HOLOFOTE DE LED 400W BRANCO FRIO IP67</t>
  </si>
  <si>
    <t>BENLUZ</t>
  </si>
  <si>
    <t>19.026.535/0001-60</t>
  </si>
  <si>
    <t>Refletor Holofote De LED 400W Branco Frio Floodlight A Prova d'água IP67</t>
  </si>
  <si>
    <t>https://www.benluz.com.br/refletor-holofote-de-led-400w-branco-frio-floodlight-a-prova-dagua?utm_source=Site&amp;utm_medium=GoogleMerchant&amp;utm_campaign=GoogleMerchant</t>
  </si>
  <si>
    <t>Refletor De Led Smd 400w Mini Branco Frio Ip67 Aprova D'agua Bivolt Para Jardim Quintal Área Externa Holofote - JJ LED</t>
  </si>
  <si>
    <t>https://www.magazineluiza.com.br/refletor-de-led-smd-400w-mini-branco-frio-ip67-aprova-d-agua-bivolt-para-jardim-quintal-area-externa-holofote-jj-led/p/be421dbf1e/cj/rftr/</t>
  </si>
  <si>
    <t>ACROIRIS LED</t>
  </si>
  <si>
    <t>Refletor Led 400w Floodlights Branco Frio Bivolt Cinza - 82992</t>
  </si>
  <si>
    <t>https://www.arcoirisled.com.br/refletor-led-400w-floodlights-branco-frio-bivolt-cinza-82992</t>
  </si>
  <si>
    <t>BOX PARA BANHEIRO EM ALUMÍNIO E VIDRO TEMPERADO 8MM DE CORRER OU ABRIR, INCLUSIVE FERRAGENS - FORNECIMENTO E INSTALÇÃO</t>
  </si>
  <si>
    <t>VIDRAÇARIA BRILHO DO SOL</t>
  </si>
  <si>
    <t>10.801.557/0001-85</t>
  </si>
  <si>
    <t xml:space="preserve">VIDRAÇARIA ASSIS </t>
  </si>
  <si>
    <t>78.095.288/0001-12</t>
  </si>
  <si>
    <t>VIDRAÇARIA ALVORADA</t>
  </si>
  <si>
    <t>01.461.901/0001-43</t>
  </si>
  <si>
    <t>PAINEL DE PREÇOS DO GOVERNO FEDERAL</t>
  </si>
  <si>
    <t>11/05/2022</t>
  </si>
  <si>
    <t>Contratação de empresas especializada na prestação de serviços para elaboração de laudo com parecer técnico do funcionamento do Sistema de Proteção contra descargas atmosféricas (SPDA) para o Campus Osasco da
UNIFESP</t>
  </si>
  <si>
    <r>
      <rPr>
        <rFont val="Calibri"/>
        <sz val="9.0"/>
      </rPr>
      <t xml:space="preserve"> </t>
    </r>
    <r>
      <rPr>
        <rFont val="Calibri"/>
        <color rgb="FF1155CC"/>
        <sz val="9.0"/>
        <u/>
      </rPr>
      <t>https://paineldeprecos.planejamento.gov.br/relatorios-painel/pdf-completo.php?imagem=../storage/14d777cd788763941861f0a84ab04e0c.jpeg</t>
    </r>
  </si>
  <si>
    <t>4.80.68</t>
  </si>
  <si>
    <t>SPDA - Relatório de Análise de Risco, área acima de 750m². Observação: Aprovado pelo Corpo de Bombeiros. un</t>
  </si>
  <si>
    <t>ORSE</t>
  </si>
  <si>
    <t>Laudo de Vistoria de SPDA e ART com medição de resistência Ôhmica do solo e medição de continuidade elétrica, exclusive deslocamento de equipe técnica</t>
  </si>
  <si>
    <t>MANGUEIRA ESPIRAL 8X5,5MM 7M ESPU 700 COM ENGATE RÁPIDO</t>
  </si>
  <si>
    <t>Mangueira espiral pu 8x5,5 mm 7mt azul espu700-schweers</t>
  </si>
  <si>
    <t>https://www.magazineluiza.com.br/mangueira-espiral-pu-8x55-mm-7mt-azul-espu700-schweers/p/kha4j2h9e7/fj/mjdm/</t>
  </si>
  <si>
    <t>CICAMPO</t>
  </si>
  <si>
    <t>Mangueira Espiral de 7 metros - Schweers Espu700</t>
  </si>
  <si>
    <t>https://www.cicampo.com.br/mangueira-espiral-de-7-metros-schweers-espu700?parceiro=8650</t>
  </si>
  <si>
    <t>Mangueira Espiral em Poliuretano 7 Metros Schweers ESPU 700</t>
  </si>
  <si>
    <t>https://www.casasbahia.com.br/mangueira-espiral-em-poliuretano-7-metros-schweers-espu-700-1530493341/p/1530493341?utm_medium=Cpc&amp;utm_source=google_freelisting&amp;IdSku=1530493341&amp;idLojista=31124&amp;tipoLojista=3P</t>
  </si>
  <si>
    <t>CALIBRADOR ELETRÔNICO PARA PNEUS, BIVOLT, BLINDADO. REF. STOKAIR-M2000 OU SIMILAR</t>
  </si>
  <si>
    <t xml:space="preserve">29.302.348/0001-15 </t>
  </si>
  <si>
    <t>Calibrador para Pneu Eletrônico Bivolt Blindado Resistente a Diferentes Climas - STOKAIR-M2000</t>
  </si>
  <si>
    <t>https://www.lojadomecanico.com.br/produto/753/11/359/Calibrador-para-Pneu-Eletronico-Bivolt-Blindado-Resistente-a-Diferentes-Climas/153/?utm_source=googleshopping&amp;utm_campaign=xmlshopping&amp;utm_medium=cpc&amp;utm_content=753</t>
  </si>
  <si>
    <t>CASA DO FRENTISTA</t>
  </si>
  <si>
    <t>CALIBRADOR DE PNEUS ELETRÔNICO BIVOLT BLINDADO STOKAIR M2000</t>
  </si>
  <si>
    <t>https://www.casadofrentista.com.br/44/calibrador-de-pneus-eletronico-bivolt-blindado-stokair-m2000</t>
  </si>
  <si>
    <t>Calibrador De Pneus Premium Stok Air - Bivolt</t>
  </si>
  <si>
    <t>https://www.ferramentaskennedy.com.br/3498/calibrador-de-pneus-premium-stok-air-bivolt?srsltid=AeTunco9hshlxO1SY7AXt7WawfIN2QUEkoVEHChkgBwKeZNRFkkeOZfC2rE</t>
  </si>
  <si>
    <t>FECHADURA DE SOBREPOR PAR APORTA CORTA FOGO (SEM CHAVE)</t>
  </si>
  <si>
    <t>CASSOL</t>
  </si>
  <si>
    <t>75.400.218/0027-71</t>
  </si>
  <si>
    <t>Fechadura para porta Corta-Fogo de Sobrepor Sem chave Preto Durati</t>
  </si>
  <si>
    <t>https://www.cassol.com.br/fechadura-para-porta-corta-fogo-de-sobrepor-sem-chave-preto-durati/p?idsku=1992533</t>
  </si>
  <si>
    <t>Fechadura para Porta corta-fogo de Sobrepor Preta - Durati</t>
  </si>
  <si>
    <t>https://www.magazineluiza.com.br/fechadura-para-porta-corta-fogo-de-sobrepor-preta-durati/p/ef6h2b2223/cj/dura/?&amp;seller_id=disafe</t>
  </si>
  <si>
    <t>Fechadura Corta Fogo Sem Chave Cinza - W1020 Cz</t>
  </si>
  <si>
    <t>https://www.leroymerlin.com.br/fechadura-corta-fogo-sem-chave-cinza-w1020-cz_1570431039</t>
  </si>
  <si>
    <t>BOTOEIRA COM RETENÇÃO PARA QUADRO/PAINEL. REF. CEW-BEGM-0100000 DA WEB,  LAY5-BS54 DA JNG, METALTEX, MARGIRIUS OU EQUIVALENTE</t>
  </si>
  <si>
    <t>GN Automação</t>
  </si>
  <si>
    <t>18.121.625/0001-77</t>
  </si>
  <si>
    <t>Botão de Emergência Plástico Vermelho Com Trava (Gira para Destravar) Com 1NF</t>
  </si>
  <si>
    <t>https://www.gnautomacao.com.br/botao-de-emergencia-gira-destrava?gclid=Cj0KCQjwwvilBhCFARIsADvYi7IYfQdQNz_SE9HGKxEQgv3KPxkYAqGwHlXFCKWG3m0QddnhfxO_9UgaAuMREALw_wcB</t>
  </si>
  <si>
    <t>ZIGFERRAMENTAS</t>
  </si>
  <si>
    <t>15.430.669/0001-90</t>
  </si>
  <si>
    <t>Botão Comando Emergência LAY5-BS54 Vermelho JNG 52003</t>
  </si>
  <si>
    <t>https://www.zigferramentas.com.br/botao-comando-emergencia-lay5-bs54-vermelho-jng-52003?utm_source=Site&amp;utm_medium=GoogleMerchant&amp;utm_campaign=GoogleMerchant&amp;srsltid=AeTuncrUDKVkPyprP62wrBTwPI7k5LkTwnyaKZAN6uxU_6T9Orjnp7ceMDA</t>
  </si>
  <si>
    <t>Botão De Comando Jng Cogumel, Lay5-es54</t>
  </si>
  <si>
    <t>https://www.magazineluiza.com.br/botao-de-comando-jng-cogumel-lay5-es54/p/da00jb2kf9/cj/intd/?&amp;seller_id=bugshop2</t>
  </si>
  <si>
    <t>AGETOP CIVIL - GO</t>
  </si>
  <si>
    <t>06/2023</t>
  </si>
  <si>
    <t>TRANSPORTE DE ENTULHO EM CACAMBA ESTACIONARIA</t>
  </si>
  <si>
    <t>Unidade original em m3, convertido para Un (4m3) para adequação a cotação</t>
  </si>
  <si>
    <t>A.05.000.020358</t>
  </si>
  <si>
    <t>Remoção de entulho de obra, terra, alvenaria, concreto, argamassa, madeira, papel, plástico, metal, capacidade de 4m³</t>
  </si>
  <si>
    <t>ALUGUEL CAÇAMBA 4M3</t>
  </si>
  <si>
    <t>FUSÍVEL NH 00 6A A 125A</t>
  </si>
  <si>
    <t>Fusivel 125a Retardado Gl-gg Base Nh00 500v Porcelana</t>
  </si>
  <si>
    <t>https://shopee.com.br/product/373717375/8624354834</t>
  </si>
  <si>
    <t>VIEW TECH</t>
  </si>
  <si>
    <t>Fusivel NH Retardado gL / gG 125A Negrini NH 00 125 500</t>
  </si>
  <si>
    <t>https://www.viewtech.ind.br/fusivel-nh-retardado-gl-gg-125a-negrini-nh-00-125-500?gclid=Cj0KCQjwwvilBhCFARIsADvYi7IP1Afkp8Fv_axOdMXaiRadFREdIhOGBGT1_As5u8nuJ6HL3g94HKYaAokEEALw_wcB</t>
  </si>
  <si>
    <t>MERKATHO</t>
  </si>
  <si>
    <t>14.762.237/0001-14</t>
  </si>
  <si>
    <t>Fusível NH 00 125A retardado gG/gL 500V</t>
  </si>
  <si>
    <t>https://www.merkatho.com.br/produto/153/fusivel-nh-00-125a-retardado-gg-gl--500v</t>
  </si>
  <si>
    <t>ADAPTADOR SOQUETE EM PORCELANA E40 PARA E27</t>
  </si>
  <si>
    <t>LOJA ELÉTRICA</t>
  </si>
  <si>
    <t>ADAPTADOR PORCELANA E40 PARA E27</t>
  </si>
  <si>
    <t>http://www.lojaeletrica.com.br/adaptador-porcelana-e40-para-e27,product,2430500000015,dept,0.aspx</t>
  </si>
  <si>
    <t>Adaptador porcelana E40 para E27 - FoxLux</t>
  </si>
  <si>
    <t>https://www.magazineluiza.com.br/adaptador-porcelana-e40-para-e27-foxlux/p/fd3kke01e9/fs/sote/?&amp;seller_id=conect-x</t>
  </si>
  <si>
    <t>CENTRAL ELÉTRICA</t>
  </si>
  <si>
    <t>22.334.296/0004-62</t>
  </si>
  <si>
    <t>Soquete Bocal Adaptador Redutor de E40 para E27 Porcelana</t>
  </si>
  <si>
    <t>https://www.lojacentraleletrica.com.br/produto/soquete-bocal-adaptador-redutor-de-e40-para-e27-porcelana</t>
  </si>
  <si>
    <t>BOBINA PARA CONTATOR CWM9 A CWM25, 380V</t>
  </si>
  <si>
    <t xml:space="preserve"> 01.040.887/0001-04</t>
  </si>
  <si>
    <t>Bobina para Contator BCA4-25V41 Corrente Alternada 325V 50HZ/380V Weg</t>
  </si>
  <si>
    <t>https://www.ferpam.com.br/catalog/product/view/id/20933/s/bobina-para-contator-bca4-25v41-corrente-alternada-325v-50hz-380v-weg/</t>
  </si>
  <si>
    <t>Bobina para Contator Weg CWM9 a CWM25 380VCA BCA4 25V41</t>
  </si>
  <si>
    <t>https://www.viewtech.ind.br/bobina-para-contator-weg-cwm9-a-cwm25-380vca-bca4-25v41</t>
  </si>
  <si>
    <t>SETTA</t>
  </si>
  <si>
    <t>01.134.726/0001-80</t>
  </si>
  <si>
    <t>Bobina para Contator Cwm9-25 380v Bca4-25 Weg</t>
  </si>
  <si>
    <t>https://www.lojasetta.com/contatores-e-reles/bobina-para-contator-cwm9-25-380v-bca4-25-weg</t>
  </si>
  <si>
    <t>CONECTOR DE EMENDA DE CABOS 3 VIAS. REF. WAGO 221-413 OU SIMILAR</t>
  </si>
  <si>
    <t>CASA DO ELETRICISTA</t>
  </si>
  <si>
    <t>42.329.065/0001-25</t>
  </si>
  <si>
    <t>Conector WAGO Legítimo 221-413 - 3 Pólos - Até 4mm</t>
  </si>
  <si>
    <t>https://www.casadoeletricistasc.com.br/con-p-emenda-c-alav-3-fios-4mm-wago/p/4135?c=16&amp;t=12</t>
  </si>
  <si>
    <t>Conector Wago Compacto Emenda 3 Fios Modelo 221-413</t>
  </si>
  <si>
    <t>https://www.embrar.com.br/conector-emenda-3-polos/p?idsku=14354</t>
  </si>
  <si>
    <t>CERMIG</t>
  </si>
  <si>
    <t>44.233.168/0001-12</t>
  </si>
  <si>
    <t>Conector WAGO Legítimo 221-413 - 3 Polos - Até 4mm</t>
  </si>
  <si>
    <t>https://www.cermig.com.br/materiais-eletricos/conectores/conector-wago-legitimo-221-413-3-polos-ate-4mm?parceiro=5438</t>
  </si>
  <si>
    <t>CANALETA DUTO SLIM PISO ALUMÍNIO 1,5M COM TAMPA BRANCA</t>
  </si>
  <si>
    <t>COMEL</t>
  </si>
  <si>
    <t>04.123.471/0001-48</t>
  </si>
  <si>
    <t>https://www.comelrg.com.br/produtos/canaleta-duto-slim-piso-aluminio-15m-com-tampa-branca-dutotec/</t>
  </si>
  <si>
    <t>TEKY</t>
  </si>
  <si>
    <t>22.193.309/0001-88</t>
  </si>
  <si>
    <t>Canaleta Alumínio Piso Lisa Com Divisória 53X14X1500MM Com Tampa Branca Dutotec Slim Dutotec</t>
  </si>
  <si>
    <t>https://www.teky.com.br/7994/canaleta-aluminio-piso-lisa-com-divisoria-53x14x1500mm-com-tampa-branca-dutotec-slim-dutotec?srsltid=AeTuncqb93WLtJFkLzL_OoWbiFEuY7KVIQmx4eB0amixNqZo4FSAEhuXjYU</t>
  </si>
  <si>
    <t>PORTAL ELETRICO COMERCIAL</t>
  </si>
  <si>
    <t>32.212.269/0001-28</t>
  </si>
  <si>
    <t>Canaleta em Alumínio Dupla 1,50Metros Branca com Tampa – Dutotec</t>
  </si>
  <si>
    <t>https://www.portaleletrico.com.br/canaleta-em-aluminio-dupla-150metros-branca-com-tampa-%E2%80%93-dutotec-4902/p?idsku=4977</t>
  </si>
  <si>
    <t>KIT COMPLETO UNIVERSAL PARA REPARO EM CAIXA ACOPLADA</t>
  </si>
  <si>
    <t>CJ</t>
  </si>
  <si>
    <t>Kit Completo Universal Caixa Acoplada - Liege</t>
  </si>
  <si>
    <t>https://www.magazineluiza.com.br/kit-completo-universal-caixa-acoplada-liege/p/jj936had1e/cj/mcca/?&amp;seller_id=olistplus</t>
  </si>
  <si>
    <t>MADEIRAMADEIRA</t>
  </si>
  <si>
    <t>Kit completo universal caixa acoplada - Liege</t>
  </si>
  <si>
    <t>https://www.madeiramadeira.com.br/kit-completo-universal-caixa-acoplada-liege-4025035.html?origem=pla-4025035&amp;utm_source=google&amp;utm_medium=cpc&amp;utm_content=acabamento-para-registro-2367&amp;utm_term=&amp;utm_id=17851046043&amp;gclid=Cj0KCQjwk96lBhDHARIsAEKO4xbEcGKqmaDDnBDYuGyyD0grdQZVoiKVURpqifsH0wXY-qYEg0GX_KsaAjvEEALw_wcB</t>
  </si>
  <si>
    <t>https://www.casasbahia.com.br/kit-completo-universal-caixa-acoplada-liege-1521860309/p/1521860309?utm_medium=Cpc&amp;utm_source=google_freelisting&amp;IdSku=1521860309&amp;idLojista=145309&amp;tipoLojista=3P</t>
  </si>
  <si>
    <t>KIT CERCA ELÉTRICA INDUSTRIAL, COMPRIMENTO TOTAL PARA 100 METROS, HASTES BIG 1 METRO, C/ CENTRAL DE CHOQUE 12.000 VOLTS COMPLETO. REF.: INTELBRAS IND-100ELC OU SIMILAR</t>
  </si>
  <si>
    <t>Kit Cerca Elétrica Industrial 100 metros Big 1 Metro c/ Central de Choque 12.000 volts completo - Intelbras</t>
  </si>
  <si>
    <t>https://www.magazineluiza.com.br/kit-cerca-eletrica-industrial-100-metros-big-1-metro-c-central-de-choque-12-000-volts-completo-intelbras/p/gc60eed8a2/cj/ktce/</t>
  </si>
  <si>
    <t>Kit Cerca Elétrica Industrial 100 Metros de Muro C/ Central Intelbras e Big Hastes de 1 Metro Completo</t>
  </si>
  <si>
    <t>https://www.upperseg.com.br/cerca-eletrica/kit-cerca-eletrica/kit-cerca-eletrica-industrial/kit-cerca-eletrica-industrial-c-big-hastes-de-1-metro-e-central-de-choque-power-cr-gcp-completo-100-metros-de-muro/</t>
  </si>
  <si>
    <t>NET ALARMES</t>
  </si>
  <si>
    <t>20.544.487/0001-80</t>
  </si>
  <si>
    <t>Kit Cerca Elétrica Intelbras 100 metros Big Haste Industrial Aço Inox</t>
  </si>
  <si>
    <t>https://www.netalarmes.com.br/kit-cerca-eletrica-intelbras-big-haste-100-metros-aco-inox</t>
  </si>
  <si>
    <t>GRELHA REDONDA BRANCA PARA RALO DIÂMETRO DE 100MM</t>
  </si>
  <si>
    <t xml:space="preserve">MARDEGAN </t>
  </si>
  <si>
    <t>02.119.221/0001-09</t>
  </si>
  <si>
    <t>Grelha Redonda 100mm Branca Multilit</t>
  </si>
  <si>
    <t>https://www.mmardegan.com.br/grelha-100mm-branca-redonda.html</t>
  </si>
  <si>
    <t>TELHA NORTE</t>
  </si>
  <si>
    <t>03.840.986/0056-70</t>
  </si>
  <si>
    <t>Grelha Redonda Branca 100mm</t>
  </si>
  <si>
    <t>https://www.telhanorte.com.br/grelha-redonda-branca-100mm-1155164/p?idsku=1155164&amp;srsltid=AeTuncqdss8n_GfBwIJk6_NWD_MYy7AbfhvKo3odGq4vKgQHd67F2kW38rc</t>
  </si>
  <si>
    <t>BALAROTI</t>
  </si>
  <si>
    <t>77.044.618/0001-88</t>
  </si>
  <si>
    <t>Grelha Redonda Tigre 100mm Branco N</t>
  </si>
  <si>
    <t>https://www.balaroti.com.br/grelha-100mm-redonda-branca-n-70129/p?idsku=70129</t>
  </si>
  <si>
    <t xml:space="preserve">CAIXA PLÁSTICA BRANCA PARA BOTÕES SINALEIROS COM UM FURO 22MM. REF. </t>
  </si>
  <si>
    <t>Caixa Plástica Branca Bx1/1 Com 1 Furos 22mm</t>
  </si>
  <si>
    <t>https://www.leroymerlin.com.br/caixa-plastica-branca--bx1-1-com-1-furos-22mm_1570046642?region=outros</t>
  </si>
  <si>
    <t>Caixa Botoeira - 1 Furo</t>
  </si>
  <si>
    <t>https://www.lojasetta.com/comando-e-sinalizacao/caixa-botoeira-1-furo</t>
  </si>
  <si>
    <t>Caixa Plástica Branca com furos - Sibratec</t>
  </si>
  <si>
    <t>https://www.magazineluiza.com.br/caixa-plastica-branca-com-furos-sibratec/p/cb7f8364b2/fs/cbdf/?&amp;seller_id=dickeleletronica</t>
  </si>
  <si>
    <t>COT_MAN_036</t>
  </si>
  <si>
    <t>CONTROLE PARA PORTÃO ELETRÔNICO 4 VIAS DE LONGO ALCANCE. REF.: INTELBRAS EP 04 OU SIMILAR</t>
  </si>
  <si>
    <t>Controle Portão Eletrônico Intelbras EP 04</t>
  </si>
  <si>
    <t>https://www.magazineluiza.com.br/controle-portao-eletronico-intelbras-ep-04/p/gj4cc88gj6/cj/cspo/?&amp;seller_id=netalarmes2</t>
  </si>
  <si>
    <t>https://www.netalarmes.com.br/controle-portao-eletronico-intelbras-ep-04?parceiro=8046&amp;srsltid=AeTuncqeC_EH392Qlz7dwWlRGNpvMxSuyYllHbsboeoapltEg-8MB-Vid9c</t>
  </si>
  <si>
    <t>Controle Remoto Intelbras, Para Automatizadores De Portão, 100m, Preto</t>
  </si>
  <si>
    <t>https://www.kabum.com.br/produto/234007/controle-remoto-intelbras-para-automatizadores-de-portao-100m-preto?srsltid=AeTuncohmW__tTRYyLmTUVwN3OBo96E5tVvbTTpFn2yAG7VXiIQJT1XUl5E</t>
  </si>
  <si>
    <t>TOMADA 2P + T, ABNT, DE SOBREPOR, 20A, SISTEMA X</t>
  </si>
  <si>
    <t>Tomada 3 Pólos (2p+t) 20a Sistema X Branco Radial</t>
  </si>
  <si>
    <t>https://www.leroymerlin.com.br/tomada-3-polos--2p-t--20a-sistema-x-branco-radial_1569860210?region=outros</t>
  </si>
  <si>
    <t>Tomada 3 Pólos (2P+T) 20a Sistema X Branco Radial</t>
  </si>
  <si>
    <t>https://www.magazineluiza.com.br/tomada-3-polos-2p-t-20a-sistema-x-branco-radial/p/bgk40kch11/cj/tomd/</t>
  </si>
  <si>
    <t>BIGOLIN</t>
  </si>
  <si>
    <t>CONJUNTO RADIAL SISTEMA X TOMADA 20A 1902114</t>
  </si>
  <si>
    <t>https://www.bigolinmateriais.com.br/conjunto-radial-sistema-x-tom-20a-1902114/p?idsku=26849&amp;srsltid=AeTuncppWmg_j8Had6FiG33s5OYJEiErvNWphFkhpNqfBexhPMoD3_yAfUg</t>
  </si>
  <si>
    <t>COT_MAN_038</t>
  </si>
  <si>
    <t xml:space="preserve">BOMBA DE PULVERIZAÇÃO DE PISTÃO DE ALTA PRESSÃO, SEM MOTOR, 30 A 45L MIN. REF. PSP45C Toyama </t>
  </si>
  <si>
    <t>DUTRA MÁQUINAS</t>
  </si>
  <si>
    <t>Bomba pulverizadora agrícola de pistão 30 - 45 l/min Sem motor - PSP45C</t>
  </si>
  <si>
    <t>https://www.dutramaquinas.com.br/p/bomba-pulverizadora-agricola-de-pistao-30-45-l-min-sem-motor-psp45c-psp45c?srsltid=AeTuncoFreh_etsvRmjJO-1Ol5TpfgFMqgGFF_7ZEsrdeYguYG0eDnzXhO4</t>
  </si>
  <si>
    <t>Bomba Agrícola Pulverizadora de Alta Pressão 45 L/min PSP45C TOYAMA</t>
  </si>
  <si>
    <t>https://palaciodasferramentas.com.br/bomba-agricola-pulverizadora-de-alta-pressao-45-l-min-psp45c-toyama</t>
  </si>
  <si>
    <t>Bomba de Pulverização Agrícola PSP45C 30 - 45 Litros com Cabeçote de Ferro - TOYAMA-523-002</t>
  </si>
  <si>
    <t>https://www.lojadomecanico.com.br/produto/73381/33/349/bomba-de-pulverizacao-agricola-psp45c-30---45-litros-com-cabecote-de-ferro-toyama-523-002</t>
  </si>
  <si>
    <t xml:space="preserve">TECLADO CONTROLOADOR DE ACESSO ID TOUCH PROXIMIDADE 125KHZ E SENHA. REF. CONTROL ID </t>
  </si>
  <si>
    <t>Teclado para Controle de Acesso Control ID iD Touch</t>
  </si>
  <si>
    <t>https://www.magazineluiza.com.br/teclado-para-controle-de-acesso-control-id-id-touch/p/ad839gc4jb/pi/ctre/?&amp;seller_id=segurancaautomatizada</t>
  </si>
  <si>
    <t>ID CONTROL</t>
  </si>
  <si>
    <t>41.466.018/0001-60</t>
  </si>
  <si>
    <t>CONTROLE DE ACESSO POR SENHA E CARTÃO - IDTOUCH - CONTROLID</t>
  </si>
  <si>
    <t>https://www.idcontrol.com.br/controle-de-acesso-por-senha-e-cartao-idtouch-controlid?utm_source=Site&amp;utm_medium=GoogleMerchant&amp;utm_campaign=GoogleMerchant&amp;srsltid=AeTuncqlpiW5Atg_MxgntYxNLankm1IfqBDpKLLzZikqIctuLlfeAmv5vgQ</t>
  </si>
  <si>
    <t>VITRIMIX</t>
  </si>
  <si>
    <t>Controle De Acesso Id Touch Proximidade 125 Khz E Senha</t>
  </si>
  <si>
    <t>https://www.vitrimix.com.br/produto/controle-de-acesso-id-touch-proximidade-125-khz-e-senha/</t>
  </si>
  <si>
    <t>CONECTOR DE DERIVAÇÃO PERFURANTE 10 A 95MM²</t>
  </si>
  <si>
    <t>Conector de perfuração CDP-70 (10 á 95mm²)</t>
  </si>
  <si>
    <t>https://www.lojacentraleletrica.com.br/produto/conector-de-perfuracao-cdp-70-10-a-95mm-</t>
  </si>
  <si>
    <t>SANTIL</t>
  </si>
  <si>
    <t>49.474.398/0008-63</t>
  </si>
  <si>
    <t>CONECTOR DERIVACAO PERFURANTE 1,5-10MM - INTELLI</t>
  </si>
  <si>
    <t>https://www.santil.com.br/produto/conector-derivacao-perfurante-15-10mm-intelli/2898606</t>
  </si>
  <si>
    <t xml:space="preserve">
LOJA DO MECANICO</t>
  </si>
  <si>
    <t>09.556.239/0001-17</t>
  </si>
  <si>
    <t>Conector de Derivação Perfurante 10 a 95Mm CDP70 - Intelli</t>
  </si>
  <si>
    <t>https://www.dimensional.com.br/conector-de-derivacao-perfurante-10-a-95mm-cdp70-intelli/p?idsku=218448</t>
  </si>
  <si>
    <t>KIT DE PROTECAO ARSTOP PARA AR CONDICIONADO, TOMADA PADRAO 2P+T 20 A, COM DISJUNTOR BIPOLAR DIN 20A</t>
  </si>
  <si>
    <t>Caixa Disjuntor Bipolar 20A com Tomada 20A Interruptor Ar Condicionado Embutir Residencial Comercial</t>
  </si>
  <si>
    <t>https://www.madeiramadeira.com.br/caixa-disjuntor-bipolar-20a-com-tomada-20a-interruptor-ar-condicionado-embutir-residencial-comercial-568851091.html</t>
  </si>
  <si>
    <t>https://www.americanas.com.br/produto/6301829525?opn=YSMESP&amp;offerId=63595affb1efc389fca17606&amp;srsltid=AeTuncrFwznI5hezCdGGeGwu8Uu5_7YzkVKppWXFwg9jdSbFiSzyVof4T0g</t>
  </si>
  <si>
    <t>Caixa Versátil Nº1 Tomada 20A E Interruptor Bipolar 2213 Fame</t>
  </si>
  <si>
    <t>https://www.santeconline.com.br/caixa-versatil-n-1-tomada-20a-e-interruptor-bipolar-2213-35969</t>
  </si>
  <si>
    <t>QUADRO DE COMANDO DE PVC TIPO CC PLAST 30X20X17CM COM TAMPA TRANSPARENTE. REF. CEMAR</t>
  </si>
  <si>
    <t>PORTAL ELÉTRICO</t>
  </si>
  <si>
    <t>Quadro De Comando Pvc 30X20X17Cm Tampa Transparente Cemar</t>
  </si>
  <si>
    <t>https://www.portaleletrico.com.br/quadro-de-comando-pvc-30x20x17cm-tampa-transparente-cemar-4754/p?idsku=4829</t>
  </si>
  <si>
    <t>ELETRONOR</t>
  </si>
  <si>
    <t xml:space="preserve">QUADRO DE COMANDO TAMPA TRANSPARENTE CCP 302017 RAL7032 IP54 REF 913422 - CEMAR LEGRAND </t>
  </si>
  <si>
    <t>https://loja.eletronor.com.br/quadro-de-comando-tampa-transparente-ccp-302017-ral7032-ip54-ref-913422---cemar-legrand/p?idsku=2206&amp;srsltid=AeTuncqpszHETvHeu1bGbM-tKvVjR2Nl6okhE0VDohb_-AFGy3PAmZ2idyQ</t>
  </si>
  <si>
    <t>Quadro Comando Embutir Poliestireno Bege Ral 7032 Transparente 300 Mm 200 Mm 170 Mm Com Placa Laranja - CCP302017TR - CEMAR</t>
  </si>
  <si>
    <t>https://www.dimensional.com.br/quadro-comando-embutir-poliestireno-bege-ral-7032-transparente-300-mm-200-mm-170-mm-com-placa-laranja-ccp302017tr-cemar/p?idsku=243273</t>
  </si>
  <si>
    <t>COT_MAN_074</t>
  </si>
  <si>
    <t>EXECUÇÃO DO TESTE DE ESTANQUEIDADE PNEUMÁTICO EM CHUVEIRO AUTOMÁTICO SPRINKLER + ELABORAÇÃO DO RELATÓRIO TÉCNICO/LAUDO E FORNECIMENO DE ART</t>
  </si>
  <si>
    <t>ETEC ENGENHARIA LTDA</t>
  </si>
  <si>
    <t>20.674.171/0001-03</t>
  </si>
  <si>
    <t>Teste de estanqueidade em sistema de chuveiros automáticos</t>
  </si>
  <si>
    <t>EXTINGUAÇU</t>
  </si>
  <si>
    <t>04.571.332/0001-87</t>
  </si>
  <si>
    <t>23/01/2023</t>
  </si>
  <si>
    <t>Teste de estanqueidade pneumático em chuveiro de sprinkler - com laudo.</t>
  </si>
  <si>
    <t>BMB ENGENHARIA</t>
  </si>
  <si>
    <t>33.908.839/0001-81</t>
  </si>
  <si>
    <t>05/07/2023</t>
  </si>
  <si>
    <t>Teste hidrostático em rede de sprinkler</t>
  </si>
  <si>
    <t>COT_MAN_075</t>
  </si>
  <si>
    <t>EXECUÇÃO DE TESTE HIDROSTÁTICO EM HIDRANTES + ELABORAÇÃO DO RELATÓRIO TÉCNICO/LAUDO E FORNECIMENO DE ART</t>
  </si>
  <si>
    <t>Teste hidrostático em rede de hidrantes combinado com teste de funcionamento das bombas de incêndio</t>
  </si>
  <si>
    <t xml:space="preserve">WHK ENGENHARIA E PREVENÇÃO </t>
  </si>
  <si>
    <t>22.606.931/0001-70</t>
  </si>
  <si>
    <t>31/07/2023</t>
  </si>
  <si>
    <t>TESTE DO SISTEMA DE HIDRANTES - NBR 13714</t>
  </si>
  <si>
    <t>Teste hidrostático de estanqueidade em rede de hidrante</t>
  </si>
  <si>
    <t>COT_MAN_076</t>
  </si>
  <si>
    <t>EXECUÇÃO DE TESTE EM SISTEMAS DE ALARME DE INCÊNDIO + ELABORAÇÃO DO RELATÓRIO TÉCNICO/LAUDO E FORNECIMENO DE ART</t>
  </si>
  <si>
    <t>CWB HIDRANTES</t>
  </si>
  <si>
    <t>47.215.775/0001-48</t>
  </si>
  <si>
    <t>Teste geral do sistema de alarme e detecção de incêndio</t>
  </si>
  <si>
    <t>Teste em sistema de alarme de incêndio c/ ART-CREA PR</t>
  </si>
  <si>
    <t>Teste em sistema de alarme de incêndio</t>
  </si>
  <si>
    <t>COT_MAN_077</t>
  </si>
  <si>
    <t>TESTE CMAR - ACABAMENTOS E REVESTIMENTOS + ELABORAÇÃO DO RELATÓRIO TÉCNICO/LAUDO E FORNECIMENO DE ART</t>
  </si>
  <si>
    <t>PREVFIRE INSTALAÇÕES E ENGENHARIA LTDA</t>
  </si>
  <si>
    <t>37.526.717/0001-81</t>
  </si>
  <si>
    <t>02/08/2023</t>
  </si>
  <si>
    <t>ART do CMAR</t>
  </si>
  <si>
    <t>LAUDO TÉCNICO DE CONTROLE DE MATERIAIS E
ACABAMENTOS - CMAR</t>
  </si>
  <si>
    <t>CMAR em acabamentos e revestimentos</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</si>
  <si>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</si>
  <si>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13. RELATÓRIO - LEVANTAMENTO DE QUANTIDADE DE EXTINTORES</t>
  </si>
  <si>
    <t>QUADRO DE EXTINTORES - SR/PF/PR, DPF/MGA/PR, DPF/LDA/PR, DPF/PGZ/PR, DPF/GPB/PR, DPF/PNG/PR</t>
  </si>
  <si>
    <t>UND</t>
  </si>
  <si>
    <t>CAPACIDADE EXTINTORA</t>
  </si>
  <si>
    <t>QUANTIDADE</t>
  </si>
  <si>
    <t>TOTAL (UND)</t>
  </si>
  <si>
    <t>SR/PF/PR</t>
  </si>
  <si>
    <t>DPF/MGA/PR</t>
  </si>
  <si>
    <t>DPF/LDA/PR</t>
  </si>
  <si>
    <t>DPF/PGZ/PR</t>
  </si>
  <si>
    <t>DPF/GPB/PR</t>
  </si>
  <si>
    <t>DPF/PNG/PR</t>
  </si>
  <si>
    <t>Extintor de incêndio com carga de gás carbônico CO2, Classe AB</t>
  </si>
  <si>
    <t>5-B:C</t>
  </si>
  <si>
    <t>10-B:C</t>
  </si>
  <si>
    <t>Extintor de incêndio com carga de pó químico seco PQS, classe ABC</t>
  </si>
  <si>
    <t>2-A 20-B:C</t>
  </si>
  <si>
    <t>Extintor de incêndio com carga de pó químico seco PQS, classe BC</t>
  </si>
  <si>
    <t>20-B:C</t>
  </si>
  <si>
    <t>4-A 40-B:C</t>
  </si>
  <si>
    <t>Extintor de incêndio com carga de pó químico seco PQS, Classe BC</t>
  </si>
  <si>
    <t>Extintor de incêndio com carga de pó químico seco PQS, Classe ABC</t>
  </si>
  <si>
    <t>30-B:C</t>
  </si>
  <si>
    <t>6-A 40-B:C</t>
  </si>
  <si>
    <t>40-B:C</t>
  </si>
  <si>
    <t>Extintor de incêndio com carga de pó químico seco, classe ABC</t>
  </si>
  <si>
    <t>10-A 40-B:C</t>
  </si>
  <si>
    <t>Extintor de incêndio com carga de pó químico seco, classe BC</t>
  </si>
  <si>
    <t>80-B:C</t>
  </si>
  <si>
    <t>Extintor de espuma mecânica, Classe AB</t>
  </si>
  <si>
    <t>2-A 10-B</t>
  </si>
  <si>
    <t xml:space="preserve"> 6-A 40-B</t>
  </si>
  <si>
    <t>Extintor de água, Classe A</t>
  </si>
  <si>
    <t>2-A</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</si>
  <si>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</si>
  <si>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14. RELATÓRIO - LEVANTAMENTO DE QUANTIDADE DE GERADORES</t>
  </si>
  <si>
    <t>QUADRO DE GERADORES - SR/PF/PR, DPF/MGA/PR, DPF/LDA/PR, DPF/PGZ/PR, DPF/GPB/PR, DPF/PNG/PR</t>
  </si>
  <si>
    <t>MARCA</t>
  </si>
  <si>
    <t>MODELO</t>
  </si>
  <si>
    <t>POTÊNCIA (KVA)</t>
  </si>
  <si>
    <t>TENSÃO</t>
  </si>
  <si>
    <t>QUANT.</t>
  </si>
  <si>
    <t>MOTOR</t>
  </si>
  <si>
    <t>GERADOR A DIESEL</t>
  </si>
  <si>
    <t>MAQUIGERAL</t>
  </si>
  <si>
    <t>GTA 315 MI BM 150486</t>
  </si>
  <si>
    <t>380/220V</t>
  </si>
  <si>
    <t>SCANIA</t>
  </si>
  <si>
    <t>STEMAC</t>
  </si>
  <si>
    <t>DS 7320</t>
  </si>
  <si>
    <t>MWM</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</si>
  <si>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</si>
  <si>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15. RELATÓRIO - LEVANTAMENTO DE QUANTIDADE DE NOBREAK's</t>
  </si>
  <si>
    <t>QUADRO DE NO-BREAKS - SR/PF/PR, DPF/MGA/PR, DPF/LDA/PR, DPF/PGZ/PR, DPF/GPB/PR, DPF/PNG/PR</t>
  </si>
  <si>
    <t>QUANT. BATERIAS</t>
  </si>
  <si>
    <t>CAPACIDADE DAS BATERIAIS (Ah)</t>
  </si>
  <si>
    <t>SALA</t>
  </si>
  <si>
    <t xml:space="preserve">NOBREAK </t>
  </si>
  <si>
    <t>WEG</t>
  </si>
  <si>
    <t>ENTREPRISE</t>
  </si>
  <si>
    <t>GERADOR</t>
  </si>
  <si>
    <t>1° ANDAR</t>
  </si>
  <si>
    <t>LEGRAND</t>
  </si>
  <si>
    <t>ARQUIMOD</t>
  </si>
  <si>
    <t>SETEC</t>
  </si>
  <si>
    <t>ENGETRON</t>
  </si>
  <si>
    <t>DWTT40A2</t>
  </si>
  <si>
    <t>SEDE</t>
  </si>
  <si>
    <t>SINUS</t>
  </si>
  <si>
    <t>Sinus Double II Black 3200VA - 24512</t>
  </si>
  <si>
    <t>NHS</t>
  </si>
  <si>
    <t xml:space="preserve"> PRIME SENOIDAL 3200 VA</t>
  </si>
  <si>
    <t>NHS Expert On Line 20 kva</t>
  </si>
  <si>
    <t>PGZ</t>
  </si>
  <si>
    <t>TS SHARA</t>
  </si>
  <si>
    <t xml:space="preserve">UPS SENOIDAL UNIVERSAL 2200VA </t>
  </si>
  <si>
    <t>SEM NOBREAK</t>
  </si>
  <si>
    <t>HDS</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</si>
  <si>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</si>
  <si>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16. RELATÓRIO - LEVANTAMENTO DE QUANTITATIVO PARA CLIMATIZAÇÃO</t>
  </si>
  <si>
    <t>QUADRO DE APARELHOS DE AR CONDICONADO TIPO SPLIT E JANELA - SR/PF/PR, DPF/MGA/PR, DPF/LDA/PR, DPF/PGZ/PR, DPF/GPB/PR, DPF/PNG/PR</t>
  </si>
  <si>
    <t>QUADRO DE APARELHOS DE AR CONDICIONADO TIPO SPLIT E JANELA - SR</t>
  </si>
  <si>
    <t xml:space="preserve"> SR</t>
  </si>
  <si>
    <t>NTI</t>
  </si>
  <si>
    <t>DREX</t>
  </si>
  <si>
    <t>DRCOR</t>
  </si>
  <si>
    <t>SR</t>
  </si>
  <si>
    <t>SIP</t>
  </si>
  <si>
    <t>SELOG</t>
  </si>
  <si>
    <t>Ar condicionado</t>
  </si>
  <si>
    <t>SPLIT/PAREDE</t>
  </si>
  <si>
    <t>JANELA</t>
  </si>
  <si>
    <t>SPLIT/TETO</t>
  </si>
  <si>
    <t>TOTAL POR UNIDADE</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</si>
  <si>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</si>
  <si>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17. RELATÓRIO - HISTÓRICO DE MANUTENÇÃO 2020</t>
  </si>
  <si>
    <t xml:space="preserve">Histórico manutenção predial Empresa Lidoar Foz do Iguaçu </t>
  </si>
  <si>
    <t>ANO:2020</t>
  </si>
  <si>
    <t>ORDEM DE SERVIÇO</t>
  </si>
  <si>
    <t>ÁREA INTERVENÇÃO</t>
  </si>
  <si>
    <t>INTERVENÇÃO</t>
  </si>
  <si>
    <t>TIPO</t>
  </si>
  <si>
    <t>DESCRIÇÃO SINAPI</t>
  </si>
  <si>
    <t>UNID</t>
  </si>
  <si>
    <t>QUANT</t>
  </si>
  <si>
    <t>FEV</t>
  </si>
  <si>
    <t>D003</t>
  </si>
  <si>
    <t>ELÉTRICA</t>
  </si>
  <si>
    <t>FIXAR SUPORTE DE TV</t>
  </si>
  <si>
    <t>COMP.EVENTUAL</t>
  </si>
  <si>
    <t>D004</t>
  </si>
  <si>
    <t>TROCA LAMPADA LED TUBULAR 18W</t>
  </si>
  <si>
    <t>D005</t>
  </si>
  <si>
    <t>TROCA DE INTERRUPTOR SIMPLES</t>
  </si>
  <si>
    <t>D007</t>
  </si>
  <si>
    <t>COLOCAÇÃO DE BANDEIRA E CORDOALHA EM MASTRO 6 MTS</t>
  </si>
  <si>
    <t>D008</t>
  </si>
  <si>
    <t>FORNECIMENTO E INSTALAÇÃO DE VENTILADOR</t>
  </si>
  <si>
    <t>D009</t>
  </si>
  <si>
    <t>D010</t>
  </si>
  <si>
    <t>TROCA PLACA DE FORRO MINERAL 62X120</t>
  </si>
  <si>
    <t>D011</t>
  </si>
  <si>
    <t>TROCA BATERIAS 12V/46AH</t>
  </si>
  <si>
    <t>D012</t>
  </si>
  <si>
    <t>MAR</t>
  </si>
  <si>
    <t>D013</t>
  </si>
  <si>
    <t>TROCA DE BATERIAS DO NOBREAK</t>
  </si>
  <si>
    <t>D014</t>
  </si>
  <si>
    <t>TROCA DE LÂMPADA TUBULAR LED DE 18W</t>
  </si>
  <si>
    <t>D016</t>
  </si>
  <si>
    <t>CIVIL</t>
  </si>
  <si>
    <t>PINTURA DE PAREDES</t>
  </si>
  <si>
    <t>PINTURA DE PORTAS</t>
  </si>
  <si>
    <t>D020</t>
  </si>
  <si>
    <t xml:space="preserve">TROCA DE DISJUNTOR DO QUADRO DE PROTEÇÃO </t>
  </si>
  <si>
    <t>D021</t>
  </si>
  <si>
    <t>ADEQUAÇÃO DE DIVISÓRIA</t>
  </si>
  <si>
    <t>TROCA DE LÂMPADA COMPACTA DE 15W</t>
  </si>
  <si>
    <t>D022</t>
  </si>
  <si>
    <t>HIDRÁULICA</t>
  </si>
  <si>
    <t>CONSERTO E TROCA DE VÁLVULA DE DESCARGA</t>
  </si>
  <si>
    <t>D023</t>
  </si>
  <si>
    <t>INSTALAÇÃO DE EXTENSÃO PARA LIGAÇÃO DE FRIGOBAR</t>
  </si>
  <si>
    <t>LANÇAMENTO DE CABO DE REDE</t>
  </si>
  <si>
    <t>D024</t>
  </si>
  <si>
    <t>MANUTENÇÃO DOS SUPER POSTES</t>
  </si>
  <si>
    <t>D025</t>
  </si>
  <si>
    <t>TROCA DE SENSOR DE PRESENÇA</t>
  </si>
  <si>
    <t>TROCA DE FECHADURA</t>
  </si>
  <si>
    <t>D027</t>
  </si>
  <si>
    <t>MONTAGEM DE SUPORTE PARA ÁLCOOL GEL</t>
  </si>
  <si>
    <t>CONSERTO DE VAZAMENTO DE PIA</t>
  </si>
  <si>
    <t>CONSERTO DE VAZAMENTO EM BANHEIRO</t>
  </si>
  <si>
    <t>D028</t>
  </si>
  <si>
    <t>MANUTENÇÃO DE LUMINÁRIAS DO JARDIM</t>
  </si>
  <si>
    <t>D029</t>
  </si>
  <si>
    <t>TROCA DE LÂMPADAS QUEIMADAS</t>
  </si>
  <si>
    <t>MANUTENÇÃO ELÉTRICA</t>
  </si>
  <si>
    <t>REAPERTO DE INTERRUPTORES</t>
  </si>
  <si>
    <t>MONTAGEM DE ESTAÇÃO DE TRABALHO</t>
  </si>
  <si>
    <t>D030</t>
  </si>
  <si>
    <t>AJUSTE EM FECHADURA DE PORTA</t>
  </si>
  <si>
    <t>D033</t>
  </si>
  <si>
    <t>LIMPEZA DE MICTÓRIO</t>
  </si>
  <si>
    <t>D034</t>
  </si>
  <si>
    <t>CORREÇÃO DE FALHA ELÉTRICA</t>
  </si>
  <si>
    <t>CORREÇÃO DE FALTA DE TENSÃO DE TOMADA</t>
  </si>
  <si>
    <t>ABR</t>
  </si>
  <si>
    <t>D181</t>
  </si>
  <si>
    <t>TROCA DE LÂMPADAS COMPACTAS BASE E27 LED DE 15W</t>
  </si>
  <si>
    <t>D182</t>
  </si>
  <si>
    <t>TROCA DE TORNEIRA</t>
  </si>
  <si>
    <t>TROCA DE TAMPA DE VASO SANITÁRIO</t>
  </si>
  <si>
    <t>D183</t>
  </si>
  <si>
    <t>TROCA DE LÂMPADAS COMPACTA LED DE 15W</t>
  </si>
  <si>
    <t>D184</t>
  </si>
  <si>
    <t>D185</t>
  </si>
  <si>
    <t>TROCA DE LÂMPADA TUBULAR LED DE 20W</t>
  </si>
  <si>
    <t>D186</t>
  </si>
  <si>
    <t>D187</t>
  </si>
  <si>
    <t>TROCA DE REFLETORES LED DE 24W</t>
  </si>
  <si>
    <t>D188</t>
  </si>
  <si>
    <t>PASSAGEM DE CABO ELÉTRICO</t>
  </si>
  <si>
    <t>D190</t>
  </si>
  <si>
    <t>INSTALAÇÃO DE TOMADA 20A</t>
  </si>
  <si>
    <t>D191</t>
  </si>
  <si>
    <t>TROCA DE LÂMPADA LED DE 40W</t>
  </si>
  <si>
    <t>D194</t>
  </si>
  <si>
    <t>LIMPEZA E DESOBSTRUÇÃO DE MICTÓRIO</t>
  </si>
  <si>
    <t>D195</t>
  </si>
  <si>
    <t>AJUSTE EM DIVISÓRIA DE PORTA</t>
  </si>
  <si>
    <t>D196</t>
  </si>
  <si>
    <t>LIMPEZA DE ARBUSTOS PRÓXIMOS A CERCA ELÉTRICA</t>
  </si>
  <si>
    <t>FIXAÇÃO DE PLACAS DE SINALIZAÇÃO</t>
  </si>
  <si>
    <t>TESTE E ENERGIZAÇÃO DA CERCA ELÉTRICA</t>
  </si>
  <si>
    <t>D197</t>
  </si>
  <si>
    <t>LIMPEZA E DESOBSTRUÇÃO DE VASO SANITÁRIO</t>
  </si>
  <si>
    <t>D198</t>
  </si>
  <si>
    <t>LIMPEZA EM CONTATOS ELÉTRICOS DE PORTÃO ELTRÔNICO</t>
  </si>
  <si>
    <t>D199</t>
  </si>
  <si>
    <t>REPAROS EM PORTAO ELETRÔNICO</t>
  </si>
  <si>
    <t>D202</t>
  </si>
  <si>
    <t>AJUSTES NA PORTA AUTOMÁTICA DE ENTRADA</t>
  </si>
  <si>
    <t>D204</t>
  </si>
  <si>
    <t>TOMADAS PARA LIGAR FORNO 220/110W</t>
  </si>
  <si>
    <t>D206</t>
  </si>
  <si>
    <t>MANUTENÇÃO E TROCA DE REGISTRO DE CHUVEIROS</t>
  </si>
  <si>
    <t>MANUTENÇÃO DE LÂMPADAS DESROSQUEADAS DE SUAS BASES</t>
  </si>
  <si>
    <t>D207</t>
  </si>
  <si>
    <t>D210</t>
  </si>
  <si>
    <t>LANÇAMENTO DE CABO CAT 6</t>
  </si>
  <si>
    <t>D214</t>
  </si>
  <si>
    <t>TROCA DE TORNEIRAS</t>
  </si>
  <si>
    <t>FIXAÇÃO DE VASO SANITÁRIO</t>
  </si>
  <si>
    <t>LIMPEZA DE RALO DO WC</t>
  </si>
  <si>
    <t>D231</t>
  </si>
  <si>
    <t>EMENDA DE TRINCAS DE FORRO DE GESSO</t>
  </si>
  <si>
    <t>TOCA DE LÂMPADAS LED TUBULAR DE 18W</t>
  </si>
  <si>
    <t>D236</t>
  </si>
  <si>
    <t>DESOBSTRUÇÃO DE PIA</t>
  </si>
  <si>
    <t>D237</t>
  </si>
  <si>
    <t>TROCA DE LÂMPADA LED 15W BASE E27</t>
  </si>
  <si>
    <t>D240</t>
  </si>
  <si>
    <t>MONTADAS CORTINAS PERSIANAS</t>
  </si>
  <si>
    <t>D243</t>
  </si>
  <si>
    <t>DESOBSTRUÇÃO DE MICTÓRIO</t>
  </si>
  <si>
    <t>D244</t>
  </si>
  <si>
    <t>FIXAÇÃO DE CUBA DE INOX</t>
  </si>
  <si>
    <t>D246</t>
  </si>
  <si>
    <t>CORREÇÃO NO PLUGUE DO CABO ALIMENTADOR DA ESTEIRA</t>
  </si>
  <si>
    <t>D247</t>
  </si>
  <si>
    <t>LIMPEZA DOS CONTATOS ELÉTRICOS</t>
  </si>
  <si>
    <t>D248</t>
  </si>
  <si>
    <t>INSTALAÇÃO DE RÉGUA DE FILTRO</t>
  </si>
  <si>
    <t>D250</t>
  </si>
  <si>
    <t>TROCA DE LÂMPADAS TUBULAR LED DE 20W</t>
  </si>
  <si>
    <t>MAI</t>
  </si>
  <si>
    <t>D200</t>
  </si>
  <si>
    <t>RETIRADA DE LUMINÁRIA QUE ESTAVA PENDURADA</t>
  </si>
  <si>
    <t>D213</t>
  </si>
  <si>
    <t>COMPRA DE MANGUEIRA DE INCÊNDIO TIPO 2 DE 1.1/2</t>
  </si>
  <si>
    <t>D218</t>
  </si>
  <si>
    <t>APLICAÇÃO DE SELA TRINCA EM FISSURAS</t>
  </si>
  <si>
    <t>APLICAÇÃO DE MANTA LÍQUIDA ASFÁLTICA SOBRE AS TRINCAS E FISSURAS</t>
  </si>
  <si>
    <t>D225</t>
  </si>
  <si>
    <t>RETIRADA DE PORTA DE ACESSO</t>
  </si>
  <si>
    <t xml:space="preserve">EXECUÇÃO DE PAREDE DE ALVENARIA </t>
  </si>
  <si>
    <t>D234</t>
  </si>
  <si>
    <t>TROCA DE LUMINÁRIA DE 18w</t>
  </si>
  <si>
    <t>D258</t>
  </si>
  <si>
    <t>TROCA DE LÂMPADA LED TUBULAR DE 20W</t>
  </si>
  <si>
    <t>D259</t>
  </si>
  <si>
    <t>LIMPEZA E DESOBSTRUÇÃO DE LAVATÓRIOS</t>
  </si>
  <si>
    <t>D260</t>
  </si>
  <si>
    <t>LIMPEZA E DESOBSTRUÇÃO DE MICTÓRIOS</t>
  </si>
  <si>
    <t>D261</t>
  </si>
  <si>
    <t>FIXAÇÃO DE PORTA SABONETEIRO LÍQUIDO</t>
  </si>
  <si>
    <t>D263</t>
  </si>
  <si>
    <t>TROCA DE TRILHOS DE PORTÃO ELETRÔNICO</t>
  </si>
  <si>
    <t>TROCA DE MOTOR DE PORTÃO ELETRÔNICO</t>
  </si>
  <si>
    <t>MONTAGEM DE INTERRUPTORES PULSADORES PARA CONTROLE REMOTO DO PORTÃO</t>
  </si>
  <si>
    <t>D266</t>
  </si>
  <si>
    <t>TROCA DE REFLETOR LED DE 24W</t>
  </si>
  <si>
    <t>D267</t>
  </si>
  <si>
    <t>INSTALAÇÃO DE SUPORTE PARA HIGIENIZAÇÃO DAS MÃOS</t>
  </si>
  <si>
    <t>D268</t>
  </si>
  <si>
    <t>INSTALAÇÃO DE CUBA E REFORÇOS ABAIXO DA PIA</t>
  </si>
  <si>
    <t>D269</t>
  </si>
  <si>
    <t>D270</t>
  </si>
  <si>
    <t>TROCA DE REGISTRO</t>
  </si>
  <si>
    <t>D275</t>
  </si>
  <si>
    <t>TROCA DE LÂMPADA FLUORESCENTE POR TUBULAR LED DE 20W</t>
  </si>
  <si>
    <t>D276</t>
  </si>
  <si>
    <t>LANÇMENTO CABO DE REDE</t>
  </si>
  <si>
    <t>SOLICITAÇÃO DE CAIXA PARA CAMERA CFTV</t>
  </si>
  <si>
    <t>D277</t>
  </si>
  <si>
    <t>TROCA DE REFLETOR LED DE 100W</t>
  </si>
  <si>
    <t>D278</t>
  </si>
  <si>
    <t>D284</t>
  </si>
  <si>
    <t>AJUSTE E TROCA DE TRINCO DE PORTA</t>
  </si>
  <si>
    <t>D292</t>
  </si>
  <si>
    <t>MANUTENÇÃO DE VASO SANITÁRIO</t>
  </si>
  <si>
    <t>MANUTENÇÃO DE SABONETEIRA</t>
  </si>
  <si>
    <t>D298</t>
  </si>
  <si>
    <t>VERIFICAÇÃO DA PORTA AUTOMÁTICA DE ENTRADA</t>
  </si>
  <si>
    <t>D301</t>
  </si>
  <si>
    <t>TROCA DE FORRO MINERAL</t>
  </si>
  <si>
    <t>D302</t>
  </si>
  <si>
    <t>ADEQUAÇÃO DOS PONTOS ELÉTRICOS</t>
  </si>
  <si>
    <t>D304</t>
  </si>
  <si>
    <t>D305</t>
  </si>
  <si>
    <t>IDENTIFICAÇÃO DE PONTO DE INFILTRAÇÃO E MANUTENÇÃO COM SELA TRINCA E MANTA LÍQUIDA ASFÁLTICA</t>
  </si>
  <si>
    <t>D307</t>
  </si>
  <si>
    <t>LIMPEZA DESOBSTRUÇÃO DE VASO SANITÁRIO</t>
  </si>
  <si>
    <t>D310</t>
  </si>
  <si>
    <t>TROCA DE REDE DE ESGOTO</t>
  </si>
  <si>
    <t>TROCA DE FORROS MINERAL</t>
  </si>
  <si>
    <t>D316</t>
  </si>
  <si>
    <t>D317</t>
  </si>
  <si>
    <t>JUN</t>
  </si>
  <si>
    <t>D193</t>
  </si>
  <si>
    <t>TROCA DE CHAPA INFERIOR DE ABRIGO DE EXTINTORES</t>
  </si>
  <si>
    <t>TROCA DE TRILHO DA PORTA DE METAL ABRIGO DE EXTINTORES</t>
  </si>
  <si>
    <t>TRATAMENTO E PINTURA EM CHAPA DE METAL DOS ABRIGO DE EXTINTORES</t>
  </si>
  <si>
    <t>SUBSTITUIÇÃO DE ROLAMENTO DAS PORTAS DE METAL ABRIGO DE EXTINTORES</t>
  </si>
  <si>
    <t>D230</t>
  </si>
  <si>
    <t>MANUTENÇÃO DE REATORES E LÂMPADAS DE SUPER POSTES</t>
  </si>
  <si>
    <t>D233</t>
  </si>
  <si>
    <t>LIMPEZA E REAPERTO DAS CONEXÕES DE ENTRADA DE ENERGIA</t>
  </si>
  <si>
    <t>LIMPEZA DOS BARRAMENTOS QUADRO DE ENREGIA GERAL</t>
  </si>
  <si>
    <t>D280</t>
  </si>
  <si>
    <t>TROCA DE MICTÓRIO</t>
  </si>
  <si>
    <t>D283</t>
  </si>
  <si>
    <t>SUBSTITUÍDA TELHA DANIFICADA PELO VENTO</t>
  </si>
  <si>
    <t>D300</t>
  </si>
  <si>
    <t>PINTURA EM ALVENARIA</t>
  </si>
  <si>
    <t>D309</t>
  </si>
  <si>
    <t>INSTALAÇÃO DE REDE HIDRÁULICA PARA BEBEDOURO</t>
  </si>
  <si>
    <t>D318</t>
  </si>
  <si>
    <t>REPARO EM VAZAMENTO DE BACIA SANITARIA</t>
  </si>
  <si>
    <t>D321</t>
  </si>
  <si>
    <t>SUBSTITUIÇÃO DO TUBO DE ESGOTO NA PIA DE CUSTÓDIA</t>
  </si>
  <si>
    <t>INSTALAÇÃO DE VÁLVULA NA PIA DA CUSTODIA</t>
  </si>
  <si>
    <t>D322</t>
  </si>
  <si>
    <t>TESTES E CORREÇÃO NA FALHA DO ALARME</t>
  </si>
  <si>
    <t>D323</t>
  </si>
  <si>
    <t>CORREÇÃO NO FORRO DE GESSO</t>
  </si>
  <si>
    <t>ESTRUTURA DE ANDAIME</t>
  </si>
  <si>
    <t>D325</t>
  </si>
  <si>
    <t>TROCA DE INTERRUPTOR</t>
  </si>
  <si>
    <t>D326</t>
  </si>
  <si>
    <t>TROCA DE MAÇANETA DA PORTA</t>
  </si>
  <si>
    <t>D327</t>
  </si>
  <si>
    <t>D330</t>
  </si>
  <si>
    <t>REVITALIZAÇÃ E PINTURA DOS PILARES DO ESTACIONAMENTO</t>
  </si>
  <si>
    <t>D331</t>
  </si>
  <si>
    <t>TROCA DE REFLETOR</t>
  </si>
  <si>
    <t>D332</t>
  </si>
  <si>
    <t>D335</t>
  </si>
  <si>
    <t>D338</t>
  </si>
  <si>
    <t>D340</t>
  </si>
  <si>
    <t>D342</t>
  </si>
  <si>
    <t>-</t>
  </si>
  <si>
    <t>D343</t>
  </si>
  <si>
    <t>IDENTIFICAÇÃO E CORREÇÃO DE VAZAMENTO</t>
  </si>
  <si>
    <t>D344</t>
  </si>
  <si>
    <t>TROCA DE LÂMPADA</t>
  </si>
  <si>
    <t>D346</t>
  </si>
  <si>
    <t>REMOÇÃO DE DIVISÓRIAS DE SALA</t>
  </si>
  <si>
    <t>D360</t>
  </si>
  <si>
    <t>SUBSTITUIÇÃO DE LÂMPADA TUBULAR LED DE 20W</t>
  </si>
  <si>
    <t>TROCA DE PLACA DE FORRO</t>
  </si>
  <si>
    <t>D364</t>
  </si>
  <si>
    <t>TROCA DE LÂMPADA COMPACTA LED DE 15W</t>
  </si>
  <si>
    <t>D365</t>
  </si>
  <si>
    <t>TROCA DE CHUVEIRO</t>
  </si>
  <si>
    <t>D369</t>
  </si>
  <si>
    <t>D370</t>
  </si>
  <si>
    <t>D374</t>
  </si>
  <si>
    <t>D376</t>
  </si>
  <si>
    <t>SUBSTITUIÇÃO DE KIT DE FECHADURA</t>
  </si>
  <si>
    <t>D378</t>
  </si>
  <si>
    <t>JUL</t>
  </si>
  <si>
    <t>D264</t>
  </si>
  <si>
    <t>REALOCAÇÃO DE PORTA</t>
  </si>
  <si>
    <t>MONTAGEM DE DIVISÓRIA EM SALA</t>
  </si>
  <si>
    <t>D297</t>
  </si>
  <si>
    <t>INSTALAÇÃO DE CONTATORA</t>
  </si>
  <si>
    <t>INSTALAÇÃO DE REDE FOTOCÉLULA PARA AUTOMATIZAÇÃO DE LUMINÁRIA</t>
  </si>
  <si>
    <t>D303</t>
  </si>
  <si>
    <t>TROCA DE TOMADA 2F + T</t>
  </si>
  <si>
    <t>TROCA DE TOMADA RJ 45</t>
  </si>
  <si>
    <t>MONTAGEM DE INTERRUPTOR</t>
  </si>
  <si>
    <t>D337</t>
  </si>
  <si>
    <t>TRATAMENTO DE TRINCA COM MANTA LIQUÍDA PU 46 E FITA AUTO ADESIVA MULTIUSO</t>
  </si>
  <si>
    <t>D348</t>
  </si>
  <si>
    <t>MANUTENÇÃO DE PAINEL ELÉTRICO</t>
  </si>
  <si>
    <t>TROCA DE DISJUNTORES E CHAVES</t>
  </si>
  <si>
    <t>LIMPEZA E TESTE DO BARRAMENTO</t>
  </si>
  <si>
    <t>REAPERTO E TESTE DE CONEXÕES ELÉTRICAS</t>
  </si>
  <si>
    <t>D355</t>
  </si>
  <si>
    <t>READEQUAÇÃO DE CAIXA DA CALÇADA</t>
  </si>
  <si>
    <t>TROCA DE REGISTROS COM VAZAMENTO</t>
  </si>
  <si>
    <t>TESTE DE VAZAMENTO</t>
  </si>
  <si>
    <t>D366</t>
  </si>
  <si>
    <t>LANÇAMENTO DE CABOS DE 4MM</t>
  </si>
  <si>
    <t>CRIAÇÃO DE PONTO 220V</t>
  </si>
  <si>
    <t>D379</t>
  </si>
  <si>
    <t>TROCA DE LÂMPADA LED TUBULAR DE 18W</t>
  </si>
  <si>
    <t>D380</t>
  </si>
  <si>
    <t>D381</t>
  </si>
  <si>
    <t>TRATAMENTO DO PONTO DE INFILTRAÇÃO COM MANTA ASFÁLTICA</t>
  </si>
  <si>
    <t>D382</t>
  </si>
  <si>
    <t>MONTAGEM E FIXAÇÃO DE LIXEIRAS</t>
  </si>
  <si>
    <t>D421</t>
  </si>
  <si>
    <t>INSTALAÇÃO DE LUMINÁRIA 2 X 20W</t>
  </si>
  <si>
    <t>INSTALAÇÃO DE LÂMPADA TUBULAR LED DE 18W</t>
  </si>
  <si>
    <t>D424</t>
  </si>
  <si>
    <t>D433</t>
  </si>
  <si>
    <t>TROCA DE LÂMPADA VAPOR DE SÓDIO DE 150W</t>
  </si>
  <si>
    <t>TROCA DE REATOR VAPOR DE SÓDIO DE 150W</t>
  </si>
  <si>
    <t>INSTALAÇÃO DE RELÊ FOTOCÉLULA AUTOMATIZAÇÃO DE LUMINÁRIAS (RELES COM BASE)</t>
  </si>
  <si>
    <t>D437</t>
  </si>
  <si>
    <t>D438</t>
  </si>
  <si>
    <t>INSTALAÇÃO DE PIA DE COZINHA</t>
  </si>
  <si>
    <t>D440</t>
  </si>
  <si>
    <t>READEQUAÇÃO DE CIRCUITO ELÉTRICO COM CANALETAS DE PVC</t>
  </si>
  <si>
    <t>D443</t>
  </si>
  <si>
    <t>TROCA DE VÁLVULA DE RETENÇÃO DAS BOMBAS DE INCÊNDIO</t>
  </si>
  <si>
    <t>D444</t>
  </si>
  <si>
    <t>INSTALAÇÃO DE FECHADURA BIOMÉTRICA</t>
  </si>
  <si>
    <t>D453</t>
  </si>
  <si>
    <t>DESMOBILIZAÇÃO DA ESTAÇÃO DE TRABALHO</t>
  </si>
  <si>
    <t>D455</t>
  </si>
  <si>
    <t>TROCA DE REPARO DAS VÁLVULAS</t>
  </si>
  <si>
    <t>D458</t>
  </si>
  <si>
    <t>D461</t>
  </si>
  <si>
    <t>D462</t>
  </si>
  <si>
    <t>D463</t>
  </si>
  <si>
    <t>SUBSTITUIÇÃO DE BATERIA DE 12V</t>
  </si>
  <si>
    <t>D465</t>
  </si>
  <si>
    <t>TROCA DE REGISTRO REGULAR DE GÁS</t>
  </si>
  <si>
    <t>D466</t>
  </si>
  <si>
    <t>SUBSTITUIÇÃO DE PLAC A DE FORRO</t>
  </si>
  <si>
    <t>D468</t>
  </si>
  <si>
    <t>SUBSTITUIÇÃO DE BANDEIRAS</t>
  </si>
  <si>
    <t>D469</t>
  </si>
  <si>
    <t>SUBSTITUIÇÃO DE PLUGUE 20A</t>
  </si>
  <si>
    <t>D470</t>
  </si>
  <si>
    <t>TROCA DE BOIA CHAVE DE NÍVEL</t>
  </si>
  <si>
    <t>D471</t>
  </si>
  <si>
    <t>D472</t>
  </si>
  <si>
    <t>VERIFICAÇÃO DE VAZAMENTO NOS VASOS OU REDE DE ESGOTO DO BANHEIRO</t>
  </si>
  <si>
    <t>D473</t>
  </si>
  <si>
    <t>DESOBSTRUÇÃO DE VASO</t>
  </si>
  <si>
    <t>D475</t>
  </si>
  <si>
    <t>D476</t>
  </si>
  <si>
    <t>D477</t>
  </si>
  <si>
    <t>D481</t>
  </si>
  <si>
    <t>TROCA DE CAPACITOR DA PLACA ELETRÔNICA DO PORTÃO</t>
  </si>
  <si>
    <t>D483</t>
  </si>
  <si>
    <t>D484</t>
  </si>
  <si>
    <t>REAPERTO E RECONEXÃO DE FIOS DE TOMADA</t>
  </si>
  <si>
    <t>D485</t>
  </si>
  <si>
    <t>AGO</t>
  </si>
  <si>
    <t>D328</t>
  </si>
  <si>
    <t>REVITALIZAÇÃO E PINTURA DE ESTRUTRAS METÁLICAS ACESSO HELIPONTO</t>
  </si>
  <si>
    <t>D357</t>
  </si>
  <si>
    <t>TROCA FECAHDURA</t>
  </si>
  <si>
    <t>D425</t>
  </si>
  <si>
    <t>SUBSTITUIÇÃO LUMINÁRIAS VAPOR DE SÓDIO 200W POR LED 40W</t>
  </si>
  <si>
    <t>D482</t>
  </si>
  <si>
    <t>TROCA TORNEIRA</t>
  </si>
  <si>
    <t>D486</t>
  </si>
  <si>
    <t>MUDANÇA DE LOCAL DE CANALETA DE ENERGIA</t>
  </si>
  <si>
    <t>D489</t>
  </si>
  <si>
    <t>PONTO DE ENERGIA</t>
  </si>
  <si>
    <t>D490</t>
  </si>
  <si>
    <t>TROCA PLACA DE COMANDO PORTÃO</t>
  </si>
  <si>
    <t>D491</t>
  </si>
  <si>
    <t>LIMPEZA DE FOSSA SEPTCA</t>
  </si>
  <si>
    <t>D493</t>
  </si>
  <si>
    <t>D494</t>
  </si>
  <si>
    <t>TROCA FECHADURA</t>
  </si>
  <si>
    <t>D496</t>
  </si>
  <si>
    <t>PASSAGEM CABO DE REDE</t>
  </si>
  <si>
    <t>D503</t>
  </si>
  <si>
    <t>TAMPA CAIXA DE INSPEÇÃO</t>
  </si>
  <si>
    <t>D506</t>
  </si>
  <si>
    <t>TROCA VÁLVULA</t>
  </si>
  <si>
    <t>D507</t>
  </si>
  <si>
    <t>MANUTENÇÃO PORTÃO ELETRÕNICO</t>
  </si>
  <si>
    <t>D509</t>
  </si>
  <si>
    <t>DESENTUPIR MICTÓRIO</t>
  </si>
  <si>
    <t>D511</t>
  </si>
  <si>
    <t>TROCA MOTOR PORTÃO ELETRÔNICO</t>
  </si>
  <si>
    <t>D512</t>
  </si>
  <si>
    <t>MANUTENÇÃ BATENTE DE PORTA</t>
  </si>
  <si>
    <t>D513</t>
  </si>
  <si>
    <t>D514</t>
  </si>
  <si>
    <t>TROCA DISJUNTOR 100 A</t>
  </si>
  <si>
    <t>D515</t>
  </si>
  <si>
    <t>D516</t>
  </si>
  <si>
    <t>PINTURA AMARELA CHÃO</t>
  </si>
  <si>
    <t>D517</t>
  </si>
  <si>
    <t>MANUTENÇÃO CERCA ELÉTRICA</t>
  </si>
  <si>
    <t>D520</t>
  </si>
  <si>
    <t>MONTAGEM LIXEIRAS</t>
  </si>
  <si>
    <t>D521</t>
  </si>
  <si>
    <t>ABASTECIMENTO DIESLE GERADOR 50L</t>
  </si>
  <si>
    <t>D522</t>
  </si>
  <si>
    <t>PASSAGEM DE CABO DE REDE</t>
  </si>
  <si>
    <t>D524</t>
  </si>
  <si>
    <t>D525</t>
  </si>
  <si>
    <t>TROCA DE ESPELHO 30X30</t>
  </si>
  <si>
    <t>D526</t>
  </si>
  <si>
    <t>PINTURA EM TUBO DE METAL</t>
  </si>
  <si>
    <t>D527</t>
  </si>
  <si>
    <t>D528</t>
  </si>
  <si>
    <t>REPARO VALVULA DE DESCARGA</t>
  </si>
  <si>
    <t>D529</t>
  </si>
  <si>
    <t>D530</t>
  </si>
  <si>
    <t>D531</t>
  </si>
  <si>
    <t>TROCA CHUVEIRO</t>
  </si>
  <si>
    <t>D534</t>
  </si>
  <si>
    <t>PINTURA EM CANO</t>
  </si>
  <si>
    <t>D535</t>
  </si>
  <si>
    <t>INSTALAÇÃO SUPORTE DE TV</t>
  </si>
  <si>
    <t>D536</t>
  </si>
  <si>
    <t>D537</t>
  </si>
  <si>
    <t>INSTALAÇÃO LUMINÁRIA</t>
  </si>
  <si>
    <t>SET</t>
  </si>
  <si>
    <t>D350</t>
  </si>
  <si>
    <t>TESTE SPRINKERS</t>
  </si>
  <si>
    <t>D351</t>
  </si>
  <si>
    <t>TESTE HIDRANTES</t>
  </si>
  <si>
    <t>D352</t>
  </si>
  <si>
    <t>TESTE ALARME DE INCENDIO</t>
  </si>
  <si>
    <t>D354</t>
  </si>
  <si>
    <t>TESTE CMAR - ACABAMENTOS E REVESTIMENTOS</t>
  </si>
  <si>
    <t xml:space="preserve">D356 </t>
  </si>
  <si>
    <t>INSTALAÇÃO CORRIMÃO 6 MTS COM 6 HASTES FIXAÇÃO</t>
  </si>
  <si>
    <t>D358</t>
  </si>
  <si>
    <t>READEQUAR ALTURA CORRIMÃO MEZANINO</t>
  </si>
  <si>
    <t>D367</t>
  </si>
  <si>
    <t>PINTURA 3TAMPAS CISTERNA</t>
  </si>
  <si>
    <t>D383</t>
  </si>
  <si>
    <t>INSTALAÇÃO INTERFONE</t>
  </si>
  <si>
    <t>D459</t>
  </si>
  <si>
    <t>ESCADA MARINHEIRO 2MTS</t>
  </si>
  <si>
    <t>D467</t>
  </si>
  <si>
    <t>INSTALAÇÃO PUXADORES DE ARMÁRIO</t>
  </si>
  <si>
    <t>D510</t>
  </si>
  <si>
    <t>TROCA REFLETORES LED 10W</t>
  </si>
  <si>
    <t>D518</t>
  </si>
  <si>
    <t>TRATAMENTO DE FISSURAS EM LAJE PLATIBANDA</t>
  </si>
  <si>
    <t>APLICAÇÃO DE MANTA IMP EM LAJES</t>
  </si>
  <si>
    <t>LIMPEZA DE CAIXA D'AGUA</t>
  </si>
  <si>
    <t>D523</t>
  </si>
  <si>
    <t>D541</t>
  </si>
  <si>
    <t>MONTAGEM E DESMONTAGEM DE MESA</t>
  </si>
  <si>
    <t>D543</t>
  </si>
  <si>
    <t>TROCA DE LAMPADA LED TUBULAR</t>
  </si>
  <si>
    <t>D544</t>
  </si>
  <si>
    <t>FIXAÇÃO DE PLACA</t>
  </si>
  <si>
    <t>D545</t>
  </si>
  <si>
    <t>LIMPEZA DE DUTOS E CAIXAS DE ESGOTO</t>
  </si>
  <si>
    <t>D546</t>
  </si>
  <si>
    <t>PINTURA DE PORTÕES DE METAL</t>
  </si>
  <si>
    <t>D548</t>
  </si>
  <si>
    <t>D550</t>
  </si>
  <si>
    <t>PINTURA DE PAREDE ALVENARIA</t>
  </si>
  <si>
    <t>D551</t>
  </si>
  <si>
    <t>INSTALAÇÃO DE SUPORTE</t>
  </si>
  <si>
    <t>D552</t>
  </si>
  <si>
    <t>SUBSTITUIÇÃO DE LUMINÁRIA</t>
  </si>
  <si>
    <t>D553</t>
  </si>
  <si>
    <t>PINTURA EM GRADE METALICO</t>
  </si>
  <si>
    <t>D554</t>
  </si>
  <si>
    <t>INSTALAÇÃO DE SUPORTE DE TV</t>
  </si>
  <si>
    <t>D556</t>
  </si>
  <si>
    <t>INSTALAÇÃO TOMADA</t>
  </si>
  <si>
    <t>D558</t>
  </si>
  <si>
    <t>COLOCAÇÃO DE EXTENSÃO ELÉTRICA</t>
  </si>
  <si>
    <t>INSTALAÇÃO 4 TOMADAS</t>
  </si>
  <si>
    <t>D559</t>
  </si>
  <si>
    <t>INSTALAÇÃO DE 3 TOMADAS</t>
  </si>
  <si>
    <t>D562</t>
  </si>
  <si>
    <t>TROCA PLACA DE FORRO MINERAL</t>
  </si>
  <si>
    <t>D564</t>
  </si>
  <si>
    <t>LIMPEZA CAIXA DE GORDURA 80X120</t>
  </si>
  <si>
    <t>D565</t>
  </si>
  <si>
    <t>D567</t>
  </si>
  <si>
    <t>INSTALAÇÃO DE CHUVEIRO</t>
  </si>
  <si>
    <t>D568</t>
  </si>
  <si>
    <t>RETIRADA PAREDE DE DRYWALL</t>
  </si>
  <si>
    <t>D569</t>
  </si>
  <si>
    <t>TROCA DE REFLETOR 100W</t>
  </si>
  <si>
    <t>D571</t>
  </si>
  <si>
    <t>OUT</t>
  </si>
  <si>
    <t>D441</t>
  </si>
  <si>
    <t>PASSAGEM CABO FLEXIVEL 1 KV 1X50MM</t>
  </si>
  <si>
    <t>D501</t>
  </si>
  <si>
    <t>COMPRA E INSTALAÇÃO DE ESPELHO CONVEXO 50CM</t>
  </si>
  <si>
    <t>D573</t>
  </si>
  <si>
    <t>COMPRA E INSTALAÇÃO DE PORTA DE ALUMINIO</t>
  </si>
  <si>
    <t>D574</t>
  </si>
  <si>
    <t>LIMPEZA DA CAIXA D'AGUÁ</t>
  </si>
  <si>
    <t>TORNEIRA BOIA</t>
  </si>
  <si>
    <t>D576</t>
  </si>
  <si>
    <t>LAMPADA LED 20W</t>
  </si>
  <si>
    <t>D577</t>
  </si>
  <si>
    <t>TOMADA 20A</t>
  </si>
  <si>
    <t>D580</t>
  </si>
  <si>
    <t>LIMPEZA DE CISTERNA</t>
  </si>
  <si>
    <t>D582</t>
  </si>
  <si>
    <t>DIVISÓRIAS DE MICTÓRIOS</t>
  </si>
  <si>
    <t>D583</t>
  </si>
  <si>
    <t>LAMPADA LED 15W</t>
  </si>
  <si>
    <t>D584</t>
  </si>
  <si>
    <t>OLÉO DIESEL COMBUSTIVEL</t>
  </si>
  <si>
    <t>D585</t>
  </si>
  <si>
    <t>LIMPEZA/DESOBSTRUÇÃO PIA</t>
  </si>
  <si>
    <t>D586</t>
  </si>
  <si>
    <t>LUBRIFICAÇÃO DE ENGRENAGENS DO PORTÃO</t>
  </si>
  <si>
    <t>D588</t>
  </si>
  <si>
    <t>INSTALAÇÃO DE FECHADURAS</t>
  </si>
  <si>
    <t>D589</t>
  </si>
  <si>
    <t>D590</t>
  </si>
  <si>
    <t>SUBSTITUIÇÃO DE TORNEIRA</t>
  </si>
  <si>
    <t>SUBSTITUIÇÃO DE SIFÃO DA PIA</t>
  </si>
  <si>
    <t>D592</t>
  </si>
  <si>
    <t>INSTALAÇÃO DE CANOPLAS E CRUZETAS</t>
  </si>
  <si>
    <t>D594</t>
  </si>
  <si>
    <t>SUBSTITUIÇÃO VÁLVULAS DE MICTÓRIOS</t>
  </si>
  <si>
    <t>D595</t>
  </si>
  <si>
    <t>TRATAMENTO E PINTURA DAS PORTAS</t>
  </si>
  <si>
    <t>TRATAMENTO EM TODAS AS TELAS</t>
  </si>
  <si>
    <t>PINTURA NAS PAREDES NAS PAREDES E PISO</t>
  </si>
  <si>
    <t xml:space="preserve">D598 </t>
  </si>
  <si>
    <t>CABO CAT6</t>
  </si>
  <si>
    <t>LIMPEZA DOS RESERVATÓRIOS</t>
  </si>
  <si>
    <t>D601</t>
  </si>
  <si>
    <t>CABO FLEXIVEL 4MM</t>
  </si>
  <si>
    <t>DIJUNTOR 25A</t>
  </si>
  <si>
    <t>D602</t>
  </si>
  <si>
    <t>LAMPADA DE LED 20W</t>
  </si>
  <si>
    <t>D604</t>
  </si>
  <si>
    <t>REPAROS MICTÓRIO</t>
  </si>
  <si>
    <t>ASSENTO VASO SANITÁRIO</t>
  </si>
  <si>
    <t>TROCA DE REGISTRO ESFERA 25MM</t>
  </si>
  <si>
    <t>D610</t>
  </si>
  <si>
    <t>LAMAPADAS LED 20W</t>
  </si>
  <si>
    <t>D611</t>
  </si>
  <si>
    <t>SABONETEIRA</t>
  </si>
  <si>
    <t>D612</t>
  </si>
  <si>
    <t>LAMPADAS LED 20W</t>
  </si>
  <si>
    <t>D613</t>
  </si>
  <si>
    <t>TORNEIRA JARDIM</t>
  </si>
  <si>
    <t>D614</t>
  </si>
  <si>
    <t>D615</t>
  </si>
  <si>
    <t>D616</t>
  </si>
  <si>
    <t>TORNEIRA</t>
  </si>
  <si>
    <t>D618</t>
  </si>
  <si>
    <t>LAMAPADA LED 20W</t>
  </si>
  <si>
    <t>D619</t>
  </si>
  <si>
    <t>PINTURA</t>
  </si>
  <si>
    <t>NOV</t>
  </si>
  <si>
    <t>D542</t>
  </si>
  <si>
    <t>PREJETORES LED 400W</t>
  </si>
  <si>
    <t>D560</t>
  </si>
  <si>
    <t>FIXAR PLACA</t>
  </si>
  <si>
    <t>D572</t>
  </si>
  <si>
    <t>BANCO DE CONCRETO</t>
  </si>
  <si>
    <t>D575</t>
  </si>
  <si>
    <t>ESCADAS METÁLICAS</t>
  </si>
  <si>
    <t>D593</t>
  </si>
  <si>
    <t>VIDRO</t>
  </si>
  <si>
    <t>D605</t>
  </si>
  <si>
    <t>REFORMA MASTRO</t>
  </si>
  <si>
    <t>D607</t>
  </si>
  <si>
    <t>VAZAMENTO COBERTURA</t>
  </si>
  <si>
    <t>VIDRO TRANSPARENTE</t>
  </si>
  <si>
    <t>D608</t>
  </si>
  <si>
    <t>BOX DE BANHEIRO</t>
  </si>
  <si>
    <t>CHUVEIRO ELÉTRICO</t>
  </si>
  <si>
    <t>D620</t>
  </si>
  <si>
    <t>D623</t>
  </si>
  <si>
    <t>INTERRUPTOR</t>
  </si>
  <si>
    <t>D624</t>
  </si>
  <si>
    <t>D625</t>
  </si>
  <si>
    <t>PINTURA PAREDES INTERNAS E PISO</t>
  </si>
  <si>
    <t>D626</t>
  </si>
  <si>
    <t>TROCA CABO DE REDE</t>
  </si>
  <si>
    <t>D627</t>
  </si>
  <si>
    <t>LIMPEZA DE FOSSAS</t>
  </si>
  <si>
    <t>D629</t>
  </si>
  <si>
    <t>REFLETOR LED 100W</t>
  </si>
  <si>
    <t>LAMPADAS LED 15W</t>
  </si>
  <si>
    <t>D631</t>
  </si>
  <si>
    <t>ADPTAÇÃO NOS CABOS DE REDE E ELÉTRICA</t>
  </si>
  <si>
    <t>D632</t>
  </si>
  <si>
    <t>INSTALAÇÃO DE PERSIANAS</t>
  </si>
  <si>
    <t>D633</t>
  </si>
  <si>
    <t>INSTALAÇÃO E FIXAÇÃO DE TELEVISÃO</t>
  </si>
  <si>
    <t>D636</t>
  </si>
  <si>
    <t>TROCA DE SIFÃO DE PIA</t>
  </si>
  <si>
    <t>D637</t>
  </si>
  <si>
    <t>ESCADA DE ACESSO CONTÊINER</t>
  </si>
  <si>
    <t>D638</t>
  </si>
  <si>
    <t>VAZAMENTO NA FLANGE DA VÁLVULA DA BOMBA DE INCÊNDIO</t>
  </si>
  <si>
    <t>D639</t>
  </si>
  <si>
    <t>TROCA CABO DE REDE CAT6</t>
  </si>
  <si>
    <t>D640</t>
  </si>
  <si>
    <t>LAMPADAS DE LED 20W</t>
  </si>
  <si>
    <t>D647</t>
  </si>
  <si>
    <t>VALVULA DE DESCARGA</t>
  </si>
  <si>
    <t>D648</t>
  </si>
  <si>
    <t>DESOBSTRUÇÃO DO VASO SANITÁRIO</t>
  </si>
  <si>
    <t>D650</t>
  </si>
  <si>
    <t>DIJUNTOR MONOFÁSICO 25A</t>
  </si>
  <si>
    <t>DEZ</t>
  </si>
  <si>
    <t>D628</t>
  </si>
  <si>
    <t>TROCA DE VIDRO</t>
  </si>
  <si>
    <t>D634</t>
  </si>
  <si>
    <t>TROCA DE RELE</t>
  </si>
  <si>
    <t>TROCA DE FUSÍVEL NH</t>
  </si>
  <si>
    <t>D635</t>
  </si>
  <si>
    <t>INSPEÇÃO NO SPDA</t>
  </si>
  <si>
    <t>D642</t>
  </si>
  <si>
    <t>FABRICAÇÃO DE TAMPA DE CONCRETO DE 64 X 66 CM</t>
  </si>
  <si>
    <t>D646</t>
  </si>
  <si>
    <t>TROCA DE LUMINÁRIA</t>
  </si>
  <si>
    <t>D651</t>
  </si>
  <si>
    <t>LANÇAMENTO DE CABOS DE REDE</t>
  </si>
  <si>
    <t>D652</t>
  </si>
  <si>
    <t>TAMPONAMENTO EM FORRO DE GESSO</t>
  </si>
  <si>
    <t>ACABAMENTO E DEMÃO DE PINTURA</t>
  </si>
  <si>
    <t>D653</t>
  </si>
  <si>
    <t>TRATAMENTO COM MASSA CORRIDA E PINTURA LOCAL</t>
  </si>
  <si>
    <t>D654</t>
  </si>
  <si>
    <t>TROCA DE CABOS ALIMENTADORES (35MM) POR CABOS DE (50MM²)</t>
  </si>
  <si>
    <t>D655</t>
  </si>
  <si>
    <t>TROCA DE PLACA ELETRÔNICA</t>
  </si>
  <si>
    <t>D657</t>
  </si>
  <si>
    <t>LIMPEZA DOS SISTEMAS DE CALHAS</t>
  </si>
  <si>
    <t>APLICAÇÃO DE PU NOS PONTOS DE INFILTRAÇÃO COMO CHUMBADORES DE FIXAÇÃO DO AR CONDICIONADO</t>
  </si>
  <si>
    <t>D658</t>
  </si>
  <si>
    <t>SUPORTE PARA PAPEL HIGIÊNICO</t>
  </si>
  <si>
    <t>INSTALAÇÃO DE VIDRO INCOLOR EM BANCADA DE APOIO</t>
  </si>
  <si>
    <t>D659</t>
  </si>
  <si>
    <t>INSTALAÇÃO DE TOMADA</t>
  </si>
  <si>
    <t>D660</t>
  </si>
  <si>
    <t>TROCA DA PLACA ELETRÔNICA DO PORTÃO</t>
  </si>
  <si>
    <t>ATERRAMENTO DO MOTOR</t>
  </si>
  <si>
    <t>D664</t>
  </si>
  <si>
    <t>SUBSTITUIÇÃO DE FECHADURA</t>
  </si>
  <si>
    <t>D665</t>
  </si>
  <si>
    <t>CONTRATAÇÃO DE EQUIPE PARA VERIFICAÇÃO ATRAVÉS DE TERROMETRO PARA VERIFICAR FALHAS NO SPDA</t>
  </si>
  <si>
    <t>D666</t>
  </si>
  <si>
    <t>REMOÇÃO DE TUBOS DE AÇO GALVANIZADO</t>
  </si>
  <si>
    <t>INSTALAÇÃO DE TUBOS PPR EM RESERVATÓRIO DE ÁGUA</t>
  </si>
  <si>
    <t>LIMPEZA DE RESERVATÓRIO DE ÁGUA</t>
  </si>
  <si>
    <t>ABASTECIMENTO DE RESERVATÓRIO DE ÁGUA</t>
  </si>
  <si>
    <t>D667</t>
  </si>
  <si>
    <t>ATERRAMENTO DE MOTOR DE PORTÃO</t>
  </si>
  <si>
    <t>D670</t>
  </si>
  <si>
    <t>FIXAÇÃO DE TELA AO REDOR DA FOSSA PARA PROTEÇÃO DO MEIO AMBIENTE, EVITANDO ENTRADA DE INSETOS</t>
  </si>
  <si>
    <t>D671</t>
  </si>
  <si>
    <t>D672</t>
  </si>
  <si>
    <t>VERIFICAÇÃO DE QUADROS ELÉTRICOS</t>
  </si>
  <si>
    <t>D674</t>
  </si>
  <si>
    <t>D677</t>
  </si>
  <si>
    <t>ATERRAMENTO DE ANTENA</t>
  </si>
  <si>
    <t>ATERRAMENTO NO MASTRO DA BIRUTA</t>
  </si>
  <si>
    <t>REMOÇÃO DE SUPORTE DE ANTENA</t>
  </si>
  <si>
    <t>TROCA DE HASTES DO SPDA</t>
  </si>
  <si>
    <t>D679</t>
  </si>
  <si>
    <t>INSTALAÇÃO DE TOMADA PARA FORNO E MICROONDAS</t>
  </si>
  <si>
    <t>D680</t>
  </si>
  <si>
    <t>SUBSTITUIÇÃO DE VÁLVULA DA REDE DRENAGEM DA REDE DE HIDRANTES</t>
  </si>
  <si>
    <t>D681</t>
  </si>
  <si>
    <t>DESOBSTRUÇÃO DE CALHAS</t>
  </si>
  <si>
    <t>D682</t>
  </si>
  <si>
    <t>SUBSTITUIÇÃO DE LÂMPADA QUEIMADA</t>
  </si>
  <si>
    <t>D683</t>
  </si>
  <si>
    <t>DESOBSTRUÇÃO DE VASO SANITÁRIO</t>
  </si>
  <si>
    <t>D684</t>
  </si>
  <si>
    <t>TROCA DE PLACA ELETRÔNICA DO PORTÃO</t>
  </si>
  <si>
    <t>D686</t>
  </si>
  <si>
    <t>SUBSTITUIÇÃO DE LÂMPADA LED DE 20W</t>
  </si>
  <si>
    <t>D688</t>
  </si>
  <si>
    <t>JAN</t>
  </si>
  <si>
    <t>D265</t>
  </si>
  <si>
    <t>MODIFICAÇÃO DE LAYOUT DE SALA</t>
  </si>
  <si>
    <t>D295</t>
  </si>
  <si>
    <t>MOLAS DE FECHAMENTO DE PORTA</t>
  </si>
  <si>
    <t>D579</t>
  </si>
  <si>
    <t>PASTILHAS DA FACHADA</t>
  </si>
  <si>
    <t>D617</t>
  </si>
  <si>
    <t>PINTURA NO MURO</t>
  </si>
  <si>
    <t>FIXAÇÃO DE PLACA INFORMATIVA</t>
  </si>
  <si>
    <t>D673</t>
  </si>
  <si>
    <t>LUMINARIA DE EMERGÊNCIA</t>
  </si>
  <si>
    <t>D675</t>
  </si>
  <si>
    <t>D676</t>
  </si>
  <si>
    <t>D685</t>
  </si>
  <si>
    <t>SUBSTITUIÇÃO DE MANGUEIRA DE AR</t>
  </si>
  <si>
    <t>SUBSTITUIÇÃO DO CALIBRADOR DE PNEU</t>
  </si>
  <si>
    <t>D698</t>
  </si>
  <si>
    <t>INSTALAÇÃO DE VENTILADOR</t>
  </si>
  <si>
    <t>D691</t>
  </si>
  <si>
    <t>SUBSTITUIÇÃO DA TORNEIRA</t>
  </si>
  <si>
    <t>D692</t>
  </si>
  <si>
    <t>D693</t>
  </si>
  <si>
    <t>LÂMPADAS DE LED 20W</t>
  </si>
  <si>
    <t>D694</t>
  </si>
  <si>
    <t>APLICAÇÃO DE MASSA EXPANSIVA PU</t>
  </si>
  <si>
    <t>D696</t>
  </si>
  <si>
    <t>APLICAÇÃO DE PU 36, NAS CALHAS E RUFOS</t>
  </si>
  <si>
    <t>D697</t>
  </si>
  <si>
    <t>FECHADURA PORTA DE EMERGÊNCIA</t>
  </si>
  <si>
    <t>D701</t>
  </si>
  <si>
    <t>SUBSTITUIÇÃO DE BOTUEIRA</t>
  </si>
  <si>
    <t>D702</t>
  </si>
  <si>
    <t>LAMPADA TUBULAR DE LED 20W</t>
  </si>
  <si>
    <t>D703</t>
  </si>
  <si>
    <t>CAIXA DE AÇO GALVANIZADO</t>
  </si>
  <si>
    <t>INSTALAÇÃO DE COMANDO ELÉTRICO</t>
  </si>
  <si>
    <t>D704</t>
  </si>
  <si>
    <t>VIDRO NA JANELA</t>
  </si>
  <si>
    <t>D707</t>
  </si>
  <si>
    <t>SUBSTITUIÇÃO REFLETOR LED 100W 6500</t>
  </si>
  <si>
    <t>D708</t>
  </si>
  <si>
    <t>TEXTURIZAÇÃO E PINTURA DAS MURETAS</t>
  </si>
  <si>
    <t>D709</t>
  </si>
  <si>
    <t>SUBSTITUIÇÃO DE CABOS DE INTERNET</t>
  </si>
  <si>
    <t>D710</t>
  </si>
  <si>
    <t>TROCA DE KIT CAIXA ACOPLADA</t>
  </si>
  <si>
    <t>D711</t>
  </si>
  <si>
    <t>REPARO NAS CORTINAS PERSIANA</t>
  </si>
  <si>
    <t>D714</t>
  </si>
  <si>
    <t>LUMINÁRIAS VAPOR 400W</t>
  </si>
  <si>
    <t>LUMINARIA DE LED 96W</t>
  </si>
  <si>
    <t>RELÉ FOTOELÉTRICO</t>
  </si>
  <si>
    <t>D717</t>
  </si>
  <si>
    <t>APLICADO PU NAS RACHADURAS E TRICAS ARÉA EXTERNA</t>
  </si>
  <si>
    <t>D720</t>
  </si>
  <si>
    <t>LÂMPADA TUBULAR LED 20</t>
  </si>
  <si>
    <t>D721</t>
  </si>
  <si>
    <t>TROCA CHUVEIRO ELÉTRICO 220V</t>
  </si>
  <si>
    <t>TROCA DE UMA BUCHA HIGIÊNICA CROMADA</t>
  </si>
  <si>
    <t>TROCA DE TORNEIRA DA PIA</t>
  </si>
  <si>
    <t>D722</t>
  </si>
  <si>
    <t>TAMPA DE VASO</t>
  </si>
  <si>
    <t>VASO SANITÁRIO</t>
  </si>
  <si>
    <t>D723</t>
  </si>
  <si>
    <t>D724</t>
  </si>
  <si>
    <t>OLÉO DIESEL 50 LITROS</t>
  </si>
  <si>
    <t>D725</t>
  </si>
  <si>
    <t>APLICAÇÃO DE PU NOS PARAFUSOS DO TELHADO</t>
  </si>
  <si>
    <t>D726</t>
  </si>
  <si>
    <t>APLICAÇÃO DE PU EM RACHADURAS</t>
  </si>
  <si>
    <t>APLICAÇÃO DE MANTA ASFÁLTICA EM RACHADURAS</t>
  </si>
  <si>
    <t>D727</t>
  </si>
  <si>
    <t>LÂMPADA DE LED 20W</t>
  </si>
  <si>
    <t>D728</t>
  </si>
  <si>
    <t>LÂMPADAS 20W</t>
  </si>
  <si>
    <t>D729</t>
  </si>
  <si>
    <t>D730</t>
  </si>
  <si>
    <t>LIMPEZA DE TOMADAS</t>
  </si>
  <si>
    <t>INSTALAÇÃO DE TOMADAS</t>
  </si>
  <si>
    <t>D731</t>
  </si>
  <si>
    <t>LÂMPADAS TUBULAR LED 20W</t>
  </si>
  <si>
    <t>D732</t>
  </si>
  <si>
    <t>SIFÃO DE PIA BANHEIRO</t>
  </si>
  <si>
    <t>D733</t>
  </si>
  <si>
    <t>FIXAÇÃO DO BATENTE DE PORTA</t>
  </si>
  <si>
    <t>D734</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</si>
  <si>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</si>
  <si>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18. RELATÓRIO - HISTÓRICO DE MANUTENÇÃO 2022</t>
  </si>
  <si>
    <t xml:space="preserve">Histórico manutenção predial Empresa RCF Foz do Iguaçu </t>
  </si>
  <si>
    <t>ANO:2022</t>
  </si>
  <si>
    <t>D001</t>
  </si>
  <si>
    <t>D002</t>
  </si>
  <si>
    <t>CONSERTO DE PORTA AUTOMATICA</t>
  </si>
  <si>
    <t>DESENTUPIMENTO DE VASO SANITÁRIO</t>
  </si>
  <si>
    <t>D006</t>
  </si>
  <si>
    <t>DESENTUPIMENTO DE MICTORIOS</t>
  </si>
  <si>
    <t>D015</t>
  </si>
  <si>
    <t>TROCA DE MOLA AEREA</t>
  </si>
  <si>
    <t>TROCA DE LAMPADAS LED 18W</t>
  </si>
  <si>
    <t>TROCA DE  LAMPADAS LED 18W</t>
  </si>
  <si>
    <t>DESENTUPIMENTO DE VASO SANITARIO</t>
  </si>
  <si>
    <t>TROCA DE  DPS</t>
  </si>
  <si>
    <t>D017</t>
  </si>
  <si>
    <t>TROCA DE LAMPADAS LED E27 15W</t>
  </si>
  <si>
    <t>TROCA VENTILADORES CUSTODIA</t>
  </si>
  <si>
    <t>TROCA DE FOTOCELULA</t>
  </si>
  <si>
    <t>D018</t>
  </si>
  <si>
    <t>TROCA LAMPADA LED E27 15W</t>
  </si>
  <si>
    <t>D019</t>
  </si>
  <si>
    <t>TROCA LAMPADAS LED  G13 18W</t>
  </si>
  <si>
    <t>TROCA LAMPADAS LED G13 18W</t>
  </si>
  <si>
    <t>PASSAGEM CABO ELETRICO 2,5MM</t>
  </si>
  <si>
    <t>TROCA DE LAMPADAS   LED G13</t>
  </si>
  <si>
    <t>PASSAGEM CABO REDE</t>
  </si>
  <si>
    <t>D035</t>
  </si>
  <si>
    <t>D036</t>
  </si>
  <si>
    <t>D026</t>
  </si>
  <si>
    <t>D046</t>
  </si>
  <si>
    <t>D038</t>
  </si>
  <si>
    <t>TROCA DE BANDEIRAS E CORDOALHAS</t>
  </si>
  <si>
    <t>D053</t>
  </si>
  <si>
    <t>TROCA DE FECHADURAS</t>
  </si>
  <si>
    <t>D039</t>
  </si>
  <si>
    <t>PINTURA DE FAIXAS EM ESTACIONAMENTO</t>
  </si>
  <si>
    <t>D051</t>
  </si>
  <si>
    <t>TROCA VALVULA DE GAS</t>
  </si>
  <si>
    <t>D052</t>
  </si>
  <si>
    <t>TROCA RABICHO INOX PIA DO BANHEIRO</t>
  </si>
  <si>
    <t>D054</t>
  </si>
  <si>
    <t>D040</t>
  </si>
  <si>
    <t>IMPERMEABILIZAÇÃO TELHADO</t>
  </si>
  <si>
    <t>D055</t>
  </si>
  <si>
    <t>D057</t>
  </si>
  <si>
    <t>TROCA SUPORTE DE TV</t>
  </si>
  <si>
    <t>D058</t>
  </si>
  <si>
    <t>PINTURA PAREDE DA CUSTODIA</t>
  </si>
  <si>
    <t>D064</t>
  </si>
  <si>
    <t>TROCA VENTILADOR CUSTODIA</t>
  </si>
  <si>
    <t>D063</t>
  </si>
  <si>
    <t>D059</t>
  </si>
  <si>
    <t>D071</t>
  </si>
  <si>
    <t>TROCA DE SIFÃO PLASTICO</t>
  </si>
  <si>
    <t>D072</t>
  </si>
  <si>
    <t>TROCA DE DISJUNTOR BIPOLAR 50A</t>
  </si>
  <si>
    <t>D041</t>
  </si>
  <si>
    <t>TROCA DE VÁLVULA DE RETENÇÃO DE BOMBA JOCKEY</t>
  </si>
  <si>
    <t>D074</t>
  </si>
  <si>
    <t>D075</t>
  </si>
  <si>
    <t>D050</t>
  </si>
  <si>
    <t>TROCA MINI CONTATOR CWC15</t>
  </si>
  <si>
    <t>TROCA DE RELÉ TERMICO RW17 15A</t>
  </si>
  <si>
    <t>D082</t>
  </si>
  <si>
    <t>COLOCAÇÃO PONTO D TOMADA</t>
  </si>
  <si>
    <t>D083</t>
  </si>
  <si>
    <t>DESENTUPIMENTO DE RALO</t>
  </si>
  <si>
    <t>D045</t>
  </si>
  <si>
    <t>TROCA DE REFLETORES 50W IP66</t>
  </si>
  <si>
    <t>OS 43 / 45</t>
  </si>
  <si>
    <t xml:space="preserve">REFLETOR DE LED RETANGULAR BIVOLT LUZ BRANCA 50W </t>
  </si>
  <si>
    <t>OS 60</t>
  </si>
  <si>
    <t xml:space="preserve">PLACA DE COMANDO PARA PORTÃO </t>
  </si>
  <si>
    <t>OS 67</t>
  </si>
  <si>
    <t>ADAPTADOR E40 PARA E27</t>
  </si>
  <si>
    <t>LAMPADA LED 15W 3000K</t>
  </si>
  <si>
    <t>OS 69</t>
  </si>
  <si>
    <t xml:space="preserve">LAMPADA TUBULAR </t>
  </si>
  <si>
    <t>OS 70</t>
  </si>
  <si>
    <t xml:space="preserve">LUMINARIA DE MERGENCIA LED </t>
  </si>
  <si>
    <t>OS 81</t>
  </si>
  <si>
    <t>PLUG FÊMEA 10A</t>
  </si>
  <si>
    <t>OS 73</t>
  </si>
  <si>
    <t>SIFÃO 60CM</t>
  </si>
  <si>
    <t xml:space="preserve">CAIXA ACOPLADA </t>
  </si>
  <si>
    <t>OS 79</t>
  </si>
  <si>
    <t>TORNEIRA BOIA PARA CAIXA DE AGUÁ</t>
  </si>
  <si>
    <t>CAIXA DE PASSAGEM 100X100X50 COM PROTEÇÃO</t>
  </si>
  <si>
    <t xml:space="preserve">CAIXA DE PASSAGEM </t>
  </si>
  <si>
    <t>CABO PP 2X2.5MM</t>
  </si>
  <si>
    <t>BUCHA DE NIYLON 6MM + PARAFUSO PHILLPS</t>
  </si>
  <si>
    <t>OS 99</t>
  </si>
  <si>
    <t>CONECTOR PERFURANTE 25MM (MORCEGO)</t>
  </si>
  <si>
    <t>OS /</t>
  </si>
  <si>
    <t>DISJUNTOR 100A TRIPOLAR</t>
  </si>
  <si>
    <t>MOLA AÉREA</t>
  </si>
  <si>
    <t>OS 97</t>
  </si>
  <si>
    <t>CONTATO WEG MODELO CWM12 10A</t>
  </si>
  <si>
    <t>BOBINA 127V</t>
  </si>
  <si>
    <t>OS 98</t>
  </si>
  <si>
    <t>LUVAS DE 25 ROSCA EXTERNA  LADO SOLDAVEL</t>
  </si>
  <si>
    <t>LUVA AZUL DE ROSCADE 1/2 PARA 25MM</t>
  </si>
  <si>
    <t xml:space="preserve"> CANO PVC DE 25MM</t>
  </si>
  <si>
    <t>OS 107</t>
  </si>
  <si>
    <t>FECHADURA DE SOBREPOR (SEM CHAVE) PORTA CORTA FOGO</t>
  </si>
  <si>
    <t>OS/</t>
  </si>
  <si>
    <t>FORRO DE FIBRA MINERAL TIPO  AMISTRONG 625X1250</t>
  </si>
  <si>
    <t>POLIURETANO PU36 CINZ 300ML</t>
  </si>
  <si>
    <t>CORDA TRANÇADA 4MM</t>
  </si>
  <si>
    <t>OS D121</t>
  </si>
  <si>
    <t>FECHADURA LA FONTE 6239</t>
  </si>
  <si>
    <t>OS 145</t>
  </si>
  <si>
    <t>FECHADURA STAM PRETA 601/03-</t>
  </si>
  <si>
    <t>OS145</t>
  </si>
  <si>
    <t>REBITE REPUXO ALUM N-525</t>
  </si>
  <si>
    <t>TORNEIRA MAQUINA/TANQUE (DUAS SAIDAS)</t>
  </si>
  <si>
    <t>VÁLVULA GAVETA 2° CLASSE 125 FERRO FUNDIDO FLANGEAA</t>
  </si>
  <si>
    <t>CANELETA TIPO X 20X10MM SEM DIVISÓRIAS INTERNA</t>
  </si>
  <si>
    <t>CONCRETO: PÓ DE PEDRA, BRITA E AREIA</t>
  </si>
  <si>
    <t>CONTATORA MODELO WEG CWM 12 127V</t>
  </si>
  <si>
    <t>OS 099</t>
  </si>
  <si>
    <t>KIT BARRAMENTO TRIFÁSICO 100A(COM BARRAMENTO DE TERRA E NEUTRO) PARA DIJUNTORES PADRÃO DIN</t>
  </si>
  <si>
    <t>BARRAMENTO DE COBRE 100A 1/2 X 1/8</t>
  </si>
  <si>
    <t xml:space="preserve">VIDRO  4MM FUME </t>
  </si>
  <si>
    <t>CERCA ELÉTRICA</t>
  </si>
  <si>
    <t>MASSA MULTIUSO</t>
  </si>
  <si>
    <t>ROMPEDOR 6KG</t>
  </si>
  <si>
    <t>CAIXA DE 1500 LITROS</t>
  </si>
  <si>
    <t>OS D150</t>
  </si>
  <si>
    <t>SIFÃO</t>
  </si>
  <si>
    <t>OS D134</t>
  </si>
  <si>
    <t>OS 134</t>
  </si>
  <si>
    <t>JOELHO DE 90</t>
  </si>
  <si>
    <t xml:space="preserve">CAIXA DE GORDURA SINFONADA COM CESTA (PARA FIO) 30CM </t>
  </si>
  <si>
    <t>ENGATE FLEXIVEL  50CM</t>
  </si>
  <si>
    <t>VÁLVULA DE PIA 3.1/2 GHELPLUS</t>
  </si>
  <si>
    <t>OS D147</t>
  </si>
  <si>
    <t>CONDULETE UNIVERSAL 3/4</t>
  </si>
  <si>
    <t>ADAPTADOR ADAPTADOR PARA CONDULETE UNIVERAL 3/4</t>
  </si>
  <si>
    <t>PRENSA CABO 3/4</t>
  </si>
  <si>
    <t>CABO PP 3X4MM</t>
  </si>
  <si>
    <t>LONA PLÁSTICA PRETA LARGURA 4M 50 MICRA</t>
  </si>
  <si>
    <t>ESCORAMENTO DE TETO (AUDITÓRIO)-PINUS MATAJUNTA 5X3 3M</t>
  </si>
  <si>
    <t>CONDULETE 4X2 DE ALUMNIO A TAMPA COM PROTEÇÃO DE BARRACHA</t>
  </si>
  <si>
    <t>REFLETORES 50W 6000K</t>
  </si>
  <si>
    <t>CONECTOR DE JUNÇÃO  3 X 0,5 6MM</t>
  </si>
  <si>
    <t>TOMADA 2P SISTEMA 20A DE SOBREPOR</t>
  </si>
  <si>
    <t>SIFÃO DE 73 CM</t>
  </si>
  <si>
    <t>CONECTOR MORCEGO 10MM</t>
  </si>
  <si>
    <t xml:space="preserve">KIT CAIXA DE SOBREPOR PARA DIJUNTORES BIFASICO E TOMADA 10A </t>
  </si>
  <si>
    <t>INSTALAÇÃO DE GESSO</t>
  </si>
  <si>
    <t>D150</t>
  </si>
  <si>
    <t>SIFÃO PARA INSTALAÇÃO DE PIA</t>
  </si>
  <si>
    <t>OS 149</t>
  </si>
  <si>
    <t>TROCA DE MANGUEIRA DE ÁGUA PRESSURIZADA</t>
  </si>
  <si>
    <t>REGISTRO DE 32</t>
  </si>
  <si>
    <t xml:space="preserve">FORNECIMENTO E INSTALAÇÃO DE PLACA DE EMERGÊNCIA LUMINOSA SAÍDA </t>
  </si>
  <si>
    <t>GRELHA  REDONDA 100mm</t>
  </si>
  <si>
    <t>REDUÇÃO DE ESGOTO DE 100 mm X 75 mm</t>
  </si>
  <si>
    <t>TAMPÃO DE ESGOTO DE 100 mm</t>
  </si>
  <si>
    <t>CAIXA P/ BOTOEIRA PLÁSTICA 1 FURO 22 mm</t>
  </si>
  <si>
    <t>BOTÃO EM EMERGÊNCIA  COGUMELO TRAVA VERMELHO DE 22 mm 1 Nf</t>
  </si>
  <si>
    <t>CANALETA PVC AUTO ADESIVA 20 x 10</t>
  </si>
  <si>
    <t>PLUG FÊMEA 10 A</t>
  </si>
  <si>
    <t>PLUG MACHO 10 A</t>
  </si>
  <si>
    <t>CONECTOR DE JUNÇÃO 3 x 0,5. 6 mm</t>
  </si>
  <si>
    <t>CONECTOR WAGO 3 VIAS 4 mm²</t>
  </si>
  <si>
    <t>PARAFUSO SEXTAVADO 10mm x 12 cm</t>
  </si>
  <si>
    <t>ARRUELA PARA PARAFUSO SEXTAVADO 10mm</t>
  </si>
  <si>
    <t>LATA DE SIKADU EPÓXI, ADESIVO ESTRUTURAL A BASE DE RESINA EPÓXI</t>
  </si>
  <si>
    <t>CANALETA DE PISO EM ALUMÍNIO</t>
  </si>
  <si>
    <t>GESSO LISO (PARA ACABAMENTO DE REBOCO)</t>
  </si>
  <si>
    <t>CAIXA ACOPLADA DE PVC COM KIT DE REPARO COMPLETO</t>
  </si>
  <si>
    <t>CAIXA DE TOMADA DE SOBREPOR COMPLETA COM 3 MÓDULOS</t>
  </si>
  <si>
    <t>COMANDO 2 CHICOTE INMETRO 433</t>
  </si>
  <si>
    <t>QUADRO TIPO CC PLAST CINZA/TR</t>
  </si>
  <si>
    <t>MOTOR + COMANDO IMETRO 433</t>
  </si>
  <si>
    <t>IVR 1010</t>
  </si>
  <si>
    <t>CABO PP 3 x 2,5</t>
  </si>
  <si>
    <t>EMENDA GALVANIZADA 3/4 SEM ROSCA</t>
  </si>
  <si>
    <t>CONECTOR/ADAPTADOR 3/4 GALVANIZADO</t>
  </si>
  <si>
    <t>REFLETORES DE 24 W 6500K COM PROTEÇÃO IP66</t>
  </si>
  <si>
    <t>PRENSA CABO NYLON 3/4</t>
  </si>
  <si>
    <t>TINTA SPRAY PARA METAL ALTA TEMPERATURA (COR PRETO)</t>
  </si>
  <si>
    <t>CAIXA MONTAGEM HERMÉTICA QUADRO COMANDO 30 x 20 x 12</t>
  </si>
  <si>
    <t>CONJUNTO DE TOMADA 20A VERMELHA DE SOBREPOR SISTEMA X</t>
  </si>
  <si>
    <t>LIZ FLEX CX SOB C/TAMPA 1 POSTO BRANCA</t>
  </si>
  <si>
    <t>CONJUNTO DE TOMADA BRANCA 20A DE SOBREPOR SISTEMA X</t>
  </si>
  <si>
    <t>ASSENTO SANITÁRIO ASTRA</t>
  </si>
  <si>
    <t>LÂMPADAS BOCAL E27 3500K LED - 15W</t>
  </si>
  <si>
    <t>CONECTOR  16 mm</t>
  </si>
  <si>
    <t>CONECTOR OLHAL 16 mm</t>
  </si>
  <si>
    <t>CONECTORES 10 mm DUAS VIAS</t>
  </si>
  <si>
    <t>TERMINAL GENÉRICO BORNE ISOLADO CONEXÃO FRONTAL 10 mm</t>
  </si>
  <si>
    <t>CONECTOR PARAFUSO FEDIDO 25 mm</t>
  </si>
  <si>
    <t>QUADRO E BARRAMENTO TIPO PENTE BIFÁSICO 63A 12 POLOS</t>
  </si>
  <si>
    <t>RETROESCAVADEIRA</t>
  </si>
  <si>
    <t>SUMIDOURO (MANILHA DE CONCRETO ARMADO 100 cm x 100 cm)</t>
  </si>
  <si>
    <t>FILTRO ANAERÓBICO</t>
  </si>
  <si>
    <t xml:space="preserve">FOSSA </t>
  </si>
  <si>
    <t>MOTOR DE ALTA MONO 2CV</t>
  </si>
  <si>
    <t>SERVIÇO DE TORNEIRA</t>
  </si>
  <si>
    <t>CONECTOR WAGO DE 5 VIAS</t>
  </si>
  <si>
    <t>TOMADAS DE SOBREPOR 2P + T 20A</t>
  </si>
  <si>
    <t>REFLETORES DE 24W COM PROTEÇÃO</t>
  </si>
  <si>
    <t>CONTROLE DE PORTÃO ELETRÔNICO 433</t>
  </si>
  <si>
    <t>CONECTORES WAGO 3 VIAS</t>
  </si>
  <si>
    <t>CANALETAS AUTO ADESIVAS 20x10x2000</t>
  </si>
  <si>
    <t>CONECTOR F ROSCA RG59 PARA CABO COAXIAL</t>
  </si>
  <si>
    <t>SUPORTE DE TV ARTICULADO 32"</t>
  </si>
  <si>
    <t>CONECTOR EMENDA F (COXIAL) FÊMEA EM T</t>
  </si>
  <si>
    <t>CABO COAXIAL PARA ANTENA</t>
  </si>
  <si>
    <t>PISTOLA PARA COMPRESSOR</t>
  </si>
  <si>
    <t>MANGUEIRA AR 005/16" mt</t>
  </si>
  <si>
    <t>OLEO COMPRESSOR UNI AW 150</t>
  </si>
  <si>
    <t>CONECTOR WAGO 3 x 2,5 mm</t>
  </si>
  <si>
    <t>ASSENTO SANITÁRIO COM TAMPA ÍNCEPA THEMA</t>
  </si>
  <si>
    <t>LUVA VAQUETA</t>
  </si>
  <si>
    <t>DISCO DE CORTE 4,1/2 x 1,0 X 7/8</t>
  </si>
  <si>
    <t>DISCO DE CORTE 4,1/2 x 1,0 X 7/9</t>
  </si>
  <si>
    <t>VENTILADOR DE PAREDE 220V OU BIVOLT DE 60 cm</t>
  </si>
  <si>
    <t>CANALETA 20x10x2000</t>
  </si>
  <si>
    <t>VENTILADOR DE PAREDE 220V</t>
  </si>
  <si>
    <t>TECLADO CONTROLADOR DE ACESSO</t>
  </si>
  <si>
    <t>CANALETAS DE PVC 20x10x2000</t>
  </si>
  <si>
    <t>CONECTOR  PARA CABO 6MM</t>
  </si>
  <si>
    <t>BARRA ROSCADA 1/4"</t>
  </si>
  <si>
    <t>LUVA DE EMENDA SEM ROSCA UNIDUT 3/4</t>
  </si>
  <si>
    <t>CABO PP 3X2,5 mm</t>
  </si>
  <si>
    <t>PLUG FEMEA</t>
  </si>
  <si>
    <t>CAIXA DE PASSAGEM IP66</t>
  </si>
  <si>
    <t>LUMINÁRIAS DE EMBUTIR 24W 6500K QUADRADA</t>
  </si>
  <si>
    <t>CAIXAS DE PASSAGEM DE SOBREPOR DE PVC</t>
  </si>
  <si>
    <t>LIMPEZA E REVITALIZAÇÂO LETREIROS E BRASÃO</t>
  </si>
  <si>
    <t>REFLETORES DE 20W IP66</t>
  </si>
  <si>
    <t>LÂMPADA  BOCAL E 40 DE 60W</t>
  </si>
  <si>
    <t>ADAPTADOR E27 PARA E40</t>
  </si>
  <si>
    <t>FECHADURA DE SOBREPOR (SEM CHAVE) PARA PORTA CORTA FOGO</t>
  </si>
  <si>
    <t>FORRO DE FIBRA MINERAL TIPO ARMISTRONG 625x1250</t>
  </si>
  <si>
    <t>TITANIUM PRO EPOXI</t>
  </si>
  <si>
    <t>19. RELATÓRIO - HISTÓRICO CONSOLIDADO E CALCULADORA PARA SERVIÇOS SOB DEMANDA</t>
  </si>
  <si>
    <t xml:space="preserve">Histórico Consolidado manutenção predial Empresa LIDOAR Foz do Iguaçu </t>
  </si>
  <si>
    <t xml:space="preserve">Histórico Consolidado manutenção predial </t>
  </si>
  <si>
    <t>QUANTIDADE
(SOMA DOS DOIS PERÍODOS)</t>
  </si>
  <si>
    <t>QUANTIDADE MÉDIA POR ANO</t>
  </si>
  <si>
    <t>QUANTIDADE MÉDIA POR ANO PARA A CONTRATAÇÃO PRETENDIDA CONSIDERANDO A PROPORÇÃO DE ÁREAS DA TABELA AO LADO E COEF. REDUTOR</t>
  </si>
  <si>
    <t>ARREDONDAMENTO</t>
  </si>
  <si>
    <t>ANO:2020/2022</t>
  </si>
  <si>
    <t>ÁREA CONTRATO DE FOZ (M2)</t>
  </si>
  <si>
    <t>ÁREA PARA NOVA CONTRATAÇÃO (M2)</t>
  </si>
  <si>
    <t>COEFICIENTE REDUTOR TENDO EM VISTA O CORTE DE GASTOS</t>
  </si>
  <si>
    <t>Área para serviço sob demanda (m²)</t>
  </si>
  <si>
    <t>Londrina Sede</t>
  </si>
  <si>
    <t>Londrina GISE</t>
  </si>
  <si>
    <t>Maringá SEDE</t>
  </si>
  <si>
    <t>Paranaguá SEDE</t>
  </si>
  <si>
    <t>Paranagua NEPOM</t>
  </si>
  <si>
    <t>Curitiba GISE + Hauer</t>
  </si>
  <si>
    <t>Curitiba Superintendência*</t>
  </si>
  <si>
    <t>*Para a Superintendência foi considerado apenas 10% da área para a estimativa de serviços sob demanda, tendo em vista que que a maioria dos serviços poderá ser executada pela Equipe Residente</t>
  </si>
  <si>
    <t>Área da DPF/FIG/PR (m²)</t>
  </si>
  <si>
    <t>Edifício sede</t>
  </si>
  <si>
    <t>Canil</t>
  </si>
  <si>
    <t>Galpão</t>
  </si>
  <si>
    <t>Base Nempom Estaleiro</t>
  </si>
  <si>
    <t>Base Nempom Itaipu</t>
  </si>
  <si>
    <t>Postos de Migração</t>
  </si>
  <si>
    <t>Pátio de Veículos</t>
  </si>
  <si>
    <t xml:space="preserve">Histórico Consolidado manutenção predial Empresa RCF Foz do Iguaçu </t>
  </si>
  <si>
    <t>PRECOS DE INSUMOS - BANCO NACIONAL</t>
  </si>
  <si>
    <t>MES DE COLETA: 06/2023</t>
  </si>
  <si>
    <t>LOCALIDADE: 3420 - CURITIBA</t>
  </si>
  <si>
    <t>ENCARGOS SOCIAIS DESONERADOS (%) HORISTA  87,08  MENSALISTA  48,80</t>
  </si>
  <si>
    <t>CODIGO</t>
  </si>
  <si>
    <t>DESCRICAO DO INSUMO</t>
  </si>
  <si>
    <t>UNIDADE DE MEDIDA</t>
  </si>
  <si>
    <t>PREÇO MEDIANO</t>
  </si>
  <si>
    <t>MACRO-CLASSE</t>
  </si>
  <si>
    <t>MAT. + EQUIP.+ SERV. + OUTROS</t>
  </si>
  <si>
    <t>ABERTURA PARA ENCAIXE DE CUBA OU LAVATORIO EM BANCADA DE MARMORE/ GRANITO OU OUTRO TIPO DE PEDRA NATURAL</t>
  </si>
  <si>
    <t>MATERIAL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</si>
  <si>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</si>
  <si>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</si>
  <si>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</si>
  <si>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</si>
  <si>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</si>
  <si>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</si>
  <si>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</si>
  <si>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</si>
  <si>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</si>
  <si>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</si>
  <si>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</si>
  <si>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</si>
  <si>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</si>
  <si>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</si>
  <si>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</si>
  <si>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</si>
  <si>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</si>
  <si>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</si>
  <si>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</si>
  <si>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</si>
  <si>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</si>
  <si>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</si>
  <si>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</si>
  <si>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</si>
  <si>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</si>
  <si>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</si>
  <si>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</si>
  <si>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</si>
  <si>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</si>
  <si>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</si>
  <si>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</si>
  <si>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</si>
  <si>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</si>
  <si>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</si>
  <si>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</si>
  <si>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</si>
  <si>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</si>
  <si>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</si>
  <si>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</si>
  <si>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</si>
  <si>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</si>
  <si>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</si>
  <si>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</si>
  <si>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</si>
  <si>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</si>
  <si>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</si>
  <si>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</si>
  <si>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</si>
  <si>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</si>
  <si>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</si>
  <si>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</si>
  <si>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</si>
  <si>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</si>
  <si>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</si>
  <si>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</si>
  <si>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</si>
  <si>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</si>
  <si>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</si>
  <si>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</si>
  <si>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</si>
  <si>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</si>
  <si>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</si>
  <si>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</si>
  <si>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</si>
  <si>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</si>
  <si>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</si>
  <si>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</si>
  <si>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</si>
  <si>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</si>
  <si>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</si>
  <si>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</si>
  <si>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</si>
  <si>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</si>
  <si>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</si>
  <si>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</si>
  <si>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</si>
  <si>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</si>
  <si>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</si>
  <si>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</si>
  <si>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</si>
  <si>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</si>
  <si>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</si>
  <si>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</si>
  <si>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</si>
  <si>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</si>
  <si>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</si>
  <si>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</si>
  <si>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</si>
  <si>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</si>
  <si>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</si>
  <si>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</si>
  <si>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</si>
  <si>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</si>
  <si>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</si>
  <si>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</si>
  <si>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</si>
  <si>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</si>
  <si>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</si>
  <si>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</si>
  <si>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</si>
  <si>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</si>
  <si>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</si>
  <si>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</si>
  <si>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</si>
  <si>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</si>
  <si>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</si>
  <si>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</si>
  <si>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</si>
  <si>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</si>
  <si>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</si>
  <si>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</si>
  <si>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</si>
  <si>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</si>
  <si>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</si>
  <si>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</si>
  <si>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</si>
  <si>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</si>
  <si>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</si>
  <si>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</si>
  <si>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</si>
  <si>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</si>
  <si>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</si>
  <si>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</si>
  <si>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</si>
  <si>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</si>
  <si>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</si>
  <si>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</si>
  <si>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</si>
  <si>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</si>
  <si>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</si>
  <si>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</si>
  <si>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</si>
  <si>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</si>
  <si>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</si>
  <si>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</si>
  <si>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</si>
  <si>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</si>
  <si>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</si>
  <si>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</si>
  <si>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</si>
  <si>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</si>
  <si>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</si>
  <si>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</si>
  <si>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MÃO DE OBRA</t>
  </si>
  <si>
    <t>AJUDANTE DE ARMADOR (MENSALISTA)</t>
  </si>
  <si>
    <t>MES</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</si>
  <si>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</si>
  <si>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</si>
  <si>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</si>
  <si>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</si>
  <si>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</si>
  <si>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</si>
  <si>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</si>
  <si>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</si>
  <si>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</si>
  <si>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</si>
  <si>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</si>
  <si>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</si>
  <si>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</si>
  <si>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</si>
  <si>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</si>
  <si>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</si>
  <si>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</si>
  <si>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</si>
  <si>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</si>
  <si>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</si>
  <si>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</si>
  <si>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</si>
  <si>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</si>
  <si>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</si>
  <si>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</si>
  <si>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</si>
  <si>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</si>
  <si>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EQUIPAMENTO (AQUISIÇÃO)</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</si>
  <si>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</si>
  <si>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</si>
  <si>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</si>
  <si>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</si>
  <si>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</si>
  <si>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</si>
  <si>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</si>
  <si>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</si>
  <si>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</si>
  <si>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</si>
  <si>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</si>
  <si>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</si>
  <si>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</si>
  <si>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</si>
  <si>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</si>
  <si>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</si>
  <si>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</si>
  <si>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</si>
  <si>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</si>
  <si>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</si>
  <si>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</si>
  <si>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</si>
  <si>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</si>
  <si>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</si>
  <si>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</si>
  <si>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</si>
  <si>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</si>
  <si>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</si>
  <si>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</si>
  <si>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</si>
  <si>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</si>
  <si>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</si>
  <si>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</si>
  <si>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</si>
  <si>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</si>
  <si>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</si>
  <si>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</si>
  <si>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</si>
  <si>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</si>
  <si>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</si>
  <si>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</si>
  <si>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</si>
  <si>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</si>
  <si>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</si>
  <si>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</si>
  <si>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</si>
  <si>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</si>
  <si>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</si>
  <si>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</si>
  <si>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</si>
  <si>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</si>
  <si>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</si>
  <si>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</si>
  <si>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</si>
  <si>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</si>
  <si>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</si>
  <si>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</si>
  <si>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</si>
  <si>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</si>
  <si>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</si>
  <si>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</si>
  <si>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</si>
  <si>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</si>
  <si>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</si>
  <si>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</si>
  <si>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</si>
  <si>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</si>
  <si>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</si>
  <si>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</si>
  <si>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</si>
  <si>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</si>
  <si>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ESPECIAIS</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</si>
  <si>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</si>
  <si>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</si>
  <si>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</si>
  <si>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</si>
  <si>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</si>
  <si>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</si>
  <si>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</si>
  <si>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</si>
  <si>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</si>
  <si>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</si>
  <si>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</si>
  <si>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</si>
  <si>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</si>
  <si>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</si>
  <si>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</si>
  <si>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</si>
  <si>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</si>
  <si>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</si>
  <si>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</si>
  <si>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</si>
  <si>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</si>
  <si>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</si>
  <si>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</si>
  <si>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</si>
  <si>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</si>
  <si>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</si>
  <si>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</si>
  <si>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</si>
  <si>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</si>
  <si>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</si>
  <si>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</si>
  <si>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</si>
  <si>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</si>
  <si>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</si>
  <si>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</si>
  <si>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</si>
  <si>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</si>
  <si>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</si>
  <si>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</si>
  <si>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</si>
  <si>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</si>
  <si>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</si>
  <si>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</si>
  <si>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</si>
  <si>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</si>
  <si>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</si>
  <si>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</si>
  <si>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</si>
  <si>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</si>
  <si>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</si>
  <si>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</si>
  <si>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</si>
  <si>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</si>
  <si>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</si>
  <si>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</si>
  <si>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</si>
  <si>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</si>
  <si>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</si>
  <si>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</si>
  <si>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</si>
  <si>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</si>
  <si>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</si>
  <si>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</si>
  <si>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</si>
  <si>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</si>
  <si>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</si>
  <si>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</si>
  <si>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</si>
  <si>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</si>
  <si>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</si>
  <si>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</si>
  <si>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</si>
  <si>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</si>
  <si>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</si>
  <si>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</si>
  <si>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</si>
  <si>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</si>
  <si>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</si>
  <si>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</si>
  <si>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</si>
  <si>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</si>
  <si>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</si>
  <si>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</si>
  <si>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</si>
  <si>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</si>
  <si>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</si>
  <si>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</si>
  <si>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</si>
  <si>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</si>
  <si>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</si>
  <si>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</si>
  <si>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</si>
  <si>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</si>
  <si>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</si>
  <si>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</si>
  <si>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</si>
  <si>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</si>
  <si>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</si>
  <si>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</si>
  <si>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</si>
  <si>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</si>
  <si>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</si>
  <si>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</si>
  <si>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</si>
  <si>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</si>
  <si>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</si>
  <si>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</si>
  <si>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</si>
  <si>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</si>
  <si>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</si>
  <si>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</si>
  <si>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</si>
  <si>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</si>
  <si>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</si>
  <si>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</si>
  <si>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</si>
  <si>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</si>
  <si>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</si>
  <si>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</si>
  <si>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</si>
  <si>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</si>
  <si>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</si>
  <si>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</si>
  <si>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</si>
  <si>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</si>
  <si>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</si>
  <si>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</si>
  <si>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</si>
  <si>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</si>
  <si>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</si>
  <si>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</si>
  <si>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</si>
  <si>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</si>
  <si>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</si>
  <si>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</si>
  <si>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</si>
  <si>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</si>
  <si>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</si>
  <si>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</si>
  <si>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</si>
  <si>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</si>
  <si>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</si>
  <si>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</si>
  <si>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</si>
  <si>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</si>
  <si>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</si>
  <si>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</si>
  <si>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</si>
  <si>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</si>
  <si>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</si>
  <si>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</si>
  <si>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</si>
  <si>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</si>
  <si>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</si>
  <si>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</si>
  <si>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</si>
  <si>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</si>
  <si>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</si>
  <si>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</si>
  <si>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</si>
  <si>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</si>
  <si>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</si>
  <si>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</si>
  <si>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</si>
  <si>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</si>
  <si>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</si>
  <si>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</si>
  <si>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</si>
  <si>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</si>
  <si>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</si>
  <si>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</si>
  <si>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</si>
  <si>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</si>
  <si>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</si>
  <si>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</si>
  <si>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</si>
  <si>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</si>
  <si>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</si>
  <si>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</si>
  <si>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</si>
  <si>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</si>
  <si>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</si>
  <si>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</si>
  <si>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</si>
  <si>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</si>
  <si>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</si>
  <si>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</si>
  <si>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</si>
  <si>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</si>
  <si>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</si>
  <si>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</si>
  <si>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</si>
  <si>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</si>
  <si>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</si>
  <si>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</si>
  <si>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</si>
  <si>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</si>
  <si>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</si>
  <si>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</si>
  <si>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</si>
  <si>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</si>
  <si>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</si>
  <si>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</si>
  <si>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</si>
  <si>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</si>
  <si>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</si>
  <si>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</si>
  <si>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</si>
  <si>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</si>
  <si>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</si>
  <si>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</si>
  <si>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</si>
  <si>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</si>
  <si>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</si>
  <si>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</si>
  <si>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</si>
  <si>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</si>
  <si>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</si>
  <si>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</si>
  <si>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</si>
  <si>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</si>
  <si>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</si>
  <si>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</si>
  <si>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</si>
  <si>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</si>
  <si>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</si>
  <si>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</si>
  <si>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</si>
  <si>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</si>
  <si>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</si>
  <si>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</si>
  <si>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</si>
  <si>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</si>
  <si>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</si>
  <si>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</si>
  <si>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</si>
  <si>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</si>
  <si>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</si>
  <si>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</si>
  <si>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</si>
  <si>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</si>
  <si>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</si>
  <si>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</si>
  <si>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</si>
  <si>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</si>
  <si>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</si>
  <si>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</si>
  <si>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</si>
  <si>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</si>
  <si>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</si>
  <si>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</si>
  <si>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</si>
  <si>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</si>
  <si>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</si>
  <si>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</si>
  <si>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</si>
  <si>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</si>
  <si>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</si>
  <si>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</si>
  <si>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</si>
  <si>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</si>
  <si>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</si>
  <si>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</si>
  <si>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</si>
  <si>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</si>
  <si>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</si>
  <si>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</si>
  <si>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</si>
  <si>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</si>
  <si>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</si>
  <si>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</si>
  <si>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</si>
  <si>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</si>
  <si>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</si>
  <si>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</si>
  <si>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</si>
  <si>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</si>
  <si>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</si>
  <si>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</si>
  <si>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</si>
  <si>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</si>
  <si>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</si>
  <si>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</si>
  <si>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</si>
  <si>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</si>
  <si>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</si>
  <si>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</si>
  <si>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</si>
  <si>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</si>
  <si>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</si>
  <si>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</si>
  <si>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</si>
  <si>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</si>
  <si>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</si>
  <si>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</si>
  <si>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</si>
  <si>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</si>
  <si>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</si>
  <si>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</si>
  <si>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</si>
  <si>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</si>
  <si>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</si>
  <si>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</si>
  <si>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</si>
  <si>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</si>
  <si>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</si>
  <si>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</si>
  <si>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</si>
  <si>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</si>
  <si>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</si>
  <si>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</si>
  <si>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</si>
  <si>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</si>
  <si>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</si>
  <si>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</si>
  <si>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</si>
  <si>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</si>
  <si>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</si>
  <si>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</si>
  <si>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</si>
  <si>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</si>
  <si>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</si>
  <si>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</si>
  <si>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</si>
  <si>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</si>
  <si>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</si>
  <si>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</si>
  <si>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</si>
  <si>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</si>
  <si>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</si>
  <si>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</si>
  <si>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</si>
  <si>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</si>
  <si>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</si>
  <si>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</si>
  <si>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</si>
  <si>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</si>
  <si>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</si>
  <si>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</si>
  <si>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</si>
  <si>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</si>
  <si>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</si>
  <si>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</si>
  <si>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</si>
  <si>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</si>
  <si>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</si>
  <si>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</si>
  <si>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</si>
  <si>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</si>
  <si>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</si>
  <si>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</si>
  <si>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</si>
  <si>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</si>
  <si>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</si>
  <si>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</si>
  <si>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</si>
  <si>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</si>
  <si>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</si>
  <si>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</si>
  <si>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</si>
  <si>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</si>
  <si>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</si>
  <si>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</si>
  <si>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</si>
  <si>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</si>
  <si>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</si>
  <si>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</si>
  <si>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</si>
  <si>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</si>
  <si>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</si>
  <si>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</si>
  <si>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</si>
  <si>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</si>
  <si>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</si>
  <si>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</si>
  <si>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</si>
  <si>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</si>
  <si>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</si>
  <si>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</si>
  <si>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</si>
  <si>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</si>
  <si>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</si>
  <si>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</si>
  <si>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</si>
  <si>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</si>
  <si>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</si>
  <si>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</si>
  <si>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</si>
  <si>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</si>
  <si>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</si>
  <si>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</si>
  <si>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</si>
  <si>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</si>
  <si>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</si>
  <si>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</si>
  <si>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</si>
  <si>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</si>
  <si>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</si>
  <si>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</si>
  <si>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</si>
  <si>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</si>
  <si>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</si>
  <si>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</si>
  <si>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</si>
  <si>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</si>
  <si>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</si>
  <si>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</si>
  <si>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</si>
  <si>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</si>
  <si>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</si>
  <si>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</si>
  <si>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</si>
  <si>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</si>
  <si>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</si>
  <si>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</si>
  <si>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</si>
  <si>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</si>
  <si>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</si>
  <si>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</si>
  <si>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</si>
  <si>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</si>
  <si>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</si>
  <si>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</si>
  <si>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</si>
  <si>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</si>
  <si>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</si>
  <si>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</si>
  <si>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</si>
  <si>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</si>
  <si>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</si>
  <si>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</si>
  <si>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</si>
  <si>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</si>
  <si>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</si>
  <si>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</si>
  <si>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</si>
  <si>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</si>
  <si>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</si>
  <si>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</si>
  <si>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</si>
  <si>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</si>
  <si>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</si>
  <si>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</si>
  <si>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</si>
  <si>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</si>
  <si>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</si>
  <si>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</si>
  <si>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</si>
  <si>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</si>
  <si>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</si>
  <si>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</si>
  <si>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</si>
  <si>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</si>
  <si>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</si>
  <si>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</si>
  <si>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</si>
  <si>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</si>
  <si>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</si>
  <si>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</si>
  <si>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</si>
  <si>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</si>
  <si>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</si>
  <si>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</si>
  <si>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</si>
  <si>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</si>
  <si>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</si>
  <si>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</si>
  <si>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</si>
  <si>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</si>
  <si>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</si>
  <si>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</si>
  <si>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</si>
  <si>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</si>
  <si>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</si>
  <si>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</si>
  <si>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</si>
  <si>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</si>
  <si>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</si>
  <si>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</si>
  <si>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</si>
  <si>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</si>
  <si>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</si>
  <si>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</si>
  <si>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</si>
  <si>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</si>
  <si>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</si>
  <si>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</si>
  <si>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</si>
  <si>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</si>
  <si>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</si>
  <si>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</si>
  <si>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</si>
  <si>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</si>
  <si>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</si>
  <si>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</si>
  <si>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</si>
  <si>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</si>
  <si>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</si>
  <si>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</si>
  <si>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</si>
  <si>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</si>
  <si>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</si>
  <si>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</si>
  <si>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</si>
  <si>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</si>
  <si>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</si>
  <si>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</si>
  <si>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</si>
  <si>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</si>
  <si>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</si>
  <si>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</si>
  <si>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</si>
  <si>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</si>
  <si>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</si>
  <si>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</si>
  <si>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</si>
  <si>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</si>
  <si>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</si>
  <si>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</si>
  <si>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</si>
  <si>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</si>
  <si>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</si>
  <si>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</si>
  <si>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</si>
  <si>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</si>
  <si>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</si>
  <si>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</si>
  <si>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</si>
  <si>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</si>
  <si>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</si>
  <si>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</si>
  <si>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</si>
  <si>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</si>
  <si>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</si>
  <si>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</si>
  <si>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</si>
  <si>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</si>
  <si>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</si>
  <si>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</si>
  <si>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</si>
  <si>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</si>
  <si>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</si>
  <si>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</si>
  <si>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</si>
  <si>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</si>
  <si>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</si>
  <si>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</si>
  <si>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</si>
  <si>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</si>
  <si>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</si>
  <si>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</si>
  <si>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</si>
  <si>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</si>
  <si>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</si>
  <si>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</si>
  <si>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</si>
  <si>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</si>
  <si>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</si>
  <si>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</si>
  <si>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</si>
  <si>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</si>
  <si>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</si>
  <si>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</si>
  <si>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</si>
  <si>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</si>
  <si>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</si>
  <si>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</si>
  <si>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</si>
  <si>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</si>
  <si>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</si>
  <si>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</si>
  <si>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</si>
  <si>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</si>
  <si>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</si>
  <si>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</si>
  <si>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</si>
  <si>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</si>
  <si>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</si>
  <si>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</si>
  <si>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</si>
  <si>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</si>
  <si>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</si>
  <si>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</si>
  <si>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</si>
  <si>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</si>
  <si>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</si>
  <si>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</si>
  <si>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</si>
  <si>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</si>
  <si>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</si>
  <si>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</si>
  <si>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</si>
  <si>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</si>
  <si>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</si>
  <si>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</si>
  <si>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</si>
  <si>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</si>
  <si>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</si>
  <si>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</si>
  <si>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</si>
  <si>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</si>
  <si>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</si>
  <si>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</si>
  <si>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</si>
  <si>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</si>
  <si>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</si>
  <si>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</si>
  <si>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</si>
  <si>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</si>
  <si>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</si>
  <si>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</si>
  <si>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</si>
  <si>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</si>
  <si>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</si>
  <si>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</si>
  <si>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</si>
  <si>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</si>
  <si>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</si>
  <si>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</si>
  <si>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</si>
  <si>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</si>
  <si>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</si>
  <si>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</si>
  <si>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</si>
  <si>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</si>
  <si>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</si>
  <si>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</si>
  <si>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</si>
  <si>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</si>
  <si>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</si>
  <si>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</si>
  <si>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</si>
  <si>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</si>
  <si>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</si>
  <si>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</si>
  <si>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</si>
  <si>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</si>
  <si>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</si>
  <si>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</si>
  <si>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</si>
  <si>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</si>
  <si>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</si>
  <si>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</si>
  <si>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</si>
  <si>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</si>
  <si>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</si>
  <si>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</si>
  <si>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</si>
  <si>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</si>
  <si>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</si>
  <si>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</si>
  <si>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</si>
  <si>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</si>
  <si>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</si>
  <si>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</si>
  <si>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</si>
  <si>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</si>
  <si>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</si>
  <si>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</si>
  <si>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</si>
  <si>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</si>
  <si>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</si>
  <si>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</si>
  <si>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</si>
  <si>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</si>
  <si>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</si>
  <si>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</si>
  <si>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</si>
  <si>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</si>
  <si>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</si>
  <si>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</si>
  <si>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</si>
  <si>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</si>
  <si>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</si>
  <si>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</si>
  <si>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</si>
  <si>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</si>
  <si>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</si>
  <si>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</si>
  <si>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</si>
  <si>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</si>
  <si>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</si>
  <si>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</si>
  <si>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</si>
  <si>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</si>
  <si>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</si>
  <si>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</si>
  <si>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</si>
  <si>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</si>
  <si>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</si>
  <si>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</si>
  <si>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</si>
  <si>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</si>
  <si>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</si>
  <si>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</si>
  <si>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</si>
  <si>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</si>
  <si>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</si>
  <si>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</si>
  <si>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</si>
  <si>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</si>
  <si>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</si>
  <si>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</si>
  <si>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</si>
  <si>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</si>
  <si>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</si>
  <si>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</si>
  <si>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</si>
  <si>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</si>
  <si>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</si>
  <si>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</si>
  <si>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</si>
  <si>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</si>
  <si>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</si>
  <si>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</si>
  <si>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</si>
  <si>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</si>
  <si>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</si>
  <si>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</si>
  <si>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</si>
  <si>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</si>
  <si>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</si>
  <si>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</si>
  <si>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</si>
  <si>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</si>
  <si>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</si>
  <si>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</si>
  <si>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</si>
  <si>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</si>
  <si>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</si>
  <si>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</si>
  <si>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</si>
  <si>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</si>
  <si>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</si>
  <si>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</si>
  <si>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</si>
  <si>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</si>
  <si>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</si>
  <si>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</si>
  <si>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</si>
  <si>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</si>
  <si>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</si>
  <si>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</si>
  <si>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</si>
  <si>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</si>
  <si>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</si>
  <si>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</si>
  <si>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</si>
  <si>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</si>
  <si>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</si>
  <si>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</si>
  <si>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</si>
  <si>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</si>
  <si>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</si>
  <si>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</si>
  <si>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</si>
  <si>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</si>
  <si>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</si>
  <si>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</si>
  <si>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</si>
  <si>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</si>
  <si>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</si>
  <si>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</si>
  <si>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</si>
  <si>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</si>
  <si>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</si>
  <si>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</si>
  <si>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</si>
  <si>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</si>
  <si>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</si>
  <si>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</si>
  <si>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</si>
  <si>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</si>
  <si>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</si>
  <si>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</si>
  <si>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</si>
  <si>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</si>
  <si>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</si>
  <si>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</si>
  <si>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</si>
  <si>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</si>
  <si>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</si>
  <si>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</si>
  <si>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</si>
  <si>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</si>
  <si>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</si>
  <si>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</si>
  <si>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</si>
  <si>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</si>
  <si>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</si>
  <si>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</si>
  <si>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</si>
  <si>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</si>
  <si>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SERVIÇOS</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</si>
  <si>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</si>
  <si>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</si>
  <si>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</si>
  <si>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</si>
  <si>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</si>
  <si>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</si>
  <si>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</si>
  <si>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</si>
  <si>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</si>
  <si>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</si>
  <si>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</si>
  <si>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</si>
  <si>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</si>
  <si>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</si>
  <si>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</si>
  <si>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</si>
  <si>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</si>
  <si>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</si>
  <si>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</si>
  <si>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</si>
  <si>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</si>
  <si>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T</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</si>
  <si>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</si>
  <si>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</si>
  <si>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</si>
  <si>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</si>
  <si>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</si>
  <si>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</si>
  <si>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</si>
  <si>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</si>
  <si>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</si>
  <si>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</si>
  <si>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</si>
  <si>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</si>
  <si>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</si>
  <si>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</si>
  <si>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</si>
  <si>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</si>
  <si>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</si>
  <si>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</si>
  <si>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</si>
  <si>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</si>
  <si>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</si>
  <si>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</si>
  <si>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</si>
  <si>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</si>
  <si>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</si>
  <si>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</si>
  <si>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</si>
  <si>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</si>
  <si>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</si>
  <si>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</si>
  <si>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</si>
  <si>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</si>
  <si>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</si>
  <si>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</si>
  <si>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</si>
  <si>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</si>
  <si>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</si>
  <si>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</si>
  <si>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</si>
  <si>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</si>
  <si>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</si>
  <si>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</si>
  <si>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</si>
  <si>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</si>
  <si>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</si>
  <si>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</si>
  <si>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</si>
  <si>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</si>
  <si>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</si>
  <si>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</si>
  <si>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</si>
  <si>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</si>
  <si>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</si>
  <si>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</si>
  <si>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</si>
  <si>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</si>
  <si>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</si>
  <si>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</si>
  <si>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</si>
  <si>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</si>
  <si>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</si>
  <si>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</si>
  <si>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</si>
  <si>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</si>
  <si>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</si>
  <si>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</si>
  <si>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</si>
  <si>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</si>
  <si>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</si>
  <si>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</si>
  <si>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</si>
  <si>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</si>
  <si>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</si>
  <si>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</si>
  <si>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</si>
  <si>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</si>
  <si>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</si>
  <si>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</si>
  <si>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</si>
  <si>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</si>
  <si>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</si>
  <si>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</si>
  <si>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</si>
  <si>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</si>
  <si>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</si>
  <si>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</si>
  <si>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</si>
  <si>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</si>
  <si>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</si>
  <si>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</si>
  <si>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</si>
  <si>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</si>
  <si>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</si>
  <si>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</si>
  <si>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</si>
  <si>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</si>
  <si>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</si>
  <si>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</si>
  <si>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</si>
  <si>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</si>
  <si>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</si>
  <si>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</si>
  <si>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</si>
  <si>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</si>
  <si>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</si>
  <si>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</si>
  <si>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</si>
  <si>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</si>
  <si>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</si>
  <si>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</si>
  <si>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</si>
  <si>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</si>
  <si>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</si>
  <si>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</si>
  <si>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</si>
  <si>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</si>
  <si>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</si>
  <si>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</si>
  <si>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</si>
  <si>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</si>
  <si>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</si>
  <si>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</si>
  <si>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</si>
  <si>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</si>
  <si>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</si>
  <si>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</si>
  <si>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</si>
  <si>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</si>
  <si>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</si>
  <si>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</si>
  <si>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</si>
  <si>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</si>
  <si>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</si>
  <si>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</si>
  <si>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</si>
  <si>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</si>
  <si>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</si>
  <si>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</si>
  <si>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</si>
  <si>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</si>
  <si>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</si>
  <si>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</si>
  <si>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</si>
  <si>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</si>
  <si>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</si>
  <si>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</si>
  <si>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</si>
  <si>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</si>
  <si>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</si>
  <si>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</si>
  <si>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</si>
  <si>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</si>
  <si>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</si>
  <si>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</si>
  <si>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</si>
  <si>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</si>
  <si>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</si>
  <si>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</si>
  <si>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</si>
  <si>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</si>
  <si>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</si>
  <si>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</si>
  <si>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</si>
  <si>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</si>
  <si>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</si>
  <si>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</si>
  <si>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</si>
  <si>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</si>
  <si>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</si>
  <si>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</si>
  <si>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</si>
  <si>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</si>
  <si>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</si>
  <si>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</si>
  <si>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</si>
  <si>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</si>
  <si>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</si>
  <si>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</si>
  <si>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</si>
  <si>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</si>
  <si>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</si>
  <si>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</si>
  <si>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</si>
  <si>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</si>
  <si>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</si>
  <si>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</si>
  <si>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</si>
  <si>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</si>
  <si>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</si>
  <si>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</si>
  <si>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</si>
  <si>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</si>
  <si>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</si>
  <si>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</si>
  <si>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</si>
  <si>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</si>
  <si>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</si>
  <si>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</si>
  <si>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</si>
  <si>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</si>
  <si>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</si>
  <si>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</si>
  <si>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</si>
  <si>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</si>
  <si>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</si>
  <si>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</si>
  <si>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</si>
  <si>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</si>
  <si>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</si>
  <si>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</si>
  <si>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</si>
  <si>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</si>
  <si>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</si>
  <si>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</si>
  <si>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</si>
  <si>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</si>
  <si>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</si>
  <si>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</si>
  <si>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</si>
  <si>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</si>
  <si>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</si>
  <si>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</si>
  <si>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</si>
  <si>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</si>
  <si>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</si>
  <si>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</si>
  <si>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</si>
  <si>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</si>
  <si>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</si>
  <si>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</si>
  <si>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</si>
  <si>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</si>
  <si>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</si>
  <si>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</si>
  <si>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</si>
  <si>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</si>
  <si>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</si>
  <si>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</si>
  <si>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</si>
  <si>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</si>
  <si>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</si>
  <si>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</si>
  <si>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</si>
  <si>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</si>
  <si>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</si>
  <si>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</si>
  <si>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</si>
  <si>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</si>
  <si>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</si>
  <si>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</si>
  <si>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</si>
  <si>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</si>
  <si>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</si>
  <si>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</si>
  <si>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</si>
  <si>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</si>
  <si>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</si>
  <si>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</si>
  <si>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</si>
  <si>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</si>
  <si>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</si>
  <si>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</si>
  <si>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</si>
  <si>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</si>
  <si>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</si>
  <si>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</si>
  <si>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</si>
  <si>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</si>
  <si>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</si>
  <si>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</si>
  <si>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</si>
  <si>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</si>
  <si>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</si>
  <si>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</si>
  <si>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</si>
  <si>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</si>
  <si>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</si>
  <si>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</si>
  <si>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</si>
  <si>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</si>
  <si>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</si>
  <si>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</si>
  <si>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</si>
  <si>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</si>
  <si>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</si>
  <si>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</si>
  <si>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</si>
  <si>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</si>
  <si>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</si>
  <si>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</si>
  <si>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</si>
  <si>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</si>
  <si>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</si>
  <si>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</si>
  <si>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</si>
  <si>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</si>
  <si>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</si>
  <si>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</si>
  <si>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</si>
  <si>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4"â_x0080__x009d_,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</si>
  <si>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</si>
  <si>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</si>
  <si>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</si>
  <si>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</si>
  <si>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</si>
  <si>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</si>
  <si>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2"â_x0080__x009d_, PARA AGUA QUENTE</t>
  </si>
  <si>
    <t>CONECTOR, CPVC, SOLDAVEL, 73 MM X 2 1/2"â_x0080__x009d_, PARA AGUA QUENTE</t>
  </si>
  <si>
    <t>CONECTOR, CPVC, SOLDAVEL, 89 MM X 3"â_x0080__x009d_,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</si>
  <si>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</si>
  <si>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</si>
  <si>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</si>
  <si>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</si>
  <si>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</si>
  <si>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</si>
  <si>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</si>
  <si>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</si>
  <si>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</si>
  <si>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</si>
  <si>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</si>
  <si>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</si>
  <si>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</si>
  <si>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</si>
  <si>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</si>
  <si>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</si>
  <si>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</si>
  <si>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</si>
  <si>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</si>
  <si>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</si>
  <si>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</si>
  <si>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</si>
  <si>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</si>
  <si>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</si>
  <si>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</si>
  <si>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</si>
  <si>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</si>
  <si>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</si>
  <si>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</si>
  <si>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</si>
  <si>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</si>
  <si>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</si>
  <si>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</si>
  <si>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</si>
  <si>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</si>
  <si>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</si>
  <si>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</si>
  <si>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</si>
  <si>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</si>
  <si>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</si>
  <si>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</si>
  <si>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</si>
  <si>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</si>
  <si>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</si>
  <si>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</si>
  <si>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</si>
  <si>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</si>
  <si>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</si>
  <si>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</si>
  <si>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</si>
  <si>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</si>
  <si>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</si>
  <si>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</si>
  <si>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</si>
  <si>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</si>
  <si>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</si>
  <si>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</si>
  <si>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</si>
  <si>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</si>
  <si>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</si>
  <si>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</si>
  <si>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</si>
  <si>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</si>
  <si>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</si>
  <si>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</si>
  <si>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</si>
  <si>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</si>
  <si>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</si>
  <si>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</si>
  <si>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</si>
  <si>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</si>
  <si>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</si>
  <si>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</si>
  <si>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</si>
  <si>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</si>
  <si>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</si>
  <si>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</si>
  <si>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</si>
  <si>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</si>
  <si>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</si>
  <si>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</si>
  <si>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</si>
  <si>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</si>
  <si>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</si>
  <si>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</si>
  <si>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</si>
  <si>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</si>
  <si>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</si>
  <si>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</si>
  <si>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</si>
  <si>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</si>
  <si>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</si>
  <si>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</si>
  <si>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</si>
  <si>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</si>
  <si>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</si>
  <si>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</si>
  <si>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</si>
  <si>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</si>
  <si>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</si>
  <si>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</si>
  <si>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</si>
  <si>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</si>
  <si>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</si>
  <si>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</si>
  <si>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</si>
  <si>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</si>
  <si>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</si>
  <si>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</si>
  <si>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</si>
  <si>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</si>
  <si>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</si>
  <si>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</si>
  <si>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</si>
  <si>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</si>
  <si>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</si>
  <si>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</si>
  <si>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</si>
  <si>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</si>
  <si>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</si>
  <si>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</si>
  <si>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</si>
  <si>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</si>
  <si>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</si>
  <si>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</si>
  <si>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</si>
  <si>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</si>
  <si>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</si>
  <si>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</si>
  <si>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</si>
  <si>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</si>
  <si>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</si>
  <si>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</si>
  <si>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</si>
  <si>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</si>
  <si>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</si>
  <si>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</si>
  <si>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</si>
  <si>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</si>
  <si>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</si>
  <si>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</si>
  <si>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</si>
  <si>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</si>
  <si>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</si>
  <si>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</si>
  <si>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</si>
  <si>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</si>
  <si>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</si>
  <si>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</si>
  <si>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</si>
  <si>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</si>
  <si>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</si>
  <si>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</si>
  <si>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</si>
  <si>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</si>
  <si>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</si>
  <si>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</si>
  <si>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</si>
  <si>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</si>
  <si>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</si>
  <si>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</si>
  <si>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</si>
  <si>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</si>
  <si>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</si>
  <si>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</si>
  <si>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</si>
  <si>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</si>
  <si>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</si>
  <si>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</si>
  <si>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</si>
  <si>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</si>
  <si>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</si>
  <si>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</si>
  <si>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</si>
  <si>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</si>
  <si>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</si>
  <si>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</si>
  <si>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</si>
  <si>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</si>
  <si>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</si>
  <si>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</si>
  <si>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</si>
  <si>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</si>
  <si>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</si>
  <si>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</si>
  <si>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</si>
  <si>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</si>
  <si>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</si>
  <si>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</si>
  <si>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</si>
  <si>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</si>
  <si>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</si>
  <si>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</si>
  <si>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</si>
  <si>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</si>
  <si>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</si>
  <si>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</si>
  <si>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</si>
  <si>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</si>
  <si>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</si>
  <si>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</si>
  <si>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</si>
  <si>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</si>
  <si>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</si>
  <si>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</si>
  <si>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</si>
  <si>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</si>
  <si>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</si>
  <si>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</si>
  <si>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</si>
  <si>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</si>
  <si>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</si>
  <si>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</si>
  <si>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</si>
  <si>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</si>
  <si>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</si>
  <si>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</si>
  <si>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</si>
  <si>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</si>
  <si>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</si>
  <si>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</si>
  <si>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</si>
  <si>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</si>
  <si>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</si>
  <si>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</si>
  <si>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</si>
  <si>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</si>
  <si>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</si>
  <si>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</si>
  <si>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</si>
  <si>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</si>
  <si>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</si>
  <si>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</si>
  <si>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</si>
  <si>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</si>
  <si>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</si>
  <si>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</si>
  <si>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</si>
  <si>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</si>
  <si>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</si>
  <si>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</si>
  <si>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</si>
  <si>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</si>
  <si>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</si>
  <si>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</si>
  <si>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</si>
  <si>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</si>
  <si>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</si>
  <si>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</si>
  <si>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</si>
  <si>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</si>
  <si>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</si>
  <si>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</si>
  <si>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</si>
  <si>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</si>
  <si>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</si>
  <si>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</si>
  <si>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</si>
  <si>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</si>
  <si>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</si>
  <si>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</si>
  <si>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</si>
  <si>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</si>
  <si>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</si>
  <si>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</si>
  <si>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</si>
  <si>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</si>
  <si>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</si>
  <si>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</si>
  <si>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</si>
  <si>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</si>
  <si>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</si>
  <si>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</si>
  <si>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</si>
  <si>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</si>
  <si>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</si>
  <si>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</si>
  <si>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</si>
  <si>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</si>
  <si>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</si>
  <si>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</si>
  <si>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</si>
  <si>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</si>
  <si>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</si>
  <si>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</si>
  <si>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</si>
  <si>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</si>
  <si>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</si>
  <si>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</si>
  <si>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</si>
  <si>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</si>
  <si>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</si>
  <si>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</si>
  <si>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</si>
  <si>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</si>
  <si>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</si>
  <si>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</si>
  <si>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</si>
  <si>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</si>
  <si>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</si>
  <si>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</si>
  <si>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</si>
  <si>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</si>
  <si>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</si>
  <si>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</si>
  <si>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</si>
  <si>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</si>
  <si>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</si>
  <si>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</si>
  <si>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</si>
  <si>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</si>
  <si>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</si>
  <si>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</si>
  <si>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</si>
  <si>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</si>
  <si>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</si>
  <si>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</si>
  <si>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</si>
  <si>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</si>
  <si>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</si>
  <si>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</si>
  <si>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</si>
  <si>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</si>
  <si>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</si>
  <si>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</si>
  <si>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</si>
  <si>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</si>
  <si>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</si>
  <si>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</si>
  <si>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</si>
  <si>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</si>
  <si>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</si>
  <si>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</si>
  <si>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</si>
  <si>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</si>
  <si>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</si>
  <si>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</si>
  <si>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</si>
  <si>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</si>
  <si>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</si>
  <si>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</si>
  <si>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</si>
  <si>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</si>
  <si>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</si>
  <si>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</si>
  <si>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</si>
  <si>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</si>
  <si>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</si>
  <si>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</si>
  <si>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</si>
  <si>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</si>
  <si>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</si>
  <si>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</si>
  <si>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</si>
  <si>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</si>
  <si>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</si>
  <si>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</si>
  <si>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</si>
  <si>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</si>
  <si>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</si>
  <si>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</si>
  <si>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</si>
  <si>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</si>
  <si>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</si>
  <si>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</si>
  <si>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</si>
  <si>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</si>
  <si>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</si>
  <si>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</si>
  <si>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</si>
  <si>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</si>
  <si>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</si>
  <si>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</si>
  <si>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</si>
  <si>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</si>
  <si>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</si>
  <si>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</si>
  <si>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</si>
  <si>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</si>
  <si>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</si>
  <si>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</si>
  <si>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</si>
  <si>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</si>
  <si>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</si>
  <si>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</si>
  <si>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</si>
  <si>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</si>
  <si>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</si>
  <si>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</si>
  <si>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</si>
  <si>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</si>
  <si>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</si>
  <si>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</si>
  <si>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</si>
  <si>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</si>
  <si>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</si>
  <si>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</si>
  <si>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</si>
  <si>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</si>
  <si>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</si>
  <si>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</si>
  <si>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</si>
  <si>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</si>
  <si>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</si>
  <si>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</si>
  <si>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</si>
  <si>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</si>
  <si>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</si>
  <si>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"Â_x0094_,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</si>
  <si>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</si>
  <si>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</si>
  <si>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</si>
  <si>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</si>
  <si>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</si>
  <si>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</si>
  <si>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</si>
  <si>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</si>
  <si>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</si>
  <si>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</si>
  <si>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</si>
  <si>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</si>
  <si>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</si>
  <si>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</si>
  <si>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</si>
  <si>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</si>
  <si>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</si>
  <si>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</si>
  <si>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</si>
  <si>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</si>
  <si>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</si>
  <si>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</si>
  <si>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</si>
  <si>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</si>
  <si>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</si>
  <si>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</si>
  <si>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</si>
  <si>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</si>
  <si>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</si>
  <si>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</si>
  <si>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</si>
  <si>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</si>
  <si>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</si>
  <si>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</si>
  <si>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</si>
  <si>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</si>
  <si>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</si>
  <si>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</si>
  <si>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</si>
  <si>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</si>
  <si>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</si>
  <si>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</si>
  <si>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</si>
  <si>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</si>
  <si>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</si>
  <si>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</si>
  <si>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</si>
  <si>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</si>
  <si>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</si>
  <si>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</si>
  <si>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</si>
  <si>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</si>
  <si>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</si>
  <si>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</si>
  <si>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</si>
  <si>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</si>
  <si>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</si>
  <si>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</si>
  <si>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</si>
  <si>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</si>
  <si>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</si>
  <si>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</si>
  <si>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</si>
  <si>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</si>
  <si>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</si>
  <si>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</si>
  <si>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</si>
  <si>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</si>
  <si>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</si>
  <si>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</si>
  <si>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</si>
  <si>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</si>
  <si>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</si>
  <si>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</si>
  <si>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</si>
  <si>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</si>
  <si>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</si>
  <si>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</si>
  <si>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</si>
  <si>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</si>
  <si>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</si>
  <si>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</si>
  <si>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</si>
  <si>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</si>
  <si>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</si>
  <si>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</si>
  <si>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</si>
  <si>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</si>
  <si>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</si>
  <si>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</si>
  <si>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</si>
  <si>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</si>
  <si>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</si>
  <si>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</si>
  <si>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</si>
  <si>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</si>
  <si>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</si>
  <si>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</si>
  <si>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</si>
  <si>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</si>
  <si>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</si>
  <si>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</si>
  <si>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</si>
  <si>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</si>
  <si>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</si>
  <si>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</si>
  <si>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</si>
  <si>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</si>
  <si>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</si>
  <si>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</si>
  <si>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</si>
  <si>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</si>
  <si>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</si>
  <si>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</si>
  <si>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</si>
  <si>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</si>
  <si>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</si>
  <si>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</si>
  <si>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</si>
  <si>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</si>
  <si>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</si>
  <si>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</si>
  <si>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</si>
  <si>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</si>
  <si>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</si>
  <si>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</si>
  <si>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</si>
  <si>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</si>
  <si>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</si>
  <si>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</si>
  <si>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</si>
  <si>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</si>
  <si>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</si>
  <si>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</si>
  <si>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</si>
  <si>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</si>
  <si>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</si>
  <si>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</si>
  <si>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</si>
  <si>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</si>
  <si>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</si>
  <si>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</si>
  <si>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</si>
  <si>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</si>
  <si>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</si>
  <si>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</si>
  <si>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</si>
  <si>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</si>
  <si>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</si>
  <si>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</si>
  <si>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</si>
  <si>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</si>
  <si>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</si>
  <si>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</si>
  <si>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</si>
  <si>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</si>
  <si>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</si>
  <si>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</si>
  <si>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</si>
  <si>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</si>
  <si>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</si>
  <si>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</si>
  <si>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</si>
  <si>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</si>
  <si>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</si>
  <si>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</si>
  <si>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</si>
  <si>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</si>
  <si>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</si>
  <si>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</si>
  <si>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</si>
  <si>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</si>
  <si>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</si>
  <si>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</si>
  <si>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</si>
  <si>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</si>
  <si>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</si>
  <si>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</si>
  <si>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</si>
  <si>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</si>
  <si>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</si>
  <si>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</si>
  <si>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</si>
  <si>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</si>
  <si>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</si>
  <si>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</si>
  <si>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</si>
  <si>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</si>
  <si>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</si>
  <si>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</si>
  <si>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</si>
  <si>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</si>
  <si>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</si>
  <si>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</si>
  <si>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</si>
  <si>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</si>
  <si>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</si>
  <si>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</si>
  <si>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</si>
  <si>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</si>
  <si>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</si>
  <si>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</si>
  <si>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</si>
  <si>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</si>
  <si>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</si>
  <si>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</si>
  <si>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</si>
  <si>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</si>
  <si>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</si>
  <si>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</si>
  <si>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</si>
  <si>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</si>
  <si>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</si>
  <si>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</si>
  <si>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</si>
  <si>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</si>
  <si>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</si>
  <si>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</si>
  <si>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</si>
  <si>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</si>
  <si>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</si>
  <si>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</si>
  <si>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</si>
  <si>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</si>
  <si>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</si>
  <si>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</si>
  <si>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</si>
  <si>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</si>
  <si>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</si>
  <si>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</si>
  <si>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</si>
  <si>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</si>
  <si>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</si>
  <si>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</si>
  <si>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</si>
  <si>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</si>
  <si>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</si>
  <si>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</si>
  <si>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</si>
  <si>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</si>
  <si>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</si>
  <si>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</si>
  <si>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</si>
  <si>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</si>
  <si>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</si>
  <si>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</si>
  <si>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</si>
  <si>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</si>
  <si>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</si>
  <si>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</si>
  <si>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</si>
  <si>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</si>
  <si>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</si>
  <si>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</si>
  <si>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</si>
  <si>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</si>
  <si>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</si>
  <si>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</si>
  <si>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</si>
  <si>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</si>
  <si>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</si>
  <si>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</si>
  <si>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</si>
  <si>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</si>
  <si>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</si>
  <si>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</si>
  <si>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</si>
  <si>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</si>
  <si>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</si>
  <si>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</si>
  <si>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</si>
  <si>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</si>
  <si>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</si>
  <si>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</si>
  <si>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</si>
  <si>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</si>
  <si>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</si>
  <si>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</si>
  <si>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</si>
  <si>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</si>
  <si>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</si>
  <si>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</si>
  <si>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</si>
  <si>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</si>
  <si>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</si>
  <si>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</si>
  <si>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</si>
  <si>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</si>
  <si>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</si>
  <si>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</si>
  <si>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</si>
  <si>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</si>
  <si>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</si>
  <si>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</si>
  <si>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</si>
  <si>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</si>
  <si>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</si>
  <si>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</si>
  <si>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</si>
  <si>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</si>
  <si>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</si>
  <si>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</si>
  <si>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</si>
  <si>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</si>
  <si>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</si>
  <si>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</si>
  <si>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</si>
  <si>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</si>
  <si>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</si>
  <si>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</si>
  <si>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</si>
  <si>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</si>
  <si>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</si>
  <si>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</si>
  <si>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</si>
  <si>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</si>
  <si>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</si>
  <si>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</si>
  <si>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</si>
  <si>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</si>
  <si>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</si>
  <si>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</si>
  <si>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</si>
  <si>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</si>
  <si>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</si>
  <si>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</si>
  <si>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</si>
  <si>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</si>
  <si>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</si>
  <si>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</si>
  <si>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</si>
  <si>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</si>
  <si>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</si>
  <si>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</si>
  <si>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</si>
  <si>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</si>
  <si>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</si>
  <si>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</si>
  <si>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</si>
  <si>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</si>
  <si>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</si>
  <si>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</si>
  <si>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</si>
  <si>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</si>
  <si>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</si>
  <si>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</si>
  <si>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</si>
  <si>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</si>
  <si>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</si>
  <si>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</si>
  <si>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</si>
  <si>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</si>
  <si>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</si>
  <si>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</si>
  <si>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</si>
  <si>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</si>
  <si>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</si>
  <si>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</si>
  <si>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</si>
  <si>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</si>
  <si>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</si>
  <si>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</si>
  <si>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</si>
  <si>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</si>
  <si>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</si>
  <si>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</si>
  <si>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</si>
  <si>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</si>
  <si>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</si>
  <si>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</si>
  <si>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</si>
  <si>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</si>
  <si>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</si>
  <si>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</si>
  <si>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</si>
  <si>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</si>
  <si>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</si>
  <si>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</si>
  <si>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</si>
  <si>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</si>
  <si>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</si>
  <si>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</si>
  <si>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</si>
  <si>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</si>
  <si>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</si>
  <si>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</si>
  <si>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</si>
  <si>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</si>
  <si>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</si>
  <si>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</si>
  <si>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</si>
  <si>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</si>
  <si>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</si>
  <si>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</si>
  <si>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</si>
  <si>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</si>
  <si>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</si>
  <si>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</si>
  <si>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</si>
  <si>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</si>
  <si>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</si>
  <si>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</si>
  <si>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</si>
  <si>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</si>
  <si>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</si>
  <si>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</si>
  <si>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</si>
  <si>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</si>
  <si>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</si>
  <si>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</si>
  <si>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</si>
  <si>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</si>
  <si>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</si>
  <si>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</si>
  <si>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</si>
  <si>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</si>
  <si>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</si>
  <si>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</si>
  <si>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</si>
  <si>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</si>
  <si>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</si>
  <si>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</si>
  <si>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</si>
  <si>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</si>
  <si>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</si>
  <si>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</si>
  <si>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</si>
  <si>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</si>
  <si>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</si>
  <si>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</si>
  <si>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</si>
  <si>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</si>
  <si>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</si>
  <si>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</si>
  <si>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</si>
  <si>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</si>
  <si>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</si>
  <si>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</si>
  <si>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</si>
  <si>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</si>
  <si>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</si>
  <si>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</si>
  <si>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</si>
  <si>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</si>
  <si>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</si>
  <si>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</si>
  <si>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</si>
  <si>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</si>
  <si>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</si>
  <si>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</si>
  <si>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</si>
  <si>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</si>
  <si>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</si>
  <si>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</si>
  <si>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</si>
  <si>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</si>
  <si>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</si>
  <si>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</si>
  <si>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</si>
  <si>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</si>
  <si>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</si>
  <si>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</si>
  <si>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</si>
  <si>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</si>
  <si>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</si>
  <si>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</si>
  <si>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</si>
  <si>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</si>
  <si>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</si>
  <si>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</si>
  <si>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</si>
  <si>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</si>
  <si>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</si>
  <si>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</si>
  <si>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</si>
  <si>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</si>
  <si>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</si>
  <si>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</si>
  <si>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</si>
  <si>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</si>
  <si>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</si>
  <si>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</si>
  <si>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</si>
  <si>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</si>
  <si>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</si>
  <si>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</si>
  <si>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</si>
  <si>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</si>
  <si>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</si>
  <si>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</si>
  <si>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</si>
  <si>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</si>
  <si>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</si>
  <si>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</si>
  <si>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</si>
  <si>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</si>
  <si>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</si>
  <si>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</si>
  <si>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</si>
  <si>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</si>
  <si>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</si>
  <si>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</si>
  <si>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</si>
  <si>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</si>
  <si>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</si>
  <si>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</si>
  <si>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</si>
  <si>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</si>
  <si>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</si>
  <si>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</si>
  <si>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</si>
  <si>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</si>
  <si>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</si>
  <si>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</si>
  <si>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</si>
  <si>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</si>
  <si>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</si>
  <si>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</si>
  <si>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</si>
  <si>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</si>
  <si>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INSUMO TESTE UNIDADE NOVA</t>
  </si>
  <si>
    <t>M2XPVM</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</si>
  <si>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</si>
  <si>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</si>
  <si>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</si>
  <si>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</si>
  <si>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</si>
  <si>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</si>
  <si>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</si>
  <si>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</si>
  <si>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</si>
  <si>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</si>
  <si>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</si>
  <si>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</si>
  <si>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</si>
  <si>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</si>
  <si>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</si>
  <si>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</si>
  <si>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</si>
  <si>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</si>
  <si>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</si>
  <si>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</si>
  <si>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</si>
  <si>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</si>
  <si>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</si>
  <si>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</si>
  <si>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</si>
  <si>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</si>
  <si>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</si>
  <si>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</si>
  <si>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</si>
  <si>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</si>
  <si>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</si>
  <si>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</si>
  <si>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</si>
  <si>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</si>
  <si>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</si>
  <si>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</si>
  <si>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</si>
  <si>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</si>
  <si>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</si>
  <si>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</si>
  <si>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</si>
  <si>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</si>
  <si>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</si>
  <si>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</si>
  <si>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</si>
  <si>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</si>
  <si>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</si>
  <si>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</si>
  <si>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</si>
  <si>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</si>
  <si>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</si>
  <si>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</si>
  <si>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</si>
  <si>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</si>
  <si>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</si>
  <si>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</si>
  <si>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</si>
  <si>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</si>
  <si>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</si>
  <si>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</si>
  <si>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</si>
  <si>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</si>
  <si>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</si>
  <si>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</si>
  <si>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</si>
  <si>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</si>
  <si>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</si>
  <si>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</si>
  <si>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</si>
  <si>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</si>
  <si>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</si>
  <si>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</si>
  <si>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</si>
  <si>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</si>
  <si>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</si>
  <si>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</si>
  <si>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</si>
  <si>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</si>
  <si>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</si>
  <si>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</si>
  <si>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</si>
  <si>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</si>
  <si>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</si>
  <si>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</si>
  <si>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</si>
  <si>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</si>
  <si>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</si>
  <si>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</si>
  <si>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</si>
  <si>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</si>
  <si>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</si>
  <si>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</si>
  <si>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</si>
  <si>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</si>
  <si>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</si>
  <si>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</si>
  <si>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</si>
  <si>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</si>
  <si>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</si>
  <si>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</si>
  <si>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</si>
  <si>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</si>
  <si>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</si>
  <si>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</si>
  <si>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</si>
  <si>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</si>
  <si>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</si>
  <si>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</si>
  <si>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</si>
  <si>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</si>
  <si>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</si>
  <si>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</si>
  <si>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</si>
  <si>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</si>
  <si>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</si>
  <si>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</si>
  <si>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</si>
  <si>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</si>
  <si>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</si>
  <si>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</si>
  <si>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</si>
  <si>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</si>
  <si>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</si>
  <si>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</si>
  <si>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</si>
  <si>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</si>
  <si>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</si>
  <si>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</si>
  <si>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</si>
  <si>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</si>
  <si>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</si>
  <si>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</si>
  <si>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</si>
  <si>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</si>
  <si>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</si>
  <si>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</si>
  <si>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</si>
  <si>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</si>
  <si>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</si>
  <si>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</si>
  <si>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</si>
  <si>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</si>
  <si>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</si>
  <si>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</si>
  <si>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</si>
  <si>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</si>
  <si>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</si>
  <si>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</si>
  <si>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</si>
  <si>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</si>
  <si>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</si>
  <si>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</si>
  <si>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</si>
  <si>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</si>
  <si>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</si>
  <si>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</si>
  <si>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</si>
  <si>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</si>
  <si>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</si>
  <si>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</si>
  <si>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</si>
  <si>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</si>
  <si>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</si>
  <si>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</si>
  <si>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</si>
  <si>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</si>
  <si>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</si>
  <si>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</si>
  <si>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</si>
  <si>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</si>
  <si>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</si>
  <si>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</si>
  <si>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</si>
  <si>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</si>
  <si>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</si>
  <si>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</si>
  <si>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</si>
  <si>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</si>
  <si>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</si>
  <si>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</si>
  <si>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</si>
  <si>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</si>
  <si>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</si>
  <si>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</si>
  <si>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</si>
  <si>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</si>
  <si>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</si>
  <si>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</si>
  <si>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</si>
  <si>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</si>
  <si>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</si>
  <si>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</si>
  <si>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</si>
  <si>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</si>
  <si>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</si>
  <si>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</si>
  <si>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</si>
  <si>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</si>
  <si>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</si>
  <si>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</si>
  <si>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</si>
  <si>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</si>
  <si>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</si>
  <si>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</si>
  <si>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</si>
  <si>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</si>
  <si>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</si>
  <si>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</si>
  <si>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</si>
  <si>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</si>
  <si>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</si>
  <si>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</si>
  <si>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</si>
  <si>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</si>
  <si>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</si>
  <si>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</si>
  <si>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</si>
  <si>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</si>
  <si>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</si>
  <si>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</si>
  <si>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</si>
  <si>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</si>
  <si>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</si>
  <si>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</si>
  <si>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</si>
  <si>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</si>
  <si>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</si>
  <si>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</si>
  <si>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</si>
  <si>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</si>
  <si>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</si>
  <si>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</si>
  <si>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</si>
  <si>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</si>
  <si>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</si>
  <si>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</si>
  <si>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</si>
  <si>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</si>
  <si>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</si>
  <si>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</si>
  <si>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</si>
  <si>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</si>
  <si>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</si>
  <si>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</si>
  <si>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</si>
  <si>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</si>
  <si>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</si>
  <si>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</si>
  <si>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</si>
  <si>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</si>
  <si>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</si>
  <si>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</si>
  <si>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</si>
  <si>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</si>
  <si>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</si>
  <si>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</si>
  <si>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</si>
  <si>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</si>
  <si>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</si>
  <si>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</si>
  <si>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</si>
  <si>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</si>
  <si>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</si>
  <si>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</si>
  <si>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</si>
  <si>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</si>
  <si>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</si>
  <si>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</si>
  <si>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</si>
  <si>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</si>
  <si>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</si>
  <si>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</si>
  <si>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</si>
  <si>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</si>
  <si>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</si>
  <si>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</si>
  <si>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</si>
  <si>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</si>
  <si>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</si>
  <si>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</si>
  <si>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</si>
  <si>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</si>
  <si>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</si>
  <si>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</si>
  <si>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</si>
  <si>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</si>
  <si>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</si>
  <si>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</si>
  <si>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</si>
  <si>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</si>
  <si>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</si>
  <si>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</si>
  <si>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</si>
  <si>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</si>
  <si>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</si>
  <si>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</si>
  <si>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</si>
  <si>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</si>
  <si>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</si>
  <si>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</si>
  <si>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</si>
  <si>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</si>
  <si>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</si>
  <si>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</si>
  <si>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</si>
  <si>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</si>
  <si>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</si>
  <si>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</si>
  <si>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</si>
  <si>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</si>
  <si>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</si>
  <si>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</si>
  <si>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EQUIPAMENTO (LOCAÇÃO)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</si>
  <si>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</si>
  <si>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</si>
  <si>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</si>
  <si>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</si>
  <si>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</si>
  <si>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</si>
  <si>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</si>
  <si>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</si>
  <si>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</si>
  <si>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</si>
  <si>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</si>
  <si>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</si>
  <si>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</si>
  <si>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</si>
  <si>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</si>
  <si>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</si>
  <si>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</si>
  <si>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</si>
  <si>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</si>
  <si>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</si>
  <si>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</si>
  <si>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</si>
  <si>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</si>
  <si>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</si>
  <si>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</si>
  <si>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</si>
  <si>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</si>
  <si>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</si>
  <si>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</si>
  <si>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</si>
  <si>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</si>
  <si>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</si>
  <si>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</si>
  <si>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</si>
  <si>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</si>
  <si>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</si>
  <si>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</si>
  <si>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</si>
  <si>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</si>
  <si>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</si>
  <si>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</si>
  <si>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</si>
  <si>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</si>
  <si>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</si>
  <si>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</si>
  <si>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</si>
  <si>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</si>
  <si>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</si>
  <si>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</si>
  <si>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</si>
  <si>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</si>
  <si>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</si>
  <si>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</si>
  <si>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</si>
  <si>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</si>
  <si>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</si>
  <si>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</si>
  <si>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</si>
  <si>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</si>
  <si>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</si>
  <si>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</si>
  <si>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</si>
  <si>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</si>
  <si>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</si>
  <si>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</si>
  <si>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</si>
  <si>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</si>
  <si>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</si>
  <si>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</si>
  <si>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</si>
  <si>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</si>
  <si>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</si>
  <si>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</si>
  <si>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</si>
  <si>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</si>
  <si>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</si>
  <si>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</si>
  <si>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</si>
  <si>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</si>
  <si>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</si>
  <si>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</si>
  <si>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</si>
  <si>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</si>
  <si>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</si>
  <si>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</si>
  <si>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</si>
  <si>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</si>
  <si>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</si>
  <si>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</si>
  <si>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</si>
  <si>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</si>
  <si>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</si>
  <si>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</si>
  <si>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</si>
  <si>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</si>
  <si>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</si>
  <si>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</si>
  <si>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</si>
  <si>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</si>
  <si>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</si>
  <si>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</si>
  <si>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</si>
  <si>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</si>
  <si>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</si>
  <si>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</si>
  <si>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</si>
  <si>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</si>
  <si>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</si>
  <si>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</si>
  <si>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</si>
  <si>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</si>
  <si>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</si>
  <si>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</si>
  <si>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</si>
  <si>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</si>
  <si>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</si>
  <si>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</si>
  <si>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</si>
  <si>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</si>
  <si>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</si>
  <si>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</si>
  <si>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</si>
  <si>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</si>
  <si>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</si>
  <si>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</si>
  <si>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</si>
  <si>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</si>
  <si>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</si>
  <si>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</si>
  <si>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</si>
  <si>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</si>
  <si>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</si>
  <si>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</si>
  <si>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</si>
  <si>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</si>
  <si>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</si>
  <si>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</si>
  <si>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</si>
  <si>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</si>
  <si>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</si>
  <si>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</si>
  <si>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</si>
  <si>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</si>
  <si>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</si>
  <si>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</si>
  <si>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</si>
  <si>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</si>
  <si>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</si>
  <si>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</si>
  <si>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</si>
  <si>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</si>
  <si>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</si>
  <si>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</si>
  <si>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</si>
  <si>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</si>
  <si>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</si>
  <si>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</si>
  <si>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</si>
  <si>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</si>
  <si>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</si>
  <si>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</si>
  <si>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</si>
  <si>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</si>
  <si>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</si>
  <si>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</si>
  <si>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</si>
  <si>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</si>
  <si>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</si>
  <si>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</si>
  <si>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</si>
  <si>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</si>
  <si>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</si>
  <si>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</si>
  <si>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</si>
  <si>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</si>
  <si>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</si>
  <si>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</si>
  <si>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</si>
  <si>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</si>
  <si>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</si>
  <si>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</si>
  <si>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</si>
  <si>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</si>
  <si>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</si>
  <si>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</si>
  <si>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</si>
  <si>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</si>
  <si>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</si>
  <si>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</si>
  <si>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</si>
  <si>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</si>
  <si>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</si>
  <si>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</si>
  <si>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</si>
  <si>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</si>
  <si>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</si>
  <si>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</si>
  <si>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</si>
  <si>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</si>
  <si>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</si>
  <si>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</si>
  <si>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</si>
  <si>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</si>
  <si>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</si>
  <si>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</si>
  <si>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</si>
  <si>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</si>
  <si>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</si>
  <si>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</si>
  <si>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</si>
  <si>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</si>
  <si>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</si>
  <si>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</si>
  <si>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</si>
  <si>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</si>
  <si>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</si>
  <si>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</si>
  <si>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</si>
  <si>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</si>
  <si>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</si>
  <si>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</si>
  <si>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</si>
  <si>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</si>
  <si>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</si>
  <si>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</si>
  <si>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</si>
  <si>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</si>
  <si>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</si>
  <si>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</si>
  <si>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</si>
  <si>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</si>
  <si>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</si>
  <si>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</si>
  <si>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</si>
  <si>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</si>
  <si>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</si>
  <si>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</si>
  <si>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</si>
  <si>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</si>
  <si>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</si>
  <si>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</si>
  <si>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</si>
  <si>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</si>
  <si>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</si>
  <si>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</si>
  <si>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</si>
  <si>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</si>
  <si>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</si>
  <si>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</si>
  <si>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</si>
  <si>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</si>
  <si>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</si>
  <si>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</si>
  <si>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</si>
  <si>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</si>
  <si>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</si>
  <si>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</si>
  <si>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</si>
  <si>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</si>
  <si>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</si>
  <si>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</si>
  <si>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</si>
  <si>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</si>
  <si>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</si>
  <si>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</si>
  <si>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</si>
  <si>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</si>
  <si>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</si>
  <si>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</si>
  <si>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</si>
  <si>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</si>
  <si>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</si>
  <si>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</si>
  <si>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</si>
  <si>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</si>
  <si>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</si>
  <si>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</si>
  <si>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</si>
  <si>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</si>
  <si>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</si>
  <si>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</si>
  <si>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</si>
  <si>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</si>
  <si>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</si>
  <si>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</si>
  <si>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</si>
  <si>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</si>
  <si>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</si>
  <si>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</si>
  <si>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</si>
  <si>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</si>
  <si>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</si>
  <si>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</si>
  <si>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</si>
  <si>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</si>
  <si>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</si>
  <si>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</si>
  <si>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</si>
  <si>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</si>
  <si>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</si>
  <si>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</si>
  <si>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</si>
  <si>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</si>
  <si>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</si>
  <si>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</si>
  <si>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</si>
  <si>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</si>
  <si>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</si>
  <si>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</si>
  <si>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</si>
  <si>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</si>
  <si>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</si>
  <si>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</si>
  <si>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</si>
  <si>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</si>
  <si>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</si>
  <si>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</si>
  <si>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</si>
  <si>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</si>
  <si>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</si>
  <si>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</si>
  <si>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</si>
  <si>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</si>
  <si>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</si>
  <si>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</si>
  <si>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</si>
  <si>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</si>
  <si>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</si>
  <si>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</si>
  <si>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</si>
  <si>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</si>
  <si>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</si>
  <si>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</si>
  <si>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</si>
  <si>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</si>
  <si>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</si>
  <si>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</si>
  <si>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</si>
  <si>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</si>
  <si>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</si>
  <si>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</si>
  <si>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</si>
  <si>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</si>
  <si>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</si>
  <si>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</si>
  <si>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</si>
  <si>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</si>
  <si>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</si>
  <si>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</si>
  <si>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</si>
  <si>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</si>
  <si>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</si>
  <si>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</si>
  <si>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</si>
  <si>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</si>
  <si>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</si>
  <si>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</si>
  <si>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</si>
  <si>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</si>
  <si>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</si>
  <si>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</si>
  <si>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</si>
  <si>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</si>
  <si>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</si>
  <si>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</si>
  <si>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</si>
  <si>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</si>
  <si>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</si>
  <si>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</si>
  <si>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</si>
  <si>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</si>
  <si>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</si>
  <si>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</si>
  <si>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</si>
  <si>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</si>
  <si>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</si>
  <si>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</si>
  <si>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</si>
  <si>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</si>
  <si>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</si>
  <si>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</si>
  <si>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</si>
  <si>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</si>
  <si>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</si>
  <si>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</si>
  <si>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</si>
  <si>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</si>
  <si>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</si>
  <si>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</si>
  <si>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</si>
  <si>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</si>
  <si>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</si>
  <si>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</si>
  <si>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</si>
  <si>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</si>
  <si>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</si>
  <si>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</si>
  <si>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</si>
  <si>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</si>
  <si>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</si>
  <si>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</si>
  <si>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</si>
  <si>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</si>
  <si>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</si>
  <si>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</si>
  <si>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</si>
  <si>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</si>
  <si>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</si>
  <si>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</si>
  <si>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</si>
  <si>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</si>
  <si>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</si>
  <si>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</si>
  <si>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</si>
  <si>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</si>
  <si>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</si>
  <si>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</si>
  <si>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</si>
  <si>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</si>
  <si>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</si>
  <si>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</si>
  <si>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</si>
  <si>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</si>
  <si>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</si>
  <si>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</si>
  <si>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</si>
  <si>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</si>
  <si>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</si>
  <si>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</si>
  <si>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</si>
  <si>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</si>
  <si>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</si>
  <si>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</si>
  <si>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</si>
  <si>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</si>
  <si>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</si>
  <si>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</si>
  <si>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</si>
  <si>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</si>
  <si>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</si>
  <si>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</si>
  <si>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</si>
  <si>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</si>
  <si>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</si>
  <si>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</si>
  <si>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</si>
  <si>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</si>
  <si>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</si>
  <si>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</si>
  <si>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</si>
  <si>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</si>
  <si>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</si>
  <si>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</si>
  <si>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</si>
  <si>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</si>
  <si>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</si>
  <si>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</si>
  <si>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</si>
  <si>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</si>
  <si>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</si>
  <si>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</si>
  <si>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</si>
  <si>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</si>
  <si>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</si>
  <si>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</si>
  <si>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</si>
  <si>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</si>
  <si>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</si>
  <si>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</si>
  <si>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</si>
  <si>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</si>
  <si>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</si>
  <si>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</si>
  <si>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</si>
  <si>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</si>
  <si>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</si>
  <si>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</si>
  <si>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</si>
  <si>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</si>
  <si>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</si>
  <si>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</si>
  <si>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</si>
  <si>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</si>
  <si>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</si>
  <si>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</si>
  <si>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</si>
  <si>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</si>
  <si>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</si>
  <si>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</si>
  <si>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</si>
  <si>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</si>
  <si>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</si>
  <si>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</si>
  <si>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</si>
  <si>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</si>
  <si>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</si>
  <si>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</si>
  <si>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</si>
  <si>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</si>
  <si>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</si>
  <si>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</si>
  <si>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</si>
  <si>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</si>
  <si>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</si>
  <si>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</si>
  <si>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</si>
  <si>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</si>
  <si>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</si>
  <si>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</si>
  <si>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</si>
  <si>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</si>
  <si>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</si>
  <si>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</si>
  <si>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</si>
  <si>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</si>
  <si>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</si>
  <si>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</si>
  <si>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</si>
  <si>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</si>
  <si>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</si>
  <si>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</si>
  <si>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</si>
  <si>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</si>
  <si>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</si>
  <si>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</si>
  <si>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</si>
  <si>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</si>
  <si>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</si>
  <si>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</si>
  <si>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</si>
  <si>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</si>
  <si>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</si>
  <si>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</si>
  <si>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</si>
  <si>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</si>
  <si>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</si>
  <si>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</si>
  <si>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</si>
  <si>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</si>
  <si>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</si>
  <si>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</si>
  <si>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</si>
  <si>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</si>
  <si>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</si>
  <si>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</si>
  <si>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</si>
  <si>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</si>
  <si>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</si>
  <si>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</si>
  <si>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</si>
  <si>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</si>
  <si>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</si>
  <si>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</si>
  <si>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</si>
  <si>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</si>
  <si>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</si>
  <si>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</si>
  <si>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</si>
  <si>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</si>
  <si>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</si>
  <si>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</si>
  <si>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</si>
  <si>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</si>
  <si>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</si>
  <si>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</si>
  <si>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</si>
  <si>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</si>
  <si>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</si>
  <si>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</si>
  <si>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</si>
  <si>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</si>
  <si>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</si>
  <si>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</si>
  <si>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</si>
  <si>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</si>
  <si>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</si>
  <si>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</si>
  <si>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</si>
  <si>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</si>
  <si>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</si>
  <si>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</si>
  <si>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</si>
  <si>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</si>
  <si>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</si>
  <si>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</si>
  <si>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</si>
  <si>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</si>
  <si>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</si>
  <si>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</si>
  <si>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</si>
  <si>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</si>
  <si>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</si>
  <si>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</si>
  <si>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</si>
  <si>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</si>
  <si>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</si>
  <si>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</si>
  <si>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</si>
  <si>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</si>
  <si>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</si>
  <si>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</si>
  <si>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</si>
  <si>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</si>
  <si>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</si>
  <si>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</si>
  <si>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</si>
  <si>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</si>
  <si>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</si>
  <si>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</si>
  <si>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</si>
  <si>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</si>
  <si>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</si>
  <si>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</si>
  <si>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</si>
  <si>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</si>
  <si>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</si>
  <si>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</si>
  <si>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</si>
  <si>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</si>
  <si>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</si>
  <si>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</si>
  <si>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</si>
  <si>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</si>
  <si>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</si>
  <si>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</si>
  <si>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</si>
  <si>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</si>
  <si>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</si>
  <si>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</si>
  <si>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</si>
  <si>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</si>
  <si>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</si>
  <si>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</si>
  <si>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</si>
  <si>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</si>
  <si>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</si>
  <si>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</si>
  <si>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</si>
  <si>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</si>
  <si>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</si>
  <si>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</si>
  <si>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</si>
  <si>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</si>
  <si>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</si>
  <si>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</si>
  <si>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</si>
  <si>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</si>
  <si>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</si>
  <si>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</si>
  <si>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</si>
  <si>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</si>
  <si>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</si>
  <si>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</si>
  <si>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</si>
  <si>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</si>
  <si>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</si>
  <si>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</si>
  <si>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</si>
  <si>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</si>
  <si>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</si>
  <si>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</si>
  <si>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</si>
  <si>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</si>
  <si>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</si>
  <si>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</si>
  <si>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</si>
  <si>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</si>
  <si>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</si>
  <si>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</si>
  <si>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</si>
  <si>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</si>
  <si>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</si>
  <si>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</si>
  <si>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</si>
  <si>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</si>
  <si>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</si>
  <si>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</si>
  <si>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</si>
  <si>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</si>
  <si>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</si>
  <si>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</si>
  <si>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</si>
  <si>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1/4_x0094_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</si>
  <si>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</si>
  <si>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</si>
  <si>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</si>
  <si>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</si>
  <si>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</si>
  <si>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</si>
  <si>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</si>
  <si>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</si>
  <si>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</si>
  <si>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</si>
  <si>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</si>
  <si>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</si>
  <si>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</si>
  <si>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</si>
  <si>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</si>
  <si>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</si>
  <si>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</si>
  <si>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</si>
  <si>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</si>
  <si>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</si>
  <si>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</si>
  <si>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</si>
  <si>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</si>
  <si>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</si>
  <si>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</si>
  <si>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</si>
  <si>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</si>
  <si>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</si>
  <si>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</si>
  <si>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</si>
  <si>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</si>
  <si>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</si>
  <si>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</si>
  <si>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</si>
  <si>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</si>
  <si>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</si>
  <si>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</si>
  <si>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</si>
  <si>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</si>
  <si>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</si>
  <si>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</si>
  <si>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</si>
  <si>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</si>
  <si>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</si>
  <si>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</si>
  <si>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</si>
  <si>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</si>
  <si>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</si>
  <si>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</si>
  <si>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</si>
  <si>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</si>
  <si>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</si>
  <si>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</si>
  <si>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</si>
  <si>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</si>
  <si>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</si>
  <si>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</si>
  <si>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</si>
  <si>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</si>
  <si>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</si>
  <si>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</si>
  <si>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</si>
  <si>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</si>
  <si>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</si>
  <si>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</si>
  <si>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</si>
  <si>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</si>
  <si>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</si>
  <si>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</si>
  <si>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</si>
  <si>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</si>
  <si>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</si>
  <si>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</si>
  <si>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</si>
  <si>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</si>
  <si>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</si>
  <si>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</si>
  <si>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</si>
  <si>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</si>
  <si>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</si>
  <si>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</si>
  <si>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</si>
  <si>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</si>
  <si>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</si>
  <si>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</si>
  <si>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</si>
  <si>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</si>
  <si>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</si>
  <si>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</si>
  <si>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</si>
  <si>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</si>
  <si>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</si>
  <si>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</si>
  <si>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</si>
  <si>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</si>
  <si>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</si>
  <si>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</si>
  <si>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</si>
  <si>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</si>
  <si>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</si>
  <si>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</si>
  <si>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</si>
  <si>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</si>
  <si>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</si>
  <si>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</si>
  <si>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</si>
  <si>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</si>
  <si>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</si>
  <si>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</si>
  <si>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</si>
  <si>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</si>
  <si>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</si>
  <si>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</si>
  <si>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</si>
  <si>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</si>
  <si>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</si>
  <si>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</si>
  <si>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</si>
  <si>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</si>
  <si>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</si>
  <si>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</si>
  <si>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</si>
  <si>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</si>
  <si>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</si>
  <si>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</si>
  <si>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</si>
  <si>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</si>
  <si>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</si>
  <si>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</si>
  <si>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</si>
  <si>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</si>
  <si>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</si>
  <si>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</si>
  <si>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</si>
  <si>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</si>
  <si>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</si>
  <si>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</si>
  <si>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</si>
  <si>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</si>
  <si>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</si>
  <si>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</si>
  <si>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</si>
  <si>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</si>
  <si>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</si>
  <si>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</si>
  <si>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</si>
  <si>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</si>
  <si>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</si>
  <si>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</si>
  <si>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</si>
  <si>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</si>
  <si>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</si>
  <si>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</si>
  <si>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</si>
  <si>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</si>
  <si>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</si>
  <si>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</si>
  <si>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</si>
  <si>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</si>
  <si>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</si>
  <si>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</si>
  <si>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</si>
  <si>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</si>
  <si>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</si>
  <si>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</si>
  <si>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</si>
  <si>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</si>
  <si>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</si>
  <si>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</si>
  <si>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</si>
  <si>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</si>
  <si>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</si>
  <si>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</si>
  <si>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</si>
  <si>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</si>
  <si>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</si>
  <si>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</si>
  <si>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</si>
  <si>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</si>
  <si>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</si>
  <si>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</si>
  <si>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</si>
  <si>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</si>
  <si>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</si>
  <si>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</si>
  <si>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</si>
  <si>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</si>
  <si>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</si>
  <si>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</si>
  <si>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</si>
  <si>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</si>
  <si>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</si>
  <si>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</si>
  <si>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</si>
  <si>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</si>
  <si>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</si>
  <si>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</si>
  <si>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</si>
  <si>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</si>
  <si>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</si>
  <si>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</si>
  <si>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</si>
  <si>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</si>
  <si>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</si>
  <si>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</si>
  <si>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</si>
  <si>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</si>
  <si>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</si>
  <si>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</si>
  <si>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</si>
  <si>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</si>
  <si>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</si>
  <si>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</si>
  <si>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</si>
  <si>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</si>
  <si>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</si>
  <si>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</si>
  <si>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</si>
  <si>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</si>
  <si>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</si>
  <si>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</si>
  <si>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</si>
  <si>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</si>
  <si>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</si>
  <si>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</si>
  <si>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</si>
  <si>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</si>
  <si>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</si>
  <si>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</si>
  <si>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</si>
  <si>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</si>
  <si>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</si>
  <si>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</si>
  <si>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</si>
  <si>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</si>
  <si>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</si>
  <si>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</si>
  <si>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</si>
  <si>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</si>
  <si>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</si>
  <si>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</si>
  <si>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</si>
  <si>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</si>
  <si>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</si>
  <si>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</si>
  <si>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</si>
  <si>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</si>
  <si>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</si>
  <si>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</si>
  <si>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</si>
  <si>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</si>
  <si>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</si>
  <si>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</si>
  <si>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</si>
  <si>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</si>
  <si>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</si>
  <si>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</si>
  <si>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</si>
  <si>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</si>
  <si>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</si>
  <si>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</si>
  <si>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</si>
  <si>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</si>
  <si>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</si>
  <si>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</si>
  <si>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</si>
  <si>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</si>
  <si>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</si>
  <si>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</si>
  <si>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</si>
  <si>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</si>
  <si>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</si>
  <si>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</si>
  <si>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</si>
  <si>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</si>
  <si>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</si>
  <si>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</si>
  <si>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</si>
  <si>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</si>
  <si>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</si>
  <si>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</si>
  <si>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</si>
  <si>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</si>
  <si>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</si>
  <si>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</si>
  <si>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</si>
  <si>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</si>
  <si>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</si>
  <si>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</si>
  <si>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</si>
  <si>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</si>
  <si>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</si>
  <si>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</si>
  <si>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</si>
  <si>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</si>
  <si>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</si>
  <si>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</si>
  <si>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</si>
  <si>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</si>
  <si>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</si>
  <si>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</si>
  <si>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</si>
  <si>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</si>
  <si>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</si>
  <si>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</si>
  <si>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</si>
  <si>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</si>
  <si>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</si>
  <si>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</si>
  <si>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</si>
  <si>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</si>
  <si>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</si>
  <si>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</si>
  <si>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</si>
  <si>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</si>
  <si>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</si>
  <si>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</si>
  <si>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</si>
  <si>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</si>
  <si>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</si>
  <si>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</si>
  <si>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</si>
  <si>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</si>
  <si>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</si>
  <si>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</si>
  <si>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</si>
  <si>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</si>
  <si>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</si>
  <si>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</si>
  <si>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</si>
  <si>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</si>
  <si>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</si>
  <si>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</si>
  <si>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</si>
  <si>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</si>
  <si>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</si>
  <si>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</si>
  <si>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</si>
  <si>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</si>
  <si>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</si>
  <si>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</si>
  <si>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</si>
  <si>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</si>
  <si>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</si>
  <si>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</si>
  <si>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</si>
  <si>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</si>
  <si>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</si>
  <si>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</si>
  <si>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</si>
  <si>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</si>
  <si>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</si>
  <si>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</si>
  <si>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</si>
  <si>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</si>
  <si>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</si>
  <si>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</si>
  <si>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</si>
  <si>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</si>
  <si>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</si>
  <si>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</si>
  <si>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</si>
  <si>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</si>
  <si>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</si>
  <si>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</si>
  <si>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</si>
  <si>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</si>
  <si>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</si>
  <si>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</si>
  <si>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</si>
  <si>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</si>
  <si>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</si>
  <si>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</si>
  <si>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</si>
  <si>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</si>
  <si>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</si>
  <si>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</si>
  <si>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</si>
  <si>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</si>
  <si>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</si>
  <si>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</si>
  <si>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</si>
  <si>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</si>
  <si>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</si>
  <si>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</si>
  <si>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</si>
  <si>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</si>
  <si>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</si>
  <si>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</si>
  <si>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</si>
  <si>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</si>
  <si>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</si>
  <si>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</si>
  <si>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</si>
  <si>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</si>
  <si>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</si>
  <si>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</si>
  <si>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</si>
  <si>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</si>
  <si>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</si>
  <si>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</si>
  <si>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</si>
  <si>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</si>
  <si>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</si>
  <si>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</si>
  <si>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</si>
  <si>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</si>
  <si>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</si>
  <si>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</si>
  <si>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</si>
  <si>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</si>
  <si>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</si>
  <si>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</si>
  <si>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</si>
  <si>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</si>
  <si>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</si>
  <si>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</si>
  <si>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</si>
  <si>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</si>
  <si>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</si>
  <si>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</si>
  <si>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</si>
  <si>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</si>
  <si>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</si>
  <si>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</si>
  <si>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</si>
  <si>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</si>
  <si>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</si>
  <si>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</si>
  <si>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</si>
  <si>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</si>
  <si>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</si>
  <si>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</si>
  <si>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</si>
  <si>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</si>
  <si>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</si>
  <si>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</si>
  <si>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</si>
  <si>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</si>
  <si>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</si>
  <si>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</si>
  <si>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</si>
  <si>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</si>
  <si>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</si>
  <si>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</si>
  <si>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</si>
  <si>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</si>
  <si>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</si>
  <si>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</si>
  <si>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</si>
  <si>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</si>
  <si>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</si>
  <si>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</si>
  <si>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</si>
  <si>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</si>
  <si>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</si>
  <si>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</si>
  <si>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</si>
  <si>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</si>
  <si>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</si>
  <si>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</si>
  <si>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</si>
  <si>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</si>
  <si>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</si>
  <si>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</si>
  <si>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</si>
  <si>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</si>
  <si>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</si>
  <si>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</si>
  <si>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</si>
  <si>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</si>
  <si>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</si>
  <si>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</si>
  <si>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</si>
  <si>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</si>
  <si>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</si>
  <si>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</si>
  <si>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</si>
  <si>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</si>
  <si>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</si>
  <si>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</si>
  <si>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</si>
  <si>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</si>
  <si>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</si>
  <si>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</si>
  <si>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</si>
  <si>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</si>
  <si>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</si>
  <si>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</si>
  <si>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</si>
  <si>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</si>
  <si>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</si>
  <si>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</si>
  <si>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</si>
  <si>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</si>
  <si>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</si>
  <si>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</si>
  <si>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</si>
  <si>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</si>
  <si>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</si>
  <si>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</si>
  <si>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</si>
  <si>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</si>
  <si>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</si>
  <si>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</si>
  <si>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</si>
  <si>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</si>
  <si>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</si>
  <si>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</si>
  <si>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</si>
  <si>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</si>
  <si>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</si>
  <si>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</si>
  <si>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</si>
  <si>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</si>
  <si>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</si>
  <si>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</si>
  <si>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</si>
  <si>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</si>
  <si>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</si>
  <si>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</si>
  <si>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</si>
  <si>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</si>
  <si>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</si>
  <si>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</si>
  <si>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</si>
  <si>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</si>
  <si>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</si>
  <si>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</si>
  <si>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</si>
  <si>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</si>
  <si>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</si>
  <si>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</si>
  <si>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</si>
  <si>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</si>
  <si>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</si>
  <si>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</si>
  <si>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</si>
  <si>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</si>
  <si>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</si>
  <si>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</si>
  <si>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</si>
  <si>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</si>
  <si>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</si>
  <si>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</si>
  <si>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</si>
  <si>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</si>
  <si>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</si>
  <si>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</si>
  <si>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</si>
  <si>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</si>
  <si>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</si>
  <si>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</si>
  <si>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</si>
  <si>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</si>
  <si>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</si>
  <si>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</si>
  <si>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</si>
  <si>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</si>
  <si>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</si>
  <si>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</si>
  <si>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</si>
  <si>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</si>
  <si>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</si>
  <si>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</si>
  <si>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</si>
  <si>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</si>
  <si>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</si>
  <si>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</si>
  <si>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</si>
  <si>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</si>
  <si>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</si>
  <si>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</si>
  <si>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</si>
  <si>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</si>
  <si>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</si>
  <si>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</si>
  <si>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</si>
  <si>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</si>
  <si>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</si>
  <si>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</si>
  <si>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</si>
  <si>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</si>
  <si>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</si>
  <si>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</si>
  <si>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</si>
  <si>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</si>
  <si>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</si>
  <si>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</si>
  <si>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</si>
  <si>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</si>
  <si>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</si>
  <si>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</si>
  <si>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</si>
  <si>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</si>
  <si>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</si>
  <si>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</si>
  <si>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</si>
  <si>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</si>
  <si>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</si>
  <si>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</si>
  <si>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</si>
  <si>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</si>
  <si>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</si>
  <si>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</si>
  <si>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</si>
  <si>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</si>
  <si>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</si>
  <si>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</si>
  <si>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</si>
  <si>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</si>
  <si>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</si>
  <si>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</si>
  <si>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</si>
  <si>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</si>
  <si>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</si>
  <si>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</si>
  <si>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</si>
  <si>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</si>
  <si>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</si>
  <si>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</si>
  <si>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</si>
  <si>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</si>
  <si>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</si>
  <si>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</si>
  <si>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</si>
  <si>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</si>
  <si>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</si>
  <si>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</si>
  <si>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</si>
  <si>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</si>
  <si>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</si>
  <si>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</si>
  <si>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</si>
  <si>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</si>
  <si>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</si>
  <si>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</si>
  <si>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</si>
  <si>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</si>
  <si>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</si>
  <si>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</si>
  <si>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</si>
  <si>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</si>
  <si>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</si>
  <si>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</si>
  <si>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</si>
  <si>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</si>
  <si>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</si>
  <si>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</si>
  <si>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</si>
  <si>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</si>
  <si>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</si>
  <si>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</si>
  <si>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</si>
  <si>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</si>
  <si>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</si>
  <si>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</si>
  <si>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</si>
  <si>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</si>
  <si>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</si>
  <si>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</si>
  <si>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</si>
  <si>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</si>
  <si>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</si>
  <si>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</si>
  <si>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</si>
  <si>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</si>
  <si>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</si>
  <si>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</si>
  <si>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</si>
  <si>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</si>
  <si>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</si>
  <si>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</si>
  <si>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</si>
  <si>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</si>
  <si>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</si>
  <si>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</si>
  <si>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</si>
  <si>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</si>
  <si>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</si>
  <si>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</si>
  <si>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</si>
  <si>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</si>
  <si>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</si>
  <si>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</si>
  <si>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</si>
  <si>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</si>
  <si>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</si>
  <si>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</si>
  <si>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</si>
  <si>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</si>
  <si>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</si>
  <si>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</si>
  <si>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</si>
  <si>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</si>
  <si>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</si>
  <si>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</si>
  <si>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</si>
  <si>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</si>
  <si>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</si>
  <si>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</si>
  <si>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</si>
  <si>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</si>
  <si>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</si>
  <si>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</si>
  <si>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</si>
  <si>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</si>
  <si>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</si>
  <si>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</si>
  <si>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</si>
  <si>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</si>
  <si>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</si>
  <si>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</si>
  <si>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</si>
  <si>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</si>
  <si>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</si>
  <si>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</si>
  <si>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</si>
  <si>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</si>
  <si>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</si>
  <si>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</si>
  <si>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</si>
  <si>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</si>
  <si>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</si>
  <si>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</si>
  <si>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</si>
  <si>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</si>
  <si>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</si>
  <si>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</si>
  <si>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</si>
  <si>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</si>
  <si>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</si>
  <si>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</si>
  <si>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</si>
  <si>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</si>
  <si>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</si>
  <si>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</si>
  <si>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</si>
  <si>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</si>
  <si>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</si>
  <si>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</si>
  <si>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</si>
  <si>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</si>
  <si>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</si>
  <si>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</si>
  <si>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</si>
  <si>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</si>
  <si>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</si>
  <si>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</si>
  <si>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</si>
  <si>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</si>
  <si>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</si>
  <si>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</si>
  <si>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</si>
  <si>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</si>
  <si>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</si>
  <si>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</si>
  <si>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</si>
  <si>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</si>
  <si>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</si>
  <si>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</si>
  <si>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</si>
  <si>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</si>
  <si>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</si>
  <si>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</si>
  <si>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</si>
  <si>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</si>
  <si>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</si>
  <si>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</si>
  <si>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</si>
  <si>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</si>
  <si>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</si>
  <si>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</si>
  <si>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</si>
  <si>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</si>
  <si>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</si>
  <si>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</si>
  <si>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</si>
  <si>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</si>
  <si>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</si>
  <si>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</si>
  <si>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</si>
  <si>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</si>
  <si>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</si>
  <si>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</si>
  <si>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</si>
  <si>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</si>
  <si>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</si>
  <si>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</si>
  <si>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</si>
  <si>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</si>
  <si>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</si>
  <si>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</si>
  <si>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</si>
  <si>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</si>
  <si>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</si>
  <si>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</si>
  <si>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</si>
  <si>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</si>
  <si>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</si>
  <si>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</si>
  <si>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</si>
  <si>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</si>
  <si>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</si>
  <si>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</si>
  <si>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</si>
  <si>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</si>
  <si>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</si>
  <si>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</si>
  <si>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</si>
  <si>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</si>
  <si>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</si>
  <si>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</si>
  <si>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</si>
  <si>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</si>
  <si>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</si>
  <si>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</si>
  <si>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</si>
  <si>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</si>
  <si>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</si>
  <si>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</si>
  <si>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</si>
  <si>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</si>
  <si>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</si>
  <si>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</si>
  <si>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</si>
  <si>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</si>
  <si>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</si>
  <si>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</si>
  <si>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</si>
  <si>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</si>
  <si>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</si>
  <si>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</si>
  <si>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</si>
  <si>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</si>
  <si>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</si>
  <si>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</si>
  <si>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</si>
  <si>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</si>
  <si>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</si>
  <si>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</si>
  <si>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</si>
  <si>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</si>
  <si>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</si>
  <si>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</si>
  <si>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</si>
  <si>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</si>
  <si>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</si>
  <si>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</si>
  <si>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</si>
  <si>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</si>
  <si>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</si>
  <si>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</si>
  <si>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</si>
  <si>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</si>
  <si>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</si>
  <si>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</si>
  <si>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</si>
  <si>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</si>
  <si>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</si>
  <si>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</si>
  <si>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</si>
  <si>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</si>
  <si>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</si>
  <si>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</si>
  <si>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</si>
  <si>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</si>
  <si>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</si>
  <si>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</si>
  <si>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</si>
  <si>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</si>
  <si>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</si>
  <si>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</si>
  <si>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</si>
  <si>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</si>
  <si>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</si>
  <si>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</si>
  <si>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</si>
  <si>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</si>
  <si>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</si>
  <si>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</si>
  <si>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</si>
  <si>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</si>
  <si>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</si>
  <si>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</si>
  <si>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</si>
  <si>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</si>
  <si>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</si>
  <si>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</si>
  <si>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</si>
  <si>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</si>
  <si>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</si>
  <si>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</si>
  <si>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</si>
  <si>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</si>
  <si>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</si>
  <si>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</si>
  <si>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</si>
  <si>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</si>
  <si>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</si>
  <si>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</si>
  <si>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</si>
  <si>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</si>
  <si>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</si>
  <si>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</si>
  <si>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</si>
  <si>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</si>
  <si>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</si>
  <si>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</si>
  <si>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</si>
  <si>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</si>
  <si>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</si>
  <si>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</si>
  <si>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</si>
  <si>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</si>
  <si>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</si>
  <si>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</si>
  <si>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</si>
  <si>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</si>
  <si>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</si>
  <si>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</si>
  <si>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</si>
  <si>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</si>
  <si>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</si>
  <si>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</si>
  <si>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</si>
  <si>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</si>
  <si>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</si>
  <si>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</si>
  <si>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</si>
  <si>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</si>
  <si>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</si>
  <si>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</si>
  <si>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</si>
  <si>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</si>
  <si>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</si>
  <si>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</si>
  <si>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</si>
  <si>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</si>
  <si>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</si>
  <si>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</si>
  <si>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</si>
  <si>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</si>
  <si>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</si>
  <si>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</si>
  <si>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</si>
  <si>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</si>
  <si>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</si>
  <si>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</si>
  <si>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</si>
  <si>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</si>
  <si>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</si>
  <si>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</si>
  <si>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</si>
  <si>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</si>
  <si>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</si>
  <si>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</si>
  <si>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</si>
  <si>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</si>
  <si>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</si>
  <si>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</si>
  <si>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</si>
  <si>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</si>
  <si>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</si>
  <si>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</si>
  <si>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</si>
  <si>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</si>
  <si>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</si>
  <si>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</si>
  <si>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</si>
  <si>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</si>
  <si>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</si>
  <si>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</si>
  <si>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</si>
  <si>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</si>
  <si>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</si>
  <si>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</si>
  <si>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</si>
  <si>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</si>
  <si>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</si>
  <si>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</si>
  <si>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</si>
  <si>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</si>
  <si>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</si>
  <si>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</si>
  <si>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</si>
  <si>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</si>
  <si>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</si>
  <si>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</si>
  <si>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</si>
  <si>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</si>
  <si>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</si>
  <si>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</si>
  <si>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</si>
  <si>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</si>
  <si>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</si>
  <si>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</si>
  <si>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</si>
  <si>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</si>
  <si>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</si>
  <si>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</si>
  <si>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</si>
  <si>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</si>
  <si>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</si>
  <si>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</si>
  <si>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</si>
  <si>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</si>
  <si>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</si>
  <si>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</si>
  <si>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</si>
  <si>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</si>
  <si>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</si>
  <si>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</si>
  <si>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</si>
  <si>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</si>
  <si>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</si>
  <si>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</si>
  <si>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</si>
  <si>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</si>
  <si>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</si>
  <si>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</si>
  <si>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</si>
  <si>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</si>
  <si>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</si>
  <si>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</si>
  <si>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</si>
  <si>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</si>
  <si>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</si>
  <si>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</si>
  <si>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</si>
  <si>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</si>
  <si>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</si>
  <si>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</si>
  <si>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</si>
  <si>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</si>
  <si>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</si>
  <si>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</si>
  <si>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</si>
  <si>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</si>
  <si>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</si>
  <si>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</si>
  <si>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</si>
  <si>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</si>
  <si>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</si>
  <si>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</si>
  <si>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</si>
  <si>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</si>
  <si>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</si>
  <si>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</si>
  <si>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</si>
  <si>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</si>
  <si>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</si>
  <si>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</si>
  <si>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</si>
  <si>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</si>
  <si>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</si>
  <si>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</si>
  <si>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</si>
  <si>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</si>
  <si>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</si>
  <si>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</si>
  <si>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</si>
  <si>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</si>
  <si>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</si>
  <si>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</si>
  <si>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</si>
  <si>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</si>
  <si>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</si>
  <si>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</si>
  <si>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</si>
  <si>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</si>
  <si>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</si>
  <si>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</si>
  <si>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</si>
  <si>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</si>
  <si>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</si>
  <si>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</si>
  <si>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</si>
  <si>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</si>
  <si>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</si>
  <si>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</si>
  <si>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</si>
  <si>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</si>
  <si>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</si>
  <si>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</si>
  <si>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</si>
  <si>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</si>
  <si>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</si>
  <si>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</si>
  <si>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</si>
  <si>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</si>
  <si>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</si>
  <si>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</si>
  <si>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</si>
  <si>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</si>
  <si>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</si>
  <si>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</si>
  <si>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</si>
  <si>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</si>
  <si>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</si>
  <si>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</si>
  <si>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</si>
  <si>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</si>
  <si>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</si>
  <si>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</si>
  <si>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</si>
  <si>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</si>
  <si>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</si>
  <si>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</si>
  <si>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</si>
  <si>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</si>
  <si>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</si>
  <si>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</si>
  <si>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</si>
  <si>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</si>
  <si>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</si>
  <si>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</si>
  <si>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</si>
  <si>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</si>
  <si>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</si>
  <si>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</si>
  <si>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</si>
  <si>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</si>
  <si>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</si>
  <si>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</si>
  <si>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</si>
  <si>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</si>
  <si>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</si>
  <si>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</si>
  <si>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</si>
  <si>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</si>
  <si>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</si>
  <si>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</si>
  <si>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</si>
  <si>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</si>
  <si>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</si>
  <si>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</si>
  <si>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</si>
  <si>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</si>
  <si>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</si>
  <si>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</si>
  <si>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</si>
  <si>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</si>
  <si>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</si>
  <si>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</si>
  <si>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</si>
  <si>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</si>
  <si>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</si>
  <si>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</si>
  <si>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</si>
  <si>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</si>
  <si>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</si>
  <si>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</si>
  <si>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</si>
  <si>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</si>
  <si>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</si>
  <si>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</si>
  <si>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</si>
  <si>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</si>
  <si>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</si>
  <si>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</si>
  <si>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</si>
  <si>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</si>
  <si>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</si>
  <si>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</si>
  <si>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</si>
  <si>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</si>
  <si>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</si>
  <si>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</si>
  <si>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</si>
  <si>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</si>
  <si>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</si>
  <si>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</si>
  <si>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</si>
  <si>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</si>
  <si>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</si>
  <si>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</si>
  <si>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</si>
  <si>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</si>
  <si>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</si>
  <si>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</si>
  <si>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</si>
  <si>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</si>
  <si>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</si>
  <si>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</si>
  <si>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</si>
  <si>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</si>
  <si>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</si>
  <si>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</si>
  <si>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</si>
  <si>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</si>
  <si>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</si>
  <si>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</si>
  <si>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</si>
  <si>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</si>
  <si>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</si>
  <si>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</si>
  <si>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</si>
  <si>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</si>
  <si>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</si>
  <si>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</si>
  <si>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</si>
  <si>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</si>
  <si>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</si>
  <si>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</si>
  <si>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</si>
  <si>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</si>
  <si>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</si>
  <si>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</si>
  <si>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</si>
  <si>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</si>
  <si>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</si>
  <si>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</si>
  <si>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</si>
  <si>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</si>
  <si>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</si>
  <si>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</si>
  <si>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</si>
  <si>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</si>
  <si>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</si>
  <si>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</si>
  <si>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</si>
  <si>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</si>
  <si>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</si>
  <si>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</si>
  <si>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</si>
  <si>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</si>
  <si>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</si>
  <si>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</si>
  <si>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</si>
  <si>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</si>
  <si>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</si>
  <si>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</si>
  <si>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</si>
  <si>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</si>
  <si>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</si>
  <si>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</si>
  <si>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</si>
  <si>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</si>
  <si>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</si>
  <si>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</si>
  <si>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</si>
  <si>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</si>
  <si>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</si>
  <si>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</si>
  <si>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</si>
  <si>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</si>
  <si>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</si>
  <si>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</si>
  <si>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</si>
  <si>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</si>
  <si>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</si>
  <si>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</si>
  <si>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</si>
  <si>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</si>
  <si>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</si>
  <si>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</si>
  <si>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</si>
  <si>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</si>
  <si>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</si>
  <si>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</si>
  <si>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</si>
  <si>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</si>
  <si>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</si>
  <si>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</si>
  <si>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</si>
  <si>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</si>
  <si>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</si>
  <si>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</si>
  <si>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</si>
  <si>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</si>
  <si>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</si>
  <si>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</si>
  <si>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</si>
  <si>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</si>
  <si>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</si>
  <si>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</si>
  <si>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</si>
  <si>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</si>
  <si>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</si>
  <si>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</si>
  <si>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</si>
  <si>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</si>
  <si>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</si>
  <si>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</si>
  <si>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</si>
  <si>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</si>
  <si>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</si>
  <si>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</si>
  <si>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</si>
  <si>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</si>
  <si>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</si>
  <si>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</si>
  <si>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</si>
  <si>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</si>
  <si>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</si>
  <si>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</si>
  <si>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</si>
  <si>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</si>
  <si>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</si>
  <si>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</si>
  <si>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</si>
  <si>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</si>
  <si>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</si>
  <si>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</si>
  <si>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</si>
  <si>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</si>
  <si>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</si>
  <si>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</si>
  <si>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</si>
  <si>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</si>
  <si>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</si>
  <si>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</si>
  <si>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</si>
  <si>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</si>
  <si>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</si>
  <si>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</si>
  <si>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</si>
  <si>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</si>
  <si>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</si>
  <si>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</si>
  <si>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</si>
  <si>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</si>
  <si>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</si>
  <si>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</si>
  <si>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</si>
  <si>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</si>
  <si>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</si>
  <si>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</si>
  <si>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</si>
  <si>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</si>
  <si>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</si>
  <si>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</si>
  <si>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</si>
  <si>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</si>
  <si>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</si>
  <si>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</si>
  <si>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</si>
  <si>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</si>
  <si>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</si>
  <si>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</si>
  <si>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</si>
  <si>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</si>
  <si>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</si>
  <si>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</si>
  <si>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</si>
  <si>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</si>
  <si>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</si>
  <si>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</si>
  <si>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</si>
  <si>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</si>
  <si>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</si>
  <si>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</si>
  <si>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</si>
  <si>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</si>
  <si>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</si>
  <si>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</si>
  <si>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</si>
  <si>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</si>
  <si>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</si>
  <si>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</si>
  <si>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</si>
  <si>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</si>
  <si>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</si>
  <si>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</si>
  <si>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</si>
  <si>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</si>
  <si>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</si>
  <si>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</si>
  <si>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</si>
  <si>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</si>
  <si>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</si>
  <si>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</si>
  <si>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</si>
  <si>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</si>
  <si>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</si>
  <si>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</si>
  <si>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</si>
  <si>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</si>
  <si>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</si>
  <si>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</si>
  <si>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</si>
  <si>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</si>
  <si>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</si>
  <si>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</si>
  <si>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</si>
  <si>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</si>
  <si>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</si>
  <si>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</si>
  <si>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</si>
  <si>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</si>
  <si>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</si>
  <si>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</si>
  <si>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</si>
  <si>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</si>
  <si>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</si>
  <si>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</si>
  <si>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</si>
  <si>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</si>
  <si>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</si>
  <si>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</si>
  <si>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</si>
  <si>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</si>
  <si>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</si>
  <si>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</si>
  <si>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</si>
  <si>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</si>
  <si>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</si>
  <si>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</si>
  <si>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</si>
  <si>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</si>
  <si>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</si>
  <si>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</si>
  <si>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</si>
  <si>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</si>
  <si>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</si>
  <si>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</si>
  <si>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</si>
  <si>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</si>
  <si>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</si>
  <si>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</si>
  <si>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</si>
  <si>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</si>
  <si>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</si>
  <si>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</si>
  <si>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</si>
  <si>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</si>
  <si>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</si>
  <si>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</si>
  <si>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</si>
  <si>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</si>
  <si>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</si>
  <si>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</si>
  <si>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</si>
  <si>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</si>
  <si>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</si>
  <si>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</si>
  <si>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</si>
  <si>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</si>
  <si>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</si>
  <si>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</si>
  <si>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</si>
  <si>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</si>
  <si>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</si>
  <si>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</si>
  <si>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</si>
  <si>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</si>
  <si>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</si>
  <si>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</si>
  <si>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</si>
  <si>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</si>
  <si>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</si>
  <si>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</si>
  <si>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</si>
  <si>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</si>
  <si>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</si>
  <si>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</si>
  <si>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</si>
  <si>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</si>
  <si>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</si>
  <si>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</si>
  <si>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</si>
  <si>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</si>
  <si>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</si>
  <si>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</si>
  <si>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</si>
  <si>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</si>
  <si>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</si>
  <si>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</si>
  <si>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</si>
  <si>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</si>
  <si>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</si>
  <si>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</si>
  <si>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</si>
  <si>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</si>
  <si>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</si>
  <si>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</si>
  <si>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</si>
  <si>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</si>
  <si>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</si>
  <si>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</si>
  <si>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</si>
  <si>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</si>
  <si>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</si>
  <si>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</si>
  <si>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</si>
  <si>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</si>
  <si>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</si>
  <si>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</si>
  <si>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</si>
  <si>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</si>
  <si>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</si>
  <si>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</si>
  <si>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</si>
  <si>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</si>
  <si>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</si>
  <si>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</si>
  <si>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</si>
  <si>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</si>
  <si>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</si>
  <si>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</si>
  <si>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</si>
  <si>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</si>
  <si>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</si>
  <si>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</si>
  <si>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</si>
  <si>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</si>
  <si>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</si>
  <si>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</si>
  <si>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</si>
  <si>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</si>
  <si>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</si>
  <si>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</si>
  <si>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</si>
  <si>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</si>
  <si>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</si>
  <si>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</si>
  <si>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</si>
  <si>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</si>
  <si>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</si>
  <si>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</si>
  <si>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</si>
  <si>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</si>
  <si>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</si>
  <si>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</si>
  <si>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</si>
  <si>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</si>
  <si>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</si>
  <si>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</si>
  <si>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</si>
  <si>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</si>
  <si>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</si>
  <si>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</si>
  <si>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</si>
  <si>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</si>
  <si>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</si>
  <si>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</si>
  <si>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</si>
  <si>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</si>
  <si>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</si>
  <si>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</si>
  <si>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</si>
  <si>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</si>
  <si>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</si>
  <si>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</si>
  <si>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</si>
  <si>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</si>
  <si>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</si>
  <si>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</si>
  <si>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</si>
  <si>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</si>
  <si>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</si>
  <si>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</si>
  <si>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</si>
  <si>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</si>
  <si>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</si>
  <si>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</si>
  <si>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</si>
  <si>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</si>
  <si>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</si>
  <si>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</si>
  <si>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</si>
  <si>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</si>
  <si>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</si>
  <si>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</si>
  <si>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</si>
  <si>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</si>
  <si>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</si>
  <si>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</si>
  <si>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</si>
  <si>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</si>
  <si>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</si>
  <si>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</si>
  <si>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</si>
  <si>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</si>
  <si>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</si>
  <si>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</si>
  <si>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</si>
  <si>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</si>
  <si>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</si>
  <si>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</si>
  <si>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</si>
  <si>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</si>
  <si>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</si>
  <si>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</si>
  <si>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</si>
  <si>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</si>
  <si>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</si>
  <si>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</si>
  <si>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</si>
  <si>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</si>
  <si>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</si>
  <si>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</si>
  <si>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</si>
  <si>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</si>
  <si>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</si>
  <si>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</si>
  <si>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</si>
  <si>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</si>
  <si>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</si>
  <si>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</si>
  <si>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</si>
  <si>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</si>
  <si>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</si>
  <si>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</si>
  <si>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</si>
  <si>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</si>
  <si>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</si>
  <si>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</si>
  <si>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</si>
  <si>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</si>
  <si>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</si>
  <si>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</si>
  <si>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</si>
  <si>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</si>
  <si>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</si>
  <si>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</si>
  <si>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</si>
  <si>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</si>
  <si>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</si>
  <si>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</si>
  <si>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</si>
  <si>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</si>
  <si>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</si>
  <si>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</si>
  <si>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</si>
  <si>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</si>
  <si>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</si>
  <si>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</si>
  <si>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</si>
  <si>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</si>
  <si>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</si>
  <si>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</si>
  <si>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</si>
  <si>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</si>
  <si>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</si>
  <si>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</si>
  <si>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</si>
  <si>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</si>
  <si>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</si>
  <si>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</si>
  <si>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</si>
  <si>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</si>
  <si>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</si>
  <si>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</si>
  <si>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</si>
  <si>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</si>
  <si>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</si>
  <si>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</si>
  <si>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</si>
  <si>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</si>
  <si>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</si>
  <si>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</si>
  <si>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</si>
  <si>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</si>
  <si>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</si>
  <si>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</si>
  <si>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</si>
  <si>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</si>
  <si>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</si>
  <si>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</si>
  <si>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</si>
  <si>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4943</t>
  </si>
  <si>
    <t>PCI.818.01 - CUSTOS DE COMPOSIÇÕES ANALÍTICO                                                                                                    DATA DE EMISSÃO:14/07/2023 01:28:18                                                   DATA DE RT: 13/07/2023</t>
  </si>
  <si>
    <t>ENCARGOS SOCIAIS DESONERADOS: 87,08%(HORA)   48,80%(MÊS)</t>
  </si>
  <si>
    <t>ABRANGÊNCIA : NACIONAL                                            DATA REFERENCIA TECNICA: 13/07/2023                          LOCALIDADE : CURITIBA                                                                                DATA DE PREÇO          :    06/2023</t>
  </si>
  <si>
    <t>REFERÊNCIA DE COLETA: MEDIANO</t>
  </si>
  <si>
    <t>CODIGO DA COMPOSICAO</t>
  </si>
  <si>
    <t>DESCRICAO DA COMPOSICAO</t>
  </si>
  <si>
    <t>CUSTO TOTAL</t>
  </si>
  <si>
    <t>CUSTO MAO DE OBRA</t>
  </si>
  <si>
    <t>CUSTO MAT. + EQUIP. + SERV. TERCEIROS + OUTROS</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</si>
  <si>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</si>
  <si>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</si>
  <si>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</si>
  <si>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</si>
  <si>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</si>
  <si>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</si>
  <si>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</si>
  <si>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</si>
  <si>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</si>
  <si>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</si>
  <si>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</si>
  <si>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</si>
  <si>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</si>
  <si>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</si>
  <si>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</si>
  <si>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</si>
  <si>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</si>
  <si>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</si>
  <si>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</si>
  <si>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</si>
  <si>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</si>
  <si>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</si>
  <si>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</si>
  <si>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</si>
  <si>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</si>
  <si>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</si>
  <si>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</si>
  <si>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</si>
  <si>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</si>
  <si>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</si>
  <si>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</si>
  <si>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</si>
  <si>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</si>
  <si>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</si>
  <si>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</si>
  <si>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</si>
  <si>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(24_x0092__x0092_), JUNTA SOLDADA, INSTALADO EM LOCAL COM NÍVEL ALTO DE INTERFERÊNCIAS (NÃO INCLUI FORNECIMENTO). AF_11/2017</t>
  </si>
  <si>
    <t>ASSENTAMENTO DE TUBO DE AÇO CARBONO PARA REDE DE ÁGUA, DN 700 MM (28_x0092__x0092_), JUNTA SOLDADA, INSTALADO EM LOCAL COM NÍVEL ALTO DE INTERFERÊNCIAS (NÃO INCLUI FORNECIMENTO). AF_11/2017</t>
  </si>
  <si>
    <t>ASSENTAMENTO DE TUBO DE AÇO CARBONO PARA REDE DE ÁGUA, DN 800 MM (32_x0092__x0092_), JUNTA SOLDADA, INSTALADO EM LOCAL COM NÍVEL ALTO DE INTERFERÊNCIAS (NÃO INCLUI FORNECIMENTO). AF_11/2017</t>
  </si>
  <si>
    <t>ASSENTAMENTO DE TUBO DE AÇO CARBONO PARA REDE DE ÁGUA, DN 900 MM (36_x0092__x0092_), JUNTA SOLDADA, INSTALADO EM LOCAL COM NÍVEL ALTO DE INTERFERÊNCIAS (NÃO INCLUI FORNECIMENTO). AF_11/2017</t>
  </si>
  <si>
    <t>ASSENTAMENTO DE TUBO DE AÇO CARBONO PARA REDE DE ÁGUA, DN 1000 MM (40_x0092__x0092_) OU DN 1100 MM (44_x0092__x0092_), JUNTA SOLDADA, INSTALADO EM LOCAL COM NÍVEL ALTO DE INTERFERÊNCIAS (NÃO INCLUI FORNECIMENTO). AF_11/2017</t>
  </si>
  <si>
    <t>ASSENTAMENTO DE TUBO DE AÇO CARBONO PARA REDE DE ÁGUA, DN 1200 MM (48_x0092__x0092_) OU DN 1300 MM (52_x0092__x0092_), JUNTA SOLDADA, INSTALADO EM LOCAL COM NÍVEL ALTO DE INTERFERÊNCIAS (NÃO INCLUI FORNECIMENTO). AF_11/2017</t>
  </si>
  <si>
    <t>ASSENTAMENTO DE TUBO DE AÇO CARBONO PARA REDE DE ÁGUA, DN 1400 MM (56'') OU DN 1500 MM (60_x0092__x0092_), JUNTA SOLDADA, INSTALADO EM LOCAL COM NÍVEL ALTO DE INTERFERÊNCIAS (NÃO INCLUI FORNECIMENTO). AF_11/2017</t>
  </si>
  <si>
    <t>ASSENTAMENTO DE TUBO DE AÇO CARBONO PARA REDE DE ÁGUA, DN 1600 MM (64_x0092__x0092_) OU DN 1700 MM (68_x0092__x0092_), JUNTA SOLDADA, INSTALADO EM LOCAL COM NÍVEL ALTO DE INTERFERÊNCIAS (NÃO INCLUI FORNECIMENTO). AF_11/2017</t>
  </si>
  <si>
    <t>ASSENTAMENTO DE TUBO DE AÇO CARBONO PARA REDE DE ÁGUA, DN 1800 MM (72_x0092__x0092_) OU DN 1900 MM (76_x0092__x0092_), JUNTA SOLDADA, INSTALADO EM LOCAL COM NÍVEL ALTO DE INTERFERÊNCIAS (NÃO INCLUI FORNECIMENTO). AF_11/2017</t>
  </si>
  <si>
    <t>ASSENTAMENTO DE TUBO DE AÇO CARBONO PARA REDE DE ÁGUA, DN 2000 MM (80_x0092__x0092_) OU DN 2100 MM (84_x0092__x0092_), JUNTA SOLDADA, INSTALADO EM LOCAL COM NÍVEL ALTO DE INTERFERÊNCIAS (NÃO INCLUI FORNECIMENTO). AF_11/2017</t>
  </si>
  <si>
    <t>ASSENTAMENTO DE TUBO DE AÇO CARBONO PARA REDE DE ÁGUA, DN 600 MM (24_x0092__x0092_), JUNTA SOLDADA, INSTALADO EM LOCAL COM NÍVEL BAIXO DE INTERFERÊNCIAS (NÃO INCLUI FORNECIMENTO). AF_11/2017</t>
  </si>
  <si>
    <t>ASSENTAMENTO DE TUBO DE AÇO CARBONO PARA REDE DE ÁGUA, DN 700 MM (28_x0092__x0092_), JUNTA SOLDADA, INSTALADO EM LOCAL COM NÍVEL BAIXO DE INTERFERÊNCIAS (NÃO INCLUI FORNECIMENTO). AF_11/2017</t>
  </si>
  <si>
    <t>ASSENTAMENTO DE TUBO DE AÇO CARBONO PARA REDE DE ÁGUA, DN 800 MM (32_x0092__x0092_), JUNTA SOLDADA, INSTALADO EM LOCAL COM NÍVEL BAIXO DE INTERFERÊNCIAS (NÃO INCLUI FORNECIMENTO). AF_11/2017</t>
  </si>
  <si>
    <t>ASSENTAMENTO DE TUBO DE AÇO CARBONO PARA REDE DE ÁGUA, DN 900 MM (36_x0092__x0092_),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</si>
  <si>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</si>
  <si>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(48_x0092__x0092_) OU DN 1300 MM (52_x0092__x0092_), JUNTA SOLDADA, INSTALADO EM LOCAL COM NÍVEL BAIXO DE INTERFERÊNCIAS (NÃO INCLUI FORNECIMENTO). AF_11/2017</t>
  </si>
  <si>
    <t>ASSENTAMENTO DE TUBO DE AÇO CARBONO PARA REDE DE ÁGUA, DN 1400 MM (56'') OU DN 1500 MM (60_x0092__x0092_), JUNTA SOLDADA, INSTALADO EM LOCAL COM NÍVEL BAIXO DE INTERFERÊNCIAS (NÃO INCLUI FORNECIMENTO). AF_11/2017</t>
  </si>
  <si>
    <t>ASSENTAMENTO DE TUBO DE AÇO CARBONO PARA REDE DE ÁGUA, DN 1600 MM (64_x0092__x0092_) OU DN 1700 MM (68_x0092__x0092_), JUNTA SOLDADA, INSTALADO EM LOCAL COM NÍVEL BAIXO DE INTERFERÊNCIAS (NÃO INCLUI FORNECIMENTO). AF_11/2017</t>
  </si>
  <si>
    <t>ASSENTAMENTO DE TUBO DE AÇO CARBONO PARA REDE DE ÁGUA, DN 1800 MM (72_x0092__x0092_) OU DN 1900 MM (76_x0092__x0092_), JUNTA SOLDADA, INSTALADO EM LOCAL COM NÍVEL BAIXO DE INTERFERÊNCIAS (NÃO INCLUI FORNECIMENTO). AF_11/2017</t>
  </si>
  <si>
    <t>ASSENTAMENTO DE TUBO DE AÇO CARBONO PARA REDE DE ÁGUA, DN 2000 MM (80_x0092__x0092_) OU DN 2100 MM (84_x0092__x0092_),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</si>
  <si>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</si>
  <si>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</si>
  <si>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</si>
  <si>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</si>
  <si>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</si>
  <si>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</si>
  <si>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</si>
  <si>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</si>
  <si>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</si>
  <si>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</si>
  <si>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</si>
  <si>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</si>
  <si>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</si>
  <si>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</si>
  <si>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</si>
  <si>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</si>
  <si>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</si>
  <si>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</si>
  <si>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</si>
  <si>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</si>
  <si>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</si>
  <si>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</si>
  <si>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</si>
  <si>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</si>
  <si>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</si>
  <si>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</si>
  <si>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</si>
  <si>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</si>
  <si>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</si>
  <si>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</si>
  <si>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</si>
  <si>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</si>
  <si>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</si>
  <si>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</si>
  <si>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</si>
  <si>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</si>
  <si>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</si>
  <si>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</si>
  <si>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</si>
  <si>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</si>
  <si>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</si>
  <si>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</si>
  <si>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</si>
  <si>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</si>
  <si>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</si>
  <si>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</si>
  <si>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</si>
  <si>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</si>
  <si>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</si>
  <si>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</si>
  <si>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</si>
  <si>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</si>
  <si>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</si>
  <si>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</si>
  <si>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</si>
  <si>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</si>
  <si>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</si>
  <si>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</si>
  <si>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</si>
  <si>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</si>
  <si>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</si>
  <si>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</si>
  <si>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</si>
  <si>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</si>
  <si>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</si>
  <si>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</si>
  <si>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</si>
  <si>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</si>
  <si>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</si>
  <si>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</si>
  <si>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</si>
  <si>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</si>
  <si>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</si>
  <si>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</si>
  <si>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</si>
  <si>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</si>
  <si>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</si>
  <si>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</si>
  <si>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</si>
  <si>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</si>
  <si>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</si>
  <si>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</si>
  <si>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</si>
  <si>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</si>
  <si>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</si>
  <si>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</si>
  <si>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</si>
  <si>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</si>
  <si>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</si>
  <si>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</si>
  <si>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</si>
  <si>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</si>
  <si>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</si>
  <si>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</si>
  <si>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</si>
  <si>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</si>
  <si>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</si>
  <si>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</si>
  <si>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</si>
  <si>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</si>
  <si>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</si>
  <si>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</si>
  <si>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</si>
  <si>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</si>
  <si>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</si>
  <si>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</si>
  <si>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</si>
  <si>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</si>
  <si>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</si>
  <si>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</si>
  <si>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</si>
  <si>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</si>
  <si>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</si>
  <si>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</si>
  <si>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</si>
  <si>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</si>
  <si>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</si>
  <si>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</si>
  <si>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</si>
  <si>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</si>
  <si>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</si>
  <si>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</si>
  <si>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</si>
  <si>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</si>
  <si>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</si>
  <si>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</si>
  <si>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</si>
  <si>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</si>
  <si>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</si>
  <si>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</si>
  <si>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</si>
  <si>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</si>
  <si>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</si>
  <si>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</si>
  <si>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</si>
  <si>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</si>
  <si>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</si>
  <si>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</si>
  <si>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</si>
  <si>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</si>
  <si>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</si>
  <si>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</si>
  <si>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</si>
  <si>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</si>
  <si>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</si>
  <si>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</si>
  <si>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</si>
  <si>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</si>
  <si>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</si>
  <si>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</si>
  <si>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</si>
  <si>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</si>
  <si>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</si>
  <si>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</si>
  <si>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</si>
  <si>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</si>
  <si>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</si>
  <si>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</si>
  <si>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</si>
  <si>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</si>
  <si>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</si>
  <si>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</si>
  <si>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</si>
  <si>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</si>
  <si>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</si>
  <si>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</si>
  <si>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</si>
  <si>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</si>
  <si>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</si>
  <si>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</si>
  <si>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</si>
  <si>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</si>
  <si>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</si>
  <si>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</si>
  <si>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</si>
  <si>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</si>
  <si>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</si>
  <si>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</si>
  <si>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</si>
  <si>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</si>
  <si>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</si>
  <si>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</si>
  <si>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</si>
  <si>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</si>
  <si>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</si>
  <si>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</si>
  <si>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</si>
  <si>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</si>
  <si>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</si>
  <si>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</si>
  <si>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</si>
  <si>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</si>
  <si>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</si>
  <si>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</si>
  <si>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</si>
  <si>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</si>
  <si>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</si>
  <si>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</si>
  <si>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</si>
  <si>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</si>
  <si>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</si>
  <si>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</si>
  <si>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</si>
  <si>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</si>
  <si>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</si>
  <si>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</si>
  <si>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</si>
  <si>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</si>
  <si>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</si>
  <si>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</si>
  <si>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</si>
  <si>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</si>
  <si>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</si>
  <si>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</si>
  <si>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</si>
  <si>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</si>
  <si>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</si>
  <si>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</si>
  <si>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</si>
  <si>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</si>
  <si>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</si>
  <si>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</si>
  <si>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</si>
  <si>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</si>
  <si>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</si>
  <si>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</si>
  <si>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</si>
  <si>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</si>
  <si>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</si>
  <si>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</si>
  <si>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</si>
  <si>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</si>
  <si>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</si>
  <si>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</si>
  <si>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</si>
  <si>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</si>
  <si>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</si>
  <si>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</si>
  <si>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</si>
  <si>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</si>
  <si>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</si>
  <si>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</si>
  <si>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</si>
  <si>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</si>
  <si>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</si>
  <si>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</si>
  <si>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</si>
  <si>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</si>
  <si>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</si>
  <si>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</si>
  <si>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</si>
  <si>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</si>
  <si>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</si>
  <si>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</si>
  <si>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</si>
  <si>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</si>
  <si>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</si>
  <si>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</si>
  <si>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</si>
  <si>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</si>
  <si>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</si>
  <si>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</si>
  <si>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</si>
  <si>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</si>
  <si>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</si>
  <si>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</si>
  <si>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</si>
  <si>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</si>
  <si>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</si>
  <si>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</si>
  <si>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</si>
  <si>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</si>
  <si>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</si>
  <si>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</si>
  <si>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</si>
  <si>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</si>
  <si>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</si>
  <si>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</si>
  <si>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</si>
  <si>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</si>
  <si>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</si>
  <si>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</si>
  <si>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</si>
  <si>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</si>
  <si>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</si>
  <si>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</si>
  <si>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</si>
  <si>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</si>
  <si>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</si>
  <si>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</si>
  <si>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</si>
  <si>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</si>
  <si>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</si>
  <si>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</si>
  <si>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</si>
  <si>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</si>
  <si>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</si>
  <si>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</si>
  <si>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</si>
  <si>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</si>
  <si>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</si>
  <si>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</si>
  <si>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</si>
  <si>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</si>
  <si>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</si>
  <si>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</si>
  <si>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</si>
  <si>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</si>
  <si>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</si>
  <si>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</si>
  <si>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</si>
  <si>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</si>
  <si>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</si>
  <si>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</si>
  <si>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</si>
  <si>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</si>
  <si>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</si>
  <si>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</si>
  <si>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</si>
  <si>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</si>
  <si>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</si>
  <si>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</si>
  <si>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</si>
  <si>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</si>
  <si>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</si>
  <si>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</si>
  <si>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</si>
  <si>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</si>
  <si>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</si>
  <si>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</si>
  <si>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</si>
  <si>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</si>
  <si>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</si>
  <si>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</si>
  <si>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</si>
  <si>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</si>
  <si>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</si>
  <si>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</si>
  <si>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</si>
  <si>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</si>
  <si>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</si>
  <si>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</si>
  <si>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</si>
  <si>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</si>
  <si>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</si>
  <si>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</si>
  <si>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</si>
  <si>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</si>
  <si>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</si>
  <si>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</si>
  <si>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</si>
  <si>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</si>
  <si>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</si>
  <si>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</si>
  <si>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</si>
  <si>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</si>
  <si>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</si>
  <si>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</si>
  <si>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</si>
  <si>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</si>
  <si>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</si>
  <si>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</si>
  <si>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</si>
  <si>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</si>
  <si>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</si>
  <si>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</si>
  <si>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2_x0094_,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</si>
  <si>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</si>
  <si>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</si>
  <si>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</si>
  <si>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</si>
  <si>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</si>
  <si>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</si>
  <si>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</si>
  <si>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</si>
  <si>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</si>
  <si>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</si>
  <si>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</si>
  <si>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</si>
  <si>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</si>
  <si>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</si>
  <si>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</si>
  <si>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</si>
  <si>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</si>
  <si>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</si>
  <si>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</si>
  <si>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</si>
  <si>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</si>
  <si>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</si>
  <si>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</si>
  <si>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</si>
  <si>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</si>
  <si>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</si>
  <si>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</si>
  <si>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</si>
  <si>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</si>
  <si>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</si>
  <si>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</si>
  <si>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</si>
  <si>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</si>
  <si>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</si>
  <si>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</si>
  <si>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</si>
  <si>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</si>
  <si>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</si>
  <si>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</si>
  <si>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</si>
  <si>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</si>
  <si>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</si>
  <si>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</si>
  <si>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</si>
  <si>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</si>
  <si>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</si>
  <si>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</si>
  <si>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</si>
  <si>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</si>
  <si>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</si>
  <si>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</si>
  <si>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</si>
  <si>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</si>
  <si>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</si>
  <si>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</si>
  <si>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5/16_x0092__x0092_ , MANGUEIRA DE 1_x0092__x0092_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</si>
  <si>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</si>
  <si>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</si>
  <si>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</si>
  <si>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</si>
  <si>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</si>
  <si>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</si>
  <si>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</si>
  <si>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</si>
  <si>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</si>
  <si>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</si>
  <si>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</si>
  <si>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</si>
  <si>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</si>
  <si>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</si>
  <si>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</si>
  <si>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</si>
  <si>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</si>
  <si>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</si>
  <si>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10_x0094_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</si>
  <si>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</si>
  <si>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</si>
  <si>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</si>
  <si>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</si>
  <si>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</si>
  <si>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</si>
  <si>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</si>
  <si>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</si>
  <si>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</si>
  <si>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</si>
  <si>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</si>
  <si>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</si>
  <si>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</si>
  <si>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</si>
  <si>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</si>
  <si>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</si>
  <si>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</si>
  <si>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</si>
  <si>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</si>
  <si>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</si>
  <si>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</si>
  <si>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</si>
  <si>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</si>
  <si>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24_x0094_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</si>
  <si>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</si>
  <si>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</si>
  <si>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</si>
  <si>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</si>
  <si>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</si>
  <si>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</si>
  <si>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</si>
  <si>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</si>
  <si>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</si>
  <si>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</si>
  <si>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</si>
  <si>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</si>
  <si>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</si>
  <si>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</si>
  <si>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</si>
  <si>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</si>
  <si>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</si>
  <si>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</si>
  <si>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</si>
  <si>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</si>
  <si>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</si>
  <si>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</si>
  <si>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</si>
  <si>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</si>
  <si>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</si>
  <si>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</si>
  <si>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</si>
  <si>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</si>
  <si>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</si>
  <si>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</si>
  <si>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</si>
  <si>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</si>
  <si>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</si>
  <si>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</si>
  <si>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</si>
  <si>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</si>
  <si>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</si>
  <si>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</si>
  <si>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</si>
  <si>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</si>
  <si>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</si>
  <si>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</si>
  <si>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</si>
  <si>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</si>
  <si>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2_x0094_,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</si>
  <si>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</si>
  <si>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</si>
  <si>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</si>
  <si>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</si>
  <si>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</si>
  <si>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</si>
  <si>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</si>
  <si>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</si>
  <si>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</si>
  <si>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</si>
  <si>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</si>
  <si>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</si>
  <si>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</si>
  <si>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</si>
  <si>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</si>
  <si>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</si>
  <si>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</si>
  <si>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</si>
  <si>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</si>
  <si>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</si>
  <si>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</si>
  <si>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</si>
  <si>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</si>
  <si>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</si>
  <si>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</si>
  <si>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</si>
  <si>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</si>
  <si>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</si>
  <si>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</si>
  <si>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</si>
  <si>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</si>
  <si>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</si>
  <si>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</si>
  <si>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</si>
  <si>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</si>
  <si>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</si>
  <si>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</si>
  <si>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</si>
  <si>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</si>
  <si>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</si>
  <si>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</si>
  <si>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</si>
  <si>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</si>
  <si>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</si>
  <si>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</si>
  <si>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</si>
  <si>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</si>
  <si>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</si>
  <si>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</si>
  <si>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</si>
  <si>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</si>
  <si>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</si>
  <si>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</si>
  <si>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</si>
  <si>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</si>
  <si>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</si>
  <si>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</si>
  <si>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5/16_x0092__x0092_ , MANGUEIRA DE 1_x0092__x0092_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</si>
  <si>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</si>
  <si>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</si>
  <si>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</si>
  <si>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</si>
  <si>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</si>
  <si>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</si>
  <si>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</si>
  <si>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</si>
  <si>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</si>
  <si>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</si>
  <si>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</si>
  <si>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</si>
  <si>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</si>
  <si>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</si>
  <si>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</si>
  <si>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</si>
  <si>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</si>
  <si>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10_x0094_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</si>
  <si>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</si>
  <si>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</si>
  <si>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</si>
  <si>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</si>
  <si>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</si>
  <si>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</si>
  <si>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</si>
  <si>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</si>
  <si>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</si>
  <si>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</si>
  <si>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</si>
  <si>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</si>
  <si>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</si>
  <si>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</si>
  <si>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</si>
  <si>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</si>
  <si>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</si>
  <si>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</si>
  <si>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</si>
  <si>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</si>
  <si>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</si>
  <si>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</si>
  <si>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</si>
  <si>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</si>
  <si>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24_x0094_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</si>
  <si>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</si>
  <si>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</si>
  <si>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</si>
  <si>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</si>
  <si>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</si>
  <si>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</si>
  <si>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</si>
  <si>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</si>
  <si>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</si>
  <si>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</si>
  <si>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</si>
  <si>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</si>
  <si>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</si>
  <si>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</si>
  <si>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</si>
  <si>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</si>
  <si>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</si>
  <si>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</si>
  <si>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</si>
  <si>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</si>
  <si>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</si>
  <si>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</si>
  <si>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</si>
  <si>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</si>
  <si>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</si>
  <si>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</si>
  <si>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</si>
  <si>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</si>
  <si>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</si>
  <si>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</si>
  <si>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</si>
  <si>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</si>
  <si>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</si>
  <si>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</si>
  <si>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</si>
  <si>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</si>
  <si>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2_x0094_,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</si>
  <si>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</si>
  <si>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</si>
  <si>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</si>
  <si>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</si>
  <si>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</si>
  <si>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</si>
  <si>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</si>
  <si>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</si>
  <si>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</si>
  <si>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</si>
  <si>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</si>
  <si>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</si>
  <si>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</si>
  <si>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</si>
  <si>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</si>
  <si>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</si>
  <si>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</si>
  <si>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</si>
  <si>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</si>
  <si>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</si>
  <si>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</si>
  <si>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</si>
  <si>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</si>
  <si>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</si>
  <si>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</si>
  <si>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</si>
  <si>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</si>
  <si>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</si>
  <si>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</si>
  <si>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</si>
  <si>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</si>
  <si>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</si>
  <si>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</si>
  <si>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</si>
  <si>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</si>
  <si>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</si>
  <si>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</si>
  <si>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</si>
  <si>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</si>
  <si>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</si>
  <si>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</si>
  <si>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</si>
  <si>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</si>
  <si>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</si>
  <si>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</si>
  <si>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2_x0094_,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</si>
  <si>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</si>
  <si>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</si>
  <si>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</si>
  <si>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</si>
  <si>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</si>
  <si>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</si>
  <si>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</si>
  <si>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</si>
  <si>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</si>
  <si>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</si>
  <si>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</si>
  <si>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</si>
  <si>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</si>
  <si>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</si>
  <si>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</si>
  <si>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</si>
  <si>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</si>
  <si>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</si>
  <si>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</si>
  <si>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</si>
  <si>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</si>
  <si>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</si>
  <si>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</si>
  <si>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</si>
  <si>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</si>
  <si>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</si>
  <si>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</si>
  <si>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</si>
  <si>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</si>
  <si>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</si>
  <si>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</si>
  <si>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</si>
  <si>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</si>
  <si>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</si>
  <si>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</si>
  <si>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</si>
  <si>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</si>
  <si>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</si>
  <si>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</si>
  <si>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</si>
  <si>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</si>
  <si>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</si>
  <si>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</si>
  <si>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</si>
  <si>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</si>
  <si>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</si>
  <si>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</si>
  <si>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</si>
  <si>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</si>
  <si>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</si>
  <si>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</si>
  <si>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</si>
  <si>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</si>
  <si>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</si>
  <si>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</si>
  <si>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</si>
  <si>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</si>
  <si>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</si>
  <si>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24_x0094_ X 6 MM COM PNEUS PARA TRANSPORTE - DEPRECIAÇÃO. AF_06/2014</t>
  </si>
  <si>
    <t>GRADE DE DISCO CONTROLE REMOTO REBOCÁVEL, COM 24 DISCOS 24_x0094_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</si>
  <si>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</si>
  <si>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</si>
  <si>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</si>
  <si>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</si>
  <si>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</si>
  <si>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</si>
  <si>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</si>
  <si>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</si>
  <si>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</si>
  <si>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</si>
  <si>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</si>
  <si>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</si>
  <si>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</si>
  <si>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</si>
  <si>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</si>
  <si>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</si>
  <si>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</si>
  <si>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</si>
  <si>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2_x0094_, HM/Q = 2 MCA / 38,8 M3/H A 28 MCA / 5 M3/H - DEPRECIAÇÃO. AF_06/2014</t>
  </si>
  <si>
    <t>BOMBA SUBMERSÍVEL ELÉTRICA TRIFÁSICA, POTÊNCIA 2,96 HP, Ø ROTOR 144 MM SEMI-ABERTO, BOCAL DE SAÍDA Ø 2_x0094_,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</si>
  <si>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</si>
  <si>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</si>
  <si>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</si>
  <si>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</si>
  <si>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</si>
  <si>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</si>
  <si>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</si>
  <si>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</si>
  <si>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</si>
  <si>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</si>
  <si>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</si>
  <si>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</si>
  <si>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</si>
  <si>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</si>
  <si>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</si>
  <si>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</si>
  <si>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</si>
  <si>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</si>
  <si>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</si>
  <si>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</si>
  <si>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</si>
  <si>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</si>
  <si>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</si>
  <si>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</si>
  <si>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</si>
  <si>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</si>
  <si>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</si>
  <si>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</si>
  <si>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</si>
  <si>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</si>
  <si>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</si>
  <si>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</si>
  <si>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</si>
  <si>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</si>
  <si>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</si>
  <si>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</si>
  <si>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</si>
  <si>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</si>
  <si>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</si>
  <si>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</si>
  <si>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</si>
  <si>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</si>
  <si>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</si>
  <si>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</si>
  <si>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</si>
  <si>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</si>
  <si>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</si>
  <si>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</si>
  <si>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</si>
  <si>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</si>
  <si>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</si>
  <si>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</si>
  <si>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</si>
  <si>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</si>
  <si>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</si>
  <si>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</si>
  <si>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</si>
  <si>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</si>
  <si>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</si>
  <si>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</si>
  <si>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</si>
  <si>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</si>
  <si>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</si>
  <si>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</si>
  <si>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</si>
  <si>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</si>
  <si>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</si>
  <si>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</si>
  <si>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</si>
  <si>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</si>
  <si>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</si>
  <si>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</si>
  <si>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</si>
  <si>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</si>
  <si>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</si>
  <si>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</si>
  <si>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</si>
  <si>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</si>
  <si>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</si>
  <si>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</si>
  <si>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</si>
  <si>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</si>
  <si>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</si>
  <si>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</si>
  <si>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</si>
  <si>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</si>
  <si>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</si>
  <si>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</si>
  <si>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</si>
  <si>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</si>
  <si>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</si>
  <si>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</si>
  <si>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</si>
  <si>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</si>
  <si>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</si>
  <si>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</si>
  <si>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</si>
  <si>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</si>
  <si>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</si>
  <si>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</si>
  <si>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</si>
  <si>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</si>
  <si>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</si>
  <si>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</si>
  <si>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</si>
  <si>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</si>
  <si>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</si>
  <si>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</si>
  <si>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</si>
  <si>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</si>
  <si>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</si>
  <si>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</si>
  <si>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</si>
  <si>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</si>
  <si>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</si>
  <si>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</si>
  <si>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</si>
  <si>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</si>
  <si>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</si>
  <si>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</si>
  <si>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</si>
  <si>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</si>
  <si>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</si>
  <si>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</si>
  <si>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</si>
  <si>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</si>
  <si>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</si>
  <si>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</si>
  <si>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</si>
  <si>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</si>
  <si>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</si>
  <si>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</si>
  <si>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</si>
  <si>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</si>
  <si>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</si>
  <si>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</si>
  <si>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</si>
  <si>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</si>
  <si>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</si>
  <si>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</si>
  <si>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</si>
  <si>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</si>
  <si>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</si>
  <si>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</si>
  <si>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</si>
  <si>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</si>
  <si>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</si>
  <si>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</si>
  <si>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</si>
  <si>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</si>
  <si>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</si>
  <si>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</si>
  <si>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</si>
  <si>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</si>
  <si>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</si>
  <si>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</si>
  <si>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</si>
  <si>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</si>
  <si>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</si>
  <si>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</si>
  <si>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</si>
  <si>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</si>
  <si>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</si>
  <si>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</si>
  <si>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</si>
  <si>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</si>
  <si>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</si>
  <si>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</si>
  <si>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</si>
  <si>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</si>
  <si>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</si>
  <si>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</si>
  <si>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</si>
  <si>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</si>
  <si>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</si>
  <si>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</si>
  <si>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</si>
  <si>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</si>
  <si>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</si>
  <si>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</si>
  <si>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</si>
  <si>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</si>
  <si>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</si>
  <si>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</si>
  <si>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</si>
  <si>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</si>
  <si>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</si>
  <si>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</si>
  <si>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</si>
  <si>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</si>
  <si>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</si>
  <si>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</si>
  <si>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</si>
  <si>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</si>
  <si>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</si>
  <si>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</si>
  <si>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</si>
  <si>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</si>
  <si>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</si>
  <si>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</si>
  <si>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</si>
  <si>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</si>
  <si>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</si>
  <si>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</si>
  <si>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</si>
  <si>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</si>
  <si>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</si>
  <si>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</si>
  <si>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</si>
  <si>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</si>
  <si>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</si>
  <si>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</si>
  <si>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</si>
  <si>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</si>
  <si>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</si>
  <si>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</si>
  <si>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</si>
  <si>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</si>
  <si>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</si>
  <si>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</si>
  <si>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</si>
  <si>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</si>
  <si>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</si>
  <si>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</si>
  <si>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</si>
  <si>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</si>
  <si>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</si>
  <si>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</si>
  <si>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</si>
  <si>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</si>
  <si>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</si>
  <si>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</si>
  <si>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</si>
  <si>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</si>
  <si>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</si>
  <si>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</si>
  <si>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</si>
  <si>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</si>
  <si>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</si>
  <si>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</si>
  <si>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</si>
  <si>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</si>
  <si>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</si>
  <si>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</si>
  <si>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</si>
  <si>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_x0096_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</si>
  <si>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</si>
  <si>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</si>
  <si>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</si>
  <si>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</si>
  <si>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</si>
  <si>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</si>
  <si>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</si>
  <si>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</si>
  <si>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</si>
  <si>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</si>
  <si>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</si>
  <si>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</si>
  <si>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</si>
  <si>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</si>
  <si>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</si>
  <si>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</si>
  <si>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</si>
  <si>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</si>
  <si>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</si>
  <si>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</si>
  <si>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</si>
  <si>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</si>
  <si>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</si>
  <si>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_x0096_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</si>
  <si>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</si>
  <si>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</si>
  <si>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5/16_x0092__x0092_ , MANGUEIRA DE 1_x0092__x0092_ COM COMPRESSOR DE AR REBOCÁVEL 189 PCM E MOTOR DIESEL 63 CV - DEPRECIAÇÃO. AF_05/2023</t>
  </si>
  <si>
    <t>MÁQUINA JATO DE PRESSAO PORTÁTIL, CAMARA DE 1 SAIDA, CAPACIDADE 280 L, DIAMETRO 670 MM, BICO DE JATO CURTO VENTURI DE 5/16_x0092__x0092_ , MANGUEIRA DE 1_x0092__x0092_ COM COMPRESSOR DE AR REBOCÁVEL 189 PCM E MOTOR DIESEL 63 CV - JUROS. AF_05/2023</t>
  </si>
  <si>
    <t>MÁQUINA JATO DE PRESSAO PORTÁTIL, CAMARA DE 1 SAIDA, CAPACIDADE 280 L, DIAMETRO 670 MM, BICO DE JATO CURTO VENTURI DE 5/16_x0092__x0092_ , MANGUEIRA DE 1_x0092__x0092_ COM COMPRESSOR DE AR REBOCÁVEL 189 PCM E MOTOR DIESEL 63 CV - MANUTENÇÃO. AF_05/2023</t>
  </si>
  <si>
    <t>MÁQUINA JATO DE PRESSAO PORTÁTIL, CAMARA DE 1 SAIDA, CAPACIDADE 280 L, DIAMETRO 670 MM, BICO DE JATO CURTO VENTURI DE 5/16_x0092__x0092_ , MANGUEIRA DE 1_x0092__x0092_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</si>
  <si>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</si>
  <si>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</si>
  <si>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</si>
  <si>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</si>
  <si>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</si>
  <si>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</si>
  <si>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</si>
  <si>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</si>
  <si>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</si>
  <si>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</si>
  <si>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</si>
  <si>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</si>
  <si>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</si>
  <si>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</si>
  <si>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</si>
  <si>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</si>
  <si>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</si>
  <si>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</si>
  <si>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</si>
  <si>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</si>
  <si>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</si>
  <si>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</si>
  <si>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</si>
  <si>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</si>
  <si>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</si>
  <si>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</si>
  <si>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</si>
  <si>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</si>
  <si>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</si>
  <si>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</si>
  <si>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_x0096_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</si>
  <si>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</si>
  <si>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</si>
  <si>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</si>
  <si>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</si>
  <si>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</si>
  <si>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</si>
  <si>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</si>
  <si>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</si>
  <si>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</si>
  <si>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</si>
  <si>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</si>
  <si>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</si>
  <si>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</si>
  <si>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</si>
  <si>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</si>
  <si>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</si>
  <si>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</si>
  <si>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</si>
  <si>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</si>
  <si>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</si>
  <si>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</si>
  <si>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</si>
  <si>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_x0096_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</si>
  <si>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</si>
  <si>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</si>
  <si>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</si>
  <si>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</si>
  <si>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</si>
  <si>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</si>
  <si>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</si>
  <si>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</si>
  <si>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</si>
  <si>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</si>
  <si>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</si>
  <si>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</si>
  <si>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</si>
  <si>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</si>
  <si>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</si>
  <si>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</si>
  <si>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</si>
  <si>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</si>
  <si>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</si>
  <si>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10_x0094_ - DEPRECIAÇÃO. AF_11/2016</t>
  </si>
  <si>
    <t>PERFURATRIZ SOBRE ESTEIRA, TORQUE MÁXIMO 600 KGF, POTÊNCIA ENTRE 50 E 60 HP, DIÂMETRO MÁXIMO 10_x0094_ - JUROS. AF_11/2016</t>
  </si>
  <si>
    <t>PERFURATRIZ SOBRE ESTEIRA, TORQUE MÁXIMO 600 KGF, POTÊNCIA ENTRE 50 E 60 HP, DIÂMETRO MÁXIMO 10_x0094_ - MANUTENÇÃO. AF_11/2016</t>
  </si>
  <si>
    <t>PERFURATRIZ SOBRE ESTEIRA, TORQUE MÁXIMO 600 KGF, POTÊNCIA ENTRE 50 E 60 HP, DIÂMETRO MÁXIMO 10_x0094_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</si>
  <si>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</si>
  <si>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</si>
  <si>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</si>
  <si>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</si>
  <si>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</si>
  <si>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</si>
  <si>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</si>
  <si>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</si>
  <si>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</si>
  <si>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</si>
  <si>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</si>
  <si>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</si>
  <si>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</si>
  <si>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</si>
  <si>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</si>
  <si>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</si>
  <si>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</si>
  <si>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</si>
  <si>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</si>
  <si>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</si>
  <si>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</si>
  <si>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</si>
  <si>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</si>
  <si>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</si>
  <si>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</si>
  <si>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</si>
  <si>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</si>
  <si>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</si>
  <si>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</si>
  <si>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</si>
  <si>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</si>
  <si>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</si>
  <si>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</si>
  <si>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</si>
  <si>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</si>
  <si>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</si>
  <si>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</si>
  <si>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</si>
  <si>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</si>
  <si>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</si>
  <si>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</si>
  <si>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</si>
  <si>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</si>
  <si>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</si>
  <si>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</si>
  <si>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</si>
  <si>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</si>
  <si>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</si>
  <si>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</si>
  <si>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</si>
  <si>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</si>
  <si>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</si>
  <si>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</si>
  <si>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</si>
  <si>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</si>
  <si>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</si>
  <si>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</si>
  <si>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</si>
  <si>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</si>
  <si>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</si>
  <si>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</si>
  <si>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</si>
  <si>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</si>
  <si>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</si>
  <si>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</si>
  <si>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</si>
  <si>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</si>
  <si>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</si>
  <si>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</si>
  <si>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</si>
  <si>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</si>
  <si>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</si>
  <si>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</si>
  <si>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</si>
  <si>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</si>
  <si>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</si>
  <si>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</si>
  <si>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</si>
  <si>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</si>
  <si>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</si>
  <si>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</si>
  <si>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</si>
  <si>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</si>
  <si>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</si>
  <si>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</si>
  <si>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</si>
  <si>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</si>
  <si>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</si>
  <si>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</si>
  <si>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</si>
  <si>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</si>
  <si>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</si>
  <si>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</si>
  <si>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</si>
  <si>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</si>
  <si>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</si>
  <si>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</si>
  <si>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</si>
  <si>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</si>
  <si>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</si>
  <si>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</si>
  <si>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</si>
  <si>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</si>
  <si>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</si>
  <si>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</si>
  <si>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</si>
  <si>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</si>
  <si>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</si>
  <si>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</si>
  <si>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</si>
  <si>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</si>
  <si>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</si>
  <si>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</si>
  <si>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</si>
  <si>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</si>
  <si>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</si>
  <si>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</si>
  <si>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</si>
  <si>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</si>
  <si>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</si>
  <si>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</si>
  <si>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</si>
  <si>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</si>
  <si>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</si>
  <si>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</si>
  <si>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</si>
  <si>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</si>
  <si>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</si>
  <si>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</si>
  <si>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</si>
  <si>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</si>
  <si>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</si>
  <si>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</si>
  <si>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</si>
  <si>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</si>
  <si>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</si>
  <si>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</si>
  <si>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</si>
  <si>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</si>
  <si>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</si>
  <si>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</si>
  <si>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</si>
  <si>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</si>
  <si>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</si>
  <si>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</si>
  <si>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</si>
  <si>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</si>
  <si>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</si>
  <si>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</si>
  <si>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</si>
  <si>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</si>
  <si>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</si>
  <si>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</si>
  <si>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</si>
  <si>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</si>
  <si>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</si>
  <si>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</si>
  <si>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</si>
  <si>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</si>
  <si>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</si>
  <si>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</si>
  <si>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</si>
  <si>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</si>
  <si>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</si>
  <si>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</si>
  <si>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</si>
  <si>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</si>
  <si>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</si>
  <si>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</si>
  <si>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</si>
  <si>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</si>
  <si>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</si>
  <si>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</si>
  <si>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</si>
  <si>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</si>
  <si>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</si>
  <si>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</si>
  <si>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</si>
  <si>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</si>
  <si>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</si>
  <si>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</si>
  <si>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</si>
  <si>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</si>
  <si>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</si>
  <si>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</si>
  <si>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</si>
  <si>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</si>
  <si>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</si>
  <si>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</si>
  <si>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</si>
  <si>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</si>
  <si>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</si>
  <si>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</si>
  <si>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</si>
  <si>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</si>
  <si>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</si>
  <si>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</si>
  <si>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</si>
  <si>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</si>
  <si>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</si>
  <si>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</si>
  <si>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</si>
  <si>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</si>
  <si>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</si>
  <si>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</si>
  <si>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</si>
  <si>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</si>
  <si>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</si>
  <si>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</si>
  <si>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</si>
  <si>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</si>
  <si>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</si>
  <si>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</si>
  <si>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</si>
  <si>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</si>
  <si>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</si>
  <si>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</si>
  <si>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</si>
  <si>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</si>
  <si>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</si>
  <si>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</si>
  <si>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</si>
  <si>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</si>
  <si>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</si>
  <si>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</si>
  <si>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</si>
  <si>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</si>
  <si>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</si>
  <si>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</si>
  <si>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</si>
  <si>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</si>
  <si>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</si>
  <si>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</si>
  <si>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</si>
  <si>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</si>
  <si>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</si>
  <si>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</si>
  <si>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</si>
  <si>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</si>
  <si>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</si>
  <si>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</si>
  <si>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</si>
  <si>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</si>
  <si>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</si>
  <si>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</si>
  <si>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</si>
  <si>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</si>
  <si>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</si>
  <si>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</si>
  <si>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</si>
  <si>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</si>
  <si>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</si>
  <si>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</si>
  <si>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</si>
  <si>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</si>
  <si>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</si>
  <si>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</si>
  <si>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</si>
  <si>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</si>
  <si>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</si>
  <si>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</si>
  <si>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</si>
  <si>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</si>
  <si>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</si>
  <si>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</si>
  <si>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</si>
  <si>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</si>
  <si>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</si>
  <si>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</si>
  <si>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</si>
  <si>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</si>
  <si>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</si>
  <si>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</si>
  <si>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</si>
  <si>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</si>
  <si>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</si>
  <si>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</si>
  <si>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</si>
  <si>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</si>
  <si>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</si>
  <si>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</si>
  <si>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</si>
  <si>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</si>
  <si>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</si>
  <si>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</si>
  <si>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</si>
  <si>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</si>
  <si>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</si>
  <si>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</si>
  <si>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</si>
  <si>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</si>
  <si>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</si>
  <si>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</si>
  <si>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</si>
  <si>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</si>
  <si>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</si>
  <si>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</si>
  <si>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</si>
  <si>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</si>
  <si>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</si>
  <si>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</si>
  <si>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</si>
  <si>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</si>
  <si>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</si>
  <si>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</si>
  <si>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</si>
  <si>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</si>
  <si>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</si>
  <si>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</si>
  <si>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</si>
  <si>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</si>
  <si>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</si>
  <si>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</si>
  <si>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</si>
  <si>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</si>
  <si>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</si>
  <si>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</si>
  <si>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</si>
  <si>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</si>
  <si>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</si>
  <si>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</si>
  <si>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</si>
  <si>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</si>
  <si>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</si>
  <si>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</si>
  <si>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_x0096_ FORNECIMENTO E EXECUÇÃO. AF_12/2015</t>
  </si>
  <si>
    <t>MURO DE GABIÃO, ENCHIMENTO COM PEDRA DE MÃO TIPO RACHÃO, DE GRAVIDADE, COM GAIOLAS DE COMPRIMENTO IGUAL A 5 M, PARA MUROS COM ALTURA MENOR OU IGUAL A 4 M _x0096_ FORNECIMENTO E EXECUÇÃO. AF_12/2015</t>
  </si>
  <si>
    <t>MURO DE GABIÃO, ENCHIMENTO COM PEDRA DE MÃO TIPO RACHÃO, DE GRAVIDADE, COM GAIOLAS DE COMPRIMENTO IGUAL A 2 M, PARA MUROS COM ALTURA MAIOR QUE 4 M E MENOR OU IGUAL A 6 M _x0096_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</si>
  <si>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</si>
  <si>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</si>
  <si>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M_x0096_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</si>
  <si>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</si>
  <si>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</si>
  <si>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</si>
  <si>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</si>
  <si>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</si>
  <si>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</si>
  <si>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</si>
  <si>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</si>
  <si>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</si>
  <si>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</si>
  <si>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</si>
  <si>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</si>
  <si>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</si>
  <si>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</si>
  <si>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</si>
  <si>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</si>
  <si>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</si>
  <si>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</si>
  <si>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</si>
  <si>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</si>
  <si>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</si>
  <si>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</si>
  <si>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</si>
  <si>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</si>
  <si>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</si>
  <si>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</si>
  <si>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</si>
  <si>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</si>
  <si>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</si>
  <si>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</si>
  <si>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</si>
  <si>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</si>
  <si>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</si>
  <si>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</si>
  <si>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</si>
  <si>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</si>
  <si>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</si>
  <si>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</si>
  <si>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</si>
  <si>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</si>
  <si>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</si>
  <si>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</si>
  <si>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</si>
  <si>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</si>
  <si>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</si>
  <si>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</si>
  <si>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</si>
  <si>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</si>
  <si>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</si>
  <si>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</si>
  <si>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</si>
  <si>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</si>
  <si>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</si>
  <si>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</si>
  <si>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</si>
  <si>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</si>
  <si>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</si>
  <si>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</si>
  <si>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</si>
  <si>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</si>
  <si>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</si>
  <si>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</si>
  <si>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</si>
  <si>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</si>
  <si>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</si>
  <si>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</si>
  <si>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</si>
  <si>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</si>
  <si>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</si>
  <si>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</si>
  <si>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</si>
  <si>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</si>
  <si>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</si>
  <si>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</si>
  <si>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</si>
  <si>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_x0096_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</si>
  <si>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</si>
  <si>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</si>
  <si>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</si>
  <si>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</si>
  <si>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</si>
  <si>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</si>
  <si>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</si>
  <si>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</si>
  <si>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</si>
  <si>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</si>
  <si>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</si>
  <si>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</si>
  <si>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</si>
  <si>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</si>
  <si>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</si>
  <si>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</si>
  <si>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</si>
  <si>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</si>
  <si>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</si>
  <si>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</si>
  <si>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</si>
  <si>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</si>
  <si>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</si>
  <si>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</si>
  <si>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</si>
  <si>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</si>
  <si>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</si>
  <si>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</si>
  <si>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</si>
  <si>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</si>
  <si>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</si>
  <si>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</si>
  <si>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</si>
  <si>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</si>
  <si>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</si>
  <si>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</si>
  <si>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</si>
  <si>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</si>
  <si>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</si>
  <si>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</si>
  <si>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</si>
  <si>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</si>
  <si>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</si>
  <si>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</si>
  <si>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</si>
  <si>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</si>
  <si>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</si>
  <si>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</si>
  <si>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</si>
  <si>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</si>
  <si>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</si>
  <si>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</si>
  <si>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</si>
  <si>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</si>
  <si>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</si>
  <si>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</si>
  <si>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</si>
  <si>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</si>
  <si>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</si>
  <si>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</si>
  <si>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</si>
  <si>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</si>
  <si>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</si>
  <si>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</si>
  <si>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</si>
  <si>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</si>
  <si>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</si>
  <si>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</si>
  <si>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</si>
  <si>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</si>
  <si>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</si>
  <si>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</si>
  <si>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</si>
  <si>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</si>
  <si>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</si>
  <si>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</si>
  <si>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</si>
  <si>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</si>
  <si>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</si>
  <si>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</si>
  <si>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</si>
  <si>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</si>
  <si>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</si>
  <si>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</si>
  <si>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</si>
  <si>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</si>
  <si>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</si>
  <si>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</si>
  <si>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</si>
  <si>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</si>
  <si>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</si>
  <si>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</si>
  <si>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</si>
  <si>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</si>
  <si>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</si>
  <si>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</si>
  <si>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</si>
  <si>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</si>
  <si>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</si>
  <si>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</si>
  <si>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</si>
  <si>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</si>
  <si>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</si>
  <si>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</si>
  <si>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</si>
  <si>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</si>
  <si>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</si>
  <si>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</si>
  <si>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</si>
  <si>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</si>
  <si>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</si>
  <si>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</si>
  <si>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</si>
  <si>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</si>
  <si>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</si>
  <si>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</si>
  <si>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</si>
  <si>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</si>
  <si>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</si>
  <si>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</si>
  <si>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</si>
  <si>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</si>
  <si>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</si>
  <si>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</si>
  <si>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</si>
  <si>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</si>
  <si>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</si>
  <si>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</si>
  <si>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</si>
  <si>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</si>
  <si>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</si>
  <si>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</si>
  <si>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</si>
  <si>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</si>
  <si>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</si>
  <si>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</si>
  <si>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</si>
  <si>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</si>
  <si>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</si>
  <si>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</si>
  <si>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</si>
  <si>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</si>
  <si>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</si>
  <si>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</si>
  <si>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</si>
  <si>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</si>
  <si>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</si>
  <si>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</si>
  <si>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</si>
  <si>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</si>
  <si>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</si>
  <si>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</si>
  <si>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</si>
  <si>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</si>
  <si>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</si>
  <si>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</si>
  <si>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</si>
  <si>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</si>
  <si>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</si>
  <si>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</si>
  <si>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</si>
  <si>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</si>
  <si>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</si>
  <si>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</si>
  <si>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</si>
  <si>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</si>
  <si>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</si>
  <si>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</si>
  <si>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</si>
  <si>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</si>
  <si>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</si>
  <si>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</si>
  <si>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</si>
  <si>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</si>
  <si>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</si>
  <si>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</si>
  <si>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</si>
  <si>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</si>
  <si>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</si>
  <si>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</si>
  <si>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</si>
  <si>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</si>
  <si>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</si>
  <si>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</si>
  <si>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</si>
  <si>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</si>
  <si>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</si>
  <si>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</si>
  <si>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</si>
  <si>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</si>
  <si>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</si>
  <si>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</si>
  <si>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</si>
  <si>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</si>
  <si>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</si>
  <si>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</si>
  <si>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</si>
  <si>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</si>
  <si>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</si>
  <si>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</si>
  <si>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</si>
  <si>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</si>
  <si>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</si>
  <si>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</si>
  <si>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</si>
  <si>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</si>
  <si>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</si>
  <si>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</si>
  <si>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</si>
  <si>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</si>
  <si>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</si>
  <si>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</si>
  <si>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</si>
  <si>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</si>
  <si>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</si>
  <si>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</si>
  <si>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</si>
  <si>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</si>
  <si>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</si>
  <si>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</si>
  <si>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</si>
  <si>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</si>
  <si>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</si>
  <si>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</si>
  <si>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</si>
  <si>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</si>
  <si>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</si>
  <si>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</si>
  <si>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</si>
  <si>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</si>
  <si>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</si>
  <si>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</si>
  <si>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</si>
  <si>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</si>
  <si>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</si>
  <si>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</si>
  <si>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</si>
  <si>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</si>
  <si>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</si>
  <si>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</si>
  <si>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</si>
  <si>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</si>
  <si>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</si>
  <si>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</si>
  <si>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</si>
  <si>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</si>
  <si>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</si>
  <si>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</si>
  <si>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</si>
  <si>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</si>
  <si>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</si>
  <si>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</si>
  <si>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</si>
  <si>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</si>
  <si>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</si>
  <si>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</si>
  <si>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</si>
  <si>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</si>
  <si>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</si>
  <si>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</si>
  <si>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</si>
  <si>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</si>
  <si>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</si>
  <si>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</si>
  <si>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</si>
  <si>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</si>
  <si>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</si>
  <si>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</si>
  <si>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</si>
  <si>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</si>
  <si>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</si>
  <si>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</si>
  <si>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</si>
  <si>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</si>
  <si>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</si>
  <si>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</si>
  <si>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</si>
  <si>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</si>
  <si>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</si>
  <si>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</si>
  <si>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</si>
  <si>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</si>
  <si>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</si>
  <si>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</si>
  <si>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</si>
  <si>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</si>
  <si>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</si>
  <si>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</si>
  <si>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</si>
  <si>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</si>
  <si>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</si>
  <si>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</si>
  <si>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</si>
  <si>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</si>
  <si>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</si>
  <si>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</si>
  <si>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</si>
  <si>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</si>
  <si>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</si>
  <si>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</si>
  <si>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</si>
  <si>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</si>
  <si>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</si>
  <si>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</si>
  <si>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</si>
  <si>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</si>
  <si>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</si>
  <si>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</si>
  <si>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</si>
  <si>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</si>
  <si>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</si>
  <si>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</si>
  <si>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</si>
  <si>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</si>
  <si>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</si>
  <si>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</si>
  <si>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</si>
  <si>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</si>
  <si>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</si>
  <si>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</si>
  <si>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</si>
  <si>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</si>
  <si>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</si>
  <si>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</si>
  <si>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</si>
  <si>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</si>
  <si>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</si>
  <si>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</si>
  <si>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</si>
  <si>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</si>
  <si>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</si>
  <si>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</si>
  <si>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</si>
  <si>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</si>
  <si>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</si>
  <si>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</si>
  <si>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</si>
  <si>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</si>
  <si>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</si>
  <si>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</si>
  <si>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</si>
  <si>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</si>
  <si>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</si>
  <si>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</si>
  <si>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</si>
  <si>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</si>
  <si>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</si>
  <si>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</si>
  <si>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</si>
  <si>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</si>
  <si>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</si>
  <si>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</si>
  <si>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</si>
  <si>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</si>
  <si>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</si>
  <si>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</si>
  <si>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</si>
  <si>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</si>
  <si>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</si>
  <si>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</si>
  <si>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</si>
  <si>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</si>
  <si>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</si>
  <si>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</si>
  <si>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</si>
  <si>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</si>
  <si>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</si>
  <si>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</si>
  <si>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</si>
  <si>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</si>
  <si>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</si>
  <si>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</si>
  <si>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</si>
  <si>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</si>
  <si>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</si>
  <si>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</si>
  <si>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</si>
  <si>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</si>
  <si>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</si>
  <si>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</si>
  <si>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</si>
  <si>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</si>
  <si>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</si>
  <si>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</si>
  <si>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</si>
  <si>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</si>
  <si>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</si>
  <si>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</si>
  <si>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</si>
  <si>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</si>
  <si>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</si>
  <si>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</si>
  <si>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</si>
  <si>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</si>
  <si>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</si>
  <si>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</si>
  <si>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</si>
  <si>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</si>
  <si>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</si>
  <si>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</si>
  <si>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</si>
  <si>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</si>
  <si>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</si>
  <si>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</si>
  <si>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</si>
  <si>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</si>
  <si>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</si>
  <si>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</si>
  <si>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</si>
  <si>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</si>
  <si>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</si>
  <si>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</si>
  <si>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</si>
  <si>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</si>
  <si>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</si>
  <si>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</si>
  <si>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</si>
  <si>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</si>
  <si>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</si>
  <si>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</si>
  <si>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</si>
  <si>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</si>
  <si>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</si>
  <si>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</si>
  <si>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</si>
  <si>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</si>
  <si>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</si>
  <si>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</si>
  <si>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</si>
  <si>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</si>
  <si>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</si>
  <si>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</si>
  <si>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</si>
  <si>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</si>
  <si>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</si>
  <si>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</si>
  <si>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</si>
  <si>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</si>
  <si>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</si>
  <si>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</si>
  <si>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</si>
  <si>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</si>
  <si>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</si>
  <si>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</si>
  <si>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</si>
  <si>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</si>
  <si>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</si>
  <si>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</si>
  <si>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</si>
  <si>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</si>
  <si>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</si>
  <si>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</si>
  <si>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</si>
  <si>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</si>
  <si>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</si>
  <si>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</si>
  <si>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</si>
  <si>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</si>
  <si>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1.1/4_x0094_ ESPAÇADOS DE 1,20M, TRAVESSA SUPERIOR DE 1.1/2_x0094_, GRADIL FORMADO POR TUBOS HORIZONTAIS DE 1_x0094_ E VERTICAIS DE 3/4_x0094_,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</si>
  <si>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</si>
  <si>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</si>
  <si>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1/2_x0094_, EM AÇO GALVANIZADO. AF_04/2019_PS</t>
  </si>
  <si>
    <t>CORRIMÃO SIMPLES, DIÂMETRO EXTERNO = 1 1/2_x0094_,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</si>
  <si>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</si>
  <si>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</si>
  <si>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</si>
  <si>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</si>
  <si>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</si>
  <si>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</si>
  <si>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</si>
  <si>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</si>
  <si>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</si>
  <si>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</si>
  <si>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</si>
  <si>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</si>
  <si>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</si>
  <si>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</si>
  <si>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</si>
  <si>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</si>
  <si>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</si>
  <si>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</si>
  <si>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</si>
  <si>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</si>
  <si>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</si>
  <si>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</si>
  <si>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</si>
  <si>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</si>
  <si>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</si>
  <si>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</si>
  <si>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</si>
  <si>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</si>
  <si>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</si>
  <si>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</si>
  <si>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</si>
  <si>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</si>
  <si>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</si>
  <si>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</si>
  <si>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</si>
  <si>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</si>
  <si>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</si>
  <si>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</si>
  <si>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</si>
  <si>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</si>
  <si>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</si>
  <si>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</si>
  <si>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</si>
  <si>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</si>
  <si>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</si>
  <si>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</si>
  <si>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</si>
  <si>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</si>
  <si>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</si>
  <si>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</si>
  <si>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</si>
  <si>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</si>
  <si>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</si>
  <si>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</si>
  <si>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</si>
  <si>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</si>
  <si>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</si>
  <si>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</si>
  <si>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</si>
  <si>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</si>
  <si>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</si>
  <si>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</si>
  <si>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</si>
  <si>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</si>
  <si>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</si>
  <si>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</si>
  <si>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</si>
  <si>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</si>
  <si>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</si>
  <si>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</si>
  <si>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</si>
  <si>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</si>
  <si>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</si>
  <si>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</si>
  <si>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</si>
  <si>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</si>
  <si>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</si>
  <si>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</si>
  <si>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</si>
  <si>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</si>
  <si>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</si>
  <si>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</si>
  <si>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</si>
  <si>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</si>
  <si>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</si>
  <si>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</si>
  <si>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</si>
  <si>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</si>
  <si>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</si>
  <si>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</si>
  <si>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</si>
  <si>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</si>
  <si>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</si>
  <si>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</si>
  <si>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</si>
  <si>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</si>
  <si>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</si>
  <si>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</si>
  <si>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</si>
  <si>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</si>
  <si>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</si>
  <si>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</si>
  <si>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</si>
  <si>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</si>
  <si>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</si>
  <si>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</si>
  <si>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</si>
  <si>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</si>
  <si>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</si>
  <si>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</si>
  <si>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</si>
  <si>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</si>
  <si>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</si>
  <si>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</si>
  <si>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</si>
  <si>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</si>
  <si>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</si>
  <si>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</si>
  <si>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</si>
  <si>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</si>
  <si>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</si>
  <si>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</si>
  <si>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</si>
  <si>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</si>
  <si>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</si>
  <si>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</si>
  <si>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</si>
  <si>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</si>
  <si>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</si>
  <si>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</si>
  <si>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</si>
  <si>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</si>
  <si>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</si>
  <si>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</si>
  <si>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</si>
  <si>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</si>
  <si>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</si>
  <si>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</si>
  <si>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</si>
  <si>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</si>
  <si>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</si>
  <si>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</si>
  <si>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</si>
  <si>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</si>
  <si>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</si>
  <si>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</si>
  <si>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</si>
  <si>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</si>
  <si>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</si>
  <si>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</si>
  <si>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</si>
  <si>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</si>
  <si>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</si>
  <si>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</si>
  <si>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</si>
  <si>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</si>
  <si>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</si>
  <si>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</si>
  <si>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</si>
  <si>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</si>
  <si>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</si>
  <si>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</si>
  <si>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</si>
  <si>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</si>
  <si>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</si>
  <si>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</si>
  <si>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</si>
  <si>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</si>
  <si>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</si>
  <si>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</si>
  <si>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</si>
  <si>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</si>
  <si>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</si>
  <si>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</si>
  <si>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</si>
  <si>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</si>
  <si>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</si>
  <si>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</si>
  <si>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</si>
  <si>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</si>
  <si>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</si>
  <si>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</si>
  <si>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</si>
  <si>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</si>
  <si>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</si>
  <si>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</si>
  <si>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</si>
  <si>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</si>
  <si>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</si>
  <si>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</si>
  <si>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</si>
  <si>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</si>
  <si>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</si>
  <si>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</si>
  <si>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</si>
  <si>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</si>
  <si>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</si>
  <si>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</si>
  <si>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</si>
  <si>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</si>
  <si>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</si>
  <si>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</si>
  <si>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</si>
  <si>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</si>
  <si>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</si>
  <si>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</si>
  <si>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</si>
  <si>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</si>
  <si>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</si>
  <si>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</si>
  <si>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</si>
  <si>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</si>
  <si>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</si>
  <si>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</si>
  <si>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</si>
  <si>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</si>
  <si>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</si>
  <si>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</si>
  <si>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</si>
  <si>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</si>
  <si>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</si>
  <si>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</si>
  <si>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</si>
  <si>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</si>
  <si>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</si>
  <si>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</si>
  <si>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</si>
  <si>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</si>
  <si>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</si>
  <si>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</si>
  <si>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</si>
  <si>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</si>
  <si>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</si>
  <si>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</si>
  <si>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</si>
  <si>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</si>
  <si>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</si>
  <si>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</si>
  <si>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</si>
  <si>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</si>
  <si>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</si>
  <si>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</si>
  <si>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</si>
  <si>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</si>
  <si>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</si>
  <si>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</si>
  <si>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</si>
  <si>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</si>
  <si>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</si>
  <si>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</si>
  <si>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</si>
  <si>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</si>
  <si>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</si>
  <si>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</si>
  <si>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</si>
  <si>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</si>
  <si>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</si>
  <si>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</si>
  <si>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</si>
  <si>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</si>
  <si>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</si>
  <si>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</si>
  <si>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</si>
  <si>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</si>
  <si>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</si>
  <si>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</si>
  <si>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</si>
  <si>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</si>
  <si>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</si>
  <si>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</si>
  <si>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</si>
  <si>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</si>
  <si>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</si>
  <si>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</si>
  <si>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</si>
  <si>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</si>
  <si>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</si>
  <si>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</si>
  <si>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</si>
  <si>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</si>
  <si>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</si>
  <si>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</si>
  <si>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</si>
  <si>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</si>
  <si>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</si>
  <si>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</si>
  <si>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</si>
  <si>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</si>
  <si>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</si>
  <si>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</si>
  <si>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</si>
  <si>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</si>
  <si>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</si>
  <si>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</si>
  <si>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</si>
  <si>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</si>
  <si>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</si>
  <si>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</si>
  <si>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</si>
  <si>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</si>
  <si>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</si>
  <si>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</si>
  <si>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</si>
  <si>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</si>
  <si>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</si>
  <si>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</si>
  <si>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</si>
  <si>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</si>
  <si>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</si>
  <si>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</si>
  <si>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</si>
  <si>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</si>
  <si>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</si>
  <si>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</si>
  <si>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</si>
  <si>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</si>
  <si>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</si>
  <si>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</si>
  <si>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</si>
  <si>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</si>
  <si>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</si>
  <si>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</si>
  <si>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</si>
  <si>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</si>
  <si>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</si>
  <si>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</si>
  <si>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</si>
  <si>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</si>
  <si>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</si>
  <si>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</si>
  <si>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</si>
  <si>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</si>
  <si>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</si>
  <si>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</si>
  <si>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</si>
  <si>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</si>
  <si>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</si>
  <si>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</si>
  <si>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</si>
  <si>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</si>
  <si>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</si>
  <si>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</si>
  <si>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</si>
  <si>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</si>
  <si>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</si>
  <si>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</si>
  <si>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</si>
  <si>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</si>
  <si>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</si>
  <si>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</si>
  <si>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</si>
  <si>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</si>
  <si>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_x0093_X_x0094_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</si>
  <si>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</si>
  <si>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</si>
  <si>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_x0093_X_x0094_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</si>
  <si>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</si>
  <si>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</si>
  <si>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</si>
  <si>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</si>
  <si>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</si>
  <si>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</si>
  <si>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</si>
  <si>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</si>
  <si>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</si>
  <si>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</si>
  <si>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</si>
  <si>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</si>
  <si>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</si>
  <si>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</si>
  <si>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</si>
  <si>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</si>
  <si>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</si>
  <si>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</si>
  <si>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</si>
  <si>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</si>
  <si>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</si>
  <si>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</si>
  <si>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</si>
  <si>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</si>
  <si>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</si>
  <si>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</si>
  <si>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</si>
  <si>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</si>
  <si>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</si>
  <si>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</si>
  <si>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</si>
  <si>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</si>
  <si>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</si>
  <si>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</si>
  <si>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</si>
  <si>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</si>
  <si>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</si>
  <si>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</si>
  <si>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</si>
  <si>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</si>
  <si>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</si>
  <si>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</si>
  <si>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</si>
  <si>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</si>
  <si>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</si>
  <si>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</si>
  <si>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</si>
  <si>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</si>
  <si>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</si>
  <si>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</si>
  <si>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</si>
  <si>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</si>
  <si>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</si>
  <si>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</si>
  <si>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</si>
  <si>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</si>
  <si>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</si>
  <si>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</si>
  <si>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</si>
  <si>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</si>
  <si>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</si>
  <si>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</si>
  <si>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</si>
  <si>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</si>
  <si>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</si>
  <si>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</si>
  <si>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</si>
  <si>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</si>
  <si>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</si>
  <si>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</si>
  <si>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</si>
  <si>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</si>
  <si>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</si>
  <si>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</si>
  <si>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</si>
  <si>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</si>
  <si>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</si>
  <si>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</si>
  <si>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</si>
  <si>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</si>
  <si>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</si>
  <si>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</si>
  <si>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</si>
  <si>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</si>
  <si>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</si>
  <si>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</si>
  <si>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</si>
  <si>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</si>
  <si>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</si>
  <si>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</si>
  <si>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</si>
  <si>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</si>
  <si>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</si>
  <si>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</si>
  <si>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</si>
  <si>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</si>
  <si>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</si>
  <si>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</si>
  <si>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</si>
  <si>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</si>
  <si>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</si>
  <si>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</si>
  <si>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</si>
  <si>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</si>
  <si>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</si>
  <si>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</si>
  <si>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</si>
  <si>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</si>
  <si>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</si>
  <si>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</si>
  <si>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</si>
  <si>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</si>
  <si>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</si>
  <si>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</si>
  <si>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</si>
  <si>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</si>
  <si>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</si>
  <si>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</si>
  <si>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</si>
  <si>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</si>
  <si>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</si>
  <si>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</si>
  <si>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</si>
  <si>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</si>
  <si>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</si>
  <si>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</si>
  <si>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</si>
  <si>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</si>
  <si>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</si>
  <si>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</si>
  <si>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</si>
  <si>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</si>
  <si>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</si>
  <si>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</si>
  <si>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_x0096_ LANÇAMENTO, ADENSAMENTO E ACABAMENTO. AF_06/2017</t>
  </si>
  <si>
    <t>CONCRETAGEM DE SAPATAS, FCK 30 MPA, COM USO DE JERICA _x0096_ LANÇAMENTO, ADENSAMENTO E ACABAMENTO. AF_06/2017</t>
  </si>
  <si>
    <t>CONCRETAGEM DE BLOCOS DE COROAMENTO E VIGAS BALDRAMES, FCK 30 MPA, COM USO DE BOMBA _x0096_ LANÇAMENTO, ADENSAMENTO E ACABAMENTO. AF_06/2017</t>
  </si>
  <si>
    <t>CONCRETAGEM DE SAPATAS, FCK 30 MPA, COM USO DE BOMBA _x0096_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</si>
  <si>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</si>
  <si>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</si>
  <si>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</si>
  <si>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</si>
  <si>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</si>
  <si>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</si>
  <si>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</si>
  <si>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</si>
  <si>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</si>
  <si>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</si>
  <si>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</si>
  <si>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</si>
  <si>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</si>
  <si>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</si>
  <si>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</si>
  <si>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</si>
  <si>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</si>
  <si>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</si>
  <si>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</si>
  <si>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</si>
  <si>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</si>
  <si>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</si>
  <si>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</si>
  <si>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</si>
  <si>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</si>
  <si>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</si>
  <si>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</si>
  <si>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</si>
  <si>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</si>
  <si>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</si>
  <si>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</si>
  <si>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</si>
  <si>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</si>
  <si>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</si>
  <si>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</si>
  <si>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</si>
  <si>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</si>
  <si>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</si>
  <si>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</si>
  <si>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</si>
  <si>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</si>
  <si>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</si>
  <si>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</si>
  <si>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</si>
  <si>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</si>
  <si>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</si>
  <si>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</si>
  <si>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</si>
  <si>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</si>
  <si>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</si>
  <si>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</si>
  <si>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</si>
  <si>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</si>
  <si>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</si>
  <si>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</si>
  <si>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</si>
  <si>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</si>
  <si>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</si>
  <si>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</si>
  <si>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</si>
  <si>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</si>
  <si>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</si>
  <si>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</si>
  <si>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</si>
  <si>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</si>
  <si>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</si>
  <si>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</si>
  <si>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</si>
  <si>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</si>
  <si>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</si>
  <si>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</si>
  <si>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</si>
  <si>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</si>
  <si>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</si>
  <si>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</si>
  <si>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</si>
  <si>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</si>
  <si>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</si>
  <si>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</si>
  <si>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</si>
  <si>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</si>
  <si>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</si>
  <si>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</si>
  <si>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</si>
  <si>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</si>
  <si>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</si>
  <si>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</si>
  <si>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</si>
  <si>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</si>
  <si>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</si>
  <si>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</si>
  <si>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</si>
  <si>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</si>
  <si>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</si>
  <si>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</si>
  <si>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</si>
  <si>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</si>
  <si>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</si>
  <si>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</si>
  <si>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</si>
  <si>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</si>
  <si>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</si>
  <si>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</si>
  <si>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</si>
  <si>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</si>
  <si>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</si>
  <si>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</si>
  <si>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</si>
  <si>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</si>
  <si>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</si>
  <si>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</si>
  <si>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</si>
  <si>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</si>
  <si>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</si>
  <si>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</si>
  <si>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</si>
  <si>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</si>
  <si>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</si>
  <si>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</si>
  <si>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</si>
  <si>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</si>
  <si>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</si>
  <si>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</si>
  <si>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</si>
  <si>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</si>
  <si>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</si>
  <si>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</si>
  <si>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D_x0092_ÁGUA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</si>
  <si>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</si>
  <si>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</si>
  <si>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</si>
  <si>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</si>
  <si>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D_x0092_ÁGUA DE CORTE OU ATERRO EM DEGRAUS (DCD 02, 04 E DAD 02), EM CONCRETO USINADO, FCK = 20 MPA, LANÇADO COM BOMBA, INCLUINDO ARMAÇÃO, MATERIAIS E FÔRMAS (3 UTILIZAÇÕES). AF_08/2022</t>
  </si>
  <si>
    <t>ESCADA HIDRÁULICA, LARGURA DE 1 A 4,1 M, TIPO DESCIDA D_x0092_ÁGUA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</si>
  <si>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</si>
  <si>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</si>
  <si>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</si>
  <si>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</si>
  <si>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</si>
  <si>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</si>
  <si>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</si>
  <si>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</si>
  <si>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</si>
  <si>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</si>
  <si>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</si>
  <si>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</si>
  <si>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</si>
  <si>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</si>
  <si>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</si>
  <si>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</si>
  <si>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</si>
  <si>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</si>
  <si>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</si>
  <si>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</si>
  <si>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</si>
  <si>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</si>
  <si>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</si>
  <si>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</si>
  <si>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</si>
  <si>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</si>
  <si>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</si>
  <si>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</si>
  <si>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</si>
  <si>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</si>
  <si>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</si>
  <si>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</si>
  <si>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</si>
  <si>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</si>
  <si>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</si>
  <si>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</si>
  <si>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</si>
  <si>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</si>
  <si>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</si>
  <si>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</si>
  <si>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</si>
  <si>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</si>
  <si>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</si>
  <si>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</si>
  <si>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</si>
  <si>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</si>
  <si>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</si>
  <si>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</si>
  <si>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</si>
  <si>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</si>
  <si>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</si>
  <si>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</si>
  <si>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</si>
  <si>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</si>
  <si>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</si>
  <si>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</si>
  <si>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</si>
  <si>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</si>
  <si>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</si>
  <si>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</si>
  <si>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</si>
  <si>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</si>
  <si>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</si>
  <si>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</si>
  <si>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</si>
  <si>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</si>
  <si>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</si>
  <si>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</si>
  <si>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</si>
  <si>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</si>
  <si>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</si>
  <si>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</si>
  <si>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</si>
  <si>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</si>
  <si>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</si>
  <si>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</si>
  <si>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</si>
  <si>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</si>
  <si>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</si>
  <si>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</si>
  <si>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</si>
  <si>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</si>
  <si>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</si>
  <si>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</si>
  <si>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</si>
  <si>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</si>
  <si>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</si>
  <si>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</si>
  <si>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</si>
  <si>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</si>
  <si>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</si>
  <si>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</si>
  <si>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</si>
  <si>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</si>
  <si>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</si>
  <si>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</si>
  <si>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</si>
  <si>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</si>
  <si>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</si>
  <si>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</si>
  <si>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</si>
  <si>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</si>
  <si>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</si>
  <si>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</si>
  <si>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</si>
  <si>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</si>
  <si>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</si>
  <si>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</si>
  <si>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</si>
  <si>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</si>
  <si>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</si>
  <si>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</si>
  <si>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</si>
  <si>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</si>
  <si>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</si>
  <si>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</si>
  <si>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</si>
  <si>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</si>
  <si>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</si>
  <si>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</si>
  <si>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</si>
  <si>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</si>
  <si>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</si>
  <si>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</si>
  <si>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</si>
  <si>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</si>
  <si>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</si>
  <si>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</si>
  <si>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</si>
  <si>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</si>
  <si>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</si>
  <si>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</si>
  <si>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</si>
  <si>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</si>
  <si>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</si>
  <si>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</si>
  <si>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</si>
  <si>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</si>
  <si>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</si>
  <si>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</si>
  <si>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</si>
  <si>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</si>
  <si>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</si>
  <si>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</si>
  <si>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</si>
  <si>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</si>
  <si>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</si>
  <si>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</si>
  <si>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</si>
  <si>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</si>
  <si>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</si>
  <si>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</si>
  <si>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</si>
  <si>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</si>
  <si>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</si>
  <si>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</si>
  <si>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</si>
  <si>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</si>
  <si>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</si>
  <si>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</si>
  <si>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</si>
  <si>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</si>
  <si>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</si>
  <si>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</si>
  <si>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</si>
  <si>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</si>
  <si>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</si>
  <si>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</si>
  <si>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</si>
  <si>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</si>
  <si>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</si>
  <si>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</si>
  <si>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</si>
  <si>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</si>
  <si>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</si>
  <si>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</si>
  <si>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</si>
  <si>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</si>
  <si>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</si>
  <si>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</si>
  <si>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</si>
  <si>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</si>
  <si>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</si>
  <si>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</si>
  <si>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</si>
  <si>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</si>
  <si>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</si>
  <si>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</si>
  <si>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</si>
  <si>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</si>
  <si>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</si>
  <si>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</si>
  <si>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</si>
  <si>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</si>
  <si>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</si>
  <si>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</si>
  <si>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</si>
  <si>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</si>
  <si>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</si>
  <si>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</si>
  <si>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</si>
  <si>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</si>
  <si>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</si>
  <si>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</si>
  <si>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</si>
  <si>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</si>
  <si>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</si>
  <si>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</si>
  <si>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</si>
  <si>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</si>
  <si>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</si>
  <si>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</si>
  <si>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</si>
  <si>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</si>
  <si>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</si>
  <si>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</si>
  <si>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</si>
  <si>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</si>
  <si>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</si>
  <si>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</si>
  <si>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</si>
  <si>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</si>
  <si>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(3/4_x0092__x0092_),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</si>
  <si>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</si>
  <si>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</si>
  <si>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</si>
  <si>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</si>
  <si>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</si>
  <si>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</si>
  <si>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</si>
  <si>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</si>
  <si>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</si>
  <si>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</si>
  <si>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</si>
  <si>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</si>
  <si>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</si>
  <si>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</si>
  <si>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</si>
  <si>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</si>
  <si>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</si>
  <si>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</si>
  <si>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</si>
  <si>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</si>
  <si>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</si>
  <si>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</si>
  <si>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</si>
  <si>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</si>
  <si>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</si>
  <si>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</si>
  <si>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</si>
  <si>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</si>
  <si>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</si>
  <si>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</si>
  <si>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</si>
  <si>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</si>
  <si>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</si>
  <si>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</si>
  <si>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</si>
  <si>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</si>
  <si>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</si>
  <si>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</si>
  <si>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</si>
  <si>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</si>
  <si>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</si>
  <si>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</si>
  <si>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</si>
  <si>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</si>
  <si>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</si>
  <si>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</si>
  <si>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</si>
  <si>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</si>
  <si>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</si>
  <si>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</si>
  <si>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</si>
  <si>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</si>
  <si>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</si>
  <si>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</si>
  <si>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</si>
  <si>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</si>
  <si>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</si>
  <si>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</si>
  <si>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</si>
  <si>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</si>
  <si>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</si>
  <si>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</si>
  <si>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</si>
  <si>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</si>
  <si>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</si>
  <si>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</si>
  <si>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</si>
  <si>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</si>
  <si>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</si>
  <si>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</si>
  <si>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</si>
  <si>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</si>
  <si>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</si>
  <si>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</si>
  <si>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</si>
  <si>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</si>
  <si>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</si>
  <si>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</si>
  <si>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</si>
  <si>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</si>
  <si>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</si>
  <si>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</si>
  <si>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</si>
  <si>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</si>
  <si>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</si>
  <si>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</si>
  <si>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</si>
  <si>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</si>
  <si>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</si>
  <si>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</si>
  <si>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</si>
  <si>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</si>
  <si>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</si>
  <si>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</si>
  <si>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</si>
  <si>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</si>
  <si>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</si>
  <si>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</si>
  <si>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</si>
  <si>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</si>
  <si>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</si>
  <si>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</si>
  <si>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</si>
  <si>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</si>
  <si>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</si>
  <si>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</si>
  <si>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</si>
  <si>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</si>
  <si>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</si>
  <si>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</si>
  <si>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</si>
  <si>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</si>
  <si>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</si>
  <si>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</si>
  <si>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</si>
  <si>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</si>
  <si>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</si>
  <si>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</si>
  <si>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</si>
  <si>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</si>
  <si>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</si>
  <si>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</si>
  <si>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</si>
  <si>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</si>
  <si>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</si>
  <si>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</si>
  <si>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</si>
  <si>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</si>
  <si>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</si>
  <si>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</si>
  <si>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</si>
  <si>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</si>
  <si>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</si>
  <si>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</si>
  <si>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</si>
  <si>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</si>
  <si>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</si>
  <si>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</si>
  <si>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</si>
  <si>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</si>
  <si>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</si>
  <si>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</si>
  <si>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</si>
  <si>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</si>
  <si>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</si>
  <si>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</si>
  <si>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</si>
  <si>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</si>
  <si>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</si>
  <si>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</si>
  <si>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</si>
  <si>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</si>
  <si>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</si>
  <si>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</si>
  <si>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</si>
  <si>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</si>
  <si>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</si>
  <si>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</si>
  <si>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</si>
  <si>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</si>
  <si>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</si>
  <si>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</si>
  <si>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</si>
  <si>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</si>
  <si>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</si>
  <si>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</si>
  <si>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</si>
  <si>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</si>
  <si>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</si>
  <si>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</si>
  <si>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</si>
  <si>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</si>
  <si>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</si>
  <si>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</si>
  <si>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</si>
  <si>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</si>
  <si>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</si>
  <si>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</si>
  <si>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</si>
  <si>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</si>
  <si>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</si>
  <si>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</si>
  <si>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</si>
  <si>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</si>
  <si>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</si>
  <si>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</si>
  <si>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</si>
  <si>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</si>
  <si>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</si>
  <si>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</si>
  <si>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</si>
  <si>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</si>
  <si>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</si>
  <si>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</si>
  <si>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</si>
  <si>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</si>
  <si>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</si>
  <si>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</si>
  <si>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</si>
  <si>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</si>
  <si>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</si>
  <si>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</si>
  <si>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</si>
  <si>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</si>
  <si>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</si>
  <si>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</si>
  <si>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</si>
  <si>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</si>
  <si>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</si>
  <si>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</si>
  <si>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</si>
  <si>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</si>
  <si>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</si>
  <si>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</si>
  <si>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</si>
  <si>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</si>
  <si>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</si>
  <si>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</si>
  <si>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</si>
  <si>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</si>
  <si>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</si>
  <si>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</si>
  <si>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</si>
  <si>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</si>
  <si>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</si>
  <si>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</si>
  <si>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</si>
  <si>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</si>
  <si>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</si>
  <si>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</si>
  <si>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</si>
  <si>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</si>
  <si>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</si>
  <si>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</si>
  <si>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</si>
  <si>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</si>
  <si>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</si>
  <si>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</si>
  <si>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</si>
  <si>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</si>
  <si>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</si>
  <si>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</si>
  <si>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</si>
  <si>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</si>
  <si>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</si>
  <si>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</si>
  <si>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</si>
  <si>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</si>
  <si>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</si>
  <si>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</si>
  <si>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</si>
  <si>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</si>
  <si>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</si>
  <si>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</si>
  <si>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</si>
  <si>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</si>
  <si>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</si>
  <si>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</si>
  <si>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</si>
  <si>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</si>
  <si>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</si>
  <si>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</si>
  <si>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</si>
  <si>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</si>
  <si>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</si>
  <si>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</si>
  <si>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</si>
  <si>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</si>
  <si>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</si>
  <si>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</si>
  <si>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</si>
  <si>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</si>
  <si>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</si>
  <si>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</si>
  <si>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</si>
  <si>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</si>
  <si>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</si>
  <si>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</si>
  <si>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</si>
  <si>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</si>
  <si>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</si>
  <si>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</si>
  <si>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</si>
  <si>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</si>
  <si>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</si>
  <si>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</si>
  <si>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</si>
  <si>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</si>
  <si>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</si>
  <si>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</si>
  <si>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</si>
  <si>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</si>
  <si>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</si>
  <si>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</si>
  <si>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</si>
  <si>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</si>
  <si>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</si>
  <si>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</si>
  <si>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</si>
  <si>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</si>
  <si>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</si>
  <si>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</si>
  <si>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</si>
  <si>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</si>
  <si>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</si>
  <si>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</si>
  <si>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</si>
  <si>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</si>
  <si>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</si>
  <si>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</si>
  <si>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</si>
  <si>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</si>
  <si>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</si>
  <si>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</si>
  <si>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</si>
  <si>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</si>
  <si>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</si>
  <si>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</si>
  <si>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</si>
  <si>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</si>
  <si>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</si>
  <si>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</si>
  <si>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</si>
  <si>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</si>
  <si>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</si>
  <si>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</si>
  <si>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</si>
  <si>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</si>
  <si>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</si>
  <si>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</si>
  <si>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</si>
  <si>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</si>
  <si>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</si>
  <si>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</si>
  <si>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</si>
  <si>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</si>
  <si>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</si>
  <si>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</si>
  <si>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</si>
  <si>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</si>
  <si>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</si>
  <si>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</si>
  <si>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</si>
  <si>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</si>
  <si>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</si>
  <si>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</si>
  <si>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</si>
  <si>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</si>
  <si>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</si>
  <si>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</si>
  <si>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</si>
  <si>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</si>
  <si>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</si>
  <si>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</si>
  <si>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</si>
  <si>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</si>
  <si>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</si>
  <si>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</si>
  <si>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</si>
  <si>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</si>
  <si>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</si>
  <si>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</si>
  <si>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</si>
  <si>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</si>
  <si>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</si>
  <si>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</si>
  <si>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</si>
  <si>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</si>
  <si>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</si>
  <si>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</si>
  <si>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</si>
  <si>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</si>
  <si>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</si>
  <si>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</si>
  <si>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</si>
  <si>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</si>
  <si>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</si>
  <si>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</si>
  <si>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</si>
  <si>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</si>
  <si>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</si>
  <si>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</si>
  <si>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</si>
  <si>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</si>
  <si>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</si>
  <si>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</si>
  <si>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</si>
  <si>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</si>
  <si>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</si>
  <si>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</si>
  <si>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</si>
  <si>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</si>
  <si>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</si>
  <si>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</si>
  <si>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</si>
  <si>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</si>
  <si>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</si>
  <si>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</si>
  <si>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</si>
  <si>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</si>
  <si>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</si>
  <si>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</si>
  <si>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</si>
  <si>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</si>
  <si>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</si>
  <si>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</si>
  <si>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</si>
  <si>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</si>
  <si>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</si>
  <si>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</si>
  <si>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</si>
  <si>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</si>
  <si>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</si>
  <si>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</si>
  <si>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</si>
  <si>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</si>
  <si>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</si>
  <si>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</si>
  <si>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</si>
  <si>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</si>
  <si>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</si>
  <si>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</si>
  <si>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</si>
  <si>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</si>
  <si>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</si>
  <si>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</si>
  <si>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</si>
  <si>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</si>
  <si>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</si>
  <si>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</si>
  <si>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</si>
  <si>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</si>
  <si>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</si>
  <si>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</si>
  <si>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</si>
  <si>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</si>
  <si>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</si>
  <si>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</si>
  <si>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</si>
  <si>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</si>
  <si>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</si>
  <si>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</si>
  <si>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</si>
  <si>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</si>
  <si>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</si>
  <si>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</si>
  <si>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</si>
  <si>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</si>
  <si>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</si>
  <si>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</si>
  <si>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</si>
  <si>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</si>
  <si>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</si>
  <si>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</si>
  <si>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</si>
  <si>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</si>
  <si>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</si>
  <si>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</si>
  <si>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</si>
  <si>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</si>
  <si>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</si>
  <si>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</si>
  <si>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</si>
  <si>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</si>
  <si>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</si>
  <si>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</si>
  <si>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</si>
  <si>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</si>
  <si>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</si>
  <si>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</si>
  <si>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</si>
  <si>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</si>
  <si>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</si>
  <si>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</si>
  <si>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</si>
  <si>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</si>
  <si>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</si>
  <si>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</si>
  <si>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</si>
  <si>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</si>
  <si>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</si>
  <si>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</si>
  <si>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</si>
  <si>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</si>
  <si>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</si>
  <si>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</si>
  <si>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</si>
  <si>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</si>
  <si>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</si>
  <si>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</si>
  <si>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</si>
  <si>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</si>
  <si>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</si>
  <si>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</si>
  <si>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</si>
  <si>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</si>
  <si>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</si>
  <si>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</si>
  <si>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</si>
  <si>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</si>
  <si>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</si>
  <si>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</si>
  <si>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</si>
  <si>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</si>
  <si>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</si>
  <si>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1/4_x0094_) - FORNECIMENTO E INSTALAÇÃO. AF_10/2020</t>
  </si>
  <si>
    <t>INSTALAÇÃO DE TUBOS E CONEXÕES, EM AÇO/FERRO GALVANIZADO, PARA O CENTRO DE MEDIÇÃO DE GÁS DE EDIFÍCIO RESIDENCIAL, COM 4 PAVIMENTOS, 16 UNIDADES HABITACIONAIS, DN 50 (2_x0094_)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</si>
  <si>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</si>
  <si>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</si>
  <si>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</si>
  <si>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</si>
  <si>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</si>
  <si>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</si>
  <si>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</si>
  <si>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</si>
  <si>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</si>
  <si>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</si>
  <si>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</si>
  <si>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</si>
  <si>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</si>
  <si>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</si>
  <si>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</si>
  <si>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</si>
  <si>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</si>
  <si>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</si>
  <si>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</si>
  <si>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</si>
  <si>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</si>
  <si>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</si>
  <si>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</si>
  <si>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</si>
  <si>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</si>
  <si>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</si>
  <si>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</si>
  <si>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</si>
  <si>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</si>
  <si>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</si>
  <si>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</si>
  <si>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</si>
  <si>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</si>
  <si>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</si>
  <si>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</si>
  <si>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</si>
  <si>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</si>
  <si>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</si>
  <si>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</si>
  <si>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</si>
  <si>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</si>
  <si>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</si>
  <si>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</si>
  <si>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</si>
  <si>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</si>
  <si>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</si>
  <si>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</si>
  <si>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</si>
  <si>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</si>
  <si>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</si>
  <si>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</si>
  <si>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</si>
  <si>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</si>
  <si>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</si>
  <si>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</si>
  <si>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</si>
  <si>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</si>
  <si>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</si>
  <si>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</si>
  <si>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</si>
  <si>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</si>
  <si>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</si>
  <si>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</si>
  <si>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</si>
  <si>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</si>
  <si>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</si>
  <si>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</si>
  <si>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</si>
  <si>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</si>
  <si>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</si>
  <si>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</si>
  <si>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</si>
  <si>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</si>
  <si>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</si>
  <si>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</si>
  <si>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</si>
  <si>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</si>
  <si>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</si>
  <si>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</si>
  <si>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</si>
  <si>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</si>
  <si>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</si>
  <si>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</si>
  <si>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</si>
  <si>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</si>
  <si>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</si>
  <si>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</si>
  <si>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</si>
  <si>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</si>
  <si>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</si>
  <si>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</si>
  <si>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</si>
  <si>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</si>
  <si>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</si>
  <si>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</si>
  <si>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</si>
  <si>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</si>
  <si>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</si>
  <si>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</si>
  <si>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</si>
  <si>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</si>
  <si>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</si>
  <si>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</si>
  <si>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</si>
  <si>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</si>
  <si>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</si>
  <si>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</si>
  <si>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</si>
  <si>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</si>
  <si>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</si>
  <si>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</si>
  <si>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</si>
  <si>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</si>
  <si>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</si>
  <si>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</si>
  <si>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</si>
  <si>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</si>
  <si>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</si>
  <si>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</si>
  <si>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</si>
  <si>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</si>
  <si>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</si>
  <si>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</si>
  <si>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</si>
  <si>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</si>
  <si>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</si>
  <si>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</si>
  <si>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(2_x0094_), CONEXÃO ROSQUEADA, INSTALADO EM RESERVAÇÃO DE ÁGUA DE EDIFICAÇÃO QUE POSSUA RESERVATÓRIO DE FIBRA/FIBROCIMENTO _x0096_ FORNECIMENTO E INSTALAÇÃO. AF_06/2016</t>
  </si>
  <si>
    <t>TUBO DE AÇO GALVANIZADO COM COSTURA, CLASSE MÉDIA, DN 65 (2 1/2_x0094_), CONEXÃO ROSQUEADA, INSTALADO EM RESERVAÇÃO DE ÁGUA DE EDIFICAÇÃO QUE POSSUA RESERVATÓRIO DE FIBRA/FIBROCIMENTO _x0096_ FORNECIMENTO E INSTALAÇÃO. AF_06/2016</t>
  </si>
  <si>
    <t>TUBO DE AÇO GALVANIZADO COM COSTURA, CLASSE MÉDIA, DN 80 (3_x0094_), CONEXÃO ROSQUEADA, INSTALADO EM RESERVAÇÃO DE ÁGUA DE EDIFICAÇÃO QUE POSSUA RESERVATÓRIO DE FIBRA/FIBROCIMENTO _x0096_ FORNECIMENTO E INSTALAÇÃO. AF_06/2016</t>
  </si>
  <si>
    <t>TUBO EM COBRE RÍGIDO, DN 54 MM, CLASSE E, SEM ISOLAMENTO, INSTALADO EM RESERVAÇÃO DE ÁGUA DE EDIFICAÇÃO QUE POSSUA RESERVATÓRIO DE FIBRA/FIBROCIMENTO _x0096_ FORNECIMENTO E INSTALAÇÃO. AF_06/2016</t>
  </si>
  <si>
    <t>TUBO EM COBRE RÍGIDO, DN 66 MM, CLASSE E, SEM ISOLAMENTO, INSTALADO EM RESERVAÇÃO DE ÁGUA DE EDIFICAÇÃO QUE POSSUA RESERVATÓRIO DE FIBRA/FIBROCIMENTO _x0096_ FORNECIMENTO E INSTALAÇÃO. AF_06/2016</t>
  </si>
  <si>
    <t>TUBO EM COBRE RÍGIDO, DN 79 MM, CLASSE E, SEM ISOLAMENTO, INSTALADO EM RESERVAÇÃO DE ÁGUA DE EDIFICAÇÃO QUE POSSUA RESERVATÓRIO DE FIBRA/FIBROCIMENTO _x0096_ FORNECIMENTO E INSTALAÇÃO. AF_06/2016</t>
  </si>
  <si>
    <t>TUBO EM COBRE RÍGIDO, DN 104 MM, CLASSE E, SEM ISOLAMENTO, INSTALADO EM RESERVAÇÃO DE ÁGUA DE EDIFICAÇÃO QUE POSSUA RESERVATÓRIO DE FIBRA/FIBROCIMENTO _x0096_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</si>
  <si>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</si>
  <si>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</si>
  <si>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</si>
  <si>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</si>
  <si>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</si>
  <si>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</si>
  <si>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</si>
  <si>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</si>
  <si>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_x0096_ FORNECIMENTO E INSTALAÇÃO. AF_06/2016</t>
  </si>
  <si>
    <t>TUBO, CPVC, SOLDÁVEL, DN 28 MM, INSTALADO EM RESERVAÇÃO DE ÁGUA DE EDIFICAÇÃO QUE POSSUA RESERVATÓRIO DE FIBRA/FIBROCIMENTO _x0096_ FORNECIMENTO E INSTALAÇÃO. AF_06/2016</t>
  </si>
  <si>
    <t>TUBO, CPVC, SOLDÁVEL, DN 35 MM, INSTALADO EM RESERVAÇÃO DE ÁGUA DE EDIFICAÇÃO QUE POSSUA RESERVATÓRIO DE FIBRA/FIBROCIMENTO _x0096_ FORNECIMENTO E INSTALAÇÃO. AF_06/2016</t>
  </si>
  <si>
    <t>TUBO, CPVC, SOLDÁVEL, DN 42 MM, INSTALADO EM RESERVAÇÃO DE ÁGUA DE EDIFICAÇÃO QUE POSSUA RESERVATÓRIO DE FIBRA/FIBROCIMENTO _x0096_ FORNECIMENTO E INSTALAÇÃO. AF_06/2016</t>
  </si>
  <si>
    <t>TUBO, CPVC, SOLDÁVEL, DN 54 MM, INSTALADO EM RESERVAÇÃO DE ÁGUA DE EDIFICAÇÃO QUE POSSUA RESERVATÓRIO DE FIBRA/FIBROCIMENTO _x0096_ FORNECIMENTO E INSTALAÇÃO. AF_06/2016</t>
  </si>
  <si>
    <t>TUBO, CPVC, SOLDÁVEL, DN 73 MM, INSTALADO EM RESERVAÇÃO DE ÁGUA DE EDIFICAÇÃO QUE POSSUA RESERVATÓRIO DE FIBRA/FIBROCIMENTO _x0096_ FORNECIMENTO E INSTALAÇÃO. AF_06/2016</t>
  </si>
  <si>
    <t>TUBO, CPVC, SOLDÁVEL, DN 89 MM, INSTALADO EM RESERVAÇÃO DE ÁGUA DE EDIFICAÇÃO QUE POSSUA RESERVATÓRIO DE FIBRA/FIBROCIMENTO _x0096_ FORNECIMENTO E INSTALAÇÃO. AF_06/2016</t>
  </si>
  <si>
    <t>TUBO, CPVC, SOLDÁVEL, DN 114 MM, INSTALADO EM RESERVAÇÃO DE ÁGUA DE EDIFICAÇÃO QUE POSSUA RESERVATÓRIO DE FIBRA/FIBROCIMENTO _x0096_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</si>
  <si>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</si>
  <si>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</si>
  <si>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</si>
  <si>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</si>
  <si>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</si>
  <si>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</si>
  <si>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</si>
  <si>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</si>
  <si>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</si>
  <si>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</si>
  <si>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</si>
  <si>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</si>
  <si>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</si>
  <si>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</si>
  <si>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</si>
  <si>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</si>
  <si>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</si>
  <si>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</si>
  <si>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</si>
  <si>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</si>
  <si>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</si>
  <si>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</si>
  <si>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</si>
  <si>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</si>
  <si>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</si>
  <si>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_x0096_ FORNECIMENTO E INSTALAÇÃO. AF_06/2016</t>
  </si>
  <si>
    <t>TUBO, PPR, DN 25, CLASSE PN 20,  INSTALADO EM RESERVAÇÃO DE ÁGUA DE EDIFICAÇÃO QUE POSSUA RESERVATÓRIO DE FIBRA/FIBROCIMENTO _x0096_ FORNECIMENTO E INSTALAÇÃO. AF_06/2016</t>
  </si>
  <si>
    <t>TUBO, PPR, DN 32, CLASSE PN 12,  INSTALADO EM RESERVAÇÃO DE ÁGUA DE EDIFICAÇÃO QUE POSSUA RESERVATÓRIO DE FIBRA/FIBROCIMENTO _x0096_ FORNECIMENTO E INSTALAÇÃO. AF_06/2016</t>
  </si>
  <si>
    <t>TUBO, PPR, DN 40, CLASSE PN 12,  INSTALADO EM RESERVAÇÃO DE ÁGUA DE EDIFICAÇÃO QUE POSSUA RESERVATÓRIO DE FIBRA/FIBROCIMENTO _x0096_ FORNECIMENTO E INSTALAÇÃO. AF_06/2016</t>
  </si>
  <si>
    <t>TUBO, PPR, DN 50, CLASSE PN 12,  INSTALADO EM RESERVAÇÃO DE ÁGUA DE EDIFICAÇÃO QUE POSSUA RESERVATÓRIO DE FIBRA/FIBROCIMENTO _x0096_ FORNECIMENTO E INSTALAÇÃO. AF_06/2016</t>
  </si>
  <si>
    <t>TUBO, PPR, DN 63, CLASSE PN 12,  INSTALADO EM RESERVAÇÃO DE ÁGUA DE EDIFICAÇÃO QUE POSSUA RESERVATÓRIO DE FIBRA/FIBROCIMENTO _x0096_ FORNECIMENTO E INSTALAÇÃO. AF_06/2016</t>
  </si>
  <si>
    <t>TUBO, PPR, DN 75, CLASSE PN 12,  INSTALADO EM RESERVAÇÃO DE ÁGUA DE EDIFICAÇÃO QUE POSSUA RESERVATÓRIO DE FIBRA/FIBROCIMENTO _x0096_ FORNECIMENTO E INSTALAÇÃO. AF_06/2016</t>
  </si>
  <si>
    <t>TUBO, PPR, DN 90, CLASSE PN 12,  INSTALADO EM RESERVAÇÃO DE ÁGUA DE EDIFICAÇÃO QUE POSSUA RESERVATÓRIO DE FIBRA/FIBROCIMENTO _x0096_ FORNECIMENTO E INSTALAÇÃO. AF_06/2016</t>
  </si>
  <si>
    <t>TUBO, PPR, DN 110, CLASSE PN 12,  INSTALADO EM RESERVAÇÃO DE ÁGUA DE EDIFICAÇÃO QUE POSSUA RESERVATÓRIO DE FIBRA/FIBROCIMENTO _x0096_ FORNECIMENTO E INSTALAÇÃO. AF_06/2016</t>
  </si>
  <si>
    <t>TUBO, PPR, DN 20, CLASSE PN 25,  INSTALADO EM RESERVAÇÃO DE ÁGUA DE EDIFICAÇÃO QUE POSSUA RESERVATÓRIO DE FIBRA/FIBROCIMENTO _x0096_ FORNECIMENTO E INSTALAÇÃO. AF_06/2016</t>
  </si>
  <si>
    <t>TUBO, PPR, DN 25, CLASSE PN 25,  INSTALADO EM RESERVAÇÃO DE ÁGUA DE EDIFICAÇÃO QUE POSSUA RESERVATÓRIO DE FIBRA/FIBROCIMENTO _x0096_ FORNECIMENTO E INSTALAÇÃO. AF_06/2016</t>
  </si>
  <si>
    <t>TUBO, PPR, DN 32, CLASSE PN 25,  INSTALADO EM RESERVAÇÃO DE ÁGUA DE EDIFICAÇÃO QUE POSSUA RESERVATÓRIO DE FIBRA/FIBROCIMENTO _x0096_ FORNECIMENTO E INSTALAÇÃO. AF_06/2016</t>
  </si>
  <si>
    <t>TUBO, PPR, DN 40, CLASSE PN 25,  INSTALADO EM RESERVAÇÃO DE ÁGUA DE EDIFICAÇÃO QUE POSSUA RESERVATÓRIO DE FIBRA/FIBROCIMENTO _x0096_ FORNECIMENTO E INSTALAÇÃO. AF_06/2016</t>
  </si>
  <si>
    <t>TUBO, PPR, DN 50, CLASSE PN 25,  INSTALADO EM RESERVAÇÃO DE ÁGUA DE EDIFICAÇÃO QUE POSSUA RESERVATÓRIO DE FIBRA/FIBROCIMENTO _x0096_ FORNECIMENTO E INSTALAÇÃO. AF_06/2016</t>
  </si>
  <si>
    <t>TUBO, PPR, DN 63, CLASSE PN 25,  INSTALADO EM RESERVAÇÃO DE ÁGUA DE EDIFICAÇÃO QUE POSSUA RESERVATÓRIO DE FIBRA/FIBROCIMENTO _x0096_ FORNECIMENTO E INSTALAÇÃO. AF_06/2016</t>
  </si>
  <si>
    <t>TUBO, PPR, DN 75, CLASSE PN 25,  INSTALADO EM RESERVAÇÃO DE ÁGUA DE EDIFICAÇÃO QUE POSSUA RESERVATÓRIO DE FIBRA/FIBROCIMENTO _x0096_ FORNECIMENTO E INSTALAÇÃO. AF_06/2016</t>
  </si>
  <si>
    <t>TUBO, PPR, DN 90, CLASSE PN 25,  INSTALADO EM RESERVAÇÃO DE ÁGUA DE EDIFICAÇÃO QUE POSSUA RESERVATÓRIO DE FIBRA/FIBROCIMENTO _x0096_ FORNECIMENTO E INSTALAÇÃO. AF_06/2016</t>
  </si>
  <si>
    <t>TUBO, PPR, DN 110, CLASSE PN 25,  INSTALADO EM RESERVAÇÃO DE ÁGUA DE EDIFICAÇÃO QUE POSSUA RESERVATÓRIO DE FIBRA/FIBROCIMENTO _x0096_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</si>
  <si>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</si>
  <si>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</si>
  <si>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</si>
  <si>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</si>
  <si>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1/4_x0094_, COM ISOLAMENTO, INSTALADO EM RAMAL DE ALIMENTAÇÃO DE AR CONDICIONADO COM CONDENSADORA INDIVIDUAL   FORNECIMENTO E INSTALAÇÃO. AF_12/2015</t>
  </si>
  <si>
    <t>TUBO EM COBRE FLEXÍVEL, DN 3/8", COM ISOLAMENTO, INSTALADO EM RAMAL DE ALIMENTAÇÃO DE AR CONDICIONADO COM CONDENSADORA INDIVIDUAL _x0096_ FORNECIMENTO E INSTALAÇÃO. AF_12/2015</t>
  </si>
  <si>
    <t>TUBO EM COBRE FLEXÍVEL, DN 1/2", COM ISOLAMENTO, INSTALADO EM RAMAL DE ALIMENTAÇÃO DE AR CONDICIONADO COM CONDENSADORA INDIVIDUAL _x0096_ FORNECIMENTO E INSTALAÇÃO. AF_12/2015</t>
  </si>
  <si>
    <t>TUBO EM COBRE FLEXÍVEL, DN 5/8", COM ISOLAMENTO, INSTALADO EM RAMAL DE ALIMENTAÇÃO DE AR CONDICIONADO COM CONDENSADORA INDIVIDUAL _x0096_ FORNECIMENTO E INSTALAÇÃO. AF_12/2015</t>
  </si>
  <si>
    <t>TUBO EM COBRE FLEXÍVEL, DN 1/4", COM ISOLAMENTO, INSTALADO EM RAMAL DE ALIMENTAÇÃO DE AR CONDICIONADO COM CONDENSADORA CENTRAL _x0096_ FORNECIMENTO E INSTALAÇÃO. AF_12/2015</t>
  </si>
  <si>
    <t>TUBO EM COBRE FLEXÍVEL, DN 3/8", COM ISOLAMENTO, INSTALADO EM RAMAL DE ALIMENTAÇÃO DE AR CONDICIONADO COM CONDENSADORA CENTRAL _x0096_ FORNECIMENTO E INSTALAÇÃO. AF_12/2015</t>
  </si>
  <si>
    <t>TUBO EM COBRE FLEXÍVEL, DN 1/2", COM ISOLAMENTO, INSTALADO EM RAMAL DE ALIMENTAÇÃO DE AR CONDICIONADO COM CONDENSADORA CENTRAL _x0096_ FORNECIMENTO E INSTALAÇÃO. AF_12/2015</t>
  </si>
  <si>
    <t>TUBO EM COBRE FLEXÍVEL, DN 5/8_x0094_,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</si>
  <si>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</si>
  <si>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</si>
  <si>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</si>
  <si>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</si>
  <si>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</si>
  <si>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</si>
  <si>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_x0096_ FORNECIMENTO E INSTALAÇÃO. AF_12/2015</t>
  </si>
  <si>
    <t>TUBO EM COBRE RÍGIDO, DN 28 MM, CLASSE I, SEM ISOLAMENTO, INSTALADO EM PRUMADA _x0096_ FORNECIMENTO E INSTALAÇÃO. AF_12/2015</t>
  </si>
  <si>
    <t>TUBO EM COBRE RÍGIDO, DN 35 MM, CLASSE I, SEM ISOLAMENTO, INSTALADO EM PRUMADA _x0096_ FORNECIMENTO E INSTALAÇÃO. AF_12/2015</t>
  </si>
  <si>
    <t>TUBO EM COBRE RÍGIDO, DN 42 MM, CLASSE I, SEM ISOLAMENTO, INSTALADO EM PRUMADA _x0096_ FORNECIMENTO E INSTALAÇÃO. AF_12/2015</t>
  </si>
  <si>
    <t>TUBO EM COBRE RÍGIDO, DN 54 MM, CLASSE I, SEM ISOLAMENTO, INSTALADO EM PRUMADA _x0096_ FORNECIMENTO E INSTALAÇÃO. AF_12/2015</t>
  </si>
  <si>
    <t>TUBO EM COBRE RÍGIDO, DN 66 MM, CLASSE I, SEM ISOLAMENTO, INSTALADO EM PRUMADA _x0096_ FORNECIMENTO E INSTALAÇÃO. AF_12/2015</t>
  </si>
  <si>
    <t>TUBO EM COBRE RÍGIDO, DN 15 MM, CLASSE I, SEM ISOLAMENTO, INSTALADO EM RAMAL DE DISTRIBUIÇÃO _x0096_ FORNECIMENTO E INSTALAÇÃO. AF_12/2015</t>
  </si>
  <si>
    <t>TUBO EM COBRE RÍGIDO, DN 22 MM, CLASSE I, SEM ISOLAMENTO, INSTALADO EM RAMAL DE DISTRIBUIÇÃO_x0096_ FORNECIMENTO E INSTALAÇÃO. AF_12/2015</t>
  </si>
  <si>
    <t>TUBO EM COBRE RÍGIDO, DN 28 MM, CLASSE I, SEM ISOLAMENTO, INSTALADO EM RAMAL DE DISTRIBUIÇÃO_x0096_ FORNECIMENTO E INSTALAÇÃO. AF_12/2015</t>
  </si>
  <si>
    <t>TUBO EM COBRE RÍGIDO, DN 15 MM, CLASSE I, SEM ISOLAMENTO, INSTALADO EM RAMAL E SUB-RAMAL _x0096_ FORNECIMENTO E INSTALAÇÃO. AF_12/2015</t>
  </si>
  <si>
    <t>TUBO EM COBRE RÍGIDO, DN 22 MM, CLASSE I, SEM ISOLAMENTO, INSTALADO EM RAMAL E SUB-RAMAL _x0096_ FORNECIMENTO E INSTALAÇÃO. AF_12/2015</t>
  </si>
  <si>
    <t>TUBO EM COBRE RÍGIDO, DN 28 MM, CLASSE I, SEM ISOLAMENTO, INSTALADO EM RAMAL E SUB-RAMAL _x0096_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</si>
  <si>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</si>
  <si>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</si>
  <si>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</si>
  <si>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</si>
  <si>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</si>
  <si>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</si>
  <si>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</si>
  <si>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</si>
  <si>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</si>
  <si>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</si>
  <si>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</si>
  <si>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</si>
  <si>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</si>
  <si>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</si>
  <si>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</si>
  <si>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</si>
  <si>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</si>
  <si>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</si>
  <si>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</si>
  <si>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</si>
  <si>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</si>
  <si>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</si>
  <si>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</si>
  <si>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</si>
  <si>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</si>
  <si>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</si>
  <si>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</si>
  <si>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</si>
  <si>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</si>
  <si>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</si>
  <si>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</si>
  <si>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</si>
  <si>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</si>
  <si>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</si>
  <si>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</si>
  <si>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</si>
  <si>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</si>
  <si>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</si>
  <si>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</si>
  <si>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</si>
  <si>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</si>
  <si>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</si>
  <si>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</si>
  <si>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</si>
  <si>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</si>
  <si>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</si>
  <si>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</si>
  <si>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</si>
  <si>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</si>
  <si>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</si>
  <si>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</si>
  <si>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</si>
  <si>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</si>
  <si>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</si>
  <si>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</si>
  <si>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</si>
  <si>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</si>
  <si>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</si>
  <si>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</si>
  <si>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</si>
  <si>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</si>
  <si>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</si>
  <si>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</si>
  <si>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</si>
  <si>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</si>
  <si>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</si>
  <si>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</si>
  <si>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</si>
  <si>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</si>
  <si>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</si>
  <si>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</si>
  <si>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</si>
  <si>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</si>
  <si>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</si>
  <si>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</si>
  <si>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</si>
  <si>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</si>
  <si>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</si>
  <si>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</si>
  <si>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</si>
  <si>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</si>
  <si>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</si>
  <si>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</si>
  <si>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</si>
  <si>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</si>
  <si>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</si>
  <si>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</si>
  <si>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</si>
  <si>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</si>
  <si>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</si>
  <si>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</si>
  <si>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</si>
  <si>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</si>
  <si>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</si>
  <si>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</si>
  <si>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</si>
  <si>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</si>
  <si>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</si>
  <si>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</si>
  <si>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</si>
  <si>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</si>
  <si>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</si>
  <si>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</si>
  <si>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</si>
  <si>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</si>
  <si>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</si>
  <si>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</si>
  <si>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</si>
  <si>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</si>
  <si>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</si>
  <si>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</si>
  <si>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</si>
  <si>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</si>
  <si>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</si>
  <si>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</si>
  <si>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</si>
  <si>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</si>
  <si>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</si>
  <si>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</si>
  <si>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</si>
  <si>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</si>
  <si>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</si>
  <si>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</si>
  <si>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</si>
  <si>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</si>
  <si>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</si>
  <si>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</si>
  <si>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</si>
  <si>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</si>
  <si>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</si>
  <si>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</si>
  <si>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</si>
  <si>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</si>
  <si>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</si>
  <si>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</si>
  <si>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</si>
  <si>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</si>
  <si>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</si>
  <si>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</si>
  <si>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</si>
  <si>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</si>
  <si>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</si>
  <si>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</si>
  <si>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</si>
  <si>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</si>
  <si>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</si>
  <si>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</si>
  <si>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</si>
  <si>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</si>
  <si>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</si>
  <si>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</si>
  <si>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</si>
  <si>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</si>
  <si>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</si>
  <si>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</si>
  <si>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</si>
  <si>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</si>
  <si>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</si>
  <si>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</si>
  <si>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</si>
  <si>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</si>
  <si>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</si>
  <si>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</si>
  <si>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</si>
  <si>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</si>
  <si>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</si>
  <si>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</si>
  <si>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</si>
  <si>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</si>
  <si>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</si>
  <si>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</si>
  <si>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</si>
  <si>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</si>
  <si>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</si>
  <si>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</si>
  <si>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</si>
  <si>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</si>
  <si>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</si>
  <si>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</si>
  <si>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</si>
  <si>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</si>
  <si>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</si>
  <si>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</si>
  <si>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</si>
  <si>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</si>
  <si>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</si>
  <si>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</si>
  <si>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</si>
  <si>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</si>
  <si>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</si>
  <si>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</si>
  <si>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</si>
  <si>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</si>
  <si>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</si>
  <si>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</si>
  <si>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</si>
  <si>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</si>
  <si>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</si>
  <si>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</si>
  <si>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</si>
  <si>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</si>
  <si>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</si>
  <si>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</si>
  <si>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</si>
  <si>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</si>
  <si>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</si>
  <si>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</si>
  <si>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</si>
  <si>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</si>
  <si>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</si>
  <si>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</si>
  <si>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</si>
  <si>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</si>
  <si>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</si>
  <si>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</si>
  <si>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</si>
  <si>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</si>
  <si>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</si>
  <si>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</si>
  <si>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</si>
  <si>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</si>
  <si>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</si>
  <si>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</si>
  <si>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</si>
  <si>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</si>
  <si>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</si>
  <si>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</si>
  <si>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</si>
  <si>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</si>
  <si>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</si>
  <si>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</si>
  <si>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</si>
  <si>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</si>
  <si>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</si>
  <si>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</si>
  <si>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</si>
  <si>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</si>
  <si>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</si>
  <si>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</si>
  <si>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</si>
  <si>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2.1/2_x0094_,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</si>
  <si>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</si>
  <si>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</si>
  <si>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</si>
  <si>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</si>
  <si>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</si>
  <si>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</si>
  <si>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</si>
  <si>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</si>
  <si>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</si>
  <si>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</si>
  <si>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</si>
  <si>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</si>
  <si>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</si>
  <si>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</si>
  <si>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</si>
  <si>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</si>
  <si>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</si>
  <si>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</si>
  <si>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</si>
  <si>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1/2_x0094_,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</si>
  <si>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</si>
  <si>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</si>
  <si>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</si>
  <si>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1/2_x0094_, INSTALADO EM RAMAL OU SUB-RAMAL DE ÁGUA - FORNECIMENTO E INSTALAÇÃO. AF_06/2022</t>
  </si>
  <si>
    <t>JOELHO DE TRANSIÇÃO, 90 GRAUS, CPVC, SOLDÁVEL, DN 22MM X 3/4_x0094_,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</si>
  <si>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</si>
  <si>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</si>
  <si>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</si>
  <si>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</si>
  <si>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</si>
  <si>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</si>
  <si>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</si>
  <si>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1/2_x0094_,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</si>
  <si>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</si>
  <si>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</si>
  <si>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</si>
  <si>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</si>
  <si>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</si>
  <si>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</si>
  <si>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</si>
  <si>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</si>
  <si>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</si>
  <si>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</si>
  <si>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</si>
  <si>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</si>
  <si>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</si>
  <si>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3/4_x0094_,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</si>
  <si>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</si>
  <si>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</si>
  <si>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</si>
  <si>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</si>
  <si>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</si>
  <si>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</si>
  <si>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</si>
  <si>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</si>
  <si>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</si>
  <si>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</si>
  <si>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</si>
  <si>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</si>
  <si>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</si>
  <si>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</si>
  <si>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</si>
  <si>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</si>
  <si>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</si>
  <si>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</si>
  <si>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</si>
  <si>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</si>
  <si>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</si>
  <si>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</si>
  <si>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</si>
  <si>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</si>
  <si>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</si>
  <si>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</si>
  <si>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</si>
  <si>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</si>
  <si>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</si>
  <si>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</si>
  <si>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</si>
  <si>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</si>
  <si>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</si>
  <si>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3/4_x0094_,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</si>
  <si>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</si>
  <si>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</si>
  <si>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</si>
  <si>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</si>
  <si>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</si>
  <si>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</si>
  <si>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</si>
  <si>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</si>
  <si>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</si>
  <si>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</si>
  <si>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</si>
  <si>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</si>
  <si>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</si>
  <si>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</si>
  <si>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</si>
  <si>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</si>
  <si>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</si>
  <si>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</si>
  <si>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</si>
  <si>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</si>
  <si>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</si>
  <si>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</si>
  <si>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</si>
  <si>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</si>
  <si>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</si>
  <si>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</si>
  <si>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</si>
  <si>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</si>
  <si>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</si>
  <si>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</si>
  <si>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</si>
  <si>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</si>
  <si>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</si>
  <si>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</si>
  <si>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</si>
  <si>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</si>
  <si>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</si>
  <si>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</si>
  <si>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</si>
  <si>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</si>
  <si>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</si>
  <si>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</si>
  <si>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</si>
  <si>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</si>
  <si>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</si>
  <si>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</si>
  <si>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</si>
  <si>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</si>
  <si>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</si>
  <si>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</si>
  <si>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</si>
  <si>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</si>
  <si>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</si>
  <si>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</si>
  <si>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</si>
  <si>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</si>
  <si>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</si>
  <si>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</si>
  <si>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</si>
  <si>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</si>
  <si>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</si>
  <si>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</si>
  <si>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</si>
  <si>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</si>
  <si>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</si>
  <si>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</si>
  <si>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</si>
  <si>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</si>
  <si>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</si>
  <si>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</si>
  <si>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</si>
  <si>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</si>
  <si>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</si>
  <si>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</si>
  <si>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</si>
  <si>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</si>
  <si>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</si>
  <si>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</si>
  <si>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</si>
  <si>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</si>
  <si>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</si>
  <si>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</si>
  <si>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</si>
  <si>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</si>
  <si>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</si>
  <si>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</si>
  <si>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</si>
  <si>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</si>
  <si>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</si>
  <si>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</si>
  <si>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</si>
  <si>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</si>
  <si>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</si>
  <si>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</si>
  <si>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</si>
  <si>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</si>
  <si>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</si>
  <si>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</si>
  <si>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</si>
  <si>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</si>
  <si>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</si>
  <si>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</si>
  <si>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</si>
  <si>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</si>
  <si>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</si>
  <si>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</si>
  <si>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</si>
  <si>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</si>
  <si>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</si>
  <si>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</si>
  <si>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</si>
  <si>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</si>
  <si>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</si>
  <si>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</si>
  <si>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</si>
  <si>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</si>
  <si>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</si>
  <si>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</si>
  <si>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</si>
  <si>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</si>
  <si>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</si>
  <si>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</si>
  <si>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</si>
  <si>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</si>
  <si>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</si>
  <si>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</si>
  <si>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</si>
  <si>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</si>
  <si>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</si>
  <si>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</si>
  <si>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</si>
  <si>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</si>
  <si>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</si>
  <si>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</si>
  <si>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</si>
  <si>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</si>
  <si>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</si>
  <si>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</si>
  <si>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</si>
  <si>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</si>
  <si>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</si>
  <si>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</si>
  <si>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</si>
  <si>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</si>
  <si>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</si>
  <si>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</si>
  <si>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</si>
  <si>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</si>
  <si>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</si>
  <si>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</si>
  <si>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</si>
  <si>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</si>
  <si>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</si>
  <si>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</si>
  <si>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</si>
  <si>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</si>
  <si>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</si>
  <si>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</si>
  <si>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</si>
  <si>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</si>
  <si>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</si>
  <si>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</si>
  <si>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</si>
  <si>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</si>
  <si>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</si>
  <si>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</si>
  <si>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</si>
  <si>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</si>
  <si>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</si>
  <si>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</si>
  <si>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</si>
  <si>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</si>
  <si>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</si>
  <si>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</si>
  <si>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</si>
  <si>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</si>
  <si>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</si>
  <si>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</si>
  <si>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</si>
  <si>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</si>
  <si>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</si>
  <si>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</si>
  <si>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</si>
  <si>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</si>
  <si>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</si>
  <si>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</si>
  <si>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</si>
  <si>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</si>
  <si>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</si>
  <si>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</si>
  <si>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</si>
  <si>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</si>
  <si>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</si>
  <si>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</si>
  <si>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</si>
  <si>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</si>
  <si>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</si>
  <si>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</si>
  <si>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</si>
  <si>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</si>
  <si>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</si>
  <si>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</si>
  <si>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</si>
  <si>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</si>
  <si>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</si>
  <si>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</si>
  <si>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</si>
  <si>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</si>
  <si>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</si>
  <si>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</si>
  <si>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</si>
  <si>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</si>
  <si>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</si>
  <si>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</si>
  <si>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</si>
  <si>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</si>
  <si>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</si>
  <si>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</si>
  <si>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</si>
  <si>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</si>
  <si>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</si>
  <si>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</si>
  <si>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</si>
  <si>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</si>
  <si>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</si>
  <si>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</si>
  <si>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</si>
  <si>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</si>
  <si>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</si>
  <si>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</si>
  <si>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</si>
  <si>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</si>
  <si>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</si>
  <si>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</si>
  <si>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</si>
  <si>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</si>
  <si>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</si>
  <si>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</si>
  <si>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</si>
  <si>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</si>
  <si>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</si>
  <si>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</si>
  <si>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</si>
  <si>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</si>
  <si>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</si>
  <si>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</si>
  <si>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</si>
  <si>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</si>
  <si>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</si>
  <si>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</si>
  <si>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</si>
  <si>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</si>
  <si>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</si>
  <si>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</si>
  <si>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</si>
  <si>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</si>
  <si>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</si>
  <si>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</si>
  <si>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</si>
  <si>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</si>
  <si>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</si>
  <si>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</si>
  <si>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</si>
  <si>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</si>
  <si>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</si>
  <si>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</si>
  <si>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</si>
  <si>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</si>
  <si>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</si>
  <si>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</si>
  <si>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</si>
  <si>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</si>
  <si>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</si>
  <si>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</si>
  <si>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</si>
  <si>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</si>
  <si>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</si>
  <si>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</si>
  <si>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</si>
  <si>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</si>
  <si>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</si>
  <si>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</si>
  <si>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</si>
  <si>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</si>
  <si>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</si>
  <si>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</si>
  <si>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</si>
  <si>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</si>
  <si>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</si>
  <si>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</si>
  <si>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</si>
  <si>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</si>
  <si>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</si>
  <si>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</si>
  <si>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</si>
  <si>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</si>
  <si>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</si>
  <si>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</si>
  <si>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</si>
  <si>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</si>
  <si>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</si>
  <si>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</si>
  <si>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</si>
  <si>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</si>
  <si>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</si>
  <si>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</si>
  <si>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</si>
  <si>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</si>
  <si>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</si>
  <si>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</si>
  <si>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</si>
  <si>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</si>
  <si>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</si>
  <si>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</si>
  <si>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</si>
  <si>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</si>
  <si>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</si>
  <si>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</si>
  <si>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</si>
  <si>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</si>
  <si>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</si>
  <si>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</si>
  <si>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</si>
  <si>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</si>
  <si>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</si>
  <si>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</si>
  <si>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</si>
  <si>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</si>
  <si>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</si>
  <si>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</si>
  <si>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</si>
  <si>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</si>
  <si>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</si>
  <si>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</si>
  <si>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</si>
  <si>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</si>
  <si>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</si>
  <si>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</si>
  <si>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</si>
  <si>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</si>
  <si>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</si>
  <si>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</si>
  <si>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</si>
  <si>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</si>
  <si>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</si>
  <si>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</si>
  <si>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</si>
  <si>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</si>
  <si>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</si>
  <si>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</si>
  <si>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</si>
  <si>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</si>
  <si>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</si>
  <si>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</si>
  <si>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</si>
  <si>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</si>
  <si>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</si>
  <si>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</si>
  <si>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</si>
  <si>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</si>
  <si>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</si>
  <si>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</si>
  <si>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</si>
  <si>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</si>
  <si>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</si>
  <si>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</si>
  <si>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</si>
  <si>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</si>
  <si>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</si>
  <si>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</si>
  <si>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</si>
  <si>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</si>
  <si>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</si>
  <si>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</si>
  <si>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</si>
  <si>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</si>
  <si>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</si>
  <si>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</si>
  <si>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</si>
  <si>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</si>
  <si>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</si>
  <si>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</si>
  <si>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</si>
  <si>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</si>
  <si>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</si>
  <si>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</si>
  <si>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</si>
  <si>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</si>
  <si>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</si>
  <si>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</si>
  <si>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</si>
  <si>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</si>
  <si>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</si>
  <si>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</si>
  <si>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(2_x0094_), INSTALADO EM RESERVAÇÃO DE ÁGUA DE EDIFICAÇÃO QUE POSSUA RESERVATÓRIO DE FIBRA/FIBROCIMENTO _x0096_ FORNECIMENTO E INSTALAÇÃO. AF_06/2016</t>
  </si>
  <si>
    <t>NIPLE, EM FERRO GALVANIZADO, CONEXÃO ROSQUEADA, DN 50 (2_x0094_), INSTALADO EM RESERVAÇÃO DE ÁGUA DE EDIFICAÇÃO QUE POSSUA RESERVATÓRIO DE FIBRA/FIBROCIMENTO _x0096_ FORNECIMENTO E INSTALAÇÃO. AF_06/2016</t>
  </si>
  <si>
    <t>LUVA, EM FERRO GALVANIZADO, CONEXÃO ROSQUEADA, DN 65 (2 1/2_x0094_), INSTALADO EM RESERVAÇÃO DE ÁGUA DE EDIFICAÇÃO QUE POSSUA RESERVATÓRIO DE FIBRA/FIBROCIMENTO _x0096_ FORNECIMENTO E INSTALAÇÃO. AF_06/2016</t>
  </si>
  <si>
    <t>NIPLE, EM FERRO GALVANIZADO, CONEXÃO ROSQUEADA, DN 65 (2 1/2_x0094_), INSTALADO EM RESERVAÇÃO DE ÁGUA DE EDIFICAÇÃO QUE POSSUA RESERVATÓRIO DE FIBRA/FIBROCIMENTO _x0096_ FORNECIMENTO E INSTALAÇÃO. AF_06/2016</t>
  </si>
  <si>
    <t>LUVA, EM FERRO GALVANIZADO, CONEXÃO ROSQUEADA, DN 80 (3_x0094_), INSTALADO EM RESERVAÇÃO DE ÁGUA DE EDIFICAÇÃO QUE POSSUA RESERVATÓRIO DE FIBRA/FIBROCIMENTO _x0096_ FORNECIMENTO E INSTALAÇÃO. AF_06/2016</t>
  </si>
  <si>
    <t>NIPLE, EM FERRO GALVANIZADO, CONEXÃO ROSQUEADA, DN 80 (3_x0094_), INSTALADO EM RESERVAÇÃO DE ÁGUA DE EDIFICAÇÃO QUE POSSUA RESERVATÓRIO DE FIBRA/FIBROCIMENTO _x0096_ FORNECIMENTO E INSTALAÇÃO. AF_06/2016</t>
  </si>
  <si>
    <t>COTOVELO 90 GRAUS, EM FERRO GALVANIZADO, CONEXÃO ROSQUEADA, DN 50 (2_x0094_), INSTALADO EM RESERVAÇÃO DE ÁGUA DE EDIFICAÇÃO QUE POSSUA RESERVATÓRIO DE FIBRA/FIBROCIMENTO _x0096_ FORNECIMENTO E INSTALAÇÃO. AF_06/2016</t>
  </si>
  <si>
    <t>COTOVELO 45 GRAUS, EM FERRO GALVANIZADO, CONEXÃO ROSQUEADA, DN 50 (2_x0094_), INSTALADO EM RESERVAÇÃO DE ÁGUA DE EDIFICAÇÃO QUE POSSUA RESERVATÓRIO DE FIBRA/FIBROCIMENTO _x0096_ FORNECIMENTO E INSTALAÇÃO. AF_06/2016</t>
  </si>
  <si>
    <t>COTOVELO 90 GRAUS, EM FERRO GALVANIZADO, CONEXÃO ROSQUEADA, DN 65 (2 1/2_x0094_), INSTALADO EM RESERVAÇÃO DE ÁGUA DE EDIFICAÇÃO QUE POSSUA RESERVATÓRIO DE FIBRA/FIBROCIMENTO _x0096_ FORNECIMENTO E INSTALAÇÃO. AF_06/2016</t>
  </si>
  <si>
    <t>COTOVELO 45 GRAUS, EM FERRO GALVANIZADO, CONEXÃO ROSQUEADA, DN 65 (2 1/2_x0094_), INSTALADO EM RESERVAÇÃO DE ÁGUA DE EDIFICAÇÃO QUE POSSUA RESERVATÓRIO DE FIBRA/FIBROCIMENTO _x0096_ FORNECIMENTO E INSTALAÇÃO. AF_06/2016</t>
  </si>
  <si>
    <t>COTOVELO 90 GRAUS, EM FERRO GALVANIZADO, CONEXÃO ROSQUEADA, DN 80 (3_x0094_), INSTALADO EM RESERVAÇÃO DE ÁGUA DE EDIFICAÇÃO QUE POSSUA RESERVATÓRIO DE FIBRA/FIBROCIMENTO _x0096_ FORNECIMENTO E INSTALAÇÃO. AF_06/2016</t>
  </si>
  <si>
    <t>COTOVELO 45 GRAUS, EM FERRO GALVANIZADO, CONEXÃO ROSQUEADA, DN 80 (3_x0094_), INSTALADO EM RESERVAÇÃO DE ÁGUA DE EDIFICAÇÃO QUE POSSUA RESERVATÓRIO DE FIBRA/FIBROCIMENTO _x0096_ FORNECIMENTO E INSTALAÇÃO. AF_06/2016</t>
  </si>
  <si>
    <t>TÊ, EM FERRO GALVANIZADO, CONEXÃO ROSQUEADA, DN 50 (2_x0094_), INSTALADO EM RESERVAÇÃO DE ÁGUA DE EDIFICAÇÃO QUE POSSUA RESERVATÓRIO DE FIBRA/FIBROCIMENTO _x0096_ FORNECIMENTO E INSTALAÇÃO. AF_06/2016</t>
  </si>
  <si>
    <t>TÊ, EM FERRO GALVANIZADO, CONEXÃO ROSQUEADA, DN 65 (2 1/2_x0094_), INSTALADO EM RESERVAÇÃO DE ÁGUA DE EDIFICAÇÃO QUE POSSUA RESERVATÓRIO DE FIBRA/FIBROCIMENTO _x0096_ FORNECIMENTO E INSTALAÇÃO. AF_06/2016</t>
  </si>
  <si>
    <t>TÊ, EM FERRO GALVANIZADO, CONEXÃO ROSQUEADA, DN 80 (3_x0094_), INSTALADO EM RESERVAÇÃO DE ÁGUA DE EDIFICAÇÃO QUE POSSUA RESERVATÓRIO DE FIBRA/FIBROCIMENTO _x0096_ FORNECIMENTO E INSTALAÇÃO. AF_06/2016</t>
  </si>
  <si>
    <t>LUVA EM COBRE, DN 54 MM, SEM ANEL DE SOLDA, INSTALADO EM RESERVAÇÃO DE ÁGUA DE EDIFICAÇÃO QUE POSSUA RESERVATÓRIO DE FIBRA/FIBROCIMENTO _x0096_ FORNECIMENTO E INSTALAÇÃO. AF_06/2016</t>
  </si>
  <si>
    <t>LUVA EM COBRE, DN 66 MM, SEM ANEL DE SOLDA, INSTALADO EM RESERVAÇÃO DE ÁGUA DE EDIFICAÇÃO QUE POSSUA RESERVATÓRIO DE FIBRA/FIBROCIMENTO _x0096_ FORNECIMENTO E INSTALAÇÃO. AF_06/2016</t>
  </si>
  <si>
    <t>LUVA EM COBRE, DN 79 MM, SEM ANEL DE SOLDA, INSTALADO EM RESERVAÇÃO DE ÁGUA DE EDIFICAÇÃO QUE POSSUA RESERVATÓRIO DE FIBRA/FIBROCIMENTO _x0096_ FORNECIMENTO E INSTALAÇÃO. AF_06/2016</t>
  </si>
  <si>
    <t>LUVA DE COBRE, DN 104 MM, SEM ANEL DE SOLDA, INSTALADO EM RESERVAÇÃO DE ÁGUA DE EDIFICAÇÃO QUE POSSUA RESERVATÓRIO DE FIBRA/FIBROCIMENTO _x0096_ FORNECIMENTO E INSTALAÇÃO. AF_06/2016</t>
  </si>
  <si>
    <t>COTOVELO EM COBRE, DN 54 MM, 90 GRAUS, SEM ANEL DE SOLDA, INSTALADO EM RESERVAÇÃO DE ÁGUA DE EDIFICAÇÃO QUE POSSUA RESERVATÓRIO DE FIBRA/FIBROCIMENTO _x0096_ FORNECIMENTO E INSTALAÇÃO. AF_06/2016</t>
  </si>
  <si>
    <t>CURVA EM COBRE, DN 54 MM, 45 GRAUS, SEM ANEL DE SOLDA, BOLSA X BOLSA, INSTALADO EM RESERVAÇÃO DE ÁGUA DE EDIFICAÇÃO QUE POSSUA RESERVATÓRIO DE FIBRA/FIBROCIMENTO _x0096_ FORNECIMENTO E INSTALAÇÃO. AF_06/2016</t>
  </si>
  <si>
    <t>COTOVELO EM COBRE, DN 66 MM, 90 GRAUS, SEM ANEL DE SOLDA, INSTALADO EM RESERVAÇÃO DE ÁGUA DE EDIFICAÇÃO QUE POSSUA RESERVATÓRIO DE FIBRA/FIBROCIMENTO _x0096_ FORNECIMENTO E INSTALAÇÃO. AF_06/2016</t>
  </si>
  <si>
    <t>CURVA EM COBRE, DN 66 MM, 45 GRAUS, SEM ANEL DE SOLDA, BOLSA X BOLSA, INSTALADO EM RESERVAÇÃO DE ÁGUA DE EDIFICAÇÃO QUE POSSUA RESERVATÓRIO DE FIBRA/FIBROCIMENTO _x0096_ FORNECIMENTO E INSTALAÇÃO. AF_06/2016</t>
  </si>
  <si>
    <t>COTOVELO EM COBRE, DN 79 MM, 90 GRAUS, SEM ANEL DE SOLDA, INSTALADO EM RESERVAÇÃO DE ÁGUA DE EDIFICAÇÃO QUE POSSUA RESERVATÓRIO DE FIBRA/FIBROCIMENTO _x0096_ FORNECIMENTO E INSTALAÇÃO. AF_06/2016</t>
  </si>
  <si>
    <t>COTOVELO EM COBRE, DN 104 MM, 90 GRAUS, SEM ANEL DE SOLDA, INSTALADO EM RESERVAÇÃO DE ÁGUA DE EDIFICAÇÃO QUE POSSUA RESERVATÓRIO DE FIBRA/FIBROCIMENTO _x0096_ FORNECIMENTO E INSTALAÇÃO. AF_06/2016</t>
  </si>
  <si>
    <t>TE EM COBRE, DN 54 MM, SEM ANEL DE SOLDA, INSTALADO EM RESERVAÇÃO DE ÁGUA DE EDIFICAÇÃO QUE POSSUA RESERVATÓRIO DE FIBRA/FIBROCIMENTO _x0096_ FORNECIMENTO E INSTALAÇÃO. AF_06/2016</t>
  </si>
  <si>
    <t>TE EM COBRE, DN 66 MM, SEM ANEL DE SOLDA, INSTALADO EM RESERVAÇÃO DE ÁGUA DE EDIFICAÇÃO QUE POSSUA RESERVATÓRIO DE FIBRA/FIBROCIMENTO _x0096_ FORNECIMENTO E INSTALAÇÃO. AF_06/2016</t>
  </si>
  <si>
    <t>TE EM COBRE, DN 79 MM, SEM ANEL DE SOLDA, INSTALADO EM RESERVAÇÃO DE ÁGUA DE EDIFICAÇÃO QUE POSSUA RESERVATÓRIO DE FIBRA/FIBROCIMENTO _x0096_ FORNECIMENTO E INSTALAÇÃO. AF_06/2016</t>
  </si>
  <si>
    <t>TE EM COBRE, DN 104 MM, SEM ANEL DE SOLDA, INSTALADO EM RESERVAÇÃO DE ÁGUA DE EDIFICAÇÃO QUE POSSUA RESERVATÓRIO DE FIBRA/FIBROCIMENTO _x0096_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</si>
  <si>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</si>
  <si>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</si>
  <si>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</si>
  <si>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</si>
  <si>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</si>
  <si>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</si>
  <si>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</si>
  <si>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</si>
  <si>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</si>
  <si>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</si>
  <si>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</si>
  <si>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</si>
  <si>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</si>
  <si>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</si>
  <si>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</si>
  <si>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</si>
  <si>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3/4_x0094_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</si>
  <si>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</si>
  <si>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</si>
  <si>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</si>
  <si>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</si>
  <si>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</si>
  <si>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</si>
  <si>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</si>
  <si>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</si>
  <si>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</si>
  <si>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</si>
  <si>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</si>
  <si>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</si>
  <si>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</si>
  <si>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</si>
  <si>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</si>
  <si>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</si>
  <si>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</si>
  <si>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</si>
  <si>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</si>
  <si>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</si>
  <si>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</si>
  <si>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</si>
  <si>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</si>
  <si>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</si>
  <si>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</si>
  <si>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</si>
  <si>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</si>
  <si>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</si>
  <si>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</si>
  <si>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</si>
  <si>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</si>
  <si>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</si>
  <si>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</si>
  <si>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</si>
  <si>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</si>
  <si>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</si>
  <si>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</si>
  <si>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</si>
  <si>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3/4_x0094_, INSTALADO EM RESERVAÇÃO DE ÁGUA DE EDIFICAÇÃO QUE POSSUA RESERVATÓRIO DE FIBRA/FIBROCIMENTO _x0096_ FORNECIMENTO E INSTALAÇÃO. AF_06/2016</t>
  </si>
  <si>
    <t>LUVA, CPVC, SOLDÁVEL, DN 22 MM, INSTALADO EM RESERVAÇÃO DE ÁGUA DE EDIFICAÇÃO QUE POSSUA RESERVATÓRIO DE FIBRA/FIBROCIMENTO _x0096_ FORNECIMENTO E INSTALAÇÃO. AF_06/2016</t>
  </si>
  <si>
    <t>CONECTOR, CPVC, SOLDÁVEL, DN 28 MM X 1_x0094_, INSTALADO EM RESERVAÇÃO DE ÁGUA DE EDIFICAÇÃO QUE POSSUA RESERVATÓRIO DE FIBRA/FIBROCIMENTO _x0096_ FORNECIMENTO E INSTALAÇÃO. AF_06/2016</t>
  </si>
  <si>
    <t>LUVA, CPVC, SOLDÁVEL, DN 28 MM, INSTALADO EM RESERVAÇÃO DE ÁGUA DE EDIFICAÇÃO QUE POSSUA RESERVATÓRIO DE FIBRA/FIBROCIMENTO _x0096_ FORNECIMENTO E INSTALAÇÃO. AF_06/2016</t>
  </si>
  <si>
    <t>CONECTOR, CPVC, SOLDÁVEL, DN 35 MM X 1 1/4_x0094_, INSTALADO EM RESERVAÇÃO DE ÁGUA DE EDIFICAÇÃO QUE POSSUA RESERVATÓRIO DE FIBRA/FIBROCIMENTO _x0096_ FORNECIMENTO E INSTALAÇÃO. AF_06/2016</t>
  </si>
  <si>
    <t>LUVA, CPVC, SOLDÁVEL, DN 35 MM, INSTALADO EM RESERVAÇÃO DE ÁGUA DE EDIFICAÇÃO QUE POSSUA RESERVATÓRIO DE FIBRA/FIBROCIMENTO _x0096_ FORNECIMENTO E INSTALAÇÃO. AF_06/2016</t>
  </si>
  <si>
    <t>CONECTOR, CPVC, SOLDÁVEL, DN 42 MM X 1 1/2_x0094_, INSTALADO EM RESERVAÇÃO DE ÁGUA DE EDIFICAÇÃO QUE POSSUA RESERVATÓRIO DE FIBRA/FIBROCIMENTO _x0096_ FORNECIMENTO E INSTALAÇÃO. AF_06/2016</t>
  </si>
  <si>
    <t>LUVA, CPVC, SOLDÁVEL, DN 42 MM, INSTALADO EM RESERVAÇÃO DE ÁGUA DE EDIFICAÇÃO QUE POSSUA RESERVATÓRIO DE FIBRA/FIBROCIMENTO _x0096_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</si>
  <si>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</si>
  <si>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_x0096_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</si>
  <si>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</si>
  <si>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</si>
  <si>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_x0096_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</si>
  <si>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</si>
  <si>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</si>
  <si>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_x0096_ FORNECIMENTO E INSTALAÇÃO. AF_06/2016</t>
  </si>
  <si>
    <t>CURVA 90 GRAUS, CPVC, SOLDÁVEL, DN 22 MM, INSTALADO EM RESERVAÇÃO DE ÁGUA DE EDIFICAÇÃO QUE POSSUA RESERVATÓRIO DE FIBRA/FIBROCIMENTO _x0096_ FORNECIMENTO E INSTALAÇÃO. AF_06/2016</t>
  </si>
  <si>
    <t>JOELHO 90 GRAUS, CPVC, SOLDÁVEL, DN 28 MM, INSTALADO EM RESERVAÇÃO DE ÁGUA DE EDIFICAÇÃO QUE POSSUA RESERVATÓRIO DE FIBRA/FIBROCIMENTO _x0096_ FORNECIMENTO E INSTALAÇÃO. AF_06/2016</t>
  </si>
  <si>
    <t>CURVA 90 GRAUS, CPVC, SOLDÁVEL, DN 28 MM, INSTALADO EM RESERVAÇÃO DE ÁGUA DE EDIFICAÇÃO QUE POSSUA RESERVATÓRIO DE FIBRA/FIBROCIMENTO _x0096_ FORNECIMENTO E INSTALAÇÃO. AF_06/2016</t>
  </si>
  <si>
    <t>JOELHO 90 GRAUS, CPVC, SOLDÁVEL, DN 35 MM, INSTALADO EM RESERVAÇÃO DE ÁGUA DE EDIFICAÇÃO QUE POSSUA RESERVATÓRIO DE FIBRA/FIBROCIMENTO _x0096_ FORNECIMENTO E INSTALAÇÃO. AF_06/2016</t>
  </si>
  <si>
    <t>JOELHO 90 GRAUS, CPVC, SOLDÁVEL, DN 42 MM, INSTALADO EM RESERVAÇÃO DE ÁGUA DE EDIFICAÇÃO QUE POSSUA RESERVATÓRIO DE FIBRA/FIBROCIMENTO _x0096_ FORNECIMENTO E INSTALAÇÃO. AF_06/2016</t>
  </si>
  <si>
    <t>JOELHO 90 GRAUS, CPVC, SOLDÁVEL, DN 54 MM, INSTALADO EM RESERVAÇÃO DE ÁGUA DE EDIFICAÇÃO QUE POSSUA RESERVATÓRIO DE FIBRA/FIBROCIMENTO _x0096_ FORNECIMENTO E INSTALAÇÃO. AF_06/2016</t>
  </si>
  <si>
    <t>JOELHO 90 GRAUS, CPVC, SOLDÁVEL, DN 73 MM, INSTALADO EM RESERVAÇÃO DE ÁGUA DE EDIFICAÇÃO QUE POSSUA RESERVATÓRIO DE FIBRA/FIBROCIMENTO _x0096_ FORNECIMENTO E INSTALAÇÃO. AF_06/2016</t>
  </si>
  <si>
    <t>JOELHO 90 GRAUS, CPVC, SOLDÁVEL, DN 89 MM, INSTALADO EM RESERVAÇÃO DE ÁGUA DE EDIFICAÇÃO QUE POSSUA RESERVATÓRIO DE FIBRA/FIBROCIMENTO _x0096_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</si>
  <si>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</si>
  <si>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_x0096_ FORNECIMENTO E INSTALAÇÃO. AF_06/2016</t>
  </si>
  <si>
    <t>TE, CPVC, SOLDÁVEL, DN 28 MM, INSTALADO EM RESERVAÇÃO DE ÁGUA DE EDIFICAÇÃO QUE POSSUA RESERVATÓRIO DE FIBRA/FIBROCIMENTO _x0096_ FORNECIMENTO E INSTALAÇÃO. AF_06/2016</t>
  </si>
  <si>
    <t>TE, CPVC, SOLDÁVEL, DN 35 MM, INSTALADO EM RESERVAÇÃO DE ÁGUA DE EDIFICAÇÃO QUE POSSUA RESERVATÓRIO DE FIBRA/FIBROCIMENTO _x0096_ FORNECIMENTO E INSTALAÇÃO. AF_06/2016</t>
  </si>
  <si>
    <t>TE, CPVC, SOLDÁVEL, DN 42 MM, INSTALADO EM RESERVAÇÃO DE ÁGUA DE EDIFICAÇÃO QUE POSSUA RESERVATÓRIO DE FIBRA/FIBROCIMENTO _x0096_ FORNECIMENTO E INSTALAÇÃO. AF_06/2016</t>
  </si>
  <si>
    <t>TE, CPVC, SOLDÁVEL, DN 54 MM, INSTALADO EM RESERVAÇÃO DE ÁGUA DE EDIFICAÇÃO QUE POSSUA RESERVATÓRIO DE FIBRA/FIBROCIMENTO _x0096_ FORNECIMENTO E INSTALAÇÃO. AF_06/2016</t>
  </si>
  <si>
    <t>TE, CPVC, SOLDÁVEL, DN 73 MM, INSTALADO EM RESERVAÇÃO DE ÁGUA DE EDIFICAÇÃO QUE POSSUA RESERVATÓRIO DE FIBRA/FIBROCIMENTO _x0096_ FORNECIMENTO E INSTALAÇÃO. AF_06/2016</t>
  </si>
  <si>
    <t>TE, CPVC, SOLDÁVEL, DN 89 MM, INSTALADO EM RESERVAÇÃO DE ÁGUA DE EDIFICAÇÃO QUE POSSUA RESERVATÓRIO DE FIBRA/FIBROCIMENTO _x0096_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</si>
  <si>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</si>
  <si>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</si>
  <si>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</si>
  <si>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</si>
  <si>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</si>
  <si>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</si>
  <si>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</si>
  <si>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</si>
  <si>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</si>
  <si>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</si>
  <si>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</si>
  <si>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</si>
  <si>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</si>
  <si>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</si>
  <si>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</si>
  <si>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</si>
  <si>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</si>
  <si>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</si>
  <si>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_x0096_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</si>
  <si>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</si>
  <si>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</si>
  <si>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</si>
  <si>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</si>
  <si>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</si>
  <si>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</si>
  <si>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</si>
  <si>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</si>
  <si>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</si>
  <si>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</si>
  <si>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</si>
  <si>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</si>
  <si>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</si>
  <si>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</si>
  <si>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</si>
  <si>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</si>
  <si>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</si>
  <si>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</si>
  <si>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</si>
  <si>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</si>
  <si>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</si>
  <si>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</si>
  <si>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3/4_x0092__x0092_, CLASSE PN 25, INSTALADO EM RAMAL DE DISTRIBUIÇÃO DE ÁGUA   FORNECIMENTO E INSTALAÇÃO. AF_08/2022</t>
  </si>
  <si>
    <t>CONECTOR FÊMEA, PPR, 32 X 3/4_x0092__x0092_,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</si>
  <si>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</si>
  <si>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</si>
  <si>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</si>
  <si>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</si>
  <si>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</si>
  <si>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</si>
  <si>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</si>
  <si>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</si>
  <si>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</si>
  <si>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</si>
  <si>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</si>
  <si>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</si>
  <si>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</si>
  <si>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</si>
  <si>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</si>
  <si>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</si>
  <si>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</si>
  <si>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</si>
  <si>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</si>
  <si>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</si>
  <si>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</si>
  <si>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1/2_x0092__x0092_, CLASSE PN 25, INSTALADO EM PRUMADA DE ÁGUA   FORNECIMENTO E INSTALAÇÃO . AF_08/2022</t>
  </si>
  <si>
    <t>CONECTOR FÊMEA, PPR, 25 X 1/2_x0092__x0092_,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</si>
  <si>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</si>
  <si>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</si>
  <si>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</si>
  <si>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</si>
  <si>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</si>
  <si>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</si>
  <si>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</si>
  <si>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</si>
  <si>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</si>
  <si>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</si>
  <si>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</si>
  <si>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</si>
  <si>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</si>
  <si>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</si>
  <si>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</si>
  <si>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</si>
  <si>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</si>
  <si>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_x0096_ FORNECIMENTO E INSTALAÇÃO. AF_06/2016</t>
  </si>
  <si>
    <t>LUVA, PPR, DN 25 MM, CLASSE PN 25, INSTALADO EM RESERVAÇÃO DE ÁGUA DE EDIFICAÇÃO QUE POSSUA RESERVATÓRIO DE FIBRA/FIBROCIMENTO _x0096_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</si>
  <si>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</si>
  <si>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_x0096_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</si>
  <si>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</si>
  <si>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_x0096_ FORNECIMENTO E INSTALAÇÃO. AF_06/2016</t>
  </si>
  <si>
    <t>LUVA, PPR, DN 50 MM, CLASSE PN 25, INSTALADO EM RESERVAÇÃO DE ÁGUA DE EDIFICAÇÃO QUE POSSUA RESERVATÓRIO DE FIBRA/FIBROCIMENTO _x0096_ FORNECIMENTO E INSTALAÇÃO. AF_06/2016</t>
  </si>
  <si>
    <t>LUVA, PPR, DN 63 MM, CLASSE PN 25, INSTALADO EM RESERVAÇÃO DE ÁGUA DE EDIFICAÇÃO QUE POSSUA RESERVATÓRIO DE FIBRA/FIBROCIMENTO _x0096_ FORNECIMENTO E INSTALAÇÃO. AF_06/2016</t>
  </si>
  <si>
    <t>LUVA, PPR, DN 75 MM, CLASSE PN 25, INSTALADO EM RESERVAÇÃO DE ÁGUA DE EDIFICAÇÃO QUE POSSUA RESERVATÓRIO DE FIBRA/FIBROCIMENTO _x0096_ FORNECIMENTO E INSTALAÇÃO. AF_06/2016</t>
  </si>
  <si>
    <t>LUVA, PPR, DN 90 MM, CLASSE PN 25, INSTALADO EM RESERVAÇÃO DE ÁGUA DE EDIFICAÇÃO QUE POSSUA RESERVATÓRIO DE FIBRA/FIBROCIMENTO _x0096_ FORNECIMENTO E INSTALAÇÃO. AF_06/2016</t>
  </si>
  <si>
    <t>LUVA, PPR, DN 110 MM, CLASSE PN 25, INSTALADO EM RESERVAÇÃO DE ÁGUA DE EDIFICAÇÃO QUE POSSUA RESERVATÓRIO DE FIBRA/FIBROCIMENTO _x0096_ FORNECIMENTO E INSTALAÇÃO. AF_06/2016</t>
  </si>
  <si>
    <t>JOELHO 90 GRAUS, PPR, DN 20 MM, CLASSE PN 25,  INSTALADO EM RESERVAÇÃO DE ÁGUA DE EDIFICAÇÃO QUE POSSUA RESERVATÓRIO DE FIBRA/FIBROCIMENTO _x0096_ FORNECIMENTO E INSTALAÇÃO. AF_06/2016</t>
  </si>
  <si>
    <t>JOELHO 90 GRAUS, PPR, DN 25 MM, CLASSE PN 25,  INSTALADO EM RESERVAÇÃO DE ÁGUA DE EDIFICAÇÃO QUE POSSUA RESERVATÓRIO DE FIBRA/FIBROCIMENTO _x0096_ FORNECIMENTO E INSTALAÇÃO. AF_06/2016</t>
  </si>
  <si>
    <t>JOELHO 90 GRAUS, PPR, DN 32 MM, CLASSE PN 25,  INSTALADO EM RESERVAÇÃO DE ÁGUA DE EDIFICAÇÃO QUE POSSUA RESERVATÓRIO DE FIBRA/FIBROCIMENTO _x0096_ FORNECIMENTO E INSTALAÇÃO. AF_06/2016</t>
  </si>
  <si>
    <t>JOELHO 90 GRAUS, PPR, DN 40 MM, CLASSE PN 25,  INSTALADO EM RESERVAÇÃO DE ÁGUA DE EDIFICAÇÃO QUE POSSUA RESERVATÓRIO DE FIBRA/FIBROCIMENTO _x0096_ FORNECIMENTO E INSTALAÇÃO. AF_06/2016</t>
  </si>
  <si>
    <t>JOELHO 90 GRAUS, PPR, DN 50 MM, CLASSE PN 25,  INSTALADO EM RESERVAÇÃO DE ÁGUA DE EDIFICAÇÃO QUE POSSUA RESERVATÓRIO DE FIBRA/FIBROCIMENTO _x0096_ FORNECIMENTO E INSTALAÇÃO. AF_06/2016</t>
  </si>
  <si>
    <t>JOELHO 90 GRAUS, PPR, DN 63 MM, CLASSE PN 25,  INSTALADO EM RESERVAÇÃO DE ÁGUA DE EDIFICAÇÃO QUE POSSUA RESERVATÓRIO DE FIBRA/FIBROCIMENTO _x0096_ FORNECIMENTO E INSTALAÇÃO. AF_06/2016</t>
  </si>
  <si>
    <t>JOELHO 90 GRAUS, PPR, DN 75 MM, CLASSE PN 25,  INSTALADO EM RESERVAÇÃO DE ÁGUA DE EDIFICAÇÃO QUE POSSUA RESERVATÓRIO DE FIBRA/FIBROCIMENTO _x0096_ FORNECIMENTO E INSTALAÇÃO. AF_06/2016</t>
  </si>
  <si>
    <t>JOELHO 90 GRAUS, PPR, DN 90 MM, CLASSE PN 25,  INSTALADO EM RESERVAÇÃO DE ÁGUA DE EDIFICAÇÃO QUE POSSUA RESERVATÓRIO DE FIBRA/FIBROCIMENTO _x0096_ FORNECIMENTO E INSTALAÇÃO. AF_06/2016</t>
  </si>
  <si>
    <t>JOELHO 90 GRAUS, PPR, DN 110 MM, CLASSE PN 25,  INSTALADO EM RESERVAÇÃO DE ÁGUA DE EDIFICAÇÃO QUE POSSUA RESERVATÓRIO DE FIBRA/FIBROCIMENTO _x0096_ FORNECIMENTO E INSTALAÇÃO. AF_06/2016</t>
  </si>
  <si>
    <t>TÊ MISTURADOR, PPR, DN 20 MM, CLASSE PN 25,  INSTALADO EM RESERVAÇÃO DE ÁGUA DE EDIFICAÇÃO QUE POSSUA RESERVATÓRIO DE FIBRA/FIBROCIMENTO _x0096_ FORNECIMENTO E INSTALAÇÃO. AF_06/2016</t>
  </si>
  <si>
    <t>TÊ MISTURADOR, PPR, DN 25 MM, CLASSE PN 25,  INSTALADO EM RESERVAÇÃO DE ÁGUA DE EDIFICAÇÃO QUE POSSUA RESERVATÓRIO DE FIBRA/FIBROCIMENTO _x0096_ FORNECIMENTO E INSTALAÇÃO. AF_06/2016</t>
  </si>
  <si>
    <t>TÊ, PPR, DN 32 MM, CLASSE PN 25,  INSTALADO EM RESERVAÇÃO DE ÁGUA DE EDIFICAÇÃO QUE POSSUA RESERVATÓRIO DE FIBRA/FIBROCIMENTO _x0096_ FORNECIMENTO E INSTALAÇÃO. AF_06/2016</t>
  </si>
  <si>
    <t>TÊ, PPR, DN 40 MM, CLASSE PN 25,  INSTALADO EM RESERVAÇÃO DE ÁGUA DE EDIFICAÇÃO QUE POSSUA RESERVATÓRIO DE FIBRA/FIBROCIMENTO _x0096_ FORNECIMENTO E INSTALAÇÃO. AF_06/2016</t>
  </si>
  <si>
    <t>TÊ, PPR, DN 50 MM, CLASSE PN 25,  INSTALADO EM RESERVAÇÃO DE ÁGUA DE EDIFICAÇÃO QUE POSSUA RESERVATÓRIO DE FIBRA/FIBROCIMENTO _x0096_ FORNECIMENTO E INSTALAÇÃO. AF_06/2016</t>
  </si>
  <si>
    <t>TÊ, PPR, DN 63 MM, CLASSE PN 25,  INSTALADO EM RESERVAÇÃO DE ÁGUA DE EDIFICAÇÃO QUE POSSUA RESERVATÓRIO DE FIBRA/FIBROCIMENTO _x0096_ FORNECIMENTO E INSTALAÇÃO. AF_06/2016</t>
  </si>
  <si>
    <t>TÊ, PPR, DN 75 MM, CLASSE PN 25,  INSTALADO EM RESERVAÇÃO DE ÁGUA DE EDIFICAÇÃO QUE POSSUA RESERVATÓRIO DE FIBRA/FIBROCIMENTO _x0096_ FORNECIMENTO E INSTALAÇÃO. AF_06/2016</t>
  </si>
  <si>
    <t>TÊ, PPR, DN 90 MM, CLASSE PN 25,  INSTALADO EM RESERVAÇÃO DE ÁGUA DE EDIFICAÇÃO QUE POSSUA RESERVATÓRIO DE FIBRA/FIBROCIMENTO _x0096_ FORNECIMENTO E INSTALAÇÃO. AF_06/2016</t>
  </si>
  <si>
    <t>TÊ, PPR, DN 110 MM, CLASSE PN 25,  INSTALADO EM RESERVAÇÃO DE ÁGUA DE EDIFICAÇÃO QUE POSSUA RESERVATÓRIO DE FIBRA/FIBROCIMENTO _x0096_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</si>
  <si>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</si>
  <si>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</si>
  <si>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</si>
  <si>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</si>
  <si>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</si>
  <si>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</si>
  <si>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</si>
  <si>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</si>
  <si>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</si>
  <si>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</si>
  <si>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</si>
  <si>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</si>
  <si>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</si>
  <si>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</si>
  <si>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</si>
  <si>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</si>
  <si>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</si>
  <si>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</si>
  <si>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</si>
  <si>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</si>
  <si>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</si>
  <si>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</si>
  <si>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</si>
  <si>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</si>
  <si>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</si>
  <si>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</si>
  <si>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</si>
  <si>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</si>
  <si>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</si>
  <si>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</si>
  <si>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</si>
  <si>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</si>
  <si>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</si>
  <si>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</si>
  <si>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</si>
  <si>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</si>
  <si>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</si>
  <si>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</si>
  <si>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</si>
  <si>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</si>
  <si>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</si>
  <si>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</si>
  <si>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</si>
  <si>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</si>
  <si>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</si>
  <si>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</si>
  <si>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</si>
  <si>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</si>
  <si>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</si>
  <si>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</si>
  <si>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</si>
  <si>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</si>
  <si>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½_x0094_,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</si>
  <si>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</si>
  <si>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</si>
  <si>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</si>
  <si>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</si>
  <si>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</si>
  <si>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</si>
  <si>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</si>
  <si>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</si>
  <si>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</si>
  <si>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</si>
  <si>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</si>
  <si>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</si>
  <si>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</si>
  <si>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</si>
  <si>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</si>
  <si>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</si>
  <si>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</si>
  <si>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</si>
  <si>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</si>
  <si>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</si>
  <si>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</si>
  <si>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</si>
  <si>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</si>
  <si>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</si>
  <si>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</si>
  <si>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</si>
  <si>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</si>
  <si>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</si>
  <si>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</si>
  <si>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(3_x0094_),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</si>
  <si>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</si>
  <si>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</si>
  <si>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</si>
  <si>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</si>
  <si>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</si>
  <si>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</si>
  <si>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</si>
  <si>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</si>
  <si>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</si>
  <si>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</si>
  <si>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</si>
  <si>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</si>
  <si>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</si>
  <si>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</si>
  <si>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</si>
  <si>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</si>
  <si>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</si>
  <si>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</si>
  <si>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</si>
  <si>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</si>
  <si>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</si>
  <si>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</si>
  <si>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</si>
  <si>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</si>
  <si>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</si>
  <si>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</si>
  <si>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</si>
  <si>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</si>
  <si>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</si>
  <si>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</si>
  <si>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</si>
  <si>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</si>
  <si>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</si>
  <si>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</si>
  <si>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</si>
  <si>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</si>
  <si>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</si>
  <si>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</si>
  <si>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</si>
  <si>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</si>
  <si>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</si>
  <si>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</si>
  <si>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</si>
  <si>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</si>
  <si>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</si>
  <si>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</si>
  <si>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</si>
  <si>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</si>
  <si>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</si>
  <si>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</si>
  <si>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</si>
  <si>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</si>
  <si>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</si>
  <si>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</si>
  <si>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</si>
  <si>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</si>
  <si>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</si>
  <si>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</si>
  <si>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</si>
  <si>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</si>
  <si>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</si>
  <si>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</si>
  <si>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</si>
  <si>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</si>
  <si>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</si>
  <si>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</si>
  <si>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</si>
  <si>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</si>
  <si>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</si>
  <si>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</si>
  <si>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</si>
  <si>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</si>
  <si>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</si>
  <si>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</si>
  <si>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</si>
  <si>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</si>
  <si>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</si>
  <si>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</si>
  <si>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</si>
  <si>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</si>
  <si>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</si>
  <si>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</si>
  <si>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</si>
  <si>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</si>
  <si>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</si>
  <si>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</si>
  <si>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</si>
  <si>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</si>
  <si>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</si>
  <si>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</si>
  <si>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</si>
  <si>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</si>
  <si>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</si>
  <si>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</si>
  <si>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</si>
  <si>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</si>
  <si>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1/2_x0094_,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</si>
  <si>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</si>
  <si>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</si>
  <si>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1/2_x0094_, 90 GRAUS, SEM ANEL DE SOLDA, BOLSA X ROSCA F, INSTALADO EM RAMAL E SUB-RAMAL DE GÁS COMBUSTÍVEL - FORNECIMENTO E INSTALAÇÃO. AF_04/2022</t>
  </si>
  <si>
    <t>COTOVELO EM BRONZE/LATÃO, DN 22 MM X 3/4_x0094_,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</si>
  <si>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</si>
  <si>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</si>
  <si>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</si>
  <si>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</si>
  <si>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</si>
  <si>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</si>
  <si>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1/2_x0094_,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</si>
  <si>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</si>
  <si>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</si>
  <si>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</si>
  <si>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</si>
  <si>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</si>
  <si>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1/2_x0094_, SEM ANEL DE SOLDA, BOLSA X ROSCA F, INSTALADO EM RAMAL E SUB-RAMAL DE GÁS COMBUSTÍVEL - FORNECIMENTO E INSTALAÇÃO. AF_04/2022</t>
  </si>
  <si>
    <t>CONECTOR EM BRONZE/LATÃO, DN 22 MM X 3/4_x0094_,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</si>
  <si>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</si>
  <si>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</si>
  <si>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</si>
  <si>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</si>
  <si>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1/2_x0094_,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</si>
  <si>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</si>
  <si>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</si>
  <si>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</si>
  <si>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</si>
  <si>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</si>
  <si>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</si>
  <si>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1/2_x0094_,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</si>
  <si>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</si>
  <si>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</si>
  <si>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1/2_x0094_, 90 GRAUS, SEM ANEL DE SOLDA, BOLSA X ROSCA F, INSTALADO EM RAMAL E SUB-RAMAL DE GÁS MEDICINAL - FORNECIMENTO E INSTALAÇÃO. AF_04/2022</t>
  </si>
  <si>
    <t>COTOVELO EM BRONZE/LATÃO, DN 22 MM X 3/4_x0094_,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</si>
  <si>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</si>
  <si>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</si>
  <si>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</si>
  <si>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</si>
  <si>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</si>
  <si>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</si>
  <si>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1/2_x0094_,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</si>
  <si>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</si>
  <si>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</si>
  <si>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</si>
  <si>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</si>
  <si>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</si>
  <si>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</si>
  <si>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</si>
  <si>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</si>
  <si>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</si>
  <si>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</si>
  <si>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</si>
  <si>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</si>
  <si>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</si>
  <si>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</si>
  <si>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</si>
  <si>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</si>
  <si>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</si>
  <si>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</si>
  <si>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</si>
  <si>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</si>
  <si>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</si>
  <si>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</si>
  <si>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</si>
  <si>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</si>
  <si>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</si>
  <si>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</si>
  <si>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</si>
  <si>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</si>
  <si>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</si>
  <si>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</si>
  <si>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</si>
  <si>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</si>
  <si>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</si>
  <si>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</si>
  <si>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</si>
  <si>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</si>
  <si>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</si>
  <si>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</si>
  <si>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</si>
  <si>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</si>
  <si>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</si>
  <si>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</si>
  <si>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</si>
  <si>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</si>
  <si>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</si>
  <si>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</si>
  <si>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</si>
  <si>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</si>
  <si>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</si>
  <si>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</si>
  <si>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</si>
  <si>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</si>
  <si>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</si>
  <si>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</si>
  <si>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</si>
  <si>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</si>
  <si>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</si>
  <si>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</si>
  <si>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</si>
  <si>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</si>
  <si>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</si>
  <si>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</si>
  <si>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</si>
  <si>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</si>
  <si>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</si>
  <si>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</si>
  <si>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</si>
  <si>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</si>
  <si>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</si>
  <si>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</si>
  <si>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</si>
  <si>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</si>
  <si>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</si>
  <si>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</si>
  <si>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</si>
  <si>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</si>
  <si>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</si>
  <si>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</si>
  <si>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</si>
  <si>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</si>
  <si>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</si>
  <si>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1.1/4_x0094_, INSTALADO EM RAMAL DE DISTRIBUIÇÃO DE ÁGUA - FORNECIMENTO E INSTALAÇÃO. AF_06/2022</t>
  </si>
  <si>
    <t>ADAPTADOR CURTO COM BOLSA E ROSCA PARA REGISTRO, PVC, SOLDÁVEL, DN 40MM X 1.1/4_x0094_,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</si>
  <si>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</si>
  <si>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1.1/2_x0094_,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</si>
  <si>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</si>
  <si>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</si>
  <si>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</si>
  <si>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</si>
  <si>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</si>
  <si>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1.1/2_x0094_, INSTALADO EM RAMAL DE DISTRIBUIÇÃO DE ÁGUA - FORNECIMENTO E INSTALAÇÃO. AF_06/2022</t>
  </si>
  <si>
    <t>ADAPTADOR CURTO COM BOLSA E ROSCA PARA REGISTRO, PVC, SOLDÁVEL, DN 50MM X 1.1/2_x0094_, INSTALADO EM RAMAL DE DISTRIBUIÇÃO DE ÁGUA - FORNECIMENTO E INSTALAÇÃO. AF_06/2022</t>
  </si>
  <si>
    <t>ADAPTADOR CURTO COM BOLSA E ROSCA PARA REGISTRO, PVC, SOLDÁVEL, DN 50MM X 1.1/4_x0094_,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</si>
  <si>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</si>
  <si>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</si>
  <si>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</si>
  <si>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</si>
  <si>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</si>
  <si>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</si>
  <si>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</si>
  <si>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</si>
  <si>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</si>
  <si>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</si>
  <si>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</si>
  <si>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</si>
  <si>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</si>
  <si>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</si>
  <si>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</si>
  <si>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_x0096_ FORNECIMENTO E INSTALAÇÃO. AF_06/2022</t>
  </si>
  <si>
    <t>JOELHO 90 GRAUS, CPVC, SOLDÁVEL, DN 42MM, INSTALADO EM RAMAL DE DISTRIBUIÇÃO DE ÁGUA _x0096_ FORNECIMENTO E INSTALAÇÃO. AF_06/2022</t>
  </si>
  <si>
    <t>JOELHO 45 GRAUS, CPVC, SOLDÁVEL, DN 42MM, INSTALADO EM RAMAL DE DISTRIBUIÇÃO DE ÁGUA _x0096_ FORNECIMENTO E INSTALAÇÃO. AF_06/2022</t>
  </si>
  <si>
    <t>LUVA, CPVC, SOLDÁVEL, DN 42MM, INSTALADO EM RAMAL DE DISTRIBUIÇÃO DE ÁGUA _x0096_ FORNECIMENTO E INSTALAÇÃO. AF_06/2022</t>
  </si>
  <si>
    <t>LUVA DE CORRER, CPVC, SOLDÁVEL, DN 42MM, INSTALADO EM RAMAL DE DISTRIBUIÇÃO DE ÁGUA _x0096_ FORNECIMENTO E INSTALAÇÃO. AF_06/2022</t>
  </si>
  <si>
    <t>UNIÃO, CPVC, SOLDÁVEL, DN 42MM, INSTALADO EM RAMAL DE DISTRIBUIÇÃO DE ÁGUA   FORNECIMENTO E INSTALAÇÃO. AF_06/2022</t>
  </si>
  <si>
    <t>LUVA DE TRANSIÇÃO, CPVC, SOLDÁVEL, DN42MM X 1.1/2_x0094_, INSTALADO EM RAMAL DE DISTRIBUIÇÃO DE ÁGUA _x0096_ FORNECIMENTO E INSTALAÇÃO. AF_06/2022</t>
  </si>
  <si>
    <t>CONECTOR, CPVC, SOLDÁVEL, DN 42MM X 1.1/2_x0094_, INSTALADO EM RAMAL DE DISTRIBUIÇÃO DE ÁGUA _x0096_ FORNECIMENTO E INSTALAÇÃO. AF_06/2022</t>
  </si>
  <si>
    <t>TE DE REDUÇÃO, CPVC, SOLDÁVEL, DN 42 X 35 MM, INSTALADO EM RAMAL DE DISTRIBUIÇÃO DE ÁGUA - FORNECIMENTO E INSTALAÇÃO. AF_06/2022</t>
  </si>
  <si>
    <t>LUVA DE CORRER, PVC, SOLDÁVEL, DN 40MM, INSTALADO EM RAMAL DE DISTRIBUIÇÃO DE ÁGUA _x0096_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</si>
  <si>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</si>
  <si>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</si>
  <si>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</si>
  <si>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</si>
  <si>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</si>
  <si>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</si>
  <si>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</si>
  <si>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</si>
  <si>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</si>
  <si>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</si>
  <si>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</si>
  <si>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</si>
  <si>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</si>
  <si>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</si>
  <si>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</si>
  <si>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</si>
  <si>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</si>
  <si>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</si>
  <si>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</si>
  <si>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</si>
  <si>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</si>
  <si>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</si>
  <si>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</si>
  <si>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</si>
  <si>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</si>
  <si>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</si>
  <si>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</si>
  <si>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</si>
  <si>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</si>
  <si>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</si>
  <si>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</si>
  <si>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</si>
  <si>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</si>
  <si>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</si>
  <si>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</si>
  <si>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</si>
  <si>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</si>
  <si>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</si>
  <si>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</si>
  <si>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</si>
  <si>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</si>
  <si>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</si>
  <si>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</si>
  <si>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</si>
  <si>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</si>
  <si>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</si>
  <si>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</si>
  <si>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</si>
  <si>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</si>
  <si>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</si>
  <si>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</si>
  <si>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</si>
  <si>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</si>
  <si>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</si>
  <si>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</si>
  <si>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</si>
  <si>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</si>
  <si>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</si>
  <si>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</si>
  <si>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</si>
  <si>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</si>
  <si>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</si>
  <si>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</si>
  <si>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</si>
  <si>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</si>
  <si>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</si>
  <si>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</si>
  <si>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</si>
  <si>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</si>
  <si>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</si>
  <si>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</si>
  <si>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</si>
  <si>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</si>
  <si>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</si>
  <si>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</si>
  <si>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</si>
  <si>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</si>
  <si>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</si>
  <si>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</si>
  <si>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</si>
  <si>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</si>
  <si>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</si>
  <si>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</si>
  <si>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</si>
  <si>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</si>
  <si>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</si>
  <si>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</si>
  <si>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</si>
  <si>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</si>
  <si>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</si>
  <si>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</si>
  <si>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</si>
  <si>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</si>
  <si>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</si>
  <si>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</si>
  <si>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</si>
  <si>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</si>
  <si>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</si>
  <si>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</si>
  <si>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</si>
  <si>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</si>
  <si>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</si>
  <si>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</si>
  <si>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</si>
  <si>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</si>
  <si>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</si>
  <si>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</si>
  <si>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</si>
  <si>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</si>
  <si>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</si>
  <si>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</si>
  <si>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</si>
  <si>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</si>
  <si>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</si>
  <si>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</si>
  <si>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</si>
  <si>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</si>
  <si>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</si>
  <si>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</si>
  <si>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</si>
  <si>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</si>
  <si>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</si>
  <si>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</si>
  <si>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</si>
  <si>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</si>
  <si>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</si>
  <si>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1.1/2_x0094_ X 1.1/2_x0094_ PARA TANQUE OU LAVATÓRIO, COM OU SEM LADRÃO - FORNECIMENTO E INSTALAÇÃO. AF_01/2020</t>
  </si>
  <si>
    <t>VÁLVULA EM METAL CROMADO TIPO AMERICANA 3.1/2_x0094_ X 1.1/2_x0094_ PARA PIA - FORNECIMENTO E INSTALAÇÃO. AF_01/2020</t>
  </si>
  <si>
    <t>VÁLVULA EM PLÁSTICO 1_x0094_ PARA PIA, TANQUE OU LAVATÓRIO, COM OU SEM LADRÃO - FORNECIMENTO E INSTALAÇÃO. AF_01/2020</t>
  </si>
  <si>
    <t>VÁLVULA EM PLÁSTICO CROMADO TIPO AMERICANA 3.1/2_x0094_ X 1.1/2_x0094_ SEM ADAPTADOR PARA PIA - FORNECIMENTO E INSTALAÇÃO. AF_01/2020</t>
  </si>
  <si>
    <t>SIFÃO DO TIPO GARRAFA EM METAL CROMADO 1 X 1.1/2_x0094_ - FORNECIMENTO E INSTALAÇÃO. AF_01/2020</t>
  </si>
  <si>
    <t>SIFÃO DO TIPO GARRAFA/COPO EM PVC 1.1/4  X 1.1/2_x0094_ - FORNECIMENTO E INSTALAÇÃO. AF_01/2020</t>
  </si>
  <si>
    <t>SIFÃO DO TIPO FLEXÍVEL EM PVC 1  X 1.1/2  - FORNECIMENTO E INSTALAÇÃO. AF_01/2020</t>
  </si>
  <si>
    <t>ENGATE FLEXÍVEL EM PLÁSTICO BRANCO, 1/2_x0094_ X 30CM - FORNECIMENTO E INSTALAÇÃO. AF_01/2020</t>
  </si>
  <si>
    <t>ENGATE FLEXÍVEL EM PLÁSTICO BRANCO, 1/2_x0094_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</si>
  <si>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</si>
  <si>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</si>
  <si>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</si>
  <si>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</si>
  <si>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</si>
  <si>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</si>
  <si>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</si>
  <si>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</si>
  <si>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</si>
  <si>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</si>
  <si>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</si>
  <si>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</si>
  <si>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</si>
  <si>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</si>
  <si>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1/2_x0094_ OU 3/4_x0094_, PARA LAVATÓRIO, PADRÃO POPULAR - FORNECIMENTO E INSTALAÇÃO. AF_01/2020</t>
  </si>
  <si>
    <t>APARELHO MISTURADOR DE MESA PARA PIA DE COZINHA, PADRÃO MÉDIO - FORNECIMENTO E INSTALAÇÃO. AF_01/2020</t>
  </si>
  <si>
    <t>TORNEIRA CROMADA TUBO MÓVEL, DE MESA, 1/2_x0094_ OU 3/4_x0094_, PARA PIA DE COZINHA, PADRÃO ALTO - FORNECIMENTO E INSTALAÇÃO. AF_01/2020</t>
  </si>
  <si>
    <t>TORNEIRA CROMADA TUBO MÓVEL, DE PAREDE, 1/2_x0094_ OU 3/4_x0094_, PARA PIA DE COZINHA, PADRÃO MÉDIO - FORNECIMENTO E INSTALAÇÃO. AF_01/2020</t>
  </si>
  <si>
    <t>TORNEIRA CROMADA LONGA, DE PAREDE, 1/2_x0094_ OU 3/4_x0094_, PARA PIA DE COZINHA, PADRÃO POPULAR - FORNECIMENTO E INSTALAÇÃO. AF_01/2020</t>
  </si>
  <si>
    <t>TORNEIRA CROMADA 1/2_x0094_ OU 3/4_x0094_ PARA TANQUE, PADRÃO POPULAR - FORNECIMENTO E INSTALAÇÃO. AF_01/2020</t>
  </si>
  <si>
    <t>TORNEIRA CROMADA 1/2_x0094_ OU 3/4_x0094_ PARA TANQUE, PADRÃO MÉDIO - FORNECIMENTO E INSTALAÇÃO. AF_01/2020</t>
  </si>
  <si>
    <t>TORNEIRA CROMADA DE MESA, 1/2_x0094_ OU 3/4_x0094_, PARA LAVATÓRIO, PADRÃO MÉDIO - FORNECIMENTO E INSTALAÇÃO. AF_01/2020</t>
  </si>
  <si>
    <t>TORNEIRA PLÁSTICA 3/4_x0094_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</si>
  <si>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</si>
  <si>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</si>
  <si>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</si>
  <si>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</si>
  <si>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</si>
  <si>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</si>
  <si>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</si>
  <si>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</si>
  <si>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</si>
  <si>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</si>
  <si>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</si>
  <si>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</si>
  <si>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</si>
  <si>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</si>
  <si>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</si>
  <si>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</si>
  <si>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</si>
  <si>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</si>
  <si>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</si>
  <si>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</si>
  <si>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</si>
  <si>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</si>
  <si>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</si>
  <si>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</si>
  <si>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</si>
  <si>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</si>
  <si>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</si>
  <si>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1/2_x0094_ OU 3/4_x0094_, P/ COZINHA, PADRÃO POPULAR - FORNEC. E INSTALAÇÃO. AF_01/2020</t>
  </si>
  <si>
    <t>BANCADA MÁRMORE BRANCO 150 X 60 CM, COM CUBA DE EMBUTIR DE AÇO, VÁLVULA AMERICANA E SIFÃO TIPO GARRAFA EM METAL , ENGATE FLEXÍVEL 30 CM, TORNEIRA CROMADA, DE MESA, 1/2_x0094_ OU 3/4_x0094_,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</si>
  <si>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</si>
  <si>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</si>
  <si>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</si>
  <si>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</si>
  <si>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</si>
  <si>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</si>
  <si>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</si>
  <si>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</si>
  <si>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</si>
  <si>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</si>
  <si>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</si>
  <si>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</si>
  <si>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</si>
  <si>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</si>
  <si>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</si>
  <si>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</si>
  <si>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_x0096_ FORNECIMENTO E INSTALAÇÃO. AF_01/2020</t>
  </si>
  <si>
    <t>ACABAMENTO MONOCOMANDO PARA CHUVEIRO _x0096_ FORNECIMENTO E INSTALAÇÃO. AF_01/2020</t>
  </si>
  <si>
    <t>MICTÓRIO SIFONADO LOUÇA BRANCA _x0096_ PADRÃO MÉDIO _x0096_ FORNECIMENTO E INSTALAÇÃO. AF_01/2020</t>
  </si>
  <si>
    <t>MICTÓRIO SIFONADO LOUÇA BRANCA PARA ENTRADA DE ÁGUA EMBUTIDA _x0096_ PADRÃO ALTO _x0096_ FORNECIMENTO E INSTALAÇÃO. AF_01/2020</t>
  </si>
  <si>
    <t>CHUVEIRO ELÉTRICO COMUM CORPO PLÁSTICO, TIPO DUCHA _x0096_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</si>
  <si>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</si>
  <si>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</si>
  <si>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</si>
  <si>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</si>
  <si>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</si>
  <si>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</si>
  <si>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</si>
  <si>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</si>
  <si>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</si>
  <si>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</si>
  <si>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</si>
  <si>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</si>
  <si>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</si>
  <si>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</si>
  <si>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</si>
  <si>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</si>
  <si>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</si>
  <si>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</si>
  <si>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</si>
  <si>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</si>
  <si>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</si>
  <si>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</si>
  <si>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</si>
  <si>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</si>
  <si>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</si>
  <si>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</si>
  <si>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</si>
  <si>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</si>
  <si>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</si>
  <si>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</si>
  <si>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</si>
  <si>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</si>
  <si>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</si>
  <si>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</si>
  <si>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</si>
  <si>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</si>
  <si>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</si>
  <si>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</si>
  <si>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</si>
  <si>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</si>
  <si>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</si>
  <si>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</si>
  <si>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</si>
  <si>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</si>
  <si>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</si>
  <si>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</si>
  <si>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</si>
  <si>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</si>
  <si>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</si>
  <si>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</si>
  <si>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</si>
  <si>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</si>
  <si>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</si>
  <si>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</si>
  <si>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</si>
  <si>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</si>
  <si>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</si>
  <si>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</si>
  <si>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</si>
  <si>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</si>
  <si>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</si>
  <si>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</si>
  <si>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</si>
  <si>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</si>
  <si>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</si>
  <si>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</si>
  <si>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</si>
  <si>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</si>
  <si>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</si>
  <si>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</si>
  <si>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</si>
  <si>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</si>
  <si>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</si>
  <si>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</si>
  <si>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</si>
  <si>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</si>
  <si>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</si>
  <si>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</si>
  <si>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</si>
  <si>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</si>
  <si>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</si>
  <si>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</si>
  <si>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</si>
  <si>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</si>
  <si>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</si>
  <si>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</si>
  <si>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</si>
  <si>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</si>
  <si>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</si>
  <si>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</si>
  <si>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</si>
  <si>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</si>
  <si>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</si>
  <si>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</si>
  <si>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</si>
  <si>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</si>
  <si>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</si>
  <si>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</si>
  <si>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</si>
  <si>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</si>
  <si>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</si>
  <si>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</si>
  <si>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</si>
  <si>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</si>
  <si>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</si>
  <si>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</si>
  <si>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</si>
  <si>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</si>
  <si>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</si>
  <si>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</si>
  <si>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</si>
  <si>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</si>
  <si>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</si>
  <si>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</si>
  <si>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</si>
  <si>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</si>
  <si>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</si>
  <si>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</si>
  <si>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</si>
  <si>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</si>
  <si>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</si>
  <si>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</si>
  <si>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</si>
  <si>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</si>
  <si>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</si>
  <si>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</si>
  <si>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</si>
  <si>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</si>
  <si>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</si>
  <si>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</si>
  <si>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</si>
  <si>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</si>
  <si>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</si>
  <si>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</si>
  <si>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</si>
  <si>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</si>
  <si>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</si>
  <si>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</si>
  <si>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</si>
  <si>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</si>
  <si>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</si>
  <si>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</si>
  <si>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</si>
  <si>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</si>
  <si>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</si>
  <si>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</si>
  <si>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</si>
  <si>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</si>
  <si>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</si>
  <si>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</si>
  <si>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</si>
  <si>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</si>
  <si>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</si>
  <si>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</si>
  <si>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</si>
  <si>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</si>
  <si>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</si>
  <si>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</si>
  <si>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</si>
  <si>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</si>
  <si>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</si>
  <si>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</si>
  <si>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</si>
  <si>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¼_x0094_) _x0096_ FORNECIMENTO E INSTALAÇÃO (EXCLUSIVE HIDRÔMETRO). AF_11/2016</t>
  </si>
  <si>
    <t>KIT CAVALETE PARA MEDIÇÃO DE ÁGUA - ENTRADA PRINCIPAL, EM AÇO GALVANIZADO DN 40 (1 ½_x0094_) _x0096_ FORNECIMENTO E INSTALAÇÃO (EXCLUSIVE HIDRÔMETRO). AF_11/2016</t>
  </si>
  <si>
    <t>KIT CAVALETE PARA MEDIÇÃO DE ÁGUA - ENTRADA PRINCIPAL, EM AÇO GALVANIZADO DN 50 (2_x0094_) _x0096_ FORNECIMENTO E INSTALAÇÃO (EXCLUSIVE HIDRÔMETRO). AF_11/2016</t>
  </si>
  <si>
    <t>KIT CAVALETE PARA MEDIÇÃO DE ÁGUA - ENTRADA INDIVIDUALIZADA, EM PVC DN 25 (¾_x0094_), PARA 2 MEDIDORES _x0096_ FORNECIMENTO E INSTALAÇÃO (EXCLUSIVE HIDRÔMETRO). AF_11/2016</t>
  </si>
  <si>
    <t>KIT CAVALETE PARA MEDIÇÃO DE ÁGUA - ENTRADA INDIVIDUALIZADA, EM PVC DN 25 (¾_x0094_), PARA 3 MEDIDORES _x0096_ FORNECIMENTO E INSTALAÇÃO (EXCLUSIVE HIDRÔMETRO). AF_11/2016</t>
  </si>
  <si>
    <t>KIT CAVALETE PARA MEDIÇÃO DE ÁGUA - ENTRADA INDIVIDUALIZADA, EM PVC DN 25 (¾_x0094_), PARA 4 MEDIDORES _x0096_ FORNECIMENTO E INSTALAÇÃO (EXCLUSIVE HIDRÔMETRO). AF_11/2016</t>
  </si>
  <si>
    <t>KIT CAVALETE PARA MEDIÇÃO DE ÁGUA - ENTRADA INDIVIDUALIZADA, EM PVC DN 32 (1_x0094_), PARA 1 MEDIDOR _x0096_ FORNECIMENTO E INSTALAÇÃO (EXCLUSIVE HIDRÔMETRO). AF_11/2016</t>
  </si>
  <si>
    <t>KIT CAVALETE PARA MEDIÇÃO DE ÁGUA - ENTRADA INDIVIDUALIZADA, EM PVC DN 32 (1_x0094_), PARA 2 MEDIDORES _x0096_ FORNECIMENTO E INSTALAÇÃO (EXCLUSIVE HIDRÔMETRO). AF_11/2016</t>
  </si>
  <si>
    <t>KIT CAVALETE PARA MEDIÇÃO DE ÁGUA - ENTRADA INDIVIDUALIZADA, EM PVC DN 32 (1_x0094_), PARA 3 MEDIDORES _x0096_ FORNECIMENTO E INSTALAÇÃO (EXCLUSIVE HIDRÔMETRO). AF_11/2016</t>
  </si>
  <si>
    <t>KIT CAVALETE PARA MEDIÇÃO DE ÁGUA - ENTRADA INDIVIDUALIZADA, EM PVC DN 32 (1_x0094_), PARA 4 MEDIDORES _x0096_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</si>
  <si>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</si>
  <si>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</si>
  <si>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</si>
  <si>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</si>
  <si>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</si>
  <si>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</si>
  <si>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</si>
  <si>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</si>
  <si>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</si>
  <si>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</si>
  <si>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</si>
  <si>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</si>
  <si>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</si>
  <si>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</si>
  <si>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</si>
  <si>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</si>
  <si>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</si>
  <si>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</si>
  <si>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</si>
  <si>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</si>
  <si>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</si>
  <si>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</si>
  <si>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</si>
  <si>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</si>
  <si>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(½_x0094_), 1,5 M³/H _x0096_ FORNECIMENTO E INSTALAÇÃO. AF_11/2016</t>
  </si>
  <si>
    <t>HIDRÔMETRO DN 20 (½_x0094_), 3,0 M³/H _x0096_ FORNECIMENTO E INSTALAÇÃO. AF_11/2016</t>
  </si>
  <si>
    <t>HIDRÔMETRO DN 25 (¾ ), 5,0 M³/H FORNECIMENTO E INSTALAÇÃO. AF_11/2016</t>
  </si>
  <si>
    <t>CAIXA EM CONCRETO PRÉ-MOLDADO PARA ABRIGO DE HIDRÔMETRO COM DN 20 (½_x0094_) _x0096_ FORNECIMENTO E INSTALAÇÃO. AF_11/2016</t>
  </si>
  <si>
    <t>KIT CAVALETE PARA MEDIÇÃO DE ÁGUA - ENTRADA INDIVIDUALIZADA, EM PVC DN 25 (¾_x0094_), PARA 1 MEDIDOR _x0096_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</si>
  <si>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</si>
  <si>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</si>
  <si>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</si>
  <si>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</si>
  <si>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</si>
  <si>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</si>
  <si>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</si>
  <si>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</si>
  <si>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</si>
  <si>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</si>
  <si>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</si>
  <si>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</si>
  <si>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</si>
  <si>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</si>
  <si>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</si>
  <si>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</si>
  <si>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</si>
  <si>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</si>
  <si>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</si>
  <si>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</si>
  <si>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</si>
  <si>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</si>
  <si>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</si>
  <si>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</si>
  <si>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</si>
  <si>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</si>
  <si>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</si>
  <si>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</si>
  <si>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</si>
  <si>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</si>
  <si>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</si>
  <si>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</si>
  <si>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</si>
  <si>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1/2_x0094_,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</si>
  <si>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</si>
  <si>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</si>
  <si>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</si>
  <si>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</si>
  <si>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</si>
  <si>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</si>
  <si>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</si>
  <si>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</si>
  <si>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</si>
  <si>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_x0093_D_x0094_ 1 1/2_x0094_,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</si>
  <si>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</si>
  <si>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</si>
  <si>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</si>
  <si>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</si>
  <si>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</si>
  <si>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</si>
  <si>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</si>
  <si>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</si>
  <si>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</si>
  <si>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</si>
  <si>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</si>
  <si>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</si>
  <si>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</si>
  <si>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(2½_x0094_) E DN RECALQUE 50 (2_x0094_), PARA EDIFICAÇÃO ENTRE 12 E 18 PAVIMENTOS _x0096_ FORNECIMENTO E INSTALAÇÃO. AF_06/2016</t>
  </si>
  <si>
    <t>CONJUNTO HIDRÁULICO PARA INSTALAÇÃO DE BOMBA EM AÇO ROSCÁVEL, DN SUCÇÃO 50 (2_x0094_) E DN RECALQUE 40 (1 1/2_x0094_), PARA EDIFICAÇÃO ENTRE 8 E 12 PAVIMENTOS _x0096_ FORNECIMENTO E INSTALAÇÃO. AF_06/2016</t>
  </si>
  <si>
    <t>CONJUNTO HIDRÁULICO PARA INSTALAÇÃO DE BOMBA EM AÇO ROSCÁVEL, DN SUCÇÃO 40 (1 1/2_x0094_) E DN RECALQUE 32 (1 1/4_x0094_), PARA EDIFICAÇÃO ENTRE 4 E 8 PAVIMENTOS _x0096_ FORNECIMENTO E INSTALAÇÃO. AF_06/2016</t>
  </si>
  <si>
    <t>CONJUNTO HIDRÁULICO PARA INSTALAÇÃO DE BOMBA EM AÇO ROSCÁVEL, DN SUCÇÃO 32 (1 1/4_x0094_) E DN RECALQUE 25 (1_x0094_), PARA EDIFICAÇÃO ATÉ 4 PAVIMENTOS _x0096_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</si>
  <si>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</si>
  <si>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</si>
  <si>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</si>
  <si>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</si>
  <si>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</si>
  <si>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</si>
  <si>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</si>
  <si>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</si>
  <si>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</si>
  <si>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</si>
  <si>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</si>
  <si>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</si>
  <si>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</si>
  <si>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</si>
  <si>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</si>
  <si>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</si>
  <si>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</si>
  <si>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</si>
  <si>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</si>
  <si>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</si>
  <si>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</si>
  <si>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</si>
  <si>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</si>
  <si>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</si>
  <si>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</si>
  <si>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</si>
  <si>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</si>
  <si>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</si>
  <si>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</si>
  <si>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</si>
  <si>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</si>
  <si>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</si>
  <si>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</si>
  <si>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</si>
  <si>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</si>
  <si>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</si>
  <si>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</si>
  <si>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</si>
  <si>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</si>
  <si>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</si>
  <si>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</si>
  <si>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</si>
  <si>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</si>
  <si>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</si>
  <si>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</si>
  <si>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</si>
  <si>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</si>
  <si>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</si>
  <si>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</si>
  <si>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</si>
  <si>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</si>
  <si>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</si>
  <si>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</si>
  <si>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</si>
  <si>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</si>
  <si>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</si>
  <si>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</si>
  <si>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</si>
  <si>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</si>
  <si>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</si>
  <si>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</si>
  <si>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</si>
  <si>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</si>
  <si>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</si>
  <si>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</si>
  <si>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</si>
  <si>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</si>
  <si>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</si>
  <si>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</si>
  <si>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</si>
  <si>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</si>
  <si>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</si>
  <si>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</si>
  <si>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</si>
  <si>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</si>
  <si>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</si>
  <si>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</si>
  <si>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</si>
  <si>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</si>
  <si>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</si>
  <si>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</si>
  <si>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</si>
  <si>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</si>
  <si>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</si>
  <si>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</si>
  <si>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</si>
  <si>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</si>
  <si>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</si>
  <si>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</si>
  <si>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</si>
  <si>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</si>
  <si>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</si>
  <si>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</si>
  <si>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</si>
  <si>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</si>
  <si>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</si>
  <si>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</si>
  <si>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</si>
  <si>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</si>
  <si>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</si>
  <si>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</si>
  <si>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</si>
  <si>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</si>
  <si>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</si>
  <si>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</si>
  <si>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</si>
  <si>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</si>
  <si>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</si>
  <si>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</si>
  <si>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</si>
  <si>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</si>
  <si>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</si>
  <si>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</si>
  <si>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</si>
  <si>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</si>
  <si>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</si>
  <si>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</si>
  <si>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</si>
  <si>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</si>
  <si>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</si>
  <si>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</si>
  <si>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</si>
  <si>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</si>
  <si>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</si>
  <si>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</si>
  <si>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</si>
  <si>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</si>
  <si>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</si>
  <si>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</si>
  <si>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</si>
  <si>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</si>
  <si>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</si>
  <si>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</si>
  <si>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</si>
  <si>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</si>
  <si>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</si>
  <si>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</si>
  <si>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</si>
  <si>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</si>
  <si>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</si>
  <si>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</si>
  <si>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</si>
  <si>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</si>
  <si>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</si>
  <si>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</si>
  <si>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</si>
  <si>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</si>
  <si>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</si>
  <si>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</si>
  <si>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</si>
  <si>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</si>
  <si>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</si>
  <si>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</si>
  <si>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</si>
  <si>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</si>
  <si>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</si>
  <si>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</si>
  <si>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</si>
  <si>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</si>
  <si>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</si>
  <si>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</si>
  <si>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</si>
  <si>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</si>
  <si>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</si>
  <si>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</si>
  <si>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</si>
  <si>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</si>
  <si>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</si>
  <si>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</si>
  <si>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</si>
  <si>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</si>
  <si>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</si>
  <si>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</si>
  <si>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</si>
  <si>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</si>
  <si>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</si>
  <si>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</si>
  <si>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</si>
  <si>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</si>
  <si>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</si>
  <si>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</si>
  <si>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</si>
  <si>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</si>
  <si>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</si>
  <si>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</si>
  <si>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</si>
  <si>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</si>
  <si>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</si>
  <si>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</si>
  <si>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</si>
  <si>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</si>
  <si>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</si>
  <si>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</si>
  <si>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</si>
  <si>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</si>
  <si>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</si>
  <si>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</si>
  <si>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</si>
  <si>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</si>
  <si>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</si>
  <si>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</si>
  <si>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</si>
  <si>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</si>
  <si>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</si>
  <si>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</si>
  <si>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</si>
  <si>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</si>
  <si>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</si>
  <si>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</si>
  <si>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</si>
  <si>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</si>
  <si>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</si>
  <si>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</si>
  <si>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</si>
  <si>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</si>
  <si>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</si>
  <si>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</si>
  <si>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</si>
  <si>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</si>
  <si>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</si>
  <si>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</si>
  <si>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_x0096_ EXCLUSIVE CARGA E TRANSPORTE. AF_03/2021</t>
  </si>
  <si>
    <t>DESMONTE DE MATERIAL DE 3ª CATEGORIA (BLOCOS DE ROCHAS OU MATACOS), EM VALA, COM MARTELETE PNEUMÁTICO MANUAL _x0096_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</si>
  <si>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</si>
  <si>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</si>
  <si>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</si>
  <si>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</si>
  <si>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</si>
  <si>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</si>
  <si>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</si>
  <si>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</si>
  <si>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</si>
  <si>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</si>
  <si>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</si>
  <si>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</si>
  <si>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</si>
  <si>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</si>
  <si>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</si>
  <si>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</si>
  <si>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</si>
  <si>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</si>
  <si>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</si>
  <si>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</si>
  <si>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</si>
  <si>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</si>
  <si>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</si>
  <si>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</si>
  <si>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</si>
  <si>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</si>
  <si>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</si>
  <si>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</si>
  <si>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</si>
  <si>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</si>
  <si>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</si>
  <si>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</si>
  <si>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</si>
  <si>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</si>
  <si>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</si>
  <si>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</si>
  <si>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</si>
  <si>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</si>
  <si>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</si>
  <si>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</si>
  <si>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</si>
  <si>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</si>
  <si>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</si>
  <si>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</si>
  <si>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</si>
  <si>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</si>
  <si>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</si>
  <si>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</si>
  <si>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</si>
  <si>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</si>
  <si>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</si>
  <si>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</si>
  <si>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</si>
  <si>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</si>
  <si>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</si>
  <si>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</si>
  <si>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</si>
  <si>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</si>
  <si>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</si>
  <si>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</si>
  <si>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</si>
  <si>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</si>
  <si>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</si>
  <si>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</si>
  <si>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</si>
  <si>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</si>
  <si>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</si>
  <si>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</si>
  <si>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</si>
  <si>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</si>
  <si>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</si>
  <si>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</si>
  <si>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</si>
  <si>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</si>
  <si>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</si>
  <si>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</si>
  <si>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</si>
  <si>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</si>
  <si>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</si>
  <si>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</si>
  <si>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</si>
  <si>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</si>
  <si>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</si>
  <si>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</si>
  <si>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</si>
  <si>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</si>
  <si>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</si>
  <si>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</si>
  <si>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</si>
  <si>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</si>
  <si>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</si>
  <si>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</si>
  <si>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</si>
  <si>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</si>
  <si>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</si>
  <si>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</si>
  <si>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</si>
  <si>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</si>
  <si>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</si>
  <si>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</si>
  <si>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</si>
  <si>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</si>
  <si>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</si>
  <si>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</si>
  <si>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</si>
  <si>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</si>
  <si>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</si>
  <si>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</si>
  <si>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</si>
  <si>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</si>
  <si>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</si>
  <si>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</si>
  <si>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</si>
  <si>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</si>
  <si>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</si>
  <si>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</si>
  <si>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</si>
  <si>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</si>
  <si>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</si>
  <si>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</si>
  <si>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</si>
  <si>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</si>
  <si>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</si>
  <si>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</si>
  <si>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</si>
  <si>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</si>
  <si>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</si>
  <si>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</si>
  <si>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</si>
  <si>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</si>
  <si>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</si>
  <si>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</si>
  <si>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</si>
  <si>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</si>
  <si>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</si>
  <si>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</si>
  <si>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</si>
  <si>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</si>
  <si>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</si>
  <si>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</si>
  <si>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</si>
  <si>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</si>
  <si>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</si>
  <si>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</si>
  <si>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</si>
  <si>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</si>
  <si>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</si>
  <si>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</si>
  <si>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</si>
  <si>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</si>
  <si>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</si>
  <si>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</si>
  <si>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</si>
  <si>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</si>
  <si>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</si>
  <si>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</si>
  <si>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</si>
  <si>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</si>
  <si>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</si>
  <si>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</si>
  <si>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</si>
  <si>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</si>
  <si>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</si>
  <si>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</si>
  <si>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</si>
  <si>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</si>
  <si>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</si>
  <si>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</si>
  <si>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</si>
  <si>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</si>
  <si>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</si>
  <si>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</si>
  <si>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</si>
  <si>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</si>
  <si>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</si>
  <si>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</si>
  <si>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</si>
  <si>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</si>
  <si>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</si>
  <si>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</si>
  <si>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</si>
  <si>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</si>
  <si>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</si>
  <si>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</si>
  <si>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</si>
  <si>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</si>
  <si>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</si>
  <si>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</si>
  <si>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</si>
  <si>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</si>
  <si>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</si>
  <si>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</si>
  <si>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</si>
  <si>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</si>
  <si>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</si>
  <si>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</si>
  <si>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</si>
  <si>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</si>
  <si>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</si>
  <si>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</si>
  <si>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</si>
  <si>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</si>
  <si>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</si>
  <si>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</si>
  <si>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</si>
  <si>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</si>
  <si>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</si>
  <si>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</si>
  <si>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</si>
  <si>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</si>
  <si>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</si>
  <si>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</si>
  <si>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</si>
  <si>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</si>
  <si>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</si>
  <si>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</si>
  <si>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</si>
  <si>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</si>
  <si>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</si>
  <si>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</si>
  <si>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</si>
  <si>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</si>
  <si>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</si>
  <si>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</si>
  <si>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</si>
  <si>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</si>
  <si>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</si>
  <si>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</si>
  <si>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</si>
  <si>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</si>
  <si>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</si>
  <si>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</si>
  <si>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</si>
  <si>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</si>
  <si>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</si>
  <si>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</si>
  <si>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</si>
  <si>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</si>
  <si>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</si>
  <si>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</si>
  <si>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</si>
  <si>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</si>
  <si>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</si>
  <si>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</si>
  <si>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</si>
  <si>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</si>
  <si>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</si>
  <si>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</si>
  <si>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</si>
  <si>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</si>
  <si>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</si>
  <si>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</si>
  <si>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</si>
  <si>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</si>
  <si>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</si>
  <si>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</si>
  <si>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</si>
  <si>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</si>
  <si>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</si>
  <si>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</si>
  <si>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</si>
  <si>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</si>
  <si>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</si>
  <si>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</si>
  <si>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</si>
  <si>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</si>
  <si>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</si>
  <si>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</si>
  <si>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</si>
  <si>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</si>
  <si>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</si>
  <si>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</si>
  <si>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</si>
  <si>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</si>
  <si>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</si>
  <si>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</si>
  <si>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</si>
  <si>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</si>
  <si>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</si>
  <si>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</si>
  <si>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</si>
  <si>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</si>
  <si>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</si>
  <si>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</si>
  <si>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</si>
  <si>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</si>
  <si>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</si>
  <si>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</si>
  <si>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</si>
  <si>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</si>
  <si>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</si>
  <si>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</si>
  <si>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</si>
  <si>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</si>
  <si>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</si>
  <si>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</si>
  <si>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</si>
  <si>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</si>
  <si>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</si>
  <si>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</si>
  <si>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</si>
  <si>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</si>
  <si>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</si>
  <si>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</si>
  <si>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</si>
  <si>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</si>
  <si>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</si>
  <si>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</si>
  <si>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</si>
  <si>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</si>
  <si>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</si>
  <si>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</si>
  <si>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</si>
  <si>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</si>
  <si>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</si>
  <si>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</si>
  <si>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</si>
  <si>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</si>
  <si>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</si>
  <si>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</si>
  <si>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</si>
  <si>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</si>
  <si>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</si>
  <si>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</si>
  <si>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</si>
  <si>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</si>
  <si>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</si>
  <si>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</si>
  <si>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</si>
  <si>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</si>
  <si>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</si>
  <si>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_x0096_ FORNECIMENTO E INSTALAÇÃO. AF_04/2022</t>
  </si>
  <si>
    <t>BARRAS DE TRANSFERÊNCIA, AÇO CA-25 DE 20,0 MM, PARA EXECUÇÃO DE PAVIMENTO DE CONCRETO _x0096_ FORNECIMENTO E INSTALAÇÃO. AF_04/2022</t>
  </si>
  <si>
    <t>BARRAS DE TRANSFERÊNCIA, AÇO CA-25 DE 25,0 MM, PARA EXECUÇÃO DE PAVIMENTO DE CONCRETO _x0096_ FORNECIMENTO E INSTALAÇÃO. AF_04/2022</t>
  </si>
  <si>
    <t>BARRAS DE TRANSFERÊNCIA, AÇO CA-25 DE 32,0 MM, PARA EXECUÇÃO DE PAVIMENTO DE CONCRETO _x0096_ FORNECIMENTO E INSTALAÇÃO. AF_04/2022</t>
  </si>
  <si>
    <t>BARRAS DE LIGAÇÃO, AÇO CA-50 DE 10 MM, PARA EXECUÇÃO DE PAVIMENTO DE CONCRETO _x0096_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</si>
  <si>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</si>
  <si>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</si>
  <si>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</si>
  <si>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</si>
  <si>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</si>
  <si>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</si>
  <si>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</si>
  <si>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</si>
  <si>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</si>
  <si>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</si>
  <si>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</si>
  <si>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</si>
  <si>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</si>
  <si>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</si>
  <si>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</si>
  <si>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</si>
  <si>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</si>
  <si>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</si>
  <si>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</si>
  <si>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</si>
  <si>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</si>
  <si>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</si>
  <si>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</si>
  <si>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</si>
  <si>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</si>
  <si>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</si>
  <si>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</si>
  <si>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</si>
  <si>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</si>
  <si>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</si>
  <si>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</si>
  <si>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</si>
  <si>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</si>
  <si>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</si>
  <si>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</si>
  <si>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</si>
  <si>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</si>
  <si>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</si>
  <si>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</si>
  <si>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</si>
  <si>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</si>
  <si>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</si>
  <si>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</si>
  <si>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</si>
  <si>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</si>
  <si>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</si>
  <si>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</si>
  <si>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</si>
  <si>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</si>
  <si>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</si>
  <si>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</si>
  <si>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</si>
  <si>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</si>
  <si>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</si>
  <si>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</si>
  <si>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</si>
  <si>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</si>
  <si>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</si>
  <si>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</si>
  <si>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</si>
  <si>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</si>
  <si>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</si>
  <si>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</si>
  <si>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</si>
  <si>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</si>
  <si>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</si>
  <si>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</si>
  <si>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</si>
  <si>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</si>
  <si>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</si>
  <si>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</si>
  <si>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</si>
  <si>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</si>
  <si>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</si>
  <si>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</si>
  <si>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</si>
  <si>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</si>
  <si>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</si>
  <si>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</si>
  <si>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</si>
  <si>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</si>
  <si>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</si>
  <si>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</si>
  <si>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</si>
  <si>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</si>
  <si>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</si>
  <si>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</si>
  <si>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</si>
  <si>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</si>
  <si>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</si>
  <si>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</si>
  <si>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</si>
  <si>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</si>
  <si>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</si>
  <si>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</si>
  <si>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</si>
  <si>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</si>
  <si>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</si>
  <si>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</si>
  <si>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</si>
  <si>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</si>
  <si>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</si>
  <si>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</si>
  <si>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</si>
  <si>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</si>
  <si>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</si>
  <si>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</si>
  <si>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</si>
  <si>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</si>
  <si>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</si>
  <si>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</si>
  <si>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</si>
  <si>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</si>
  <si>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</si>
  <si>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</si>
  <si>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</si>
  <si>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</si>
  <si>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</si>
  <si>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</si>
  <si>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</si>
  <si>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</si>
  <si>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</si>
  <si>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</si>
  <si>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</si>
  <si>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</si>
  <si>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</si>
  <si>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</si>
  <si>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</si>
  <si>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</si>
  <si>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</si>
  <si>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</si>
  <si>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</si>
  <si>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</si>
  <si>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</si>
  <si>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</si>
  <si>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</si>
  <si>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</si>
  <si>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</si>
  <si>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</si>
  <si>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</si>
  <si>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</si>
  <si>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</si>
  <si>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</si>
  <si>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</si>
  <si>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</si>
  <si>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</si>
  <si>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</si>
  <si>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</si>
  <si>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</si>
  <si>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</si>
  <si>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</si>
  <si>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</si>
  <si>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</si>
  <si>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</si>
  <si>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</si>
  <si>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</si>
  <si>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</si>
  <si>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</si>
  <si>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</si>
  <si>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</si>
  <si>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</si>
  <si>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</si>
  <si>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</si>
  <si>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</si>
  <si>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</si>
  <si>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</si>
  <si>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</si>
  <si>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</si>
  <si>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</si>
  <si>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</si>
  <si>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</si>
  <si>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</si>
  <si>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</si>
  <si>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</si>
  <si>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</si>
  <si>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</si>
  <si>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</si>
  <si>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</si>
  <si>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</si>
  <si>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</si>
  <si>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</si>
  <si>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</si>
  <si>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</si>
  <si>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</si>
  <si>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</si>
  <si>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</si>
  <si>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</si>
  <si>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</si>
  <si>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</si>
  <si>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</si>
  <si>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</si>
  <si>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</si>
  <si>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</si>
  <si>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</si>
  <si>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</si>
  <si>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</si>
  <si>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</si>
  <si>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</si>
  <si>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</si>
  <si>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</si>
  <si>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</si>
  <si>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</si>
  <si>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</si>
  <si>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</si>
  <si>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</si>
  <si>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</si>
  <si>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</si>
  <si>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</si>
  <si>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</si>
  <si>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</si>
  <si>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</si>
  <si>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</si>
  <si>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</si>
  <si>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</si>
  <si>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</si>
  <si>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</si>
  <si>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</si>
  <si>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</si>
  <si>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</si>
  <si>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</si>
  <si>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</si>
  <si>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</si>
  <si>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</si>
  <si>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</si>
  <si>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</si>
  <si>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</si>
  <si>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</si>
  <si>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</si>
  <si>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</si>
  <si>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</si>
  <si>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</si>
  <si>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</si>
  <si>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</si>
  <si>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</si>
  <si>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</si>
  <si>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</si>
  <si>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</si>
  <si>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</si>
  <si>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</si>
  <si>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</si>
  <si>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</si>
  <si>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</si>
  <si>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</si>
  <si>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</si>
  <si>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</si>
  <si>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</si>
  <si>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</si>
  <si>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</si>
  <si>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</si>
  <si>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</si>
  <si>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</si>
  <si>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</si>
  <si>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</si>
  <si>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</si>
  <si>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</si>
  <si>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</si>
  <si>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</si>
  <si>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</si>
  <si>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</si>
  <si>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</si>
  <si>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</si>
  <si>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</si>
  <si>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</si>
  <si>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</si>
  <si>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</si>
  <si>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</si>
  <si>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</si>
  <si>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</si>
  <si>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</si>
  <si>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</si>
  <si>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</si>
  <si>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</si>
  <si>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</si>
  <si>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</si>
  <si>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</si>
  <si>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</si>
  <si>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</si>
  <si>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</si>
  <si>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</si>
  <si>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</si>
  <si>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</si>
  <si>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</si>
  <si>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</si>
  <si>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</si>
  <si>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</si>
  <si>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</si>
  <si>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</si>
  <si>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</si>
  <si>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</si>
  <si>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</si>
  <si>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</si>
  <si>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</si>
  <si>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</si>
  <si>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</si>
  <si>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</si>
  <si>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</si>
  <si>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</si>
  <si>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</si>
  <si>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</si>
  <si>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</si>
  <si>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</si>
  <si>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</si>
  <si>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</si>
  <si>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</si>
  <si>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</si>
  <si>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</si>
  <si>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</si>
  <si>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</si>
  <si>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</si>
  <si>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</si>
  <si>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</si>
  <si>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</si>
  <si>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</si>
  <si>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</si>
  <si>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</si>
  <si>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</si>
  <si>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</si>
  <si>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</si>
  <si>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</si>
  <si>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</si>
  <si>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</si>
  <si>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</si>
  <si>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</si>
  <si>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</si>
  <si>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</si>
  <si>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</si>
  <si>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</si>
  <si>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</si>
  <si>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</si>
  <si>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</si>
  <si>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</si>
  <si>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</si>
  <si>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</si>
  <si>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</si>
  <si>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</si>
  <si>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</si>
  <si>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</si>
  <si>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</si>
  <si>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</si>
  <si>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</si>
  <si>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</si>
  <si>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</si>
  <si>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</si>
  <si>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</si>
  <si>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</si>
  <si>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</si>
  <si>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</si>
  <si>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</si>
  <si>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</si>
  <si>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</si>
  <si>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</si>
  <si>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</si>
  <si>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</si>
  <si>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</si>
  <si>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</si>
  <si>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</si>
  <si>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</si>
  <si>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</si>
  <si>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</si>
  <si>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</si>
  <si>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</si>
  <si>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</si>
  <si>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</si>
  <si>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</si>
  <si>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</si>
  <si>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</si>
  <si>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</si>
  <si>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</si>
  <si>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</si>
  <si>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</si>
  <si>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</si>
  <si>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</si>
  <si>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</si>
  <si>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</si>
  <si>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</si>
  <si>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</si>
  <si>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</si>
  <si>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</si>
  <si>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</si>
  <si>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</si>
  <si>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</si>
  <si>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</si>
  <si>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</si>
  <si>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</si>
  <si>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</si>
  <si>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</si>
  <si>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</si>
  <si>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</si>
  <si>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</si>
  <si>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</si>
  <si>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</si>
  <si>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</si>
  <si>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</si>
  <si>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</si>
  <si>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</si>
  <si>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</si>
  <si>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</si>
  <si>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</si>
  <si>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</si>
  <si>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</si>
  <si>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</si>
  <si>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</si>
  <si>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</si>
  <si>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</si>
  <si>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</si>
  <si>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</si>
  <si>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</si>
  <si>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</si>
  <si>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</si>
  <si>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</si>
  <si>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</si>
  <si>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</si>
  <si>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</si>
  <si>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</si>
  <si>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</si>
  <si>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</si>
  <si>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</si>
  <si>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</si>
  <si>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</si>
  <si>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</si>
  <si>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</si>
  <si>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</si>
  <si>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</si>
  <si>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</si>
  <si>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</si>
  <si>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</si>
  <si>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</si>
  <si>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</si>
  <si>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</si>
  <si>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</si>
  <si>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</si>
  <si>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</si>
  <si>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</si>
  <si>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</si>
  <si>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</si>
  <si>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</si>
  <si>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</si>
  <si>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</si>
  <si>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</si>
  <si>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</si>
  <si>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</si>
  <si>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</si>
  <si>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</si>
  <si>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</si>
  <si>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</si>
  <si>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</si>
  <si>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</si>
  <si>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</si>
  <si>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</si>
  <si>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</si>
  <si>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</si>
  <si>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</si>
  <si>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</si>
  <si>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</si>
  <si>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</si>
  <si>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</si>
  <si>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</si>
  <si>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</si>
  <si>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</si>
  <si>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</si>
  <si>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</si>
  <si>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</si>
  <si>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</si>
  <si>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</si>
  <si>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</si>
  <si>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</si>
  <si>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</si>
  <si>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</si>
  <si>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</si>
  <si>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</si>
  <si>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</si>
  <si>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</si>
  <si>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</si>
  <si>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</si>
  <si>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</si>
  <si>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</si>
  <si>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</si>
  <si>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</si>
  <si>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</si>
  <si>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</si>
  <si>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</si>
  <si>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</si>
  <si>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</si>
  <si>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</si>
  <si>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</si>
  <si>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</si>
  <si>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</si>
  <si>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</si>
  <si>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</si>
  <si>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</si>
  <si>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</si>
  <si>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</si>
  <si>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</si>
  <si>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</si>
  <si>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</si>
  <si>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</si>
  <si>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</si>
  <si>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</si>
  <si>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</si>
  <si>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</si>
  <si>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</si>
  <si>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</si>
  <si>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</si>
  <si>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</si>
  <si>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</si>
  <si>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</si>
  <si>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</si>
  <si>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</si>
  <si>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</si>
  <si>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</si>
  <si>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</si>
  <si>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</si>
  <si>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</si>
  <si>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</si>
  <si>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</si>
  <si>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</si>
  <si>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</si>
  <si>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</si>
  <si>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</si>
  <si>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</si>
  <si>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</si>
  <si>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</si>
  <si>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</si>
  <si>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</si>
  <si>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</si>
  <si>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</si>
  <si>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</si>
  <si>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</si>
  <si>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</si>
  <si>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</si>
  <si>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</si>
  <si>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</si>
  <si>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</si>
  <si>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</si>
  <si>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</si>
  <si>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</si>
  <si>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</si>
  <si>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</si>
  <si>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</si>
  <si>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</si>
  <si>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</si>
  <si>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</si>
  <si>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</si>
  <si>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</si>
  <si>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</si>
  <si>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</si>
  <si>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</si>
  <si>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</si>
  <si>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</si>
  <si>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</si>
  <si>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</si>
  <si>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</si>
  <si>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</si>
  <si>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</si>
  <si>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</si>
  <si>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</si>
  <si>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</si>
  <si>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</si>
  <si>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</si>
  <si>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</si>
  <si>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</si>
  <si>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</si>
  <si>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</si>
  <si>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</si>
  <si>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</si>
  <si>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</si>
  <si>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</si>
  <si>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</si>
  <si>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</si>
  <si>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</si>
  <si>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</si>
  <si>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</si>
  <si>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</si>
  <si>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</si>
  <si>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</si>
  <si>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</si>
  <si>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</si>
  <si>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</si>
  <si>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</si>
  <si>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</si>
  <si>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</si>
  <si>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</si>
  <si>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</si>
  <si>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</si>
  <si>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</si>
  <si>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</si>
  <si>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</si>
  <si>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</si>
  <si>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</si>
  <si>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</si>
  <si>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</si>
  <si>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</si>
  <si>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</si>
  <si>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</si>
  <si>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</si>
  <si>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</si>
  <si>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</si>
  <si>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</si>
  <si>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</si>
  <si>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</si>
  <si>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</si>
  <si>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</si>
  <si>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</si>
  <si>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</si>
  <si>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</si>
  <si>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</si>
  <si>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</si>
  <si>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</si>
  <si>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</si>
  <si>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</si>
  <si>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</si>
  <si>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</si>
  <si>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</si>
  <si>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</si>
  <si>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</si>
  <si>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</si>
  <si>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</si>
  <si>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</si>
  <si>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</si>
  <si>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</si>
  <si>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</si>
  <si>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</si>
  <si>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</si>
  <si>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</si>
  <si>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</si>
  <si>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</si>
  <si>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</si>
  <si>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</si>
  <si>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</si>
  <si>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</si>
  <si>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</si>
  <si>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</si>
  <si>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</si>
  <si>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</si>
  <si>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</si>
  <si>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</si>
  <si>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</si>
  <si>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</si>
  <si>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</si>
  <si>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</si>
  <si>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</si>
  <si>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</si>
  <si>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</si>
  <si>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</si>
  <si>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</si>
  <si>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</si>
  <si>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</si>
  <si>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</si>
  <si>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</si>
  <si>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</si>
  <si>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</si>
  <si>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</si>
  <si>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</si>
  <si>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</si>
  <si>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</si>
  <si>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</si>
  <si>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</si>
  <si>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</si>
  <si>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</si>
  <si>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</si>
  <si>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</si>
  <si>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</si>
  <si>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</si>
  <si>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</si>
  <si>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</si>
  <si>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</si>
  <si>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</si>
  <si>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</si>
  <si>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</si>
  <si>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</si>
  <si>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</si>
  <si>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</si>
  <si>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</si>
  <si>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</si>
  <si>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</si>
  <si>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</si>
  <si>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</si>
  <si>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</si>
  <si>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</si>
  <si>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</si>
  <si>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</si>
  <si>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</si>
  <si>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</si>
  <si>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</si>
  <si>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</si>
  <si>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</si>
  <si>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</si>
  <si>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</si>
  <si>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</si>
  <si>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</si>
  <si>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</si>
  <si>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</si>
  <si>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</si>
  <si>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</si>
  <si>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</si>
  <si>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</si>
  <si>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</si>
  <si>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</si>
  <si>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</si>
  <si>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</si>
  <si>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</si>
  <si>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</si>
  <si>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</si>
  <si>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</si>
  <si>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</si>
  <si>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</si>
  <si>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</si>
  <si>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</si>
  <si>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</si>
  <si>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</si>
  <si>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</si>
  <si>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</si>
  <si>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</si>
  <si>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</si>
  <si>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</si>
  <si>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</si>
  <si>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</si>
  <si>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</si>
  <si>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</si>
  <si>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</si>
  <si>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</si>
  <si>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</si>
  <si>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</si>
  <si>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</si>
  <si>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</si>
  <si>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</si>
  <si>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</si>
  <si>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</si>
  <si>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</si>
  <si>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</si>
  <si>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</si>
  <si>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</si>
  <si>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</si>
  <si>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</si>
  <si>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</si>
  <si>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</si>
  <si>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</si>
  <si>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</si>
  <si>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</si>
  <si>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</si>
  <si>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</si>
  <si>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</si>
  <si>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</si>
  <si>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</si>
  <si>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</si>
  <si>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</si>
  <si>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</si>
  <si>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</si>
  <si>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</si>
  <si>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</si>
  <si>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</si>
  <si>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</si>
  <si>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</si>
  <si>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</si>
  <si>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</si>
  <si>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</si>
  <si>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</si>
  <si>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</si>
  <si>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</si>
  <si>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</si>
  <si>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</si>
  <si>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</si>
  <si>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</si>
  <si>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</si>
  <si>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</si>
  <si>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</si>
  <si>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</si>
  <si>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</si>
  <si>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</si>
  <si>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</si>
  <si>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</si>
  <si>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</si>
  <si>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</si>
  <si>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</si>
  <si>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</si>
  <si>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</si>
  <si>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</si>
  <si>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</si>
  <si>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</si>
  <si>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</si>
  <si>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</si>
  <si>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</si>
  <si>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</si>
  <si>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</si>
  <si>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</si>
  <si>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</si>
  <si>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</si>
  <si>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</si>
  <si>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</si>
  <si>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</si>
  <si>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</si>
  <si>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</si>
  <si>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</si>
  <si>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</si>
  <si>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</si>
  <si>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</si>
  <si>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</si>
  <si>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</si>
  <si>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</si>
  <si>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</si>
  <si>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</si>
  <si>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</si>
  <si>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</si>
  <si>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</si>
  <si>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</si>
  <si>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</si>
  <si>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</si>
  <si>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</si>
  <si>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</si>
  <si>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</si>
  <si>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</si>
  <si>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</si>
  <si>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</si>
  <si>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</si>
  <si>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</si>
  <si>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</si>
  <si>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</si>
  <si>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</si>
  <si>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</si>
  <si>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</si>
  <si>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</si>
  <si>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</si>
  <si>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</si>
  <si>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</si>
  <si>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</si>
  <si>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</si>
  <si>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</si>
  <si>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</si>
  <si>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</si>
  <si>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</si>
  <si>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</si>
  <si>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</si>
  <si>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</si>
  <si>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</si>
  <si>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</si>
  <si>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</si>
  <si>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</si>
  <si>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</si>
  <si>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</si>
  <si>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</si>
  <si>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</si>
  <si>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_x0096_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</si>
  <si>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</si>
  <si>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</si>
  <si>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</si>
  <si>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</si>
  <si>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</si>
  <si>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</si>
  <si>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</si>
  <si>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</si>
  <si>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</si>
  <si>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</si>
  <si>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</si>
  <si>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</si>
  <si>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</si>
  <si>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</si>
  <si>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</si>
  <si>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</si>
  <si>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</si>
  <si>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</si>
  <si>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</si>
  <si>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</si>
  <si>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</si>
  <si>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</si>
  <si>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</si>
  <si>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</si>
  <si>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</si>
  <si>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</si>
  <si>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</si>
  <si>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</si>
  <si>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</si>
  <si>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</si>
  <si>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</si>
  <si>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</si>
  <si>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</si>
  <si>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</si>
  <si>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</si>
  <si>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</si>
  <si>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</si>
  <si>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</si>
  <si>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_x0096_ 1 MONTAGEM EM OBRA. AF_11/2017</t>
  </si>
  <si>
    <t>FECHAMENTO REMOVÍVEL DE ABERTURA DE CAIXILHO, EM MADEIRA _x0096_ 4 MONTAGENS EM OBRA. AF_11/2017</t>
  </si>
  <si>
    <t>FECHAMENTO REMOVÍVEL DE ABERTURA NO PISO, EM MADEIRA _x0096_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</si>
  <si>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</si>
  <si>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</si>
  <si>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</si>
  <si>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</si>
  <si>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</si>
  <si>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</si>
  <si>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_x0093_TORRE_x0094_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</si>
  <si>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</si>
  <si>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</si>
  <si>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</si>
  <si>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</si>
  <si>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</si>
  <si>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</si>
  <si>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</si>
  <si>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</si>
  <si>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</si>
  <si>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</si>
  <si>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</si>
  <si>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</si>
  <si>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</si>
  <si>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</si>
  <si>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</si>
  <si>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</si>
  <si>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</si>
  <si>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</si>
  <si>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</si>
  <si>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</si>
  <si>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</si>
  <si>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</si>
  <si>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</si>
  <si>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</si>
  <si>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</si>
  <si>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</si>
  <si>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</si>
  <si>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</si>
  <si>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</si>
  <si>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</si>
  <si>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</si>
  <si>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</si>
  <si>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</si>
  <si>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</si>
  <si>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</si>
  <si>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</si>
  <si>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</si>
  <si>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</si>
  <si>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</si>
  <si>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</si>
  <si>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</si>
  <si>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</si>
  <si>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</si>
  <si>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</si>
  <si>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</si>
  <si>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</si>
  <si>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</si>
  <si>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</si>
  <si>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</si>
  <si>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</si>
  <si>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</si>
  <si>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</si>
  <si>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</si>
  <si>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</si>
  <si>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</si>
  <si>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</si>
  <si>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</si>
  <si>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</si>
  <si>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</si>
  <si>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</si>
  <si>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</si>
  <si>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</si>
  <si>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</si>
  <si>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</si>
  <si>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</si>
  <si>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</si>
  <si>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</si>
  <si>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</si>
  <si>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</si>
  <si>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</si>
  <si>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</si>
  <si>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</si>
  <si>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</si>
  <si>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</si>
  <si>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</si>
  <si>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</si>
  <si>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</si>
  <si>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</si>
  <si>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</si>
  <si>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</si>
  <si>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</si>
  <si>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</si>
  <si>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</si>
  <si>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</si>
  <si>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</si>
  <si>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</si>
  <si>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</si>
  <si>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</si>
  <si>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</si>
  <si>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</si>
  <si>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</si>
  <si>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</si>
  <si>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</si>
  <si>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</si>
  <si>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</si>
  <si>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</si>
  <si>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</si>
  <si>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</si>
  <si>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</si>
  <si>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</si>
  <si>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</si>
  <si>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</si>
  <si>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</si>
  <si>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</si>
  <si>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</si>
  <si>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</si>
  <si>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</si>
  <si>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</si>
  <si>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</si>
  <si>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</si>
  <si>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</si>
  <si>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</si>
  <si>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</si>
  <si>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</si>
  <si>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</si>
  <si>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</si>
  <si>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</si>
  <si>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</si>
  <si>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</si>
  <si>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</si>
  <si>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</si>
  <si>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</si>
  <si>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</si>
  <si>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</si>
  <si>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</si>
  <si>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</si>
  <si>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</si>
  <si>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</si>
  <si>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</si>
  <si>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</si>
  <si>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</si>
  <si>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</si>
  <si>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</si>
  <si>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</si>
  <si>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</si>
  <si>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</si>
  <si>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</si>
  <si>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</si>
  <si>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</si>
  <si>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</si>
  <si>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</si>
  <si>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</si>
  <si>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</si>
  <si>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</si>
  <si>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</si>
  <si>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</si>
  <si>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</si>
  <si>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</si>
  <si>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</si>
  <si>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</si>
  <si>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</si>
  <si>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</si>
  <si>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</si>
  <si>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</si>
  <si>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</si>
  <si>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</si>
  <si>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</si>
  <si>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</si>
  <si>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</si>
  <si>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</si>
  <si>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</si>
  <si>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</si>
  <si>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</si>
  <si>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</si>
  <si>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</si>
  <si>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</si>
  <si>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</si>
  <si>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</si>
  <si>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</si>
  <si>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</si>
  <si>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</si>
  <si>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</si>
  <si>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</si>
  <si>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</si>
  <si>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</si>
  <si>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</si>
  <si>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</si>
  <si>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</si>
  <si>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</si>
  <si>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</si>
  <si>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</si>
  <si>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</si>
  <si>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</si>
  <si>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</si>
  <si>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</si>
  <si>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</si>
  <si>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</si>
  <si>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</si>
  <si>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</si>
  <si>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</si>
  <si>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</si>
  <si>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</si>
  <si>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</si>
  <si>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</si>
  <si>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</si>
  <si>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</si>
  <si>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</si>
  <si>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</si>
  <si>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</si>
  <si>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</si>
  <si>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</si>
  <si>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</si>
  <si>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</si>
  <si>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</si>
  <si>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</si>
  <si>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</si>
  <si>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</si>
  <si>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¼_x0094_), COM TELA DE ARAME GALVANIZADO, FIO 14 BWG E MALHA QUADRADA 5X5CM (EXCETO MURETA). AF_03/2021</t>
  </si>
  <si>
    <t>ALAMBRADO PARA QUADRA POLIESPORTIVA, ESTRUTURADO POR TUBOS DE ACO GALVANIZADO, (MONTANTES COM DIAMETRO 2", TRAVESSAS E ESCORAS COM DIÂMETRO 1 ¼_x0094_), COM TELA DE ARAME GALVANIZADO, FIO 12 BWG E MALHA QUADRADA 5X5CM (EXCETO MURETA). AF_03/2021</t>
  </si>
  <si>
    <t>ALAMBRADO PARA QUADRA POLIESPORTIVA, ESTRUTURADO POR TUBOS DE ACO GALVANIZADO, (MONTANTES COM DIAMETRO 2", TRAVESSAS E ESCORAS COM DIÂMETRO 1 ¼_x0094_),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</si>
  <si>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</si>
  <si>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</si>
  <si>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</si>
  <si>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</si>
  <si>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</si>
  <si>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</si>
  <si>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</si>
  <si>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</si>
  <si>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</si>
  <si>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</si>
  <si>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</si>
  <si>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</si>
  <si>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</si>
  <si>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</si>
  <si>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</si>
  <si>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</si>
  <si>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</si>
  <si>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</si>
  <si>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</si>
  <si>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</si>
  <si>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</si>
  <si>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</si>
  <si>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</si>
  <si>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</si>
  <si>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</si>
  <si>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</si>
  <si>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</si>
  <si>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</si>
  <si>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</si>
  <si>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</si>
  <si>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</si>
  <si>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</si>
  <si>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</si>
  <si>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</si>
  <si>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</si>
  <si>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</si>
  <si>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</si>
  <si>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</si>
  <si>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</si>
  <si>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</si>
  <si>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</si>
  <si>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</si>
  <si>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</si>
  <si>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</si>
  <si>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</si>
  <si>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</si>
  <si>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</si>
  <si>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</si>
  <si>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</si>
  <si>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</si>
  <si>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</si>
  <si>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</si>
  <si>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</si>
  <si>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</si>
  <si>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</si>
  <si>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</si>
  <si>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</si>
  <si>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</si>
  <si>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</si>
  <si>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</si>
  <si>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</si>
  <si>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</si>
  <si>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</si>
  <si>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</si>
  <si>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</si>
  <si>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</si>
  <si>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</si>
  <si>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</si>
  <si>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</si>
  <si>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</si>
  <si>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</si>
  <si>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</si>
  <si>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</si>
  <si>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</si>
  <si>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</si>
  <si>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</si>
  <si>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</si>
  <si>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</si>
  <si>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</si>
  <si>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</si>
  <si>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</si>
  <si>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</si>
  <si>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</si>
  <si>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</si>
  <si>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</si>
  <si>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</si>
  <si>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</si>
  <si>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</si>
  <si>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</si>
  <si>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</si>
  <si>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</si>
  <si>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</si>
  <si>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</si>
  <si>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</si>
  <si>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</si>
  <si>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</si>
  <si>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</si>
  <si>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</si>
  <si>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</si>
  <si>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</si>
  <si>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</si>
  <si>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</si>
  <si>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</si>
  <si>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</si>
  <si>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</si>
  <si>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</si>
  <si>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</si>
  <si>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</si>
  <si>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</si>
  <si>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</si>
  <si>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</si>
  <si>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</si>
  <si>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</si>
  <si>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</si>
  <si>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</si>
  <si>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</si>
  <si>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</si>
  <si>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</si>
  <si>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</si>
  <si>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</si>
  <si>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</si>
  <si>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</si>
  <si>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</si>
  <si>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</si>
  <si>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</si>
  <si>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</si>
  <si>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</si>
  <si>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</si>
  <si>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</si>
  <si>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</si>
  <si>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</si>
  <si>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</si>
  <si>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</si>
  <si>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</si>
  <si>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</si>
  <si>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</si>
  <si>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</si>
  <si>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</si>
  <si>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</si>
  <si>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</si>
  <si>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</si>
  <si>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</si>
  <si>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</si>
  <si>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</si>
  <si>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</si>
  <si>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</si>
  <si>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</si>
  <si>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</si>
  <si>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</si>
  <si>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</si>
  <si>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</si>
  <si>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</si>
  <si>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</si>
  <si>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</si>
  <si>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</si>
  <si>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</si>
  <si>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</si>
  <si>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</si>
  <si>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</si>
  <si>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</si>
  <si>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</si>
  <si>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</si>
  <si>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</si>
  <si>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</si>
  <si>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</si>
  <si>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</si>
  <si>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</si>
  <si>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</si>
  <si>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</si>
  <si>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</si>
  <si>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</si>
  <si>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</si>
  <si>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</si>
  <si>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</si>
  <si>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</si>
  <si>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</si>
  <si>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</si>
  <si>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</si>
  <si>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</si>
  <si>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</si>
  <si>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</si>
  <si>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</si>
  <si>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</si>
  <si>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</si>
  <si>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</si>
  <si>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</si>
  <si>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</si>
  <si>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</si>
  <si>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</si>
  <si>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</si>
  <si>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</si>
  <si>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</si>
  <si>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</si>
  <si>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</si>
  <si>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</si>
  <si>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</si>
  <si>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</si>
  <si>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</si>
  <si>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</si>
  <si>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</si>
  <si>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</si>
  <si>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</si>
  <si>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</si>
  <si>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</si>
  <si>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</si>
  <si>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</si>
  <si>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</si>
  <si>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</si>
  <si>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</si>
  <si>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</si>
  <si>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</si>
  <si>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</si>
  <si>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</si>
  <si>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</si>
  <si>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</si>
  <si>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</si>
  <si>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</si>
  <si>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</si>
  <si>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</si>
  <si>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</si>
  <si>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</si>
  <si>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</si>
  <si>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</si>
  <si>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</si>
  <si>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</si>
  <si>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</si>
  <si>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</si>
  <si>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</si>
  <si>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</si>
  <si>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</si>
  <si>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</si>
  <si>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</si>
  <si>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</si>
  <si>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</si>
  <si>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</si>
  <si>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</si>
  <si>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</si>
  <si>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</si>
  <si>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</si>
  <si>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</si>
  <si>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</si>
  <si>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</si>
  <si>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</si>
  <si>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</si>
  <si>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</si>
  <si>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</si>
  <si>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</si>
  <si>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</si>
  <si>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</si>
  <si>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</si>
  <si>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</si>
  <si>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</si>
  <si>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</si>
  <si>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</si>
  <si>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</si>
  <si>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</si>
  <si>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</si>
  <si>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</si>
  <si>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</si>
  <si>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</si>
  <si>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</si>
  <si>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</si>
  <si>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</si>
  <si>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</si>
  <si>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</si>
  <si>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</si>
  <si>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</si>
  <si>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</si>
  <si>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</si>
  <si>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</si>
  <si>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</si>
  <si>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</si>
  <si>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</si>
  <si>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</si>
  <si>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</si>
  <si>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</si>
  <si>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</si>
  <si>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</si>
  <si>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</si>
  <si>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</si>
  <si>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</si>
  <si>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</si>
  <si>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</si>
  <si>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</si>
  <si>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</si>
  <si>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</si>
  <si>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</si>
  <si>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</si>
  <si>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</si>
  <si>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</si>
  <si>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</si>
  <si>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</si>
  <si>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</si>
  <si>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</si>
  <si>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</si>
  <si>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</si>
  <si>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</si>
  <si>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</si>
  <si>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</si>
  <si>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</si>
  <si>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</si>
  <si>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</si>
  <si>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</si>
  <si>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</si>
  <si>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</si>
  <si>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</si>
  <si>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</si>
  <si>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</si>
  <si>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</si>
  <si>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</si>
  <si>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</si>
  <si>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</si>
  <si>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</si>
  <si>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</si>
  <si>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</si>
  <si>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</si>
  <si>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</si>
  <si>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</si>
  <si>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</si>
  <si>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</si>
  <si>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</si>
  <si>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</si>
  <si>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</si>
  <si>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</si>
  <si>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</si>
  <si>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</si>
  <si>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</si>
  <si>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</si>
  <si>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</si>
  <si>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</si>
  <si>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</si>
  <si>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</si>
  <si>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</si>
  <si>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</si>
  <si>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</si>
  <si>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</si>
  <si>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</si>
  <si>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</si>
  <si>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</si>
  <si>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</si>
  <si>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</si>
  <si>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</si>
  <si>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</si>
  <si>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</si>
  <si>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</si>
  <si>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</si>
  <si>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</si>
  <si>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</si>
  <si>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</si>
  <si>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</si>
  <si>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</si>
  <si>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</si>
  <si>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</si>
  <si>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</si>
  <si>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</si>
  <si>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</si>
  <si>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</si>
  <si>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</si>
  <si>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</si>
  <si>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</si>
  <si>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</si>
  <si>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</si>
  <si>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</si>
  <si>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</si>
  <si>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</si>
  <si>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</si>
  <si>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</si>
  <si>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</si>
  <si>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</si>
  <si>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</si>
  <si>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</si>
  <si>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</si>
  <si>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</si>
  <si>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</si>
  <si>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</si>
  <si>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</si>
  <si>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</si>
  <si>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</si>
  <si>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</si>
  <si>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</si>
  <si>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</si>
  <si>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</si>
  <si>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</si>
  <si>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</si>
  <si>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</si>
  <si>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</si>
  <si>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</si>
  <si>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</si>
  <si>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</si>
  <si>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</si>
  <si>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</si>
  <si>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</si>
  <si>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</si>
  <si>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</si>
  <si>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</si>
  <si>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</si>
  <si>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</si>
  <si>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</si>
  <si>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</si>
  <si>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</si>
  <si>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</si>
  <si>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</si>
  <si>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</si>
  <si>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</si>
  <si>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</si>
  <si>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</si>
  <si>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</si>
  <si>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</si>
  <si>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</si>
  <si>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</si>
  <si>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</si>
  <si>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</si>
  <si>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</si>
  <si>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</si>
  <si>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</si>
  <si>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</si>
  <si>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</si>
  <si>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</si>
  <si>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</si>
  <si>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</si>
  <si>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</si>
  <si>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</si>
  <si>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</si>
  <si>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</si>
  <si>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</si>
  <si>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</si>
  <si>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21 - CURVA ABC DE SERVIÇOS - SERVIÇOS EVENTUAIS</t>
  </si>
  <si>
    <t>Banco</t>
  </si>
  <si>
    <t>Peso Unitário</t>
  </si>
  <si>
    <t>Peso Acumulado</t>
  </si>
  <si>
    <t>Classe</t>
  </si>
  <si>
    <t>101657</t>
  </si>
  <si>
    <t>SINAPI</t>
  </si>
  <si>
    <t>R$  737,35</t>
  </si>
  <si>
    <t>R$  20.514,22</t>
  </si>
  <si>
    <t>COT. DE MERCADO</t>
  </si>
  <si>
    <t>R$  295,33</t>
  </si>
  <si>
    <t>R$  18.310,61</t>
  </si>
  <si>
    <t>R$  15.061,95</t>
  </si>
  <si>
    <t>R$  1.057,21</t>
  </si>
  <si>
    <t>R$  13.575,34</t>
  </si>
  <si>
    <t>R$  127,61</t>
  </si>
  <si>
    <t>R$  10.208,84</t>
  </si>
  <si>
    <t>R$  413,47</t>
  </si>
  <si>
    <t>R$  6.615,45</t>
  </si>
  <si>
    <t>R$  354,40</t>
  </si>
  <si>
    <t>R$  8.151,17</t>
  </si>
  <si>
    <t>R$  2.953,32</t>
  </si>
  <si>
    <t>R$  8.427,27</t>
  </si>
  <si>
    <t>R$  41,38</t>
  </si>
  <si>
    <t>R$  7.852,10</t>
  </si>
  <si>
    <t>R$  531,60</t>
  </si>
  <si>
    <t>R$  5.847,58</t>
  </si>
  <si>
    <t>R$  405,48</t>
  </si>
  <si>
    <t>R$  5.785,14</t>
  </si>
  <si>
    <t>R$  355,20</t>
  </si>
  <si>
    <t>R$  5.321,23</t>
  </si>
  <si>
    <t>R$  4.961,58</t>
  </si>
  <si>
    <t>R$  59,89</t>
  </si>
  <si>
    <t>R$  4.806,38</t>
  </si>
  <si>
    <t>R$  565,80</t>
  </si>
  <si>
    <t>R$  4.036,27</t>
  </si>
  <si>
    <t>R$  12,77</t>
  </si>
  <si>
    <t>R$  3.870,85</t>
  </si>
  <si>
    <t>R$  1.123,56</t>
  </si>
  <si>
    <t>R$  3.606,83</t>
  </si>
  <si>
    <t>R$  9.849,94</t>
  </si>
  <si>
    <t>R$  3.513,33</t>
  </si>
  <si>
    <t>R$  472,53</t>
  </si>
  <si>
    <t>R$  2.835,19</t>
  </si>
  <si>
    <t>R$  86,62</t>
  </si>
  <si>
    <t>R$  3.089,44</t>
  </si>
  <si>
    <t>R$  64,07</t>
  </si>
  <si>
    <t>R$  2.856,70</t>
  </si>
  <si>
    <t>ENGENHEIRO MECÂNICO COM ENCARGOS COMPLEMENTARES (REF.: ENGENHEIRO ELETRICISTA SINAPI 91677)</t>
  </si>
  <si>
    <t>R$  128,29</t>
  </si>
  <si>
    <t>R$  2.565,85</t>
  </si>
  <si>
    <t>R$  2.356,75</t>
  </si>
  <si>
    <t>R$  2.337,97</t>
  </si>
  <si>
    <t>R$  1.577,55</t>
  </si>
  <si>
    <t>R$  2.250,75</t>
  </si>
  <si>
    <t>R$  411,87</t>
  </si>
  <si>
    <t>R$  2.056,71</t>
  </si>
  <si>
    <t>R$  61,48</t>
  </si>
  <si>
    <t>R$  1.798,16</t>
  </si>
  <si>
    <t>R$  1.181,33</t>
  </si>
  <si>
    <t>R$  1.579,51</t>
  </si>
  <si>
    <t>R$  1.690,17</t>
  </si>
  <si>
    <t>R$  1.582,98</t>
  </si>
  <si>
    <t>R$  1.026,58</t>
  </si>
  <si>
    <t>R$  1.539,86</t>
  </si>
  <si>
    <t>R$  126,14</t>
  </si>
  <si>
    <t>R$  1.513,73</t>
  </si>
  <si>
    <t>ESCADA DO TIPO MARINHEIRO EM AÇO GALVANIZADO COM PROTEÇÃO</t>
  </si>
  <si>
    <t>R$  893,77</t>
  </si>
  <si>
    <t>R$  1.593,98</t>
  </si>
  <si>
    <t>R$  496,16</t>
  </si>
  <si>
    <t>R$  992,32</t>
  </si>
  <si>
    <t>R$  141,22</t>
  </si>
  <si>
    <t>R$  1.412,15</t>
  </si>
  <si>
    <t>R$  1.700,05</t>
  </si>
  <si>
    <t>R$  2.126,37</t>
  </si>
  <si>
    <t>R$  1.516,89</t>
  </si>
  <si>
    <t>R$  4.069,20</t>
  </si>
  <si>
    <t>R$  1.451,42</t>
  </si>
  <si>
    <t>R$  408,01</t>
  </si>
  <si>
    <t>R$  1.309,79</t>
  </si>
  <si>
    <t>R$  3.486,27</t>
  </si>
  <si>
    <t>R$  1.243,50</t>
  </si>
  <si>
    <t>R$  81,10</t>
  </si>
  <si>
    <t>R$  1.185,94</t>
  </si>
  <si>
    <t>R$  3.307,72</t>
  </si>
  <si>
    <t>R$  1.179,82</t>
  </si>
  <si>
    <t>R$  32,03</t>
  </si>
  <si>
    <t>R$  1.165,23</t>
  </si>
  <si>
    <t>R$  1.593,00</t>
  </si>
  <si>
    <t>R$  1.136,40</t>
  </si>
  <si>
    <t>R$  104,59</t>
  </si>
  <si>
    <t>R$  1.119,20</t>
  </si>
  <si>
    <t>R$  772,07</t>
  </si>
  <si>
    <t>R$  1.101,54</t>
  </si>
  <si>
    <t>R$  32,06</t>
  </si>
  <si>
    <t>R$  1.200,72</t>
  </si>
  <si>
    <t>R$  227,06</t>
  </si>
  <si>
    <t>R$  1.214,83</t>
  </si>
  <si>
    <t>R$  16,32</t>
  </si>
  <si>
    <t>R$  1.047,73</t>
  </si>
  <si>
    <t>R$  429,03</t>
  </si>
  <si>
    <t>R$  1.071,21</t>
  </si>
  <si>
    <t>R$  304,79</t>
  </si>
  <si>
    <t>R$  978,44</t>
  </si>
  <si>
    <t>R$  1.807,43</t>
  </si>
  <si>
    <t>R$  903,72</t>
  </si>
  <si>
    <t>R$  891,01</t>
  </si>
  <si>
    <t>R$  953,43</t>
  </si>
  <si>
    <t>R$  502,37</t>
  </si>
  <si>
    <t>R$  895,94</t>
  </si>
  <si>
    <t>R$  140,69</t>
  </si>
  <si>
    <t>R$  903,27</t>
  </si>
  <si>
    <t>R$  793,72</t>
  </si>
  <si>
    <t>R$  849,33</t>
  </si>
  <si>
    <t>R$  1.210,49</t>
  </si>
  <si>
    <t>R$  863,53</t>
  </si>
  <si>
    <t>R$  790,07</t>
  </si>
  <si>
    <t>R$  2.362,66</t>
  </si>
  <si>
    <t>R$  842,73</t>
  </si>
  <si>
    <t>APLICAÇÃO MANUAL DE PINTURA COM TINTA LÁTEX ACRÍLICA EM PAREDES, DUAS DEMÃOS. AF_06/2014</t>
  </si>
  <si>
    <t>R$  19,61</t>
  </si>
  <si>
    <t>R$  811,32</t>
  </si>
  <si>
    <t>R$  37,65</t>
  </si>
  <si>
    <t>R$  753,08</t>
  </si>
  <si>
    <t>R$  37,21</t>
  </si>
  <si>
    <t>R$  744,13</t>
  </si>
  <si>
    <t>R$  54,60</t>
  </si>
  <si>
    <t>R$  779,07</t>
  </si>
  <si>
    <t>R$  175,06</t>
  </si>
  <si>
    <t>R$  749,29</t>
  </si>
  <si>
    <t>R$  14,31</t>
  </si>
  <si>
    <t>R$  765,49</t>
  </si>
  <si>
    <t>R$  519,02</t>
  </si>
  <si>
    <t>R$  740,51</t>
  </si>
  <si>
    <t>R$  129,80</t>
  </si>
  <si>
    <t>R$  740,74</t>
  </si>
  <si>
    <t>R$  28,80</t>
  </si>
  <si>
    <t>R$  718,97</t>
  </si>
  <si>
    <t>R$  1.053,41</t>
  </si>
  <si>
    <t>R$  1.890,13</t>
  </si>
  <si>
    <t>R$  674,18</t>
  </si>
  <si>
    <t>R$  590,66</t>
  </si>
  <si>
    <t>R$  75,71</t>
  </si>
  <si>
    <t>R$  648,10</t>
  </si>
  <si>
    <t>R$  859,56</t>
  </si>
  <si>
    <t>R$  613,19</t>
  </si>
  <si>
    <t>R$  555,22</t>
  </si>
  <si>
    <t>R$  118,50</t>
  </si>
  <si>
    <t>R$  549,49</t>
  </si>
  <si>
    <t>R$  728,25</t>
  </si>
  <si>
    <t>R$  519,52</t>
  </si>
  <si>
    <t>R$  217,02</t>
  </si>
  <si>
    <t>R$  541,86</t>
  </si>
  <si>
    <t>R$  58,41</t>
  </si>
  <si>
    <t>R$  520,84</t>
  </si>
  <si>
    <t>R$  498,63</t>
  </si>
  <si>
    <t>R$  533,56</t>
  </si>
  <si>
    <t>APLICAÇÃO MANUAL DE PINTURA COM TINTA LÁTEX ACRÍLICA EM TETO, DUAS DEMÃOS. AF_06/2014</t>
  </si>
  <si>
    <t>R$  22,39</t>
  </si>
  <si>
    <t>R$  527,18</t>
  </si>
  <si>
    <t>R$  1.468,97</t>
  </si>
  <si>
    <t>R$  523,96</t>
  </si>
  <si>
    <t>EXECUÇÃO DE PASSEIO (CALÇADA) OU PISO DE CONCRETO COM CONCRETO MOLDADO IN LOCO, USINADO, ACABAMENTO CONVENCIONAL, NÃO ARMADO. AF_08/2022</t>
  </si>
  <si>
    <t>R$  735,94</t>
  </si>
  <si>
    <t>R$  525,00</t>
  </si>
  <si>
    <t>R$  14,68</t>
  </si>
  <si>
    <t>R$  523,61</t>
  </si>
  <si>
    <t>R$  179,10</t>
  </si>
  <si>
    <t>R$  511,06</t>
  </si>
  <si>
    <t>R$  180,95</t>
  </si>
  <si>
    <t>R$  516,32</t>
  </si>
  <si>
    <t>R$  320,41</t>
  </si>
  <si>
    <t>R$  457,14</t>
  </si>
  <si>
    <t>R$  63,90</t>
  </si>
  <si>
    <t>R$  524,24</t>
  </si>
  <si>
    <t>R$  106,20</t>
  </si>
  <si>
    <t>R$  492,45</t>
  </si>
  <si>
    <t>ENGATE FLEXÍVEL EM INOX, 1/2 X 40CM - FORNECIMENTO E INSTALAÇÃO. AF_01/2020</t>
  </si>
  <si>
    <t>R$  118,47</t>
  </si>
  <si>
    <t>R$  464,81</t>
  </si>
  <si>
    <t>R$  198,78</t>
  </si>
  <si>
    <t>R$  496,31</t>
  </si>
  <si>
    <t>R$  238,11</t>
  </si>
  <si>
    <t>R$  424,65</t>
  </si>
  <si>
    <t>R$  621,86</t>
  </si>
  <si>
    <t>R$  443,62</t>
  </si>
  <si>
    <t>R$  1.165,26</t>
  </si>
  <si>
    <t>R$  415,63</t>
  </si>
  <si>
    <t>R$  17,38</t>
  </si>
  <si>
    <t>R$  378,22</t>
  </si>
  <si>
    <t>R$  38,62</t>
  </si>
  <si>
    <t>R$  386,18</t>
  </si>
  <si>
    <t>R$  37,42</t>
  </si>
  <si>
    <t>R$  374,16</t>
  </si>
  <si>
    <t>R$  370,70</t>
  </si>
  <si>
    <t>R$  396,67</t>
  </si>
  <si>
    <t>R$  7,43</t>
  </si>
  <si>
    <t>R$  397,56</t>
  </si>
  <si>
    <t>R$  36,93</t>
  </si>
  <si>
    <t>R$  369,31</t>
  </si>
  <si>
    <t>R$  185,82</t>
  </si>
  <si>
    <t>R$  371,64</t>
  </si>
  <si>
    <t>R$  36,31</t>
  </si>
  <si>
    <t>R$  363,11</t>
  </si>
  <si>
    <t>R$  1.059,99</t>
  </si>
  <si>
    <t>R$  378,08</t>
  </si>
  <si>
    <t>R$  261,70</t>
  </si>
  <si>
    <t>R$  373,38</t>
  </si>
  <si>
    <t>R$  103,18</t>
  </si>
  <si>
    <t>R$  368,03</t>
  </si>
  <si>
    <t>R$  60,93</t>
  </si>
  <si>
    <t>R$  369,45</t>
  </si>
  <si>
    <t>R$  34,49</t>
  </si>
  <si>
    <t>R$  344,89</t>
  </si>
  <si>
    <t>R$  24,24</t>
  </si>
  <si>
    <t>R$  363,18</t>
  </si>
  <si>
    <t>R$  248,95</t>
  </si>
  <si>
    <t>R$  355,19</t>
  </si>
  <si>
    <t>R$  506,08</t>
  </si>
  <si>
    <t>R$  361,02</t>
  </si>
  <si>
    <t>R$  159,77</t>
  </si>
  <si>
    <t>R$  341,92</t>
  </si>
  <si>
    <t>R$  493,25</t>
  </si>
  <si>
    <t>R$  351,87</t>
  </si>
  <si>
    <t>R$  192,66</t>
  </si>
  <si>
    <t>R$  343,59</t>
  </si>
  <si>
    <t>R$  74,21</t>
  </si>
  <si>
    <t>R$  344,11</t>
  </si>
  <si>
    <t>R$  23,06</t>
  </si>
  <si>
    <t>R$  337,16</t>
  </si>
  <si>
    <t>R$  158,61</t>
  </si>
  <si>
    <t>R$  317,21</t>
  </si>
  <si>
    <t>R$  970,80</t>
  </si>
  <si>
    <t>R$  346,27</t>
  </si>
  <si>
    <t>R$  431,78</t>
  </si>
  <si>
    <t>R$  308,02</t>
  </si>
  <si>
    <t>HASTE DE ATERRAMENTO 5/8 PARA SPDA - FORNECIMENTO E INSTALAÇÃO. AF_12/2017</t>
  </si>
  <si>
    <t>R$  108,03</t>
  </si>
  <si>
    <t>R$  308,25</t>
  </si>
  <si>
    <t>R$  87,59</t>
  </si>
  <si>
    <t>R$  312,43</t>
  </si>
  <si>
    <t>R$  86,45</t>
  </si>
  <si>
    <t>R$  308,34</t>
  </si>
  <si>
    <t>R$  163,67</t>
  </si>
  <si>
    <t>R$  291,90</t>
  </si>
  <si>
    <t>R$  406,35</t>
  </si>
  <si>
    <t>R$  289,88</t>
  </si>
  <si>
    <t>R$  406,16</t>
  </si>
  <si>
    <t>R$  289,75</t>
  </si>
  <si>
    <t>R$  780,37</t>
  </si>
  <si>
    <t>R$  278,35</t>
  </si>
  <si>
    <t>R$  33,67</t>
  </si>
  <si>
    <t>R$  276,20</t>
  </si>
  <si>
    <t>R$  386,19</t>
  </si>
  <si>
    <t>R$  275,50</t>
  </si>
  <si>
    <t>R$  248,33</t>
  </si>
  <si>
    <t>R$  265,73</t>
  </si>
  <si>
    <t>R$  237,91</t>
  </si>
  <si>
    <t>R$  232,85</t>
  </si>
  <si>
    <t>R$  249,16</t>
  </si>
  <si>
    <t>R$  34,52</t>
  </si>
  <si>
    <t>R$  246,27</t>
  </si>
  <si>
    <t>R$  30,09</t>
  </si>
  <si>
    <t>R$  246,82</t>
  </si>
  <si>
    <t>CABO DE COBRE FLEXÍVEL ISOLADO, 4 MM², ANTI-CHAMA 0,6/1,0 KV, PARA CIRCUITOS TERMINAIS - FORNECIMENTO E INSTALAÇÃO. AF_12/2015</t>
  </si>
  <si>
    <t>R$  8,34</t>
  </si>
  <si>
    <t>R$  237,90</t>
  </si>
  <si>
    <t>R$  110,31</t>
  </si>
  <si>
    <t>R$  236,07</t>
  </si>
  <si>
    <t>REVESTIMENTO CERÂMICO PARA PAREDES EXTERNAS EM PASTILHAS DE PORCELANA 2,5 X 2,5 CM (PLACAS DE 30 X 30 CM), ALINHADAS A PRUMO, APLICADO EM PANOS SEM VÃOS. AF_10/2014</t>
  </si>
  <si>
    <t>R$  342,97</t>
  </si>
  <si>
    <t>R$  244,66</t>
  </si>
  <si>
    <t>R$  659,06</t>
  </si>
  <si>
    <t>R$  235,08</t>
  </si>
  <si>
    <t>R$  325,99</t>
  </si>
  <si>
    <t>R$  232,55</t>
  </si>
  <si>
    <t>R$  158,29</t>
  </si>
  <si>
    <t>R$  225,85</t>
  </si>
  <si>
    <t>R$  309,84</t>
  </si>
  <si>
    <t>R$  221,03</t>
  </si>
  <si>
    <t>R$  25,02</t>
  </si>
  <si>
    <t>R$  214,20</t>
  </si>
  <si>
    <t>R$  523,16</t>
  </si>
  <si>
    <t>R$  186,60</t>
  </si>
  <si>
    <t>R$  38,68</t>
  </si>
  <si>
    <t>R$  193,42</t>
  </si>
  <si>
    <t>R$  555,76</t>
  </si>
  <si>
    <t>R$  198,23</t>
  </si>
  <si>
    <t>R$  114,49</t>
  </si>
  <si>
    <t>R$  204,18</t>
  </si>
  <si>
    <t>R$  93,26</t>
  </si>
  <si>
    <t>R$  199,60</t>
  </si>
  <si>
    <t>R$  492,84</t>
  </si>
  <si>
    <t>R$  175,79</t>
  </si>
  <si>
    <t>R$  534,83</t>
  </si>
  <si>
    <t>R$  190,77</t>
  </si>
  <si>
    <t>R$  171,29</t>
  </si>
  <si>
    <t>R$  183,29</t>
  </si>
  <si>
    <t>R$  52,91</t>
  </si>
  <si>
    <t>R$  188,71</t>
  </si>
  <si>
    <t>R$  101,84</t>
  </si>
  <si>
    <t>R$  181,63</t>
  </si>
  <si>
    <t>R$  53,65</t>
  </si>
  <si>
    <t>R$  172,24</t>
  </si>
  <si>
    <t>R$  166,79</t>
  </si>
  <si>
    <t>R$  178,47</t>
  </si>
  <si>
    <t>R$  15,44</t>
  </si>
  <si>
    <t>R$  170,72</t>
  </si>
  <si>
    <t>TOMADA BAIXA DE EMBUTIR (2 MÓDULOS), 2P+T 10 A, INCLUINDO SUPORTE E PLACA - FORNECIMENTO E INSTALAÇÃO. AF_12/2015</t>
  </si>
  <si>
    <t>R$  60,34</t>
  </si>
  <si>
    <t>R$  172,18</t>
  </si>
  <si>
    <t>R$  456,50</t>
  </si>
  <si>
    <t>R$  162,83</t>
  </si>
  <si>
    <t>R$  468,24</t>
  </si>
  <si>
    <t>R$  167,01</t>
  </si>
  <si>
    <t>CABO DE COBRE FLEXÍVEL ISOLADO, 4 MM², ANTI-CHAMA 450/750 V, PARA CIRCUITOS TERMINAIS - FORNECIMENTO E INSTALAÇÃO. AF_12/2015</t>
  </si>
  <si>
    <t>R$  7,84</t>
  </si>
  <si>
    <t>R$  167,81</t>
  </si>
  <si>
    <t>R$  466,60</t>
  </si>
  <si>
    <t>R$  166,43</t>
  </si>
  <si>
    <t>R$  156,82</t>
  </si>
  <si>
    <t>R$  101,81</t>
  </si>
  <si>
    <t>R$  145,26</t>
  </si>
  <si>
    <t>R$  71,79</t>
  </si>
  <si>
    <t>R$  153,64</t>
  </si>
  <si>
    <t>R$  296,69</t>
  </si>
  <si>
    <t>R$  148,34</t>
  </si>
  <si>
    <t>SIFÃO DO TIPO FLEXÍVEL EM PVC 1 X 1.1/2 - FORNECIMENTO E INSTALAÇÃO. AF_01/2020</t>
  </si>
  <si>
    <t>R$  14,80</t>
  </si>
  <si>
    <t>R$  153,10</t>
  </si>
  <si>
    <t>CABO DE COBRE FLEXÍVEL ISOLADO, 2,5 MM², ANTI-CHAMA 450/750 V, PARA CIRCUITOS TERMINAIS - FORNECIMENTO E INSTALAÇÃO. AF_12/2015</t>
  </si>
  <si>
    <t>R$  5,16</t>
  </si>
  <si>
    <t>R$  150,80</t>
  </si>
  <si>
    <t>R$  124,16</t>
  </si>
  <si>
    <t>R$  132,85</t>
  </si>
  <si>
    <t>R$  405,39</t>
  </si>
  <si>
    <t>R$  144,60</t>
  </si>
  <si>
    <t>R$  375,02</t>
  </si>
  <si>
    <t>R$  133,76</t>
  </si>
  <si>
    <t>R$  129,45</t>
  </si>
  <si>
    <t>R$  138,52</t>
  </si>
  <si>
    <t>R$  31,92</t>
  </si>
  <si>
    <t>R$  136,63</t>
  </si>
  <si>
    <t>R$  93,94</t>
  </si>
  <si>
    <t>R$  134,03</t>
  </si>
  <si>
    <t>R$  372,83</t>
  </si>
  <si>
    <t>R$  132,98</t>
  </si>
  <si>
    <t>R$  141,80</t>
  </si>
  <si>
    <t>R$  338,82</t>
  </si>
  <si>
    <t>R$  120,85</t>
  </si>
  <si>
    <t>R$  115,96</t>
  </si>
  <si>
    <t>R$  124,08</t>
  </si>
  <si>
    <t>R$  346,44</t>
  </si>
  <si>
    <t>R$  123,57</t>
  </si>
  <si>
    <t>R$  154,09</t>
  </si>
  <si>
    <t>R$  109,92</t>
  </si>
  <si>
    <t>R$  48,68</t>
  </si>
  <si>
    <t>R$  121,55</t>
  </si>
  <si>
    <t>R$  41,85</t>
  </si>
  <si>
    <t>R$  119,43</t>
  </si>
  <si>
    <t>R$  31,89</t>
  </si>
  <si>
    <t>R$  113,75</t>
  </si>
  <si>
    <t>R$  147,81</t>
  </si>
  <si>
    <t>R$  105,45</t>
  </si>
  <si>
    <t>R$  21,88</t>
  </si>
  <si>
    <t>R$  109,25</t>
  </si>
  <si>
    <t>R$  153,18</t>
  </si>
  <si>
    <t>R$  109,28</t>
  </si>
  <si>
    <t>R$  75,64</t>
  </si>
  <si>
    <t>R$  107,91</t>
  </si>
  <si>
    <t>R$  145,11</t>
  </si>
  <si>
    <t>R$  103,51</t>
  </si>
  <si>
    <t>CABO DE COBRE FLEXÍVEL ISOLADO, 2,5 MM², ANTI-CHAMA 0,6/1,0 KV, PARA CIRCUITOS TERMINAIS - FORNECIMENTO E INSTALAÇÃO. AF_12/2015</t>
  </si>
  <si>
    <t>R$  5,73</t>
  </si>
  <si>
    <t>R$  102,28</t>
  </si>
  <si>
    <t>R$  39,59</t>
  </si>
  <si>
    <t>R$  98,85</t>
  </si>
  <si>
    <t>KIT DE REGISTRO DE PRESSÃO BRUTO DE LATÃO ½", INCLUSIVE CONEXÕES, ROSCÁVEL, INSTALADO EM RAMAL DE ÁGUA FRIA - FORNECIMENTO E INSTALAÇÃO. AF_12/2014</t>
  </si>
  <si>
    <t>R$  53,58</t>
  </si>
  <si>
    <t>R$  95,56</t>
  </si>
  <si>
    <t>R$  24,61</t>
  </si>
  <si>
    <t>R$  87,79</t>
  </si>
  <si>
    <t>TUBO, PPR, DN 20, CLASSE PN 20, INSTALADO EM RESERVAÇÃO DE ÁGUA DE EDIFICAÇÃO QUE POSSUA RESERVATÓRIO DE FIBRA/FIBROCIMENTO _x0096_ FORNECIMENTO E INSTALAÇÃO. AF_06/2016</t>
  </si>
  <si>
    <t>R$  13,71</t>
  </si>
  <si>
    <t>R$  97,82</t>
  </si>
  <si>
    <t>R$  257,62</t>
  </si>
  <si>
    <t>R$  91,89</t>
  </si>
  <si>
    <t>R$  121,40</t>
  </si>
  <si>
    <t>R$  86,60</t>
  </si>
  <si>
    <t>R$  41,19</t>
  </si>
  <si>
    <t>R$  88,16</t>
  </si>
  <si>
    <t>R$  122,00</t>
  </si>
  <si>
    <t>R$  87,03</t>
  </si>
  <si>
    <t>R$  60,73</t>
  </si>
  <si>
    <t>R$  86,65</t>
  </si>
  <si>
    <t>R$  33,51</t>
  </si>
  <si>
    <t>R$  83,66</t>
  </si>
  <si>
    <t>R$  110,64</t>
  </si>
  <si>
    <t>R$  78,93</t>
  </si>
  <si>
    <t>R$  74,22</t>
  </si>
  <si>
    <t>R$  79,42</t>
  </si>
  <si>
    <t>R$  54,72</t>
  </si>
  <si>
    <t>R$  78,07</t>
  </si>
  <si>
    <t>R$  195,17</t>
  </si>
  <si>
    <t>R$  69,62</t>
  </si>
  <si>
    <t>R$  2,16</t>
  </si>
  <si>
    <t>R$  77,11</t>
  </si>
  <si>
    <t>R$  73,12</t>
  </si>
  <si>
    <t>R$  78,24</t>
  </si>
  <si>
    <t>R$  91,28</t>
  </si>
  <si>
    <t>R$  65,12</t>
  </si>
  <si>
    <t>R$  34,06</t>
  </si>
  <si>
    <t>R$  72,89</t>
  </si>
  <si>
    <t>R$  64,09</t>
  </si>
  <si>
    <t>R$  68,58</t>
  </si>
  <si>
    <t>TOMADA BAIXA DE EMBUTIR (2 MÓDULOS), 2P+T 20 A, INCLUINDO SUPORTE E PLACA - FORNECIMENTO E INSTALAÇÃO. AF_12/2015</t>
  </si>
  <si>
    <t>R$  66,36</t>
  </si>
  <si>
    <t>R$  71,01</t>
  </si>
  <si>
    <t>R$  20,39</t>
  </si>
  <si>
    <t>R$  72,74</t>
  </si>
  <si>
    <t>R$  24,29</t>
  </si>
  <si>
    <t>R$  69,31</t>
  </si>
  <si>
    <t>R$  63,36</t>
  </si>
  <si>
    <t>R$  67,80</t>
  </si>
  <si>
    <t>R$  94,73</t>
  </si>
  <si>
    <t>R$  67,58</t>
  </si>
  <si>
    <t>R$  180,47</t>
  </si>
  <si>
    <t>R$  64,37</t>
  </si>
  <si>
    <t>R$  45,48</t>
  </si>
  <si>
    <t>R$  64,88</t>
  </si>
  <si>
    <t>R$  43,60</t>
  </si>
  <si>
    <t>R$  62,20</t>
  </si>
  <si>
    <t>R$  167,52</t>
  </si>
  <si>
    <t>R$  59,75</t>
  </si>
  <si>
    <t>R$  180,10</t>
  </si>
  <si>
    <t>R$  64,24</t>
  </si>
  <si>
    <t>TEXTURA ACRÍLICA, APLICAÇÃO MANUAL EM PAREDE, UMA DEMÃO. AF_09/2016</t>
  </si>
  <si>
    <t>R$  17,82</t>
  </si>
  <si>
    <t>R$  63,55</t>
  </si>
  <si>
    <t>TOMADA MÉDIA DE EMBUTIR (1 MÓDULO), 2P+T 20 A, SEM SUPORTE E SEM PLACA - FORNECIMENTO E INSTALAÇÃO. AF_12/2015</t>
  </si>
  <si>
    <t>R$  34,90</t>
  </si>
  <si>
    <t>R$  62,25</t>
  </si>
  <si>
    <t>R$  43,04</t>
  </si>
  <si>
    <t>R$  61,41</t>
  </si>
  <si>
    <t>R$  57,03</t>
  </si>
  <si>
    <t>R$  61,02</t>
  </si>
  <si>
    <t>R$  55,25</t>
  </si>
  <si>
    <t>R$  59,12</t>
  </si>
  <si>
    <t>TOMADA BAIXA DE EMBUTIR (1 MÓDULO), 2P+T 20 A, INCLUINDO SUPORTE E PLACA - FORNECIMENTO E INSTALAÇÃO. AF_12/2015</t>
  </si>
  <si>
    <t>R$  40,65</t>
  </si>
  <si>
    <t>R$  57,99</t>
  </si>
  <si>
    <t>R$  26,80</t>
  </si>
  <si>
    <t>R$  57,35</t>
  </si>
  <si>
    <t>R$  17,11</t>
  </si>
  <si>
    <t>R$  54,94</t>
  </si>
  <si>
    <t>R$  51,59</t>
  </si>
  <si>
    <t>R$  55,20</t>
  </si>
  <si>
    <t>R$  14,28</t>
  </si>
  <si>
    <t>R$  45,84</t>
  </si>
  <si>
    <t>R$  144,33</t>
  </si>
  <si>
    <t>R$  51,48</t>
  </si>
  <si>
    <t>R$  140,86</t>
  </si>
  <si>
    <t>R$  50,24</t>
  </si>
  <si>
    <t>R$  139,29</t>
  </si>
  <si>
    <t>R$  49,68</t>
  </si>
  <si>
    <t>R$  13,89</t>
  </si>
  <si>
    <t>R$  49,55</t>
  </si>
  <si>
    <t>KIT CHASSI PEX, PRÉ-FABRICADO, PARA COZINHA COM CUBA SIMPLES E CONEXÕES POR CRIMPAGEM _x0096_ FORNECIMENTO E INSTALAÇÃO. AF_06/2015</t>
  </si>
  <si>
    <t>R$  145,06</t>
  </si>
  <si>
    <t>R$  51,74</t>
  </si>
  <si>
    <t>R$  136,08</t>
  </si>
  <si>
    <t>R$  48,54</t>
  </si>
  <si>
    <t>R$  132,37</t>
  </si>
  <si>
    <t>R$  47,21</t>
  </si>
  <si>
    <t>R$  132,94</t>
  </si>
  <si>
    <t>R$  47,42</t>
  </si>
  <si>
    <t>R$  68,78</t>
  </si>
  <si>
    <t>R$  49,06</t>
  </si>
  <si>
    <t>R$  31,71</t>
  </si>
  <si>
    <t>R$  45,24</t>
  </si>
  <si>
    <t>R$  41,12</t>
  </si>
  <si>
    <t>R$  44,00</t>
  </si>
  <si>
    <t>R$  122,18</t>
  </si>
  <si>
    <t>R$  43,58</t>
  </si>
  <si>
    <t>R$  122,04</t>
  </si>
  <si>
    <t>R$  43,53</t>
  </si>
  <si>
    <t>R$  43,26</t>
  </si>
  <si>
    <t>R$  46,29</t>
  </si>
  <si>
    <t>R$  17,28</t>
  </si>
  <si>
    <t>R$  43,14</t>
  </si>
  <si>
    <t>R$  59,47</t>
  </si>
  <si>
    <t>R$  42,42</t>
  </si>
  <si>
    <t>R$  56,00</t>
  </si>
  <si>
    <t>R$  39,95</t>
  </si>
  <si>
    <t>INTERRUPTOR SIMPLES (3 MÓDULOS) COM INTERRUPTOR PARALELO (1 MÓDULO), 10A/250V, INCLUINDO SUPORTE E PLACA - FORNECIMENTO E INSTALAÇÃO. AF_12/2015</t>
  </si>
  <si>
    <t>R$  113,26</t>
  </si>
  <si>
    <t>R$  40,40</t>
  </si>
  <si>
    <t>R$  56,73</t>
  </si>
  <si>
    <t>R$  40,47</t>
  </si>
  <si>
    <t>INTERRUPTOR SIMPLES (1 MÓDULO), 10A/250V, INCLUINDO SUPORTE E PLACA - FORNECIMENTO E INSTALAÇÃO. AF_12/2015</t>
  </si>
  <si>
    <t>R$  35,64</t>
  </si>
  <si>
    <t>R$  38,14</t>
  </si>
  <si>
    <t>R$  35,25</t>
  </si>
  <si>
    <t>R$  37,72</t>
  </si>
  <si>
    <t>R$  2,60</t>
  </si>
  <si>
    <t>R$  37,08</t>
  </si>
  <si>
    <t>R$  33,83</t>
  </si>
  <si>
    <t>R$  36,20</t>
  </si>
  <si>
    <t>INTERRUPTOR SIMPLES (1 MÓDULO), 10A/250V, SEM SUPORTE E SEM PLACA - FORNECIMENTO E INSTALAÇÃO. AF_12/2015</t>
  </si>
  <si>
    <t>R$  24,90</t>
  </si>
  <si>
    <t>R$  35,52</t>
  </si>
  <si>
    <t>R$  90,58</t>
  </si>
  <si>
    <t>R$  32,31</t>
  </si>
  <si>
    <t>R$  15,06</t>
  </si>
  <si>
    <t>R$  32,23</t>
  </si>
  <si>
    <t>R$  93,58</t>
  </si>
  <si>
    <t>R$  33,38</t>
  </si>
  <si>
    <t>R$  12,41</t>
  </si>
  <si>
    <t>R$  30,99</t>
  </si>
  <si>
    <t>R$  87,00</t>
  </si>
  <si>
    <t>R$  31,03</t>
  </si>
  <si>
    <t>R$  85,50</t>
  </si>
  <si>
    <t>R$  30,50</t>
  </si>
  <si>
    <t>R$  10,70</t>
  </si>
  <si>
    <t>R$  30,53</t>
  </si>
  <si>
    <t>R$  10,55</t>
  </si>
  <si>
    <t>R$  30,12</t>
  </si>
  <si>
    <t>TOMADA BAIXA DE EMBUTIR (3 MÓDULOS), 2P+T 10 A, INCLUINDO SUPORTE E PLACA - FORNECIMENTO E INSTALAÇÃO. AF_12/2015</t>
  </si>
  <si>
    <t>R$  83,05</t>
  </si>
  <si>
    <t>R$  29,62</t>
  </si>
  <si>
    <t>R$  20,60</t>
  </si>
  <si>
    <t>R$  29,39</t>
  </si>
  <si>
    <t>R$  8,11</t>
  </si>
  <si>
    <t>R$  28,93</t>
  </si>
  <si>
    <t>INTERRUPTOR PULSADOR MINUTERIA (1 MÓDULO), 10A/250V, INCLUINDO SUPORTE E PLACA - FORNECIMENTO E INSTALAÇÃO. AF_09/2017</t>
  </si>
  <si>
    <t>R$  39,68</t>
  </si>
  <si>
    <t>R$  28,31</t>
  </si>
  <si>
    <t>APLICAÇÃO MANUAL DE GESSO DESEMPENADO (SEM TALISCAS) EM PAREDES DE AMBIENTES DE ÁREA MENOR QUE 5M², ESPESSURA DE 1,0CM. AF_06/2014</t>
  </si>
  <si>
    <t>R$  36,67</t>
  </si>
  <si>
    <t>R$  26,16</t>
  </si>
  <si>
    <t>R$  65,85</t>
  </si>
  <si>
    <t>R$  23,49</t>
  </si>
  <si>
    <t>R$  1,76</t>
  </si>
  <si>
    <t>R$  25,11</t>
  </si>
  <si>
    <t>APLICAÇÃO MANUAL DE GESSO DESEMPENADO (SEM TALISCAS) EM TETO DE AMBIENTES DE ÁREA MAIOR QUE 10M², ESPESSURA DE 0,5CM. AF_06/2014</t>
  </si>
  <si>
    <t>R$  21,41</t>
  </si>
  <si>
    <t>R$  22,91</t>
  </si>
  <si>
    <t>R$  30,62</t>
  </si>
  <si>
    <t>R$  21,84</t>
  </si>
  <si>
    <t>R$  68,03</t>
  </si>
  <si>
    <t>R$  24,26</t>
  </si>
  <si>
    <t>R$  60,21</t>
  </si>
  <si>
    <t>R$  21,48</t>
  </si>
  <si>
    <t>R$  27,79</t>
  </si>
  <si>
    <t>R$  19,82</t>
  </si>
  <si>
    <t>R$  27,20</t>
  </si>
  <si>
    <t>R$  19,40</t>
  </si>
  <si>
    <t>R$  50,33</t>
  </si>
  <si>
    <t>R$  17,95</t>
  </si>
  <si>
    <t>LUVA PARA ELETRODUTO, PVC, ROSCÁVEL, DN 25 MM (3/4"), PARA CIRCUITOS TERMINAIS, INSTALADA EM PAREDE - FORNECIMENTO E INSTALAÇÃO. AF_12/2015</t>
  </si>
  <si>
    <t>R$  12,92</t>
  </si>
  <si>
    <t>R$  18,44</t>
  </si>
  <si>
    <t>R$  8,51</t>
  </si>
  <si>
    <t>R$  18,22</t>
  </si>
  <si>
    <t>R$  50,03</t>
  </si>
  <si>
    <t>R$  17,84</t>
  </si>
  <si>
    <t>R$  17,31</t>
  </si>
  <si>
    <t>R$  16,03</t>
  </si>
  <si>
    <t>R$  17,15</t>
  </si>
  <si>
    <t>R$  24,60</t>
  </si>
  <si>
    <t>R$  17,55</t>
  </si>
  <si>
    <t>TOMADA MÉDIA DE EMBUTIR (1 MÓDULO), 2P+T 20 A, INCLUINDO SUPORTE E PLACA - FORNECIMENTO E INSTALAÇÃO. AF_12/2015</t>
  </si>
  <si>
    <t>R$  45,65</t>
  </si>
  <si>
    <t>R$  16,28</t>
  </si>
  <si>
    <t>INTERRUPTOR SIMPLES (2 MÓDULOS), 10A/250V, SEM SUPORTE E SEM PLACA - FORNECIMENTO E INSTALAÇÃO. AF_12/2015</t>
  </si>
  <si>
    <t>R$  45,68</t>
  </si>
  <si>
    <t>R$  16,30</t>
  </si>
  <si>
    <t>R$  14,69</t>
  </si>
  <si>
    <t>R$  10,12</t>
  </si>
  <si>
    <t>R$  14,43</t>
  </si>
  <si>
    <t>R$  16,73</t>
  </si>
  <si>
    <t>R$  11,93</t>
  </si>
  <si>
    <t>R$  15,95</t>
  </si>
  <si>
    <t>R$  11,38</t>
  </si>
  <si>
    <t>R$  30,97</t>
  </si>
  <si>
    <t>R$  11,05</t>
  </si>
  <si>
    <t>R$  7,72</t>
  </si>
  <si>
    <t>R$  11,02</t>
  </si>
  <si>
    <t>R$  13,66</t>
  </si>
  <si>
    <t>R$  9,75</t>
  </si>
  <si>
    <t>CAIXA RETANGULAR 4" X 4" MÉDIA (1,30 M DO PISO), METÁLICA, INSTALADA EM PAREDE - FORNECIMENTO E INSTALAÇÃO. AF_12/2015</t>
  </si>
  <si>
    <t>R$  25,73</t>
  </si>
  <si>
    <t>R$  9,18</t>
  </si>
  <si>
    <t>R$  26,39</t>
  </si>
  <si>
    <t>R$  9,41</t>
  </si>
  <si>
    <t>R$  2,41</t>
  </si>
  <si>
    <t>R$  6,03</t>
  </si>
  <si>
    <t>R$  16,25</t>
  </si>
  <si>
    <t>R$  5,80</t>
  </si>
  <si>
    <t>R$  15,50</t>
  </si>
  <si>
    <t>R$  5,53</t>
  </si>
  <si>
    <t>R$  15,07</t>
  </si>
  <si>
    <t>R$  5,38</t>
  </si>
  <si>
    <t>R$  15,28</t>
  </si>
  <si>
    <t>R$  5,45</t>
  </si>
  <si>
    <t>R$  0,65</t>
  </si>
  <si>
    <t>R$  4,67</t>
  </si>
  <si>
    <t>R$  12,32</t>
  </si>
  <si>
    <t>R$  4,39</t>
  </si>
  <si>
    <t>R$  5,62</t>
  </si>
  <si>
    <t>R$  4,01</t>
  </si>
  <si>
    <t>R$  8,35</t>
  </si>
  <si>
    <t>R$  2,98</t>
  </si>
  <si>
    <t>R$  6,83</t>
  </si>
  <si>
    <t>R$  2,44</t>
  </si>
  <si>
    <t>R$  3,21</t>
  </si>
  <si>
    <t>R$  2,29</t>
  </si>
  <si>
    <t>R$  0,15</t>
  </si>
  <si>
    <t>R$  2,19</t>
  </si>
  <si>
    <t>R$  3,29</t>
  </si>
  <si>
    <t>R$  1,17</t>
  </si>
  <si>
    <t>R$  2,03</t>
  </si>
  <si>
    <t>R$  0,72</t>
  </si>
  <si>
    <t>R$  1,71</t>
  </si>
  <si>
    <t>R$  0,61</t>
  </si>
  <si>
    <t>R$ 215.750,25</t>
  </si>
  <si>
    <t>R$ 43.714,31</t>
  </si>
  <si>
    <t>R$ 259.464,56</t>
  </si>
  <si>
    <t>CLASSE</t>
  </si>
  <si>
    <t>CORTE</t>
  </si>
  <si>
    <t>ITENS</t>
  </si>
  <si>
    <t>VALOR</t>
  </si>
  <si>
    <t>R$ 207.300,10</t>
  </si>
  <si>
    <t>R$ 26.148,70</t>
  </si>
  <si>
    <t>R$ 26.015,76</t>
  </si>
  <si>
    <r>
      <rPr>
        <rFont val="Calibri"/>
        <color theme="1"/>
        <sz val="8.0"/>
      </rPr>
      <t xml:space="preserve">SERVIÇO PÚBLICO FEDERAL
</t>
    </r>
    <r>
      <rPr>
        <rFont val="Calibri"/>
        <b/>
        <color theme="1"/>
        <sz val="8.0"/>
      </rPr>
      <t>MJSP - POLÍCIA FEDERAL</t>
    </r>
    <r>
      <rPr>
        <rFont val="Calibri"/>
        <color theme="1"/>
        <sz val="8.0"/>
      </rPr>
      <t xml:space="preserve">
GRUPO TÉCNICO DE EDIFICAÇÕES GTED/SR/PF/PR</t>
    </r>
  </si>
  <si>
    <t>22 - CURVA ABC DE INSUMOS - SERVIÇOS EVENTUAIS</t>
  </si>
  <si>
    <t>Tipo</t>
  </si>
  <si>
    <t>Serviços</t>
  </si>
  <si>
    <t>Material</t>
  </si>
  <si>
    <t>Mão de Obra</t>
  </si>
  <si>
    <t>Outros</t>
  </si>
  <si>
    <t>Equipamento para Aquisição Permanente</t>
  </si>
  <si>
    <t>Equipamento</t>
  </si>
  <si>
    <t>Taxas</t>
  </si>
  <si>
    <t>O percentual acumulado final não é igual a 100% tendo em vista os arrendondamentos e truncamentos que as quantidades e valores sofrem nas composições.</t>
  </si>
  <si>
    <t>Totais por Tipo</t>
  </si>
</sst>
</file>

<file path=xl/styles.xml><?xml version="1.0" encoding="utf-8"?>
<styleSheet xmlns="http://schemas.openxmlformats.org/spreadsheetml/2006/main" xmlns:x14ac="http://schemas.microsoft.com/office/spreadsheetml/2009/9/ac" xmlns:mc="http://schemas.openxmlformats.org/markup-compatibility/2006">
  <numFmts count="18">
    <numFmt numFmtId="164" formatCode="_([$R$ -416]* #,##0.00_);_([$R$ -416]* \(#,##0.00\);_([$R$ -416]* &quot;-&quot;??_);_(@_)"/>
    <numFmt numFmtId="165" formatCode="[$R$ -416]#,##0.00"/>
    <numFmt numFmtId="166" formatCode="&quot;R$ &quot;#,##0.00"/>
    <numFmt numFmtId="167" formatCode="&quot;R$&quot;\ #,##0.00"/>
    <numFmt numFmtId="168" formatCode="d.m"/>
    <numFmt numFmtId="169" formatCode="_-&quot;R$&quot;\ * #,##0.00_-;\-&quot;R$&quot;\ * #,##0.00_-;_-&quot;R$&quot;\ * &quot;-&quot;??_-;_-@"/>
    <numFmt numFmtId="170" formatCode="_-&quot;R$&quot;* #,##0.00_-;\-&quot;R$&quot;* #,##0.00_-;_-&quot;R$&quot;* &quot;-&quot;??_-;_-@"/>
    <numFmt numFmtId="171" formatCode="0.0%"/>
    <numFmt numFmtId="172" formatCode="&quot;R$&quot;#,##0.00"/>
    <numFmt numFmtId="173" formatCode="&quot;R$&quot;\ #,##0.00;[Red]\-&quot;R$&quot;\ #,##0.00"/>
    <numFmt numFmtId="174" formatCode="0.000%"/>
    <numFmt numFmtId="175" formatCode="0.0000%"/>
    <numFmt numFmtId="176" formatCode="d mmmm yyyy"/>
    <numFmt numFmtId="177" formatCode="0.000"/>
    <numFmt numFmtId="178" formatCode="&quot;R$&quot;\ #,##0.000"/>
    <numFmt numFmtId="179" formatCode="dd.mm.yy"/>
    <numFmt numFmtId="180" formatCode="0.0000"/>
    <numFmt numFmtId="181" formatCode="#,##0.00\ %"/>
  </numFmts>
  <fonts count="108">
    <font>
      <sz val="11.0"/>
      <color theme="1"/>
      <name val="Calibri"/>
      <scheme val="minor"/>
    </font>
    <font>
      <sz val="8.0"/>
      <color theme="1"/>
      <name val="Calibri"/>
    </font>
    <font>
      <b/>
      <sz val="18.0"/>
      <color theme="1"/>
      <name val="Oswald"/>
    </font>
    <font>
      <b/>
      <sz val="18.0"/>
      <color rgb="FF666666"/>
      <name val="Oswald"/>
    </font>
    <font>
      <sz val="12.0"/>
      <color theme="1"/>
      <name val="Calibri"/>
    </font>
    <font>
      <b/>
      <sz val="12.0"/>
      <color theme="1"/>
      <name val="Calibri"/>
    </font>
    <font/>
    <font>
      <sz val="10.0"/>
      <color theme="1"/>
      <name val="Calibri"/>
    </font>
    <font>
      <b/>
      <sz val="14.0"/>
      <color theme="1"/>
      <name val="Calibri"/>
    </font>
    <font>
      <b/>
      <sz val="12.0"/>
      <color theme="1"/>
      <name val="Calibri"/>
      <scheme val="minor"/>
    </font>
    <font>
      <b/>
      <sz val="12.0"/>
      <color rgb="FFFF0000"/>
      <name val="Calibri"/>
    </font>
    <font>
      <sz val="12.0"/>
      <color rgb="FF434343"/>
      <name val="Calibri"/>
    </font>
    <font>
      <color theme="1"/>
      <name val="Calibri"/>
      <scheme val="minor"/>
    </font>
    <font>
      <b/>
      <sz val="18.0"/>
      <color theme="1"/>
      <name val="Calibri"/>
    </font>
    <font>
      <u/>
      <sz val="12.0"/>
      <color rgb="FF0000FF"/>
      <name val="Calibri"/>
    </font>
    <font>
      <u/>
      <sz val="12.0"/>
      <color rgb="FF0000FF"/>
      <name val="Calibri"/>
    </font>
    <font>
      <u/>
      <sz val="12.0"/>
      <color rgb="FF0000FF"/>
      <name val="Calibri"/>
    </font>
    <font>
      <u/>
      <sz val="12.0"/>
      <color rgb="FF0000FF"/>
      <name val="Calibri"/>
    </font>
    <font>
      <u/>
      <sz val="11.0"/>
      <color rgb="FF0000FF"/>
      <name val="Calibri"/>
    </font>
    <font>
      <b/>
      <sz val="9.0"/>
      <color theme="1"/>
      <name val="Calibri"/>
    </font>
    <font>
      <sz val="9.0"/>
      <color theme="1"/>
      <name val="Calibri"/>
    </font>
    <font>
      <sz val="9.0"/>
      <color rgb="FFFF0000"/>
      <name val="Calibri"/>
    </font>
    <font>
      <b/>
      <sz val="18.0"/>
      <color rgb="FFF3F3F3"/>
      <name val="Calibri"/>
    </font>
    <font>
      <sz val="9.0"/>
      <color rgb="FF000000"/>
      <name val="Calibri"/>
    </font>
    <font>
      <b/>
      <sz val="11.0"/>
      <color theme="1"/>
      <name val="Calibri"/>
    </font>
    <font>
      <b/>
      <sz val="13.0"/>
      <color theme="1"/>
      <name val="Calibri"/>
    </font>
    <font>
      <b/>
      <sz val="9.0"/>
      <color rgb="FF000000"/>
      <name val="Calibri"/>
    </font>
    <font>
      <b/>
      <sz val="9.0"/>
      <color theme="1"/>
      <name val="Calibri"/>
      <scheme val="minor"/>
    </font>
    <font>
      <b/>
      <u/>
      <sz val="14.0"/>
      <color rgb="FFF3F3F3"/>
      <name val="Oswald"/>
    </font>
    <font>
      <sz val="12.0"/>
      <color rgb="FFF3F3F3"/>
      <name val="Oswald"/>
    </font>
    <font>
      <b/>
      <color rgb="FFF3F3F3"/>
      <name val="Oswald"/>
    </font>
    <font>
      <sz val="11.0"/>
      <color theme="1"/>
      <name val="Calibri"/>
    </font>
    <font>
      <color theme="1"/>
      <name val="Calibri"/>
    </font>
    <font>
      <b/>
      <color theme="1"/>
      <name val="Calibri"/>
    </font>
    <font>
      <b/>
      <sz val="10.0"/>
      <color theme="1"/>
      <name val="Calibri"/>
    </font>
    <font>
      <b/>
      <sz val="9.0"/>
      <color rgb="FFF3F3F3"/>
      <name val="Calibri"/>
    </font>
    <font>
      <sz val="9.0"/>
      <color rgb="FFF3F3F3"/>
      <name val="Calibri"/>
    </font>
    <font>
      <b/>
      <sz val="7.0"/>
      <color theme="1"/>
      <name val="Calibri"/>
    </font>
    <font>
      <b/>
      <sz val="15.0"/>
      <color rgb="FFF3F3F3"/>
      <name val="Calibri"/>
    </font>
    <font>
      <b/>
      <sz val="14.0"/>
      <color theme="1"/>
      <name val="Oswald"/>
    </font>
    <font>
      <sz val="8.0"/>
      <color theme="1"/>
      <name val="Oswald"/>
    </font>
    <font>
      <sz val="11.0"/>
      <color rgb="FF000000"/>
      <name val="Calibri"/>
    </font>
    <font>
      <b/>
      <sz val="16.0"/>
      <color rgb="FFF3F3F3"/>
      <name val="Calibri"/>
    </font>
    <font>
      <sz val="14.0"/>
      <color theme="1"/>
      <name val="Oswald"/>
    </font>
    <font>
      <b/>
      <u/>
      <sz val="10.0"/>
      <color rgb="FF0000FF"/>
      <name val="Calibri"/>
    </font>
    <font>
      <b/>
      <sz val="10.0"/>
      <color rgb="FF000000"/>
      <name val="Calibri"/>
    </font>
    <font>
      <u/>
      <color rgb="FF0000FF"/>
    </font>
    <font>
      <b/>
      <sz val="12.0"/>
      <color rgb="FFFFFFFF"/>
      <name val="Calibri"/>
    </font>
    <font>
      <sz val="9.0"/>
      <color rgb="FF043363"/>
      <name val="Calibri"/>
    </font>
    <font>
      <b/>
      <sz val="14.0"/>
      <color rgb="FFF3F3F3"/>
      <name val="Oswald"/>
    </font>
    <font>
      <sz val="7.0"/>
      <color theme="1"/>
      <name val="Calibri"/>
    </font>
    <font>
      <sz val="7.0"/>
      <color rgb="FF000000"/>
      <name val="Calibri"/>
    </font>
    <font>
      <u/>
      <sz val="9.0"/>
      <color rgb="FF0000FF"/>
      <name val="Calibri"/>
    </font>
    <font>
      <b/>
      <sz val="18.0"/>
      <color rgb="FF00B050"/>
      <name val="Calibri"/>
    </font>
    <font>
      <u/>
      <sz val="9.0"/>
      <color rgb="FF0000FF"/>
      <name val="Calibri"/>
    </font>
    <font>
      <u/>
      <sz val="9.0"/>
      <color rgb="FF0000FF"/>
      <name val="Calibri"/>
    </font>
    <font>
      <u/>
      <sz val="9.0"/>
      <color rgb="FF0000FF"/>
      <name val="Calibri"/>
    </font>
    <font>
      <u/>
      <sz val="9.0"/>
      <color rgb="FF0000FF"/>
      <name val="Calibri"/>
    </font>
    <font>
      <u/>
      <sz val="9.0"/>
      <color rgb="FF0000FF"/>
      <name val="Calibri"/>
    </font>
    <font>
      <u/>
      <sz val="9.0"/>
      <color rgb="FF0000FF"/>
      <name val="Calibri"/>
    </font>
    <font>
      <u/>
      <sz val="9.0"/>
      <color rgb="FF0000FF"/>
      <name val="Calibri"/>
    </font>
    <font>
      <u/>
      <sz val="9.0"/>
      <color rgb="FF0000FF"/>
      <name val="Calibri"/>
    </font>
    <font>
      <sz val="9.0"/>
      <color rgb="FF444444"/>
      <name val="Calibri"/>
    </font>
    <font>
      <b/>
      <sz val="12.0"/>
      <color rgb="FF00B050"/>
      <name val="Calibri"/>
    </font>
    <font>
      <u/>
      <sz val="9.0"/>
      <color rgb="FF0000FF"/>
      <name val="Calibri"/>
    </font>
    <font>
      <u/>
      <sz val="9.0"/>
      <color rgb="FF0000FF"/>
      <name val="Calibri"/>
    </font>
    <font>
      <u/>
      <sz val="9.0"/>
      <color rgb="FF0000FF"/>
      <name val="Calibri"/>
    </font>
    <font>
      <u/>
      <sz val="9.0"/>
      <color rgb="FF0000FF"/>
      <name val="Calibri"/>
    </font>
    <font>
      <u/>
      <sz val="9.0"/>
      <color rgb="FF0000FF"/>
      <name val="Calibri"/>
    </font>
    <font>
      <u/>
      <sz val="11.0"/>
      <color rgb="FF0000FF"/>
      <name val="Calibri"/>
    </font>
    <font>
      <u/>
      <sz val="9.0"/>
      <color rgb="FF0000FF"/>
      <name val="Calibri"/>
    </font>
    <font>
      <sz val="9.0"/>
      <color rgb="FF212529"/>
      <name val="Calibri"/>
    </font>
    <font>
      <u/>
      <sz val="9.0"/>
      <color rgb="FF0000FF"/>
      <name val="Calibri"/>
    </font>
    <font>
      <u/>
      <sz val="9.0"/>
      <color rgb="FF0000FF"/>
      <name val="Calibri"/>
    </font>
    <font>
      <u/>
      <sz val="9.0"/>
      <color rgb="FF0000FF"/>
      <name val="Calibri"/>
    </font>
    <font>
      <sz val="9.0"/>
      <color rgb="FF000000"/>
      <name val="Docs-Calibri"/>
    </font>
    <font>
      <u/>
      <sz val="9.0"/>
      <color rgb="FF0000FF"/>
      <name val="Calibri"/>
    </font>
    <font>
      <u/>
      <sz val="9.0"/>
      <color rgb="FF0000FF"/>
      <name val="Calibri"/>
    </font>
    <font>
      <u/>
      <sz val="9.0"/>
      <color rgb="FF0000FF"/>
      <name val="Arial"/>
    </font>
    <font>
      <sz val="9.0"/>
      <color theme="1"/>
      <name val="Calibri"/>
      <scheme val="minor"/>
    </font>
    <font>
      <color theme="1"/>
      <name val="Arial"/>
    </font>
    <font>
      <sz val="10.0"/>
      <color theme="1"/>
      <name val="Oswald"/>
    </font>
    <font>
      <color theme="1"/>
      <name val="Oswald"/>
    </font>
    <font>
      <sz val="9.0"/>
      <color theme="1"/>
      <name val="Oswald"/>
    </font>
    <font>
      <sz val="9.0"/>
      <color rgb="FF434343"/>
      <name val="Calibri"/>
    </font>
    <font>
      <sz val="9.0"/>
      <color rgb="FF7F6000"/>
      <name val="Oswald"/>
    </font>
    <font>
      <sz val="9.0"/>
      <color rgb="FF38761D"/>
      <name val="Oswald"/>
    </font>
    <font>
      <sz val="9.0"/>
      <color theme="1"/>
      <name val="Arial"/>
    </font>
    <font>
      <sz val="9.0"/>
      <color rgb="FF741B47"/>
      <name val="Oswald"/>
    </font>
    <font>
      <sz val="9.0"/>
      <color rgb="FFFF0000"/>
      <name val="Oswald"/>
    </font>
    <font>
      <sz val="9.0"/>
      <color rgb="FF043363"/>
      <name val="RobotoRegular"/>
    </font>
    <font>
      <sz val="9.0"/>
      <color rgb="FF6D9EEB"/>
      <name val="Oswald"/>
    </font>
    <font>
      <sz val="9.0"/>
      <color rgb="FF6D9EEB"/>
      <name val="Calibri"/>
    </font>
    <font>
      <sz val="9.0"/>
      <color theme="1"/>
      <name val="RobotoRegular"/>
    </font>
    <font>
      <sz val="9.0"/>
      <color theme="1"/>
      <name val="Docs-Calibri"/>
    </font>
    <font>
      <sz val="11.0"/>
      <color theme="1"/>
      <name val="Oswald"/>
    </font>
    <font>
      <b/>
      <sz val="8.0"/>
      <color theme="1"/>
      <name val="Calibri"/>
    </font>
    <font>
      <b/>
      <sz val="8.0"/>
      <color theme="1"/>
      <name val="Calibri"/>
      <scheme val="minor"/>
    </font>
    <font>
      <sz val="7.0"/>
      <color theme="1"/>
      <name val="Calibri"/>
      <scheme val="minor"/>
    </font>
    <font>
      <b/>
      <sz val="11.0"/>
      <color theme="1"/>
      <name val="Calibri"/>
      <scheme val="minor"/>
    </font>
    <font>
      <b/>
      <sz val="7.0"/>
      <color theme="1"/>
      <name val="Oswald"/>
    </font>
    <font>
      <b/>
      <sz val="12.0"/>
      <color theme="1"/>
      <name val="Oswald"/>
    </font>
    <font>
      <sz val="8.0"/>
      <color theme="1"/>
      <name val="Arial"/>
    </font>
    <font>
      <b/>
      <u/>
      <sz val="14.0"/>
      <color rgb="FFF3F3F3"/>
      <name val="Oswald"/>
    </font>
    <font>
      <sz val="8.0"/>
      <color rgb="FF000000"/>
      <name val="Calibri"/>
    </font>
    <font>
      <sz val="10.0"/>
      <color rgb="FF000000"/>
      <name val="Arial"/>
    </font>
    <font>
      <b/>
      <color theme="1"/>
      <name val="Calibri"/>
      <scheme val="minor"/>
    </font>
    <font>
      <b/>
      <sz val="9.0"/>
      <color rgb="FF000000"/>
      <name val="Arial"/>
    </font>
  </fonts>
  <fills count="52">
    <fill>
      <patternFill patternType="none"/>
    </fill>
    <fill>
      <patternFill patternType="lightGray"/>
    </fill>
    <fill>
      <patternFill patternType="solid">
        <fgColor rgb="FFFFD966"/>
        <bgColor rgb="FFFFD966"/>
      </patternFill>
    </fill>
    <fill>
      <patternFill patternType="solid">
        <fgColor rgb="FFF3F3F3"/>
        <bgColor rgb="FFF3F3F3"/>
      </patternFill>
    </fill>
    <fill>
      <patternFill patternType="solid">
        <fgColor rgb="FF666666"/>
        <bgColor rgb="FF666666"/>
      </patternFill>
    </fill>
    <fill>
      <patternFill patternType="solid">
        <fgColor rgb="FFEFEFEF"/>
        <bgColor rgb="FFEFEFEF"/>
      </patternFill>
    </fill>
    <fill>
      <patternFill patternType="solid">
        <fgColor rgb="FFCFE2F3"/>
        <bgColor rgb="FFCFE2F3"/>
      </patternFill>
    </fill>
    <fill>
      <patternFill patternType="solid">
        <fgColor rgb="FFD0E0E3"/>
        <bgColor rgb="FFD0E0E3"/>
      </patternFill>
    </fill>
    <fill>
      <patternFill patternType="solid">
        <fgColor rgb="FFFFF2CC"/>
        <bgColor rgb="FFFFF2CC"/>
      </patternFill>
    </fill>
    <fill>
      <patternFill patternType="solid">
        <fgColor rgb="FFD9EAD3"/>
        <bgColor rgb="FFD9EAD3"/>
      </patternFill>
    </fill>
    <fill>
      <patternFill patternType="solid">
        <fgColor rgb="FFEAD1DC"/>
        <bgColor rgb="FFEAD1DC"/>
      </patternFill>
    </fill>
    <fill>
      <patternFill patternType="solid">
        <fgColor rgb="FFC9DAF8"/>
        <bgColor rgb="FFC9DAF8"/>
      </patternFill>
    </fill>
    <fill>
      <patternFill patternType="solid">
        <fgColor rgb="FFF2F2F2"/>
        <bgColor rgb="FFF2F2F2"/>
      </patternFill>
    </fill>
    <fill>
      <patternFill patternType="solid">
        <fgColor rgb="FF674EA7"/>
        <bgColor rgb="FF674EA7"/>
      </patternFill>
    </fill>
    <fill>
      <patternFill patternType="solid">
        <fgColor rgb="FFB7B7B7"/>
        <bgColor rgb="FFB7B7B7"/>
      </patternFill>
    </fill>
    <fill>
      <patternFill patternType="solid">
        <fgColor rgb="FFCCCCCC"/>
        <bgColor rgb="FFCCCCCC"/>
      </patternFill>
    </fill>
    <fill>
      <patternFill patternType="solid">
        <fgColor rgb="FFB6D7A8"/>
        <bgColor rgb="FFB6D7A8"/>
      </patternFill>
    </fill>
    <fill>
      <patternFill patternType="solid">
        <fgColor rgb="FFD5A6BD"/>
        <bgColor rgb="FFD5A6BD"/>
      </patternFill>
    </fill>
    <fill>
      <patternFill patternType="solid">
        <fgColor rgb="FF999999"/>
        <bgColor rgb="FF999999"/>
      </patternFill>
    </fill>
    <fill>
      <patternFill patternType="solid">
        <fgColor rgb="FFFFFFFF"/>
        <bgColor rgb="FFFFFFFF"/>
      </patternFill>
    </fill>
    <fill>
      <patternFill patternType="solid">
        <fgColor rgb="FF434343"/>
        <bgColor rgb="FF434343"/>
      </patternFill>
    </fill>
    <fill>
      <patternFill patternType="solid">
        <fgColor rgb="FF0B5394"/>
        <bgColor rgb="FF0B5394"/>
      </patternFill>
    </fill>
    <fill>
      <patternFill patternType="solid">
        <fgColor rgb="FFB8CCE4"/>
        <bgColor rgb="FFB8CCE4"/>
      </patternFill>
    </fill>
    <fill>
      <patternFill patternType="solid">
        <fgColor rgb="FFF4CCCC"/>
        <bgColor rgb="FFF4CCCC"/>
      </patternFill>
    </fill>
    <fill>
      <patternFill patternType="solid">
        <fgColor rgb="FFFFC8EE"/>
        <bgColor rgb="FFFFC8EE"/>
      </patternFill>
    </fill>
    <fill>
      <patternFill patternType="solid">
        <fgColor rgb="FFEA9999"/>
        <bgColor rgb="FFEA9999"/>
      </patternFill>
    </fill>
    <fill>
      <patternFill patternType="solid">
        <fgColor theme="0"/>
        <bgColor theme="0"/>
      </patternFill>
    </fill>
    <fill>
      <patternFill patternType="solid">
        <fgColor rgb="FF3D85C6"/>
        <bgColor rgb="FF3D85C6"/>
      </patternFill>
    </fill>
    <fill>
      <patternFill patternType="solid">
        <fgColor rgb="FFC6D9F0"/>
        <bgColor rgb="FFC6D9F0"/>
      </patternFill>
    </fill>
    <fill>
      <patternFill patternType="solid">
        <fgColor rgb="FFD8D8D8"/>
        <bgColor rgb="FFD8D8D8"/>
      </patternFill>
    </fill>
    <fill>
      <patternFill patternType="solid">
        <fgColor rgb="FFDDD9C3"/>
        <bgColor rgb="FFDDD9C3"/>
      </patternFill>
    </fill>
    <fill>
      <patternFill patternType="solid">
        <fgColor rgb="FFD6E3BC"/>
        <bgColor rgb="FFD6E3BC"/>
      </patternFill>
    </fill>
    <fill>
      <patternFill patternType="solid">
        <fgColor rgb="FFFF0000"/>
        <bgColor rgb="FFFF0000"/>
      </patternFill>
    </fill>
    <fill>
      <patternFill patternType="solid">
        <fgColor rgb="FFD9D9D9"/>
        <bgColor rgb="FFD9D9D9"/>
      </patternFill>
    </fill>
    <fill>
      <patternFill patternType="solid">
        <fgColor rgb="FFF7F3DF"/>
        <bgColor rgb="FFF7F3DF"/>
      </patternFill>
    </fill>
    <fill>
      <patternFill patternType="solid">
        <fgColor rgb="FFF6B26B"/>
        <bgColor rgb="FFF6B26B"/>
      </patternFill>
    </fill>
    <fill>
      <patternFill patternType="solid">
        <fgColor rgb="FFF9CB9C"/>
        <bgColor rgb="FFF9CB9C"/>
      </patternFill>
    </fill>
    <fill>
      <patternFill patternType="solid">
        <fgColor rgb="FFFCE5CD"/>
        <bgColor rgb="FFFCE5CD"/>
      </patternFill>
    </fill>
    <fill>
      <patternFill patternType="solid">
        <fgColor rgb="FFEAF1DD"/>
        <bgColor rgb="FFEAF1DD"/>
      </patternFill>
    </fill>
    <fill>
      <patternFill patternType="solid">
        <fgColor rgb="FFB6DDE8"/>
        <bgColor rgb="FFB6DDE8"/>
      </patternFill>
    </fill>
    <fill>
      <patternFill patternType="solid">
        <fgColor rgb="FFB7DEE8"/>
        <bgColor rgb="FFB7DEE8"/>
      </patternFill>
    </fill>
    <fill>
      <patternFill patternType="solid">
        <fgColor rgb="FFD9E1F2"/>
        <bgColor rgb="FFD9E1F2"/>
      </patternFill>
    </fill>
    <fill>
      <patternFill patternType="solid">
        <fgColor rgb="FFDBE5F1"/>
        <bgColor rgb="FFDBE5F1"/>
      </patternFill>
    </fill>
    <fill>
      <patternFill patternType="solid">
        <fgColor rgb="FF9FC5E8"/>
        <bgColor rgb="FF9FC5E8"/>
      </patternFill>
    </fill>
    <fill>
      <patternFill patternType="solid">
        <fgColor rgb="FFBDBDBD"/>
        <bgColor rgb="FFBDBDBD"/>
      </patternFill>
    </fill>
    <fill>
      <patternFill patternType="solid">
        <fgColor rgb="FFFFE599"/>
        <bgColor rgb="FFFFE599"/>
      </patternFill>
    </fill>
    <fill>
      <patternFill patternType="solid">
        <fgColor rgb="FFB7E1CD"/>
        <bgColor rgb="FFB7E1CD"/>
      </patternFill>
    </fill>
    <fill>
      <patternFill patternType="solid">
        <fgColor rgb="FFEDEDED"/>
        <bgColor rgb="FFEDEDED"/>
      </patternFill>
    </fill>
    <fill>
      <patternFill patternType="solid">
        <fgColor rgb="FFC7ECB7"/>
        <bgColor rgb="FFC7ECB7"/>
      </patternFill>
    </fill>
    <fill>
      <patternFill patternType="solid">
        <fgColor rgb="FFFFE598"/>
        <bgColor rgb="FFFFE598"/>
      </patternFill>
    </fill>
    <fill>
      <patternFill patternType="solid">
        <fgColor rgb="FFB8D9A3"/>
        <bgColor rgb="FFB8D9A3"/>
      </patternFill>
    </fill>
    <fill>
      <patternFill patternType="solid">
        <fgColor rgb="FFD6D6D6"/>
        <bgColor rgb="FFD6D6D6"/>
      </patternFill>
    </fill>
  </fills>
  <borders count="101">
    <border/>
    <border>
      <bottom/>
    </border>
    <border>
      <right/>
      <bottom/>
    </border>
    <border>
      <left/>
      <right/>
      <bottom/>
    </border>
    <border>
      <left/>
      <bottom/>
    </border>
    <border>
      <top/>
      <bottom/>
    </border>
    <border>
      <right/>
      <top/>
      <bottom/>
    </border>
    <border>
      <left/>
      <top/>
      <bottom/>
    </border>
    <border>
      <left style="thin">
        <color rgb="FF741B47"/>
      </left>
      <top style="thin">
        <color rgb="FF741B47"/>
      </top>
    </border>
    <border>
      <top style="thin">
        <color rgb="FF741B47"/>
      </top>
    </border>
    <border>
      <right style="thin">
        <color rgb="FF741B47"/>
      </right>
      <top style="thin">
        <color rgb="FF741B47"/>
      </top>
    </border>
    <border>
      <right/>
      <top/>
    </border>
    <border>
      <left/>
      <right/>
      <top/>
    </border>
    <border>
      <left/>
      <top/>
    </border>
    <border>
      <left style="thin">
        <color rgb="FF741B47"/>
      </left>
      <bottom style="thin">
        <color rgb="FF741B47"/>
      </bottom>
    </border>
    <border>
      <bottom style="thin">
        <color rgb="FF741B47"/>
      </bottom>
    </border>
    <border>
      <right style="thin">
        <color rgb="FF741B47"/>
      </right>
      <bottom style="thin">
        <color rgb="FF741B47"/>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741B47"/>
      </bottom>
    </border>
    <border>
      <top style="thin">
        <color rgb="FF000000"/>
      </top>
    </border>
    <border>
      <top style="thin">
        <color rgb="FF000000"/>
      </top>
      <bottom style="thin">
        <color rgb="FF000000"/>
      </bottom>
    </border>
    <border>
      <top style="thin">
        <color rgb="FF000000"/>
      </top>
      <bottom style="thin">
        <color rgb="FF741B47"/>
      </bottom>
    </border>
    <border>
      <bottom style="thin">
        <color rgb="FF000000"/>
      </bottom>
    </border>
    <border>
      <left style="thin">
        <color rgb="FF000000"/>
      </left>
      <right style="thin">
        <color rgb="FF000000"/>
      </right>
      <top style="thin">
        <color rgb="FF000000"/>
      </top>
    </border>
    <border>
      <left style="thin">
        <color rgb="FF000000"/>
      </left>
      <bottom style="thin">
        <color rgb="FF000000"/>
      </bottom>
    </border>
    <border>
      <top style="thin">
        <color rgb="FF741B47"/>
      </top>
      <bottom style="thin">
        <color rgb="FF741B47"/>
      </bottom>
    </border>
    <border>
      <left style="thin">
        <color rgb="FF000000"/>
      </left>
      <right style="thin">
        <color rgb="FF000000"/>
      </right>
    </border>
    <border>
      <left style="thin">
        <color rgb="FF000000"/>
      </left>
    </border>
    <border>
      <left style="thin">
        <color rgb="FF000000"/>
      </left>
      <right style="thin">
        <color rgb="FF000000"/>
      </right>
      <bottom style="thin">
        <color rgb="FF000000"/>
      </bottom>
    </border>
    <border>
      <top style="thin">
        <color rgb="FF741B47"/>
      </top>
      <bottom style="thin">
        <color rgb="FF000000"/>
      </bottom>
    </border>
    <border>
      <right/>
    </border>
    <border>
      <right style="thin">
        <color rgb="FF000000"/>
      </right>
      <bottom style="thin">
        <color rgb="FF000000"/>
      </bottom>
    </border>
    <border>
      <right/>
      <bottom style="thin">
        <color rgb="FF000000"/>
      </bottom>
    </border>
    <border>
      <right style="thin">
        <color rgb="FF000000"/>
      </right>
    </border>
    <border>
      <left/>
      <right/>
      <top/>
      <bottom/>
    </border>
    <border>
      <top style="medium">
        <color rgb="FF000000"/>
      </top>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ck">
        <color rgb="FF000000"/>
      </left>
      <right/>
      <top/>
      <bottom/>
    </border>
    <border>
      <left/>
      <top/>
      <bottom style="thin">
        <color rgb="FF000000"/>
      </bottom>
    </border>
    <border>
      <top/>
      <bottom style="thin">
        <color rgb="FF000000"/>
      </bottom>
    </border>
    <border>
      <right/>
      <top/>
      <bottom style="thin">
        <color rgb="FF000000"/>
      </bottom>
    </border>
    <border>
      <left/>
      <top/>
      <bottom style="thin">
        <color rgb="FF741B47"/>
      </bottom>
    </border>
    <border>
      <top/>
      <bottom style="thin">
        <color rgb="FF741B47"/>
      </bottom>
    </border>
    <border>
      <right/>
      <top/>
      <bottom style="thin">
        <color rgb="FF741B47"/>
      </bottom>
    </border>
    <border>
      <left/>
      <right style="thick">
        <color rgb="FF000000"/>
      </right>
      <top/>
      <bottom/>
    </border>
    <border>
      <left style="thick">
        <color rgb="FF000000"/>
      </left>
      <right/>
      <top/>
    </border>
    <border>
      <top/>
    </border>
    <border>
      <left/>
      <right style="thick">
        <color rgb="FF000000"/>
      </right>
      <top/>
    </border>
    <border>
      <left style="thick">
        <color rgb="FF000000"/>
      </left>
      <right/>
      <top/>
      <bottom style="thick">
        <color rgb="FF000000"/>
      </bottom>
    </border>
    <border>
      <left/>
      <right/>
      <top/>
      <bottom style="thick">
        <color rgb="FF000000"/>
      </bottom>
    </border>
    <border>
      <left/>
      <right style="thick">
        <color rgb="FF000000"/>
      </right>
      <top/>
      <bottom style="thick">
        <color rgb="FF000000"/>
      </bottom>
    </border>
    <border>
      <bottom style="thin">
        <color rgb="FF783F04"/>
      </bottom>
    </border>
    <border>
      <top style="thin">
        <color rgb="FF783F04"/>
      </top>
    </border>
    <border>
      <top style="thin">
        <color rgb="FF783F04"/>
      </top>
      <bottom style="thin">
        <color rgb="FF783F04"/>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border>
    <border>
      <left style="thin">
        <color rgb="FF000000"/>
      </left>
      <top style="thin">
        <color rgb="FF000000"/>
      </top>
    </border>
    <border>
      <right style="thin">
        <color rgb="FF000000"/>
      </right>
      <top style="thin">
        <color rgb="FF000000"/>
      </top>
    </border>
    <border>
      <bottom style="medium">
        <color rgb="FF000000"/>
      </bottom>
    </border>
    <border>
      <top style="medium">
        <color rgb="FF000000"/>
      </top>
      <bottom style="medium">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rder>
    <border>
      <right style="medium">
        <color rgb="FF000000"/>
      </right>
      <top style="thin">
        <color rgb="FF000000"/>
      </top>
    </border>
    <border>
      <left style="medium">
        <color rgb="FF000000"/>
      </left>
      <bottom style="thin">
        <color rgb="FF000000"/>
      </bottom>
    </border>
    <border>
      <right style="medium">
        <color rgb="FF000000"/>
      </right>
      <bottom style="thin">
        <color rgb="FF000000"/>
      </bottom>
    </border>
    <border>
      <left style="medium">
        <color rgb="FF000000"/>
      </left>
      <right style="thin">
        <color rgb="FF000000"/>
      </right>
      <top style="thin">
        <color rgb="FF000000"/>
      </top>
      <bottom style="thin">
        <color rgb="FF000000"/>
      </bottom>
    </border>
    <border>
      <right style="medium">
        <color rgb="FF000000"/>
      </right>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medium">
        <color rgb="FF000000"/>
      </left>
    </border>
    <border>
      <left style="medium">
        <color rgb="FF000000"/>
      </left>
      <right style="thin">
        <color rgb="FF000000"/>
      </right>
      <bottom style="thin">
        <color rgb="FF000000"/>
      </bottom>
    </border>
    <border>
      <left style="medium">
        <color rgb="FF000000"/>
      </left>
      <bottom style="medium">
        <color rgb="FF000000"/>
      </bottom>
    </border>
    <border>
      <right style="medium">
        <color rgb="FF000000"/>
      </right>
      <bottom style="medium">
        <color rgb="FF000000"/>
      </bottom>
    </border>
    <border>
      <left style="medium">
        <color rgb="FF000000"/>
      </left>
      <right style="thin">
        <color rgb="FF000000"/>
      </right>
      <top/>
      <bottom/>
    </border>
    <border>
      <left style="thin">
        <color rgb="FF000000"/>
      </left>
      <right style="thin">
        <color rgb="FF000000"/>
      </right>
      <top/>
      <bottom/>
    </border>
    <border>
      <left style="thin">
        <color rgb="FF000000"/>
      </left>
      <right/>
      <top/>
      <bottom/>
    </border>
    <border>
      <left style="thin">
        <color rgb="FF000000"/>
      </left>
      <right style="thin">
        <color rgb="FF000000"/>
      </right>
      <top/>
      <bottom style="thin">
        <color rgb="FF000000"/>
      </bottom>
    </border>
    <border>
      <left style="thin">
        <color rgb="FFFFD966"/>
      </left>
      <top style="thin">
        <color rgb="FFFFD966"/>
      </top>
      <bottom style="thin">
        <color rgb="FFFFD966"/>
      </bottom>
    </border>
    <border>
      <top style="thin">
        <color rgb="FFFFD966"/>
      </top>
      <bottom style="thin">
        <color rgb="FFFFD966"/>
      </bottom>
    </border>
    <border>
      <left style="thin">
        <color rgb="FFFFD966"/>
      </left>
      <right style="thin">
        <color rgb="FFFFD966"/>
      </right>
      <top style="thin">
        <color rgb="FFFFD966"/>
      </top>
      <bottom style="thin">
        <color rgb="FFFFD966"/>
      </bottom>
    </border>
    <border>
      <right style="thin">
        <color rgb="FFFFD966"/>
      </right>
      <top style="thin">
        <color rgb="FFFFD966"/>
      </top>
      <bottom style="thin">
        <color rgb="FFFFD966"/>
      </bottom>
    </border>
    <border>
      <left style="thin">
        <color rgb="FFFFD966"/>
      </left>
      <right style="thin">
        <color rgb="FFFFD966"/>
      </right>
      <top style="thin">
        <color rgb="FFFFD966"/>
      </top>
    </border>
    <border>
      <left style="thin">
        <color rgb="FFF9CB9C"/>
      </left>
      <right style="thin">
        <color rgb="FFF9CB9C"/>
      </right>
      <top style="thin">
        <color rgb="FFF9CB9C"/>
      </top>
      <bottom style="thin">
        <color rgb="FFF9CB9C"/>
      </bottom>
    </border>
    <border>
      <left style="thin">
        <color rgb="FFF9CB9C"/>
      </left>
      <right style="thin">
        <color rgb="FFF9CB9C"/>
      </right>
      <top style="thin">
        <color rgb="FFF9CB9C"/>
      </top>
    </border>
    <border>
      <left style="thin">
        <color rgb="FFF9CB9C"/>
      </left>
      <top style="thin">
        <color rgb="FFF9CB9C"/>
      </top>
      <bottom style="thin">
        <color rgb="FFF9CB9C"/>
      </bottom>
    </border>
    <border>
      <left style="thin">
        <color rgb="FFFFD966"/>
      </left>
      <right style="thin">
        <color rgb="FFFFD966"/>
      </right>
      <bottom style="thin">
        <color rgb="FFFFD966"/>
      </bottom>
    </border>
    <border>
      <bottom style="thin">
        <color rgb="FF274E13"/>
      </bottom>
    </border>
    <border>
      <bottom style="thin">
        <color rgb="FFBF9000"/>
      </bottom>
    </border>
    <border>
      <bottom style="thin">
        <color rgb="FF38761D"/>
      </bottom>
    </border>
    <border>
      <top style="thin">
        <color rgb="FF38761D"/>
      </top>
      <bottom style="thin">
        <color rgb="FF38761D"/>
      </bottom>
    </border>
    <border>
      <top style="thin">
        <color rgb="FF38761D"/>
      </top>
    </border>
    <border>
      <top style="thin">
        <color rgb="FFBF9000"/>
      </top>
      <bottom style="thin">
        <color rgb="FFBF9000"/>
      </bottom>
    </border>
    <border>
      <top style="thin">
        <color rgb="FFBF9000"/>
      </top>
    </border>
  </borders>
  <cellStyleXfs count="1">
    <xf borderId="0" fillId="0" fontId="0" numFmtId="0" applyAlignment="1" applyFont="1"/>
  </cellStyleXfs>
  <cellXfs count="1355">
    <xf borderId="0" fillId="0" fontId="0" numFmtId="0" xfId="0" applyAlignment="1" applyFont="1">
      <alignment readingOrder="0" shrinkToFit="0" vertical="bottom" wrapText="0"/>
    </xf>
    <xf borderId="0" fillId="2" fontId="1" numFmtId="0" xfId="0" applyAlignment="1" applyFill="1" applyFont="1">
      <alignment horizontal="right" readingOrder="0" shrinkToFit="0" vertical="center" wrapText="1"/>
    </xf>
    <xf borderId="0" fillId="2" fontId="2" numFmtId="0" xfId="0" applyAlignment="1" applyFont="1">
      <alignment horizontal="center" readingOrder="0" shrinkToFit="0" vertical="center" wrapText="1"/>
    </xf>
    <xf borderId="0" fillId="2" fontId="3" numFmtId="164" xfId="0" applyAlignment="1" applyFont="1" applyNumberFormat="1">
      <alignment horizontal="center" readingOrder="0" shrinkToFit="0" vertical="center" wrapText="1"/>
    </xf>
    <xf borderId="0" fillId="2" fontId="4" numFmtId="0" xfId="0" applyAlignment="1" applyFont="1">
      <alignment horizontal="center" shrinkToFit="0" vertical="center" wrapText="1"/>
    </xf>
    <xf borderId="0" fillId="3" fontId="5" numFmtId="0" xfId="0" applyAlignment="1" applyFill="1" applyFont="1">
      <alignment horizontal="center" readingOrder="0" shrinkToFit="0" vertical="center" wrapText="1"/>
    </xf>
    <xf borderId="0" fillId="3" fontId="4" numFmtId="0" xfId="0" applyFont="1"/>
    <xf borderId="1" fillId="3" fontId="5" numFmtId="0" xfId="0" applyAlignment="1" applyBorder="1" applyFont="1">
      <alignment horizontal="left" readingOrder="0"/>
    </xf>
    <xf borderId="1" fillId="0" fontId="6" numFmtId="0" xfId="0" applyBorder="1" applyFont="1"/>
    <xf borderId="2" fillId="0" fontId="6" numFmtId="0" xfId="0" applyBorder="1" applyFont="1"/>
    <xf borderId="3" fillId="3" fontId="4" numFmtId="0" xfId="0" applyAlignment="1" applyBorder="1" applyFont="1">
      <alignment horizontal="left"/>
    </xf>
    <xf borderId="3" fillId="3" fontId="4" numFmtId="0" xfId="0" applyAlignment="1" applyBorder="1" applyFont="1">
      <alignment vertical="center"/>
    </xf>
    <xf borderId="4" fillId="3" fontId="4" numFmtId="0" xfId="0" applyBorder="1" applyFont="1"/>
    <xf borderId="0" fillId="3" fontId="7" numFmtId="0" xfId="0" applyAlignment="1" applyFont="1">
      <alignment readingOrder="0"/>
    </xf>
    <xf borderId="5" fillId="3" fontId="4" numFmtId="0" xfId="0" applyAlignment="1" applyBorder="1" applyFont="1">
      <alignment horizontal="left"/>
    </xf>
    <xf borderId="5" fillId="0" fontId="6" numFmtId="0" xfId="0" applyBorder="1" applyFont="1"/>
    <xf borderId="6" fillId="0" fontId="6" numFmtId="0" xfId="0" applyBorder="1" applyFont="1"/>
    <xf borderId="7" fillId="3" fontId="4" numFmtId="0" xfId="0" applyAlignment="1" applyBorder="1" applyFont="1">
      <alignment horizontal="left"/>
    </xf>
    <xf borderId="8" fillId="3" fontId="8" numFmtId="0" xfId="0" applyAlignment="1" applyBorder="1" applyFont="1">
      <alignment horizontal="center" readingOrder="0" vertical="center"/>
    </xf>
    <xf borderId="9" fillId="0" fontId="6" numFmtId="0" xfId="0" applyBorder="1" applyFont="1"/>
    <xf borderId="10" fillId="0" fontId="6" numFmtId="0" xfId="0" applyBorder="1" applyFont="1"/>
    <xf borderId="0" fillId="4" fontId="8" numFmtId="0" xfId="0" applyAlignment="1" applyFill="1" applyFont="1">
      <alignment horizontal="center" readingOrder="0" shrinkToFit="0" vertical="center" wrapText="1"/>
    </xf>
    <xf borderId="0" fillId="3" fontId="8" numFmtId="0" xfId="0" applyAlignment="1" applyFont="1">
      <alignment horizontal="center" readingOrder="0" vertical="center"/>
    </xf>
    <xf borderId="11" fillId="3" fontId="4" numFmtId="0" xfId="0" applyBorder="1" applyFont="1"/>
    <xf borderId="12" fillId="3" fontId="4" numFmtId="0" xfId="0" applyBorder="1" applyFont="1"/>
    <xf borderId="13" fillId="3" fontId="4" numFmtId="0" xfId="0" applyBorder="1" applyFont="1"/>
    <xf borderId="14" fillId="0" fontId="6" numFmtId="0" xfId="0" applyBorder="1" applyFont="1"/>
    <xf borderId="15" fillId="0" fontId="6" numFmtId="0" xfId="0" applyBorder="1" applyFont="1"/>
    <xf borderId="16" fillId="0" fontId="6" numFmtId="0" xfId="0" applyBorder="1" applyFont="1"/>
    <xf borderId="17" fillId="3" fontId="5" numFmtId="0" xfId="0" applyAlignment="1" applyBorder="1" applyFont="1">
      <alignment horizontal="center" shrinkToFit="0" vertical="center" wrapText="1"/>
    </xf>
    <xf borderId="18" fillId="3" fontId="5" numFmtId="0" xfId="0" applyAlignment="1" applyBorder="1" applyFont="1">
      <alignment horizontal="center" shrinkToFit="0" vertical="center" wrapText="1"/>
    </xf>
    <xf borderId="19" fillId="3" fontId="5" numFmtId="0" xfId="0" applyAlignment="1" applyBorder="1" applyFont="1">
      <alignment horizontal="center" shrinkToFit="0" vertical="center" wrapText="1"/>
    </xf>
    <xf borderId="20" fillId="3" fontId="5" numFmtId="0" xfId="0" applyAlignment="1" applyBorder="1" applyFont="1">
      <alignment horizontal="center" readingOrder="0" shrinkToFit="0" vertical="center" wrapText="1"/>
    </xf>
    <xf borderId="21" fillId="3" fontId="5" numFmtId="0" xfId="0" applyAlignment="1" applyBorder="1" applyFont="1">
      <alignment horizontal="center" readingOrder="0" shrinkToFit="0" vertical="center" wrapText="1"/>
    </xf>
    <xf borderId="19" fillId="3" fontId="5" numFmtId="0" xfId="0" applyAlignment="1" applyBorder="1" applyFont="1">
      <alignment horizontal="center" readingOrder="0" shrinkToFit="0" vertical="center" wrapText="1"/>
    </xf>
    <xf borderId="22" fillId="5" fontId="9" numFmtId="0" xfId="0" applyAlignment="1" applyBorder="1" applyFill="1" applyFont="1">
      <alignment horizontal="center" readingOrder="0" shrinkToFit="0" vertical="center" wrapText="1"/>
    </xf>
    <xf borderId="22" fillId="0" fontId="6" numFmtId="0" xfId="0" applyBorder="1" applyFont="1"/>
    <xf borderId="21" fillId="0" fontId="6" numFmtId="0" xfId="0" applyBorder="1" applyFont="1"/>
    <xf borderId="0" fillId="4" fontId="5" numFmtId="10" xfId="0" applyAlignment="1" applyFont="1" applyNumberFormat="1">
      <alignment horizontal="center" readingOrder="0" shrinkToFit="0" vertical="center" wrapText="1"/>
    </xf>
    <xf borderId="0" fillId="4" fontId="10" numFmtId="10" xfId="0" applyAlignment="1" applyFont="1" applyNumberFormat="1">
      <alignment horizontal="center" readingOrder="0" shrinkToFit="0" vertical="center" wrapText="1"/>
    </xf>
    <xf borderId="0" fillId="3" fontId="5" numFmtId="10" xfId="0" applyAlignment="1" applyFont="1" applyNumberFormat="1">
      <alignment horizontal="center" readingOrder="0" shrinkToFit="0" vertical="center" wrapText="1"/>
    </xf>
    <xf borderId="23" fillId="3" fontId="4" numFmtId="0" xfId="0" applyAlignment="1" applyBorder="1" applyFont="1">
      <alignment horizontal="center" vertical="center"/>
    </xf>
    <xf borderId="24" fillId="6" fontId="4" numFmtId="49" xfId="0" applyAlignment="1" applyBorder="1" applyFill="1" applyFont="1" applyNumberFormat="1">
      <alignment horizontal="center" readingOrder="0" vertical="center"/>
    </xf>
    <xf borderId="20" fillId="6" fontId="4" numFmtId="165" xfId="0" applyAlignment="1" applyBorder="1" applyFont="1" applyNumberFormat="1">
      <alignment horizontal="left" readingOrder="0" shrinkToFit="0" vertical="center" wrapText="1"/>
    </xf>
    <xf borderId="20" fillId="0" fontId="6" numFmtId="0" xfId="0" applyBorder="1" applyFont="1"/>
    <xf borderId="22" fillId="6" fontId="4" numFmtId="0" xfId="0" applyAlignment="1" applyBorder="1" applyFont="1">
      <alignment horizontal="center" readingOrder="0" shrinkToFit="0" vertical="center" wrapText="1"/>
    </xf>
    <xf borderId="22" fillId="6" fontId="4" numFmtId="0" xfId="0" applyAlignment="1" applyBorder="1" applyFont="1">
      <alignment horizontal="center" shrinkToFit="0" vertical="center" wrapText="1"/>
    </xf>
    <xf borderId="20" fillId="6" fontId="4" numFmtId="166" xfId="0" applyAlignment="1" applyBorder="1" applyFont="1" applyNumberFormat="1">
      <alignment horizontal="center" shrinkToFit="0" vertical="center" wrapText="1"/>
    </xf>
    <xf borderId="20" fillId="6" fontId="4" numFmtId="165" xfId="0" applyAlignment="1" applyBorder="1" applyFont="1" applyNumberFormat="1">
      <alignment horizontal="center" shrinkToFit="0" vertical="center" wrapText="1"/>
    </xf>
    <xf borderId="25" fillId="6" fontId="4" numFmtId="166" xfId="0" applyAlignment="1" applyBorder="1" applyFont="1" applyNumberFormat="1">
      <alignment horizontal="center" shrinkToFit="0" vertical="center" wrapText="1"/>
    </xf>
    <xf borderId="25" fillId="0" fontId="6" numFmtId="0" xfId="0" applyBorder="1" applyFont="1"/>
    <xf borderId="0" fillId="7" fontId="11" numFmtId="166" xfId="0" applyAlignment="1" applyFill="1" applyFont="1" applyNumberFormat="1">
      <alignment horizontal="center" readingOrder="0"/>
    </xf>
    <xf borderId="0" fillId="7" fontId="11" numFmtId="166" xfId="0" applyAlignment="1" applyFont="1" applyNumberFormat="1">
      <alignment horizontal="center"/>
    </xf>
    <xf borderId="0" fillId="6" fontId="4" numFmtId="166" xfId="0" applyAlignment="1" applyFont="1" applyNumberFormat="1">
      <alignment horizontal="center" shrinkToFit="0" vertical="center" wrapText="1"/>
    </xf>
    <xf borderId="26" fillId="0" fontId="6" numFmtId="0" xfId="0" applyBorder="1" applyFont="1"/>
    <xf borderId="27" fillId="6" fontId="4" numFmtId="49" xfId="0" applyAlignment="1" applyBorder="1" applyFont="1" applyNumberFormat="1">
      <alignment horizontal="center" readingOrder="0" vertical="center"/>
    </xf>
    <xf borderId="20" fillId="6" fontId="4" numFmtId="0" xfId="0" applyAlignment="1" applyBorder="1" applyFont="1">
      <alignment horizontal="center" readingOrder="0" shrinkToFit="0" vertical="center" wrapText="1"/>
    </xf>
    <xf borderId="20" fillId="6" fontId="4" numFmtId="0" xfId="0" applyAlignment="1" applyBorder="1" applyFont="1">
      <alignment horizontal="center" shrinkToFit="0" vertical="center" wrapText="1"/>
    </xf>
    <xf borderId="20" fillId="8" fontId="5" numFmtId="49" xfId="0" applyAlignment="1" applyBorder="1" applyFill="1" applyFont="1" applyNumberFormat="1">
      <alignment horizontal="center" readingOrder="0" vertical="center"/>
    </xf>
    <xf borderId="20" fillId="8" fontId="5" numFmtId="0" xfId="0" applyAlignment="1" applyBorder="1" applyFont="1">
      <alignment horizontal="left" readingOrder="0" vertical="center"/>
    </xf>
    <xf borderId="20" fillId="8" fontId="5" numFmtId="0" xfId="0" applyAlignment="1" applyBorder="1" applyFont="1">
      <alignment horizontal="center" readingOrder="0" shrinkToFit="0" vertical="center" wrapText="1"/>
    </xf>
    <xf borderId="20" fillId="8" fontId="5" numFmtId="165" xfId="0" applyAlignment="1" applyBorder="1" applyFont="1" applyNumberFormat="1">
      <alignment horizontal="center" readingOrder="0" shrinkToFit="0" vertical="center" wrapText="1"/>
    </xf>
    <xf borderId="20" fillId="8" fontId="5" numFmtId="165" xfId="0" applyAlignment="1" applyBorder="1" applyFont="1" applyNumberFormat="1">
      <alignment horizontal="center" shrinkToFit="0" vertical="center" wrapText="1"/>
    </xf>
    <xf borderId="0" fillId="7" fontId="11" numFmtId="165" xfId="0" applyAlignment="1" applyFont="1" applyNumberFormat="1">
      <alignment horizontal="center" readingOrder="0"/>
    </xf>
    <xf borderId="0" fillId="7" fontId="11" numFmtId="165" xfId="0" applyAlignment="1" applyFont="1" applyNumberFormat="1">
      <alignment horizontal="center"/>
    </xf>
    <xf borderId="0" fillId="8" fontId="5" numFmtId="165" xfId="0" applyAlignment="1" applyFont="1" applyNumberFormat="1">
      <alignment horizontal="center" shrinkToFit="0" vertical="center" wrapText="1"/>
    </xf>
    <xf borderId="22" fillId="8" fontId="5" numFmtId="49" xfId="0" applyAlignment="1" applyBorder="1" applyFont="1" applyNumberFormat="1">
      <alignment horizontal="center" readingOrder="0" vertical="center"/>
    </xf>
    <xf borderId="0" fillId="7" fontId="11" numFmtId="165" xfId="0" applyAlignment="1" applyFont="1" applyNumberFormat="1">
      <alignment horizontal="center" readingOrder="0" shrinkToFit="0" vertical="center" wrapText="1"/>
    </xf>
    <xf borderId="0" fillId="7" fontId="11" numFmtId="165" xfId="0" applyAlignment="1" applyFont="1" applyNumberFormat="1">
      <alignment horizontal="center" shrinkToFit="0" vertical="center" wrapText="1"/>
    </xf>
    <xf borderId="0" fillId="9" fontId="4" numFmtId="10" xfId="0" applyAlignment="1" applyFill="1" applyFont="1" applyNumberFormat="1">
      <alignment horizontal="center" shrinkToFit="0" vertical="center" wrapText="1"/>
    </xf>
    <xf borderId="22" fillId="9" fontId="4" numFmtId="49" xfId="0" applyAlignment="1" applyBorder="1" applyFont="1" applyNumberFormat="1">
      <alignment horizontal="center" readingOrder="0" shrinkToFit="0" vertical="center" wrapText="0"/>
    </xf>
    <xf borderId="20" fillId="9" fontId="4" numFmtId="0" xfId="0" applyAlignment="1" applyBorder="1" applyFont="1">
      <alignment horizontal="left" readingOrder="0" vertical="center"/>
    </xf>
    <xf borderId="20" fillId="9" fontId="4" numFmtId="0" xfId="0" applyAlignment="1" applyBorder="1" applyFont="1">
      <alignment horizontal="center" readingOrder="0" shrinkToFit="0" vertical="center" wrapText="1"/>
    </xf>
    <xf borderId="20" fillId="9" fontId="4" numFmtId="165" xfId="0" applyAlignment="1" applyBorder="1" applyFont="1" applyNumberFormat="1">
      <alignment horizontal="center" readingOrder="0" shrinkToFit="0" vertical="center" wrapText="1"/>
    </xf>
    <xf borderId="20" fillId="9" fontId="4" numFmtId="165" xfId="0" applyAlignment="1" applyBorder="1" applyFont="1" applyNumberFormat="1">
      <alignment horizontal="center" shrinkToFit="0" vertical="center" wrapText="1"/>
    </xf>
    <xf borderId="28" fillId="0" fontId="6" numFmtId="0" xfId="0" applyBorder="1" applyFont="1"/>
    <xf borderId="22" fillId="10" fontId="4" numFmtId="49" xfId="0" applyAlignment="1" applyBorder="1" applyFill="1" applyFont="1" applyNumberFormat="1">
      <alignment horizontal="center" readingOrder="0" shrinkToFit="0" vertical="center" wrapText="0"/>
    </xf>
    <xf borderId="20" fillId="10" fontId="4" numFmtId="0" xfId="0" applyAlignment="1" applyBorder="1" applyFont="1">
      <alignment horizontal="left" readingOrder="0" vertical="center"/>
    </xf>
    <xf borderId="20" fillId="10" fontId="4" numFmtId="0" xfId="0" applyAlignment="1" applyBorder="1" applyFont="1">
      <alignment horizontal="center" readingOrder="0" shrinkToFit="0" vertical="center" wrapText="1"/>
    </xf>
    <xf borderId="20" fillId="10" fontId="4" numFmtId="165" xfId="0" applyAlignment="1" applyBorder="1" applyFont="1" applyNumberFormat="1">
      <alignment horizontal="center" readingOrder="0" shrinkToFit="0" vertical="center" wrapText="1"/>
    </xf>
    <xf borderId="20" fillId="10" fontId="4" numFmtId="165" xfId="0" applyAlignment="1" applyBorder="1" applyFont="1" applyNumberFormat="1">
      <alignment horizontal="center" shrinkToFit="0" vertical="center" wrapText="1"/>
    </xf>
    <xf borderId="20" fillId="3" fontId="5" numFmtId="0" xfId="0" applyAlignment="1" applyBorder="1" applyFont="1">
      <alignment horizontal="center" shrinkToFit="0" vertical="center" wrapText="1"/>
    </xf>
    <xf borderId="20" fillId="3" fontId="5" numFmtId="166" xfId="0" applyAlignment="1" applyBorder="1" applyFont="1" applyNumberFormat="1">
      <alignment horizontal="center" shrinkToFit="0" vertical="center" wrapText="1"/>
    </xf>
    <xf borderId="0" fillId="3" fontId="5" numFmtId="166" xfId="0" applyAlignment="1" applyFont="1" applyNumberFormat="1">
      <alignment horizontal="center" readingOrder="0" shrinkToFit="0" vertical="center" wrapText="1"/>
    </xf>
    <xf borderId="0" fillId="3" fontId="5" numFmtId="166" xfId="0" applyAlignment="1" applyFont="1" applyNumberFormat="1">
      <alignment horizontal="center" shrinkToFit="0" vertical="center" wrapText="1"/>
    </xf>
    <xf borderId="0" fillId="3" fontId="4" numFmtId="10" xfId="0" applyAlignment="1" applyFont="1" applyNumberFormat="1">
      <alignment horizontal="center" shrinkToFit="0" vertical="center" wrapText="1"/>
    </xf>
    <xf borderId="24" fillId="3" fontId="4" numFmtId="0" xfId="0" applyAlignment="1" applyBorder="1" applyFont="1">
      <alignment horizontal="center" vertical="center"/>
    </xf>
    <xf borderId="22" fillId="3" fontId="4" numFmtId="0" xfId="0" applyAlignment="1" applyBorder="1" applyFont="1">
      <alignment horizontal="center"/>
    </xf>
    <xf borderId="22" fillId="3" fontId="5" numFmtId="0" xfId="0" applyAlignment="1" applyBorder="1" applyFont="1">
      <alignment horizontal="right" readingOrder="0" shrinkToFit="0" vertical="center" wrapText="1"/>
    </xf>
    <xf borderId="19" fillId="3" fontId="5" numFmtId="0" xfId="0" applyAlignment="1" applyBorder="1" applyFont="1">
      <alignment horizontal="right" readingOrder="0" shrinkToFit="0" vertical="center" wrapText="1"/>
    </xf>
    <xf borderId="19" fillId="3" fontId="5" numFmtId="0" xfId="0" applyAlignment="1" applyBorder="1" applyFont="1">
      <alignment horizontal="right" shrinkToFit="0" vertical="center" wrapText="1"/>
    </xf>
    <xf borderId="20" fillId="3" fontId="12" numFmtId="0" xfId="0" applyAlignment="1" applyBorder="1" applyFont="1">
      <alignment shrinkToFit="0" vertical="center" wrapText="1"/>
    </xf>
    <xf borderId="15" fillId="3" fontId="5" numFmtId="167" xfId="0" applyAlignment="1" applyBorder="1" applyFont="1" applyNumberFormat="1">
      <alignment horizontal="center" vertical="center"/>
    </xf>
    <xf borderId="0" fillId="3" fontId="5" numFmtId="167" xfId="0" applyAlignment="1" applyFont="1" applyNumberFormat="1">
      <alignment horizontal="center" readingOrder="0" vertical="center"/>
    </xf>
    <xf borderId="0" fillId="3" fontId="5" numFmtId="167" xfId="0" applyAlignment="1" applyFont="1" applyNumberFormat="1">
      <alignment horizontal="center" vertical="center"/>
    </xf>
    <xf borderId="22" fillId="3" fontId="5" numFmtId="0" xfId="0" applyAlignment="1" applyBorder="1" applyFont="1">
      <alignment horizontal="right" shrinkToFit="0" vertical="center" wrapText="1"/>
    </xf>
    <xf borderId="20" fillId="3" fontId="5" numFmtId="0" xfId="0" applyAlignment="1" applyBorder="1" applyFont="1">
      <alignment horizontal="right" readingOrder="0" shrinkToFit="0" vertical="center" wrapText="1"/>
    </xf>
    <xf borderId="20" fillId="3" fontId="5" numFmtId="0" xfId="0" applyAlignment="1" applyBorder="1" applyFont="1">
      <alignment horizontal="right" shrinkToFit="0" vertical="center" wrapText="1"/>
    </xf>
    <xf borderId="29" fillId="3" fontId="5" numFmtId="167" xfId="0" applyAlignment="1" applyBorder="1" applyFont="1" applyNumberFormat="1">
      <alignment horizontal="center" vertical="center"/>
    </xf>
    <xf borderId="29" fillId="0" fontId="6" numFmtId="0" xfId="0" applyBorder="1" applyFont="1"/>
    <xf borderId="0" fillId="3" fontId="4" numFmtId="0" xfId="0" applyAlignment="1" applyFont="1">
      <alignment horizontal="center"/>
    </xf>
    <xf borderId="0" fillId="3" fontId="13" numFmtId="0" xfId="0" applyAlignment="1" applyFont="1">
      <alignment horizontal="center" readingOrder="0" shrinkToFit="0" vertical="bottom" wrapText="1"/>
    </xf>
    <xf borderId="30" fillId="0" fontId="6" numFmtId="0" xfId="0" applyBorder="1" applyFont="1"/>
    <xf borderId="3" fillId="3" fontId="5" numFmtId="0" xfId="0" applyAlignment="1" applyBorder="1" applyFont="1">
      <alignment horizontal="center" shrinkToFit="0" vertical="center" wrapText="1"/>
    </xf>
    <xf borderId="3" fillId="3" fontId="5" numFmtId="10" xfId="0" applyAlignment="1" applyBorder="1" applyFont="1" applyNumberFormat="1">
      <alignment horizontal="center" vertical="center"/>
    </xf>
    <xf borderId="4" fillId="3" fontId="5" numFmtId="167" xfId="0" applyAlignment="1" applyBorder="1" applyFont="1" applyNumberFormat="1">
      <alignment horizontal="center" vertical="center"/>
    </xf>
    <xf borderId="0" fillId="3" fontId="7" numFmtId="0" xfId="0" applyFont="1"/>
    <xf borderId="31" fillId="3" fontId="4" numFmtId="0" xfId="0" applyBorder="1" applyFont="1"/>
    <xf borderId="32" fillId="0" fontId="6" numFmtId="0" xfId="0" applyBorder="1" applyFont="1"/>
    <xf borderId="5" fillId="3" fontId="5" numFmtId="0" xfId="0" applyAlignment="1" applyBorder="1" applyFont="1">
      <alignment horizontal="left" shrinkToFit="0" vertical="center" wrapText="1"/>
    </xf>
    <xf borderId="6" fillId="3" fontId="5" numFmtId="0" xfId="0" applyAlignment="1" applyBorder="1" applyFont="1">
      <alignment horizontal="left" shrinkToFit="0" vertical="center" wrapText="1"/>
    </xf>
    <xf borderId="7" fillId="3" fontId="4" numFmtId="0" xfId="0" applyBorder="1" applyFont="1"/>
    <xf borderId="33" fillId="3" fontId="4" numFmtId="0" xfId="0" applyBorder="1" applyFont="1"/>
    <xf borderId="1" fillId="3" fontId="5" numFmtId="0" xfId="0" applyAlignment="1" applyBorder="1" applyFont="1">
      <alignment horizontal="left" shrinkToFit="0" vertical="center" wrapText="1"/>
    </xf>
    <xf borderId="22" fillId="11" fontId="14" numFmtId="0" xfId="0" applyAlignment="1" applyBorder="1" applyFill="1" applyFont="1">
      <alignment horizontal="left" readingOrder="0" shrinkToFit="0" vertical="center" wrapText="1"/>
    </xf>
    <xf borderId="20" fillId="8" fontId="15" numFmtId="0" xfId="0" applyAlignment="1" applyBorder="1" applyFont="1">
      <alignment horizontal="left" readingOrder="0" shrinkToFit="0" vertical="center" wrapText="1"/>
    </xf>
    <xf borderId="34" fillId="3" fontId="4" numFmtId="0" xfId="0" applyBorder="1" applyFont="1"/>
    <xf borderId="20" fillId="9" fontId="16" numFmtId="0" xfId="0" applyAlignment="1" applyBorder="1" applyFont="1">
      <alignment horizontal="left" readingOrder="0" shrinkToFit="0" vertical="center" wrapText="1"/>
    </xf>
    <xf borderId="20" fillId="10" fontId="17" numFmtId="0" xfId="0" applyAlignment="1" applyBorder="1" applyFont="1">
      <alignment horizontal="left" readingOrder="0" shrinkToFit="0" vertical="center" wrapText="1"/>
    </xf>
    <xf borderId="33" fillId="3" fontId="4" numFmtId="0" xfId="0" applyAlignment="1" applyBorder="1" applyFont="1">
      <alignment horizontal="center"/>
    </xf>
    <xf borderId="0" fillId="3" fontId="18" numFmtId="0" xfId="0" applyAlignment="1" applyFont="1">
      <alignment horizontal="left" readingOrder="0" shrinkToFit="0" vertical="center" wrapText="1"/>
    </xf>
    <xf borderId="0" fillId="3" fontId="4" numFmtId="0" xfId="0" applyAlignment="1" applyFont="1">
      <alignment horizontal="center" vertical="center"/>
    </xf>
    <xf borderId="33" fillId="3" fontId="5" numFmtId="0" xfId="0" applyAlignment="1" applyBorder="1" applyFont="1">
      <alignment horizontal="center" vertical="center"/>
    </xf>
    <xf borderId="0" fillId="3" fontId="5" numFmtId="0" xfId="0" applyAlignment="1" applyFont="1">
      <alignment horizontal="center" vertical="center"/>
    </xf>
    <xf borderId="33" fillId="3" fontId="7" numFmtId="0" xfId="0" applyBorder="1" applyFont="1"/>
    <xf borderId="0" fillId="3" fontId="7" numFmtId="0" xfId="0" applyAlignment="1" applyFont="1">
      <alignment horizontal="center" vertical="center"/>
    </xf>
    <xf borderId="35" fillId="2" fontId="2" numFmtId="0" xfId="0" applyAlignment="1" applyBorder="1" applyFont="1">
      <alignment horizontal="left" readingOrder="0" shrinkToFit="0" vertical="center" wrapText="1"/>
    </xf>
    <xf borderId="35" fillId="0" fontId="6" numFmtId="0" xfId="0" applyBorder="1" applyFont="1"/>
    <xf borderId="35" fillId="2" fontId="3" numFmtId="165" xfId="0" applyAlignment="1" applyBorder="1" applyFont="1" applyNumberFormat="1">
      <alignment horizontal="center" readingOrder="0" shrinkToFit="0" vertical="center" wrapText="1"/>
    </xf>
    <xf borderId="36" fillId="12" fontId="19" numFmtId="0" xfId="0" applyAlignment="1" applyBorder="1" applyFill="1" applyFont="1">
      <alignment horizontal="left" shrinkToFit="0" vertical="center" wrapText="1"/>
    </xf>
    <xf borderId="37" fillId="12" fontId="19" numFmtId="0" xfId="0" applyAlignment="1" applyBorder="1" applyFont="1">
      <alignment horizontal="center" shrinkToFit="0" vertical="center" wrapText="1"/>
    </xf>
    <xf borderId="37" fillId="12" fontId="19" numFmtId="165" xfId="0" applyAlignment="1" applyBorder="1" applyFont="1" applyNumberFormat="1">
      <alignment horizontal="center" shrinkToFit="0" vertical="center" wrapText="1"/>
    </xf>
    <xf borderId="38" fillId="12" fontId="19" numFmtId="0" xfId="0" applyAlignment="1" applyBorder="1" applyFont="1">
      <alignment horizontal="center" shrinkToFit="0" vertical="center" wrapText="1"/>
    </xf>
    <xf borderId="39" fillId="12" fontId="20" numFmtId="0" xfId="0" applyAlignment="1" applyBorder="1" applyFont="1">
      <alignment horizontal="left" vertical="center"/>
    </xf>
    <xf borderId="7" fillId="12" fontId="19" numFmtId="0" xfId="0" applyAlignment="1" applyBorder="1" applyFont="1">
      <alignment horizontal="left" readingOrder="0" vertical="center"/>
    </xf>
    <xf borderId="7" fillId="12" fontId="19" numFmtId="0" xfId="0" applyAlignment="1" applyBorder="1" applyFont="1">
      <alignment horizontal="left" readingOrder="0"/>
    </xf>
    <xf borderId="5" fillId="12" fontId="19" numFmtId="0" xfId="0" applyAlignment="1" applyBorder="1" applyFont="1">
      <alignment horizontal="left" readingOrder="0"/>
    </xf>
    <xf borderId="34" fillId="12" fontId="20" numFmtId="0" xfId="0" applyAlignment="1" applyBorder="1" applyFont="1">
      <alignment horizontal="left"/>
    </xf>
    <xf borderId="40" fillId="12" fontId="20" numFmtId="165" xfId="0" applyAlignment="1" applyBorder="1" applyFont="1" applyNumberFormat="1">
      <alignment horizontal="center"/>
    </xf>
    <xf borderId="41" fillId="0" fontId="6" numFmtId="0" xfId="0" applyBorder="1" applyFont="1"/>
    <xf borderId="42" fillId="0" fontId="6" numFmtId="0" xfId="0" applyBorder="1" applyFont="1"/>
    <xf borderId="34" fillId="12" fontId="20" numFmtId="165" xfId="0" applyAlignment="1" applyBorder="1" applyFont="1" applyNumberFormat="1">
      <alignment horizontal="center"/>
    </xf>
    <xf borderId="43" fillId="12" fontId="20" numFmtId="165" xfId="0" applyAlignment="1" applyBorder="1" applyFont="1" applyNumberFormat="1">
      <alignment horizontal="center" readingOrder="0" shrinkToFit="0" wrapText="1"/>
    </xf>
    <xf borderId="44" fillId="0" fontId="6" numFmtId="0" xfId="0" applyBorder="1" applyFont="1"/>
    <xf borderId="45" fillId="0" fontId="6" numFmtId="0" xfId="0" applyBorder="1" applyFont="1"/>
    <xf borderId="46" fillId="12" fontId="20" numFmtId="0" xfId="0" applyBorder="1" applyFont="1"/>
    <xf borderId="7" fillId="12" fontId="19" numFmtId="0" xfId="0" applyAlignment="1" applyBorder="1" applyFont="1">
      <alignment horizontal="left" vertical="center"/>
    </xf>
    <xf borderId="6" fillId="12" fontId="19" numFmtId="0" xfId="0" applyAlignment="1" applyBorder="1" applyFont="1">
      <alignment horizontal="left" vertical="center"/>
    </xf>
    <xf borderId="4" fillId="12" fontId="20" numFmtId="165" xfId="0" applyAlignment="1" applyBorder="1" applyFont="1" applyNumberFormat="1">
      <alignment horizontal="center" readingOrder="0"/>
    </xf>
    <xf borderId="3" fillId="12" fontId="20" numFmtId="165" xfId="0" applyAlignment="1" applyBorder="1" applyFont="1" applyNumberFormat="1">
      <alignment horizontal="center"/>
    </xf>
    <xf borderId="3" fillId="12" fontId="20" numFmtId="165" xfId="0" applyAlignment="1" applyBorder="1" applyFont="1" applyNumberFormat="1">
      <alignment horizontal="center" readingOrder="0"/>
    </xf>
    <xf borderId="6" fillId="12" fontId="19" numFmtId="0" xfId="0" applyAlignment="1" applyBorder="1" applyFont="1">
      <alignment horizontal="left" readingOrder="0"/>
    </xf>
    <xf borderId="34" fillId="12" fontId="20" numFmtId="10" xfId="0" applyAlignment="1" applyBorder="1" applyFont="1" applyNumberFormat="1">
      <alignment horizontal="center"/>
    </xf>
    <xf borderId="34" fillId="12" fontId="20" numFmtId="10" xfId="0" applyAlignment="1" applyBorder="1" applyFont="1" applyNumberFormat="1">
      <alignment horizontal="center" readingOrder="0"/>
    </xf>
    <xf borderId="7" fillId="12" fontId="20" numFmtId="0" xfId="0" applyAlignment="1" applyBorder="1" applyFont="1">
      <alignment horizontal="left" vertical="center"/>
    </xf>
    <xf borderId="7" fillId="12" fontId="20" numFmtId="0" xfId="0" applyAlignment="1" applyBorder="1" applyFont="1">
      <alignment horizontal="left"/>
    </xf>
    <xf borderId="6" fillId="12" fontId="20" numFmtId="0" xfId="0" applyAlignment="1" applyBorder="1" applyFont="1">
      <alignment horizontal="left"/>
    </xf>
    <xf borderId="34" fillId="12" fontId="20" numFmtId="0" xfId="0" applyBorder="1" applyFont="1"/>
    <xf borderId="5" fillId="12" fontId="20" numFmtId="0" xfId="0" applyAlignment="1" applyBorder="1" applyFont="1">
      <alignment horizontal="left"/>
    </xf>
    <xf borderId="7" fillId="12" fontId="20" numFmtId="0" xfId="0" applyAlignment="1" applyBorder="1" applyFont="1">
      <alignment horizontal="left" readingOrder="0" vertical="center"/>
    </xf>
    <xf borderId="7" fillId="12" fontId="20" numFmtId="0" xfId="0" applyAlignment="1" applyBorder="1" applyFont="1">
      <alignment horizontal="left" readingOrder="0"/>
    </xf>
    <xf borderId="5" fillId="12" fontId="20" numFmtId="0" xfId="0" applyAlignment="1" applyBorder="1" applyFont="1">
      <alignment horizontal="left" readingOrder="0"/>
    </xf>
    <xf borderId="6" fillId="12" fontId="20" numFmtId="0" xfId="0" applyAlignment="1" applyBorder="1" applyFont="1">
      <alignment horizontal="left" readingOrder="0"/>
    </xf>
    <xf borderId="4" fillId="12" fontId="20" numFmtId="10" xfId="0" applyAlignment="1" applyBorder="1" applyFont="1" applyNumberFormat="1">
      <alignment horizontal="center"/>
    </xf>
    <xf borderId="7" fillId="12" fontId="19" numFmtId="0" xfId="0" applyAlignment="1" applyBorder="1" applyFont="1">
      <alignment horizontal="left"/>
    </xf>
    <xf borderId="5" fillId="12" fontId="19" numFmtId="0" xfId="0" applyAlignment="1" applyBorder="1" applyFont="1">
      <alignment horizontal="left"/>
    </xf>
    <xf borderId="43" fillId="12" fontId="21" numFmtId="165" xfId="0" applyAlignment="1" applyBorder="1" applyFont="1" applyNumberFormat="1">
      <alignment horizontal="center" readingOrder="0" shrinkToFit="0" wrapText="1"/>
    </xf>
    <xf borderId="22" fillId="12" fontId="21" numFmtId="165" xfId="0" applyAlignment="1" applyBorder="1" applyFont="1" applyNumberFormat="1">
      <alignment horizontal="center" readingOrder="0" shrinkToFit="0" vertical="bottom" wrapText="1"/>
    </xf>
    <xf borderId="0" fillId="12" fontId="20" numFmtId="10" xfId="0" applyAlignment="1" applyFont="1" applyNumberFormat="1">
      <alignment horizontal="center" vertical="bottom"/>
    </xf>
    <xf borderId="47" fillId="12" fontId="20" numFmtId="0" xfId="0" applyAlignment="1" applyBorder="1" applyFont="1">
      <alignment horizontal="left" vertical="center"/>
    </xf>
    <xf borderId="13" fillId="12" fontId="20" numFmtId="0" xfId="0" applyAlignment="1" applyBorder="1" applyFont="1">
      <alignment vertical="center"/>
    </xf>
    <xf borderId="13" fillId="12" fontId="20" numFmtId="0" xfId="0" applyBorder="1" applyFont="1"/>
    <xf borderId="48" fillId="12" fontId="20" numFmtId="0" xfId="0" applyBorder="1" applyFont="1"/>
    <xf borderId="11" fillId="12" fontId="20" numFmtId="0" xfId="0" applyAlignment="1" applyBorder="1" applyFont="1">
      <alignment horizontal="center"/>
    </xf>
    <xf borderId="12" fillId="12" fontId="20" numFmtId="0" xfId="0" applyAlignment="1" applyBorder="1" applyFont="1">
      <alignment horizontal="center"/>
    </xf>
    <xf borderId="12" fillId="12" fontId="20" numFmtId="165" xfId="0" applyAlignment="1" applyBorder="1" applyFont="1" applyNumberFormat="1">
      <alignment horizontal="center"/>
    </xf>
    <xf borderId="22" fillId="12" fontId="20" numFmtId="165" xfId="0" applyAlignment="1" applyBorder="1" applyFont="1" applyNumberFormat="1">
      <alignment horizontal="center" readingOrder="0" shrinkToFit="0" vertical="bottom" wrapText="1"/>
    </xf>
    <xf borderId="49" fillId="12" fontId="20" numFmtId="0" xfId="0" applyBorder="1" applyFont="1"/>
    <xf borderId="50" fillId="12" fontId="20" numFmtId="0" xfId="0" applyAlignment="1" applyBorder="1" applyFont="1">
      <alignment horizontal="left" vertical="center"/>
    </xf>
    <xf borderId="51" fillId="12" fontId="20" numFmtId="0" xfId="0" applyAlignment="1" applyBorder="1" applyFont="1">
      <alignment vertical="center"/>
    </xf>
    <xf borderId="51" fillId="12" fontId="20" numFmtId="0" xfId="0" applyBorder="1" applyFont="1"/>
    <xf borderId="51" fillId="12" fontId="20" numFmtId="0" xfId="0" applyAlignment="1" applyBorder="1" applyFont="1">
      <alignment horizontal="center"/>
    </xf>
    <xf borderId="51" fillId="12" fontId="20" numFmtId="165" xfId="0" applyAlignment="1" applyBorder="1" applyFont="1" applyNumberFormat="1">
      <alignment horizontal="center"/>
    </xf>
    <xf borderId="52" fillId="12" fontId="20" numFmtId="0" xfId="0" applyBorder="1" applyFont="1"/>
    <xf borderId="0" fillId="2" fontId="19" numFmtId="49" xfId="0" applyAlignment="1" applyFont="1" applyNumberFormat="1">
      <alignment horizontal="left" readingOrder="0" shrinkToFit="0" vertical="center" wrapText="1"/>
    </xf>
    <xf borderId="26" fillId="2" fontId="19" numFmtId="0" xfId="0" applyAlignment="1" applyBorder="1" applyFont="1">
      <alignment horizontal="center" shrinkToFit="0" vertical="center" wrapText="1"/>
    </xf>
    <xf borderId="26" fillId="2" fontId="19" numFmtId="0" xfId="0" applyAlignment="1" applyBorder="1" applyFont="1">
      <alignment horizontal="center" readingOrder="0" shrinkToFit="0" vertical="center" wrapText="1"/>
    </xf>
    <xf borderId="26" fillId="2" fontId="19" numFmtId="0" xfId="0" applyAlignment="1" applyBorder="1" applyFont="1">
      <alignment horizontal="left" shrinkToFit="0" vertical="center" wrapText="1"/>
    </xf>
    <xf borderId="24" fillId="2" fontId="19" numFmtId="165" xfId="0" applyAlignment="1" applyBorder="1" applyFont="1" applyNumberFormat="1">
      <alignment horizontal="center" shrinkToFit="0" vertical="center" wrapText="1"/>
    </xf>
    <xf borderId="31" fillId="0" fontId="6" numFmtId="0" xfId="0" applyBorder="1" applyFont="1"/>
    <xf borderId="28" fillId="2" fontId="19" numFmtId="0" xfId="0" applyAlignment="1" applyBorder="1" applyFont="1">
      <alignment horizontal="center" shrinkToFit="0" vertical="center" wrapText="1"/>
    </xf>
    <xf borderId="23" fillId="2" fontId="19" numFmtId="165" xfId="0" applyAlignment="1" applyBorder="1" applyFont="1" applyNumberFormat="1">
      <alignment horizontal="center" readingOrder="0" shrinkToFit="0" vertical="center" wrapText="1"/>
    </xf>
    <xf borderId="23" fillId="2" fontId="19" numFmtId="0" xfId="0" applyAlignment="1" applyBorder="1" applyFont="1">
      <alignment horizontal="center" shrinkToFit="0" vertical="center" wrapText="1"/>
    </xf>
    <xf borderId="20" fillId="13" fontId="22" numFmtId="49" xfId="0" applyAlignment="1" applyBorder="1" applyFill="1" applyFont="1" applyNumberFormat="1">
      <alignment horizontal="center" readingOrder="0" shrinkToFit="0" vertical="center" wrapText="1"/>
    </xf>
    <xf borderId="20" fillId="14" fontId="5" numFmtId="165" xfId="0" applyAlignment="1" applyBorder="1" applyFill="1" applyFont="1" applyNumberFormat="1">
      <alignment horizontal="left" readingOrder="0" shrinkToFit="0" vertical="center" wrapText="1"/>
    </xf>
    <xf borderId="20" fillId="14" fontId="5" numFmtId="165" xfId="0" applyAlignment="1" applyBorder="1" applyFont="1" applyNumberFormat="1">
      <alignment horizontal="center" shrinkToFit="0" vertical="center" wrapText="1"/>
    </xf>
    <xf borderId="20" fillId="14" fontId="5" numFmtId="10" xfId="0" applyAlignment="1" applyBorder="1" applyFont="1" applyNumberFormat="1">
      <alignment horizontal="center" shrinkToFit="0" vertical="center" wrapText="1"/>
    </xf>
    <xf borderId="20" fillId="6" fontId="23" numFmtId="49" xfId="0" applyAlignment="1" applyBorder="1" applyFont="1" applyNumberFormat="1">
      <alignment horizontal="left" readingOrder="0" shrinkToFit="0" vertical="center" wrapText="1"/>
    </xf>
    <xf borderId="20" fillId="6" fontId="20" numFmtId="0" xfId="0" applyAlignment="1" applyBorder="1" applyFont="1">
      <alignment horizontal="center" shrinkToFit="0" vertical="center" wrapText="1"/>
    </xf>
    <xf borderId="20" fillId="6" fontId="23" numFmtId="49" xfId="0" applyAlignment="1" applyBorder="1" applyFont="1" applyNumberFormat="1">
      <alignment horizontal="center" readingOrder="0" shrinkToFit="0" vertical="center" wrapText="1"/>
    </xf>
    <xf borderId="53" fillId="6" fontId="23" numFmtId="0" xfId="0" applyAlignment="1" applyBorder="1" applyFont="1">
      <alignment horizontal="center" readingOrder="0" shrinkToFit="0" vertical="center" wrapText="1"/>
    </xf>
    <xf borderId="20" fillId="6" fontId="23" numFmtId="0" xfId="0" applyAlignment="1" applyBorder="1" applyFont="1">
      <alignment horizontal="left" shrinkToFit="0" vertical="center" wrapText="1"/>
    </xf>
    <xf borderId="20" fillId="6" fontId="23" numFmtId="0" xfId="0" applyAlignment="1" applyBorder="1" applyFont="1">
      <alignment horizontal="center" readingOrder="0" shrinkToFit="0" vertical="center" wrapText="1"/>
    </xf>
    <xf borderId="20" fillId="6" fontId="23" numFmtId="4" xfId="0" applyAlignment="1" applyBorder="1" applyFont="1" applyNumberFormat="1">
      <alignment horizontal="center" readingOrder="0" shrinkToFit="0" vertical="center" wrapText="1"/>
    </xf>
    <xf borderId="20" fillId="6" fontId="23" numFmtId="165" xfId="0" applyAlignment="1" applyBorder="1" applyFont="1" applyNumberFormat="1">
      <alignment horizontal="center" readingOrder="0" shrinkToFit="0" vertical="center" wrapText="1"/>
    </xf>
    <xf borderId="20" fillId="6" fontId="23" numFmtId="165" xfId="0" applyAlignment="1" applyBorder="1" applyFont="1" applyNumberFormat="1">
      <alignment horizontal="center" shrinkToFit="0" vertical="center" wrapText="1"/>
    </xf>
    <xf borderId="20" fillId="6" fontId="23" numFmtId="10" xfId="0" applyAlignment="1" applyBorder="1" applyFont="1" applyNumberFormat="1">
      <alignment horizontal="center" shrinkToFit="0" vertical="center" wrapText="1"/>
    </xf>
    <xf borderId="20" fillId="14" fontId="5" numFmtId="165" xfId="0" applyAlignment="1" applyBorder="1" applyFont="1" applyNumberFormat="1">
      <alignment readingOrder="0" shrinkToFit="0" vertical="center" wrapText="1"/>
    </xf>
    <xf borderId="22" fillId="6" fontId="20" numFmtId="0" xfId="0" applyAlignment="1" applyBorder="1" applyFont="1">
      <alignment horizontal="center" shrinkToFit="0" vertical="center" wrapText="1"/>
    </xf>
    <xf borderId="20" fillId="15" fontId="5" numFmtId="0" xfId="0" applyAlignment="1" applyBorder="1" applyFill="1" applyFont="1">
      <alignment readingOrder="0" shrinkToFit="0" vertical="center" wrapText="1"/>
    </xf>
    <xf borderId="20" fillId="15" fontId="5" numFmtId="165" xfId="0" applyAlignment="1" applyBorder="1" applyFont="1" applyNumberFormat="1">
      <alignment horizontal="center" shrinkToFit="0" vertical="center" wrapText="1"/>
    </xf>
    <xf borderId="20" fillId="15" fontId="5" numFmtId="10" xfId="0" applyAlignment="1" applyBorder="1" applyFont="1" applyNumberFormat="1">
      <alignment horizontal="center" shrinkToFit="0" vertical="center" wrapText="1"/>
    </xf>
    <xf borderId="20" fillId="14" fontId="19" numFmtId="49" xfId="0" applyAlignment="1" applyBorder="1" applyFont="1" applyNumberFormat="1">
      <alignment readingOrder="0" shrinkToFit="0" vertical="center" wrapText="1"/>
    </xf>
    <xf borderId="20" fillId="14" fontId="19" numFmtId="0" xfId="0" applyAlignment="1" applyBorder="1" applyFont="1">
      <alignment readingOrder="0" shrinkToFit="0" vertical="center" wrapText="1"/>
    </xf>
    <xf borderId="20" fillId="14" fontId="19" numFmtId="165" xfId="0" applyAlignment="1" applyBorder="1" applyFont="1" applyNumberFormat="1">
      <alignment horizontal="center" shrinkToFit="0" wrapText="1"/>
    </xf>
    <xf borderId="20" fillId="14" fontId="19" numFmtId="10" xfId="0" applyAlignment="1" applyBorder="1" applyFont="1" applyNumberFormat="1">
      <alignment horizontal="center" shrinkToFit="0" wrapText="1"/>
    </xf>
    <xf borderId="20" fillId="8" fontId="23" numFmtId="49" xfId="0" applyAlignment="1" applyBorder="1" applyFont="1" applyNumberFormat="1">
      <alignment horizontal="left" readingOrder="0" shrinkToFit="0" vertical="center" wrapText="1"/>
    </xf>
    <xf borderId="20" fillId="8" fontId="23" numFmtId="0" xfId="0" applyAlignment="1" applyBorder="1" applyFont="1">
      <alignment horizontal="center" readingOrder="0" shrinkToFit="0" vertical="center" wrapText="1"/>
    </xf>
    <xf borderId="54" fillId="8" fontId="23" numFmtId="0" xfId="0" applyAlignment="1" applyBorder="1" applyFont="1">
      <alignment horizontal="center" shrinkToFit="0" vertical="center" wrapText="1"/>
    </xf>
    <xf borderId="54" fillId="8" fontId="23" numFmtId="0" xfId="0" applyAlignment="1" applyBorder="1" applyFont="1">
      <alignment horizontal="center" readingOrder="0" shrinkToFit="0" vertical="center" wrapText="1"/>
    </xf>
    <xf borderId="0" fillId="8" fontId="23" numFmtId="0" xfId="0" applyAlignment="1" applyFont="1">
      <alignment horizontal="left" shrinkToFit="0" vertical="center" wrapText="1"/>
    </xf>
    <xf borderId="20" fillId="8" fontId="23" numFmtId="0" xfId="0" applyAlignment="1" applyBorder="1" applyFont="1">
      <alignment horizontal="center" shrinkToFit="0" vertical="center" wrapText="1"/>
    </xf>
    <xf borderId="20" fillId="8" fontId="23" numFmtId="165" xfId="0" applyAlignment="1" applyBorder="1" applyFont="1" applyNumberFormat="1">
      <alignment horizontal="center" shrinkToFit="0" vertical="center" wrapText="1"/>
    </xf>
    <xf borderId="20" fillId="8" fontId="23" numFmtId="10" xfId="0" applyAlignment="1" applyBorder="1" applyFont="1" applyNumberFormat="1">
      <alignment horizontal="center" shrinkToFit="0" vertical="center" wrapText="1"/>
    </xf>
    <xf borderId="53" fillId="8" fontId="23" numFmtId="0" xfId="0" applyAlignment="1" applyBorder="1" applyFont="1">
      <alignment horizontal="center" shrinkToFit="0" vertical="center" wrapText="1"/>
    </xf>
    <xf borderId="53" fillId="8" fontId="23" numFmtId="0" xfId="0" applyAlignment="1" applyBorder="1" applyFont="1">
      <alignment horizontal="center" readingOrder="0" shrinkToFit="0" vertical="center" wrapText="1"/>
    </xf>
    <xf borderId="53" fillId="8" fontId="23" numFmtId="0" xfId="0" applyAlignment="1" applyBorder="1" applyFont="1">
      <alignment horizontal="left" shrinkToFit="0" vertical="center" wrapText="1"/>
    </xf>
    <xf borderId="55" fillId="8" fontId="23" numFmtId="0" xfId="0" applyAlignment="1" applyBorder="1" applyFont="1">
      <alignment horizontal="center" shrinkToFit="0" vertical="center" wrapText="1"/>
    </xf>
    <xf borderId="55" fillId="8" fontId="23" numFmtId="0" xfId="0" applyAlignment="1" applyBorder="1" applyFont="1">
      <alignment horizontal="center" readingOrder="0" shrinkToFit="0" vertical="center" wrapText="1"/>
    </xf>
    <xf borderId="20" fillId="16" fontId="5" numFmtId="0" xfId="0" applyAlignment="1" applyBorder="1" applyFill="1" applyFont="1">
      <alignment readingOrder="0" shrinkToFit="0" vertical="center" wrapText="1"/>
    </xf>
    <xf borderId="20" fillId="16" fontId="5" numFmtId="165" xfId="0" applyAlignment="1" applyBorder="1" applyFont="1" applyNumberFormat="1">
      <alignment horizontal="center" shrinkToFit="0" vertical="center" wrapText="1"/>
    </xf>
    <xf borderId="20" fillId="16" fontId="5" numFmtId="10" xfId="0" applyAlignment="1" applyBorder="1" applyFont="1" applyNumberFormat="1">
      <alignment horizontal="center" shrinkToFit="0" vertical="center" wrapText="1"/>
    </xf>
    <xf borderId="20" fillId="14" fontId="5" numFmtId="168" xfId="0" applyAlignment="1" applyBorder="1" applyFont="1" applyNumberFormat="1">
      <alignment horizontal="left" readingOrder="0" shrinkToFit="0" vertical="center" wrapText="1"/>
    </xf>
    <xf borderId="20" fillId="14" fontId="24" numFmtId="0" xfId="0" applyAlignment="1" applyBorder="1" applyFont="1">
      <alignment shrinkToFit="0" vertical="center" wrapText="1"/>
    </xf>
    <xf borderId="20" fillId="14" fontId="24" numFmtId="165" xfId="0" applyAlignment="1" applyBorder="1" applyFont="1" applyNumberFormat="1">
      <alignment horizontal="center" shrinkToFit="0" wrapText="1"/>
    </xf>
    <xf borderId="20" fillId="14" fontId="24" numFmtId="10" xfId="0" applyAlignment="1" applyBorder="1" applyFont="1" applyNumberFormat="1">
      <alignment horizontal="center" shrinkToFit="0" wrapText="1"/>
    </xf>
    <xf borderId="20" fillId="9" fontId="23" numFmtId="49" xfId="0" applyAlignment="1" applyBorder="1" applyFont="1" applyNumberFormat="1">
      <alignment horizontal="left" readingOrder="0" shrinkToFit="0" vertical="center" wrapText="1"/>
    </xf>
    <xf borderId="20" fillId="9" fontId="23" numFmtId="0" xfId="0" applyAlignment="1" applyBorder="1" applyFont="1">
      <alignment horizontal="center" readingOrder="0" shrinkToFit="0" vertical="center" wrapText="1"/>
    </xf>
    <xf borderId="55" fillId="9" fontId="23" numFmtId="0" xfId="0" applyAlignment="1" applyBorder="1" applyFont="1">
      <alignment horizontal="center" shrinkToFit="0" vertical="center" wrapText="1"/>
    </xf>
    <xf borderId="53" fillId="9" fontId="23" numFmtId="0" xfId="0" applyAlignment="1" applyBorder="1" applyFont="1">
      <alignment horizontal="left" shrinkToFit="0" vertical="center" wrapText="1"/>
    </xf>
    <xf borderId="20" fillId="9" fontId="23" numFmtId="0" xfId="0" applyAlignment="1" applyBorder="1" applyFont="1">
      <alignment horizontal="center" shrinkToFit="0" vertical="center" wrapText="1"/>
    </xf>
    <xf borderId="20" fillId="9" fontId="23" numFmtId="165" xfId="0" applyAlignment="1" applyBorder="1" applyFont="1" applyNumberFormat="1">
      <alignment horizontal="center" shrinkToFit="0" vertical="center" wrapText="1"/>
    </xf>
    <xf borderId="20" fillId="9" fontId="23" numFmtId="10" xfId="0" applyAlignment="1" applyBorder="1" applyFont="1" applyNumberFormat="1">
      <alignment horizontal="center" shrinkToFit="0" vertical="center" wrapText="1"/>
    </xf>
    <xf borderId="55" fillId="9" fontId="23" numFmtId="0" xfId="0" applyAlignment="1" applyBorder="1" applyFont="1">
      <alignment horizontal="center" readingOrder="0" shrinkToFit="0" vertical="center" wrapText="1"/>
    </xf>
    <xf borderId="20" fillId="9" fontId="23" numFmtId="2" xfId="0" applyAlignment="1" applyBorder="1" applyFont="1" applyNumberFormat="1">
      <alignment horizontal="center" shrinkToFit="0" vertical="center" wrapText="1"/>
    </xf>
    <xf borderId="20" fillId="9" fontId="23" numFmtId="1" xfId="0" applyAlignment="1" applyBorder="1" applyFont="1" applyNumberFormat="1">
      <alignment horizontal="center" readingOrder="0" shrinkToFit="0" vertical="center" wrapText="1"/>
    </xf>
    <xf borderId="20" fillId="17" fontId="5" numFmtId="0" xfId="0" applyAlignment="1" applyBorder="1" applyFill="1" applyFont="1">
      <alignment readingOrder="0" shrinkToFit="0" vertical="center" wrapText="1"/>
    </xf>
    <xf borderId="20" fillId="17" fontId="5" numFmtId="165" xfId="0" applyAlignment="1" applyBorder="1" applyFont="1" applyNumberFormat="1">
      <alignment horizontal="center" shrinkToFit="0" vertical="center" wrapText="1"/>
    </xf>
    <xf borderId="20" fillId="17" fontId="5" numFmtId="10" xfId="0" applyAlignment="1" applyBorder="1" applyFont="1" applyNumberFormat="1">
      <alignment horizontal="center" shrinkToFit="0" vertical="center" wrapText="1"/>
    </xf>
    <xf borderId="20" fillId="15" fontId="25" numFmtId="49" xfId="0" applyAlignment="1" applyBorder="1" applyFont="1" applyNumberFormat="1">
      <alignment readingOrder="0" shrinkToFit="0" vertical="center" wrapText="1"/>
    </xf>
    <xf borderId="20" fillId="15" fontId="24" numFmtId="0" xfId="0" applyAlignment="1" applyBorder="1" applyFont="1">
      <alignment shrinkToFit="0" vertical="center" wrapText="1"/>
    </xf>
    <xf borderId="20" fillId="15" fontId="24" numFmtId="165" xfId="0" applyAlignment="1" applyBorder="1" applyFont="1" applyNumberFormat="1">
      <alignment horizontal="center" shrinkToFit="0" vertical="center" wrapText="1"/>
    </xf>
    <xf borderId="20" fillId="15" fontId="24" numFmtId="10" xfId="0" applyAlignment="1" applyBorder="1" applyFont="1" applyNumberFormat="1">
      <alignment horizontal="center" shrinkToFit="0" vertical="center" wrapText="1"/>
    </xf>
    <xf borderId="20" fillId="10" fontId="23" numFmtId="49" xfId="0" applyAlignment="1" applyBorder="1" applyFont="1" applyNumberFormat="1">
      <alignment horizontal="left" readingOrder="0" shrinkToFit="0" vertical="center" wrapText="1"/>
    </xf>
    <xf borderId="20" fillId="10" fontId="23" numFmtId="0" xfId="0" applyAlignment="1" applyBorder="1" applyFont="1">
      <alignment horizontal="center" readingOrder="0" shrinkToFit="0" vertical="center" wrapText="1"/>
    </xf>
    <xf borderId="55" fillId="10" fontId="23" numFmtId="0" xfId="0" applyAlignment="1" applyBorder="1" applyFont="1">
      <alignment horizontal="center" shrinkToFit="0" vertical="center" wrapText="1"/>
    </xf>
    <xf borderId="55" fillId="10" fontId="23" numFmtId="0" xfId="0" applyAlignment="1" applyBorder="1" applyFont="1">
      <alignment horizontal="center" readingOrder="0" shrinkToFit="0" vertical="center" wrapText="1"/>
    </xf>
    <xf borderId="53" fillId="10" fontId="23" numFmtId="0" xfId="0" applyAlignment="1" applyBorder="1" applyFont="1">
      <alignment horizontal="left" shrinkToFit="0" vertical="center" wrapText="1"/>
    </xf>
    <xf borderId="20" fillId="10" fontId="23" numFmtId="0" xfId="0" applyAlignment="1" applyBorder="1" applyFont="1">
      <alignment horizontal="center" shrinkToFit="0" vertical="center" wrapText="1"/>
    </xf>
    <xf borderId="20" fillId="10" fontId="23" numFmtId="165" xfId="0" applyAlignment="1" applyBorder="1" applyFont="1" applyNumberFormat="1">
      <alignment horizontal="center" shrinkToFit="0" vertical="center" wrapText="1"/>
    </xf>
    <xf borderId="20" fillId="10" fontId="23" numFmtId="10" xfId="0" applyAlignment="1" applyBorder="1" applyFont="1" applyNumberFormat="1">
      <alignment horizontal="center" shrinkToFit="0" vertical="center" wrapText="1"/>
    </xf>
    <xf borderId="20" fillId="18" fontId="19" numFmtId="49" xfId="0" applyAlignment="1" applyBorder="1" applyFill="1" applyFont="1" applyNumberFormat="1">
      <alignment readingOrder="0" shrinkToFit="0" vertical="center" wrapText="1"/>
    </xf>
    <xf borderId="20" fillId="18" fontId="19" numFmtId="0" xfId="0" applyAlignment="1" applyBorder="1" applyFont="1">
      <alignment shrinkToFit="0" vertical="center" wrapText="1"/>
    </xf>
    <xf borderId="20" fillId="18" fontId="19" numFmtId="165" xfId="0" applyAlignment="1" applyBorder="1" applyFont="1" applyNumberFormat="1">
      <alignment horizontal="center" shrinkToFit="0" wrapText="1"/>
    </xf>
    <xf borderId="20" fillId="18" fontId="19" numFmtId="10" xfId="0" applyAlignment="1" applyBorder="1" applyFont="1" applyNumberFormat="1">
      <alignment horizontal="center" shrinkToFit="0" wrapText="1"/>
    </xf>
    <xf borderId="20" fillId="18" fontId="24" numFmtId="49" xfId="0" applyAlignment="1" applyBorder="1" applyFont="1" applyNumberFormat="1">
      <alignment readingOrder="0" shrinkToFit="0" vertical="center" wrapText="1"/>
    </xf>
    <xf borderId="20" fillId="18" fontId="24" numFmtId="0" xfId="0" applyAlignment="1" applyBorder="1" applyFont="1">
      <alignment shrinkToFit="0" vertical="center" wrapText="1"/>
    </xf>
    <xf borderId="20" fillId="18" fontId="24" numFmtId="165" xfId="0" applyAlignment="1" applyBorder="1" applyFont="1" applyNumberFormat="1">
      <alignment horizontal="center" shrinkToFit="0" vertical="center" wrapText="1"/>
    </xf>
    <xf borderId="20" fillId="18" fontId="24" numFmtId="10" xfId="0" applyAlignment="1" applyBorder="1" applyFont="1" applyNumberFormat="1">
      <alignment horizontal="center" shrinkToFit="0" vertical="center" wrapText="1"/>
    </xf>
    <xf borderId="0" fillId="0" fontId="12" numFmtId="49" xfId="0" applyAlignment="1" applyFont="1" applyNumberFormat="1">
      <alignment horizontal="left" vertical="center"/>
    </xf>
    <xf borderId="0" fillId="0" fontId="12" numFmtId="0" xfId="0" applyAlignment="1" applyFont="1">
      <alignment vertical="center"/>
    </xf>
    <xf borderId="20" fillId="0" fontId="26" numFmtId="169" xfId="0" applyAlignment="1" applyBorder="1" applyFont="1" applyNumberFormat="1">
      <alignment horizontal="center" readingOrder="0" shrinkToFit="0" vertical="center" wrapText="1"/>
    </xf>
    <xf borderId="20" fillId="0" fontId="27" numFmtId="165" xfId="0" applyAlignment="1" applyBorder="1" applyFont="1" applyNumberFormat="1">
      <alignment horizontal="center"/>
    </xf>
    <xf borderId="0" fillId="0" fontId="27" numFmtId="10" xfId="0" applyAlignment="1" applyFont="1" applyNumberFormat="1">
      <alignment horizontal="center"/>
    </xf>
    <xf borderId="0" fillId="19" fontId="4" numFmtId="0" xfId="0" applyAlignment="1" applyFill="1" applyFont="1">
      <alignment horizontal="left" shrinkToFit="0" vertical="center" wrapText="1"/>
    </xf>
    <xf borderId="0" fillId="19" fontId="4" numFmtId="169" xfId="0" applyAlignment="1" applyFont="1" applyNumberFormat="1">
      <alignment horizontal="left" shrinkToFit="0" vertical="center" wrapText="1"/>
    </xf>
    <xf borderId="15" fillId="0" fontId="12" numFmtId="0" xfId="0" applyBorder="1" applyFont="1"/>
    <xf borderId="15" fillId="19" fontId="4" numFmtId="0" xfId="0" applyAlignment="1" applyBorder="1" applyFont="1">
      <alignment horizontal="left" shrinkToFit="0" vertical="center" wrapText="1"/>
    </xf>
    <xf borderId="15" fillId="19" fontId="4" numFmtId="169" xfId="0" applyAlignment="1" applyBorder="1" applyFont="1" applyNumberFormat="1">
      <alignment horizontal="left" shrinkToFit="0" vertical="center" wrapText="1"/>
    </xf>
    <xf borderId="0" fillId="0" fontId="12" numFmtId="0" xfId="0" applyAlignment="1" applyFont="1">
      <alignment readingOrder="0"/>
    </xf>
    <xf borderId="25" fillId="0" fontId="12" numFmtId="0" xfId="0" applyBorder="1" applyFont="1"/>
    <xf borderId="25" fillId="19" fontId="4" numFmtId="0" xfId="0" applyAlignment="1" applyBorder="1" applyFont="1">
      <alignment horizontal="left" shrinkToFit="0" vertical="center" wrapText="1"/>
    </xf>
    <xf borderId="25" fillId="19" fontId="4" numFmtId="170" xfId="0" applyAlignment="1" applyBorder="1" applyFont="1" applyNumberFormat="1">
      <alignment horizontal="left" shrinkToFit="0" vertical="center" wrapText="1"/>
    </xf>
    <xf borderId="25" fillId="19" fontId="4" numFmtId="169" xfId="0" applyAlignment="1" applyBorder="1" applyFont="1" applyNumberFormat="1">
      <alignment horizontal="left" shrinkToFit="0" vertical="center" wrapText="1"/>
    </xf>
    <xf borderId="0" fillId="2" fontId="1" numFmtId="0" xfId="0" applyAlignment="1" applyFont="1">
      <alignment horizontal="right" shrinkToFit="0" vertical="center" wrapText="1"/>
    </xf>
    <xf borderId="35" fillId="2" fontId="2" numFmtId="0" xfId="0" applyAlignment="1" applyBorder="1" applyFont="1">
      <alignment horizontal="center" readingOrder="0" shrinkToFit="0" vertical="center" wrapText="1"/>
    </xf>
    <xf borderId="0" fillId="2" fontId="3" numFmtId="164" xfId="0" applyAlignment="1" applyFont="1" applyNumberFormat="1">
      <alignment horizontal="center" shrinkToFit="0" vertical="center" wrapText="1"/>
    </xf>
    <xf borderId="20" fillId="20" fontId="28" numFmtId="0" xfId="0" applyAlignment="1" applyBorder="1" applyFill="1" applyFont="1">
      <alignment horizontal="center" readingOrder="0" shrinkToFit="0" vertical="center" wrapText="1"/>
    </xf>
    <xf borderId="0" fillId="21" fontId="29" numFmtId="0" xfId="0" applyAlignment="1" applyFill="1" applyFont="1">
      <alignment horizontal="center" readingOrder="0" shrinkToFit="0" vertical="center" wrapText="1"/>
    </xf>
    <xf borderId="15" fillId="21" fontId="30" numFmtId="164" xfId="0" applyAlignment="1" applyBorder="1" applyFont="1" applyNumberFormat="1">
      <alignment horizontal="center" shrinkToFit="0" vertical="center" wrapText="1"/>
    </xf>
    <xf borderId="0" fillId="0" fontId="31" numFmtId="0" xfId="0" applyAlignment="1" applyFont="1">
      <alignment vertical="center"/>
    </xf>
    <xf borderId="0" fillId="21" fontId="30" numFmtId="167" xfId="0" applyAlignment="1" applyFont="1" applyNumberFormat="1">
      <alignment horizontal="center" shrinkToFit="0" vertical="center" wrapText="1"/>
    </xf>
    <xf borderId="27" fillId="6" fontId="20" numFmtId="0" xfId="0" applyAlignment="1" applyBorder="1" applyFont="1">
      <alignment horizontal="center" shrinkToFit="0" vertical="center" wrapText="1"/>
    </xf>
    <xf borderId="0" fillId="0" fontId="20" numFmtId="0" xfId="0" applyAlignment="1" applyFont="1">
      <alignment horizontal="center" shrinkToFit="0" vertical="center" wrapText="1"/>
    </xf>
    <xf borderId="24" fillId="0" fontId="6" numFmtId="0" xfId="0" applyBorder="1" applyFont="1"/>
    <xf borderId="24" fillId="19" fontId="20" numFmtId="0" xfId="0" applyAlignment="1" applyBorder="1" applyFont="1">
      <alignment shrinkToFit="0" vertical="center" wrapText="1"/>
    </xf>
    <xf borderId="0" fillId="0" fontId="20" numFmtId="0" xfId="0" applyAlignment="1" applyFont="1">
      <alignment shrinkToFit="0" vertical="center" wrapText="1"/>
    </xf>
    <xf borderId="24" fillId="19" fontId="23" numFmtId="0" xfId="0" applyAlignment="1" applyBorder="1" applyFont="1">
      <alignment shrinkToFit="0" vertical="center" wrapText="1"/>
    </xf>
    <xf borderId="0" fillId="0" fontId="23" numFmtId="0" xfId="0" applyAlignment="1" applyFont="1">
      <alignment shrinkToFit="0" vertical="center" wrapText="1"/>
    </xf>
    <xf borderId="0" fillId="19" fontId="31" numFmtId="0" xfId="0" applyAlignment="1" applyFont="1">
      <alignment vertical="center"/>
    </xf>
    <xf borderId="0" fillId="6" fontId="19" numFmtId="0" xfId="0" applyAlignment="1" applyFont="1">
      <alignment shrinkToFit="0" vertical="center" wrapText="1"/>
    </xf>
    <xf borderId="33" fillId="0" fontId="6" numFmtId="0" xfId="0" applyBorder="1" applyFont="1"/>
    <xf borderId="0" fillId="0" fontId="31" numFmtId="169" xfId="0" applyAlignment="1" applyFont="1" applyNumberFormat="1">
      <alignment vertical="center"/>
    </xf>
    <xf borderId="33" fillId="19" fontId="19" numFmtId="0" xfId="0" applyAlignment="1" applyBorder="1" applyFont="1">
      <alignment horizontal="center" shrinkToFit="0" vertical="center" wrapText="1"/>
    </xf>
    <xf borderId="33" fillId="19" fontId="20" numFmtId="0" xfId="0" applyAlignment="1" applyBorder="1" applyFont="1">
      <alignment shrinkToFit="0" vertical="center" wrapText="1"/>
    </xf>
    <xf borderId="0" fillId="19" fontId="20" numFmtId="0" xfId="0" applyAlignment="1" applyFont="1">
      <alignment horizontal="center" shrinkToFit="0" vertical="center" wrapText="1"/>
    </xf>
    <xf borderId="0" fillId="19" fontId="20" numFmtId="0" xfId="0" applyAlignment="1" applyFont="1">
      <alignment horizontal="center" readingOrder="0" shrinkToFit="0" vertical="center" wrapText="1"/>
    </xf>
    <xf borderId="33" fillId="19" fontId="23" numFmtId="0" xfId="0" applyAlignment="1" applyBorder="1" applyFont="1">
      <alignment shrinkToFit="0" vertical="center" wrapText="1"/>
    </xf>
    <xf borderId="0" fillId="22" fontId="24" numFmtId="0" xfId="0" applyAlignment="1" applyFill="1" applyFont="1">
      <alignment horizontal="center" shrinkToFit="0" vertical="center" wrapText="1"/>
    </xf>
    <xf borderId="0" fillId="19" fontId="19" numFmtId="0" xfId="0" applyAlignment="1" applyFont="1">
      <alignment horizontal="center" shrinkToFit="0" vertical="center" wrapText="1"/>
    </xf>
    <xf borderId="0" fillId="19" fontId="26" numFmtId="0" xfId="0" applyAlignment="1" applyFont="1">
      <alignment horizontal="center" shrinkToFit="0" vertical="center" wrapText="1"/>
    </xf>
    <xf borderId="0" fillId="6" fontId="19" numFmtId="0" xfId="0" applyAlignment="1" applyFont="1">
      <alignment horizontal="center" shrinkToFit="0" vertical="center" wrapText="1"/>
    </xf>
    <xf borderId="33" fillId="19" fontId="20" numFmtId="0" xfId="0" applyAlignment="1" applyBorder="1" applyFont="1">
      <alignment horizontal="center" shrinkToFit="0" vertical="center" wrapText="1"/>
    </xf>
    <xf borderId="33" fillId="19" fontId="32" numFmtId="0" xfId="0" applyAlignment="1" applyBorder="1" applyFont="1">
      <alignment horizontal="center" shrinkToFit="0" vertical="center" wrapText="1"/>
    </xf>
    <xf borderId="0" fillId="10" fontId="33" numFmtId="167" xfId="0" applyAlignment="1" applyFont="1" applyNumberFormat="1">
      <alignment horizontal="center" shrinkToFit="0" vertical="center" wrapText="1"/>
    </xf>
    <xf borderId="0" fillId="0" fontId="1" numFmtId="0" xfId="0" applyAlignment="1" applyFont="1">
      <alignment horizontal="right" shrinkToFit="0" vertical="center" wrapText="1"/>
    </xf>
    <xf borderId="0" fillId="10" fontId="20" numFmtId="0" xfId="0" applyAlignment="1" applyFont="1">
      <alignment horizontal="center" shrinkToFit="0" vertical="center" wrapText="1"/>
    </xf>
    <xf borderId="0" fillId="10" fontId="20" numFmtId="0" xfId="0" applyAlignment="1" applyFont="1">
      <alignment horizontal="center" readingOrder="0" shrinkToFit="0" vertical="center" wrapText="1"/>
    </xf>
    <xf borderId="33" fillId="19" fontId="31" numFmtId="0" xfId="0" applyAlignment="1" applyBorder="1" applyFont="1">
      <alignment vertical="center"/>
    </xf>
    <xf borderId="56" fillId="23" fontId="34" numFmtId="0" xfId="0" applyAlignment="1" applyBorder="1" applyFill="1" applyFont="1">
      <alignment horizontal="center" shrinkToFit="0" vertical="center" wrapText="1"/>
    </xf>
    <xf borderId="57" fillId="0" fontId="6" numFmtId="0" xfId="0" applyBorder="1" applyFont="1"/>
    <xf borderId="33" fillId="6" fontId="19" numFmtId="0" xfId="0" applyAlignment="1" applyBorder="1" applyFont="1">
      <alignment horizontal="center" shrinkToFit="0" vertical="center" wrapText="1"/>
    </xf>
    <xf borderId="33" fillId="6" fontId="19" numFmtId="0" xfId="0" applyAlignment="1" applyBorder="1" applyFont="1">
      <alignment shrinkToFit="0" vertical="center" wrapText="1"/>
    </xf>
    <xf borderId="33" fillId="19" fontId="20" numFmtId="167" xfId="0" applyAlignment="1" applyBorder="1" applyFont="1" applyNumberFormat="1">
      <alignment horizontal="right" shrinkToFit="0" vertical="center" wrapText="1"/>
    </xf>
    <xf borderId="33" fillId="24" fontId="19" numFmtId="0" xfId="0" applyAlignment="1" applyBorder="1" applyFill="1" applyFont="1">
      <alignment horizontal="center" shrinkToFit="0" vertical="center" wrapText="1"/>
    </xf>
    <xf borderId="33" fillId="24" fontId="20" numFmtId="0" xfId="0" applyAlignment="1" applyBorder="1" applyFont="1">
      <alignment shrinkToFit="0" vertical="center" wrapText="1"/>
    </xf>
    <xf borderId="33" fillId="24" fontId="20" numFmtId="9" xfId="0" applyAlignment="1" applyBorder="1" applyFont="1" applyNumberFormat="1">
      <alignment horizontal="center" shrinkToFit="0" vertical="center" wrapText="1"/>
    </xf>
    <xf borderId="33" fillId="24" fontId="20" numFmtId="167" xfId="0" applyAlignment="1" applyBorder="1" applyFont="1" applyNumberFormat="1">
      <alignment horizontal="right" shrinkToFit="0" vertical="center" wrapText="1"/>
    </xf>
    <xf borderId="33" fillId="19" fontId="19" numFmtId="0" xfId="0" applyAlignment="1" applyBorder="1" applyFont="1">
      <alignment shrinkToFit="0" vertical="center" wrapText="1"/>
    </xf>
    <xf borderId="33" fillId="19" fontId="19" numFmtId="167" xfId="0" applyAlignment="1" applyBorder="1" applyFont="1" applyNumberFormat="1">
      <alignment horizontal="right" shrinkToFit="0" vertical="center" wrapText="1"/>
    </xf>
    <xf borderId="33" fillId="19" fontId="20" numFmtId="10" xfId="0" applyAlignment="1" applyBorder="1" applyFont="1" applyNumberFormat="1">
      <alignment horizontal="center" shrinkToFit="0" vertical="center" wrapText="1"/>
    </xf>
    <xf borderId="0" fillId="0" fontId="31" numFmtId="9" xfId="0" applyAlignment="1" applyFont="1" applyNumberFormat="1">
      <alignment vertical="center"/>
    </xf>
    <xf borderId="33" fillId="19" fontId="20" numFmtId="171" xfId="0" applyAlignment="1" applyBorder="1" applyFont="1" applyNumberFormat="1">
      <alignment horizontal="center" shrinkToFit="0" vertical="center" wrapText="1"/>
    </xf>
    <xf borderId="33" fillId="19" fontId="20" numFmtId="10" xfId="0" applyAlignment="1" applyBorder="1" applyFont="1" applyNumberFormat="1">
      <alignment horizontal="center" readingOrder="0" shrinkToFit="0" vertical="center" wrapText="1"/>
    </xf>
    <xf borderId="0" fillId="0" fontId="31" numFmtId="167" xfId="0" applyAlignment="1" applyFont="1" applyNumberFormat="1">
      <alignment vertical="center"/>
    </xf>
    <xf borderId="26" fillId="19" fontId="19" numFmtId="0" xfId="0" applyAlignment="1" applyBorder="1" applyFont="1">
      <alignment horizontal="center" shrinkToFit="0" vertical="center" wrapText="1"/>
    </xf>
    <xf borderId="33" fillId="19" fontId="31" numFmtId="169" xfId="0" applyAlignment="1" applyBorder="1" applyFont="1" applyNumberFormat="1">
      <alignment vertical="center"/>
    </xf>
    <xf borderId="0" fillId="0" fontId="31" numFmtId="172" xfId="0" applyAlignment="1" applyFont="1" applyNumberFormat="1">
      <alignment vertical="center"/>
    </xf>
    <xf borderId="33" fillId="19" fontId="20" numFmtId="173" xfId="0" applyAlignment="1" applyBorder="1" applyFont="1" applyNumberFormat="1">
      <alignment horizontal="center" readingOrder="0" shrinkToFit="0" vertical="center" wrapText="1"/>
    </xf>
    <xf borderId="33" fillId="19" fontId="31" numFmtId="2" xfId="0" applyAlignment="1" applyBorder="1" applyFont="1" applyNumberFormat="1">
      <alignment vertical="center"/>
    </xf>
    <xf borderId="33" fillId="19" fontId="20" numFmtId="49" xfId="0" applyAlignment="1" applyBorder="1" applyFont="1" applyNumberFormat="1">
      <alignment horizontal="center" shrinkToFit="0" vertical="center" wrapText="1"/>
    </xf>
    <xf borderId="33" fillId="8" fontId="19" numFmtId="0" xfId="0" applyAlignment="1" applyBorder="1" applyFont="1">
      <alignment horizontal="center" shrinkToFit="0" vertical="center" wrapText="1"/>
    </xf>
    <xf borderId="33" fillId="8" fontId="20" numFmtId="0" xfId="0" applyAlignment="1" applyBorder="1" applyFont="1">
      <alignment shrinkToFit="0" vertical="center" wrapText="1"/>
    </xf>
    <xf borderId="33" fillId="8" fontId="31" numFmtId="169" xfId="0" applyAlignment="1" applyBorder="1" applyFont="1" applyNumberFormat="1">
      <alignment vertical="center"/>
    </xf>
    <xf borderId="33" fillId="8" fontId="20" numFmtId="167" xfId="0" applyAlignment="1" applyBorder="1" applyFont="1" applyNumberFormat="1">
      <alignment horizontal="right" shrinkToFit="0" vertical="center" wrapText="1"/>
    </xf>
    <xf borderId="33" fillId="19" fontId="20" numFmtId="165" xfId="0" applyAlignment="1" applyBorder="1" applyFont="1" applyNumberFormat="1">
      <alignment horizontal="center" readingOrder="0" shrinkToFit="0" vertical="center" wrapText="1"/>
    </xf>
    <xf borderId="33" fillId="19" fontId="20" numFmtId="165" xfId="0" applyAlignment="1" applyBorder="1" applyFont="1" applyNumberFormat="1">
      <alignment horizontal="right" readingOrder="0" shrinkToFit="0" vertical="center" wrapText="1"/>
    </xf>
    <xf borderId="33" fillId="0" fontId="31" numFmtId="0" xfId="0" applyAlignment="1" applyBorder="1" applyFont="1">
      <alignment vertical="center"/>
    </xf>
    <xf borderId="33" fillId="19" fontId="20" numFmtId="165" xfId="0" applyAlignment="1" applyBorder="1" applyFont="1" applyNumberFormat="1">
      <alignment horizontal="center" shrinkToFit="0" vertical="center" wrapText="1"/>
    </xf>
    <xf borderId="33" fillId="19" fontId="20" numFmtId="165" xfId="0" applyAlignment="1" applyBorder="1" applyFont="1" applyNumberFormat="1">
      <alignment horizontal="right" shrinkToFit="0" vertical="center" wrapText="1"/>
    </xf>
    <xf borderId="33" fillId="19" fontId="20" numFmtId="49" xfId="0" applyAlignment="1" applyBorder="1" applyFont="1" applyNumberFormat="1">
      <alignment horizontal="center" readingOrder="0" shrinkToFit="0" vertical="center" wrapText="1"/>
    </xf>
    <xf borderId="33" fillId="19" fontId="20" numFmtId="49" xfId="0" applyAlignment="1" applyBorder="1" applyFont="1" applyNumberFormat="1">
      <alignment horizontal="right" shrinkToFit="0" vertical="center" wrapText="1"/>
    </xf>
    <xf borderId="33" fillId="8" fontId="20" numFmtId="0" xfId="0" applyAlignment="1" applyBorder="1" applyFont="1">
      <alignment readingOrder="0" shrinkToFit="0" vertical="center" wrapText="1"/>
    </xf>
    <xf borderId="33" fillId="8" fontId="31" numFmtId="10" xfId="0" applyAlignment="1" applyBorder="1" applyFont="1" applyNumberFormat="1">
      <alignment vertical="center"/>
    </xf>
    <xf borderId="33" fillId="8" fontId="20" numFmtId="167" xfId="0" applyAlignment="1" applyBorder="1" applyFont="1" applyNumberFormat="1">
      <alignment horizontal="right" readingOrder="0" shrinkToFit="0" vertical="center" wrapText="1"/>
    </xf>
    <xf borderId="33" fillId="8" fontId="31" numFmtId="174" xfId="0" applyAlignment="1" applyBorder="1" applyFont="1" applyNumberFormat="1">
      <alignment vertical="center"/>
    </xf>
    <xf borderId="33" fillId="8" fontId="20" numFmtId="165" xfId="0" applyAlignment="1" applyBorder="1" applyFont="1" applyNumberFormat="1">
      <alignment horizontal="right" shrinkToFit="0" vertical="center" wrapText="1"/>
    </xf>
    <xf borderId="33" fillId="19" fontId="31" numFmtId="10" xfId="0" applyAlignment="1" applyBorder="1" applyFont="1" applyNumberFormat="1">
      <alignment vertical="center"/>
    </xf>
    <xf borderId="33" fillId="0" fontId="20" numFmtId="10" xfId="0" applyAlignment="1" applyBorder="1" applyFont="1" applyNumberFormat="1">
      <alignment horizontal="center" shrinkToFit="0" vertical="center" wrapText="1"/>
    </xf>
    <xf borderId="33" fillId="19" fontId="20" numFmtId="175" xfId="0" applyAlignment="1" applyBorder="1" applyFont="1" applyNumberFormat="1">
      <alignment horizontal="center" shrinkToFit="0" vertical="center" wrapText="1"/>
    </xf>
    <xf borderId="33" fillId="0" fontId="19" numFmtId="167" xfId="0" applyAlignment="1" applyBorder="1" applyFont="1" applyNumberFormat="1">
      <alignment horizontal="right" shrinkToFit="0" vertical="center" wrapText="1"/>
    </xf>
    <xf borderId="33" fillId="19" fontId="20" numFmtId="167" xfId="0" applyAlignment="1" applyBorder="1" applyFont="1" applyNumberFormat="1">
      <alignment horizontal="center" shrinkToFit="0" vertical="center" wrapText="1"/>
    </xf>
    <xf borderId="33" fillId="0" fontId="20" numFmtId="167" xfId="0" applyAlignment="1" applyBorder="1" applyFont="1" applyNumberFormat="1">
      <alignment horizontal="center" shrinkToFit="0" vertical="center" wrapText="1"/>
    </xf>
    <xf borderId="33" fillId="19" fontId="20" numFmtId="10" xfId="0" applyAlignment="1" applyBorder="1" applyFont="1" applyNumberFormat="1">
      <alignment shrinkToFit="0" vertical="center" wrapText="1"/>
    </xf>
    <xf borderId="33" fillId="19" fontId="19" numFmtId="167" xfId="0" applyAlignment="1" applyBorder="1" applyFont="1" applyNumberFormat="1">
      <alignment horizontal="center" shrinkToFit="0" vertical="center" wrapText="1"/>
    </xf>
    <xf borderId="33" fillId="25" fontId="19" numFmtId="0" xfId="0" applyAlignment="1" applyBorder="1" applyFill="1" applyFont="1">
      <alignment horizontal="center" shrinkToFit="0" vertical="center" wrapText="1"/>
    </xf>
    <xf borderId="33" fillId="25" fontId="20" numFmtId="0" xfId="0" applyAlignment="1" applyBorder="1" applyFont="1">
      <alignment readingOrder="0" shrinkToFit="0" vertical="center" wrapText="1"/>
    </xf>
    <xf borderId="33" fillId="25" fontId="31" numFmtId="0" xfId="0" applyAlignment="1" applyBorder="1" applyFont="1">
      <alignment vertical="center"/>
    </xf>
    <xf borderId="33" fillId="25" fontId="20" numFmtId="167" xfId="0" applyAlignment="1" applyBorder="1" applyFont="1" applyNumberFormat="1">
      <alignment horizontal="right" shrinkToFit="0" vertical="center" wrapText="1"/>
    </xf>
    <xf borderId="27" fillId="0" fontId="20" numFmtId="0" xfId="0" applyAlignment="1" applyBorder="1" applyFont="1">
      <alignment shrinkToFit="0" vertical="center" wrapText="1"/>
    </xf>
    <xf borderId="33" fillId="25" fontId="20" numFmtId="0" xfId="0" applyAlignment="1" applyBorder="1" applyFont="1">
      <alignment shrinkToFit="0" vertical="center" wrapText="1"/>
    </xf>
    <xf borderId="0" fillId="26" fontId="19" numFmtId="0" xfId="0" applyAlignment="1" applyFill="1" applyFont="1">
      <alignment horizontal="left" readingOrder="0" shrinkToFit="0" vertical="center" wrapText="1"/>
    </xf>
    <xf borderId="33" fillId="27" fontId="35" numFmtId="0" xfId="0" applyAlignment="1" applyBorder="1" applyFill="1" applyFont="1">
      <alignment horizontal="center" shrinkToFit="0" vertical="center" wrapText="1"/>
    </xf>
    <xf borderId="33" fillId="27" fontId="36" numFmtId="0" xfId="0" applyAlignment="1" applyBorder="1" applyFont="1">
      <alignment readingOrder="0" shrinkToFit="0" vertical="center" wrapText="1"/>
    </xf>
    <xf borderId="33" fillId="27" fontId="36" numFmtId="10" xfId="0" applyAlignment="1" applyBorder="1" applyFont="1" applyNumberFormat="1">
      <alignment horizontal="center" shrinkToFit="0" vertical="center" wrapText="1"/>
    </xf>
    <xf borderId="33" fillId="27" fontId="36" numFmtId="167" xfId="0" applyAlignment="1" applyBorder="1" applyFont="1" applyNumberFormat="1">
      <alignment horizontal="right" shrinkToFit="0" vertical="center" wrapText="1"/>
    </xf>
    <xf borderId="33" fillId="27" fontId="35" numFmtId="0" xfId="0" applyAlignment="1" applyBorder="1" applyFont="1">
      <alignment horizontal="center" readingOrder="0" shrinkToFit="0" vertical="center" wrapText="1"/>
    </xf>
    <xf borderId="0" fillId="19" fontId="19" numFmtId="0" xfId="0" applyAlignment="1" applyFont="1">
      <alignment shrinkToFit="0" vertical="center" wrapText="1"/>
    </xf>
    <xf borderId="33" fillId="19" fontId="19" numFmtId="0" xfId="0" applyAlignment="1" applyBorder="1" applyFont="1">
      <alignment horizontal="left" shrinkToFit="0" vertical="center" wrapText="1"/>
    </xf>
    <xf borderId="33" fillId="19" fontId="37" numFmtId="0" xfId="0" applyAlignment="1" applyBorder="1" applyFont="1">
      <alignment horizontal="center" shrinkToFit="0" vertical="center" wrapText="1"/>
    </xf>
    <xf borderId="33" fillId="22" fontId="37" numFmtId="0" xfId="0" applyAlignment="1" applyBorder="1" applyFont="1">
      <alignment horizontal="center" shrinkToFit="0" vertical="center" wrapText="1"/>
    </xf>
    <xf borderId="33" fillId="22" fontId="19" numFmtId="167" xfId="0" applyAlignment="1" applyBorder="1" applyFont="1" applyNumberFormat="1">
      <alignment horizontal="center" shrinkToFit="0" vertical="center" wrapText="1"/>
    </xf>
    <xf borderId="33" fillId="22" fontId="19" numFmtId="0" xfId="0" applyAlignment="1" applyBorder="1" applyFont="1">
      <alignment horizontal="center" shrinkToFit="0" vertical="center" wrapText="1"/>
    </xf>
    <xf borderId="0" fillId="19" fontId="33" numFmtId="0" xfId="0" applyAlignment="1" applyFont="1">
      <alignment shrinkToFit="0" vertical="center" wrapText="1"/>
    </xf>
    <xf borderId="33" fillId="19" fontId="31" numFmtId="0" xfId="0" applyAlignment="1" applyBorder="1" applyFont="1">
      <alignment horizontal="center" vertical="center"/>
    </xf>
    <xf borderId="33" fillId="19" fontId="32" numFmtId="0" xfId="0" applyAlignment="1" applyBorder="1" applyFont="1">
      <alignment shrinkToFit="0" vertical="center" wrapText="1"/>
    </xf>
    <xf borderId="33" fillId="19" fontId="32" numFmtId="167" xfId="0" applyAlignment="1" applyBorder="1" applyFont="1" applyNumberFormat="1">
      <alignment horizontal="center" shrinkToFit="0" vertical="center" wrapText="1"/>
    </xf>
    <xf borderId="33" fillId="22" fontId="33" numFmtId="0" xfId="0" applyAlignment="1" applyBorder="1" applyFont="1">
      <alignment horizontal="center" shrinkToFit="0" vertical="center" wrapText="1"/>
    </xf>
    <xf borderId="33" fillId="22" fontId="32" numFmtId="0" xfId="0" applyAlignment="1" applyBorder="1" applyFont="1">
      <alignment shrinkToFit="0" vertical="center" wrapText="1"/>
    </xf>
    <xf borderId="33" fillId="22" fontId="31" numFmtId="10" xfId="0" applyAlignment="1" applyBorder="1" applyFont="1" applyNumberFormat="1">
      <alignment vertical="center"/>
    </xf>
    <xf borderId="33" fillId="22" fontId="33" numFmtId="167" xfId="0" applyAlignment="1" applyBorder="1" applyFont="1" applyNumberFormat="1">
      <alignment horizontal="center" shrinkToFit="0" vertical="center" wrapText="1"/>
    </xf>
    <xf borderId="22" fillId="0" fontId="31" numFmtId="0" xfId="0" applyAlignment="1" applyBorder="1" applyFont="1">
      <alignment vertical="center"/>
    </xf>
    <xf borderId="56" fillId="0" fontId="24" numFmtId="0" xfId="0" applyAlignment="1" applyBorder="1" applyFont="1">
      <alignment horizontal="center" shrinkToFit="0" vertical="center" wrapText="1"/>
    </xf>
    <xf borderId="24" fillId="0" fontId="24" numFmtId="0" xfId="0" applyAlignment="1" applyBorder="1" applyFont="1">
      <alignment shrinkToFit="0" vertical="center" wrapText="1"/>
    </xf>
    <xf borderId="28" fillId="0" fontId="19" numFmtId="0" xfId="0" applyAlignment="1" applyBorder="1" applyFont="1">
      <alignment horizontal="center" shrinkToFit="0" vertical="center" wrapText="1"/>
    </xf>
    <xf borderId="22" fillId="0" fontId="20" numFmtId="0" xfId="0" applyAlignment="1" applyBorder="1" applyFont="1">
      <alignment shrinkToFit="0" vertical="center" wrapText="1"/>
    </xf>
    <xf borderId="22" fillId="0" fontId="20" numFmtId="0" xfId="0" applyAlignment="1" applyBorder="1" applyFont="1">
      <alignment vertical="center"/>
    </xf>
    <xf borderId="24" fillId="0" fontId="24" numFmtId="10" xfId="0" applyAlignment="1" applyBorder="1" applyFont="1" applyNumberFormat="1">
      <alignment shrinkToFit="0" vertical="center" wrapText="1"/>
    </xf>
    <xf borderId="0" fillId="2" fontId="31" numFmtId="0" xfId="0" applyAlignment="1" applyFont="1">
      <alignment vertical="center"/>
    </xf>
    <xf borderId="0" fillId="0" fontId="31" numFmtId="0" xfId="0" applyFont="1"/>
    <xf borderId="0" fillId="0" fontId="29" numFmtId="0" xfId="0" applyAlignment="1" applyFont="1">
      <alignment horizontal="center" shrinkToFit="0" vertical="center" wrapText="1"/>
    </xf>
    <xf borderId="0" fillId="0" fontId="30" numFmtId="164" xfId="0" applyAlignment="1" applyFont="1" applyNumberFormat="1">
      <alignment horizontal="center" shrinkToFit="0" vertical="center" wrapText="1"/>
    </xf>
    <xf borderId="0" fillId="21" fontId="31" numFmtId="0" xfId="0" applyAlignment="1" applyFont="1">
      <alignment vertical="center"/>
    </xf>
    <xf borderId="0" fillId="0" fontId="30" numFmtId="167" xfId="0" applyAlignment="1" applyFont="1" applyNumberFormat="1">
      <alignment horizontal="center" shrinkToFit="0" vertical="center" wrapText="1"/>
    </xf>
    <xf borderId="33" fillId="0" fontId="31" numFmtId="169" xfId="0" applyAlignment="1" applyBorder="1" applyFont="1" applyNumberFormat="1">
      <alignment vertical="center"/>
    </xf>
    <xf borderId="0" fillId="6" fontId="20" numFmtId="0" xfId="0" applyAlignment="1" applyFont="1">
      <alignment horizontal="center" shrinkToFit="0" vertical="center" wrapText="1"/>
    </xf>
    <xf borderId="0" fillId="0" fontId="31" numFmtId="169" xfId="0" applyFont="1" applyNumberFormat="1"/>
    <xf borderId="22" fillId="19" fontId="20" numFmtId="0" xfId="0" applyAlignment="1" applyBorder="1" applyFont="1">
      <alignment shrinkToFit="0" vertical="center" wrapText="1"/>
    </xf>
    <xf borderId="22" fillId="19" fontId="23" numFmtId="0" xfId="0" applyAlignment="1" applyBorder="1" applyFont="1">
      <alignment shrinkToFit="0" vertical="center" wrapText="1"/>
    </xf>
    <xf borderId="0" fillId="0" fontId="19" numFmtId="0" xfId="0" applyAlignment="1" applyFont="1">
      <alignment shrinkToFit="0" vertical="center" wrapText="1"/>
    </xf>
    <xf borderId="0" fillId="0" fontId="19" numFmtId="0" xfId="0" applyAlignment="1" applyFont="1">
      <alignment horizontal="center" shrinkToFit="0" vertical="center" wrapText="1"/>
    </xf>
    <xf borderId="0" fillId="0" fontId="20" numFmtId="0" xfId="0" applyAlignment="1" applyFont="1">
      <alignment horizontal="center" readingOrder="0" shrinkToFit="0" vertical="center" wrapText="1"/>
    </xf>
    <xf borderId="0" fillId="0" fontId="24" numFmtId="0" xfId="0" applyAlignment="1" applyFont="1">
      <alignment horizontal="center" shrinkToFit="0" vertical="center" wrapText="1"/>
    </xf>
    <xf borderId="0" fillId="22" fontId="24" numFmtId="0" xfId="0" applyAlignment="1" applyFont="1">
      <alignment horizontal="center" readingOrder="0" shrinkToFit="0" vertical="center" wrapText="1"/>
    </xf>
    <xf borderId="0" fillId="22" fontId="31" numFmtId="0" xfId="0" applyAlignment="1" applyFont="1">
      <alignment horizontal="center" shrinkToFit="0" vertical="center" wrapText="1"/>
    </xf>
    <xf borderId="0" fillId="0" fontId="26" numFmtId="0" xfId="0" applyAlignment="1" applyFont="1">
      <alignment horizontal="center" shrinkToFit="0" vertical="center" wrapText="1"/>
    </xf>
    <xf borderId="0" fillId="0" fontId="32" numFmtId="0" xfId="0" applyAlignment="1" applyFont="1">
      <alignment horizontal="center" shrinkToFit="0" vertical="center" wrapText="1"/>
    </xf>
    <xf borderId="0" fillId="0" fontId="33" numFmtId="167" xfId="0" applyAlignment="1" applyFont="1" applyNumberFormat="1">
      <alignment horizontal="center" shrinkToFit="0" vertical="center" wrapText="1"/>
    </xf>
    <xf borderId="33" fillId="0" fontId="1" numFmtId="0" xfId="0" applyAlignment="1" applyBorder="1" applyFont="1">
      <alignment horizontal="right" shrinkToFit="0" vertical="center" wrapText="1"/>
    </xf>
    <xf borderId="0" fillId="10" fontId="33" numFmtId="167" xfId="0" applyAlignment="1" applyFont="1" applyNumberFormat="1">
      <alignment horizontal="center" readingOrder="0" shrinkToFit="0" vertical="center" wrapText="1"/>
    </xf>
    <xf borderId="0" fillId="10" fontId="20" numFmtId="176" xfId="0" applyAlignment="1" applyFont="1" applyNumberFormat="1">
      <alignment horizontal="center" readingOrder="0" shrinkToFit="0" vertical="center" wrapText="1"/>
    </xf>
    <xf borderId="0" fillId="19" fontId="20" numFmtId="0" xfId="0" applyAlignment="1" applyFont="1">
      <alignment shrinkToFit="0" vertical="center" wrapText="1"/>
    </xf>
    <xf borderId="0" fillId="0" fontId="34" numFmtId="0" xfId="0" applyAlignment="1" applyFont="1">
      <alignment horizontal="center" shrinkToFit="0" vertical="center" wrapText="1"/>
    </xf>
    <xf borderId="0" fillId="0" fontId="20" numFmtId="167" xfId="0" applyAlignment="1" applyFont="1" applyNumberFormat="1">
      <alignment horizontal="right" shrinkToFit="0" vertical="center" wrapText="1"/>
    </xf>
    <xf borderId="0" fillId="0" fontId="20" numFmtId="9" xfId="0" applyAlignment="1" applyFont="1" applyNumberFormat="1">
      <alignment horizontal="center" shrinkToFit="0" vertical="center" wrapText="1"/>
    </xf>
    <xf borderId="0" fillId="0" fontId="19" numFmtId="167" xfId="0" applyAlignment="1" applyFont="1" applyNumberFormat="1">
      <alignment horizontal="right" shrinkToFit="0" vertical="center" wrapText="1"/>
    </xf>
    <xf borderId="0" fillId="0" fontId="20" numFmtId="10" xfId="0" applyAlignment="1" applyFont="1" applyNumberFormat="1">
      <alignment horizontal="center" shrinkToFit="0" vertical="center" wrapText="1"/>
    </xf>
    <xf borderId="33" fillId="0" fontId="31" numFmtId="9" xfId="0" applyAlignment="1" applyBorder="1" applyFont="1" applyNumberFormat="1">
      <alignment vertical="center"/>
    </xf>
    <xf borderId="0" fillId="0" fontId="20" numFmtId="171" xfId="0" applyAlignment="1" applyFont="1" applyNumberFormat="1">
      <alignment horizontal="center" shrinkToFit="0" vertical="center" wrapText="1"/>
    </xf>
    <xf borderId="33" fillId="19" fontId="20" numFmtId="9" xfId="0" applyAlignment="1" applyBorder="1" applyFont="1" applyNumberFormat="1">
      <alignment horizontal="center" shrinkToFit="0" vertical="center" wrapText="1"/>
    </xf>
    <xf borderId="0" fillId="0" fontId="20" numFmtId="10" xfId="0" applyAlignment="1" applyFont="1" applyNumberFormat="1">
      <alignment horizontal="center" readingOrder="0" shrinkToFit="0" vertical="center" wrapText="1"/>
    </xf>
    <xf borderId="33" fillId="6" fontId="19" numFmtId="0" xfId="0" applyAlignment="1" applyBorder="1" applyFont="1">
      <alignment horizontal="right" shrinkToFit="0" vertical="center" wrapText="1"/>
    </xf>
    <xf borderId="33" fillId="0" fontId="31" numFmtId="167" xfId="0" applyAlignment="1" applyBorder="1" applyFont="1" applyNumberFormat="1">
      <alignment vertical="center"/>
    </xf>
    <xf borderId="33" fillId="0" fontId="31" numFmtId="172" xfId="0" applyAlignment="1" applyBorder="1" applyFont="1" applyNumberFormat="1">
      <alignment vertical="center"/>
    </xf>
    <xf borderId="0" fillId="0" fontId="20" numFmtId="173" xfId="0" applyAlignment="1" applyFont="1" applyNumberFormat="1">
      <alignment horizontal="center" readingOrder="0" shrinkToFit="0" vertical="center" wrapText="1"/>
    </xf>
    <xf borderId="0" fillId="0" fontId="31" numFmtId="2" xfId="0" applyAlignment="1" applyFont="1" applyNumberFormat="1">
      <alignment vertical="center"/>
    </xf>
    <xf borderId="0" fillId="0" fontId="20" numFmtId="49" xfId="0" applyAlignment="1" applyFont="1" applyNumberFormat="1">
      <alignment horizontal="center" shrinkToFit="0" vertical="center" wrapText="1"/>
    </xf>
    <xf borderId="0" fillId="0" fontId="20" numFmtId="165" xfId="0" applyAlignment="1" applyFont="1" applyNumberFormat="1">
      <alignment horizontal="center" readingOrder="0" shrinkToFit="0" vertical="center" wrapText="1"/>
    </xf>
    <xf borderId="0" fillId="0" fontId="20" numFmtId="165" xfId="0" applyAlignment="1" applyFont="1" applyNumberFormat="1">
      <alignment horizontal="right" readingOrder="0" shrinkToFit="0" vertical="center" wrapText="1"/>
    </xf>
    <xf borderId="0" fillId="0" fontId="20" numFmtId="165" xfId="0" applyAlignment="1" applyFont="1" applyNumberFormat="1">
      <alignment horizontal="center" shrinkToFit="0" vertical="center" wrapText="1"/>
    </xf>
    <xf borderId="0" fillId="0" fontId="20" numFmtId="165" xfId="0" applyAlignment="1" applyFont="1" applyNumberFormat="1">
      <alignment horizontal="right" shrinkToFit="0" vertical="center" wrapText="1"/>
    </xf>
    <xf borderId="0" fillId="0" fontId="20" numFmtId="49" xfId="0" applyAlignment="1" applyFont="1" applyNumberFormat="1">
      <alignment horizontal="center" readingOrder="0" shrinkToFit="0" vertical="center" wrapText="1"/>
    </xf>
    <xf borderId="0" fillId="0" fontId="20" numFmtId="49" xfId="0" applyAlignment="1" applyFont="1" applyNumberFormat="1">
      <alignment horizontal="right" shrinkToFit="0" vertical="center" wrapText="1"/>
    </xf>
    <xf borderId="0" fillId="0" fontId="20" numFmtId="0" xfId="0" applyAlignment="1" applyFont="1">
      <alignment readingOrder="0" shrinkToFit="0" vertical="center" wrapText="1"/>
    </xf>
    <xf borderId="0" fillId="0" fontId="31" numFmtId="10" xfId="0" applyAlignment="1" applyFont="1" applyNumberFormat="1">
      <alignment vertical="center"/>
    </xf>
    <xf borderId="0" fillId="0" fontId="20" numFmtId="167" xfId="0" applyAlignment="1" applyFont="1" applyNumberFormat="1">
      <alignment horizontal="right" readingOrder="0" shrinkToFit="0" vertical="center" wrapText="1"/>
    </xf>
    <xf borderId="0" fillId="0" fontId="31" numFmtId="174" xfId="0" applyAlignment="1" applyFont="1" applyNumberFormat="1">
      <alignment vertical="center"/>
    </xf>
    <xf borderId="33" fillId="0" fontId="20" numFmtId="167" xfId="0" applyAlignment="1" applyBorder="1" applyFont="1" applyNumberFormat="1">
      <alignment horizontal="right" shrinkToFit="0" vertical="center" wrapText="1"/>
    </xf>
    <xf borderId="0" fillId="0" fontId="20" numFmtId="175" xfId="0" applyAlignment="1" applyFont="1" applyNumberFormat="1">
      <alignment horizontal="center" shrinkToFit="0" vertical="center" wrapText="1"/>
    </xf>
    <xf borderId="0" fillId="0" fontId="20" numFmtId="167" xfId="0" applyAlignment="1" applyFont="1" applyNumberFormat="1">
      <alignment horizontal="center" shrinkToFit="0" vertical="center" wrapText="1"/>
    </xf>
    <xf borderId="0" fillId="0" fontId="20" numFmtId="10" xfId="0" applyAlignment="1" applyFont="1" applyNumberFormat="1">
      <alignment shrinkToFit="0" vertical="center" wrapText="1"/>
    </xf>
    <xf borderId="0" fillId="0" fontId="19" numFmtId="167" xfId="0" applyAlignment="1" applyFont="1" applyNumberFormat="1">
      <alignment horizontal="center" shrinkToFit="0" vertical="center" wrapText="1"/>
    </xf>
    <xf borderId="33" fillId="0" fontId="20" numFmtId="0" xfId="0" applyAlignment="1" applyBorder="1" applyFont="1">
      <alignment shrinkToFit="0" vertical="center" wrapText="1"/>
    </xf>
    <xf borderId="26" fillId="0" fontId="20" numFmtId="0" xfId="0" applyAlignment="1" applyBorder="1" applyFont="1">
      <alignment horizontal="right" shrinkToFit="0" wrapText="1"/>
    </xf>
    <xf borderId="0" fillId="0" fontId="20" numFmtId="0" xfId="0" applyAlignment="1" applyFont="1">
      <alignment horizontal="center" shrinkToFit="0" vertical="center" wrapText="1"/>
    </xf>
    <xf borderId="26" fillId="25" fontId="19" numFmtId="0" xfId="0" applyAlignment="1" applyBorder="1" applyFont="1">
      <alignment horizontal="center" shrinkToFit="0" vertical="center" wrapText="1"/>
    </xf>
    <xf borderId="27" fillId="0" fontId="20" numFmtId="0" xfId="0" applyAlignment="1" applyBorder="1" applyFont="1">
      <alignment horizontal="center" shrinkToFit="0" wrapText="1"/>
    </xf>
    <xf borderId="0" fillId="0" fontId="20" numFmtId="0" xfId="0" applyAlignment="1" applyFont="1">
      <alignment horizontal="center" shrinkToFit="0" wrapText="1"/>
    </xf>
    <xf borderId="0" fillId="0" fontId="19" numFmtId="0" xfId="0" applyAlignment="1" applyFont="1">
      <alignment horizontal="left" readingOrder="0" shrinkToFit="0" vertical="center" wrapText="1"/>
    </xf>
    <xf borderId="0" fillId="0" fontId="35" numFmtId="0" xfId="0" applyAlignment="1" applyFont="1">
      <alignment horizontal="center" shrinkToFit="0" vertical="center" wrapText="1"/>
    </xf>
    <xf borderId="0" fillId="0" fontId="36" numFmtId="0" xfId="0" applyAlignment="1" applyFont="1">
      <alignment readingOrder="0" shrinkToFit="0" vertical="center" wrapText="1"/>
    </xf>
    <xf borderId="0" fillId="0" fontId="36" numFmtId="10" xfId="0" applyAlignment="1" applyFont="1" applyNumberFormat="1">
      <alignment horizontal="center" shrinkToFit="0" vertical="center" wrapText="1"/>
    </xf>
    <xf borderId="0" fillId="0" fontId="36" numFmtId="167" xfId="0" applyAlignment="1" applyFont="1" applyNumberFormat="1">
      <alignment horizontal="right" shrinkToFit="0" vertical="center" wrapText="1"/>
    </xf>
    <xf borderId="33" fillId="27" fontId="36" numFmtId="0" xfId="0" applyAlignment="1" applyBorder="1" applyFont="1">
      <alignment shrinkToFit="0" vertical="center" wrapText="1"/>
    </xf>
    <xf borderId="0" fillId="0" fontId="35" numFmtId="0" xfId="0" applyAlignment="1" applyFont="1">
      <alignment horizontal="center" readingOrder="0" shrinkToFit="0" vertical="center" wrapText="1"/>
    </xf>
    <xf borderId="0" fillId="0" fontId="19" numFmtId="0" xfId="0" applyAlignment="1" applyFont="1">
      <alignment horizontal="left" shrinkToFit="0" vertical="center" wrapText="1"/>
    </xf>
    <xf borderId="0" fillId="0" fontId="37" numFmtId="0" xfId="0" applyAlignment="1" applyFont="1">
      <alignment horizontal="center" shrinkToFit="0" vertical="center" wrapText="1"/>
    </xf>
    <xf borderId="33" fillId="28" fontId="19" numFmtId="167" xfId="0" applyAlignment="1" applyBorder="1" applyFill="1" applyFont="1" applyNumberFormat="1">
      <alignment horizontal="center" shrinkToFit="0" vertical="center" wrapText="1"/>
    </xf>
    <xf borderId="33" fillId="28" fontId="19" numFmtId="0" xfId="0" applyAlignment="1" applyBorder="1" applyFont="1">
      <alignment horizontal="center" shrinkToFit="0" vertical="center" wrapText="1"/>
    </xf>
    <xf borderId="0" fillId="0" fontId="33" numFmtId="0" xfId="0" applyAlignment="1" applyFont="1">
      <alignment shrinkToFit="0" vertical="center" wrapText="1"/>
    </xf>
    <xf borderId="0" fillId="0" fontId="31" numFmtId="0" xfId="0" applyAlignment="1" applyFont="1">
      <alignment horizontal="center" vertical="center"/>
    </xf>
    <xf borderId="0" fillId="0" fontId="32" numFmtId="0" xfId="0" applyAlignment="1" applyFont="1">
      <alignment shrinkToFit="0" vertical="center" wrapText="1"/>
    </xf>
    <xf borderId="0" fillId="0" fontId="32" numFmtId="167" xfId="0" applyAlignment="1" applyFont="1" applyNumberFormat="1">
      <alignment horizontal="center" shrinkToFit="0" vertical="center" wrapText="1"/>
    </xf>
    <xf borderId="0" fillId="19" fontId="32" numFmtId="0" xfId="0" applyAlignment="1" applyFont="1">
      <alignment shrinkToFit="0" vertical="center" wrapText="1"/>
    </xf>
    <xf borderId="0" fillId="0" fontId="33" numFmtId="0" xfId="0" applyAlignment="1" applyFont="1">
      <alignment horizontal="center" shrinkToFit="0" vertical="center" wrapText="1"/>
    </xf>
    <xf borderId="0" fillId="22" fontId="32" numFmtId="0" xfId="0" applyAlignment="1" applyFont="1">
      <alignment shrinkToFit="0" vertical="center" wrapText="1"/>
    </xf>
    <xf borderId="36" fillId="12" fontId="20" numFmtId="0" xfId="0" applyAlignment="1" applyBorder="1" applyFont="1">
      <alignment horizontal="left" shrinkToFit="0" vertical="center" wrapText="1"/>
    </xf>
    <xf borderId="37" fillId="12" fontId="20" numFmtId="0" xfId="0" applyAlignment="1" applyBorder="1" applyFont="1">
      <alignment horizontal="center" shrinkToFit="0" vertical="center" wrapText="1"/>
    </xf>
    <xf borderId="37" fillId="12" fontId="20" numFmtId="165" xfId="0" applyAlignment="1" applyBorder="1" applyFont="1" applyNumberFormat="1">
      <alignment horizontal="center" shrinkToFit="0" vertical="center" wrapText="1"/>
    </xf>
    <xf borderId="38" fillId="12" fontId="20" numFmtId="0" xfId="0" applyAlignment="1" applyBorder="1" applyFont="1">
      <alignment horizontal="center" shrinkToFit="0" vertical="center" wrapText="1"/>
    </xf>
    <xf borderId="6" fillId="12" fontId="20" numFmtId="0" xfId="0" applyAlignment="1" applyBorder="1" applyFont="1">
      <alignment horizontal="left" vertical="center"/>
    </xf>
    <xf borderId="58" fillId="12" fontId="20" numFmtId="165" xfId="0" applyAlignment="1" applyBorder="1" applyFont="1" applyNumberFormat="1">
      <alignment horizontal="center" readingOrder="0"/>
    </xf>
    <xf borderId="4" fillId="0" fontId="6" numFmtId="0" xfId="0" applyBorder="1" applyFont="1"/>
    <xf borderId="20" fillId="13" fontId="38" numFmtId="0" xfId="0" applyAlignment="1" applyBorder="1" applyFont="1">
      <alignment horizontal="center" readingOrder="0" shrinkToFit="0" vertical="center" wrapText="1"/>
    </xf>
    <xf borderId="20" fillId="15" fontId="24" numFmtId="0" xfId="0" applyAlignment="1" applyBorder="1" applyFont="1">
      <alignment readingOrder="0" shrinkToFit="0" vertical="center" wrapText="1"/>
    </xf>
    <xf borderId="20" fillId="14" fontId="24" numFmtId="10" xfId="0" applyAlignment="1" applyBorder="1" applyFont="1" applyNumberFormat="1">
      <alignment horizontal="center" shrinkToFit="0" vertical="center" wrapText="1"/>
    </xf>
    <xf borderId="20" fillId="8" fontId="24" numFmtId="10" xfId="0" applyAlignment="1" applyBorder="1" applyFont="1" applyNumberFormat="1">
      <alignment horizontal="center" shrinkToFit="0" vertical="center" wrapText="1"/>
    </xf>
    <xf borderId="22" fillId="2" fontId="1" numFmtId="0" xfId="0" applyAlignment="1" applyBorder="1" applyFont="1">
      <alignment horizontal="right" readingOrder="0" shrinkToFit="0" vertical="center" wrapText="1"/>
    </xf>
    <xf borderId="20" fillId="2" fontId="39" numFmtId="0" xfId="0" applyAlignment="1" applyBorder="1" applyFont="1">
      <alignment horizontal="center" readingOrder="0" shrinkToFit="0" vertical="center" wrapText="1"/>
    </xf>
    <xf borderId="56" fillId="28" fontId="20" numFmtId="0" xfId="0" applyAlignment="1" applyBorder="1" applyFont="1">
      <alignment horizontal="left" shrinkToFit="0" wrapText="1"/>
    </xf>
    <xf borderId="56" fillId="28" fontId="20" numFmtId="0" xfId="0" applyAlignment="1" applyBorder="1" applyFont="1">
      <alignment horizontal="left" readingOrder="0" shrinkToFit="0" wrapText="1"/>
    </xf>
    <xf borderId="56" fillId="28" fontId="20" numFmtId="0" xfId="0" applyAlignment="1" applyBorder="1" applyFont="1">
      <alignment horizontal="center" shrinkToFit="0" vertical="center" wrapText="1"/>
    </xf>
    <xf borderId="56" fillId="6" fontId="4" numFmtId="0" xfId="0" applyAlignment="1" applyBorder="1" applyFont="1">
      <alignment horizontal="center" shrinkToFit="0" vertical="center" wrapText="1"/>
    </xf>
    <xf borderId="59" fillId="29" fontId="20" numFmtId="0" xfId="0" applyAlignment="1" applyBorder="1" applyFill="1" applyFont="1">
      <alignment horizontal="center" vertical="center"/>
    </xf>
    <xf borderId="19" fillId="0" fontId="6" numFmtId="0" xfId="0" applyBorder="1" applyFont="1"/>
    <xf borderId="60" fillId="0" fontId="6" numFmtId="0" xfId="0" applyBorder="1" applyFont="1"/>
    <xf borderId="56" fillId="29" fontId="20" numFmtId="0" xfId="0" applyBorder="1" applyFont="1"/>
    <xf borderId="59" fillId="29" fontId="19" numFmtId="0" xfId="0" applyAlignment="1" applyBorder="1" applyFont="1">
      <alignment horizontal="center" vertical="center"/>
    </xf>
    <xf borderId="59" fillId="30" fontId="19" numFmtId="10" xfId="0" applyAlignment="1" applyBorder="1" applyFill="1" applyFont="1" applyNumberFormat="1">
      <alignment horizontal="center" vertical="center"/>
    </xf>
    <xf borderId="17" fillId="29" fontId="20" numFmtId="0" xfId="0" applyAlignment="1" applyBorder="1" applyFont="1">
      <alignment horizontal="center"/>
    </xf>
    <xf borderId="17" fillId="0" fontId="20" numFmtId="0" xfId="0" applyAlignment="1" applyBorder="1" applyFont="1">
      <alignment horizontal="center"/>
    </xf>
    <xf borderId="56" fillId="0" fontId="20" numFmtId="0" xfId="0" applyAlignment="1" applyBorder="1" applyFont="1">
      <alignment horizontal="left"/>
    </xf>
    <xf borderId="17" fillId="0" fontId="20" numFmtId="10" xfId="0" applyAlignment="1" applyBorder="1" applyFont="1" applyNumberFormat="1">
      <alignment horizontal="center"/>
    </xf>
    <xf borderId="17" fillId="0" fontId="20" numFmtId="0" xfId="0" applyBorder="1" applyFont="1"/>
    <xf borderId="17" fillId="31" fontId="26" numFmtId="10" xfId="0" applyAlignment="1" applyBorder="1" applyFill="1" applyFont="1" applyNumberFormat="1">
      <alignment horizontal="center" readingOrder="0" shrinkToFit="0" vertical="bottom" wrapText="0"/>
    </xf>
    <xf borderId="59" fillId="0" fontId="20" numFmtId="0" xfId="0" applyAlignment="1" applyBorder="1" applyFont="1">
      <alignment horizontal="center" vertical="center"/>
    </xf>
    <xf borderId="28" fillId="31" fontId="26" numFmtId="10" xfId="0" applyAlignment="1" applyBorder="1" applyFont="1" applyNumberFormat="1">
      <alignment horizontal="center" readingOrder="0" shrinkToFit="0" vertical="bottom" wrapText="0"/>
    </xf>
    <xf borderId="56" fillId="0" fontId="20" numFmtId="0" xfId="0" applyAlignment="1" applyBorder="1" applyFont="1">
      <alignment horizontal="center"/>
    </xf>
    <xf borderId="17" fillId="0" fontId="20" numFmtId="10" xfId="0" applyAlignment="1" applyBorder="1" applyFont="1" applyNumberFormat="1">
      <alignment horizontal="center" shrinkToFit="0" wrapText="1"/>
    </xf>
    <xf borderId="56" fillId="0" fontId="19" numFmtId="0" xfId="0" applyAlignment="1" applyBorder="1" applyFont="1">
      <alignment horizontal="center"/>
    </xf>
    <xf borderId="59" fillId="0" fontId="20" numFmtId="0" xfId="0" applyAlignment="1" applyBorder="1" applyFont="1">
      <alignment horizontal="left" shrinkToFit="0" vertical="center" wrapText="1"/>
    </xf>
    <xf borderId="56" fillId="0" fontId="20" numFmtId="10" xfId="0" applyAlignment="1" applyBorder="1" applyFont="1" applyNumberFormat="1">
      <alignment horizontal="center"/>
    </xf>
    <xf borderId="17" fillId="31" fontId="19" numFmtId="10" xfId="0" applyAlignment="1" applyBorder="1" applyFont="1" applyNumberFormat="1">
      <alignment horizontal="center"/>
    </xf>
    <xf borderId="27" fillId="0" fontId="6" numFmtId="0" xfId="0" applyBorder="1" applyFont="1"/>
    <xf borderId="17" fillId="31" fontId="19" numFmtId="10" xfId="0" applyAlignment="1" applyBorder="1" applyFont="1" applyNumberFormat="1">
      <alignment horizontal="center" readingOrder="0"/>
    </xf>
    <xf borderId="59" fillId="0" fontId="20" numFmtId="0" xfId="0" applyAlignment="1" applyBorder="1" applyFont="1">
      <alignment horizontal="left" vertical="center"/>
    </xf>
    <xf borderId="56" fillId="0" fontId="20" numFmtId="0" xfId="0" applyAlignment="1" applyBorder="1" applyFont="1">
      <alignment horizontal="left" shrinkToFit="0" wrapText="1"/>
    </xf>
    <xf borderId="0" fillId="0" fontId="20" numFmtId="0" xfId="0" applyFont="1"/>
    <xf borderId="0" fillId="32" fontId="5" numFmtId="0" xfId="0" applyAlignment="1" applyFill="1" applyFont="1">
      <alignment horizontal="center" readingOrder="0" shrinkToFit="0" wrapText="1"/>
    </xf>
    <xf borderId="56" fillId="29" fontId="20" numFmtId="0" xfId="0" applyAlignment="1" applyBorder="1" applyFont="1">
      <alignment horizontal="center" shrinkToFit="0" wrapText="1"/>
    </xf>
    <xf borderId="59" fillId="30" fontId="19" numFmtId="174" xfId="0" applyAlignment="1" applyBorder="1" applyFont="1" applyNumberFormat="1">
      <alignment horizontal="center" vertical="center"/>
    </xf>
    <xf borderId="17" fillId="31" fontId="19" numFmtId="174" xfId="0" applyAlignment="1" applyBorder="1" applyFont="1" applyNumberFormat="1">
      <alignment horizontal="center" readingOrder="0"/>
    </xf>
    <xf borderId="17" fillId="31" fontId="19" numFmtId="174" xfId="0" applyAlignment="1" applyBorder="1" applyFont="1" applyNumberFormat="1">
      <alignment horizontal="center"/>
    </xf>
    <xf borderId="17" fillId="31" fontId="26" numFmtId="174" xfId="0" applyAlignment="1" applyBorder="1" applyFont="1" applyNumberFormat="1">
      <alignment horizontal="center" readingOrder="0" shrinkToFit="0" vertical="bottom" wrapText="0"/>
    </xf>
    <xf borderId="28" fillId="31" fontId="26" numFmtId="174" xfId="0" applyAlignment="1" applyBorder="1" applyFont="1" applyNumberFormat="1">
      <alignment horizontal="center" readingOrder="0" shrinkToFit="0" vertical="bottom" wrapText="0"/>
    </xf>
    <xf borderId="61" fillId="2" fontId="1" numFmtId="0" xfId="0" applyAlignment="1" applyBorder="1" applyFont="1">
      <alignment horizontal="right" readingOrder="0" shrinkToFit="0" vertical="center" wrapText="1"/>
    </xf>
    <xf borderId="61" fillId="0" fontId="6" numFmtId="0" xfId="0" applyBorder="1" applyFont="1"/>
    <xf borderId="61" fillId="2" fontId="40" numFmtId="0" xfId="0" applyAlignment="1" applyBorder="1" applyFont="1">
      <alignment horizontal="right" readingOrder="0" shrinkToFit="0" vertical="center" wrapText="1"/>
    </xf>
    <xf borderId="62" fillId="2" fontId="39" numFmtId="0" xfId="0" applyAlignment="1" applyBorder="1" applyFont="1">
      <alignment horizontal="center" readingOrder="0" shrinkToFit="0" vertical="center" wrapText="1"/>
    </xf>
    <xf borderId="62" fillId="0" fontId="6" numFmtId="0" xfId="0" applyBorder="1" applyFont="1"/>
    <xf borderId="56" fillId="6" fontId="20" numFmtId="0" xfId="0" applyAlignment="1" applyBorder="1" applyFont="1">
      <alignment horizontal="left" shrinkToFit="0" wrapText="1"/>
    </xf>
    <xf borderId="63" fillId="6" fontId="20" numFmtId="0" xfId="0" applyAlignment="1" applyBorder="1" applyFont="1">
      <alignment horizontal="left" shrinkToFit="0" wrapText="1"/>
    </xf>
    <xf borderId="64" fillId="0" fontId="6" numFmtId="0" xfId="0" applyBorder="1" applyFont="1"/>
    <xf borderId="56" fillId="6" fontId="20" numFmtId="0" xfId="0" applyAlignment="1" applyBorder="1" applyFont="1">
      <alignment horizontal="center" shrinkToFit="0" vertical="center" wrapText="1"/>
    </xf>
    <xf borderId="56" fillId="6" fontId="31" numFmtId="0" xfId="0" applyAlignment="1" applyBorder="1" applyFont="1">
      <alignment horizontal="center" readingOrder="0" shrinkToFit="0" vertical="center" wrapText="1"/>
    </xf>
    <xf borderId="65" fillId="29" fontId="20" numFmtId="0" xfId="0" applyAlignment="1" applyBorder="1" applyFont="1">
      <alignment horizontal="center" vertical="center"/>
    </xf>
    <xf borderId="66" fillId="0" fontId="6" numFmtId="0" xfId="0" applyBorder="1" applyFont="1"/>
    <xf borderId="67" fillId="0" fontId="6" numFmtId="0" xfId="0" applyBorder="1" applyFont="1"/>
    <xf borderId="68" fillId="0" fontId="6" numFmtId="0" xfId="0" applyBorder="1" applyFont="1"/>
    <xf borderId="69" fillId="0" fontId="20" numFmtId="0" xfId="0" applyAlignment="1" applyBorder="1" applyFont="1">
      <alignment horizontal="center"/>
    </xf>
    <xf borderId="70" fillId="0" fontId="6" numFmtId="0" xfId="0" applyBorder="1" applyFont="1"/>
    <xf borderId="63" fillId="0" fontId="20" numFmtId="0" xfId="0" applyAlignment="1" applyBorder="1" applyFont="1">
      <alignment horizontal="left" shrinkToFit="0" wrapText="1"/>
    </xf>
    <xf borderId="71" fillId="0" fontId="20" numFmtId="0" xfId="0" applyAlignment="1" applyBorder="1" applyFont="1">
      <alignment horizontal="left"/>
    </xf>
    <xf borderId="72" fillId="0" fontId="6" numFmtId="0" xfId="0" applyBorder="1" applyFont="1"/>
    <xf borderId="73" fillId="0" fontId="6" numFmtId="0" xfId="0" applyBorder="1" applyFont="1"/>
    <xf borderId="74" fillId="6" fontId="23" numFmtId="0" xfId="0" applyAlignment="1" applyBorder="1" applyFont="1">
      <alignment shrinkToFit="0" vertical="bottom" wrapText="1"/>
    </xf>
    <xf borderId="75" fillId="0" fontId="6" numFmtId="0" xfId="0" applyBorder="1" applyFont="1"/>
    <xf borderId="76" fillId="0" fontId="6" numFmtId="0" xfId="0" applyBorder="1" applyFont="1"/>
    <xf borderId="67" fillId="6" fontId="23" numFmtId="0" xfId="0" applyAlignment="1" applyBorder="1" applyFont="1">
      <alignment shrinkToFit="0" vertical="bottom" wrapText="1"/>
    </xf>
    <xf borderId="22" fillId="6" fontId="23" numFmtId="0" xfId="0" applyAlignment="1" applyBorder="1" applyFont="1">
      <alignment shrinkToFit="0" vertical="bottom" wrapText="1"/>
    </xf>
    <xf borderId="24" fillId="6" fontId="23" numFmtId="0" xfId="0" applyAlignment="1" applyBorder="1" applyFont="1">
      <alignment horizontal="center" shrinkToFit="0" wrapText="1"/>
    </xf>
    <xf borderId="22" fillId="6" fontId="41" numFmtId="0" xfId="0" applyAlignment="1" applyBorder="1" applyFont="1">
      <alignment horizontal="center" shrinkToFit="0" wrapText="1"/>
    </xf>
    <xf borderId="77" fillId="29" fontId="20" numFmtId="0" xfId="0" applyAlignment="1" applyBorder="1" applyFont="1">
      <alignment horizontal="center"/>
    </xf>
    <xf borderId="22" fillId="29" fontId="20" numFmtId="0" xfId="0" applyAlignment="1" applyBorder="1" applyFont="1">
      <alignment vertical="bottom"/>
    </xf>
    <xf borderId="0" fillId="29" fontId="19" numFmtId="0" xfId="0" applyAlignment="1" applyFont="1">
      <alignment horizontal="center"/>
    </xf>
    <xf borderId="0" fillId="30" fontId="19" numFmtId="10" xfId="0" applyAlignment="1" applyFont="1" applyNumberFormat="1">
      <alignment horizontal="center"/>
    </xf>
    <xf borderId="31" fillId="29" fontId="20" numFmtId="0" xfId="0" applyAlignment="1" applyBorder="1" applyFont="1">
      <alignment horizontal="center" vertical="bottom"/>
    </xf>
    <xf borderId="78" fillId="0" fontId="20" numFmtId="0" xfId="0" applyAlignment="1" applyBorder="1" applyFont="1">
      <alignment horizontal="center" vertical="bottom"/>
    </xf>
    <xf borderId="22" fillId="0" fontId="20" numFmtId="0" xfId="0" applyAlignment="1" applyBorder="1" applyFont="1">
      <alignment vertical="bottom"/>
    </xf>
    <xf borderId="31" fillId="0" fontId="20" numFmtId="10" xfId="0" applyAlignment="1" applyBorder="1" applyFont="1" applyNumberFormat="1">
      <alignment horizontal="center" vertical="bottom"/>
    </xf>
    <xf borderId="31" fillId="0" fontId="20" numFmtId="0" xfId="0" applyAlignment="1" applyBorder="1" applyFont="1">
      <alignment vertical="bottom"/>
    </xf>
    <xf borderId="31" fillId="31" fontId="19" numFmtId="174" xfId="0" applyAlignment="1" applyBorder="1" applyFont="1" applyNumberFormat="1">
      <alignment horizontal="center" readingOrder="0" vertical="bottom"/>
    </xf>
    <xf borderId="0" fillId="0" fontId="20" numFmtId="0" xfId="0" applyAlignment="1" applyFont="1">
      <alignment horizontal="center"/>
    </xf>
    <xf borderId="31" fillId="31" fontId="19" numFmtId="10" xfId="0" applyAlignment="1" applyBorder="1" applyFont="1" applyNumberFormat="1">
      <alignment horizontal="center" readingOrder="0" vertical="bottom"/>
    </xf>
    <xf borderId="22" fillId="0" fontId="20" numFmtId="0" xfId="0" applyAlignment="1" applyBorder="1" applyFont="1">
      <alignment horizontal="center" vertical="bottom"/>
    </xf>
    <xf borderId="31" fillId="0" fontId="20" numFmtId="10" xfId="0" applyAlignment="1" applyBorder="1" applyFont="1" applyNumberFormat="1">
      <alignment horizontal="center" shrinkToFit="0" vertical="bottom" wrapText="1"/>
    </xf>
    <xf borderId="22" fillId="0" fontId="19" numFmtId="0" xfId="0" applyAlignment="1" applyBorder="1" applyFont="1">
      <alignment horizontal="center" vertical="bottom"/>
    </xf>
    <xf borderId="0" fillId="0" fontId="20" numFmtId="0" xfId="0" applyAlignment="1" applyFont="1">
      <alignment shrinkToFit="0" wrapText="1"/>
    </xf>
    <xf borderId="22" fillId="0" fontId="20" numFmtId="10" xfId="0" applyAlignment="1" applyBorder="1" applyFont="1" applyNumberFormat="1">
      <alignment horizontal="center" vertical="bottom"/>
    </xf>
    <xf borderId="31" fillId="31" fontId="19" numFmtId="174" xfId="0" applyAlignment="1" applyBorder="1" applyFont="1" applyNumberFormat="1">
      <alignment horizontal="center" vertical="bottom"/>
    </xf>
    <xf borderId="67" fillId="0" fontId="20" numFmtId="0" xfId="0" applyAlignment="1" applyBorder="1" applyFont="1">
      <alignment shrinkToFit="0" vertical="bottom" wrapText="1"/>
    </xf>
    <xf borderId="79" fillId="0" fontId="20" numFmtId="0" xfId="0" applyAlignment="1" applyBorder="1" applyFont="1">
      <alignment vertical="bottom"/>
    </xf>
    <xf borderId="80" fillId="0" fontId="6" numFmtId="0" xfId="0" applyBorder="1" applyFont="1"/>
    <xf borderId="22" fillId="6" fontId="41" numFmtId="0" xfId="0" applyAlignment="1" applyBorder="1" applyFont="1">
      <alignment horizontal="center" readingOrder="0" shrinkToFit="0" wrapText="1"/>
    </xf>
    <xf borderId="0" fillId="0" fontId="20" numFmtId="0" xfId="0" applyAlignment="1" applyFont="1">
      <alignment vertical="bottom"/>
    </xf>
    <xf borderId="24" fillId="6" fontId="23" numFmtId="0" xfId="0" applyAlignment="1" applyBorder="1" applyFont="1">
      <alignment horizontal="center" readingOrder="0" shrinkToFit="0" wrapText="1"/>
    </xf>
    <xf borderId="0" fillId="3" fontId="12" numFmtId="0" xfId="0" applyFont="1"/>
    <xf borderId="20" fillId="13" fontId="42" numFmtId="0" xfId="0" applyAlignment="1" applyBorder="1" applyFont="1">
      <alignment horizontal="center" readingOrder="0" shrinkToFit="0" vertical="center" wrapText="1"/>
    </xf>
    <xf borderId="20" fillId="14" fontId="23" numFmtId="10" xfId="0" applyAlignment="1" applyBorder="1" applyFont="1" applyNumberFormat="1">
      <alignment horizontal="center" shrinkToFit="0" vertical="center" wrapText="1"/>
    </xf>
    <xf borderId="20" fillId="16" fontId="8" numFmtId="0" xfId="0" applyAlignment="1" applyBorder="1" applyFont="1">
      <alignment readingOrder="0" shrinkToFit="0" vertical="center" wrapText="1"/>
    </xf>
    <xf borderId="20" fillId="14" fontId="5" numFmtId="0" xfId="0" applyAlignment="1" applyBorder="1" applyFont="1">
      <alignment shrinkToFit="0" vertical="center" wrapText="1"/>
    </xf>
    <xf borderId="20" fillId="14" fontId="5" numFmtId="165" xfId="0" applyAlignment="1" applyBorder="1" applyFont="1" applyNumberFormat="1">
      <alignment horizontal="center" shrinkToFit="0" wrapText="1"/>
    </xf>
    <xf borderId="20" fillId="14" fontId="5" numFmtId="10" xfId="0" applyAlignment="1" applyBorder="1" applyFont="1" applyNumberFormat="1">
      <alignment horizontal="center" shrinkToFit="0" wrapText="1"/>
    </xf>
    <xf borderId="20" fillId="17" fontId="8" numFmtId="0" xfId="0" applyAlignment="1" applyBorder="1" applyFont="1">
      <alignment readingOrder="0" shrinkToFit="0" vertical="center" wrapText="1"/>
    </xf>
    <xf borderId="20" fillId="15" fontId="25" numFmtId="0" xfId="0" applyAlignment="1" applyBorder="1" applyFont="1">
      <alignment shrinkToFit="0" vertical="center" wrapText="1"/>
    </xf>
    <xf borderId="20" fillId="15" fontId="25" numFmtId="165" xfId="0" applyAlignment="1" applyBorder="1" applyFont="1" applyNumberFormat="1">
      <alignment horizontal="center" shrinkToFit="0" vertical="center" wrapText="1"/>
    </xf>
    <xf borderId="20" fillId="10" fontId="7" numFmtId="10" xfId="0" applyAlignment="1" applyBorder="1" applyFont="1" applyNumberFormat="1">
      <alignment horizontal="center" shrinkToFit="0" vertical="center" wrapText="1"/>
    </xf>
    <xf borderId="20" fillId="33" fontId="25" numFmtId="49" xfId="0" applyAlignment="1" applyBorder="1" applyFill="1" applyFont="1" applyNumberFormat="1">
      <alignment readingOrder="0" shrinkToFit="0" vertical="center" wrapText="1"/>
    </xf>
    <xf borderId="20" fillId="33" fontId="25" numFmtId="0" xfId="0" applyAlignment="1" applyBorder="1" applyFont="1">
      <alignment shrinkToFit="0" vertical="center" wrapText="1"/>
    </xf>
    <xf borderId="20" fillId="33" fontId="25" numFmtId="165" xfId="0" applyAlignment="1" applyBorder="1" applyFont="1" applyNumberFormat="1">
      <alignment horizontal="center" shrinkToFit="0" vertical="center" wrapText="1"/>
    </xf>
    <xf borderId="20" fillId="33" fontId="7" numFmtId="10" xfId="0" applyAlignment="1" applyBorder="1" applyFont="1" applyNumberFormat="1">
      <alignment horizontal="center" shrinkToFit="0" vertical="center" wrapText="1"/>
    </xf>
    <xf borderId="20" fillId="14" fontId="19" numFmtId="0" xfId="0" applyAlignment="1" applyBorder="1" applyFont="1">
      <alignment shrinkToFit="0" vertical="center" wrapText="1"/>
    </xf>
    <xf borderId="20" fillId="14" fontId="7" numFmtId="10" xfId="0" applyAlignment="1" applyBorder="1" applyFont="1" applyNumberFormat="1">
      <alignment horizontal="center" shrinkToFit="0" vertical="center" wrapText="1"/>
    </xf>
    <xf borderId="20" fillId="18" fontId="7" numFmtId="10" xfId="0" applyAlignment="1" applyBorder="1" applyFont="1" applyNumberFormat="1">
      <alignment horizontal="center" shrinkToFit="0" vertical="center" wrapText="1"/>
    </xf>
    <xf borderId="75" fillId="2" fontId="43" numFmtId="0" xfId="0" applyAlignment="1" applyBorder="1" applyFont="1">
      <alignment horizontal="right" readingOrder="0" shrinkToFit="0" vertical="center" wrapText="1"/>
    </xf>
    <xf borderId="75" fillId="2" fontId="43" numFmtId="0" xfId="0" applyAlignment="1" applyBorder="1" applyFont="1">
      <alignment horizontal="center" readingOrder="0" shrinkToFit="0" vertical="center" wrapText="1"/>
    </xf>
    <xf borderId="0" fillId="19" fontId="44" numFmtId="0" xfId="0" applyAlignment="1" applyFont="1">
      <alignment horizontal="center" readingOrder="0" shrinkToFit="0" vertical="center" wrapText="1"/>
    </xf>
    <xf borderId="24" fillId="0" fontId="34" numFmtId="0" xfId="0" applyAlignment="1" applyBorder="1" applyFont="1">
      <alignment horizontal="left" shrinkToFit="0" vertical="center" wrapText="1"/>
    </xf>
    <xf borderId="22" fillId="0" fontId="34" numFmtId="0" xfId="0" applyAlignment="1" applyBorder="1" applyFont="1">
      <alignment horizontal="left" shrinkToFit="0" vertical="center" wrapText="1"/>
    </xf>
    <xf borderId="31" fillId="0" fontId="34" numFmtId="0" xfId="0" applyAlignment="1" applyBorder="1" applyFont="1">
      <alignment horizontal="left" shrinkToFit="0" vertical="center" wrapText="1"/>
    </xf>
    <xf borderId="59" fillId="0" fontId="34" numFmtId="0" xfId="0" applyAlignment="1" applyBorder="1" applyFont="1">
      <alignment horizontal="center" shrinkToFit="0" vertical="center" wrapText="1"/>
    </xf>
    <xf borderId="56" fillId="0" fontId="34" numFmtId="0" xfId="0" applyAlignment="1" applyBorder="1" applyFont="1">
      <alignment horizontal="left" shrinkToFit="0" vertical="center" wrapText="1"/>
    </xf>
    <xf borderId="56" fillId="19" fontId="34" numFmtId="0" xfId="0" applyAlignment="1" applyBorder="1" applyFont="1">
      <alignment horizontal="left" readingOrder="0" shrinkToFit="0" vertical="center" wrapText="1"/>
    </xf>
    <xf borderId="17" fillId="0" fontId="45" numFmtId="0" xfId="0" applyAlignment="1" applyBorder="1" applyFont="1">
      <alignment horizontal="center" readingOrder="0" vertical="center"/>
    </xf>
    <xf borderId="17" fillId="0" fontId="45" numFmtId="0" xfId="0" applyAlignment="1" applyBorder="1" applyFont="1">
      <alignment horizontal="center" vertical="center"/>
    </xf>
    <xf borderId="56" fillId="0" fontId="45" numFmtId="0" xfId="0" applyAlignment="1" applyBorder="1" applyFont="1">
      <alignment horizontal="center"/>
    </xf>
    <xf borderId="17" fillId="0" fontId="45" numFmtId="0" xfId="0" applyAlignment="1" applyBorder="1" applyFont="1">
      <alignment horizontal="center"/>
    </xf>
    <xf borderId="0" fillId="34" fontId="23" numFmtId="0" xfId="0" applyAlignment="1" applyFill="1" applyFont="1">
      <alignment horizontal="center" shrinkToFit="0" vertical="center" wrapText="1"/>
    </xf>
    <xf borderId="0" fillId="34" fontId="23" numFmtId="49" xfId="0" applyAlignment="1" applyFont="1" applyNumberFormat="1">
      <alignment horizontal="left" shrinkToFit="0" vertical="center" wrapText="1"/>
    </xf>
    <xf borderId="0" fillId="34" fontId="23" numFmtId="167" xfId="0" applyAlignment="1" applyFont="1" applyNumberFormat="1">
      <alignment horizontal="center" shrinkToFit="0" vertical="center" wrapText="1"/>
    </xf>
    <xf borderId="0" fillId="0" fontId="12" numFmtId="0" xfId="0" applyAlignment="1" applyFont="1">
      <alignment readingOrder="0" shrinkToFit="0" vertical="center" wrapText="1"/>
    </xf>
    <xf borderId="0" fillId="34" fontId="23" numFmtId="0" xfId="0" applyAlignment="1" applyFont="1">
      <alignment horizontal="center" readingOrder="0" shrinkToFit="0" vertical="center" wrapText="1"/>
    </xf>
    <xf borderId="0" fillId="34" fontId="23" numFmtId="0" xfId="0" applyAlignment="1" applyFont="1">
      <alignment horizontal="left" readingOrder="0" shrinkToFit="0" vertical="center" wrapText="1"/>
    </xf>
    <xf borderId="0" fillId="34" fontId="23" numFmtId="167" xfId="0" applyAlignment="1" applyFont="1" applyNumberFormat="1">
      <alignment horizontal="center" readingOrder="0" shrinkToFit="0" vertical="center" wrapText="1"/>
    </xf>
    <xf borderId="0" fillId="0" fontId="46" numFmtId="0" xfId="0" applyAlignment="1" applyFont="1">
      <alignment readingOrder="0" shrinkToFit="0" vertical="center" wrapText="1"/>
    </xf>
    <xf borderId="20" fillId="2" fontId="2" numFmtId="0" xfId="0" applyAlignment="1" applyBorder="1" applyFont="1">
      <alignment horizontal="center" readingOrder="0" shrinkToFit="0" vertical="center" wrapText="1"/>
    </xf>
    <xf borderId="56" fillId="35" fontId="5" numFmtId="0" xfId="0" applyAlignment="1" applyBorder="1" applyFill="1" applyFont="1">
      <alignment horizontal="center" readingOrder="0" shrinkToFit="0" vertical="center" wrapText="1"/>
    </xf>
    <xf borderId="56" fillId="36" fontId="19" numFmtId="0" xfId="0" applyAlignment="1" applyBorder="1" applyFill="1" applyFont="1">
      <alignment horizontal="center" vertical="center"/>
    </xf>
    <xf borderId="20" fillId="36" fontId="19" numFmtId="0" xfId="0" applyAlignment="1" applyBorder="1" applyFont="1">
      <alignment horizontal="center" vertical="center"/>
    </xf>
    <xf borderId="20" fillId="36" fontId="19" numFmtId="0" xfId="0" applyAlignment="1" applyBorder="1" applyFont="1">
      <alignment shrinkToFit="0" vertical="center" wrapText="1"/>
    </xf>
    <xf borderId="20" fillId="36" fontId="19" numFmtId="167" xfId="0" applyAlignment="1" applyBorder="1" applyFont="1" applyNumberFormat="1">
      <alignment horizontal="center" vertical="center"/>
    </xf>
    <xf borderId="57" fillId="36" fontId="19" numFmtId="167" xfId="0" applyAlignment="1" applyBorder="1" applyFont="1" applyNumberFormat="1">
      <alignment horizontal="center" vertical="center"/>
    </xf>
    <xf borderId="0" fillId="37" fontId="19" numFmtId="0" xfId="0" applyAlignment="1" applyFill="1" applyFont="1">
      <alignment horizontal="center" shrinkToFit="0" vertical="center" wrapText="1"/>
    </xf>
    <xf borderId="0" fillId="37" fontId="19" numFmtId="0" xfId="0" applyAlignment="1" applyFont="1">
      <alignment shrinkToFit="0" vertical="center" wrapText="1"/>
    </xf>
    <xf borderId="0" fillId="37" fontId="19" numFmtId="0" xfId="0" applyAlignment="1" applyFont="1">
      <alignment horizontal="center" readingOrder="0" shrinkToFit="0" vertical="center" wrapText="1"/>
    </xf>
    <xf borderId="0" fillId="37" fontId="20" numFmtId="0" xfId="0" applyAlignment="1" applyFont="1">
      <alignment horizontal="center" readingOrder="0" shrinkToFit="0" vertical="center" wrapText="1"/>
    </xf>
    <xf borderId="0" fillId="37" fontId="20" numFmtId="0" xfId="0" applyAlignment="1" applyFont="1">
      <alignment horizontal="center" shrinkToFit="0" vertical="center" wrapText="1"/>
    </xf>
    <xf borderId="0" fillId="37" fontId="20" numFmtId="49" xfId="0" applyAlignment="1" applyFont="1" applyNumberFormat="1">
      <alignment shrinkToFit="0" vertical="center" wrapText="1"/>
    </xf>
    <xf borderId="0" fillId="37" fontId="20" numFmtId="49" xfId="0" applyAlignment="1" applyFont="1" applyNumberFormat="1">
      <alignment horizontal="center" shrinkToFit="0" vertical="center" wrapText="1"/>
    </xf>
    <xf borderId="0" fillId="37" fontId="20" numFmtId="165" xfId="0" applyAlignment="1" applyFont="1" applyNumberFormat="1">
      <alignment horizontal="center" shrinkToFit="0" vertical="center" wrapText="1"/>
    </xf>
    <xf borderId="0" fillId="37" fontId="20" numFmtId="0" xfId="0" applyAlignment="1" applyFont="1">
      <alignment horizontal="center" shrinkToFit="0" vertical="center" wrapText="1"/>
    </xf>
    <xf borderId="0" fillId="37" fontId="20" numFmtId="0" xfId="0" applyAlignment="1" applyFont="1">
      <alignment horizontal="center" vertical="center"/>
    </xf>
    <xf borderId="0" fillId="37" fontId="20" numFmtId="0" xfId="0" applyAlignment="1" applyFont="1">
      <alignment horizontal="center" readingOrder="0" vertical="center"/>
    </xf>
    <xf borderId="0" fillId="37" fontId="20" numFmtId="0" xfId="0" applyAlignment="1" applyFont="1">
      <alignment shrinkToFit="0" vertical="center" wrapText="1"/>
    </xf>
    <xf borderId="0" fillId="37" fontId="20" numFmtId="167" xfId="0" applyAlignment="1" applyFont="1" applyNumberFormat="1">
      <alignment horizontal="center" shrinkToFit="0" vertical="center" wrapText="1"/>
    </xf>
    <xf borderId="0" fillId="37" fontId="20" numFmtId="0" xfId="0" applyAlignment="1" applyFont="1">
      <alignment horizontal="left" readingOrder="0" shrinkToFit="0" vertical="center" wrapText="1"/>
    </xf>
    <xf borderId="0" fillId="37" fontId="20" numFmtId="0" xfId="0" applyAlignment="1" applyFont="1">
      <alignment vertical="center"/>
    </xf>
    <xf borderId="0" fillId="37" fontId="26" numFmtId="0" xfId="0" applyAlignment="1" applyFont="1">
      <alignment readingOrder="0" shrinkToFit="0" wrapText="1"/>
    </xf>
    <xf borderId="0" fillId="37" fontId="19" numFmtId="0" xfId="0" applyAlignment="1" applyFont="1">
      <alignment horizontal="left" readingOrder="0" shrinkToFit="0" vertical="center" wrapText="1"/>
    </xf>
    <xf borderId="0" fillId="37" fontId="26" numFmtId="0" xfId="0" applyAlignment="1" applyFont="1">
      <alignment readingOrder="0" shrinkToFit="0" vertical="center" wrapText="1"/>
    </xf>
    <xf borderId="0" fillId="37" fontId="20" numFmtId="0" xfId="0" applyAlignment="1" applyFont="1">
      <alignment horizontal="left" shrinkToFit="0" vertical="center" wrapText="1"/>
    </xf>
    <xf borderId="0" fillId="37" fontId="19" numFmtId="0" xfId="0" applyAlignment="1" applyFont="1">
      <alignment readingOrder="0" shrinkToFit="0" wrapText="1"/>
    </xf>
    <xf borderId="20" fillId="36" fontId="19" numFmtId="0" xfId="0" applyAlignment="1" applyBorder="1" applyFont="1">
      <alignment horizontal="center" readingOrder="0" vertical="center"/>
    </xf>
    <xf borderId="0" fillId="37" fontId="20" numFmtId="0" xfId="0" applyAlignment="1" applyFont="1">
      <alignment horizontal="left" readingOrder="0" shrinkToFit="0" vertical="center" wrapText="1"/>
    </xf>
    <xf borderId="0" fillId="37" fontId="23" numFmtId="0" xfId="0" applyAlignment="1" applyFont="1">
      <alignment readingOrder="0" shrinkToFit="0" wrapText="1"/>
    </xf>
    <xf borderId="20" fillId="36" fontId="19" numFmtId="0" xfId="0" applyAlignment="1" applyBorder="1" applyFont="1">
      <alignment readingOrder="0" shrinkToFit="0" vertical="center" wrapText="1"/>
    </xf>
    <xf borderId="0" fillId="37" fontId="19" numFmtId="0" xfId="0" applyAlignment="1" applyFont="1">
      <alignment horizontal="center" shrinkToFit="0" vertical="center" wrapText="1"/>
    </xf>
    <xf borderId="24" fillId="35" fontId="24" numFmtId="0" xfId="0" applyAlignment="1" applyBorder="1" applyFont="1">
      <alignment horizontal="center" readingOrder="0" shrinkToFit="0" vertical="center" wrapText="1"/>
    </xf>
    <xf borderId="24" fillId="0" fontId="19" numFmtId="0" xfId="0" applyAlignment="1" applyBorder="1" applyFont="1">
      <alignment horizontal="center" shrinkToFit="0" vertical="center" wrapText="1"/>
    </xf>
    <xf borderId="22" fillId="0" fontId="19" numFmtId="0" xfId="0" applyAlignment="1" applyBorder="1" applyFont="1">
      <alignment horizontal="center" shrinkToFit="0" vertical="center" wrapText="1"/>
    </xf>
    <xf borderId="22" fillId="0" fontId="19" numFmtId="0" xfId="0" applyAlignment="1" applyBorder="1" applyFont="1">
      <alignment shrinkToFit="0" vertical="center" wrapText="1"/>
    </xf>
    <xf borderId="22" fillId="0" fontId="20" numFmtId="0" xfId="0" applyAlignment="1" applyBorder="1" applyFont="1">
      <alignment horizontal="center" vertical="center"/>
    </xf>
    <xf borderId="22" fillId="0" fontId="19" numFmtId="165" xfId="0" applyAlignment="1" applyBorder="1" applyFont="1" applyNumberFormat="1">
      <alignment horizontal="center" vertical="center"/>
    </xf>
    <xf borderId="24" fillId="4" fontId="47" numFmtId="0" xfId="0" applyAlignment="1" applyBorder="1" applyFont="1">
      <alignment horizontal="left" readingOrder="0" shrinkToFit="0" vertical="center" wrapText="1"/>
    </xf>
    <xf borderId="56" fillId="36" fontId="19" numFmtId="0" xfId="0" applyAlignment="1" applyBorder="1" applyFont="1">
      <alignment horizontal="center" shrinkToFit="0" vertical="center" wrapText="1"/>
    </xf>
    <xf borderId="20" fillId="36" fontId="19" numFmtId="0" xfId="0" applyAlignment="1" applyBorder="1" applyFont="1">
      <alignment horizontal="center" shrinkToFit="0" vertical="center" wrapText="1"/>
    </xf>
    <xf borderId="20" fillId="36" fontId="19" numFmtId="0" xfId="0" applyAlignment="1" applyBorder="1" applyFont="1">
      <alignment shrinkToFit="0" vertical="center" wrapText="1"/>
    </xf>
    <xf borderId="20" fillId="36" fontId="20" numFmtId="0" xfId="0" applyAlignment="1" applyBorder="1" applyFont="1">
      <alignment horizontal="center" vertical="center"/>
    </xf>
    <xf borderId="20" fillId="36" fontId="19" numFmtId="165" xfId="0" applyAlignment="1" applyBorder="1" applyFont="1" applyNumberFormat="1">
      <alignment horizontal="center" vertical="center"/>
    </xf>
    <xf borderId="57" fillId="36" fontId="19" numFmtId="165" xfId="0" applyAlignment="1" applyBorder="1" applyFont="1" applyNumberFormat="1">
      <alignment horizontal="center" vertical="center"/>
    </xf>
    <xf borderId="0" fillId="37" fontId="20" numFmtId="14" xfId="0" applyAlignment="1" applyFont="1" applyNumberFormat="1">
      <alignment shrinkToFit="0" vertical="center" wrapText="1"/>
    </xf>
    <xf borderId="0" fillId="37" fontId="20" numFmtId="0" xfId="0" applyAlignment="1" applyFont="1">
      <alignment horizontal="center" vertical="center"/>
    </xf>
    <xf borderId="0" fillId="37" fontId="20" numFmtId="0" xfId="0" applyAlignment="1" applyFont="1">
      <alignment vertical="center"/>
    </xf>
    <xf borderId="20" fillId="36" fontId="19" numFmtId="165" xfId="0" applyAlignment="1" applyBorder="1" applyFont="1" applyNumberFormat="1">
      <alignment horizontal="center" shrinkToFit="0" vertical="center" wrapText="1"/>
    </xf>
    <xf borderId="57" fillId="36" fontId="19" numFmtId="165" xfId="0" applyAlignment="1" applyBorder="1" applyFont="1" applyNumberFormat="1">
      <alignment horizontal="center" shrinkToFit="0" vertical="center" wrapText="1"/>
    </xf>
    <xf borderId="0" fillId="37" fontId="20" numFmtId="0" xfId="0" applyAlignment="1" applyFont="1">
      <alignment readingOrder="0" shrinkToFit="0" vertical="center" wrapText="1"/>
    </xf>
    <xf borderId="0" fillId="37" fontId="20" numFmtId="177" xfId="0" applyAlignment="1" applyFont="1" applyNumberFormat="1">
      <alignment horizontal="center" readingOrder="0" shrinkToFit="0" vertical="center" wrapText="1"/>
    </xf>
    <xf borderId="0" fillId="37" fontId="48" numFmtId="0" xfId="0" applyAlignment="1" applyFont="1">
      <alignment horizontal="center" shrinkToFit="0" vertical="center" wrapText="1"/>
    </xf>
    <xf borderId="20" fillId="36" fontId="19" numFmtId="0" xfId="0" applyAlignment="1" applyBorder="1" applyFont="1">
      <alignment horizontal="center" readingOrder="0" shrinkToFit="0" vertical="center" wrapText="1"/>
    </xf>
    <xf borderId="20" fillId="36" fontId="19" numFmtId="0" xfId="0" applyAlignment="1" applyBorder="1" applyFont="1">
      <alignment horizontal="center" shrinkToFit="0" vertical="center" wrapText="1"/>
    </xf>
    <xf borderId="20" fillId="36" fontId="31" numFmtId="0" xfId="0" applyAlignment="1" applyBorder="1" applyFont="1">
      <alignment horizontal="center" vertical="center"/>
    </xf>
    <xf borderId="0" fillId="37" fontId="20" numFmtId="0" xfId="0" applyAlignment="1" applyFont="1">
      <alignment horizontal="center" shrinkToFit="0" vertical="center" wrapText="1"/>
    </xf>
    <xf borderId="24" fillId="0" fontId="19" numFmtId="0" xfId="0" applyAlignment="1" applyBorder="1" applyFont="1">
      <alignment horizontal="center"/>
    </xf>
    <xf borderId="22" fillId="0" fontId="19" numFmtId="0" xfId="0" applyAlignment="1" applyBorder="1" applyFont="1">
      <alignment horizontal="center"/>
    </xf>
    <xf borderId="22" fillId="0" fontId="19" numFmtId="0" xfId="0" applyAlignment="1" applyBorder="1" applyFont="1">
      <alignment shrinkToFit="0" wrapText="1"/>
    </xf>
    <xf borderId="22" fillId="0" fontId="19" numFmtId="167" xfId="0" applyAlignment="1" applyBorder="1" applyFont="1" applyNumberFormat="1">
      <alignment horizontal="center"/>
    </xf>
    <xf borderId="31" fillId="0" fontId="19" numFmtId="167" xfId="0" applyAlignment="1" applyBorder="1" applyFont="1" applyNumberFormat="1">
      <alignment horizontal="center"/>
    </xf>
    <xf borderId="24" fillId="36" fontId="19" numFmtId="0" xfId="0" applyAlignment="1" applyBorder="1" applyFont="1">
      <alignment horizontal="center"/>
    </xf>
    <xf borderId="22" fillId="36" fontId="19" numFmtId="0" xfId="0" applyAlignment="1" applyBorder="1" applyFont="1">
      <alignment horizontal="center"/>
    </xf>
    <xf borderId="22" fillId="36" fontId="19" numFmtId="0" xfId="0" applyAlignment="1" applyBorder="1" applyFont="1">
      <alignment shrinkToFit="0" wrapText="1"/>
    </xf>
    <xf borderId="22" fillId="36" fontId="19" numFmtId="167" xfId="0" applyAlignment="1" applyBorder="1" applyFont="1" applyNumberFormat="1">
      <alignment horizontal="center"/>
    </xf>
    <xf borderId="31" fillId="36" fontId="19" numFmtId="167" xfId="0" applyAlignment="1" applyBorder="1" applyFont="1" applyNumberFormat="1">
      <alignment horizontal="center"/>
    </xf>
    <xf borderId="0" fillId="37" fontId="19" numFmtId="0" xfId="0" applyAlignment="1" applyFont="1">
      <alignment horizontal="center" shrinkToFit="0" wrapText="1"/>
    </xf>
    <xf borderId="0" fillId="37" fontId="19" numFmtId="0" xfId="0" applyAlignment="1" applyFont="1">
      <alignment horizontal="center" shrinkToFit="0" wrapText="1"/>
    </xf>
    <xf borderId="0" fillId="37" fontId="19" numFmtId="0" xfId="0" applyAlignment="1" applyFont="1">
      <alignment shrinkToFit="0" wrapText="1"/>
    </xf>
    <xf borderId="0" fillId="37" fontId="20" numFmtId="0" xfId="0" applyAlignment="1" applyFont="1">
      <alignment horizontal="center" shrinkToFit="0" wrapText="1"/>
    </xf>
    <xf borderId="0" fillId="37" fontId="20" numFmtId="49" xfId="0" applyAlignment="1" applyFont="1" applyNumberFormat="1">
      <alignment shrinkToFit="0" wrapText="1"/>
    </xf>
    <xf borderId="0" fillId="37" fontId="20" numFmtId="49" xfId="0" applyAlignment="1" applyFont="1" applyNumberFormat="1">
      <alignment horizontal="center" shrinkToFit="0" wrapText="1"/>
    </xf>
    <xf borderId="0" fillId="37" fontId="20" numFmtId="165" xfId="0" applyAlignment="1" applyFont="1" applyNumberFormat="1">
      <alignment horizontal="center" shrinkToFit="0" wrapText="1"/>
    </xf>
    <xf borderId="0" fillId="37" fontId="20" numFmtId="0" xfId="0" applyAlignment="1" applyFont="1">
      <alignment horizontal="center"/>
    </xf>
    <xf borderId="0" fillId="37" fontId="20" numFmtId="0" xfId="0" applyAlignment="1" applyFont="1">
      <alignment shrinkToFit="0" wrapText="1"/>
    </xf>
    <xf borderId="0" fillId="37" fontId="20" numFmtId="167" xfId="0" applyAlignment="1" applyFont="1" applyNumberFormat="1">
      <alignment horizontal="center" shrinkToFit="0" wrapText="1"/>
    </xf>
    <xf borderId="22" fillId="37" fontId="20" numFmtId="0" xfId="0" applyAlignment="1" applyBorder="1" applyFont="1">
      <alignment horizontal="center"/>
    </xf>
    <xf borderId="22" fillId="37" fontId="20" numFmtId="0" xfId="0" applyAlignment="1" applyBorder="1" applyFont="1">
      <alignment horizontal="center"/>
    </xf>
    <xf borderId="22" fillId="37" fontId="31" numFmtId="0" xfId="0" applyBorder="1" applyFont="1"/>
    <xf borderId="0" fillId="37" fontId="20" numFmtId="0" xfId="0" applyAlignment="1" applyFont="1">
      <alignment shrinkToFit="0" vertical="bottom" wrapText="1"/>
    </xf>
    <xf borderId="0" fillId="37" fontId="26" numFmtId="0" xfId="0" applyAlignment="1" applyFont="1">
      <alignment shrinkToFit="0" wrapText="1"/>
    </xf>
    <xf borderId="0" fillId="37" fontId="20" numFmtId="0" xfId="0" applyAlignment="1" applyFont="1">
      <alignment shrinkToFit="0" wrapText="1"/>
    </xf>
    <xf borderId="22" fillId="37" fontId="20" numFmtId="0" xfId="0" applyAlignment="1" applyBorder="1" applyFont="1">
      <alignment horizontal="center" shrinkToFit="0" wrapText="1"/>
    </xf>
    <xf borderId="0" fillId="37" fontId="20" numFmtId="0" xfId="0" applyAlignment="1" applyFont="1">
      <alignment horizontal="center" shrinkToFit="0" wrapText="1"/>
    </xf>
    <xf borderId="0" fillId="37" fontId="31" numFmtId="0" xfId="0" applyFont="1"/>
    <xf borderId="0" fillId="37" fontId="20" numFmtId="0" xfId="0" applyAlignment="1" applyFont="1">
      <alignment shrinkToFit="0" vertical="bottom" wrapText="1"/>
    </xf>
    <xf borderId="0" fillId="0" fontId="19" numFmtId="0" xfId="0" applyAlignment="1" applyFont="1">
      <alignment horizontal="center" shrinkToFit="0" wrapText="1"/>
    </xf>
    <xf borderId="0" fillId="0" fontId="20" numFmtId="0" xfId="0" applyAlignment="1" applyFont="1">
      <alignment shrinkToFit="0" wrapText="1"/>
    </xf>
    <xf borderId="22" fillId="2" fontId="40" numFmtId="0" xfId="0" applyAlignment="1" applyBorder="1" applyFont="1">
      <alignment horizontal="right" readingOrder="0" shrinkToFit="0" vertical="center" wrapText="1"/>
    </xf>
    <xf borderId="22" fillId="2" fontId="2" numFmtId="0" xfId="0" applyAlignment="1" applyBorder="1" applyFont="1">
      <alignment horizontal="center" readingOrder="0" shrinkToFit="0" vertical="center" wrapText="1"/>
    </xf>
    <xf borderId="0" fillId="20" fontId="49" numFmtId="0" xfId="0" applyAlignment="1" applyFont="1">
      <alignment horizontal="center" readingOrder="0" shrinkToFit="0" vertical="center" wrapText="1"/>
    </xf>
    <xf borderId="24" fillId="19" fontId="19" numFmtId="0" xfId="0" applyAlignment="1" applyBorder="1" applyFont="1">
      <alignment horizontal="center" shrinkToFit="0" vertical="center" wrapText="1"/>
    </xf>
    <xf borderId="0" fillId="19" fontId="19" numFmtId="0" xfId="0" applyAlignment="1" applyFont="1">
      <alignment horizontal="center" shrinkToFit="0" vertical="center" wrapText="1"/>
    </xf>
    <xf borderId="56" fillId="19" fontId="19" numFmtId="0" xfId="0" applyAlignment="1" applyBorder="1" applyFont="1">
      <alignment horizontal="center" shrinkToFit="0" vertical="center" wrapText="1"/>
    </xf>
    <xf borderId="77" fillId="0" fontId="19" numFmtId="0" xfId="0" applyAlignment="1" applyBorder="1" applyFont="1">
      <alignment horizontal="center" shrinkToFit="0" vertical="center" wrapText="1"/>
    </xf>
    <xf borderId="0" fillId="0" fontId="19" numFmtId="0" xfId="0" applyAlignment="1" applyFont="1">
      <alignment horizontal="left" shrinkToFit="0" vertical="center" wrapText="1"/>
    </xf>
    <xf borderId="0" fillId="0" fontId="19" numFmtId="0" xfId="0" applyAlignment="1" applyFont="1">
      <alignment horizontal="center" shrinkToFit="0" vertical="center" wrapText="1"/>
    </xf>
    <xf borderId="0" fillId="0" fontId="50" numFmtId="0" xfId="0" applyAlignment="1" applyFont="1">
      <alignment shrinkToFit="0" vertical="center" wrapText="1"/>
    </xf>
    <xf borderId="0" fillId="0" fontId="20" numFmtId="0" xfId="0" applyAlignment="1" applyFont="1">
      <alignment shrinkToFit="0" vertical="center" wrapText="1"/>
    </xf>
    <xf borderId="59" fillId="38" fontId="19" numFmtId="0" xfId="0" applyAlignment="1" applyBorder="1" applyFill="1" applyFont="1">
      <alignment horizontal="center" shrinkToFit="0" vertical="center" wrapText="1"/>
    </xf>
    <xf borderId="56" fillId="0" fontId="51" numFmtId="0" xfId="0" applyAlignment="1" applyBorder="1" applyFont="1">
      <alignment shrinkToFit="0" vertical="center" wrapText="1"/>
    </xf>
    <xf borderId="56" fillId="39" fontId="19" numFmtId="0" xfId="0" applyAlignment="1" applyBorder="1" applyFill="1" applyFont="1">
      <alignment horizontal="center" shrinkToFit="0" vertical="center" wrapText="1"/>
    </xf>
    <xf borderId="20" fillId="39" fontId="19" numFmtId="0" xfId="0" applyAlignment="1" applyBorder="1" applyFont="1">
      <alignment horizontal="left" shrinkToFit="0" vertical="center" wrapText="1"/>
    </xf>
    <xf borderId="57" fillId="39" fontId="19" numFmtId="0" xfId="0" applyAlignment="1" applyBorder="1" applyFont="1">
      <alignment horizontal="center" shrinkToFit="0" vertical="center" wrapText="1"/>
    </xf>
    <xf borderId="57" fillId="39" fontId="19" numFmtId="167" xfId="0" applyAlignment="1" applyBorder="1" applyFont="1" applyNumberFormat="1">
      <alignment horizontal="center" shrinkToFit="0" vertical="center" wrapText="1"/>
    </xf>
    <xf borderId="57" fillId="39" fontId="19" numFmtId="167" xfId="0" applyAlignment="1" applyBorder="1" applyFont="1" applyNumberFormat="1">
      <alignment horizontal="center" shrinkToFit="0" wrapText="1"/>
    </xf>
    <xf borderId="60" fillId="0" fontId="50" numFmtId="0" xfId="0" applyAlignment="1" applyBorder="1" applyFont="1">
      <alignment shrinkToFit="0" vertical="center" wrapText="1"/>
    </xf>
    <xf borderId="57" fillId="0" fontId="50" numFmtId="0" xfId="0" applyAlignment="1" applyBorder="1" applyFont="1">
      <alignment shrinkToFit="0" vertical="center" wrapText="1"/>
    </xf>
    <xf borderId="57" fillId="0" fontId="50" numFmtId="167" xfId="0" applyAlignment="1" applyBorder="1" applyFont="1" applyNumberFormat="1">
      <alignment horizontal="right" shrinkToFit="0" vertical="center" wrapText="1"/>
    </xf>
    <xf borderId="60" fillId="0" fontId="31" numFmtId="0" xfId="0" applyBorder="1" applyFont="1"/>
    <xf borderId="60" fillId="0" fontId="20" numFmtId="0" xfId="0" applyAlignment="1" applyBorder="1" applyFont="1">
      <alignment horizontal="center" shrinkToFit="0" vertical="center" wrapText="1"/>
    </xf>
    <xf borderId="22" fillId="0" fontId="19" numFmtId="0" xfId="0" applyAlignment="1" applyBorder="1" applyFont="1">
      <alignment horizontal="center" shrinkToFit="0" vertical="center" wrapText="1"/>
    </xf>
    <xf borderId="22" fillId="0" fontId="19" numFmtId="0" xfId="0" applyAlignment="1" applyBorder="1" applyFont="1">
      <alignment horizontal="left" shrinkToFit="0" vertical="center" wrapText="1"/>
    </xf>
    <xf borderId="22" fillId="0" fontId="19" numFmtId="0" xfId="0" applyAlignment="1" applyBorder="1" applyFont="1">
      <alignment shrinkToFit="0" vertical="center" wrapText="1"/>
    </xf>
    <xf borderId="31" fillId="0" fontId="19" numFmtId="0" xfId="0" applyAlignment="1" applyBorder="1" applyFont="1">
      <alignment shrinkToFit="0" wrapText="1"/>
    </xf>
    <xf borderId="31" fillId="0" fontId="50" numFmtId="0" xfId="0" applyAlignment="1" applyBorder="1" applyFont="1">
      <alignment shrinkToFit="0" vertical="center" wrapText="1"/>
    </xf>
    <xf borderId="31" fillId="0" fontId="50" numFmtId="177" xfId="0" applyAlignment="1" applyBorder="1" applyFont="1" applyNumberFormat="1">
      <alignment horizontal="right" shrinkToFit="0" vertical="center" wrapText="1"/>
    </xf>
    <xf borderId="33" fillId="0" fontId="31" numFmtId="0" xfId="0" applyBorder="1" applyFont="1"/>
    <xf borderId="22" fillId="0" fontId="20" numFmtId="0" xfId="0" applyAlignment="1" applyBorder="1" applyFont="1">
      <alignment horizontal="center" vertical="center"/>
    </xf>
    <xf borderId="22" fillId="0" fontId="20" numFmtId="0" xfId="0" applyAlignment="1" applyBorder="1" applyFont="1">
      <alignment horizontal="left" vertical="center"/>
    </xf>
    <xf borderId="22" fillId="0" fontId="20" numFmtId="0" xfId="0" applyAlignment="1" applyBorder="1" applyFont="1">
      <alignment horizontal="center" shrinkToFit="0" vertical="center" wrapText="1"/>
    </xf>
    <xf borderId="22" fillId="19" fontId="20" numFmtId="49" xfId="0" applyAlignment="1" applyBorder="1" applyFont="1" applyNumberFormat="1">
      <alignment horizontal="center" readingOrder="0" vertical="center"/>
    </xf>
    <xf borderId="22" fillId="0" fontId="20" numFmtId="17" xfId="0" applyAlignment="1" applyBorder="1" applyFont="1" applyNumberFormat="1">
      <alignment shrinkToFit="0" vertical="center" wrapText="1"/>
    </xf>
    <xf borderId="22" fillId="0" fontId="20" numFmtId="167" xfId="0" applyAlignment="1" applyBorder="1" applyFont="1" applyNumberFormat="1">
      <alignment horizontal="center" shrinkToFit="0" vertical="center" wrapText="1"/>
    </xf>
    <xf borderId="31" fillId="0" fontId="52" numFmtId="167" xfId="0" applyAlignment="1" applyBorder="1" applyFont="1" applyNumberFormat="1">
      <alignment shrinkToFit="0" wrapText="1"/>
    </xf>
    <xf borderId="31" fillId="0" fontId="50" numFmtId="10" xfId="0" applyAlignment="1" applyBorder="1" applyFont="1" applyNumberFormat="1">
      <alignment horizontal="right" shrinkToFit="0" vertical="center" wrapText="1"/>
    </xf>
    <xf borderId="33" fillId="0" fontId="53" numFmtId="0" xfId="0" applyAlignment="1" applyBorder="1" applyFont="1">
      <alignment horizontal="center" shrinkToFit="0" vertical="center" wrapText="1"/>
    </xf>
    <xf borderId="0" fillId="0" fontId="53" numFmtId="0" xfId="0" applyAlignment="1" applyFont="1">
      <alignment horizontal="center" readingOrder="0" shrinkToFit="0" vertical="center" wrapText="1"/>
    </xf>
    <xf borderId="22" fillId="0" fontId="20" numFmtId="0" xfId="0" applyAlignment="1" applyBorder="1" applyFont="1">
      <alignment horizontal="left" shrinkToFit="0" vertical="center" wrapText="1"/>
    </xf>
    <xf borderId="22" fillId="0" fontId="20" numFmtId="167" xfId="0" applyAlignment="1" applyBorder="1" applyFont="1" applyNumberFormat="1">
      <alignment horizontal="center" readingOrder="0" shrinkToFit="0" vertical="center" wrapText="1"/>
    </xf>
    <xf borderId="31" fillId="0" fontId="50" numFmtId="178" xfId="0" applyAlignment="1" applyBorder="1" applyFont="1" applyNumberFormat="1">
      <alignment horizontal="right" shrinkToFit="0" vertical="center" wrapText="1"/>
    </xf>
    <xf borderId="22" fillId="0" fontId="20" numFmtId="0" xfId="0" applyAlignment="1" applyBorder="1" applyFont="1">
      <alignment horizontal="left" shrinkToFit="0" vertical="center" wrapText="1"/>
    </xf>
    <xf borderId="22" fillId="0" fontId="20" numFmtId="0" xfId="0" applyAlignment="1" applyBorder="1" applyFont="1">
      <alignment horizontal="center" shrinkToFit="0" vertical="center" wrapText="1"/>
    </xf>
    <xf borderId="22" fillId="0" fontId="31" numFmtId="0" xfId="0" applyAlignment="1" applyBorder="1" applyFont="1">
      <alignment horizontal="center" vertical="center"/>
    </xf>
    <xf borderId="22" fillId="0" fontId="20" numFmtId="0" xfId="0" applyAlignment="1" applyBorder="1" applyFont="1">
      <alignment vertical="center"/>
    </xf>
    <xf borderId="22" fillId="0" fontId="31" numFmtId="0" xfId="0" applyBorder="1" applyFont="1"/>
    <xf borderId="22" fillId="0" fontId="31" numFmtId="0" xfId="0" applyAlignment="1" applyBorder="1" applyFont="1">
      <alignment vertical="center"/>
    </xf>
    <xf borderId="0" fillId="0" fontId="31" numFmtId="0" xfId="0" applyAlignment="1" applyFont="1">
      <alignment vertical="center"/>
    </xf>
    <xf borderId="22" fillId="39" fontId="19" numFmtId="0" xfId="0" applyAlignment="1" applyBorder="1" applyFont="1">
      <alignment horizontal="center" shrinkToFit="0" vertical="center" wrapText="1"/>
    </xf>
    <xf borderId="22" fillId="39" fontId="19" numFmtId="0" xfId="0" applyAlignment="1" applyBorder="1" applyFont="1">
      <alignment horizontal="left" shrinkToFit="0" vertical="center" wrapText="1"/>
    </xf>
    <xf borderId="22" fillId="39" fontId="19" numFmtId="167" xfId="0" applyAlignment="1" applyBorder="1" applyFont="1" applyNumberFormat="1">
      <alignment horizontal="center" shrinkToFit="0" vertical="center" wrapText="1"/>
    </xf>
    <xf borderId="31" fillId="39" fontId="19" numFmtId="167" xfId="0" applyAlignment="1" applyBorder="1" applyFont="1" applyNumberFormat="1">
      <alignment horizontal="center" shrinkToFit="0" wrapText="1"/>
    </xf>
    <xf borderId="33" fillId="0" fontId="50" numFmtId="0" xfId="0" applyAlignment="1" applyBorder="1" applyFont="1">
      <alignment shrinkToFit="0" vertical="center" wrapText="1"/>
    </xf>
    <xf borderId="31" fillId="0" fontId="50" numFmtId="167" xfId="0" applyAlignment="1" applyBorder="1" applyFont="1" applyNumberFormat="1">
      <alignment horizontal="right" shrinkToFit="0" vertical="center" wrapText="1"/>
    </xf>
    <xf borderId="33" fillId="0" fontId="20" numFmtId="0" xfId="0" applyAlignment="1" applyBorder="1" applyFont="1">
      <alignment horizontal="center" shrinkToFit="0" vertical="center" wrapText="1"/>
    </xf>
    <xf borderId="22" fillId="0" fontId="20" numFmtId="0" xfId="0" applyAlignment="1" applyBorder="1" applyFont="1">
      <alignment horizontal="left" readingOrder="0" vertical="center"/>
    </xf>
    <xf borderId="22" fillId="0" fontId="20" numFmtId="0" xfId="0" applyAlignment="1" applyBorder="1" applyFont="1">
      <alignment horizontal="center" readingOrder="0" vertical="center"/>
    </xf>
    <xf borderId="22" fillId="0" fontId="20" numFmtId="49" xfId="0" applyAlignment="1" applyBorder="1" applyFont="1" applyNumberFormat="1">
      <alignment horizontal="center" readingOrder="0" shrinkToFit="0" vertical="center" wrapText="1"/>
    </xf>
    <xf borderId="22" fillId="0" fontId="20" numFmtId="0" xfId="0" applyAlignment="1" applyBorder="1" applyFont="1">
      <alignment readingOrder="0" shrinkToFit="0" vertical="center" wrapText="1"/>
    </xf>
    <xf borderId="31" fillId="0" fontId="54" numFmtId="167" xfId="0" applyAlignment="1" applyBorder="1" applyFont="1" applyNumberFormat="1">
      <alignment readingOrder="0" shrinkToFit="0" wrapText="1"/>
    </xf>
    <xf borderId="22" fillId="0" fontId="20" numFmtId="0" xfId="0" applyAlignment="1" applyBorder="1" applyFont="1">
      <alignment shrinkToFit="0" vertical="center" wrapText="1"/>
    </xf>
    <xf borderId="22" fillId="0" fontId="20" numFmtId="0" xfId="0" applyAlignment="1" applyBorder="1" applyFont="1">
      <alignment horizontal="left" readingOrder="0" shrinkToFit="0" vertical="center" wrapText="1"/>
    </xf>
    <xf borderId="31" fillId="0" fontId="55" numFmtId="167" xfId="0" applyAlignment="1" applyBorder="1" applyFont="1" applyNumberFormat="1">
      <alignment readingOrder="0" shrinkToFit="0" wrapText="1"/>
    </xf>
    <xf borderId="22" fillId="0" fontId="31" numFmtId="49" xfId="0" applyAlignment="1" applyBorder="1" applyFont="1" applyNumberFormat="1">
      <alignment horizontal="center" vertical="center"/>
    </xf>
    <xf borderId="22" fillId="0" fontId="31" numFmtId="167" xfId="0" applyBorder="1" applyFont="1" applyNumberFormat="1"/>
    <xf borderId="0" fillId="0" fontId="31" numFmtId="0" xfId="0" applyFont="1"/>
    <xf borderId="20" fillId="38" fontId="19" numFmtId="0" xfId="0" applyAlignment="1" applyBorder="1" applyFont="1">
      <alignment horizontal="center" shrinkToFit="0" vertical="center" wrapText="1"/>
    </xf>
    <xf borderId="20" fillId="39" fontId="19" numFmtId="0" xfId="0" applyAlignment="1" applyBorder="1" applyFont="1">
      <alignment horizontal="center" shrinkToFit="0" vertical="center" wrapText="1"/>
    </xf>
    <xf borderId="20" fillId="39" fontId="19" numFmtId="167" xfId="0" applyAlignment="1" applyBorder="1" applyFont="1" applyNumberFormat="1">
      <alignment horizontal="center" shrinkToFit="0" vertical="center" wrapText="1"/>
    </xf>
    <xf borderId="31" fillId="0" fontId="56" numFmtId="0" xfId="0" applyAlignment="1" applyBorder="1" applyFont="1">
      <alignment shrinkToFit="0" vertical="bottom" wrapText="1"/>
    </xf>
    <xf borderId="31" fillId="0" fontId="57" numFmtId="0" xfId="0" applyAlignment="1" applyBorder="1" applyFont="1">
      <alignment readingOrder="0" shrinkToFit="0" vertical="bottom" wrapText="1"/>
    </xf>
    <xf borderId="22" fillId="0" fontId="20" numFmtId="0" xfId="0" applyAlignment="1" applyBorder="1" applyFont="1">
      <alignment horizontal="center" readingOrder="0" shrinkToFit="0" vertical="center" wrapText="1"/>
    </xf>
    <xf borderId="31" fillId="0" fontId="20" numFmtId="0" xfId="0" applyAlignment="1" applyBorder="1" applyFont="1">
      <alignment readingOrder="0" shrinkToFit="0" vertical="bottom" wrapText="1"/>
    </xf>
    <xf borderId="22" fillId="0" fontId="20" numFmtId="0" xfId="0" applyAlignment="1" applyBorder="1" applyFont="1">
      <alignment shrinkToFit="0" vertical="center" wrapText="1"/>
    </xf>
    <xf borderId="31" fillId="0" fontId="58" numFmtId="0" xfId="0" applyAlignment="1" applyBorder="1" applyFont="1">
      <alignment shrinkToFit="0" vertical="bottom" wrapText="1"/>
    </xf>
    <xf borderId="31" fillId="39" fontId="19" numFmtId="0" xfId="0" applyAlignment="1" applyBorder="1" applyFont="1">
      <alignment horizontal="center" shrinkToFit="0" wrapText="1"/>
    </xf>
    <xf borderId="22" fillId="0" fontId="20" numFmtId="49" xfId="0" applyAlignment="1" applyBorder="1" applyFont="1" applyNumberFormat="1">
      <alignment readingOrder="0" shrinkToFit="0" vertical="center" wrapText="1"/>
    </xf>
    <xf borderId="22" fillId="0" fontId="20" numFmtId="49" xfId="0" applyAlignment="1" applyBorder="1" applyFont="1" applyNumberFormat="1">
      <alignment shrinkToFit="0" vertical="center" wrapText="1"/>
    </xf>
    <xf borderId="22" fillId="0" fontId="23" numFmtId="49" xfId="0" applyAlignment="1" applyBorder="1" applyFont="1" applyNumberFormat="1">
      <alignment readingOrder="0" shrinkToFit="0" vertical="center" wrapText="1"/>
    </xf>
    <xf borderId="31" fillId="0" fontId="59" numFmtId="0" xfId="0" applyAlignment="1" applyBorder="1" applyFont="1">
      <alignment readingOrder="0" shrinkToFit="0" wrapText="1"/>
    </xf>
    <xf borderId="31" fillId="0" fontId="60" numFmtId="0" xfId="0" applyAlignment="1" applyBorder="1" applyFont="1">
      <alignment shrinkToFit="0" wrapText="1"/>
    </xf>
    <xf borderId="20" fillId="0" fontId="20" numFmtId="0" xfId="0" applyAlignment="1" applyBorder="1" applyFont="1">
      <alignment horizontal="center" vertical="center"/>
    </xf>
    <xf borderId="20" fillId="0" fontId="20" numFmtId="0" xfId="0" applyAlignment="1" applyBorder="1" applyFont="1">
      <alignment horizontal="left" vertical="center"/>
    </xf>
    <xf borderId="20" fillId="0" fontId="31" numFmtId="0" xfId="0" applyAlignment="1" applyBorder="1" applyFont="1">
      <alignment horizontal="center" vertical="center"/>
    </xf>
    <xf borderId="20" fillId="0" fontId="20" numFmtId="0" xfId="0" applyAlignment="1" applyBorder="1" applyFont="1">
      <alignment vertical="center"/>
    </xf>
    <xf borderId="20" fillId="0" fontId="31" numFmtId="0" xfId="0" applyBorder="1" applyFont="1"/>
    <xf borderId="31" fillId="0" fontId="31" numFmtId="167" xfId="0" applyBorder="1" applyFont="1" applyNumberFormat="1"/>
    <xf borderId="31" fillId="0" fontId="31" numFmtId="167" xfId="0" applyAlignment="1" applyBorder="1" applyFont="1" applyNumberFormat="1">
      <alignment readingOrder="0"/>
    </xf>
    <xf borderId="20" fillId="0" fontId="20" numFmtId="0" xfId="0" applyAlignment="1" applyBorder="1" applyFont="1">
      <alignment horizontal="center" shrinkToFit="0" vertical="center" wrapText="1"/>
    </xf>
    <xf borderId="20" fillId="0" fontId="20" numFmtId="0" xfId="0" applyAlignment="1" applyBorder="1" applyFont="1">
      <alignment horizontal="left" shrinkToFit="0" vertical="center" wrapText="1"/>
    </xf>
    <xf borderId="20" fillId="0" fontId="20" numFmtId="0" xfId="0" applyAlignment="1" applyBorder="1" applyFont="1">
      <alignment shrinkToFit="0" vertical="center" wrapText="1"/>
    </xf>
    <xf borderId="31" fillId="0" fontId="61" numFmtId="0" xfId="0" applyAlignment="1" applyBorder="1" applyFont="1">
      <alignment shrinkToFit="0" wrapText="1"/>
    </xf>
    <xf borderId="22" fillId="0" fontId="20" numFmtId="49" xfId="0" applyAlignment="1" applyBorder="1" applyFont="1" applyNumberFormat="1">
      <alignment horizontal="center" readingOrder="0" vertical="center"/>
    </xf>
    <xf borderId="22" fillId="0" fontId="62" numFmtId="0" xfId="0" applyAlignment="1" applyBorder="1" applyFont="1">
      <alignment horizontal="center" readingOrder="0" shrinkToFit="0" vertical="center" wrapText="1"/>
    </xf>
    <xf borderId="22" fillId="0" fontId="31" numFmtId="0" xfId="0" applyAlignment="1" applyBorder="1" applyFont="1">
      <alignment vertical="bottom"/>
    </xf>
    <xf borderId="22" fillId="0" fontId="20" numFmtId="0" xfId="0" applyAlignment="1" applyBorder="1" applyFont="1">
      <alignment readingOrder="0" vertical="center"/>
    </xf>
    <xf borderId="22" fillId="19" fontId="20" numFmtId="0" xfId="0" applyAlignment="1" applyBorder="1" applyFont="1">
      <alignment horizontal="center" vertical="center"/>
    </xf>
    <xf borderId="22" fillId="19" fontId="20" numFmtId="0" xfId="0" applyAlignment="1" applyBorder="1" applyFont="1">
      <alignment horizontal="center" readingOrder="0" vertical="center"/>
    </xf>
    <xf borderId="22" fillId="39" fontId="19" numFmtId="0" xfId="0" applyAlignment="1" applyBorder="1" applyFont="1">
      <alignment horizontal="left" shrinkToFit="0" vertical="center" wrapText="1"/>
    </xf>
    <xf borderId="22" fillId="0" fontId="20" numFmtId="17" xfId="0" applyAlignment="1" applyBorder="1" applyFont="1" applyNumberFormat="1">
      <alignment vertical="center"/>
    </xf>
    <xf borderId="31" fillId="0" fontId="24" numFmtId="167" xfId="0" applyBorder="1" applyFont="1" applyNumberFormat="1"/>
    <xf borderId="31" fillId="0" fontId="31" numFmtId="0" xfId="0" applyBorder="1" applyFont="1"/>
    <xf borderId="22" fillId="38" fontId="19" numFmtId="0" xfId="0" applyAlignment="1" applyBorder="1" applyFont="1">
      <alignment horizontal="center" shrinkToFit="0" vertical="center" wrapText="1"/>
    </xf>
    <xf borderId="22" fillId="39" fontId="19" numFmtId="0" xfId="0" applyAlignment="1" applyBorder="1" applyFont="1">
      <alignment horizontal="left" readingOrder="0" shrinkToFit="0" vertical="center" wrapText="1"/>
    </xf>
    <xf quotePrefix="1" borderId="22" fillId="0" fontId="20" numFmtId="0" xfId="0" applyAlignment="1" applyBorder="1" applyFont="1">
      <alignment readingOrder="0" vertical="center"/>
    </xf>
    <xf borderId="31" fillId="0" fontId="31" numFmtId="0" xfId="0" applyAlignment="1" applyBorder="1" applyFont="1">
      <alignment vertical="bottom"/>
    </xf>
    <xf borderId="31" fillId="0" fontId="31" numFmtId="0" xfId="0" applyAlignment="1" applyBorder="1" applyFont="1">
      <alignment readingOrder="0" vertical="bottom"/>
    </xf>
    <xf borderId="33" fillId="0" fontId="63" numFmtId="0" xfId="0" applyAlignment="1" applyBorder="1" applyFont="1">
      <alignment horizontal="center" shrinkToFit="0" vertical="center" wrapText="1"/>
    </xf>
    <xf borderId="22" fillId="19" fontId="20" numFmtId="17" xfId="0" applyAlignment="1" applyBorder="1" applyFont="1" applyNumberFormat="1">
      <alignment shrinkToFit="0" vertical="center" wrapText="1"/>
    </xf>
    <xf borderId="22" fillId="19" fontId="20" numFmtId="0" xfId="0" applyAlignment="1" applyBorder="1" applyFont="1">
      <alignment horizontal="center" shrinkToFit="0" vertical="center" wrapText="1"/>
    </xf>
    <xf borderId="22" fillId="19" fontId="20" numFmtId="167" xfId="0" applyAlignment="1" applyBorder="1" applyFont="1" applyNumberFormat="1">
      <alignment horizontal="center" readingOrder="0" shrinkToFit="0" vertical="center" wrapText="1"/>
    </xf>
    <xf borderId="31" fillId="19" fontId="64" numFmtId="0" xfId="0" applyAlignment="1" applyBorder="1" applyFont="1">
      <alignment shrinkToFit="0" wrapText="1"/>
    </xf>
    <xf borderId="31" fillId="0" fontId="65" numFmtId="0" xfId="0" applyAlignment="1" applyBorder="1" applyFont="1">
      <alignment shrinkToFit="0" vertical="bottom" wrapText="1"/>
    </xf>
    <xf borderId="31" fillId="0" fontId="20" numFmtId="0" xfId="0" applyAlignment="1" applyBorder="1" applyFont="1">
      <alignment shrinkToFit="0" vertical="bottom" wrapText="1"/>
    </xf>
    <xf borderId="22" fillId="0" fontId="20" numFmtId="0" xfId="0" applyAlignment="1" applyBorder="1" applyFont="1">
      <alignment horizontal="left" vertical="center"/>
    </xf>
    <xf borderId="22" fillId="0" fontId="20" numFmtId="0" xfId="0" applyAlignment="1" applyBorder="1" applyFont="1">
      <alignment vertical="center"/>
    </xf>
    <xf borderId="31" fillId="0" fontId="66" numFmtId="0" xfId="0" applyAlignment="1" applyBorder="1" applyFont="1">
      <alignment readingOrder="0" shrinkToFit="0" vertical="bottom" wrapText="1"/>
    </xf>
    <xf borderId="22" fillId="0" fontId="20" numFmtId="49" xfId="0" applyAlignment="1" applyBorder="1" applyFont="1" applyNumberFormat="1">
      <alignment horizontal="center" shrinkToFit="0" vertical="center" wrapText="1"/>
    </xf>
    <xf borderId="22" fillId="0" fontId="31" numFmtId="0" xfId="0" applyAlignment="1" applyBorder="1" applyFont="1">
      <alignment vertical="bottom"/>
    </xf>
    <xf borderId="31" fillId="0" fontId="31" numFmtId="0" xfId="0" applyAlignment="1" applyBorder="1" applyFont="1">
      <alignment vertical="bottom"/>
    </xf>
    <xf borderId="20" fillId="0" fontId="20" numFmtId="0" xfId="0" applyBorder="1" applyFont="1"/>
    <xf borderId="20" fillId="0" fontId="20" numFmtId="49" xfId="0" applyAlignment="1" applyBorder="1" applyFont="1" applyNumberFormat="1">
      <alignment horizontal="center" readingOrder="0" shrinkToFit="0" wrapText="1"/>
    </xf>
    <xf borderId="20" fillId="0" fontId="20" numFmtId="17" xfId="0" applyBorder="1" applyFont="1" applyNumberFormat="1"/>
    <xf borderId="20" fillId="0" fontId="20" numFmtId="0" xfId="0" applyAlignment="1" applyBorder="1" applyFont="1">
      <alignment horizontal="center" shrinkToFit="0" wrapText="1"/>
    </xf>
    <xf borderId="20" fillId="0" fontId="20" numFmtId="167" xfId="0" applyAlignment="1" applyBorder="1" applyFont="1" applyNumberFormat="1">
      <alignment horizontal="center" shrinkToFit="0" wrapText="1"/>
    </xf>
    <xf borderId="57" fillId="0" fontId="67" numFmtId="0" xfId="0" applyAlignment="1" applyBorder="1" applyFont="1">
      <alignment shrinkToFit="0" vertical="bottom" wrapText="1"/>
    </xf>
    <xf borderId="20" fillId="0" fontId="20" numFmtId="49" xfId="0" applyAlignment="1" applyBorder="1" applyFont="1" applyNumberFormat="1">
      <alignment horizontal="center" readingOrder="0" shrinkToFit="0" vertical="center" wrapText="1"/>
    </xf>
    <xf borderId="20" fillId="0" fontId="20" numFmtId="17" xfId="0" applyAlignment="1" applyBorder="1" applyFont="1" applyNumberFormat="1">
      <alignment horizontal="center" vertical="center"/>
    </xf>
    <xf borderId="20" fillId="0" fontId="20" numFmtId="167" xfId="0" applyAlignment="1" applyBorder="1" applyFont="1" applyNumberFormat="1">
      <alignment horizontal="center" readingOrder="0" shrinkToFit="0" vertical="center" wrapText="1"/>
    </xf>
    <xf borderId="57" fillId="0" fontId="68" numFmtId="0" xfId="0" applyAlignment="1" applyBorder="1" applyFont="1">
      <alignment shrinkToFit="0" vertical="bottom" wrapText="1"/>
    </xf>
    <xf borderId="22" fillId="0" fontId="20" numFmtId="17" xfId="0" applyAlignment="1" applyBorder="1" applyFont="1" applyNumberFormat="1">
      <alignment horizontal="center" shrinkToFit="0" vertical="center" wrapText="1"/>
    </xf>
    <xf borderId="22" fillId="40" fontId="19" numFmtId="0" xfId="0" applyAlignment="1" applyBorder="1" applyFill="1" applyFont="1">
      <alignment horizontal="center" shrinkToFit="0" vertical="center" wrapText="1"/>
    </xf>
    <xf borderId="22" fillId="40" fontId="19" numFmtId="0" xfId="0" applyAlignment="1" applyBorder="1" applyFont="1">
      <alignment horizontal="left" shrinkToFit="0" vertical="center" wrapText="1"/>
    </xf>
    <xf borderId="22" fillId="40" fontId="19" numFmtId="0" xfId="0" applyAlignment="1" applyBorder="1" applyFont="1">
      <alignment horizontal="center" shrinkToFit="0" vertical="center" wrapText="1"/>
    </xf>
    <xf borderId="31" fillId="40" fontId="19" numFmtId="0" xfId="0" applyAlignment="1" applyBorder="1" applyFont="1">
      <alignment shrinkToFit="0" vertical="bottom" wrapText="1"/>
    </xf>
    <xf borderId="31" fillId="0" fontId="19" numFmtId="0" xfId="0" applyAlignment="1" applyBorder="1" applyFont="1">
      <alignment shrinkToFit="0" vertical="bottom" wrapText="1"/>
    </xf>
    <xf borderId="31" fillId="0" fontId="69" numFmtId="0" xfId="0" applyAlignment="1" applyBorder="1" applyFont="1">
      <alignment readingOrder="0" vertical="bottom"/>
    </xf>
    <xf borderId="22" fillId="19" fontId="20" numFmtId="0" xfId="0" applyAlignment="1" applyBorder="1" applyFont="1">
      <alignment horizontal="left" shrinkToFit="0" vertical="center" wrapText="1"/>
    </xf>
    <xf borderId="22" fillId="19" fontId="20" numFmtId="0" xfId="0" applyAlignment="1" applyBorder="1" applyFont="1">
      <alignment readingOrder="0" shrinkToFit="0" vertical="center" wrapText="1"/>
    </xf>
    <xf borderId="31" fillId="19" fontId="70" numFmtId="0" xfId="0" applyAlignment="1" applyBorder="1" applyFont="1">
      <alignment readingOrder="0" shrinkToFit="0" vertical="bottom" wrapText="1"/>
    </xf>
    <xf borderId="22" fillId="19" fontId="71" numFmtId="0" xfId="0" applyAlignment="1" applyBorder="1" applyFont="1">
      <alignment horizontal="center" readingOrder="0" vertical="center"/>
    </xf>
    <xf borderId="22" fillId="0" fontId="20" numFmtId="0" xfId="0" applyAlignment="1" applyBorder="1" applyFont="1">
      <alignment horizontal="center" vertical="center"/>
    </xf>
    <xf borderId="31" fillId="0" fontId="72" numFmtId="0" xfId="0" applyAlignment="1" applyBorder="1" applyFont="1">
      <alignment readingOrder="0" shrinkToFit="0" wrapText="1"/>
    </xf>
    <xf borderId="31" fillId="0" fontId="20" numFmtId="0" xfId="0" applyAlignment="1" applyBorder="1" applyFont="1">
      <alignment shrinkToFit="0" vertical="bottom" wrapText="1"/>
    </xf>
    <xf borderId="22" fillId="19" fontId="20" numFmtId="0" xfId="0" applyAlignment="1" applyBorder="1" applyFont="1">
      <alignment shrinkToFit="0" vertical="center" wrapText="1"/>
    </xf>
    <xf borderId="31" fillId="19" fontId="73" numFmtId="0" xfId="0" applyAlignment="1" applyBorder="1" applyFont="1">
      <alignment shrinkToFit="0" wrapText="1"/>
    </xf>
    <xf borderId="31" fillId="19" fontId="74" numFmtId="0" xfId="0" applyAlignment="1" applyBorder="1" applyFont="1">
      <alignment shrinkToFit="0" vertical="bottom" wrapText="1"/>
    </xf>
    <xf borderId="22" fillId="19" fontId="31" numFmtId="0" xfId="0" applyAlignment="1" applyBorder="1" applyFont="1">
      <alignment vertical="bottom"/>
    </xf>
    <xf borderId="22" fillId="0" fontId="20" numFmtId="0" xfId="0" applyAlignment="1" applyBorder="1" applyFont="1">
      <alignment readingOrder="0" shrinkToFit="0" vertical="center" wrapText="1"/>
    </xf>
    <xf borderId="22" fillId="19" fontId="75" numFmtId="0" xfId="0" applyAlignment="1" applyBorder="1" applyFont="1">
      <alignment horizontal="left" readingOrder="0" vertical="center"/>
    </xf>
    <xf borderId="31" fillId="0" fontId="76" numFmtId="0" xfId="0" applyAlignment="1" applyBorder="1" applyFont="1">
      <alignment shrinkToFit="0" vertical="top" wrapText="1"/>
    </xf>
    <xf borderId="31" fillId="0" fontId="77" numFmtId="0" xfId="0" applyAlignment="1" applyBorder="1" applyFont="1">
      <alignment horizontal="center" shrinkToFit="0" wrapText="1"/>
    </xf>
    <xf borderId="22" fillId="19" fontId="75" numFmtId="0" xfId="0" applyAlignment="1" applyBorder="1" applyFont="1">
      <alignment horizontal="center" readingOrder="0"/>
    </xf>
    <xf borderId="22" fillId="0" fontId="20" numFmtId="14" xfId="0" applyAlignment="1" applyBorder="1" applyFont="1" applyNumberFormat="1">
      <alignment horizontal="center" shrinkToFit="0" vertical="center" wrapText="1"/>
    </xf>
    <xf borderId="0" fillId="0" fontId="31" numFmtId="178" xfId="0" applyAlignment="1" applyFont="1" applyNumberFormat="1">
      <alignment vertical="center"/>
    </xf>
    <xf borderId="22" fillId="0" fontId="31" numFmtId="178" xfId="0" applyAlignment="1" applyBorder="1" applyFont="1" applyNumberFormat="1">
      <alignment vertical="center"/>
    </xf>
    <xf borderId="22" fillId="41" fontId="19" numFmtId="0" xfId="0" applyAlignment="1" applyBorder="1" applyFill="1" applyFont="1">
      <alignment horizontal="center" shrinkToFit="0" vertical="center" wrapText="1"/>
    </xf>
    <xf borderId="22" fillId="41" fontId="19" numFmtId="14" xfId="0" applyAlignment="1" applyBorder="1" applyFont="1" applyNumberFormat="1">
      <alignment horizontal="left" shrinkToFit="0" vertical="center" wrapText="1"/>
    </xf>
    <xf borderId="22" fillId="41" fontId="20" numFmtId="0" xfId="0" applyAlignment="1" applyBorder="1" applyFont="1">
      <alignment vertical="center"/>
    </xf>
    <xf borderId="22" fillId="41" fontId="19" numFmtId="167" xfId="0" applyAlignment="1" applyBorder="1" applyFont="1" applyNumberFormat="1">
      <alignment horizontal="center" shrinkToFit="0" vertical="center" wrapText="1"/>
    </xf>
    <xf borderId="31" fillId="41" fontId="31" numFmtId="0" xfId="0" applyAlignment="1" applyBorder="1" applyFont="1">
      <alignment vertical="bottom"/>
    </xf>
    <xf borderId="22" fillId="0" fontId="19" numFmtId="14" xfId="0" applyAlignment="1" applyBorder="1" applyFont="1" applyNumberFormat="1">
      <alignment shrinkToFit="0" vertical="center" wrapText="1"/>
    </xf>
    <xf borderId="22" fillId="0" fontId="19" numFmtId="167" xfId="0" applyAlignment="1" applyBorder="1" applyFont="1" applyNumberFormat="1">
      <alignment horizontal="center" shrinkToFit="0" vertical="center" wrapText="1"/>
    </xf>
    <xf borderId="31" fillId="0" fontId="19" numFmtId="0" xfId="0" applyAlignment="1" applyBorder="1" applyFont="1">
      <alignment horizontal="center" shrinkToFit="0" vertical="bottom" wrapText="1"/>
    </xf>
    <xf borderId="22" fillId="0" fontId="20" numFmtId="14" xfId="0" applyAlignment="1" applyBorder="1" applyFont="1" applyNumberFormat="1">
      <alignment shrinkToFit="0" vertical="center" wrapText="1"/>
    </xf>
    <xf borderId="22" fillId="0" fontId="31" numFmtId="14" xfId="0" applyAlignment="1" applyBorder="1" applyFont="1" applyNumberFormat="1">
      <alignment horizontal="center" vertical="center"/>
    </xf>
    <xf borderId="22" fillId="0" fontId="31" numFmtId="167" xfId="0" applyAlignment="1" applyBorder="1" applyFont="1" applyNumberFormat="1">
      <alignment horizontal="center" vertical="center"/>
    </xf>
    <xf borderId="22" fillId="0" fontId="20" numFmtId="2" xfId="0" applyAlignment="1" applyBorder="1" applyFont="1" applyNumberFormat="1">
      <alignment horizontal="center" readingOrder="0" shrinkToFit="0" vertical="center" wrapText="1"/>
    </xf>
    <xf borderId="22" fillId="41" fontId="19" numFmtId="0" xfId="0" applyAlignment="1" applyBorder="1" applyFont="1">
      <alignment horizontal="left" shrinkToFit="0" vertical="center" wrapText="1"/>
    </xf>
    <xf borderId="31" fillId="0" fontId="78" numFmtId="0" xfId="0" applyAlignment="1" applyBorder="1" applyFont="1">
      <alignment shrinkToFit="0" vertical="bottom" wrapText="1"/>
    </xf>
    <xf borderId="22" fillId="0" fontId="20" numFmtId="179" xfId="0" applyAlignment="1" applyBorder="1" applyFont="1" applyNumberFormat="1">
      <alignment horizontal="center" shrinkToFit="0" vertical="center" wrapText="1"/>
    </xf>
    <xf borderId="22" fillId="41" fontId="19" numFmtId="0" xfId="0" applyAlignment="1" applyBorder="1" applyFont="1">
      <alignment horizontal="center" shrinkToFit="0" vertical="center" wrapText="1"/>
    </xf>
    <xf borderId="31" fillId="0" fontId="20" numFmtId="0" xfId="0" applyAlignment="1" applyBorder="1" applyFont="1">
      <alignment shrinkToFit="0" vertical="bottom" wrapText="1"/>
    </xf>
    <xf borderId="22" fillId="0" fontId="20" numFmtId="179" xfId="0" applyAlignment="1" applyBorder="1" applyFont="1" applyNumberFormat="1">
      <alignment horizontal="center" readingOrder="0" shrinkToFit="0" vertical="center" wrapText="1"/>
    </xf>
    <xf borderId="22" fillId="0" fontId="31" numFmtId="0" xfId="0" applyAlignment="1" applyBorder="1" applyFont="1">
      <alignment vertical="bottom"/>
    </xf>
    <xf borderId="22" fillId="0" fontId="31" numFmtId="0" xfId="0" applyAlignment="1" applyBorder="1" applyFont="1">
      <alignment horizontal="center" vertical="center"/>
    </xf>
    <xf borderId="31" fillId="41" fontId="31" numFmtId="0" xfId="0" applyAlignment="1" applyBorder="1" applyFont="1">
      <alignment vertical="bottom"/>
    </xf>
    <xf borderId="33" fillId="0" fontId="31" numFmtId="0" xfId="0" applyAlignment="1" applyBorder="1" applyFont="1">
      <alignment vertical="bottom"/>
    </xf>
    <xf borderId="22" fillId="0" fontId="19" numFmtId="0" xfId="0" applyAlignment="1" applyBorder="1" applyFont="1">
      <alignment horizontal="center" shrinkToFit="0" vertical="center" wrapText="1"/>
    </xf>
    <xf borderId="22" fillId="0" fontId="19" numFmtId="0" xfId="0" applyAlignment="1" applyBorder="1" applyFont="1">
      <alignment horizontal="left" shrinkToFit="0" vertical="center" wrapText="1"/>
    </xf>
    <xf borderId="22" fillId="0" fontId="19" numFmtId="49" xfId="0" applyAlignment="1" applyBorder="1" applyFont="1" applyNumberFormat="1">
      <alignment horizontal="center" shrinkToFit="0" vertical="center" wrapText="1"/>
    </xf>
    <xf borderId="31" fillId="0" fontId="19" numFmtId="0" xfId="0" applyAlignment="1" applyBorder="1" applyFont="1">
      <alignment horizontal="center" shrinkToFit="0" vertical="bottom" wrapText="1"/>
    </xf>
    <xf borderId="22" fillId="19" fontId="20" numFmtId="0" xfId="0" applyAlignment="1" applyBorder="1" applyFont="1">
      <alignment horizontal="center" shrinkToFit="0" vertical="center" wrapText="1"/>
    </xf>
    <xf borderId="22" fillId="19" fontId="20" numFmtId="0" xfId="0" applyAlignment="1" applyBorder="1" applyFont="1">
      <alignment horizontal="center" readingOrder="0" shrinkToFit="0" vertical="center" wrapText="1"/>
    </xf>
    <xf borderId="31" fillId="0" fontId="20" numFmtId="167" xfId="0" applyAlignment="1" applyBorder="1" applyFont="1" applyNumberFormat="1">
      <alignment horizontal="center" readingOrder="0" shrinkToFit="0" vertical="center" wrapText="1"/>
    </xf>
    <xf borderId="31" fillId="0" fontId="20" numFmtId="167" xfId="0" applyAlignment="1" applyBorder="1" applyFont="1" applyNumberFormat="1">
      <alignment horizontal="center" shrinkToFit="0" vertical="center" wrapText="1"/>
    </xf>
    <xf borderId="19" fillId="2" fontId="2" numFmtId="0" xfId="0" applyAlignment="1" applyBorder="1" applyFont="1">
      <alignment horizontal="center" readingOrder="0" shrinkToFit="0" vertical="center" wrapText="1"/>
    </xf>
    <xf borderId="0" fillId="8" fontId="5" numFmtId="0" xfId="0" applyAlignment="1" applyFont="1">
      <alignment horizontal="center" shrinkToFit="0" vertical="center" wrapText="1"/>
    </xf>
    <xf borderId="0" fillId="19" fontId="34" numFmtId="0" xfId="0" applyAlignment="1" applyFont="1">
      <alignment horizontal="center" readingOrder="0" shrinkToFit="0" vertical="center" wrapText="1"/>
    </xf>
    <xf borderId="26" fillId="42" fontId="19" numFmtId="0" xfId="0" applyAlignment="1" applyBorder="1" applyFill="1" applyFont="1">
      <alignment horizontal="center" vertical="center"/>
    </xf>
    <xf borderId="26" fillId="42" fontId="19" numFmtId="0" xfId="0" applyAlignment="1" applyBorder="1" applyFont="1">
      <alignment horizontal="left" vertical="center"/>
    </xf>
    <xf borderId="27" fillId="42" fontId="19" numFmtId="0" xfId="0" applyAlignment="1" applyBorder="1" applyFont="1">
      <alignment horizontal="center" vertical="center"/>
    </xf>
    <xf borderId="26" fillId="42" fontId="19" numFmtId="0" xfId="0" applyAlignment="1" applyBorder="1" applyFont="1">
      <alignment horizontal="center" shrinkToFit="0" vertical="center" wrapText="1"/>
    </xf>
    <xf borderId="24" fillId="42" fontId="19" numFmtId="0" xfId="0" applyAlignment="1" applyBorder="1" applyFont="1">
      <alignment horizontal="center" vertical="center"/>
    </xf>
    <xf borderId="17" fillId="42" fontId="19" numFmtId="0" xfId="0" applyAlignment="1" applyBorder="1" applyFont="1">
      <alignment horizontal="center" vertical="center"/>
    </xf>
    <xf borderId="17" fillId="0" fontId="20" numFmtId="0" xfId="0" applyAlignment="1" applyBorder="1" applyFont="1">
      <alignment shrinkToFit="0" wrapText="1"/>
    </xf>
    <xf borderId="17" fillId="0" fontId="20" numFmtId="0" xfId="0" applyAlignment="1" applyBorder="1" applyFont="1">
      <alignment horizontal="center" shrinkToFit="0" wrapText="1"/>
    </xf>
    <xf borderId="17" fillId="0" fontId="19" numFmtId="0" xfId="0" applyAlignment="1" applyBorder="1" applyFont="1">
      <alignment horizontal="center"/>
    </xf>
    <xf borderId="56" fillId="0" fontId="19" numFmtId="0" xfId="0" applyAlignment="1" applyBorder="1" applyFont="1">
      <alignment horizontal="right"/>
    </xf>
    <xf borderId="0" fillId="8" fontId="5" numFmtId="0" xfId="0" applyAlignment="1" applyFont="1">
      <alignment horizontal="center" vertical="center"/>
    </xf>
    <xf borderId="28" fillId="42" fontId="19" numFmtId="0" xfId="0" applyAlignment="1" applyBorder="1" applyFont="1">
      <alignment horizontal="center" vertical="center"/>
    </xf>
    <xf borderId="28" fillId="42" fontId="19" numFmtId="0" xfId="0" applyAlignment="1" applyBorder="1" applyFont="1">
      <alignment horizontal="left" vertical="center"/>
    </xf>
    <xf borderId="28" fillId="42" fontId="19" numFmtId="0" xfId="0" applyAlignment="1" applyBorder="1" applyFont="1">
      <alignment horizontal="center" shrinkToFit="0" vertical="center" wrapText="1"/>
    </xf>
    <xf borderId="56" fillId="8" fontId="5" numFmtId="0" xfId="0" applyAlignment="1" applyBorder="1" applyFont="1">
      <alignment horizontal="center" vertical="center"/>
    </xf>
    <xf borderId="81" fillId="42" fontId="19" numFmtId="0" xfId="0" applyAlignment="1" applyBorder="1" applyFont="1">
      <alignment horizontal="center" vertical="center"/>
    </xf>
    <xf borderId="82" fillId="42" fontId="19" numFmtId="0" xfId="0" applyAlignment="1" applyBorder="1" applyFont="1">
      <alignment horizontal="left" vertical="center"/>
    </xf>
    <xf borderId="82" fillId="42" fontId="19" numFmtId="0" xfId="0" applyAlignment="1" applyBorder="1" applyFont="1">
      <alignment horizontal="center" vertical="center"/>
    </xf>
    <xf borderId="83" fillId="42" fontId="19" numFmtId="0" xfId="0" applyAlignment="1" applyBorder="1" applyFont="1">
      <alignment horizontal="center" vertical="center"/>
    </xf>
    <xf borderId="84" fillId="42" fontId="19" numFmtId="0" xfId="0" applyAlignment="1" applyBorder="1" applyFont="1">
      <alignment horizontal="center" shrinkToFit="0" vertical="center" wrapText="1"/>
    </xf>
    <xf borderId="56" fillId="0" fontId="20" numFmtId="0" xfId="0" applyAlignment="1" applyBorder="1" applyFont="1">
      <alignment horizontal="center" vertical="center"/>
    </xf>
    <xf borderId="0" fillId="0" fontId="31" numFmtId="0" xfId="0" applyAlignment="1" applyFont="1">
      <alignment horizontal="center"/>
    </xf>
    <xf borderId="56" fillId="8" fontId="5" numFmtId="0" xfId="0" applyAlignment="1" applyBorder="1" applyFont="1">
      <alignment horizontal="center" shrinkToFit="0" vertical="center" wrapText="1"/>
    </xf>
    <xf borderId="0" fillId="0" fontId="0" numFmtId="0" xfId="0" applyAlignment="1" applyFont="1">
      <alignment horizontal="center" vertical="center"/>
    </xf>
    <xf borderId="23" fillId="42" fontId="19" numFmtId="0" xfId="0" applyAlignment="1" applyBorder="1" applyFont="1">
      <alignment horizontal="center" vertical="center"/>
    </xf>
    <xf borderId="23" fillId="42" fontId="19" numFmtId="0" xfId="0" applyAlignment="1" applyBorder="1" applyFont="1">
      <alignment horizontal="left" vertical="center"/>
    </xf>
    <xf borderId="59" fillId="42" fontId="19" numFmtId="0" xfId="0" applyAlignment="1" applyBorder="1" applyFont="1">
      <alignment horizontal="center" vertical="center"/>
    </xf>
    <xf borderId="56" fillId="42" fontId="19" numFmtId="0" xfId="0" applyAlignment="1" applyBorder="1" applyFont="1">
      <alignment horizontal="center" vertical="center"/>
    </xf>
    <xf borderId="23" fillId="42" fontId="19" numFmtId="0" xfId="0" applyAlignment="1" applyBorder="1" applyFont="1">
      <alignment horizontal="center" shrinkToFit="0" vertical="center" wrapText="1"/>
    </xf>
    <xf borderId="0" fillId="0" fontId="79" numFmtId="0" xfId="0" applyFont="1"/>
    <xf borderId="0" fillId="10" fontId="80" numFmtId="0" xfId="0" applyFont="1"/>
    <xf borderId="0" fillId="10" fontId="39" numFmtId="0" xfId="0" applyAlignment="1" applyFont="1">
      <alignment horizontal="center" readingOrder="0" shrinkToFit="0" vertical="center" wrapText="1"/>
    </xf>
    <xf borderId="0" fillId="10" fontId="2" numFmtId="0" xfId="0" applyAlignment="1" applyFont="1">
      <alignment horizontal="center" shrinkToFit="0" wrapText="1"/>
    </xf>
    <xf borderId="0" fillId="43" fontId="81" numFmtId="0" xfId="0" applyAlignment="1" applyFill="1" applyFont="1">
      <alignment horizontal="center" shrinkToFit="0" wrapText="1"/>
    </xf>
    <xf borderId="0" fillId="43" fontId="81" numFmtId="0" xfId="0" applyAlignment="1" applyFont="1">
      <alignment horizontal="center" shrinkToFit="0" vertical="bottom" wrapText="1"/>
    </xf>
    <xf borderId="0" fillId="43" fontId="81" numFmtId="0" xfId="0" applyAlignment="1" applyFont="1">
      <alignment horizontal="center" readingOrder="0" shrinkToFit="0" wrapText="1"/>
    </xf>
    <xf borderId="0" fillId="19" fontId="82" numFmtId="0" xfId="0" applyAlignment="1" applyFont="1">
      <alignment horizontal="center" shrinkToFit="0" vertical="center" wrapText="1"/>
    </xf>
    <xf borderId="0" fillId="0" fontId="83" numFmtId="0" xfId="0" applyAlignment="1" applyFont="1">
      <alignment horizontal="center" shrinkToFit="0" vertical="center" wrapText="1"/>
    </xf>
    <xf borderId="0" fillId="19" fontId="84" numFmtId="0" xfId="0" applyAlignment="1" applyFont="1">
      <alignment horizontal="right" shrinkToFit="0" vertical="center" wrapText="1"/>
    </xf>
    <xf borderId="0" fillId="3" fontId="20" numFmtId="0" xfId="0" applyAlignment="1" applyFont="1">
      <alignment horizontal="center" shrinkToFit="0" vertical="center" wrapText="1"/>
    </xf>
    <xf borderId="0" fillId="3" fontId="85" numFmtId="0" xfId="0" applyAlignment="1" applyFont="1">
      <alignment horizontal="center" readingOrder="0" shrinkToFit="0" vertical="bottom" wrapText="1"/>
    </xf>
    <xf borderId="0" fillId="3" fontId="19" numFmtId="0" xfId="0" applyAlignment="1" applyFont="1">
      <alignment horizontal="center" shrinkToFit="0" vertical="center" wrapText="1"/>
    </xf>
    <xf borderId="0" fillId="3" fontId="86" numFmtId="0" xfId="0" applyAlignment="1" applyFont="1">
      <alignment horizontal="center" readingOrder="0" shrinkToFit="0" vertical="bottom" wrapText="1"/>
    </xf>
    <xf borderId="0" fillId="3" fontId="19" numFmtId="0" xfId="0" applyAlignment="1" applyFont="1">
      <alignment horizontal="center" readingOrder="0" shrinkToFit="0" vertical="center" wrapText="1"/>
    </xf>
    <xf borderId="0" fillId="3" fontId="20" numFmtId="0" xfId="0" applyAlignment="1" applyFont="1">
      <alignment horizontal="center" vertical="center"/>
    </xf>
    <xf borderId="0" fillId="3" fontId="20" numFmtId="0" xfId="0" applyAlignment="1" applyFont="1">
      <alignment horizontal="center" readingOrder="0" vertical="center"/>
    </xf>
    <xf borderId="0" fillId="3" fontId="20" numFmtId="0" xfId="0" applyAlignment="1" applyFont="1">
      <alignment horizontal="center" readingOrder="0" shrinkToFit="0" vertical="center" wrapText="1"/>
    </xf>
    <xf borderId="0" fillId="3" fontId="83" numFmtId="0" xfId="0" applyAlignment="1" applyFont="1">
      <alignment horizontal="center" readingOrder="0" shrinkToFit="0" vertical="bottom" wrapText="1"/>
    </xf>
    <xf borderId="0" fillId="3" fontId="20" numFmtId="0" xfId="0" applyAlignment="1" applyFont="1">
      <alignment horizontal="center" shrinkToFit="0" vertical="center" wrapText="1"/>
    </xf>
    <xf borderId="0" fillId="19" fontId="84" numFmtId="0" xfId="0" applyAlignment="1" applyFont="1">
      <alignment horizontal="right" readingOrder="0" shrinkToFit="0" vertical="center" wrapText="1"/>
    </xf>
    <xf borderId="0" fillId="3" fontId="87" numFmtId="0" xfId="0" applyAlignment="1" applyFont="1">
      <alignment vertical="center"/>
    </xf>
    <xf borderId="0" fillId="3" fontId="88" numFmtId="0" xfId="0" applyAlignment="1" applyFont="1">
      <alignment horizontal="center" readingOrder="0" shrinkToFit="0" vertical="bottom" wrapText="1"/>
    </xf>
    <xf borderId="0" fillId="3" fontId="89" numFmtId="0" xfId="0" applyAlignment="1" applyFont="1">
      <alignment horizontal="center" readingOrder="0" shrinkToFit="0" vertical="bottom" wrapText="1"/>
    </xf>
    <xf borderId="0" fillId="3" fontId="86" numFmtId="0" xfId="0" applyAlignment="1" applyFont="1">
      <alignment horizontal="center" readingOrder="0" shrinkToFit="0" vertical="center" wrapText="1"/>
    </xf>
    <xf borderId="0" fillId="19" fontId="84" numFmtId="0" xfId="0" applyAlignment="1" applyFont="1">
      <alignment horizontal="center" shrinkToFit="0" vertical="center" wrapText="1"/>
    </xf>
    <xf borderId="0" fillId="9" fontId="20" numFmtId="1" xfId="0" applyAlignment="1" applyFont="1" applyNumberFormat="1">
      <alignment horizontal="center" shrinkToFit="0" vertical="center" wrapText="1"/>
    </xf>
    <xf borderId="0" fillId="19" fontId="90" numFmtId="0" xfId="0" applyAlignment="1" applyFont="1">
      <alignment horizontal="center" vertical="center"/>
    </xf>
    <xf borderId="0" fillId="3" fontId="87" numFmtId="0" xfId="0" applyAlignment="1" applyFont="1">
      <alignment horizontal="center" readingOrder="0" vertical="center"/>
    </xf>
    <xf borderId="0" fillId="23" fontId="87" numFmtId="0" xfId="0" applyAlignment="1" applyFont="1">
      <alignment horizontal="center" readingOrder="0" vertical="center"/>
    </xf>
    <xf borderId="0" fillId="23" fontId="91" numFmtId="0" xfId="0" applyAlignment="1" applyFont="1">
      <alignment horizontal="center" readingOrder="0" shrinkToFit="0" vertical="bottom" wrapText="1"/>
    </xf>
    <xf borderId="0" fillId="23" fontId="20" numFmtId="0" xfId="0" applyAlignment="1" applyFont="1">
      <alignment shrinkToFit="0" vertical="center" wrapText="1"/>
    </xf>
    <xf borderId="0" fillId="23" fontId="20" numFmtId="0" xfId="0" applyAlignment="1" applyFont="1">
      <alignment horizontal="center" shrinkToFit="0" vertical="center" wrapText="1"/>
    </xf>
    <xf borderId="0" fillId="23" fontId="92" numFmtId="0" xfId="0" applyAlignment="1" applyFont="1">
      <alignment horizontal="center" shrinkToFit="0" vertical="center" wrapText="1"/>
    </xf>
    <xf borderId="0" fillId="3" fontId="23" numFmtId="0" xfId="0" applyAlignment="1" applyFont="1">
      <alignment horizontal="center" readingOrder="0" vertical="center"/>
    </xf>
    <xf borderId="0" fillId="3" fontId="20" numFmtId="1" xfId="0" applyAlignment="1" applyFont="1" applyNumberFormat="1">
      <alignment horizontal="center" vertical="center"/>
    </xf>
    <xf borderId="0" fillId="3" fontId="19" numFmtId="0" xfId="0" applyAlignment="1" applyFont="1">
      <alignment horizontal="center" readingOrder="0" vertical="center"/>
    </xf>
    <xf borderId="0" fillId="3" fontId="20" numFmtId="1" xfId="0" applyAlignment="1" applyFont="1" applyNumberFormat="1">
      <alignment horizontal="center" readingOrder="0" vertical="center"/>
    </xf>
    <xf borderId="0" fillId="3" fontId="19" numFmtId="0" xfId="0" applyAlignment="1" applyFont="1">
      <alignment horizontal="center" vertical="center"/>
    </xf>
    <xf borderId="0" fillId="36" fontId="19" numFmtId="0" xfId="0" applyAlignment="1" applyFont="1">
      <alignment horizontal="center" readingOrder="0" shrinkToFit="0" wrapText="1"/>
    </xf>
    <xf borderId="19" fillId="44" fontId="6" numFmtId="0" xfId="0" applyBorder="1" applyFill="1" applyFont="1"/>
    <xf borderId="20" fillId="44" fontId="6" numFmtId="0" xfId="0" applyBorder="1" applyFont="1"/>
    <xf borderId="0" fillId="10" fontId="80" numFmtId="0" xfId="0" applyAlignment="1" applyFont="1">
      <alignment horizontal="center"/>
    </xf>
    <xf borderId="0" fillId="10" fontId="2" numFmtId="0" xfId="0" applyAlignment="1" applyFont="1">
      <alignment horizontal="center" readingOrder="0" shrinkToFit="0" wrapText="1"/>
    </xf>
    <xf borderId="0" fillId="43" fontId="81" numFmtId="0" xfId="0" applyAlignment="1" applyFont="1">
      <alignment horizontal="left" shrinkToFit="0" wrapText="1"/>
    </xf>
    <xf borderId="0" fillId="19" fontId="82" numFmtId="0" xfId="0" applyAlignment="1" applyFont="1">
      <alignment horizontal="center" readingOrder="0" shrinkToFit="0" vertical="bottom" wrapText="1"/>
    </xf>
    <xf borderId="0" fillId="19" fontId="83" numFmtId="0" xfId="0" applyAlignment="1" applyFont="1">
      <alignment horizontal="center" readingOrder="0" shrinkToFit="0" vertical="bottom" wrapText="1"/>
    </xf>
    <xf borderId="0" fillId="19" fontId="20" numFmtId="0" xfId="0" applyAlignment="1" applyFont="1">
      <alignment horizontal="right" readingOrder="0" shrinkToFit="0" vertical="center" wrapText="1"/>
    </xf>
    <xf borderId="0" fillId="19" fontId="20" numFmtId="0" xfId="0" applyAlignment="1" applyFont="1">
      <alignment horizontal="center" vertical="center"/>
    </xf>
    <xf borderId="0" fillId="19" fontId="83" numFmtId="0" xfId="0" applyAlignment="1" applyFont="1">
      <alignment horizontal="center" readingOrder="0" shrinkToFit="0" vertical="center" wrapText="1"/>
    </xf>
    <xf borderId="0" fillId="19" fontId="19" numFmtId="0" xfId="0" applyAlignment="1" applyFont="1">
      <alignment horizontal="center" readingOrder="0" shrinkToFit="0" vertical="center" wrapText="1"/>
    </xf>
    <xf borderId="0" fillId="3" fontId="82" numFmtId="0" xfId="0" applyAlignment="1" applyFont="1">
      <alignment horizontal="center" readingOrder="0" shrinkToFit="0" vertical="bottom" wrapText="1"/>
    </xf>
    <xf borderId="0" fillId="3" fontId="20" numFmtId="0" xfId="0" applyAlignment="1" applyFont="1">
      <alignment horizontal="right" readingOrder="0" shrinkToFit="0" vertical="center" wrapText="1"/>
    </xf>
    <xf borderId="0" fillId="3" fontId="83" numFmtId="0" xfId="0" applyAlignment="1" applyFont="1">
      <alignment horizontal="center" readingOrder="0" shrinkToFit="0" vertical="center" wrapText="1"/>
    </xf>
    <xf borderId="0" fillId="3" fontId="20" numFmtId="0" xfId="0" applyAlignment="1" applyFont="1">
      <alignment shrinkToFit="0" vertical="center" wrapText="1"/>
    </xf>
    <xf borderId="0" fillId="19" fontId="20" numFmtId="1" xfId="0" applyAlignment="1" applyFont="1" applyNumberFormat="1">
      <alignment horizontal="center" readingOrder="0" vertical="center"/>
    </xf>
    <xf borderId="0" fillId="19" fontId="20" numFmtId="1" xfId="0" applyAlignment="1" applyFont="1" applyNumberFormat="1">
      <alignment horizontal="center" vertical="center"/>
    </xf>
    <xf borderId="0" fillId="3" fontId="20" numFmtId="1" xfId="0" applyAlignment="1" applyFont="1" applyNumberFormat="1">
      <alignment horizontal="center" shrinkToFit="0" vertical="center" wrapText="1"/>
    </xf>
    <xf borderId="0" fillId="3" fontId="82" numFmtId="0" xfId="0" applyAlignment="1" applyFont="1">
      <alignment horizontal="center" shrinkToFit="0" vertical="bottom" wrapText="1"/>
    </xf>
    <xf borderId="0" fillId="3" fontId="83" numFmtId="0" xfId="0" applyAlignment="1" applyFont="1">
      <alignment horizontal="center" shrinkToFit="0" vertical="bottom" wrapText="1"/>
    </xf>
    <xf borderId="0" fillId="19" fontId="82" numFmtId="0" xfId="0" applyAlignment="1" applyFont="1">
      <alignment horizontal="center" shrinkToFit="0" vertical="bottom" wrapText="1"/>
    </xf>
    <xf borderId="0" fillId="19" fontId="20" numFmtId="0" xfId="0" applyAlignment="1" applyFont="1">
      <alignment horizontal="center" readingOrder="0" vertical="center"/>
    </xf>
    <xf borderId="0" fillId="3" fontId="93" numFmtId="0" xfId="0" applyAlignment="1" applyFont="1">
      <alignment horizontal="center" readingOrder="0" vertical="center"/>
    </xf>
    <xf borderId="0" fillId="19" fontId="20" numFmtId="0" xfId="0" applyAlignment="1" applyFont="1">
      <alignment horizontal="center" vertical="center"/>
    </xf>
    <xf borderId="0" fillId="19" fontId="24" numFmtId="0" xfId="0" applyAlignment="1" applyFont="1">
      <alignment horizontal="center" readingOrder="0"/>
    </xf>
    <xf borderId="0" fillId="19" fontId="82" numFmtId="0" xfId="0" applyAlignment="1" applyFont="1">
      <alignment horizontal="center" readingOrder="0" shrinkToFit="0" wrapText="1"/>
    </xf>
    <xf borderId="0" fillId="19" fontId="82" numFmtId="0" xfId="0" applyAlignment="1" applyFont="1">
      <alignment horizontal="center" readingOrder="0"/>
    </xf>
    <xf borderId="0" fillId="3" fontId="82" numFmtId="0" xfId="0" applyAlignment="1" applyFont="1">
      <alignment horizontal="center" readingOrder="0" shrinkToFit="0" wrapText="1"/>
    </xf>
    <xf borderId="0" fillId="3" fontId="82" numFmtId="0" xfId="0" applyAlignment="1" applyFont="1">
      <alignment horizontal="center" readingOrder="0"/>
    </xf>
    <xf borderId="0" fillId="3" fontId="20" numFmtId="0" xfId="0" applyAlignment="1" applyFont="1">
      <alignment horizontal="right" readingOrder="0"/>
    </xf>
    <xf borderId="0" fillId="3" fontId="94" numFmtId="0" xfId="0" applyAlignment="1" applyFont="1">
      <alignment horizontal="center" readingOrder="0" vertical="center"/>
    </xf>
    <xf borderId="0" fillId="3" fontId="94" numFmtId="0" xfId="0" applyAlignment="1" applyFont="1">
      <alignment horizontal="right" readingOrder="0"/>
    </xf>
    <xf borderId="0" fillId="19" fontId="95" numFmtId="0" xfId="0" applyAlignment="1" applyFont="1">
      <alignment horizontal="center" readingOrder="0" shrinkToFit="0" vertical="bottom" wrapText="1"/>
    </xf>
    <xf borderId="0" fillId="19" fontId="20" numFmtId="0" xfId="0" applyAlignment="1" applyFont="1">
      <alignment horizontal="right" readingOrder="0" shrinkToFit="0" wrapText="1"/>
    </xf>
    <xf borderId="0" fillId="19" fontId="19" numFmtId="0" xfId="0" applyAlignment="1" applyFont="1">
      <alignment horizontal="center" shrinkToFit="0" wrapText="1"/>
    </xf>
    <xf borderId="0" fillId="3" fontId="95" numFmtId="0" xfId="0" applyAlignment="1" applyFont="1">
      <alignment horizontal="center" readingOrder="0" shrinkToFit="0" vertical="bottom" wrapText="1"/>
    </xf>
    <xf borderId="0" fillId="3" fontId="20" numFmtId="0" xfId="0" applyAlignment="1" applyFont="1">
      <alignment horizontal="right" readingOrder="0" shrinkToFit="0" wrapText="1"/>
    </xf>
    <xf borderId="0" fillId="3" fontId="19" numFmtId="0" xfId="0" applyAlignment="1" applyFont="1">
      <alignment horizontal="center" shrinkToFit="0" wrapText="1"/>
    </xf>
    <xf borderId="0" fillId="3" fontId="95" numFmtId="0" xfId="0" applyAlignment="1" applyFont="1">
      <alignment horizontal="center" readingOrder="0" shrinkToFit="0" vertical="center" wrapText="1"/>
    </xf>
    <xf borderId="0" fillId="3" fontId="20" numFmtId="0" xfId="0" applyAlignment="1" applyFont="1">
      <alignment horizontal="center" readingOrder="0" shrinkToFit="0" vertical="center" wrapText="1"/>
    </xf>
    <xf borderId="0" fillId="19" fontId="20" numFmtId="0" xfId="0" applyAlignment="1" applyFont="1">
      <alignment horizontal="center" readingOrder="0" shrinkToFit="0" wrapText="1"/>
    </xf>
    <xf borderId="0" fillId="23" fontId="83" numFmtId="0" xfId="0" applyAlignment="1" applyFont="1">
      <alignment horizontal="center" readingOrder="0" shrinkToFit="0" vertical="center" wrapText="1"/>
    </xf>
    <xf borderId="0" fillId="23" fontId="19" numFmtId="0" xfId="0" applyAlignment="1" applyFont="1">
      <alignment horizontal="center" readingOrder="0" shrinkToFit="0" vertical="center" wrapText="1"/>
    </xf>
    <xf borderId="0" fillId="19" fontId="87" numFmtId="0" xfId="0" applyAlignment="1" applyFont="1">
      <alignment horizontal="center" readingOrder="0" vertical="center"/>
    </xf>
    <xf borderId="0" fillId="19" fontId="20" numFmtId="0" xfId="0" applyAlignment="1" applyFont="1">
      <alignment horizontal="center" readingOrder="0" shrinkToFit="0" vertical="center" wrapText="1"/>
    </xf>
    <xf borderId="23" fillId="43" fontId="37" numFmtId="0" xfId="0" applyAlignment="1" applyBorder="1" applyFont="1">
      <alignment horizontal="center" readingOrder="0" shrinkToFit="0" vertical="center" wrapText="1"/>
    </xf>
    <xf borderId="0" fillId="10" fontId="2" numFmtId="0" xfId="0" applyAlignment="1" applyFont="1">
      <alignment horizontal="center" readingOrder="0" shrinkToFit="0" vertical="center" wrapText="1"/>
    </xf>
    <xf borderId="0" fillId="10" fontId="96" numFmtId="0" xfId="0" applyAlignment="1" applyFont="1">
      <alignment horizontal="left" shrinkToFit="0" vertical="center" wrapText="1"/>
    </xf>
    <xf borderId="0" fillId="10" fontId="96" numFmtId="0" xfId="0" applyAlignment="1" applyFont="1">
      <alignment horizontal="center" shrinkToFit="0" vertical="center" wrapText="1"/>
    </xf>
    <xf borderId="0" fillId="0" fontId="97" numFmtId="0" xfId="0" applyFont="1"/>
    <xf borderId="17" fillId="43" fontId="37" numFmtId="0" xfId="0" applyAlignment="1" applyBorder="1" applyFont="1">
      <alignment horizontal="center" shrinkToFit="0" vertical="center" wrapText="1"/>
    </xf>
    <xf borderId="17" fillId="43" fontId="37" numFmtId="0" xfId="0" applyAlignment="1" applyBorder="1" applyFont="1">
      <alignment horizontal="center" readingOrder="0" shrinkToFit="0" vertical="center" wrapText="1"/>
    </xf>
    <xf borderId="85" fillId="45" fontId="96" numFmtId="0" xfId="0" applyAlignment="1" applyBorder="1" applyFill="1" applyFont="1">
      <alignment horizontal="center" readingOrder="0" shrinkToFit="0" vertical="center" wrapText="1"/>
    </xf>
    <xf borderId="86" fillId="0" fontId="6" numFmtId="0" xfId="0" applyBorder="1" applyFont="1"/>
    <xf borderId="17" fillId="43" fontId="20" numFmtId="0" xfId="0" applyAlignment="1" applyBorder="1" applyFont="1">
      <alignment horizontal="center" readingOrder="0" shrinkToFit="0" vertical="center" wrapText="1"/>
    </xf>
    <xf borderId="17" fillId="43" fontId="50" numFmtId="0" xfId="0" applyAlignment="1" applyBorder="1" applyFont="1">
      <alignment horizontal="center" shrinkToFit="0" vertical="center" wrapText="1"/>
    </xf>
    <xf borderId="17" fillId="43" fontId="50" numFmtId="0" xfId="0" applyAlignment="1" applyBorder="1" applyFont="1">
      <alignment horizontal="left" shrinkToFit="0" vertical="center" wrapText="1"/>
    </xf>
    <xf borderId="17" fillId="0" fontId="20" numFmtId="0" xfId="0" applyAlignment="1" applyBorder="1" applyFont="1">
      <alignment horizontal="center" shrinkToFit="0" vertical="center" wrapText="1"/>
    </xf>
    <xf borderId="17" fillId="0" fontId="20" numFmtId="0" xfId="0" applyAlignment="1" applyBorder="1" applyFont="1">
      <alignment horizontal="left" shrinkToFit="0" vertical="center" wrapText="1"/>
    </xf>
    <xf borderId="17" fillId="0" fontId="20" numFmtId="0" xfId="0" applyAlignment="1" applyBorder="1" applyFont="1">
      <alignment horizontal="center" readingOrder="0" shrinkToFit="0" vertical="center" wrapText="1"/>
    </xf>
    <xf borderId="17" fillId="0" fontId="12" numFmtId="0" xfId="0" applyBorder="1" applyFont="1"/>
    <xf borderId="87" fillId="0" fontId="27" numFmtId="0" xfId="0" applyAlignment="1" applyBorder="1" applyFont="1">
      <alignment horizontal="center" readingOrder="0" vertical="center"/>
    </xf>
    <xf borderId="85" fillId="0" fontId="27" numFmtId="9" xfId="0" applyAlignment="1" applyBorder="1" applyFont="1" applyNumberFormat="1">
      <alignment horizontal="center" readingOrder="0" vertical="center"/>
    </xf>
    <xf borderId="88" fillId="0" fontId="6" numFmtId="0" xfId="0" applyBorder="1" applyFont="1"/>
    <xf borderId="17" fillId="0" fontId="50" numFmtId="0" xfId="0" applyAlignment="1" applyBorder="1" applyFont="1">
      <alignment horizontal="center" shrinkToFit="0" vertical="center" wrapText="1"/>
    </xf>
    <xf borderId="17" fillId="0" fontId="50" numFmtId="0" xfId="0" applyAlignment="1" applyBorder="1" applyFont="1">
      <alignment horizontal="left" shrinkToFit="0" vertical="center" wrapText="1"/>
    </xf>
    <xf borderId="0" fillId="0" fontId="98" numFmtId="0" xfId="0" applyFont="1"/>
    <xf borderId="17" fillId="0" fontId="98" numFmtId="0" xfId="0" applyAlignment="1" applyBorder="1" applyFont="1">
      <alignment horizontal="center" vertical="center"/>
    </xf>
    <xf borderId="17" fillId="0" fontId="98" numFmtId="2" xfId="0" applyAlignment="1" applyBorder="1" applyFont="1" applyNumberFormat="1">
      <alignment horizontal="center" vertical="center"/>
    </xf>
    <xf borderId="17" fillId="0" fontId="12" numFmtId="2" xfId="0" applyAlignment="1" applyBorder="1" applyFont="1" applyNumberFormat="1">
      <alignment horizontal="center"/>
    </xf>
    <xf borderId="85" fillId="45" fontId="19" numFmtId="0" xfId="0" applyAlignment="1" applyBorder="1" applyFont="1">
      <alignment horizontal="center" readingOrder="0"/>
    </xf>
    <xf borderId="87" fillId="0" fontId="79" numFmtId="0" xfId="0" applyAlignment="1" applyBorder="1" applyFont="1">
      <alignment readingOrder="0"/>
    </xf>
    <xf borderId="87" fillId="0" fontId="20" numFmtId="0" xfId="0" applyAlignment="1" applyBorder="1" applyFont="1">
      <alignment readingOrder="0"/>
    </xf>
    <xf borderId="89" fillId="0" fontId="79" numFmtId="0" xfId="0" applyAlignment="1" applyBorder="1" applyFont="1">
      <alignment readingOrder="0"/>
    </xf>
    <xf borderId="90" fillId="0" fontId="79" numFmtId="0" xfId="0" applyAlignment="1" applyBorder="1" applyFont="1">
      <alignment readingOrder="0"/>
    </xf>
    <xf borderId="91" fillId="0" fontId="79" numFmtId="0" xfId="0" applyAlignment="1" applyBorder="1" applyFont="1">
      <alignment readingOrder="0"/>
    </xf>
    <xf borderId="92" fillId="0" fontId="79" numFmtId="0" xfId="0" applyAlignment="1" applyBorder="1" applyFont="1">
      <alignment readingOrder="0"/>
    </xf>
    <xf borderId="87" fillId="0" fontId="41" numFmtId="3" xfId="0" applyAlignment="1" applyBorder="1" applyFont="1" applyNumberFormat="1">
      <alignment readingOrder="0"/>
    </xf>
    <xf borderId="93" fillId="0" fontId="99" numFmtId="0" xfId="0" applyAlignment="1" applyBorder="1" applyFont="1">
      <alignment readingOrder="0"/>
    </xf>
    <xf borderId="93" fillId="0" fontId="99" numFmtId="0" xfId="0" applyBorder="1" applyFont="1"/>
    <xf borderId="0" fillId="0" fontId="79" numFmtId="0" xfId="0" applyAlignment="1" applyFont="1">
      <alignment readingOrder="0" shrinkToFit="0" vertical="center" wrapText="1"/>
    </xf>
    <xf borderId="87" fillId="0" fontId="99" numFmtId="0" xfId="0" applyAlignment="1" applyBorder="1" applyFont="1">
      <alignment readingOrder="0"/>
    </xf>
    <xf borderId="87" fillId="0" fontId="99" numFmtId="0" xfId="0" applyBorder="1" applyFont="1"/>
    <xf borderId="17" fillId="0" fontId="50" numFmtId="1" xfId="0" applyAlignment="1" applyBorder="1" applyFont="1" applyNumberFormat="1">
      <alignment horizontal="center" shrinkToFit="0" vertical="center" wrapText="1"/>
    </xf>
    <xf borderId="17" fillId="0" fontId="98" numFmtId="1" xfId="0" applyAlignment="1" applyBorder="1" applyFont="1" applyNumberFormat="1">
      <alignment horizontal="center" vertical="center"/>
    </xf>
    <xf borderId="17" fillId="0" fontId="98" numFmtId="1" xfId="0" applyAlignment="1" applyBorder="1" applyFont="1" applyNumberFormat="1">
      <alignment horizontal="center" shrinkToFit="0" vertical="center" wrapText="1"/>
    </xf>
    <xf borderId="0" fillId="0" fontId="98" numFmtId="0" xfId="0" applyAlignment="1" applyFont="1">
      <alignment horizontal="center" shrinkToFit="0" vertical="center" wrapText="1"/>
    </xf>
    <xf borderId="0" fillId="0" fontId="50" numFmtId="0" xfId="0" applyAlignment="1" applyFont="1">
      <alignment horizontal="left" shrinkToFit="0" vertical="center" wrapText="1"/>
    </xf>
    <xf borderId="0" fillId="0" fontId="50" numFmtId="0" xfId="0" applyAlignment="1" applyFont="1">
      <alignment horizontal="center" shrinkToFit="0" vertical="center" wrapText="1"/>
    </xf>
    <xf borderId="0" fillId="0" fontId="98" numFmtId="0" xfId="0" applyAlignment="1" applyFont="1">
      <alignment horizontal="left" shrinkToFit="0" vertical="center" wrapText="1"/>
    </xf>
    <xf borderId="0" fillId="10" fontId="100" numFmtId="0" xfId="0" applyAlignment="1" applyFont="1">
      <alignment horizontal="center" readingOrder="0" shrinkToFit="0" vertical="center" wrapText="1"/>
    </xf>
    <xf borderId="0" fillId="10" fontId="101" numFmtId="0" xfId="0" applyAlignment="1" applyFont="1">
      <alignment horizontal="center" readingOrder="0" shrinkToFit="0" vertical="center" wrapText="1"/>
    </xf>
    <xf borderId="0" fillId="43" fontId="50" numFmtId="0" xfId="0" applyAlignment="1" applyFont="1">
      <alignment horizontal="center" readingOrder="0" shrinkToFit="0" vertical="center" wrapText="1"/>
    </xf>
    <xf borderId="0" fillId="43" fontId="50" numFmtId="0" xfId="0" applyAlignment="1" applyFont="1">
      <alignment horizontal="center" shrinkToFit="0" vertical="center" wrapText="1"/>
    </xf>
    <xf borderId="0" fillId="43" fontId="50" numFmtId="0" xfId="0" applyAlignment="1" applyFont="1">
      <alignment horizontal="left" shrinkToFit="0" vertical="center" wrapText="1"/>
    </xf>
    <xf borderId="17" fillId="0" fontId="98" numFmtId="0" xfId="0" applyAlignment="1" applyBorder="1" applyFont="1">
      <alignment horizontal="center" shrinkToFit="0" vertical="center" wrapText="1"/>
    </xf>
    <xf borderId="0" fillId="0" fontId="98" numFmtId="0" xfId="0" applyAlignment="1" applyFont="1">
      <alignment horizontal="center" vertical="center"/>
    </xf>
    <xf borderId="0" fillId="0" fontId="98" numFmtId="2" xfId="0" applyAlignment="1" applyFont="1" applyNumberFormat="1">
      <alignment horizontal="center" vertical="center"/>
    </xf>
    <xf borderId="0" fillId="0" fontId="98" numFmtId="0" xfId="0" applyAlignment="1" applyFont="1">
      <alignment vertical="center"/>
    </xf>
    <xf borderId="0" fillId="0" fontId="12" numFmtId="0" xfId="0" applyAlignment="1" applyFont="1">
      <alignment horizontal="center" shrinkToFit="0" vertical="center" wrapText="1"/>
    </xf>
    <xf borderId="0" fillId="0" fontId="12" numFmtId="0" xfId="0" applyAlignment="1" applyFont="1">
      <alignment horizontal="left" shrinkToFit="0" vertical="center" wrapText="1"/>
    </xf>
    <xf borderId="0" fillId="0" fontId="12" numFmtId="0" xfId="0" applyAlignment="1" applyFont="1">
      <alignment horizontal="center" vertical="center"/>
    </xf>
    <xf borderId="0" fillId="0" fontId="102" numFmtId="0" xfId="0" applyAlignment="1" applyFont="1">
      <alignment readingOrder="0" shrinkToFit="0" vertical="bottom" wrapText="0"/>
    </xf>
    <xf borderId="0" fillId="0" fontId="102" numFmtId="0" xfId="0" applyAlignment="1" applyFont="1">
      <alignment horizontal="left" readingOrder="0" shrinkToFit="0" vertical="bottom" wrapText="1"/>
    </xf>
    <xf borderId="0" fillId="0" fontId="102" numFmtId="0" xfId="0" applyAlignment="1" applyFont="1">
      <alignment horizontal="center" shrinkToFit="0" vertical="bottom" wrapText="0"/>
    </xf>
    <xf borderId="0" fillId="0" fontId="102" numFmtId="0" xfId="0" applyAlignment="1" applyFont="1">
      <alignment horizontal="center" shrinkToFit="0" wrapText="1"/>
    </xf>
    <xf borderId="0" fillId="0" fontId="102" numFmtId="0" xfId="0" applyAlignment="1" applyFont="1">
      <alignment shrinkToFit="0" vertical="bottom" wrapText="0"/>
    </xf>
    <xf borderId="19" fillId="20" fontId="103" numFmtId="0" xfId="0" applyAlignment="1" applyBorder="1" applyFont="1">
      <alignment horizontal="center" readingOrder="0" shrinkToFit="0" vertical="center" wrapText="1"/>
    </xf>
    <xf borderId="0" fillId="0" fontId="102" numFmtId="0" xfId="0" applyAlignment="1" applyFont="1">
      <alignment shrinkToFit="0" vertical="bottom" wrapText="0"/>
    </xf>
    <xf borderId="0" fillId="0" fontId="102" numFmtId="0" xfId="0" applyAlignment="1" applyFont="1">
      <alignment shrinkToFit="0" vertical="center" wrapText="1"/>
    </xf>
    <xf borderId="17" fillId="0" fontId="102" numFmtId="0" xfId="0" applyAlignment="1" applyBorder="1" applyFont="1">
      <alignment horizontal="center" readingOrder="0" shrinkToFit="0" vertical="center" wrapText="0"/>
    </xf>
    <xf borderId="17" fillId="0" fontId="102" numFmtId="0" xfId="0" applyAlignment="1" applyBorder="1" applyFont="1">
      <alignment readingOrder="0" shrinkToFit="0" vertical="center" wrapText="1"/>
    </xf>
    <xf borderId="17" fillId="0" fontId="102" numFmtId="0" xfId="0" applyAlignment="1" applyBorder="1" applyFont="1">
      <alignment horizontal="center" readingOrder="0" shrinkToFit="0" vertical="center" wrapText="1"/>
    </xf>
    <xf borderId="0" fillId="0" fontId="102" numFmtId="0" xfId="0" applyAlignment="1" applyFont="1">
      <alignment horizontal="center" readingOrder="0" shrinkToFit="0" vertical="center" wrapText="1"/>
    </xf>
    <xf borderId="17" fillId="0" fontId="1" numFmtId="1" xfId="0" applyAlignment="1" applyBorder="1" applyFont="1" applyNumberFormat="1">
      <alignment horizontal="center" readingOrder="0" shrinkToFit="0" vertical="bottom" wrapText="0"/>
    </xf>
    <xf borderId="57" fillId="0" fontId="1" numFmtId="49" xfId="0" applyAlignment="1" applyBorder="1" applyFont="1" applyNumberFormat="1">
      <alignment readingOrder="0" shrinkToFit="0" vertical="bottom" wrapText="1"/>
    </xf>
    <xf borderId="57" fillId="0" fontId="1" numFmtId="0" xfId="0" applyAlignment="1" applyBorder="1" applyFont="1">
      <alignment horizontal="center" readingOrder="0" shrinkToFit="0" vertical="bottom" wrapText="0"/>
    </xf>
    <xf borderId="17" fillId="0" fontId="1" numFmtId="165" xfId="0" applyAlignment="1" applyBorder="1" applyFont="1" applyNumberFormat="1">
      <alignment horizontal="center" readingOrder="0" vertical="bottom"/>
    </xf>
    <xf borderId="57" fillId="0" fontId="1" numFmtId="0" xfId="0" applyAlignment="1" applyBorder="1" applyFont="1">
      <alignment horizontal="center" readingOrder="0" shrinkToFit="0" vertical="bottom" wrapText="1"/>
    </xf>
    <xf borderId="57" fillId="0" fontId="1" numFmtId="165" xfId="0" applyAlignment="1" applyBorder="1" applyFont="1" applyNumberFormat="1">
      <alignment horizontal="center" readingOrder="0" vertical="bottom"/>
    </xf>
    <xf borderId="0" fillId="0" fontId="1" numFmtId="165" xfId="0" applyAlignment="1" applyFont="1" applyNumberFormat="1">
      <alignment horizontal="center" readingOrder="0" vertical="bottom"/>
    </xf>
    <xf borderId="28" fillId="0" fontId="1" numFmtId="1" xfId="0" applyAlignment="1" applyBorder="1" applyFont="1" applyNumberFormat="1">
      <alignment horizontal="center" readingOrder="0" shrinkToFit="0" vertical="bottom" wrapText="0"/>
    </xf>
    <xf borderId="31" fillId="0" fontId="1" numFmtId="49" xfId="0" applyAlignment="1" applyBorder="1" applyFont="1" applyNumberFormat="1">
      <alignment readingOrder="0" shrinkToFit="0" vertical="bottom" wrapText="1"/>
    </xf>
    <xf borderId="31" fillId="0" fontId="1" numFmtId="0" xfId="0" applyAlignment="1" applyBorder="1" applyFont="1">
      <alignment horizontal="center" readingOrder="0" shrinkToFit="0" vertical="bottom" wrapText="0"/>
    </xf>
    <xf borderId="28" fillId="0" fontId="1" numFmtId="165" xfId="0" applyAlignment="1" applyBorder="1" applyFont="1" applyNumberFormat="1">
      <alignment horizontal="center" readingOrder="0" shrinkToFit="0" vertical="bottom" wrapText="0"/>
    </xf>
    <xf borderId="31" fillId="0" fontId="1" numFmtId="0" xfId="0" applyAlignment="1" applyBorder="1" applyFont="1">
      <alignment horizontal="center" readingOrder="0" shrinkToFit="0" vertical="bottom" wrapText="1"/>
    </xf>
    <xf borderId="28" fillId="46" fontId="1" numFmtId="1" xfId="0" applyAlignment="1" applyBorder="1" applyFill="1" applyFont="1" applyNumberFormat="1">
      <alignment horizontal="center" readingOrder="0" shrinkToFit="0" vertical="bottom" wrapText="0"/>
    </xf>
    <xf borderId="17" fillId="46" fontId="1" numFmtId="0" xfId="0" applyAlignment="1" applyBorder="1" applyFont="1">
      <alignment horizontal="center" readingOrder="0" shrinkToFit="0" vertical="bottom" wrapText="0"/>
    </xf>
    <xf borderId="17" fillId="0" fontId="1" numFmtId="0" xfId="0" applyAlignment="1" applyBorder="1" applyFont="1">
      <alignment readingOrder="0" shrinkToFit="0" vertical="center" wrapText="1"/>
    </xf>
    <xf borderId="17" fillId="0" fontId="1" numFmtId="0" xfId="0" applyAlignment="1" applyBorder="1" applyFont="1">
      <alignment horizontal="center" readingOrder="0" shrinkToFit="0" vertical="bottom" wrapText="0"/>
    </xf>
    <xf borderId="17" fillId="0" fontId="1" numFmtId="165" xfId="0" applyAlignment="1" applyBorder="1" applyFont="1" applyNumberFormat="1">
      <alignment horizontal="center" readingOrder="0" shrinkToFit="0" vertical="bottom" wrapText="0"/>
    </xf>
    <xf borderId="0" fillId="0" fontId="41" numFmtId="165" xfId="0" applyAlignment="1" applyFont="1" applyNumberFormat="1">
      <alignment vertical="bottom"/>
    </xf>
    <xf borderId="0" fillId="46" fontId="1" numFmtId="0" xfId="0" applyAlignment="1" applyFont="1">
      <alignment horizontal="center" readingOrder="0" shrinkToFit="0" vertical="bottom" wrapText="0"/>
    </xf>
    <xf borderId="0" fillId="0" fontId="1" numFmtId="0" xfId="0" applyAlignment="1" applyFont="1">
      <alignment readingOrder="0" shrinkToFit="0" vertical="center" wrapText="1"/>
    </xf>
    <xf borderId="0" fillId="0" fontId="1" numFmtId="0" xfId="0" applyAlignment="1" applyFont="1">
      <alignment horizontal="center" readingOrder="0" shrinkToFit="0" vertical="bottom" wrapText="0"/>
    </xf>
    <xf borderId="0" fillId="0" fontId="1" numFmtId="165" xfId="0" applyAlignment="1" applyFont="1" applyNumberFormat="1">
      <alignment horizontal="center" readingOrder="0" shrinkToFit="0" vertical="bottom" wrapText="0"/>
    </xf>
    <xf borderId="0" fillId="0" fontId="1" numFmtId="0" xfId="0" applyAlignment="1" applyFont="1">
      <alignment horizontal="center" readingOrder="0" shrinkToFit="0" vertical="bottom" wrapText="1"/>
    </xf>
    <xf borderId="0" fillId="0" fontId="104" numFmtId="165" xfId="0" applyAlignment="1" applyFont="1" applyNumberFormat="1">
      <alignment vertical="bottom"/>
    </xf>
    <xf borderId="0" fillId="0" fontId="104" numFmtId="165" xfId="0" applyAlignment="1" applyFont="1" applyNumberFormat="1">
      <alignment horizontal="center" readingOrder="0" vertical="bottom"/>
    </xf>
    <xf borderId="0" fillId="9" fontId="50" numFmtId="0" xfId="0" applyAlignment="1" applyFont="1">
      <alignment readingOrder="0"/>
    </xf>
    <xf borderId="0" fillId="9" fontId="50" numFmtId="0" xfId="0" applyFont="1"/>
    <xf borderId="17" fillId="0" fontId="96" numFmtId="0" xfId="0" applyAlignment="1" applyBorder="1" applyFont="1">
      <alignment horizontal="center" readingOrder="0" shrinkToFit="0" vertical="center" wrapText="1"/>
    </xf>
    <xf borderId="17" fillId="0" fontId="96" numFmtId="0" xfId="0" applyAlignment="1" applyBorder="1" applyFont="1">
      <alignment horizontal="left" readingOrder="0" shrinkToFit="0" vertical="center" wrapText="1"/>
    </xf>
    <xf borderId="17" fillId="0" fontId="96" numFmtId="165" xfId="0" applyAlignment="1" applyBorder="1" applyFont="1" applyNumberFormat="1">
      <alignment horizontal="center" readingOrder="0" shrinkToFit="0" vertical="center" wrapText="1"/>
    </xf>
    <xf borderId="0" fillId="0" fontId="96" numFmtId="0" xfId="0" applyAlignment="1" applyFont="1">
      <alignment horizontal="center" readingOrder="0" shrinkToFit="0" vertical="center" wrapText="1"/>
    </xf>
    <xf borderId="17" fillId="0" fontId="1" numFmtId="0" xfId="0" applyAlignment="1" applyBorder="1" applyFont="1">
      <alignment horizontal="center" shrinkToFit="0" vertical="bottom" wrapText="0"/>
    </xf>
    <xf borderId="17" fillId="0" fontId="1" numFmtId="49" xfId="0" applyAlignment="1" applyBorder="1" applyFont="1" applyNumberFormat="1">
      <alignment shrinkToFit="0" vertical="bottom" wrapText="1"/>
    </xf>
    <xf borderId="17" fillId="0" fontId="1" numFmtId="49" xfId="0" applyAlignment="1" applyBorder="1" applyFont="1" applyNumberFormat="1">
      <alignment horizontal="center" shrinkToFit="0" vertical="bottom" wrapText="0"/>
    </xf>
    <xf borderId="17" fillId="0" fontId="1" numFmtId="165" xfId="0" applyAlignment="1" applyBorder="1" applyFont="1" applyNumberFormat="1">
      <alignment horizontal="center" shrinkToFit="0" vertical="bottom" wrapText="0"/>
    </xf>
    <xf borderId="17" fillId="0" fontId="1" numFmtId="0" xfId="0" applyAlignment="1" applyBorder="1" applyFont="1">
      <alignment horizontal="center" shrinkToFit="0" vertical="bottom" wrapText="0"/>
    </xf>
    <xf borderId="17" fillId="0" fontId="1" numFmtId="1" xfId="0" applyAlignment="1" applyBorder="1" applyFont="1" applyNumberFormat="1">
      <alignment horizontal="center" shrinkToFit="0" vertical="bottom" wrapText="0"/>
    </xf>
    <xf borderId="0" fillId="0" fontId="1" numFmtId="0" xfId="0" applyAlignment="1" applyFont="1">
      <alignment horizontal="center" shrinkToFit="0" vertical="bottom" wrapText="0"/>
    </xf>
    <xf borderId="17" fillId="0" fontId="1" numFmtId="0" xfId="0" applyAlignment="1" applyBorder="1" applyFont="1">
      <alignment horizontal="center" readingOrder="0" shrinkToFit="0" wrapText="0"/>
    </xf>
    <xf borderId="57" fillId="0" fontId="1" numFmtId="49" xfId="0" applyAlignment="1" applyBorder="1" applyFont="1" applyNumberFormat="1">
      <alignment horizontal="left" readingOrder="0" shrinkToFit="0" wrapText="1"/>
    </xf>
    <xf borderId="57" fillId="0" fontId="1" numFmtId="49" xfId="0" applyAlignment="1" applyBorder="1" applyFont="1" applyNumberFormat="1">
      <alignment horizontal="center" readingOrder="0" shrinkToFit="0" wrapText="0"/>
    </xf>
    <xf borderId="28" fillId="0" fontId="1" numFmtId="0" xfId="0" applyAlignment="1" applyBorder="1" applyFont="1">
      <alignment horizontal="center" readingOrder="0" shrinkToFit="0" wrapText="0"/>
    </xf>
    <xf borderId="28" fillId="0" fontId="1" numFmtId="165" xfId="0" applyAlignment="1" applyBorder="1" applyFont="1" applyNumberFormat="1">
      <alignment horizontal="center" readingOrder="0" shrinkToFit="0" wrapText="0"/>
    </xf>
    <xf borderId="20" fillId="47" fontId="104" numFmtId="165" xfId="0" applyAlignment="1" applyBorder="1" applyFill="1" applyFont="1" applyNumberFormat="1">
      <alignment horizontal="center" readingOrder="0"/>
    </xf>
    <xf borderId="17" fillId="0" fontId="1" numFmtId="165" xfId="0" applyAlignment="1" applyBorder="1" applyFont="1" applyNumberFormat="1">
      <alignment horizontal="center" readingOrder="0" shrinkToFit="0" wrapText="0"/>
    </xf>
    <xf borderId="57" fillId="0" fontId="1" numFmtId="165" xfId="0" applyAlignment="1" applyBorder="1" applyFont="1" applyNumberFormat="1">
      <alignment horizontal="center" readingOrder="0" shrinkToFit="0" wrapText="0"/>
    </xf>
    <xf borderId="0" fillId="0" fontId="1" numFmtId="165" xfId="0" applyAlignment="1" applyFont="1" applyNumberFormat="1">
      <alignment horizontal="center" readingOrder="0" shrinkToFit="0" wrapText="0"/>
    </xf>
    <xf borderId="31" fillId="0" fontId="1" numFmtId="49" xfId="0" applyAlignment="1" applyBorder="1" applyFont="1" applyNumberFormat="1">
      <alignment horizontal="left" readingOrder="0" shrinkToFit="0" wrapText="1"/>
    </xf>
    <xf borderId="31" fillId="0" fontId="1" numFmtId="49" xfId="0" applyAlignment="1" applyBorder="1" applyFont="1" applyNumberFormat="1">
      <alignment horizontal="center" readingOrder="0" shrinkToFit="0" wrapText="0"/>
    </xf>
    <xf borderId="31" fillId="0" fontId="1" numFmtId="165" xfId="0" applyAlignment="1" applyBorder="1" applyFont="1" applyNumberFormat="1">
      <alignment horizontal="center" readingOrder="0" shrinkToFit="0" wrapText="0"/>
    </xf>
    <xf borderId="28" fillId="0" fontId="1" numFmtId="4" xfId="0" applyAlignment="1" applyBorder="1" applyFont="1" applyNumberFormat="1">
      <alignment horizontal="center" readingOrder="0" shrinkToFit="0" wrapText="0"/>
    </xf>
    <xf borderId="28" fillId="0" fontId="1" numFmtId="49" xfId="0" applyAlignment="1" applyBorder="1" applyFont="1" applyNumberFormat="1">
      <alignment horizontal="center" readingOrder="0" shrinkToFit="0" wrapText="0"/>
    </xf>
    <xf borderId="31" fillId="0" fontId="1" numFmtId="0" xfId="0" applyAlignment="1" applyBorder="1" applyFont="1">
      <alignment horizontal="left" readingOrder="0" shrinkToFit="0" wrapText="1"/>
    </xf>
    <xf borderId="31" fillId="0" fontId="1" numFmtId="0" xfId="0" applyAlignment="1" applyBorder="1" applyFont="1">
      <alignment horizontal="center" readingOrder="0" shrinkToFit="0" wrapText="0"/>
    </xf>
    <xf borderId="17" fillId="0" fontId="1" numFmtId="0" xfId="0" applyAlignment="1" applyBorder="1" applyFont="1">
      <alignment horizontal="left" readingOrder="0" shrinkToFit="0" wrapText="1"/>
    </xf>
    <xf borderId="0" fillId="2" fontId="39" numFmtId="0" xfId="0" applyAlignment="1" applyFont="1">
      <alignment horizontal="center" readingOrder="0" shrinkToFit="0" vertical="center" wrapText="1"/>
    </xf>
    <xf borderId="23" fillId="19" fontId="19" numFmtId="0" xfId="0" applyAlignment="1" applyBorder="1" applyFont="1">
      <alignment horizontal="center" shrinkToFit="0" vertical="center" wrapText="1"/>
    </xf>
    <xf borderId="23" fillId="19" fontId="19" numFmtId="0" xfId="0" applyAlignment="1" applyBorder="1" applyFont="1">
      <alignment horizontal="center" readingOrder="0" shrinkToFit="0" vertical="center" wrapText="1"/>
    </xf>
    <xf borderId="23" fillId="19" fontId="19" numFmtId="0" xfId="0" applyAlignment="1" applyBorder="1" applyFont="1">
      <alignment horizontal="left" shrinkToFit="0" vertical="center" wrapText="1"/>
    </xf>
    <xf borderId="94" fillId="48" fontId="20" numFmtId="0" xfId="0" applyAlignment="1" applyBorder="1" applyFill="1" applyFont="1">
      <alignment horizontal="center" readingOrder="0"/>
    </xf>
    <xf borderId="94" fillId="48" fontId="20" numFmtId="49" xfId="0" applyAlignment="1" applyBorder="1" applyFont="1" applyNumberFormat="1">
      <alignment horizontal="center" readingOrder="0"/>
    </xf>
    <xf borderId="94" fillId="48" fontId="20" numFmtId="0" xfId="0" applyAlignment="1" applyBorder="1" applyFont="1">
      <alignment horizontal="center" readingOrder="0" shrinkToFit="0" wrapText="1"/>
    </xf>
    <xf borderId="94" fillId="48" fontId="20" numFmtId="0" xfId="0" applyAlignment="1" applyBorder="1" applyFont="1">
      <alignment readingOrder="0" shrinkToFit="0" wrapText="1"/>
    </xf>
    <xf borderId="94" fillId="48" fontId="20" numFmtId="2" xfId="0" applyAlignment="1" applyBorder="1" applyFont="1" applyNumberFormat="1">
      <alignment horizontal="center" readingOrder="0"/>
    </xf>
    <xf borderId="94" fillId="48" fontId="20" numFmtId="169" xfId="0" applyAlignment="1" applyBorder="1" applyFont="1" applyNumberFormat="1">
      <alignment horizontal="center" readingOrder="0"/>
    </xf>
    <xf borderId="94" fillId="48" fontId="20" numFmtId="10" xfId="0" applyAlignment="1" applyBorder="1" applyFont="1" applyNumberFormat="1">
      <alignment horizontal="center" readingOrder="0"/>
    </xf>
    <xf borderId="0" fillId="48" fontId="20" numFmtId="0" xfId="0" applyAlignment="1" applyFont="1">
      <alignment horizontal="center" readingOrder="0"/>
    </xf>
    <xf borderId="0" fillId="48" fontId="20" numFmtId="0" xfId="0" applyAlignment="1" applyFont="1">
      <alignment horizontal="center" readingOrder="0" shrinkToFit="0" wrapText="1"/>
    </xf>
    <xf borderId="0" fillId="48" fontId="20" numFmtId="0" xfId="0" applyAlignment="1" applyFont="1">
      <alignment readingOrder="0" shrinkToFit="0" wrapText="1"/>
    </xf>
    <xf borderId="0" fillId="48" fontId="20" numFmtId="2" xfId="0" applyAlignment="1" applyFont="1" applyNumberFormat="1">
      <alignment horizontal="center" readingOrder="0"/>
    </xf>
    <xf borderId="0" fillId="48" fontId="20" numFmtId="169" xfId="0" applyAlignment="1" applyFont="1" applyNumberFormat="1">
      <alignment horizontal="center" readingOrder="0"/>
    </xf>
    <xf borderId="0" fillId="48" fontId="20" numFmtId="10" xfId="0" applyAlignment="1" applyFont="1" applyNumberFormat="1">
      <alignment horizontal="center" readingOrder="0"/>
    </xf>
    <xf borderId="95" fillId="48" fontId="20" numFmtId="0" xfId="0" applyAlignment="1" applyBorder="1" applyFont="1">
      <alignment horizontal="center" readingOrder="0"/>
    </xf>
    <xf borderId="95" fillId="48" fontId="20" numFmtId="0" xfId="0" applyAlignment="1" applyBorder="1" applyFont="1">
      <alignment horizontal="center" readingOrder="0" shrinkToFit="0" wrapText="1"/>
    </xf>
    <xf borderId="95" fillId="48" fontId="20" numFmtId="0" xfId="0" applyAlignment="1" applyBorder="1" applyFont="1">
      <alignment readingOrder="0" shrinkToFit="0" wrapText="1"/>
    </xf>
    <xf borderId="95" fillId="48" fontId="20" numFmtId="169" xfId="0" applyAlignment="1" applyBorder="1" applyFont="1" applyNumberFormat="1">
      <alignment horizontal="center" readingOrder="0"/>
    </xf>
    <xf borderId="95" fillId="48" fontId="20" numFmtId="10" xfId="0" applyAlignment="1" applyBorder="1" applyFont="1" applyNumberFormat="1">
      <alignment horizontal="center" readingOrder="0"/>
    </xf>
    <xf borderId="95" fillId="48" fontId="20" numFmtId="2" xfId="0" applyAlignment="1" applyBorder="1" applyFont="1" applyNumberFormat="1">
      <alignment horizontal="center" readingOrder="0"/>
    </xf>
    <xf borderId="95" fillId="49" fontId="20" numFmtId="0" xfId="0" applyAlignment="1" applyBorder="1" applyFill="1" applyFont="1">
      <alignment horizontal="center" readingOrder="0"/>
    </xf>
    <xf borderId="95" fillId="49" fontId="20" numFmtId="0" xfId="0" applyAlignment="1" applyBorder="1" applyFont="1">
      <alignment horizontal="center" readingOrder="0" shrinkToFit="0" wrapText="1"/>
    </xf>
    <xf borderId="95" fillId="49" fontId="20" numFmtId="0" xfId="0" applyAlignment="1" applyBorder="1" applyFont="1">
      <alignment readingOrder="0" shrinkToFit="0" wrapText="1"/>
    </xf>
    <xf borderId="95" fillId="49" fontId="20" numFmtId="2" xfId="0" applyAlignment="1" applyBorder="1" applyFont="1" applyNumberFormat="1">
      <alignment horizontal="center" readingOrder="0"/>
    </xf>
    <xf borderId="95" fillId="49" fontId="20" numFmtId="169" xfId="0" applyAlignment="1" applyBorder="1" applyFont="1" applyNumberFormat="1">
      <alignment horizontal="center" readingOrder="0"/>
    </xf>
    <xf borderId="95" fillId="49" fontId="20" numFmtId="10" xfId="0" applyAlignment="1" applyBorder="1" applyFont="1" applyNumberFormat="1">
      <alignment horizontal="center" readingOrder="0"/>
    </xf>
    <xf borderId="15" fillId="49" fontId="20" numFmtId="0" xfId="0" applyAlignment="1" applyBorder="1" applyFont="1">
      <alignment horizontal="center" readingOrder="0"/>
    </xf>
    <xf borderId="15" fillId="49" fontId="20" numFmtId="0" xfId="0" applyAlignment="1" applyBorder="1" applyFont="1">
      <alignment horizontal="center" readingOrder="0" shrinkToFit="0" wrapText="1"/>
    </xf>
    <xf borderId="15" fillId="49" fontId="20" numFmtId="0" xfId="0" applyAlignment="1" applyBorder="1" applyFont="1">
      <alignment readingOrder="0" shrinkToFit="0" wrapText="1"/>
    </xf>
    <xf borderId="15" fillId="49" fontId="20" numFmtId="2" xfId="0" applyAlignment="1" applyBorder="1" applyFont="1" applyNumberFormat="1">
      <alignment horizontal="center" readingOrder="0"/>
    </xf>
    <xf borderId="15" fillId="49" fontId="20" numFmtId="169" xfId="0" applyAlignment="1" applyBorder="1" applyFont="1" applyNumberFormat="1">
      <alignment horizontal="center" readingOrder="0"/>
    </xf>
    <xf borderId="15" fillId="49" fontId="20" numFmtId="10" xfId="0" applyAlignment="1" applyBorder="1" applyFont="1" applyNumberFormat="1">
      <alignment horizontal="center" readingOrder="0"/>
    </xf>
    <xf borderId="15" fillId="23" fontId="20" numFmtId="0" xfId="0" applyAlignment="1" applyBorder="1" applyFont="1">
      <alignment horizontal="center" readingOrder="0"/>
    </xf>
    <xf borderId="15" fillId="23" fontId="20" numFmtId="0" xfId="0" applyAlignment="1" applyBorder="1" applyFont="1">
      <alignment horizontal="center" readingOrder="0" shrinkToFit="0" wrapText="1"/>
    </xf>
    <xf borderId="15" fillId="23" fontId="20" numFmtId="0" xfId="0" applyAlignment="1" applyBorder="1" applyFont="1">
      <alignment readingOrder="0" shrinkToFit="0" wrapText="1"/>
    </xf>
    <xf borderId="15" fillId="23" fontId="20" numFmtId="2" xfId="0" applyAlignment="1" applyBorder="1" applyFont="1" applyNumberFormat="1">
      <alignment horizontal="center" readingOrder="0"/>
    </xf>
    <xf borderId="15" fillId="23" fontId="20" numFmtId="169" xfId="0" applyAlignment="1" applyBorder="1" applyFont="1" applyNumberFormat="1">
      <alignment horizontal="center" readingOrder="0"/>
    </xf>
    <xf borderId="15" fillId="23" fontId="20" numFmtId="10" xfId="0" applyAlignment="1" applyBorder="1" applyFont="1" applyNumberFormat="1">
      <alignment horizontal="center" readingOrder="0"/>
    </xf>
    <xf borderId="0" fillId="23" fontId="20" numFmtId="0" xfId="0" applyAlignment="1" applyFont="1">
      <alignment horizontal="center" readingOrder="0"/>
    </xf>
    <xf borderId="0" fillId="23" fontId="20" numFmtId="0" xfId="0" applyAlignment="1" applyFont="1">
      <alignment horizontal="center" readingOrder="0" shrinkToFit="0" wrapText="1"/>
    </xf>
    <xf borderId="0" fillId="23" fontId="20" numFmtId="0" xfId="0" applyAlignment="1" applyFont="1">
      <alignment readingOrder="0" shrinkToFit="0" wrapText="1"/>
    </xf>
    <xf borderId="0" fillId="23" fontId="20" numFmtId="2" xfId="0" applyAlignment="1" applyFont="1" applyNumberFormat="1">
      <alignment horizontal="center" readingOrder="0"/>
    </xf>
    <xf borderId="0" fillId="23" fontId="20" numFmtId="169" xfId="0" applyAlignment="1" applyFont="1" applyNumberFormat="1">
      <alignment horizontal="center" readingOrder="0"/>
    </xf>
    <xf borderId="0" fillId="23" fontId="20" numFmtId="10" xfId="0" applyAlignment="1" applyFont="1" applyNumberFormat="1">
      <alignment horizontal="center" readingOrder="0"/>
    </xf>
    <xf borderId="0" fillId="0" fontId="31" numFmtId="0" xfId="0" applyAlignment="1" applyFont="1">
      <alignment vertical="bottom"/>
    </xf>
    <xf borderId="0" fillId="0" fontId="31" numFmtId="0" xfId="0" applyAlignment="1" applyFont="1">
      <alignment vertical="bottom"/>
    </xf>
    <xf borderId="15" fillId="0" fontId="31" numFmtId="0" xfId="0" applyAlignment="1" applyBorder="1" applyFont="1">
      <alignment vertical="bottom"/>
    </xf>
    <xf borderId="15" fillId="19" fontId="33" numFmtId="165" xfId="0" applyAlignment="1" applyBorder="1" applyFont="1" applyNumberFormat="1">
      <alignment horizontal="center" readingOrder="0" shrinkToFit="0" wrapText="1"/>
    </xf>
    <xf borderId="15" fillId="19" fontId="33" numFmtId="165" xfId="0" applyAlignment="1" applyBorder="1" applyFont="1" applyNumberFormat="1">
      <alignment horizontal="center" shrinkToFit="0" wrapText="1"/>
    </xf>
    <xf borderId="15" fillId="0" fontId="33" numFmtId="0" xfId="0" applyAlignment="1" applyBorder="1" applyFont="1">
      <alignment horizontal="center" readingOrder="0" shrinkToFit="0" vertical="bottom" wrapText="1"/>
    </xf>
    <xf borderId="15" fillId="0" fontId="33" numFmtId="0" xfId="0" applyAlignment="1" applyBorder="1" applyFont="1">
      <alignment horizontal="center" shrinkToFit="0" vertical="bottom" wrapText="1"/>
    </xf>
    <xf borderId="15" fillId="0" fontId="33" numFmtId="0" xfId="0" applyAlignment="1" applyBorder="1" applyFont="1">
      <alignment horizontal="center" readingOrder="0"/>
    </xf>
    <xf borderId="15" fillId="0" fontId="33" numFmtId="0" xfId="0" applyAlignment="1" applyBorder="1" applyFont="1">
      <alignment horizontal="center" readingOrder="0" vertical="bottom"/>
    </xf>
    <xf borderId="15" fillId="0" fontId="33" numFmtId="165" xfId="0" applyAlignment="1" applyBorder="1" applyFont="1" applyNumberFormat="1">
      <alignment horizontal="center" readingOrder="0" vertical="bottom"/>
    </xf>
    <xf borderId="15" fillId="50" fontId="33" numFmtId="0" xfId="0" applyAlignment="1" applyBorder="1" applyFill="1" applyFont="1">
      <alignment horizontal="center" readingOrder="0" shrinkToFit="0" vertical="bottom" wrapText="1"/>
    </xf>
    <xf borderId="15" fillId="50" fontId="33" numFmtId="0" xfId="0" applyAlignment="1" applyBorder="1" applyFont="1">
      <alignment horizontal="center" shrinkToFit="0" vertical="bottom" wrapText="1"/>
    </xf>
    <xf borderId="15" fillId="50" fontId="33" numFmtId="9" xfId="0" applyAlignment="1" applyBorder="1" applyFont="1" applyNumberFormat="1">
      <alignment horizontal="center" readingOrder="0"/>
    </xf>
    <xf borderId="15" fillId="50" fontId="33" numFmtId="10" xfId="0" applyAlignment="1" applyBorder="1" applyFont="1" applyNumberFormat="1">
      <alignment horizontal="center" readingOrder="0"/>
    </xf>
    <xf borderId="15" fillId="50" fontId="33" numFmtId="165" xfId="0" applyAlignment="1" applyBorder="1" applyFont="1" applyNumberFormat="1">
      <alignment horizontal="center" readingOrder="0"/>
    </xf>
    <xf borderId="15" fillId="49" fontId="33" numFmtId="0" xfId="0" applyAlignment="1" applyBorder="1" applyFont="1">
      <alignment horizontal="center" readingOrder="0" shrinkToFit="0" vertical="bottom" wrapText="1"/>
    </xf>
    <xf borderId="15" fillId="49" fontId="33" numFmtId="0" xfId="0" applyAlignment="1" applyBorder="1" applyFont="1">
      <alignment horizontal="center" shrinkToFit="0" vertical="bottom" wrapText="1"/>
    </xf>
    <xf borderId="15" fillId="49" fontId="33" numFmtId="9" xfId="0" applyAlignment="1" applyBorder="1" applyFont="1" applyNumberFormat="1">
      <alignment horizontal="center" readingOrder="0"/>
    </xf>
    <xf borderId="15" fillId="49" fontId="33" numFmtId="10" xfId="0" applyAlignment="1" applyBorder="1" applyFont="1" applyNumberFormat="1">
      <alignment horizontal="center" readingOrder="0"/>
    </xf>
    <xf borderId="15" fillId="49" fontId="33" numFmtId="165" xfId="0" applyAlignment="1" applyBorder="1" applyFont="1" applyNumberFormat="1">
      <alignment horizontal="center" readingOrder="0"/>
    </xf>
    <xf borderId="15" fillId="23" fontId="33" numFmtId="0" xfId="0" applyAlignment="1" applyBorder="1" applyFont="1">
      <alignment horizontal="center" readingOrder="0" shrinkToFit="0" vertical="bottom" wrapText="1"/>
    </xf>
    <xf borderId="15" fillId="23" fontId="33" numFmtId="0" xfId="0" applyAlignment="1" applyBorder="1" applyFont="1">
      <alignment horizontal="center" shrinkToFit="0" vertical="bottom" wrapText="1"/>
    </xf>
    <xf borderId="15" fillId="23" fontId="33" numFmtId="9" xfId="0" applyAlignment="1" applyBorder="1" applyFont="1" applyNumberFormat="1">
      <alignment horizontal="center" readingOrder="0"/>
    </xf>
    <xf borderId="15" fillId="23" fontId="33" numFmtId="10" xfId="0" applyAlignment="1" applyBorder="1" applyFont="1" applyNumberFormat="1">
      <alignment horizontal="center" readingOrder="0"/>
    </xf>
    <xf borderId="15" fillId="23" fontId="33" numFmtId="165" xfId="0" applyAlignment="1" applyBorder="1" applyFont="1" applyNumberFormat="1">
      <alignment horizontal="center" readingOrder="0"/>
    </xf>
    <xf borderId="0" fillId="0" fontId="105" numFmtId="0" xfId="0" applyAlignment="1" applyFont="1">
      <alignment horizontal="center" shrinkToFit="0" vertical="center" wrapText="1"/>
    </xf>
    <xf borderId="0" fillId="0" fontId="20" numFmtId="0" xfId="0" applyFont="1"/>
    <xf borderId="0" fillId="0" fontId="20" numFmtId="0" xfId="0" applyAlignment="1" applyFont="1">
      <alignment shrinkToFit="0" wrapText="1"/>
    </xf>
    <xf borderId="0" fillId="0" fontId="12" numFmtId="0" xfId="0" applyAlignment="1" applyFont="1">
      <alignment horizontal="left" shrinkToFit="0" wrapText="1"/>
    </xf>
    <xf borderId="0" fillId="0" fontId="106" numFmtId="0" xfId="0" applyFont="1"/>
    <xf borderId="0" fillId="0" fontId="24" numFmtId="0" xfId="0" applyAlignment="1" applyFont="1">
      <alignment horizontal="center" vertical="center"/>
    </xf>
    <xf borderId="17" fillId="19" fontId="19" numFmtId="165" xfId="0" applyAlignment="1" applyBorder="1" applyFont="1" applyNumberFormat="1">
      <alignment horizontal="center" shrinkToFit="0" vertical="center" wrapText="1"/>
    </xf>
    <xf borderId="17" fillId="19" fontId="19" numFmtId="165" xfId="0" applyAlignment="1" applyBorder="1" applyFont="1" applyNumberFormat="1">
      <alignment horizontal="center" readingOrder="0" shrinkToFit="0" vertical="center" wrapText="1"/>
    </xf>
    <xf borderId="17" fillId="19" fontId="19" numFmtId="0" xfId="0" applyAlignment="1" applyBorder="1" applyFont="1">
      <alignment shrinkToFit="0" vertical="center" wrapText="1"/>
    </xf>
    <xf borderId="17" fillId="19" fontId="19" numFmtId="0" xfId="0" applyAlignment="1" applyBorder="1" applyFont="1">
      <alignment horizontal="center" shrinkToFit="0" vertical="center" wrapText="1"/>
    </xf>
    <xf borderId="17" fillId="19" fontId="19" numFmtId="169" xfId="0" applyAlignment="1" applyBorder="1" applyFont="1" applyNumberFormat="1">
      <alignment horizontal="center" shrinkToFit="0" vertical="center" wrapText="1"/>
    </xf>
    <xf borderId="96" fillId="34" fontId="23" numFmtId="0" xfId="0" applyAlignment="1" applyBorder="1" applyFont="1">
      <alignment horizontal="center" readingOrder="0" shrinkToFit="0" vertical="center" wrapText="1"/>
    </xf>
    <xf borderId="96" fillId="51" fontId="1" numFmtId="0" xfId="0" applyAlignment="1" applyBorder="1" applyFill="1" applyFont="1">
      <alignment horizontal="center" readingOrder="0" vertical="center"/>
    </xf>
    <xf borderId="96" fillId="34" fontId="23" numFmtId="0" xfId="0" applyAlignment="1" applyBorder="1" applyFont="1">
      <alignment horizontal="left" shrinkToFit="0" vertical="center" wrapText="1"/>
    </xf>
    <xf borderId="96" fillId="51" fontId="1" numFmtId="0" xfId="0" applyAlignment="1" applyBorder="1" applyFont="1">
      <alignment horizontal="center" readingOrder="0" shrinkToFit="0" vertical="center" wrapText="1"/>
    </xf>
    <xf borderId="96" fillId="34" fontId="23" numFmtId="0" xfId="0" applyAlignment="1" applyBorder="1" applyFont="1">
      <alignment horizontal="center" shrinkToFit="0" vertical="center" wrapText="1"/>
    </xf>
    <xf borderId="96" fillId="51" fontId="20" numFmtId="180" xfId="0" applyAlignment="1" applyBorder="1" applyFont="1" applyNumberFormat="1">
      <alignment horizontal="center" readingOrder="0" vertical="center"/>
    </xf>
    <xf borderId="96" fillId="34" fontId="23" numFmtId="165" xfId="0" applyAlignment="1" applyBorder="1" applyFont="1" applyNumberFormat="1">
      <alignment horizontal="center" shrinkToFit="0" vertical="center" wrapText="1"/>
    </xf>
    <xf borderId="96" fillId="34" fontId="23" numFmtId="181" xfId="0" applyAlignment="1" applyBorder="1" applyFont="1" applyNumberFormat="1">
      <alignment horizontal="center" shrinkToFit="0" vertical="center" wrapText="1"/>
    </xf>
    <xf borderId="96" fillId="0" fontId="20" numFmtId="10" xfId="0" applyAlignment="1" applyBorder="1" applyFont="1" applyNumberFormat="1">
      <alignment horizontal="center" vertical="center"/>
    </xf>
    <xf borderId="96" fillId="50" fontId="19" numFmtId="0" xfId="0" applyAlignment="1" applyBorder="1" applyFont="1">
      <alignment horizontal="center" readingOrder="1" vertical="center"/>
    </xf>
    <xf borderId="97" fillId="34" fontId="23" numFmtId="0" xfId="0" applyAlignment="1" applyBorder="1" applyFont="1">
      <alignment horizontal="center" readingOrder="0" shrinkToFit="0" vertical="center" wrapText="1"/>
    </xf>
    <xf borderId="97" fillId="51" fontId="1" numFmtId="0" xfId="0" applyAlignment="1" applyBorder="1" applyFont="1">
      <alignment horizontal="center" readingOrder="0" vertical="center"/>
    </xf>
    <xf borderId="97" fillId="34" fontId="23" numFmtId="0" xfId="0" applyAlignment="1" applyBorder="1" applyFont="1">
      <alignment horizontal="left" shrinkToFit="0" vertical="center" wrapText="1"/>
    </xf>
    <xf borderId="97" fillId="51" fontId="1" numFmtId="0" xfId="0" applyAlignment="1" applyBorder="1" applyFont="1">
      <alignment horizontal="center" readingOrder="0" shrinkToFit="0" vertical="center" wrapText="1"/>
    </xf>
    <xf borderId="97" fillId="34" fontId="23" numFmtId="0" xfId="0" applyAlignment="1" applyBorder="1" applyFont="1">
      <alignment horizontal="center" shrinkToFit="0" vertical="center" wrapText="1"/>
    </xf>
    <xf borderId="97" fillId="51" fontId="20" numFmtId="180" xfId="0" applyAlignment="1" applyBorder="1" applyFont="1" applyNumberFormat="1">
      <alignment horizontal="center" readingOrder="0" vertical="center"/>
    </xf>
    <xf borderId="97" fillId="34" fontId="23" numFmtId="165" xfId="0" applyAlignment="1" applyBorder="1" applyFont="1" applyNumberFormat="1">
      <alignment horizontal="center" shrinkToFit="0" vertical="center" wrapText="1"/>
    </xf>
    <xf borderId="97" fillId="34" fontId="23" numFmtId="181" xfId="0" applyAlignment="1" applyBorder="1" applyFont="1" applyNumberFormat="1">
      <alignment horizontal="center" shrinkToFit="0" vertical="center" wrapText="1"/>
    </xf>
    <xf borderId="97" fillId="0" fontId="20" numFmtId="10" xfId="0" applyAlignment="1" applyBorder="1" applyFont="1" applyNumberFormat="1">
      <alignment horizontal="center" vertical="center"/>
    </xf>
    <xf borderId="97" fillId="50" fontId="19" numFmtId="0" xfId="0" applyAlignment="1" applyBorder="1" applyFont="1">
      <alignment horizontal="center" readingOrder="1" vertical="center"/>
    </xf>
    <xf borderId="97" fillId="34" fontId="23" numFmtId="49" xfId="0" applyAlignment="1" applyBorder="1" applyFont="1" applyNumberFormat="1">
      <alignment horizontal="left" shrinkToFit="0" vertical="center" wrapText="1"/>
    </xf>
    <xf borderId="97" fillId="34" fontId="104" numFmtId="0" xfId="0" applyAlignment="1" applyBorder="1" applyFont="1">
      <alignment horizontal="center" readingOrder="0" vertical="center"/>
    </xf>
    <xf borderId="97" fillId="34" fontId="104" numFmtId="0" xfId="0" applyAlignment="1" applyBorder="1" applyFont="1">
      <alignment horizontal="center" readingOrder="0" shrinkToFit="0" vertical="center" wrapText="1"/>
    </xf>
    <xf borderId="97" fillId="34" fontId="23" numFmtId="180" xfId="0" applyAlignment="1" applyBorder="1" applyFont="1" applyNumberFormat="1">
      <alignment horizontal="center" readingOrder="0" vertical="center"/>
    </xf>
    <xf borderId="97" fillId="34" fontId="23" numFmtId="14" xfId="0" applyAlignment="1" applyBorder="1" applyFont="1" applyNumberFormat="1">
      <alignment horizontal="left" shrinkToFit="0" vertical="center" wrapText="1"/>
    </xf>
    <xf borderId="98" fillId="34" fontId="23" numFmtId="0" xfId="0" applyAlignment="1" applyBorder="1" applyFont="1">
      <alignment horizontal="center" readingOrder="0" shrinkToFit="0" vertical="center" wrapText="1"/>
    </xf>
    <xf borderId="98" fillId="51" fontId="1" numFmtId="0" xfId="0" applyAlignment="1" applyBorder="1" applyFont="1">
      <alignment horizontal="center" readingOrder="0" vertical="center"/>
    </xf>
    <xf borderId="98" fillId="34" fontId="23" numFmtId="0" xfId="0" applyAlignment="1" applyBorder="1" applyFont="1">
      <alignment horizontal="left" shrinkToFit="0" vertical="center" wrapText="1"/>
    </xf>
    <xf borderId="98" fillId="51" fontId="1" numFmtId="0" xfId="0" applyAlignment="1" applyBorder="1" applyFont="1">
      <alignment horizontal="center" readingOrder="0" shrinkToFit="0" vertical="center" wrapText="1"/>
    </xf>
    <xf borderId="98" fillId="34" fontId="23" numFmtId="0" xfId="0" applyAlignment="1" applyBorder="1" applyFont="1">
      <alignment horizontal="center" shrinkToFit="0" vertical="center" wrapText="1"/>
    </xf>
    <xf borderId="98" fillId="51" fontId="20" numFmtId="180" xfId="0" applyAlignment="1" applyBorder="1" applyFont="1" applyNumberFormat="1">
      <alignment horizontal="center" readingOrder="0" vertical="center"/>
    </xf>
    <xf borderId="98" fillId="34" fontId="23" numFmtId="165" xfId="0" applyAlignment="1" applyBorder="1" applyFont="1" applyNumberFormat="1">
      <alignment horizontal="center" shrinkToFit="0" vertical="center" wrapText="1"/>
    </xf>
    <xf borderId="98" fillId="34" fontId="23" numFmtId="181" xfId="0" applyAlignment="1" applyBorder="1" applyFont="1" applyNumberFormat="1">
      <alignment horizontal="center" shrinkToFit="0" vertical="center" wrapText="1"/>
    </xf>
    <xf borderId="98" fillId="0" fontId="20" numFmtId="10" xfId="0" applyAlignment="1" applyBorder="1" applyFont="1" applyNumberFormat="1">
      <alignment horizontal="center" vertical="center"/>
    </xf>
    <xf borderId="98" fillId="50" fontId="19" numFmtId="0" xfId="0" applyAlignment="1" applyBorder="1" applyFont="1">
      <alignment horizontal="center" readingOrder="1" vertical="center"/>
    </xf>
    <xf borderId="99" fillId="34" fontId="23" numFmtId="0" xfId="0" applyAlignment="1" applyBorder="1" applyFont="1">
      <alignment horizontal="center" readingOrder="0" shrinkToFit="0" vertical="center" wrapText="1"/>
    </xf>
    <xf borderId="99" fillId="51" fontId="1" numFmtId="0" xfId="0" applyAlignment="1" applyBorder="1" applyFont="1">
      <alignment horizontal="center" readingOrder="0" vertical="center"/>
    </xf>
    <xf borderId="99" fillId="5" fontId="1" numFmtId="0" xfId="0" applyAlignment="1" applyBorder="1" applyFont="1">
      <alignment horizontal="center" readingOrder="0" vertical="center"/>
    </xf>
    <xf borderId="99" fillId="34" fontId="23" numFmtId="14" xfId="0" applyAlignment="1" applyBorder="1" applyFont="1" applyNumberFormat="1">
      <alignment horizontal="left" shrinkToFit="0" vertical="center" wrapText="1"/>
    </xf>
    <xf borderId="99" fillId="5" fontId="1" numFmtId="0" xfId="0" applyAlignment="1" applyBorder="1" applyFont="1">
      <alignment horizontal="center" readingOrder="0" shrinkToFit="0" vertical="center" wrapText="1"/>
    </xf>
    <xf borderId="99" fillId="34" fontId="23" numFmtId="0" xfId="0" applyAlignment="1" applyBorder="1" applyFont="1">
      <alignment horizontal="center" shrinkToFit="0" vertical="center" wrapText="1"/>
    </xf>
    <xf borderId="99" fillId="5" fontId="20" numFmtId="180" xfId="0" applyAlignment="1" applyBorder="1" applyFont="1" applyNumberFormat="1">
      <alignment horizontal="center" readingOrder="0" vertical="center"/>
    </xf>
    <xf borderId="99" fillId="34" fontId="23" numFmtId="165" xfId="0" applyAlignment="1" applyBorder="1" applyFont="1" applyNumberFormat="1">
      <alignment horizontal="center" shrinkToFit="0" vertical="center" wrapText="1"/>
    </xf>
    <xf borderId="99" fillId="34" fontId="23" numFmtId="181" xfId="0" applyAlignment="1" applyBorder="1" applyFont="1" applyNumberFormat="1">
      <alignment horizontal="center" shrinkToFit="0" vertical="center" wrapText="1"/>
    </xf>
    <xf borderId="99" fillId="0" fontId="20" numFmtId="10" xfId="0" applyAlignment="1" applyBorder="1" applyFont="1" applyNumberFormat="1">
      <alignment horizontal="center" vertical="center"/>
    </xf>
    <xf borderId="99" fillId="50" fontId="19" numFmtId="0" xfId="0" applyAlignment="1" applyBorder="1" applyFont="1">
      <alignment horizontal="center" readingOrder="1" vertical="center"/>
    </xf>
    <xf borderId="99" fillId="34" fontId="104" numFmtId="0" xfId="0" applyAlignment="1" applyBorder="1" applyFont="1">
      <alignment horizontal="center" readingOrder="0" vertical="center"/>
    </xf>
    <xf borderId="99" fillId="34" fontId="23" numFmtId="49" xfId="0" applyAlignment="1" applyBorder="1" applyFont="1" applyNumberFormat="1">
      <alignment horizontal="left" shrinkToFit="0" vertical="center" wrapText="1"/>
    </xf>
    <xf borderId="99" fillId="34" fontId="104" numFmtId="0" xfId="0" applyAlignment="1" applyBorder="1" applyFont="1">
      <alignment horizontal="center" readingOrder="0" shrinkToFit="0" vertical="center" wrapText="1"/>
    </xf>
    <xf borderId="99" fillId="34" fontId="23" numFmtId="180" xfId="0" applyAlignment="1" applyBorder="1" applyFont="1" applyNumberFormat="1">
      <alignment horizontal="center" readingOrder="0" vertical="center"/>
    </xf>
    <xf borderId="99" fillId="34" fontId="23" numFmtId="0" xfId="0" applyAlignment="1" applyBorder="1" applyFont="1">
      <alignment horizontal="left" shrinkToFit="0" vertical="center" wrapText="1"/>
    </xf>
    <xf borderId="99" fillId="51" fontId="1" numFmtId="0" xfId="0" applyAlignment="1" applyBorder="1" applyFont="1">
      <alignment horizontal="center" readingOrder="0" shrinkToFit="0" vertical="center" wrapText="1"/>
    </xf>
    <xf borderId="99" fillId="51" fontId="20" numFmtId="180" xfId="0" applyAlignment="1" applyBorder="1" applyFont="1" applyNumberFormat="1">
      <alignment horizontal="center" readingOrder="0" vertical="center"/>
    </xf>
    <xf borderId="100" fillId="34" fontId="23" numFmtId="0" xfId="0" applyAlignment="1" applyBorder="1" applyFont="1">
      <alignment horizontal="center" readingOrder="0" shrinkToFit="0" vertical="center" wrapText="1"/>
    </xf>
    <xf borderId="100" fillId="51" fontId="1" numFmtId="0" xfId="0" applyAlignment="1" applyBorder="1" applyFont="1">
      <alignment horizontal="center" readingOrder="0" vertical="center"/>
    </xf>
    <xf borderId="100" fillId="5" fontId="1" numFmtId="0" xfId="0" applyAlignment="1" applyBorder="1" applyFont="1">
      <alignment horizontal="center" readingOrder="0" vertical="center"/>
    </xf>
    <xf borderId="100" fillId="34" fontId="23" numFmtId="49" xfId="0" applyAlignment="1" applyBorder="1" applyFont="1" applyNumberFormat="1">
      <alignment horizontal="left" shrinkToFit="0" vertical="center" wrapText="1"/>
    </xf>
    <xf borderId="100" fillId="5" fontId="1" numFmtId="0" xfId="0" applyAlignment="1" applyBorder="1" applyFont="1">
      <alignment horizontal="center" readingOrder="0" shrinkToFit="0" vertical="center" wrapText="1"/>
    </xf>
    <xf borderId="100" fillId="34" fontId="23" numFmtId="0" xfId="0" applyAlignment="1" applyBorder="1" applyFont="1">
      <alignment horizontal="center" shrinkToFit="0" vertical="center" wrapText="1"/>
    </xf>
    <xf borderId="100" fillId="5" fontId="20" numFmtId="180" xfId="0" applyAlignment="1" applyBorder="1" applyFont="1" applyNumberFormat="1">
      <alignment horizontal="center" readingOrder="0" vertical="center"/>
    </xf>
    <xf borderId="100" fillId="34" fontId="23" numFmtId="165" xfId="0" applyAlignment="1" applyBorder="1" applyFont="1" applyNumberFormat="1">
      <alignment horizontal="center" shrinkToFit="0" vertical="center" wrapText="1"/>
    </xf>
    <xf borderId="100" fillId="34" fontId="23" numFmtId="181" xfId="0" applyAlignment="1" applyBorder="1" applyFont="1" applyNumberFormat="1">
      <alignment horizontal="center" shrinkToFit="0" vertical="center" wrapText="1"/>
    </xf>
    <xf borderId="100" fillId="0" fontId="20" numFmtId="10" xfId="0" applyAlignment="1" applyBorder="1" applyFont="1" applyNumberFormat="1">
      <alignment horizontal="center" vertical="center"/>
    </xf>
    <xf borderId="100" fillId="50" fontId="19" numFmtId="0" xfId="0" applyAlignment="1" applyBorder="1" applyFont="1">
      <alignment horizontal="center" readingOrder="1" vertical="center"/>
    </xf>
    <xf borderId="15" fillId="34" fontId="23" numFmtId="0" xfId="0" applyAlignment="1" applyBorder="1" applyFont="1">
      <alignment horizontal="center" readingOrder="0" shrinkToFit="0" vertical="center" wrapText="1"/>
    </xf>
    <xf borderId="15" fillId="51" fontId="1" numFmtId="0" xfId="0" applyAlignment="1" applyBorder="1" applyFont="1">
      <alignment horizontal="center" readingOrder="0" vertical="center"/>
    </xf>
    <xf borderId="15" fillId="5" fontId="1" numFmtId="0" xfId="0" applyAlignment="1" applyBorder="1" applyFont="1">
      <alignment horizontal="center" readingOrder="0" vertical="center"/>
    </xf>
    <xf borderId="15" fillId="34" fontId="23" numFmtId="49" xfId="0" applyAlignment="1" applyBorder="1" applyFont="1" applyNumberFormat="1">
      <alignment horizontal="left" shrinkToFit="0" vertical="center" wrapText="1"/>
    </xf>
    <xf borderId="15" fillId="5" fontId="1" numFmtId="0" xfId="0" applyAlignment="1" applyBorder="1" applyFont="1">
      <alignment horizontal="center" readingOrder="0" shrinkToFit="0" vertical="center" wrapText="1"/>
    </xf>
    <xf borderId="15" fillId="34" fontId="23" numFmtId="0" xfId="0" applyAlignment="1" applyBorder="1" applyFont="1">
      <alignment horizontal="center" shrinkToFit="0" vertical="center" wrapText="1"/>
    </xf>
    <xf borderId="15" fillId="5" fontId="20" numFmtId="180" xfId="0" applyAlignment="1" applyBorder="1" applyFont="1" applyNumberFormat="1">
      <alignment horizontal="center" readingOrder="0" vertical="center"/>
    </xf>
    <xf borderId="15" fillId="34" fontId="23" numFmtId="165" xfId="0" applyAlignment="1" applyBorder="1" applyFont="1" applyNumberFormat="1">
      <alignment horizontal="center" shrinkToFit="0" vertical="center" wrapText="1"/>
    </xf>
    <xf borderId="15" fillId="34" fontId="23" numFmtId="181" xfId="0" applyAlignment="1" applyBorder="1" applyFont="1" applyNumberFormat="1">
      <alignment horizontal="center" shrinkToFit="0" vertical="center" wrapText="1"/>
    </xf>
    <xf borderId="15" fillId="0" fontId="20" numFmtId="10" xfId="0" applyAlignment="1" applyBorder="1" applyFont="1" applyNumberFormat="1">
      <alignment horizontal="center" vertical="center"/>
    </xf>
    <xf borderId="15" fillId="50" fontId="19" numFmtId="0" xfId="0" applyAlignment="1" applyBorder="1" applyFont="1">
      <alignment horizontal="center" readingOrder="1" vertical="center"/>
    </xf>
    <xf borderId="25" fillId="34" fontId="23" numFmtId="0" xfId="0" applyAlignment="1" applyBorder="1" applyFont="1">
      <alignment horizontal="center" readingOrder="0" shrinkToFit="0" vertical="center" wrapText="1"/>
    </xf>
    <xf borderId="25" fillId="51" fontId="1" numFmtId="0" xfId="0" applyAlignment="1" applyBorder="1" applyFont="1">
      <alignment horizontal="center" readingOrder="0" vertical="center"/>
    </xf>
    <xf borderId="25" fillId="5" fontId="1" numFmtId="0" xfId="0" applyAlignment="1" applyBorder="1" applyFont="1">
      <alignment horizontal="center" readingOrder="0" vertical="center"/>
    </xf>
    <xf borderId="25" fillId="34" fontId="23" numFmtId="14" xfId="0" applyAlignment="1" applyBorder="1" applyFont="1" applyNumberFormat="1">
      <alignment horizontal="left" shrinkToFit="0" vertical="center" wrapText="1"/>
    </xf>
    <xf borderId="25" fillId="5" fontId="1" numFmtId="0" xfId="0" applyAlignment="1" applyBorder="1" applyFont="1">
      <alignment horizontal="center" readingOrder="0" shrinkToFit="0" vertical="center" wrapText="1"/>
    </xf>
    <xf borderId="25" fillId="34" fontId="23" numFmtId="0" xfId="0" applyAlignment="1" applyBorder="1" applyFont="1">
      <alignment horizontal="center" shrinkToFit="0" vertical="center" wrapText="1"/>
    </xf>
    <xf borderId="25" fillId="5" fontId="20" numFmtId="180" xfId="0" applyAlignment="1" applyBorder="1" applyFont="1" applyNumberFormat="1">
      <alignment horizontal="center" readingOrder="0" vertical="center"/>
    </xf>
    <xf borderId="25" fillId="34" fontId="23" numFmtId="165" xfId="0" applyAlignment="1" applyBorder="1" applyFont="1" applyNumberFormat="1">
      <alignment horizontal="center" shrinkToFit="0" vertical="center" wrapText="1"/>
    </xf>
    <xf borderId="25" fillId="34" fontId="23" numFmtId="181" xfId="0" applyAlignment="1" applyBorder="1" applyFont="1" applyNumberFormat="1">
      <alignment horizontal="center" shrinkToFit="0" vertical="center" wrapText="1"/>
    </xf>
    <xf borderId="25" fillId="0" fontId="20" numFmtId="10" xfId="0" applyAlignment="1" applyBorder="1" applyFont="1" applyNumberFormat="1">
      <alignment horizontal="center" vertical="center"/>
    </xf>
    <xf borderId="25" fillId="50" fontId="19" numFmtId="0" xfId="0" applyAlignment="1" applyBorder="1" applyFont="1">
      <alignment horizontal="center" readingOrder="1" vertical="center"/>
    </xf>
    <xf borderId="25" fillId="34" fontId="23" numFmtId="0" xfId="0" applyAlignment="1" applyBorder="1" applyFont="1">
      <alignment horizontal="left" shrinkToFit="0" vertical="center" wrapText="1"/>
    </xf>
    <xf borderId="25" fillId="34" fontId="23" numFmtId="49" xfId="0" applyAlignment="1" applyBorder="1" applyFont="1" applyNumberFormat="1">
      <alignment horizontal="left" shrinkToFit="0" vertical="center" wrapText="1"/>
    </xf>
    <xf borderId="25" fillId="34" fontId="104" numFmtId="0" xfId="0" applyAlignment="1" applyBorder="1" applyFont="1">
      <alignment horizontal="center" readingOrder="0" vertical="center"/>
    </xf>
    <xf borderId="25" fillId="34" fontId="104" numFmtId="0" xfId="0" applyAlignment="1" applyBorder="1" applyFont="1">
      <alignment horizontal="center" readingOrder="0" shrinkToFit="0" vertical="center" wrapText="1"/>
    </xf>
    <xf borderId="25" fillId="34" fontId="23" numFmtId="180" xfId="0" applyAlignment="1" applyBorder="1" applyFont="1" applyNumberFormat="1">
      <alignment horizontal="center" readingOrder="0" vertical="center"/>
    </xf>
    <xf borderId="9" fillId="34" fontId="23" numFmtId="0" xfId="0" applyAlignment="1" applyBorder="1" applyFont="1">
      <alignment horizontal="center" readingOrder="0" shrinkToFit="0" vertical="center" wrapText="1"/>
    </xf>
    <xf borderId="9" fillId="51" fontId="1" numFmtId="0" xfId="0" applyAlignment="1" applyBorder="1" applyFont="1">
      <alignment horizontal="center" readingOrder="0" vertical="center"/>
    </xf>
    <xf borderId="9" fillId="34" fontId="104" numFmtId="0" xfId="0" applyAlignment="1" applyBorder="1" applyFont="1">
      <alignment horizontal="center" readingOrder="0" vertical="center"/>
    </xf>
    <xf borderId="9" fillId="34" fontId="23" numFmtId="49" xfId="0" applyAlignment="1" applyBorder="1" applyFont="1" applyNumberFormat="1">
      <alignment horizontal="left" shrinkToFit="0" vertical="center" wrapText="1"/>
    </xf>
    <xf borderId="9" fillId="34" fontId="104" numFmtId="0" xfId="0" applyAlignment="1" applyBorder="1" applyFont="1">
      <alignment horizontal="center" readingOrder="0" shrinkToFit="0" vertical="center" wrapText="1"/>
    </xf>
    <xf borderId="9" fillId="34" fontId="23" numFmtId="0" xfId="0" applyAlignment="1" applyBorder="1" applyFont="1">
      <alignment horizontal="center" shrinkToFit="0" vertical="center" wrapText="1"/>
    </xf>
    <xf borderId="9" fillId="34" fontId="23" numFmtId="180" xfId="0" applyAlignment="1" applyBorder="1" applyFont="1" applyNumberFormat="1">
      <alignment horizontal="center" readingOrder="0" vertical="center"/>
    </xf>
    <xf borderId="9" fillId="34" fontId="23" numFmtId="165" xfId="0" applyAlignment="1" applyBorder="1" applyFont="1" applyNumberFormat="1">
      <alignment horizontal="center" shrinkToFit="0" vertical="center" wrapText="1"/>
    </xf>
    <xf borderId="9" fillId="34" fontId="23" numFmtId="181" xfId="0" applyAlignment="1" applyBorder="1" applyFont="1" applyNumberFormat="1">
      <alignment horizontal="center" shrinkToFit="0" vertical="center" wrapText="1"/>
    </xf>
    <xf borderId="9" fillId="0" fontId="20" numFmtId="10" xfId="0" applyAlignment="1" applyBorder="1" applyFont="1" applyNumberFormat="1">
      <alignment horizontal="center" vertical="center"/>
    </xf>
    <xf borderId="9" fillId="50" fontId="19" numFmtId="0" xfId="0" applyAlignment="1" applyBorder="1" applyFont="1">
      <alignment horizontal="center" readingOrder="1" vertical="center"/>
    </xf>
    <xf borderId="0" fillId="0" fontId="107" numFmtId="0" xfId="0" applyAlignment="1" applyFont="1">
      <alignment horizontal="left" readingOrder="0" shrinkToFit="0" vertical="center" wrapText="1"/>
    </xf>
    <xf borderId="0" fillId="0" fontId="20" numFmtId="0" xfId="0" applyAlignment="1" applyFont="1">
      <alignment horizontal="left" readingOrder="0" vertical="center"/>
    </xf>
    <xf borderId="0" fillId="0" fontId="20" numFmtId="0" xfId="0" applyAlignment="1" applyFont="1">
      <alignment vertical="center"/>
    </xf>
    <xf borderId="0" fillId="0" fontId="1" numFmtId="0" xfId="0" applyAlignment="1" applyFont="1">
      <alignment horizontal="center" shrinkToFit="0" vertical="center" wrapText="1"/>
    </xf>
    <xf borderId="0" fillId="0" fontId="32" numFmtId="0" xfId="0" applyFont="1"/>
    <xf borderId="0" fillId="19" fontId="20" numFmtId="0" xfId="0" applyAlignment="1" applyFont="1">
      <alignment horizontal="right" readingOrder="0" vertical="center"/>
    </xf>
    <xf borderId="0" fillId="0" fontId="20" numFmtId="165" xfId="0" applyAlignment="1" applyFont="1" applyNumberFormat="1">
      <alignment vertical="center"/>
    </xf>
    <xf borderId="0" fillId="19" fontId="20" numFmtId="0" xfId="0" applyAlignment="1" applyFont="1">
      <alignment horizontal="right" readingOrder="0" vertical="top"/>
    </xf>
    <xf borderId="0" fillId="19" fontId="20" numFmtId="0" xfId="0" applyAlignment="1" applyFont="1">
      <alignment horizontal="right" vertical="center"/>
    </xf>
    <xf borderId="0" fillId="0" fontId="96" numFmtId="0" xfId="0" applyAlignment="1" applyFont="1">
      <alignment horizontal="center" readingOrder="1" shrinkToFit="0" vertical="center" wrapText="1"/>
    </xf>
    <xf borderId="0" fillId="0" fontId="24" numFmtId="0" xfId="0" applyAlignment="1" applyFont="1">
      <alignment horizontal="center" readingOrder="1"/>
    </xf>
    <xf borderId="0" fillId="0" fontId="31" numFmtId="0" xfId="0" applyAlignment="1" applyFont="1">
      <alignment horizontal="center" vertical="center"/>
    </xf>
    <xf borderId="0" fillId="0" fontId="32" numFmtId="0" xfId="0" applyAlignment="1" applyFont="1">
      <alignment shrinkToFit="0" wrapText="1"/>
    </xf>
    <xf borderId="0" fillId="0" fontId="32" numFmtId="0" xfId="0" applyAlignment="1" applyFont="1">
      <alignment horizontal="center" vertical="center"/>
    </xf>
    <xf borderId="0" fillId="0" fontId="32" numFmtId="165" xfId="0" applyFont="1" applyNumberFormat="1"/>
    <xf borderId="15" fillId="19" fontId="34" numFmtId="165" xfId="0" applyAlignment="1" applyBorder="1" applyFont="1" applyNumberFormat="1">
      <alignment horizontal="center" shrinkToFit="0" vertical="center" wrapText="1"/>
    </xf>
    <xf borderId="25" fillId="19" fontId="34" numFmtId="165" xfId="0" applyAlignment="1" applyBorder="1" applyFont="1" applyNumberFormat="1">
      <alignment horizontal="center" readingOrder="0" shrinkToFit="0" vertical="center" wrapText="1"/>
    </xf>
    <xf borderId="25" fillId="19" fontId="34" numFmtId="165" xfId="0" applyAlignment="1" applyBorder="1" applyFont="1" applyNumberFormat="1">
      <alignment horizontal="center" shrinkToFit="0" vertical="center" wrapText="1"/>
    </xf>
    <xf borderId="0" fillId="0" fontId="24" numFmtId="0" xfId="0" applyAlignment="1" applyFont="1">
      <alignment horizontal="center" readingOrder="1" vertical="center"/>
    </xf>
    <xf borderId="0" fillId="0" fontId="24" numFmtId="165" xfId="0" applyAlignment="1" applyFont="1" applyNumberFormat="1">
      <alignment horizontal="center" readingOrder="1"/>
    </xf>
    <xf borderId="15" fillId="0" fontId="34" numFmtId="0" xfId="0" applyAlignment="1" applyBorder="1" applyFont="1">
      <alignment horizontal="center" readingOrder="1" shrinkToFit="0" wrapText="1"/>
    </xf>
    <xf borderId="15" fillId="0" fontId="34" numFmtId="0" xfId="0" applyAlignment="1" applyBorder="1" applyFont="1">
      <alignment horizontal="center" readingOrder="1" vertical="center"/>
    </xf>
    <xf borderId="15" fillId="0" fontId="34" numFmtId="0" xfId="0" applyAlignment="1" applyBorder="1" applyFont="1">
      <alignment horizontal="center" readingOrder="1"/>
    </xf>
    <xf borderId="15" fillId="0" fontId="34" numFmtId="165" xfId="0" applyAlignment="1" applyBorder="1" applyFont="1" applyNumberFormat="1">
      <alignment horizontal="center" readingOrder="1"/>
    </xf>
    <xf borderId="15" fillId="50" fontId="34" numFmtId="0" xfId="0" applyAlignment="1" applyBorder="1" applyFont="1">
      <alignment horizontal="center" readingOrder="1" shrinkToFit="0" wrapText="1"/>
    </xf>
    <xf borderId="15" fillId="50" fontId="34" numFmtId="9" xfId="0" applyAlignment="1" applyBorder="1" applyFont="1" applyNumberFormat="1">
      <alignment horizontal="center" readingOrder="1" vertical="center"/>
    </xf>
    <xf borderId="15" fillId="50" fontId="34" numFmtId="10" xfId="0" applyAlignment="1" applyBorder="1" applyFont="1" applyNumberFormat="1">
      <alignment horizontal="center" readingOrder="1" vertical="center"/>
    </xf>
    <xf borderId="15" fillId="50" fontId="34" numFmtId="165" xfId="0" applyAlignment="1" applyBorder="1" applyFont="1" applyNumberFormat="1">
      <alignment horizontal="center" readingOrder="1" vertical="center"/>
    </xf>
    <xf borderId="25" fillId="49" fontId="34" numFmtId="0" xfId="0" applyAlignment="1" applyBorder="1" applyFont="1">
      <alignment horizontal="center" readingOrder="1" shrinkToFit="0" wrapText="1"/>
    </xf>
    <xf borderId="25" fillId="49" fontId="34" numFmtId="9" xfId="0" applyAlignment="1" applyBorder="1" applyFont="1" applyNumberFormat="1">
      <alignment horizontal="center" readingOrder="1" vertical="center"/>
    </xf>
    <xf borderId="25" fillId="49" fontId="34" numFmtId="10" xfId="0" applyAlignment="1" applyBorder="1" applyFont="1" applyNumberFormat="1">
      <alignment horizontal="center" readingOrder="1" vertical="center"/>
    </xf>
    <xf borderId="25" fillId="49" fontId="34" numFmtId="165" xfId="0" applyAlignment="1" applyBorder="1" applyFont="1" applyNumberFormat="1">
      <alignment horizontal="center" readingOrder="1" vertical="center"/>
    </xf>
    <xf borderId="25" fillId="23" fontId="34" numFmtId="0" xfId="0" applyAlignment="1" applyBorder="1" applyFont="1">
      <alignment horizontal="center" readingOrder="1" shrinkToFit="0" wrapText="1"/>
    </xf>
    <xf borderId="25" fillId="23" fontId="34" numFmtId="9" xfId="0" applyAlignment="1" applyBorder="1" applyFont="1" applyNumberFormat="1">
      <alignment horizontal="center" readingOrder="1" vertical="center"/>
    </xf>
    <xf borderId="25" fillId="23" fontId="34" numFmtId="10" xfId="0" applyAlignment="1" applyBorder="1" applyFont="1" applyNumberFormat="1">
      <alignment horizontal="center" readingOrder="1" vertical="center"/>
    </xf>
    <xf borderId="25" fillId="23" fontId="34" numFmtId="165" xfId="0" applyAlignment="1" applyBorder="1" applyFont="1" applyNumberFormat="1">
      <alignment horizontal="center" readingOrder="1" vertical="center"/>
    </xf>
    <xf borderId="0" fillId="0" fontId="12" numFmtId="165" xfId="0" applyFont="1" applyNumberFormat="1"/>
  </cellXfs>
  <cellStyles count="1">
    <cellStyle xfId="0" name="Normal" builtinId="0"/>
  </cellStyles>
  <dxfs count="11">
    <dxf>
      <font/>
      <fill>
        <patternFill patternType="solid">
          <fgColor rgb="FFD0E0E3"/>
          <bgColor rgb="FFD0E0E3"/>
        </patternFill>
      </fill>
      <border/>
    </dxf>
    <dxf>
      <font/>
      <fill>
        <patternFill patternType="solid">
          <fgColor rgb="FFFCE5CD"/>
          <bgColor rgb="FFFCE5CD"/>
        </patternFill>
      </fill>
      <border/>
    </dxf>
    <dxf>
      <font/>
      <fill>
        <patternFill patternType="solid">
          <fgColor rgb="FF9FC5E8"/>
          <bgColor rgb="FF9FC5E8"/>
        </patternFill>
      </fill>
      <border/>
    </dxf>
    <dxf>
      <font/>
      <fill>
        <patternFill patternType="solid">
          <fgColor rgb="FFD9EAD3"/>
          <bgColor rgb="FFD9EAD3"/>
        </patternFill>
      </fill>
      <border/>
    </dxf>
    <dxf>
      <font/>
      <fill>
        <patternFill patternType="solid">
          <fgColor rgb="FFFFE599"/>
          <bgColor rgb="FFFFE599"/>
        </patternFill>
      </fill>
      <border/>
    </dxf>
    <dxf>
      <font/>
      <fill>
        <patternFill patternType="solid">
          <fgColor rgb="FFD9D2E9"/>
          <bgColor rgb="FFD9D2E9"/>
        </patternFill>
      </fill>
      <border/>
    </dxf>
    <dxf>
      <font/>
      <fill>
        <patternFill patternType="none"/>
      </fill>
      <border/>
    </dxf>
    <dxf>
      <font/>
      <fill>
        <patternFill patternType="solid">
          <fgColor rgb="FFB7E1CD"/>
          <bgColor rgb="FFB7E1CD"/>
        </patternFill>
      </fill>
      <border/>
    </dxf>
    <dxf>
      <font/>
      <fill>
        <patternFill patternType="solid">
          <fgColor rgb="FFC7ECB7"/>
          <bgColor rgb="FFC7ECB7"/>
        </patternFill>
      </fill>
      <border/>
    </dxf>
    <dxf>
      <font/>
      <fill>
        <patternFill patternType="solid">
          <fgColor rgb="FFFFE598"/>
          <bgColor rgb="FFFFE598"/>
        </patternFill>
      </fill>
      <border/>
    </dxf>
    <dxf>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spPr>
            <a:solidFill>
              <a:srgbClr val="E6B8AF"/>
            </a:solidFill>
            <a:ln cmpd="sng">
              <a:solidFill>
                <a:srgbClr val="CC4125">
                  <a:alpha val="100000"/>
                </a:srgbClr>
              </a:solidFill>
            </a:ln>
          </c:spPr>
          <c:dPt>
            <c:idx val="1"/>
          </c:dPt>
          <c:dLbls>
            <c:numFmt formatCode="General" sourceLinked="1"/>
            <c:txPr>
              <a:bodyPr/>
              <a:lstStyle/>
              <a:p>
                <a:pPr lvl="0">
                  <a:defRPr/>
                </a:pPr>
              </a:p>
            </c:txPr>
            <c:showLegendKey val="0"/>
            <c:showVal val="1"/>
            <c:showCatName val="0"/>
            <c:showSerName val="0"/>
            <c:showPercent val="0"/>
            <c:showBubbleSize val="0"/>
          </c:dLbls>
          <c:cat>
            <c:strRef>
              <c:f>'QUADRO RESUMO'!$B$7:$B$12</c:f>
            </c:strRef>
          </c:cat>
          <c:val>
            <c:numRef>
              <c:f>'QUADRO RESUMO'!$C$7:$C$12</c:f>
              <c:numCache/>
            </c:numRef>
          </c:val>
        </c:ser>
        <c:ser>
          <c:idx val="1"/>
          <c:order val="1"/>
          <c:cat>
            <c:strRef>
              <c:f>'QUADRO RESUMO'!$B$7:$B$12</c:f>
            </c:strRef>
          </c:cat>
          <c:val>
            <c:numRef>
              <c:f>'QUADRO RESUMO'!$D$7:$D$12</c:f>
              <c:numCache/>
            </c:numRef>
          </c:val>
        </c:ser>
        <c:ser>
          <c:idx val="2"/>
          <c:order val="2"/>
          <c:cat>
            <c:strRef>
              <c:f>'QUADRO RESUMO'!$B$7:$B$12</c:f>
            </c:strRef>
          </c:cat>
          <c:val>
            <c:numRef>
              <c:f>'QUADRO RESUMO'!$F$7:$F$12</c:f>
              <c:numCache/>
            </c:numRef>
          </c:val>
        </c:ser>
        <c:ser>
          <c:idx val="3"/>
          <c:order val="3"/>
          <c:cat>
            <c:strRef>
              <c:f>'QUADRO RESUMO'!$B$7:$B$12</c:f>
            </c:strRef>
          </c:cat>
          <c:val>
            <c:numRef>
              <c:f>'QUADRO RESUMO'!$H$7:$H$12</c:f>
              <c:numCache/>
            </c:numRef>
          </c:val>
        </c:ser>
        <c:axId val="441907905"/>
        <c:axId val="1706469966"/>
      </c:barChart>
      <c:catAx>
        <c:axId val="441907905"/>
        <c:scaling>
          <c:orientation val="maxMin"/>
        </c:scaling>
        <c:delete val="0"/>
        <c:axPos val="l"/>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a:solidFill>
                  <a:srgbClr val="000000"/>
                </a:solidFill>
                <a:latin typeface="Roboto"/>
              </a:defRPr>
            </a:pPr>
          </a:p>
        </c:txPr>
        <c:crossAx val="1706469966"/>
      </c:catAx>
      <c:valAx>
        <c:axId val="170646996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p>
        </c:txPr>
        <c:crossAx val="441907905"/>
        <c:crosses val="max"/>
      </c:valAx>
    </c:plotArea>
    <c:plotVisOnly val="1"/>
  </c:chart>
  <c:spPr>
    <a:solidFill>
      <a:srgbClr val="FFFFFF">
        <a:alpha val="0"/>
      </a:srgbClr>
    </a:solidFill>
  </c:spPr>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19050</xdr:colOff>
      <xdr:row>15</xdr:row>
      <xdr:rowOff>323850</xdr:rowOff>
    </xdr:from>
    <xdr:ext cx="4714875" cy="5600700"/>
    <xdr:graphicFrame>
      <xdr:nvGraphicFramePr>
        <xdr:cNvPr id="1" name="Chart 1"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3</xdr:col>
      <xdr:colOff>95250</xdr:colOff>
      <xdr:row>0</xdr:row>
      <xdr:rowOff>38100</xdr:rowOff>
    </xdr:from>
    <xdr:ext cx="447675" cy="561975"/>
    <xdr:pic>
      <xdr:nvPicPr>
        <xdr:cNvPr id="0" name="image1.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0</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0</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95250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95250</xdr:colOff>
      <xdr:row>0</xdr:row>
      <xdr:rowOff>47625</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0</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104775</xdr:colOff>
      <xdr:row>5</xdr:row>
      <xdr:rowOff>180975</xdr:rowOff>
    </xdr:from>
    <xdr:ext cx="2390775" cy="333375"/>
    <xdr:pic>
      <xdr:nvPicPr>
        <xdr:cNvPr id="0" name="image2.jp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65</xdr:row>
      <xdr:rowOff>19050</xdr:rowOff>
    </xdr:from>
    <xdr:ext cx="2581275" cy="333375"/>
    <xdr:pic>
      <xdr:nvPicPr>
        <xdr:cNvPr id="0" name="image2.jp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84</xdr:row>
      <xdr:rowOff>9525</xdr:rowOff>
    </xdr:from>
    <xdr:ext cx="2581275" cy="333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103</xdr:row>
      <xdr:rowOff>9525</xdr:rowOff>
    </xdr:from>
    <xdr:ext cx="2581275" cy="333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122</xdr:row>
      <xdr:rowOff>9525</xdr:rowOff>
    </xdr:from>
    <xdr:ext cx="2581275" cy="333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141</xdr:row>
      <xdr:rowOff>9525</xdr:rowOff>
    </xdr:from>
    <xdr:ext cx="2581275" cy="333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95250</xdr:colOff>
      <xdr:row>0</xdr:row>
      <xdr:rowOff>47625</xdr:rowOff>
    </xdr:from>
    <xdr:ext cx="447675" cy="561975"/>
    <xdr:pic>
      <xdr:nvPicPr>
        <xdr:cNvPr id="0" name="image1.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19050</xdr:colOff>
      <xdr:row>6</xdr:row>
      <xdr:rowOff>28575</xdr:rowOff>
    </xdr:from>
    <xdr:ext cx="2352675" cy="3429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95250</xdr:colOff>
      <xdr:row>0</xdr:row>
      <xdr:rowOff>47625</xdr:rowOff>
    </xdr:from>
    <xdr:ext cx="447675" cy="561975"/>
    <xdr:pic>
      <xdr:nvPicPr>
        <xdr:cNvPr id="0" name="image1.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0</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0</xdr:rowOff>
    </xdr:from>
    <xdr:ext cx="447675" cy="5619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sintraconcuritiba.org.br/files/1169/CCT%20Constru%C3%A7%C3%A3o%20Civil%202022_2024.pdf"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90" Type="http://schemas.openxmlformats.org/officeDocument/2006/relationships/hyperlink" Target="https://produto.mercadolivre.com.br/MLB-1623548082-placa-principal-1712200000963-evaporador-30000-btus-midea-_JM?matt_tool=50857357&amp;matt_word=&amp;matt_source=google&amp;matt_campaign_id=14303413847&amp;matt_ad_group_id=125984302037&amp;matt_match_type=&amp;matt_network=g&amp;matt_device=c&amp;matt_creative=539354957262&amp;matt_keyword=&amp;matt_ad_position=&amp;matt_ad_type=pla&amp;matt_merchant_id=140857347&amp;matt_product_id=MLB1623548082&amp;matt_product_partition_id=1636957835000&amp;matt_target_id=aud-315891067179:pla-1636957835000&amp;gclid=CjwKCAjwsMGYBhAEEiwAGUXJaYrycdMhBP26F2KiDblyh6LJ-k8K1RiuUwzbpX1b2zmzL-eZHW0u5hoCZdcQAvD_BwE" TargetMode="External"/><Relationship Id="rId194" Type="http://schemas.openxmlformats.org/officeDocument/2006/relationships/hyperlink" Target="https://produto.mercadolivre.com.br/MLB-1767729420-placa-da-unidade-condensadora-completa-split-inverte-lg-_JM?matt_tool=18956390&amp;utm_source=google_shopping&amp;utm_medium=organic" TargetMode="External"/><Relationship Id="rId193" Type="http://schemas.openxmlformats.org/officeDocument/2006/relationships/hyperlink" Target="https://www.ecpvendas.com.br/placas-eletronicas/placa-eletronica-condensadora-9k-12k-btus-201337390164-midea-carrier" TargetMode="External"/><Relationship Id="rId192" Type="http://schemas.openxmlformats.org/officeDocument/2006/relationships/hyperlink" Target="https://www.lojaartech.com.br/placa-evaporadora-30364860000-btus-qf-piso-teto-atualle-eco-elgin-?utm_source=google&amp;utm_medium=Shopping&amp;utm_campaign=placa-evaporadora-30364860000-btus-qf-piso-teto-atualle-eco-elgin-&amp;inStock&amp;parceiro=8962&amp;gclid=Cj0KCQiAhf2MBhDNARIsAKXU5GRlQhw24EntGtni39Mua3eurYZqYejlVBZ2RJLQDyIDQWv2Iy04MhoaArFKEALw_wcB" TargetMode="External"/><Relationship Id="rId191" Type="http://schemas.openxmlformats.org/officeDocument/2006/relationships/hyperlink" Target="https://www.americanas.com.br/produto/3279731969?pfm_carac=placa-evaporadora-18000-a-60000-btu-piso-teto-q-f-elgin&amp;pfm_index=2&amp;pfm_page=search&amp;pfm_pos=grid&amp;pfm_type=search_page&amp;offerId=609bd9b752131c3c81bdc674" TargetMode="External"/><Relationship Id="rId187" Type="http://schemas.openxmlformats.org/officeDocument/2006/relationships/hyperlink" Target="https://shopee.com.br/product/338964891/18531196587" TargetMode="External"/><Relationship Id="rId186" Type="http://schemas.openxmlformats.org/officeDocument/2006/relationships/hyperlink" Target="https://produto.mercadolivre.com.br/MLB-1582264717-placa-evaporadora-split-carrier-lucc-18000-btus-_JM?matt_tool=18956390&amp;utm_source=google_shopping&amp;utm_medium=organic" TargetMode="External"/><Relationship Id="rId185" Type="http://schemas.openxmlformats.org/officeDocument/2006/relationships/hyperlink" Target="https://www.inverniapecas.com.br/pecas-para-ar-condicionado/pecas-para-ar-condicionado-split-e-outros/placa-elet-principal-evap-hw-midea-lunanew-luna-18-000btus-2013328a036417122000007856" TargetMode="External"/><Relationship Id="rId184" Type="http://schemas.openxmlformats.org/officeDocument/2006/relationships/hyperlink" Target="https://www.impactorefrigeracao.com.br/placa-principal-evaporador-2013328a0311-ar-condicionado-18000-btus-inverter-midea?utm_source=Site&amp;utm_medium=GoogleMerchant&amp;utm_campaign=GoogleMerchant" TargetMode="External"/><Relationship Id="rId189" Type="http://schemas.openxmlformats.org/officeDocument/2006/relationships/hyperlink" Target="https://www.impactorefrigeracao.com.br/placa-principal-evaporador-201333090103-ar-condicionado-22000-24000-btus-midea-comfee?utm_source=Site&amp;utm_medium=GoogleMerchant&amp;utm_campaign=GoogleMerchant" TargetMode="External"/><Relationship Id="rId188" Type="http://schemas.openxmlformats.org/officeDocument/2006/relationships/hyperlink" Target="https://www.magazineluiza.com.br/placa-comando-split-42mt-42mm-original-midea-201333090103/p/ce207eedjf/ar/parc/?&amp;seller_id=citymaster3&amp;utm_source=google&amp;utm_medium=pla&amp;utm_campaign=&amp;partner_id=69093&amp;gclid=Cj0KCQjw2eilBhCCARIsAG0Pf8tRCwfXzlWilJUEMgoJLk-jjaGQxa2OhqTHdIIsKo760sI06hohZWIaAv7AEALw_wcB&amp;gclsrc=aw.ds" TargetMode="External"/><Relationship Id="rId183" Type="http://schemas.openxmlformats.org/officeDocument/2006/relationships/hyperlink" Target="https://www.pecasproar.com.br/placa-eletronica-da-condensadora/midea/eco-inverter-split-hi-wall-12.000btu/h-38meqa12m5?utm_source=Site&amp;utm_medium=GoogleMerchant&amp;utm_campaign=GoogleMerchant" TargetMode="External"/><Relationship Id="rId182" Type="http://schemas.openxmlformats.org/officeDocument/2006/relationships/hyperlink" Target="https://produto.mercadolivre.com.br/MLB-1357463324-placa-evaporadora-inverter-12000-btus-2013325a0607-_JM?matt_tool=18956390&amp;utm_source=google_shopping&amp;utm_medium=organic" TargetMode="External"/><Relationship Id="rId181" Type="http://schemas.openxmlformats.org/officeDocument/2006/relationships/hyperlink" Target="https://www.eletrofrigor.com.br/placa-da-evaporadora-midea-carrier-hi-wall-12-000-btus-so-frio-2013325a0683.html?gclid=CjwKCAjwsMGYBhAEEiwAGUXJaaf_DRjQqV8gK69jaWnyI86DsKCx9TznBGVADAbfJF_DPATS5OQwahoCN-MQAvD_BwE" TargetMode="External"/><Relationship Id="rId180" Type="http://schemas.openxmlformats.org/officeDocument/2006/relationships/hyperlink" Target="https://www.splitpecas.com.br/pecas-para-ar-condicionado/placa-da-evaporadora-midea-springer-9-000-btus-quente-e-frio-17122000a15551--p" TargetMode="External"/><Relationship Id="rId176" Type="http://schemas.openxmlformats.org/officeDocument/2006/relationships/hyperlink" Target="https://produto.mercadolivre.com.br/MLB-2055484516-motor-ventilador-ar-springer-364860-btus-220v-25901797-_JM?matt_tool=67377542&amp;matt_word=&amp;matt_source=google&amp;matt_campaign_id=14303413625&amp;matt_ad_group_id=125984290237&amp;matt_match_type=&amp;matt_network=g&amp;matt_device=c&amp;matt_creative=539354956458&amp;matt_keyword=&amp;matt_ad_position=&amp;matt_ad_type=pla&amp;matt_merchant_id=465056934&amp;matt_product_id=MLB2055484516&amp;matt_product_partition_id=1637488161591&amp;matt_target_id=aud-329638142375:pla-1637488161591&amp;gclid=CjwKCAjwsMGYBhAEEiwAGUXJaQ5xPMC9sCvae9nGpN0NUh6ogKn0WmfcgVI3CnwAIAoksGP5WsQ0thoCs9AQAvD_BwE" TargetMode="External"/><Relationship Id="rId297" Type="http://schemas.openxmlformats.org/officeDocument/2006/relationships/hyperlink" Target="https://www.kalunga.com.br/prod/pilha-alcalina-duracell-palito-aaa-bt-16-un/623801" TargetMode="External"/><Relationship Id="rId175" Type="http://schemas.openxmlformats.org/officeDocument/2006/relationships/hyperlink" Target="https://www.climanorte.com.br/pecas/motor-ventilador-25901795-evaporadora-ar-condicionado-48000-ou-60000-btus-piso-teto-carrier-springer?parceiro=5572&amp;srsltid=AeTuncq_z0dsPnPjfew6f5LORdH92S6GWNMcyLIyfi4Tm7F9AsNvvdJEkTU" TargetMode="External"/><Relationship Id="rId296" Type="http://schemas.openxmlformats.org/officeDocument/2006/relationships/hyperlink" Target="https://www.lojadomecanico.com.br/produto/165506/49/671/Pilha-Alcalina-AAA-Palito-com-16-Unidades/153/?utm_source=googleshopping&amp;utm_campaign=xmlshopping&amp;utm_medium=cpc&amp;utm_content=165506" TargetMode="External"/><Relationship Id="rId174" Type="http://schemas.openxmlformats.org/officeDocument/2006/relationships/hyperlink" Target="https://www.tudoar.com.br/motor/motor-evaporadora-carrier-piso-teto-36-000-btu-s-220v-cod-25901796" TargetMode="External"/><Relationship Id="rId295" Type="http://schemas.openxmlformats.org/officeDocument/2006/relationships/hyperlink" Target="https://www.amazon.com.br/Pilha-Alcalina-Palito-Duracell-3020719/dp/B078GSWP44/ref=asc_df_B078GSWP44/?tag=googleshopp00-20&amp;linkCode=df0&amp;hvadid=379739367028&amp;hvpos=&amp;hvnetw=g&amp;hvrand=14973176420602728273&amp;hvpone=&amp;hvptwo=&amp;hvqmt=&amp;hvdev=c&amp;hvdvcmdl=&amp;hvlocint=&amp;hvlocphy=1031634&amp;hvtargid=pla-811046182680&amp;th=1" TargetMode="External"/><Relationship Id="rId173" Type="http://schemas.openxmlformats.org/officeDocument/2006/relationships/hyperlink" Target="https://produto.mercadolivre.com.br/MLB-1232189913-motor-ventilador-evap-36000-btus-carrier-25901222-_JM?matt_tool=18956390&amp;utm_source=google_shopping&amp;utm_medium=organic" TargetMode="External"/><Relationship Id="rId294" Type="http://schemas.openxmlformats.org/officeDocument/2006/relationships/hyperlink" Target="https://www.magazineluiza.com.br/controle-remoto-universal-eos-para-ar-condicionado-split-fujitsu-eos-ft-ii-eos-ft-ii/p/fe698f3bg1/ar/crac/" TargetMode="External"/><Relationship Id="rId179" Type="http://schemas.openxmlformats.org/officeDocument/2006/relationships/hyperlink" Target="https://www.tudoar.com.br/placa-eletronica/placa-eletronica-evaporadora-midea-cod-17122000a0445117122000007893" TargetMode="External"/><Relationship Id="rId178" Type="http://schemas.openxmlformats.org/officeDocument/2006/relationships/hyperlink" Target="https://www.impactorefrigeracao.com.br/placa-principal-evaporadora-17122000a15551-ar-condicionado-inverter-9000-btus-springer-midea" TargetMode="External"/><Relationship Id="rId299" Type="http://schemas.openxmlformats.org/officeDocument/2006/relationships/hyperlink" Target="https://www.ferramentaskennedy.com.br/100041928/refil-gas-mapp-para-macarico-400g-worker?utm_source=google&amp;utm_medium=cpc&amp;utm_campaign=google_shop&amp;gclid=CjwKCAiA4veMBhAMEiwAU4XRr2e6hcNKua6pljD8OYVm9cHYUUMvtffrG_BeaQN6TXkrFhTdVX4RHxoCYj8QAvD_BwE" TargetMode="External"/><Relationship Id="rId177" Type="http://schemas.openxmlformats.org/officeDocument/2006/relationships/hyperlink" Target="https://www.impactorefrigeracao.com.br/motor-ventilador-evaporador-25901211-ar-condicionado-48000-60000-btus-piso-teto-carrier-springer" TargetMode="External"/><Relationship Id="rId298" Type="http://schemas.openxmlformats.org/officeDocument/2006/relationships/hyperlink" Target="https://www.grupposantos.com.br/gas-mapp-refil-macarico-vix-400g?utm_source=Site&amp;utm_medium=GoogleMerchant&amp;utm_campaign=GoogleMerchant&amp;gclid=CjwKCAiA4veMBhAMEiwAU4XRr8ya9TqNltM7d8_0KJDbiGa5fQbLQN3NWE6s5VZ5v0YLk7mHZAXjbxoCtaMQAvD_BwE" TargetMode="External"/><Relationship Id="rId198" Type="http://schemas.openxmlformats.org/officeDocument/2006/relationships/hyperlink" Target="https://www.magazineluiza.com.br/placa-eletronica-principal-condensadora-18-000-btus-inverter-201337790035-carrier/p/bf0006k5ge/ar/parc/?&amp;seller_id=frioshopping&amp;utm_source=google&amp;utm_medium=pla&amp;utm_campaign=&amp;partner_id=69093&amp;gclid=CjwKCAjwsMGYBhAEEiwAGUXJaYrUrvbhKZhGv2xK3V8VQWVFs0Hb7WUXRNzEfT1IcWmpu5x9KC_ZwhoCDXMQAvD_BwE&amp;gclsrc=aw.ds" TargetMode="External"/><Relationship Id="rId197" Type="http://schemas.openxmlformats.org/officeDocument/2006/relationships/hyperlink" Target="https://www.impactorefrigeracao.com.br/placa-principal-condensador-201337790035-ar-condicionado-18000-btus-inverter-carrier?utm_source=Site&amp;utm_medium=GoogleMerchant&amp;utm_campaign=GoogleMerchant" TargetMode="External"/><Relationship Id="rId196" Type="http://schemas.openxmlformats.org/officeDocument/2006/relationships/hyperlink" Target="https://www.americanas.com.br/produto/3279786151?epar=bp_pl_00_go_aa_pmax_geral&amp;opn=YSMESP&amp;WT.srch=1&amp;offerId=609bdd6752131c3c81c382e6&amp;gclid=CjwKCAjwsMGYBhAEEiwAGUXJaVZrQRidGHBsPe-VDVXCqAfFlZYMIkUN4QhDZwGQnQyYiZy-i2aw9hoCppkQAvD_BwE" TargetMode="External"/><Relationship Id="rId195" Type="http://schemas.openxmlformats.org/officeDocument/2006/relationships/hyperlink" Target="https://www.americanas.com.br/produto/3279835101?opn=YSMESP&amp;offerId=609be02152131c3c81c7814d&amp;srsltid=AeTuncrBj4bEna3MzqpbXTwMIRGzwrzN-MzvtJ0XlknBM-texjj9U765FjQ" TargetMode="External"/><Relationship Id="rId199" Type="http://schemas.openxmlformats.org/officeDocument/2006/relationships/hyperlink" Target="https://www.magazineluiza.com.br/placa-de-comando-elgin-inverter-24-000btu-q-f-hvqe24b2nc/p/eek6ak5dcd/ar/aave/?&amp;seller_id=arconpartspecas&amp;utm_source=google&amp;utm_medium=pla&amp;utm_campaign=&amp;partner_id=69093&amp;gclid=Cj0KCQjwwvilBhCFARIsADvYi7IUmOtwzMgFa7rvoYucCyhuFwd0XMCEFmf8qpMRv0Fy2h96RU2hxI8aAsejEALw_wcB&amp;gclsrc=aw.ds" TargetMode="External"/><Relationship Id="rId150" Type="http://schemas.openxmlformats.org/officeDocument/2006/relationships/hyperlink" Target="https://www.submarino.com.br/produto/3279804241?epar=bp_pl_00_go_g35132&amp;epar=bp_pl_00_go_g35132&amp;opn=XMLGOOGLE&amp;WT.srch=1&amp;utm_medium=buscappc&amp;utm_source=google&amp;utm_campaign=marca%3Asuba%3Bmidia%3Abuscappc%3Bformato%3Apla%3Bsubformato%3A00%3Bidcampanha%3Ag35132&amp;gclid=CjwKCAiAs92MBhAXEiwAXTi2507T7zCc4RTFPtx3GaDq13CHqKSoisbYaEcqhZtAuO4Kx9iziR-9ehoCBmwQAvD_BwE" TargetMode="External"/><Relationship Id="rId271" Type="http://schemas.openxmlformats.org/officeDocument/2006/relationships/hyperlink" Target="https://www.conquistamaquinas.com.br/pecas-e-acessorios/correias/perfil-c/correia-c-112-condor?parceiro=8956" TargetMode="External"/><Relationship Id="rId392" Type="http://schemas.openxmlformats.org/officeDocument/2006/relationships/hyperlink" Target="https://www.dimensional.com.br/cabo-flexivel-1kv-90-graus-celsius-hepr-3x1-5mm-preto-eproflex90-induscabos/p?idsku=53729&amp;gclid=Cj0KCQjwk96lBhDHARIsAEKO4xYvn0Ojk74_RNobZztJAKuIggBfQWOwETT7KPiELwzVYGTcfOJjCgUaAneXEALw_wcB" TargetMode="External"/><Relationship Id="rId270" Type="http://schemas.openxmlformats.org/officeDocument/2006/relationships/hyperlink" Target="https://www.casaferrari.com.br/correia-perfil-v-c-128-industrial-vonder?utm_source=google&amp;utm_medium=Shopping&amp;utm_campaign=correia-perfil-v-c-128-industrial-vonder&amp;inStock&amp;gclid=Cj0KCQjw8NilBhDOARIsAHzpbLB01LKmY_ahB-_jBtUjNb3D4p0GxPbRnKT7Dl-0MRj818jZcI7t5WgaAo-eEALw_wcB" TargetMode="External"/><Relationship Id="rId391" Type="http://schemas.openxmlformats.org/officeDocument/2006/relationships/hyperlink" Target="https://www.jcmateriais.com.br/produto/cabo-flexivel-pp-preto-3-x-2-50-mm-por-metro/7234" TargetMode="External"/><Relationship Id="rId390" Type="http://schemas.openxmlformats.org/officeDocument/2006/relationships/hyperlink" Target="https://www.solucaocabos.com.br/cabo-pp-flexivel-3-x-250mm-500v/p?idsku=15272&amp;gclid=Cj0KCQjw8NilBhDOARIsAHzpbLBz7nDwv0Z4eiIWYccYFgWsZGpR-bqaMhE7uuBmMDwJvxuF7cjDWfQaAnKNEALw_wcB" TargetMode="External"/><Relationship Id="rId1" Type="http://schemas.openxmlformats.org/officeDocument/2006/relationships/hyperlink" Target="https://www.divisegloja.com.br/uniformes/conjunto-nr10-em-brim-anti-chama-com-refletivo-risco-i-e-ii" TargetMode="External"/><Relationship Id="rId2" Type="http://schemas.openxmlformats.org/officeDocument/2006/relationships/hyperlink" Target="https://www.renascerepi.com.br/vestimenta/eletricista/conjunto-eletricista-nr10-risco-2-anti-chama?parceiro=5163&amp;gclid=Cj0KCQiA5aWOBhDMARIsAIXLlkdEIHF2lXW1D6eMSMc22zNomgZJCbmdlHbF__vwm3qZLfel1N9hLCcaAobHEALw_wcB" TargetMode="External"/><Relationship Id="rId3" Type="http://schemas.openxmlformats.org/officeDocument/2006/relationships/hyperlink" Target="https://www.superepi.com.br/conjunto-eletricista-cinza-nr10-risco-ii-atpv-11-0-com-refletivo-eqpro-ca-41146-e-41147-p1063829?tsid=16&amp;gclid=Cj0KCQiA8aOeBhCWARIsANRFrQHrab5Y1hsbAnHt9_qLCojDVoEnUG2m8xY3LjsaAeE3xxOeRb_iPbgaAjg8EALw_wcB" TargetMode="External"/><Relationship Id="rId149" Type="http://schemas.openxmlformats.org/officeDocument/2006/relationships/hyperlink" Target="https://www.eletrofrigor.com.br/compressor-60000-btus-r22-220v-3f-scroll-copeland-zr57ketf552e.html?gclid=CjwKCAiAs92MBhAXEiwAXTi25zZp869U2-g0AE1rd8H4akinnhWuXYet1C_U1cPAb5aiCXq8YNEyzhoChNsQAvD_BwE" TargetMode="External"/><Relationship Id="rId4" Type="http://schemas.openxmlformats.org/officeDocument/2006/relationships/hyperlink" Target="https://www.hmloja.com.br/camisas/camisas-brim/jaleco-brim-manga-curta-com-3-bolsos-uniforme-profissional-cinza?variant_id=1339" TargetMode="External"/><Relationship Id="rId148" Type="http://schemas.openxmlformats.org/officeDocument/2006/relationships/hyperlink" Target="https://www.lojaartech.com.br/compressor-scroll-60.000-btus-r22-220v-5tr-?utm_source=google&amp;utm_medium=Shopping&amp;utm_campaign=compressor-scroll-60.000-btus-r22-220v-5tr-&amp;inStock&amp;parceiro=8962&amp;gclid=CjwKCAiAs92MBhAXEiwAXTi25yMaKArnN18w9iCxvkmGRt7LvqiDcIhFyBJNh6q27Y4F7nCVkXBH6xoCEjYQAvD_BwE" TargetMode="External"/><Relationship Id="rId269" Type="http://schemas.openxmlformats.org/officeDocument/2006/relationships/hyperlink" Target="https://www.lojadomecanico.com.br/produto/129835/37/813/Correia-perfil-V-C-128-VONDER/153/?utm_source=googleshopping&amp;utm_campaign=xmlshopping&amp;utm_medium=cpc&amp;utm_content=129835&amp;gclid=CjwKCAiA4veMBhAMEiwAU4XRr4o1ILhzxZN4zORe0cc1gUye4fg7PMfiulXM4SkI0viWRPglR79CVxoC7-8QAvD_BwE" TargetMode="External"/><Relationship Id="rId9" Type="http://schemas.openxmlformats.org/officeDocument/2006/relationships/hyperlink" Target="https://www.ferracini.com.br/cinto-ferracini-masculino-fc565a/p" TargetMode="External"/><Relationship Id="rId143" Type="http://schemas.openxmlformats.org/officeDocument/2006/relationships/hyperlink" Target="https://produto.mercadolivre.com.br/MLB-2022338581-compressor-rotativo-36000-btus-r22-220v-_JM" TargetMode="External"/><Relationship Id="rId264" Type="http://schemas.openxmlformats.org/officeDocument/2006/relationships/hyperlink" Target="https://lojavirtual.sodivel.com.br/produtos/correia-em-v-b042-power-span/" TargetMode="External"/><Relationship Id="rId385" Type="http://schemas.openxmlformats.org/officeDocument/2006/relationships/hyperlink" Target="https://www.casaegaragem.com.br/produto/cabo-fio-pp-3x4-0mm-preto-rl-100-metros-sil-75292?utm_source=&amp;utm_medium=&amp;utm_campaign=&amp;gclid=Cj0KCQjw8NilBhDOARIsAHzpbLBLjMz7WOT9RMq7EyZZVOkVGHcQckqwRsaGP-W3sUxWtn0V9-2dqvoaAuX4EALw_wcB" TargetMode="External"/><Relationship Id="rId142" Type="http://schemas.openxmlformats.org/officeDocument/2006/relationships/hyperlink" Target="https://www.eletrofrigor.com.br/compressor-36000-btus-r410-220v-rotativo-1f-highly-ath356un-c9eu.html" TargetMode="External"/><Relationship Id="rId263" Type="http://schemas.openxmlformats.org/officeDocument/2006/relationships/hyperlink" Target="https://www.lojadomecanico.com.br/produto/570665/37/813/Correia-Em-V-B042-Power-Span/153/?utm_source=googleshopping&amp;utm_campaign=xmlshopping&amp;utm_medium=cpc&amp;utm_content=570665&amp;gclid=Cj0KCQjw8NilBhDOARIsAHzpbLBEjbp-zZirmet0JtDyQ-wCpYt6qG53BovjBQMnovA-uGLzeIyvkYwaAofhEALw_wcB" TargetMode="External"/><Relationship Id="rId384" Type="http://schemas.openxmlformats.org/officeDocument/2006/relationships/hyperlink" Target="https://produto.mercadolivre.com.br/MLB-3477420924-cabo-eletrico-pp-3-x-40mm-fio-de-cobre-50-metros-_JM?matt_tool=45029758&amp;matt_word=&amp;matt_source=google&amp;matt_campaign_id=14302215522&amp;matt_ad_group_id=150145935567&amp;matt_match_type=&amp;matt_network=g&amp;matt_device=c&amp;matt_creative=649558500182&amp;matt_keyword=&amp;matt_ad_position=&amp;matt_ad_type=pla&amp;matt_merchant_id=554845527&amp;matt_product_id=MLB3477420924&amp;matt_product_partition_id=1962976109513&amp;matt_target_id=aud-2009166904988:pla-1962976109513&amp;gclid=Cj0KCQjw8NilBhDOARIsAHzpbLAIW1AUFidMTAFLenrOzrHbpGqzZJ59OPMvXTv4o_5pwQvJ5I3EwHUaAqAiEALw_wcB" TargetMode="External"/><Relationship Id="rId141" Type="http://schemas.openxmlformats.org/officeDocument/2006/relationships/hyperlink" Target="https://www.americanas.com.br/produto/5205973594?opn=YSMESP&amp;offerId=62975722234ca7e6fd80bf09&amp;srsltid=AeTuncqWtcb88dAr5b_y1AK1CMX26IsbndmIWawXC1VPqtm0uGOGJK2ZDQE" TargetMode="External"/><Relationship Id="rId262" Type="http://schemas.openxmlformats.org/officeDocument/2006/relationships/hyperlink" Target="https://www.lfmaquinaseferramentas.com.br/correia-a79-power-span-2055mm-externa-lisa/p?idsku=9591" TargetMode="External"/><Relationship Id="rId383" Type="http://schemas.openxmlformats.org/officeDocument/2006/relationships/hyperlink" Target="https://www.multieletrica.com.br/eluma-elumaflex-28mm" TargetMode="External"/><Relationship Id="rId140" Type="http://schemas.openxmlformats.org/officeDocument/2006/relationships/hyperlink" Target="https://www.multifrioshop.com/acessorios-ar-condicionado/compressores/motor-compressor-rotativo-30-000-btus-220v-gas-r22?parceiro=2316&amp;gclid=CjwKCAiAs92MBhAXEiwAXTi25xWpg76jKAC0XA-KA3_ptGU0eyvvPaJWw6KFIHdEFaCsZsbN2DBqoBoCqWAQAvD_BwE" TargetMode="External"/><Relationship Id="rId261" Type="http://schemas.openxmlformats.org/officeDocument/2006/relationships/hyperlink" Target="https://www.fg.com.br/correia-perfil-v-b-49-circunferencia-interna-1245mm---vonder/p?idsku=1088608&amp;gclid=Cj0KCQjw08aYBhDlARIsAA_gb0cYztN4PPrp3ZP-WIooZTT81BYTZlTXF6Tl4g1LUtDMmLCYoeNC4lcaAvEIEALw_wcB" TargetMode="External"/><Relationship Id="rId382" Type="http://schemas.openxmlformats.org/officeDocument/2006/relationships/hyperlink" Target="https://himater.com.br/produtos/calha-de-isolamento-termico-flexivel-2-metros/?attribute_modelo=28mm&amp;utm_source=Google%20Shopping&amp;utm_campaign=Shopping%20-%20Himater&amp;utm_medium=cpc&amp;utm_term=10338" TargetMode="External"/><Relationship Id="rId5" Type="http://schemas.openxmlformats.org/officeDocument/2006/relationships/hyperlink" Target="https://www.fardasexpress.com.br/camisa-profissional-mangas-curtas-c-botoes-caqui-70268?utm_source=&amp;utm_medium=&amp;utm_campaign=&amp;gclid=Cj0KCQiA-K2MBhC-ARIsAMtLKRv26l7lyA6g9oGIl1RwJTbbXgRhst9dGyXhk8YlkPW-j7Fhe7tEEwUaAtBtEALw_wcB" TargetMode="External"/><Relationship Id="rId147" Type="http://schemas.openxmlformats.org/officeDocument/2006/relationships/hyperlink" Target="https://produto.mercadolivre.com.br/MLB-1035832609-compressor-scroll-panasonic-4tr-ar-condicionado-trifasico-csb303h6b-_JM?matt_tool=67377542&amp;matt_word=&amp;matt_source=google&amp;matt_campaign_id=14303413625&amp;matt_ad_group_id=125984290237&amp;matt_match_type=&amp;matt_network=g&amp;matt_device=c&amp;matt_creative=539354956458&amp;matt_keyword=&amp;matt_ad_position=&amp;matt_ad_type=pla&amp;matt_merchant_id=702342460&amp;matt_product_id=MLB1035832609&amp;matt_product_partition_id=1818924157918&amp;matt_target_id=aud-2009166904988:pla-1818924157918&amp;gclid=Cj0KCQjwiIOmBhDjARIsAP6YhSUITZNxmI5Ia_2OFm27O0UQ2XRSAjN29btaBV0ZNByohjwi8w5KNgoaAtDDEALw_wcB" TargetMode="External"/><Relationship Id="rId268" Type="http://schemas.openxmlformats.org/officeDocument/2006/relationships/hyperlink" Target="https://www.cicampo.com.br/correia-multi-v-c-128-uso-industrial-vonder-plus?parceiro=8650" TargetMode="External"/><Relationship Id="rId389" Type="http://schemas.openxmlformats.org/officeDocument/2006/relationships/hyperlink" Target="https://www.multieletrica.com.br/eletrica/cabos-e-fios/eletricos/cabo-pp-1kv-3x6-0mm" TargetMode="External"/><Relationship Id="rId6" Type="http://schemas.openxmlformats.org/officeDocument/2006/relationships/hyperlink" Target="https://www.equivale.com.br/vestimentas/camisas/camisa-brim-manga-curta-com-botao-uniforme-profissional" TargetMode="External"/><Relationship Id="rId146" Type="http://schemas.openxmlformats.org/officeDocument/2006/relationships/hyperlink" Target="https://www.totalar.net/produtos/compressor-sanyo-c-sb303h6b-5500084-48k-220-3-60-r22-scroll/" TargetMode="External"/><Relationship Id="rId267" Type="http://schemas.openxmlformats.org/officeDocument/2006/relationships/hyperlink" Target="https://lojavirtual.sodivel.com.br/produtos/correia-em-v-a055-power-span/" TargetMode="External"/><Relationship Id="rId388" Type="http://schemas.openxmlformats.org/officeDocument/2006/relationships/hyperlink" Target="https://www.eletrosystemcabos.com.br/cabo-pp-flexivel-corfio-sil-cobrecom-3x6-0mm2-500v-por-metro/p/610?c=1&amp;t=1&amp;gclid=Cj0KCQjw08aYBhDlARIsAA_gb0cVSt67DNPXEVO5IlpS_pEgyW0fGCp9-YlvZlorni0R8aYzDdN68XUaArphEALw_wcB" TargetMode="External"/><Relationship Id="rId7" Type="http://schemas.openxmlformats.org/officeDocument/2006/relationships/hyperlink" Target="https://www.useveterano.com.br/produto-cinto-blackout-couro-preto-fivela-preta-vtcto51pt?gclid=Cj0KCQiA8aOeBhCWARIsANRFrQGkeKUyHRS5SOLrtzLy-v21aGUTJQMmh3k88pa8NOYYEOG7wD6bybkaAm-_EALw_wcB" TargetMode="External"/><Relationship Id="rId145" Type="http://schemas.openxmlformats.org/officeDocument/2006/relationships/hyperlink" Target="https://www.multifrioshop.com/acessorios-ar-condicionado/compressores/motor-compressor-scroll-48-000-btus-4tr-220v-gas-r22?parceiro=2316&amp;gclid=Cj0KCQjw08aYBhDlARIsAA_gb0f02nnOcP8uOsHdeUixVkEUMaQMBjDfSR8NYtBjef0GDTV5hLuz9DgaAg70EALw_wcB" TargetMode="External"/><Relationship Id="rId266" Type="http://schemas.openxmlformats.org/officeDocument/2006/relationships/hyperlink" Target="https://www.casadascorreiaseborrachas.com.br/produto/correia-de-transmissao-em-v-lisa-a-55-elite.html?gclid=Cj0KCQjw8NilBhDOARIsAHzpbLAYrE-5AMMYh-KQgV_VdcIBNM2b-bC6DsVU_NI8WfssEIT_5py-43UaAvmIEALw_wcB" TargetMode="External"/><Relationship Id="rId387" Type="http://schemas.openxmlformats.org/officeDocument/2006/relationships/hyperlink" Target="https://www.teky.com.br/8529/cabo-cobre-3x-6mm-isolado-pvc-500v-70-preto-nm-247-5-pp" TargetMode="External"/><Relationship Id="rId8" Type="http://schemas.openxmlformats.org/officeDocument/2006/relationships/hyperlink" Target="https://newsunset.com.br/products/cinto-masculino-de-couro-modelo-john?currency=BRL&amp;variant=42628977426689&amp;utm_medium=cpc&amp;utm_source=google&amp;utm_campaign=Google%20Shopping&amp;gclid=Cj0KCQjw08aYBhDlARIsAA_gb0cE3NYW8hHxlF5eNtzvAHAJKoHXSrbUYzcw14wAY2WlsPf6af8rbp4aAhuxEALw_wcB" TargetMode="External"/><Relationship Id="rId144" Type="http://schemas.openxmlformats.org/officeDocument/2006/relationships/hyperlink" Target="https://www.lojaartech.com.br/compressor-rotativo-36000btus-r22-220v-?utm_source=google&amp;utm_medium=Shopping&amp;utm_campaign=compressor-rotativo-36000btus-r22-220v-&amp;inStock=&amp;srsltid=AeTuncpQYe4Ri5jVPdNxb_whFRlNUyoBSs2s1oHwhQgqTHzO_3yRp7WkdPc" TargetMode="External"/><Relationship Id="rId265" Type="http://schemas.openxmlformats.org/officeDocument/2006/relationships/hyperlink" Target="https://www.magazineluiza.com.br/correia-em-v-a055-power-span/p/bg97h5e26c/au/crau/?&amp;seller_id=sodivel" TargetMode="External"/><Relationship Id="rId386" Type="http://schemas.openxmlformats.org/officeDocument/2006/relationships/hyperlink" Target="https://www.mpereirahidro.com.br/MLB-2814735000-20-metros-cabo-pp-3-x-4-mm-flexivel-3-vias-x-4-mm-cobrecom-_JM?variation=175327851337&amp;gclid=Cj0KCQjw8NilBhDOARIsAHzpbLAx6qI8w0cKNvNP2TszzzbHqrSelluPwH-1qscQ-dnRNtJ_GIj-EvIaAh04EALw_wcB" TargetMode="External"/><Relationship Id="rId260" Type="http://schemas.openxmlformats.org/officeDocument/2006/relationships/hyperlink" Target="https://www.agribor.com.br/produto/correia-industrial-b49-lisa-em-v-multibelt-71630?utm_source=&amp;utm_medium=&amp;utm_campaign=&amp;gclid=Cj0KCQjw08aYBhDlARIsAA_gb0eaobfLCTzG28McMdxe1cODvqeSYbFPsLnJoQPtrAm0kA9oQpO2lzcaAi9gEALw_wcB" TargetMode="External"/><Relationship Id="rId381" Type="http://schemas.openxmlformats.org/officeDocument/2006/relationships/hyperlink" Target="https://www.coutomateriais.com.br/elumaflex-isolante-term-28mm-2-00m-eluma-31617" TargetMode="External"/><Relationship Id="rId380" Type="http://schemas.openxmlformats.org/officeDocument/2006/relationships/hyperlink" Target="https://www.antferramentas.com.br/lamina-para-serra-manual-bimetal-starrett--12-x1-2-x18d-bs1218/p" TargetMode="External"/><Relationship Id="rId139" Type="http://schemas.openxmlformats.org/officeDocument/2006/relationships/hyperlink" Target="https://www.lojaartech.com.br/compressor-rotativo-30000-btus-r22-220v-ph401x3cs-?utm_source=google&amp;utm_medium=Shopping&amp;utm_campaign=compressor-rotativo-30000-btus-r22-220v-ph401x3cs-&amp;inStock&amp;parceiro=8962&amp;gclid=CjwKCAiAs92MBhAXEiwAXTi252-3IxTBwoMz9-ghnOWfDPBio5Mp0Q8mMnms6AXn6om7aC6gKSF7mRoC4ZQQAvD_BwE" TargetMode="External"/><Relationship Id="rId138" Type="http://schemas.openxmlformats.org/officeDocument/2006/relationships/hyperlink" Target="https://www.embrar.com.br/-compressor-rotativo-24000-btus-r22/p?idsku=14423" TargetMode="External"/><Relationship Id="rId259" Type="http://schemas.openxmlformats.org/officeDocument/2006/relationships/hyperlink" Target="https://www.lojabrafer.com.br/correia-em-v-b-49-rexon/p/85?c=1&amp;t=1039&amp;gclid=Cj0KCQjw08aYBhDlARIsAA_gb0eivUcrpJ61WFXgX05i6JZQUfgylflaxnB3xw0tp1YXiynCyvLiHgcaAnm3EALw_wcB" TargetMode="External"/><Relationship Id="rId137" Type="http://schemas.openxmlformats.org/officeDocument/2006/relationships/hyperlink" Target="https://produto.mercadolivre.com.br/MLB-2622609088-compressor-rotativo-ar-condicionado-21000-a-24000-220v-r22-_JM?matt_tool=36571132&amp;matt_word=&amp;matt_source=google&amp;matt_campaign_id=14303413676&amp;matt_ad_group_id=125984296077&amp;matt_match_type=&amp;matt_network=g&amp;matt_device=c&amp;matt_creative=539354956920&amp;matt_keyword=&amp;matt_ad_position=&amp;matt_ad_type=pla&amp;matt_merchant_id=584937380&amp;matt_product_id=MLB2622609088&amp;matt_product_partition_id=1639321648021&amp;matt_target_id=aud-1010920718318:pla-1639321648021&amp;gclid=Cj0KCQjw08aYBhDlARIsAA_gb0ejrlCCs54R085RbOA2ofb3lteRE9ArSp88IcQy3qCeJ46CqnlppXUaAniMEALw_wcB" TargetMode="External"/><Relationship Id="rId258" Type="http://schemas.openxmlformats.org/officeDocument/2006/relationships/hyperlink" Target="https://lojavirtual.sodivel.com.br/produtos/correia-em-v-b052-power-span/" TargetMode="External"/><Relationship Id="rId379" Type="http://schemas.openxmlformats.org/officeDocument/2006/relationships/hyperlink" Target="https://www.ultramaquinas.com.br/produto/lamina-de-serra-manual-12-x-1-2-x-32-rs1232-starrett-71812" TargetMode="External"/><Relationship Id="rId132" Type="http://schemas.openxmlformats.org/officeDocument/2006/relationships/hyperlink" Target="https://www.refrigeracaocatavento.com.br/pecas-para-ar-condicionado/compressores/compressor-12000-btus-rotativo-r22-220v-1f-rechi-44r292ak-fesd?parceiro=6374&amp;gclid=Cj0KCQjw2eilBhCCARIsAG0Pf8v30QsIpBvRyf90vw1kGJBcOpDWR17Yt4P_NoOn_nKyFHBZMKDh40kaAp34EALw_wcB" TargetMode="External"/><Relationship Id="rId253" Type="http://schemas.openxmlformats.org/officeDocument/2006/relationships/hyperlink" Target="https://lojavirtual.sodivel.com.br/produtos/correia-em-v-b064-power-span/" TargetMode="External"/><Relationship Id="rId374" Type="http://schemas.openxmlformats.org/officeDocument/2006/relationships/hyperlink" Target="https://www.ccpvirtual.com.br/arruela-lisa-3-8-zincada/p" TargetMode="External"/><Relationship Id="rId495" Type="http://schemas.openxmlformats.org/officeDocument/2006/relationships/hyperlink" Target="https://www.extra.com.br/cabo-de-aco-18-revestido-com-pvc-50-metros/p/1521876526" TargetMode="External"/><Relationship Id="rId131" Type="http://schemas.openxmlformats.org/officeDocument/2006/relationships/hyperlink" Target="https://www.magazineluiza.com.br/compressor-rotativo-12-000btus-r22-220v-lg-qj208kac-artech/p/fdja20d2kc/fs/cdar/?&amp;seller_id=lojaartechrefrigeracaoeclimatiza" TargetMode="External"/><Relationship Id="rId252" Type="http://schemas.openxmlformats.org/officeDocument/2006/relationships/hyperlink" Target="https://produto.mercadolivre.com.br/MLB-868994095-correia-industrial-em-v-transpower-perfil-b-mod-b-53-_JM?matt_tool=18956390&amp;utm_source=google_shopping&amp;utm_medium=organic" TargetMode="External"/><Relationship Id="rId373" Type="http://schemas.openxmlformats.org/officeDocument/2006/relationships/hyperlink" Target="https://produto.mercadolivre.com.br/MLB-2733967448-arruela-38-lisa-galvanizado-caixa-c-2000-pcs-_JM" TargetMode="External"/><Relationship Id="rId494" Type="http://schemas.openxmlformats.org/officeDocument/2006/relationships/hyperlink" Target="https://www.casasbahia.com.br/cabo-de-aco-18-revestido-com-pvc-50-metros-1521876526/p/1521876526?utm_medium=Cpc&amp;utm_source=google_freelisting&amp;IdSku=1521876526&amp;idLojista=145309&amp;tipoLojista=3P" TargetMode="External"/><Relationship Id="rId130" Type="http://schemas.openxmlformats.org/officeDocument/2006/relationships/hyperlink" Target="https://www.lojaartech.com.br/compressor-rotativo-12000btus-r22-220v-lg-qj208kac-?utm_source=google&amp;utm_medium=Shopping&amp;utm_campaign=compressor-rotativo-12000btus-r22-220v-lg-qj208kac-&amp;inStock&amp;parceiro=8962&amp;gclid=CjwKCAiAs92MBhAXEiwAXTi25yLRxi3Y0shY8JhR3SAIBzzh81w_DLLhAqDTfi3_8v8BHZRhOpD8PxoCY_oQAvD_BwE" TargetMode="External"/><Relationship Id="rId251" Type="http://schemas.openxmlformats.org/officeDocument/2006/relationships/hyperlink" Target="https://www.ferramentaskennedy.com.br/100055729/correia-em-v-tipo-b-053-power-span?gclid=Cj0KCQjw8NilBhDOARIsAHzpbLDYlNz-UhE3_-bXMlNM4MRVyvIoi2_8X8JzJJrvH15y4eEl3qhGCAkaAl40EALw_wcB" TargetMode="External"/><Relationship Id="rId372" Type="http://schemas.openxmlformats.org/officeDocument/2006/relationships/hyperlink" Target="https://www.jofepar.com.br/arruela-lisa-3-8-x-1,2-262-p1175" TargetMode="External"/><Relationship Id="rId493" Type="http://schemas.openxmlformats.org/officeDocument/2006/relationships/hyperlink" Target="https://www.magazineluiza.com.br/cabo-de-aco-18-revestido-com-pvc-50-metros-cabos-metalpark/p/ee1aag77ha/pi/cbac/?&amp;seller_id=olistplus" TargetMode="External"/><Relationship Id="rId250" Type="http://schemas.openxmlformats.org/officeDocument/2006/relationships/hyperlink" Target="https://www.magazineluiza.com.br/b-053-correia-power-span-continental/p/bg3dejeaj9/pi/cidl/?seller_id=crmmuchiutt&amp;utm_source=google&amp;utm_medium=pla&amp;utm_campaign=&amp;partner_id=68055&amp;gclid=Cj0KCQjw8NilBhDOARIsAHzpbLA8ldI5q8_PcI1MztFApCnV3b5woIsfBHo7f8P6tlYY0W6ipLGQ-lMaAuXbEALw_wcB&amp;gclsrc=aw.ds" TargetMode="External"/><Relationship Id="rId371" Type="http://schemas.openxmlformats.org/officeDocument/2006/relationships/hyperlink" Target="https://www.ccpvirtual.com.br/arruela-de-pressao-inox-304-516-pacote-com-500-pecas/p?idsku=46451&amp;gclid=Cj0KCQiA5aWOBhDMARIsAIXLlkeRhC3WmcDEw-AtJ9v6y0hJLeePdH1gSoF5S0JmW8Y1DrKjSo8TWZUaAhAhEALw_wcB" TargetMode="External"/><Relationship Id="rId492" Type="http://schemas.openxmlformats.org/officeDocument/2006/relationships/hyperlink" Target="https://www.dpaschoal.com.br/bateria-moura-60a-m60ad-direito/p?idsku=6128998&amp;srsltid=ASuE1wQPzuOImnWbpuv3QrQ0-P6zXWYkhHDorjAGd7SypSDcbNSSY2pneWY" TargetMode="External"/><Relationship Id="rId136" Type="http://schemas.openxmlformats.org/officeDocument/2006/relationships/hyperlink" Target="https://www.eletrofrigor.com.br/compressor-24000-btus-r410-220v-1f-rotativo-highly-shw73tc4-u.html?srsltid=ASuE1wTOmt80PqzUJIbWLndoqNRjMgCr3asvyk2fHCIbLnxkTeDIM2cv1y4" TargetMode="External"/><Relationship Id="rId257" Type="http://schemas.openxmlformats.org/officeDocument/2006/relationships/hyperlink" Target="https://www.superproatacado.com.br/12816/correia-em-v-tipo-b52-ps-power-span?gclid=Cj0KCQjw8NilBhDOARIsAHzpbLD9T12UoVsbBEy85vqtuMjljy8GJrHJpEJxCxEpnkoVOSngh0NLKN0aAqqaEALw_wcB" TargetMode="External"/><Relationship Id="rId378" Type="http://schemas.openxmlformats.org/officeDocument/2006/relationships/hyperlink" Target="https://www.amazon.com.br/Serrinha-Dentes-Safe-Flex-Bi-Metal-12-STARRETT-BS1224/dp/B00AC1JPDK/ref=asc_df_B00AC1JPDK/?tag=googleshopp00-20&amp;linkCode=df0&amp;hvadid=379817630822&amp;hvpos=&amp;hvnetw=g&amp;hvrand=1454003743495738911&amp;hvpone=&amp;hvptwo=&amp;hvqmt=&amp;hvdev=c&amp;hvdvcmdl=&amp;hvlocint=&amp;hvlocphy=1031634&amp;hvtargid=pla-657539737632&amp;psc=1" TargetMode="External"/><Relationship Id="rId499" Type="http://schemas.openxmlformats.org/officeDocument/2006/relationships/hyperlink" Target="https://combinado.com.br/lampada-led-bulbo-60w-e27-branco-frio.html?mp_feed=MDozOjRkc0JUZFBJSFR2K0ZYMUVhTGpacVI1MjgxUnlSakJVOHh2dUxhbz0=" TargetMode="External"/><Relationship Id="rId135" Type="http://schemas.openxmlformats.org/officeDocument/2006/relationships/hyperlink" Target="https://www.webinstalar.com.br/compressor-rotativo-18000-btus?utm_source=Site&amp;utm_medium=GoogleMerchant&amp;utm_campaign=GoogleMerchant&amp;srsltid=AeTuncrK3TUkI8kOQyNgnPPu5TiiiruSMf1AReTVHlGmyqTr7nYD4-BCs-U" TargetMode="External"/><Relationship Id="rId256" Type="http://schemas.openxmlformats.org/officeDocument/2006/relationships/hyperlink" Target="https://www.lojadomecanico.com.br/produto/570676/37/813/Correia-Em-V-B052-Power-Span/153/?utm_source=googleshopping&amp;utm_campaign=xmlshopping&amp;utm_medium=cpc&amp;utm_content=570676&amp;gclid=Cj0KCQjw8NilBhDOARIsAHzpbLAhPSy-TaVjRE2ADVJmtRuaI8iZkLX0efx9AvTvKguhmqQGbGUmSaQaAtSXEALw_wcB" TargetMode="External"/><Relationship Id="rId377" Type="http://schemas.openxmlformats.org/officeDocument/2006/relationships/hyperlink" Target="http://www.lojaeletrica.com.br/arruela-lisa-galvanizada-d-516,product,2250200000050,dept,0.aspx" TargetMode="External"/><Relationship Id="rId498" Type="http://schemas.openxmlformats.org/officeDocument/2006/relationships/hyperlink" Target="https://www.mercadolivre.com.br/lmpada-led-bulbo-alta-potncia-60w-e27-branco-frio-4800lm-cor-da-luz-branco-frio/p/MLB21349340?pdp_filters=category:MLB8462" TargetMode="External"/><Relationship Id="rId134" Type="http://schemas.openxmlformats.org/officeDocument/2006/relationships/hyperlink" Target="https://www.multifrioshop.com/acessorios-ar-condicionado/compressores/motor-compressor-rotativo-19000-btus-220v-gas-r22-ar-condicionado?parceiro=2316&amp;gclid=CjwKCAiAs92MBhAXEiwAXTi2509I7n7psqMaobDjjnL5yRyLBIO788XJbDFkYEAcF71ytXTvdFP-XhoCwUkQAvD_BwE" TargetMode="External"/><Relationship Id="rId255" Type="http://schemas.openxmlformats.org/officeDocument/2006/relationships/hyperlink" Target="https://www.ferramentaskennedy.com.br/100047744/correia-em-v-tipo-b-64-worker?gclid=Cj0KCQjw8NilBhDOARIsAHzpbLAlz4x41_CGzd9s5kdqW_zSwQraNr33KzlAhYwuKT8mdgr-7uVzTAsaAjm3EALw_wcB" TargetMode="External"/><Relationship Id="rId376" Type="http://schemas.openxmlformats.org/officeDocument/2006/relationships/hyperlink" Target="https://www.magazineluiza.com.br/arruela-lisa-e-5-16-pol-ferro-zb-vonder/p/ebaf3bf1j2/fs/arru/?&amp;seller_id=clubedacasanovaeraltda" TargetMode="External"/><Relationship Id="rId497" Type="http://schemas.openxmlformats.org/officeDocument/2006/relationships/hyperlink" Target="https://www.persianet.com.br/pvc/persiana-vertical-pvc-basic" TargetMode="External"/><Relationship Id="rId133" Type="http://schemas.openxmlformats.org/officeDocument/2006/relationships/hyperlink" Target="https://www.lojaartech.com.br/compressor-rotativo-18000-btus-220v-60hz-r22-r132h6b-?utm_source=google&amp;utm_medium=Shopping&amp;utm_campaign=compressor-rotativo-18000-btus-220v-60hz-r22-r132h6b-&amp;inStock&amp;parceiro=8962&amp;gclid=CjwKCAiAs92MBhAXEiwAXTi25zbClumDffpFnXMVMe_N_TLbGQXjEYAvsVr2xG5UvrLpauS7rtL6YxoCK_kQAvD_BwE" TargetMode="External"/><Relationship Id="rId254" Type="http://schemas.openxmlformats.org/officeDocument/2006/relationships/hyperlink" Target="https://www.americanas.com.br/produto/5975775244?pfm_carac=correiav-b-64&amp;pfm_index=4&amp;pfm_page=search&amp;pfm_pos=grid&amp;pfm_type=search_page&amp;offerId=632db9049064f2befb4bd8c0&amp;cor=Sortido&amp;condition=NEW" TargetMode="External"/><Relationship Id="rId375" Type="http://schemas.openxmlformats.org/officeDocument/2006/relationships/hyperlink" Target="https://www.vegamaquinas.com.br/arruela-lisa-5-16-nova-pr-12750-229827.htm?gclid=Cj0KCQiA5aWOBhDMARIsAIXLlkdnZDFaLlPdwL7vItlisYdwOkHCdtbJVTeBfQysdOSppVX7s-Ra4JYaAsdfEALw_wcB" TargetMode="External"/><Relationship Id="rId496" Type="http://schemas.openxmlformats.org/officeDocument/2006/relationships/hyperlink" Target="https://www.onlinepersianas.com.br/persiana-vertical-em-pvc-liso-sem-bando.868.html" TargetMode="External"/><Relationship Id="rId172" Type="http://schemas.openxmlformats.org/officeDocument/2006/relationships/hyperlink" Target="https://www.impactorefrigeracao.com.br/motor-ventilador-evaporador-25901158-ar-condicionado-30000-36000-btus-piso-teto-carrier-springer?utm_source=Site&amp;utm_medium=GoogleMerchant&amp;utm_campaign=GoogleMerchant" TargetMode="External"/><Relationship Id="rId293" Type="http://schemas.openxmlformats.org/officeDocument/2006/relationships/hyperlink" Target="https://www.kabum.com.br/produto/191907/controle-remoto-universal-eos-para-ar-condicionado-split-" TargetMode="External"/><Relationship Id="rId171" Type="http://schemas.openxmlformats.org/officeDocument/2006/relationships/hyperlink" Target="https://shopee.com.br/product/452104342/9360783714" TargetMode="External"/><Relationship Id="rId292" Type="http://schemas.openxmlformats.org/officeDocument/2006/relationships/hyperlink" Target="https://www.frigelar.com.br/controle-remoto-universal-eos-para-ar-condicionado-split/p/kit000687" TargetMode="External"/><Relationship Id="rId170" Type="http://schemas.openxmlformats.org/officeDocument/2006/relationships/hyperlink" Target="https://produto.mercadolivre.com.br/MLB-1949755638-motor-evaporadora-ar-midea-springer-rpg60b-30000-btus-_JM?matt_tool=36571132&amp;matt_word=&amp;matt_source=google&amp;matt_campaign_id=14303413676&amp;matt_ad_group_id=125984296077&amp;matt_match_type=&amp;matt_network=g&amp;matt_device=c&amp;matt_creative=539354956920&amp;matt_keyword=&amp;matt_ad_position=&amp;matt_ad_type=pla&amp;matt_merchant_id=114444202&amp;matt_product_id=MLB1949755638&amp;matt_product_partition_id=1639321648021&amp;matt_target_id=aud-315891067179:pla-1639321648021&amp;gclid=CjwKCAjwsMGYBhAEEiwAGUXJaflMoYmnV702_jB5PCyLYtyUqRogMo1BxVNl0V-jhGzmVYtLiArgFxoCG9AQAvD_BwE" TargetMode="External"/><Relationship Id="rId291" Type="http://schemas.openxmlformats.org/officeDocument/2006/relationships/hyperlink" Target="https://www.mksshop.com.br/pecas-eletrodomesticos/pecas-refrigerador/filtro-secador-eos-d-1870-com-ponteira-seco-34-70mm-e-14?parceiro=4410&amp;gclid=Cj0KCQjw08aYBhDlARIsAA_gb0eLtbYn2qDhOoCatpo_A4SL-PQ2BPlZVHMdN4WASmXjv_-kcH_PDX0aAtcFEALw_wcB" TargetMode="External"/><Relationship Id="rId290" Type="http://schemas.openxmlformats.org/officeDocument/2006/relationships/hyperlink" Target="https://www.eletronicalinhabranca.com.br/filtro-secador-de-cobre-medio-sem-rabicho-para-geladeira-refrigeracao" TargetMode="External"/><Relationship Id="rId165" Type="http://schemas.openxmlformats.org/officeDocument/2006/relationships/hyperlink" Target="https://produto.mercadolivre.com.br/MLB-1734761211-motor-evaporadora-7500-a-18000-btu-mideaspring-202400300137-_JM?matt_tool=18956390&amp;utm_source=google_shopping&amp;utm_medium=organic" TargetMode="External"/><Relationship Id="rId286" Type="http://schemas.openxmlformats.org/officeDocument/2006/relationships/hyperlink" Target="https://www.friopecas.com.br/detergente-desincrustante-profissional-jato-plus/p?idsku=108377&amp;gclid=CjwKCAiA4veMBhAMEiwAU4XRr-6A6Rkqkerd6d2rEXj6BYygi_ONJCaNQUugklAtoeaHh6zKM0JdixoC660QAvD_BwE" TargetMode="External"/><Relationship Id="rId164" Type="http://schemas.openxmlformats.org/officeDocument/2006/relationships/hyperlink" Target="https://www.lojaartech.com.br/motor-ventilador-evaporadora-ecologic-18000-btus-fria-e-quente-fria-elgin-?utm_source=google&amp;utm_medium=Shopping&amp;utm_campaign=motor-ventilador-evaporadora-ecologic-18000-btus-fria-e-quente-fria-elgin-&amp;inStock&amp;parceiro=8962&amp;gclid=Cj0KCQjw2eilBhCCARIsAG0Pf8uQNdVmIfrDGgCvp7sJsGVv7WJpicA7-73_MCTQKnDBKlf8dRvt6t8aAh0JEALw_wcB" TargetMode="External"/><Relationship Id="rId285" Type="http://schemas.openxmlformats.org/officeDocument/2006/relationships/hyperlink" Target="https://produto.mercadolivre.com.br/MLB-2969836079-filtro-y-112-polegada-lato-com-tela-de-aco-inox-emmeti-_JM" TargetMode="External"/><Relationship Id="rId163" Type="http://schemas.openxmlformats.org/officeDocument/2006/relationships/hyperlink" Target="https://www.eletrofrigor.com.br/motor-ventilador-evaporadora-ar-condicionado-split-lg-18-btus.html" TargetMode="External"/><Relationship Id="rId284" Type="http://schemas.openxmlformats.org/officeDocument/2006/relationships/hyperlink" Target="https://www.americanas.com.br/produto/3598142328?epar=bp_pl_00_go_pla_casaeconst_geral_gmv&amp;opn=YSMESP&amp;WT.srch=1&amp;gclid=CjwKCAiA4veMBhAMEiwAU4XRrw3QW9RkFo-FmBkVeND61iyED_sCX18-nxYHsYUKzSzVBe8AzZJ11xoCT_4QAvD_BwE" TargetMode="External"/><Relationship Id="rId162" Type="http://schemas.openxmlformats.org/officeDocument/2006/relationships/hyperlink" Target="https://www.americanas.com.br/produto/3597839271?epar=bp_pl_00_go_aa_pmax_geral&amp;opn=YSMESP&amp;WT.srch=1&amp;offerId=60fc395252131c3c819c83d1&amp;gclid=CjwKCAjwsMGYBhAEEiwAGUXJab-6K6HkBZUtfnKpfWZVmPESuQU9ChH2Iij8x-WeRwIO42pztTNIcRoCHZsQAvD_BwE" TargetMode="External"/><Relationship Id="rId283" Type="http://schemas.openxmlformats.org/officeDocument/2006/relationships/hyperlink" Target="https://www.lojaqualitytubos.com.br/valvula-filtro-y-em-latao-com-tela-inox-de-1-1-2-p999567?utm_source=google&amp;utm_medium=upc&amp;utm_campaign=qualitytubos&amp;gclid=CjwKCAiA4veMBhAMEiwAU4XRr0AXKaW3_IHwCKkfuIC098FWIzmIHVXts11ZM0oiLcBb7Ykc_kurmhoCn4UQAvD_BwE" TargetMode="External"/><Relationship Id="rId169" Type="http://schemas.openxmlformats.org/officeDocument/2006/relationships/hyperlink" Target="https://www.lojaartech.com.br/motor-condensadora-ecologic-24-e-30000-btus-elgin-ydk68-6e4-?utm_source=google&amp;utm_medium=Shopping&amp;utm_campaign=motor-condensadora-ecologic-24-e-30000-btus-elgin-ydk68-6e4-&amp;inStock&amp;parceiro=8962&amp;gclid=CjwKCAjwsMGYBhAEEiwAGUXJafbFdZwpMg-FODYMNPaO_Yydv2LQLHuG80GLAgufegaGdoYza9zssRoCdrEQAvD_BwE" TargetMode="External"/><Relationship Id="rId168" Type="http://schemas.openxmlformats.org/officeDocument/2006/relationships/hyperlink" Target="https://www.lojaartech.com.br/motor-ventilador-evaporadora-24000-btus-ecologic-elgin-1?utm_source=google&amp;utm_medium=Shopping&amp;utm_campaign=motor-ventilador-evaporadora-24000-btus-ecologic-elgin-1&amp;inStock&amp;parceiro=8962&amp;gclid=CjwKCAiAs92MBhAXEiwAXTi256CD7Ah-s8EpMUSS1q1aUn0KoqZIjRul-ksAovbkFWPL-rBVe9XE6RoCr5sQAvD_BwE" TargetMode="External"/><Relationship Id="rId289" Type="http://schemas.openxmlformats.org/officeDocument/2006/relationships/hyperlink" Target="https://www.embrar.com.br/filtro-secador-cobre-1-ponteira/p?idsku=12505" TargetMode="External"/><Relationship Id="rId167" Type="http://schemas.openxmlformats.org/officeDocument/2006/relationships/hyperlink" Target="https://www.impactorefrigeracao.com.br/motor-ventilador-evaporador-25901168-ar-condicionado-24000-btus-piso-teto-carrier-springer?utm_source=Site&amp;utm_medium=GoogleMerchant&amp;utm_campaign=GoogleMerchant" TargetMode="External"/><Relationship Id="rId288" Type="http://schemas.openxmlformats.org/officeDocument/2006/relationships/hyperlink" Target="https://www.samatec.com.br/detergente-profissional-desincrustante-jato-plus-metasil-/p?idsku=2003212" TargetMode="External"/><Relationship Id="rId166" Type="http://schemas.openxmlformats.org/officeDocument/2006/relationships/hyperlink" Target="https://www.norterefrigeracao.com.br/motor-ventilador-da-evaporadora-midea-carrier-12-18000btu-220v-ykfg?parceiro=6706" TargetMode="External"/><Relationship Id="rId287" Type="http://schemas.openxmlformats.org/officeDocument/2006/relationships/hyperlink" Target="https://www.multifrioshop.com/acessorios-ar-condicionado/higienizacao/metasil-jato-plus-detergente-desengraxante-5-litros?parceiro=2316&amp;gclid=CjwKCAiA4veMBhAMEiwAU4XRr3AaZmH0Z7TOgjb4AC4wtwuAzO5eD2OVI0WC0xIOgxI4ErmuAqA7GBoCZiIQAvD_BwE" TargetMode="External"/><Relationship Id="rId161" Type="http://schemas.openxmlformats.org/officeDocument/2006/relationships/hyperlink" Target="https://www.refritron.com.br/pecas-para-ar-condicionado-split-e-janela/motor-ventilador-evaporador/motor-ventilador-evaporador-hw-7-a-12k-springer-midea-carrier-admiral-rpg20b-ac-20w-220-240v60hz-202400300137?parceiro=7321" TargetMode="External"/><Relationship Id="rId282" Type="http://schemas.openxmlformats.org/officeDocument/2006/relationships/hyperlink" Target="https://www.irsa.com.br/6307-2z-c3-rolamentos-rigidos-de-esferas-skf?gclid=Cj0KCQjw2eilBhCCARIsAG0Pf8vkfb8WKCNqK5grLecv6fLk3wPcLuvffhDY65314cHJuGxC3C4vbTYaAmOkEALw_wcB" TargetMode="External"/><Relationship Id="rId160" Type="http://schemas.openxmlformats.org/officeDocument/2006/relationships/hyperlink" Target="https://www.magazineluiza.com.br/motor-ventilador-evaporadora-york-7-500-12-000-btu-h-220v-weg/p/fj959a5j88/ar/arvc/?&amp;seller_id=casarefriar&amp;utm_source=google&amp;utm_medium=pla&amp;utm_campaign=&amp;partner_id=69093&amp;gclid=CjwKCAjwsMGYBhAEEiwAGUXJaTjzS4VskUsXew_gZ5cyFLf82d392oIBTYFPZwwntFux-FUI4qJotxoCFCMQAvD_BwE&amp;gclsrc=aw.ds" TargetMode="External"/><Relationship Id="rId281" Type="http://schemas.openxmlformats.org/officeDocument/2006/relationships/hyperlink" Target="https://www.cofermeta.com.br/rolamentos/rolamentos/rigidos-de-esferas/rolamento-rigido-de-esferas-6307-skf?parceiro=9290" TargetMode="External"/><Relationship Id="rId280" Type="http://schemas.openxmlformats.org/officeDocument/2006/relationships/hyperlink" Target="https://www.corremol.com.br/rolamento-6307-zz-c3-nsk-35x80x21/p/5175?c=16&amp;t=22&amp;gclid=Cj0KCQjw2eilBhCCARIsAG0Pf8uxLTd-9ezwChL-ZEZtR24mdtqTBTRwu21QbNPjowfrgYlEFgtZG4waAjVDEALw_wcB" TargetMode="External"/><Relationship Id="rId159" Type="http://schemas.openxmlformats.org/officeDocument/2006/relationships/hyperlink" Target="https://www.ecpvendas.com.br/motores/motor-ventilador-condensadora-14cv-220v-36k-48k-60k-midea-springer-carrier-25901797?parceiro=1981" TargetMode="External"/><Relationship Id="rId154" Type="http://schemas.openxmlformats.org/officeDocument/2006/relationships/hyperlink" Target="https://produto.mercadolivre.com.br/MLB-2009765297-ventilador-da-condensadora-springer-midea-18-30000-25906088-_JM?matt_tool=18956390&amp;utm_source=google_shopping&amp;utm_medium=organic" TargetMode="External"/><Relationship Id="rId275" Type="http://schemas.openxmlformats.org/officeDocument/2006/relationships/hyperlink" Target="https://www.lojadomecanico.com.br/produto/129844/37/813/Correia-perfil-V-C-225-VONDER/153/?utm_source=googleshopping&amp;utm_campaign=xmlshopping&amp;utm_medium=cpc&amp;utm_content=129844" TargetMode="External"/><Relationship Id="rId396" Type="http://schemas.openxmlformats.org/officeDocument/2006/relationships/hyperlink" Target="https://www.frigelar.com.br/instalacao-ar-condicionado-split-high-wall-7000-a-14000-btus-so-frio-ou-quente-e-frio/p/fglinst08" TargetMode="External"/><Relationship Id="rId153" Type="http://schemas.openxmlformats.org/officeDocument/2006/relationships/hyperlink" Target="https://www.eletrofrigor.com.br/motor-ventilador-condensadora-ar-condicionado-springer-up-adimiral-11d-maxi-flex-way-comfee-carrier.html?gclid=CjwKCAiA4veMBhAMEiwAU4XRr1HiWiBsSE3VY-7xqsoPC_HcYTkAUzHoPRnL1STHUTES5uHmT1u_mhoCmnsQAvD_BwE" TargetMode="External"/><Relationship Id="rId274" Type="http://schemas.openxmlformats.org/officeDocument/2006/relationships/hyperlink" Target="https://www.ferramentaskennedy.com.br/100055617/correia-em-v-tipo-c225-ps-power-span?utm_source=google&amp;utm_medium=cpc&amp;utm_campaign=google_shop&amp;gclid=CjwKCAiA4veMBhAMEiwAU4XRr059oy_GUYKVP1_c_H_uCNneA7D6LwWKI_IS_r1601hi-6e7e7oD8xoC4moQAvD_BwE" TargetMode="External"/><Relationship Id="rId395" Type="http://schemas.openxmlformats.org/officeDocument/2006/relationships/hyperlink" Target="https://www.carrefour.com.br/instalacao_ar_condicionado_7_a_12_mil_btus_instar7x12/p" TargetMode="External"/><Relationship Id="rId152" Type="http://schemas.openxmlformats.org/officeDocument/2006/relationships/hyperlink" Target="https://www.magazineluiza.com.br/motor-ventilador-condensa-25906085-ar-split-springer-midea/p/gjdbf3cjg8/ar/arsp/?&amp;seller_id=olistplus" TargetMode="External"/><Relationship Id="rId273" Type="http://schemas.openxmlformats.org/officeDocument/2006/relationships/hyperlink" Target="https://www.cicampo.com.br/correia-multi-v-c-112-uso-industrial-vonder-plus?parceiro=8650" TargetMode="External"/><Relationship Id="rId394" Type="http://schemas.openxmlformats.org/officeDocument/2006/relationships/hyperlink" Target="https://www.multieletrica.com.br/eletrica/cabos-e-fios/eletricos/cabo-pp-1kv-3x1-5mm" TargetMode="External"/><Relationship Id="rId151" Type="http://schemas.openxmlformats.org/officeDocument/2006/relationships/hyperlink" Target="https://www.impactorefrigeracao.com.br/motor-ventilador-condensador-25906085-ar-condicionado-7500-12000-btus-carrier-springer-midea?utm_source=Site&amp;utm_medium=GoogleMerchant&amp;utm_campaign=GoogleMerchant&amp;gclid=Cj0KCQjw08aYBhDlARIsAA_gb0f455dUmEyLri5VLJJGL1dfwXFlSnsV1fa28IDxCk7l2UDGQ5S9Gn0aAl_XEALw_wcB" TargetMode="External"/><Relationship Id="rId272" Type="http://schemas.openxmlformats.org/officeDocument/2006/relationships/hyperlink" Target="https://www.fg.com.br/correia-perfil-v-c-112-circunferencia-interna-2845mm---vonder-inativo/p?idsku=1088704&amp;gclid=Cj0KCQjw2eilBhCCARIsAG0Pf8v3xsJKturAktx5Z1SMNRHZ1Qvw7-WOpHZBBjp_Fu7hk0-3N_hXaakaAhiaEALw_wcB" TargetMode="External"/><Relationship Id="rId393" Type="http://schemas.openxmlformats.org/officeDocument/2006/relationships/hyperlink" Target="https://www.ferramentaskennedy.com.br/100054666/cabo-flexivel-pp-com-3-condutores-15mm-500v-100m-megatron?gclid=Cj0KCQjwk96lBhDHARIsAEKO4xZ8U_uj2idCZc-bZFdJr3klA-aKw_kczDUgLSdRnor3ssBPXWIdRjIaAiQUEALw_wcB" TargetMode="External"/><Relationship Id="rId158" Type="http://schemas.openxmlformats.org/officeDocument/2006/relationships/hyperlink" Target="https://www.difusor.com.br/motor-ventilador-condensador-eletrico-ac-14cv-220v60hz-38cc364860k-25901797" TargetMode="External"/><Relationship Id="rId279" Type="http://schemas.openxmlformats.org/officeDocument/2006/relationships/hyperlink" Target="https://www.irsa.com.br/6209-c3-rolamentos-rigidos-de-esferas-skf?gclid=Cj0KCQjw2eilBhCCARIsAG0Pf8uHS-i5Gmb78VRRa1_KePep9fS8GaGRIcUYa7ZpMQTOy3NXXrIwxHwaAsBcEALw_wcB" TargetMode="External"/><Relationship Id="rId157" Type="http://schemas.openxmlformats.org/officeDocument/2006/relationships/hyperlink" Target="https://www.climanorte.com.br/pecas/motor-condensadora-springer-carrier-space-piso-teto-36-48-60-btus-220v-25901797-631?parceiro=5572&amp;srsltid=AeTuncpb9xmMgeVrpk1P_MfcJClH8g4mJ4bo-9hgmPco-r630dxFpa0wooQ" TargetMode="External"/><Relationship Id="rId278" Type="http://schemas.openxmlformats.org/officeDocument/2006/relationships/hyperlink" Target="https://www.shoptime.com.br/produto/10685566?epar=bp_pl_dr_go_ssccasaeconst_geral_gmv&amp;opn=GOOGLEXML&amp;WT.srch=1&amp;epar=bp_pl_dr_go_ssccasaeconst_geral_gmv&amp;utm_medium=buscappc&amp;utm_source=google&amp;utm_campaign=marca:shop%3Bmidia:buscappc%3Bformato:pla%3Bsubformato:dra%3Bidcampanha:ssccasaeconst_geral_gmv&amp;gclid=CjwKCAiA4veMBhAMEiwAU4XRr1TGlKy1j_yAzNPMDMpaoSbrfJ3XAQRcCAenotXZE6vA20RJQd3w_BoCvkIQAvD_BwE" TargetMode="External"/><Relationship Id="rId399" Type="http://schemas.openxmlformats.org/officeDocument/2006/relationships/hyperlink" Target="https://www.sodimac.com.br/sodimac-br/product/200000111/servi%C3%A7o-de-instala%C3%A7ao-de-ar-condicionado-ate-12000-btus-com-kit/200000111/" TargetMode="External"/><Relationship Id="rId156" Type="http://schemas.openxmlformats.org/officeDocument/2006/relationships/hyperlink" Target="https://www.climanorte.com.br/pecas/motor-condensadora-25906088-18000-a-30000-btus-midea-carrier?parceiro=5572&amp;srsltid=AeTuncqTvCNeDbQu99pVit62jqphSfPbNFKk4vtauhJtR6gPr2BcPT9YZBs" TargetMode="External"/><Relationship Id="rId277" Type="http://schemas.openxmlformats.org/officeDocument/2006/relationships/hyperlink" Target="https://www.meritocomercial.com.br/rolamento-rigido-de-esfera-6209-zz-c3-4001001003059-p1034797?utm_referrer=https%3A%2F%2Fwww.google.com%2F" TargetMode="External"/><Relationship Id="rId398" Type="http://schemas.openxmlformats.org/officeDocument/2006/relationships/hyperlink" Target="https://www.frigelar.com.br/instalacao-ar-condicionado-split-high-wall-7000-a-14000-btus-so-frio-ou-quente-e-frio/p/fglinst08" TargetMode="External"/><Relationship Id="rId155" Type="http://schemas.openxmlformats.org/officeDocument/2006/relationships/hyperlink" Target="https://www.totalar.net/produtos/motor-eletrico-ac-1-15-cv-220v-60hz-25906088/?pf=gs" TargetMode="External"/><Relationship Id="rId276" Type="http://schemas.openxmlformats.org/officeDocument/2006/relationships/hyperlink" Target="https://produto.mercadolivre.com.br/MLB-1816128573-correia-c-225-industrial-em-v-marca-rexon-_JM?matt_tool=30024720&amp;matt_word=&amp;matt_source=google&amp;matt_campaign_id=14302215585&amp;matt_ad_group_id=134553713028&amp;matt_match_type=&amp;matt_network=g&amp;matt_device=c&amp;matt_creative=539425529719&amp;matt_keyword=&amp;matt_ad_position=&amp;matt_ad_type=pla&amp;matt_merchant_id=338224392&amp;matt_product_id=MLB1816128573&amp;matt_product_partition_id=1800969656615&amp;matt_target_id=pla-1800969656615&amp;gclid=Cj0KCQjw8NilBhDOARIsAHzpbLCVSHRacE7ZIYUa1RmoRzBSlWkRf9J9WGh8qlU8E-iB5AmCP0trdosaAmHAEALw_wcB" TargetMode="External"/><Relationship Id="rId397" Type="http://schemas.openxmlformats.org/officeDocument/2006/relationships/hyperlink" Target="https://www.extra.com.br/instalacao-de-ar-condicionado-split-1519620735.html" TargetMode="External"/><Relationship Id="rId40" Type="http://schemas.openxmlformats.org/officeDocument/2006/relationships/hyperlink" Target="https://www.adrofecha.com.br/ferramentas-e-acessorios/manuais/fixacao/arruela-lisa-zincada?variant_id=623" TargetMode="External"/><Relationship Id="rId42" Type="http://schemas.openxmlformats.org/officeDocument/2006/relationships/hyperlink" Target="http://www.lojaeletrica.com.br/arruela-lisa-galvanizada-d-516,product,2250200000050,dept,0.aspx" TargetMode="External"/><Relationship Id="rId41" Type="http://schemas.openxmlformats.org/officeDocument/2006/relationships/hyperlink" Target="https://www.ccpvirtual.com.br/arruela-lisa-5-16-zincada/p" TargetMode="External"/><Relationship Id="rId44" Type="http://schemas.openxmlformats.org/officeDocument/2006/relationships/hyperlink" Target="https://produto.mercadolivre.com.br/MLB-2132030925-barra-roscada-unc-1-metro-x-12-galvanizada-1pc-_JM?matt_tool=18956390&amp;utm_source=google_shopping&amp;utm_medium=organic" TargetMode="External"/><Relationship Id="rId43" Type="http://schemas.openxmlformats.org/officeDocument/2006/relationships/hyperlink" Target="https://www.piresmartins.com.br/barra-rosqueada-1-2-pol-unc/p/1644/" TargetMode="External"/><Relationship Id="rId46" Type="http://schemas.openxmlformats.org/officeDocument/2006/relationships/hyperlink" Target="https://www.ferimport.com.br/rebite-de-repuxo-vonder-32-mm-x-6-mm/p?idsku=45975" TargetMode="External"/><Relationship Id="rId45" Type="http://schemas.openxmlformats.org/officeDocument/2006/relationships/hyperlink" Target="https://www.jhfer.com.br/barra-roscada-ferro-zincada-de-1-metro-1-2-polegada/p/445?c=16&amp;t=34" TargetMode="External"/><Relationship Id="rId509" Type="http://schemas.openxmlformats.org/officeDocument/2006/relationships/hyperlink" Target="https://www.extra.com.br/placa-central-x2-full-st-universal-marcas-comando-motor/p/1514256169" TargetMode="External"/><Relationship Id="rId508" Type="http://schemas.openxmlformats.org/officeDocument/2006/relationships/hyperlink" Target="https://www.upperseg.com.br/automatizadores/ipec/acessorios-ipec/central-de-comando-universal-x2-full-st-ipec-para-automatizadores/" TargetMode="External"/><Relationship Id="rId503" Type="http://schemas.openxmlformats.org/officeDocument/2006/relationships/hyperlink" Target="https://www.magazineluiza.com.br/plugue-macho-3-pinos-10a-90-graus-tomada-femea-3-pinos-20a-180-graus-preto-margirius/p/bj54401k5h/cj/mael/?&amp;seller_id=armazemsilvestre" TargetMode="External"/><Relationship Id="rId502" Type="http://schemas.openxmlformats.org/officeDocument/2006/relationships/hyperlink" Target="https://www.google.com/url?q=https://www.carrefour.com.br/plug-plugue-macho-90-graus-tomada-femea-3-pinos-20a-preto-mp910733308/p&amp;sa=U&amp;ved=0ahUKEwiigYjsgsL8AhUQupUCHZiLATUQgOUECHg&amp;usg=AOvVaw3MR5MoFvCg91kbiAsOI0-a" TargetMode="External"/><Relationship Id="rId501" Type="http://schemas.openxmlformats.org/officeDocument/2006/relationships/hyperlink" Target="https://www.americanas.com.br/produto/3092508767?opn=YSMESP&amp;offerId=6063d31a0c07044266226a3f&amp;srsltid=AeTuncrABEYJiumCAkKFYJYKOmc2K7PEMjfWCJ0BOcfXyiEPPjCeRyo7EqG" TargetMode="External"/><Relationship Id="rId500" Type="http://schemas.openxmlformats.org/officeDocument/2006/relationships/hyperlink" Target="https://www.magazineluiza.com.br/bulbo-led-60w-e27-alta-potencia-branco-frio-6500k-economico-bivolt-adaptador-e40-ye/p/ccjh9cd410/cj/lald/?&amp;seller_id=ilumirahled" TargetMode="External"/><Relationship Id="rId507" Type="http://schemas.openxmlformats.org/officeDocument/2006/relationships/hyperlink" Target="https://www.submarino.com.br/produto/2337335121?opn=XMLGOOGLE&amp;offerId=5f8e6dd733948c48c97b35d2" TargetMode="External"/><Relationship Id="rId506" Type="http://schemas.openxmlformats.org/officeDocument/2006/relationships/hyperlink" Target="https://www.submarino.com.br/produto/5462118214?opn=XMLGOOGLE&amp;offerId=62d7efe5d4af6a4f9429e978&amp;voltagem=127v&amp;condition=NEW" TargetMode="External"/><Relationship Id="rId505" Type="http://schemas.openxmlformats.org/officeDocument/2006/relationships/hyperlink" Target="https://www.megsegurancaeletronica.com.br/MLB-2704802759-kit-motor-ppa-dz-hub-legero-14hp-porto-deslizante-500kg-5m-_JM?variation=174756740495" TargetMode="External"/><Relationship Id="rId504" Type="http://schemas.openxmlformats.org/officeDocument/2006/relationships/hyperlink" Target="https://www.magazineluiza.com.br/kit-motor-ppa-dz-hub-legero-1-4cv-portao-deslizante-500kg-5m/p/ccjb3330b4/cj/aupo/?&amp;seller_id=megsegurancaeletronica" TargetMode="External"/><Relationship Id="rId48" Type="http://schemas.openxmlformats.org/officeDocument/2006/relationships/hyperlink" Target="https://www.dutramaquinas.com.br/p/rebite-de-repuxo-3-2-x-6-mm-embalagem-com-100-pecas-vd306-28-91-232-060" TargetMode="External"/><Relationship Id="rId47" Type="http://schemas.openxmlformats.org/officeDocument/2006/relationships/hyperlink" Target="https://shopee.com.br/Rebite-de-Repuxo-em-Alum%C3%ADnio-3-2mm-x-6-0mm--Preto-Pacote-com-100-pe%C3%A7as-Nove54-i.288121706.18028866313" TargetMode="External"/><Relationship Id="rId49" Type="http://schemas.openxmlformats.org/officeDocument/2006/relationships/hyperlink" Target="https://www.lojabrafer.com.br/rebite-repuxo-4-8-x-12-aluminio-natural-100-unidade/p/kit2059?c=5&amp;t=1018" TargetMode="External"/><Relationship Id="rId31" Type="http://schemas.openxmlformats.org/officeDocument/2006/relationships/hyperlink" Target="https://www.americanas.com.br/produto/3286608344?epar=bp_pl_00_go_pla_casaeconst_geral_gmv&amp;opn=YSMESP&amp;WT.srch=1&amp;gclid=CjwKCAiA5t-OBhByEiwAhR-hm8B8V83e7_ExUL2a31bC87gt-lIVWgG3Hr1xry-HcFYwQcULRjsx-hoCZz0QAvD_BwE" TargetMode="External"/><Relationship Id="rId30" Type="http://schemas.openxmlformats.org/officeDocument/2006/relationships/hyperlink" Target="https://produto.mercadolivre.com.br/MLB-1040083685-tubo-esponjoso-para-isolamento-de-tubulaco-de-cobre-58-_JM?matt_tool=18956390&amp;utm_source=google_shopping&amp;utm_medium=organic" TargetMode="External"/><Relationship Id="rId33" Type="http://schemas.openxmlformats.org/officeDocument/2006/relationships/hyperlink" Target="https://www.extra.com.br/tubo-isolante-elastomerico-armaflex-3-8-preto-esponjoso-c1brh010-1512726691/p/1512726691?utm_medium=cpc&amp;utm_source=GP_PLA&amp;IdSku=1512726691&amp;idLojista=14785&amp;utm_campaign=3P_ARVE_SSC&amp;gclid=CjwKCAiA5t-OBhByEiwAhR-hm9LkUfuq6fFUrAPx5FEZsT3r5C-pxaZxUJv-cGFTSjYgFO-HYzfyJBoC3xwQAvD_BwE" TargetMode="External"/><Relationship Id="rId32" Type="http://schemas.openxmlformats.org/officeDocument/2006/relationships/hyperlink" Target="https://www.casasbahia.com.br/tubo-isolante-elastomerico-armaflex-3-8-preto-esponjoso-c1brh010-1512726691/p/1512726691?utm_medium=Cpc&amp;utm_source=GP_PLA&amp;IdSku=1512726691&amp;idLojista=14785&amp;utm_campaign=3P_AllProducts_SSC&amp;gclid=CjwKCAiA5t-OBhByEiwAhR-hm3t2YZf4UHOpkJSYqk3tQxiUpndKXdx1Op6-JbdGgzwwAVOF72SZERoCFroQAvD_BwE" TargetMode="External"/><Relationship Id="rId35" Type="http://schemas.openxmlformats.org/officeDocument/2006/relationships/hyperlink" Target="https://www.eletrodex.net/acessorios/montagem/porcasparafusos/arruela-lisa?parceiro=2574" TargetMode="External"/><Relationship Id="rId34" Type="http://schemas.openxmlformats.org/officeDocument/2006/relationships/hyperlink" Target="https://www.eletrorastro.com.br/produto/arruela-lisa-zincada-1-4-com-100-unidades-manufaturado-85490" TargetMode="External"/><Relationship Id="rId37" Type="http://schemas.openxmlformats.org/officeDocument/2006/relationships/hyperlink" Target="https://www.piresmartins.com.br/arruela-lisa-3-8-pol-100-pecas/p" TargetMode="External"/><Relationship Id="rId36" Type="http://schemas.openxmlformats.org/officeDocument/2006/relationships/hyperlink" Target="https://www.artesana.com.br/produto/arruela-lisa-1-4-cento-65948" TargetMode="External"/><Relationship Id="rId39" Type="http://schemas.openxmlformats.org/officeDocument/2006/relationships/hyperlink" Target="https://www.artesana.com.br/produto/arruela-lisa-3-8-cento-65949?atributo=3/8%22:185" TargetMode="External"/><Relationship Id="rId38" Type="http://schemas.openxmlformats.org/officeDocument/2006/relationships/hyperlink" Target="https://www.eletrorastro.com.br/produto/arruela-lisa-zincado-3-8-com-100-host-parafusos-91186" TargetMode="External"/><Relationship Id="rId20" Type="http://schemas.openxmlformats.org/officeDocument/2006/relationships/hyperlink" Target="https://www.hidro.eco.br/3302-filtro-y?utm_source=Site&amp;utm_medium=GoogleMerchant&amp;utm_campaign=GoogleMerchant&amp;sku=HGN330208&amp;gclid=EAIaIQobChMIyteL-57H-gIVROZcCh0j5QSIEAQYBCABEgJVNPD_BwE" TargetMode="External"/><Relationship Id="rId22" Type="http://schemas.openxmlformats.org/officeDocument/2006/relationships/hyperlink" Target="https://www.terac.com.br/aluminio/aluminio-liso/aluminio-liso-esp-0-5mm-bobina-com-15m2" TargetMode="External"/><Relationship Id="rId21" Type="http://schemas.openxmlformats.org/officeDocument/2006/relationships/hyperlink" Target="https://www.hidraunet.com.br/filtro-y-tela-inox-112-polegada.html" TargetMode="External"/><Relationship Id="rId24" Type="http://schemas.openxmlformats.org/officeDocument/2006/relationships/hyperlink" Target="https://www.leroymerlin.com.br/bobina-aluminio-liso-0,50-x-1000mm-c--15m2-terac_1566973673" TargetMode="External"/><Relationship Id="rId23" Type="http://schemas.openxmlformats.org/officeDocument/2006/relationships/hyperlink" Target="https://www.totalisolamentos.com.br/aluminio/aluminio-liso/bobinas/aluminio-liso-em-bobina-espessura-0-5mm-rolo-15m2" TargetMode="External"/><Relationship Id="rId409" Type="http://schemas.openxmlformats.org/officeDocument/2006/relationships/hyperlink" Target="https://www.magazineluiza.com.br/instalacao-de-ar-condicionado-split-piso-teto-de-12000-a-36000-btus-isnow/p/6536069/se/otse/" TargetMode="External"/><Relationship Id="rId404" Type="http://schemas.openxmlformats.org/officeDocument/2006/relationships/hyperlink" Target="https://www.vitorarcondicionado.com.br/instalac-o-ar-condicionado-hi-wall-24000-btus.html" TargetMode="External"/><Relationship Id="rId525" Type="http://schemas.openxmlformats.org/officeDocument/2006/relationships/hyperlink" Target="https://www.leroymerlin.com.br/kit-porteiro-eletronico-residencial-ipr-8010-intelbras_89821200?region=grande_sao_paulo" TargetMode="External"/><Relationship Id="rId403" Type="http://schemas.openxmlformats.org/officeDocument/2006/relationships/hyperlink" Target="https://www.extra.com.br/instalacao-de-ar-condicionado-split-1519621108.html" TargetMode="External"/><Relationship Id="rId524" Type="http://schemas.openxmlformats.org/officeDocument/2006/relationships/hyperlink" Target="https://www.mercadolivre.com.br/escada-de-aluminio-marinheiro-200-m/p/MLB21464037?pdp_filters=category:MLB1500" TargetMode="External"/><Relationship Id="rId402" Type="http://schemas.openxmlformats.org/officeDocument/2006/relationships/hyperlink" Target="https://www.leveros.com.br/3000001206-instalacao-5m-split-hw-15k-a-19k-leveros/p?idsku=2011973" TargetMode="External"/><Relationship Id="rId523" Type="http://schemas.openxmlformats.org/officeDocument/2006/relationships/hyperlink" Target="https://www.magazineluiza.com.br/reparo-valvula-hydra-2550-max-original-dn32-dn40-4686-325/p/gkd1g95bga/cj/repd/?&amp;seller_id=basforte" TargetMode="External"/><Relationship Id="rId401" Type="http://schemas.openxmlformats.org/officeDocument/2006/relationships/hyperlink" Target="https://www.frigelar.com.br/instalacao-ar-condicionado-split-high-wall-15000-a-24000-btus-so-frio-ou-quente-e-frio/p/fglinst10" TargetMode="External"/><Relationship Id="rId522" Type="http://schemas.openxmlformats.org/officeDocument/2006/relationships/hyperlink" Target="https://www.americanas.com.br/produto/5083328529?opn=YSMESP&amp;offerId=627d904787c00289c24b4058&amp;srsltid=AeTuncr1ClwNUekx6VSSZtQvmxuiD3bk4iT8oMuXHjmiKA11A_lQhRrOeGI" TargetMode="External"/><Relationship Id="rId408" Type="http://schemas.openxmlformats.org/officeDocument/2006/relationships/hyperlink" Target="https://www.extra.com.br/instalacao-de-ar-condicionado-split-1519621108.html" TargetMode="External"/><Relationship Id="rId529" Type="http://schemas.openxmlformats.org/officeDocument/2006/relationships/hyperlink" Target="https://www.extra.com.br/agua-sanitaria-ype-com-cloro-ativo-galao-5-l-triplo-beneficio-alveja-desinfeta-bactericida-1522715077/p/1522715077?utm_medium=cpc&amp;utm_source=google_freelisting&amp;IdSku=1522715077&amp;idLojista=160945&amp;tipoLojista=3P" TargetMode="External"/><Relationship Id="rId407" Type="http://schemas.openxmlformats.org/officeDocument/2006/relationships/hyperlink" Target="https://loja.ambientair.com.br/instalacao-split-hi-wall-inverter-de-30000-btus-frio-ate-3-metros-copy-367-/p" TargetMode="External"/><Relationship Id="rId528" Type="http://schemas.openxmlformats.org/officeDocument/2006/relationships/hyperlink" Target="https://www.superpaguemenos.com.br/agua-sanitaria-ype-5l/p?googleshopping=1" TargetMode="External"/><Relationship Id="rId406" Type="http://schemas.openxmlformats.org/officeDocument/2006/relationships/hyperlink" Target="https://www.frigelar.com.br/instalacao-ar-condicionado-split-high-wall-15000-a-24000-btus-so-frio-ou-quente-e-frio/p/fglinst10" TargetMode="External"/><Relationship Id="rId527" Type="http://schemas.openxmlformats.org/officeDocument/2006/relationships/hyperlink" Target="https://www.kabum.com.br/produto/197810/porteiro-residencial-intelbras-ipr-8010-4521010?srsltid=AeTuncqMQTCNlNuMOvtiF0INupOuuuJuszAsc4jAuNw7K2Ckc-f8BG35Gpo" TargetMode="External"/><Relationship Id="rId405" Type="http://schemas.openxmlformats.org/officeDocument/2006/relationships/hyperlink" Target="https://www.extra.com.br/instalacao-de-ar-condicionado-split-1519621108.html" TargetMode="External"/><Relationship Id="rId526" Type="http://schemas.openxmlformats.org/officeDocument/2006/relationships/hyperlink" Target="https://www.kalunga.com.br/prod/porteiro-eletronico-residencial-ipr-8010-4521010-intelbras-cx-1-un/144277" TargetMode="External"/><Relationship Id="rId26" Type="http://schemas.openxmlformats.org/officeDocument/2006/relationships/hyperlink" Target="https://www.chillerpecas.com.br/produtos/termometro-capela-reto-50mm-range-de-0-a-50c/?pf=gs&amp;variant=483815218&amp;gclid=CjwKCAjwtuOlBhBREiwA7agf1jwcOqG_Vqt34pq-CtTBxRATUWHbmnjVC-I2D7EKe4wbf2WmH6UD6xoCvpgQAvD_BwE" TargetMode="External"/><Relationship Id="rId25" Type="http://schemas.openxmlformats.org/officeDocument/2006/relationships/hyperlink" Target="https://www.madeiramadeira.com.br/termometro-capela-angular-0-a-50-graus-haste-50mm-718340995.html?index=prod-poc-madeira" TargetMode="External"/><Relationship Id="rId28" Type="http://schemas.openxmlformats.org/officeDocument/2006/relationships/hyperlink" Target="https://www.friopecas.com.br/isolante-elastomerico-armaflex-5-8-19-15-preto/p?idsku=144701&amp;gclid=Cj0KCQjw08aYBhDlARIsAA_gb0evovqp1ZuoZo0aK0MB0Nf-twfFiYLKn3QDBPfXxIdcGMGBH_StrnQaAryJEALw_wcB" TargetMode="External"/><Relationship Id="rId27" Type="http://schemas.openxmlformats.org/officeDocument/2006/relationships/hyperlink" Target="https://www.frioshopping.com/ferramentas/termometro/termometro-capela-reto-0-a-50-graus-haste-50mm" TargetMode="External"/><Relationship Id="rId400" Type="http://schemas.openxmlformats.org/officeDocument/2006/relationships/hyperlink" Target="https://www.webcontinental.com.br/servi%C3%A7o-de-instala%C3%A7%C3%A3o-de-ar-condicionado-split-hi-wall-de-7000-a-12000-btus/product/58939" TargetMode="External"/><Relationship Id="rId521" Type="http://schemas.openxmlformats.org/officeDocument/2006/relationships/hyperlink" Target="https://www.benzolimp.com.br/lixeira-coleta-seletiva-tampa-frontal-com-poste---50l---cor-verde" TargetMode="External"/><Relationship Id="rId29" Type="http://schemas.openxmlformats.org/officeDocument/2006/relationships/hyperlink" Target="https://www.americanas.com.br/produto/1287590625?epar=bp_pl_00_go_cc_d_9100_n_comp_tk1&amp;opn=YSMESP&amp;WT.srch=1&amp;offerId=619e6a5dd9fd6edeec25d1a3&amp;gclid=Cj0KCQjw08aYBhDlARIsAA_gb0e8BEGkreTsCKN-TbB8D7SfaFRADJWRejWgE7dNh7OGwTyERBCnB-AaAlbdEALw_wcB" TargetMode="External"/><Relationship Id="rId520" Type="http://schemas.openxmlformats.org/officeDocument/2006/relationships/hyperlink" Target="https://www.simmsuprimentos.com.br/lixeira-para-coleta-seletiva-azul--papeis--boca-de-lobo-com-poste-50-litros-jsn-5959/p?idsku=1977" TargetMode="External"/><Relationship Id="rId11" Type="http://schemas.openxmlformats.org/officeDocument/2006/relationships/hyperlink" Target="https://safetytrab.com.br/produto/camisa-com-refletivo-para-eletricista-nr10-cinza-maicol-ca-44108/?attribute_tamanhos=P&amp;utm_source=Google%20Shopping_Feed_Pro&amp;utm_campaign=Google_Feed_Pro&amp;utm_medium=cpc_Feed_Pro&amp;utm_term=43072&amp;gclid=CjwKCAjwtuOlBhBREiwA7agf1ji7XT78ie78_WfItqu9LJpf5ddIh7FZAPfPJxyNmUClET7e87V4nRoCg34QAvD_BwE" TargetMode="External"/><Relationship Id="rId10" Type="http://schemas.openxmlformats.org/officeDocument/2006/relationships/hyperlink" Target="https://www.netepi.com.br/vestimentas-de-seguranca/roupa-para-arco-eletrico/camisa-eletricista-commanders-nr-10-frcotton-cinza-chumbo-com-faixa-c-a-41836?variant_id=919&amp;parceiro=2479&amp;gclid=CjwKCAjwtuOlBhBREiwA7agf1iW0mM1k-y-EhjT7-4TU-fgcoPETeqf1spG6Zlb2xch807BytvNg4xoC80MQAvD_BwE" TargetMode="External"/><Relationship Id="rId13" Type="http://schemas.openxmlformats.org/officeDocument/2006/relationships/hyperlink" Target="https://produto.mercadolivre.com.br/MLB-2678462949-kit-conjunto-uniforme-jaleco-camisa-calca-brim-empresas-_JM?matt_tool=74052327&amp;matt_word=&amp;matt_source=google&amp;matt_campaign_id=14302214850&amp;matt_ad_group_id=124787834046&amp;matt_match_type=&amp;matt_network=g&amp;matt_device=c&amp;matt_creative=539425483915&amp;matt_keyword=&amp;matt_ad_position=&amp;matt_ad_type=pla&amp;matt_merchant_id=684966194&amp;matt_product_id=MLB2678462949-174644335349&amp;matt_product_partition_id=1799330811973&amp;matt_target_id=aud-387561341739:pla-1799330811973&amp;gclid=Cj0KCQiA8aOeBhCWARIsANRFrQHf5BH_GTaNPigDSPNcn3nV8sWzn10PfpJgK380qmWAUa0aYcfEqzYaAkuOEALw_wcB" TargetMode="External"/><Relationship Id="rId12" Type="http://schemas.openxmlformats.org/officeDocument/2006/relationships/hyperlink" Target="https://lojazeusdobrasil.com.br/produtos/detalhes/camisa-eletricista-nr10-risco-2-cinza-claro-classe-1-e-2-com-refletivo-laranja/?gclid=Cj0KCQiAq7COBhC2ARIsANsPATGTcAez0_dyIm24q8_J7AFShxn5ToZMp1N-3xJFvrGG0f7wURxKce4aAtkTEALw_wcB" TargetMode="External"/><Relationship Id="rId519" Type="http://schemas.openxmlformats.org/officeDocument/2006/relationships/hyperlink" Target="https://jwseufornecedor.lojaintegrada.com.br/lixeira-individual-para-coleta-seletiva-50l-com-poste?utm_source=Site&amp;utm_medium=GoogleMerchant&amp;utm_campaign=GoogleMerchant&amp;sku=ST8c" TargetMode="External"/><Relationship Id="rId514" Type="http://schemas.openxmlformats.org/officeDocument/2006/relationships/hyperlink" Target="https://www.leroymerlin.com.br/fechadura-eletronica-digital-de-embutir-acionada-por-cartao-senha-fr320-intelbras_89416901?region=grande_sao_paulo" TargetMode="External"/><Relationship Id="rId513" Type="http://schemas.openxmlformats.org/officeDocument/2006/relationships/hyperlink" Target="https://www.submarino.com.br/produto/134374833?opn=XMLGOOGLE&amp;offerId=5cf056736d4819e8b18a6aaf&amp;voltagem=BIVOLT&amp;condition=NEW" TargetMode="External"/><Relationship Id="rId512" Type="http://schemas.openxmlformats.org/officeDocument/2006/relationships/hyperlink" Target="https://www.tramontina.com.br/canaleta-20-x-10-x-2000-mm-tramontina-branca-sem-divisoria-com-cinta-dupla-face/57300118.html" TargetMode="External"/><Relationship Id="rId511" Type="http://schemas.openxmlformats.org/officeDocument/2006/relationships/hyperlink" Target="https://www.pontofrio.com.br/Utilidades-Domesticas/AcessorioseUtensilios/AcessoriosDeCozinha/canaleta-20x10x2000-mm-sem-divisoria-tramontina-branca-1518194711.html?IdSku=1518194711?utm_source=google_freelisting" TargetMode="External"/><Relationship Id="rId518" Type="http://schemas.openxmlformats.org/officeDocument/2006/relationships/hyperlink" Target="https://www.casasbahia.com.br/material-construcao/eletrica-casa/TomadasePlacas/plugue-macho-2p-t-20-a-250-v-tramontina-preto-1530709851.html?IdSku=1530709851?utm_source=google_freelisting" TargetMode="External"/><Relationship Id="rId517" Type="http://schemas.openxmlformats.org/officeDocument/2006/relationships/hyperlink" Target="https://www.magazineluiza.com.br/plugue-macho-2p-t-250-v-20-a-tramontina-preto/p/cj2gfad20g/cj/plad/?&amp;seller_id=expresso102" TargetMode="External"/><Relationship Id="rId516" Type="http://schemas.openxmlformats.org/officeDocument/2006/relationships/hyperlink" Target="https://www.carrefour.com.br/plugue-macho-2pt-250-v-20-a-tramontina-preto-tramontina-mp920893715/p" TargetMode="External"/><Relationship Id="rId515" Type="http://schemas.openxmlformats.org/officeDocument/2006/relationships/hyperlink" Target="https://www.amazon.com.br/Fechadura-Digital-Intelbras-FR-320/dp/B0757143NG?source=ps-sl-shoppingads-lpcontext&amp;ref_=fplfs&amp;psc=1&amp;smid=A1ZZFT5FULY4LN" TargetMode="External"/><Relationship Id="rId15" Type="http://schemas.openxmlformats.org/officeDocument/2006/relationships/hyperlink" Target="https://www.magazineluiza.com.br/conjunto-brim-camisa-manga-longa-e-calca-azul-triane-roupas-funcionais/p/bk9165fe4d/pi/undo/" TargetMode="External"/><Relationship Id="rId14" Type="http://schemas.openxmlformats.org/officeDocument/2006/relationships/hyperlink" Target="https://www.hmloja.com.br/conjunto-brim-uniforme-profissional-manga-longa-azul-marinho" TargetMode="External"/><Relationship Id="rId17" Type="http://schemas.openxmlformats.org/officeDocument/2006/relationships/hyperlink" Target="https://www.casasbahia.com.br/jaqueta-masculina-microfibra-malwee-1533931154/p/1533931154?utm_medium=Cpc&amp;utm_source=google_freelisting&amp;IdSku=1533931154&amp;idLojista=100218&amp;tipoLojista=3P" TargetMode="External"/><Relationship Id="rId16" Type="http://schemas.openxmlformats.org/officeDocument/2006/relationships/hyperlink" Target="https://www.netshoes.com.br/jaqueta-masculina-microfibra-malwee-cinza-E86-6256-010?campaign=gglepqpla&amp;srsltid=AeTuncqY5CATyPtaMGsrCg812fVqKfI-n7Ufnvlo0skNgG9-EjnGmyoHSs8" TargetMode="External"/><Relationship Id="rId19" Type="http://schemas.openxmlformats.org/officeDocument/2006/relationships/hyperlink" Target="https://www.americanas.com.br/produto/50360444?epar=bp_pl_00_go_pla_casaeconst_geral_gmv&amp;opn=YSMESP&amp;WT.srch=1&amp;gclid=CjwKCAiA5t-OBhByEiwAhR-hmz0EkP_eZ0_bE8k59PDX0cOrwYAQaSCnUFiQOUf4eC0OVeqn_IY5NxoCkkIQAvD_BwE" TargetMode="External"/><Relationship Id="rId510" Type="http://schemas.openxmlformats.org/officeDocument/2006/relationships/hyperlink" Target="https://www.americanas.com.br/produto/5009899761?opn=YSMESP&amp;offerId=626c399587c00289c2f48f6b&amp;srsltid=AeTuncrPJXISiJMoP_jA641sDCCZLYNYGvjJ3jYYm_vvP2zhSbMwICkKkE8" TargetMode="External"/><Relationship Id="rId18" Type="http://schemas.openxmlformats.org/officeDocument/2006/relationships/hyperlink" Target="https://www.pontofrio.com.br/jaqueta-masculina-microfibra-malwee-1533931154/p/1533931154?utm_medium=cpc&amp;utm_source=google_freelisting&amp;IdSku=1533931154&amp;idLojista=100218&amp;tipoLojista=3P" TargetMode="External"/><Relationship Id="rId84" Type="http://schemas.openxmlformats.org/officeDocument/2006/relationships/hyperlink" Target="https://produto.mercadolivre.com.br/MLB-2725065874-oleo-lubrificante-engrenagem-sae-90-lubrax-gl-5-20-litros-_JM?matt_tool=18956390&amp;utm_source=google_shopping&amp;utm_medium=organic" TargetMode="External"/><Relationship Id="rId83" Type="http://schemas.openxmlformats.org/officeDocument/2006/relationships/hyperlink" Target="https://www.magazineluiza.com.br/oleo-lubrificante-mineral-sae-90-api-gl-5-thor-1-litro/p/ha7dc101hh/au/lbau/" TargetMode="External"/><Relationship Id="rId86" Type="http://schemas.openxmlformats.org/officeDocument/2006/relationships/hyperlink" Target="https://vemkitem.com/produto/parafuso-com-porca-cabeca-sextavado-5-16-x-3/" TargetMode="External"/><Relationship Id="rId85" Type="http://schemas.openxmlformats.org/officeDocument/2006/relationships/hyperlink" Target="https://www.jofepar.com.br/parafuso-sextavado-ferro-unc-rosca-parcial-5-16-x-3-p619" TargetMode="External"/><Relationship Id="rId88" Type="http://schemas.openxmlformats.org/officeDocument/2006/relationships/hyperlink" Target="https://www.friopecas.com.br/detergente-desincrustante-profissional-jato-plus/p?idsku=108377&amp;gclid=CjwKCAiA4veMBhAMEiwAU4XRr-6A6Rkqkerd6d2rEXj6BYygi_ONJCaNQUugklAtoeaHh6zKM0JdixoC660QAvD_BwE" TargetMode="External"/><Relationship Id="rId87" Type="http://schemas.openxmlformats.org/officeDocument/2006/relationships/hyperlink" Target="https://produto.mercadolivre.com.br/MLB-1764067971-parafuso-sextavado-rosca-parcial-516-x-3-zincado-20-pcs-_JM?matt_tool=18956390&amp;utm_source=google_shopping&amp;utm_medium=organic" TargetMode="External"/><Relationship Id="rId89" Type="http://schemas.openxmlformats.org/officeDocument/2006/relationships/hyperlink" Target="https://www.multifrioshop.com/acessorios-ar-condicionado/higienizacao/metasil-jato-plus-detergente-desengraxante-5-litros?parceiro=2316&amp;gclid=CjwKCAiA4veMBhAMEiwAU4XRr3AaZmH0Z7TOgjb4AC4wtwuAzO5eD2OVI0WC0xIOgxI4ErmuAqA7GBoCZiIQAvD_BwE" TargetMode="External"/><Relationship Id="rId80" Type="http://schemas.openxmlformats.org/officeDocument/2006/relationships/hyperlink" Target="https://www.embrar.com.br/manta-isolamento-branca/p?idsku=14496" TargetMode="External"/><Relationship Id="rId82" Type="http://schemas.openxmlformats.org/officeDocument/2006/relationships/hyperlink" Target="https://www.jocar.com.br/produto/703297-oleo-do-cambio-texaco-universal-ep-sae-90-1-litro-703297/?ORG=4&amp;gclid=CjwKCAiAz--OBhBIEiwAG1rIOlaJ2unxUkn2D2eF71Sd8Eiv5SC_PYg1l7m5R9dK_T2psOjusjyq8xoCVDQQAvD_BwE" TargetMode="External"/><Relationship Id="rId81" Type="http://schemas.openxmlformats.org/officeDocument/2006/relationships/hyperlink" Target="https://produto.mercadolivre.com.br/MLB-2704500315-manta-filtrante-poliester-g3-g4-cabine-pintura-ar-cond10x15-_JM?matt_tool=18956390&amp;utm_source=google_shopping&amp;utm_medium=organic" TargetMode="External"/><Relationship Id="rId73" Type="http://schemas.openxmlformats.org/officeDocument/2006/relationships/hyperlink" Target="https://www.hiperfer.com.br/porca-sextavada-3-8-zincada-rosca-unc-caixa-com-100-pecas-ciser?utm_source=google&amp;utm_medium=Shopping&amp;utm_campaign=porca-sextavada-3-8-zincada-rosca-unc-caixa-com-100-pecas-ciser&amp;inStock" TargetMode="External"/><Relationship Id="rId72" Type="http://schemas.openxmlformats.org/officeDocument/2006/relationships/hyperlink" Target="https://www.artesana.com.br/produto/porca-sextavada-1-4-cento-65978?utm_source=&amp;utm_medium=&amp;utm_campaign=" TargetMode="External"/><Relationship Id="rId75" Type="http://schemas.openxmlformats.org/officeDocument/2006/relationships/hyperlink" Target="https://imperatrizimportados.com.br/produto/porca-sextavada-galvanizada-3-8-chave-9-16-100-pecas/" TargetMode="External"/><Relationship Id="rId74" Type="http://schemas.openxmlformats.org/officeDocument/2006/relationships/hyperlink" Target="https://www.caselar.com.br/produtos/ver/3096/porca-sext-unc-3-8-zb-cento--tracking-google-shopping?gclid=CjwKCAiA5t-OBhByEiwAhR-hmxRC6hV0OkSvqysNtI3Fh1pRcbPc2LTeiedh1Sr9-VYnJnR_0uOjMxoC3sAQAvD_BwE" TargetMode="External"/><Relationship Id="rId77" Type="http://schemas.openxmlformats.org/officeDocument/2006/relationships/hyperlink" Target="https://www.rota166.com.br/lencol-borracha-3-2mm-de-espessura-x-1-00-metro-largura-com-lona-orion?parceiro=4956&amp;gad=1&amp;gclid=Cj0KCQjw2eilBhCCARIsAG0Pf8sT-AxGvPkD0b0bVVYspvkzdGcH6H7nnG4wGRU8SD3ObO-htnKum0MaAqIeEALw_wcB" TargetMode="External"/><Relationship Id="rId76" Type="http://schemas.openxmlformats.org/officeDocument/2006/relationships/hyperlink" Target="https://www.piatatem.com.br/lencol-de-borracha-3-2-mm-espessura-x-1-metro-de-largura--vendido-por-metro----orion-51740664?parceiro=5635&amp;srsltid=ASuE1wTUBlfX11Xb9HyKgXFCdH-PG1N04JUkGEZ5gdYgayKceAi9c7FfAj0" TargetMode="External"/><Relationship Id="rId79" Type="http://schemas.openxmlformats.org/officeDocument/2006/relationships/hyperlink" Target="https://www.magazineluiza.com.br/manta-filtrante-poliester-p-cabines-de-pintura-e-ar-5x1m-ags-filtros/p/da3ka0dg8k/pi/mpsu/?&amp;seller_id=agsfiltros" TargetMode="External"/><Relationship Id="rId78" Type="http://schemas.openxmlformats.org/officeDocument/2006/relationships/hyperlink" Target="https://www.magazineluiza.com.br/lencol-borracha-orion-natural-nr1087-32mm-10mm-10-metros/p/jk3j13e531/fs/mtdb/?seller_id=sodivel&amp;region_id=123473&amp;utm_source=google&amp;utm_medium=pla&amp;utm_campaign=&amp;partner_id=69098&amp;gclid=Cj0KCQjwiIOmBhDjARIsAP6YhSW2aDvHCqPLLUMypi-qh3TRcc9DytVb3pPzoRe6kvBEfb0ET4Co3bMaAtJkEALw_wcB&amp;gclsrc=aw.ds" TargetMode="External"/><Relationship Id="rId71" Type="http://schemas.openxmlformats.org/officeDocument/2006/relationships/hyperlink" Target="https://www.leroymerlin.com.br/porca-sextavada-zincada-1-4--com-100-pecas_1567002571" TargetMode="External"/><Relationship Id="rId70" Type="http://schemas.openxmlformats.org/officeDocument/2006/relationships/hyperlink" Target="https://www.artesana.com.br/produto/porca-sextavada-1-4-cento-65978" TargetMode="External"/><Relationship Id="rId62" Type="http://schemas.openxmlformats.org/officeDocument/2006/relationships/hyperlink" Target="https://www.jofepar.com.br/parafuso-sextavado-ferro-ww-rosca-parcial-1-2-x-4-p578" TargetMode="External"/><Relationship Id="rId61" Type="http://schemas.openxmlformats.org/officeDocument/2006/relationships/hyperlink" Target="https://www.parafusofacil.com.br/ProdutosDetalhes.php?Codigo=1097058&amp;gad=1&amp;gclid=Cj0KCQjw2eilBhCCARIsAG0Pf8tKz133H8TlGPDXIb_cNXRPdnGEkbmvs6PTWbEI8f6axcEUVe0FuaUaAuX0EALw_wcB" TargetMode="External"/><Relationship Id="rId64" Type="http://schemas.openxmlformats.org/officeDocument/2006/relationships/hyperlink" Target="https://www.lojacocamar.com.br/parafuso-sextavado-rosca-parcial-10mm-x-40mm/p?idsku=2561" TargetMode="External"/><Relationship Id="rId63" Type="http://schemas.openxmlformats.org/officeDocument/2006/relationships/hyperlink" Target="https://www.ccpvirtual.com.br/parafuso-sextavado-de-ferro-rosca-parcial-1-2-12-x-4-bsw-zincado/p" TargetMode="External"/><Relationship Id="rId66" Type="http://schemas.openxmlformats.org/officeDocument/2006/relationships/hyperlink" Target="https://www.jofepar.com.br/parafuso-latao-sextavado-1-4-x-3-4-p3762" TargetMode="External"/><Relationship Id="rId65" Type="http://schemas.openxmlformats.org/officeDocument/2006/relationships/hyperlink" Target="https://www.jofepar.com.br/parafuso-inox-304-sextavado-rosca-inteira-unc-1-4-x-2-1-2-p4082?gclid=Cj0KCQjw08aYBhDlARIsAA_gb0cwK46Kl3IL-d85emEtiAC263NvBv3rSstkTGMwYbVG1svYkdEEfmcaApXBEALw_wcB" TargetMode="External"/><Relationship Id="rId68" Type="http://schemas.openxmlformats.org/officeDocument/2006/relationships/hyperlink" Target="https://www.lojabrafer.com.br/parafuso-sextavado-3-8-x-1-1-4-rosca-inteira-zincado-branco/p/564?c=1&amp;t=286" TargetMode="External"/><Relationship Id="rId67" Type="http://schemas.openxmlformats.org/officeDocument/2006/relationships/hyperlink" Target="https://www.jofepar.com.br/parafuso-sextavado-ferro-unc-rosca-inteira-3-8-x-1-1-4-p563" TargetMode="External"/><Relationship Id="rId60" Type="http://schemas.openxmlformats.org/officeDocument/2006/relationships/hyperlink" Target="https://www.anhangueraferramentas.com.br/produto/chumbador-cbv-com-prisioneiro-5-16-2921516750-vonder-111802" TargetMode="External"/><Relationship Id="rId69" Type="http://schemas.openxmlformats.org/officeDocument/2006/relationships/hyperlink" Target="https://www.parafusofacil.com.br/ProdutosDetalhes.php?Codigo=1097229" TargetMode="External"/><Relationship Id="rId51" Type="http://schemas.openxmlformats.org/officeDocument/2006/relationships/hyperlink" Target="https://produto.mercadolivre.com.br/MLB-2131568447-rebite-repuxo-48-x-12-aluminio-natural-100-unidade-_JM?matt_tool=18956390&amp;utm_source=google_shopping&amp;utm_medium=organic" TargetMode="External"/><Relationship Id="rId50" Type="http://schemas.openxmlformats.org/officeDocument/2006/relationships/hyperlink" Target="https://www.magazineluiza.com.br/rebite-de-repuxo-em-aluminio-de-4-x-8-mm-100-unidades-royal/p/gbja7hf741/fs/rebr/?&amp;seller_id=royalmaquinas" TargetMode="External"/><Relationship Id="rId53" Type="http://schemas.openxmlformats.org/officeDocument/2006/relationships/hyperlink" Target="https://www.americanas.com.br/produto/3248014027?epar=bp_pl_00_go_pla_casaeconst_geral_gmv&amp;opn=YSMESP&amp;WT.srch=1&amp;gclid=CjwKCAiA5t-OBhByEiwAhR-hmx4JmvpAFAgKITRO049OqfN5enO7SD68vDqhxPIjHklrXKRFDuihZhoCM5YQAvD_BwE" TargetMode="External"/><Relationship Id="rId52" Type="http://schemas.openxmlformats.org/officeDocument/2006/relationships/hyperlink" Target="https://produto.mercadolivre.com.br/MLB-2147356561-rebite-repuxo-de-aluminio-40x160mm-mandril-aco-com-100-pec-_JM?matt_tool=54307261&amp;matt_word=&amp;matt_source=google&amp;matt_campaign_id=14302215582&amp;matt_ad_group_id=134553712748&amp;matt_match_type=&amp;matt_network=g&amp;matt_device=c&amp;matt_creative=539425529704&amp;matt_keyword=&amp;matt_ad_position=&amp;matt_ad_type=pla&amp;matt_merchant_id=110843732&amp;matt_product_id=MLB2147356561&amp;matt_product_partition_id=1402510728900&amp;matt_target_id=aud-315891067339:pla-1402510728900&amp;gclid=Cj0KCQjw08aYBhDlARIsAA_gb0ebVt-jsaxDu9IRUoH7i1nijstvv1QV3WV9tGM4F6uBKFXY2fHZebUaAgeLEALw_wcB" TargetMode="External"/><Relationship Id="rId55" Type="http://schemas.openxmlformats.org/officeDocument/2006/relationships/hyperlink" Target="https://www.ferramentaskennedy.com.br/100057927/chumbador-parabolt-14-x-314-100-pecas-worker?gclid=CjwKCAjwtuOlBhBREiwA7agf1lK8V5WDaxfK11nS_dG3NCj5ufrp252JZXgKmz8uRtMIGhWK6MTGehoCO_IQAvD_BwE" TargetMode="External"/><Relationship Id="rId54" Type="http://schemas.openxmlformats.org/officeDocument/2006/relationships/hyperlink" Target="https://www.shoptime.com.br/produto/3248014027?pfm_carac=rebite-pop-repuxo-aluminio-416-4x16-0mm-com-100-unidades&amp;pfm_index=5&amp;pfm_page=search&amp;pfm_pos=grid&amp;pfm_type=search_page&amp;offerId=609086e652131c3c81cab921" TargetMode="External"/><Relationship Id="rId57" Type="http://schemas.openxmlformats.org/officeDocument/2006/relationships/hyperlink" Target="https://produto.mercadolivre.com.br/MLB-1060516407-chumbador-pba-14-x-314-cporca-e-arruela-100pcs-ancora-_JM?matt_tool=54307261&amp;matt_word=&amp;matt_source=google&amp;matt_campaign_id=14302215582&amp;matt_ad_group_id=150145935527&amp;matt_match_type=&amp;matt_network=g&amp;matt_device=c&amp;matt_creative=649558500197&amp;matt_keyword=&amp;matt_ad_position=&amp;matt_ad_type=pla&amp;matt_merchant_id=138926532&amp;matt_product_id=MLB1060516407&amp;matt_product_partition_id=1985503511994&amp;matt_target_id=aud-2009166904988:pla-1985503511994&amp;gclid=CjwKCAjwtuOlBhBREiwA7agf1t1l3fqPWxgPgVqJ_lGct9GZYbBr7eKSY6nauXe06dU-wr-eb3m_UhoCaPgQAvD_BwE" TargetMode="External"/><Relationship Id="rId56" Type="http://schemas.openxmlformats.org/officeDocument/2006/relationships/hyperlink" Target="https://www.superproatacado.com.br/6193/chumbador-parabolt-14-x-314-100-pecas-worker?gclid=CjwKCAjwtuOlBhBREiwA7agf1oUZOuElRt7xrD8kBVl_h6GRB2-7FQA1PysLS8T0f5-LtOAh8rNZoxoCl_8QAvD_BwE" TargetMode="External"/><Relationship Id="rId59" Type="http://schemas.openxmlformats.org/officeDocument/2006/relationships/hyperlink" Target="https://www.copalparafusos.com.br/chumbador-pba-516-x-2?utm_camp=gshop&amp;idgrade=15272" TargetMode="External"/><Relationship Id="rId58" Type="http://schemas.openxmlformats.org/officeDocument/2006/relationships/hyperlink" Target="https://www.ccpvirtual.com.br/chumbador-5-16-x-2-pba-wb-tecbolt-aco-zincado/p?idsku=57266&amp;gclid=CjwKCAiA5t-OBhByEiwAhR-hmwXGxKQCAY1_hnoDO_KyELpFPARp1KzDwmmanU6s-sDxdc2MV5VMTRoCLzQQAvD_BwE" TargetMode="External"/><Relationship Id="rId590" Type="http://schemas.openxmlformats.org/officeDocument/2006/relationships/hyperlink" Target="https://www.americanas.com.br/produto/6301829525?opn=YSMESP&amp;offerId=63595affb1efc389fca17606&amp;srsltid=AeTuncrFwznI5hezCdGGeGwu8Uu5_7YzkVKppWXFwg9jdSbFiSzyVof4T0g" TargetMode="External"/><Relationship Id="rId107" Type="http://schemas.openxmlformats.org/officeDocument/2006/relationships/hyperlink" Target="https://www.recontrolstore.com.br/cabos-acessorios/cabo-conector-m8-3p-pinos-p-sensores-angulo-90-3-fios-2m?parceiro=9459" TargetMode="External"/><Relationship Id="rId228" Type="http://schemas.openxmlformats.org/officeDocument/2006/relationships/hyperlink" Target="https://proesi.com.br/capacitor-de-partida-para-motor-35uf-400v-faston-duplo-weg.html" TargetMode="External"/><Relationship Id="rId349" Type="http://schemas.openxmlformats.org/officeDocument/2006/relationships/hyperlink" Target="https://www.nobreakcerto.com.br/bateria-estacionaria-moura-nobreak-12mn45-45ah-pr-499-404854.htm" TargetMode="External"/><Relationship Id="rId106" Type="http://schemas.openxmlformats.org/officeDocument/2006/relationships/hyperlink" Target="https://www.engetronic-sc.com.br/produtos/ver/352/cabo-para-sensor-conector-m8-angular-4-pinos-2-metros-v31wm2mpvc-pf-109032-" TargetMode="External"/><Relationship Id="rId227" Type="http://schemas.openxmlformats.org/officeDocument/2006/relationships/hyperlink" Target="https://www.magazineluiza.com.br/capacitor-duplo-35-mfd-380v-eos-com-terminal-aluminio/p/jekh5egfg7/cj/ccto/?&amp;seller_id=friomaq" TargetMode="External"/><Relationship Id="rId348" Type="http://schemas.openxmlformats.org/officeDocument/2006/relationships/hyperlink" Target="https://www.magazineluiza.com.br/bateria-selada-chumbo-acido-gel-12v-9ah-vrla-agm-nobreak-ciclo-profundo-get-power/p/aa9cjf5515/cj/batr/?seller_id=bpintermediacao" TargetMode="External"/><Relationship Id="rId469" Type="http://schemas.openxmlformats.org/officeDocument/2006/relationships/hyperlink" Target="https://www.leroymerlin.com.br/isolante-elastomerico-vix-c0-7-8-13x22_1570130100?region=outros" TargetMode="External"/><Relationship Id="rId105" Type="http://schemas.openxmlformats.org/officeDocument/2006/relationships/hyperlink" Target="https://www.cpautomacao.com.br/produto/cabo-para-transdutor-de-pressao-prvz-lf-3-x02mm-omron/" TargetMode="External"/><Relationship Id="rId226" Type="http://schemas.openxmlformats.org/officeDocument/2006/relationships/hyperlink" Target="https://www.carrefour.com.br/capacitor-permanente-vix-60-mf-380-volts-mp21079206/p" TargetMode="External"/><Relationship Id="rId347" Type="http://schemas.openxmlformats.org/officeDocument/2006/relationships/hyperlink" Target="https://alarmecenter.com/produto/bateria-12v-7ah-moura-alarme-cerca-eletrica-no-break-incendio/?utm_source=Google+Shopping&amp;utm_medium=cpc&amp;utm_campaign=GS+CTX&amp;utm_term=GS-CTX&amp;gclid=Cj0KCQjw08aYBhDlARIsAA_gb0eEh53BfAa1nkVH-uuoF7cQQd6F1aWfIvF00LHZBkVe1Z9eYbyTKq4aAsKPEALw_wcB" TargetMode="External"/><Relationship Id="rId468" Type="http://schemas.openxmlformats.org/officeDocument/2006/relationships/hyperlink" Target="https://www.americanas.com.br/produto/3286616213?epar=bp_pl_00_go_pla_casaeconst_geral_gmv&amp;opn=YSMESP&amp;WT.srch=1&amp;gclid=CjwKCAiAiKuOBhBQEiwAId_sK45C0RIXOHSxFqAmo67qcIxExQQI0zd5ds1jMY_ReP29uMt3pcF4ehoCg2IQAvD_BwE" TargetMode="External"/><Relationship Id="rId589" Type="http://schemas.openxmlformats.org/officeDocument/2006/relationships/hyperlink" Target="https://www.madeiramadeira.com.br/caixa-disjuntor-bipolar-20a-com-tomada-20a-interruptor-ar-condicionado-embutir-residencial-comercial-568851091.html" TargetMode="External"/><Relationship Id="rId104" Type="http://schemas.openxmlformats.org/officeDocument/2006/relationships/hyperlink" Target="https://produto.mercadolivre.com.br/MLB-1698673353-cabo-para-transdutor-de-presso-prvz-lf-3-x02mm-omron-_JM?searchVariation=67066000021" TargetMode="External"/><Relationship Id="rId225" Type="http://schemas.openxmlformats.org/officeDocument/2006/relationships/hyperlink" Target="https://www.refrisol.com.br/pecas-e-acessorios/capacitor-permanente-30-mfd-cterminal-380v-eos?parceiro=2010" TargetMode="External"/><Relationship Id="rId346" Type="http://schemas.openxmlformats.org/officeDocument/2006/relationships/hyperlink" Target="https://www.shoptime.com.br/produto/5607455061?pfm_carac=bateria-moura-aldo-solar-12mva-9-estacionaria-nobreak-selada-12v-9ah&amp;pfm_index=2&amp;pfm_page=search&amp;pfm_pos=grid&amp;pfm_type=search_page&amp;offerId=63e55276401db3b86b64bcae" TargetMode="External"/><Relationship Id="rId467" Type="http://schemas.openxmlformats.org/officeDocument/2006/relationships/hyperlink" Target="https://www.frigelar.com.br/tubo-isolante-elastomerico-class1-armaflex-3-4-18mm-parede-18mm-barra-de-2-metros/p/kit3468?gclid=CjwKCAiAiKuOBhBQEiwAId_sK3kwtvYaUpC1fXcSA0alwJNB_6w1l-5Cvo6Xn8tzh_U9RH_tSZ5e-BoCo08QAvD_BwE" TargetMode="External"/><Relationship Id="rId588" Type="http://schemas.openxmlformats.org/officeDocument/2006/relationships/hyperlink" Target="https://www.dimensional.com.br/conector-de-derivacao-perfurante-10-a-95mm-cdp70-intelli/p?idsku=218448" TargetMode="External"/><Relationship Id="rId109" Type="http://schemas.openxmlformats.org/officeDocument/2006/relationships/hyperlink" Target="https://produto.mercadolivre.com.br/MLB-1591687948-transdutor-de-pressao-de-baixa-19240044-1759-_JM?matt_tool=18956390&amp;utm_source=google_shopping&amp;utm_medium=organic" TargetMode="External"/><Relationship Id="rId108" Type="http://schemas.openxmlformats.org/officeDocument/2006/relationships/hyperlink" Target="https://www.viewtech.ind.br/catalog/product/view/id/4925/s/conector-femea-m12-4-pinos-2m-250vca-vcc-4a-pepperl-fuchs-vt/?utm_source=&amp;utm_medium=&amp;utm_campaign=&amp;utm_term=&amp;utm_content=&amp;gclid=CjwKCAiAz--OBhBIEiwAG1rIOlB2AEt_1DY0FsI6OsvmC_0IRD3w48iQbAm5DkZXjHX9wK3UdyE2zBoCJ_QQAvD_BwE" TargetMode="External"/><Relationship Id="rId229" Type="http://schemas.openxmlformats.org/officeDocument/2006/relationships/hyperlink" Target="https://www.friopecas.com.br/capacitor-permanente-vix-45-mf-380-volts/p?idsku=106829" TargetMode="External"/><Relationship Id="rId220" Type="http://schemas.openxmlformats.org/officeDocument/2006/relationships/hyperlink" Target="https://www.magazineluiza.com.br/capacitor-permanente-25mf-vix-380-volts/p/gek95c94a7/cj/ccto/?&amp;seller_id=friopecas" TargetMode="External"/><Relationship Id="rId341" Type="http://schemas.openxmlformats.org/officeDocument/2006/relationships/hyperlink" Target="https://www.magazineluiza.com.br/vaselina-solida-90gr-worker/p/gc89311eae/cp/vsln/?&amp;seller_id=vitoriaferragens" TargetMode="External"/><Relationship Id="rId462" Type="http://schemas.openxmlformats.org/officeDocument/2006/relationships/hyperlink" Target="https://www.extra.com.br/tubo-isolante-elastomerico-armaflex-1-2-preto-c1brh012-1521601955/p/1521601955?utm_medium=cpc&amp;utm_source=google_freelisting&amp;IdSku=1521601955&amp;idLojista=14785" TargetMode="External"/><Relationship Id="rId583" Type="http://schemas.openxmlformats.org/officeDocument/2006/relationships/hyperlink" Target="https://www.magazineluiza.com.br/teclado-para-controle-de-acesso-control-id-id-touch/p/ad839gc4jb/pi/ctre/?&amp;seller_id=segurancaautomatizada" TargetMode="External"/><Relationship Id="rId340" Type="http://schemas.openxmlformats.org/officeDocument/2006/relationships/hyperlink" Target="https://www.adrofecha.com.br/quimicos/lubrificantes/vaselina-solida-90g-worker" TargetMode="External"/><Relationship Id="rId461" Type="http://schemas.openxmlformats.org/officeDocument/2006/relationships/hyperlink" Target="https://produto.mercadolivre.com.br/MLB-2033280834-tubo-isolante-elastomerico-armaflex-12-preto-c1brh012-_JM?matt_tool=45029758&amp;matt_word=&amp;matt_source=google&amp;matt_campaign_id=14302215522&amp;matt_ad_group_id=134553699828&amp;matt_match_type=&amp;matt_network=g&amp;matt_device=c&amp;matt_creative=539425477825&amp;matt_keyword=&amp;matt_ad_position=&amp;matt_ad_type=pla&amp;matt_merchant_id=223204864&amp;matt_product_id=MLB2033280834&amp;matt_product_partition_id=1405369424543&amp;matt_target_id=aud-264949471102:pla-1405369424543&amp;gclid=Cj0KCQjw08aYBhDlARIsAA_gb0dbuVcSoB6R3hgxI2oyDT00jFDFVzlNvRw9Vw8MhINXdsX3iD7PrdIaAmxpEALw_wcB" TargetMode="External"/><Relationship Id="rId582" Type="http://schemas.openxmlformats.org/officeDocument/2006/relationships/hyperlink" Target="https://www.lojadomecanico.com.br/produto/73381/33/349/bomba-de-pulverizacao-agricola-psp45c-30---45-litros-com-cabecote-de-ferro-toyama-523-002" TargetMode="External"/><Relationship Id="rId460" Type="http://schemas.openxmlformats.org/officeDocument/2006/relationships/hyperlink" Target="https://www.leroymerlin.com.br/tubo-isolante-elastomerico-armaflex-1-2-preto-c1brh012_1567633555?region=outros" TargetMode="External"/><Relationship Id="rId581" Type="http://schemas.openxmlformats.org/officeDocument/2006/relationships/hyperlink" Target="https://palaciodasferramentas.com.br/bomba-agricola-pulverizadora-de-alta-pressao-45-l-min-psp45c-toyama" TargetMode="External"/><Relationship Id="rId580" Type="http://schemas.openxmlformats.org/officeDocument/2006/relationships/hyperlink" Target="https://www.dutramaquinas.com.br/p/bomba-pulverizadora-agricola-de-pistao-30-45-l-min-sem-motor-psp45c-psp45c?srsltid=AeTuncoFreh_etsvRmjJO-1Ol5TpfgFMqgGFF_7ZEsrdeYguYG0eDnzXhO4" TargetMode="External"/><Relationship Id="rId103" Type="http://schemas.openxmlformats.org/officeDocument/2006/relationships/hyperlink" Target="https://www.riopretoar.com.br/index.php/conector-carrier-transdutor-de-pressao-cabo-conector-carrier-transdutor-de-pressao-cabo.html" TargetMode="External"/><Relationship Id="rId224" Type="http://schemas.openxmlformats.org/officeDocument/2006/relationships/hyperlink" Target="https://www.cisel.com.br/linha-motores-eletricos/capacitor-permanente-30-uf-2-fios?parceiro=6811" TargetMode="External"/><Relationship Id="rId345" Type="http://schemas.openxmlformats.org/officeDocument/2006/relationships/hyperlink" Target="https://www.frioshopping.com/ferramentas/termometro/termometro-capela-reto-0-a-50-graus-haste-50mm" TargetMode="External"/><Relationship Id="rId466" Type="http://schemas.openxmlformats.org/officeDocument/2006/relationships/hyperlink" Target="https://www.friopecas.com.br/tubo-isolante-elastomerico-armaflex-3-4-preto-c1brh018/p?idsku=131271&amp;gclid=CjwKCAiAiKuOBhBQEiwAId_sK9Zmxropjl1SFzN8tXlq8_EQ_iQ7UzU6KgnKkD0u86QFVTT2w0OWCBoCOkIQAvD_BwE" TargetMode="External"/><Relationship Id="rId587" Type="http://schemas.openxmlformats.org/officeDocument/2006/relationships/hyperlink" Target="https://www.santil.com.br/produto/conector-derivacao-perfurante-15-10mm-intelli/2898606" TargetMode="External"/><Relationship Id="rId102" Type="http://schemas.openxmlformats.org/officeDocument/2006/relationships/hyperlink" Target="https://www.magazineluiza.com.br/sensor-com-cabo-ntc-hitachi-chiller-hle7707c-modelo-rcu15iasa7l/p/ck82b5fk2d/au/stau/?&amp;seller_id=frioshopping" TargetMode="External"/><Relationship Id="rId223" Type="http://schemas.openxmlformats.org/officeDocument/2006/relationships/hyperlink" Target="https://www.magazineluiza.com.br/capacitor-duplo-40-5-mf-vix-380v/p/jbhje4chea/cj/ccto/?&amp;seller_id=friopecas" TargetMode="External"/><Relationship Id="rId344" Type="http://schemas.openxmlformats.org/officeDocument/2006/relationships/hyperlink" Target="https://www.chillerpecas.com.br/produtos/termometro-capela-angular-25mm-range-de-0-a-50c/?pf=gs&amp;variant=393578678&amp;srsltid=AeTuncpVE-KuSsFeckJppKBLppiv9-gLMAkA0UhDyKe7vDAbthg-g9LAsYY" TargetMode="External"/><Relationship Id="rId465" Type="http://schemas.openxmlformats.org/officeDocument/2006/relationships/hyperlink" Target="https://www.frigelar.com.br/tubo-isolante-elastomerico-af-armaflex-5-8-15mm-parede-25mm-barra-de-2-metros/p/kit3492?utm_content=7e8206cef5da4e0d9eb2aa754bd3a2b2" TargetMode="External"/><Relationship Id="rId586" Type="http://schemas.openxmlformats.org/officeDocument/2006/relationships/hyperlink" Target="https://www.lojacentraleletrica.com.br/produto/conector-de-perfuracao-cdp-70-10-a-95mm-" TargetMode="External"/><Relationship Id="rId101" Type="http://schemas.openxmlformats.org/officeDocument/2006/relationships/hyperlink" Target="https://produto.mercadolivre.com.br/MLB-1722306918-sensor-com-cabo-ntc-hitachi-chiller-hle7707c-rcu15iasa7l-_JM?matt_tool=18956390&amp;utm_source=google_shopping&amp;utm_medium=organic" TargetMode="External"/><Relationship Id="rId222" Type="http://schemas.openxmlformats.org/officeDocument/2006/relationships/hyperlink" Target="https://www.pecasproar.com.br/capacitor/25mf-380v?utm_source=Site&amp;utm_medium=GoogleMerchant&amp;utm_campaign=GoogleMerchant" TargetMode="External"/><Relationship Id="rId343" Type="http://schemas.openxmlformats.org/officeDocument/2006/relationships/hyperlink" Target="https://produto.mercadolivre.com.br/MLB-3035479133-termometro-capela-0-50c-haste-50mmrosca-12-bsp-_JM?matt_tool=18956390&amp;utm_source=google_shopping&amp;utm_medium=organic" TargetMode="External"/><Relationship Id="rId464" Type="http://schemas.openxmlformats.org/officeDocument/2006/relationships/hyperlink" Target="https://www.friopecas.com.br/tubo-isolante-elastomerico-armaflex-1-5-8-19x42mm-preto-c1brm042/p?idsku=111972&amp;gclid=Cj0KCQjwk96lBhDHARIsAEKO4xYRmt9daHCVIQVw7jEApNg2TWNc2kZkuumx8tlJfz8HLLg73-pi8TgaAihmEALw_wcB" TargetMode="External"/><Relationship Id="rId585" Type="http://schemas.openxmlformats.org/officeDocument/2006/relationships/hyperlink" Target="https://www.vitrimix.com.br/produto/controle-de-acesso-id-touch-proximidade-125-khz-e-senha/" TargetMode="External"/><Relationship Id="rId100" Type="http://schemas.openxmlformats.org/officeDocument/2006/relationships/hyperlink" Target="https://www.americanas.com.br/produto/80830312?opn=YSMESP" TargetMode="External"/><Relationship Id="rId221" Type="http://schemas.openxmlformats.org/officeDocument/2006/relationships/hyperlink" Target="https://www.friopecas.com.br/capacitor-permanente-25mf-vix-380-volts/p?idsku=106825" TargetMode="External"/><Relationship Id="rId342" Type="http://schemas.openxmlformats.org/officeDocument/2006/relationships/hyperlink" Target="https://www.ferramentaskennedy.com.br/100046878/vaselina-solida-industrial-90g-worker?utm_source=google&amp;utm_medium=cpc&amp;utm_campaign=google_shop" TargetMode="External"/><Relationship Id="rId463" Type="http://schemas.openxmlformats.org/officeDocument/2006/relationships/hyperlink" Target="https://www.submarino.com.br/produto/7283567508?pfm_carac=isolante-elastomerico-5-8&amp;pfm_index=1&amp;pfm_page=search&amp;pfm_pos=grid&amp;pfm_type=search_page&amp;offerId=642890a5579fbc8d9176702f" TargetMode="External"/><Relationship Id="rId584" Type="http://schemas.openxmlformats.org/officeDocument/2006/relationships/hyperlink" Target="https://www.idcontrol.com.br/controle-de-acesso-por-senha-e-cartao-idtouch-controlid?utm_source=Site&amp;utm_medium=GoogleMerchant&amp;utm_campaign=GoogleMerchant&amp;srsltid=AeTuncqlpiW5Atg_MxgntYxNLankm1IfqBDpKLLzZikqIctuLlfeAmv5vgQ" TargetMode="External"/><Relationship Id="rId217" Type="http://schemas.openxmlformats.org/officeDocument/2006/relationships/hyperlink" Target="https://www.magazineluiza.com.br/capacitor-permanente-20mf-vix-380-volts/p/khc77gh98c/cj/ccto/?&amp;seller_id=friopecas" TargetMode="External"/><Relationship Id="rId338" Type="http://schemas.openxmlformats.org/officeDocument/2006/relationships/hyperlink" Target="https://www.royalmaquinas.com.br/graxa-unigrax-ca-2-10kg-uni.html?gclid=Cj0KCQiAhf2MBhDNARIsAKXU5GQjE1I8EQliKINs9XbJOJELIjqpQQ_0o6Ur6Fz015MTa0ZpVf-cVUgaAuZWEALw_wcB" TargetMode="External"/><Relationship Id="rId459" Type="http://schemas.openxmlformats.org/officeDocument/2006/relationships/hyperlink" Target="https://produto.mercadolivre.com.br/MLB-2639562722-tubo-isolante-termico-uv-ar-condicionado-38-branco-ou-preto-_JM" TargetMode="External"/><Relationship Id="rId216" Type="http://schemas.openxmlformats.org/officeDocument/2006/relationships/hyperlink" Target="https://www.casasbahia.com.br/capacitor-permanente-10mf-vix-380-volts-1515828184/p/1515828184?utm_medium=Cpc&amp;utm_source=google_freelisting&amp;IdSku=1515828184&amp;idLojista=14785&amp;tipoLojista=3P" TargetMode="External"/><Relationship Id="rId337" Type="http://schemas.openxmlformats.org/officeDocument/2006/relationships/hyperlink" Target="https://www.diafer.com.br/graxa-castanha-unigrax-para-chassis-ca-2-10kg-ingrax/p?idsku=44207" TargetMode="External"/><Relationship Id="rId458" Type="http://schemas.openxmlformats.org/officeDocument/2006/relationships/hyperlink" Target="https://www.americanas.com.br/produto/3286608344?epar=bp_pl_00_go_pla_casaeconst_geral_gmv&amp;opn=YSMESP&amp;WT.srch=1&amp;gclid=CjwKCAiAiKuOBhBQEiwAId_sK9fwh-xaH1NCl4M2JWB2ODykQgMKU7wSkxMwO3BmCQgVB8GgCLltBBoCf8gQAvD_BwE" TargetMode="External"/><Relationship Id="rId579" Type="http://schemas.openxmlformats.org/officeDocument/2006/relationships/hyperlink" Target="https://www.bigolinmateriais.com.br/conjunto-radial-sistema-x-tom-20a-1902114/p?idsku=26849&amp;srsltid=AeTuncppWmg_j8Had6FiG33s5OYJEiErvNWphFkhpNqfBexhPMoD3_yAfUg" TargetMode="External"/><Relationship Id="rId215" Type="http://schemas.openxmlformats.org/officeDocument/2006/relationships/hyperlink" Target="https://www.friopecas.com.br/capacitor-permanente-6mf-vix-380-volts/p?idsku=108309" TargetMode="External"/><Relationship Id="rId336" Type="http://schemas.openxmlformats.org/officeDocument/2006/relationships/hyperlink" Target="https://www.palacio.com.br/cola-adesiva-instantenea-scotch-bond-3g---3m/p?idsku=1151&amp;gclid=Cj0KCQiAhf2MBhDNARIsAKXU5GQma3dQRnely1f_TfmI79_21pbEanpjqrSm78X7LCFDZd3f9O9--qkaAmgjEALw_wcB" TargetMode="External"/><Relationship Id="rId457" Type="http://schemas.openxmlformats.org/officeDocument/2006/relationships/hyperlink" Target="https://www.friopecas.com.br/tubo-isolante-elastomerico-armaflex-3-8-preto-c1brh010-/p?idsku=131269" TargetMode="External"/><Relationship Id="rId578" Type="http://schemas.openxmlformats.org/officeDocument/2006/relationships/hyperlink" Target="https://www.magazineluiza.com.br/tomada-3-polos-2p-t-20a-sistema-x-branco-radial/p/bgk40kch11/cj/tomd/" TargetMode="External"/><Relationship Id="rId214" Type="http://schemas.openxmlformats.org/officeDocument/2006/relationships/hyperlink" Target="https://www.frigelar.com.br/capacitor-simples-6-mfd-380v-com-terminal-40mm-x-60mm-corpo-aluminio/p/kit5059" TargetMode="External"/><Relationship Id="rId335" Type="http://schemas.openxmlformats.org/officeDocument/2006/relationships/hyperlink" Target="https://tuacasaferragem.com.br/produto/adesivo-instantaneo-scotch-bond-3g-3/" TargetMode="External"/><Relationship Id="rId456" Type="http://schemas.openxmlformats.org/officeDocument/2006/relationships/hyperlink" Target="https://www.magazineluiza.com.br/tubo-isolante-elastomerico-armaflex-1-4-preto-esponjoso-c1brh006/p/acakeeh6g8/au/otau/?&amp;seller_id=friopecas&amp;utm_source=google&amp;utm_medium=pla&amp;utm_campaign=&amp;partner_id=54222&amp;gclid=CjwKCAiAiKuOBhBQEiwAId_sK0kssf0SpcNhql2_drYoeoqNsBVTTCTxkFvT9iF6Q6-y7DJupUNLnBoCox0QAvD_BwE&amp;gclsrc=aw.ds" TargetMode="External"/><Relationship Id="rId577" Type="http://schemas.openxmlformats.org/officeDocument/2006/relationships/hyperlink" Target="https://www.leroymerlin.com.br/tomada-3-polos--2p-t--20a-sistema-x-branco-radial_1569860210?region=outros" TargetMode="External"/><Relationship Id="rId219" Type="http://schemas.openxmlformats.org/officeDocument/2006/relationships/hyperlink" Target="https://www.leroymerlin.com.br/capacitor-permanente-20mf-vix---380-volts_1567804992?region=outros" TargetMode="External"/><Relationship Id="rId218" Type="http://schemas.openxmlformats.org/officeDocument/2006/relationships/hyperlink" Target="https://www.friopecas.com.br/capacitor-permanente-20mf-vix-380-volts/p?idsku=108316" TargetMode="External"/><Relationship Id="rId339" Type="http://schemas.openxmlformats.org/officeDocument/2006/relationships/hyperlink" Target="https://www.magazineluiza.com.br/graxa-lubrificante-chassis-2-balde-10-kg-falub/p/hh754a8173/es/olbc/?&amp;seller_id=baseagricola&amp;utm_source=google&amp;utm_medium=pla&amp;utm_campaign=&amp;partner_id=60485&amp;gclid=CjwKCAiA8bqOBhANEiwA-sIlN8-oa2JZBv3CImprStS_1lKSMg-zmqq1SN7PBcd8BO_J2wODwlBoEhoCEzsQAvD_BwE&amp;gclsrc=aw.ds" TargetMode="External"/><Relationship Id="rId330" Type="http://schemas.openxmlformats.org/officeDocument/2006/relationships/hyperlink" Target="https://www.guimepa.com.br/oleo-lubrificante-spray-300ml-200g-vonder.html" TargetMode="External"/><Relationship Id="rId451" Type="http://schemas.openxmlformats.org/officeDocument/2006/relationships/hyperlink" Target="https://produto.mercadolivre.com.br/MLB-3718626602-porca-sextavada-38-polida-unc-16-200-pecas-_JM" TargetMode="External"/><Relationship Id="rId572" Type="http://schemas.openxmlformats.org/officeDocument/2006/relationships/hyperlink" Target="https://www.lojasetta.com/comando-e-sinalizacao/caixa-botoeira-1-furo" TargetMode="External"/><Relationship Id="rId450" Type="http://schemas.openxmlformats.org/officeDocument/2006/relationships/hyperlink" Target="https://www.copalparafusos.com.br/porca-sextavada-unc-516-polida?utm_camp=gshop&amp;idgrade=15129" TargetMode="External"/><Relationship Id="rId571" Type="http://schemas.openxmlformats.org/officeDocument/2006/relationships/hyperlink" Target="https://www.leroymerlin.com.br/caixa-plastica-branca--bx1-1-com-1-furos-22mm_1570046642?region=outros" TargetMode="External"/><Relationship Id="rId570" Type="http://schemas.openxmlformats.org/officeDocument/2006/relationships/hyperlink" Target="https://www.balaroti.com.br/grelha-100mm-redonda-branca-n-70129/p?idsku=70129" TargetMode="External"/><Relationship Id="rId213" Type="http://schemas.openxmlformats.org/officeDocument/2006/relationships/hyperlink" Target="https://produto.mercadolivre.com.br/MLB-2011909875-capacitor-permanente-3mf-vix-380-volts-_JM?matt_tool=50857357&amp;matt_word=&amp;matt_source=google&amp;matt_campaign_id=14303413847&amp;matt_ad_group_id=139467063328&amp;matt_match_type=&amp;matt_network=g&amp;matt_device=c&amp;matt_creative=584295662858&amp;matt_keyword=&amp;matt_ad_position=&amp;matt_ad_type=pla&amp;matt_merchant_id=223204864&amp;matt_product_id=MLB2011909875&amp;matt_product_partition_id=1635198762606&amp;matt_target_id=aud-329638142375:pla-1635198762606&amp;gclid=CjwKCAjwsMGYBhAEEiwAGUXJaTTo_FYhiVEdDx0chuJSCh0tmNawE-3y0OB6t1R4ijAaxAl664TOrxoCWeoQAvD_BwE" TargetMode="External"/><Relationship Id="rId334" Type="http://schemas.openxmlformats.org/officeDocument/2006/relationships/hyperlink" Target="https://www.esferapapelaria.com.br/cola-instantanea-schotch-bond-3g-3m?parceiro=6268&amp;gclid=Cj0KCQjw08aYBhDlARIsAA_gb0cwoofc0dGDUE-FD6wgoQjPqHZ_UWz4iJZ-_EKDZYBllQzo0GaA_1AaAi72EALw_wcB" TargetMode="External"/><Relationship Id="rId455" Type="http://schemas.openxmlformats.org/officeDocument/2006/relationships/hyperlink" Target="https://www.coldpartsrefrigeracao.com.br/tubo-isolante-esponjoso-blindado-14-6mm-cobre-ar-cond-?utm_source=Site&amp;utm_medium=GoogleMerchant&amp;utm_campaign=GoogleMerchant&amp;gclid=Cj0KCQjw1vSZBhDuARIsAKZlijTbh9mR4TgFd2O877Z0P71XPHot-lOfQvNyYHBfRGz-MQMEA06yQaEaAjZgEALw_wcB" TargetMode="External"/><Relationship Id="rId576" Type="http://schemas.openxmlformats.org/officeDocument/2006/relationships/hyperlink" Target="https://www.kabum.com.br/produto/234007/controle-remoto-intelbras-para-automatizadores-de-portao-100m-preto?srsltid=AeTuncohmW__tTRYyLmTUVwN3OBo96E5tVvbTTpFn2yAG7VXiIQJT1XUl5E" TargetMode="External"/><Relationship Id="rId212" Type="http://schemas.openxmlformats.org/officeDocument/2006/relationships/hyperlink" Target="https://www.inverniapecas.com.br/pecas-para-ar-condicionado/pecas-para-ar-condicionado-split-e-outros/capacitor-permanente-3-uf-380v-al?parceiro=3669" TargetMode="External"/><Relationship Id="rId333" Type="http://schemas.openxmlformats.org/officeDocument/2006/relationships/hyperlink" Target="https://www.casasbahia.com.br/desengripante-white-lub-super-spray-300ml-orbi-1511595672/p/1511595672?utm_medium=Cpc&amp;utm_source=google_freelisting&amp;IdSku=1511595672&amp;idLojista=41754" TargetMode="External"/><Relationship Id="rId454" Type="http://schemas.openxmlformats.org/officeDocument/2006/relationships/hyperlink" Target="https://www.friopecas.com.br/isolante-elastomerica-epex-1-4-19-6/p?idsku=109344" TargetMode="External"/><Relationship Id="rId575" Type="http://schemas.openxmlformats.org/officeDocument/2006/relationships/hyperlink" Target="https://www.netalarmes.com.br/controle-portao-eletronico-intelbras-ep-04?parceiro=8046&amp;srsltid=AeTuncqeC_EH392Qlz7dwWlRGNpvMxSuyYllHbsboeoapltEg-8MB-Vid9c" TargetMode="External"/><Relationship Id="rId211" Type="http://schemas.openxmlformats.org/officeDocument/2006/relationships/hyperlink" Target="https://www.frigelar.com.br/capacitor-simples-3-mfd-380v-com-terminal-40mm-x-60mm-corpo-aluminio/p/kit5041" TargetMode="External"/><Relationship Id="rId332" Type="http://schemas.openxmlformats.org/officeDocument/2006/relationships/hyperlink" Target="https://www.palaciodasferramentas.com.br/produto/5778/produtos-p-limpeza/desengripantes/desengripante-spray-300-ml-white-lub/?campaign_id=1&amp;campaign_source_id=3&amp;campaign_source=gshopping&amp;utm_source=google%20shopping&amp;utm_medium=cpc&amp;utm_campaign=google%20shopping&amp;gclid=Cj0KCQiAhf2MBhDNARIsAKXU5GRpygs0AHp_tW1Rc_Nz3BbA8SNg5BdgxxOUHL5m_odYVBnRAdhmAD0aAiysEALw_wcB" TargetMode="External"/><Relationship Id="rId453" Type="http://schemas.openxmlformats.org/officeDocument/2006/relationships/hyperlink" Target="https://www.casadosparafusosfranca.com.br/fixadores/porcas/porcas-suporte-de-disco-de-lixa/porca-sexta-polida-unc-38?parceiro=7954&amp;srsltid=AR5OiO3bUD71o0OLZ3rWTOiCQkUOTRhkkjDTZFzbiPu3lbGae69sfiel8uM" TargetMode="External"/><Relationship Id="rId574" Type="http://schemas.openxmlformats.org/officeDocument/2006/relationships/hyperlink" Target="https://www.magazineluiza.com.br/controle-portao-eletronico-intelbras-ep-04/p/gj4cc88gj6/cj/cspo/?&amp;seller_id=netalarmes2" TargetMode="External"/><Relationship Id="rId210" Type="http://schemas.openxmlformats.org/officeDocument/2006/relationships/hyperlink" Target="https://www.pecasproar.com.br/capacitor-permanente-20-2uf-380v?utm_source=Site&amp;utm_medium=GoogleMerchant&amp;utm_campaign=GoogleMerchant" TargetMode="External"/><Relationship Id="rId331" Type="http://schemas.openxmlformats.org/officeDocument/2006/relationships/hyperlink" Target="https://www.lojadomecanico.com.br/produto/63882/32/250/Desengripante-Spray-White-Lub-Super-300ml/153/?utm_source=googleshopping&amp;utm_campaign=xmlshopping&amp;utm_medium=cpc&amp;utm_content=63882&amp;gclid=Cj0KCQiAhf2MBhDNARIsAKXU5GTaFv6MpEejtvVAGCmpDowRcz54ZYCK-eSrPlPP_xxE2sWJ1M-XxdEaAoWQEALw_wcB" TargetMode="External"/><Relationship Id="rId452" Type="http://schemas.openxmlformats.org/officeDocument/2006/relationships/hyperlink" Target="https://www.lojabrafer.com.br/porca-sextavada-3-8-16unc-rosca-grossa-g2-polida/p/5908?c=13&amp;t=586" TargetMode="External"/><Relationship Id="rId573" Type="http://schemas.openxmlformats.org/officeDocument/2006/relationships/hyperlink" Target="https://www.magazineluiza.com.br/caixa-plastica-branca-com-furos-sibratec/p/cb7f8364b2/fs/cbdf/?&amp;seller_id=dickeleletronica" TargetMode="External"/><Relationship Id="rId370" Type="http://schemas.openxmlformats.org/officeDocument/2006/relationships/hyperlink" Target="https://produto.mercadolivre.com.br/MLB-2638240870-arruela-de-presso-516-zincada-100-und-_JM?matt_tool=18956390&amp;utm_source=google_shopping&amp;utm_medium=organic" TargetMode="External"/><Relationship Id="rId491" Type="http://schemas.openxmlformats.org/officeDocument/2006/relationships/hyperlink" Target="https://www.magazineluiza.com.br/bateria-moura-60-amperes-m60gd-mge2-sli/p/jhb5acb4k6/au/baau/" TargetMode="External"/><Relationship Id="rId490" Type="http://schemas.openxmlformats.org/officeDocument/2006/relationships/hyperlink" Target="https://www.colombo.com.br/produto/Automotivo/Bateria-Moura-60-Amperes-M60GD-MGE2-SLI?portal=8B36E9207C24C76E6719268E49201D94-seller-1" TargetMode="External"/><Relationship Id="rId129" Type="http://schemas.openxmlformats.org/officeDocument/2006/relationships/hyperlink" Target="https://produto.mercadolivre.com.br/MLB-1092436977-compressor-rotativo-9000-btu-220v-r22-ar-condicionado-_JM?matt_tool=67377542&amp;matt_word=&amp;matt_source=google&amp;matt_campaign_id=14303413625&amp;matt_ad_group_id=135261093353&amp;matt_match_type=&amp;matt_network=g&amp;matt_device=c&amp;matt_creative=584295662777&amp;matt_keyword=&amp;matt_ad_position=&amp;matt_ad_type=pla&amp;matt_merchant_id=524013103&amp;matt_product_id=MLB1092436977&amp;matt_product_partition_id=1639350991621&amp;matt_target_id=aud-1010920718318:pla-1639350991621&amp;gclid=Cj0KCQjw08aYBhDlARIsAA_gb0fHGl-My8uD5Zn9tvkytBjMuGcdOECciVrnHsB5f7-Ixc_UT6BGRLYaAhj-EALw_wcB" TargetMode="External"/><Relationship Id="rId128" Type="http://schemas.openxmlformats.org/officeDocument/2006/relationships/hyperlink" Target="https://www.lojaartech.com.br/compressor-rotativo-9kbtu-r22-220v-60hz-rga5492eus-original-w10339281" TargetMode="External"/><Relationship Id="rId249" Type="http://schemas.openxmlformats.org/officeDocument/2006/relationships/hyperlink" Target="https://www.ferramentaskennedy.com.br/100055645/correia-em-v-tipo-a-054-power-span" TargetMode="External"/><Relationship Id="rId127" Type="http://schemas.openxmlformats.org/officeDocument/2006/relationships/hyperlink" Target="https://www.embrar.com.br//compressor-rotativo-9000-r22/p?idsku=12039" TargetMode="External"/><Relationship Id="rId248" Type="http://schemas.openxmlformats.org/officeDocument/2006/relationships/hyperlink" Target="https://www.lfmaquinaseferramentas.com.br/correia-b54-powerspan/p?idsku=9676&amp;gclid=CjwKCAiA4veMBhAMEiwAU4XRr2Rlnr-qZamcw5-j6hl99rFUSQ_rD9HfT1EmcwNrD92-E6JSLwXbzhoC1jgQAvD_BwE" TargetMode="External"/><Relationship Id="rId369" Type="http://schemas.openxmlformats.org/officeDocument/2006/relationships/hyperlink" Target="https://www.parafusofacil.com.br/ProdutosDetalhes.php?Codigo=1108592&amp;gad=1&amp;gclid=Cj0KCQjw8NilBhDOARIsAHzpbLBl3AjcPKu9PcSllYWauBhboldctaxQ53Anv56JUOMqUiwPbBolKqoaApt-EALw_wcB" TargetMode="External"/><Relationship Id="rId126" Type="http://schemas.openxmlformats.org/officeDocument/2006/relationships/hyperlink" Target="https://produto.mercadolivre.com.br/MLB-2687878176-compressor-rotativo-70007500-btus-r-22-220v-_JM" TargetMode="External"/><Relationship Id="rId247" Type="http://schemas.openxmlformats.org/officeDocument/2006/relationships/hyperlink" Target="https://produto.mercadolivre.com.br/MLB-2151285905-correia-de-transmisso-em-v-lisa-b-54-elite-_JM" TargetMode="External"/><Relationship Id="rId368" Type="http://schemas.openxmlformats.org/officeDocument/2006/relationships/hyperlink" Target="https://www.copalparafusos.com.br/arruela-de-pressao-inox-38?utm_camp=gshop&amp;idgrade=364704" TargetMode="External"/><Relationship Id="rId489" Type="http://schemas.openxmlformats.org/officeDocument/2006/relationships/hyperlink" Target="https://www.magazineluiza.com.br/ventilador-de-parede-ventisol-turbo-6-steel-osc-6-pas-50cm-200w-bivolt/p/dh5a91ae15/ar/arvp/?&amp;seller_id=techshop" TargetMode="External"/><Relationship Id="rId121" Type="http://schemas.openxmlformats.org/officeDocument/2006/relationships/hyperlink" Target="https://produto.mercadolivre.com.br/MLB-1963797965-pressostato-cebolinha-alta-200-psi-300-psi-rac-045210-_JM?matt_tool=25475285&amp;matt_word=&amp;matt_source=google&amp;matt_campaign_id=14303413805&amp;matt_ad_group_id=125984296757&amp;matt_match_type=&amp;matt_network=g&amp;matt_device=c&amp;matt_creative=539354956947&amp;matt_keyword=&amp;matt_ad_position=&amp;matt_ad_type=pla&amp;matt_merchant_id=358974374&amp;matt_product_id=MLB1963797965&amp;matt_product_partition_id=1402779085816&amp;matt_target_id=pla-1402779085816&amp;gclid=CjwKCAiA24SPBhB0EiwAjBgkhkRFCTxm2v3ijISzuwp29izo872RHQNOo6AdvI7aTWdutgX2rbFDNhoCZQ0QAvD_BwE" TargetMode="External"/><Relationship Id="rId242" Type="http://schemas.openxmlformats.org/officeDocument/2006/relationships/hyperlink" Target="https://www.elastobor.com.br/correia-em-v-rexon-modelo-a-32/p?idsku=122013026" TargetMode="External"/><Relationship Id="rId363" Type="http://schemas.openxmlformats.org/officeDocument/2006/relationships/hyperlink" Target="https://www.parafusofacil.com.br/ProdutosDetalhes.php?Codigo=1222201&amp;gclid=Cj0KCQjw1vSZBhDuARIsAKZlijQS7__QJfM9niwnAhmYLNzPd79E6FMlp1kfOoTERvDstr0k-Xvrj2oaAiWrEALw_wcB" TargetMode="External"/><Relationship Id="rId484" Type="http://schemas.openxmlformats.org/officeDocument/2006/relationships/hyperlink" Target="https://www.shoptime.com.br/produto/42027656?opn=GOOGLEXML&amp;offerId=5b85c2e0b6ac28684b33730b&amp;srsltid=AeTuncpNyBmpfxZkO-optMf5MWzGb3vYwzjmLKPw9K5Ypq0RZtKno7EJ0qY" TargetMode="External"/><Relationship Id="rId120" Type="http://schemas.openxmlformats.org/officeDocument/2006/relationships/hyperlink" Target="https://www.ebay.com/itm/185759180633?hash=item2b401c2759:g:4q0AAOSwM3Rj2sVN&amp;amdata=enc%3AAQAIAAAA0JKQZ19HVPPsJTKX5ks2aTh19cbLMxXmsdOGxGNN2k9IqkiuHiO3ubEj7KbevipeIyN8sX8xVSC89dP23SS8GdapMa8%2B43%2FRNHjBs4S%2Fpmux0u9%2FnUoMlTC%2BA7wqUYrTWxCO3h%2FlkWeCcrFedmgDj8oftAObOaCaktUPdVU1M4fgXsPJ15Wr%2BAotWcU1yHre3a0GYxPDQD2QUio9DZtPjAM9BQqf%2B20NRkQjQMQGnntPAnQud1NQvE0uP0EV3epkkGDEBBy9NSGdS8t0OgaJIA0%3D%7Ctkp%3ABFBMgOf2iq9i" TargetMode="External"/><Relationship Id="rId241" Type="http://schemas.openxmlformats.org/officeDocument/2006/relationships/hyperlink" Target="http://www.dutramaquinas.com.br/p/correia-em-v-a-32-66-97-103-200?gclid=CjwKCAiA4veMBhAMEiwAU4XRr5NROTXr8L_omEIu4S8oif5A7YD8FrbbA4EqAnBYoAE5G5vcyoD4MxoCLAEQAvD_BwE" TargetMode="External"/><Relationship Id="rId362" Type="http://schemas.openxmlformats.org/officeDocument/2006/relationships/hyperlink" Target="https://www.megalojista.com.br/fixadores/parafusos/parafuso-sextavado-rosca-inteira/parafuso-sextavado-rosca-inteira-3-8-16-unc-x-1-1-2-asme-b18-2-1-aco-carbono-grau-2-zincado-branco.html" TargetMode="External"/><Relationship Id="rId483" Type="http://schemas.openxmlformats.org/officeDocument/2006/relationships/hyperlink" Target="https://www.utilidadesclinicas.com.br/vaselina-liquida-1l-vic-pharma.html?gclid=Cj0KCQjwk96lBhDHARIsAEKO4xZpab3Xz0v9lH1dqXCe6x6Fk6Ogp4iVtzRbsDOo7z5qoP5ykZB9-awaAgLrEALw_wcB" TargetMode="External"/><Relationship Id="rId240" Type="http://schemas.openxmlformats.org/officeDocument/2006/relationships/hyperlink" Target="https://www.carrefour.com.br/capacitor-permanente-vix-55-mf-380-volts-mp21074979/p" TargetMode="External"/><Relationship Id="rId361" Type="http://schemas.openxmlformats.org/officeDocument/2006/relationships/hyperlink" Target="https://www.ccpvirtual.com.br/parafuso-sextavado-de-ferro-rosca-inteira-38-16-x-1-12-unc-zincado-pacote-com-200-pecas/p" TargetMode="External"/><Relationship Id="rId482" Type="http://schemas.openxmlformats.org/officeDocument/2006/relationships/hyperlink" Target="https://www.shoptime.com.br/produto/58770370?opn=GOOGLEXML&amp;offerId=5c9c511249a1cfe01958b6dd&amp;srsltid=Ad5pg_E-jTnwGUwXkjGozywIfZtqywwDHSGe49RQO_X6XNiRHXexTFEYgsQ" TargetMode="External"/><Relationship Id="rId360" Type="http://schemas.openxmlformats.org/officeDocument/2006/relationships/hyperlink" Target="https://produto.mercadolivre.com.br/MLB-2009145220-parafuso-sextavado-zincado-38x112-ch-916-zincado-200un-_JM?matt_tool=30906007&amp;matt_word=Default_URL_MLB&amp;matt_source=google&amp;matt_campaign_id=10575252929&amp;matt_ad_group_id=100178588610&amp;matt_match_type=&amp;matt_network=g&amp;matt_device=c&amp;matt_creative=450709635100&amp;matt_keyword=&amp;matt_ad_position=&amp;matt_ad_type=&amp;matt_merchant_id=&amp;matt_product_id=&amp;matt_product_partition_id=&amp;matt_target_id=dsa-392429114560&amp;gclid=Cj0KCQjw8NilBhDOARIsAHzpbLCD52m_YLeMpHs_ekXW3J2PaP7jE-7PRfmhTbx7d8X6OuwbFF1NbZkaAg1NEALw_wcB" TargetMode="External"/><Relationship Id="rId481" Type="http://schemas.openxmlformats.org/officeDocument/2006/relationships/hyperlink" Target="https://www.magazineluiza.com.br/vaselina-liquida-1l-marca/p/bc1fkd4622/cp/vsln/?&amp;seller_id=multichemicals" TargetMode="External"/><Relationship Id="rId125" Type="http://schemas.openxmlformats.org/officeDocument/2006/relationships/hyperlink" Target="https://www.magazineluiza.com.br/compressor-rotativo-ar-7000-btu-110v-r410a-midea-05505098/p/ec769617ge/ar/arsp/" TargetMode="External"/><Relationship Id="rId246" Type="http://schemas.openxmlformats.org/officeDocument/2006/relationships/hyperlink" Target="https://www.ferramentaskennedy.com.br/100032021/correia-em-v-tipo-b-41-worker?utm_source=google&amp;utm_medium=cpc&amp;utm_campaign=google_shop&amp;gclid=EAIaIQobChMIyb-KoavH-gIVvRPUAR3s3QfxEAQYAiABEgLq5_D_BwE" TargetMode="External"/><Relationship Id="rId367" Type="http://schemas.openxmlformats.org/officeDocument/2006/relationships/hyperlink" Target="https://www.parafusofacil.com.br/arruelas/arruela-pressao/arruela-pressao-38-9-7-x-16-15-x-2-0-aco-mola-zincado-trivalente/" TargetMode="External"/><Relationship Id="rId488" Type="http://schemas.openxmlformats.org/officeDocument/2006/relationships/hyperlink" Target="https://www.casasbahia.com.br/ventilador-de-parede-ventisol-turbo-6-steel-osc-6-pas-50cm-200w-1504663382/p/1504663382?utm_medium=Cpc&amp;utm_source=google_freelisting&amp;IdSku=1504663382&amp;idLojista=31644&amp;tipoLojista=3P" TargetMode="External"/><Relationship Id="rId124" Type="http://schemas.openxmlformats.org/officeDocument/2006/relationships/hyperlink" Target="https://www.americanas.com.br/produto/5420739549?opn=YSMESP&amp;offerId=62ce7bd74862ecc395b3e2c1&amp;srsltid=AeTuncqJT65TuMKrshfTuCqDb1MsBImX_gnCnICf6ZBG9nc10by5GjTTBOw" TargetMode="External"/><Relationship Id="rId245" Type="http://schemas.openxmlformats.org/officeDocument/2006/relationships/hyperlink" Target="https://www.elastobor.com.br/correia-em-v-rexon-modelo-b-41/p?idsku=122014020" TargetMode="External"/><Relationship Id="rId366" Type="http://schemas.openxmlformats.org/officeDocument/2006/relationships/hyperlink" Target="https://produto.mercadolivre.com.br/MLB-2058881669-arruela-de-presso-travante-38-953mm-zincado-200-pecas-_JM?matt_tool=73118705&amp;matt_word=&amp;matt_source=google&amp;matt_campaign_id=14302215555&amp;matt_ad_group_id=134553706788&amp;matt_match_type=&amp;matt_network=g&amp;matt_device=c&amp;matt_creative=539425529245&amp;matt_keyword=&amp;matt_ad_position=&amp;matt_ad_type=pla&amp;matt_merchant_id=109548783&amp;matt_product_id=MLB2058881669&amp;matt_product_partition_id=1800321081254&amp;matt_target_id=aud-2009166904988:pla-1800321081254&amp;gclid=Cj0KCQjw8NilBhDOARIsAHzpbLBiCF9NdvHuilQArSqRFS3yiugvbLMD46OenWNqGHD2I4pwvVRZZ6gaAjVREALw_wcB" TargetMode="External"/><Relationship Id="rId487" Type="http://schemas.openxmlformats.org/officeDocument/2006/relationships/hyperlink" Target="https://www.americanas.com.br/produto/1901858207?opn=YSMESP&amp;offerId=63a2253c401db3b86b482b0a&amp;srsltid=AeTuncrRZu5-j6QRw6VMgB7zKdFZaEBtsguYMexeextMYtYXKizWZYEiHzg&amp;tamanho=50cm&amp;cor=Preto&amp;voltagem=Bivolt&amp;condition=NEW" TargetMode="External"/><Relationship Id="rId123" Type="http://schemas.openxmlformats.org/officeDocument/2006/relationships/hyperlink" Target="https://frioparcomercial.com.br/produto/pressostato-de-alta-r410-pc0004-rosca/" TargetMode="External"/><Relationship Id="rId244" Type="http://schemas.openxmlformats.org/officeDocument/2006/relationships/hyperlink" Target="https://abelt-loja.com.br/produto/correia-em-v-bx-41-keiper/?utm_source=Google%20Shopping&amp;utm_campaign=Todos%20os%20Produtos&amp;utm_medium=cpc&amp;utm_term=1354&amp;gclid=Cj0KCQjw2eilBhCCARIsAG0Pf8vRotlWj_OwvUCJHkNfMORmtgMCYsbI6Zbhx5o1BRXW0FnJgpeOLN8aAkvgEALw_wcB" TargetMode="External"/><Relationship Id="rId365" Type="http://schemas.openxmlformats.org/officeDocument/2006/relationships/hyperlink" Target="https://www.jofepar.com.br/arruela-lisa-1-4-x-1,2-490-p1173" TargetMode="External"/><Relationship Id="rId486" Type="http://schemas.openxmlformats.org/officeDocument/2006/relationships/hyperlink" Target="https://www.magazineluiza.com.br/suporte-de-parede-fixo-tv-e-monitor-sumay-sm-spf3280-32-a-80-pol/p/eb98eeh4c4/et/sufx/" TargetMode="External"/><Relationship Id="rId122" Type="http://schemas.openxmlformats.org/officeDocument/2006/relationships/hyperlink" Target="https://shopee.com.br/product/330008689/10290537319" TargetMode="External"/><Relationship Id="rId243" Type="http://schemas.openxmlformats.org/officeDocument/2006/relationships/hyperlink" Target="https://www.ferramentaskennedy.com.br/100031146/correia-em-v-tipo-a-32-worker?utm_source=google&amp;utm_medium=cpc&amp;utm_campaign=google_shop&amp;gclid=CjwKCAiA4veMBhAMEiwAU4XRryG8mTOJ52LbFkGkmogJOLaV5Moi8hE16i5fboudkvEtEUGwpYk9XxoCWkAQAvD_BwE" TargetMode="External"/><Relationship Id="rId364" Type="http://schemas.openxmlformats.org/officeDocument/2006/relationships/hyperlink" Target="https://loja.eletronor.com.br/arruela-lisa-1-4-ge-ref--40100010---eletropoll-01/p?idsku=129&amp;gclid=CjwKCAiAzrWOBhBjEiwAq85QZySKRV1kK2gexTRmLt_8M-mBLfPowHMk4kfi8edFmbadGdOZcHQRRBoCJasQAvD_BwE" TargetMode="External"/><Relationship Id="rId485" Type="http://schemas.openxmlformats.org/officeDocument/2006/relationships/hyperlink" Target="https://www.americanas.com.br/produto/42027656?opn=YSMESP&amp;offerId=5b85c2d7172743a0f512aa1f&amp;srsltid=AeTuncqAb53xL9Yz9Gur0D8LPBcpzSIeQ1ksc7oR-eSI7igaApk2ZpVCHJY" TargetMode="External"/><Relationship Id="rId95" Type="http://schemas.openxmlformats.org/officeDocument/2006/relationships/hyperlink" Target="https://www.ferramentaskennedy.com.br/100072566/lamina-serra-manual-bimetalica-12-305mm-18-dentes-collins?utm_source=google&amp;utm_medium=cpc&amp;utm_campaign=google_shop" TargetMode="External"/><Relationship Id="rId94" Type="http://schemas.openxmlformats.org/officeDocument/2006/relationships/hyperlink" Target="https://shopee.com.br/product/441876138/11010174261" TargetMode="External"/><Relationship Id="rId97" Type="http://schemas.openxmlformats.org/officeDocument/2006/relationships/hyperlink" Target="https://www.rpsar.com.br/MLB-1660996242-grelha-grade-de-insuflamento-ar-climatizado-etc-40-x-40-cm-_JM" TargetMode="External"/><Relationship Id="rId96" Type="http://schemas.openxmlformats.org/officeDocument/2006/relationships/hyperlink" Target="https://www.magazineluiza.com.br/lamina-para-arco-de-serra-12-pol-multiuso-profissional-3pcs-aco-forte/p/cgh0a6bgh1/fs/adsr/?&amp;seller_id=raip" TargetMode="External"/><Relationship Id="rId99" Type="http://schemas.openxmlformats.org/officeDocument/2006/relationships/hyperlink" Target="https://www.novaexaustores.com.br/acessorios-pventilacao-e-exaustao/grelha-simples-deflexao-em-aluminio-anodizado-fosco?variant_id=4064" TargetMode="External"/><Relationship Id="rId480" Type="http://schemas.openxmlformats.org/officeDocument/2006/relationships/hyperlink" Target="https://www.anhangueraferramentas.com.br/produto/plugue-macho-reto-2p-t-10a-250v-tramontina-eletrik-95671?utm_source=google&amp;utm_medium=cpc&amp;utm_campaign=" TargetMode="External"/><Relationship Id="rId98" Type="http://schemas.openxmlformats.org/officeDocument/2006/relationships/hyperlink" Target="https://produto.mercadolivre.com.br/MLB-1660996242-grelha-grade-de-insuflamento-ar-climatizado-etc-40-x-40-cm-_JM?matt_tool=40343894&amp;matt_word=&amp;matt_source=google&amp;matt_campaign_id=14303413655&amp;matt_ad_group_id=125984293117&amp;matt_match_type=&amp;matt_network=g&amp;matt_device=c&amp;matt_creative=539354956680&amp;matt_keyword=&amp;matt_ad_position=&amp;matt_ad_type=pla&amp;matt_merchant_id=284595280&amp;matt_product_id=MLB1660996242&amp;matt_product_partition_id=1404886571418&amp;matt_target_id=pla-1404886571418&amp;gclid=CjwKCAiAz--OBhBIEiwAG1rIOg9BIAd3BfAUQkaZhnmltZCML_6MZeHMFo3uKtNYhgTC0uAVmzz7mxoCyeIQAvD_BwE" TargetMode="External"/><Relationship Id="rId91" Type="http://schemas.openxmlformats.org/officeDocument/2006/relationships/hyperlink" Target="https://www.magazineluiza.com.br/vaselina-solida-industrial-branca-3-kg-v11g-resim/p/ge361b81f3/pa/pats/" TargetMode="External"/><Relationship Id="rId90" Type="http://schemas.openxmlformats.org/officeDocument/2006/relationships/hyperlink" Target="https://www.samatec.com.br/detergente-profissional-desincrustante-jato-plus-metasil-/p?idsku=2003212" TargetMode="External"/><Relationship Id="rId93" Type="http://schemas.openxmlformats.org/officeDocument/2006/relationships/hyperlink" Target="https://www.tudodeferramentas.com.br/vaselina-solida-industrial-viluz-balde-c-3kg?utm_source=Site&amp;utm_medium=GoogleMerchant&amp;utm_campaign=GoogleMerchant" TargetMode="External"/><Relationship Id="rId92" Type="http://schemas.openxmlformats.org/officeDocument/2006/relationships/hyperlink" Target="https://www.casasbahia.com.br/vaselina-solida-industrial-economica-300kg-1519446465/p/1519446465?utm_medium=Cpc&amp;utm_source=google_freelisting&amp;IdSku=1519446465&amp;idLojista=16521" TargetMode="External"/><Relationship Id="rId118" Type="http://schemas.openxmlformats.org/officeDocument/2006/relationships/hyperlink" Target="https://www.viewtech.ind.br/catalog/product/view/id/3913/s/bobina-solenoide-24vcc-para-valvula-pneumatica-festo-msfwg/?utm_source=&amp;utm_medium=&amp;utm_campaign=&amp;utm_term=&amp;utm_content=&amp;gclid=CjwKCAiAz--OBhBIEiwAG1rIOiHounVYh1BgjC5CMF_TbEJYcyFN7OWL3fPLQC8JGughidHCHgq-sBoC4tQQAvD_BwE" TargetMode="External"/><Relationship Id="rId239" Type="http://schemas.openxmlformats.org/officeDocument/2006/relationships/hyperlink" Target="https://www.friopecas.com.br/capacitor-permanente-vix-45mf-250-volts/p?idsku=108332" TargetMode="External"/><Relationship Id="rId117" Type="http://schemas.openxmlformats.org/officeDocument/2006/relationships/hyperlink" Target="https://www.lojaqualitytubos.com.br/chave-de-fluxo-de-1-p995610?utm_source=google&amp;utm_medium=upc&amp;utm_campaign=qualitytubos&amp;gclid=CjwKCAiAz--OBhBIEiwAG1rIOrwFp0amLYH_Q9-fEcXJQCH8l8tm_rVSzPEEiVDaJn2karIaaHNxNxoCLX4QAvD_BwE" TargetMode="External"/><Relationship Id="rId238" Type="http://schemas.openxmlformats.org/officeDocument/2006/relationships/hyperlink" Target="https://www.magazineluiza.com.br/capacitor-permanente-vix-45mf-250-volts/p/kce45c6d4a/cj/ccto/?&amp;seller_id=friopecas" TargetMode="External"/><Relationship Id="rId359" Type="http://schemas.openxmlformats.org/officeDocument/2006/relationships/hyperlink" Target="https://www.submarino.com.br/produto/2399970876?opn=XMLGOOGLE&amp;offerId=5f91cfbc33948c48c94ee11b" TargetMode="External"/><Relationship Id="rId116" Type="http://schemas.openxmlformats.org/officeDocument/2006/relationships/hyperlink" Target="https://www.embrar.com.br/chave-de-fluxo-fluxostato/p?idsku=13295" TargetMode="External"/><Relationship Id="rId237" Type="http://schemas.openxmlformats.org/officeDocument/2006/relationships/hyperlink" Target="https://www.embrar.com.br/gas-refrigerante-r134a-cilindro/p?idsku=11979" TargetMode="External"/><Relationship Id="rId358" Type="http://schemas.openxmlformats.org/officeDocument/2006/relationships/hyperlink" Target="https://www.magazineluiza.com.br/fita-de-aco-inox-lisa-para-cintar-poste-fusimec-1-2-x-05mm-x-25m-pier-telecom/p/hd6j4d485g/pi/fipe/" TargetMode="External"/><Relationship Id="rId479" Type="http://schemas.openxmlformats.org/officeDocument/2006/relationships/hyperlink" Target="http://www.lojaeletrica.com.br/plug-macho-preto-10a-2pt-nbr14136-57403003-tramontina,product,2321806630160,dept,0.aspx" TargetMode="External"/><Relationship Id="rId115" Type="http://schemas.openxmlformats.org/officeDocument/2006/relationships/hyperlink" Target="https://produto.mercadolivre.com.br/MLB-1689328399-chave-de-fluxo-fluxostato-agua-mod-imp-23-220v-1-_JM?matt_tool=14804773&amp;matt_word=&amp;matt_source=google&amp;matt_campaign_id=14302215543&amp;matt_ad_group_id=134553705348&amp;matt_match_type=&amp;matt_network=g&amp;matt_device=c&amp;matt_creative=539425529185&amp;matt_keyword=&amp;matt_ad_position=&amp;matt_ad_type=pla&amp;matt_merchant_id=134389638&amp;matt_product_id=MLB1689328399&amp;matt_product_partition_id=1404320022641&amp;matt_target_id=aud-395642386021:pla-1404320022641&amp;gclid=Cj0KCQjw08aYBhDlARIsAA_gb0fe_IL_QmDMbmYMBDeYMLLlXR595B1UQPnePLrvW1UcPe1Mf9Lu2X0aAiJoEALw_wcB" TargetMode="External"/><Relationship Id="rId236" Type="http://schemas.openxmlformats.org/officeDocument/2006/relationships/hyperlink" Target="https://www.frigelar.com.br/gas-refrigerante-r134a-eos-cilindro-de-136kg/p/kit5119?gclid=Cj0KCQjw08aYBhDlARIsAA_gb0f26ibk9pLeKoBtmSB3vyq-yo9aTf84zDEIiE_7g0JrM4OFRflpgAsaAmINEALw_wcB" TargetMode="External"/><Relationship Id="rId357" Type="http://schemas.openxmlformats.org/officeDocument/2006/relationships/hyperlink" Target="https://www.unicaserv.com.br/fita-inox-fusimec-1/2" TargetMode="External"/><Relationship Id="rId478" Type="http://schemas.openxmlformats.org/officeDocument/2006/relationships/hyperlink" Target="https://www.lojasafubra.com.br/plugue-macho-tramontina-2-pinos-terra-10a-250v-preto-57403-003/p?idsku=12312&amp;gclid=Cj0KCQjw1vSZBhDuARIsAKZlijSuO5QSlQqo9cUQWvKymfmYLb9SdgmRH008KUml3lE4Pgk7dGOZM9YaAnaYEALw_wcB" TargetMode="External"/><Relationship Id="rId119" Type="http://schemas.openxmlformats.org/officeDocument/2006/relationships/hyperlink" Target="https://www.canalagricola.com.br/valvula-solenoide-rainbird-100hv" TargetMode="External"/><Relationship Id="rId110" Type="http://schemas.openxmlformats.org/officeDocument/2006/relationships/hyperlink" Target="https://www.totalar.net/produtos/transdutor-de-pressao-de-baixa-19240044/" TargetMode="External"/><Relationship Id="rId231" Type="http://schemas.openxmlformats.org/officeDocument/2006/relationships/hyperlink" Target="https://www.leroymerlin.com.br/capacitor-permanente-vix-40mf-380-volts_1567805000?region=outros" TargetMode="External"/><Relationship Id="rId352" Type="http://schemas.openxmlformats.org/officeDocument/2006/relationships/hyperlink" Target="https://www.santil.com.br/produto/fita-isolante-alta-fusao-preta-19mm-x-10m-3m/393322" TargetMode="External"/><Relationship Id="rId473" Type="http://schemas.openxmlformats.org/officeDocument/2006/relationships/hyperlink" Target="https://www.acamargo.com/thinner-5-litros.html" TargetMode="External"/><Relationship Id="rId594" Type="http://schemas.openxmlformats.org/officeDocument/2006/relationships/hyperlink" Target="https://www.dimensional.com.br/quadro-comando-embutir-poliestireno-bege-ral-7032-transparente-300-mm-200-mm-170-mm-com-placa-laranja-ccp302017tr-cemar/p?idsku=243273" TargetMode="External"/><Relationship Id="rId230" Type="http://schemas.openxmlformats.org/officeDocument/2006/relationships/hyperlink" Target="https://www.proelis.com.br/capacitor-permanente-40uf-mf-380v.php" TargetMode="External"/><Relationship Id="rId351" Type="http://schemas.openxmlformats.org/officeDocument/2006/relationships/hyperlink" Target="https://www.nobreakcerto.com.br/bateria-selada-vrla-agm-powertek-12v-7ah-pr-388-404854.htm?gclid=CjwKCAiA9tyQBhAIEiwA6tdCrBmn7DMz2kxYr-JT5OI1elOO9UfJcWzlws5_5gWzOTifO398pTMPFhoCCUgQAvD_BwE" TargetMode="External"/><Relationship Id="rId472" Type="http://schemas.openxmlformats.org/officeDocument/2006/relationships/hyperlink" Target="https://www.mcfmateriais.com.br/thinner-itaqua-5lt" TargetMode="External"/><Relationship Id="rId593" Type="http://schemas.openxmlformats.org/officeDocument/2006/relationships/hyperlink" Target="https://loja.eletronor.com.br/quadro-de-comando-tampa-transparente-ccp-302017-ral7032-ip54-ref-913422---cemar-legrand/p?idsku=2206&amp;srsltid=AeTuncqpszHETvHeu1bGbM-tKvVjR2Nl6okhE0VDohb_-AFGy3PAmZ2idyQ" TargetMode="External"/><Relationship Id="rId350" Type="http://schemas.openxmlformats.org/officeDocument/2006/relationships/hyperlink" Target="https://produto.mercadolivre.com.br/MLB-760276218-bateria-12v-7a-central-de-alarme-e-cerca-eletrica-nobreak-_JM?matt_tool=18956390&amp;utm_source=google_shopping&amp;utm_medium=organic" TargetMode="External"/><Relationship Id="rId471" Type="http://schemas.openxmlformats.org/officeDocument/2006/relationships/hyperlink" Target="https://www.frigelar.com.br/tubo-isolante-elastomerico-class1-armaflex-7-8-22mm-parede-19mm-barra-de-2-metros/p/kit3501" TargetMode="External"/><Relationship Id="rId592" Type="http://schemas.openxmlformats.org/officeDocument/2006/relationships/hyperlink" Target="https://www.portaleletrico.com.br/quadro-de-comando-pvc-30x20x17cm-tampa-transparente-cemar-4754/p?idsku=4829" TargetMode="External"/><Relationship Id="rId470" Type="http://schemas.openxmlformats.org/officeDocument/2006/relationships/hyperlink" Target="https://www.gelatudo.com.br/produto/tubo-isolante-elastomerico-78-19x22mm-barra-2m.html?gclid=Cj0KCQiAq7COBhC2ARIsANsPATHcBK9AC0p2OHnrx5HGcXbYDYEPLBWjUrNZkotxkbDXz0Z-sVePLBYaArdeEALw_wcB" TargetMode="External"/><Relationship Id="rId591" Type="http://schemas.openxmlformats.org/officeDocument/2006/relationships/hyperlink" Target="https://www.santeconline.com.br/caixa-versatil-n-1-tomada-20a-e-interruptor-bipolar-2213-35969" TargetMode="External"/><Relationship Id="rId114" Type="http://schemas.openxmlformats.org/officeDocument/2006/relationships/hyperlink" Target="https://www.riopretoar.com.br/index.php/filtro-oleo-sporlan-parker-carrier-externo-30-hx-130-chilers-3194.html" TargetMode="External"/><Relationship Id="rId235" Type="http://schemas.openxmlformats.org/officeDocument/2006/relationships/hyperlink" Target="https://www.dufrio.com.br/fluido-refrigerante-r134-dugold-tetrafluoretano-136kg-onu3159.html?utm_source=google&amp;utm_medium=shopping&amp;apwc=Y2FuYWxJbnRlZ3JhY2FvPTQ0N3xwcm9kdXRvPTg2Mzk=&amp;gclid=CjwKCAiA4veMBhAMEiwAU4XRrzuBxjiQcNccLFvyxfAElGiFy1eYAYxptU8fQ5dd5ajIz11v28rJGRoClbAQAvD_BwE" TargetMode="External"/><Relationship Id="rId356" Type="http://schemas.openxmlformats.org/officeDocument/2006/relationships/hyperlink" Target="https://www.ferpam.com.br/fita-multiuso-silver-tape-prata-48mm-x-50m-adelbras.html" TargetMode="External"/><Relationship Id="rId477" Type="http://schemas.openxmlformats.org/officeDocument/2006/relationships/hyperlink" Target="https://www.juncao.com.br/fsn-22-mm-rele-de-protecao-de-falta-de-fase-sem-retardo-1-spdt-altronic" TargetMode="External"/><Relationship Id="rId113" Type="http://schemas.openxmlformats.org/officeDocument/2006/relationships/hyperlink" Target="https://produto.mercadolivre.com.br/MLB-1951415210-filtro-de-oleo-externo-carrier-chiller-30gx-e-30hx-_JM?matt_tool=36571132&amp;matt_word=&amp;matt_source=google&amp;matt_campaign_id=14303413676&amp;matt_ad_group_id=125984296077&amp;matt_match_type=&amp;matt_network=g&amp;matt_device=c&amp;matt_creative=539354956920&amp;matt_keyword=&amp;matt_ad_position=&amp;matt_ad_type=pla&amp;matt_merchant_id=500176569&amp;matt_product_id=MLB1951415210&amp;matt_product_partition_id=1639321648021&amp;matt_target_id=aud-1439668500373:pla-1639321648021&amp;gclid=Cj0KCQjw08aYBhDlARIsAA_gb0fMPP0UfesRKuvS_Q9K-xSxju-THTlOXfcGHkIoMdrEqVkUKglYuBsaAk5_EALw_wcB" TargetMode="External"/><Relationship Id="rId234" Type="http://schemas.openxmlformats.org/officeDocument/2006/relationships/hyperlink" Target="https://www.carrefour.com.br/capacitor-permanente-vix-55-mf-380-volts-mp21074979/p" TargetMode="External"/><Relationship Id="rId355" Type="http://schemas.openxmlformats.org/officeDocument/2006/relationships/hyperlink" Target="https://www.kalunga.com.br/prod/fita-adesiva-multiuso-48mmx50m-silver-tape-960-adelbras-pt-1-un/301197" TargetMode="External"/><Relationship Id="rId476" Type="http://schemas.openxmlformats.org/officeDocument/2006/relationships/hyperlink" Target="https://www.viewtech.ind.br/catalog/product/view/id/2957/s/rele-falta-de-fase-com-neutro-altronic-trifasico-220v-fsn-22/?utm_source=&amp;utm_medium=&amp;utm_campaign=&amp;utm_term=&amp;utm_content=&amp;gclid=Cj0KCQiAq7COBhC2ARIsANsPATECIAPAgO1MPLapzSvIxDqYkt-ZarozXW-5ETjw80mrCDEGGqIAyQQaAvtWEALw_wcB" TargetMode="External"/><Relationship Id="rId112" Type="http://schemas.openxmlformats.org/officeDocument/2006/relationships/hyperlink" Target="https://nema4852381.mercadoshops.com.br/MLB-1951415210-filtro-de-oleo-externo-carrier-chiller-30gx-e-30hx-_JM" TargetMode="External"/><Relationship Id="rId233" Type="http://schemas.openxmlformats.org/officeDocument/2006/relationships/hyperlink" Target="https://www.friopecas.com.br/capacitor-permanente-vix-45mf-250-volts/p?idsku=108332" TargetMode="External"/><Relationship Id="rId354" Type="http://schemas.openxmlformats.org/officeDocument/2006/relationships/hyperlink" Target="https://www.difusor.com.br/fita-silver-tape-cinza-48mm-x-50m-eos?utm_source=Site&amp;utm_medium=GoogleMerchant&amp;utm_campaign=GoogleMerchant&amp;gclid=Cj0KCQjw8NilBhDOARIsAHzpbLDmObOeyp55ZrX7jMeYZmgo8G9ehhfCu1TeLS2OU3nAjYTAu05vG8oaAj3BEALw_wcB" TargetMode="External"/><Relationship Id="rId475" Type="http://schemas.openxmlformats.org/officeDocument/2006/relationships/hyperlink" Target="https://www.amazon.com.br/Falta-Sequ%C3%AAncia-DFF3-460-220-460VCA-Metaltex/dp/B07X3XQYZG/ref=asc_df_B07X3XQYZG/?tag=googleshopp00-20&amp;linkCode=df0&amp;hvadid=379817630822&amp;hvpos=&amp;hvnetw=g&amp;hvrand=14494293475914508727&amp;hvpone=&amp;hvptwo=&amp;hvqmt=&amp;hvdev=c&amp;hvdvcmdl=&amp;hvlocint=&amp;hvlocphy=1031634&amp;hvtargid=pla-1655643501744&amp;psc=1" TargetMode="External"/><Relationship Id="rId111" Type="http://schemas.openxmlformats.org/officeDocument/2006/relationships/hyperlink" Target="https://www.impactorefrigeracao.com.br/produto/transdutor-oleo-pressao-altabaixa-39301023-chiller-carrier.html?utm_source=Site&amp;utm_medium=GoogleMerchant&amp;utm_campaign=GoogleMerchant" TargetMode="External"/><Relationship Id="rId232" Type="http://schemas.openxmlformats.org/officeDocument/2006/relationships/hyperlink" Target="https://www.magazineluiza.com.br/capacitor-permanente-vix-45mf-250-volts/p/kce45c6d4a/cj/ccto/?&amp;seller_id=friopecas" TargetMode="External"/><Relationship Id="rId353" Type="http://schemas.openxmlformats.org/officeDocument/2006/relationships/hyperlink" Target="https://www.casadomecanico.com.br/fita-isolante-alta-fusao-19mm-x-10m-prysmian-p6259/" TargetMode="External"/><Relationship Id="rId474" Type="http://schemas.openxmlformats.org/officeDocument/2006/relationships/hyperlink" Target="https://www.torrescabral.com.br/thinner-premium-5l-9100-eucatex?parceiro=3933" TargetMode="External"/><Relationship Id="rId595" Type="http://schemas.openxmlformats.org/officeDocument/2006/relationships/drawing" Target="../drawings/drawing14.xml"/><Relationship Id="rId305" Type="http://schemas.openxmlformats.org/officeDocument/2006/relationships/hyperlink" Target="https://produto.mercadolivre.com.br/MLB-1357149151-valvula-esfera-motorizada-3-vias-34-on-off-retorno-eletrico-_JM?matt_tool=63064967&amp;matt_word=&amp;matt_source=google&amp;matt_campaign_id=14303413826&amp;matt_ad_group_id=133431076203&amp;matt_match_type=&amp;matt_network=g&amp;matt_device=c&amp;matt_creative=584156655540&amp;matt_keyword=&amp;matt_ad_position=&amp;matt_ad_type=pla&amp;matt_merchant_id=585367050&amp;matt_product_id=MLB1357149151&amp;matt_product_partition_id=691191464150&amp;matt_target_id=aud-532123541969:pla-691191464150&amp;gclid=Cj0KCQjw08aYBhDlARIsAA_gb0c5WhXzrk5tP6WuWYq3XSPpHoFplGAwL6OVekQIpvt9OJDFg8cBztIaAntREALw_wcB" TargetMode="External"/><Relationship Id="rId426" Type="http://schemas.openxmlformats.org/officeDocument/2006/relationships/hyperlink" Target="https://www.frigelar.com.br/instalacao-ar-condicionado-split-piso-e-teto-31000-a-80000-btus-so-frio-ou-quente-e-frio/p/fglinst07" TargetMode="External"/><Relationship Id="rId547" Type="http://schemas.openxmlformats.org/officeDocument/2006/relationships/hyperlink" Target="https://shopee.com.br/product/373717375/8624354834" TargetMode="External"/><Relationship Id="rId304" Type="http://schemas.openxmlformats.org/officeDocument/2006/relationships/hyperlink" Target="https://www.magazineluiza.com.br/valvula-esfera-motorizada-3-vias-3-4-on-off-retorno-eletrico-actbv80s-320-actua-controls/p/hj2bgk47fa/ed/vvlv/" TargetMode="External"/><Relationship Id="rId425" Type="http://schemas.openxmlformats.org/officeDocument/2006/relationships/hyperlink" Target="https://www.leveros.com.br/3000001212-instalacao-5m-split-pt-41k-a-60k-leveros/p" TargetMode="External"/><Relationship Id="rId546" Type="http://schemas.openxmlformats.org/officeDocument/2006/relationships/hyperlink" Target="https://www.magazineluiza.com.br/botao-de-comando-jng-cogumel-lay5-es54/p/da00jb2kf9/cj/intd/?&amp;seller_id=bugshop2" TargetMode="External"/><Relationship Id="rId303" Type="http://schemas.openxmlformats.org/officeDocument/2006/relationships/hyperlink" Target="https://www.madeiramadeira.com.br/valvula-esfera-motorizada-3-vias-1-on-off-retorno-eletrico-actbv80s-325-3900673.html" TargetMode="External"/><Relationship Id="rId424" Type="http://schemas.openxmlformats.org/officeDocument/2006/relationships/hyperlink" Target="https://www.vitorarcondicionado.com.br/servicos/hi-wall/piso-teto/instalac-o-ar-condicionado-hi-wall-48000-btus.html" TargetMode="External"/><Relationship Id="rId545" Type="http://schemas.openxmlformats.org/officeDocument/2006/relationships/hyperlink" Target="https://www.zigferramentas.com.br/botao-comando-emergencia-lay5-bs54-vermelho-jng-52003?utm_source=Site&amp;utm_medium=GoogleMerchant&amp;utm_campaign=GoogleMerchant&amp;srsltid=AeTuncrUDKVkPyprP62wrBTwPI7k5LkTwnyaKZAN6uxU_6T9Orjnp7ceMDA" TargetMode="External"/><Relationship Id="rId302" Type="http://schemas.openxmlformats.org/officeDocument/2006/relationships/hyperlink" Target="https://produto.mercadolivre.com.br/MLB-1357149145-valvula-esfera-motorizada-3-vias-1-on-off-retorno-eletrico-_JM?matt_tool=40343894&amp;matt_word=&amp;matt_source=google&amp;matt_campaign_id=14303413655&amp;matt_ad_group_id=133855953276&amp;matt_match_type=&amp;matt_network=g&amp;matt_device=c&amp;matt_creative=584156655519&amp;matt_keyword=&amp;matt_ad_position=&amp;matt_ad_type=pla&amp;matt_merchant_id=668985748&amp;matt_product_id=MLB1357149145&amp;matt_product_partition_id=1816238256222&amp;matt_target_id=aud-2009166904988:pla-1816238256222&amp;gclid=Cj0KCQjw2eilBhCCARIsAG0Pf8sH8XREz00H-nZNTeE1CZCkyJGIBbwUH_1xtVwWTq3EGqi6c8ZbgogaAhEzEALw_wcB" TargetMode="External"/><Relationship Id="rId423" Type="http://schemas.openxmlformats.org/officeDocument/2006/relationships/hyperlink" Target="https://www.webcontinental.com.br/servi%C3%A7o-de-instala%C3%A7%C3%A3o-de-ar-condicionado-split-piso-teto-de-12000-a-36000-btus/product/58936" TargetMode="External"/><Relationship Id="rId544" Type="http://schemas.openxmlformats.org/officeDocument/2006/relationships/hyperlink" Target="https://www.gnautomacao.com.br/botao-de-emergencia-gira-destrava?gclid=Cj0KCQjwwvilBhCFARIsADvYi7IYfQdQNz_SE9HGKxEQgv3KPxkYAqGwHlXFCKWG3m0QddnhfxO_9UgaAuMREALw_wcB" TargetMode="External"/><Relationship Id="rId309" Type="http://schemas.openxmlformats.org/officeDocument/2006/relationships/hyperlink" Target="https://www.madeiramadeira.com.br/valvula-esfera-motorizada-3-vias-1-2-on-off-retorno-eletrico-actbv80s-315-4466578.html" TargetMode="External"/><Relationship Id="rId308" Type="http://schemas.openxmlformats.org/officeDocument/2006/relationships/hyperlink" Target="https://produto.mercadolivre.com.br/MLB-1357152343-valvula-esfera-motorizada-3-vias-12-on-off-retorno-eletrico-_JM?matt_tool=18956390&amp;utm_source=google_shopping&amp;utm_medium=organic" TargetMode="External"/><Relationship Id="rId429" Type="http://schemas.openxmlformats.org/officeDocument/2006/relationships/hyperlink" Target="https://www.frigelar.com.br/instalacao-ar-condicionado-split-piso-e-teto-31000-a-80000-btus-so-frio-ou-quente-e-frio/p/fglinst07" TargetMode="External"/><Relationship Id="rId307" Type="http://schemas.openxmlformats.org/officeDocument/2006/relationships/hyperlink" Target="https://www.magazineluiza.com.br/valvula-esfera-motorizada-3-vias-1-2-on-off-retorno-eletrico-actbv80s-315-actua-controls/p/aa24757ke7/ed/vvlv/?&amp;seller_id=frioshopping" TargetMode="External"/><Relationship Id="rId428" Type="http://schemas.openxmlformats.org/officeDocument/2006/relationships/hyperlink" Target="https://www.leveros.com.br/3000001212-instalacao-5m-split-pt-41k-a-60k-leveros/p" TargetMode="External"/><Relationship Id="rId549" Type="http://schemas.openxmlformats.org/officeDocument/2006/relationships/hyperlink" Target="https://www.merkatho.com.br/produto/153/fusivel-nh-00-125a-retardado-gg-gl--500v" TargetMode="External"/><Relationship Id="rId306" Type="http://schemas.openxmlformats.org/officeDocument/2006/relationships/hyperlink" Target="https://www.totalar.net/produtos/valvula-esfera-on-off-ret-eletrico-3-vias-3-4-cv885-220v-actbv80s-320-1669/" TargetMode="External"/><Relationship Id="rId427" Type="http://schemas.openxmlformats.org/officeDocument/2006/relationships/hyperlink" Target="https://www.sfriarcondicionado.com.br/loja/servicos/instalacao-de-ar-condicionado/instalacao-de-ar-condicionado-piso-teto-convencional-60000-80000-btus/" TargetMode="External"/><Relationship Id="rId548" Type="http://schemas.openxmlformats.org/officeDocument/2006/relationships/hyperlink" Target="https://www.viewtech.ind.br/fusivel-nh-retardado-gl-gg-125a-negrini-nh-00-125-500?gclid=Cj0KCQjwwvilBhCFARIsADvYi7IP1Afkp8Fv_axOdMXaiRadFREdIhOGBGT1_As5u8nuJ6HL3g94HKYaAokEEALw_wcB" TargetMode="External"/><Relationship Id="rId301" Type="http://schemas.openxmlformats.org/officeDocument/2006/relationships/hyperlink" Target="https://www.magazineluiza.com.br/valvula-esfera-motorizada-3-vias-1-on-off-retorno-eletrico-actbv80s-325-actua-controls/p/aeab1kj75k/ed/vvlv/" TargetMode="External"/><Relationship Id="rId422" Type="http://schemas.openxmlformats.org/officeDocument/2006/relationships/hyperlink" Target="https://www.leveros.com.br/3000001211-instalacao-5m-split-pt-31k-a-40k-leveros/p" TargetMode="External"/><Relationship Id="rId543" Type="http://schemas.openxmlformats.org/officeDocument/2006/relationships/hyperlink" Target="https://www.leroymerlin.com.br/fechadura-corta-fogo-sem-chave-cinza-w1020-cz_1570431039" TargetMode="External"/><Relationship Id="rId300" Type="http://schemas.openxmlformats.org/officeDocument/2006/relationships/hyperlink" Target="https://www.refrigeracaocatavento.com.br/refil-macarico-gas-map-eos-400g?parceiro=6374&amp;gclid=CjwKCAiA8bqOBhANEiwA-sIlN3SkhzE8zdyI60F_twPA1Bl6fiIjxQRL96JqG-qzvh4H2WXRJlft1RoCv0sQAvD_BwE" TargetMode="External"/><Relationship Id="rId421" Type="http://schemas.openxmlformats.org/officeDocument/2006/relationships/hyperlink" Target="https://www.vitorarcondicionado.com.br/https-www-vitorarcondicionado-com-br-servicos-piso-teto-instalac-o-ar-condicionado-hi-wall-36000-btus-html.html" TargetMode="External"/><Relationship Id="rId542" Type="http://schemas.openxmlformats.org/officeDocument/2006/relationships/hyperlink" Target="https://www.magazineluiza.com.br/fechadura-para-porta-corta-fogo-de-sobrepor-preta-durati/p/ef6h2b2223/cj/dura/?&amp;seller_id=disafe" TargetMode="External"/><Relationship Id="rId420" Type="http://schemas.openxmlformats.org/officeDocument/2006/relationships/hyperlink" Target="https://www.webcontinental.com.br/servi%C3%A7o-de-instala%C3%A7%C3%A3o-de-ar-condicionado-split-piso-teto-de-12000-a-36000-btus/product/58936" TargetMode="External"/><Relationship Id="rId541" Type="http://schemas.openxmlformats.org/officeDocument/2006/relationships/hyperlink" Target="https://www.cassol.com.br/fechadura-para-porta-corta-fogo-de-sobrepor-sem-chave-preto-durati/p?idsku=1992533" TargetMode="External"/><Relationship Id="rId540" Type="http://schemas.openxmlformats.org/officeDocument/2006/relationships/hyperlink" Target="https://www.ferramentaskennedy.com.br/3498/calibrador-de-pneus-premium-stok-air-bivolt?srsltid=AeTunco9hshlxO1SY7AXt7WawfIN2QUEkoVEHChkgBwKeZNRFkkeOZfC2rE" TargetMode="External"/><Relationship Id="rId415" Type="http://schemas.openxmlformats.org/officeDocument/2006/relationships/hyperlink" Target="https://www.leveros.com.br/3000001210-instalacao-5m-split-pt-20k-a-30k-leveros/p" TargetMode="External"/><Relationship Id="rId536" Type="http://schemas.openxmlformats.org/officeDocument/2006/relationships/hyperlink" Target="https://www.cicampo.com.br/mangueira-espiral-de-7-metros-schweers-espu700?parceiro=8650" TargetMode="External"/><Relationship Id="rId414" Type="http://schemas.openxmlformats.org/officeDocument/2006/relationships/hyperlink" Target="https://www.webcontinental.com.br/servi%C3%A7o-de-instala%C3%A7%C3%A3o-de-ar-condicionado-split-piso-teto-de-12000-a-36000-btus/product/58936" TargetMode="External"/><Relationship Id="rId535" Type="http://schemas.openxmlformats.org/officeDocument/2006/relationships/hyperlink" Target="https://www.magazineluiza.com.br/mangueira-espiral-pu-8x55-mm-7mt-azul-espu700-schweers/p/kha4j2h9e7/fj/mjdm/" TargetMode="External"/><Relationship Id="rId413" Type="http://schemas.openxmlformats.org/officeDocument/2006/relationships/hyperlink" Target="https://www.frigelar.com.br/instalacao-ar-condicionado-split-piso-e-teto-15000-a-30000-btus-so-frio-ou-quente-e-frio/p/fglinst06?gclid=CjwKCAiAleOeBhBdEiwAfgmXf9JTNjqiZ3vEWaFSoh8rfwT0ISC_0XSNjaOCvD47IEw1__quccj8lhoCNWsQAvD_BwE" TargetMode="External"/><Relationship Id="rId534" Type="http://schemas.openxmlformats.org/officeDocument/2006/relationships/hyperlink" Target="https://paineldeprecos.planejamento.gov.br/relatorios-painel/pdf-completo.php?imagem=../storage/14d777cd788763941861f0a84ab04e0c.jpeg" TargetMode="External"/><Relationship Id="rId412" Type="http://schemas.openxmlformats.org/officeDocument/2006/relationships/hyperlink" Target="https://www.leveros.com.br/3000001209-instalacao-5m-split-pt-15k-a-19k-leveros/p?idsku=2011976" TargetMode="External"/><Relationship Id="rId533" Type="http://schemas.openxmlformats.org/officeDocument/2006/relationships/hyperlink" Target="https://www.arcoirisled.com.br/refletor-led-400w-floodlights-branco-frio-bivolt-cinza-82992" TargetMode="External"/><Relationship Id="rId419" Type="http://schemas.openxmlformats.org/officeDocument/2006/relationships/hyperlink" Target="https://www.frigelar.com.br/instalacao-ar-condicionado-split-piso-e-teto-15000-a-30000-btus-so-frio-ou-quente-e-frio/p/fglinst06" TargetMode="External"/><Relationship Id="rId418" Type="http://schemas.openxmlformats.org/officeDocument/2006/relationships/hyperlink" Target="https://www.leveros.com.br/3000001210-instalacao-5m-split-pt-20k-a-30k-leveros/p" TargetMode="External"/><Relationship Id="rId539" Type="http://schemas.openxmlformats.org/officeDocument/2006/relationships/hyperlink" Target="https://www.casadofrentista.com.br/44/calibrador-de-pneus-eletronico-bivolt-blindado-stokair-m2000" TargetMode="External"/><Relationship Id="rId417" Type="http://schemas.openxmlformats.org/officeDocument/2006/relationships/hyperlink" Target="https://www.webcontinental.com.br/servi%C3%A7o-de-instala%C3%A7%C3%A3o-de-ar-condicionado-split-piso-teto-de-12000-a-36000-btus/product/58936" TargetMode="External"/><Relationship Id="rId538" Type="http://schemas.openxmlformats.org/officeDocument/2006/relationships/hyperlink" Target="https://www.lojadomecanico.com.br/produto/753/11/359/Calibrador-para-Pneu-Eletronico-Bivolt-Blindado-Resistente-a-Diferentes-Climas/153/?utm_source=googleshopping&amp;utm_campaign=xmlshopping&amp;utm_medium=cpc&amp;utm_content=753" TargetMode="External"/><Relationship Id="rId416" Type="http://schemas.openxmlformats.org/officeDocument/2006/relationships/hyperlink" Target="https://www.frigelar.com.br/instalacao-ar-condicionado-split-piso-e-teto-15000-a-30000-btus-so-frio-ou-quente-e-frio/p/fglinst06" TargetMode="External"/><Relationship Id="rId537" Type="http://schemas.openxmlformats.org/officeDocument/2006/relationships/hyperlink" Target="https://www.casasbahia.com.br/mangueira-espiral-em-poliuretano-7-metros-schweers-espu-700-1530493341/p/1530493341?utm_medium=Cpc&amp;utm_source=google_freelisting&amp;IdSku=1530493341&amp;idLojista=31124&amp;tipoLojista=3P" TargetMode="External"/><Relationship Id="rId411" Type="http://schemas.openxmlformats.org/officeDocument/2006/relationships/hyperlink" Target="https://www.frigelar.com.br/instalacao-ar-condicionado-split-piso-e-teto-31000-a-80000-btus-so-frio-ou-quente-e-frio/p/fglinst07" TargetMode="External"/><Relationship Id="rId532" Type="http://schemas.openxmlformats.org/officeDocument/2006/relationships/hyperlink" Target="https://www.magazineluiza.com.br/refletor-de-led-smd-400w-mini-branco-frio-ip67-aprova-d-agua-bivolt-para-jardim-quintal-area-externa-holofote-jj-led/p/be421dbf1e/cj/rftr/" TargetMode="External"/><Relationship Id="rId410" Type="http://schemas.openxmlformats.org/officeDocument/2006/relationships/hyperlink" Target="https://www.webcontinental.com.br/servi%C3%A7o-de-instala%C3%A7%C3%A3o-de-ar-condicionado-split-piso-teto-de-12000-a-36000-btus/product/58936" TargetMode="External"/><Relationship Id="rId531" Type="http://schemas.openxmlformats.org/officeDocument/2006/relationships/hyperlink" Target="https://www.benluz.com.br/refletor-holofote-de-led-400w-branco-frio-floodlight-a-prova-dagua?utm_source=Site&amp;utm_medium=GoogleMerchant&amp;utm_campaign=GoogleMerchant" TargetMode="External"/><Relationship Id="rId530" Type="http://schemas.openxmlformats.org/officeDocument/2006/relationships/hyperlink" Target="https://www.oceanob2b.com/agua-sanitaria-ype-5l-p1007599?tsid=16" TargetMode="External"/><Relationship Id="rId206" Type="http://schemas.openxmlformats.org/officeDocument/2006/relationships/hyperlink" Target="https://www.magazineluiza.com.br/placa-condensadora-split-piso-teto-komeco-kop36-48fcqc-koc36-48fcqc-380v-g4/p/ba0afajk1d/ar/parc/?&amp;seller_id=instalarclimatizacao" TargetMode="External"/><Relationship Id="rId327" Type="http://schemas.openxmlformats.org/officeDocument/2006/relationships/hyperlink" Target="https://www.lojadomecanico.com.br/produto/3074/32/250/Oleo-para-Compressor-AW150-1000-ml/153/?utm_source=googleshopping&amp;utm_campaign=xmlshopping&amp;utm_medium=cpc&amp;utm_content=3074" TargetMode="External"/><Relationship Id="rId448" Type="http://schemas.openxmlformats.org/officeDocument/2006/relationships/hyperlink" Target="https://produto.mercadolivre.com.br/MLB-2164671507-porca-sextavada-516-unc-zincado-branco-cx-500pcs-_JM" TargetMode="External"/><Relationship Id="rId569" Type="http://schemas.openxmlformats.org/officeDocument/2006/relationships/hyperlink" Target="https://www.telhanorte.com.br/grelha-redonda-branca-100mm-1155164/p?idsku=1155164&amp;srsltid=AeTuncqdss8n_GfBwIJk6_NWD_MYy7AbfhvKo3odGq4vKgQHd67F2kW38rc" TargetMode="External"/><Relationship Id="rId205" Type="http://schemas.openxmlformats.org/officeDocument/2006/relationships/hyperlink" Target="https://shopee.com.br/PLACA-CONDENSADORA-SPLIT-PISO-TETO-KOMECO-KOP36.48FCQC-KOC36.48FCQC-380V-G4-i.344374327.12342556139" TargetMode="External"/><Relationship Id="rId326" Type="http://schemas.openxmlformats.org/officeDocument/2006/relationships/hyperlink" Target="https://zamparferramentas.com.br/oleo-lubrificante-aw-iso-150-1-litro-pressure" TargetMode="External"/><Relationship Id="rId447" Type="http://schemas.openxmlformats.org/officeDocument/2006/relationships/hyperlink" Target="https://www.parafusofacil.com.br/porcas/porca-sextavada/porca-sextavada-unc-14-20-chave-716-aco-carbono-grau-5-polido/" TargetMode="External"/><Relationship Id="rId568" Type="http://schemas.openxmlformats.org/officeDocument/2006/relationships/hyperlink" Target="https://www.mmardegan.com.br/grelha-100mm-branca-redonda.html" TargetMode="External"/><Relationship Id="rId204" Type="http://schemas.openxmlformats.org/officeDocument/2006/relationships/hyperlink" Target="https://www.magazineluiza.com.br/placa-eletronica-de-potencia-condensadora-ar-condicionado-split-midea-30-000-btus/p/dge4h49333/ar/parc/?&amp;seller_id=frioshopping" TargetMode="External"/><Relationship Id="rId325" Type="http://schemas.openxmlformats.org/officeDocument/2006/relationships/hyperlink" Target="https://www.magazineluiza.com.br/oleo-para-compressores-e-sistemas-hidraulicos-aw-150-1-litro-vonder/p/ba51485c9k/fs/olpc/?&amp;seller_id=lojatendymais" TargetMode="External"/><Relationship Id="rId446" Type="http://schemas.openxmlformats.org/officeDocument/2006/relationships/hyperlink" Target="https://www.lojaagrometal.com.br/produto/porca-sextavada-unc-zb-1-4-polegada-com-100-pecas-vonder-referencia-2852011401-87002" TargetMode="External"/><Relationship Id="rId567" Type="http://schemas.openxmlformats.org/officeDocument/2006/relationships/hyperlink" Target="https://www.netalarmes.com.br/kit-cerca-eletrica-intelbras-big-haste-100-metros-aco-inox" TargetMode="External"/><Relationship Id="rId203" Type="http://schemas.openxmlformats.org/officeDocument/2006/relationships/hyperlink" Target="https://www.madeiramadeira.com.br/placa-eletronica-de-potencia-condensadora-ar-condicionado-split-midea-30-000-btus-1913888.html?origem=pla-1913888&amp;utm_source=google&amp;utm_medium=cpc&amp;utm_content=acessorios-3994&amp;utm_term=&amp;utm_id=17663024828&amp;gclid=CjwKCAjwsMGYBhAEEiwAGUXJaXy_EYnzNXr9-mqGwaTzMkYs7BAt5mrtLgQYlOcm6_zk8AEDDVAfDRoCSNgQAvD_BwE" TargetMode="External"/><Relationship Id="rId324" Type="http://schemas.openxmlformats.org/officeDocument/2006/relationships/hyperlink" Target="https://www.americanas.com.br/produto/3593670623?epar=bp_pl_oa_go_smartshop_pap&amp;opn=YSMESP&amp;WT.srch=1&amp;gclid=CjwKCAiA4veMBhAMEiwAU4XRrxHT2vh6xI-3JvYnXA0RJfd9seXaI1OeEmVpmA2-JoC6fwtrZqRM8xoCnicQAvD_BwE" TargetMode="External"/><Relationship Id="rId445" Type="http://schemas.openxmlformats.org/officeDocument/2006/relationships/hyperlink" Target="https://www.webcontinental.com.br/porca-sextavada-1-4-zincada-rosca-unc-pacote-com-100-pecas-ciser-004313004164/p?gclid=Cj0KCQjwk96lBhDHARIsAEKO4xZ9Y5JWAQK10yg9gU2jWoXCHtOoOTFrsaNr3apGI9Rc7ViQGga7PxMaAvyrEALw_wcB" TargetMode="External"/><Relationship Id="rId566" Type="http://schemas.openxmlformats.org/officeDocument/2006/relationships/hyperlink" Target="https://www.upperseg.com.br/cerca-eletrica/kit-cerca-eletrica/kit-cerca-eletrica-industrial/kit-cerca-eletrica-industrial-c-big-hastes-de-1-metro-e-central-de-choque-power-cr-gcp-completo-100-metros-de-muro/" TargetMode="External"/><Relationship Id="rId209" Type="http://schemas.openxmlformats.org/officeDocument/2006/relationships/hyperlink" Target="https://www.buscape.com.br/lead?oid=406159020&amp;sortorder=-1&amp;index=&amp;searchterm=null&amp;pagesize=-1&amp;channel=&amp;og=19221&amp;pla=2022-09-30T16:43:45.244507" TargetMode="External"/><Relationship Id="rId208" Type="http://schemas.openxmlformats.org/officeDocument/2006/relationships/hyperlink" Target="https://www.webinstalar.com.br/capacitor-2-uf-380v-copo-aluminio-suryha?utm_source=Site&amp;utm_medium=GoogleMerchant&amp;utm_campaign=GoogleMerchant&amp;srsltid=ASuE1wSgj8l7CKNIUiqFmNAe7cZRhPoMEJgP-YAU-zWcbh1c4IDtNCvI0ZY" TargetMode="External"/><Relationship Id="rId329" Type="http://schemas.openxmlformats.org/officeDocument/2006/relationships/hyperlink" Target="https://www.lojadomecanico.com.br/produto/126263/32/250/Silicone-Em-Spray-200-G300-ml/153/?utm_source=googleshopping&amp;utm_campaign=xmlshopping&amp;utm_medium=cpc&amp;utm_content=126263" TargetMode="External"/><Relationship Id="rId207" Type="http://schemas.openxmlformats.org/officeDocument/2006/relationships/hyperlink" Target="https://www.webinstalar.com.br/produto/placa-condensadora-split-piso-teto-komeco-kop3648fcqc-koc3648fcqc-380v-g4.html?utm_source=Site&amp;utm_medium=GoogleMerchant&amp;utm_campaign=GoogleMerchant" TargetMode="External"/><Relationship Id="rId328" Type="http://schemas.openxmlformats.org/officeDocument/2006/relationships/hyperlink" Target="https://www.eletroluz.net/95202/vonder-lubrificante-spray-300ml/?gclid=Cj0KCQiAhf2MBhDNARIsAKXU5GTe4fbJmz5wLZy-4zY-CR0EBNAtVgl91E-B6bABRozADEFLUbN7KFsaAnmlEALw_wcB" TargetMode="External"/><Relationship Id="rId449" Type="http://schemas.openxmlformats.org/officeDocument/2006/relationships/hyperlink" Target="https://www.casadosparafusosfranca.com.br/fixadores/porcas/travante/porca-sext-polida-unc-516?parceiro=7954&amp;srsltid=AR5OiO0E0aqrQC59la4CKBXlymUJ1FxcsIAuDFyc1ghQw3t8A4OO3EpBS1w" TargetMode="External"/><Relationship Id="rId440" Type="http://schemas.openxmlformats.org/officeDocument/2006/relationships/hyperlink" Target="https://www.lojaartech.com.br/gas-refrigerante-r22-latinha-" TargetMode="External"/><Relationship Id="rId561" Type="http://schemas.openxmlformats.org/officeDocument/2006/relationships/hyperlink" Target="https://www.portaleletrico.com.br/canaleta-em-aluminio-dupla-150metros-branca-com-tampa-%E2%80%93-dutotec-4902/p?idsku=4977" TargetMode="External"/><Relationship Id="rId560" Type="http://schemas.openxmlformats.org/officeDocument/2006/relationships/hyperlink" Target="https://www.teky.com.br/7994/canaleta-aluminio-piso-lisa-com-divisoria-53x14x1500mm-com-tampa-branca-dutotec-slim-dutotec?srsltid=AeTuncqb93WLtJFkLzL_OoWbiFEuY7KVIQmx4eB0amixNqZo4FSAEhuXjYU" TargetMode="External"/><Relationship Id="rId202" Type="http://schemas.openxmlformats.org/officeDocument/2006/relationships/hyperlink" Target="https://www.frioshopping.com/pecas/springercarriermidea/placa-eletronica-de-potencia-condensadora-ar-condicionado-split-midea-30000-btu" TargetMode="External"/><Relationship Id="rId323" Type="http://schemas.openxmlformats.org/officeDocument/2006/relationships/hyperlink" Target="https://www.friopecas.com.br/fita-aluminizada-vix-48-m-m-50-m/p?idsku=119090" TargetMode="External"/><Relationship Id="rId444" Type="http://schemas.openxmlformats.org/officeDocument/2006/relationships/hyperlink" Target="https://www.fsrefrigeracaobelem.com.br/product-page/gas-r410-refil-750g-eos?utm_source=google&amp;utm_medium=wix_google_feed&amp;utm_campaign=freelistings" TargetMode="External"/><Relationship Id="rId565" Type="http://schemas.openxmlformats.org/officeDocument/2006/relationships/hyperlink" Target="https://www.magazineluiza.com.br/kit-cerca-eletrica-industrial-100-metros-big-1-metro-c-central-de-choque-12-000-volts-completo-intelbras/p/gc60eed8a2/cj/ktce/" TargetMode="External"/><Relationship Id="rId201" Type="http://schemas.openxmlformats.org/officeDocument/2006/relationships/hyperlink" Target="https://www.lojaartech.com.br/conjunto-da-placa-de-comando-24000-btus-fria-e-qf-inverter-elgin-?utm_source=google&amp;utm_medium=Shopping&amp;utm_campaign=conjunto-da-placa-de-comando-24000-btus-fria-e-qf-inverter-elgin-&amp;inStock" TargetMode="External"/><Relationship Id="rId322" Type="http://schemas.openxmlformats.org/officeDocument/2006/relationships/hyperlink" Target="https://www.novaexaustores.com.br/acessorios-pventilacao-e-exaustao/fita-adesiva-de-polipropileno-aluminizado-bopp-48-mm-x-50-m?parceiro=1604&amp;gclid=Cj0KCQjw2eilBhCCARIsAG0Pf8vP3sT8L8Zei5eKZkNKDHyvkyIqDroSR9Lab4f5YrJrXJ4tMPCTNvYaAlLyEALw_wcB" TargetMode="External"/><Relationship Id="rId443" Type="http://schemas.openxmlformats.org/officeDocument/2006/relationships/hyperlink" Target="https://www.magazineluiza.com.br/gas-fluido-lata-r410a-410-410a-750gr-com-valvula-dugold/p/ge9hhc392h/ar/aave/?&amp;seller_id=olistplus" TargetMode="External"/><Relationship Id="rId564" Type="http://schemas.openxmlformats.org/officeDocument/2006/relationships/hyperlink" Target="https://www.casasbahia.com.br/kit-completo-universal-caixa-acoplada-liege-1521860309/p/1521860309?utm_medium=Cpc&amp;utm_source=google_freelisting&amp;IdSku=1521860309&amp;idLojista=145309&amp;tipoLojista=3P" TargetMode="External"/><Relationship Id="rId200" Type="http://schemas.openxmlformats.org/officeDocument/2006/relationships/hyperlink" Target="https://produto.mercadolivre.com.br/MLB-1760197148-placa-condensadora-24000-btus-eco-inverter-elgin-_JM?matt_tool=50857357&amp;matt_word=&amp;matt_source=google&amp;matt_campaign_id=14303413847&amp;matt_ad_group_id=125984302037&amp;matt_match_type=&amp;matt_network=g&amp;matt_device=c&amp;matt_creative=539354957262&amp;matt_keyword=&amp;matt_ad_position=&amp;matt_ad_type=pla&amp;matt_merchant_id=205408661&amp;matt_product_id=MLB1760197148&amp;matt_product_partition_id=1823429903714&amp;matt_target_id=pla-1823429903714&amp;gclid=Cj0KCQjwwvilBhCFARIsADvYi7Lv1VDXpq9Q6bR1j4qE-Q46kULrP8Jc4BXn1sujhiyQ_Y9dIGtF36oaApPOEALw_wcB" TargetMode="External"/><Relationship Id="rId321" Type="http://schemas.openxmlformats.org/officeDocument/2006/relationships/hyperlink" Target="https://www.novaexaustores.com.br/acessorios-pventilacao-e-exaustao/duto-flexivel-aluminizado-rl-c10-mts?variant_id=1234&amp;parceiro=1604&amp;srsltid=AeTuncprkeYReYkgXPeaIM4ab7ST_HNwsh8eZ_27rUbKUOGgIN17znIRVik" TargetMode="External"/><Relationship Id="rId442" Type="http://schemas.openxmlformats.org/officeDocument/2006/relationships/hyperlink" Target="https://www.frigelar.com.br/gas-refrigerante-r410a-eos-cilindro-de-750g-com-valvula-e-manopla/p/kit5126" TargetMode="External"/><Relationship Id="rId563" Type="http://schemas.openxmlformats.org/officeDocument/2006/relationships/hyperlink" Target="https://www.madeiramadeira.com.br/kit-completo-universal-caixa-acoplada-liege-4025035.html?origem=pla-4025035&amp;utm_source=google&amp;utm_medium=cpc&amp;utm_content=acabamento-para-registro-2367&amp;utm_term=&amp;utm_id=17851046043&amp;gclid=Cj0KCQjwk96lBhDHARIsAEKO4xbEcGKqmaDDnBDYuGyyD0grdQZVoiKVURpqifsH0wXY-qYEg0GX_KsaAjvEEALw_wcB" TargetMode="External"/><Relationship Id="rId320" Type="http://schemas.openxmlformats.org/officeDocument/2006/relationships/hyperlink" Target="https://www.mapaseg.com.br/da08-duto-flexivel-de-aluminio-para-exaustor-200mm-com-10-mts-pr-1033-388444.htm" TargetMode="External"/><Relationship Id="rId441" Type="http://schemas.openxmlformats.org/officeDocument/2006/relationships/hyperlink" Target="https://www.grupposantos.com.br/gas-refrigerante-r-22-1kg-vix?utm_source=Site&amp;utm_medium=GoogleMerchant&amp;utm_campaign=GoogleMerchant&amp;gclid=Cj0KCQiAq7COBhC2ARIsANsPATETxBXwtdCJrvZtTuTDOEqd4W6mLkcnDiycOVrPohlrDA_O5ogQMksaAi3NEALw_wcB" TargetMode="External"/><Relationship Id="rId562" Type="http://schemas.openxmlformats.org/officeDocument/2006/relationships/hyperlink" Target="https://www.magazineluiza.com.br/kit-completo-universal-caixa-acoplada-liege/p/jj936had1e/cj/mcca/?&amp;seller_id=olistplus" TargetMode="External"/><Relationship Id="rId316" Type="http://schemas.openxmlformats.org/officeDocument/2006/relationships/hyperlink" Target="https://www.magazineluiza.com.br/tubo-isolante-esponjoso-vix-blindado-3-4-preto/p/jab32d87j8/es/elcm/?&amp;seller_id=friopecas&amp;utm_source=google&amp;utm_medium=pla&amp;utm_campaign=&amp;partner_id=60485&amp;gclid=CjwKCAiA4veMBhAMEiwAU4XRr7KrxmTaK1bIrPr5ggcfdFI8iemsAhmSFgXCqtHCRvhwSLgVAh6DlBoC1vIQAvD_BwE&amp;gclsrc=aw.ds" TargetMode="External"/><Relationship Id="rId437" Type="http://schemas.openxmlformats.org/officeDocument/2006/relationships/hyperlink" Target="https://www.climario.com.br/ar-condicionado-split-piso-teto-carrier-48000-btus-frio-trifasico-220v/p?idsku=19620" TargetMode="External"/><Relationship Id="rId558" Type="http://schemas.openxmlformats.org/officeDocument/2006/relationships/hyperlink" Target="https://www.cermig.com.br/materiais-eletricos/conectores/conector-wago-legitimo-221-413-3-polos-ate-4mm?parceiro=5438" TargetMode="External"/><Relationship Id="rId315" Type="http://schemas.openxmlformats.org/officeDocument/2006/relationships/hyperlink" Target="https://www.friopecas.com.br/tubo-isolante-esponjoso-vix-blindado-1-2-preto/p?idsku=111344&amp;gclid=CjwKCAiA4veMBhAMEiwAU4XRr4YcP02YWjcTFSsGC7wGK3hrCC_Gpbj4RuJcmqyCpo48Xv2N9paBYRoCfLsQAvD_BwE" TargetMode="External"/><Relationship Id="rId436" Type="http://schemas.openxmlformats.org/officeDocument/2006/relationships/hyperlink" Target="https://www.carrefour.com.br/ar-condicionado-split-piso-teto-elgin-eco-48000-btuh-frio-trifasico-oufe48b3na-220-volts-mp14021227/p" TargetMode="External"/><Relationship Id="rId557" Type="http://schemas.openxmlformats.org/officeDocument/2006/relationships/hyperlink" Target="https://www.embrar.com.br/conector-emenda-3-polos/p?idsku=14354" TargetMode="External"/><Relationship Id="rId314" Type="http://schemas.openxmlformats.org/officeDocument/2006/relationships/hyperlink" Target="https://www.samatec.com.br/tubo-esponjoso-1-2-blindado-preto-barra-com-2-metros/p?idsku=2003260&amp;gclid=CjwKCAiA4veMBhAMEiwAU4XRrycrVKw59Q0g8SJ9i-ktImxb0S9Rkfoe1gSdU57Ek0W0T5g51f63ZRoC7bIQAvD_BwE" TargetMode="External"/><Relationship Id="rId435" Type="http://schemas.openxmlformats.org/officeDocument/2006/relationships/hyperlink" Target="https://www.americanas.com.br/produto/53456125?pfm_carac=ar-condicionado-split-hi-wall-agratto-eco-30-000&amp;pfm_index=1&amp;pfm_page=search&amp;pfm_pos=grid&amp;pfm_type=search_page&amp;offerId=64b59247579fbc8d9173a5db&amp;voltagem=220V%2F220&amp;condition=NEW" TargetMode="External"/><Relationship Id="rId556" Type="http://schemas.openxmlformats.org/officeDocument/2006/relationships/hyperlink" Target="https://www.casadoeletricistasc.com.br/con-p-emenda-c-alav-3-fios-4mm-wago/p/4135?c=16&amp;t=12" TargetMode="External"/><Relationship Id="rId313" Type="http://schemas.openxmlformats.org/officeDocument/2006/relationships/hyperlink" Target="https://www.magazineluiza.com.br/tubo-isolante-esponjoso-cz-1-vix/p/ja331b1e4h/es/islt/?&amp;seller_id=friopecas" TargetMode="External"/><Relationship Id="rId434" Type="http://schemas.openxmlformats.org/officeDocument/2006/relationships/hyperlink" Target="https://www.friopecas.com.br/ar-condicionado-split-hi-wall-philco-30000-btu-frio-monofasico-pac30000fm9-220volts/p?idsku=130467" TargetMode="External"/><Relationship Id="rId555" Type="http://schemas.openxmlformats.org/officeDocument/2006/relationships/hyperlink" Target="https://www.lojasetta.com/contatores-e-reles/bobina-para-contator-cwm9-25-380v-bca4-25-weg" TargetMode="External"/><Relationship Id="rId319" Type="http://schemas.openxmlformats.org/officeDocument/2006/relationships/hyperlink" Target="https://produto.mercadolivre.com.br/MLB-2990574264-duto-flexivel-aluminizado-200mm-10-metros-rolo-de-fita-_JM?matt_tool=18956390&amp;utm_source=google_shopping&amp;utm_medium=organic" TargetMode="External"/><Relationship Id="rId318" Type="http://schemas.openxmlformats.org/officeDocument/2006/relationships/hyperlink" Target="https://www.friopecas.com.br/tubo-isolante-esponjoso-vix-blindado-3-4-preto/p?idsku=111343&amp;gclid=CjwKCAiA4veMBhAMEiwAU4XRr8Q-d90PDRniGQSWMawofMsrELlLqi5fcUDrlLRuDyuY231NpHtq_hoCQAMQAvD_BwE" TargetMode="External"/><Relationship Id="rId439" Type="http://schemas.openxmlformats.org/officeDocument/2006/relationships/hyperlink" Target="https://www.refrigas.com.br/fluido-refrigerante-chemours-freon-r22-1kg-lata.html?gclid=Cj0KCQiA_bieBhDSARIsADU4zLcOnlDwp43HZximZi1l2X6wIk7XqPMGV3LXdGZbodk2dvL4RrT7r-gaAoqcEALw_wcB" TargetMode="External"/><Relationship Id="rId317" Type="http://schemas.openxmlformats.org/officeDocument/2006/relationships/hyperlink" Target="https://www.samatec.com.br/tubo-esponjoso-3-4-blindado-preto-barra-com-2-metros/p?idsku=2003267&amp;gclid=CjwKCAiA4veMBhAMEiwAU4XRr5-BwDeRG1OkGo7DCgxDUyQc9e8tTT3Ou84JiyNu8QFMBsDWwQeNqhoC73AQAvD_BwE" TargetMode="External"/><Relationship Id="rId438" Type="http://schemas.openxmlformats.org/officeDocument/2006/relationships/hyperlink" Target="https://www.friopecas.com.br/ar-condicionado-split-piso-teto-elgin-eco-48000btuh-frio-trifasico-oufe48b3na-/p" TargetMode="External"/><Relationship Id="rId559" Type="http://schemas.openxmlformats.org/officeDocument/2006/relationships/hyperlink" Target="https://www.comelrg.com.br/produtos/canaleta-duto-slim-piso-aluminio-15m-com-tampa-branca-dutotec/" TargetMode="External"/><Relationship Id="rId550" Type="http://schemas.openxmlformats.org/officeDocument/2006/relationships/hyperlink" Target="http://www.lojaeletrica.com.br/adaptador-porcelana-e40-para-e27,product,2430500000015,dept,0.aspx" TargetMode="External"/><Relationship Id="rId312" Type="http://schemas.openxmlformats.org/officeDocument/2006/relationships/hyperlink" Target="https://www.totalar.net/produtos/valv-esfera-gbc-5-8-c-schrader-1759/?pf=gs&amp;variant=167135004" TargetMode="External"/><Relationship Id="rId433" Type="http://schemas.openxmlformats.org/officeDocument/2006/relationships/hyperlink" Target="https://www.leveros.com.br/ar-condicionado-split-hw-philco-pac30000fm-30000-btus-so-frio-220v/p?idsku=2027373&amp;gclid=Cj0KCQjwk96lBhDHARIsAEKO4xZdVpUExt1uJW5gCpB8shLcWAebXChzhSoIQRUN3IUF68VFrsJhUSAaAnouEALw_wcB" TargetMode="External"/><Relationship Id="rId554" Type="http://schemas.openxmlformats.org/officeDocument/2006/relationships/hyperlink" Target="https://www.viewtech.ind.br/bobina-para-contator-weg-cwm9-a-cwm25-380vca-bca4-25v41" TargetMode="External"/><Relationship Id="rId311" Type="http://schemas.openxmlformats.org/officeDocument/2006/relationships/hyperlink" Target="https://www.difusor.com.br/valvula-esfera-58-gbc-16s-solda-cscharder-eolo?utm_source=Site&amp;utm_medium=GoogleMerchant&amp;utm_campaign=GoogleMerchant&amp;gclid=Cj0KCQjw08aYBhDlARIsAA_gb0eou6pC0X9DwOomUwNbLLtM_EFN2_NzJrW0fQ5akXKP65v2oRLktloaAphxEALw_wcB" TargetMode="External"/><Relationship Id="rId432" Type="http://schemas.openxmlformats.org/officeDocument/2006/relationships/hyperlink" Target="https://www.aerotexextintores.com.br/produto/recarga-de-extintor-agua-press-10-litros-10000-2/" TargetMode="External"/><Relationship Id="rId553" Type="http://schemas.openxmlformats.org/officeDocument/2006/relationships/hyperlink" Target="https://www.ferpam.com.br/catalog/product/view/id/20933/s/bobina-para-contator-bca4-25v41-corrente-alternada-325v-50hz-380v-weg/" TargetMode="External"/><Relationship Id="rId310" Type="http://schemas.openxmlformats.org/officeDocument/2006/relationships/hyperlink" Target="https://www.refrigeracaocatavento.com.br/outras-categorias/refrigeracao-comercial/valvula-esfera-gbc-c-schrader-58-danfoss?parceiro=6374" TargetMode="External"/><Relationship Id="rId431" Type="http://schemas.openxmlformats.org/officeDocument/2006/relationships/hyperlink" Target="https://www.aerotexextintores.com.br/produto/recarga-de-extintor-espuma-mecanica-50-litros-10044/" TargetMode="External"/><Relationship Id="rId552" Type="http://schemas.openxmlformats.org/officeDocument/2006/relationships/hyperlink" Target="https://www.lojacentraleletrica.com.br/produto/soquete-bocal-adaptador-redutor-de-e40-para-e27-porcelana" TargetMode="External"/><Relationship Id="rId430" Type="http://schemas.openxmlformats.org/officeDocument/2006/relationships/hyperlink" Target="https://www.aerotexextintores.com.br/produto/recarga-de-extintor-gas-carbonico-25-kg-10021/" TargetMode="External"/><Relationship Id="rId551" Type="http://schemas.openxmlformats.org/officeDocument/2006/relationships/hyperlink" Target="https://www.magazineluiza.com.br/adaptador-porcelana-e40-para-e27-foxlux/p/fd3kke01e9/fs/sote/?&amp;seller_id=conect-x"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sheetViews>
  <sheetFormatPr customHeight="1" defaultColWidth="14.43" defaultRowHeight="15.0"/>
  <cols>
    <col customWidth="1" min="1" max="1" width="7.57"/>
    <col customWidth="1" min="2" max="2" width="8.86"/>
    <col customWidth="1" min="3" max="3" width="15.29"/>
    <col customWidth="1" min="4" max="4" width="72.71"/>
    <col customWidth="1" min="5" max="5" width="10.86"/>
    <col customWidth="1" min="6" max="6" width="7.71"/>
    <col customWidth="1" min="7" max="7" width="8.43"/>
    <col customWidth="1" min="8" max="9" width="15.14"/>
    <col customWidth="1" min="10" max="10" width="5.43"/>
    <col customWidth="1" min="11" max="11" width="6.43"/>
    <col customWidth="1" min="12" max="12" width="14.29"/>
    <col customWidth="1" min="13" max="13" width="8.57"/>
    <col customWidth="1" min="14" max="14" width="25.71"/>
    <col customWidth="1" min="15" max="15" width="12.71"/>
  </cols>
  <sheetData>
    <row r="1" ht="51.0" customHeight="1">
      <c r="A1" s="1" t="s">
        <v>0</v>
      </c>
      <c r="D1" s="2" t="s">
        <v>1</v>
      </c>
      <c r="H1" s="3">
        <f>SUM(K7:L12)</f>
        <v>2556648.169</v>
      </c>
      <c r="K1" s="4"/>
      <c r="L1" s="4"/>
      <c r="M1" s="4"/>
      <c r="N1" s="4"/>
      <c r="O1" s="4"/>
    </row>
    <row r="2" ht="19.5" customHeight="1">
      <c r="A2" s="5" t="s">
        <v>2</v>
      </c>
      <c r="M2" s="5" t="s">
        <v>3</v>
      </c>
      <c r="O2" s="5"/>
    </row>
    <row r="3" ht="3.75" customHeight="1">
      <c r="A3" s="6"/>
      <c r="B3" s="7"/>
      <c r="C3" s="8"/>
      <c r="D3" s="8"/>
      <c r="E3" s="8"/>
      <c r="F3" s="9"/>
      <c r="G3" s="10"/>
      <c r="H3" s="11"/>
      <c r="I3" s="11"/>
      <c r="J3" s="12"/>
      <c r="K3" s="13"/>
      <c r="L3" s="13"/>
      <c r="M3" s="13"/>
      <c r="N3" s="13"/>
      <c r="O3" s="13"/>
    </row>
    <row r="4" ht="18.0" customHeight="1">
      <c r="A4" s="6"/>
      <c r="B4" s="14"/>
      <c r="C4" s="15"/>
      <c r="D4" s="15"/>
      <c r="E4" s="15"/>
      <c r="F4" s="16"/>
      <c r="G4" s="17"/>
      <c r="H4" s="18" t="s">
        <v>4</v>
      </c>
      <c r="I4" s="19"/>
      <c r="J4" s="19"/>
      <c r="K4" s="19"/>
      <c r="L4" s="20"/>
      <c r="M4" s="21"/>
      <c r="N4" s="21" t="s">
        <v>5</v>
      </c>
      <c r="O4" s="22"/>
    </row>
    <row r="5" ht="18.75" customHeight="1">
      <c r="A5" s="6"/>
      <c r="B5" s="23"/>
      <c r="C5" s="23"/>
      <c r="D5" s="24"/>
      <c r="E5" s="24"/>
      <c r="F5" s="24"/>
      <c r="G5" s="25"/>
      <c r="H5" s="26"/>
      <c r="I5" s="27"/>
      <c r="J5" s="27"/>
      <c r="K5" s="27"/>
      <c r="L5" s="28"/>
      <c r="M5" s="21"/>
      <c r="O5" s="22"/>
    </row>
    <row r="6" ht="23.25" customHeight="1">
      <c r="A6" s="29" t="s">
        <v>6</v>
      </c>
      <c r="B6" s="30" t="s">
        <v>7</v>
      </c>
      <c r="C6" s="31"/>
      <c r="D6" s="31" t="s">
        <v>8</v>
      </c>
      <c r="E6" s="32" t="s">
        <v>9</v>
      </c>
      <c r="F6" s="33" t="s">
        <v>10</v>
      </c>
      <c r="G6" s="33" t="s">
        <v>11</v>
      </c>
      <c r="H6" s="34" t="s">
        <v>12</v>
      </c>
      <c r="I6" s="35" t="s">
        <v>13</v>
      </c>
      <c r="J6" s="36"/>
      <c r="K6" s="33" t="s">
        <v>14</v>
      </c>
      <c r="L6" s="37"/>
      <c r="M6" s="38"/>
      <c r="N6" s="39">
        <v>0.0401</v>
      </c>
      <c r="O6" s="40"/>
    </row>
    <row r="7" ht="23.25" customHeight="1">
      <c r="A7" s="41"/>
      <c r="B7" s="42" t="s">
        <v>15</v>
      </c>
      <c r="C7" s="43" t="str">
        <f>VLOOKUP(B7,'Planilha_Sintética_Geral'!A:P,2,0)</f>
        <v>SUPERVISÃO TÉCNICA - TODAS AS UNIDADES</v>
      </c>
      <c r="D7" s="44"/>
      <c r="E7" s="45">
        <v>1627.0</v>
      </c>
      <c r="F7" s="46" t="s">
        <v>16</v>
      </c>
      <c r="G7" s="45">
        <v>24.0</v>
      </c>
      <c r="H7" s="47">
        <f t="shared" ref="H7:H12" si="1">I7/12</f>
        <v>12099.63336</v>
      </c>
      <c r="I7" s="48">
        <f>VLOOKUP(B7,'Planilha_Sintética_Geral'!A:P,15,0)</f>
        <v>145195.6003</v>
      </c>
      <c r="J7" s="44"/>
      <c r="K7" s="49">
        <f t="shared" ref="K7:K12" si="2">I7*G7/12</f>
        <v>290391.2006</v>
      </c>
      <c r="L7" s="50"/>
      <c r="M7" s="51" t="s">
        <v>17</v>
      </c>
      <c r="N7" s="52">
        <f t="shared" ref="N7:N9" si="3">I7/12</f>
        <v>12099.63336</v>
      </c>
      <c r="O7" s="53"/>
    </row>
    <row r="8" ht="23.25" customHeight="1">
      <c r="A8" s="54"/>
      <c r="B8" s="55" t="s">
        <v>18</v>
      </c>
      <c r="C8" s="43" t="str">
        <f>VLOOKUP(B8,'Planilha_Sintética_Geral'!A:P,2,0)</f>
        <v>EQUIPE RESIDENTE - APENAS CURITIBA</v>
      </c>
      <c r="D8" s="44"/>
      <c r="E8" s="56">
        <v>1627.0</v>
      </c>
      <c r="F8" s="57" t="s">
        <v>16</v>
      </c>
      <c r="G8" s="56">
        <v>24.0</v>
      </c>
      <c r="H8" s="47">
        <f t="shared" si="1"/>
        <v>31099.81239</v>
      </c>
      <c r="I8" s="48">
        <f>VLOOKUP(B8,'Planilha_Sintética_Geral'!A:P,15,0)</f>
        <v>373197.7487</v>
      </c>
      <c r="J8" s="44"/>
      <c r="K8" s="49">
        <f t="shared" si="2"/>
        <v>746395.4973</v>
      </c>
      <c r="L8" s="50"/>
      <c r="M8" s="51" t="s">
        <v>17</v>
      </c>
      <c r="N8" s="52">
        <f t="shared" si="3"/>
        <v>31099.81239</v>
      </c>
      <c r="O8" s="53"/>
    </row>
    <row r="9" ht="23.25" customHeight="1">
      <c r="A9" s="54"/>
      <c r="B9" s="58" t="s">
        <v>19</v>
      </c>
      <c r="C9" s="59" t="str">
        <f>VLOOKUP(B9,'Planilha_Sintética_Geral'!A:P,2,0)</f>
        <v>SERVIÇOS ESPECIALIZADOS - ROTINAS DE MANUTENÇÃO - TODAS AS UNIDADES</v>
      </c>
      <c r="D9" s="44"/>
      <c r="E9" s="60">
        <v>1627.0</v>
      </c>
      <c r="F9" s="60" t="s">
        <v>16</v>
      </c>
      <c r="G9" s="60">
        <v>24.0</v>
      </c>
      <c r="H9" s="61">
        <f t="shared" si="1"/>
        <v>14999.51327</v>
      </c>
      <c r="I9" s="61">
        <f>VLOOKUP(B9,'Planilha_Sintética_Geral'!A:P,15,0)</f>
        <v>179994.1592</v>
      </c>
      <c r="J9" s="44"/>
      <c r="K9" s="62">
        <f t="shared" si="2"/>
        <v>359988.3184</v>
      </c>
      <c r="L9" s="44"/>
      <c r="M9" s="63" t="s">
        <v>17</v>
      </c>
      <c r="N9" s="64">
        <f t="shared" si="3"/>
        <v>14999.51327</v>
      </c>
      <c r="O9" s="65"/>
    </row>
    <row r="10" ht="23.25" customHeight="1">
      <c r="A10" s="54"/>
      <c r="B10" s="66" t="s">
        <v>20</v>
      </c>
      <c r="C10" s="59" t="str">
        <f>VLOOKUP(B10,'Planilha_Sintética_Geral'!A:P,2,0)</f>
        <v>SERVIÇOS ESPECIALIZADOS - SOB DEMANDA - TODAS AS UNIDADES</v>
      </c>
      <c r="D10" s="44"/>
      <c r="E10" s="60">
        <v>1627.0</v>
      </c>
      <c r="F10" s="60" t="s">
        <v>16</v>
      </c>
      <c r="G10" s="60">
        <v>24.0</v>
      </c>
      <c r="H10" s="61">
        <f t="shared" si="1"/>
        <v>7056.088305</v>
      </c>
      <c r="I10" s="61">
        <f>VLOOKUP(B10,'Planilha_Sintética_Geral'!A:P,15,0)</f>
        <v>84673.05966</v>
      </c>
      <c r="J10" s="44"/>
      <c r="K10" s="62">
        <f t="shared" si="2"/>
        <v>169346.1193</v>
      </c>
      <c r="L10" s="44"/>
      <c r="M10" s="67" t="s">
        <v>17</v>
      </c>
      <c r="N10" s="68">
        <f t="shared" ref="N10:N12" si="4">H10/1.0401</f>
        <v>6784.047981</v>
      </c>
      <c r="O10" s="69">
        <f t="shared" ref="O10:O12" si="5">H10/N10</f>
        <v>1.0401</v>
      </c>
    </row>
    <row r="11" ht="23.25" customHeight="1">
      <c r="A11" s="54"/>
      <c r="B11" s="70" t="s">
        <v>21</v>
      </c>
      <c r="C11" s="71" t="str">
        <f>VLOOKUP(B11,'Planilha_Sintética_Geral'!A:P,2,0)</f>
        <v>SERVIÇOS GERAIS - SOB DEMANDA - TODAS AS UNIDADES</v>
      </c>
      <c r="D11" s="44"/>
      <c r="E11" s="72">
        <v>1627.0</v>
      </c>
      <c r="F11" s="72" t="s">
        <v>16</v>
      </c>
      <c r="G11" s="72">
        <v>24.0</v>
      </c>
      <c r="H11" s="73">
        <f t="shared" si="1"/>
        <v>25985.07518</v>
      </c>
      <c r="I11" s="73">
        <f>VLOOKUP(B11,'Planilha_Sintética_Geral'!A:P,15,0)</f>
        <v>311820.9021</v>
      </c>
      <c r="J11" s="44"/>
      <c r="K11" s="74">
        <f t="shared" si="2"/>
        <v>623641.8042</v>
      </c>
      <c r="L11" s="44"/>
      <c r="M11" s="67" t="s">
        <v>17</v>
      </c>
      <c r="N11" s="68">
        <f t="shared" si="4"/>
        <v>24983.24697</v>
      </c>
      <c r="O11" s="69">
        <f t="shared" si="5"/>
        <v>1.0401</v>
      </c>
    </row>
    <row r="12" ht="23.25" customHeight="1">
      <c r="A12" s="75"/>
      <c r="B12" s="76" t="s">
        <v>22</v>
      </c>
      <c r="C12" s="77" t="str">
        <f>VLOOKUP(B12,'Planilha_Sintética_Geral'!A:P,2,0)</f>
        <v>PEÇAS E MATERIAIS - APENAS CURITIBA</v>
      </c>
      <c r="D12" s="44"/>
      <c r="E12" s="78">
        <v>1627.0</v>
      </c>
      <c r="F12" s="78" t="s">
        <v>16</v>
      </c>
      <c r="G12" s="78">
        <v>24.0</v>
      </c>
      <c r="H12" s="79">
        <f t="shared" si="1"/>
        <v>15286.88453</v>
      </c>
      <c r="I12" s="79">
        <f>VLOOKUP(B12,'Planilha_Sintética_Geral'!A:P,15,0)</f>
        <v>183442.6144</v>
      </c>
      <c r="J12" s="44"/>
      <c r="K12" s="80">
        <f t="shared" si="2"/>
        <v>366885.2288</v>
      </c>
      <c r="L12" s="44"/>
      <c r="M12" s="67" t="s">
        <v>17</v>
      </c>
      <c r="N12" s="68">
        <f t="shared" si="4"/>
        <v>14697.51421</v>
      </c>
      <c r="O12" s="69">
        <f t="shared" si="5"/>
        <v>1.0401</v>
      </c>
    </row>
    <row r="13" ht="23.25" customHeight="1">
      <c r="A13" s="81" t="s">
        <v>23</v>
      </c>
      <c r="B13" s="44"/>
      <c r="C13" s="44"/>
      <c r="D13" s="44"/>
      <c r="E13" s="44"/>
      <c r="F13" s="44"/>
      <c r="G13" s="44"/>
      <c r="H13" s="82">
        <f t="shared" ref="H13:I13" si="6">SUM(H7:H12)</f>
        <v>106527.007</v>
      </c>
      <c r="I13" s="82">
        <f t="shared" si="6"/>
        <v>1278324.084</v>
      </c>
      <c r="J13" s="44"/>
      <c r="K13" s="82">
        <f>SUM(K7:K12)</f>
        <v>2556648.169</v>
      </c>
      <c r="L13" s="44"/>
      <c r="M13" s="83" t="s">
        <v>24</v>
      </c>
      <c r="N13" s="84">
        <f>SUM(N7:N12)</f>
        <v>104663.7682</v>
      </c>
      <c r="O13" s="85"/>
    </row>
    <row r="14" ht="23.25" customHeight="1">
      <c r="A14" s="86"/>
      <c r="B14" s="87"/>
      <c r="C14" s="88"/>
      <c r="D14" s="89" t="s">
        <v>25</v>
      </c>
      <c r="E14" s="90"/>
      <c r="F14" s="90"/>
      <c r="G14" s="90"/>
      <c r="H14" s="90"/>
      <c r="I14" s="91"/>
      <c r="J14" s="44"/>
      <c r="K14" s="92">
        <f>K13/5</f>
        <v>511329.6337</v>
      </c>
      <c r="L14" s="27"/>
      <c r="M14" s="93" t="s">
        <v>26</v>
      </c>
      <c r="N14" s="94">
        <f>N13*12</f>
        <v>1255965.218</v>
      </c>
      <c r="O14" s="85"/>
    </row>
    <row r="15" ht="23.25" customHeight="1">
      <c r="A15" s="86"/>
      <c r="B15" s="87"/>
      <c r="C15" s="95"/>
      <c r="D15" s="96" t="s">
        <v>27</v>
      </c>
      <c r="E15" s="97"/>
      <c r="F15" s="97"/>
      <c r="G15" s="97"/>
      <c r="H15" s="97"/>
      <c r="I15" s="91"/>
      <c r="J15" s="44"/>
      <c r="K15" s="98">
        <f>K13</f>
        <v>2556648.169</v>
      </c>
      <c r="L15" s="99"/>
      <c r="M15" s="93" t="s">
        <v>28</v>
      </c>
      <c r="N15" s="94">
        <f>N14*2</f>
        <v>2511930.436</v>
      </c>
      <c r="O15" s="85"/>
    </row>
    <row r="16" ht="31.5" customHeight="1">
      <c r="A16" s="100"/>
      <c r="B16" s="101" t="s">
        <v>29</v>
      </c>
      <c r="D16" s="102"/>
      <c r="E16" s="103"/>
      <c r="F16" s="103"/>
      <c r="G16" s="103"/>
      <c r="H16" s="103"/>
      <c r="I16" s="104"/>
      <c r="J16" s="105"/>
      <c r="K16" s="106"/>
      <c r="L16" s="106"/>
      <c r="M16" s="106"/>
      <c r="N16" s="106"/>
      <c r="O16" s="85"/>
    </row>
    <row r="17" ht="21.0" customHeight="1">
      <c r="A17" s="107"/>
      <c r="B17" s="36"/>
      <c r="C17" s="36"/>
      <c r="D17" s="108"/>
      <c r="E17" s="109"/>
      <c r="F17" s="109"/>
      <c r="G17" s="109"/>
      <c r="H17" s="109"/>
      <c r="I17" s="110"/>
      <c r="J17" s="111"/>
      <c r="K17" s="106"/>
      <c r="L17" s="106"/>
      <c r="M17" s="106"/>
      <c r="N17" s="106"/>
      <c r="O17" s="85"/>
    </row>
    <row r="18" ht="15.75" customHeight="1">
      <c r="A18" s="112"/>
      <c r="B18" s="113"/>
      <c r="C18" s="8"/>
      <c r="D18" s="8"/>
      <c r="E18" s="109"/>
      <c r="F18" s="109"/>
      <c r="G18" s="109"/>
      <c r="H18" s="109"/>
      <c r="I18" s="110"/>
      <c r="J18" s="111"/>
      <c r="K18" s="106"/>
      <c r="L18" s="106"/>
      <c r="M18" s="106"/>
      <c r="N18" s="106"/>
      <c r="O18" s="106"/>
    </row>
    <row r="19" ht="27.75" customHeight="1">
      <c r="A19" s="112"/>
      <c r="B19" s="114" t="s">
        <v>30</v>
      </c>
      <c r="C19" s="36"/>
      <c r="D19" s="36"/>
      <c r="E19" s="109"/>
      <c r="F19" s="109"/>
      <c r="G19" s="109"/>
      <c r="H19" s="109"/>
      <c r="I19" s="110"/>
      <c r="J19" s="111"/>
      <c r="K19" s="106"/>
      <c r="L19" s="106"/>
      <c r="M19" s="106"/>
      <c r="N19" s="106"/>
      <c r="O19" s="106"/>
    </row>
    <row r="20" ht="27.75" customHeight="1">
      <c r="A20" s="112"/>
      <c r="B20" s="114" t="s">
        <v>31</v>
      </c>
      <c r="C20" s="36"/>
      <c r="D20" s="36"/>
      <c r="E20" s="109"/>
      <c r="F20" s="109"/>
      <c r="G20" s="109"/>
      <c r="H20" s="109"/>
      <c r="I20" s="110"/>
      <c r="J20" s="111"/>
      <c r="K20" s="106"/>
      <c r="L20" s="106"/>
      <c r="M20" s="106"/>
      <c r="N20" s="106"/>
      <c r="O20" s="106"/>
    </row>
    <row r="21" ht="27.75" customHeight="1">
      <c r="A21" s="112"/>
      <c r="B21" s="115" t="s">
        <v>32</v>
      </c>
      <c r="C21" s="44"/>
      <c r="D21" s="44"/>
      <c r="E21" s="109"/>
      <c r="F21" s="109"/>
      <c r="G21" s="109"/>
      <c r="H21" s="109"/>
      <c r="I21" s="110"/>
      <c r="J21" s="111"/>
      <c r="K21" s="106"/>
      <c r="L21" s="106"/>
      <c r="M21" s="106"/>
      <c r="N21" s="106"/>
      <c r="O21" s="106"/>
    </row>
    <row r="22" ht="27.75" customHeight="1">
      <c r="A22" s="112"/>
      <c r="B22" s="115" t="s">
        <v>33</v>
      </c>
      <c r="C22" s="44"/>
      <c r="D22" s="44"/>
      <c r="E22" s="116"/>
      <c r="F22" s="116"/>
      <c r="G22" s="116"/>
      <c r="H22" s="116"/>
      <c r="I22" s="116"/>
      <c r="J22" s="111"/>
      <c r="K22" s="106"/>
      <c r="L22" s="106"/>
      <c r="M22" s="106"/>
      <c r="N22" s="106"/>
      <c r="O22" s="106"/>
    </row>
    <row r="23" ht="27.75" customHeight="1">
      <c r="A23" s="112"/>
      <c r="B23" s="117" t="s">
        <v>34</v>
      </c>
      <c r="C23" s="44"/>
      <c r="D23" s="44"/>
      <c r="E23" s="116"/>
      <c r="F23" s="116"/>
      <c r="G23" s="116"/>
      <c r="H23" s="116"/>
      <c r="I23" s="116"/>
      <c r="J23" s="111"/>
      <c r="K23" s="106"/>
      <c r="L23" s="106"/>
      <c r="M23" s="106"/>
      <c r="N23" s="106"/>
      <c r="O23" s="106"/>
    </row>
    <row r="24" ht="27.75" customHeight="1">
      <c r="A24" s="112"/>
      <c r="B24" s="118" t="s">
        <v>35</v>
      </c>
      <c r="C24" s="44"/>
      <c r="D24" s="44"/>
      <c r="E24" s="24"/>
      <c r="F24" s="24"/>
      <c r="G24" s="24"/>
      <c r="H24" s="24"/>
      <c r="I24" s="24"/>
      <c r="J24" s="25"/>
      <c r="K24" s="106"/>
      <c r="L24" s="106"/>
      <c r="M24" s="106"/>
      <c r="N24" s="106"/>
      <c r="O24" s="106"/>
    </row>
    <row r="25" ht="17.25" customHeight="1">
      <c r="A25" s="119"/>
      <c r="B25" s="120" t="s">
        <v>36</v>
      </c>
      <c r="E25" s="100"/>
      <c r="F25" s="100"/>
      <c r="G25" s="100"/>
      <c r="H25" s="100"/>
      <c r="I25" s="100"/>
      <c r="J25" s="100"/>
      <c r="K25" s="106"/>
      <c r="L25" s="106"/>
      <c r="M25" s="106"/>
      <c r="N25" s="106"/>
      <c r="O25" s="106"/>
    </row>
    <row r="26" ht="17.25" customHeight="1">
      <c r="A26" s="112"/>
      <c r="B26" s="120" t="s">
        <v>37</v>
      </c>
      <c r="E26" s="121"/>
      <c r="F26" s="121"/>
      <c r="G26" s="121"/>
      <c r="H26" s="6"/>
      <c r="I26" s="6"/>
      <c r="J26" s="6"/>
      <c r="K26" s="106"/>
      <c r="L26" s="106"/>
      <c r="M26" s="106"/>
      <c r="N26" s="106"/>
      <c r="O26" s="106"/>
    </row>
    <row r="27" ht="17.25" customHeight="1">
      <c r="A27" s="122"/>
      <c r="B27" s="120" t="s">
        <v>38</v>
      </c>
      <c r="E27" s="123"/>
      <c r="F27" s="123"/>
      <c r="G27" s="123"/>
      <c r="H27" s="123"/>
      <c r="I27" s="123"/>
      <c r="J27" s="123"/>
      <c r="K27" s="106"/>
      <c r="L27" s="106"/>
      <c r="M27" s="106"/>
      <c r="N27" s="106"/>
      <c r="O27" s="106"/>
    </row>
    <row r="28" ht="17.25" customHeight="1">
      <c r="A28" s="122"/>
      <c r="B28" s="120" t="s">
        <v>39</v>
      </c>
      <c r="E28" s="123"/>
      <c r="F28" s="123"/>
      <c r="G28" s="123"/>
      <c r="H28" s="123"/>
      <c r="I28" s="123"/>
      <c r="J28" s="123"/>
      <c r="K28" s="106"/>
      <c r="L28" s="106"/>
      <c r="M28" s="106"/>
      <c r="N28" s="106"/>
      <c r="O28" s="106"/>
    </row>
    <row r="29" ht="17.25" customHeight="1">
      <c r="A29" s="124"/>
      <c r="B29" s="120" t="s">
        <v>40</v>
      </c>
      <c r="E29" s="106"/>
      <c r="F29" s="106"/>
      <c r="G29" s="125"/>
      <c r="H29" s="106"/>
      <c r="I29" s="106"/>
      <c r="J29" s="106"/>
      <c r="K29" s="106"/>
      <c r="L29" s="106"/>
      <c r="M29" s="106"/>
      <c r="N29" s="106"/>
      <c r="O29" s="106"/>
    </row>
    <row r="30" ht="17.25" customHeight="1">
      <c r="A30" s="124"/>
      <c r="B30" s="120" t="s">
        <v>41</v>
      </c>
      <c r="E30" s="106"/>
      <c r="F30" s="106"/>
      <c r="G30" s="125"/>
      <c r="H30" s="106"/>
      <c r="I30" s="106"/>
      <c r="J30" s="106"/>
      <c r="K30" s="106"/>
      <c r="L30" s="106"/>
      <c r="M30" s="106"/>
      <c r="N30" s="106"/>
      <c r="O30" s="106"/>
    </row>
    <row r="31" ht="17.25" customHeight="1">
      <c r="A31" s="124"/>
      <c r="B31" s="120" t="s">
        <v>42</v>
      </c>
      <c r="E31" s="106"/>
      <c r="F31" s="106"/>
      <c r="G31" s="125"/>
      <c r="H31" s="106"/>
      <c r="I31" s="106"/>
      <c r="J31" s="106"/>
      <c r="K31" s="106"/>
      <c r="L31" s="106"/>
      <c r="M31" s="106"/>
      <c r="N31" s="106"/>
      <c r="O31" s="106"/>
    </row>
    <row r="32" ht="17.25" customHeight="1">
      <c r="A32" s="124"/>
      <c r="B32" s="120" t="s">
        <v>43</v>
      </c>
      <c r="E32" s="106"/>
      <c r="F32" s="106"/>
      <c r="G32" s="125"/>
      <c r="H32" s="106"/>
      <c r="I32" s="106"/>
      <c r="J32" s="106"/>
      <c r="K32" s="106"/>
      <c r="L32" s="106"/>
      <c r="M32" s="106"/>
      <c r="N32" s="106"/>
      <c r="O32" s="106"/>
    </row>
    <row r="33" ht="17.25" customHeight="1">
      <c r="A33" s="124"/>
      <c r="B33" s="120" t="s">
        <v>44</v>
      </c>
      <c r="E33" s="106"/>
      <c r="F33" s="106"/>
      <c r="G33" s="125"/>
      <c r="H33" s="106"/>
      <c r="I33" s="106"/>
      <c r="J33" s="106"/>
      <c r="K33" s="106"/>
      <c r="L33" s="106"/>
      <c r="M33" s="106"/>
      <c r="N33" s="106"/>
      <c r="O33" s="106"/>
    </row>
    <row r="34" ht="17.25" customHeight="1">
      <c r="A34" s="124"/>
      <c r="B34" s="120" t="s">
        <v>45</v>
      </c>
      <c r="E34" s="106"/>
      <c r="F34" s="106"/>
      <c r="G34" s="125"/>
      <c r="H34" s="106"/>
      <c r="I34" s="106"/>
      <c r="J34" s="106"/>
      <c r="K34" s="106"/>
      <c r="L34" s="106"/>
      <c r="M34" s="106"/>
      <c r="N34" s="106"/>
      <c r="O34" s="106"/>
    </row>
    <row r="35" ht="17.25" customHeight="1">
      <c r="A35" s="124"/>
      <c r="B35" s="120" t="s">
        <v>46</v>
      </c>
      <c r="E35" s="106"/>
      <c r="F35" s="106"/>
      <c r="G35" s="125"/>
      <c r="H35" s="106"/>
      <c r="I35" s="106"/>
      <c r="J35" s="106"/>
      <c r="K35" s="106"/>
      <c r="L35" s="106"/>
      <c r="M35" s="106"/>
      <c r="N35" s="106"/>
      <c r="O35" s="106"/>
    </row>
    <row r="36" ht="17.25" customHeight="1">
      <c r="A36" s="124"/>
      <c r="B36" s="120" t="s">
        <v>47</v>
      </c>
      <c r="E36" s="106"/>
      <c r="F36" s="106"/>
      <c r="G36" s="125"/>
      <c r="H36" s="106"/>
      <c r="I36" s="106"/>
      <c r="J36" s="106"/>
      <c r="K36" s="106"/>
      <c r="L36" s="106"/>
      <c r="M36" s="106"/>
      <c r="N36" s="106"/>
      <c r="O36" s="106"/>
    </row>
    <row r="37" ht="33.75" customHeight="1">
      <c r="A37" s="124"/>
      <c r="B37" s="120" t="s">
        <v>48</v>
      </c>
      <c r="E37" s="106"/>
      <c r="F37" s="106"/>
      <c r="G37" s="125"/>
      <c r="H37" s="106"/>
      <c r="I37" s="106"/>
      <c r="J37" s="106"/>
      <c r="K37" s="106"/>
      <c r="L37" s="106"/>
      <c r="M37" s="106"/>
      <c r="N37" s="106"/>
      <c r="O37" s="106"/>
    </row>
    <row r="38" ht="17.25" customHeight="1">
      <c r="A38" s="124"/>
      <c r="B38" s="120" t="s">
        <v>49</v>
      </c>
      <c r="E38" s="106"/>
      <c r="F38" s="106"/>
      <c r="G38" s="125"/>
      <c r="H38" s="106"/>
      <c r="I38" s="106"/>
      <c r="J38" s="106"/>
      <c r="K38" s="106"/>
      <c r="L38" s="106"/>
      <c r="M38" s="106"/>
      <c r="N38" s="106"/>
      <c r="O38" s="106"/>
    </row>
    <row r="39" ht="17.25" customHeight="1">
      <c r="A39" s="124"/>
      <c r="B39" s="120" t="s">
        <v>50</v>
      </c>
      <c r="E39" s="106"/>
      <c r="F39" s="106"/>
      <c r="G39" s="125"/>
      <c r="H39" s="106"/>
      <c r="I39" s="106"/>
      <c r="J39" s="106"/>
      <c r="K39" s="106"/>
      <c r="L39" s="106"/>
      <c r="M39" s="106"/>
      <c r="N39" s="106"/>
      <c r="O39" s="106"/>
    </row>
    <row r="40" ht="17.25" customHeight="1">
      <c r="A40" s="124"/>
      <c r="B40" s="120" t="s">
        <v>51</v>
      </c>
      <c r="E40" s="106"/>
      <c r="F40" s="106"/>
      <c r="G40" s="125"/>
      <c r="H40" s="106"/>
      <c r="I40" s="106"/>
      <c r="J40" s="106"/>
      <c r="K40" s="106"/>
      <c r="L40" s="106"/>
      <c r="M40" s="106"/>
      <c r="N40" s="106"/>
      <c r="O40" s="106"/>
    </row>
    <row r="41" ht="17.25" customHeight="1">
      <c r="A41" s="124"/>
      <c r="B41" s="120" t="s">
        <v>52</v>
      </c>
      <c r="E41" s="106"/>
      <c r="F41" s="106"/>
      <c r="G41" s="125"/>
      <c r="H41" s="106"/>
      <c r="I41" s="106"/>
      <c r="J41" s="106"/>
      <c r="K41" s="106"/>
      <c r="L41" s="106"/>
      <c r="M41" s="106"/>
      <c r="N41" s="106"/>
      <c r="O41" s="106"/>
    </row>
    <row r="42" ht="17.25" customHeight="1">
      <c r="A42" s="124"/>
      <c r="B42" s="120" t="s">
        <v>53</v>
      </c>
      <c r="E42" s="106"/>
      <c r="F42" s="106"/>
      <c r="G42" s="125"/>
      <c r="H42" s="106"/>
      <c r="I42" s="106"/>
      <c r="J42" s="106"/>
      <c r="K42" s="106"/>
      <c r="L42" s="106"/>
      <c r="M42" s="106"/>
      <c r="N42" s="106"/>
      <c r="O42" s="106"/>
    </row>
    <row r="43" ht="20.25" customHeight="1">
      <c r="A43" s="124"/>
      <c r="B43" s="106"/>
      <c r="E43" s="106"/>
      <c r="F43" s="106"/>
      <c r="G43" s="125"/>
      <c r="H43" s="106"/>
      <c r="I43" s="106"/>
      <c r="J43" s="106"/>
      <c r="K43" s="106"/>
      <c r="L43" s="106"/>
      <c r="M43" s="106"/>
      <c r="N43" s="106"/>
      <c r="O43" s="106"/>
    </row>
    <row r="44" ht="20.25" customHeight="1">
      <c r="A44" s="124"/>
      <c r="B44" s="106"/>
      <c r="E44" s="106"/>
      <c r="F44" s="106"/>
      <c r="G44" s="125"/>
      <c r="H44" s="106"/>
      <c r="I44" s="106"/>
      <c r="J44" s="106"/>
      <c r="K44" s="106"/>
      <c r="L44" s="106"/>
      <c r="M44" s="106"/>
      <c r="N44" s="106"/>
      <c r="O44" s="106"/>
    </row>
    <row r="45" ht="20.25" customHeight="1">
      <c r="A45" s="106"/>
      <c r="B45" s="106"/>
      <c r="E45" s="106"/>
      <c r="F45" s="106"/>
      <c r="G45" s="125"/>
      <c r="H45" s="106"/>
      <c r="I45" s="106"/>
      <c r="J45" s="106"/>
      <c r="K45" s="106"/>
      <c r="L45" s="106"/>
      <c r="M45" s="106"/>
      <c r="N45" s="106"/>
      <c r="O45" s="106"/>
    </row>
    <row r="46" ht="20.25" customHeight="1">
      <c r="A46" s="106"/>
      <c r="B46" s="106"/>
      <c r="E46" s="106"/>
      <c r="F46" s="106"/>
      <c r="G46" s="125"/>
      <c r="H46" s="106"/>
      <c r="I46" s="106"/>
      <c r="J46" s="106"/>
      <c r="K46" s="106"/>
      <c r="L46" s="106"/>
      <c r="M46" s="106"/>
      <c r="N46" s="106"/>
      <c r="O46" s="106"/>
    </row>
    <row r="47" ht="20.25" customHeight="1">
      <c r="A47" s="106"/>
      <c r="B47" s="106"/>
      <c r="E47" s="106"/>
      <c r="F47" s="106"/>
      <c r="G47" s="125"/>
      <c r="H47" s="106"/>
      <c r="I47" s="106"/>
      <c r="J47" s="106"/>
      <c r="K47" s="106"/>
      <c r="L47" s="106"/>
      <c r="M47" s="106"/>
      <c r="N47" s="106"/>
      <c r="O47" s="106"/>
    </row>
    <row r="48" ht="20.25" customHeight="1">
      <c r="A48" s="106"/>
      <c r="B48" s="106"/>
      <c r="E48" s="106"/>
      <c r="F48" s="106"/>
      <c r="G48" s="125"/>
      <c r="H48" s="106"/>
      <c r="I48" s="106"/>
      <c r="J48" s="106"/>
      <c r="K48" s="106"/>
      <c r="L48" s="106"/>
      <c r="M48" s="106"/>
      <c r="N48" s="106"/>
      <c r="O48" s="106"/>
    </row>
    <row r="49" ht="20.25" customHeight="1">
      <c r="A49" s="106"/>
      <c r="B49" s="106"/>
      <c r="E49" s="106"/>
      <c r="F49" s="106"/>
      <c r="G49" s="125"/>
      <c r="H49" s="106"/>
      <c r="I49" s="106"/>
      <c r="J49" s="106"/>
      <c r="K49" s="106"/>
      <c r="L49" s="106"/>
      <c r="M49" s="106"/>
      <c r="N49" s="106"/>
      <c r="O49" s="106"/>
    </row>
    <row r="50" ht="20.25" customHeight="1">
      <c r="A50" s="106"/>
      <c r="B50" s="106"/>
      <c r="E50" s="106"/>
      <c r="F50" s="106"/>
      <c r="G50" s="125"/>
      <c r="H50" s="106"/>
      <c r="I50" s="106"/>
      <c r="J50" s="106"/>
      <c r="K50" s="106"/>
      <c r="L50" s="106"/>
      <c r="M50" s="106"/>
      <c r="N50" s="106"/>
      <c r="O50" s="106"/>
    </row>
    <row r="51" ht="20.25" customHeight="1">
      <c r="A51" s="106"/>
      <c r="B51" s="106"/>
      <c r="E51" s="106"/>
      <c r="F51" s="106"/>
      <c r="G51" s="125"/>
      <c r="H51" s="106"/>
      <c r="I51" s="106"/>
      <c r="J51" s="106"/>
      <c r="K51" s="106"/>
      <c r="L51" s="106"/>
      <c r="M51" s="106"/>
      <c r="N51" s="106"/>
      <c r="O51" s="106"/>
    </row>
    <row r="52" ht="20.25" customHeight="1">
      <c r="A52" s="106"/>
      <c r="B52" s="106"/>
      <c r="E52" s="106"/>
      <c r="F52" s="106"/>
      <c r="G52" s="125"/>
      <c r="H52" s="106"/>
      <c r="I52" s="106"/>
      <c r="J52" s="106"/>
      <c r="K52" s="106"/>
      <c r="L52" s="106"/>
      <c r="M52" s="106"/>
      <c r="N52" s="106"/>
      <c r="O52" s="106"/>
    </row>
    <row r="53" ht="20.25" customHeight="1">
      <c r="A53" s="106"/>
      <c r="B53" s="106"/>
      <c r="E53" s="106"/>
      <c r="F53" s="106"/>
      <c r="G53" s="125"/>
      <c r="H53" s="106"/>
      <c r="I53" s="106"/>
      <c r="J53" s="106"/>
      <c r="K53" s="106"/>
      <c r="L53" s="106"/>
      <c r="M53" s="106"/>
      <c r="N53" s="106"/>
      <c r="O53" s="106"/>
    </row>
    <row r="54" ht="20.25" customHeight="1">
      <c r="A54" s="106"/>
      <c r="B54" s="106"/>
      <c r="E54" s="106"/>
      <c r="F54" s="106"/>
      <c r="G54" s="125"/>
      <c r="H54" s="106"/>
      <c r="I54" s="106"/>
      <c r="J54" s="106"/>
      <c r="K54" s="106"/>
      <c r="L54" s="106"/>
      <c r="M54" s="106"/>
      <c r="N54" s="106"/>
      <c r="O54" s="106"/>
    </row>
    <row r="55" ht="20.25" customHeight="1">
      <c r="A55" s="106"/>
      <c r="B55" s="106"/>
      <c r="E55" s="106"/>
      <c r="F55" s="106"/>
      <c r="G55" s="125"/>
      <c r="H55" s="106"/>
      <c r="I55" s="106"/>
      <c r="J55" s="106"/>
      <c r="K55" s="106"/>
      <c r="L55" s="106"/>
      <c r="M55" s="106"/>
      <c r="N55" s="106"/>
      <c r="O55" s="106"/>
    </row>
    <row r="56" ht="20.25" customHeight="1">
      <c r="A56" s="106"/>
      <c r="B56" s="106"/>
      <c r="E56" s="106"/>
      <c r="F56" s="106"/>
      <c r="G56" s="125"/>
      <c r="H56" s="106"/>
      <c r="I56" s="106"/>
      <c r="J56" s="106"/>
      <c r="K56" s="106"/>
      <c r="L56" s="106"/>
      <c r="M56" s="106"/>
      <c r="N56" s="106"/>
      <c r="O56" s="106"/>
    </row>
    <row r="57" ht="20.25" customHeight="1">
      <c r="A57" s="106"/>
      <c r="B57" s="106"/>
      <c r="E57" s="106"/>
      <c r="F57" s="106"/>
      <c r="G57" s="125"/>
      <c r="H57" s="106"/>
      <c r="I57" s="106"/>
      <c r="J57" s="106"/>
      <c r="K57" s="106"/>
      <c r="L57" s="106"/>
      <c r="M57" s="106"/>
      <c r="N57" s="106"/>
      <c r="O57" s="106"/>
    </row>
    <row r="58" ht="20.25" customHeight="1">
      <c r="A58" s="106"/>
      <c r="B58" s="106"/>
      <c r="E58" s="106"/>
      <c r="F58" s="106"/>
      <c r="G58" s="125"/>
      <c r="H58" s="106"/>
      <c r="I58" s="106"/>
      <c r="J58" s="106"/>
      <c r="K58" s="106"/>
      <c r="L58" s="106"/>
      <c r="M58" s="106"/>
      <c r="N58" s="106"/>
      <c r="O58" s="106"/>
    </row>
    <row r="59" ht="20.25" customHeight="1">
      <c r="A59" s="106"/>
      <c r="B59" s="106"/>
      <c r="C59" s="106"/>
      <c r="D59" s="106"/>
      <c r="E59" s="106"/>
      <c r="F59" s="106"/>
      <c r="G59" s="125"/>
      <c r="H59" s="106"/>
      <c r="I59" s="106"/>
      <c r="J59" s="106"/>
      <c r="K59" s="106"/>
      <c r="L59" s="106"/>
      <c r="M59" s="106"/>
      <c r="N59" s="106"/>
      <c r="O59" s="106"/>
    </row>
    <row r="60" ht="20.25" customHeight="1">
      <c r="A60" s="106"/>
      <c r="B60" s="106"/>
      <c r="C60" s="106"/>
      <c r="D60" s="106"/>
      <c r="E60" s="106"/>
      <c r="F60" s="106"/>
      <c r="G60" s="125"/>
      <c r="H60" s="106"/>
      <c r="I60" s="106"/>
      <c r="J60" s="106"/>
      <c r="K60" s="106"/>
      <c r="L60" s="106"/>
      <c r="M60" s="106"/>
      <c r="N60" s="106"/>
      <c r="O60" s="106"/>
    </row>
  </sheetData>
  <mergeCells count="79">
    <mergeCell ref="C8:D8"/>
    <mergeCell ref="C12:D12"/>
    <mergeCell ref="K11:L11"/>
    <mergeCell ref="K10:L10"/>
    <mergeCell ref="I6:J6"/>
    <mergeCell ref="A7:A12"/>
    <mergeCell ref="C7:D7"/>
    <mergeCell ref="K9:L9"/>
    <mergeCell ref="K6:L6"/>
    <mergeCell ref="K7:L7"/>
    <mergeCell ref="K8:L8"/>
    <mergeCell ref="K12:L12"/>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7:D57"/>
    <mergeCell ref="B58:D58"/>
    <mergeCell ref="B50:D50"/>
    <mergeCell ref="B51:D51"/>
    <mergeCell ref="B52:D52"/>
    <mergeCell ref="B53:D53"/>
    <mergeCell ref="B54:D54"/>
    <mergeCell ref="B55:D55"/>
    <mergeCell ref="B56:D56"/>
    <mergeCell ref="I7:J7"/>
    <mergeCell ref="I9:J9"/>
    <mergeCell ref="I14:J14"/>
    <mergeCell ref="I15:J15"/>
    <mergeCell ref="C11:D11"/>
    <mergeCell ref="I11:J11"/>
    <mergeCell ref="I12:J12"/>
    <mergeCell ref="A13:G13"/>
    <mergeCell ref="I13:J13"/>
    <mergeCell ref="K13:L13"/>
    <mergeCell ref="K14:L14"/>
    <mergeCell ref="K15:L15"/>
    <mergeCell ref="C9:D9"/>
    <mergeCell ref="C10:D10"/>
    <mergeCell ref="B16:D17"/>
    <mergeCell ref="B18:D18"/>
    <mergeCell ref="B19:D19"/>
    <mergeCell ref="B20:D20"/>
    <mergeCell ref="B21:D21"/>
    <mergeCell ref="I8:J8"/>
    <mergeCell ref="I10:J10"/>
    <mergeCell ref="A2:L2"/>
    <mergeCell ref="M2:N2"/>
    <mergeCell ref="A1:C1"/>
    <mergeCell ref="D1:G1"/>
    <mergeCell ref="H1:J1"/>
    <mergeCell ref="B3:F3"/>
    <mergeCell ref="B4:F4"/>
    <mergeCell ref="N4:N5"/>
    <mergeCell ref="H4:L5"/>
  </mergeCells>
  <hyperlinks>
    <hyperlink display="1. SUPERVISAO TÉCNICA TODAS AS LOCALIDADES - PLANILHA DE CUSTOS" location="'1.SUPERVISAO_TECNICA'!A2:C3" ref="B19"/>
    <hyperlink display="2. EQUIPE RESIDENTE SR/PF/PR - PLANILHA DE CUSTOS " location="'2.EQUIPE_RESIDENTE'!K1:P1" ref="B20"/>
    <hyperlink display="3. SERVIÇOS ESPECIALIZADOS - ROTINAS DE MANUTENÇÃO - SINTÉTICA" location="'3.SERVIÇOS_ESPECIALIZADOS_ROTIN'!E1:M1" ref="B21"/>
    <hyperlink display="4. SERVIÇOS ESPECIALIZADOS - EXECUÇÃO SOB DEMANDA - SINTÉTICA" location="'4.SERVIÇOS_ESPECIALIZADOS_SOB_D'!E1:M1" ref="B22"/>
    <hyperlink display="5. SERVIÇOS GERAIS DE MANUTENÇÃO - EXECUÇÃO SOB DEMANDA - SINTÉTICA" location="'5.SERVIÇOS_GERAIS_SOB_DEMANDA'!E1:M1" ref="B23"/>
    <hyperlink display="6. PEÇAS E MATERIAIS - SOB DEMANDA - EXECUÇÃO DE SERVIÇOS PELA EQUIPE RESIDENTE" location="'6.PEÇAS_E_MATERIAIS_CURITIBA'!E1:M1" ref="B24"/>
    <hyperlink display="7. BDI SERVIÇOS" location="'7. BDI SERVIÇOS'!E1:L1" ref="B25"/>
    <hyperlink display="8. BDI MERO FORNECIMENTO" location="'8. BDI MERO FORNECIMENTO'!E1:L1" ref="B26"/>
    <hyperlink display="9. ESTIMATIVAS SEGURO E ALIMENTAÇÃO - EQUIPE RESIDENTE" location="'9. SEGURO E ALIMENTAÇÃO'!D1:G1" ref="B27"/>
    <hyperlink display="10. PLANILHA ANALÍTICA DE COMPOSIÇÕES CLIMATIZAÇÃO" location="'10. COMPOSIÇÕES ESPECIALIZADOS '!C1:E1" ref="B28"/>
    <hyperlink display="11. PLANILHA ANALÍTICA DE COMPOSIÇÕES - SERVIÇOS GERAIS DE MANUTENÇÃO" location="'11.COMPOSIÇÕES GERAIS'!C1:F1" ref="B29"/>
    <hyperlink display="12. PLANILHA DE ORÇAMENTOS PRÓPRIOS - COTAÇÃO DE MERCADO" location="'12.COT.MERCADO'!D1:H1" ref="B30"/>
    <hyperlink display="13. RELATÓRIO - LEVANTAMENTO DE QUANTIDADE EXTINTORES" location="'13. RELATORIO QUANT. EXTINTORES'!A1:M1" ref="B31"/>
    <hyperlink display="14. RELATÓRIO - LEVANTAMENTO QUANTIDADE DE GERADORES" location="'14. RELATORIO QUANT. GERADORES'!A1:I1" ref="B32"/>
    <hyperlink display="15. RELATÓRIO - LEVANTAMENTO QUANTIDADE NO-BREAKs" location="'15. RELATORIO QUANT. NO_BREAKs'!A1:J1" ref="B33"/>
    <hyperlink display="16. RELATÓRIO - LEVANTAMENTO DE QUANTITATIVO DE CLIMATIZAÇÃO " location="'16. RELATORIO QUANT. AR CONDICI'!A1:K1" ref="B34"/>
    <hyperlink display="17 - RELATÓRIO - HISTORICO DE MANUTENÇÃO 2020 - DELEGACIA DE POLÍCIA FEDERAL EM FOZ DO IGUAÇU" location="'17. DADOS - HISTORICO MANUT. 20'!D1" ref="B35"/>
    <hyperlink display="18 - RELATÓRIO - HISTORICO DE MANUTENÇÃO 2022 - DELEGACIA DE POLÍCIA FEDERAL EM FOZ DO IGUAÇU" location="'18. DADOS - HISTORICO MANUT. 20'!D1" ref="B36"/>
    <hyperlink display="19. RELATÓRIO HISTORICO CONSOLIDADO E CALCULADORA PARA SERVIÇOS  SOB DEMANDA - ARREDONDAMENTO DE QUANTIDADES" location="' 19.ARRED_HIST_CONSOLIDADO_E_ME'!Q3:S3" ref="B37"/>
    <hyperlink display="20-A. TABELA SINAPI INSUMOS" location="'20-A.SINAPI-I'!B7" ref="B38"/>
    <hyperlink display="20-B - TABELA SINAPI SERVIÇOS" location="'20-B.SINAPI-S'!B5" ref="B39"/>
    <hyperlink display="21. CURVA ABC DE SERVIÇOS" location="'21 - Curva ABC Serviços Sob dem'!D1:F1" ref="B40"/>
    <hyperlink display="22. CURVA ABC DE INSUMOS" location="'22. Curva ABC Insumos Sob Deman'!D1:F1" ref="B41"/>
    <hyperlink display="SINTETICA GERAL" location="'Planilha_Sintética_Geral'!E1:M1" ref="B42"/>
  </hyperlinks>
  <printOptions horizontalCentered="1"/>
  <pageMargins bottom="0.75" footer="0.0" header="0.0" left="0.25" right="0.25" top="0.75"/>
  <pageSetup fitToHeight="0"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41B47"/>
    <outlinePr summaryBelow="0" summaryRight="0"/>
    <pageSetUpPr fitToPage="1"/>
  </sheetPr>
  <sheetViews>
    <sheetView showGridLines="0" workbookViewId="0">
      <pane ySplit="10.0" topLeftCell="A11" activePane="bottomLeft" state="frozen"/>
      <selection activeCell="B12" sqref="B12" pane="bottomLeft"/>
    </sheetView>
  </sheetViews>
  <sheetFormatPr customHeight="1" defaultColWidth="14.43" defaultRowHeight="15.0"/>
  <cols>
    <col customWidth="1" min="1" max="1" width="8.29"/>
    <col customWidth="1" min="2" max="2" width="11.43"/>
    <col customWidth="1" min="3" max="3" width="9.71"/>
    <col customWidth="1" min="4" max="4" width="20.0"/>
    <col customWidth="1" min="5" max="5" width="50.86"/>
    <col customWidth="1" min="6" max="6" width="7.57"/>
    <col customWidth="1" min="7" max="7" width="6.86"/>
    <col customWidth="1" min="8" max="8" width="8.57"/>
    <col customWidth="1" min="9" max="9" width="12.29"/>
    <col customWidth="1" min="10" max="10" width="9.71"/>
    <col customWidth="1" min="11" max="11" width="12.29"/>
    <col customWidth="1" min="12" max="12" width="10.29"/>
    <col customWidth="1" min="13" max="13" width="9.71"/>
    <col customWidth="1" min="14" max="14" width="15.86"/>
    <col customWidth="1" min="15" max="15" width="14.14"/>
    <col customWidth="1" min="16" max="16" width="12.0"/>
  </cols>
  <sheetData>
    <row r="1" ht="52.5" customHeight="1">
      <c r="A1" s="1" t="s">
        <v>1710</v>
      </c>
      <c r="D1" s="1"/>
      <c r="E1" s="285" t="s">
        <v>1711</v>
      </c>
      <c r="F1" s="127"/>
      <c r="G1" s="127"/>
      <c r="H1" s="127"/>
      <c r="I1" s="127"/>
      <c r="J1" s="127"/>
      <c r="K1" s="127"/>
      <c r="L1" s="127"/>
      <c r="M1" s="128">
        <f>SUM(O11)</f>
        <v>183442.6144</v>
      </c>
      <c r="N1" s="127"/>
      <c r="O1" s="287" t="s">
        <v>29</v>
      </c>
      <c r="P1" s="44"/>
    </row>
    <row r="2" ht="11.25" customHeight="1">
      <c r="A2" s="476"/>
      <c r="B2" s="477"/>
      <c r="C2" s="477"/>
      <c r="D2" s="477"/>
      <c r="E2" s="477"/>
      <c r="F2" s="477"/>
      <c r="G2" s="478"/>
      <c r="H2" s="478"/>
      <c r="I2" s="478"/>
      <c r="J2" s="478"/>
      <c r="K2" s="478"/>
      <c r="L2" s="478"/>
      <c r="M2" s="478"/>
      <c r="N2" s="478"/>
      <c r="O2" s="478"/>
      <c r="P2" s="479"/>
    </row>
    <row r="3" ht="11.25" customHeight="1">
      <c r="A3" s="133"/>
      <c r="B3" s="159"/>
      <c r="C3" s="160"/>
      <c r="D3" s="161"/>
      <c r="E3" s="137"/>
      <c r="F3" s="138" t="s">
        <v>57</v>
      </c>
      <c r="G3" s="139"/>
      <c r="H3" s="140"/>
      <c r="I3" s="141"/>
      <c r="J3" s="142" t="s">
        <v>1611</v>
      </c>
      <c r="K3" s="143"/>
      <c r="L3" s="143"/>
      <c r="M3" s="143"/>
      <c r="N3" s="143"/>
      <c r="O3" s="144"/>
      <c r="P3" s="145"/>
    </row>
    <row r="4" ht="11.25" customHeight="1">
      <c r="A4" s="133"/>
      <c r="B4" s="154"/>
      <c r="C4" s="154"/>
      <c r="D4" s="480"/>
      <c r="E4" s="137"/>
      <c r="F4" s="481" t="s">
        <v>60</v>
      </c>
      <c r="H4" s="102"/>
      <c r="I4" s="141"/>
      <c r="J4" s="149" t="s">
        <v>61</v>
      </c>
      <c r="K4" s="150" t="s">
        <v>62</v>
      </c>
      <c r="L4" s="150" t="s">
        <v>63</v>
      </c>
      <c r="M4" s="150" t="s">
        <v>64</v>
      </c>
      <c r="N4" s="150" t="s">
        <v>65</v>
      </c>
      <c r="O4" s="150" t="s">
        <v>66</v>
      </c>
      <c r="P4" s="145"/>
    </row>
    <row r="5" ht="11.25" customHeight="1">
      <c r="A5" s="133"/>
      <c r="B5" s="159"/>
      <c r="C5" s="160"/>
      <c r="D5" s="161"/>
      <c r="E5" s="162"/>
      <c r="F5" s="482"/>
      <c r="G5" s="8"/>
      <c r="H5" s="9"/>
      <c r="I5" s="141"/>
      <c r="J5" s="152">
        <f>'7. BDI SERVIÇOS'!K5</f>
        <v>0.17392297</v>
      </c>
      <c r="K5" s="152">
        <f>'7. BDI SERVIÇOS'!K64</f>
        <v>0.1486201794</v>
      </c>
      <c r="L5" s="152">
        <f>'7. BDI SERVIÇOS'!K83</f>
        <v>0.1486201794</v>
      </c>
      <c r="M5" s="152">
        <f>'7. BDI SERVIÇOS'!K102</f>
        <v>0.17392297</v>
      </c>
      <c r="N5" s="152">
        <f>'7. BDI SERVIÇOS'!K121</f>
        <v>0.17392297</v>
      </c>
      <c r="O5" s="153">
        <f>'7. BDI SERVIÇOS'!K140</f>
        <v>0.1611337449</v>
      </c>
      <c r="P5" s="145"/>
    </row>
    <row r="6" ht="11.25" customHeight="1">
      <c r="A6" s="133"/>
      <c r="B6" s="154"/>
      <c r="C6" s="155"/>
      <c r="D6" s="156"/>
      <c r="E6" s="137"/>
      <c r="F6" s="157"/>
      <c r="G6" s="141"/>
      <c r="H6" s="141"/>
      <c r="I6" s="141"/>
      <c r="J6" s="152"/>
      <c r="K6" s="141"/>
      <c r="L6" s="141"/>
      <c r="M6" s="141"/>
      <c r="N6" s="141"/>
      <c r="O6" s="141"/>
      <c r="P6" s="145"/>
    </row>
    <row r="7" ht="11.25" customHeight="1">
      <c r="A7" s="133"/>
      <c r="B7" s="154"/>
      <c r="C7" s="155"/>
      <c r="D7" s="158"/>
      <c r="E7" s="137"/>
      <c r="F7" s="157"/>
      <c r="G7" s="141"/>
      <c r="H7" s="141"/>
      <c r="I7" s="141"/>
      <c r="J7" s="142" t="s">
        <v>70</v>
      </c>
      <c r="K7" s="143"/>
      <c r="L7" s="143"/>
      <c r="M7" s="143"/>
      <c r="N7" s="143"/>
      <c r="O7" s="144"/>
      <c r="P7" s="145"/>
    </row>
    <row r="8" ht="11.25" customHeight="1">
      <c r="A8" s="133"/>
      <c r="B8" s="159"/>
      <c r="C8" s="160"/>
      <c r="D8" s="161"/>
      <c r="E8" s="162"/>
      <c r="F8" s="157"/>
      <c r="G8" s="141"/>
      <c r="H8" s="141"/>
      <c r="I8" s="141"/>
      <c r="J8" s="163">
        <f>'8. BDI MERO FORNECIMENTO'!K5</f>
        <v>0.1713345851</v>
      </c>
      <c r="K8" s="8"/>
      <c r="L8" s="8"/>
      <c r="M8" s="8"/>
      <c r="N8" s="8"/>
      <c r="O8" s="9"/>
      <c r="P8" s="145"/>
    </row>
    <row r="9">
      <c r="A9" s="184" t="s">
        <v>79</v>
      </c>
      <c r="B9" s="185" t="s">
        <v>80</v>
      </c>
      <c r="C9" s="186" t="s">
        <v>81</v>
      </c>
      <c r="D9" s="186" t="s">
        <v>82</v>
      </c>
      <c r="E9" s="187" t="s">
        <v>8</v>
      </c>
      <c r="F9" s="185" t="s">
        <v>83</v>
      </c>
      <c r="G9" s="185" t="s">
        <v>11</v>
      </c>
      <c r="H9" s="188" t="s">
        <v>84</v>
      </c>
      <c r="I9" s="189"/>
      <c r="J9" s="188" t="s">
        <v>85</v>
      </c>
      <c r="K9" s="36"/>
      <c r="L9" s="189"/>
      <c r="M9" s="188" t="s">
        <v>86</v>
      </c>
      <c r="N9" s="36"/>
      <c r="O9" s="189"/>
      <c r="P9" s="190"/>
    </row>
    <row r="10">
      <c r="B10" s="75"/>
      <c r="C10" s="75"/>
      <c r="D10" s="75"/>
      <c r="E10" s="75"/>
      <c r="F10" s="75"/>
      <c r="G10" s="75"/>
      <c r="H10" s="191" t="s">
        <v>87</v>
      </c>
      <c r="I10" s="191" t="s">
        <v>88</v>
      </c>
      <c r="J10" s="191" t="s">
        <v>87</v>
      </c>
      <c r="K10" s="191" t="s">
        <v>88</v>
      </c>
      <c r="L10" s="191" t="s">
        <v>89</v>
      </c>
      <c r="M10" s="191" t="s">
        <v>87</v>
      </c>
      <c r="N10" s="191" t="s">
        <v>88</v>
      </c>
      <c r="O10" s="191" t="s">
        <v>89</v>
      </c>
      <c r="P10" s="192" t="s">
        <v>90</v>
      </c>
    </row>
    <row r="11" ht="39.0" customHeight="1">
      <c r="A11" s="577">
        <v>6.0</v>
      </c>
      <c r="B11" s="583" t="s">
        <v>553</v>
      </c>
      <c r="C11" s="44"/>
      <c r="D11" s="44"/>
      <c r="E11" s="44"/>
      <c r="F11" s="44"/>
      <c r="G11" s="44"/>
      <c r="H11" s="44"/>
      <c r="I11" s="44"/>
      <c r="J11" s="44"/>
      <c r="K11" s="44"/>
      <c r="L11" s="44"/>
      <c r="M11" s="247">
        <f t="shared" ref="M11:O11" si="1">SUM(M12,M152,M451,M489,M498,M691)</f>
        <v>0</v>
      </c>
      <c r="N11" s="247">
        <f t="shared" si="1"/>
        <v>183442.6144</v>
      </c>
      <c r="O11" s="247">
        <f t="shared" si="1"/>
        <v>183442.6144</v>
      </c>
      <c r="P11" s="248">
        <f t="shared" ref="P11:P705" si="3">O11/$M$1</f>
        <v>1</v>
      </c>
    </row>
    <row r="12" ht="21.75" customHeight="1">
      <c r="A12" s="249" t="s">
        <v>554</v>
      </c>
      <c r="B12" s="584" t="s">
        <v>555</v>
      </c>
      <c r="C12" s="44"/>
      <c r="D12" s="44"/>
      <c r="E12" s="44"/>
      <c r="F12" s="44"/>
      <c r="G12" s="44"/>
      <c r="H12" s="44"/>
      <c r="I12" s="44"/>
      <c r="J12" s="44"/>
      <c r="K12" s="44"/>
      <c r="L12" s="44"/>
      <c r="M12" s="585">
        <f t="shared" ref="M12:O12" si="2">SUM(M13:M151)</f>
        <v>0</v>
      </c>
      <c r="N12" s="585">
        <f t="shared" si="2"/>
        <v>43109.17726</v>
      </c>
      <c r="O12" s="585">
        <f t="shared" si="2"/>
        <v>43109.17726</v>
      </c>
      <c r="P12" s="211">
        <f t="shared" si="3"/>
        <v>0.2350008879</v>
      </c>
    </row>
    <row r="13">
      <c r="A13" s="253" t="s">
        <v>556</v>
      </c>
      <c r="B13" s="254">
        <v>414.0</v>
      </c>
      <c r="C13" s="255" t="str">
        <f t="shared" ref="C13:C151" si="4">IF(OR(D13="SINAPI-S",D13="SINAPI-I"),"SINAPI","PRÓPRIO")</f>
        <v>SINAPI</v>
      </c>
      <c r="D13" s="256" t="s">
        <v>286</v>
      </c>
      <c r="E13" s="257" t="str">
        <f>IFERROR(IF(D13="SINAPI-S",VLOOKUP(B13,'20-B.SINAPI-S'!A:J,2,0),IF(D13="SINAPI-I",VLOOKUP(B13,'20-A.SINAPI-I'!A:G,2,0),IF(D13="COMPOSIÇÕES",VLOOKUP(B13,'11.COMPOSIÇÕES GERAIS'!B:I,2,0),VLOOKUP(B13,'12.COT.MERCADO'!A:I,2,0)))),"Em Elaboração")</f>
        <v>ABRACADEIRA DE NYLON PARA AMARRACAO DE CABOS, COMPRIMENTO DE 100 X 2,5 MM</v>
      </c>
      <c r="F13" s="258" t="str">
        <f>IFERROR(IF(D13="SINAPI-S",VLOOKUP(B13,'20-B.SINAPI-S'!A:J,3,0),IF(D13="SINAPI-I",VLOOKUP(B13,'20-A.SINAPI-I'!A:G,3,0),IF(D13="COMPOSIÇÕES",VLOOKUP(B13,'11.COMPOSIÇÕES GERAIS'!B:I,3,0),VLOOKUP(B13,'12.COT.MERCADO'!A:I,7,0)))),"Em Elaboração")</f>
        <v>UN</v>
      </c>
      <c r="G13" s="254">
        <v>20.0</v>
      </c>
      <c r="H13" s="259">
        <f>IFERROR(IF(D13="SINAPI-S",VLOOKUP(B13,'20-B.SINAPI-S'!A:J,5,0),IF(D13="SINAPI-I",VLOOKUP(B13,'20-A.SINAPI-I'!A:G,6,0),IF(D13="COMPOSIÇÕES",VLOOKUP(B13,'11.COMPOSIÇÕES GERAIS'!B:I,7,0),0))),"Em Elaboração")</f>
        <v>0</v>
      </c>
      <c r="I13" s="259">
        <f>IFERROR(IF(D13="SINAPI-S",VLOOKUP(B13,'20-B.SINAPI-S'!A:J,6,0),IF(D13="SINAPI-I",VLOOKUP(B13,'20-A.SINAPI-I'!A:G,7,0),IF(D13="COMPOSIÇÕES",VLOOKUP(B13,'11.COMPOSIÇÕES GERAIS'!B:I,8,0),VLOOKUP(B13,'12.COT.MERCADO'!A:I,8,0)))),"Em Elaboração")</f>
        <v>0.06</v>
      </c>
      <c r="J13" s="259">
        <f t="shared" ref="J13:J151" si="5">H13*(1+$J$5)</f>
        <v>0</v>
      </c>
      <c r="K13" s="259">
        <f t="shared" ref="K13:K151" si="6">I13*(1+$J$8)</f>
        <v>0.07028007511</v>
      </c>
      <c r="L13" s="259">
        <f t="shared" ref="L13:L151" si="7">SUM(J13:K13)</f>
        <v>0.07028007511</v>
      </c>
      <c r="M13" s="259">
        <f t="shared" ref="M13:M151" si="8">J13*G13</f>
        <v>0</v>
      </c>
      <c r="N13" s="259">
        <f t="shared" ref="N13:N151" si="9">K13*G13</f>
        <v>1.405601502</v>
      </c>
      <c r="O13" s="259">
        <f t="shared" ref="O13:O151" si="10">SUM(M13:N13)</f>
        <v>1.405601502</v>
      </c>
      <c r="P13" s="586">
        <f t="shared" si="3"/>
        <v>0.000007662349923</v>
      </c>
    </row>
    <row r="14">
      <c r="A14" s="253" t="s">
        <v>557</v>
      </c>
      <c r="B14" s="254">
        <v>410.0</v>
      </c>
      <c r="C14" s="255" t="str">
        <f t="shared" si="4"/>
        <v>SINAPI</v>
      </c>
      <c r="D14" s="256" t="s">
        <v>286</v>
      </c>
      <c r="E14" s="257" t="str">
        <f>IFERROR(IF(D14="SINAPI-S",VLOOKUP(B14,'20-B.SINAPI-S'!A:J,2,0),IF(D14="SINAPI-I",VLOOKUP(B14,'20-A.SINAPI-I'!A:G,2,0),IF(D14="COMPOSIÇÕES",VLOOKUP(B14,'11.COMPOSIÇÕES GERAIS'!B:I,2,0),VLOOKUP(B14,'12.COT.MERCADO'!A:I,2,0)))),"Em Elaboração")</f>
        <v>ABRACADEIRA DE NYLON PARA AMARRACAO DE CABOS, COMPRIMENTO DE 150 X *3,6* MM</v>
      </c>
      <c r="F14" s="258" t="str">
        <f>IFERROR(IF(D14="SINAPI-S",VLOOKUP(B14,'20-B.SINAPI-S'!A:J,3,0),IF(D14="SINAPI-I",VLOOKUP(B14,'20-A.SINAPI-I'!A:G,3,0),IF(D14="COMPOSIÇÕES",VLOOKUP(B14,'11.COMPOSIÇÕES GERAIS'!B:I,3,0),VLOOKUP(B14,'12.COT.MERCADO'!A:I,7,0)))),"Em Elaboração")</f>
        <v>UN</v>
      </c>
      <c r="G14" s="254">
        <v>20.0</v>
      </c>
      <c r="H14" s="259">
        <f>IFERROR(IF(D14="SINAPI-S",VLOOKUP(B14,'20-B.SINAPI-S'!A:J,5,0),IF(D14="SINAPI-I",VLOOKUP(B14,'20-A.SINAPI-I'!A:G,6,0),IF(D14="COMPOSIÇÕES",VLOOKUP(B14,'11.COMPOSIÇÕES GERAIS'!B:I,7,0),0))),"Em Elaboração")</f>
        <v>0</v>
      </c>
      <c r="I14" s="259">
        <f>IFERROR(IF(D14="SINAPI-S",VLOOKUP(B14,'20-B.SINAPI-S'!A:J,6,0),IF(D14="SINAPI-I",VLOOKUP(B14,'20-A.SINAPI-I'!A:G,7,0),IF(D14="COMPOSIÇÕES",VLOOKUP(B14,'11.COMPOSIÇÕES GERAIS'!B:I,8,0),VLOOKUP(B14,'12.COT.MERCADO'!A:I,8,0)))),"Em Elaboração")</f>
        <v>0.15</v>
      </c>
      <c r="J14" s="259">
        <f t="shared" si="5"/>
        <v>0</v>
      </c>
      <c r="K14" s="259">
        <f t="shared" si="6"/>
        <v>0.1757001878</v>
      </c>
      <c r="L14" s="259">
        <f t="shared" si="7"/>
        <v>0.1757001878</v>
      </c>
      <c r="M14" s="259">
        <f t="shared" si="8"/>
        <v>0</v>
      </c>
      <c r="N14" s="259">
        <f t="shared" si="9"/>
        <v>3.514003755</v>
      </c>
      <c r="O14" s="259">
        <f t="shared" si="10"/>
        <v>3.514003755</v>
      </c>
      <c r="P14" s="586">
        <f t="shared" si="3"/>
        <v>0.00001915587481</v>
      </c>
    </row>
    <row r="15">
      <c r="A15" s="253" t="s">
        <v>558</v>
      </c>
      <c r="B15" s="254">
        <v>411.0</v>
      </c>
      <c r="C15" s="255" t="str">
        <f t="shared" si="4"/>
        <v>SINAPI</v>
      </c>
      <c r="D15" s="256" t="s">
        <v>286</v>
      </c>
      <c r="E15" s="257" t="str">
        <f>IFERROR(IF(D15="SINAPI-S",VLOOKUP(B15,'20-B.SINAPI-S'!A:J,2,0),IF(D15="SINAPI-I",VLOOKUP(B15,'20-A.SINAPI-I'!A:G,2,0),IF(D15="COMPOSIÇÕES",VLOOKUP(B15,'11.COMPOSIÇÕES GERAIS'!B:I,2,0),VLOOKUP(B15,'12.COT.MERCADO'!A:I,2,0)))),"Em Elaboração")</f>
        <v>ABRACADEIRA DE NYLON PARA AMARRACAO DE CABOS, COMPRIMENTO DE 200 X *4,6* MM</v>
      </c>
      <c r="F15" s="258" t="str">
        <f>IFERROR(IF(D15="SINAPI-S",VLOOKUP(B15,'20-B.SINAPI-S'!A:J,3,0),IF(D15="SINAPI-I",VLOOKUP(B15,'20-A.SINAPI-I'!A:G,3,0),IF(D15="COMPOSIÇÕES",VLOOKUP(B15,'11.COMPOSIÇÕES GERAIS'!B:I,3,0),VLOOKUP(B15,'12.COT.MERCADO'!A:I,7,0)))),"Em Elaboração")</f>
        <v>UN</v>
      </c>
      <c r="G15" s="254">
        <v>20.0</v>
      </c>
      <c r="H15" s="259">
        <f>IFERROR(IF(D15="SINAPI-S",VLOOKUP(B15,'20-B.SINAPI-S'!A:J,5,0),IF(D15="SINAPI-I",VLOOKUP(B15,'20-A.SINAPI-I'!A:G,6,0),IF(D15="COMPOSIÇÕES",VLOOKUP(B15,'11.COMPOSIÇÕES GERAIS'!B:I,7,0),0))),"Em Elaboração")</f>
        <v>0</v>
      </c>
      <c r="I15" s="259">
        <f>IFERROR(IF(D15="SINAPI-S",VLOOKUP(B15,'20-B.SINAPI-S'!A:J,6,0),IF(D15="SINAPI-I",VLOOKUP(B15,'20-A.SINAPI-I'!A:G,7,0),IF(D15="COMPOSIÇÕES",VLOOKUP(B15,'11.COMPOSIÇÕES GERAIS'!B:I,8,0),VLOOKUP(B15,'12.COT.MERCADO'!A:I,8,0)))),"Em Elaboração")</f>
        <v>0.2</v>
      </c>
      <c r="J15" s="259">
        <f t="shared" si="5"/>
        <v>0</v>
      </c>
      <c r="K15" s="259">
        <f t="shared" si="6"/>
        <v>0.234266917</v>
      </c>
      <c r="L15" s="259">
        <f t="shared" si="7"/>
        <v>0.234266917</v>
      </c>
      <c r="M15" s="259">
        <f t="shared" si="8"/>
        <v>0</v>
      </c>
      <c r="N15" s="259">
        <f t="shared" si="9"/>
        <v>4.685338341</v>
      </c>
      <c r="O15" s="259">
        <f t="shared" si="10"/>
        <v>4.685338341</v>
      </c>
      <c r="P15" s="586">
        <f t="shared" si="3"/>
        <v>0.00002554116641</v>
      </c>
    </row>
    <row r="16">
      <c r="A16" s="253" t="s">
        <v>559</v>
      </c>
      <c r="B16" s="254">
        <v>408.0</v>
      </c>
      <c r="C16" s="255" t="str">
        <f t="shared" si="4"/>
        <v>SINAPI</v>
      </c>
      <c r="D16" s="256" t="s">
        <v>286</v>
      </c>
      <c r="E16" s="257" t="str">
        <f>IFERROR(IF(D16="SINAPI-S",VLOOKUP(B16,'20-B.SINAPI-S'!A:J,2,0),IF(D16="SINAPI-I",VLOOKUP(B16,'20-A.SINAPI-I'!A:G,2,0),IF(D16="COMPOSIÇÕES",VLOOKUP(B16,'11.COMPOSIÇÕES GERAIS'!B:I,2,0),VLOOKUP(B16,'12.COT.MERCADO'!A:I,2,0)))),"Em Elaboração")</f>
        <v>ABRACADEIRA DE NYLON PARA AMARRACAO DE CABOS, COMPRIMENTO DE 390 X *4,6* MM</v>
      </c>
      <c r="F16" s="258" t="str">
        <f>IFERROR(IF(D16="SINAPI-S",VLOOKUP(B16,'20-B.SINAPI-S'!A:J,3,0),IF(D16="SINAPI-I",VLOOKUP(B16,'20-A.SINAPI-I'!A:G,3,0),IF(D16="COMPOSIÇÕES",VLOOKUP(B16,'11.COMPOSIÇÕES GERAIS'!B:I,3,0),VLOOKUP(B16,'12.COT.MERCADO'!A:I,7,0)))),"Em Elaboração")</f>
        <v>UN</v>
      </c>
      <c r="G16" s="254">
        <v>20.0</v>
      </c>
      <c r="H16" s="259">
        <f>IFERROR(IF(D16="SINAPI-S",VLOOKUP(B16,'20-B.SINAPI-S'!A:J,5,0),IF(D16="SINAPI-I",VLOOKUP(B16,'20-A.SINAPI-I'!A:G,6,0),IF(D16="COMPOSIÇÕES",VLOOKUP(B16,'11.COMPOSIÇÕES GERAIS'!B:I,7,0),0))),"Em Elaboração")</f>
        <v>0</v>
      </c>
      <c r="I16" s="259">
        <f>IFERROR(IF(D16="SINAPI-S",VLOOKUP(B16,'20-B.SINAPI-S'!A:J,6,0),IF(D16="SINAPI-I",VLOOKUP(B16,'20-A.SINAPI-I'!A:G,7,0),IF(D16="COMPOSIÇÕES",VLOOKUP(B16,'11.COMPOSIÇÕES GERAIS'!B:I,8,0),VLOOKUP(B16,'12.COT.MERCADO'!A:I,8,0)))),"Em Elaboração")</f>
        <v>0.99</v>
      </c>
      <c r="J16" s="259">
        <f t="shared" si="5"/>
        <v>0</v>
      </c>
      <c r="K16" s="259">
        <f t="shared" si="6"/>
        <v>1.159621239</v>
      </c>
      <c r="L16" s="259">
        <f t="shared" si="7"/>
        <v>1.159621239</v>
      </c>
      <c r="M16" s="259">
        <f t="shared" si="8"/>
        <v>0</v>
      </c>
      <c r="N16" s="259">
        <f t="shared" si="9"/>
        <v>23.19242479</v>
      </c>
      <c r="O16" s="259">
        <f t="shared" si="10"/>
        <v>23.19242479</v>
      </c>
      <c r="P16" s="586">
        <f t="shared" si="3"/>
        <v>0.0001264287737</v>
      </c>
    </row>
    <row r="17">
      <c r="A17" s="253" t="s">
        <v>560</v>
      </c>
      <c r="B17" s="254">
        <v>394.0</v>
      </c>
      <c r="C17" s="255" t="str">
        <f t="shared" si="4"/>
        <v>SINAPI</v>
      </c>
      <c r="D17" s="256" t="s">
        <v>286</v>
      </c>
      <c r="E17" s="257" t="str">
        <f>IFERROR(IF(D17="SINAPI-S",VLOOKUP(B17,'20-B.SINAPI-S'!A:J,2,0),IF(D17="SINAPI-I",VLOOKUP(B17,'20-A.SINAPI-I'!A:G,2,0),IF(D17="COMPOSIÇÕES",VLOOKUP(B17,'11.COMPOSIÇÕES GERAIS'!B:I,2,0),VLOOKUP(B17,'12.COT.MERCADO'!A:I,2,0)))),"Em Elaboração")</f>
        <v>ABRACADEIRA EM ACO PARA AMARRACAO DE ELETRODUTOS, TIPO D, COM 1 1/2" E PARAFUSO DE FIXACAO</v>
      </c>
      <c r="F17" s="258" t="str">
        <f>IFERROR(IF(D17="SINAPI-S",VLOOKUP(B17,'20-B.SINAPI-S'!A:J,3,0),IF(D17="SINAPI-I",VLOOKUP(B17,'20-A.SINAPI-I'!A:G,3,0),IF(D17="COMPOSIÇÕES",VLOOKUP(B17,'11.COMPOSIÇÕES GERAIS'!B:I,3,0),VLOOKUP(B17,'12.COT.MERCADO'!A:I,7,0)))),"Em Elaboração")</f>
        <v>UN</v>
      </c>
      <c r="G17" s="254">
        <v>20.0</v>
      </c>
      <c r="H17" s="259">
        <f>IFERROR(IF(D17="SINAPI-S",VLOOKUP(B17,'20-B.SINAPI-S'!A:J,5,0),IF(D17="SINAPI-I",VLOOKUP(B17,'20-A.SINAPI-I'!A:G,6,0),IF(D17="COMPOSIÇÕES",VLOOKUP(B17,'11.COMPOSIÇÕES GERAIS'!B:I,7,0),0))),"Em Elaboração")</f>
        <v>0</v>
      </c>
      <c r="I17" s="259">
        <f>IFERROR(IF(D17="SINAPI-S",VLOOKUP(B17,'20-B.SINAPI-S'!A:J,6,0),IF(D17="SINAPI-I",VLOOKUP(B17,'20-A.SINAPI-I'!A:G,7,0),IF(D17="COMPOSIÇÕES",VLOOKUP(B17,'11.COMPOSIÇÕES GERAIS'!B:I,8,0),VLOOKUP(B17,'12.COT.MERCADO'!A:I,8,0)))),"Em Elaboração")</f>
        <v>4.72</v>
      </c>
      <c r="J17" s="259">
        <f t="shared" si="5"/>
        <v>0</v>
      </c>
      <c r="K17" s="259">
        <f t="shared" si="6"/>
        <v>5.528699242</v>
      </c>
      <c r="L17" s="259">
        <f t="shared" si="7"/>
        <v>5.528699242</v>
      </c>
      <c r="M17" s="259">
        <f t="shared" si="8"/>
        <v>0</v>
      </c>
      <c r="N17" s="259">
        <f t="shared" si="9"/>
        <v>110.5739848</v>
      </c>
      <c r="O17" s="259">
        <f t="shared" si="10"/>
        <v>110.5739848</v>
      </c>
      <c r="P17" s="586">
        <f t="shared" si="3"/>
        <v>0.0006027715273</v>
      </c>
    </row>
    <row r="18">
      <c r="A18" s="253" t="s">
        <v>561</v>
      </c>
      <c r="B18" s="254">
        <v>392.0</v>
      </c>
      <c r="C18" s="255" t="str">
        <f t="shared" si="4"/>
        <v>SINAPI</v>
      </c>
      <c r="D18" s="256" t="s">
        <v>286</v>
      </c>
      <c r="E18" s="257" t="str">
        <f>IFERROR(IF(D18="SINAPI-S",VLOOKUP(B18,'20-B.SINAPI-S'!A:J,2,0),IF(D18="SINAPI-I",VLOOKUP(B18,'20-A.SINAPI-I'!A:G,2,0),IF(D18="COMPOSIÇÕES",VLOOKUP(B18,'11.COMPOSIÇÕES GERAIS'!B:I,2,0),VLOOKUP(B18,'12.COT.MERCADO'!A:I,2,0)))),"Em Elaboração")</f>
        <v>ABRACADEIRA EM ACO PARA AMARRACAO DE ELETRODUTOS, TIPO D, COM 1/2" E PARAFUSO DE FIXACAO</v>
      </c>
      <c r="F18" s="258" t="str">
        <f>IFERROR(IF(D18="SINAPI-S",VLOOKUP(B18,'20-B.SINAPI-S'!A:J,3,0),IF(D18="SINAPI-I",VLOOKUP(B18,'20-A.SINAPI-I'!A:G,3,0),IF(D18="COMPOSIÇÕES",VLOOKUP(B18,'11.COMPOSIÇÕES GERAIS'!B:I,3,0),VLOOKUP(B18,'12.COT.MERCADO'!A:I,7,0)))),"Em Elaboração")</f>
        <v>UN</v>
      </c>
      <c r="G18" s="254">
        <v>20.0</v>
      </c>
      <c r="H18" s="259">
        <f>IFERROR(IF(D18="SINAPI-S",VLOOKUP(B18,'20-B.SINAPI-S'!A:J,5,0),IF(D18="SINAPI-I",VLOOKUP(B18,'20-A.SINAPI-I'!A:G,6,0),IF(D18="COMPOSIÇÕES",VLOOKUP(B18,'11.COMPOSIÇÕES GERAIS'!B:I,7,0),0))),"Em Elaboração")</f>
        <v>0</v>
      </c>
      <c r="I18" s="259">
        <f>IFERROR(IF(D18="SINAPI-S",VLOOKUP(B18,'20-B.SINAPI-S'!A:J,6,0),IF(D18="SINAPI-I",VLOOKUP(B18,'20-A.SINAPI-I'!A:G,7,0),IF(D18="COMPOSIÇÕES",VLOOKUP(B18,'11.COMPOSIÇÕES GERAIS'!B:I,8,0),VLOOKUP(B18,'12.COT.MERCADO'!A:I,8,0)))),"Em Elaboração")</f>
        <v>2.3</v>
      </c>
      <c r="J18" s="259">
        <f t="shared" si="5"/>
        <v>0</v>
      </c>
      <c r="K18" s="259">
        <f t="shared" si="6"/>
        <v>2.694069546</v>
      </c>
      <c r="L18" s="259">
        <f t="shared" si="7"/>
        <v>2.694069546</v>
      </c>
      <c r="M18" s="259">
        <f t="shared" si="8"/>
        <v>0</v>
      </c>
      <c r="N18" s="259">
        <f t="shared" si="9"/>
        <v>53.88139092</v>
      </c>
      <c r="O18" s="259">
        <f t="shared" si="10"/>
        <v>53.88139092</v>
      </c>
      <c r="P18" s="586">
        <f t="shared" si="3"/>
        <v>0.0002937234137</v>
      </c>
    </row>
    <row r="19">
      <c r="A19" s="253" t="s">
        <v>562</v>
      </c>
      <c r="B19" s="254">
        <v>39128.0</v>
      </c>
      <c r="C19" s="255" t="str">
        <f t="shared" si="4"/>
        <v>SINAPI</v>
      </c>
      <c r="D19" s="256" t="s">
        <v>286</v>
      </c>
      <c r="E19" s="257" t="str">
        <f>IFERROR(IF(D19="SINAPI-S",VLOOKUP(B19,'20-B.SINAPI-S'!A:J,2,0),IF(D19="SINAPI-I",VLOOKUP(B19,'20-A.SINAPI-I'!A:G,2,0),IF(D19="COMPOSIÇÕES",VLOOKUP(B19,'11.COMPOSIÇÕES GERAIS'!B:I,2,0),VLOOKUP(B19,'12.COT.MERCADO'!A:I,2,0)))),"Em Elaboração")</f>
        <v>ABRACADEIRA EM ACO PARA AMARRACAO DE ELETRODUTOS, TIPO D, COM 3/4" E CUNHA DE FIXACAO</v>
      </c>
      <c r="F19" s="258" t="str">
        <f>IFERROR(IF(D19="SINAPI-S",VLOOKUP(B19,'20-B.SINAPI-S'!A:J,3,0),IF(D19="SINAPI-I",VLOOKUP(B19,'20-A.SINAPI-I'!A:G,3,0),IF(D19="COMPOSIÇÕES",VLOOKUP(B19,'11.COMPOSIÇÕES GERAIS'!B:I,3,0),VLOOKUP(B19,'12.COT.MERCADO'!A:I,7,0)))),"Em Elaboração")</f>
        <v>UN</v>
      </c>
      <c r="G19" s="254">
        <v>20.0</v>
      </c>
      <c r="H19" s="259">
        <f>IFERROR(IF(D19="SINAPI-S",VLOOKUP(B19,'20-B.SINAPI-S'!A:J,5,0),IF(D19="SINAPI-I",VLOOKUP(B19,'20-A.SINAPI-I'!A:G,6,0),IF(D19="COMPOSIÇÕES",VLOOKUP(B19,'11.COMPOSIÇÕES GERAIS'!B:I,7,0),0))),"Em Elaboração")</f>
        <v>0</v>
      </c>
      <c r="I19" s="259">
        <f>IFERROR(IF(D19="SINAPI-S",VLOOKUP(B19,'20-B.SINAPI-S'!A:J,6,0),IF(D19="SINAPI-I",VLOOKUP(B19,'20-A.SINAPI-I'!A:G,7,0),IF(D19="COMPOSIÇÕES",VLOOKUP(B19,'11.COMPOSIÇÕES GERAIS'!B:I,8,0),VLOOKUP(B19,'12.COT.MERCADO'!A:I,8,0)))),"Em Elaboração")</f>
        <v>2.44</v>
      </c>
      <c r="J19" s="259">
        <f t="shared" si="5"/>
        <v>0</v>
      </c>
      <c r="K19" s="259">
        <f t="shared" si="6"/>
        <v>2.858056388</v>
      </c>
      <c r="L19" s="259">
        <f t="shared" si="7"/>
        <v>2.858056388</v>
      </c>
      <c r="M19" s="259">
        <f t="shared" si="8"/>
        <v>0</v>
      </c>
      <c r="N19" s="259">
        <f t="shared" si="9"/>
        <v>57.16112775</v>
      </c>
      <c r="O19" s="259">
        <f t="shared" si="10"/>
        <v>57.16112775</v>
      </c>
      <c r="P19" s="586">
        <f t="shared" si="3"/>
        <v>0.0003116022302</v>
      </c>
    </row>
    <row r="20">
      <c r="A20" s="253" t="s">
        <v>563</v>
      </c>
      <c r="B20" s="254">
        <v>400.0</v>
      </c>
      <c r="C20" s="255" t="str">
        <f t="shared" si="4"/>
        <v>SINAPI</v>
      </c>
      <c r="D20" s="256" t="s">
        <v>286</v>
      </c>
      <c r="E20" s="257" t="str">
        <f>IFERROR(IF(D20="SINAPI-S",VLOOKUP(B20,'20-B.SINAPI-S'!A:J,2,0),IF(D20="SINAPI-I",VLOOKUP(B20,'20-A.SINAPI-I'!A:G,2,0),IF(D20="COMPOSIÇÕES",VLOOKUP(B20,'11.COMPOSIÇÕES GERAIS'!B:I,2,0),VLOOKUP(B20,'12.COT.MERCADO'!A:I,2,0)))),"Em Elaboração")</f>
        <v>ABRACADEIRA EM ACO PARA AMARRACAO DE ELETRODUTOS, TIPO D, COM 3/4" E PARAFUSO DE FIXACAO</v>
      </c>
      <c r="F20" s="258" t="str">
        <f>IFERROR(IF(D20="SINAPI-S",VLOOKUP(B20,'20-B.SINAPI-S'!A:J,3,0),IF(D20="SINAPI-I",VLOOKUP(B20,'20-A.SINAPI-I'!A:G,3,0),IF(D20="COMPOSIÇÕES",VLOOKUP(B20,'11.COMPOSIÇÕES GERAIS'!B:I,3,0),VLOOKUP(B20,'12.COT.MERCADO'!A:I,7,0)))),"Em Elaboração")</f>
        <v>UN</v>
      </c>
      <c r="G20" s="254">
        <v>20.0</v>
      </c>
      <c r="H20" s="259">
        <f>IFERROR(IF(D20="SINAPI-S",VLOOKUP(B20,'20-B.SINAPI-S'!A:J,5,0),IF(D20="SINAPI-I",VLOOKUP(B20,'20-A.SINAPI-I'!A:G,6,0),IF(D20="COMPOSIÇÕES",VLOOKUP(B20,'11.COMPOSIÇÕES GERAIS'!B:I,7,0),0))),"Em Elaboração")</f>
        <v>0</v>
      </c>
      <c r="I20" s="259">
        <f>IFERROR(IF(D20="SINAPI-S",VLOOKUP(B20,'20-B.SINAPI-S'!A:J,6,0),IF(D20="SINAPI-I",VLOOKUP(B20,'20-A.SINAPI-I'!A:G,7,0),IF(D20="COMPOSIÇÕES",VLOOKUP(B20,'11.COMPOSIÇÕES GERAIS'!B:I,8,0),VLOOKUP(B20,'12.COT.MERCADO'!A:I,8,0)))),"Em Elaboração")</f>
        <v>2.39</v>
      </c>
      <c r="J20" s="259">
        <f t="shared" si="5"/>
        <v>0</v>
      </c>
      <c r="K20" s="259">
        <f t="shared" si="6"/>
        <v>2.799489658</v>
      </c>
      <c r="L20" s="259">
        <f t="shared" si="7"/>
        <v>2.799489658</v>
      </c>
      <c r="M20" s="259">
        <f t="shared" si="8"/>
        <v>0</v>
      </c>
      <c r="N20" s="259">
        <f t="shared" si="9"/>
        <v>55.98979317</v>
      </c>
      <c r="O20" s="259">
        <f t="shared" si="10"/>
        <v>55.98979317</v>
      </c>
      <c r="P20" s="586">
        <f t="shared" si="3"/>
        <v>0.0003052169386</v>
      </c>
    </row>
    <row r="21">
      <c r="A21" s="253" t="s">
        <v>564</v>
      </c>
      <c r="B21" s="254">
        <v>39138.0</v>
      </c>
      <c r="C21" s="255" t="str">
        <f t="shared" si="4"/>
        <v>SINAPI</v>
      </c>
      <c r="D21" s="256" t="s">
        <v>286</v>
      </c>
      <c r="E21" s="257" t="str">
        <f>IFERROR(IF(D21="SINAPI-S",VLOOKUP(B21,'20-B.SINAPI-S'!A:J,2,0),IF(D21="SINAPI-I",VLOOKUP(B21,'20-A.SINAPI-I'!A:G,2,0),IF(D21="COMPOSIÇÕES",VLOOKUP(B21,'11.COMPOSIÇÕES GERAIS'!B:I,2,0),VLOOKUP(B21,'12.COT.MERCADO'!A:I,2,0)))),"Em Elaboração")</f>
        <v>ABRACADEIRA EM ACO PARA AMARRACAO DE ELETRODUTOS, TIPO U SIMPLES, COM 3/4"</v>
      </c>
      <c r="F21" s="258" t="str">
        <f>IFERROR(IF(D21="SINAPI-S",VLOOKUP(B21,'20-B.SINAPI-S'!A:J,3,0),IF(D21="SINAPI-I",VLOOKUP(B21,'20-A.SINAPI-I'!A:G,3,0),IF(D21="COMPOSIÇÕES",VLOOKUP(B21,'11.COMPOSIÇÕES GERAIS'!B:I,3,0),VLOOKUP(B21,'12.COT.MERCADO'!A:I,7,0)))),"Em Elaboração")</f>
        <v>UN</v>
      </c>
      <c r="G21" s="254">
        <v>8.0</v>
      </c>
      <c r="H21" s="259">
        <f>IFERROR(IF(D21="SINAPI-S",VLOOKUP(B21,'20-B.SINAPI-S'!A:J,5,0),IF(D21="SINAPI-I",VLOOKUP(B21,'20-A.SINAPI-I'!A:G,6,0),IF(D21="COMPOSIÇÕES",VLOOKUP(B21,'11.COMPOSIÇÕES GERAIS'!B:I,7,0),0))),"Em Elaboração")</f>
        <v>0</v>
      </c>
      <c r="I21" s="259">
        <f>IFERROR(IF(D21="SINAPI-S",VLOOKUP(B21,'20-B.SINAPI-S'!A:J,6,0),IF(D21="SINAPI-I",VLOOKUP(B21,'20-A.SINAPI-I'!A:G,7,0),IF(D21="COMPOSIÇÕES",VLOOKUP(B21,'11.COMPOSIÇÕES GERAIS'!B:I,8,0),VLOOKUP(B21,'12.COT.MERCADO'!A:I,8,0)))),"Em Elaboração")</f>
        <v>1.04</v>
      </c>
      <c r="J21" s="259">
        <f t="shared" si="5"/>
        <v>0</v>
      </c>
      <c r="K21" s="259">
        <f t="shared" si="6"/>
        <v>1.218187969</v>
      </c>
      <c r="L21" s="259">
        <f t="shared" si="7"/>
        <v>1.218187969</v>
      </c>
      <c r="M21" s="259">
        <f t="shared" si="8"/>
        <v>0</v>
      </c>
      <c r="N21" s="259">
        <f t="shared" si="9"/>
        <v>9.745503748</v>
      </c>
      <c r="O21" s="259">
        <f t="shared" si="10"/>
        <v>9.745503748</v>
      </c>
      <c r="P21" s="586">
        <f t="shared" si="3"/>
        <v>0.00005312562613</v>
      </c>
    </row>
    <row r="22">
      <c r="A22" s="253" t="s">
        <v>565</v>
      </c>
      <c r="B22" s="254">
        <v>36801.0</v>
      </c>
      <c r="C22" s="255" t="str">
        <f t="shared" si="4"/>
        <v>SINAPI</v>
      </c>
      <c r="D22" s="256" t="s">
        <v>286</v>
      </c>
      <c r="E22" s="257" t="str">
        <f>IFERROR(IF(D22="SINAPI-S",VLOOKUP(B22,'20-B.SINAPI-S'!A:J,2,0),IF(D22="SINAPI-I",VLOOKUP(B22,'20-A.SINAPI-I'!A:G,2,0),IF(D22="COMPOSIÇÕES",VLOOKUP(B22,'11.COMPOSIÇÕES GERAIS'!B:I,2,0),VLOOKUP(B22,'12.COT.MERCADO'!A:I,2,0)))),"Em Elaboração")</f>
        <v>ACABAMENTO DE METAL CROMADO PARA REGISTRO PEQUENO, DE PAREDE, 1/2 " OU 3/4 "</v>
      </c>
      <c r="F22" s="258" t="str">
        <f>IFERROR(IF(D22="SINAPI-S",VLOOKUP(B22,'20-B.SINAPI-S'!A:J,3,0),IF(D22="SINAPI-I",VLOOKUP(B22,'20-A.SINAPI-I'!A:G,3,0),IF(D22="COMPOSIÇÕES",VLOOKUP(B22,'11.COMPOSIÇÕES GERAIS'!B:I,3,0),VLOOKUP(B22,'12.COT.MERCADO'!A:I,7,0)))),"Em Elaboração")</f>
        <v>UN</v>
      </c>
      <c r="G22" s="254">
        <v>1.0</v>
      </c>
      <c r="H22" s="259">
        <f>IFERROR(IF(D22="SINAPI-S",VLOOKUP(B22,'20-B.SINAPI-S'!A:J,5,0),IF(D22="SINAPI-I",VLOOKUP(B22,'20-A.SINAPI-I'!A:G,6,0),IF(D22="COMPOSIÇÕES",VLOOKUP(B22,'11.COMPOSIÇÕES GERAIS'!B:I,7,0),0))),"Em Elaboração")</f>
        <v>0</v>
      </c>
      <c r="I22" s="259">
        <f>IFERROR(IF(D22="SINAPI-S",VLOOKUP(B22,'20-B.SINAPI-S'!A:J,6,0),IF(D22="SINAPI-I",VLOOKUP(B22,'20-A.SINAPI-I'!A:G,7,0),IF(D22="COMPOSIÇÕES",VLOOKUP(B22,'11.COMPOSIÇÕES GERAIS'!B:I,8,0),VLOOKUP(B22,'12.COT.MERCADO'!A:I,8,0)))),"Em Elaboração")</f>
        <v>29.16</v>
      </c>
      <c r="J22" s="259">
        <f t="shared" si="5"/>
        <v>0</v>
      </c>
      <c r="K22" s="259">
        <f t="shared" si="6"/>
        <v>34.1561165</v>
      </c>
      <c r="L22" s="259">
        <f t="shared" si="7"/>
        <v>34.1561165</v>
      </c>
      <c r="M22" s="259">
        <f t="shared" si="8"/>
        <v>0</v>
      </c>
      <c r="N22" s="259">
        <f t="shared" si="9"/>
        <v>34.1561165</v>
      </c>
      <c r="O22" s="259">
        <f t="shared" si="10"/>
        <v>34.1561165</v>
      </c>
      <c r="P22" s="586">
        <f t="shared" si="3"/>
        <v>0.0001861951031</v>
      </c>
    </row>
    <row r="23">
      <c r="A23" s="253" t="s">
        <v>566</v>
      </c>
      <c r="B23" s="254">
        <v>12615.0</v>
      </c>
      <c r="C23" s="255" t="str">
        <f t="shared" si="4"/>
        <v>SINAPI</v>
      </c>
      <c r="D23" s="256" t="s">
        <v>286</v>
      </c>
      <c r="E23" s="257" t="str">
        <f>IFERROR(IF(D23="SINAPI-S",VLOOKUP(B23,'20-B.SINAPI-S'!A:J,2,0),IF(D23="SINAPI-I",VLOOKUP(B23,'20-A.SINAPI-I'!A:G,2,0),IF(D23="COMPOSIÇÕES",VLOOKUP(B23,'11.COMPOSIÇÕES GERAIS'!B:I,2,0),VLOOKUP(B23,'12.COT.MERCADO'!A:I,2,0)))),"Em Elaboração")</f>
        <v>ABRACADEIRA PVC, PARA CALHA PLUVIAL, DIAMETRO ENTRE *80 E 100* MM, PARA DRENAGEM PLUVIAL PREDIAL</v>
      </c>
      <c r="F23" s="258" t="str">
        <f>IFERROR(IF(D23="SINAPI-S",VLOOKUP(B23,'20-B.SINAPI-S'!A:J,3,0),IF(D23="SINAPI-I",VLOOKUP(B23,'20-A.SINAPI-I'!A:G,3,0),IF(D23="COMPOSIÇÕES",VLOOKUP(B23,'11.COMPOSIÇÕES GERAIS'!B:I,3,0),VLOOKUP(B23,'12.COT.MERCADO'!A:I,7,0)))),"Em Elaboração")</f>
        <v>UN</v>
      </c>
      <c r="G23" s="254">
        <v>12.0</v>
      </c>
      <c r="H23" s="259">
        <f>IFERROR(IF(D23="SINAPI-S",VLOOKUP(B23,'20-B.SINAPI-S'!A:J,5,0),IF(D23="SINAPI-I",VLOOKUP(B23,'20-A.SINAPI-I'!A:G,6,0),IF(D23="COMPOSIÇÕES",VLOOKUP(B23,'11.COMPOSIÇÕES GERAIS'!B:I,7,0),0))),"Em Elaboração")</f>
        <v>0</v>
      </c>
      <c r="I23" s="259">
        <f>IFERROR(IF(D23="SINAPI-S",VLOOKUP(B23,'20-B.SINAPI-S'!A:J,6,0),IF(D23="SINAPI-I",VLOOKUP(B23,'20-A.SINAPI-I'!A:G,7,0),IF(D23="COMPOSIÇÕES",VLOOKUP(B23,'11.COMPOSIÇÕES GERAIS'!B:I,8,0),VLOOKUP(B23,'12.COT.MERCADO'!A:I,8,0)))),"Em Elaboração")</f>
        <v>14.27</v>
      </c>
      <c r="J23" s="259">
        <f t="shared" si="5"/>
        <v>0</v>
      </c>
      <c r="K23" s="259">
        <f t="shared" si="6"/>
        <v>16.71494453</v>
      </c>
      <c r="L23" s="259">
        <f t="shared" si="7"/>
        <v>16.71494453</v>
      </c>
      <c r="M23" s="259">
        <f t="shared" si="8"/>
        <v>0</v>
      </c>
      <c r="N23" s="259">
        <f t="shared" si="9"/>
        <v>200.5793344</v>
      </c>
      <c r="O23" s="259">
        <f t="shared" si="10"/>
        <v>200.5793344</v>
      </c>
      <c r="P23" s="586">
        <f t="shared" si="3"/>
        <v>0.001093417334</v>
      </c>
    </row>
    <row r="24">
      <c r="A24" s="253" t="s">
        <v>567</v>
      </c>
      <c r="B24" s="254">
        <v>7588.0</v>
      </c>
      <c r="C24" s="255" t="str">
        <f t="shared" si="4"/>
        <v>SINAPI</v>
      </c>
      <c r="D24" s="256" t="s">
        <v>286</v>
      </c>
      <c r="E24" s="257" t="str">
        <f>IFERROR(IF(D24="SINAPI-S",VLOOKUP(B24,'20-B.SINAPI-S'!A:J,2,0),IF(D24="SINAPI-I",VLOOKUP(B24,'20-A.SINAPI-I'!A:G,2,0),IF(D24="COMPOSIÇÕES",VLOOKUP(B24,'11.COMPOSIÇÕES GERAIS'!B:I,2,0),VLOOKUP(B24,'12.COT.MERCADO'!A:I,2,0)))),"Em Elaboração")</f>
        <v>AUTOMATICO DE BOIA SUPERIOR / INFERIOR, *15* A / 250 V</v>
      </c>
      <c r="F24" s="258" t="str">
        <f>IFERROR(IF(D24="SINAPI-S",VLOOKUP(B24,'20-B.SINAPI-S'!A:J,3,0),IF(D24="SINAPI-I",VLOOKUP(B24,'20-A.SINAPI-I'!A:G,3,0),IF(D24="COMPOSIÇÕES",VLOOKUP(B24,'11.COMPOSIÇÕES GERAIS'!B:I,3,0),VLOOKUP(B24,'12.COT.MERCADO'!A:I,7,0)))),"Em Elaboração")</f>
        <v>UN</v>
      </c>
      <c r="G24" s="254">
        <v>4.0</v>
      </c>
      <c r="H24" s="259">
        <f>IFERROR(IF(D24="SINAPI-S",VLOOKUP(B24,'20-B.SINAPI-S'!A:J,5,0),IF(D24="SINAPI-I",VLOOKUP(B24,'20-A.SINAPI-I'!A:G,6,0),IF(D24="COMPOSIÇÕES",VLOOKUP(B24,'11.COMPOSIÇÕES GERAIS'!B:I,7,0),0))),"Em Elaboração")</f>
        <v>0</v>
      </c>
      <c r="I24" s="259">
        <f>IFERROR(IF(D24="SINAPI-S",VLOOKUP(B24,'20-B.SINAPI-S'!A:J,6,0),IF(D24="SINAPI-I",VLOOKUP(B24,'20-A.SINAPI-I'!A:G,7,0),IF(D24="COMPOSIÇÕES",VLOOKUP(B24,'11.COMPOSIÇÕES GERAIS'!B:I,8,0),VLOOKUP(B24,'12.COT.MERCADO'!A:I,8,0)))),"Em Elaboração")</f>
        <v>39.6</v>
      </c>
      <c r="J24" s="259">
        <f t="shared" si="5"/>
        <v>0</v>
      </c>
      <c r="K24" s="259">
        <f t="shared" si="6"/>
        <v>46.38484957</v>
      </c>
      <c r="L24" s="259">
        <f t="shared" si="7"/>
        <v>46.38484957</v>
      </c>
      <c r="M24" s="259">
        <f t="shared" si="8"/>
        <v>0</v>
      </c>
      <c r="N24" s="259">
        <f t="shared" si="9"/>
        <v>185.5393983</v>
      </c>
      <c r="O24" s="259">
        <f t="shared" si="10"/>
        <v>185.5393983</v>
      </c>
      <c r="P24" s="586">
        <f t="shared" si="3"/>
        <v>0.00101143019</v>
      </c>
    </row>
    <row r="25">
      <c r="A25" s="253" t="s">
        <v>568</v>
      </c>
      <c r="B25" s="254">
        <v>2516.0</v>
      </c>
      <c r="C25" s="255" t="str">
        <f t="shared" si="4"/>
        <v>SINAPI</v>
      </c>
      <c r="D25" s="256" t="s">
        <v>286</v>
      </c>
      <c r="E25" s="257" t="str">
        <f>IFERROR(IF(D25="SINAPI-S",VLOOKUP(B25,'20-B.SINAPI-S'!A:J,2,0),IF(D25="SINAPI-I",VLOOKUP(B25,'20-A.SINAPI-I'!A:G,2,0),IF(D25="COMPOSIÇÕES",VLOOKUP(B25,'11.COMPOSIÇÕES GERAIS'!B:I,2,0),VLOOKUP(B25,'12.COT.MERCADO'!A:I,2,0)))),"Em Elaboração")</f>
        <v>CONECTOR CURVO 90 GRAUS DE ALUMINIO, BITOLA 1", PARA ADAPTAR ENTRADA DE ELETRODUTO METALICO FLEXIVEL EM QUADROS</v>
      </c>
      <c r="F25" s="258" t="str">
        <f>IFERROR(IF(D25="SINAPI-S",VLOOKUP(B25,'20-B.SINAPI-S'!A:J,3,0),IF(D25="SINAPI-I",VLOOKUP(B25,'20-A.SINAPI-I'!A:G,3,0),IF(D25="COMPOSIÇÕES",VLOOKUP(B25,'11.COMPOSIÇÕES GERAIS'!B:I,3,0),VLOOKUP(B25,'12.COT.MERCADO'!A:I,7,0)))),"Em Elaboração")</f>
        <v>UN</v>
      </c>
      <c r="G25" s="254">
        <v>2.0</v>
      </c>
      <c r="H25" s="259">
        <f>IFERROR(IF(D25="SINAPI-S",VLOOKUP(B25,'20-B.SINAPI-S'!A:J,5,0),IF(D25="SINAPI-I",VLOOKUP(B25,'20-A.SINAPI-I'!A:G,6,0),IF(D25="COMPOSIÇÕES",VLOOKUP(B25,'11.COMPOSIÇÕES GERAIS'!B:I,7,0),0))),"Em Elaboração")</f>
        <v>0</v>
      </c>
      <c r="I25" s="259">
        <f>IFERROR(IF(D25="SINAPI-S",VLOOKUP(B25,'20-B.SINAPI-S'!A:J,6,0),IF(D25="SINAPI-I",VLOOKUP(B25,'20-A.SINAPI-I'!A:G,7,0),IF(D25="COMPOSIÇÕES",VLOOKUP(B25,'11.COMPOSIÇÕES GERAIS'!B:I,8,0),VLOOKUP(B25,'12.COT.MERCADO'!A:I,8,0)))),"Em Elaboração")</f>
        <v>15.35</v>
      </c>
      <c r="J25" s="259">
        <f t="shared" si="5"/>
        <v>0</v>
      </c>
      <c r="K25" s="259">
        <f t="shared" si="6"/>
        <v>17.97998588</v>
      </c>
      <c r="L25" s="259">
        <f t="shared" si="7"/>
        <v>17.97998588</v>
      </c>
      <c r="M25" s="259">
        <f t="shared" si="8"/>
        <v>0</v>
      </c>
      <c r="N25" s="259">
        <f t="shared" si="9"/>
        <v>35.95997176</v>
      </c>
      <c r="O25" s="259">
        <f t="shared" si="10"/>
        <v>35.95997176</v>
      </c>
      <c r="P25" s="586">
        <f t="shared" si="3"/>
        <v>0.0001960284522</v>
      </c>
    </row>
    <row r="26">
      <c r="A26" s="253" t="s">
        <v>569</v>
      </c>
      <c r="B26" s="254">
        <v>2517.0</v>
      </c>
      <c r="C26" s="255" t="str">
        <f t="shared" si="4"/>
        <v>SINAPI</v>
      </c>
      <c r="D26" s="256" t="s">
        <v>286</v>
      </c>
      <c r="E26" s="257" t="str">
        <f>IFERROR(IF(D26="SINAPI-S",VLOOKUP(B26,'20-B.SINAPI-S'!A:J,2,0),IF(D26="SINAPI-I",VLOOKUP(B26,'20-A.SINAPI-I'!A:G,2,0),IF(D26="COMPOSIÇÕES",VLOOKUP(B26,'11.COMPOSIÇÕES GERAIS'!B:I,2,0),VLOOKUP(B26,'12.COT.MERCADO'!A:I,2,0)))),"Em Elaboração")</f>
        <v>CONECTOR CURVO 90 GRAUS DE ALUMINIO, BITOLA 1 1/2", PARA ADAPTAR ENTRADA DE ELETRODUTO METALICO FLEXIVEL EM QUADROS</v>
      </c>
      <c r="F26" s="258" t="str">
        <f>IFERROR(IF(D26="SINAPI-S",VLOOKUP(B26,'20-B.SINAPI-S'!A:J,3,0),IF(D26="SINAPI-I",VLOOKUP(B26,'20-A.SINAPI-I'!A:G,3,0),IF(D26="COMPOSIÇÕES",VLOOKUP(B26,'11.COMPOSIÇÕES GERAIS'!B:I,3,0),VLOOKUP(B26,'12.COT.MERCADO'!A:I,7,0)))),"Em Elaboração")</f>
        <v>UN</v>
      </c>
      <c r="G26" s="254">
        <v>2.0</v>
      </c>
      <c r="H26" s="259">
        <f>IFERROR(IF(D26="SINAPI-S",VLOOKUP(B26,'20-B.SINAPI-S'!A:J,5,0),IF(D26="SINAPI-I",VLOOKUP(B26,'20-A.SINAPI-I'!A:G,6,0),IF(D26="COMPOSIÇÕES",VLOOKUP(B26,'11.COMPOSIÇÕES GERAIS'!B:I,7,0),0))),"Em Elaboração")</f>
        <v>0</v>
      </c>
      <c r="I26" s="259">
        <f>IFERROR(IF(D26="SINAPI-S",VLOOKUP(B26,'20-B.SINAPI-S'!A:J,6,0),IF(D26="SINAPI-I",VLOOKUP(B26,'20-A.SINAPI-I'!A:G,7,0),IF(D26="COMPOSIÇÕES",VLOOKUP(B26,'11.COMPOSIÇÕES GERAIS'!B:I,8,0),VLOOKUP(B26,'12.COT.MERCADO'!A:I,8,0)))),"Em Elaboração")</f>
        <v>29.59</v>
      </c>
      <c r="J26" s="259">
        <f t="shared" si="5"/>
        <v>0</v>
      </c>
      <c r="K26" s="259">
        <f t="shared" si="6"/>
        <v>34.65979037</v>
      </c>
      <c r="L26" s="259">
        <f t="shared" si="7"/>
        <v>34.65979037</v>
      </c>
      <c r="M26" s="259">
        <f t="shared" si="8"/>
        <v>0</v>
      </c>
      <c r="N26" s="259">
        <f t="shared" si="9"/>
        <v>69.31958075</v>
      </c>
      <c r="O26" s="259">
        <f t="shared" si="10"/>
        <v>69.31958075</v>
      </c>
      <c r="P26" s="586">
        <f t="shared" si="3"/>
        <v>0.000377881557</v>
      </c>
    </row>
    <row r="27">
      <c r="A27" s="253" t="s">
        <v>570</v>
      </c>
      <c r="B27" s="254">
        <v>2515.0</v>
      </c>
      <c r="C27" s="255" t="str">
        <f t="shared" si="4"/>
        <v>SINAPI</v>
      </c>
      <c r="D27" s="256" t="s">
        <v>286</v>
      </c>
      <c r="E27" s="257" t="str">
        <f>IFERROR(IF(D27="SINAPI-S",VLOOKUP(B27,'20-B.SINAPI-S'!A:J,2,0),IF(D27="SINAPI-I",VLOOKUP(B27,'20-A.SINAPI-I'!A:G,2,0),IF(D27="COMPOSIÇÕES",VLOOKUP(B27,'11.COMPOSIÇÕES GERAIS'!B:I,2,0),VLOOKUP(B27,'12.COT.MERCADO'!A:I,2,0)))),"Em Elaboração")</f>
        <v>CONECTOR CURVO 90 GRAUS DE ALUMINIO, BITOLA 3/4", PARA ADAPTAR ENTRADA DE ELETRODUTO METALICO FLEXIVEL EM QUADROS</v>
      </c>
      <c r="F27" s="258" t="str">
        <f>IFERROR(IF(D27="SINAPI-S",VLOOKUP(B27,'20-B.SINAPI-S'!A:J,3,0),IF(D27="SINAPI-I",VLOOKUP(B27,'20-A.SINAPI-I'!A:G,3,0),IF(D27="COMPOSIÇÕES",VLOOKUP(B27,'11.COMPOSIÇÕES GERAIS'!B:I,3,0),VLOOKUP(B27,'12.COT.MERCADO'!A:I,7,0)))),"Em Elaboração")</f>
        <v>UN</v>
      </c>
      <c r="G27" s="254">
        <v>2.0</v>
      </c>
      <c r="H27" s="259">
        <f>IFERROR(IF(D27="SINAPI-S",VLOOKUP(B27,'20-B.SINAPI-S'!A:J,5,0),IF(D27="SINAPI-I",VLOOKUP(B27,'20-A.SINAPI-I'!A:G,6,0),IF(D27="COMPOSIÇÕES",VLOOKUP(B27,'11.COMPOSIÇÕES GERAIS'!B:I,7,0),0))),"Em Elaboração")</f>
        <v>0</v>
      </c>
      <c r="I27" s="259">
        <f>IFERROR(IF(D27="SINAPI-S",VLOOKUP(B27,'20-B.SINAPI-S'!A:J,6,0),IF(D27="SINAPI-I",VLOOKUP(B27,'20-A.SINAPI-I'!A:G,7,0),IF(D27="COMPOSIÇÕES",VLOOKUP(B27,'11.COMPOSIÇÕES GERAIS'!B:I,8,0),VLOOKUP(B27,'12.COT.MERCADO'!A:I,8,0)))),"Em Elaboração")</f>
        <v>12.78</v>
      </c>
      <c r="J27" s="259">
        <f t="shared" si="5"/>
        <v>0</v>
      </c>
      <c r="K27" s="259">
        <f t="shared" si="6"/>
        <v>14.969656</v>
      </c>
      <c r="L27" s="259">
        <f t="shared" si="7"/>
        <v>14.969656</v>
      </c>
      <c r="M27" s="259">
        <f t="shared" si="8"/>
        <v>0</v>
      </c>
      <c r="N27" s="259">
        <f t="shared" si="9"/>
        <v>29.939312</v>
      </c>
      <c r="O27" s="259">
        <f t="shared" si="10"/>
        <v>29.939312</v>
      </c>
      <c r="P27" s="586">
        <f t="shared" si="3"/>
        <v>0.0001632080534</v>
      </c>
    </row>
    <row r="28">
      <c r="A28" s="253" t="s">
        <v>571</v>
      </c>
      <c r="B28" s="254">
        <v>2526.0</v>
      </c>
      <c r="C28" s="255" t="str">
        <f t="shared" si="4"/>
        <v>SINAPI</v>
      </c>
      <c r="D28" s="256" t="s">
        <v>286</v>
      </c>
      <c r="E28" s="257" t="str">
        <f>IFERROR(IF(D28="SINAPI-S",VLOOKUP(B28,'20-B.SINAPI-S'!A:J,2,0),IF(D28="SINAPI-I",VLOOKUP(B28,'20-A.SINAPI-I'!A:G,2,0),IF(D28="COMPOSIÇÕES",VLOOKUP(B28,'11.COMPOSIÇÕES GERAIS'!B:I,2,0),VLOOKUP(B28,'12.COT.MERCADO'!A:I,2,0)))),"Em Elaboração")</f>
        <v>CONECTOR RETO DE ALUMINIO PARA ELETRODUTO DE 1 1/4", PARA ADAPTAR ENTRADA DE ELETRODUTO METALICO FLEXIVEL EM QUADROS</v>
      </c>
      <c r="F28" s="258" t="str">
        <f>IFERROR(IF(D28="SINAPI-S",VLOOKUP(B28,'20-B.SINAPI-S'!A:J,3,0),IF(D28="SINAPI-I",VLOOKUP(B28,'20-A.SINAPI-I'!A:G,3,0),IF(D28="COMPOSIÇÕES",VLOOKUP(B28,'11.COMPOSIÇÕES GERAIS'!B:I,3,0),VLOOKUP(B28,'12.COT.MERCADO'!A:I,7,0)))),"Em Elaboração")</f>
        <v>UN</v>
      </c>
      <c r="G28" s="254">
        <v>2.0</v>
      </c>
      <c r="H28" s="259">
        <f>IFERROR(IF(D28="SINAPI-S",VLOOKUP(B28,'20-B.SINAPI-S'!A:J,5,0),IF(D28="SINAPI-I",VLOOKUP(B28,'20-A.SINAPI-I'!A:G,6,0),IF(D28="COMPOSIÇÕES",VLOOKUP(B28,'11.COMPOSIÇÕES GERAIS'!B:I,7,0),0))),"Em Elaboração")</f>
        <v>0</v>
      </c>
      <c r="I28" s="259">
        <f>IFERROR(IF(D28="SINAPI-S",VLOOKUP(B28,'20-B.SINAPI-S'!A:J,6,0),IF(D28="SINAPI-I",VLOOKUP(B28,'20-A.SINAPI-I'!A:G,7,0),IF(D28="COMPOSIÇÕES",VLOOKUP(B28,'11.COMPOSIÇÕES GERAIS'!B:I,8,0),VLOOKUP(B28,'12.COT.MERCADO'!A:I,8,0)))),"Em Elaboração")</f>
        <v>6.78</v>
      </c>
      <c r="J28" s="259">
        <f t="shared" si="5"/>
        <v>0</v>
      </c>
      <c r="K28" s="259">
        <f t="shared" si="6"/>
        <v>7.941648487</v>
      </c>
      <c r="L28" s="259">
        <f t="shared" si="7"/>
        <v>7.941648487</v>
      </c>
      <c r="M28" s="259">
        <f t="shared" si="8"/>
        <v>0</v>
      </c>
      <c r="N28" s="259">
        <f t="shared" si="9"/>
        <v>15.88329697</v>
      </c>
      <c r="O28" s="259">
        <f t="shared" si="10"/>
        <v>15.88329697</v>
      </c>
      <c r="P28" s="586">
        <f t="shared" si="3"/>
        <v>0.00008658455413</v>
      </c>
    </row>
    <row r="29">
      <c r="A29" s="253" t="s">
        <v>572</v>
      </c>
      <c r="B29" s="254">
        <v>11950.0</v>
      </c>
      <c r="C29" s="255" t="str">
        <f t="shared" si="4"/>
        <v>SINAPI</v>
      </c>
      <c r="D29" s="256" t="s">
        <v>286</v>
      </c>
      <c r="E29" s="257" t="str">
        <f>IFERROR(IF(D29="SINAPI-S",VLOOKUP(B29,'20-B.SINAPI-S'!A:J,2,0),IF(D29="SINAPI-I",VLOOKUP(B29,'20-A.SINAPI-I'!A:G,2,0),IF(D29="COMPOSIÇÕES",VLOOKUP(B29,'11.COMPOSIÇÕES GERAIS'!B:I,2,0),VLOOKUP(B29,'12.COT.MERCADO'!A:I,2,0)))),"Em Elaboração")</f>
        <v>BUCHA DE NYLON SEM ABA S6, COM PARAFUSO DE 4,20 X 40 MM EM ACO ZINCADO COM ROSCA SOBERBA, CABECA CHATA E FENDA PHILLIPS</v>
      </c>
      <c r="F29" s="258" t="str">
        <f>IFERROR(IF(D29="SINAPI-S",VLOOKUP(B29,'20-B.SINAPI-S'!A:J,3,0),IF(D29="SINAPI-I",VLOOKUP(B29,'20-A.SINAPI-I'!A:G,3,0),IF(D29="COMPOSIÇÕES",VLOOKUP(B29,'11.COMPOSIÇÕES GERAIS'!B:I,3,0),VLOOKUP(B29,'12.COT.MERCADO'!A:I,7,0)))),"Em Elaboração")</f>
        <v>UN</v>
      </c>
      <c r="G29" s="254">
        <v>50.0</v>
      </c>
      <c r="H29" s="259">
        <f>IFERROR(IF(D29="SINAPI-S",VLOOKUP(B29,'20-B.SINAPI-S'!A:J,5,0),IF(D29="SINAPI-I",VLOOKUP(B29,'20-A.SINAPI-I'!A:G,6,0),IF(D29="COMPOSIÇÕES",VLOOKUP(B29,'11.COMPOSIÇÕES GERAIS'!B:I,7,0),0))),"Em Elaboração")</f>
        <v>0</v>
      </c>
      <c r="I29" s="259">
        <f>IFERROR(IF(D29="SINAPI-S",VLOOKUP(B29,'20-B.SINAPI-S'!A:J,6,0),IF(D29="SINAPI-I",VLOOKUP(B29,'20-A.SINAPI-I'!A:G,7,0),IF(D29="COMPOSIÇÕES",VLOOKUP(B29,'11.COMPOSIÇÕES GERAIS'!B:I,8,0),VLOOKUP(B29,'12.COT.MERCADO'!A:I,8,0)))),"Em Elaboração")</f>
        <v>0.24</v>
      </c>
      <c r="J29" s="259">
        <f t="shared" si="5"/>
        <v>0</v>
      </c>
      <c r="K29" s="259">
        <f t="shared" si="6"/>
        <v>0.2811203004</v>
      </c>
      <c r="L29" s="259">
        <f t="shared" si="7"/>
        <v>0.2811203004</v>
      </c>
      <c r="M29" s="259">
        <f t="shared" si="8"/>
        <v>0</v>
      </c>
      <c r="N29" s="259">
        <f t="shared" si="9"/>
        <v>14.05601502</v>
      </c>
      <c r="O29" s="259">
        <f t="shared" si="10"/>
        <v>14.05601502</v>
      </c>
      <c r="P29" s="586">
        <f t="shared" si="3"/>
        <v>0.00007662349923</v>
      </c>
    </row>
    <row r="30">
      <c r="A30" s="253" t="s">
        <v>573</v>
      </c>
      <c r="B30" s="254">
        <v>7583.0</v>
      </c>
      <c r="C30" s="255" t="str">
        <f t="shared" si="4"/>
        <v>SINAPI</v>
      </c>
      <c r="D30" s="256" t="s">
        <v>286</v>
      </c>
      <c r="E30" s="257" t="str">
        <f>IFERROR(IF(D30="SINAPI-S",VLOOKUP(B30,'20-B.SINAPI-S'!A:J,2,0),IF(D30="SINAPI-I",VLOOKUP(B30,'20-A.SINAPI-I'!A:G,2,0),IF(D30="COMPOSIÇÕES",VLOOKUP(B30,'11.COMPOSIÇÕES GERAIS'!B:I,2,0),VLOOKUP(B30,'12.COT.MERCADO'!A:I,2,0)))),"Em Elaboração")</f>
        <v>BUCHA DE NYLON SEM ABA S8, COM PARAFUSO DE 4,80 X 50 MM EM ACO ZINCADO COM ROSCA SOBERBA, CABECA CHATA E FENDA PHILLIPS</v>
      </c>
      <c r="F30" s="258" t="str">
        <f>IFERROR(IF(D30="SINAPI-S",VLOOKUP(B30,'20-B.SINAPI-S'!A:J,3,0),IF(D30="SINAPI-I",VLOOKUP(B30,'20-A.SINAPI-I'!A:G,3,0),IF(D30="COMPOSIÇÕES",VLOOKUP(B30,'11.COMPOSIÇÕES GERAIS'!B:I,3,0),VLOOKUP(B30,'12.COT.MERCADO'!A:I,7,0)))),"Em Elaboração")</f>
        <v>UN</v>
      </c>
      <c r="G30" s="254">
        <v>50.0</v>
      </c>
      <c r="H30" s="259">
        <f>IFERROR(IF(D30="SINAPI-S",VLOOKUP(B30,'20-B.SINAPI-S'!A:J,5,0),IF(D30="SINAPI-I",VLOOKUP(B30,'20-A.SINAPI-I'!A:G,6,0),IF(D30="COMPOSIÇÕES",VLOOKUP(B30,'11.COMPOSIÇÕES GERAIS'!B:I,7,0),0))),"Em Elaboração")</f>
        <v>0</v>
      </c>
      <c r="I30" s="259">
        <f>IFERROR(IF(D30="SINAPI-S",VLOOKUP(B30,'20-B.SINAPI-S'!A:J,6,0),IF(D30="SINAPI-I",VLOOKUP(B30,'20-A.SINAPI-I'!A:G,7,0),IF(D30="COMPOSIÇÕES",VLOOKUP(B30,'11.COMPOSIÇÕES GERAIS'!B:I,8,0),VLOOKUP(B30,'12.COT.MERCADO'!A:I,8,0)))),"Em Elaboração")</f>
        <v>0.5</v>
      </c>
      <c r="J30" s="259">
        <f t="shared" si="5"/>
        <v>0</v>
      </c>
      <c r="K30" s="259">
        <f t="shared" si="6"/>
        <v>0.5856672926</v>
      </c>
      <c r="L30" s="259">
        <f t="shared" si="7"/>
        <v>0.5856672926</v>
      </c>
      <c r="M30" s="259">
        <f t="shared" si="8"/>
        <v>0</v>
      </c>
      <c r="N30" s="259">
        <f t="shared" si="9"/>
        <v>29.28336463</v>
      </c>
      <c r="O30" s="259">
        <f t="shared" si="10"/>
        <v>29.28336463</v>
      </c>
      <c r="P30" s="586">
        <f t="shared" si="3"/>
        <v>0.0001596322901</v>
      </c>
    </row>
    <row r="31">
      <c r="A31" s="253" t="s">
        <v>574</v>
      </c>
      <c r="B31" s="254">
        <v>1020.0</v>
      </c>
      <c r="C31" s="255" t="str">
        <f t="shared" si="4"/>
        <v>SINAPI</v>
      </c>
      <c r="D31" s="256" t="s">
        <v>286</v>
      </c>
      <c r="E31" s="257" t="str">
        <f>IFERROR(IF(D31="SINAPI-S",VLOOKUP(B31,'20-B.SINAPI-S'!A:J,2,0),IF(D31="SINAPI-I",VLOOKUP(B31,'20-A.SINAPI-I'!A:G,2,0),IF(D31="COMPOSIÇÕES",VLOOKUP(B31,'11.COMPOSIÇÕES GERAIS'!B:I,2,0),VLOOKUP(B31,'12.COT.MERCADO'!A:I,2,0)))),"Em Elaboração")</f>
        <v>CABO DE COBRE, FLEXIVEL, CLASSE 4 OU 5, ISOLACAO EM PVC/A, ANTICHAMA BWF-B, COBERTURA PVC-ST1, ANTICHAMA BWF-B, 1 CONDUTOR, 0,6/1 KV, SECAO NOMINAL 10 MM2</v>
      </c>
      <c r="F31" s="258" t="str">
        <f>IFERROR(IF(D31="SINAPI-S",VLOOKUP(B31,'20-B.SINAPI-S'!A:J,3,0),IF(D31="SINAPI-I",VLOOKUP(B31,'20-A.SINAPI-I'!A:G,3,0),IF(D31="COMPOSIÇÕES",VLOOKUP(B31,'11.COMPOSIÇÕES GERAIS'!B:I,3,0),VLOOKUP(B31,'12.COT.MERCADO'!A:I,7,0)))),"Em Elaboração")</f>
        <v>M</v>
      </c>
      <c r="G31" s="254">
        <v>100.0</v>
      </c>
      <c r="H31" s="259">
        <f>IFERROR(IF(D31="SINAPI-S",VLOOKUP(B31,'20-B.SINAPI-S'!A:J,5,0),IF(D31="SINAPI-I",VLOOKUP(B31,'20-A.SINAPI-I'!A:G,6,0),IF(D31="COMPOSIÇÕES",VLOOKUP(B31,'11.COMPOSIÇÕES GERAIS'!B:I,7,0),0))),"Em Elaboração")</f>
        <v>0</v>
      </c>
      <c r="I31" s="259">
        <f>IFERROR(IF(D31="SINAPI-S",VLOOKUP(B31,'20-B.SINAPI-S'!A:J,6,0),IF(D31="SINAPI-I",VLOOKUP(B31,'20-A.SINAPI-I'!A:G,7,0),IF(D31="COMPOSIÇÕES",VLOOKUP(B31,'11.COMPOSIÇÕES GERAIS'!B:I,8,0),VLOOKUP(B31,'12.COT.MERCADO'!A:I,8,0)))),"Em Elaboração")</f>
        <v>9.4</v>
      </c>
      <c r="J31" s="259">
        <f t="shared" si="5"/>
        <v>0</v>
      </c>
      <c r="K31" s="259">
        <f t="shared" si="6"/>
        <v>11.0105451</v>
      </c>
      <c r="L31" s="259">
        <f t="shared" si="7"/>
        <v>11.0105451</v>
      </c>
      <c r="M31" s="259">
        <f t="shared" si="8"/>
        <v>0</v>
      </c>
      <c r="N31" s="259">
        <f t="shared" si="9"/>
        <v>1101.05451</v>
      </c>
      <c r="O31" s="259">
        <f t="shared" si="10"/>
        <v>1101.05451</v>
      </c>
      <c r="P31" s="586">
        <f t="shared" si="3"/>
        <v>0.006002174106</v>
      </c>
    </row>
    <row r="32">
      <c r="A32" s="253" t="s">
        <v>575</v>
      </c>
      <c r="B32" s="254">
        <v>1022.0</v>
      </c>
      <c r="C32" s="255" t="str">
        <f t="shared" si="4"/>
        <v>SINAPI</v>
      </c>
      <c r="D32" s="256" t="s">
        <v>286</v>
      </c>
      <c r="E32" s="257" t="str">
        <f>IFERROR(IF(D32="SINAPI-S",VLOOKUP(B32,'20-B.SINAPI-S'!A:J,2,0),IF(D32="SINAPI-I",VLOOKUP(B32,'20-A.SINAPI-I'!A:G,2,0),IF(D32="COMPOSIÇÕES",VLOOKUP(B32,'11.COMPOSIÇÕES GERAIS'!B:I,2,0),VLOOKUP(B32,'12.COT.MERCADO'!A:I,2,0)))),"Em Elaboração")</f>
        <v>CABO DE COBRE, FLEXIVEL, CLASSE 4 OU 5, ISOLACAO EM PVC/A, ANTICHAMA BWF-B, COBERTURA PVC-ST1, ANTICHAMA BWF-B, 1 CONDUTOR, 0,6/1 KV, SECAO NOMINAL 2,5 MM2</v>
      </c>
      <c r="F32" s="258" t="str">
        <f>IFERROR(IF(D32="SINAPI-S",VLOOKUP(B32,'20-B.SINAPI-S'!A:J,3,0),IF(D32="SINAPI-I",VLOOKUP(B32,'20-A.SINAPI-I'!A:G,3,0),IF(D32="COMPOSIÇÕES",VLOOKUP(B32,'11.COMPOSIÇÕES GERAIS'!B:I,3,0),VLOOKUP(B32,'12.COT.MERCADO'!A:I,7,0)))),"Em Elaboração")</f>
        <v>M</v>
      </c>
      <c r="G32" s="254">
        <v>100.0</v>
      </c>
      <c r="H32" s="259">
        <f>IFERROR(IF(D32="SINAPI-S",VLOOKUP(B32,'20-B.SINAPI-S'!A:J,5,0),IF(D32="SINAPI-I",VLOOKUP(B32,'20-A.SINAPI-I'!A:G,6,0),IF(D32="COMPOSIÇÕES",VLOOKUP(B32,'11.COMPOSIÇÕES GERAIS'!B:I,7,0),0))),"Em Elaboração")</f>
        <v>0</v>
      </c>
      <c r="I32" s="259">
        <f>IFERROR(IF(D32="SINAPI-S",VLOOKUP(B32,'20-B.SINAPI-S'!A:J,6,0),IF(D32="SINAPI-I",VLOOKUP(B32,'20-A.SINAPI-I'!A:G,7,0),IF(D32="COMPOSIÇÕES",VLOOKUP(B32,'11.COMPOSIÇÕES GERAIS'!B:I,8,0),VLOOKUP(B32,'12.COT.MERCADO'!A:I,8,0)))),"Em Elaboração")</f>
        <v>2.57</v>
      </c>
      <c r="J32" s="259">
        <f t="shared" si="5"/>
        <v>0</v>
      </c>
      <c r="K32" s="259">
        <f t="shared" si="6"/>
        <v>3.010329884</v>
      </c>
      <c r="L32" s="259">
        <f t="shared" si="7"/>
        <v>3.010329884</v>
      </c>
      <c r="M32" s="259">
        <f t="shared" si="8"/>
        <v>0</v>
      </c>
      <c r="N32" s="259">
        <f t="shared" si="9"/>
        <v>301.0329884</v>
      </c>
      <c r="O32" s="259">
        <f t="shared" si="10"/>
        <v>301.0329884</v>
      </c>
      <c r="P32" s="586">
        <f t="shared" si="3"/>
        <v>0.001641019942</v>
      </c>
    </row>
    <row r="33">
      <c r="A33" s="253" t="s">
        <v>576</v>
      </c>
      <c r="B33" s="254">
        <v>1021.0</v>
      </c>
      <c r="C33" s="255" t="str">
        <f t="shared" si="4"/>
        <v>SINAPI</v>
      </c>
      <c r="D33" s="256" t="s">
        <v>286</v>
      </c>
      <c r="E33" s="257" t="str">
        <f>IFERROR(IF(D33="SINAPI-S",VLOOKUP(B33,'20-B.SINAPI-S'!A:J,2,0),IF(D33="SINAPI-I",VLOOKUP(B33,'20-A.SINAPI-I'!A:G,2,0),IF(D33="COMPOSIÇÕES",VLOOKUP(B33,'11.COMPOSIÇÕES GERAIS'!B:I,2,0),VLOOKUP(B33,'12.COT.MERCADO'!A:I,2,0)))),"Em Elaboração")</f>
        <v>CABO DE COBRE, FLEXIVEL, CLASSE 4 OU 5, ISOLACAO EM PVC/A, ANTICHAMA BWF-B, COBERTURA PVC-ST1, ANTICHAMA BWF-B, 1 CONDUTOR, 0,6/1 KV, SECAO NOMINAL 4 MM2</v>
      </c>
      <c r="F33" s="258" t="str">
        <f>IFERROR(IF(D33="SINAPI-S",VLOOKUP(B33,'20-B.SINAPI-S'!A:J,3,0),IF(D33="SINAPI-I",VLOOKUP(B33,'20-A.SINAPI-I'!A:G,3,0),IF(D33="COMPOSIÇÕES",VLOOKUP(B33,'11.COMPOSIÇÕES GERAIS'!B:I,3,0),VLOOKUP(B33,'12.COT.MERCADO'!A:I,7,0)))),"Em Elaboração")</f>
        <v>M</v>
      </c>
      <c r="G33" s="254">
        <v>100.0</v>
      </c>
      <c r="H33" s="259">
        <f>IFERROR(IF(D33="SINAPI-S",VLOOKUP(B33,'20-B.SINAPI-S'!A:J,5,0),IF(D33="SINAPI-I",VLOOKUP(B33,'20-A.SINAPI-I'!A:G,6,0),IF(D33="COMPOSIÇÕES",VLOOKUP(B33,'11.COMPOSIÇÕES GERAIS'!B:I,7,0),0))),"Em Elaboração")</f>
        <v>0</v>
      </c>
      <c r="I33" s="259">
        <f>IFERROR(IF(D33="SINAPI-S",VLOOKUP(B33,'20-B.SINAPI-S'!A:J,6,0),IF(D33="SINAPI-I",VLOOKUP(B33,'20-A.SINAPI-I'!A:G,7,0),IF(D33="COMPOSIÇÕES",VLOOKUP(B33,'11.COMPOSIÇÕES GERAIS'!B:I,8,0),VLOOKUP(B33,'12.COT.MERCADO'!A:I,8,0)))),"Em Elaboração")</f>
        <v>3.94</v>
      </c>
      <c r="J33" s="259">
        <f t="shared" si="5"/>
        <v>0</v>
      </c>
      <c r="K33" s="259">
        <f t="shared" si="6"/>
        <v>4.615058265</v>
      </c>
      <c r="L33" s="259">
        <f t="shared" si="7"/>
        <v>4.615058265</v>
      </c>
      <c r="M33" s="259">
        <f t="shared" si="8"/>
        <v>0</v>
      </c>
      <c r="N33" s="259">
        <f t="shared" si="9"/>
        <v>461.5058265</v>
      </c>
      <c r="O33" s="259">
        <f t="shared" si="10"/>
        <v>461.5058265</v>
      </c>
      <c r="P33" s="586">
        <f t="shared" si="3"/>
        <v>0.002515804891</v>
      </c>
    </row>
    <row r="34">
      <c r="A34" s="253" t="s">
        <v>577</v>
      </c>
      <c r="B34" s="254">
        <v>994.0</v>
      </c>
      <c r="C34" s="255" t="str">
        <f t="shared" si="4"/>
        <v>SINAPI</v>
      </c>
      <c r="D34" s="256" t="s">
        <v>286</v>
      </c>
      <c r="E34" s="257" t="str">
        <f>IFERROR(IF(D34="SINAPI-S",VLOOKUP(B34,'20-B.SINAPI-S'!A:J,2,0),IF(D34="SINAPI-I",VLOOKUP(B34,'20-A.SINAPI-I'!A:G,2,0),IF(D34="COMPOSIÇÕES",VLOOKUP(B34,'11.COMPOSIÇÕES GERAIS'!B:I,2,0),VLOOKUP(B34,'12.COT.MERCADO'!A:I,2,0)))),"Em Elaboração")</f>
        <v>CABO DE COBRE, FLEXIVEL, CLASSE 4 OU 5, ISOLACAO EM PVC/A, ANTICHAMA BWF-B, COBERTURA PVC-ST1, ANTICHAMA BWF-B, 1 CONDUTOR, 0,6/1 KV, SECAO NOMINAL 6 MM2</v>
      </c>
      <c r="F34" s="258" t="str">
        <f>IFERROR(IF(D34="SINAPI-S",VLOOKUP(B34,'20-B.SINAPI-S'!A:J,3,0),IF(D34="SINAPI-I",VLOOKUP(B34,'20-A.SINAPI-I'!A:G,3,0),IF(D34="COMPOSIÇÕES",VLOOKUP(B34,'11.COMPOSIÇÕES GERAIS'!B:I,3,0),VLOOKUP(B34,'12.COT.MERCADO'!A:I,7,0)))),"Em Elaboração")</f>
        <v>M</v>
      </c>
      <c r="G34" s="254">
        <v>100.0</v>
      </c>
      <c r="H34" s="259">
        <f>IFERROR(IF(D34="SINAPI-S",VLOOKUP(B34,'20-B.SINAPI-S'!A:J,5,0),IF(D34="SINAPI-I",VLOOKUP(B34,'20-A.SINAPI-I'!A:G,6,0),IF(D34="COMPOSIÇÕES",VLOOKUP(B34,'11.COMPOSIÇÕES GERAIS'!B:I,7,0),0))),"Em Elaboração")</f>
        <v>0</v>
      </c>
      <c r="I34" s="259">
        <f>IFERROR(IF(D34="SINAPI-S",VLOOKUP(B34,'20-B.SINAPI-S'!A:J,6,0),IF(D34="SINAPI-I",VLOOKUP(B34,'20-A.SINAPI-I'!A:G,7,0),IF(D34="COMPOSIÇÕES",VLOOKUP(B34,'11.COMPOSIÇÕES GERAIS'!B:I,8,0),VLOOKUP(B34,'12.COT.MERCADO'!A:I,8,0)))),"Em Elaboração")</f>
        <v>5.74</v>
      </c>
      <c r="J34" s="259">
        <f t="shared" si="5"/>
        <v>0</v>
      </c>
      <c r="K34" s="259">
        <f t="shared" si="6"/>
        <v>6.723460519</v>
      </c>
      <c r="L34" s="259">
        <f t="shared" si="7"/>
        <v>6.723460519</v>
      </c>
      <c r="M34" s="259">
        <f t="shared" si="8"/>
        <v>0</v>
      </c>
      <c r="N34" s="259">
        <f t="shared" si="9"/>
        <v>672.3460519</v>
      </c>
      <c r="O34" s="259">
        <f t="shared" si="10"/>
        <v>672.3460519</v>
      </c>
      <c r="P34" s="586">
        <f t="shared" si="3"/>
        <v>0.00366515738</v>
      </c>
    </row>
    <row r="35">
      <c r="A35" s="253" t="s">
        <v>578</v>
      </c>
      <c r="B35" s="254">
        <v>857.0</v>
      </c>
      <c r="C35" s="255" t="str">
        <f t="shared" si="4"/>
        <v>SINAPI</v>
      </c>
      <c r="D35" s="256" t="s">
        <v>286</v>
      </c>
      <c r="E35" s="257" t="str">
        <f>IFERROR(IF(D35="SINAPI-S",VLOOKUP(B35,'20-B.SINAPI-S'!A:J,2,0),IF(D35="SINAPI-I",VLOOKUP(B35,'20-A.SINAPI-I'!A:G,2,0),IF(D35="COMPOSIÇÕES",VLOOKUP(B35,'11.COMPOSIÇÕES GERAIS'!B:I,2,0),VLOOKUP(B35,'12.COT.MERCADO'!A:I,2,0)))),"Em Elaboração")</f>
        <v>CABO DE COBRE NU 16 MM2 MEIO-DURO</v>
      </c>
      <c r="F35" s="258" t="str">
        <f>IFERROR(IF(D35="SINAPI-S",VLOOKUP(B35,'20-B.SINAPI-S'!A:J,3,0),IF(D35="SINAPI-I",VLOOKUP(B35,'20-A.SINAPI-I'!A:G,3,0),IF(D35="COMPOSIÇÕES",VLOOKUP(B35,'11.COMPOSIÇÕES GERAIS'!B:I,3,0),VLOOKUP(B35,'12.COT.MERCADO'!A:I,7,0)))),"Em Elaboração")</f>
        <v>M</v>
      </c>
      <c r="G35" s="254">
        <v>25.0</v>
      </c>
      <c r="H35" s="259">
        <f>IFERROR(IF(D35="SINAPI-S",VLOOKUP(B35,'20-B.SINAPI-S'!A:J,5,0),IF(D35="SINAPI-I",VLOOKUP(B35,'20-A.SINAPI-I'!A:G,6,0),IF(D35="COMPOSIÇÕES",VLOOKUP(B35,'11.COMPOSIÇÕES GERAIS'!B:I,7,0),0))),"Em Elaboração")</f>
        <v>0</v>
      </c>
      <c r="I35" s="259">
        <f>IFERROR(IF(D35="SINAPI-S",VLOOKUP(B35,'20-B.SINAPI-S'!A:J,6,0),IF(D35="SINAPI-I",VLOOKUP(B35,'20-A.SINAPI-I'!A:G,7,0),IF(D35="COMPOSIÇÕES",VLOOKUP(B35,'11.COMPOSIÇÕES GERAIS'!B:I,8,0),VLOOKUP(B35,'12.COT.MERCADO'!A:I,8,0)))),"Em Elaboração")</f>
        <v>17.06</v>
      </c>
      <c r="J35" s="259">
        <f t="shared" si="5"/>
        <v>0</v>
      </c>
      <c r="K35" s="259">
        <f t="shared" si="6"/>
        <v>19.98296802</v>
      </c>
      <c r="L35" s="259">
        <f t="shared" si="7"/>
        <v>19.98296802</v>
      </c>
      <c r="M35" s="259">
        <f t="shared" si="8"/>
        <v>0</v>
      </c>
      <c r="N35" s="259">
        <f t="shared" si="9"/>
        <v>499.5742006</v>
      </c>
      <c r="O35" s="259">
        <f t="shared" si="10"/>
        <v>499.5742006</v>
      </c>
      <c r="P35" s="586">
        <f t="shared" si="3"/>
        <v>0.002723326868</v>
      </c>
    </row>
    <row r="36">
      <c r="A36" s="253" t="s">
        <v>579</v>
      </c>
      <c r="B36" s="254">
        <v>34624.0</v>
      </c>
      <c r="C36" s="255" t="str">
        <f t="shared" si="4"/>
        <v>SINAPI</v>
      </c>
      <c r="D36" s="256" t="s">
        <v>286</v>
      </c>
      <c r="E36" s="257" t="str">
        <f>IFERROR(IF(D36="SINAPI-S",VLOOKUP(B36,'20-B.SINAPI-S'!A:J,2,0),IF(D36="SINAPI-I",VLOOKUP(B36,'20-A.SINAPI-I'!A:G,2,0),IF(D36="COMPOSIÇÕES",VLOOKUP(B36,'11.COMPOSIÇÕES GERAIS'!B:I,2,0),VLOOKUP(B36,'12.COT.MERCADO'!A:I,2,0)))),"Em Elaboração")</f>
        <v>CABO FLEXIVEL PVC 750 V, 4 CONDUTORES DE 1,5 MM2</v>
      </c>
      <c r="F36" s="258" t="str">
        <f>IFERROR(IF(D36="SINAPI-S",VLOOKUP(B36,'20-B.SINAPI-S'!A:J,3,0),IF(D36="SINAPI-I",VLOOKUP(B36,'20-A.SINAPI-I'!A:G,3,0),IF(D36="COMPOSIÇÕES",VLOOKUP(B36,'11.COMPOSIÇÕES GERAIS'!B:I,3,0),VLOOKUP(B36,'12.COT.MERCADO'!A:I,7,0)))),"Em Elaboração")</f>
        <v>M</v>
      </c>
      <c r="G36" s="254">
        <v>100.0</v>
      </c>
      <c r="H36" s="259">
        <f>IFERROR(IF(D36="SINAPI-S",VLOOKUP(B36,'20-B.SINAPI-S'!A:J,5,0),IF(D36="SINAPI-I",VLOOKUP(B36,'20-A.SINAPI-I'!A:G,6,0),IF(D36="COMPOSIÇÕES",VLOOKUP(B36,'11.COMPOSIÇÕES GERAIS'!B:I,7,0),0))),"Em Elaboração")</f>
        <v>0</v>
      </c>
      <c r="I36" s="259">
        <f>IFERROR(IF(D36="SINAPI-S",VLOOKUP(B36,'20-B.SINAPI-S'!A:J,6,0),IF(D36="SINAPI-I",VLOOKUP(B36,'20-A.SINAPI-I'!A:G,7,0),IF(D36="COMPOSIÇÕES",VLOOKUP(B36,'11.COMPOSIÇÕES GERAIS'!B:I,8,0),VLOOKUP(B36,'12.COT.MERCADO'!A:I,8,0)))),"Em Elaboração")</f>
        <v>7.27</v>
      </c>
      <c r="J36" s="259">
        <f t="shared" si="5"/>
        <v>0</v>
      </c>
      <c r="K36" s="259">
        <f t="shared" si="6"/>
        <v>8.515602434</v>
      </c>
      <c r="L36" s="259">
        <f t="shared" si="7"/>
        <v>8.515602434</v>
      </c>
      <c r="M36" s="259">
        <f t="shared" si="8"/>
        <v>0</v>
      </c>
      <c r="N36" s="259">
        <f t="shared" si="9"/>
        <v>851.5602434</v>
      </c>
      <c r="O36" s="259">
        <f t="shared" si="10"/>
        <v>851.5602434</v>
      </c>
      <c r="P36" s="586">
        <f t="shared" si="3"/>
        <v>0.004642106995</v>
      </c>
    </row>
    <row r="37">
      <c r="A37" s="253" t="s">
        <v>580</v>
      </c>
      <c r="B37" s="254">
        <v>1014.0</v>
      </c>
      <c r="C37" s="255" t="str">
        <f t="shared" si="4"/>
        <v>SINAPI</v>
      </c>
      <c r="D37" s="256" t="s">
        <v>286</v>
      </c>
      <c r="E37" s="257" t="str">
        <f>IFERROR(IF(D37="SINAPI-S",VLOOKUP(B37,'20-B.SINAPI-S'!A:J,2,0),IF(D37="SINAPI-I",VLOOKUP(B37,'20-A.SINAPI-I'!A:G,2,0),IF(D37="COMPOSIÇÕES",VLOOKUP(B37,'11.COMPOSIÇÕES GERAIS'!B:I,2,0),VLOOKUP(B37,'12.COT.MERCADO'!A:I,2,0)))),"Em Elaboração")</f>
        <v>CABO DE COBRE, FLEXIVEL, CLASSE 4 OU 5, ISOLACAO EM PVC/A, ANTICHAMA BWF-B, 1 CONDUTOR, 450/750 V, SECAO NOMINAL 2,5 MM2</v>
      </c>
      <c r="F37" s="258" t="str">
        <f>IFERROR(IF(D37="SINAPI-S",VLOOKUP(B37,'20-B.SINAPI-S'!A:J,3,0),IF(D37="SINAPI-I",VLOOKUP(B37,'20-A.SINAPI-I'!A:G,3,0),IF(D37="COMPOSIÇÕES",VLOOKUP(B37,'11.COMPOSIÇÕES GERAIS'!B:I,3,0),VLOOKUP(B37,'12.COT.MERCADO'!A:I,7,0)))),"Em Elaboração")</f>
        <v>M</v>
      </c>
      <c r="G37" s="254">
        <v>100.0</v>
      </c>
      <c r="H37" s="259">
        <f>IFERROR(IF(D37="SINAPI-S",VLOOKUP(B37,'20-B.SINAPI-S'!A:J,5,0),IF(D37="SINAPI-I",VLOOKUP(B37,'20-A.SINAPI-I'!A:G,6,0),IF(D37="COMPOSIÇÕES",VLOOKUP(B37,'11.COMPOSIÇÕES GERAIS'!B:I,7,0),0))),"Em Elaboração")</f>
        <v>0</v>
      </c>
      <c r="I37" s="259">
        <f>IFERROR(IF(D37="SINAPI-S",VLOOKUP(B37,'20-B.SINAPI-S'!A:J,6,0),IF(D37="SINAPI-I",VLOOKUP(B37,'20-A.SINAPI-I'!A:G,7,0),IF(D37="COMPOSIÇÕES",VLOOKUP(B37,'11.COMPOSIÇÕES GERAIS'!B:I,8,0),VLOOKUP(B37,'12.COT.MERCADO'!A:I,8,0)))),"Em Elaboração")</f>
        <v>2.16</v>
      </c>
      <c r="J37" s="259">
        <f t="shared" si="5"/>
        <v>0</v>
      </c>
      <c r="K37" s="259">
        <f t="shared" si="6"/>
        <v>2.530082704</v>
      </c>
      <c r="L37" s="259">
        <f t="shared" si="7"/>
        <v>2.530082704</v>
      </c>
      <c r="M37" s="259">
        <f t="shared" si="8"/>
        <v>0</v>
      </c>
      <c r="N37" s="259">
        <f t="shared" si="9"/>
        <v>253.0082704</v>
      </c>
      <c r="O37" s="259">
        <f t="shared" si="10"/>
        <v>253.0082704</v>
      </c>
      <c r="P37" s="586">
        <f t="shared" si="3"/>
        <v>0.001379222986</v>
      </c>
    </row>
    <row r="38">
      <c r="A38" s="253" t="s">
        <v>581</v>
      </c>
      <c r="B38" s="254">
        <v>981.0</v>
      </c>
      <c r="C38" s="255" t="str">
        <f t="shared" si="4"/>
        <v>SINAPI</v>
      </c>
      <c r="D38" s="256" t="s">
        <v>286</v>
      </c>
      <c r="E38" s="257" t="str">
        <f>IFERROR(IF(D38="SINAPI-S",VLOOKUP(B38,'20-B.SINAPI-S'!A:J,2,0),IF(D38="SINAPI-I",VLOOKUP(B38,'20-A.SINAPI-I'!A:G,2,0),IF(D38="COMPOSIÇÕES",VLOOKUP(B38,'11.COMPOSIÇÕES GERAIS'!B:I,2,0),VLOOKUP(B38,'12.COT.MERCADO'!A:I,2,0)))),"Em Elaboração")</f>
        <v>CABO DE COBRE, FLEXIVEL, CLASSE 4 OU 5, ISOLACAO EM PVC/A, ANTICHAMA BWF-B, 1 CONDUTOR, 450/750 V, SECAO NOMINAL 4 MM2</v>
      </c>
      <c r="F38" s="258" t="str">
        <f>IFERROR(IF(D38="SINAPI-S",VLOOKUP(B38,'20-B.SINAPI-S'!A:J,3,0),IF(D38="SINAPI-I",VLOOKUP(B38,'20-A.SINAPI-I'!A:G,3,0),IF(D38="COMPOSIÇÕES",VLOOKUP(B38,'11.COMPOSIÇÕES GERAIS'!B:I,3,0),VLOOKUP(B38,'12.COT.MERCADO'!A:I,7,0)))),"Em Elaboração")</f>
        <v>M</v>
      </c>
      <c r="G38" s="254">
        <v>50.0</v>
      </c>
      <c r="H38" s="259">
        <f>IFERROR(IF(D38="SINAPI-S",VLOOKUP(B38,'20-B.SINAPI-S'!A:J,5,0),IF(D38="SINAPI-I",VLOOKUP(B38,'20-A.SINAPI-I'!A:G,6,0),IF(D38="COMPOSIÇÕES",VLOOKUP(B38,'11.COMPOSIÇÕES GERAIS'!B:I,7,0),0))),"Em Elaboração")</f>
        <v>0</v>
      </c>
      <c r="I38" s="259">
        <f>IFERROR(IF(D38="SINAPI-S",VLOOKUP(B38,'20-B.SINAPI-S'!A:J,6,0),IF(D38="SINAPI-I",VLOOKUP(B38,'20-A.SINAPI-I'!A:G,7,0),IF(D38="COMPOSIÇÕES",VLOOKUP(B38,'11.COMPOSIÇÕES GERAIS'!B:I,8,0),VLOOKUP(B38,'12.COT.MERCADO'!A:I,8,0)))),"Em Elaboração")</f>
        <v>3.59</v>
      </c>
      <c r="J38" s="259">
        <f t="shared" si="5"/>
        <v>0</v>
      </c>
      <c r="K38" s="259">
        <f t="shared" si="6"/>
        <v>4.205091161</v>
      </c>
      <c r="L38" s="259">
        <f t="shared" si="7"/>
        <v>4.205091161</v>
      </c>
      <c r="M38" s="259">
        <f t="shared" si="8"/>
        <v>0</v>
      </c>
      <c r="N38" s="259">
        <f t="shared" si="9"/>
        <v>210.254558</v>
      </c>
      <c r="O38" s="259">
        <f t="shared" si="10"/>
        <v>210.254558</v>
      </c>
      <c r="P38" s="586">
        <f t="shared" si="3"/>
        <v>0.001146159843</v>
      </c>
    </row>
    <row r="39">
      <c r="A39" s="253" t="s">
        <v>582</v>
      </c>
      <c r="B39" s="254">
        <v>1872.0</v>
      </c>
      <c r="C39" s="255" t="str">
        <f t="shared" si="4"/>
        <v>SINAPI</v>
      </c>
      <c r="D39" s="256" t="s">
        <v>286</v>
      </c>
      <c r="E39" s="257" t="str">
        <f>IFERROR(IF(D39="SINAPI-S",VLOOKUP(B39,'20-B.SINAPI-S'!A:J,2,0),IF(D39="SINAPI-I",VLOOKUP(B39,'20-A.SINAPI-I'!A:G,2,0),IF(D39="COMPOSIÇÕES",VLOOKUP(B39,'11.COMPOSIÇÕES GERAIS'!B:I,2,0),VLOOKUP(B39,'12.COT.MERCADO'!A:I,2,0)))),"Em Elaboração")</f>
        <v>CAIXA DE PASSAGEM, EM PVC, DE 4" X 2", PARA ELETRODUTO FLEXIVEL CORRUGADO</v>
      </c>
      <c r="F39" s="258" t="str">
        <f>IFERROR(IF(D39="SINAPI-S",VLOOKUP(B39,'20-B.SINAPI-S'!A:J,3,0),IF(D39="SINAPI-I",VLOOKUP(B39,'20-A.SINAPI-I'!A:G,3,0),IF(D39="COMPOSIÇÕES",VLOOKUP(B39,'11.COMPOSIÇÕES GERAIS'!B:I,3,0),VLOOKUP(B39,'12.COT.MERCADO'!A:I,7,0)))),"Em Elaboração")</f>
        <v>UN</v>
      </c>
      <c r="G39" s="254">
        <v>6.0</v>
      </c>
      <c r="H39" s="259">
        <f>IFERROR(IF(D39="SINAPI-S",VLOOKUP(B39,'20-B.SINAPI-S'!A:J,5,0),IF(D39="SINAPI-I",VLOOKUP(B39,'20-A.SINAPI-I'!A:G,6,0),IF(D39="COMPOSIÇÕES",VLOOKUP(B39,'11.COMPOSIÇÕES GERAIS'!B:I,7,0),0))),"Em Elaboração")</f>
        <v>0</v>
      </c>
      <c r="I39" s="259">
        <f>IFERROR(IF(D39="SINAPI-S",VLOOKUP(B39,'20-B.SINAPI-S'!A:J,6,0),IF(D39="SINAPI-I",VLOOKUP(B39,'20-A.SINAPI-I'!A:G,7,0),IF(D39="COMPOSIÇÕES",VLOOKUP(B39,'11.COMPOSIÇÕES GERAIS'!B:I,8,0),VLOOKUP(B39,'12.COT.MERCADO'!A:I,8,0)))),"Em Elaboração")</f>
        <v>3.34</v>
      </c>
      <c r="J39" s="259">
        <f t="shared" si="5"/>
        <v>0</v>
      </c>
      <c r="K39" s="259">
        <f t="shared" si="6"/>
        <v>3.912257514</v>
      </c>
      <c r="L39" s="259">
        <f t="shared" si="7"/>
        <v>3.912257514</v>
      </c>
      <c r="M39" s="259">
        <f t="shared" si="8"/>
        <v>0</v>
      </c>
      <c r="N39" s="259">
        <f t="shared" si="9"/>
        <v>23.47354509</v>
      </c>
      <c r="O39" s="259">
        <f t="shared" si="10"/>
        <v>23.47354509</v>
      </c>
      <c r="P39" s="586">
        <f t="shared" si="3"/>
        <v>0.0001279612437</v>
      </c>
    </row>
    <row r="40">
      <c r="A40" s="253" t="s">
        <v>583</v>
      </c>
      <c r="B40" s="254">
        <v>1368.0</v>
      </c>
      <c r="C40" s="255" t="str">
        <f t="shared" si="4"/>
        <v>SINAPI</v>
      </c>
      <c r="D40" s="256" t="s">
        <v>286</v>
      </c>
      <c r="E40" s="257" t="str">
        <f>IFERROR(IF(D40="SINAPI-S",VLOOKUP(B40,'20-B.SINAPI-S'!A:J,2,0),IF(D40="SINAPI-I",VLOOKUP(B40,'20-A.SINAPI-I'!A:G,2,0),IF(D40="COMPOSIÇÕES",VLOOKUP(B40,'11.COMPOSIÇÕES GERAIS'!B:I,2,0),VLOOKUP(B40,'12.COT.MERCADO'!A:I,2,0)))),"Em Elaboração")</f>
        <v>CHUVEIRO COMUM EM PLASTICO BRANCO, COM CANO, 3 TEMPERATURAS, 5500 W (110/220 V)</v>
      </c>
      <c r="F40" s="258" t="str">
        <f>IFERROR(IF(D40="SINAPI-S",VLOOKUP(B40,'20-B.SINAPI-S'!A:J,3,0),IF(D40="SINAPI-I",VLOOKUP(B40,'20-A.SINAPI-I'!A:G,3,0),IF(D40="COMPOSIÇÕES",VLOOKUP(B40,'11.COMPOSIÇÕES GERAIS'!B:I,3,0),VLOOKUP(B40,'12.COT.MERCADO'!A:I,7,0)))),"Em Elaboração")</f>
        <v>UN</v>
      </c>
      <c r="G40" s="254">
        <v>4.0</v>
      </c>
      <c r="H40" s="259">
        <f>IFERROR(IF(D40="SINAPI-S",VLOOKUP(B40,'20-B.SINAPI-S'!A:J,5,0),IF(D40="SINAPI-I",VLOOKUP(B40,'20-A.SINAPI-I'!A:G,6,0),IF(D40="COMPOSIÇÕES",VLOOKUP(B40,'11.COMPOSIÇÕES GERAIS'!B:I,7,0),0))),"Em Elaboração")</f>
        <v>0</v>
      </c>
      <c r="I40" s="259">
        <f>IFERROR(IF(D40="SINAPI-S",VLOOKUP(B40,'20-B.SINAPI-S'!A:J,6,0),IF(D40="SINAPI-I",VLOOKUP(B40,'20-A.SINAPI-I'!A:G,7,0),IF(D40="COMPOSIÇÕES",VLOOKUP(B40,'11.COMPOSIÇÕES GERAIS'!B:I,8,0),VLOOKUP(B40,'12.COT.MERCADO'!A:I,8,0)))),"Em Elaboração")</f>
        <v>85.54</v>
      </c>
      <c r="J40" s="259">
        <f t="shared" si="5"/>
        <v>0</v>
      </c>
      <c r="K40" s="259">
        <f t="shared" si="6"/>
        <v>100.1959604</v>
      </c>
      <c r="L40" s="259">
        <f t="shared" si="7"/>
        <v>100.1959604</v>
      </c>
      <c r="M40" s="259">
        <f t="shared" si="8"/>
        <v>0</v>
      </c>
      <c r="N40" s="259">
        <f t="shared" si="9"/>
        <v>400.7838416</v>
      </c>
      <c r="O40" s="259">
        <f t="shared" si="10"/>
        <v>400.7838416</v>
      </c>
      <c r="P40" s="586">
        <f t="shared" si="3"/>
        <v>0.002184791375</v>
      </c>
    </row>
    <row r="41">
      <c r="A41" s="253" t="s">
        <v>584</v>
      </c>
      <c r="B41" s="254">
        <v>11891.0</v>
      </c>
      <c r="C41" s="255" t="str">
        <f t="shared" si="4"/>
        <v>SINAPI</v>
      </c>
      <c r="D41" s="256" t="s">
        <v>286</v>
      </c>
      <c r="E41" s="257" t="str">
        <f>IFERROR(IF(D41="SINAPI-S",VLOOKUP(B41,'20-B.SINAPI-S'!A:J,2,0),IF(D41="SINAPI-I",VLOOKUP(B41,'20-A.SINAPI-I'!A:G,2,0),IF(D41="COMPOSIÇÕES",VLOOKUP(B41,'11.COMPOSIÇÕES GERAIS'!B:I,2,0),VLOOKUP(B41,'12.COT.MERCADO'!A:I,2,0)))),"Em Elaboração")</f>
        <v>CORDAO DE COBRE, FLEXIVEL, TORCIDO, CLASSE 4 OU 5, ISOLACAO EM PVC/D, 300 V, 2 CONDUTORES DE 2,5 MM2</v>
      </c>
      <c r="F41" s="258" t="str">
        <f>IFERROR(IF(D41="SINAPI-S",VLOOKUP(B41,'20-B.SINAPI-S'!A:J,3,0),IF(D41="SINAPI-I",VLOOKUP(B41,'20-A.SINAPI-I'!A:G,3,0),IF(D41="COMPOSIÇÕES",VLOOKUP(B41,'11.COMPOSIÇÕES GERAIS'!B:I,3,0),VLOOKUP(B41,'12.COT.MERCADO'!A:I,7,0)))),"Em Elaboração")</f>
        <v>M</v>
      </c>
      <c r="G41" s="254">
        <v>50.0</v>
      </c>
      <c r="H41" s="259">
        <f>IFERROR(IF(D41="SINAPI-S",VLOOKUP(B41,'20-B.SINAPI-S'!A:J,5,0),IF(D41="SINAPI-I",VLOOKUP(B41,'20-A.SINAPI-I'!A:G,6,0),IF(D41="COMPOSIÇÕES",VLOOKUP(B41,'11.COMPOSIÇÕES GERAIS'!B:I,7,0),0))),"Em Elaboração")</f>
        <v>0</v>
      </c>
      <c r="I41" s="259">
        <f>IFERROR(IF(D41="SINAPI-S",VLOOKUP(B41,'20-B.SINAPI-S'!A:J,6,0),IF(D41="SINAPI-I",VLOOKUP(B41,'20-A.SINAPI-I'!A:G,7,0),IF(D41="COMPOSIÇÕES",VLOOKUP(B41,'11.COMPOSIÇÕES GERAIS'!B:I,8,0),VLOOKUP(B41,'12.COT.MERCADO'!A:I,8,0)))),"Em Elaboração")</f>
        <v>5.12</v>
      </c>
      <c r="J41" s="259">
        <f t="shared" si="5"/>
        <v>0</v>
      </c>
      <c r="K41" s="259">
        <f t="shared" si="6"/>
        <v>5.997233076</v>
      </c>
      <c r="L41" s="259">
        <f t="shared" si="7"/>
        <v>5.997233076</v>
      </c>
      <c r="M41" s="259">
        <f t="shared" si="8"/>
        <v>0</v>
      </c>
      <c r="N41" s="259">
        <f t="shared" si="9"/>
        <v>299.8616538</v>
      </c>
      <c r="O41" s="259">
        <f t="shared" si="10"/>
        <v>299.8616538</v>
      </c>
      <c r="P41" s="586">
        <f t="shared" si="3"/>
        <v>0.00163463465</v>
      </c>
    </row>
    <row r="42">
      <c r="A42" s="253" t="s">
        <v>585</v>
      </c>
      <c r="B42" s="254">
        <v>11821.0</v>
      </c>
      <c r="C42" s="255" t="str">
        <f t="shared" si="4"/>
        <v>SINAPI</v>
      </c>
      <c r="D42" s="256" t="s">
        <v>286</v>
      </c>
      <c r="E42" s="257" t="str">
        <f>IFERROR(IF(D42="SINAPI-S",VLOOKUP(B42,'20-B.SINAPI-S'!A:J,2,0),IF(D42="SINAPI-I",VLOOKUP(B42,'20-A.SINAPI-I'!A:G,2,0),IF(D42="COMPOSIÇÕES",VLOOKUP(B42,'11.COMPOSIÇÕES GERAIS'!B:I,2,0),VLOOKUP(B42,'12.COT.MERCADO'!A:I,2,0)))),"Em Elaboração")</f>
        <v>CONECTOR METALICO TIPO PARAFUSO FENDIDO (SPLIT BOLT), COM SEPARADOR DE CABOS BIMETALICOS, PARA CABOS ATE 25 MM2</v>
      </c>
      <c r="F42" s="258" t="str">
        <f>IFERROR(IF(D42="SINAPI-S",VLOOKUP(B42,'20-B.SINAPI-S'!A:J,3,0),IF(D42="SINAPI-I",VLOOKUP(B42,'20-A.SINAPI-I'!A:G,3,0),IF(D42="COMPOSIÇÕES",VLOOKUP(B42,'11.COMPOSIÇÕES GERAIS'!B:I,3,0),VLOOKUP(B42,'12.COT.MERCADO'!A:I,7,0)))),"Em Elaboração")</f>
        <v>UN</v>
      </c>
      <c r="G42" s="254">
        <v>8.0</v>
      </c>
      <c r="H42" s="259">
        <f>IFERROR(IF(D42="SINAPI-S",VLOOKUP(B42,'20-B.SINAPI-S'!A:J,5,0),IF(D42="SINAPI-I",VLOOKUP(B42,'20-A.SINAPI-I'!A:G,6,0),IF(D42="COMPOSIÇÕES",VLOOKUP(B42,'11.COMPOSIÇÕES GERAIS'!B:I,7,0),0))),"Em Elaboração")</f>
        <v>0</v>
      </c>
      <c r="I42" s="259">
        <f>IFERROR(IF(D42="SINAPI-S",VLOOKUP(B42,'20-B.SINAPI-S'!A:J,6,0),IF(D42="SINAPI-I",VLOOKUP(B42,'20-A.SINAPI-I'!A:G,7,0),IF(D42="COMPOSIÇÕES",VLOOKUP(B42,'11.COMPOSIÇÕES GERAIS'!B:I,8,0),VLOOKUP(B42,'12.COT.MERCADO'!A:I,8,0)))),"Em Elaboração")</f>
        <v>9.93</v>
      </c>
      <c r="J42" s="259">
        <f t="shared" si="5"/>
        <v>0</v>
      </c>
      <c r="K42" s="259">
        <f t="shared" si="6"/>
        <v>11.63135243</v>
      </c>
      <c r="L42" s="259">
        <f t="shared" si="7"/>
        <v>11.63135243</v>
      </c>
      <c r="M42" s="259">
        <f t="shared" si="8"/>
        <v>0</v>
      </c>
      <c r="N42" s="259">
        <f t="shared" si="9"/>
        <v>93.05081944</v>
      </c>
      <c r="O42" s="259">
        <f t="shared" si="10"/>
        <v>93.05081944</v>
      </c>
      <c r="P42" s="586">
        <f t="shared" si="3"/>
        <v>0.0005072475649</v>
      </c>
    </row>
    <row r="43">
      <c r="A43" s="253" t="s">
        <v>586</v>
      </c>
      <c r="B43" s="254">
        <v>2559.0</v>
      </c>
      <c r="C43" s="255" t="str">
        <f t="shared" si="4"/>
        <v>SINAPI</v>
      </c>
      <c r="D43" s="256" t="s">
        <v>286</v>
      </c>
      <c r="E43" s="257" t="str">
        <f>IFERROR(IF(D43="SINAPI-S",VLOOKUP(B43,'20-B.SINAPI-S'!A:J,2,0),IF(D43="SINAPI-I",VLOOKUP(B43,'20-A.SINAPI-I'!A:G,2,0),IF(D43="COMPOSIÇÕES",VLOOKUP(B43,'11.COMPOSIÇÕES GERAIS'!B:I,2,0),VLOOKUP(B43,'12.COT.MERCADO'!A:I,2,0)))),"Em Elaboração")</f>
        <v>CONDULETE DE ALUMINIO TIPO C, PARA ELETRODUTO ROSCAVEL DE 3/4", COM TAMPA CEGA</v>
      </c>
      <c r="F43" s="258" t="str">
        <f>IFERROR(IF(D43="SINAPI-S",VLOOKUP(B43,'20-B.SINAPI-S'!A:J,3,0),IF(D43="SINAPI-I",VLOOKUP(B43,'20-A.SINAPI-I'!A:G,3,0),IF(D43="COMPOSIÇÕES",VLOOKUP(B43,'11.COMPOSIÇÕES GERAIS'!B:I,3,0),VLOOKUP(B43,'12.COT.MERCADO'!A:I,7,0)))),"Em Elaboração")</f>
        <v>UN</v>
      </c>
      <c r="G43" s="254">
        <v>4.0</v>
      </c>
      <c r="H43" s="259">
        <f>IFERROR(IF(D43="SINAPI-S",VLOOKUP(B43,'20-B.SINAPI-S'!A:J,5,0),IF(D43="SINAPI-I",VLOOKUP(B43,'20-A.SINAPI-I'!A:G,6,0),IF(D43="COMPOSIÇÕES",VLOOKUP(B43,'11.COMPOSIÇÕES GERAIS'!B:I,7,0),0))),"Em Elaboração")</f>
        <v>0</v>
      </c>
      <c r="I43" s="259">
        <f>IFERROR(IF(D43="SINAPI-S",VLOOKUP(B43,'20-B.SINAPI-S'!A:J,6,0),IF(D43="SINAPI-I",VLOOKUP(B43,'20-A.SINAPI-I'!A:G,7,0),IF(D43="COMPOSIÇÕES",VLOOKUP(B43,'11.COMPOSIÇÕES GERAIS'!B:I,8,0),VLOOKUP(B43,'12.COT.MERCADO'!A:I,8,0)))),"Em Elaboração")</f>
        <v>16.67</v>
      </c>
      <c r="J43" s="259">
        <f t="shared" si="5"/>
        <v>0</v>
      </c>
      <c r="K43" s="259">
        <f t="shared" si="6"/>
        <v>19.52614753</v>
      </c>
      <c r="L43" s="259">
        <f t="shared" si="7"/>
        <v>19.52614753</v>
      </c>
      <c r="M43" s="259">
        <f t="shared" si="8"/>
        <v>0</v>
      </c>
      <c r="N43" s="259">
        <f t="shared" si="9"/>
        <v>78.10459014</v>
      </c>
      <c r="O43" s="259">
        <f t="shared" si="10"/>
        <v>78.10459014</v>
      </c>
      <c r="P43" s="586">
        <f t="shared" si="3"/>
        <v>0.000425771244</v>
      </c>
    </row>
    <row r="44">
      <c r="A44" s="253" t="s">
        <v>587</v>
      </c>
      <c r="B44" s="254">
        <v>2565.0</v>
      </c>
      <c r="C44" s="255" t="str">
        <f t="shared" si="4"/>
        <v>SINAPI</v>
      </c>
      <c r="D44" s="256" t="s">
        <v>286</v>
      </c>
      <c r="E44" s="257" t="str">
        <f>IFERROR(IF(D44="SINAPI-S",VLOOKUP(B44,'20-B.SINAPI-S'!A:J,2,0),IF(D44="SINAPI-I",VLOOKUP(B44,'20-A.SINAPI-I'!A:G,2,0),IF(D44="COMPOSIÇÕES",VLOOKUP(B44,'11.COMPOSIÇÕES GERAIS'!B:I,2,0),VLOOKUP(B44,'12.COT.MERCADO'!A:I,2,0)))),"Em Elaboração")</f>
        <v>CONDULETE DE ALUMINIO TIPO E, PARA ELETRODUTO ROSCAVEL DE 3/4", COM TAMPA CEGA</v>
      </c>
      <c r="F44" s="258" t="str">
        <f>IFERROR(IF(D44="SINAPI-S",VLOOKUP(B44,'20-B.SINAPI-S'!A:J,3,0),IF(D44="SINAPI-I",VLOOKUP(B44,'20-A.SINAPI-I'!A:G,3,0),IF(D44="COMPOSIÇÕES",VLOOKUP(B44,'11.COMPOSIÇÕES GERAIS'!B:I,3,0),VLOOKUP(B44,'12.COT.MERCADO'!A:I,7,0)))),"Em Elaboração")</f>
        <v>UN</v>
      </c>
      <c r="G44" s="254">
        <v>4.0</v>
      </c>
      <c r="H44" s="259">
        <f>IFERROR(IF(D44="SINAPI-S",VLOOKUP(B44,'20-B.SINAPI-S'!A:J,5,0),IF(D44="SINAPI-I",VLOOKUP(B44,'20-A.SINAPI-I'!A:G,6,0),IF(D44="COMPOSIÇÕES",VLOOKUP(B44,'11.COMPOSIÇÕES GERAIS'!B:I,7,0),0))),"Em Elaboração")</f>
        <v>0</v>
      </c>
      <c r="I44" s="259">
        <f>IFERROR(IF(D44="SINAPI-S",VLOOKUP(B44,'20-B.SINAPI-S'!A:J,6,0),IF(D44="SINAPI-I",VLOOKUP(B44,'20-A.SINAPI-I'!A:G,7,0),IF(D44="COMPOSIÇÕES",VLOOKUP(B44,'11.COMPOSIÇÕES GERAIS'!B:I,8,0),VLOOKUP(B44,'12.COT.MERCADO'!A:I,8,0)))),"Em Elaboração")</f>
        <v>13.5</v>
      </c>
      <c r="J44" s="259">
        <f t="shared" si="5"/>
        <v>0</v>
      </c>
      <c r="K44" s="259">
        <f t="shared" si="6"/>
        <v>15.8130169</v>
      </c>
      <c r="L44" s="259">
        <f t="shared" si="7"/>
        <v>15.8130169</v>
      </c>
      <c r="M44" s="259">
        <f t="shared" si="8"/>
        <v>0</v>
      </c>
      <c r="N44" s="259">
        <f t="shared" si="9"/>
        <v>63.2520676</v>
      </c>
      <c r="O44" s="259">
        <f t="shared" si="10"/>
        <v>63.2520676</v>
      </c>
      <c r="P44" s="586">
        <f t="shared" si="3"/>
        <v>0.0003448057465</v>
      </c>
    </row>
    <row r="45">
      <c r="A45" s="253" t="s">
        <v>588</v>
      </c>
      <c r="B45" s="254">
        <v>2593.0</v>
      </c>
      <c r="C45" s="255" t="str">
        <f t="shared" si="4"/>
        <v>SINAPI</v>
      </c>
      <c r="D45" s="256" t="s">
        <v>286</v>
      </c>
      <c r="E45" s="257" t="str">
        <f>IFERROR(IF(D45="SINAPI-S",VLOOKUP(B45,'20-B.SINAPI-S'!A:J,2,0),IF(D45="SINAPI-I",VLOOKUP(B45,'20-A.SINAPI-I'!A:G,2,0),IF(D45="COMPOSIÇÕES",VLOOKUP(B45,'11.COMPOSIÇÕES GERAIS'!B:I,2,0),VLOOKUP(B45,'12.COT.MERCADO'!A:I,2,0)))),"Em Elaboração")</f>
        <v>CONDULETE DE ALUMINIO TIPO LR, PARA ELETRODUTO ROSCAVEL DE 3/4", COM TAMPA CEGA</v>
      </c>
      <c r="F45" s="258" t="str">
        <f>IFERROR(IF(D45="SINAPI-S",VLOOKUP(B45,'20-B.SINAPI-S'!A:J,3,0),IF(D45="SINAPI-I",VLOOKUP(B45,'20-A.SINAPI-I'!A:G,3,0),IF(D45="COMPOSIÇÕES",VLOOKUP(B45,'11.COMPOSIÇÕES GERAIS'!B:I,3,0),VLOOKUP(B45,'12.COT.MERCADO'!A:I,7,0)))),"Em Elaboração")</f>
        <v>UN</v>
      </c>
      <c r="G45" s="254">
        <v>4.0</v>
      </c>
      <c r="H45" s="259">
        <f>IFERROR(IF(D45="SINAPI-S",VLOOKUP(B45,'20-B.SINAPI-S'!A:J,5,0),IF(D45="SINAPI-I",VLOOKUP(B45,'20-A.SINAPI-I'!A:G,6,0),IF(D45="COMPOSIÇÕES",VLOOKUP(B45,'11.COMPOSIÇÕES GERAIS'!B:I,7,0),0))),"Em Elaboração")</f>
        <v>0</v>
      </c>
      <c r="I45" s="259">
        <f>IFERROR(IF(D45="SINAPI-S",VLOOKUP(B45,'20-B.SINAPI-S'!A:J,6,0),IF(D45="SINAPI-I",VLOOKUP(B45,'20-A.SINAPI-I'!A:G,7,0),IF(D45="COMPOSIÇÕES",VLOOKUP(B45,'11.COMPOSIÇÕES GERAIS'!B:I,8,0),VLOOKUP(B45,'12.COT.MERCADO'!A:I,8,0)))),"Em Elaboração")</f>
        <v>13.95</v>
      </c>
      <c r="J45" s="259">
        <f t="shared" si="5"/>
        <v>0</v>
      </c>
      <c r="K45" s="259">
        <f t="shared" si="6"/>
        <v>16.34011746</v>
      </c>
      <c r="L45" s="259">
        <f t="shared" si="7"/>
        <v>16.34011746</v>
      </c>
      <c r="M45" s="259">
        <f t="shared" si="8"/>
        <v>0</v>
      </c>
      <c r="N45" s="259">
        <f t="shared" si="9"/>
        <v>65.36046985</v>
      </c>
      <c r="O45" s="259">
        <f t="shared" si="10"/>
        <v>65.36046985</v>
      </c>
      <c r="P45" s="586">
        <f t="shared" si="3"/>
        <v>0.0003562992714</v>
      </c>
    </row>
    <row r="46">
      <c r="A46" s="253" t="s">
        <v>589</v>
      </c>
      <c r="B46" s="254">
        <v>2483.0</v>
      </c>
      <c r="C46" s="255" t="str">
        <f t="shared" si="4"/>
        <v>SINAPI</v>
      </c>
      <c r="D46" s="256" t="s">
        <v>286</v>
      </c>
      <c r="E46" s="257" t="str">
        <f>IFERROR(IF(D46="SINAPI-S",VLOOKUP(B46,'20-B.SINAPI-S'!A:J,2,0),IF(D46="SINAPI-I",VLOOKUP(B46,'20-A.SINAPI-I'!A:G,2,0),IF(D46="COMPOSIÇÕES",VLOOKUP(B46,'11.COMPOSIÇÕES GERAIS'!B:I,2,0),VLOOKUP(B46,'12.COT.MERCADO'!A:I,2,0)))),"Em Elaboração")</f>
        <v>CONECTOR RETO DE ALUMINIO PARA ELETRODUTO DE 1", PARA ADAPTAR ENTRADA DE ELETRODUTO METALICO FLEXIVEL EM QUADROS</v>
      </c>
      <c r="F46" s="258" t="str">
        <f>IFERROR(IF(D46="SINAPI-S",VLOOKUP(B46,'20-B.SINAPI-S'!A:J,3,0),IF(D46="SINAPI-I",VLOOKUP(B46,'20-A.SINAPI-I'!A:G,3,0),IF(D46="COMPOSIÇÕES",VLOOKUP(B46,'11.COMPOSIÇÕES GERAIS'!B:I,3,0),VLOOKUP(B46,'12.COT.MERCADO'!A:I,7,0)))),"Em Elaboração")</f>
        <v>UN</v>
      </c>
      <c r="G46" s="254">
        <v>4.0</v>
      </c>
      <c r="H46" s="259">
        <f>IFERROR(IF(D46="SINAPI-S",VLOOKUP(B46,'20-B.SINAPI-S'!A:J,5,0),IF(D46="SINAPI-I",VLOOKUP(B46,'20-A.SINAPI-I'!A:G,6,0),IF(D46="COMPOSIÇÕES",VLOOKUP(B46,'11.COMPOSIÇÕES GERAIS'!B:I,7,0),0))),"Em Elaboração")</f>
        <v>0</v>
      </c>
      <c r="I46" s="259">
        <f>IFERROR(IF(D46="SINAPI-S",VLOOKUP(B46,'20-B.SINAPI-S'!A:J,6,0),IF(D46="SINAPI-I",VLOOKUP(B46,'20-A.SINAPI-I'!A:G,7,0),IF(D46="COMPOSIÇÕES",VLOOKUP(B46,'11.COMPOSIÇÕES GERAIS'!B:I,8,0),VLOOKUP(B46,'12.COT.MERCADO'!A:I,8,0)))),"Em Elaboração")</f>
        <v>4.83</v>
      </c>
      <c r="J46" s="259">
        <f t="shared" si="5"/>
        <v>0</v>
      </c>
      <c r="K46" s="259">
        <f t="shared" si="6"/>
        <v>5.657546046</v>
      </c>
      <c r="L46" s="259">
        <f t="shared" si="7"/>
        <v>5.657546046</v>
      </c>
      <c r="M46" s="259">
        <f t="shared" si="8"/>
        <v>0</v>
      </c>
      <c r="N46" s="259">
        <f t="shared" si="9"/>
        <v>22.63018418</v>
      </c>
      <c r="O46" s="259">
        <f t="shared" si="10"/>
        <v>22.63018418</v>
      </c>
      <c r="P46" s="586">
        <f t="shared" si="3"/>
        <v>0.0001233638338</v>
      </c>
    </row>
    <row r="47">
      <c r="A47" s="253" t="s">
        <v>590</v>
      </c>
      <c r="B47" s="254">
        <v>2487.0</v>
      </c>
      <c r="C47" s="255" t="str">
        <f t="shared" si="4"/>
        <v>SINAPI</v>
      </c>
      <c r="D47" s="256" t="s">
        <v>286</v>
      </c>
      <c r="E47" s="257" t="str">
        <f>IFERROR(IF(D47="SINAPI-S",VLOOKUP(B47,'20-B.SINAPI-S'!A:J,2,0),IF(D47="SINAPI-I",VLOOKUP(B47,'20-A.SINAPI-I'!A:G,2,0),IF(D47="COMPOSIÇÕES",VLOOKUP(B47,'11.COMPOSIÇÕES GERAIS'!B:I,2,0),VLOOKUP(B47,'12.COT.MERCADO'!A:I,2,0)))),"Em Elaboração")</f>
        <v>CONECTOR RETO DE ALUMINIO PARA ELETRODUTO DE 1/2", PARA ADAPTAR ENTRADA DE ELETRODUTO METALICO FLEXIVEL EM QUADROS</v>
      </c>
      <c r="F47" s="258" t="str">
        <f>IFERROR(IF(D47="SINAPI-S",VLOOKUP(B47,'20-B.SINAPI-S'!A:J,3,0),IF(D47="SINAPI-I",VLOOKUP(B47,'20-A.SINAPI-I'!A:G,3,0),IF(D47="COMPOSIÇÕES",VLOOKUP(B47,'11.COMPOSIÇÕES GERAIS'!B:I,3,0),VLOOKUP(B47,'12.COT.MERCADO'!A:I,7,0)))),"Em Elaboração")</f>
        <v>UN</v>
      </c>
      <c r="G47" s="254">
        <v>16.0</v>
      </c>
      <c r="H47" s="259">
        <f>IFERROR(IF(D47="SINAPI-S",VLOOKUP(B47,'20-B.SINAPI-S'!A:J,5,0),IF(D47="SINAPI-I",VLOOKUP(B47,'20-A.SINAPI-I'!A:G,6,0),IF(D47="COMPOSIÇÕES",VLOOKUP(B47,'11.COMPOSIÇÕES GERAIS'!B:I,7,0),0))),"Em Elaboração")</f>
        <v>0</v>
      </c>
      <c r="I47" s="259">
        <f>IFERROR(IF(D47="SINAPI-S",VLOOKUP(B47,'20-B.SINAPI-S'!A:J,6,0),IF(D47="SINAPI-I",VLOOKUP(B47,'20-A.SINAPI-I'!A:G,7,0),IF(D47="COMPOSIÇÕES",VLOOKUP(B47,'11.COMPOSIÇÕES GERAIS'!B:I,8,0),VLOOKUP(B47,'12.COT.MERCADO'!A:I,8,0)))),"Em Elaboração")</f>
        <v>2.31</v>
      </c>
      <c r="J47" s="259">
        <f t="shared" si="5"/>
        <v>0</v>
      </c>
      <c r="K47" s="259">
        <f t="shared" si="6"/>
        <v>2.705782892</v>
      </c>
      <c r="L47" s="259">
        <f t="shared" si="7"/>
        <v>2.705782892</v>
      </c>
      <c r="M47" s="259">
        <f t="shared" si="8"/>
        <v>0</v>
      </c>
      <c r="N47" s="259">
        <f t="shared" si="9"/>
        <v>43.29252627</v>
      </c>
      <c r="O47" s="259">
        <f t="shared" si="10"/>
        <v>43.29252627</v>
      </c>
      <c r="P47" s="586">
        <f t="shared" si="3"/>
        <v>0.0002360003776</v>
      </c>
    </row>
    <row r="48">
      <c r="A48" s="253" t="s">
        <v>591</v>
      </c>
      <c r="B48" s="254">
        <v>2488.0</v>
      </c>
      <c r="C48" s="255" t="str">
        <f t="shared" si="4"/>
        <v>SINAPI</v>
      </c>
      <c r="D48" s="256" t="s">
        <v>286</v>
      </c>
      <c r="E48" s="257" t="str">
        <f>IFERROR(IF(D48="SINAPI-S",VLOOKUP(B48,'20-B.SINAPI-S'!A:J,2,0),IF(D48="SINAPI-I",VLOOKUP(B48,'20-A.SINAPI-I'!A:G,2,0),IF(D48="COMPOSIÇÕES",VLOOKUP(B48,'11.COMPOSIÇÕES GERAIS'!B:I,2,0),VLOOKUP(B48,'12.COT.MERCADO'!A:I,2,0)))),"Em Elaboração")</f>
        <v>CONECTOR RETO DE ALUMINIO PARA ELETRODUTO DE 3/4", PARA ADAPTAR ENTRADA DE ELETRODUTO METALICO FLEXIVEL EM QUADROS</v>
      </c>
      <c r="F48" s="258" t="str">
        <f>IFERROR(IF(D48="SINAPI-S",VLOOKUP(B48,'20-B.SINAPI-S'!A:J,3,0),IF(D48="SINAPI-I",VLOOKUP(B48,'20-A.SINAPI-I'!A:G,3,0),IF(D48="COMPOSIÇÕES",VLOOKUP(B48,'11.COMPOSIÇÕES GERAIS'!B:I,3,0),VLOOKUP(B48,'12.COT.MERCADO'!A:I,7,0)))),"Em Elaboração")</f>
        <v>UN</v>
      </c>
      <c r="G48" s="254">
        <v>16.0</v>
      </c>
      <c r="H48" s="259">
        <f>IFERROR(IF(D48="SINAPI-S",VLOOKUP(B48,'20-B.SINAPI-S'!A:J,5,0),IF(D48="SINAPI-I",VLOOKUP(B48,'20-A.SINAPI-I'!A:G,6,0),IF(D48="COMPOSIÇÕES",VLOOKUP(B48,'11.COMPOSIÇÕES GERAIS'!B:I,7,0),0))),"Em Elaboração")</f>
        <v>0</v>
      </c>
      <c r="I48" s="259">
        <f>IFERROR(IF(D48="SINAPI-S",VLOOKUP(B48,'20-B.SINAPI-S'!A:J,6,0),IF(D48="SINAPI-I",VLOOKUP(B48,'20-A.SINAPI-I'!A:G,7,0),IF(D48="COMPOSIÇÕES",VLOOKUP(B48,'11.COMPOSIÇÕES GERAIS'!B:I,8,0),VLOOKUP(B48,'12.COT.MERCADO'!A:I,8,0)))),"Em Elaboração")</f>
        <v>2.71</v>
      </c>
      <c r="J48" s="259">
        <f t="shared" si="5"/>
        <v>0</v>
      </c>
      <c r="K48" s="259">
        <f t="shared" si="6"/>
        <v>3.174316726</v>
      </c>
      <c r="L48" s="259">
        <f t="shared" si="7"/>
        <v>3.174316726</v>
      </c>
      <c r="M48" s="259">
        <f t="shared" si="8"/>
        <v>0</v>
      </c>
      <c r="N48" s="259">
        <f t="shared" si="9"/>
        <v>50.78906761</v>
      </c>
      <c r="O48" s="259">
        <f t="shared" si="10"/>
        <v>50.78906761</v>
      </c>
      <c r="P48" s="586">
        <f t="shared" si="3"/>
        <v>0.0002768662439</v>
      </c>
    </row>
    <row r="49">
      <c r="A49" s="253" t="s">
        <v>592</v>
      </c>
      <c r="B49" s="254">
        <v>11856.0</v>
      </c>
      <c r="C49" s="255" t="str">
        <f t="shared" si="4"/>
        <v>SINAPI</v>
      </c>
      <c r="D49" s="256" t="s">
        <v>286</v>
      </c>
      <c r="E49" s="257" t="str">
        <f>IFERROR(IF(D49="SINAPI-S",VLOOKUP(B49,'20-B.SINAPI-S'!A:J,2,0),IF(D49="SINAPI-I",VLOOKUP(B49,'20-A.SINAPI-I'!A:G,2,0),IF(D49="COMPOSIÇÕES",VLOOKUP(B49,'11.COMPOSIÇÕES GERAIS'!B:I,2,0),VLOOKUP(B49,'12.COT.MERCADO'!A:I,2,0)))),"Em Elaboração")</f>
        <v>CONECTOR METALICO TIPO PARAFUSO FENDIDO (SPLIT BOLT), PARA CABOS ATE 10 MM2</v>
      </c>
      <c r="F49" s="258" t="str">
        <f>IFERROR(IF(D49="SINAPI-S",VLOOKUP(B49,'20-B.SINAPI-S'!A:J,3,0),IF(D49="SINAPI-I",VLOOKUP(B49,'20-A.SINAPI-I'!A:G,3,0),IF(D49="COMPOSIÇÕES",VLOOKUP(B49,'11.COMPOSIÇÕES GERAIS'!B:I,3,0),VLOOKUP(B49,'12.COT.MERCADO'!A:I,7,0)))),"Em Elaboração")</f>
        <v>UN</v>
      </c>
      <c r="G49" s="254">
        <v>12.0</v>
      </c>
      <c r="H49" s="259">
        <f>IFERROR(IF(D49="SINAPI-S",VLOOKUP(B49,'20-B.SINAPI-S'!A:J,5,0),IF(D49="SINAPI-I",VLOOKUP(B49,'20-A.SINAPI-I'!A:G,6,0),IF(D49="COMPOSIÇÕES",VLOOKUP(B49,'11.COMPOSIÇÕES GERAIS'!B:I,7,0),0))),"Em Elaboração")</f>
        <v>0</v>
      </c>
      <c r="I49" s="259">
        <f>IFERROR(IF(D49="SINAPI-S",VLOOKUP(B49,'20-B.SINAPI-S'!A:J,6,0),IF(D49="SINAPI-I",VLOOKUP(B49,'20-A.SINAPI-I'!A:G,7,0),IF(D49="COMPOSIÇÕES",VLOOKUP(B49,'11.COMPOSIÇÕES GERAIS'!B:I,8,0),VLOOKUP(B49,'12.COT.MERCADO'!A:I,8,0)))),"Em Elaboração")</f>
        <v>6.51</v>
      </c>
      <c r="J49" s="259">
        <f t="shared" si="5"/>
        <v>0</v>
      </c>
      <c r="K49" s="259">
        <f t="shared" si="6"/>
        <v>7.625388149</v>
      </c>
      <c r="L49" s="259">
        <f t="shared" si="7"/>
        <v>7.625388149</v>
      </c>
      <c r="M49" s="259">
        <f t="shared" si="8"/>
        <v>0</v>
      </c>
      <c r="N49" s="259">
        <f t="shared" si="9"/>
        <v>91.50465779</v>
      </c>
      <c r="O49" s="259">
        <f t="shared" si="10"/>
        <v>91.50465779</v>
      </c>
      <c r="P49" s="586">
        <f t="shared" si="3"/>
        <v>0.00049881898</v>
      </c>
    </row>
    <row r="50">
      <c r="A50" s="253" t="s">
        <v>593</v>
      </c>
      <c r="B50" s="254">
        <v>1539.0</v>
      </c>
      <c r="C50" s="255" t="str">
        <f t="shared" si="4"/>
        <v>SINAPI</v>
      </c>
      <c r="D50" s="256" t="s">
        <v>286</v>
      </c>
      <c r="E50" s="257" t="str">
        <f>IFERROR(IF(D50="SINAPI-S",VLOOKUP(B50,'20-B.SINAPI-S'!A:J,2,0),IF(D50="SINAPI-I",VLOOKUP(B50,'20-A.SINAPI-I'!A:G,2,0),IF(D50="COMPOSIÇÕES",VLOOKUP(B50,'11.COMPOSIÇÕES GERAIS'!B:I,2,0),VLOOKUP(B50,'12.COT.MERCADO'!A:I,2,0)))),"Em Elaboração")</f>
        <v>CONECTOR METALICO TIPO PARAFUSO FENDIDO (SPLIT BOLT), PARA CABOS ATE 16 MM2</v>
      </c>
      <c r="F50" s="258" t="str">
        <f>IFERROR(IF(D50="SINAPI-S",VLOOKUP(B50,'20-B.SINAPI-S'!A:J,3,0),IF(D50="SINAPI-I",VLOOKUP(B50,'20-A.SINAPI-I'!A:G,3,0),IF(D50="COMPOSIÇÕES",VLOOKUP(B50,'11.COMPOSIÇÕES GERAIS'!B:I,3,0),VLOOKUP(B50,'12.COT.MERCADO'!A:I,7,0)))),"Em Elaboração")</f>
        <v>UN</v>
      </c>
      <c r="G50" s="254">
        <v>12.0</v>
      </c>
      <c r="H50" s="259">
        <f>IFERROR(IF(D50="SINAPI-S",VLOOKUP(B50,'20-B.SINAPI-S'!A:J,5,0),IF(D50="SINAPI-I",VLOOKUP(B50,'20-A.SINAPI-I'!A:G,6,0),IF(D50="COMPOSIÇÕES",VLOOKUP(B50,'11.COMPOSIÇÕES GERAIS'!B:I,7,0),0))),"Em Elaboração")</f>
        <v>0</v>
      </c>
      <c r="I50" s="259">
        <f>IFERROR(IF(D50="SINAPI-S",VLOOKUP(B50,'20-B.SINAPI-S'!A:J,6,0),IF(D50="SINAPI-I",VLOOKUP(B50,'20-A.SINAPI-I'!A:G,7,0),IF(D50="COMPOSIÇÕES",VLOOKUP(B50,'11.COMPOSIÇÕES GERAIS'!B:I,8,0),VLOOKUP(B50,'12.COT.MERCADO'!A:I,8,0)))),"Em Elaboração")</f>
        <v>7.65</v>
      </c>
      <c r="J50" s="259">
        <f t="shared" si="5"/>
        <v>0</v>
      </c>
      <c r="K50" s="259">
        <f t="shared" si="6"/>
        <v>8.960709576</v>
      </c>
      <c r="L50" s="259">
        <f t="shared" si="7"/>
        <v>8.960709576</v>
      </c>
      <c r="M50" s="259">
        <f t="shared" si="8"/>
        <v>0</v>
      </c>
      <c r="N50" s="259">
        <f t="shared" si="9"/>
        <v>107.5285149</v>
      </c>
      <c r="O50" s="259">
        <f t="shared" si="10"/>
        <v>107.5285149</v>
      </c>
      <c r="P50" s="586">
        <f t="shared" si="3"/>
        <v>0.0005861697691</v>
      </c>
    </row>
    <row r="51">
      <c r="A51" s="253" t="s">
        <v>594</v>
      </c>
      <c r="B51" s="254">
        <v>1614.0</v>
      </c>
      <c r="C51" s="255" t="str">
        <f t="shared" si="4"/>
        <v>SINAPI</v>
      </c>
      <c r="D51" s="256" t="s">
        <v>286</v>
      </c>
      <c r="E51" s="257" t="str">
        <f>IFERROR(IF(D51="SINAPI-S",VLOOKUP(B51,'20-B.SINAPI-S'!A:J,2,0),IF(D51="SINAPI-I",VLOOKUP(B51,'20-A.SINAPI-I'!A:G,2,0),IF(D51="COMPOSIÇÕES",VLOOKUP(B51,'11.COMPOSIÇÕES GERAIS'!B:I,2,0),VLOOKUP(B51,'12.COT.MERCADO'!A:I,2,0)))),"Em Elaboração")</f>
        <v>CONTATOR TRIPOLAR, CORRENTE DE 32 A, TENSAO NOMINAL DE *500* V, CATEGORIA AC-2 E AC-3</v>
      </c>
      <c r="F51" s="258" t="str">
        <f>IFERROR(IF(D51="SINAPI-S",VLOOKUP(B51,'20-B.SINAPI-S'!A:J,3,0),IF(D51="SINAPI-I",VLOOKUP(B51,'20-A.SINAPI-I'!A:G,3,0),IF(D51="COMPOSIÇÕES",VLOOKUP(B51,'11.COMPOSIÇÕES GERAIS'!B:I,3,0),VLOOKUP(B51,'12.COT.MERCADO'!A:I,7,0)))),"Em Elaboração")</f>
        <v>UN</v>
      </c>
      <c r="G51" s="254">
        <v>1.0</v>
      </c>
      <c r="H51" s="259">
        <f>IFERROR(IF(D51="SINAPI-S",VLOOKUP(B51,'20-B.SINAPI-S'!A:J,5,0),IF(D51="SINAPI-I",VLOOKUP(B51,'20-A.SINAPI-I'!A:G,6,0),IF(D51="COMPOSIÇÕES",VLOOKUP(B51,'11.COMPOSIÇÕES GERAIS'!B:I,7,0),0))),"Em Elaboração")</f>
        <v>0</v>
      </c>
      <c r="I51" s="259">
        <f>IFERROR(IF(D51="SINAPI-S",VLOOKUP(B51,'20-B.SINAPI-S'!A:J,6,0),IF(D51="SINAPI-I",VLOOKUP(B51,'20-A.SINAPI-I'!A:G,7,0),IF(D51="COMPOSIÇÕES",VLOOKUP(B51,'11.COMPOSIÇÕES GERAIS'!B:I,8,0),VLOOKUP(B51,'12.COT.MERCADO'!A:I,8,0)))),"Em Elaboração")</f>
        <v>227.6</v>
      </c>
      <c r="J51" s="259">
        <f t="shared" si="5"/>
        <v>0</v>
      </c>
      <c r="K51" s="259">
        <f t="shared" si="6"/>
        <v>266.5957516</v>
      </c>
      <c r="L51" s="259">
        <f t="shared" si="7"/>
        <v>266.5957516</v>
      </c>
      <c r="M51" s="259">
        <f t="shared" si="8"/>
        <v>0</v>
      </c>
      <c r="N51" s="259">
        <f t="shared" si="9"/>
        <v>266.5957516</v>
      </c>
      <c r="O51" s="259">
        <f t="shared" si="10"/>
        <v>266.5957516</v>
      </c>
      <c r="P51" s="586">
        <f t="shared" si="3"/>
        <v>0.001453292369</v>
      </c>
    </row>
    <row r="52">
      <c r="A52" s="253" t="s">
        <v>595</v>
      </c>
      <c r="B52" s="254">
        <v>1627.0</v>
      </c>
      <c r="C52" s="255" t="str">
        <f t="shared" si="4"/>
        <v>SINAPI</v>
      </c>
      <c r="D52" s="256" t="s">
        <v>286</v>
      </c>
      <c r="E52" s="257" t="str">
        <f>IFERROR(IF(D52="SINAPI-S",VLOOKUP(B52,'20-B.SINAPI-S'!A:J,2,0),IF(D52="SINAPI-I",VLOOKUP(B52,'20-A.SINAPI-I'!A:G,2,0),IF(D52="COMPOSIÇÕES",VLOOKUP(B52,'11.COMPOSIÇÕES GERAIS'!B:I,2,0),VLOOKUP(B52,'12.COT.MERCADO'!A:I,2,0)))),"Em Elaboração")</f>
        <v>CONTATOR TRIPOLAR, CORRENTE DE *65* A, TENSAO NOMINAL DE *500* V, CATEGORIA AC-2 E AC-3</v>
      </c>
      <c r="F52" s="258" t="str">
        <f>IFERROR(IF(D52="SINAPI-S",VLOOKUP(B52,'20-B.SINAPI-S'!A:J,3,0),IF(D52="SINAPI-I",VLOOKUP(B52,'20-A.SINAPI-I'!A:G,3,0),IF(D52="COMPOSIÇÕES",VLOOKUP(B52,'11.COMPOSIÇÕES GERAIS'!B:I,3,0),VLOOKUP(B52,'12.COT.MERCADO'!A:I,7,0)))),"Em Elaboração")</f>
        <v>UN</v>
      </c>
      <c r="G52" s="254">
        <v>1.0</v>
      </c>
      <c r="H52" s="259">
        <f>IFERROR(IF(D52="SINAPI-S",VLOOKUP(B52,'20-B.SINAPI-S'!A:J,5,0),IF(D52="SINAPI-I",VLOOKUP(B52,'20-A.SINAPI-I'!A:G,6,0),IF(D52="COMPOSIÇÕES",VLOOKUP(B52,'11.COMPOSIÇÕES GERAIS'!B:I,7,0),0))),"Em Elaboração")</f>
        <v>0</v>
      </c>
      <c r="I52" s="259">
        <f>IFERROR(IF(D52="SINAPI-S",VLOOKUP(B52,'20-B.SINAPI-S'!A:J,6,0),IF(D52="SINAPI-I",VLOOKUP(B52,'20-A.SINAPI-I'!A:G,7,0),IF(D52="COMPOSIÇÕES",VLOOKUP(B52,'11.COMPOSIÇÕES GERAIS'!B:I,8,0),VLOOKUP(B52,'12.COT.MERCADO'!A:I,8,0)))),"Em Elaboração")</f>
        <v>527.85</v>
      </c>
      <c r="J52" s="259">
        <f t="shared" si="5"/>
        <v>0</v>
      </c>
      <c r="K52" s="259">
        <f t="shared" si="6"/>
        <v>618.2889608</v>
      </c>
      <c r="L52" s="259">
        <f t="shared" si="7"/>
        <v>618.2889608</v>
      </c>
      <c r="M52" s="259">
        <f t="shared" si="8"/>
        <v>0</v>
      </c>
      <c r="N52" s="259">
        <f t="shared" si="9"/>
        <v>618.2889608</v>
      </c>
      <c r="O52" s="259">
        <f t="shared" si="10"/>
        <v>618.2889608</v>
      </c>
      <c r="P52" s="586">
        <f t="shared" si="3"/>
        <v>0.003370476172</v>
      </c>
    </row>
    <row r="53">
      <c r="A53" s="253" t="s">
        <v>596</v>
      </c>
      <c r="B53" s="254">
        <v>1612.0</v>
      </c>
      <c r="C53" s="255" t="str">
        <f t="shared" si="4"/>
        <v>SINAPI</v>
      </c>
      <c r="D53" s="256" t="s">
        <v>286</v>
      </c>
      <c r="E53" s="257" t="str">
        <f>IFERROR(IF(D53="SINAPI-S",VLOOKUP(B53,'20-B.SINAPI-S'!A:J,2,0),IF(D53="SINAPI-I",VLOOKUP(B53,'20-A.SINAPI-I'!A:G,2,0),IF(D53="COMPOSIÇÕES",VLOOKUP(B53,'11.COMPOSIÇÕES GERAIS'!B:I,2,0),VLOOKUP(B53,'12.COT.MERCADO'!A:I,2,0)))),"Em Elaboração")</f>
        <v>CONTATOR TRIPOLAR, CORRENTE DE 9 A, TENSAO NOMINAL DE *500* V, CATEGORIA AC-2 E AC-3</v>
      </c>
      <c r="F53" s="258" t="str">
        <f>IFERROR(IF(D53="SINAPI-S",VLOOKUP(B53,'20-B.SINAPI-S'!A:J,3,0),IF(D53="SINAPI-I",VLOOKUP(B53,'20-A.SINAPI-I'!A:G,3,0),IF(D53="COMPOSIÇÕES",VLOOKUP(B53,'11.COMPOSIÇÕES GERAIS'!B:I,3,0),VLOOKUP(B53,'12.COT.MERCADO'!A:I,7,0)))),"Em Elaboração")</f>
        <v>UN</v>
      </c>
      <c r="G53" s="254">
        <v>1.0</v>
      </c>
      <c r="H53" s="259">
        <f>IFERROR(IF(D53="SINAPI-S",VLOOKUP(B53,'20-B.SINAPI-S'!A:J,5,0),IF(D53="SINAPI-I",VLOOKUP(B53,'20-A.SINAPI-I'!A:G,6,0),IF(D53="COMPOSIÇÕES",VLOOKUP(B53,'11.COMPOSIÇÕES GERAIS'!B:I,7,0),0))),"Em Elaboração")</f>
        <v>0</v>
      </c>
      <c r="I53" s="259">
        <f>IFERROR(IF(D53="SINAPI-S",VLOOKUP(B53,'20-B.SINAPI-S'!A:J,6,0),IF(D53="SINAPI-I",VLOOKUP(B53,'20-A.SINAPI-I'!A:G,7,0),IF(D53="COMPOSIÇÕES",VLOOKUP(B53,'11.COMPOSIÇÕES GERAIS'!B:I,8,0),VLOOKUP(B53,'12.COT.MERCADO'!A:I,8,0)))),"Em Elaboração")</f>
        <v>100.68</v>
      </c>
      <c r="J53" s="259">
        <f t="shared" si="5"/>
        <v>0</v>
      </c>
      <c r="K53" s="259">
        <f t="shared" si="6"/>
        <v>117.929966</v>
      </c>
      <c r="L53" s="259">
        <f t="shared" si="7"/>
        <v>117.929966</v>
      </c>
      <c r="M53" s="259">
        <f t="shared" si="8"/>
        <v>0</v>
      </c>
      <c r="N53" s="259">
        <f t="shared" si="9"/>
        <v>117.929966</v>
      </c>
      <c r="O53" s="259">
        <f t="shared" si="10"/>
        <v>117.929966</v>
      </c>
      <c r="P53" s="586">
        <f t="shared" si="3"/>
        <v>0.0006428711585</v>
      </c>
    </row>
    <row r="54">
      <c r="A54" s="253" t="s">
        <v>597</v>
      </c>
      <c r="B54" s="254">
        <v>2623.0</v>
      </c>
      <c r="C54" s="255" t="str">
        <f t="shared" si="4"/>
        <v>SINAPI</v>
      </c>
      <c r="D54" s="256" t="s">
        <v>286</v>
      </c>
      <c r="E54" s="257" t="str">
        <f>IFERROR(IF(D54="SINAPI-S",VLOOKUP(B54,'20-B.SINAPI-S'!A:J,2,0),IF(D54="SINAPI-I",VLOOKUP(B54,'20-A.SINAPI-I'!A:G,2,0),IF(D54="COMPOSIÇÕES",VLOOKUP(B54,'11.COMPOSIÇÕES GERAIS'!B:I,2,0),VLOOKUP(B54,'12.COT.MERCADO'!A:I,2,0)))),"Em Elaboração")</f>
        <v>CURVA 135 GRAUS, PARA ELETRODUTO, EM ACO GALVANIZADO ELETROLITICO, DIAMETRO DE 20 MM (3/4")</v>
      </c>
      <c r="F54" s="258" t="str">
        <f>IFERROR(IF(D54="SINAPI-S",VLOOKUP(B54,'20-B.SINAPI-S'!A:J,3,0),IF(D54="SINAPI-I",VLOOKUP(B54,'20-A.SINAPI-I'!A:G,3,0),IF(D54="COMPOSIÇÕES",VLOOKUP(B54,'11.COMPOSIÇÕES GERAIS'!B:I,3,0),VLOOKUP(B54,'12.COT.MERCADO'!A:I,7,0)))),"Em Elaboração")</f>
        <v>UN</v>
      </c>
      <c r="G54" s="254">
        <v>12.0</v>
      </c>
      <c r="H54" s="259">
        <f>IFERROR(IF(D54="SINAPI-S",VLOOKUP(B54,'20-B.SINAPI-S'!A:J,5,0),IF(D54="SINAPI-I",VLOOKUP(B54,'20-A.SINAPI-I'!A:G,6,0),IF(D54="COMPOSIÇÕES",VLOOKUP(B54,'11.COMPOSIÇÕES GERAIS'!B:I,7,0),0))),"Em Elaboração")</f>
        <v>0</v>
      </c>
      <c r="I54" s="259">
        <f>IFERROR(IF(D54="SINAPI-S",VLOOKUP(B54,'20-B.SINAPI-S'!A:J,6,0),IF(D54="SINAPI-I",VLOOKUP(B54,'20-A.SINAPI-I'!A:G,7,0),IF(D54="COMPOSIÇÕES",VLOOKUP(B54,'11.COMPOSIÇÕES GERAIS'!B:I,8,0),VLOOKUP(B54,'12.COT.MERCADO'!A:I,8,0)))),"Em Elaboração")</f>
        <v>7.72</v>
      </c>
      <c r="J54" s="259">
        <f t="shared" si="5"/>
        <v>0</v>
      </c>
      <c r="K54" s="259">
        <f t="shared" si="6"/>
        <v>9.042702997</v>
      </c>
      <c r="L54" s="259">
        <f t="shared" si="7"/>
        <v>9.042702997</v>
      </c>
      <c r="M54" s="259">
        <f t="shared" si="8"/>
        <v>0</v>
      </c>
      <c r="N54" s="259">
        <f t="shared" si="9"/>
        <v>108.512436</v>
      </c>
      <c r="O54" s="259">
        <f t="shared" si="10"/>
        <v>108.512436</v>
      </c>
      <c r="P54" s="586">
        <f t="shared" si="3"/>
        <v>0.000591533414</v>
      </c>
    </row>
    <row r="55">
      <c r="A55" s="253" t="s">
        <v>598</v>
      </c>
      <c r="B55" s="254">
        <v>39271.0</v>
      </c>
      <c r="C55" s="255" t="str">
        <f t="shared" si="4"/>
        <v>SINAPI</v>
      </c>
      <c r="D55" s="256" t="s">
        <v>286</v>
      </c>
      <c r="E55" s="257" t="str">
        <f>IFERROR(IF(D55="SINAPI-S",VLOOKUP(B55,'20-B.SINAPI-S'!A:J,2,0),IF(D55="SINAPI-I",VLOOKUP(B55,'20-A.SINAPI-I'!A:G,2,0),IF(D55="COMPOSIÇÕES",VLOOKUP(B55,'11.COMPOSIÇÕES GERAIS'!B:I,2,0),VLOOKUP(B55,'12.COT.MERCADO'!A:I,2,0)))),"Em Elaboração")</f>
        <v>CURVA 90 GRAUS, CURTA, DE PVC RIGIDO ROSCAVEL, DE 1/2", PARA ELETRODUTO</v>
      </c>
      <c r="F55" s="258" t="str">
        <f>IFERROR(IF(D55="SINAPI-S",VLOOKUP(B55,'20-B.SINAPI-S'!A:J,3,0),IF(D55="SINAPI-I",VLOOKUP(B55,'20-A.SINAPI-I'!A:G,3,0),IF(D55="COMPOSIÇÕES",VLOOKUP(B55,'11.COMPOSIÇÕES GERAIS'!B:I,3,0),VLOOKUP(B55,'12.COT.MERCADO'!A:I,7,0)))),"Em Elaboração")</f>
        <v>UN</v>
      </c>
      <c r="G55" s="254">
        <v>12.0</v>
      </c>
      <c r="H55" s="259">
        <f>IFERROR(IF(D55="SINAPI-S",VLOOKUP(B55,'20-B.SINAPI-S'!A:J,5,0),IF(D55="SINAPI-I",VLOOKUP(B55,'20-A.SINAPI-I'!A:G,6,0),IF(D55="COMPOSIÇÕES",VLOOKUP(B55,'11.COMPOSIÇÕES GERAIS'!B:I,7,0),0))),"Em Elaboração")</f>
        <v>0</v>
      </c>
      <c r="I55" s="259">
        <f>IFERROR(IF(D55="SINAPI-S",VLOOKUP(B55,'20-B.SINAPI-S'!A:J,6,0),IF(D55="SINAPI-I",VLOOKUP(B55,'20-A.SINAPI-I'!A:G,7,0),IF(D55="COMPOSIÇÕES",VLOOKUP(B55,'11.COMPOSIÇÕES GERAIS'!B:I,8,0),VLOOKUP(B55,'12.COT.MERCADO'!A:I,8,0)))),"Em Elaboração")</f>
        <v>2.95</v>
      </c>
      <c r="J55" s="259">
        <f t="shared" si="5"/>
        <v>0</v>
      </c>
      <c r="K55" s="259">
        <f t="shared" si="6"/>
        <v>3.455437026</v>
      </c>
      <c r="L55" s="259">
        <f t="shared" si="7"/>
        <v>3.455437026</v>
      </c>
      <c r="M55" s="259">
        <f t="shared" si="8"/>
        <v>0</v>
      </c>
      <c r="N55" s="259">
        <f t="shared" si="9"/>
        <v>41.46524431</v>
      </c>
      <c r="O55" s="259">
        <f t="shared" si="10"/>
        <v>41.46524431</v>
      </c>
      <c r="P55" s="586">
        <f t="shared" si="3"/>
        <v>0.0002260393227</v>
      </c>
    </row>
    <row r="56">
      <c r="A56" s="253" t="s">
        <v>599</v>
      </c>
      <c r="B56" s="254">
        <v>1879.0</v>
      </c>
      <c r="C56" s="255" t="str">
        <f t="shared" si="4"/>
        <v>SINAPI</v>
      </c>
      <c r="D56" s="256" t="s">
        <v>286</v>
      </c>
      <c r="E56" s="257" t="str">
        <f>IFERROR(IF(D56="SINAPI-S",VLOOKUP(B56,'20-B.SINAPI-S'!A:J,2,0),IF(D56="SINAPI-I",VLOOKUP(B56,'20-A.SINAPI-I'!A:G,2,0),IF(D56="COMPOSIÇÕES",VLOOKUP(B56,'11.COMPOSIÇÕES GERAIS'!B:I,2,0),VLOOKUP(B56,'12.COT.MERCADO'!A:I,2,0)))),"Em Elaboração")</f>
        <v>CURVA 90 GRAUS, LONGA, DE PVC RIGIDO ROSCAVEL, DE 3/4", PARA ELETRODUTO</v>
      </c>
      <c r="F56" s="258" t="str">
        <f>IFERROR(IF(D56="SINAPI-S",VLOOKUP(B56,'20-B.SINAPI-S'!A:J,3,0),IF(D56="SINAPI-I",VLOOKUP(B56,'20-A.SINAPI-I'!A:G,3,0),IF(D56="COMPOSIÇÕES",VLOOKUP(B56,'11.COMPOSIÇÕES GERAIS'!B:I,3,0),VLOOKUP(B56,'12.COT.MERCADO'!A:I,7,0)))),"Em Elaboração")</f>
        <v>UN</v>
      </c>
      <c r="G56" s="254">
        <v>12.0</v>
      </c>
      <c r="H56" s="259">
        <f>IFERROR(IF(D56="SINAPI-S",VLOOKUP(B56,'20-B.SINAPI-S'!A:J,5,0),IF(D56="SINAPI-I",VLOOKUP(B56,'20-A.SINAPI-I'!A:G,6,0),IF(D56="COMPOSIÇÕES",VLOOKUP(B56,'11.COMPOSIÇÕES GERAIS'!B:I,7,0),0))),"Em Elaboração")</f>
        <v>0</v>
      </c>
      <c r="I56" s="259">
        <f>IFERROR(IF(D56="SINAPI-S",VLOOKUP(B56,'20-B.SINAPI-S'!A:J,6,0),IF(D56="SINAPI-I",VLOOKUP(B56,'20-A.SINAPI-I'!A:G,7,0),IF(D56="COMPOSIÇÕES",VLOOKUP(B56,'11.COMPOSIÇÕES GERAIS'!B:I,8,0),VLOOKUP(B56,'12.COT.MERCADO'!A:I,8,0)))),"Em Elaboração")</f>
        <v>3.87</v>
      </c>
      <c r="J56" s="259">
        <f t="shared" si="5"/>
        <v>0</v>
      </c>
      <c r="K56" s="259">
        <f t="shared" si="6"/>
        <v>4.533064844</v>
      </c>
      <c r="L56" s="259">
        <f t="shared" si="7"/>
        <v>4.533064844</v>
      </c>
      <c r="M56" s="259">
        <f t="shared" si="8"/>
        <v>0</v>
      </c>
      <c r="N56" s="259">
        <f t="shared" si="9"/>
        <v>54.39677813</v>
      </c>
      <c r="O56" s="259">
        <f t="shared" si="10"/>
        <v>54.39677813</v>
      </c>
      <c r="P56" s="586">
        <f t="shared" si="3"/>
        <v>0.000296532942</v>
      </c>
    </row>
    <row r="57">
      <c r="A57" s="253" t="s">
        <v>600</v>
      </c>
      <c r="B57" s="254">
        <v>1884.0</v>
      </c>
      <c r="C57" s="255" t="str">
        <f t="shared" si="4"/>
        <v>SINAPI</v>
      </c>
      <c r="D57" s="256" t="s">
        <v>286</v>
      </c>
      <c r="E57" s="257" t="str">
        <f>IFERROR(IF(D57="SINAPI-S",VLOOKUP(B57,'20-B.SINAPI-S'!A:J,2,0),IF(D57="SINAPI-I",VLOOKUP(B57,'20-A.SINAPI-I'!A:G,2,0),IF(D57="COMPOSIÇÕES",VLOOKUP(B57,'11.COMPOSIÇÕES GERAIS'!B:I,2,0),VLOOKUP(B57,'12.COT.MERCADO'!A:I,2,0)))),"Em Elaboração")</f>
        <v>CURVA 90 GRAUS, LONGA, DE PVC RIGIDO ROSCAVEL, DE 1", PARA ELETRODUTO</v>
      </c>
      <c r="F57" s="258" t="str">
        <f>IFERROR(IF(D57="SINAPI-S",VLOOKUP(B57,'20-B.SINAPI-S'!A:J,3,0),IF(D57="SINAPI-I",VLOOKUP(B57,'20-A.SINAPI-I'!A:G,3,0),IF(D57="COMPOSIÇÕES",VLOOKUP(B57,'11.COMPOSIÇÕES GERAIS'!B:I,3,0),VLOOKUP(B57,'12.COT.MERCADO'!A:I,7,0)))),"Em Elaboração")</f>
        <v>UN</v>
      </c>
      <c r="G57" s="254">
        <v>12.0</v>
      </c>
      <c r="H57" s="259">
        <f>IFERROR(IF(D57="SINAPI-S",VLOOKUP(B57,'20-B.SINAPI-S'!A:J,5,0),IF(D57="SINAPI-I",VLOOKUP(B57,'20-A.SINAPI-I'!A:G,6,0),IF(D57="COMPOSIÇÕES",VLOOKUP(B57,'11.COMPOSIÇÕES GERAIS'!B:I,7,0),0))),"Em Elaboração")</f>
        <v>0</v>
      </c>
      <c r="I57" s="259">
        <f>IFERROR(IF(D57="SINAPI-S",VLOOKUP(B57,'20-B.SINAPI-S'!A:J,6,0),IF(D57="SINAPI-I",VLOOKUP(B57,'20-A.SINAPI-I'!A:G,7,0),IF(D57="COMPOSIÇÕES",VLOOKUP(B57,'11.COMPOSIÇÕES GERAIS'!B:I,8,0),VLOOKUP(B57,'12.COT.MERCADO'!A:I,8,0)))),"Em Elaboração")</f>
        <v>5.86</v>
      </c>
      <c r="J57" s="259">
        <f t="shared" si="5"/>
        <v>0</v>
      </c>
      <c r="K57" s="259">
        <f t="shared" si="6"/>
        <v>6.864020669</v>
      </c>
      <c r="L57" s="259">
        <f t="shared" si="7"/>
        <v>6.864020669</v>
      </c>
      <c r="M57" s="259">
        <f t="shared" si="8"/>
        <v>0</v>
      </c>
      <c r="N57" s="259">
        <f t="shared" si="9"/>
        <v>82.36824803</v>
      </c>
      <c r="O57" s="259">
        <f t="shared" si="10"/>
        <v>82.36824803</v>
      </c>
      <c r="P57" s="586">
        <f t="shared" si="3"/>
        <v>0.0004490137055</v>
      </c>
    </row>
    <row r="58">
      <c r="A58" s="253" t="s">
        <v>601</v>
      </c>
      <c r="B58" s="254">
        <v>1875.0</v>
      </c>
      <c r="C58" s="255" t="str">
        <f t="shared" si="4"/>
        <v>SINAPI</v>
      </c>
      <c r="D58" s="256" t="s">
        <v>286</v>
      </c>
      <c r="E58" s="257" t="str">
        <f>IFERROR(IF(D58="SINAPI-S",VLOOKUP(B58,'20-B.SINAPI-S'!A:J,2,0),IF(D58="SINAPI-I",VLOOKUP(B58,'20-A.SINAPI-I'!A:G,2,0),IF(D58="COMPOSIÇÕES",VLOOKUP(B58,'11.COMPOSIÇÕES GERAIS'!B:I,2,0),VLOOKUP(B58,'12.COT.MERCADO'!A:I,2,0)))),"Em Elaboração")</f>
        <v>CURVA 90 GRAUS, LONGA, DE PVC RIGIDO ROSCAVEL, DE 1 1/2", PARA ELETRODUTO</v>
      </c>
      <c r="F58" s="258" t="str">
        <f>IFERROR(IF(D58="SINAPI-S",VLOOKUP(B58,'20-B.SINAPI-S'!A:J,3,0),IF(D58="SINAPI-I",VLOOKUP(B58,'20-A.SINAPI-I'!A:G,3,0),IF(D58="COMPOSIÇÕES",VLOOKUP(B58,'11.COMPOSIÇÕES GERAIS'!B:I,3,0),VLOOKUP(B58,'12.COT.MERCADO'!A:I,7,0)))),"Em Elaboração")</f>
        <v>UN</v>
      </c>
      <c r="G58" s="254">
        <v>12.0</v>
      </c>
      <c r="H58" s="259">
        <f>IFERROR(IF(D58="SINAPI-S",VLOOKUP(B58,'20-B.SINAPI-S'!A:J,5,0),IF(D58="SINAPI-I",VLOOKUP(B58,'20-A.SINAPI-I'!A:G,6,0),IF(D58="COMPOSIÇÕES",VLOOKUP(B58,'11.COMPOSIÇÕES GERAIS'!B:I,7,0),0))),"Em Elaboração")</f>
        <v>0</v>
      </c>
      <c r="I58" s="259">
        <f>IFERROR(IF(D58="SINAPI-S",VLOOKUP(B58,'20-B.SINAPI-S'!A:J,6,0),IF(D58="SINAPI-I",VLOOKUP(B58,'20-A.SINAPI-I'!A:G,7,0),IF(D58="COMPOSIÇÕES",VLOOKUP(B58,'11.COMPOSIÇÕES GERAIS'!B:I,8,0),VLOOKUP(B58,'12.COT.MERCADO'!A:I,8,0)))),"Em Elaboração")</f>
        <v>8.01</v>
      </c>
      <c r="J58" s="259">
        <f t="shared" si="5"/>
        <v>0</v>
      </c>
      <c r="K58" s="259">
        <f t="shared" si="6"/>
        <v>9.382390027</v>
      </c>
      <c r="L58" s="259">
        <f t="shared" si="7"/>
        <v>9.382390027</v>
      </c>
      <c r="M58" s="259">
        <f t="shared" si="8"/>
        <v>0</v>
      </c>
      <c r="N58" s="259">
        <f t="shared" si="9"/>
        <v>112.5886803</v>
      </c>
      <c r="O58" s="259">
        <f t="shared" si="10"/>
        <v>112.5886803</v>
      </c>
      <c r="P58" s="586">
        <f t="shared" si="3"/>
        <v>0.0006137542288</v>
      </c>
    </row>
    <row r="59">
      <c r="A59" s="253" t="s">
        <v>602</v>
      </c>
      <c r="B59" s="254">
        <v>1874.0</v>
      </c>
      <c r="C59" s="255" t="str">
        <f t="shared" si="4"/>
        <v>SINAPI</v>
      </c>
      <c r="D59" s="256" t="s">
        <v>286</v>
      </c>
      <c r="E59" s="257" t="str">
        <f>IFERROR(IF(D59="SINAPI-S",VLOOKUP(B59,'20-B.SINAPI-S'!A:J,2,0),IF(D59="SINAPI-I",VLOOKUP(B59,'20-A.SINAPI-I'!A:G,2,0),IF(D59="COMPOSIÇÕES",VLOOKUP(B59,'11.COMPOSIÇÕES GERAIS'!B:I,2,0),VLOOKUP(B59,'12.COT.MERCADO'!A:I,2,0)))),"Em Elaboração")</f>
        <v>CURVA 90 GRAUS, LONGA, DE PVC RIGIDO ROSCAVEL, DE 1 1/4", PARA ELETRODUTO</v>
      </c>
      <c r="F59" s="258" t="str">
        <f>IFERROR(IF(D59="SINAPI-S",VLOOKUP(B59,'20-B.SINAPI-S'!A:J,3,0),IF(D59="SINAPI-I",VLOOKUP(B59,'20-A.SINAPI-I'!A:G,3,0),IF(D59="COMPOSIÇÕES",VLOOKUP(B59,'11.COMPOSIÇÕES GERAIS'!B:I,3,0),VLOOKUP(B59,'12.COT.MERCADO'!A:I,7,0)))),"Em Elaboração")</f>
        <v>UN</v>
      </c>
      <c r="G59" s="254">
        <v>12.0</v>
      </c>
      <c r="H59" s="259">
        <f>IFERROR(IF(D59="SINAPI-S",VLOOKUP(B59,'20-B.SINAPI-S'!A:J,5,0),IF(D59="SINAPI-I",VLOOKUP(B59,'20-A.SINAPI-I'!A:G,6,0),IF(D59="COMPOSIÇÕES",VLOOKUP(B59,'11.COMPOSIÇÕES GERAIS'!B:I,7,0),0))),"Em Elaboração")</f>
        <v>0</v>
      </c>
      <c r="I59" s="259">
        <f>IFERROR(IF(D59="SINAPI-S",VLOOKUP(B59,'20-B.SINAPI-S'!A:J,6,0),IF(D59="SINAPI-I",VLOOKUP(B59,'20-A.SINAPI-I'!A:G,7,0),IF(D59="COMPOSIÇÕES",VLOOKUP(B59,'11.COMPOSIÇÕES GERAIS'!B:I,8,0),VLOOKUP(B59,'12.COT.MERCADO'!A:I,8,0)))),"Em Elaboração")</f>
        <v>6.62</v>
      </c>
      <c r="J59" s="259">
        <f t="shared" si="5"/>
        <v>0</v>
      </c>
      <c r="K59" s="259">
        <f t="shared" si="6"/>
        <v>7.754234954</v>
      </c>
      <c r="L59" s="259">
        <f t="shared" si="7"/>
        <v>7.754234954</v>
      </c>
      <c r="M59" s="259">
        <f t="shared" si="8"/>
        <v>0</v>
      </c>
      <c r="N59" s="259">
        <f t="shared" si="9"/>
        <v>93.05081944</v>
      </c>
      <c r="O59" s="259">
        <f t="shared" si="10"/>
        <v>93.05081944</v>
      </c>
      <c r="P59" s="586">
        <f t="shared" si="3"/>
        <v>0.0005072475649</v>
      </c>
    </row>
    <row r="60">
      <c r="A60" s="253" t="s">
        <v>603</v>
      </c>
      <c r="B60" s="254">
        <v>1876.0</v>
      </c>
      <c r="C60" s="255" t="str">
        <f t="shared" si="4"/>
        <v>SINAPI</v>
      </c>
      <c r="D60" s="256" t="s">
        <v>286</v>
      </c>
      <c r="E60" s="257" t="str">
        <f>IFERROR(IF(D60="SINAPI-S",VLOOKUP(B60,'20-B.SINAPI-S'!A:J,2,0),IF(D60="SINAPI-I",VLOOKUP(B60,'20-A.SINAPI-I'!A:G,2,0),IF(D60="COMPOSIÇÕES",VLOOKUP(B60,'11.COMPOSIÇÕES GERAIS'!B:I,2,0),VLOOKUP(B60,'12.COT.MERCADO'!A:I,2,0)))),"Em Elaboração")</f>
        <v>CURVA 90 GRAUS, LONGA, DE PVC RIGIDO ROSCAVEL, DE 2", PARA ELETRODUTO</v>
      </c>
      <c r="F60" s="258" t="str">
        <f>IFERROR(IF(D60="SINAPI-S",VLOOKUP(B60,'20-B.SINAPI-S'!A:J,3,0),IF(D60="SINAPI-I",VLOOKUP(B60,'20-A.SINAPI-I'!A:G,3,0),IF(D60="COMPOSIÇÕES",VLOOKUP(B60,'11.COMPOSIÇÕES GERAIS'!B:I,3,0),VLOOKUP(B60,'12.COT.MERCADO'!A:I,7,0)))),"Em Elaboração")</f>
        <v>UN</v>
      </c>
      <c r="G60" s="254">
        <v>12.0</v>
      </c>
      <c r="H60" s="259">
        <f>IFERROR(IF(D60="SINAPI-S",VLOOKUP(B60,'20-B.SINAPI-S'!A:J,5,0),IF(D60="SINAPI-I",VLOOKUP(B60,'20-A.SINAPI-I'!A:G,6,0),IF(D60="COMPOSIÇÕES",VLOOKUP(B60,'11.COMPOSIÇÕES GERAIS'!B:I,7,0),0))),"Em Elaboração")</f>
        <v>0</v>
      </c>
      <c r="I60" s="259">
        <f>IFERROR(IF(D60="SINAPI-S",VLOOKUP(B60,'20-B.SINAPI-S'!A:J,6,0),IF(D60="SINAPI-I",VLOOKUP(B60,'20-A.SINAPI-I'!A:G,7,0),IF(D60="COMPOSIÇÕES",VLOOKUP(B60,'11.COMPOSIÇÕES GERAIS'!B:I,8,0),VLOOKUP(B60,'12.COT.MERCADO'!A:I,8,0)))),"Em Elaboração")</f>
        <v>13.02</v>
      </c>
      <c r="J60" s="259">
        <f t="shared" si="5"/>
        <v>0</v>
      </c>
      <c r="K60" s="259">
        <f t="shared" si="6"/>
        <v>15.2507763</v>
      </c>
      <c r="L60" s="259">
        <f t="shared" si="7"/>
        <v>15.2507763</v>
      </c>
      <c r="M60" s="259">
        <f t="shared" si="8"/>
        <v>0</v>
      </c>
      <c r="N60" s="259">
        <f t="shared" si="9"/>
        <v>183.0093156</v>
      </c>
      <c r="O60" s="259">
        <f t="shared" si="10"/>
        <v>183.0093156</v>
      </c>
      <c r="P60" s="586">
        <f t="shared" si="3"/>
        <v>0.00099763796</v>
      </c>
    </row>
    <row r="61">
      <c r="A61" s="253" t="s">
        <v>604</v>
      </c>
      <c r="B61" s="254">
        <v>1879.0</v>
      </c>
      <c r="C61" s="255" t="str">
        <f t="shared" si="4"/>
        <v>SINAPI</v>
      </c>
      <c r="D61" s="256" t="s">
        <v>286</v>
      </c>
      <c r="E61" s="257" t="str">
        <f>IFERROR(IF(D61="SINAPI-S",VLOOKUP(B61,'20-B.SINAPI-S'!A:J,2,0),IF(D61="SINAPI-I",VLOOKUP(B61,'20-A.SINAPI-I'!A:G,2,0),IF(D61="COMPOSIÇÕES",VLOOKUP(B61,'11.COMPOSIÇÕES GERAIS'!B:I,2,0),VLOOKUP(B61,'12.COT.MERCADO'!A:I,2,0)))),"Em Elaboração")</f>
        <v>CURVA 90 GRAUS, LONGA, DE PVC RIGIDO ROSCAVEL, DE 3/4", PARA ELETRODUTO</v>
      </c>
      <c r="F61" s="258" t="str">
        <f>IFERROR(IF(D61="SINAPI-S",VLOOKUP(B61,'20-B.SINAPI-S'!A:J,3,0),IF(D61="SINAPI-I",VLOOKUP(B61,'20-A.SINAPI-I'!A:G,3,0),IF(D61="COMPOSIÇÕES",VLOOKUP(B61,'11.COMPOSIÇÕES GERAIS'!B:I,3,0),VLOOKUP(B61,'12.COT.MERCADO'!A:I,7,0)))),"Em Elaboração")</f>
        <v>UN</v>
      </c>
      <c r="G61" s="254">
        <v>12.0</v>
      </c>
      <c r="H61" s="259">
        <f>IFERROR(IF(D61="SINAPI-S",VLOOKUP(B61,'20-B.SINAPI-S'!A:J,5,0),IF(D61="SINAPI-I",VLOOKUP(B61,'20-A.SINAPI-I'!A:G,6,0),IF(D61="COMPOSIÇÕES",VLOOKUP(B61,'11.COMPOSIÇÕES GERAIS'!B:I,7,0),0))),"Em Elaboração")</f>
        <v>0</v>
      </c>
      <c r="I61" s="259">
        <f>IFERROR(IF(D61="SINAPI-S",VLOOKUP(B61,'20-B.SINAPI-S'!A:J,6,0),IF(D61="SINAPI-I",VLOOKUP(B61,'20-A.SINAPI-I'!A:G,7,0),IF(D61="COMPOSIÇÕES",VLOOKUP(B61,'11.COMPOSIÇÕES GERAIS'!B:I,8,0),VLOOKUP(B61,'12.COT.MERCADO'!A:I,8,0)))),"Em Elaboração")</f>
        <v>3.87</v>
      </c>
      <c r="J61" s="259">
        <f t="shared" si="5"/>
        <v>0</v>
      </c>
      <c r="K61" s="259">
        <f t="shared" si="6"/>
        <v>4.533064844</v>
      </c>
      <c r="L61" s="259">
        <f t="shared" si="7"/>
        <v>4.533064844</v>
      </c>
      <c r="M61" s="259">
        <f t="shared" si="8"/>
        <v>0</v>
      </c>
      <c r="N61" s="259">
        <f t="shared" si="9"/>
        <v>54.39677813</v>
      </c>
      <c r="O61" s="259">
        <f t="shared" si="10"/>
        <v>54.39677813</v>
      </c>
      <c r="P61" s="586">
        <f t="shared" si="3"/>
        <v>0.000296532942</v>
      </c>
    </row>
    <row r="62">
      <c r="A62" s="253" t="s">
        <v>605</v>
      </c>
      <c r="B62" s="254">
        <v>34616.0</v>
      </c>
      <c r="C62" s="255" t="str">
        <f t="shared" si="4"/>
        <v>SINAPI</v>
      </c>
      <c r="D62" s="256" t="s">
        <v>286</v>
      </c>
      <c r="E62" s="257" t="str">
        <f>IFERROR(IF(D62="SINAPI-S",VLOOKUP(B62,'20-B.SINAPI-S'!A:J,2,0),IF(D62="SINAPI-I",VLOOKUP(B62,'20-A.SINAPI-I'!A:G,2,0),IF(D62="COMPOSIÇÕES",VLOOKUP(B62,'11.COMPOSIÇÕES GERAIS'!B:I,2,0),VLOOKUP(B62,'12.COT.MERCADO'!A:I,2,0)))),"Em Elaboração")</f>
        <v>DISJUNTOR TIPO DIN/IEC, BIPOLAR DE 6 ATE 32A</v>
      </c>
      <c r="F62" s="258" t="str">
        <f>IFERROR(IF(D62="SINAPI-S",VLOOKUP(B62,'20-B.SINAPI-S'!A:J,3,0),IF(D62="SINAPI-I",VLOOKUP(B62,'20-A.SINAPI-I'!A:G,3,0),IF(D62="COMPOSIÇÕES",VLOOKUP(B62,'11.COMPOSIÇÕES GERAIS'!B:I,3,0),VLOOKUP(B62,'12.COT.MERCADO'!A:I,7,0)))),"Em Elaboração")</f>
        <v>UN</v>
      </c>
      <c r="G62" s="254">
        <v>4.0</v>
      </c>
      <c r="H62" s="259">
        <f>IFERROR(IF(D62="SINAPI-S",VLOOKUP(B62,'20-B.SINAPI-S'!A:J,5,0),IF(D62="SINAPI-I",VLOOKUP(B62,'20-A.SINAPI-I'!A:G,6,0),IF(D62="COMPOSIÇÕES",VLOOKUP(B62,'11.COMPOSIÇÕES GERAIS'!B:I,7,0),0))),"Em Elaboração")</f>
        <v>0</v>
      </c>
      <c r="I62" s="259">
        <f>IFERROR(IF(D62="SINAPI-S",VLOOKUP(B62,'20-B.SINAPI-S'!A:J,6,0),IF(D62="SINAPI-I",VLOOKUP(B62,'20-A.SINAPI-I'!A:G,7,0),IF(D62="COMPOSIÇÕES",VLOOKUP(B62,'11.COMPOSIÇÕES GERAIS'!B:I,8,0),VLOOKUP(B62,'12.COT.MERCADO'!A:I,8,0)))),"Em Elaboração")</f>
        <v>52.67</v>
      </c>
      <c r="J62" s="259">
        <f t="shared" si="5"/>
        <v>0</v>
      </c>
      <c r="K62" s="259">
        <f t="shared" si="6"/>
        <v>61.6941926</v>
      </c>
      <c r="L62" s="259">
        <f t="shared" si="7"/>
        <v>61.6941926</v>
      </c>
      <c r="M62" s="259">
        <f t="shared" si="8"/>
        <v>0</v>
      </c>
      <c r="N62" s="259">
        <f t="shared" si="9"/>
        <v>246.7767704</v>
      </c>
      <c r="O62" s="259">
        <f t="shared" si="10"/>
        <v>246.7767704</v>
      </c>
      <c r="P62" s="586">
        <f t="shared" si="3"/>
        <v>0.001345253235</v>
      </c>
    </row>
    <row r="63">
      <c r="A63" s="253" t="s">
        <v>606</v>
      </c>
      <c r="B63" s="254">
        <v>34709.0</v>
      </c>
      <c r="C63" s="255" t="str">
        <f t="shared" si="4"/>
        <v>SINAPI</v>
      </c>
      <c r="D63" s="256" t="s">
        <v>286</v>
      </c>
      <c r="E63" s="257" t="str">
        <f>IFERROR(IF(D63="SINAPI-S",VLOOKUP(B63,'20-B.SINAPI-S'!A:J,2,0),IF(D63="SINAPI-I",VLOOKUP(B63,'20-A.SINAPI-I'!A:G,2,0),IF(D63="COMPOSIÇÕES",VLOOKUP(B63,'11.COMPOSIÇÕES GERAIS'!B:I,2,0),VLOOKUP(B63,'12.COT.MERCADO'!A:I,2,0)))),"Em Elaboração")</f>
        <v>DISJUNTOR TIPO DIN/IEC, TRIPOLAR DE 10 ATE 50A</v>
      </c>
      <c r="F63" s="258" t="str">
        <f>IFERROR(IF(D63="SINAPI-S",VLOOKUP(B63,'20-B.SINAPI-S'!A:J,3,0),IF(D63="SINAPI-I",VLOOKUP(B63,'20-A.SINAPI-I'!A:G,3,0),IF(D63="COMPOSIÇÕES",VLOOKUP(B63,'11.COMPOSIÇÕES GERAIS'!B:I,3,0),VLOOKUP(B63,'12.COT.MERCADO'!A:I,7,0)))),"Em Elaboração")</f>
        <v>UN</v>
      </c>
      <c r="G63" s="254">
        <v>4.0</v>
      </c>
      <c r="H63" s="259">
        <f>IFERROR(IF(D63="SINAPI-S",VLOOKUP(B63,'20-B.SINAPI-S'!A:J,5,0),IF(D63="SINAPI-I",VLOOKUP(B63,'20-A.SINAPI-I'!A:G,6,0),IF(D63="COMPOSIÇÕES",VLOOKUP(B63,'11.COMPOSIÇÕES GERAIS'!B:I,7,0),0))),"Em Elaboração")</f>
        <v>0</v>
      </c>
      <c r="I63" s="259">
        <f>IFERROR(IF(D63="SINAPI-S",VLOOKUP(B63,'20-B.SINAPI-S'!A:J,6,0),IF(D63="SINAPI-I",VLOOKUP(B63,'20-A.SINAPI-I'!A:G,7,0),IF(D63="COMPOSIÇÕES",VLOOKUP(B63,'11.COMPOSIÇÕES GERAIS'!B:I,8,0),VLOOKUP(B63,'12.COT.MERCADO'!A:I,8,0)))),"Em Elaboração")</f>
        <v>64.53</v>
      </c>
      <c r="J63" s="259">
        <f t="shared" si="5"/>
        <v>0</v>
      </c>
      <c r="K63" s="259">
        <f t="shared" si="6"/>
        <v>75.58622078</v>
      </c>
      <c r="L63" s="259">
        <f t="shared" si="7"/>
        <v>75.58622078</v>
      </c>
      <c r="M63" s="259">
        <f t="shared" si="8"/>
        <v>0</v>
      </c>
      <c r="N63" s="259">
        <f t="shared" si="9"/>
        <v>302.3448831</v>
      </c>
      <c r="O63" s="259">
        <f t="shared" si="10"/>
        <v>302.3448831</v>
      </c>
      <c r="P63" s="586">
        <f t="shared" si="3"/>
        <v>0.001648171468</v>
      </c>
    </row>
    <row r="64">
      <c r="A64" s="253" t="s">
        <v>607</v>
      </c>
      <c r="B64" s="254">
        <v>2370.0</v>
      </c>
      <c r="C64" s="255" t="str">
        <f t="shared" si="4"/>
        <v>SINAPI</v>
      </c>
      <c r="D64" s="256" t="s">
        <v>286</v>
      </c>
      <c r="E64" s="257" t="str">
        <f>IFERROR(IF(D64="SINAPI-S",VLOOKUP(B64,'20-B.SINAPI-S'!A:J,2,0),IF(D64="SINAPI-I",VLOOKUP(B64,'20-A.SINAPI-I'!A:G,2,0),IF(D64="COMPOSIÇÕES",VLOOKUP(B64,'11.COMPOSIÇÕES GERAIS'!B:I,2,0),VLOOKUP(B64,'12.COT.MERCADO'!A:I,2,0)))),"Em Elaboração")</f>
        <v>DISJUNTOR TIPO NEMA, MONOPOLAR 10 ATE 30A, TENSAO MAXIMA DE 240 V</v>
      </c>
      <c r="F64" s="258" t="str">
        <f>IFERROR(IF(D64="SINAPI-S",VLOOKUP(B64,'20-B.SINAPI-S'!A:J,3,0),IF(D64="SINAPI-I",VLOOKUP(B64,'20-A.SINAPI-I'!A:G,3,0),IF(D64="COMPOSIÇÕES",VLOOKUP(B64,'11.COMPOSIÇÕES GERAIS'!B:I,3,0),VLOOKUP(B64,'12.COT.MERCADO'!A:I,7,0)))),"Em Elaboração")</f>
        <v>UN</v>
      </c>
      <c r="G64" s="254">
        <v>4.0</v>
      </c>
      <c r="H64" s="259">
        <f>IFERROR(IF(D64="SINAPI-S",VLOOKUP(B64,'20-B.SINAPI-S'!A:J,5,0),IF(D64="SINAPI-I",VLOOKUP(B64,'20-A.SINAPI-I'!A:G,6,0),IF(D64="COMPOSIÇÕES",VLOOKUP(B64,'11.COMPOSIÇÕES GERAIS'!B:I,7,0),0))),"Em Elaboração")</f>
        <v>0</v>
      </c>
      <c r="I64" s="259">
        <f>IFERROR(IF(D64="SINAPI-S",VLOOKUP(B64,'20-B.SINAPI-S'!A:J,6,0),IF(D64="SINAPI-I",VLOOKUP(B64,'20-A.SINAPI-I'!A:G,7,0),IF(D64="COMPOSIÇÕES",VLOOKUP(B64,'11.COMPOSIÇÕES GERAIS'!B:I,8,0),VLOOKUP(B64,'12.COT.MERCADO'!A:I,8,0)))),"Em Elaboração")</f>
        <v>11.9</v>
      </c>
      <c r="J64" s="259">
        <f t="shared" si="5"/>
        <v>0</v>
      </c>
      <c r="K64" s="259">
        <f t="shared" si="6"/>
        <v>13.93888156</v>
      </c>
      <c r="L64" s="259">
        <f t="shared" si="7"/>
        <v>13.93888156</v>
      </c>
      <c r="M64" s="259">
        <f t="shared" si="8"/>
        <v>0</v>
      </c>
      <c r="N64" s="259">
        <f t="shared" si="9"/>
        <v>55.75552625</v>
      </c>
      <c r="O64" s="259">
        <f t="shared" si="10"/>
        <v>55.75552625</v>
      </c>
      <c r="P64" s="586">
        <f t="shared" si="3"/>
        <v>0.0003039398803</v>
      </c>
    </row>
    <row r="65">
      <c r="A65" s="253" t="s">
        <v>608</v>
      </c>
      <c r="B65" s="254">
        <v>34653.0</v>
      </c>
      <c r="C65" s="255" t="str">
        <f t="shared" si="4"/>
        <v>SINAPI</v>
      </c>
      <c r="D65" s="256" t="s">
        <v>286</v>
      </c>
      <c r="E65" s="257" t="str">
        <f>IFERROR(IF(D65="SINAPI-S",VLOOKUP(B65,'20-B.SINAPI-S'!A:J,2,0),IF(D65="SINAPI-I",VLOOKUP(B65,'20-A.SINAPI-I'!A:G,2,0),IF(D65="COMPOSIÇÕES",VLOOKUP(B65,'11.COMPOSIÇÕES GERAIS'!B:I,2,0),VLOOKUP(B65,'12.COT.MERCADO'!A:I,2,0)))),"Em Elaboração")</f>
        <v>DISJUNTOR TIPO DIN/IEC, MONOPOLAR DE 6  ATE  32A</v>
      </c>
      <c r="F65" s="258" t="str">
        <f>IFERROR(IF(D65="SINAPI-S",VLOOKUP(B65,'20-B.SINAPI-S'!A:J,3,0),IF(D65="SINAPI-I",VLOOKUP(B65,'20-A.SINAPI-I'!A:G,3,0),IF(D65="COMPOSIÇÕES",VLOOKUP(B65,'11.COMPOSIÇÕES GERAIS'!B:I,3,0),VLOOKUP(B65,'12.COT.MERCADO'!A:I,7,0)))),"Em Elaboração")</f>
        <v>UN</v>
      </c>
      <c r="G65" s="254">
        <v>8.0</v>
      </c>
      <c r="H65" s="259">
        <f>IFERROR(IF(D65="SINAPI-S",VLOOKUP(B65,'20-B.SINAPI-S'!A:J,5,0),IF(D65="SINAPI-I",VLOOKUP(B65,'20-A.SINAPI-I'!A:G,6,0),IF(D65="COMPOSIÇÕES",VLOOKUP(B65,'11.COMPOSIÇÕES GERAIS'!B:I,7,0),0))),"Em Elaboração")</f>
        <v>0</v>
      </c>
      <c r="I65" s="259">
        <f>IFERROR(IF(D65="SINAPI-S",VLOOKUP(B65,'20-B.SINAPI-S'!A:J,6,0),IF(D65="SINAPI-I",VLOOKUP(B65,'20-A.SINAPI-I'!A:G,7,0),IF(D65="COMPOSIÇÕES",VLOOKUP(B65,'11.COMPOSIÇÕES GERAIS'!B:I,8,0),VLOOKUP(B65,'12.COT.MERCADO'!A:I,8,0)))),"Em Elaboração")</f>
        <v>9.19</v>
      </c>
      <c r="J65" s="259">
        <f t="shared" si="5"/>
        <v>0</v>
      </c>
      <c r="K65" s="259">
        <f t="shared" si="6"/>
        <v>10.76456484</v>
      </c>
      <c r="L65" s="259">
        <f t="shared" si="7"/>
        <v>10.76456484</v>
      </c>
      <c r="M65" s="259">
        <f t="shared" si="8"/>
        <v>0</v>
      </c>
      <c r="N65" s="259">
        <f t="shared" si="9"/>
        <v>86.1165187</v>
      </c>
      <c r="O65" s="259">
        <f t="shared" si="10"/>
        <v>86.1165187</v>
      </c>
      <c r="P65" s="586">
        <f t="shared" si="3"/>
        <v>0.0004694466386</v>
      </c>
    </row>
    <row r="66">
      <c r="A66" s="253" t="s">
        <v>609</v>
      </c>
      <c r="B66" s="254">
        <v>2370.0</v>
      </c>
      <c r="C66" s="255" t="str">
        <f t="shared" si="4"/>
        <v>SINAPI</v>
      </c>
      <c r="D66" s="256" t="s">
        <v>286</v>
      </c>
      <c r="E66" s="257" t="str">
        <f>IFERROR(IF(D66="SINAPI-S",VLOOKUP(B66,'20-B.SINAPI-S'!A:J,2,0),IF(D66="SINAPI-I",VLOOKUP(B66,'20-A.SINAPI-I'!A:G,2,0),IF(D66="COMPOSIÇÕES",VLOOKUP(B66,'11.COMPOSIÇÕES GERAIS'!B:I,2,0),VLOOKUP(B66,'12.COT.MERCADO'!A:I,2,0)))),"Em Elaboração")</f>
        <v>DISJUNTOR TIPO NEMA, MONOPOLAR 10 ATE 30A, TENSAO MAXIMA DE 240 V</v>
      </c>
      <c r="F66" s="258" t="str">
        <f>IFERROR(IF(D66="SINAPI-S",VLOOKUP(B66,'20-B.SINAPI-S'!A:J,3,0),IF(D66="SINAPI-I",VLOOKUP(B66,'20-A.SINAPI-I'!A:G,3,0),IF(D66="COMPOSIÇÕES",VLOOKUP(B66,'11.COMPOSIÇÕES GERAIS'!B:I,3,0),VLOOKUP(B66,'12.COT.MERCADO'!A:I,7,0)))),"Em Elaboração")</f>
        <v>UN</v>
      </c>
      <c r="G66" s="254">
        <v>4.0</v>
      </c>
      <c r="H66" s="259">
        <f>IFERROR(IF(D66="SINAPI-S",VLOOKUP(B66,'20-B.SINAPI-S'!A:J,5,0),IF(D66="SINAPI-I",VLOOKUP(B66,'20-A.SINAPI-I'!A:G,6,0),IF(D66="COMPOSIÇÕES",VLOOKUP(B66,'11.COMPOSIÇÕES GERAIS'!B:I,7,0),0))),"Em Elaboração")</f>
        <v>0</v>
      </c>
      <c r="I66" s="259">
        <f>IFERROR(IF(D66="SINAPI-S",VLOOKUP(B66,'20-B.SINAPI-S'!A:J,6,0),IF(D66="SINAPI-I",VLOOKUP(B66,'20-A.SINAPI-I'!A:G,7,0),IF(D66="COMPOSIÇÕES",VLOOKUP(B66,'11.COMPOSIÇÕES GERAIS'!B:I,8,0),VLOOKUP(B66,'12.COT.MERCADO'!A:I,8,0)))),"Em Elaboração")</f>
        <v>11.9</v>
      </c>
      <c r="J66" s="259">
        <f t="shared" si="5"/>
        <v>0</v>
      </c>
      <c r="K66" s="259">
        <f t="shared" si="6"/>
        <v>13.93888156</v>
      </c>
      <c r="L66" s="259">
        <f t="shared" si="7"/>
        <v>13.93888156</v>
      </c>
      <c r="M66" s="259">
        <f t="shared" si="8"/>
        <v>0</v>
      </c>
      <c r="N66" s="259">
        <f t="shared" si="9"/>
        <v>55.75552625</v>
      </c>
      <c r="O66" s="259">
        <f t="shared" si="10"/>
        <v>55.75552625</v>
      </c>
      <c r="P66" s="586">
        <f t="shared" si="3"/>
        <v>0.0003039398803</v>
      </c>
    </row>
    <row r="67">
      <c r="A67" s="253" t="s">
        <v>610</v>
      </c>
      <c r="B67" s="254">
        <v>2370.0</v>
      </c>
      <c r="C67" s="255" t="str">
        <f t="shared" si="4"/>
        <v>SINAPI</v>
      </c>
      <c r="D67" s="256" t="s">
        <v>286</v>
      </c>
      <c r="E67" s="257" t="str">
        <f>IFERROR(IF(D67="SINAPI-S",VLOOKUP(B67,'20-B.SINAPI-S'!A:J,2,0),IF(D67="SINAPI-I",VLOOKUP(B67,'20-A.SINAPI-I'!A:G,2,0),IF(D67="COMPOSIÇÕES",VLOOKUP(B67,'11.COMPOSIÇÕES GERAIS'!B:I,2,0),VLOOKUP(B67,'12.COT.MERCADO'!A:I,2,0)))),"Em Elaboração")</f>
        <v>DISJUNTOR TIPO NEMA, MONOPOLAR 10 ATE 30A, TENSAO MAXIMA DE 240 V</v>
      </c>
      <c r="F67" s="258" t="str">
        <f>IFERROR(IF(D67="SINAPI-S",VLOOKUP(B67,'20-B.SINAPI-S'!A:J,3,0),IF(D67="SINAPI-I",VLOOKUP(B67,'20-A.SINAPI-I'!A:G,3,0),IF(D67="COMPOSIÇÕES",VLOOKUP(B67,'11.COMPOSIÇÕES GERAIS'!B:I,3,0),VLOOKUP(B67,'12.COT.MERCADO'!A:I,7,0)))),"Em Elaboração")</f>
        <v>UN</v>
      </c>
      <c r="G67" s="254">
        <v>4.0</v>
      </c>
      <c r="H67" s="259">
        <f>IFERROR(IF(D67="SINAPI-S",VLOOKUP(B67,'20-B.SINAPI-S'!A:J,5,0),IF(D67="SINAPI-I",VLOOKUP(B67,'20-A.SINAPI-I'!A:G,6,0),IF(D67="COMPOSIÇÕES",VLOOKUP(B67,'11.COMPOSIÇÕES GERAIS'!B:I,7,0),0))),"Em Elaboração")</f>
        <v>0</v>
      </c>
      <c r="I67" s="259">
        <f>IFERROR(IF(D67="SINAPI-S",VLOOKUP(B67,'20-B.SINAPI-S'!A:J,6,0),IF(D67="SINAPI-I",VLOOKUP(B67,'20-A.SINAPI-I'!A:G,7,0),IF(D67="COMPOSIÇÕES",VLOOKUP(B67,'11.COMPOSIÇÕES GERAIS'!B:I,8,0),VLOOKUP(B67,'12.COT.MERCADO'!A:I,8,0)))),"Em Elaboração")</f>
        <v>11.9</v>
      </c>
      <c r="J67" s="259">
        <f t="shared" si="5"/>
        <v>0</v>
      </c>
      <c r="K67" s="259">
        <f t="shared" si="6"/>
        <v>13.93888156</v>
      </c>
      <c r="L67" s="259">
        <f t="shared" si="7"/>
        <v>13.93888156</v>
      </c>
      <c r="M67" s="259">
        <f t="shared" si="8"/>
        <v>0</v>
      </c>
      <c r="N67" s="259">
        <f t="shared" si="9"/>
        <v>55.75552625</v>
      </c>
      <c r="O67" s="259">
        <f t="shared" si="10"/>
        <v>55.75552625</v>
      </c>
      <c r="P67" s="586">
        <f t="shared" si="3"/>
        <v>0.0003039398803</v>
      </c>
    </row>
    <row r="68">
      <c r="A68" s="253" t="s">
        <v>611</v>
      </c>
      <c r="B68" s="254">
        <v>2373.0</v>
      </c>
      <c r="C68" s="255" t="str">
        <f t="shared" si="4"/>
        <v>SINAPI</v>
      </c>
      <c r="D68" s="256" t="s">
        <v>286</v>
      </c>
      <c r="E68" s="257" t="str">
        <f>IFERROR(IF(D68="SINAPI-S",VLOOKUP(B68,'20-B.SINAPI-S'!A:J,2,0),IF(D68="SINAPI-I",VLOOKUP(B68,'20-A.SINAPI-I'!A:G,2,0),IF(D68="COMPOSIÇÕES",VLOOKUP(B68,'11.COMPOSIÇÕES GERAIS'!B:I,2,0),VLOOKUP(B68,'12.COT.MERCADO'!A:I,2,0)))),"Em Elaboração")</f>
        <v>DISJUNTOR TIPO NEMA, TRIPOLAR 60 ATE 100 A, TENSAO MAXIMA DE 415 V</v>
      </c>
      <c r="F68" s="258" t="str">
        <f>IFERROR(IF(D68="SINAPI-S",VLOOKUP(B68,'20-B.SINAPI-S'!A:J,3,0),IF(D68="SINAPI-I",VLOOKUP(B68,'20-A.SINAPI-I'!A:G,3,0),IF(D68="COMPOSIÇÕES",VLOOKUP(B68,'11.COMPOSIÇÕES GERAIS'!B:I,3,0),VLOOKUP(B68,'12.COT.MERCADO'!A:I,7,0)))),"Em Elaboração")</f>
        <v>UN</v>
      </c>
      <c r="G68" s="254">
        <v>2.0</v>
      </c>
      <c r="H68" s="259">
        <f>IFERROR(IF(D68="SINAPI-S",VLOOKUP(B68,'20-B.SINAPI-S'!A:J,5,0),IF(D68="SINAPI-I",VLOOKUP(B68,'20-A.SINAPI-I'!A:G,6,0),IF(D68="COMPOSIÇÕES",VLOOKUP(B68,'11.COMPOSIÇÕES GERAIS'!B:I,7,0),0))),"Em Elaboração")</f>
        <v>0</v>
      </c>
      <c r="I68" s="259">
        <f>IFERROR(IF(D68="SINAPI-S",VLOOKUP(B68,'20-B.SINAPI-S'!A:J,6,0),IF(D68="SINAPI-I",VLOOKUP(B68,'20-A.SINAPI-I'!A:G,7,0),IF(D68="COMPOSIÇÕES",VLOOKUP(B68,'11.COMPOSIÇÕES GERAIS'!B:I,8,0),VLOOKUP(B68,'12.COT.MERCADO'!A:I,8,0)))),"Em Elaboração")</f>
        <v>112.55</v>
      </c>
      <c r="J68" s="259">
        <f t="shared" si="5"/>
        <v>0</v>
      </c>
      <c r="K68" s="259">
        <f t="shared" si="6"/>
        <v>131.8337076</v>
      </c>
      <c r="L68" s="259">
        <f t="shared" si="7"/>
        <v>131.8337076</v>
      </c>
      <c r="M68" s="259">
        <f t="shared" si="8"/>
        <v>0</v>
      </c>
      <c r="N68" s="259">
        <f t="shared" si="9"/>
        <v>263.6674151</v>
      </c>
      <c r="O68" s="259">
        <f t="shared" si="10"/>
        <v>263.6674151</v>
      </c>
      <c r="P68" s="586">
        <f t="shared" si="3"/>
        <v>0.00143732914</v>
      </c>
    </row>
    <row r="69">
      <c r="A69" s="253" t="s">
        <v>612</v>
      </c>
      <c r="B69" s="254">
        <v>2393.0</v>
      </c>
      <c r="C69" s="255" t="str">
        <f t="shared" si="4"/>
        <v>SINAPI</v>
      </c>
      <c r="D69" s="256" t="s">
        <v>286</v>
      </c>
      <c r="E69" s="257" t="str">
        <f>IFERROR(IF(D69="SINAPI-S",VLOOKUP(B69,'20-B.SINAPI-S'!A:J,2,0),IF(D69="SINAPI-I",VLOOKUP(B69,'20-A.SINAPI-I'!A:G,2,0),IF(D69="COMPOSIÇÕES",VLOOKUP(B69,'11.COMPOSIÇÕES GERAIS'!B:I,2,0),VLOOKUP(B69,'12.COT.MERCADO'!A:I,2,0)))),"Em Elaboração")</f>
        <v>DISJUNTOR TERMOMAGNETICO TRIPOLAR 250 A / 600 V, TIPO FXD</v>
      </c>
      <c r="F69" s="258" t="str">
        <f>IFERROR(IF(D69="SINAPI-S",VLOOKUP(B69,'20-B.SINAPI-S'!A:J,3,0),IF(D69="SINAPI-I",VLOOKUP(B69,'20-A.SINAPI-I'!A:G,3,0),IF(D69="COMPOSIÇÕES",VLOOKUP(B69,'11.COMPOSIÇÕES GERAIS'!B:I,3,0),VLOOKUP(B69,'12.COT.MERCADO'!A:I,7,0)))),"Em Elaboração")</f>
        <v>UN</v>
      </c>
      <c r="G69" s="254">
        <v>1.0</v>
      </c>
      <c r="H69" s="259">
        <f>IFERROR(IF(D69="SINAPI-S",VLOOKUP(B69,'20-B.SINAPI-S'!A:J,5,0),IF(D69="SINAPI-I",VLOOKUP(B69,'20-A.SINAPI-I'!A:G,6,0),IF(D69="COMPOSIÇÕES",VLOOKUP(B69,'11.COMPOSIÇÕES GERAIS'!B:I,7,0),0))),"Em Elaboração")</f>
        <v>0</v>
      </c>
      <c r="I69" s="259">
        <f>IFERROR(IF(D69="SINAPI-S",VLOOKUP(B69,'20-B.SINAPI-S'!A:J,6,0),IF(D69="SINAPI-I",VLOOKUP(B69,'20-A.SINAPI-I'!A:G,7,0),IF(D69="COMPOSIÇÕES",VLOOKUP(B69,'11.COMPOSIÇÕES GERAIS'!B:I,8,0),VLOOKUP(B69,'12.COT.MERCADO'!A:I,8,0)))),"Em Elaboração")</f>
        <v>938.43</v>
      </c>
      <c r="J69" s="259">
        <f t="shared" si="5"/>
        <v>0</v>
      </c>
      <c r="K69" s="259">
        <f t="shared" si="6"/>
        <v>1099.215515</v>
      </c>
      <c r="L69" s="259">
        <f t="shared" si="7"/>
        <v>1099.215515</v>
      </c>
      <c r="M69" s="259">
        <f t="shared" si="8"/>
        <v>0</v>
      </c>
      <c r="N69" s="259">
        <f t="shared" si="9"/>
        <v>1099.215515</v>
      </c>
      <c r="O69" s="259">
        <f t="shared" si="10"/>
        <v>1099.215515</v>
      </c>
      <c r="P69" s="586">
        <f t="shared" si="3"/>
        <v>0.005992149198</v>
      </c>
    </row>
    <row r="70">
      <c r="A70" s="253" t="s">
        <v>613</v>
      </c>
      <c r="B70" s="254">
        <v>34623.0</v>
      </c>
      <c r="C70" s="255" t="str">
        <f t="shared" si="4"/>
        <v>SINAPI</v>
      </c>
      <c r="D70" s="256" t="s">
        <v>286</v>
      </c>
      <c r="E70" s="257" t="str">
        <f>IFERROR(IF(D70="SINAPI-S",VLOOKUP(B70,'20-B.SINAPI-S'!A:J,2,0),IF(D70="SINAPI-I",VLOOKUP(B70,'20-A.SINAPI-I'!A:G,2,0),IF(D70="COMPOSIÇÕES",VLOOKUP(B70,'11.COMPOSIÇÕES GERAIS'!B:I,2,0),VLOOKUP(B70,'12.COT.MERCADO'!A:I,2,0)))),"Em Elaboração")</f>
        <v>DISJUNTOR TIPO DIN/IEC, BIPOLAR 40 ATE 50A</v>
      </c>
      <c r="F70" s="258" t="str">
        <f>IFERROR(IF(D70="SINAPI-S",VLOOKUP(B70,'20-B.SINAPI-S'!A:J,3,0),IF(D70="SINAPI-I",VLOOKUP(B70,'20-A.SINAPI-I'!A:G,3,0),IF(D70="COMPOSIÇÕES",VLOOKUP(B70,'11.COMPOSIÇÕES GERAIS'!B:I,3,0),VLOOKUP(B70,'12.COT.MERCADO'!A:I,7,0)))),"Em Elaboração")</f>
        <v>UN</v>
      </c>
      <c r="G70" s="254">
        <v>4.0</v>
      </c>
      <c r="H70" s="259">
        <f>IFERROR(IF(D70="SINAPI-S",VLOOKUP(B70,'20-B.SINAPI-S'!A:J,5,0),IF(D70="SINAPI-I",VLOOKUP(B70,'20-A.SINAPI-I'!A:G,6,0),IF(D70="COMPOSIÇÕES",VLOOKUP(B70,'11.COMPOSIÇÕES GERAIS'!B:I,7,0),0))),"Em Elaboração")</f>
        <v>0</v>
      </c>
      <c r="I70" s="259">
        <f>IFERROR(IF(D70="SINAPI-S",VLOOKUP(B70,'20-B.SINAPI-S'!A:J,6,0),IF(D70="SINAPI-I",VLOOKUP(B70,'20-A.SINAPI-I'!A:G,7,0),IF(D70="COMPOSIÇÕES",VLOOKUP(B70,'11.COMPOSIÇÕES GERAIS'!B:I,8,0),VLOOKUP(B70,'12.COT.MERCADO'!A:I,8,0)))),"Em Elaboração")</f>
        <v>51.86</v>
      </c>
      <c r="J70" s="259">
        <f t="shared" si="5"/>
        <v>0</v>
      </c>
      <c r="K70" s="259">
        <f t="shared" si="6"/>
        <v>60.74541159</v>
      </c>
      <c r="L70" s="259">
        <f t="shared" si="7"/>
        <v>60.74541159</v>
      </c>
      <c r="M70" s="259">
        <f t="shared" si="8"/>
        <v>0</v>
      </c>
      <c r="N70" s="259">
        <f t="shared" si="9"/>
        <v>242.9816463</v>
      </c>
      <c r="O70" s="259">
        <f t="shared" si="10"/>
        <v>242.9816463</v>
      </c>
      <c r="P70" s="586">
        <f t="shared" si="3"/>
        <v>0.00132456489</v>
      </c>
    </row>
    <row r="71">
      <c r="A71" s="253" t="s">
        <v>614</v>
      </c>
      <c r="B71" s="254">
        <v>2392.0</v>
      </c>
      <c r="C71" s="255" t="str">
        <f t="shared" si="4"/>
        <v>SINAPI</v>
      </c>
      <c r="D71" s="256" t="s">
        <v>286</v>
      </c>
      <c r="E71" s="257" t="str">
        <f>IFERROR(IF(D71="SINAPI-S",VLOOKUP(B71,'20-B.SINAPI-S'!A:J,2,0),IF(D71="SINAPI-I",VLOOKUP(B71,'20-A.SINAPI-I'!A:G,2,0),IF(D71="COMPOSIÇÕES",VLOOKUP(B71,'11.COMPOSIÇÕES GERAIS'!B:I,2,0),VLOOKUP(B71,'12.COT.MERCADO'!A:I,2,0)))),"Em Elaboração")</f>
        <v>DISJUNTOR TIPO NEMA, TRIPOLAR 10  ATE  50A, TENSAO MAXIMA DE 415 V</v>
      </c>
      <c r="F71" s="258" t="str">
        <f>IFERROR(IF(D71="SINAPI-S",VLOOKUP(B71,'20-B.SINAPI-S'!A:J,3,0),IF(D71="SINAPI-I",VLOOKUP(B71,'20-A.SINAPI-I'!A:G,3,0),IF(D71="COMPOSIÇÕES",VLOOKUP(B71,'11.COMPOSIÇÕES GERAIS'!B:I,3,0),VLOOKUP(B71,'12.COT.MERCADO'!A:I,7,0)))),"Em Elaboração")</f>
        <v>UN</v>
      </c>
      <c r="G71" s="254">
        <v>4.0</v>
      </c>
      <c r="H71" s="259">
        <f>IFERROR(IF(D71="SINAPI-S",VLOOKUP(B71,'20-B.SINAPI-S'!A:J,5,0),IF(D71="SINAPI-I",VLOOKUP(B71,'20-A.SINAPI-I'!A:G,6,0),IF(D71="COMPOSIÇÕES",VLOOKUP(B71,'11.COMPOSIÇÕES GERAIS'!B:I,7,0),0))),"Em Elaboração")</f>
        <v>0</v>
      </c>
      <c r="I71" s="259">
        <f>IFERROR(IF(D71="SINAPI-S",VLOOKUP(B71,'20-B.SINAPI-S'!A:J,6,0),IF(D71="SINAPI-I",VLOOKUP(B71,'20-A.SINAPI-I'!A:G,7,0),IF(D71="COMPOSIÇÕES",VLOOKUP(B71,'11.COMPOSIÇÕES GERAIS'!B:I,8,0),VLOOKUP(B71,'12.COT.MERCADO'!A:I,8,0)))),"Em Elaboração")</f>
        <v>79.88</v>
      </c>
      <c r="J71" s="259">
        <f t="shared" si="5"/>
        <v>0</v>
      </c>
      <c r="K71" s="259">
        <f t="shared" si="6"/>
        <v>93.56620666</v>
      </c>
      <c r="L71" s="259">
        <f t="shared" si="7"/>
        <v>93.56620666</v>
      </c>
      <c r="M71" s="259">
        <f t="shared" si="8"/>
        <v>0</v>
      </c>
      <c r="N71" s="259">
        <f t="shared" si="9"/>
        <v>374.2648266</v>
      </c>
      <c r="O71" s="259">
        <f t="shared" si="10"/>
        <v>374.2648266</v>
      </c>
      <c r="P71" s="586">
        <f t="shared" si="3"/>
        <v>0.002040228373</v>
      </c>
    </row>
    <row r="72">
      <c r="A72" s="253" t="s">
        <v>615</v>
      </c>
      <c r="B72" s="254">
        <v>34709.0</v>
      </c>
      <c r="C72" s="255" t="str">
        <f t="shared" si="4"/>
        <v>SINAPI</v>
      </c>
      <c r="D72" s="256" t="s">
        <v>286</v>
      </c>
      <c r="E72" s="257" t="str">
        <f>IFERROR(IF(D72="SINAPI-S",VLOOKUP(B72,'20-B.SINAPI-S'!A:J,2,0),IF(D72="SINAPI-I",VLOOKUP(B72,'20-A.SINAPI-I'!A:G,2,0),IF(D72="COMPOSIÇÕES",VLOOKUP(B72,'11.COMPOSIÇÕES GERAIS'!B:I,2,0),VLOOKUP(B72,'12.COT.MERCADO'!A:I,2,0)))),"Em Elaboração")</f>
        <v>DISJUNTOR TIPO DIN/IEC, TRIPOLAR DE 10 ATE 50A</v>
      </c>
      <c r="F72" s="258" t="str">
        <f>IFERROR(IF(D72="SINAPI-S",VLOOKUP(B72,'20-B.SINAPI-S'!A:J,3,0),IF(D72="SINAPI-I",VLOOKUP(B72,'20-A.SINAPI-I'!A:G,3,0),IF(D72="COMPOSIÇÕES",VLOOKUP(B72,'11.COMPOSIÇÕES GERAIS'!B:I,3,0),VLOOKUP(B72,'12.COT.MERCADO'!A:I,7,0)))),"Em Elaboração")</f>
        <v>UN</v>
      </c>
      <c r="G72" s="254">
        <v>4.0</v>
      </c>
      <c r="H72" s="259">
        <f>IFERROR(IF(D72="SINAPI-S",VLOOKUP(B72,'20-B.SINAPI-S'!A:J,5,0),IF(D72="SINAPI-I",VLOOKUP(B72,'20-A.SINAPI-I'!A:G,6,0),IF(D72="COMPOSIÇÕES",VLOOKUP(B72,'11.COMPOSIÇÕES GERAIS'!B:I,7,0),0))),"Em Elaboração")</f>
        <v>0</v>
      </c>
      <c r="I72" s="259">
        <f>IFERROR(IF(D72="SINAPI-S",VLOOKUP(B72,'20-B.SINAPI-S'!A:J,6,0),IF(D72="SINAPI-I",VLOOKUP(B72,'20-A.SINAPI-I'!A:G,7,0),IF(D72="COMPOSIÇÕES",VLOOKUP(B72,'11.COMPOSIÇÕES GERAIS'!B:I,8,0),VLOOKUP(B72,'12.COT.MERCADO'!A:I,8,0)))),"Em Elaboração")</f>
        <v>64.53</v>
      </c>
      <c r="J72" s="259">
        <f t="shared" si="5"/>
        <v>0</v>
      </c>
      <c r="K72" s="259">
        <f t="shared" si="6"/>
        <v>75.58622078</v>
      </c>
      <c r="L72" s="259">
        <f t="shared" si="7"/>
        <v>75.58622078</v>
      </c>
      <c r="M72" s="259">
        <f t="shared" si="8"/>
        <v>0</v>
      </c>
      <c r="N72" s="259">
        <f t="shared" si="9"/>
        <v>302.3448831</v>
      </c>
      <c r="O72" s="259">
        <f t="shared" si="10"/>
        <v>302.3448831</v>
      </c>
      <c r="P72" s="586">
        <f t="shared" si="3"/>
        <v>0.001648171468</v>
      </c>
    </row>
    <row r="73">
      <c r="A73" s="253" t="s">
        <v>616</v>
      </c>
      <c r="B73" s="254">
        <v>34709.0</v>
      </c>
      <c r="C73" s="255" t="str">
        <f t="shared" si="4"/>
        <v>SINAPI</v>
      </c>
      <c r="D73" s="256" t="s">
        <v>286</v>
      </c>
      <c r="E73" s="257" t="str">
        <f>IFERROR(IF(D73="SINAPI-S",VLOOKUP(B73,'20-B.SINAPI-S'!A:J,2,0),IF(D73="SINAPI-I",VLOOKUP(B73,'20-A.SINAPI-I'!A:G,2,0),IF(D73="COMPOSIÇÕES",VLOOKUP(B73,'11.COMPOSIÇÕES GERAIS'!B:I,2,0),VLOOKUP(B73,'12.COT.MERCADO'!A:I,2,0)))),"Em Elaboração")</f>
        <v>DISJUNTOR TIPO DIN/IEC, TRIPOLAR DE 10 ATE 50A</v>
      </c>
      <c r="F73" s="258" t="str">
        <f>IFERROR(IF(D73="SINAPI-S",VLOOKUP(B73,'20-B.SINAPI-S'!A:J,3,0),IF(D73="SINAPI-I",VLOOKUP(B73,'20-A.SINAPI-I'!A:G,3,0),IF(D73="COMPOSIÇÕES",VLOOKUP(B73,'11.COMPOSIÇÕES GERAIS'!B:I,3,0),VLOOKUP(B73,'12.COT.MERCADO'!A:I,7,0)))),"Em Elaboração")</f>
        <v>UN</v>
      </c>
      <c r="G73" s="254">
        <v>4.0</v>
      </c>
      <c r="H73" s="259">
        <f>IFERROR(IF(D73="SINAPI-S",VLOOKUP(B73,'20-B.SINAPI-S'!A:J,5,0),IF(D73="SINAPI-I",VLOOKUP(B73,'20-A.SINAPI-I'!A:G,6,0),IF(D73="COMPOSIÇÕES",VLOOKUP(B73,'11.COMPOSIÇÕES GERAIS'!B:I,7,0),0))),"Em Elaboração")</f>
        <v>0</v>
      </c>
      <c r="I73" s="259">
        <f>IFERROR(IF(D73="SINAPI-S",VLOOKUP(B73,'20-B.SINAPI-S'!A:J,6,0),IF(D73="SINAPI-I",VLOOKUP(B73,'20-A.SINAPI-I'!A:G,7,0),IF(D73="COMPOSIÇÕES",VLOOKUP(B73,'11.COMPOSIÇÕES GERAIS'!B:I,8,0),VLOOKUP(B73,'12.COT.MERCADO'!A:I,8,0)))),"Em Elaboração")</f>
        <v>64.53</v>
      </c>
      <c r="J73" s="259">
        <f t="shared" si="5"/>
        <v>0</v>
      </c>
      <c r="K73" s="259">
        <f t="shared" si="6"/>
        <v>75.58622078</v>
      </c>
      <c r="L73" s="259">
        <f t="shared" si="7"/>
        <v>75.58622078</v>
      </c>
      <c r="M73" s="259">
        <f t="shared" si="8"/>
        <v>0</v>
      </c>
      <c r="N73" s="259">
        <f t="shared" si="9"/>
        <v>302.3448831</v>
      </c>
      <c r="O73" s="259">
        <f t="shared" si="10"/>
        <v>302.3448831</v>
      </c>
      <c r="P73" s="586">
        <f t="shared" si="3"/>
        <v>0.001648171468</v>
      </c>
    </row>
    <row r="74">
      <c r="A74" s="253" t="s">
        <v>617</v>
      </c>
      <c r="B74" s="254">
        <v>34714.0</v>
      </c>
      <c r="C74" s="255" t="str">
        <f t="shared" si="4"/>
        <v>SINAPI</v>
      </c>
      <c r="D74" s="256" t="s">
        <v>286</v>
      </c>
      <c r="E74" s="257" t="str">
        <f>IFERROR(IF(D74="SINAPI-S",VLOOKUP(B74,'20-B.SINAPI-S'!A:J,2,0),IF(D74="SINAPI-I",VLOOKUP(B74,'20-A.SINAPI-I'!A:G,2,0),IF(D74="COMPOSIÇÕES",VLOOKUP(B74,'11.COMPOSIÇÕES GERAIS'!B:I,2,0),VLOOKUP(B74,'12.COT.MERCADO'!A:I,2,0)))),"Em Elaboração")</f>
        <v>DISJUNTOR TIPO DIN/IEC, TRIPOLAR 63 A</v>
      </c>
      <c r="F74" s="258" t="str">
        <f>IFERROR(IF(D74="SINAPI-S",VLOOKUP(B74,'20-B.SINAPI-S'!A:J,3,0),IF(D74="SINAPI-I",VLOOKUP(B74,'20-A.SINAPI-I'!A:G,3,0),IF(D74="COMPOSIÇÕES",VLOOKUP(B74,'11.COMPOSIÇÕES GERAIS'!B:I,3,0),VLOOKUP(B74,'12.COT.MERCADO'!A:I,7,0)))),"Em Elaboração")</f>
        <v>UN</v>
      </c>
      <c r="G74" s="254">
        <v>2.0</v>
      </c>
      <c r="H74" s="259">
        <f>IFERROR(IF(D74="SINAPI-S",VLOOKUP(B74,'20-B.SINAPI-S'!A:J,5,0),IF(D74="SINAPI-I",VLOOKUP(B74,'20-A.SINAPI-I'!A:G,6,0),IF(D74="COMPOSIÇÕES",VLOOKUP(B74,'11.COMPOSIÇÕES GERAIS'!B:I,7,0),0))),"Em Elaboração")</f>
        <v>0</v>
      </c>
      <c r="I74" s="259">
        <f>IFERROR(IF(D74="SINAPI-S",VLOOKUP(B74,'20-B.SINAPI-S'!A:J,6,0),IF(D74="SINAPI-I",VLOOKUP(B74,'20-A.SINAPI-I'!A:G,7,0),IF(D74="COMPOSIÇÕES",VLOOKUP(B74,'11.COMPOSIÇÕES GERAIS'!B:I,8,0),VLOOKUP(B74,'12.COT.MERCADO'!A:I,8,0)))),"Em Elaboração")</f>
        <v>77.07</v>
      </c>
      <c r="J74" s="259">
        <f t="shared" si="5"/>
        <v>0</v>
      </c>
      <c r="K74" s="259">
        <f t="shared" si="6"/>
        <v>90.27475648</v>
      </c>
      <c r="L74" s="259">
        <f t="shared" si="7"/>
        <v>90.27475648</v>
      </c>
      <c r="M74" s="259">
        <f t="shared" si="8"/>
        <v>0</v>
      </c>
      <c r="N74" s="259">
        <f t="shared" si="9"/>
        <v>180.549513</v>
      </c>
      <c r="O74" s="259">
        <f t="shared" si="10"/>
        <v>180.549513</v>
      </c>
      <c r="P74" s="586">
        <f t="shared" si="3"/>
        <v>0.0009842288476</v>
      </c>
    </row>
    <row r="75">
      <c r="A75" s="253" t="s">
        <v>618</v>
      </c>
      <c r="B75" s="254">
        <v>39445.0</v>
      </c>
      <c r="C75" s="255" t="str">
        <f t="shared" si="4"/>
        <v>SINAPI</v>
      </c>
      <c r="D75" s="256" t="s">
        <v>286</v>
      </c>
      <c r="E75" s="257" t="str">
        <f>IFERROR(IF(D75="SINAPI-S",VLOOKUP(B75,'20-B.SINAPI-S'!A:J,2,0),IF(D75="SINAPI-I",VLOOKUP(B75,'20-A.SINAPI-I'!A:G,2,0),IF(D75="COMPOSIÇÕES",VLOOKUP(B75,'11.COMPOSIÇÕES GERAIS'!B:I,2,0),VLOOKUP(B75,'12.COT.MERCADO'!A:I,2,0)))),"Em Elaboração")</f>
        <v>DISPOSITIVO DR, 2 POLOS, SENSIBILIDADE DE 30 MA, CORRENTE DE 25 A, TIPO AC</v>
      </c>
      <c r="F75" s="258" t="str">
        <f>IFERROR(IF(D75="SINAPI-S",VLOOKUP(B75,'20-B.SINAPI-S'!A:J,3,0),IF(D75="SINAPI-I",VLOOKUP(B75,'20-A.SINAPI-I'!A:G,3,0),IF(D75="COMPOSIÇÕES",VLOOKUP(B75,'11.COMPOSIÇÕES GERAIS'!B:I,3,0),VLOOKUP(B75,'12.COT.MERCADO'!A:I,7,0)))),"Em Elaboração")</f>
        <v>UN</v>
      </c>
      <c r="G75" s="254">
        <v>4.0</v>
      </c>
      <c r="H75" s="259">
        <f>IFERROR(IF(D75="SINAPI-S",VLOOKUP(B75,'20-B.SINAPI-S'!A:J,5,0),IF(D75="SINAPI-I",VLOOKUP(B75,'20-A.SINAPI-I'!A:G,6,0),IF(D75="COMPOSIÇÕES",VLOOKUP(B75,'11.COMPOSIÇÕES GERAIS'!B:I,7,0),0))),"Em Elaboração")</f>
        <v>0</v>
      </c>
      <c r="I75" s="259">
        <f>IFERROR(IF(D75="SINAPI-S",VLOOKUP(B75,'20-B.SINAPI-S'!A:J,6,0),IF(D75="SINAPI-I",VLOOKUP(B75,'20-A.SINAPI-I'!A:G,7,0),IF(D75="COMPOSIÇÕES",VLOOKUP(B75,'11.COMPOSIÇÕES GERAIS'!B:I,8,0),VLOOKUP(B75,'12.COT.MERCADO'!A:I,8,0)))),"Em Elaboração")</f>
        <v>141.47</v>
      </c>
      <c r="J75" s="259">
        <f t="shared" si="5"/>
        <v>0</v>
      </c>
      <c r="K75" s="259">
        <f t="shared" si="6"/>
        <v>165.7087038</v>
      </c>
      <c r="L75" s="259">
        <f t="shared" si="7"/>
        <v>165.7087038</v>
      </c>
      <c r="M75" s="259">
        <f t="shared" si="8"/>
        <v>0</v>
      </c>
      <c r="N75" s="259">
        <f t="shared" si="9"/>
        <v>662.834815</v>
      </c>
      <c r="O75" s="259">
        <f t="shared" si="10"/>
        <v>662.834815</v>
      </c>
      <c r="P75" s="586">
        <f t="shared" si="3"/>
        <v>0.003613308812</v>
      </c>
    </row>
    <row r="76">
      <c r="A76" s="253" t="s">
        <v>619</v>
      </c>
      <c r="B76" s="254">
        <v>39446.0</v>
      </c>
      <c r="C76" s="255" t="str">
        <f t="shared" si="4"/>
        <v>SINAPI</v>
      </c>
      <c r="D76" s="256" t="s">
        <v>286</v>
      </c>
      <c r="E76" s="257" t="str">
        <f>IFERROR(IF(D76="SINAPI-S",VLOOKUP(B76,'20-B.SINAPI-S'!A:J,2,0),IF(D76="SINAPI-I",VLOOKUP(B76,'20-A.SINAPI-I'!A:G,2,0),IF(D76="COMPOSIÇÕES",VLOOKUP(B76,'11.COMPOSIÇÕES GERAIS'!B:I,2,0),VLOOKUP(B76,'12.COT.MERCADO'!A:I,2,0)))),"Em Elaboração")</f>
        <v>DISPOSITIVO DR, 2 POLOS, SENSIBILIDADE DE 30 MA, CORRENTE DE 40 A, TIPO AC</v>
      </c>
      <c r="F76" s="258" t="str">
        <f>IFERROR(IF(D76="SINAPI-S",VLOOKUP(B76,'20-B.SINAPI-S'!A:J,3,0),IF(D76="SINAPI-I",VLOOKUP(B76,'20-A.SINAPI-I'!A:G,3,0),IF(D76="COMPOSIÇÕES",VLOOKUP(B76,'11.COMPOSIÇÕES GERAIS'!B:I,3,0),VLOOKUP(B76,'12.COT.MERCADO'!A:I,7,0)))),"Em Elaboração")</f>
        <v>UN</v>
      </c>
      <c r="G76" s="254">
        <v>4.0</v>
      </c>
      <c r="H76" s="259">
        <f>IFERROR(IF(D76="SINAPI-S",VLOOKUP(B76,'20-B.SINAPI-S'!A:J,5,0),IF(D76="SINAPI-I",VLOOKUP(B76,'20-A.SINAPI-I'!A:G,6,0),IF(D76="COMPOSIÇÕES",VLOOKUP(B76,'11.COMPOSIÇÕES GERAIS'!B:I,7,0),0))),"Em Elaboração")</f>
        <v>0</v>
      </c>
      <c r="I76" s="259">
        <f>IFERROR(IF(D76="SINAPI-S",VLOOKUP(B76,'20-B.SINAPI-S'!A:J,6,0),IF(D76="SINAPI-I",VLOOKUP(B76,'20-A.SINAPI-I'!A:G,7,0),IF(D76="COMPOSIÇÕES",VLOOKUP(B76,'11.COMPOSIÇÕES GERAIS'!B:I,8,0),VLOOKUP(B76,'12.COT.MERCADO'!A:I,8,0)))),"Em Elaboração")</f>
        <v>143.99</v>
      </c>
      <c r="J76" s="259">
        <f t="shared" si="5"/>
        <v>0</v>
      </c>
      <c r="K76" s="259">
        <f t="shared" si="6"/>
        <v>168.6604669</v>
      </c>
      <c r="L76" s="259">
        <f t="shared" si="7"/>
        <v>168.6604669</v>
      </c>
      <c r="M76" s="259">
        <f t="shared" si="8"/>
        <v>0</v>
      </c>
      <c r="N76" s="259">
        <f t="shared" si="9"/>
        <v>674.6418677</v>
      </c>
      <c r="O76" s="259">
        <f t="shared" si="10"/>
        <v>674.6418677</v>
      </c>
      <c r="P76" s="586">
        <f t="shared" si="3"/>
        <v>0.003677672551</v>
      </c>
    </row>
    <row r="77">
      <c r="A77" s="253" t="s">
        <v>620</v>
      </c>
      <c r="B77" s="254">
        <v>39447.0</v>
      </c>
      <c r="C77" s="255" t="str">
        <f t="shared" si="4"/>
        <v>SINAPI</v>
      </c>
      <c r="D77" s="256" t="s">
        <v>286</v>
      </c>
      <c r="E77" s="257" t="str">
        <f>IFERROR(IF(D77="SINAPI-S",VLOOKUP(B77,'20-B.SINAPI-S'!A:J,2,0),IF(D77="SINAPI-I",VLOOKUP(B77,'20-A.SINAPI-I'!A:G,2,0),IF(D77="COMPOSIÇÕES",VLOOKUP(B77,'11.COMPOSIÇÕES GERAIS'!B:I,2,0),VLOOKUP(B77,'12.COT.MERCADO'!A:I,2,0)))),"Em Elaboração")</f>
        <v>DISPOSITIVO DR, 2 POLOS, SENSIBILIDADE DE 30 MA, CORRENTE DE 63 A, TIPO AC</v>
      </c>
      <c r="F77" s="258" t="str">
        <f>IFERROR(IF(D77="SINAPI-S",VLOOKUP(B77,'20-B.SINAPI-S'!A:J,3,0),IF(D77="SINAPI-I",VLOOKUP(B77,'20-A.SINAPI-I'!A:G,3,0),IF(D77="COMPOSIÇÕES",VLOOKUP(B77,'11.COMPOSIÇÕES GERAIS'!B:I,3,0),VLOOKUP(B77,'12.COT.MERCADO'!A:I,7,0)))),"Em Elaboração")</f>
        <v>UN</v>
      </c>
      <c r="G77" s="254">
        <v>3.0</v>
      </c>
      <c r="H77" s="259">
        <f>IFERROR(IF(D77="SINAPI-S",VLOOKUP(B77,'20-B.SINAPI-S'!A:J,5,0),IF(D77="SINAPI-I",VLOOKUP(B77,'20-A.SINAPI-I'!A:G,6,0),IF(D77="COMPOSIÇÕES",VLOOKUP(B77,'11.COMPOSIÇÕES GERAIS'!B:I,7,0),0))),"Em Elaboração")</f>
        <v>0</v>
      </c>
      <c r="I77" s="259">
        <f>IFERROR(IF(D77="SINAPI-S",VLOOKUP(B77,'20-B.SINAPI-S'!A:J,6,0),IF(D77="SINAPI-I",VLOOKUP(B77,'20-A.SINAPI-I'!A:G,7,0),IF(D77="COMPOSIÇÕES",VLOOKUP(B77,'11.COMPOSIÇÕES GERAIS'!B:I,8,0),VLOOKUP(B77,'12.COT.MERCADO'!A:I,8,0)))),"Em Elaboração")</f>
        <v>153.98</v>
      </c>
      <c r="J77" s="259">
        <f t="shared" si="5"/>
        <v>0</v>
      </c>
      <c r="K77" s="259">
        <f t="shared" si="6"/>
        <v>180.3620994</v>
      </c>
      <c r="L77" s="259">
        <f t="shared" si="7"/>
        <v>180.3620994</v>
      </c>
      <c r="M77" s="259">
        <f t="shared" si="8"/>
        <v>0</v>
      </c>
      <c r="N77" s="259">
        <f t="shared" si="9"/>
        <v>541.0862983</v>
      </c>
      <c r="O77" s="259">
        <f t="shared" si="10"/>
        <v>541.0862983</v>
      </c>
      <c r="P77" s="586">
        <f t="shared" si="3"/>
        <v>0.002949621603</v>
      </c>
    </row>
    <row r="78">
      <c r="A78" s="253" t="s">
        <v>621</v>
      </c>
      <c r="B78" s="254">
        <v>39458.0</v>
      </c>
      <c r="C78" s="255" t="str">
        <f t="shared" si="4"/>
        <v>SINAPI</v>
      </c>
      <c r="D78" s="256" t="s">
        <v>286</v>
      </c>
      <c r="E78" s="257" t="str">
        <f>IFERROR(IF(D78="SINAPI-S",VLOOKUP(B78,'20-B.SINAPI-S'!A:J,2,0),IF(D78="SINAPI-I",VLOOKUP(B78,'20-A.SINAPI-I'!A:G,2,0),IF(D78="COMPOSIÇÕES",VLOOKUP(B78,'11.COMPOSIÇÕES GERAIS'!B:I,2,0),VLOOKUP(B78,'12.COT.MERCADO'!A:I,2,0)))),"Em Elaboração")</f>
        <v>DISPOSITIVO DR, 4 POLOS, SENSIBILIDADE DE 30 MA, CORRENTE DE 80 A, TIPO AC</v>
      </c>
      <c r="F78" s="258" t="str">
        <f>IFERROR(IF(D78="SINAPI-S",VLOOKUP(B78,'20-B.SINAPI-S'!A:J,3,0),IF(D78="SINAPI-I",VLOOKUP(B78,'20-A.SINAPI-I'!A:G,3,0),IF(D78="COMPOSIÇÕES",VLOOKUP(B78,'11.COMPOSIÇÕES GERAIS'!B:I,3,0),VLOOKUP(B78,'12.COT.MERCADO'!A:I,7,0)))),"Em Elaboração")</f>
        <v>UN</v>
      </c>
      <c r="G78" s="254">
        <v>2.0</v>
      </c>
      <c r="H78" s="259">
        <f>IFERROR(IF(D78="SINAPI-S",VLOOKUP(B78,'20-B.SINAPI-S'!A:J,5,0),IF(D78="SINAPI-I",VLOOKUP(B78,'20-A.SINAPI-I'!A:G,6,0),IF(D78="COMPOSIÇÕES",VLOOKUP(B78,'11.COMPOSIÇÕES GERAIS'!B:I,7,0),0))),"Em Elaboração")</f>
        <v>0</v>
      </c>
      <c r="I78" s="259">
        <f>IFERROR(IF(D78="SINAPI-S",VLOOKUP(B78,'20-B.SINAPI-S'!A:J,6,0),IF(D78="SINAPI-I",VLOOKUP(B78,'20-A.SINAPI-I'!A:G,7,0),IF(D78="COMPOSIÇÕES",VLOOKUP(B78,'11.COMPOSIÇÕES GERAIS'!B:I,8,0),VLOOKUP(B78,'12.COT.MERCADO'!A:I,8,0)))),"Em Elaboração")</f>
        <v>328.15</v>
      </c>
      <c r="J78" s="259">
        <f t="shared" si="5"/>
        <v>0</v>
      </c>
      <c r="K78" s="259">
        <f t="shared" si="6"/>
        <v>384.3734441</v>
      </c>
      <c r="L78" s="259">
        <f t="shared" si="7"/>
        <v>384.3734441</v>
      </c>
      <c r="M78" s="259">
        <f t="shared" si="8"/>
        <v>0</v>
      </c>
      <c r="N78" s="259">
        <f t="shared" si="9"/>
        <v>768.7468882</v>
      </c>
      <c r="O78" s="259">
        <f t="shared" si="10"/>
        <v>768.7468882</v>
      </c>
      <c r="P78" s="586">
        <f t="shared" si="3"/>
        <v>0.004190666879</v>
      </c>
    </row>
    <row r="79">
      <c r="A79" s="253" t="s">
        <v>622</v>
      </c>
      <c r="B79" s="254">
        <v>21128.0</v>
      </c>
      <c r="C79" s="255" t="str">
        <f t="shared" si="4"/>
        <v>SINAPI</v>
      </c>
      <c r="D79" s="256" t="s">
        <v>286</v>
      </c>
      <c r="E79" s="257" t="str">
        <f>IFERROR(IF(D79="SINAPI-S",VLOOKUP(B79,'20-B.SINAPI-S'!A:J,2,0),IF(D79="SINAPI-I",VLOOKUP(B79,'20-A.SINAPI-I'!A:G,2,0),IF(D79="COMPOSIÇÕES",VLOOKUP(B79,'11.COMPOSIÇÕES GERAIS'!B:I,2,0),VLOOKUP(B79,'12.COT.MERCADO'!A:I,2,0)))),"Em Elaboração")</f>
        <v>ELETRODUTO EM ACO GALVANIZADO ELETROLITICO, LEVE, DIAMETRO 3/4", PAREDE DE 0,90 MM</v>
      </c>
      <c r="F79" s="258" t="str">
        <f>IFERROR(IF(D79="SINAPI-S",VLOOKUP(B79,'20-B.SINAPI-S'!A:J,3,0),IF(D79="SINAPI-I",VLOOKUP(B79,'20-A.SINAPI-I'!A:G,3,0),IF(D79="COMPOSIÇÕES",VLOOKUP(B79,'11.COMPOSIÇÕES GERAIS'!B:I,3,0),VLOOKUP(B79,'12.COT.MERCADO'!A:I,7,0)))),"Em Elaboração")</f>
        <v>M</v>
      </c>
      <c r="G79" s="254">
        <v>20.0</v>
      </c>
      <c r="H79" s="259">
        <f>IFERROR(IF(D79="SINAPI-S",VLOOKUP(B79,'20-B.SINAPI-S'!A:J,5,0),IF(D79="SINAPI-I",VLOOKUP(B79,'20-A.SINAPI-I'!A:G,6,0),IF(D79="COMPOSIÇÕES",VLOOKUP(B79,'11.COMPOSIÇÕES GERAIS'!B:I,7,0),0))),"Em Elaboração")</f>
        <v>0</v>
      </c>
      <c r="I79" s="259">
        <f>IFERROR(IF(D79="SINAPI-S",VLOOKUP(B79,'20-B.SINAPI-S'!A:J,6,0),IF(D79="SINAPI-I",VLOOKUP(B79,'20-A.SINAPI-I'!A:G,7,0),IF(D79="COMPOSIÇÕES",VLOOKUP(B79,'11.COMPOSIÇÕES GERAIS'!B:I,8,0),VLOOKUP(B79,'12.COT.MERCADO'!A:I,8,0)))),"Em Elaboração")</f>
        <v>12.51</v>
      </c>
      <c r="J79" s="259">
        <f t="shared" si="5"/>
        <v>0</v>
      </c>
      <c r="K79" s="259">
        <f t="shared" si="6"/>
        <v>14.65339566</v>
      </c>
      <c r="L79" s="259">
        <f t="shared" si="7"/>
        <v>14.65339566</v>
      </c>
      <c r="M79" s="259">
        <f t="shared" si="8"/>
        <v>0</v>
      </c>
      <c r="N79" s="259">
        <f t="shared" si="9"/>
        <v>293.0679132</v>
      </c>
      <c r="O79" s="259">
        <f t="shared" si="10"/>
        <v>293.0679132</v>
      </c>
      <c r="P79" s="586">
        <f t="shared" si="3"/>
        <v>0.001597599959</v>
      </c>
    </row>
    <row r="80">
      <c r="A80" s="253" t="s">
        <v>623</v>
      </c>
      <c r="B80" s="254">
        <v>21136.0</v>
      </c>
      <c r="C80" s="255" t="str">
        <f t="shared" si="4"/>
        <v>SINAPI</v>
      </c>
      <c r="D80" s="256" t="s">
        <v>286</v>
      </c>
      <c r="E80" s="257" t="str">
        <f>IFERROR(IF(D80="SINAPI-S",VLOOKUP(B80,'20-B.SINAPI-S'!A:J,2,0),IF(D80="SINAPI-I",VLOOKUP(B80,'20-A.SINAPI-I'!A:G,2,0),IF(D80="COMPOSIÇÕES",VLOOKUP(B80,'11.COMPOSIÇÕES GERAIS'!B:I,2,0),VLOOKUP(B80,'12.COT.MERCADO'!A:I,2,0)))),"Em Elaboração")</f>
        <v>ELETRODUTO EM ACO GALVANIZADO ELETROLITICO, LEVE, DIAMETRO 1", PAREDE DE 0,90 MM</v>
      </c>
      <c r="F80" s="258" t="str">
        <f>IFERROR(IF(D80="SINAPI-S",VLOOKUP(B80,'20-B.SINAPI-S'!A:J,3,0),IF(D80="SINAPI-I",VLOOKUP(B80,'20-A.SINAPI-I'!A:G,3,0),IF(D80="COMPOSIÇÕES",VLOOKUP(B80,'11.COMPOSIÇÕES GERAIS'!B:I,3,0),VLOOKUP(B80,'12.COT.MERCADO'!A:I,7,0)))),"Em Elaboração")</f>
        <v>M</v>
      </c>
      <c r="G80" s="254">
        <v>20.0</v>
      </c>
      <c r="H80" s="259">
        <f>IFERROR(IF(D80="SINAPI-S",VLOOKUP(B80,'20-B.SINAPI-S'!A:J,5,0),IF(D80="SINAPI-I",VLOOKUP(B80,'20-A.SINAPI-I'!A:G,6,0),IF(D80="COMPOSIÇÕES",VLOOKUP(B80,'11.COMPOSIÇÕES GERAIS'!B:I,7,0),0))),"Em Elaboração")</f>
        <v>0</v>
      </c>
      <c r="I80" s="259">
        <f>IFERROR(IF(D80="SINAPI-S",VLOOKUP(B80,'20-B.SINAPI-S'!A:J,6,0),IF(D80="SINAPI-I",VLOOKUP(B80,'20-A.SINAPI-I'!A:G,7,0),IF(D80="COMPOSIÇÕES",VLOOKUP(B80,'11.COMPOSIÇÕES GERAIS'!B:I,8,0),VLOOKUP(B80,'12.COT.MERCADO'!A:I,8,0)))),"Em Elaboração")</f>
        <v>16.17</v>
      </c>
      <c r="J80" s="259">
        <f t="shared" si="5"/>
        <v>0</v>
      </c>
      <c r="K80" s="259">
        <f t="shared" si="6"/>
        <v>18.94048024</v>
      </c>
      <c r="L80" s="259">
        <f t="shared" si="7"/>
        <v>18.94048024</v>
      </c>
      <c r="M80" s="259">
        <f t="shared" si="8"/>
        <v>0</v>
      </c>
      <c r="N80" s="259">
        <f t="shared" si="9"/>
        <v>378.8096048</v>
      </c>
      <c r="O80" s="259">
        <f t="shared" si="10"/>
        <v>378.8096048</v>
      </c>
      <c r="P80" s="586">
        <f t="shared" si="3"/>
        <v>0.002065003304</v>
      </c>
    </row>
    <row r="81">
      <c r="A81" s="253" t="s">
        <v>624</v>
      </c>
      <c r="B81" s="254">
        <v>21130.0</v>
      </c>
      <c r="C81" s="255" t="str">
        <f t="shared" si="4"/>
        <v>SINAPI</v>
      </c>
      <c r="D81" s="256" t="s">
        <v>286</v>
      </c>
      <c r="E81" s="257" t="str">
        <f>IFERROR(IF(D81="SINAPI-S",VLOOKUP(B81,'20-B.SINAPI-S'!A:J,2,0),IF(D81="SINAPI-I",VLOOKUP(B81,'20-A.SINAPI-I'!A:G,2,0),IF(D81="COMPOSIÇÕES",VLOOKUP(B81,'11.COMPOSIÇÕES GERAIS'!B:I,2,0),VLOOKUP(B81,'12.COT.MERCADO'!A:I,2,0)))),"Em Elaboração")</f>
        <v>ELETRODUTO EM ACO GALVANIZADO ELETROLITICO, SEMI-PESADO, DIAMETRO 1 1/2", PAREDE DE 1,20 MM</v>
      </c>
      <c r="F81" s="258" t="str">
        <f>IFERROR(IF(D81="SINAPI-S",VLOOKUP(B81,'20-B.SINAPI-S'!A:J,3,0),IF(D81="SINAPI-I",VLOOKUP(B81,'20-A.SINAPI-I'!A:G,3,0),IF(D81="COMPOSIÇÕES",VLOOKUP(B81,'11.COMPOSIÇÕES GERAIS'!B:I,3,0),VLOOKUP(B81,'12.COT.MERCADO'!A:I,7,0)))),"Em Elaboração")</f>
        <v>M</v>
      </c>
      <c r="G81" s="254">
        <v>10.0</v>
      </c>
      <c r="H81" s="259">
        <f>IFERROR(IF(D81="SINAPI-S",VLOOKUP(B81,'20-B.SINAPI-S'!A:J,5,0),IF(D81="SINAPI-I",VLOOKUP(B81,'20-A.SINAPI-I'!A:G,6,0),IF(D81="COMPOSIÇÕES",VLOOKUP(B81,'11.COMPOSIÇÕES GERAIS'!B:I,7,0),0))),"Em Elaboração")</f>
        <v>0</v>
      </c>
      <c r="I81" s="259">
        <f>IFERROR(IF(D81="SINAPI-S",VLOOKUP(B81,'20-B.SINAPI-S'!A:J,6,0),IF(D81="SINAPI-I",VLOOKUP(B81,'20-A.SINAPI-I'!A:G,7,0),IF(D81="COMPOSIÇÕES",VLOOKUP(B81,'11.COMPOSIÇÕES GERAIS'!B:I,8,0),VLOOKUP(B81,'12.COT.MERCADO'!A:I,8,0)))),"Em Elaboração")</f>
        <v>31.59</v>
      </c>
      <c r="J81" s="259">
        <f t="shared" si="5"/>
        <v>0</v>
      </c>
      <c r="K81" s="259">
        <f t="shared" si="6"/>
        <v>37.00245954</v>
      </c>
      <c r="L81" s="259">
        <f t="shared" si="7"/>
        <v>37.00245954</v>
      </c>
      <c r="M81" s="259">
        <f t="shared" si="8"/>
        <v>0</v>
      </c>
      <c r="N81" s="259">
        <f t="shared" si="9"/>
        <v>370.0245954</v>
      </c>
      <c r="O81" s="259">
        <f t="shared" si="10"/>
        <v>370.0245954</v>
      </c>
      <c r="P81" s="586">
        <f t="shared" si="3"/>
        <v>0.002017113617</v>
      </c>
    </row>
    <row r="82">
      <c r="A82" s="253" t="s">
        <v>625</v>
      </c>
      <c r="B82" s="254">
        <v>21135.0</v>
      </c>
      <c r="C82" s="255" t="str">
        <f t="shared" si="4"/>
        <v>SINAPI</v>
      </c>
      <c r="D82" s="256" t="s">
        <v>286</v>
      </c>
      <c r="E82" s="257" t="str">
        <f>IFERROR(IF(D82="SINAPI-S",VLOOKUP(B82,'20-B.SINAPI-S'!A:J,2,0),IF(D82="SINAPI-I",VLOOKUP(B82,'20-A.SINAPI-I'!A:G,2,0),IF(D82="COMPOSIÇÕES",VLOOKUP(B82,'11.COMPOSIÇÕES GERAIS'!B:I,2,0),VLOOKUP(B82,'12.COT.MERCADO'!A:I,2,0)))),"Em Elaboração")</f>
        <v>ELETRODUTO EM ACO GALVANIZADO ELETROLITICO, SEMI-PESADO, DIAMETRO 1 1/4", PAREDE DE 1,20 MM</v>
      </c>
      <c r="F82" s="258" t="str">
        <f>IFERROR(IF(D82="SINAPI-S",VLOOKUP(B82,'20-B.SINAPI-S'!A:J,3,0),IF(D82="SINAPI-I",VLOOKUP(B82,'20-A.SINAPI-I'!A:G,3,0),IF(D82="COMPOSIÇÕES",VLOOKUP(B82,'11.COMPOSIÇÕES GERAIS'!B:I,3,0),VLOOKUP(B82,'12.COT.MERCADO'!A:I,7,0)))),"Em Elaboração")</f>
        <v>M</v>
      </c>
      <c r="G82" s="254">
        <v>10.0</v>
      </c>
      <c r="H82" s="259">
        <f>IFERROR(IF(D82="SINAPI-S",VLOOKUP(B82,'20-B.SINAPI-S'!A:J,5,0),IF(D82="SINAPI-I",VLOOKUP(B82,'20-A.SINAPI-I'!A:G,6,0),IF(D82="COMPOSIÇÕES",VLOOKUP(B82,'11.COMPOSIÇÕES GERAIS'!B:I,7,0),0))),"Em Elaboração")</f>
        <v>0</v>
      </c>
      <c r="I82" s="259">
        <f>IFERROR(IF(D82="SINAPI-S",VLOOKUP(B82,'20-B.SINAPI-S'!A:J,6,0),IF(D82="SINAPI-I",VLOOKUP(B82,'20-A.SINAPI-I'!A:G,7,0),IF(D82="COMPOSIÇÕES",VLOOKUP(B82,'11.COMPOSIÇÕES GERAIS'!B:I,8,0),VLOOKUP(B82,'12.COT.MERCADO'!A:I,8,0)))),"Em Elaboração")</f>
        <v>31.1</v>
      </c>
      <c r="J82" s="259">
        <f t="shared" si="5"/>
        <v>0</v>
      </c>
      <c r="K82" s="259">
        <f t="shared" si="6"/>
        <v>36.4285056</v>
      </c>
      <c r="L82" s="259">
        <f t="shared" si="7"/>
        <v>36.4285056</v>
      </c>
      <c r="M82" s="259">
        <f t="shared" si="8"/>
        <v>0</v>
      </c>
      <c r="N82" s="259">
        <f t="shared" si="9"/>
        <v>364.285056</v>
      </c>
      <c r="O82" s="259">
        <f t="shared" si="10"/>
        <v>364.285056</v>
      </c>
      <c r="P82" s="586">
        <f t="shared" si="3"/>
        <v>0.001985825688</v>
      </c>
    </row>
    <row r="83">
      <c r="A83" s="253" t="s">
        <v>626</v>
      </c>
      <c r="B83" s="254">
        <v>2504.0</v>
      </c>
      <c r="C83" s="255" t="str">
        <f t="shared" si="4"/>
        <v>SINAPI</v>
      </c>
      <c r="D83" s="256" t="s">
        <v>286</v>
      </c>
      <c r="E83" s="257" t="str">
        <f>IFERROR(IF(D83="SINAPI-S",VLOOKUP(B83,'20-B.SINAPI-S'!A:J,2,0),IF(D83="SINAPI-I",VLOOKUP(B83,'20-A.SINAPI-I'!A:G,2,0),IF(D83="COMPOSIÇÕES",VLOOKUP(B83,'11.COMPOSIÇÕES GERAIS'!B:I,2,0),VLOOKUP(B83,'12.COT.MERCADO'!A:I,2,0)))),"Em Elaboração")</f>
        <v>ELETRODUTO FLEXIVEL, EM ACO GALVANIZADO, REVESTIDO EXTERNAMENTE COM PVC PRETO, DIAMETRO EXTERNO DE 25 MM (3/4"), TIPO SEALTUBO</v>
      </c>
      <c r="F83" s="258" t="str">
        <f>IFERROR(IF(D83="SINAPI-S",VLOOKUP(B83,'20-B.SINAPI-S'!A:J,3,0),IF(D83="SINAPI-I",VLOOKUP(B83,'20-A.SINAPI-I'!A:G,3,0),IF(D83="COMPOSIÇÕES",VLOOKUP(B83,'11.COMPOSIÇÕES GERAIS'!B:I,3,0),VLOOKUP(B83,'12.COT.MERCADO'!A:I,7,0)))),"Em Elaboração")</f>
        <v>M</v>
      </c>
      <c r="G83" s="254">
        <v>20.0</v>
      </c>
      <c r="H83" s="259">
        <f>IFERROR(IF(D83="SINAPI-S",VLOOKUP(B83,'20-B.SINAPI-S'!A:J,5,0),IF(D83="SINAPI-I",VLOOKUP(B83,'20-A.SINAPI-I'!A:G,6,0),IF(D83="COMPOSIÇÕES",VLOOKUP(B83,'11.COMPOSIÇÕES GERAIS'!B:I,7,0),0))),"Em Elaboração")</f>
        <v>0</v>
      </c>
      <c r="I83" s="259">
        <f>IFERROR(IF(D83="SINAPI-S",VLOOKUP(B83,'20-B.SINAPI-S'!A:J,6,0),IF(D83="SINAPI-I",VLOOKUP(B83,'20-A.SINAPI-I'!A:G,7,0),IF(D83="COMPOSIÇÕES",VLOOKUP(B83,'11.COMPOSIÇÕES GERAIS'!B:I,8,0),VLOOKUP(B83,'12.COT.MERCADO'!A:I,8,0)))),"Em Elaboração")</f>
        <v>13.88</v>
      </c>
      <c r="J83" s="259">
        <f t="shared" si="5"/>
        <v>0</v>
      </c>
      <c r="K83" s="259">
        <f t="shared" si="6"/>
        <v>16.25812404</v>
      </c>
      <c r="L83" s="259">
        <f t="shared" si="7"/>
        <v>16.25812404</v>
      </c>
      <c r="M83" s="259">
        <f t="shared" si="8"/>
        <v>0</v>
      </c>
      <c r="N83" s="259">
        <f t="shared" si="9"/>
        <v>325.1624808</v>
      </c>
      <c r="O83" s="259">
        <f t="shared" si="10"/>
        <v>325.1624808</v>
      </c>
      <c r="P83" s="586">
        <f t="shared" si="3"/>
        <v>0.001772556949</v>
      </c>
    </row>
    <row r="84">
      <c r="A84" s="253" t="s">
        <v>627</v>
      </c>
      <c r="B84" s="254">
        <v>21137.0</v>
      </c>
      <c r="C84" s="255" t="str">
        <f t="shared" si="4"/>
        <v>SINAPI</v>
      </c>
      <c r="D84" s="256" t="s">
        <v>286</v>
      </c>
      <c r="E84" s="257" t="str">
        <f>IFERROR(IF(D84="SINAPI-S",VLOOKUP(B84,'20-B.SINAPI-S'!A:J,2,0),IF(D84="SINAPI-I",VLOOKUP(B84,'20-A.SINAPI-I'!A:G,2,0),IF(D84="COMPOSIÇÕES",VLOOKUP(B84,'11.COMPOSIÇÕES GERAIS'!B:I,2,0),VLOOKUP(B84,'12.COT.MERCADO'!A:I,2,0)))),"Em Elaboração")</f>
        <v>ELETRODUTO METALICO FLEXIVEL REVESTIDO COM PVC PRETO, DIAMETRO EXTERNO DE 15 MM (3/8"), TIPO COPEX</v>
      </c>
      <c r="F84" s="258" t="str">
        <f>IFERROR(IF(D84="SINAPI-S",VLOOKUP(B84,'20-B.SINAPI-S'!A:J,3,0),IF(D84="SINAPI-I",VLOOKUP(B84,'20-A.SINAPI-I'!A:G,3,0),IF(D84="COMPOSIÇÕES",VLOOKUP(B84,'11.COMPOSIÇÕES GERAIS'!B:I,3,0),VLOOKUP(B84,'12.COT.MERCADO'!A:I,7,0)))),"Em Elaboração")</f>
        <v>M</v>
      </c>
      <c r="G84" s="254">
        <v>10.0</v>
      </c>
      <c r="H84" s="259">
        <f>IFERROR(IF(D84="SINAPI-S",VLOOKUP(B84,'20-B.SINAPI-S'!A:J,5,0),IF(D84="SINAPI-I",VLOOKUP(B84,'20-A.SINAPI-I'!A:G,6,0),IF(D84="COMPOSIÇÕES",VLOOKUP(B84,'11.COMPOSIÇÕES GERAIS'!B:I,7,0),0))),"Em Elaboração")</f>
        <v>0</v>
      </c>
      <c r="I84" s="259">
        <f>IFERROR(IF(D84="SINAPI-S",VLOOKUP(B84,'20-B.SINAPI-S'!A:J,6,0),IF(D84="SINAPI-I",VLOOKUP(B84,'20-A.SINAPI-I'!A:G,7,0),IF(D84="COMPOSIÇÕES",VLOOKUP(B84,'11.COMPOSIÇÕES GERAIS'!B:I,8,0),VLOOKUP(B84,'12.COT.MERCADO'!A:I,8,0)))),"Em Elaboração")</f>
        <v>12.8</v>
      </c>
      <c r="J84" s="259">
        <f t="shared" si="5"/>
        <v>0</v>
      </c>
      <c r="K84" s="259">
        <f t="shared" si="6"/>
        <v>14.99308269</v>
      </c>
      <c r="L84" s="259">
        <f t="shared" si="7"/>
        <v>14.99308269</v>
      </c>
      <c r="M84" s="259">
        <f t="shared" si="8"/>
        <v>0</v>
      </c>
      <c r="N84" s="259">
        <f t="shared" si="9"/>
        <v>149.9308269</v>
      </c>
      <c r="O84" s="259">
        <f t="shared" si="10"/>
        <v>149.9308269</v>
      </c>
      <c r="P84" s="586">
        <f t="shared" si="3"/>
        <v>0.0008173173251</v>
      </c>
    </row>
    <row r="85">
      <c r="A85" s="253" t="s">
        <v>628</v>
      </c>
      <c r="B85" s="254">
        <v>2674.0</v>
      </c>
      <c r="C85" s="255" t="str">
        <f t="shared" si="4"/>
        <v>SINAPI</v>
      </c>
      <c r="D85" s="256" t="s">
        <v>286</v>
      </c>
      <c r="E85" s="257" t="str">
        <f>IFERROR(IF(D85="SINAPI-S",VLOOKUP(B85,'20-B.SINAPI-S'!A:J,2,0),IF(D85="SINAPI-I",VLOOKUP(B85,'20-A.SINAPI-I'!A:G,2,0),IF(D85="COMPOSIÇÕES",VLOOKUP(B85,'11.COMPOSIÇÕES GERAIS'!B:I,2,0),VLOOKUP(B85,'12.COT.MERCADO'!A:I,2,0)))),"Em Elaboração")</f>
        <v>ELETRODUTO DE PVC RIGIDO ROSCAVEL DE 3/4 ", SEM LUVA</v>
      </c>
      <c r="F85" s="258" t="str">
        <f>IFERROR(IF(D85="SINAPI-S",VLOOKUP(B85,'20-B.SINAPI-S'!A:J,3,0),IF(D85="SINAPI-I",VLOOKUP(B85,'20-A.SINAPI-I'!A:G,3,0),IF(D85="COMPOSIÇÕES",VLOOKUP(B85,'11.COMPOSIÇÕES GERAIS'!B:I,3,0),VLOOKUP(B85,'12.COT.MERCADO'!A:I,7,0)))),"Em Elaboração")</f>
        <v>M</v>
      </c>
      <c r="G85" s="254">
        <v>20.0</v>
      </c>
      <c r="H85" s="259">
        <f>IFERROR(IF(D85="SINAPI-S",VLOOKUP(B85,'20-B.SINAPI-S'!A:J,5,0),IF(D85="SINAPI-I",VLOOKUP(B85,'20-A.SINAPI-I'!A:G,6,0),IF(D85="COMPOSIÇÕES",VLOOKUP(B85,'11.COMPOSIÇÕES GERAIS'!B:I,7,0),0))),"Em Elaboração")</f>
        <v>0</v>
      </c>
      <c r="I85" s="259">
        <f>IFERROR(IF(D85="SINAPI-S",VLOOKUP(B85,'20-B.SINAPI-S'!A:J,6,0),IF(D85="SINAPI-I",VLOOKUP(B85,'20-A.SINAPI-I'!A:G,7,0),IF(D85="COMPOSIÇÕES",VLOOKUP(B85,'11.COMPOSIÇÕES GERAIS'!B:I,8,0),VLOOKUP(B85,'12.COT.MERCADO'!A:I,8,0)))),"Em Elaboração")</f>
        <v>6.46</v>
      </c>
      <c r="J85" s="259">
        <f t="shared" si="5"/>
        <v>0</v>
      </c>
      <c r="K85" s="259">
        <f t="shared" si="6"/>
        <v>7.56682142</v>
      </c>
      <c r="L85" s="259">
        <f t="shared" si="7"/>
        <v>7.56682142</v>
      </c>
      <c r="M85" s="259">
        <f t="shared" si="8"/>
        <v>0</v>
      </c>
      <c r="N85" s="259">
        <f t="shared" si="9"/>
        <v>151.3364284</v>
      </c>
      <c r="O85" s="259">
        <f t="shared" si="10"/>
        <v>151.3364284</v>
      </c>
      <c r="P85" s="586">
        <f t="shared" si="3"/>
        <v>0.000824979675</v>
      </c>
    </row>
    <row r="86">
      <c r="A86" s="253" t="s">
        <v>629</v>
      </c>
      <c r="B86" s="254">
        <v>39255.0</v>
      </c>
      <c r="C86" s="255" t="str">
        <f t="shared" si="4"/>
        <v>SINAPI</v>
      </c>
      <c r="D86" s="256" t="s">
        <v>286</v>
      </c>
      <c r="E86" s="257" t="str">
        <f>IFERROR(IF(D86="SINAPI-S",VLOOKUP(B86,'20-B.SINAPI-S'!A:J,2,0),IF(D86="SINAPI-I",VLOOKUP(B86,'20-A.SINAPI-I'!A:G,2,0),IF(D86="COMPOSIÇÕES",VLOOKUP(B86,'11.COMPOSIÇÕES GERAIS'!B:I,2,0),VLOOKUP(B86,'12.COT.MERCADO'!A:I,2,0)))),"Em Elaboração")</f>
        <v>ELETRODUTO/CONDULETE DE PVC RIGIDO, LISO, COR CINZA, DE 1", PARA INSTALACOES APARENTES (NBR 5410)</v>
      </c>
      <c r="F86" s="258" t="str">
        <f>IFERROR(IF(D86="SINAPI-S",VLOOKUP(B86,'20-B.SINAPI-S'!A:J,3,0),IF(D86="SINAPI-I",VLOOKUP(B86,'20-A.SINAPI-I'!A:G,3,0),IF(D86="COMPOSIÇÕES",VLOOKUP(B86,'11.COMPOSIÇÕES GERAIS'!B:I,3,0),VLOOKUP(B86,'12.COT.MERCADO'!A:I,7,0)))),"Em Elaboração")</f>
        <v>M</v>
      </c>
      <c r="G86" s="254">
        <v>20.0</v>
      </c>
      <c r="H86" s="259">
        <f>IFERROR(IF(D86="SINAPI-S",VLOOKUP(B86,'20-B.SINAPI-S'!A:J,5,0),IF(D86="SINAPI-I",VLOOKUP(B86,'20-A.SINAPI-I'!A:G,6,0),IF(D86="COMPOSIÇÕES",VLOOKUP(B86,'11.COMPOSIÇÕES GERAIS'!B:I,7,0),0))),"Em Elaboração")</f>
        <v>0</v>
      </c>
      <c r="I86" s="259">
        <f>IFERROR(IF(D86="SINAPI-S",VLOOKUP(B86,'20-B.SINAPI-S'!A:J,6,0),IF(D86="SINAPI-I",VLOOKUP(B86,'20-A.SINAPI-I'!A:G,7,0),IF(D86="COMPOSIÇÕES",VLOOKUP(B86,'11.COMPOSIÇÕES GERAIS'!B:I,8,0),VLOOKUP(B86,'12.COT.MERCADO'!A:I,8,0)))),"Em Elaboração")</f>
        <v>27.58</v>
      </c>
      <c r="J86" s="259">
        <f t="shared" si="5"/>
        <v>0</v>
      </c>
      <c r="K86" s="259">
        <f t="shared" si="6"/>
        <v>32.30540786</v>
      </c>
      <c r="L86" s="259">
        <f t="shared" si="7"/>
        <v>32.30540786</v>
      </c>
      <c r="M86" s="259">
        <f t="shared" si="8"/>
        <v>0</v>
      </c>
      <c r="N86" s="259">
        <f t="shared" si="9"/>
        <v>646.1081572</v>
      </c>
      <c r="O86" s="259">
        <f t="shared" si="10"/>
        <v>646.1081572</v>
      </c>
      <c r="P86" s="586">
        <f t="shared" si="3"/>
        <v>0.003522126848</v>
      </c>
    </row>
    <row r="87">
      <c r="A87" s="253" t="s">
        <v>630</v>
      </c>
      <c r="B87" s="254">
        <v>11002.0</v>
      </c>
      <c r="C87" s="255" t="str">
        <f t="shared" si="4"/>
        <v>SINAPI</v>
      </c>
      <c r="D87" s="256" t="s">
        <v>286</v>
      </c>
      <c r="E87" s="257" t="str">
        <f>IFERROR(IF(D87="SINAPI-S",VLOOKUP(B87,'20-B.SINAPI-S'!A:J,2,0),IF(D87="SINAPI-I",VLOOKUP(B87,'20-A.SINAPI-I'!A:G,2,0),IF(D87="COMPOSIÇÕES",VLOOKUP(B87,'11.COMPOSIÇÕES GERAIS'!B:I,2,0),VLOOKUP(B87,'12.COT.MERCADO'!A:I,2,0)))),"Em Elaboração")</f>
        <v>ELETRODO REVESTIDO AWS - E6013, DIAMETRO IGUAL A 2,50 MM</v>
      </c>
      <c r="F87" s="258" t="str">
        <f>IFERROR(IF(D87="SINAPI-S",VLOOKUP(B87,'20-B.SINAPI-S'!A:J,3,0),IF(D87="SINAPI-I",VLOOKUP(B87,'20-A.SINAPI-I'!A:G,3,0),IF(D87="COMPOSIÇÕES",VLOOKUP(B87,'11.COMPOSIÇÕES GERAIS'!B:I,3,0),VLOOKUP(B87,'12.COT.MERCADO'!A:I,7,0)))),"Em Elaboração")</f>
        <v>KG</v>
      </c>
      <c r="G87" s="254">
        <v>2.0</v>
      </c>
      <c r="H87" s="259">
        <f>IFERROR(IF(D87="SINAPI-S",VLOOKUP(B87,'20-B.SINAPI-S'!A:J,5,0),IF(D87="SINAPI-I",VLOOKUP(B87,'20-A.SINAPI-I'!A:G,6,0),IF(D87="COMPOSIÇÕES",VLOOKUP(B87,'11.COMPOSIÇÕES GERAIS'!B:I,7,0),0))),"Em Elaboração")</f>
        <v>0</v>
      </c>
      <c r="I87" s="259">
        <f>IFERROR(IF(D87="SINAPI-S",VLOOKUP(B87,'20-B.SINAPI-S'!A:J,6,0),IF(D87="SINAPI-I",VLOOKUP(B87,'20-A.SINAPI-I'!A:G,7,0),IF(D87="COMPOSIÇÕES",VLOOKUP(B87,'11.COMPOSIÇÕES GERAIS'!B:I,8,0),VLOOKUP(B87,'12.COT.MERCADO'!A:I,8,0)))),"Em Elaboração")</f>
        <v>31.68</v>
      </c>
      <c r="J87" s="259">
        <f t="shared" si="5"/>
        <v>0</v>
      </c>
      <c r="K87" s="259">
        <f t="shared" si="6"/>
        <v>37.10787966</v>
      </c>
      <c r="L87" s="259">
        <f t="shared" si="7"/>
        <v>37.10787966</v>
      </c>
      <c r="M87" s="259">
        <f t="shared" si="8"/>
        <v>0</v>
      </c>
      <c r="N87" s="259">
        <f t="shared" si="9"/>
        <v>74.21575931</v>
      </c>
      <c r="O87" s="259">
        <f t="shared" si="10"/>
        <v>74.21575931</v>
      </c>
      <c r="P87" s="586">
        <f t="shared" si="3"/>
        <v>0.0004045720759</v>
      </c>
    </row>
    <row r="88">
      <c r="A88" s="253" t="s">
        <v>631</v>
      </c>
      <c r="B88" s="254">
        <v>39253.0</v>
      </c>
      <c r="C88" s="255" t="str">
        <f t="shared" si="4"/>
        <v>SINAPI</v>
      </c>
      <c r="D88" s="256" t="s">
        <v>286</v>
      </c>
      <c r="E88" s="257" t="str">
        <f>IFERROR(IF(D88="SINAPI-S",VLOOKUP(B88,'20-B.SINAPI-S'!A:J,2,0),IF(D88="SINAPI-I",VLOOKUP(B88,'20-A.SINAPI-I'!A:G,2,0),IF(D88="COMPOSIÇÕES",VLOOKUP(B88,'11.COMPOSIÇÕES GERAIS'!B:I,2,0),VLOOKUP(B88,'12.COT.MERCADO'!A:I,2,0)))),"Em Elaboração")</f>
        <v>ELETRODUTO/CONDULETE DE PVC RIGIDO, LISO, COR CINZA, DE 3/4", PARA INSTALACOES APARENTES (NBR 5410)</v>
      </c>
      <c r="F88" s="258" t="str">
        <f>IFERROR(IF(D88="SINAPI-S",VLOOKUP(B88,'20-B.SINAPI-S'!A:J,3,0),IF(D88="SINAPI-I",VLOOKUP(B88,'20-A.SINAPI-I'!A:G,3,0),IF(D88="COMPOSIÇÕES",VLOOKUP(B88,'11.COMPOSIÇÕES GERAIS'!B:I,3,0),VLOOKUP(B88,'12.COT.MERCADO'!A:I,7,0)))),"Em Elaboração")</f>
        <v>M</v>
      </c>
      <c r="G88" s="254">
        <v>20.0</v>
      </c>
      <c r="H88" s="259">
        <f>IFERROR(IF(D88="SINAPI-S",VLOOKUP(B88,'20-B.SINAPI-S'!A:J,5,0),IF(D88="SINAPI-I",VLOOKUP(B88,'20-A.SINAPI-I'!A:G,6,0),IF(D88="COMPOSIÇÕES",VLOOKUP(B88,'11.COMPOSIÇÕES GERAIS'!B:I,7,0),0))),"Em Elaboração")</f>
        <v>0</v>
      </c>
      <c r="I88" s="259">
        <f>IFERROR(IF(D88="SINAPI-S",VLOOKUP(B88,'20-B.SINAPI-S'!A:J,6,0),IF(D88="SINAPI-I",VLOOKUP(B88,'20-A.SINAPI-I'!A:G,7,0),IF(D88="COMPOSIÇÕES",VLOOKUP(B88,'11.COMPOSIÇÕES GERAIS'!B:I,8,0),VLOOKUP(B88,'12.COT.MERCADO'!A:I,8,0)))),"Em Elaboração")</f>
        <v>19</v>
      </c>
      <c r="J88" s="259">
        <f t="shared" si="5"/>
        <v>0</v>
      </c>
      <c r="K88" s="259">
        <f t="shared" si="6"/>
        <v>22.25535712</v>
      </c>
      <c r="L88" s="259">
        <f t="shared" si="7"/>
        <v>22.25535712</v>
      </c>
      <c r="M88" s="259">
        <f t="shared" si="8"/>
        <v>0</v>
      </c>
      <c r="N88" s="259">
        <f t="shared" si="9"/>
        <v>445.1071424</v>
      </c>
      <c r="O88" s="259">
        <f t="shared" si="10"/>
        <v>445.1071424</v>
      </c>
      <c r="P88" s="586">
        <f t="shared" si="3"/>
        <v>0.002426410809</v>
      </c>
    </row>
    <row r="89">
      <c r="A89" s="253" t="s">
        <v>632</v>
      </c>
      <c r="B89" s="254">
        <v>38091.0</v>
      </c>
      <c r="C89" s="255" t="str">
        <f t="shared" si="4"/>
        <v>SINAPI</v>
      </c>
      <c r="D89" s="256" t="s">
        <v>286</v>
      </c>
      <c r="E89" s="257" t="str">
        <f>IFERROR(IF(D89="SINAPI-S",VLOOKUP(B89,'20-B.SINAPI-S'!A:J,2,0),IF(D89="SINAPI-I",VLOOKUP(B89,'20-A.SINAPI-I'!A:G,2,0),IF(D89="COMPOSIÇÕES",VLOOKUP(B89,'11.COMPOSIÇÕES GERAIS'!B:I,2,0),VLOOKUP(B89,'12.COT.MERCADO'!A:I,2,0)))),"Em Elaboração")</f>
        <v>ESPELHO / PLACA CEGA 4" X 2", PARA INSTALACAO DE TOMADAS E INTERRUPTORES</v>
      </c>
      <c r="F89" s="258" t="str">
        <f>IFERROR(IF(D89="SINAPI-S",VLOOKUP(B89,'20-B.SINAPI-S'!A:J,3,0),IF(D89="SINAPI-I",VLOOKUP(B89,'20-A.SINAPI-I'!A:G,3,0),IF(D89="COMPOSIÇÕES",VLOOKUP(B89,'11.COMPOSIÇÕES GERAIS'!B:I,3,0),VLOOKUP(B89,'12.COT.MERCADO'!A:I,7,0)))),"Em Elaboração")</f>
        <v>UN</v>
      </c>
      <c r="G89" s="254">
        <v>20.0</v>
      </c>
      <c r="H89" s="259">
        <f>IFERROR(IF(D89="SINAPI-S",VLOOKUP(B89,'20-B.SINAPI-S'!A:J,5,0),IF(D89="SINAPI-I",VLOOKUP(B89,'20-A.SINAPI-I'!A:G,6,0),IF(D89="COMPOSIÇÕES",VLOOKUP(B89,'11.COMPOSIÇÕES GERAIS'!B:I,7,0),0))),"Em Elaboração")</f>
        <v>0</v>
      </c>
      <c r="I89" s="259">
        <f>IFERROR(IF(D89="SINAPI-S",VLOOKUP(B89,'20-B.SINAPI-S'!A:J,6,0),IF(D89="SINAPI-I",VLOOKUP(B89,'20-A.SINAPI-I'!A:G,7,0),IF(D89="COMPOSIÇÕES",VLOOKUP(B89,'11.COMPOSIÇÕES GERAIS'!B:I,8,0),VLOOKUP(B89,'12.COT.MERCADO'!A:I,8,0)))),"Em Elaboração")</f>
        <v>2.61</v>
      </c>
      <c r="J89" s="259">
        <f t="shared" si="5"/>
        <v>0</v>
      </c>
      <c r="K89" s="259">
        <f t="shared" si="6"/>
        <v>3.057183267</v>
      </c>
      <c r="L89" s="259">
        <f t="shared" si="7"/>
        <v>3.057183267</v>
      </c>
      <c r="M89" s="259">
        <f t="shared" si="8"/>
        <v>0</v>
      </c>
      <c r="N89" s="259">
        <f t="shared" si="9"/>
        <v>61.14366534</v>
      </c>
      <c r="O89" s="259">
        <f t="shared" si="10"/>
        <v>61.14366534</v>
      </c>
      <c r="P89" s="586">
        <f t="shared" si="3"/>
        <v>0.0003333122216</v>
      </c>
    </row>
    <row r="90">
      <c r="A90" s="253" t="s">
        <v>633</v>
      </c>
      <c r="B90" s="254">
        <v>11890.0</v>
      </c>
      <c r="C90" s="255" t="str">
        <f t="shared" si="4"/>
        <v>SINAPI</v>
      </c>
      <c r="D90" s="256" t="s">
        <v>286</v>
      </c>
      <c r="E90" s="257" t="str">
        <f>IFERROR(IF(D90="SINAPI-S",VLOOKUP(B90,'20-B.SINAPI-S'!A:J,2,0),IF(D90="SINAPI-I",VLOOKUP(B90,'20-A.SINAPI-I'!A:G,2,0),IF(D90="COMPOSIÇÕES",VLOOKUP(B90,'11.COMPOSIÇÕES GERAIS'!B:I,2,0),VLOOKUP(B90,'12.COT.MERCADO'!A:I,2,0)))),"Em Elaboração")</f>
        <v>CORDAO DE COBRE, FLEXIVEL, TORCIDO, CLASSE 4 OU 5, ISOLACAO EM PVC/D, 300 V, 2 CONDUTORES DE 1,5 MM2</v>
      </c>
      <c r="F90" s="258" t="str">
        <f>IFERROR(IF(D90="SINAPI-S",VLOOKUP(B90,'20-B.SINAPI-S'!A:J,3,0),IF(D90="SINAPI-I",VLOOKUP(B90,'20-A.SINAPI-I'!A:G,3,0),IF(D90="COMPOSIÇÕES",VLOOKUP(B90,'11.COMPOSIÇÕES GERAIS'!B:I,3,0),VLOOKUP(B90,'12.COT.MERCADO'!A:I,7,0)))),"Em Elaboração")</f>
        <v>M</v>
      </c>
      <c r="G90" s="254">
        <v>50.0</v>
      </c>
      <c r="H90" s="259">
        <f>IFERROR(IF(D90="SINAPI-S",VLOOKUP(B90,'20-B.SINAPI-S'!A:J,5,0),IF(D90="SINAPI-I",VLOOKUP(B90,'20-A.SINAPI-I'!A:G,6,0),IF(D90="COMPOSIÇÕES",VLOOKUP(B90,'11.COMPOSIÇÕES GERAIS'!B:I,7,0),0))),"Em Elaboração")</f>
        <v>0</v>
      </c>
      <c r="I90" s="259">
        <f>IFERROR(IF(D90="SINAPI-S",VLOOKUP(B90,'20-B.SINAPI-S'!A:J,6,0),IF(D90="SINAPI-I",VLOOKUP(B90,'20-A.SINAPI-I'!A:G,7,0),IF(D90="COMPOSIÇÕES",VLOOKUP(B90,'11.COMPOSIÇÕES GERAIS'!B:I,8,0),VLOOKUP(B90,'12.COT.MERCADO'!A:I,8,0)))),"Em Elaboração")</f>
        <v>3.15</v>
      </c>
      <c r="J90" s="259">
        <f t="shared" si="5"/>
        <v>0</v>
      </c>
      <c r="K90" s="259">
        <f t="shared" si="6"/>
        <v>3.689703943</v>
      </c>
      <c r="L90" s="259">
        <f t="shared" si="7"/>
        <v>3.689703943</v>
      </c>
      <c r="M90" s="259">
        <f t="shared" si="8"/>
        <v>0</v>
      </c>
      <c r="N90" s="259">
        <f t="shared" si="9"/>
        <v>184.4851972</v>
      </c>
      <c r="O90" s="259">
        <f t="shared" si="10"/>
        <v>184.4851972</v>
      </c>
      <c r="P90" s="586">
        <f t="shared" si="3"/>
        <v>0.001005683427</v>
      </c>
    </row>
    <row r="91">
      <c r="A91" s="253" t="s">
        <v>634</v>
      </c>
      <c r="B91" s="254">
        <v>20111.0</v>
      </c>
      <c r="C91" s="255" t="str">
        <f t="shared" si="4"/>
        <v>SINAPI</v>
      </c>
      <c r="D91" s="256" t="s">
        <v>286</v>
      </c>
      <c r="E91" s="257" t="str">
        <f>IFERROR(IF(D91="SINAPI-S",VLOOKUP(B91,'20-B.SINAPI-S'!A:J,2,0),IF(D91="SINAPI-I",VLOOKUP(B91,'20-A.SINAPI-I'!A:G,2,0),IF(D91="COMPOSIÇÕES",VLOOKUP(B91,'11.COMPOSIÇÕES GERAIS'!B:I,2,0),VLOOKUP(B91,'12.COT.MERCADO'!A:I,2,0)))),"Em Elaboração")</f>
        <v>FITA ISOLANTE ADESIVA ANTICHAMA, USO ATE 750 V, EM ROLO DE 19 MM X 20 M</v>
      </c>
      <c r="F91" s="258" t="str">
        <f>IFERROR(IF(D91="SINAPI-S",VLOOKUP(B91,'20-B.SINAPI-S'!A:J,3,0),IF(D91="SINAPI-I",VLOOKUP(B91,'20-A.SINAPI-I'!A:G,3,0),IF(D91="COMPOSIÇÕES",VLOOKUP(B91,'11.COMPOSIÇÕES GERAIS'!B:I,3,0),VLOOKUP(B91,'12.COT.MERCADO'!A:I,7,0)))),"Em Elaboração")</f>
        <v>UN</v>
      </c>
      <c r="G91" s="254">
        <v>15.0</v>
      </c>
      <c r="H91" s="259">
        <f>IFERROR(IF(D91="SINAPI-S",VLOOKUP(B91,'20-B.SINAPI-S'!A:J,5,0),IF(D91="SINAPI-I",VLOOKUP(B91,'20-A.SINAPI-I'!A:G,6,0),IF(D91="COMPOSIÇÕES",VLOOKUP(B91,'11.COMPOSIÇÕES GERAIS'!B:I,7,0),0))),"Em Elaboração")</f>
        <v>0</v>
      </c>
      <c r="I91" s="259">
        <f>IFERROR(IF(D91="SINAPI-S",VLOOKUP(B91,'20-B.SINAPI-S'!A:J,6,0),IF(D91="SINAPI-I",VLOOKUP(B91,'20-A.SINAPI-I'!A:G,7,0),IF(D91="COMPOSIÇÕES",VLOOKUP(B91,'11.COMPOSIÇÕES GERAIS'!B:I,8,0),VLOOKUP(B91,'12.COT.MERCADO'!A:I,8,0)))),"Em Elaboração")</f>
        <v>12.9</v>
      </c>
      <c r="J91" s="259">
        <f t="shared" si="5"/>
        <v>0</v>
      </c>
      <c r="K91" s="259">
        <f t="shared" si="6"/>
        <v>15.11021615</v>
      </c>
      <c r="L91" s="259">
        <f t="shared" si="7"/>
        <v>15.11021615</v>
      </c>
      <c r="M91" s="259">
        <f t="shared" si="8"/>
        <v>0</v>
      </c>
      <c r="N91" s="259">
        <f t="shared" si="9"/>
        <v>226.6532422</v>
      </c>
      <c r="O91" s="259">
        <f t="shared" si="10"/>
        <v>226.6532422</v>
      </c>
      <c r="P91" s="586">
        <f t="shared" si="3"/>
        <v>0.001235553925</v>
      </c>
    </row>
    <row r="92">
      <c r="A92" s="253" t="s">
        <v>635</v>
      </c>
      <c r="B92" s="254">
        <v>404.0</v>
      </c>
      <c r="C92" s="255" t="str">
        <f t="shared" si="4"/>
        <v>SINAPI</v>
      </c>
      <c r="D92" s="256" t="s">
        <v>286</v>
      </c>
      <c r="E92" s="257" t="str">
        <f>IFERROR(IF(D92="SINAPI-S",VLOOKUP(B92,'20-B.SINAPI-S'!A:J,2,0),IF(D92="SINAPI-I",VLOOKUP(B92,'20-A.SINAPI-I'!A:G,2,0),IF(D92="COMPOSIÇÕES",VLOOKUP(B92,'11.COMPOSIÇÕES GERAIS'!B:I,2,0),VLOOKUP(B92,'12.COT.MERCADO'!A:I,2,0)))),"Em Elaboração")</f>
        <v>FITA ISOLANTE DE BORRACHA AUTOFUSAO, USO ATE 69 KV (ALTA TENSAO)</v>
      </c>
      <c r="F92" s="258" t="str">
        <f>IFERROR(IF(D92="SINAPI-S",VLOOKUP(B92,'20-B.SINAPI-S'!A:J,3,0),IF(D92="SINAPI-I",VLOOKUP(B92,'20-A.SINAPI-I'!A:G,3,0),IF(D92="COMPOSIÇÕES",VLOOKUP(B92,'11.COMPOSIÇÕES GERAIS'!B:I,3,0),VLOOKUP(B92,'12.COT.MERCADO'!A:I,7,0)))),"Em Elaboração")</f>
        <v>M</v>
      </c>
      <c r="G92" s="254">
        <v>5.0</v>
      </c>
      <c r="H92" s="259">
        <f>IFERROR(IF(D92="SINAPI-S",VLOOKUP(B92,'20-B.SINAPI-S'!A:J,5,0),IF(D92="SINAPI-I",VLOOKUP(B92,'20-A.SINAPI-I'!A:G,6,0),IF(D92="COMPOSIÇÕES",VLOOKUP(B92,'11.COMPOSIÇÕES GERAIS'!B:I,7,0),0))),"Em Elaboração")</f>
        <v>0</v>
      </c>
      <c r="I92" s="259">
        <f>IFERROR(IF(D92="SINAPI-S",VLOOKUP(B92,'20-B.SINAPI-S'!A:J,6,0),IF(D92="SINAPI-I",VLOOKUP(B92,'20-A.SINAPI-I'!A:G,7,0),IF(D92="COMPOSIÇÕES",VLOOKUP(B92,'11.COMPOSIÇÕES GERAIS'!B:I,8,0),VLOOKUP(B92,'12.COT.MERCADO'!A:I,8,0)))),"Em Elaboração")</f>
        <v>1.75</v>
      </c>
      <c r="J92" s="259">
        <f t="shared" si="5"/>
        <v>0</v>
      </c>
      <c r="K92" s="259">
        <f t="shared" si="6"/>
        <v>2.049835524</v>
      </c>
      <c r="L92" s="259">
        <f t="shared" si="7"/>
        <v>2.049835524</v>
      </c>
      <c r="M92" s="259">
        <f t="shared" si="8"/>
        <v>0</v>
      </c>
      <c r="N92" s="259">
        <f t="shared" si="9"/>
        <v>10.24917762</v>
      </c>
      <c r="O92" s="259">
        <f t="shared" si="10"/>
        <v>10.24917762</v>
      </c>
      <c r="P92" s="586">
        <f t="shared" si="3"/>
        <v>0.00005587130152</v>
      </c>
    </row>
    <row r="93">
      <c r="A93" s="253" t="s">
        <v>636</v>
      </c>
      <c r="B93" s="254">
        <v>21127.0</v>
      </c>
      <c r="C93" s="255" t="str">
        <f t="shared" si="4"/>
        <v>SINAPI</v>
      </c>
      <c r="D93" s="256" t="s">
        <v>286</v>
      </c>
      <c r="E93" s="257" t="str">
        <f>IFERROR(IF(D93="SINAPI-S",VLOOKUP(B93,'20-B.SINAPI-S'!A:J,2,0),IF(D93="SINAPI-I",VLOOKUP(B93,'20-A.SINAPI-I'!A:G,2,0),IF(D93="COMPOSIÇÕES",VLOOKUP(B93,'11.COMPOSIÇÕES GERAIS'!B:I,2,0),VLOOKUP(B93,'12.COT.MERCADO'!A:I,2,0)))),"Em Elaboração")</f>
        <v>FITA ISOLANTE ADESIVA ANTICHAMA, USO ATE 750 V, EM ROLO DE 19 MM X 5 M</v>
      </c>
      <c r="F93" s="258" t="str">
        <f>IFERROR(IF(D93="SINAPI-S",VLOOKUP(B93,'20-B.SINAPI-S'!A:J,3,0),IF(D93="SINAPI-I",VLOOKUP(B93,'20-A.SINAPI-I'!A:G,3,0),IF(D93="COMPOSIÇÕES",VLOOKUP(B93,'11.COMPOSIÇÕES GERAIS'!B:I,3,0),VLOOKUP(B93,'12.COT.MERCADO'!A:I,7,0)))),"Em Elaboração")</f>
        <v>UN</v>
      </c>
      <c r="G93" s="254">
        <v>2.0</v>
      </c>
      <c r="H93" s="259">
        <f>IFERROR(IF(D93="SINAPI-S",VLOOKUP(B93,'20-B.SINAPI-S'!A:J,5,0),IF(D93="SINAPI-I",VLOOKUP(B93,'20-A.SINAPI-I'!A:G,6,0),IF(D93="COMPOSIÇÕES",VLOOKUP(B93,'11.COMPOSIÇÕES GERAIS'!B:I,7,0),0))),"Em Elaboração")</f>
        <v>0</v>
      </c>
      <c r="I93" s="259">
        <f>IFERROR(IF(D93="SINAPI-S",VLOOKUP(B93,'20-B.SINAPI-S'!A:J,6,0),IF(D93="SINAPI-I",VLOOKUP(B93,'20-A.SINAPI-I'!A:G,7,0),IF(D93="COMPOSIÇÕES",VLOOKUP(B93,'11.COMPOSIÇÕES GERAIS'!B:I,8,0),VLOOKUP(B93,'12.COT.MERCADO'!A:I,8,0)))),"Em Elaboração")</f>
        <v>4.87</v>
      </c>
      <c r="J93" s="259">
        <f t="shared" si="5"/>
        <v>0</v>
      </c>
      <c r="K93" s="259">
        <f t="shared" si="6"/>
        <v>5.70439943</v>
      </c>
      <c r="L93" s="259">
        <f t="shared" si="7"/>
        <v>5.70439943</v>
      </c>
      <c r="M93" s="259">
        <f t="shared" si="8"/>
        <v>0</v>
      </c>
      <c r="N93" s="259">
        <f t="shared" si="9"/>
        <v>11.40879886</v>
      </c>
      <c r="O93" s="259">
        <f t="shared" si="10"/>
        <v>11.40879886</v>
      </c>
      <c r="P93" s="586">
        <f t="shared" si="3"/>
        <v>0.00006219274021</v>
      </c>
    </row>
    <row r="94">
      <c r="A94" s="253" t="s">
        <v>637</v>
      </c>
      <c r="B94" s="254">
        <v>12344.0</v>
      </c>
      <c r="C94" s="255" t="str">
        <f t="shared" si="4"/>
        <v>SINAPI</v>
      </c>
      <c r="D94" s="256" t="s">
        <v>286</v>
      </c>
      <c r="E94" s="257" t="str">
        <f>IFERROR(IF(D94="SINAPI-S",VLOOKUP(B94,'20-B.SINAPI-S'!A:J,2,0),IF(D94="SINAPI-I",VLOOKUP(B94,'20-A.SINAPI-I'!A:G,2,0),IF(D94="COMPOSIÇÕES",VLOOKUP(B94,'11.COMPOSIÇÕES GERAIS'!B:I,2,0),VLOOKUP(B94,'12.COT.MERCADO'!A:I,2,0)))),"Em Elaboração")</f>
        <v>FUSIVEL DIAZED 20 A TAMANHO DII, CAPACIDADE DE INTERRUPCAO DE 50 KA EM VCA E 8 KA EM VCC, TENSAO NOMIMNAL DE 500 V</v>
      </c>
      <c r="F94" s="258" t="str">
        <f>IFERROR(IF(D94="SINAPI-S",VLOOKUP(B94,'20-B.SINAPI-S'!A:J,3,0),IF(D94="SINAPI-I",VLOOKUP(B94,'20-A.SINAPI-I'!A:G,3,0),IF(D94="COMPOSIÇÕES",VLOOKUP(B94,'11.COMPOSIÇÕES GERAIS'!B:I,3,0),VLOOKUP(B94,'12.COT.MERCADO'!A:I,7,0)))),"Em Elaboração")</f>
        <v>UN</v>
      </c>
      <c r="G94" s="254">
        <v>8.0</v>
      </c>
      <c r="H94" s="259">
        <f>IFERROR(IF(D94="SINAPI-S",VLOOKUP(B94,'20-B.SINAPI-S'!A:J,5,0),IF(D94="SINAPI-I",VLOOKUP(B94,'20-A.SINAPI-I'!A:G,6,0),IF(D94="COMPOSIÇÕES",VLOOKUP(B94,'11.COMPOSIÇÕES GERAIS'!B:I,7,0),0))),"Em Elaboração")</f>
        <v>0</v>
      </c>
      <c r="I94" s="259">
        <f>IFERROR(IF(D94="SINAPI-S",VLOOKUP(B94,'20-B.SINAPI-S'!A:J,6,0),IF(D94="SINAPI-I",VLOOKUP(B94,'20-A.SINAPI-I'!A:G,7,0),IF(D94="COMPOSIÇÕES",VLOOKUP(B94,'11.COMPOSIÇÕES GERAIS'!B:I,8,0),VLOOKUP(B94,'12.COT.MERCADO'!A:I,8,0)))),"Em Elaboração")</f>
        <v>4.01</v>
      </c>
      <c r="J94" s="259">
        <f t="shared" si="5"/>
        <v>0</v>
      </c>
      <c r="K94" s="259">
        <f t="shared" si="6"/>
        <v>4.697051686</v>
      </c>
      <c r="L94" s="259">
        <f t="shared" si="7"/>
        <v>4.697051686</v>
      </c>
      <c r="M94" s="259">
        <f t="shared" si="8"/>
        <v>0</v>
      </c>
      <c r="N94" s="259">
        <f t="shared" si="9"/>
        <v>37.57641349</v>
      </c>
      <c r="O94" s="259">
        <f t="shared" si="10"/>
        <v>37.57641349</v>
      </c>
      <c r="P94" s="586">
        <f t="shared" si="3"/>
        <v>0.0002048401546</v>
      </c>
    </row>
    <row r="95">
      <c r="A95" s="253" t="s">
        <v>638</v>
      </c>
      <c r="B95" s="254">
        <v>38063.0</v>
      </c>
      <c r="C95" s="255" t="str">
        <f t="shared" si="4"/>
        <v>SINAPI</v>
      </c>
      <c r="D95" s="256" t="s">
        <v>286</v>
      </c>
      <c r="E95" s="257" t="str">
        <f>IFERROR(IF(D95="SINAPI-S",VLOOKUP(B95,'20-B.SINAPI-S'!A:J,2,0),IF(D95="SINAPI-I",VLOOKUP(B95,'20-A.SINAPI-I'!A:G,2,0),IF(D95="COMPOSIÇÕES",VLOOKUP(B95,'11.COMPOSIÇÕES GERAIS'!B:I,2,0),VLOOKUP(B95,'12.COT.MERCADO'!A:I,2,0)))),"Em Elaboração")</f>
        <v>INTERRUPTOR PARALELO 10A, 250V, CONJUNTO MONTADO PARA EMBUTIR 4" X 2" (PLACA + SUPORTE + MODULO)</v>
      </c>
      <c r="F95" s="258" t="str">
        <f>IFERROR(IF(D95="SINAPI-S",VLOOKUP(B95,'20-B.SINAPI-S'!A:J,3,0),IF(D95="SINAPI-I",VLOOKUP(B95,'20-A.SINAPI-I'!A:G,3,0),IF(D95="COMPOSIÇÕES",VLOOKUP(B95,'11.COMPOSIÇÕES GERAIS'!B:I,3,0),VLOOKUP(B95,'12.COT.MERCADO'!A:I,7,0)))),"Em Elaboração")</f>
        <v>UN</v>
      </c>
      <c r="G95" s="254">
        <v>16.0</v>
      </c>
      <c r="H95" s="259">
        <f>IFERROR(IF(D95="SINAPI-S",VLOOKUP(B95,'20-B.SINAPI-S'!A:J,5,0),IF(D95="SINAPI-I",VLOOKUP(B95,'20-A.SINAPI-I'!A:G,6,0),IF(D95="COMPOSIÇÕES",VLOOKUP(B95,'11.COMPOSIÇÕES GERAIS'!B:I,7,0),0))),"Em Elaboração")</f>
        <v>0</v>
      </c>
      <c r="I95" s="259">
        <f>IFERROR(IF(D95="SINAPI-S",VLOOKUP(B95,'20-B.SINAPI-S'!A:J,6,0),IF(D95="SINAPI-I",VLOOKUP(B95,'20-A.SINAPI-I'!A:G,7,0),IF(D95="COMPOSIÇÕES",VLOOKUP(B95,'11.COMPOSIÇÕES GERAIS'!B:I,8,0),VLOOKUP(B95,'12.COT.MERCADO'!A:I,8,0)))),"Em Elaboração")</f>
        <v>10.34</v>
      </c>
      <c r="J95" s="259">
        <f t="shared" si="5"/>
        <v>0</v>
      </c>
      <c r="K95" s="259">
        <f t="shared" si="6"/>
        <v>12.11159961</v>
      </c>
      <c r="L95" s="259">
        <f t="shared" si="7"/>
        <v>12.11159961</v>
      </c>
      <c r="M95" s="259">
        <f t="shared" si="8"/>
        <v>0</v>
      </c>
      <c r="N95" s="259">
        <f t="shared" si="9"/>
        <v>193.7855938</v>
      </c>
      <c r="O95" s="259">
        <f t="shared" si="10"/>
        <v>193.7855938</v>
      </c>
      <c r="P95" s="586">
        <f t="shared" si="3"/>
        <v>0.001056382643</v>
      </c>
    </row>
    <row r="96">
      <c r="A96" s="253" t="s">
        <v>639</v>
      </c>
      <c r="B96" s="254">
        <v>38062.0</v>
      </c>
      <c r="C96" s="255" t="str">
        <f t="shared" si="4"/>
        <v>SINAPI</v>
      </c>
      <c r="D96" s="256" t="s">
        <v>286</v>
      </c>
      <c r="E96" s="257" t="str">
        <f>IFERROR(IF(D96="SINAPI-S",VLOOKUP(B96,'20-B.SINAPI-S'!A:J,2,0),IF(D96="SINAPI-I",VLOOKUP(B96,'20-A.SINAPI-I'!A:G,2,0),IF(D96="COMPOSIÇÕES",VLOOKUP(B96,'11.COMPOSIÇÕES GERAIS'!B:I,2,0),VLOOKUP(B96,'12.COT.MERCADO'!A:I,2,0)))),"Em Elaboração")</f>
        <v>INTERRUPTOR SIMPLES 10A, 250V, CONJUNTO MONTADO PARA EMBUTIR 4" X 2" (PLACA + SUPORTE + MODULO)</v>
      </c>
      <c r="F96" s="258" t="str">
        <f>IFERROR(IF(D96="SINAPI-S",VLOOKUP(B96,'20-B.SINAPI-S'!A:J,3,0),IF(D96="SINAPI-I",VLOOKUP(B96,'20-A.SINAPI-I'!A:G,3,0),IF(D96="COMPOSIÇÕES",VLOOKUP(B96,'11.COMPOSIÇÕES GERAIS'!B:I,3,0),VLOOKUP(B96,'12.COT.MERCADO'!A:I,7,0)))),"Em Elaboração")</f>
        <v>UN</v>
      </c>
      <c r="G96" s="254">
        <v>32.0</v>
      </c>
      <c r="H96" s="259">
        <f>IFERROR(IF(D96="SINAPI-S",VLOOKUP(B96,'20-B.SINAPI-S'!A:J,5,0),IF(D96="SINAPI-I",VLOOKUP(B96,'20-A.SINAPI-I'!A:G,6,0),IF(D96="COMPOSIÇÕES",VLOOKUP(B96,'11.COMPOSIÇÕES GERAIS'!B:I,7,0),0))),"Em Elaboração")</f>
        <v>0</v>
      </c>
      <c r="I96" s="259">
        <f>IFERROR(IF(D96="SINAPI-S",VLOOKUP(B96,'20-B.SINAPI-S'!A:J,6,0),IF(D96="SINAPI-I",VLOOKUP(B96,'20-A.SINAPI-I'!A:G,7,0),IF(D96="COMPOSIÇÕES",VLOOKUP(B96,'11.COMPOSIÇÕES GERAIS'!B:I,8,0),VLOOKUP(B96,'12.COT.MERCADO'!A:I,8,0)))),"Em Elaboração")</f>
        <v>7.6</v>
      </c>
      <c r="J96" s="259">
        <f t="shared" si="5"/>
        <v>0</v>
      </c>
      <c r="K96" s="259">
        <f t="shared" si="6"/>
        <v>8.902142847</v>
      </c>
      <c r="L96" s="259">
        <f t="shared" si="7"/>
        <v>8.902142847</v>
      </c>
      <c r="M96" s="259">
        <f t="shared" si="8"/>
        <v>0</v>
      </c>
      <c r="N96" s="259">
        <f t="shared" si="9"/>
        <v>284.8685711</v>
      </c>
      <c r="O96" s="259">
        <f t="shared" si="10"/>
        <v>284.8685711</v>
      </c>
      <c r="P96" s="586">
        <f t="shared" si="3"/>
        <v>0.001552902918</v>
      </c>
    </row>
    <row r="97">
      <c r="A97" s="253" t="s">
        <v>640</v>
      </c>
      <c r="B97" s="254">
        <v>38071.0</v>
      </c>
      <c r="C97" s="255" t="str">
        <f t="shared" si="4"/>
        <v>SINAPI</v>
      </c>
      <c r="D97" s="256" t="s">
        <v>286</v>
      </c>
      <c r="E97" s="257" t="str">
        <f>IFERROR(IF(D97="SINAPI-S",VLOOKUP(B97,'20-B.SINAPI-S'!A:J,2,0),IF(D97="SINAPI-I",VLOOKUP(B97,'20-A.SINAPI-I'!A:G,2,0),IF(D97="COMPOSIÇÕES",VLOOKUP(B97,'11.COMPOSIÇÕES GERAIS'!B:I,2,0),VLOOKUP(B97,'12.COT.MERCADO'!A:I,2,0)))),"Em Elaboração")</f>
        <v>INTERRUPTORES SIMPLES (3 MODULOS) 10A, 250V, CONJUNTO MONTADO PARA EMBUTIR 4" X 2" (PLACA + SUPORTE + MODULOS)</v>
      </c>
      <c r="F97" s="258" t="str">
        <f>IFERROR(IF(D97="SINAPI-S",VLOOKUP(B97,'20-B.SINAPI-S'!A:J,3,0),IF(D97="SINAPI-I",VLOOKUP(B97,'20-A.SINAPI-I'!A:G,3,0),IF(D97="COMPOSIÇÕES",VLOOKUP(B97,'11.COMPOSIÇÕES GERAIS'!B:I,3,0),VLOOKUP(B97,'12.COT.MERCADO'!A:I,7,0)))),"Em Elaboração")</f>
        <v>UN</v>
      </c>
      <c r="G97" s="254">
        <v>4.0</v>
      </c>
      <c r="H97" s="259">
        <f>IFERROR(IF(D97="SINAPI-S",VLOOKUP(B97,'20-B.SINAPI-S'!A:J,5,0),IF(D97="SINAPI-I",VLOOKUP(B97,'20-A.SINAPI-I'!A:G,6,0),IF(D97="COMPOSIÇÕES",VLOOKUP(B97,'11.COMPOSIÇÕES GERAIS'!B:I,7,0),0))),"Em Elaboração")</f>
        <v>0</v>
      </c>
      <c r="I97" s="259">
        <f>IFERROR(IF(D97="SINAPI-S",VLOOKUP(B97,'20-B.SINAPI-S'!A:J,6,0),IF(D97="SINAPI-I",VLOOKUP(B97,'20-A.SINAPI-I'!A:G,7,0),IF(D97="COMPOSIÇÕES",VLOOKUP(B97,'11.COMPOSIÇÕES GERAIS'!B:I,8,0),VLOOKUP(B97,'12.COT.MERCADO'!A:I,8,0)))),"Em Elaboração")</f>
        <v>18.65</v>
      </c>
      <c r="J97" s="259">
        <f t="shared" si="5"/>
        <v>0</v>
      </c>
      <c r="K97" s="259">
        <f t="shared" si="6"/>
        <v>21.84539001</v>
      </c>
      <c r="L97" s="259">
        <f t="shared" si="7"/>
        <v>21.84539001</v>
      </c>
      <c r="M97" s="259">
        <f t="shared" si="8"/>
        <v>0</v>
      </c>
      <c r="N97" s="259">
        <f t="shared" si="9"/>
        <v>87.38156005</v>
      </c>
      <c r="O97" s="259">
        <f t="shared" si="10"/>
        <v>87.38156005</v>
      </c>
      <c r="P97" s="586">
        <f t="shared" si="3"/>
        <v>0.0004763427535</v>
      </c>
    </row>
    <row r="98">
      <c r="A98" s="253" t="s">
        <v>641</v>
      </c>
      <c r="B98" s="254">
        <v>38070.0</v>
      </c>
      <c r="C98" s="255" t="str">
        <f t="shared" si="4"/>
        <v>SINAPI</v>
      </c>
      <c r="D98" s="256" t="s">
        <v>286</v>
      </c>
      <c r="E98" s="257" t="str">
        <f>IFERROR(IF(D98="SINAPI-S",VLOOKUP(B98,'20-B.SINAPI-S'!A:J,2,0),IF(D98="SINAPI-I",VLOOKUP(B98,'20-A.SINAPI-I'!A:G,2,0),IF(D98="COMPOSIÇÕES",VLOOKUP(B98,'11.COMPOSIÇÕES GERAIS'!B:I,2,0),VLOOKUP(B98,'12.COT.MERCADO'!A:I,2,0)))),"Em Elaboração")</f>
        <v>INTERRUPTORES PARALELOS (2 MODULOS) 10A, 250V, CONJUNTO MONTADO PARA EMBUTIR 4" X 2" (PLACA + SUPORTE + MODULOS)</v>
      </c>
      <c r="F98" s="258" t="str">
        <f>IFERROR(IF(D98="SINAPI-S",VLOOKUP(B98,'20-B.SINAPI-S'!A:J,3,0),IF(D98="SINAPI-I",VLOOKUP(B98,'20-A.SINAPI-I'!A:G,3,0),IF(D98="COMPOSIÇÕES",VLOOKUP(B98,'11.COMPOSIÇÕES GERAIS'!B:I,3,0),VLOOKUP(B98,'12.COT.MERCADO'!A:I,7,0)))),"Em Elaboração")</f>
        <v>UN</v>
      </c>
      <c r="G98" s="254">
        <v>4.0</v>
      </c>
      <c r="H98" s="259">
        <f>IFERROR(IF(D98="SINAPI-S",VLOOKUP(B98,'20-B.SINAPI-S'!A:J,5,0),IF(D98="SINAPI-I",VLOOKUP(B98,'20-A.SINAPI-I'!A:G,6,0),IF(D98="COMPOSIÇÕES",VLOOKUP(B98,'11.COMPOSIÇÕES GERAIS'!B:I,7,0),0))),"Em Elaboração")</f>
        <v>0</v>
      </c>
      <c r="I98" s="259">
        <f>IFERROR(IF(D98="SINAPI-S",VLOOKUP(B98,'20-B.SINAPI-S'!A:J,6,0),IF(D98="SINAPI-I",VLOOKUP(B98,'20-A.SINAPI-I'!A:G,7,0),IF(D98="COMPOSIÇÕES",VLOOKUP(B98,'11.COMPOSIÇÕES GERAIS'!B:I,8,0),VLOOKUP(B98,'12.COT.MERCADO'!A:I,8,0)))),"Em Elaboração")</f>
        <v>18.02</v>
      </c>
      <c r="J98" s="259">
        <f t="shared" si="5"/>
        <v>0</v>
      </c>
      <c r="K98" s="259">
        <f t="shared" si="6"/>
        <v>21.10744922</v>
      </c>
      <c r="L98" s="259">
        <f t="shared" si="7"/>
        <v>21.10744922</v>
      </c>
      <c r="M98" s="259">
        <f t="shared" si="8"/>
        <v>0</v>
      </c>
      <c r="N98" s="259">
        <f t="shared" si="9"/>
        <v>84.4297969</v>
      </c>
      <c r="O98" s="259">
        <f t="shared" si="10"/>
        <v>84.4297969</v>
      </c>
      <c r="P98" s="586">
        <f t="shared" si="3"/>
        <v>0.0004602518187</v>
      </c>
    </row>
    <row r="99">
      <c r="A99" s="253" t="s">
        <v>642</v>
      </c>
      <c r="B99" s="254">
        <v>38066.0</v>
      </c>
      <c r="C99" s="255" t="str">
        <f t="shared" si="4"/>
        <v>SINAPI</v>
      </c>
      <c r="D99" s="256" t="s">
        <v>286</v>
      </c>
      <c r="E99" s="257" t="str">
        <f>IFERROR(IF(D99="SINAPI-S",VLOOKUP(B99,'20-B.SINAPI-S'!A:J,2,0),IF(D99="SINAPI-I",VLOOKUP(B99,'20-A.SINAPI-I'!A:G,2,0),IF(D99="COMPOSIÇÕES",VLOOKUP(B99,'11.COMPOSIÇÕES GERAIS'!B:I,2,0),VLOOKUP(B99,'12.COT.MERCADO'!A:I,2,0)))),"Em Elaboração")</f>
        <v>PULSADOR CAMPAINHA 10A, 250V, CONJUNTO MONTADO PARA EMBUTIR 4" X 2" (PLACA + SUPORTE + MODULO)</v>
      </c>
      <c r="F99" s="258" t="str">
        <f>IFERROR(IF(D99="SINAPI-S",VLOOKUP(B99,'20-B.SINAPI-S'!A:J,3,0),IF(D99="SINAPI-I",VLOOKUP(B99,'20-A.SINAPI-I'!A:G,3,0),IF(D99="COMPOSIÇÕES",VLOOKUP(B99,'11.COMPOSIÇÕES GERAIS'!B:I,3,0),VLOOKUP(B99,'12.COT.MERCADO'!A:I,7,0)))),"Em Elaboração")</f>
        <v>UN</v>
      </c>
      <c r="G99" s="254">
        <v>2.0</v>
      </c>
      <c r="H99" s="259">
        <f>IFERROR(IF(D99="SINAPI-S",VLOOKUP(B99,'20-B.SINAPI-S'!A:J,5,0),IF(D99="SINAPI-I",VLOOKUP(B99,'20-A.SINAPI-I'!A:G,6,0),IF(D99="COMPOSIÇÕES",VLOOKUP(B99,'11.COMPOSIÇÕES GERAIS'!B:I,7,0),0))),"Em Elaboração")</f>
        <v>0</v>
      </c>
      <c r="I99" s="259">
        <f>IFERROR(IF(D99="SINAPI-S",VLOOKUP(B99,'20-B.SINAPI-S'!A:J,6,0),IF(D99="SINAPI-I",VLOOKUP(B99,'20-A.SINAPI-I'!A:G,7,0),IF(D99="COMPOSIÇÕES",VLOOKUP(B99,'11.COMPOSIÇÕES GERAIS'!B:I,8,0),VLOOKUP(B99,'12.COT.MERCADO'!A:I,8,0)))),"Em Elaboração")</f>
        <v>10.24</v>
      </c>
      <c r="J99" s="259">
        <f t="shared" si="5"/>
        <v>0</v>
      </c>
      <c r="K99" s="259">
        <f t="shared" si="6"/>
        <v>11.99446615</v>
      </c>
      <c r="L99" s="259">
        <f t="shared" si="7"/>
        <v>11.99446615</v>
      </c>
      <c r="M99" s="259">
        <f t="shared" si="8"/>
        <v>0</v>
      </c>
      <c r="N99" s="259">
        <f t="shared" si="9"/>
        <v>23.9889323</v>
      </c>
      <c r="O99" s="259">
        <f t="shared" si="10"/>
        <v>23.9889323</v>
      </c>
      <c r="P99" s="586">
        <f t="shared" si="3"/>
        <v>0.000130770772</v>
      </c>
    </row>
    <row r="100">
      <c r="A100" s="253" t="s">
        <v>643</v>
      </c>
      <c r="B100" s="254">
        <v>38112.0</v>
      </c>
      <c r="C100" s="255" t="str">
        <f t="shared" si="4"/>
        <v>SINAPI</v>
      </c>
      <c r="D100" s="256" t="s">
        <v>286</v>
      </c>
      <c r="E100" s="257" t="str">
        <f>IFERROR(IF(D100="SINAPI-S",VLOOKUP(B100,'20-B.SINAPI-S'!A:J,2,0),IF(D100="SINAPI-I",VLOOKUP(B100,'20-A.SINAPI-I'!A:G,2,0),IF(D100="COMPOSIÇÕES",VLOOKUP(B100,'11.COMPOSIÇÕES GERAIS'!B:I,2,0),VLOOKUP(B100,'12.COT.MERCADO'!A:I,2,0)))),"Em Elaboração")</f>
        <v>INTERRUPTOR SIMPLES 10A, 250V (APENAS MODULO)</v>
      </c>
      <c r="F100" s="258" t="str">
        <f>IFERROR(IF(D100="SINAPI-S",VLOOKUP(B100,'20-B.SINAPI-S'!A:J,3,0),IF(D100="SINAPI-I",VLOOKUP(B100,'20-A.SINAPI-I'!A:G,3,0),IF(D100="COMPOSIÇÕES",VLOOKUP(B100,'11.COMPOSIÇÕES GERAIS'!B:I,3,0),VLOOKUP(B100,'12.COT.MERCADO'!A:I,7,0)))),"Em Elaboração")</f>
        <v>UN</v>
      </c>
      <c r="G100" s="254">
        <v>8.0</v>
      </c>
      <c r="H100" s="259">
        <f>IFERROR(IF(D100="SINAPI-S",VLOOKUP(B100,'20-B.SINAPI-S'!A:J,5,0),IF(D100="SINAPI-I",VLOOKUP(B100,'20-A.SINAPI-I'!A:G,6,0),IF(D100="COMPOSIÇÕES",VLOOKUP(B100,'11.COMPOSIÇÕES GERAIS'!B:I,7,0),0))),"Em Elaboração")</f>
        <v>0</v>
      </c>
      <c r="I100" s="259">
        <f>IFERROR(IF(D100="SINAPI-S",VLOOKUP(B100,'20-B.SINAPI-S'!A:J,6,0),IF(D100="SINAPI-I",VLOOKUP(B100,'20-A.SINAPI-I'!A:G,7,0),IF(D100="COMPOSIÇÕES",VLOOKUP(B100,'11.COMPOSIÇÕES GERAIS'!B:I,8,0),VLOOKUP(B100,'12.COT.MERCADO'!A:I,8,0)))),"Em Elaboração")</f>
        <v>7.4</v>
      </c>
      <c r="J100" s="259">
        <f t="shared" si="5"/>
        <v>0</v>
      </c>
      <c r="K100" s="259">
        <f t="shared" si="6"/>
        <v>8.66787593</v>
      </c>
      <c r="L100" s="259">
        <f t="shared" si="7"/>
        <v>8.66787593</v>
      </c>
      <c r="M100" s="259">
        <f t="shared" si="8"/>
        <v>0</v>
      </c>
      <c r="N100" s="259">
        <f t="shared" si="9"/>
        <v>69.34300744</v>
      </c>
      <c r="O100" s="259">
        <f t="shared" si="10"/>
        <v>69.34300744</v>
      </c>
      <c r="P100" s="586">
        <f t="shared" si="3"/>
        <v>0.0003780092629</v>
      </c>
    </row>
    <row r="101">
      <c r="A101" s="253" t="s">
        <v>644</v>
      </c>
      <c r="B101" s="254">
        <v>39387.0</v>
      </c>
      <c r="C101" s="255" t="str">
        <f t="shared" si="4"/>
        <v>SINAPI</v>
      </c>
      <c r="D101" s="256" t="s">
        <v>286</v>
      </c>
      <c r="E101" s="257" t="str">
        <f>IFERROR(IF(D101="SINAPI-S",VLOOKUP(B101,'20-B.SINAPI-S'!A:J,2,0),IF(D101="SINAPI-I",VLOOKUP(B101,'20-A.SINAPI-I'!A:G,2,0),IF(D101="COMPOSIÇÕES",VLOOKUP(B101,'11.COMPOSIÇÕES GERAIS'!B:I,2,0),VLOOKUP(B101,'12.COT.MERCADO'!A:I,2,0)))),"Em Elaboração")</f>
        <v>LAMPADA LED TUBULAR BIVOLT 18/20 W, BASE G13</v>
      </c>
      <c r="F101" s="258" t="str">
        <f>IFERROR(IF(D101="SINAPI-S",VLOOKUP(B101,'20-B.SINAPI-S'!A:J,3,0),IF(D101="SINAPI-I",VLOOKUP(B101,'20-A.SINAPI-I'!A:G,3,0),IF(D101="COMPOSIÇÕES",VLOOKUP(B101,'11.COMPOSIÇÕES GERAIS'!B:I,3,0),VLOOKUP(B101,'12.COT.MERCADO'!A:I,7,0)))),"Em Elaboração")</f>
        <v>UN</v>
      </c>
      <c r="G101" s="254">
        <v>300.0</v>
      </c>
      <c r="H101" s="259">
        <f>IFERROR(IF(D101="SINAPI-S",VLOOKUP(B101,'20-B.SINAPI-S'!A:J,5,0),IF(D101="SINAPI-I",VLOOKUP(B101,'20-A.SINAPI-I'!A:G,6,0),IF(D101="COMPOSIÇÕES",VLOOKUP(B101,'11.COMPOSIÇÕES GERAIS'!B:I,7,0),0))),"Em Elaboração")</f>
        <v>0</v>
      </c>
      <c r="I101" s="259">
        <f>IFERROR(IF(D101="SINAPI-S",VLOOKUP(B101,'20-B.SINAPI-S'!A:J,6,0),IF(D101="SINAPI-I",VLOOKUP(B101,'20-A.SINAPI-I'!A:G,7,0),IF(D101="COMPOSIÇÕES",VLOOKUP(B101,'11.COMPOSIÇÕES GERAIS'!B:I,8,0),VLOOKUP(B101,'12.COT.MERCADO'!A:I,8,0)))),"Em Elaboração")</f>
        <v>14.38</v>
      </c>
      <c r="J101" s="259">
        <f t="shared" si="5"/>
        <v>0</v>
      </c>
      <c r="K101" s="259">
        <f t="shared" si="6"/>
        <v>16.84379133</v>
      </c>
      <c r="L101" s="259">
        <f t="shared" si="7"/>
        <v>16.84379133</v>
      </c>
      <c r="M101" s="259">
        <f t="shared" si="8"/>
        <v>0</v>
      </c>
      <c r="N101" s="259">
        <f t="shared" si="9"/>
        <v>5053.1374</v>
      </c>
      <c r="O101" s="259">
        <f t="shared" si="10"/>
        <v>5053.1374</v>
      </c>
      <c r="P101" s="586">
        <f t="shared" si="3"/>
        <v>0.02754614797</v>
      </c>
    </row>
    <row r="102">
      <c r="A102" s="253" t="s">
        <v>645</v>
      </c>
      <c r="B102" s="254">
        <v>3750.0</v>
      </c>
      <c r="C102" s="255" t="str">
        <f t="shared" si="4"/>
        <v>SINAPI</v>
      </c>
      <c r="D102" s="256" t="s">
        <v>286</v>
      </c>
      <c r="E102" s="257" t="str">
        <f>IFERROR(IF(D102="SINAPI-S",VLOOKUP(B102,'20-B.SINAPI-S'!A:J,2,0),IF(D102="SINAPI-I",VLOOKUP(B102,'20-A.SINAPI-I'!A:G,2,0),IF(D102="COMPOSIÇÕES",VLOOKUP(B102,'11.COMPOSIÇÕES GERAIS'!B:I,2,0),VLOOKUP(B102,'12.COT.MERCADO'!A:I,2,0)))),"Em Elaboração")</f>
        <v>LAMPADA DE LUZ MISTA 250 W, BASE E27 (220 V)</v>
      </c>
      <c r="F102" s="258" t="str">
        <f>IFERROR(IF(D102="SINAPI-S",VLOOKUP(B102,'20-B.SINAPI-S'!A:J,3,0),IF(D102="SINAPI-I",VLOOKUP(B102,'20-A.SINAPI-I'!A:G,3,0),IF(D102="COMPOSIÇÕES",VLOOKUP(B102,'11.COMPOSIÇÕES GERAIS'!B:I,3,0),VLOOKUP(B102,'12.COT.MERCADO'!A:I,7,0)))),"Em Elaboração")</f>
        <v>UN</v>
      </c>
      <c r="G102" s="254">
        <v>15.0</v>
      </c>
      <c r="H102" s="259">
        <f>IFERROR(IF(D102="SINAPI-S",VLOOKUP(B102,'20-B.SINAPI-S'!A:J,5,0),IF(D102="SINAPI-I",VLOOKUP(B102,'20-A.SINAPI-I'!A:G,6,0),IF(D102="COMPOSIÇÕES",VLOOKUP(B102,'11.COMPOSIÇÕES GERAIS'!B:I,7,0),0))),"Em Elaboração")</f>
        <v>0</v>
      </c>
      <c r="I102" s="259">
        <f>IFERROR(IF(D102="SINAPI-S",VLOOKUP(B102,'20-B.SINAPI-S'!A:J,6,0),IF(D102="SINAPI-I",VLOOKUP(B102,'20-A.SINAPI-I'!A:G,7,0),IF(D102="COMPOSIÇÕES",VLOOKUP(B102,'11.COMPOSIÇÕES GERAIS'!B:I,8,0),VLOOKUP(B102,'12.COT.MERCADO'!A:I,8,0)))),"Em Elaboração")</f>
        <v>36.12</v>
      </c>
      <c r="J102" s="259">
        <f t="shared" si="5"/>
        <v>0</v>
      </c>
      <c r="K102" s="259">
        <f t="shared" si="6"/>
        <v>42.30860522</v>
      </c>
      <c r="L102" s="259">
        <f t="shared" si="7"/>
        <v>42.30860522</v>
      </c>
      <c r="M102" s="259">
        <f t="shared" si="8"/>
        <v>0</v>
      </c>
      <c r="N102" s="259">
        <f t="shared" si="9"/>
        <v>634.6290782</v>
      </c>
      <c r="O102" s="259">
        <f t="shared" si="10"/>
        <v>634.6290782</v>
      </c>
      <c r="P102" s="586">
        <f t="shared" si="3"/>
        <v>0.00345955099</v>
      </c>
    </row>
    <row r="103">
      <c r="A103" s="253" t="s">
        <v>646</v>
      </c>
      <c r="B103" s="254">
        <v>38194.0</v>
      </c>
      <c r="C103" s="255" t="str">
        <f t="shared" si="4"/>
        <v>SINAPI</v>
      </c>
      <c r="D103" s="256" t="s">
        <v>286</v>
      </c>
      <c r="E103" s="257" t="str">
        <f>IFERROR(IF(D103="SINAPI-S",VLOOKUP(B103,'20-B.SINAPI-S'!A:J,2,0),IF(D103="SINAPI-I",VLOOKUP(B103,'20-A.SINAPI-I'!A:G,2,0),IF(D103="COMPOSIÇÕES",VLOOKUP(B103,'11.COMPOSIÇÕES GERAIS'!B:I,2,0),VLOOKUP(B103,'12.COT.MERCADO'!A:I,2,0)))),"Em Elaboração")</f>
        <v>LAMPADA LED 10 W BIVOLT BRANCA, FORMATO TRADICIONAL (BASE E27)</v>
      </c>
      <c r="F103" s="258" t="str">
        <f>IFERROR(IF(D103="SINAPI-S",VLOOKUP(B103,'20-B.SINAPI-S'!A:J,3,0),IF(D103="SINAPI-I",VLOOKUP(B103,'20-A.SINAPI-I'!A:G,3,0),IF(D103="COMPOSIÇÕES",VLOOKUP(B103,'11.COMPOSIÇÕES GERAIS'!B:I,3,0),VLOOKUP(B103,'12.COT.MERCADO'!A:I,7,0)))),"Em Elaboração")</f>
        <v>UN</v>
      </c>
      <c r="G103" s="254">
        <v>50.0</v>
      </c>
      <c r="H103" s="259">
        <f>IFERROR(IF(D103="SINAPI-S",VLOOKUP(B103,'20-B.SINAPI-S'!A:J,5,0),IF(D103="SINAPI-I",VLOOKUP(B103,'20-A.SINAPI-I'!A:G,6,0),IF(D103="COMPOSIÇÕES",VLOOKUP(B103,'11.COMPOSIÇÕES GERAIS'!B:I,7,0),0))),"Em Elaboração")</f>
        <v>0</v>
      </c>
      <c r="I103" s="259">
        <f>IFERROR(IF(D103="SINAPI-S",VLOOKUP(B103,'20-B.SINAPI-S'!A:J,6,0),IF(D103="SINAPI-I",VLOOKUP(B103,'20-A.SINAPI-I'!A:G,7,0),IF(D103="COMPOSIÇÕES",VLOOKUP(B103,'11.COMPOSIÇÕES GERAIS'!B:I,8,0),VLOOKUP(B103,'12.COT.MERCADO'!A:I,8,0)))),"Em Elaboração")</f>
        <v>7.5</v>
      </c>
      <c r="J103" s="259">
        <f t="shared" si="5"/>
        <v>0</v>
      </c>
      <c r="K103" s="259">
        <f t="shared" si="6"/>
        <v>8.785009389</v>
      </c>
      <c r="L103" s="259">
        <f t="shared" si="7"/>
        <v>8.785009389</v>
      </c>
      <c r="M103" s="259">
        <f t="shared" si="8"/>
        <v>0</v>
      </c>
      <c r="N103" s="259">
        <f t="shared" si="9"/>
        <v>439.2504694</v>
      </c>
      <c r="O103" s="259">
        <f t="shared" si="10"/>
        <v>439.2504694</v>
      </c>
      <c r="P103" s="586">
        <f t="shared" si="3"/>
        <v>0.002394484351</v>
      </c>
    </row>
    <row r="104">
      <c r="A104" s="253" t="s">
        <v>647</v>
      </c>
      <c r="B104" s="254">
        <v>38774.0</v>
      </c>
      <c r="C104" s="255" t="str">
        <f t="shared" si="4"/>
        <v>SINAPI</v>
      </c>
      <c r="D104" s="256" t="s">
        <v>286</v>
      </c>
      <c r="E104" s="257" t="str">
        <f>IFERROR(IF(D104="SINAPI-S",VLOOKUP(B104,'20-B.SINAPI-S'!A:J,2,0),IF(D104="SINAPI-I",VLOOKUP(B104,'20-A.SINAPI-I'!A:G,2,0),IF(D104="COMPOSIÇÕES",VLOOKUP(B104,'11.COMPOSIÇÕES GERAIS'!B:I,2,0),VLOOKUP(B104,'12.COT.MERCADO'!A:I,2,0)))),"Em Elaboração")</f>
        <v>LUMINARIA DE EMERGENCIA 30 LEDS, POTENCIA 2 W, BATERIA DE LITIO, AUTONOMIA DE 6 HORAS</v>
      </c>
      <c r="F104" s="258" t="str">
        <f>IFERROR(IF(D104="SINAPI-S",VLOOKUP(B104,'20-B.SINAPI-S'!A:J,3,0),IF(D104="SINAPI-I",VLOOKUP(B104,'20-A.SINAPI-I'!A:G,3,0),IF(D104="COMPOSIÇÕES",VLOOKUP(B104,'11.COMPOSIÇÕES GERAIS'!B:I,3,0),VLOOKUP(B104,'12.COT.MERCADO'!A:I,7,0)))),"Em Elaboração")</f>
        <v>UN</v>
      </c>
      <c r="G104" s="254">
        <v>30.0</v>
      </c>
      <c r="H104" s="259">
        <f>IFERROR(IF(D104="SINAPI-S",VLOOKUP(B104,'20-B.SINAPI-S'!A:J,5,0),IF(D104="SINAPI-I",VLOOKUP(B104,'20-A.SINAPI-I'!A:G,6,0),IF(D104="COMPOSIÇÕES",VLOOKUP(B104,'11.COMPOSIÇÕES GERAIS'!B:I,7,0),0))),"Em Elaboração")</f>
        <v>0</v>
      </c>
      <c r="I104" s="259">
        <f>IFERROR(IF(D104="SINAPI-S",VLOOKUP(B104,'20-B.SINAPI-S'!A:J,6,0),IF(D104="SINAPI-I",VLOOKUP(B104,'20-A.SINAPI-I'!A:G,7,0),IF(D104="COMPOSIÇÕES",VLOOKUP(B104,'11.COMPOSIÇÕES GERAIS'!B:I,8,0),VLOOKUP(B104,'12.COT.MERCADO'!A:I,8,0)))),"Em Elaboração")</f>
        <v>18.84</v>
      </c>
      <c r="J104" s="259">
        <f t="shared" si="5"/>
        <v>0</v>
      </c>
      <c r="K104" s="259">
        <f t="shared" si="6"/>
        <v>22.06794358</v>
      </c>
      <c r="L104" s="259">
        <f t="shared" si="7"/>
        <v>22.06794358</v>
      </c>
      <c r="M104" s="259">
        <f t="shared" si="8"/>
        <v>0</v>
      </c>
      <c r="N104" s="259">
        <f t="shared" si="9"/>
        <v>662.0383075</v>
      </c>
      <c r="O104" s="259">
        <f t="shared" si="10"/>
        <v>662.0383075</v>
      </c>
      <c r="P104" s="586">
        <f t="shared" si="3"/>
        <v>0.003608966814</v>
      </c>
    </row>
    <row r="105">
      <c r="A105" s="253" t="s">
        <v>648</v>
      </c>
      <c r="B105" s="254">
        <v>39391.0</v>
      </c>
      <c r="C105" s="255" t="str">
        <f t="shared" si="4"/>
        <v>SINAPI</v>
      </c>
      <c r="D105" s="256" t="s">
        <v>286</v>
      </c>
      <c r="E105" s="257" t="str">
        <f>IFERROR(IF(D105="SINAPI-S",VLOOKUP(B105,'20-B.SINAPI-S'!A:J,2,0),IF(D105="SINAPI-I",VLOOKUP(B105,'20-A.SINAPI-I'!A:G,2,0),IF(D105="COMPOSIÇÕES",VLOOKUP(B105,'11.COMPOSIÇÕES GERAIS'!B:I,2,0),VLOOKUP(B105,'12.COT.MERCADO'!A:I,2,0)))),"Em Elaboração")</f>
        <v>LUMINARIA LED REFLETOR RETANGULAR BIVOLT, LUZ BRANCA, 50 W</v>
      </c>
      <c r="F105" s="258" t="str">
        <f>IFERROR(IF(D105="SINAPI-S",VLOOKUP(B105,'20-B.SINAPI-S'!A:J,3,0),IF(D105="SINAPI-I",VLOOKUP(B105,'20-A.SINAPI-I'!A:G,3,0),IF(D105="COMPOSIÇÕES",VLOOKUP(B105,'11.COMPOSIÇÕES GERAIS'!B:I,3,0),VLOOKUP(B105,'12.COT.MERCADO'!A:I,7,0)))),"Em Elaboração")</f>
        <v>UN</v>
      </c>
      <c r="G105" s="254">
        <v>8.0</v>
      </c>
      <c r="H105" s="259">
        <f>IFERROR(IF(D105="SINAPI-S",VLOOKUP(B105,'20-B.SINAPI-S'!A:J,5,0),IF(D105="SINAPI-I",VLOOKUP(B105,'20-A.SINAPI-I'!A:G,6,0),IF(D105="COMPOSIÇÕES",VLOOKUP(B105,'11.COMPOSIÇÕES GERAIS'!B:I,7,0),0))),"Em Elaboração")</f>
        <v>0</v>
      </c>
      <c r="I105" s="259">
        <f>IFERROR(IF(D105="SINAPI-S",VLOOKUP(B105,'20-B.SINAPI-S'!A:J,6,0),IF(D105="SINAPI-I",VLOOKUP(B105,'20-A.SINAPI-I'!A:G,7,0),IF(D105="COMPOSIÇÕES",VLOOKUP(B105,'11.COMPOSIÇÕES GERAIS'!B:I,8,0),VLOOKUP(B105,'12.COT.MERCADO'!A:I,8,0)))),"Em Elaboração")</f>
        <v>44</v>
      </c>
      <c r="J105" s="259">
        <f t="shared" si="5"/>
        <v>0</v>
      </c>
      <c r="K105" s="259">
        <f t="shared" si="6"/>
        <v>51.53872175</v>
      </c>
      <c r="L105" s="259">
        <f t="shared" si="7"/>
        <v>51.53872175</v>
      </c>
      <c r="M105" s="259">
        <f t="shared" si="8"/>
        <v>0</v>
      </c>
      <c r="N105" s="259">
        <f t="shared" si="9"/>
        <v>412.309774</v>
      </c>
      <c r="O105" s="259">
        <f t="shared" si="10"/>
        <v>412.309774</v>
      </c>
      <c r="P105" s="586">
        <f t="shared" si="3"/>
        <v>0.002247622644</v>
      </c>
    </row>
    <row r="106">
      <c r="A106" s="253" t="s">
        <v>649</v>
      </c>
      <c r="B106" s="254">
        <v>1892.0</v>
      </c>
      <c r="C106" s="255" t="str">
        <f t="shared" si="4"/>
        <v>SINAPI</v>
      </c>
      <c r="D106" s="256" t="s">
        <v>286</v>
      </c>
      <c r="E106" s="257" t="str">
        <f>IFERROR(IF(D106="SINAPI-S",VLOOKUP(B106,'20-B.SINAPI-S'!A:J,2,0),IF(D106="SINAPI-I",VLOOKUP(B106,'20-A.SINAPI-I'!A:G,2,0),IF(D106="COMPOSIÇÕES",VLOOKUP(B106,'11.COMPOSIÇÕES GERAIS'!B:I,2,0),VLOOKUP(B106,'12.COT.MERCADO'!A:I,2,0)))),"Em Elaboração")</f>
        <v>LUVA EM PVC RIGIDO ROSCAVEL, DE 1", PARA ELETRODUTO</v>
      </c>
      <c r="F106" s="258" t="str">
        <f>IFERROR(IF(D106="SINAPI-S",VLOOKUP(B106,'20-B.SINAPI-S'!A:J,3,0),IF(D106="SINAPI-I",VLOOKUP(B106,'20-A.SINAPI-I'!A:G,3,0),IF(D106="COMPOSIÇÕES",VLOOKUP(B106,'11.COMPOSIÇÕES GERAIS'!B:I,3,0),VLOOKUP(B106,'12.COT.MERCADO'!A:I,7,0)))),"Em Elaboração")</f>
        <v>UN</v>
      </c>
      <c r="G106" s="254">
        <v>8.0</v>
      </c>
      <c r="H106" s="259">
        <f>IFERROR(IF(D106="SINAPI-S",VLOOKUP(B106,'20-B.SINAPI-S'!A:J,5,0),IF(D106="SINAPI-I",VLOOKUP(B106,'20-A.SINAPI-I'!A:G,6,0),IF(D106="COMPOSIÇÕES",VLOOKUP(B106,'11.COMPOSIÇÕES GERAIS'!B:I,7,0),0))),"Em Elaboração")</f>
        <v>0</v>
      </c>
      <c r="I106" s="259">
        <f>IFERROR(IF(D106="SINAPI-S",VLOOKUP(B106,'20-B.SINAPI-S'!A:J,6,0),IF(D106="SINAPI-I",VLOOKUP(B106,'20-A.SINAPI-I'!A:G,7,0),IF(D106="COMPOSIÇÕES",VLOOKUP(B106,'11.COMPOSIÇÕES GERAIS'!B:I,8,0),VLOOKUP(B106,'12.COT.MERCADO'!A:I,8,0)))),"Em Elaboração")</f>
        <v>2.34</v>
      </c>
      <c r="J106" s="259">
        <f t="shared" si="5"/>
        <v>0</v>
      </c>
      <c r="K106" s="259">
        <f t="shared" si="6"/>
        <v>2.740922929</v>
      </c>
      <c r="L106" s="259">
        <f t="shared" si="7"/>
        <v>2.740922929</v>
      </c>
      <c r="M106" s="259">
        <f t="shared" si="8"/>
        <v>0</v>
      </c>
      <c r="N106" s="259">
        <f t="shared" si="9"/>
        <v>21.92738343</v>
      </c>
      <c r="O106" s="259">
        <f t="shared" si="10"/>
        <v>21.92738343</v>
      </c>
      <c r="P106" s="586">
        <f t="shared" si="3"/>
        <v>0.0001195326588</v>
      </c>
    </row>
    <row r="107">
      <c r="A107" s="253" t="s">
        <v>650</v>
      </c>
      <c r="B107" s="254">
        <v>1893.0</v>
      </c>
      <c r="C107" s="255" t="str">
        <f t="shared" si="4"/>
        <v>SINAPI</v>
      </c>
      <c r="D107" s="256" t="s">
        <v>286</v>
      </c>
      <c r="E107" s="257" t="str">
        <f>IFERROR(IF(D107="SINAPI-S",VLOOKUP(B107,'20-B.SINAPI-S'!A:J,2,0),IF(D107="SINAPI-I",VLOOKUP(B107,'20-A.SINAPI-I'!A:G,2,0),IF(D107="COMPOSIÇÕES",VLOOKUP(B107,'11.COMPOSIÇÕES GERAIS'!B:I,2,0),VLOOKUP(B107,'12.COT.MERCADO'!A:I,2,0)))),"Em Elaboração")</f>
        <v>LUVA EM PVC RIGIDO ROSCAVEL, DE 1 1/2", PARA ELETRODUTO</v>
      </c>
      <c r="F107" s="258" t="str">
        <f>IFERROR(IF(D107="SINAPI-S",VLOOKUP(B107,'20-B.SINAPI-S'!A:J,3,0),IF(D107="SINAPI-I",VLOOKUP(B107,'20-A.SINAPI-I'!A:G,3,0),IF(D107="COMPOSIÇÕES",VLOOKUP(B107,'11.COMPOSIÇÕES GERAIS'!B:I,3,0),VLOOKUP(B107,'12.COT.MERCADO'!A:I,7,0)))),"Em Elaboração")</f>
        <v>UN</v>
      </c>
      <c r="G107" s="254">
        <v>8.0</v>
      </c>
      <c r="H107" s="259">
        <f>IFERROR(IF(D107="SINAPI-S",VLOOKUP(B107,'20-B.SINAPI-S'!A:J,5,0),IF(D107="SINAPI-I",VLOOKUP(B107,'20-A.SINAPI-I'!A:G,6,0),IF(D107="COMPOSIÇÕES",VLOOKUP(B107,'11.COMPOSIÇÕES GERAIS'!B:I,7,0),0))),"Em Elaboração")</f>
        <v>0</v>
      </c>
      <c r="I107" s="259">
        <f>IFERROR(IF(D107="SINAPI-S",VLOOKUP(B107,'20-B.SINAPI-S'!A:J,6,0),IF(D107="SINAPI-I",VLOOKUP(B107,'20-A.SINAPI-I'!A:G,7,0),IF(D107="COMPOSIÇÕES",VLOOKUP(B107,'11.COMPOSIÇÕES GERAIS'!B:I,8,0),VLOOKUP(B107,'12.COT.MERCADO'!A:I,8,0)))),"Em Elaboração")</f>
        <v>5</v>
      </c>
      <c r="J107" s="259">
        <f t="shared" si="5"/>
        <v>0</v>
      </c>
      <c r="K107" s="259">
        <f t="shared" si="6"/>
        <v>5.856672926</v>
      </c>
      <c r="L107" s="259">
        <f t="shared" si="7"/>
        <v>5.856672926</v>
      </c>
      <c r="M107" s="259">
        <f t="shared" si="8"/>
        <v>0</v>
      </c>
      <c r="N107" s="259">
        <f t="shared" si="9"/>
        <v>46.85338341</v>
      </c>
      <c r="O107" s="259">
        <f t="shared" si="10"/>
        <v>46.85338341</v>
      </c>
      <c r="P107" s="586">
        <f t="shared" si="3"/>
        <v>0.0002554116641</v>
      </c>
    </row>
    <row r="108">
      <c r="A108" s="253" t="s">
        <v>651</v>
      </c>
      <c r="B108" s="254">
        <v>1902.0</v>
      </c>
      <c r="C108" s="255" t="str">
        <f t="shared" si="4"/>
        <v>SINAPI</v>
      </c>
      <c r="D108" s="256" t="s">
        <v>286</v>
      </c>
      <c r="E108" s="257" t="str">
        <f>IFERROR(IF(D108="SINAPI-S",VLOOKUP(B108,'20-B.SINAPI-S'!A:J,2,0),IF(D108="SINAPI-I",VLOOKUP(B108,'20-A.SINAPI-I'!A:G,2,0),IF(D108="COMPOSIÇÕES",VLOOKUP(B108,'11.COMPOSIÇÕES GERAIS'!B:I,2,0),VLOOKUP(B108,'12.COT.MERCADO'!A:I,2,0)))),"Em Elaboração")</f>
        <v>LUVA EM PVC RIGIDO ROSCAVEL, DE 1 1/4", PARA ELETRODUTO</v>
      </c>
      <c r="F108" s="258" t="str">
        <f>IFERROR(IF(D108="SINAPI-S",VLOOKUP(B108,'20-B.SINAPI-S'!A:J,3,0),IF(D108="SINAPI-I",VLOOKUP(B108,'20-A.SINAPI-I'!A:G,3,0),IF(D108="COMPOSIÇÕES",VLOOKUP(B108,'11.COMPOSIÇÕES GERAIS'!B:I,3,0),VLOOKUP(B108,'12.COT.MERCADO'!A:I,7,0)))),"Em Elaboração")</f>
        <v>UN</v>
      </c>
      <c r="G108" s="254">
        <v>8.0</v>
      </c>
      <c r="H108" s="259">
        <f>IFERROR(IF(D108="SINAPI-S",VLOOKUP(B108,'20-B.SINAPI-S'!A:J,5,0),IF(D108="SINAPI-I",VLOOKUP(B108,'20-A.SINAPI-I'!A:G,6,0),IF(D108="COMPOSIÇÕES",VLOOKUP(B108,'11.COMPOSIÇÕES GERAIS'!B:I,7,0),0))),"Em Elaboração")</f>
        <v>0</v>
      </c>
      <c r="I108" s="259">
        <f>IFERROR(IF(D108="SINAPI-S",VLOOKUP(B108,'20-B.SINAPI-S'!A:J,6,0),IF(D108="SINAPI-I",VLOOKUP(B108,'20-A.SINAPI-I'!A:G,7,0),IF(D108="COMPOSIÇÕES",VLOOKUP(B108,'11.COMPOSIÇÕES GERAIS'!B:I,8,0),VLOOKUP(B108,'12.COT.MERCADO'!A:I,8,0)))),"Em Elaboração")</f>
        <v>3.64</v>
      </c>
      <c r="J108" s="259">
        <f t="shared" si="5"/>
        <v>0</v>
      </c>
      <c r="K108" s="259">
        <f t="shared" si="6"/>
        <v>4.26365789</v>
      </c>
      <c r="L108" s="259">
        <f t="shared" si="7"/>
        <v>4.26365789</v>
      </c>
      <c r="M108" s="259">
        <f t="shared" si="8"/>
        <v>0</v>
      </c>
      <c r="N108" s="259">
        <f t="shared" si="9"/>
        <v>34.10926312</v>
      </c>
      <c r="O108" s="259">
        <f t="shared" si="10"/>
        <v>34.10926312</v>
      </c>
      <c r="P108" s="586">
        <f t="shared" si="3"/>
        <v>0.0001859396915</v>
      </c>
    </row>
    <row r="109">
      <c r="A109" s="253" t="s">
        <v>652</v>
      </c>
      <c r="B109" s="254">
        <v>1894.0</v>
      </c>
      <c r="C109" s="255" t="str">
        <f t="shared" si="4"/>
        <v>SINAPI</v>
      </c>
      <c r="D109" s="256" t="s">
        <v>286</v>
      </c>
      <c r="E109" s="257" t="str">
        <f>IFERROR(IF(D109="SINAPI-S",VLOOKUP(B109,'20-B.SINAPI-S'!A:J,2,0),IF(D109="SINAPI-I",VLOOKUP(B109,'20-A.SINAPI-I'!A:G,2,0),IF(D109="COMPOSIÇÕES",VLOOKUP(B109,'11.COMPOSIÇÕES GERAIS'!B:I,2,0),VLOOKUP(B109,'12.COT.MERCADO'!A:I,2,0)))),"Em Elaboração")</f>
        <v>LUVA EM PVC RIGIDO ROSCAVEL, DE 2", PARA ELETRODUTO</v>
      </c>
      <c r="F109" s="258" t="str">
        <f>IFERROR(IF(D109="SINAPI-S",VLOOKUP(B109,'20-B.SINAPI-S'!A:J,3,0),IF(D109="SINAPI-I",VLOOKUP(B109,'20-A.SINAPI-I'!A:G,3,0),IF(D109="COMPOSIÇÕES",VLOOKUP(B109,'11.COMPOSIÇÕES GERAIS'!B:I,3,0),VLOOKUP(B109,'12.COT.MERCADO'!A:I,7,0)))),"Em Elaboração")</f>
        <v>UN</v>
      </c>
      <c r="G109" s="254">
        <v>8.0</v>
      </c>
      <c r="H109" s="259">
        <f>IFERROR(IF(D109="SINAPI-S",VLOOKUP(B109,'20-B.SINAPI-S'!A:J,5,0),IF(D109="SINAPI-I",VLOOKUP(B109,'20-A.SINAPI-I'!A:G,6,0),IF(D109="COMPOSIÇÕES",VLOOKUP(B109,'11.COMPOSIÇÕES GERAIS'!B:I,7,0),0))),"Em Elaboração")</f>
        <v>0</v>
      </c>
      <c r="I109" s="259">
        <f>IFERROR(IF(D109="SINAPI-S",VLOOKUP(B109,'20-B.SINAPI-S'!A:J,6,0),IF(D109="SINAPI-I",VLOOKUP(B109,'20-A.SINAPI-I'!A:G,7,0),IF(D109="COMPOSIÇÕES",VLOOKUP(B109,'11.COMPOSIÇÕES GERAIS'!B:I,8,0),VLOOKUP(B109,'12.COT.MERCADO'!A:I,8,0)))),"Em Elaboração")</f>
        <v>7.24</v>
      </c>
      <c r="J109" s="259">
        <f t="shared" si="5"/>
        <v>0</v>
      </c>
      <c r="K109" s="259">
        <f t="shared" si="6"/>
        <v>8.480462396</v>
      </c>
      <c r="L109" s="259">
        <f t="shared" si="7"/>
        <v>8.480462396</v>
      </c>
      <c r="M109" s="259">
        <f t="shared" si="8"/>
        <v>0</v>
      </c>
      <c r="N109" s="259">
        <f t="shared" si="9"/>
        <v>67.84369917</v>
      </c>
      <c r="O109" s="259">
        <f t="shared" si="10"/>
        <v>67.84369917</v>
      </c>
      <c r="P109" s="586">
        <f t="shared" si="3"/>
        <v>0.0003698360896</v>
      </c>
    </row>
    <row r="110">
      <c r="A110" s="253" t="s">
        <v>653</v>
      </c>
      <c r="B110" s="254">
        <v>1891.0</v>
      </c>
      <c r="C110" s="255" t="str">
        <f t="shared" si="4"/>
        <v>SINAPI</v>
      </c>
      <c r="D110" s="256" t="s">
        <v>286</v>
      </c>
      <c r="E110" s="257" t="str">
        <f>IFERROR(IF(D110="SINAPI-S",VLOOKUP(B110,'20-B.SINAPI-S'!A:J,2,0),IF(D110="SINAPI-I",VLOOKUP(B110,'20-A.SINAPI-I'!A:G,2,0),IF(D110="COMPOSIÇÕES",VLOOKUP(B110,'11.COMPOSIÇÕES GERAIS'!B:I,2,0),VLOOKUP(B110,'12.COT.MERCADO'!A:I,2,0)))),"Em Elaboração")</f>
        <v>LUVA EM PVC RIGIDO ROSCAVEL, DE 3/4", PARA ELETRODUTO</v>
      </c>
      <c r="F110" s="258" t="str">
        <f>IFERROR(IF(D110="SINAPI-S",VLOOKUP(B110,'20-B.SINAPI-S'!A:J,3,0),IF(D110="SINAPI-I",VLOOKUP(B110,'20-A.SINAPI-I'!A:G,3,0),IF(D110="COMPOSIÇÕES",VLOOKUP(B110,'11.COMPOSIÇÕES GERAIS'!B:I,3,0),VLOOKUP(B110,'12.COT.MERCADO'!A:I,7,0)))),"Em Elaboração")</f>
        <v>UN</v>
      </c>
      <c r="G110" s="254">
        <v>8.0</v>
      </c>
      <c r="H110" s="259">
        <f>IFERROR(IF(D110="SINAPI-S",VLOOKUP(B110,'20-B.SINAPI-S'!A:J,5,0),IF(D110="SINAPI-I",VLOOKUP(B110,'20-A.SINAPI-I'!A:G,6,0),IF(D110="COMPOSIÇÕES",VLOOKUP(B110,'11.COMPOSIÇÕES GERAIS'!B:I,7,0),0))),"Em Elaboração")</f>
        <v>0</v>
      </c>
      <c r="I110" s="259">
        <f>IFERROR(IF(D110="SINAPI-S",VLOOKUP(B110,'20-B.SINAPI-S'!A:J,6,0),IF(D110="SINAPI-I",VLOOKUP(B110,'20-A.SINAPI-I'!A:G,7,0),IF(D110="COMPOSIÇÕES",VLOOKUP(B110,'11.COMPOSIÇÕES GERAIS'!B:I,8,0),VLOOKUP(B110,'12.COT.MERCADO'!A:I,8,0)))),"Em Elaboração")</f>
        <v>1.68</v>
      </c>
      <c r="J110" s="259">
        <f t="shared" si="5"/>
        <v>0</v>
      </c>
      <c r="K110" s="259">
        <f t="shared" si="6"/>
        <v>1.967842103</v>
      </c>
      <c r="L110" s="259">
        <f t="shared" si="7"/>
        <v>1.967842103</v>
      </c>
      <c r="M110" s="259">
        <f t="shared" si="8"/>
        <v>0</v>
      </c>
      <c r="N110" s="259">
        <f t="shared" si="9"/>
        <v>15.74273682</v>
      </c>
      <c r="O110" s="259">
        <f t="shared" si="10"/>
        <v>15.74273682</v>
      </c>
      <c r="P110" s="586">
        <f t="shared" si="3"/>
        <v>0.00008581831914</v>
      </c>
    </row>
    <row r="111">
      <c r="A111" s="253" t="s">
        <v>654</v>
      </c>
      <c r="B111" s="254">
        <v>1901.0</v>
      </c>
      <c r="C111" s="255" t="str">
        <f t="shared" si="4"/>
        <v>SINAPI</v>
      </c>
      <c r="D111" s="256" t="s">
        <v>286</v>
      </c>
      <c r="E111" s="257" t="str">
        <f>IFERROR(IF(D111="SINAPI-S",VLOOKUP(B111,'20-B.SINAPI-S'!A:J,2,0),IF(D111="SINAPI-I",VLOOKUP(B111,'20-A.SINAPI-I'!A:G,2,0),IF(D111="COMPOSIÇÕES",VLOOKUP(B111,'11.COMPOSIÇÕES GERAIS'!B:I,2,0),VLOOKUP(B111,'12.COT.MERCADO'!A:I,2,0)))),"Em Elaboração")</f>
        <v>LUVA EM PVC RIGIDO ROSCAVEL, DE 1/2", PARA ELETRODUTO</v>
      </c>
      <c r="F111" s="258" t="str">
        <f>IFERROR(IF(D111="SINAPI-S",VLOOKUP(B111,'20-B.SINAPI-S'!A:J,3,0),IF(D111="SINAPI-I",VLOOKUP(B111,'20-A.SINAPI-I'!A:G,3,0),IF(D111="COMPOSIÇÕES",VLOOKUP(B111,'11.COMPOSIÇÕES GERAIS'!B:I,3,0),VLOOKUP(B111,'12.COT.MERCADO'!A:I,7,0)))),"Em Elaboração")</f>
        <v>UN</v>
      </c>
      <c r="G111" s="254">
        <v>8.0</v>
      </c>
      <c r="H111" s="259">
        <f>IFERROR(IF(D111="SINAPI-S",VLOOKUP(B111,'20-B.SINAPI-S'!A:J,5,0),IF(D111="SINAPI-I",VLOOKUP(B111,'20-A.SINAPI-I'!A:G,6,0),IF(D111="COMPOSIÇÕES",VLOOKUP(B111,'11.COMPOSIÇÕES GERAIS'!B:I,7,0),0))),"Em Elaboração")</f>
        <v>0</v>
      </c>
      <c r="I111" s="259">
        <f>IFERROR(IF(D111="SINAPI-S",VLOOKUP(B111,'20-B.SINAPI-S'!A:J,6,0),IF(D111="SINAPI-I",VLOOKUP(B111,'20-A.SINAPI-I'!A:G,7,0),IF(D111="COMPOSIÇÕES",VLOOKUP(B111,'11.COMPOSIÇÕES GERAIS'!B:I,8,0),VLOOKUP(B111,'12.COT.MERCADO'!A:I,8,0)))),"Em Elaboração")</f>
        <v>1.14</v>
      </c>
      <c r="J111" s="259">
        <f t="shared" si="5"/>
        <v>0</v>
      </c>
      <c r="K111" s="259">
        <f t="shared" si="6"/>
        <v>1.335321427</v>
      </c>
      <c r="L111" s="259">
        <f t="shared" si="7"/>
        <v>1.335321427</v>
      </c>
      <c r="M111" s="259">
        <f t="shared" si="8"/>
        <v>0</v>
      </c>
      <c r="N111" s="259">
        <f t="shared" si="9"/>
        <v>10.68257142</v>
      </c>
      <c r="O111" s="259">
        <f t="shared" si="10"/>
        <v>10.68257142</v>
      </c>
      <c r="P111" s="586">
        <f t="shared" si="3"/>
        <v>0.00005823385941</v>
      </c>
    </row>
    <row r="112">
      <c r="A112" s="253" t="s">
        <v>655</v>
      </c>
      <c r="B112" s="254">
        <v>2637.0</v>
      </c>
      <c r="C112" s="255" t="str">
        <f t="shared" si="4"/>
        <v>SINAPI</v>
      </c>
      <c r="D112" s="256" t="s">
        <v>286</v>
      </c>
      <c r="E112" s="257" t="str">
        <f>IFERROR(IF(D112="SINAPI-S",VLOOKUP(B112,'20-B.SINAPI-S'!A:J,2,0),IF(D112="SINAPI-I",VLOOKUP(B112,'20-A.SINAPI-I'!A:G,2,0),IF(D112="COMPOSIÇÕES",VLOOKUP(B112,'11.COMPOSIÇÕES GERAIS'!B:I,2,0),VLOOKUP(B112,'12.COT.MERCADO'!A:I,2,0)))),"Em Elaboração")</f>
        <v>LUVA PARA ELETRODUTO, EM ACO GALVANIZADO ELETROLITICO, DIAMETRO DE 20 MM (3/4")</v>
      </c>
      <c r="F112" s="258" t="str">
        <f>IFERROR(IF(D112="SINAPI-S",VLOOKUP(B112,'20-B.SINAPI-S'!A:J,3,0),IF(D112="SINAPI-I",VLOOKUP(B112,'20-A.SINAPI-I'!A:G,3,0),IF(D112="COMPOSIÇÕES",VLOOKUP(B112,'11.COMPOSIÇÕES GERAIS'!B:I,3,0),VLOOKUP(B112,'12.COT.MERCADO'!A:I,7,0)))),"Em Elaboração")</f>
        <v>UN</v>
      </c>
      <c r="G112" s="254">
        <v>8.0</v>
      </c>
      <c r="H112" s="259">
        <f>IFERROR(IF(D112="SINAPI-S",VLOOKUP(B112,'20-B.SINAPI-S'!A:J,5,0),IF(D112="SINAPI-I",VLOOKUP(B112,'20-A.SINAPI-I'!A:G,6,0),IF(D112="COMPOSIÇÕES",VLOOKUP(B112,'11.COMPOSIÇÕES GERAIS'!B:I,7,0),0))),"Em Elaboração")</f>
        <v>0</v>
      </c>
      <c r="I112" s="259">
        <f>IFERROR(IF(D112="SINAPI-S",VLOOKUP(B112,'20-B.SINAPI-S'!A:J,6,0),IF(D112="SINAPI-I",VLOOKUP(B112,'20-A.SINAPI-I'!A:G,7,0),IF(D112="COMPOSIÇÕES",VLOOKUP(B112,'11.COMPOSIÇÕES GERAIS'!B:I,8,0),VLOOKUP(B112,'12.COT.MERCADO'!A:I,8,0)))),"Em Elaboração")</f>
        <v>2.3</v>
      </c>
      <c r="J112" s="259">
        <f t="shared" si="5"/>
        <v>0</v>
      </c>
      <c r="K112" s="259">
        <f t="shared" si="6"/>
        <v>2.694069546</v>
      </c>
      <c r="L112" s="259">
        <f t="shared" si="7"/>
        <v>2.694069546</v>
      </c>
      <c r="M112" s="259">
        <f t="shared" si="8"/>
        <v>0</v>
      </c>
      <c r="N112" s="259">
        <f t="shared" si="9"/>
        <v>21.55255637</v>
      </c>
      <c r="O112" s="259">
        <f t="shared" si="10"/>
        <v>21.55255637</v>
      </c>
      <c r="P112" s="586">
        <f t="shared" si="3"/>
        <v>0.0001174893655</v>
      </c>
    </row>
    <row r="113">
      <c r="A113" s="253" t="s">
        <v>656</v>
      </c>
      <c r="B113" s="254">
        <v>12038.0</v>
      </c>
      <c r="C113" s="255" t="str">
        <f t="shared" si="4"/>
        <v>SINAPI</v>
      </c>
      <c r="D113" s="256" t="s">
        <v>286</v>
      </c>
      <c r="E113" s="257" t="str">
        <f>IFERROR(IF(D113="SINAPI-S",VLOOKUP(B113,'20-B.SINAPI-S'!A:J,2,0),IF(D113="SINAPI-I",VLOOKUP(B113,'20-A.SINAPI-I'!A:G,2,0),IF(D113="COMPOSIÇÕES",VLOOKUP(B113,'11.COMPOSIÇÕES GERAIS'!B:I,2,0),VLOOKUP(B113,'12.COT.MERCADO'!A:I,2,0)))),"Em Elaboração")</f>
        <v>QUADRO DE DISTRIBUICAO COM BARRAMENTO TRIFASICO, DE SOBREPOR, EM CHAPA DE ACO GALVANIZADO, PARA 18 DISJUNTORES DIN, 100 A</v>
      </c>
      <c r="F113" s="258" t="str">
        <f>IFERROR(IF(D113="SINAPI-S",VLOOKUP(B113,'20-B.SINAPI-S'!A:J,3,0),IF(D113="SINAPI-I",VLOOKUP(B113,'20-A.SINAPI-I'!A:G,3,0),IF(D113="COMPOSIÇÕES",VLOOKUP(B113,'11.COMPOSIÇÕES GERAIS'!B:I,3,0),VLOOKUP(B113,'12.COT.MERCADO'!A:I,7,0)))),"Em Elaboração")</f>
        <v>UN</v>
      </c>
      <c r="G113" s="254">
        <v>2.0</v>
      </c>
      <c r="H113" s="259">
        <f>IFERROR(IF(D113="SINAPI-S",VLOOKUP(B113,'20-B.SINAPI-S'!A:J,5,0),IF(D113="SINAPI-I",VLOOKUP(B113,'20-A.SINAPI-I'!A:G,6,0),IF(D113="COMPOSIÇÕES",VLOOKUP(B113,'11.COMPOSIÇÕES GERAIS'!B:I,7,0),0))),"Em Elaboração")</f>
        <v>0</v>
      </c>
      <c r="I113" s="259">
        <f>IFERROR(IF(D113="SINAPI-S",VLOOKUP(B113,'20-B.SINAPI-S'!A:J,6,0),IF(D113="SINAPI-I",VLOOKUP(B113,'20-A.SINAPI-I'!A:G,7,0),IF(D113="COMPOSIÇÕES",VLOOKUP(B113,'11.COMPOSIÇÕES GERAIS'!B:I,8,0),VLOOKUP(B113,'12.COT.MERCADO'!A:I,8,0)))),"Em Elaboração")</f>
        <v>450.3</v>
      </c>
      <c r="J113" s="259">
        <f t="shared" si="5"/>
        <v>0</v>
      </c>
      <c r="K113" s="259">
        <f t="shared" si="6"/>
        <v>527.4519637</v>
      </c>
      <c r="L113" s="259">
        <f t="shared" si="7"/>
        <v>527.4519637</v>
      </c>
      <c r="M113" s="259">
        <f t="shared" si="8"/>
        <v>0</v>
      </c>
      <c r="N113" s="259">
        <f t="shared" si="9"/>
        <v>1054.903927</v>
      </c>
      <c r="O113" s="259">
        <f t="shared" si="10"/>
        <v>1054.903927</v>
      </c>
      <c r="P113" s="586">
        <f t="shared" si="3"/>
        <v>0.005750593617</v>
      </c>
    </row>
    <row r="114">
      <c r="A114" s="253" t="s">
        <v>657</v>
      </c>
      <c r="B114" s="254">
        <v>12296.0</v>
      </c>
      <c r="C114" s="255" t="str">
        <f t="shared" si="4"/>
        <v>SINAPI</v>
      </c>
      <c r="D114" s="256" t="s">
        <v>286</v>
      </c>
      <c r="E114" s="257" t="str">
        <f>IFERROR(IF(D114="SINAPI-S",VLOOKUP(B114,'20-B.SINAPI-S'!A:J,2,0),IF(D114="SINAPI-I",VLOOKUP(B114,'20-A.SINAPI-I'!A:G,2,0),IF(D114="COMPOSIÇÕES",VLOOKUP(B114,'11.COMPOSIÇÕES GERAIS'!B:I,2,0),VLOOKUP(B114,'12.COT.MERCADO'!A:I,2,0)))),"Em Elaboração")</f>
        <v>SOQUETE DE PORCELANA BASE E27, FIXO DE TETO, PARA LAMPADAS</v>
      </c>
      <c r="F114" s="258" t="str">
        <f>IFERROR(IF(D114="SINAPI-S",VLOOKUP(B114,'20-B.SINAPI-S'!A:J,3,0),IF(D114="SINAPI-I",VLOOKUP(B114,'20-A.SINAPI-I'!A:G,3,0),IF(D114="COMPOSIÇÕES",VLOOKUP(B114,'11.COMPOSIÇÕES GERAIS'!B:I,3,0),VLOOKUP(B114,'12.COT.MERCADO'!A:I,7,0)))),"Em Elaboração")</f>
        <v>UN</v>
      </c>
      <c r="G114" s="254">
        <v>4.0</v>
      </c>
      <c r="H114" s="259">
        <f>IFERROR(IF(D114="SINAPI-S",VLOOKUP(B114,'20-B.SINAPI-S'!A:J,5,0),IF(D114="SINAPI-I",VLOOKUP(B114,'20-A.SINAPI-I'!A:G,6,0),IF(D114="COMPOSIÇÕES",VLOOKUP(B114,'11.COMPOSIÇÕES GERAIS'!B:I,7,0),0))),"Em Elaboração")</f>
        <v>0</v>
      </c>
      <c r="I114" s="259">
        <f>IFERROR(IF(D114="SINAPI-S",VLOOKUP(B114,'20-B.SINAPI-S'!A:J,6,0),IF(D114="SINAPI-I",VLOOKUP(B114,'20-A.SINAPI-I'!A:G,7,0),IF(D114="COMPOSIÇÕES",VLOOKUP(B114,'11.COMPOSIÇÕES GERAIS'!B:I,8,0),VLOOKUP(B114,'12.COT.MERCADO'!A:I,8,0)))),"Em Elaboração")</f>
        <v>4.47</v>
      </c>
      <c r="J114" s="259">
        <f t="shared" si="5"/>
        <v>0</v>
      </c>
      <c r="K114" s="259">
        <f t="shared" si="6"/>
        <v>5.235865596</v>
      </c>
      <c r="L114" s="259">
        <f t="shared" si="7"/>
        <v>5.235865596</v>
      </c>
      <c r="M114" s="259">
        <f t="shared" si="8"/>
        <v>0</v>
      </c>
      <c r="N114" s="259">
        <f t="shared" si="9"/>
        <v>20.94346238</v>
      </c>
      <c r="O114" s="259">
        <f t="shared" si="10"/>
        <v>20.94346238</v>
      </c>
      <c r="P114" s="586">
        <f t="shared" si="3"/>
        <v>0.0001141690139</v>
      </c>
    </row>
    <row r="115">
      <c r="A115" s="253" t="s">
        <v>658</v>
      </c>
      <c r="B115" s="254">
        <v>2510.0</v>
      </c>
      <c r="C115" s="255" t="str">
        <f t="shared" si="4"/>
        <v>SINAPI</v>
      </c>
      <c r="D115" s="256" t="s">
        <v>286</v>
      </c>
      <c r="E115" s="257" t="str">
        <f>IFERROR(IF(D115="SINAPI-S",VLOOKUP(B115,'20-B.SINAPI-S'!A:J,2,0),IF(D115="SINAPI-I",VLOOKUP(B115,'20-A.SINAPI-I'!A:G,2,0),IF(D115="COMPOSIÇÕES",VLOOKUP(B115,'11.COMPOSIÇÕES GERAIS'!B:I,2,0),VLOOKUP(B115,'12.COT.MERCADO'!A:I,2,0)))),"Em Elaboração")</f>
        <v>RELE FOTOELETRICO INTERNO E EXTERNO BIVOLT 1000 W, DE CONECTOR, SEM BASE</v>
      </c>
      <c r="F115" s="258" t="str">
        <f>IFERROR(IF(D115="SINAPI-S",VLOOKUP(B115,'20-B.SINAPI-S'!A:J,3,0),IF(D115="SINAPI-I",VLOOKUP(B115,'20-A.SINAPI-I'!A:G,3,0),IF(D115="COMPOSIÇÕES",VLOOKUP(B115,'11.COMPOSIÇÕES GERAIS'!B:I,3,0),VLOOKUP(B115,'12.COT.MERCADO'!A:I,7,0)))),"Em Elaboração")</f>
        <v>UN</v>
      </c>
      <c r="G115" s="254">
        <v>4.0</v>
      </c>
      <c r="H115" s="259">
        <f>IFERROR(IF(D115="SINAPI-S",VLOOKUP(B115,'20-B.SINAPI-S'!A:J,5,0),IF(D115="SINAPI-I",VLOOKUP(B115,'20-A.SINAPI-I'!A:G,6,0),IF(D115="COMPOSIÇÕES",VLOOKUP(B115,'11.COMPOSIÇÕES GERAIS'!B:I,7,0),0))),"Em Elaboração")</f>
        <v>0</v>
      </c>
      <c r="I115" s="259">
        <f>IFERROR(IF(D115="SINAPI-S",VLOOKUP(B115,'20-B.SINAPI-S'!A:J,6,0),IF(D115="SINAPI-I",VLOOKUP(B115,'20-A.SINAPI-I'!A:G,7,0),IF(D115="COMPOSIÇÕES",VLOOKUP(B115,'11.COMPOSIÇÕES GERAIS'!B:I,8,0),VLOOKUP(B115,'12.COT.MERCADO'!A:I,8,0)))),"Em Elaboração")</f>
        <v>34.29</v>
      </c>
      <c r="J115" s="259">
        <f t="shared" si="5"/>
        <v>0</v>
      </c>
      <c r="K115" s="259">
        <f t="shared" si="6"/>
        <v>40.16506292</v>
      </c>
      <c r="L115" s="259">
        <f t="shared" si="7"/>
        <v>40.16506292</v>
      </c>
      <c r="M115" s="259">
        <f t="shared" si="8"/>
        <v>0</v>
      </c>
      <c r="N115" s="259">
        <f t="shared" si="9"/>
        <v>160.6602517</v>
      </c>
      <c r="O115" s="259">
        <f t="shared" si="10"/>
        <v>160.6602517</v>
      </c>
      <c r="P115" s="586">
        <f t="shared" si="3"/>
        <v>0.0008758065962</v>
      </c>
    </row>
    <row r="116">
      <c r="A116" s="253" t="s">
        <v>659</v>
      </c>
      <c r="B116" s="254">
        <v>12359.0</v>
      </c>
      <c r="C116" s="255" t="str">
        <f t="shared" si="4"/>
        <v>SINAPI</v>
      </c>
      <c r="D116" s="256" t="s">
        <v>286</v>
      </c>
      <c r="E116" s="257" t="str">
        <f>IFERROR(IF(D116="SINAPI-S",VLOOKUP(B116,'20-B.SINAPI-S'!A:J,2,0),IF(D116="SINAPI-I",VLOOKUP(B116,'20-A.SINAPI-I'!A:G,2,0),IF(D116="COMPOSIÇÕES",VLOOKUP(B116,'11.COMPOSIÇÕES GERAIS'!B:I,2,0),VLOOKUP(B116,'12.COT.MERCADO'!A:I,2,0)))),"Em Elaboração")</f>
        <v>RELE TERMICO BIMETAL PARA USO EM MOTORES TRIFASICOS, TENSAO 380 V, POTENCIA ATE 15 CV, CORRENTE NOMINAL MAXIMA 22 A</v>
      </c>
      <c r="F116" s="258" t="str">
        <f>IFERROR(IF(D116="SINAPI-S",VLOOKUP(B116,'20-B.SINAPI-S'!A:J,3,0),IF(D116="SINAPI-I",VLOOKUP(B116,'20-A.SINAPI-I'!A:G,3,0),IF(D116="COMPOSIÇÕES",VLOOKUP(B116,'11.COMPOSIÇÕES GERAIS'!B:I,3,0),VLOOKUP(B116,'12.COT.MERCADO'!A:I,7,0)))),"Em Elaboração")</f>
        <v>UN</v>
      </c>
      <c r="G116" s="254">
        <v>2.0</v>
      </c>
      <c r="H116" s="259">
        <f>IFERROR(IF(D116="SINAPI-S",VLOOKUP(B116,'20-B.SINAPI-S'!A:J,5,0),IF(D116="SINAPI-I",VLOOKUP(B116,'20-A.SINAPI-I'!A:G,6,0),IF(D116="COMPOSIÇÕES",VLOOKUP(B116,'11.COMPOSIÇÕES GERAIS'!B:I,7,0),0))),"Em Elaboração")</f>
        <v>0</v>
      </c>
      <c r="I116" s="259">
        <f>IFERROR(IF(D116="SINAPI-S",VLOOKUP(B116,'20-B.SINAPI-S'!A:J,6,0),IF(D116="SINAPI-I",VLOOKUP(B116,'20-A.SINAPI-I'!A:G,7,0),IF(D116="COMPOSIÇÕES",VLOOKUP(B116,'11.COMPOSIÇÕES GERAIS'!B:I,8,0),VLOOKUP(B116,'12.COT.MERCADO'!A:I,8,0)))),"Em Elaboração")</f>
        <v>108.83</v>
      </c>
      <c r="J116" s="259">
        <f t="shared" si="5"/>
        <v>0</v>
      </c>
      <c r="K116" s="259">
        <f t="shared" si="6"/>
        <v>127.4763429</v>
      </c>
      <c r="L116" s="259">
        <f t="shared" si="7"/>
        <v>127.4763429</v>
      </c>
      <c r="M116" s="259">
        <f t="shared" si="8"/>
        <v>0</v>
      </c>
      <c r="N116" s="259">
        <f t="shared" si="9"/>
        <v>254.9526858</v>
      </c>
      <c r="O116" s="259">
        <f t="shared" si="10"/>
        <v>254.9526858</v>
      </c>
      <c r="P116" s="586">
        <f t="shared" si="3"/>
        <v>0.00138982257</v>
      </c>
    </row>
    <row r="117">
      <c r="A117" s="253" t="s">
        <v>660</v>
      </c>
      <c r="B117" s="254">
        <v>39392.0</v>
      </c>
      <c r="C117" s="255" t="str">
        <f t="shared" si="4"/>
        <v>SINAPI</v>
      </c>
      <c r="D117" s="256" t="s">
        <v>286</v>
      </c>
      <c r="E117" s="257" t="str">
        <f>IFERROR(IF(D117="SINAPI-S",VLOOKUP(B117,'20-B.SINAPI-S'!A:J,2,0),IF(D117="SINAPI-I",VLOOKUP(B117,'20-A.SINAPI-I'!A:G,2,0),IF(D117="COMPOSIÇÕES",VLOOKUP(B117,'11.COMPOSIÇÕES GERAIS'!B:I,2,0),VLOOKUP(B117,'12.COT.MERCADO'!A:I,2,0)))),"Em Elaboração")</f>
        <v>SENSOR DE PRESENCA BIVOLT DE PAREDE COM FOTOCELULA PARA QUALQUER TIPO DE LAMPADA POTENCIA MAXIMA *1000* W, USO INTERNO</v>
      </c>
      <c r="F117" s="258" t="str">
        <f>IFERROR(IF(D117="SINAPI-S",VLOOKUP(B117,'20-B.SINAPI-S'!A:J,3,0),IF(D117="SINAPI-I",VLOOKUP(B117,'20-A.SINAPI-I'!A:G,3,0),IF(D117="COMPOSIÇÕES",VLOOKUP(B117,'11.COMPOSIÇÕES GERAIS'!B:I,3,0),VLOOKUP(B117,'12.COT.MERCADO'!A:I,7,0)))),"Em Elaboração")</f>
        <v>UN</v>
      </c>
      <c r="G117" s="254">
        <v>3.0</v>
      </c>
      <c r="H117" s="259">
        <f>IFERROR(IF(D117="SINAPI-S",VLOOKUP(B117,'20-B.SINAPI-S'!A:J,5,0),IF(D117="SINAPI-I",VLOOKUP(B117,'20-A.SINAPI-I'!A:G,6,0),IF(D117="COMPOSIÇÕES",VLOOKUP(B117,'11.COMPOSIÇÕES GERAIS'!B:I,7,0),0))),"Em Elaboração")</f>
        <v>0</v>
      </c>
      <c r="I117" s="259">
        <f>IFERROR(IF(D117="SINAPI-S",VLOOKUP(B117,'20-B.SINAPI-S'!A:J,6,0),IF(D117="SINAPI-I",VLOOKUP(B117,'20-A.SINAPI-I'!A:G,7,0),IF(D117="COMPOSIÇÕES",VLOOKUP(B117,'11.COMPOSIÇÕES GERAIS'!B:I,8,0),VLOOKUP(B117,'12.COT.MERCADO'!A:I,8,0)))),"Em Elaboração")</f>
        <v>75.74</v>
      </c>
      <c r="J117" s="259">
        <f t="shared" si="5"/>
        <v>0</v>
      </c>
      <c r="K117" s="259">
        <f t="shared" si="6"/>
        <v>88.71688148</v>
      </c>
      <c r="L117" s="259">
        <f t="shared" si="7"/>
        <v>88.71688148</v>
      </c>
      <c r="M117" s="259">
        <f t="shared" si="8"/>
        <v>0</v>
      </c>
      <c r="N117" s="259">
        <f t="shared" si="9"/>
        <v>266.1506444</v>
      </c>
      <c r="O117" s="259">
        <f t="shared" si="10"/>
        <v>266.1506444</v>
      </c>
      <c r="P117" s="586">
        <f t="shared" si="3"/>
        <v>0.001450865958</v>
      </c>
    </row>
    <row r="118">
      <c r="A118" s="253" t="s">
        <v>661</v>
      </c>
      <c r="B118" s="254">
        <v>12732.0</v>
      </c>
      <c r="C118" s="255" t="str">
        <f t="shared" si="4"/>
        <v>SINAPI</v>
      </c>
      <c r="D118" s="256" t="s">
        <v>286</v>
      </c>
      <c r="E118" s="257" t="str">
        <f>IFERROR(IF(D118="SINAPI-S",VLOOKUP(B118,'20-B.SINAPI-S'!A:J,2,0),IF(D118="SINAPI-I",VLOOKUP(B118,'20-A.SINAPI-I'!A:G,2,0),IF(D118="COMPOSIÇÕES",VLOOKUP(B118,'11.COMPOSIÇÕES GERAIS'!B:I,2,0),VLOOKUP(B118,'12.COT.MERCADO'!A:I,2,0)))),"Em Elaboração")</f>
        <v>SOLDA ESTANHO/COBRE PARA CONEXOES DE COBRE, FIO 2,5 MM, CARRETEL 500 GR (SEM CHUMBO)</v>
      </c>
      <c r="F118" s="258" t="str">
        <f>IFERROR(IF(D118="SINAPI-S",VLOOKUP(B118,'20-B.SINAPI-S'!A:J,3,0),IF(D118="SINAPI-I",VLOOKUP(B118,'20-A.SINAPI-I'!A:G,3,0),IF(D118="COMPOSIÇÕES",VLOOKUP(B118,'11.COMPOSIÇÕES GERAIS'!B:I,3,0),VLOOKUP(B118,'12.COT.MERCADO'!A:I,7,0)))),"Em Elaboração")</f>
        <v>UN</v>
      </c>
      <c r="G118" s="254">
        <v>1.0</v>
      </c>
      <c r="H118" s="259">
        <f>IFERROR(IF(D118="SINAPI-S",VLOOKUP(B118,'20-B.SINAPI-S'!A:J,5,0),IF(D118="SINAPI-I",VLOOKUP(B118,'20-A.SINAPI-I'!A:G,6,0),IF(D118="COMPOSIÇÕES",VLOOKUP(B118,'11.COMPOSIÇÕES GERAIS'!B:I,7,0),0))),"Em Elaboração")</f>
        <v>0</v>
      </c>
      <c r="I118" s="259">
        <f>IFERROR(IF(D118="SINAPI-S",VLOOKUP(B118,'20-B.SINAPI-S'!A:J,6,0),IF(D118="SINAPI-I",VLOOKUP(B118,'20-A.SINAPI-I'!A:G,7,0),IF(D118="COMPOSIÇÕES",VLOOKUP(B118,'11.COMPOSIÇÕES GERAIS'!B:I,8,0),VLOOKUP(B118,'12.COT.MERCADO'!A:I,8,0)))),"Em Elaboração")</f>
        <v>284.87</v>
      </c>
      <c r="J118" s="259">
        <f t="shared" si="5"/>
        <v>0</v>
      </c>
      <c r="K118" s="259">
        <f t="shared" si="6"/>
        <v>333.6780833</v>
      </c>
      <c r="L118" s="259">
        <f t="shared" si="7"/>
        <v>333.6780833</v>
      </c>
      <c r="M118" s="259">
        <f t="shared" si="8"/>
        <v>0</v>
      </c>
      <c r="N118" s="259">
        <f t="shared" si="9"/>
        <v>333.6780833</v>
      </c>
      <c r="O118" s="259">
        <f t="shared" si="10"/>
        <v>333.6780833</v>
      </c>
      <c r="P118" s="586">
        <f t="shared" si="3"/>
        <v>0.001818978019</v>
      </c>
    </row>
    <row r="119">
      <c r="A119" s="253" t="s">
        <v>662</v>
      </c>
      <c r="B119" s="254">
        <v>14543.0</v>
      </c>
      <c r="C119" s="255" t="str">
        <f t="shared" si="4"/>
        <v>SINAPI</v>
      </c>
      <c r="D119" s="256" t="s">
        <v>286</v>
      </c>
      <c r="E119" s="257" t="str">
        <f>IFERROR(IF(D119="SINAPI-S",VLOOKUP(B119,'20-B.SINAPI-S'!A:J,2,0),IF(D119="SINAPI-I",VLOOKUP(B119,'20-A.SINAPI-I'!A:G,2,0),IF(D119="COMPOSIÇÕES",VLOOKUP(B119,'11.COMPOSIÇÕES GERAIS'!B:I,2,0),VLOOKUP(B119,'12.COT.MERCADO'!A:I,2,0)))),"Em Elaboração")</f>
        <v>SOQUETE DE PVC / TERMOPLASTICO BASE E27, COM CHAVE, PARA LAMPADAS</v>
      </c>
      <c r="F119" s="258" t="str">
        <f>IFERROR(IF(D119="SINAPI-S",VLOOKUP(B119,'20-B.SINAPI-S'!A:J,3,0),IF(D119="SINAPI-I",VLOOKUP(B119,'20-A.SINAPI-I'!A:G,3,0),IF(D119="COMPOSIÇÕES",VLOOKUP(B119,'11.COMPOSIÇÕES GERAIS'!B:I,3,0),VLOOKUP(B119,'12.COT.MERCADO'!A:I,7,0)))),"Em Elaboração")</f>
        <v>UN</v>
      </c>
      <c r="G119" s="254">
        <v>8.0</v>
      </c>
      <c r="H119" s="259">
        <f>IFERROR(IF(D119="SINAPI-S",VLOOKUP(B119,'20-B.SINAPI-S'!A:J,5,0),IF(D119="SINAPI-I",VLOOKUP(B119,'20-A.SINAPI-I'!A:G,6,0),IF(D119="COMPOSIÇÕES",VLOOKUP(B119,'11.COMPOSIÇÕES GERAIS'!B:I,7,0),0))),"Em Elaboração")</f>
        <v>0</v>
      </c>
      <c r="I119" s="259">
        <f>IFERROR(IF(D119="SINAPI-S",VLOOKUP(B119,'20-B.SINAPI-S'!A:J,6,0),IF(D119="SINAPI-I",VLOOKUP(B119,'20-A.SINAPI-I'!A:G,7,0),IF(D119="COMPOSIÇÕES",VLOOKUP(B119,'11.COMPOSIÇÕES GERAIS'!B:I,8,0),VLOOKUP(B119,'12.COT.MERCADO'!A:I,8,0)))),"Em Elaboração")</f>
        <v>7.66</v>
      </c>
      <c r="J119" s="259">
        <f t="shared" si="5"/>
        <v>0</v>
      </c>
      <c r="K119" s="259">
        <f t="shared" si="6"/>
        <v>8.972422922</v>
      </c>
      <c r="L119" s="259">
        <f t="shared" si="7"/>
        <v>8.972422922</v>
      </c>
      <c r="M119" s="259">
        <f t="shared" si="8"/>
        <v>0</v>
      </c>
      <c r="N119" s="259">
        <f t="shared" si="9"/>
        <v>71.77938338</v>
      </c>
      <c r="O119" s="259">
        <f t="shared" si="10"/>
        <v>71.77938338</v>
      </c>
      <c r="P119" s="586">
        <f t="shared" si="3"/>
        <v>0.0003912906694</v>
      </c>
    </row>
    <row r="120">
      <c r="A120" s="253" t="s">
        <v>663</v>
      </c>
      <c r="B120" s="254">
        <v>13329.0</v>
      </c>
      <c r="C120" s="255" t="str">
        <f t="shared" si="4"/>
        <v>SINAPI</v>
      </c>
      <c r="D120" s="256" t="s">
        <v>286</v>
      </c>
      <c r="E120" s="257" t="str">
        <f>IFERROR(IF(D120="SINAPI-S",VLOOKUP(B120,'20-B.SINAPI-S'!A:J,2,0),IF(D120="SINAPI-I",VLOOKUP(B120,'20-A.SINAPI-I'!A:G,2,0),IF(D120="COMPOSIÇÕES",VLOOKUP(B120,'11.COMPOSIÇÕES GERAIS'!B:I,2,0),VLOOKUP(B120,'12.COT.MERCADO'!A:I,2,0)))),"Em Elaboração")</f>
        <v>SOQUETE DE PVC / TERMOPLASTICO BASE E27, COM RABICHO, PARA LAMPADAS</v>
      </c>
      <c r="F120" s="258" t="str">
        <f>IFERROR(IF(D120="SINAPI-S",VLOOKUP(B120,'20-B.SINAPI-S'!A:J,3,0),IF(D120="SINAPI-I",VLOOKUP(B120,'20-A.SINAPI-I'!A:G,3,0),IF(D120="COMPOSIÇÕES",VLOOKUP(B120,'11.COMPOSIÇÕES GERAIS'!B:I,3,0),VLOOKUP(B120,'12.COT.MERCADO'!A:I,7,0)))),"Em Elaboração")</f>
        <v>UN</v>
      </c>
      <c r="G120" s="254">
        <v>8.0</v>
      </c>
      <c r="H120" s="259">
        <f>IFERROR(IF(D120="SINAPI-S",VLOOKUP(B120,'20-B.SINAPI-S'!A:J,5,0),IF(D120="SINAPI-I",VLOOKUP(B120,'20-A.SINAPI-I'!A:G,6,0),IF(D120="COMPOSIÇÕES",VLOOKUP(B120,'11.COMPOSIÇÕES GERAIS'!B:I,7,0),0))),"Em Elaboração")</f>
        <v>0</v>
      </c>
      <c r="I120" s="259">
        <f>IFERROR(IF(D120="SINAPI-S",VLOOKUP(B120,'20-B.SINAPI-S'!A:J,6,0),IF(D120="SINAPI-I",VLOOKUP(B120,'20-A.SINAPI-I'!A:G,7,0),IF(D120="COMPOSIÇÕES",VLOOKUP(B120,'11.COMPOSIÇÕES GERAIS'!B:I,8,0),VLOOKUP(B120,'12.COT.MERCADO'!A:I,8,0)))),"Em Elaboração")</f>
        <v>4.5</v>
      </c>
      <c r="J120" s="259">
        <f t="shared" si="5"/>
        <v>0</v>
      </c>
      <c r="K120" s="259">
        <f t="shared" si="6"/>
        <v>5.271005633</v>
      </c>
      <c r="L120" s="259">
        <f t="shared" si="7"/>
        <v>5.271005633</v>
      </c>
      <c r="M120" s="259">
        <f t="shared" si="8"/>
        <v>0</v>
      </c>
      <c r="N120" s="259">
        <f t="shared" si="9"/>
        <v>42.16804506</v>
      </c>
      <c r="O120" s="259">
        <f t="shared" si="10"/>
        <v>42.16804506</v>
      </c>
      <c r="P120" s="586">
        <f t="shared" si="3"/>
        <v>0.0002298704977</v>
      </c>
    </row>
    <row r="121">
      <c r="A121" s="253" t="s">
        <v>664</v>
      </c>
      <c r="B121" s="254">
        <v>38099.0</v>
      </c>
      <c r="C121" s="255" t="str">
        <f t="shared" si="4"/>
        <v>SINAPI</v>
      </c>
      <c r="D121" s="256" t="s">
        <v>286</v>
      </c>
      <c r="E121" s="257" t="str">
        <f>IFERROR(IF(D121="SINAPI-S",VLOOKUP(B121,'20-B.SINAPI-S'!A:J,2,0),IF(D121="SINAPI-I",VLOOKUP(B121,'20-A.SINAPI-I'!A:G,2,0),IF(D121="COMPOSIÇÕES",VLOOKUP(B121,'11.COMPOSIÇÕES GERAIS'!B:I,2,0),VLOOKUP(B121,'12.COT.MERCADO'!A:I,2,0)))),"Em Elaboração")</f>
        <v>SUPORTE DE FIXACAO PARA ESPELHO / PLACA 4" X 2", PARA 3 MODULOS, PARA INSTALACAO DE TOMADAS E INTERRUPTORES (SOMENTE SUPORTE)</v>
      </c>
      <c r="F121" s="258" t="str">
        <f>IFERROR(IF(D121="SINAPI-S",VLOOKUP(B121,'20-B.SINAPI-S'!A:J,3,0),IF(D121="SINAPI-I",VLOOKUP(B121,'20-A.SINAPI-I'!A:G,3,0),IF(D121="COMPOSIÇÕES",VLOOKUP(B121,'11.COMPOSIÇÕES GERAIS'!B:I,3,0),VLOOKUP(B121,'12.COT.MERCADO'!A:I,7,0)))),"Em Elaboração")</f>
        <v>UN</v>
      </c>
      <c r="G121" s="254">
        <v>8.0</v>
      </c>
      <c r="H121" s="259">
        <f>IFERROR(IF(D121="SINAPI-S",VLOOKUP(B121,'20-B.SINAPI-S'!A:J,5,0),IF(D121="SINAPI-I",VLOOKUP(B121,'20-A.SINAPI-I'!A:G,6,0),IF(D121="COMPOSIÇÕES",VLOOKUP(B121,'11.COMPOSIÇÕES GERAIS'!B:I,7,0),0))),"Em Elaboração")</f>
        <v>0</v>
      </c>
      <c r="I121" s="259">
        <f>IFERROR(IF(D121="SINAPI-S",VLOOKUP(B121,'20-B.SINAPI-S'!A:J,6,0),IF(D121="SINAPI-I",VLOOKUP(B121,'20-A.SINAPI-I'!A:G,7,0),IF(D121="COMPOSIÇÕES",VLOOKUP(B121,'11.COMPOSIÇÕES GERAIS'!B:I,8,0),VLOOKUP(B121,'12.COT.MERCADO'!A:I,8,0)))),"Em Elaboração")</f>
        <v>1.63</v>
      </c>
      <c r="J121" s="259">
        <f t="shared" si="5"/>
        <v>0</v>
      </c>
      <c r="K121" s="259">
        <f t="shared" si="6"/>
        <v>1.909275374</v>
      </c>
      <c r="L121" s="259">
        <f t="shared" si="7"/>
        <v>1.909275374</v>
      </c>
      <c r="M121" s="259">
        <f t="shared" si="8"/>
        <v>0</v>
      </c>
      <c r="N121" s="259">
        <f t="shared" si="9"/>
        <v>15.27420299</v>
      </c>
      <c r="O121" s="259">
        <f t="shared" si="10"/>
        <v>15.27420299</v>
      </c>
      <c r="P121" s="586">
        <f t="shared" si="3"/>
        <v>0.00008326420249</v>
      </c>
    </row>
    <row r="122">
      <c r="A122" s="253" t="s">
        <v>665</v>
      </c>
      <c r="B122" s="254">
        <v>7543.0</v>
      </c>
      <c r="C122" s="255" t="str">
        <f t="shared" si="4"/>
        <v>SINAPI</v>
      </c>
      <c r="D122" s="256" t="s">
        <v>286</v>
      </c>
      <c r="E122" s="257" t="str">
        <f>IFERROR(IF(D122="SINAPI-S",VLOOKUP(B122,'20-B.SINAPI-S'!A:J,2,0),IF(D122="SINAPI-I",VLOOKUP(B122,'20-A.SINAPI-I'!A:G,2,0),IF(D122="COMPOSIÇÕES",VLOOKUP(B122,'11.COMPOSIÇÕES GERAIS'!B:I,2,0),VLOOKUP(B122,'12.COT.MERCADO'!A:I,2,0)))),"Em Elaboração")</f>
        <v>TAMPA CEGA EM PVC PARA CONDULETE 4 X 2"</v>
      </c>
      <c r="F122" s="258" t="str">
        <f>IFERROR(IF(D122="SINAPI-S",VLOOKUP(B122,'20-B.SINAPI-S'!A:J,3,0),IF(D122="SINAPI-I",VLOOKUP(B122,'20-A.SINAPI-I'!A:G,3,0),IF(D122="COMPOSIÇÕES",VLOOKUP(B122,'11.COMPOSIÇÕES GERAIS'!B:I,3,0),VLOOKUP(B122,'12.COT.MERCADO'!A:I,7,0)))),"Em Elaboração")</f>
        <v>UN</v>
      </c>
      <c r="G122" s="254">
        <v>12.0</v>
      </c>
      <c r="H122" s="259">
        <f>IFERROR(IF(D122="SINAPI-S",VLOOKUP(B122,'20-B.SINAPI-S'!A:J,5,0),IF(D122="SINAPI-I",VLOOKUP(B122,'20-A.SINAPI-I'!A:G,6,0),IF(D122="COMPOSIÇÕES",VLOOKUP(B122,'11.COMPOSIÇÕES GERAIS'!B:I,7,0),0))),"Em Elaboração")</f>
        <v>0</v>
      </c>
      <c r="I122" s="259">
        <f>IFERROR(IF(D122="SINAPI-S",VLOOKUP(B122,'20-B.SINAPI-S'!A:J,6,0),IF(D122="SINAPI-I",VLOOKUP(B122,'20-A.SINAPI-I'!A:G,7,0),IF(D122="COMPOSIÇÕES",VLOOKUP(B122,'11.COMPOSIÇÕES GERAIS'!B:I,8,0),VLOOKUP(B122,'12.COT.MERCADO'!A:I,8,0)))),"Em Elaboração")</f>
        <v>7.52</v>
      </c>
      <c r="J122" s="259">
        <f t="shared" si="5"/>
        <v>0</v>
      </c>
      <c r="K122" s="259">
        <f t="shared" si="6"/>
        <v>8.80843608</v>
      </c>
      <c r="L122" s="259">
        <f t="shared" si="7"/>
        <v>8.80843608</v>
      </c>
      <c r="M122" s="259">
        <f t="shared" si="8"/>
        <v>0</v>
      </c>
      <c r="N122" s="259">
        <f t="shared" si="9"/>
        <v>105.701233</v>
      </c>
      <c r="O122" s="259">
        <f t="shared" si="10"/>
        <v>105.701233</v>
      </c>
      <c r="P122" s="586">
        <f t="shared" si="3"/>
        <v>0.0005762087142</v>
      </c>
    </row>
    <row r="123">
      <c r="A123" s="253" t="s">
        <v>666</v>
      </c>
      <c r="B123" s="254">
        <v>39346.0</v>
      </c>
      <c r="C123" s="255" t="str">
        <f t="shared" si="4"/>
        <v>SINAPI</v>
      </c>
      <c r="D123" s="256" t="s">
        <v>286</v>
      </c>
      <c r="E123" s="257" t="str">
        <f>IFERROR(IF(D123="SINAPI-S",VLOOKUP(B123,'20-B.SINAPI-S'!A:J,2,0),IF(D123="SINAPI-I",VLOOKUP(B123,'20-A.SINAPI-I'!A:G,2,0),IF(D123="COMPOSIÇÕES",VLOOKUP(B123,'11.COMPOSIÇÕES GERAIS'!B:I,2,0),VLOOKUP(B123,'12.COT.MERCADO'!A:I,2,0)))),"Em Elaboração")</f>
        <v>TAMPA PARA CONDULETE, EM PVC, PARA 1 INTERRUPTOR</v>
      </c>
      <c r="F123" s="258" t="str">
        <f>IFERROR(IF(D123="SINAPI-S",VLOOKUP(B123,'20-B.SINAPI-S'!A:J,3,0),IF(D123="SINAPI-I",VLOOKUP(B123,'20-A.SINAPI-I'!A:G,3,0),IF(D123="COMPOSIÇÕES",VLOOKUP(B123,'11.COMPOSIÇÕES GERAIS'!B:I,3,0),VLOOKUP(B123,'12.COT.MERCADO'!A:I,7,0)))),"Em Elaboração")</f>
        <v>UN</v>
      </c>
      <c r="G123" s="254">
        <v>12.0</v>
      </c>
      <c r="H123" s="259">
        <f>IFERROR(IF(D123="SINAPI-S",VLOOKUP(B123,'20-B.SINAPI-S'!A:J,5,0),IF(D123="SINAPI-I",VLOOKUP(B123,'20-A.SINAPI-I'!A:G,6,0),IF(D123="COMPOSIÇÕES",VLOOKUP(B123,'11.COMPOSIÇÕES GERAIS'!B:I,7,0),0))),"Em Elaboração")</f>
        <v>0</v>
      </c>
      <c r="I123" s="259">
        <f>IFERROR(IF(D123="SINAPI-S",VLOOKUP(B123,'20-B.SINAPI-S'!A:J,6,0),IF(D123="SINAPI-I",VLOOKUP(B123,'20-A.SINAPI-I'!A:G,7,0),IF(D123="COMPOSIÇÕES",VLOOKUP(B123,'11.COMPOSIÇÕES GERAIS'!B:I,8,0),VLOOKUP(B123,'12.COT.MERCADO'!A:I,8,0)))),"Em Elaboração")</f>
        <v>4.65</v>
      </c>
      <c r="J123" s="259">
        <f t="shared" si="5"/>
        <v>0</v>
      </c>
      <c r="K123" s="259">
        <f t="shared" si="6"/>
        <v>5.446705821</v>
      </c>
      <c r="L123" s="259">
        <f t="shared" si="7"/>
        <v>5.446705821</v>
      </c>
      <c r="M123" s="259">
        <f t="shared" si="8"/>
        <v>0</v>
      </c>
      <c r="N123" s="259">
        <f t="shared" si="9"/>
        <v>65.36046985</v>
      </c>
      <c r="O123" s="259">
        <f t="shared" si="10"/>
        <v>65.36046985</v>
      </c>
      <c r="P123" s="586">
        <f t="shared" si="3"/>
        <v>0.0003562992714</v>
      </c>
    </row>
    <row r="124">
      <c r="A124" s="253" t="s">
        <v>667</v>
      </c>
      <c r="B124" s="254">
        <v>38101.0</v>
      </c>
      <c r="C124" s="255" t="str">
        <f t="shared" si="4"/>
        <v>SINAPI</v>
      </c>
      <c r="D124" s="256" t="s">
        <v>286</v>
      </c>
      <c r="E124" s="257" t="str">
        <f>IFERROR(IF(D124="SINAPI-S",VLOOKUP(B124,'20-B.SINAPI-S'!A:J,2,0),IF(D124="SINAPI-I",VLOOKUP(B124,'20-A.SINAPI-I'!A:G,2,0),IF(D124="COMPOSIÇÕES",VLOOKUP(B124,'11.COMPOSIÇÕES GERAIS'!B:I,2,0),VLOOKUP(B124,'12.COT.MERCADO'!A:I,2,0)))),"Em Elaboração")</f>
        <v>TOMADA 2P+T 10A, 250V  (APENAS MODULO)</v>
      </c>
      <c r="F124" s="258" t="str">
        <f>IFERROR(IF(D124="SINAPI-S",VLOOKUP(B124,'20-B.SINAPI-S'!A:J,3,0),IF(D124="SINAPI-I",VLOOKUP(B124,'20-A.SINAPI-I'!A:G,3,0),IF(D124="COMPOSIÇÕES",VLOOKUP(B124,'11.COMPOSIÇÕES GERAIS'!B:I,3,0),VLOOKUP(B124,'12.COT.MERCADO'!A:I,7,0)))),"Em Elaboração")</f>
        <v>UN</v>
      </c>
      <c r="G124" s="254">
        <v>12.0</v>
      </c>
      <c r="H124" s="259">
        <f>IFERROR(IF(D124="SINAPI-S",VLOOKUP(B124,'20-B.SINAPI-S'!A:J,5,0),IF(D124="SINAPI-I",VLOOKUP(B124,'20-A.SINAPI-I'!A:G,6,0),IF(D124="COMPOSIÇÕES",VLOOKUP(B124,'11.COMPOSIÇÕES GERAIS'!B:I,7,0),0))),"Em Elaboração")</f>
        <v>0</v>
      </c>
      <c r="I124" s="259">
        <f>IFERROR(IF(D124="SINAPI-S",VLOOKUP(B124,'20-B.SINAPI-S'!A:J,6,0),IF(D124="SINAPI-I",VLOOKUP(B124,'20-A.SINAPI-I'!A:G,7,0),IF(D124="COMPOSIÇÕES",VLOOKUP(B124,'11.COMPOSIÇÕES GERAIS'!B:I,8,0),VLOOKUP(B124,'12.COT.MERCADO'!A:I,8,0)))),"Em Elaboração")</f>
        <v>8.42</v>
      </c>
      <c r="J124" s="259">
        <f t="shared" si="5"/>
        <v>0</v>
      </c>
      <c r="K124" s="259">
        <f t="shared" si="6"/>
        <v>9.862637207</v>
      </c>
      <c r="L124" s="259">
        <f t="shared" si="7"/>
        <v>9.862637207</v>
      </c>
      <c r="M124" s="259">
        <f t="shared" si="8"/>
        <v>0</v>
      </c>
      <c r="N124" s="259">
        <f t="shared" si="9"/>
        <v>118.3516465</v>
      </c>
      <c r="O124" s="259">
        <f t="shared" si="10"/>
        <v>118.3516465</v>
      </c>
      <c r="P124" s="586">
        <f t="shared" si="3"/>
        <v>0.0006451698635</v>
      </c>
    </row>
    <row r="125">
      <c r="A125" s="253" t="s">
        <v>668</v>
      </c>
      <c r="B125" s="254">
        <v>7528.0</v>
      </c>
      <c r="C125" s="255" t="str">
        <f t="shared" si="4"/>
        <v>SINAPI</v>
      </c>
      <c r="D125" s="256" t="s">
        <v>286</v>
      </c>
      <c r="E125" s="257" t="str">
        <f>IFERROR(IF(D125="SINAPI-S",VLOOKUP(B125,'20-B.SINAPI-S'!A:J,2,0),IF(D125="SINAPI-I",VLOOKUP(B125,'20-A.SINAPI-I'!A:G,2,0),IF(D125="COMPOSIÇÕES",VLOOKUP(B125,'11.COMPOSIÇÕES GERAIS'!B:I,2,0),VLOOKUP(B125,'12.COT.MERCADO'!A:I,2,0)))),"Em Elaboração")</f>
        <v>TOMADA 2P+T 10A, 250V, CONJUNTO MONTADO PARA EMBUTIR 4" X 2" (PLACA + SUPORTE + MODULO)</v>
      </c>
      <c r="F125" s="258" t="str">
        <f>IFERROR(IF(D125="SINAPI-S",VLOOKUP(B125,'20-B.SINAPI-S'!A:J,3,0),IF(D125="SINAPI-I",VLOOKUP(B125,'20-A.SINAPI-I'!A:G,3,0),IF(D125="COMPOSIÇÕES",VLOOKUP(B125,'11.COMPOSIÇÕES GERAIS'!B:I,3,0),VLOOKUP(B125,'12.COT.MERCADO'!A:I,7,0)))),"Em Elaboração")</f>
        <v>UN</v>
      </c>
      <c r="G125" s="254">
        <v>24.0</v>
      </c>
      <c r="H125" s="259">
        <f>IFERROR(IF(D125="SINAPI-S",VLOOKUP(B125,'20-B.SINAPI-S'!A:J,5,0),IF(D125="SINAPI-I",VLOOKUP(B125,'20-A.SINAPI-I'!A:G,6,0),IF(D125="COMPOSIÇÕES",VLOOKUP(B125,'11.COMPOSIÇÕES GERAIS'!B:I,7,0),0))),"Em Elaboração")</f>
        <v>0</v>
      </c>
      <c r="I125" s="259">
        <f>IFERROR(IF(D125="SINAPI-S",VLOOKUP(B125,'20-B.SINAPI-S'!A:J,6,0),IF(D125="SINAPI-I",VLOOKUP(B125,'20-A.SINAPI-I'!A:G,7,0),IF(D125="COMPOSIÇÕES",VLOOKUP(B125,'11.COMPOSIÇÕES GERAIS'!B:I,8,0),VLOOKUP(B125,'12.COT.MERCADO'!A:I,8,0)))),"Em Elaboração")</f>
        <v>9.9</v>
      </c>
      <c r="J125" s="259">
        <f t="shared" si="5"/>
        <v>0</v>
      </c>
      <c r="K125" s="259">
        <f t="shared" si="6"/>
        <v>11.59621239</v>
      </c>
      <c r="L125" s="259">
        <f t="shared" si="7"/>
        <v>11.59621239</v>
      </c>
      <c r="M125" s="259">
        <f t="shared" si="8"/>
        <v>0</v>
      </c>
      <c r="N125" s="259">
        <f t="shared" si="9"/>
        <v>278.3090974</v>
      </c>
      <c r="O125" s="259">
        <f t="shared" si="10"/>
        <v>278.3090974</v>
      </c>
      <c r="P125" s="586">
        <f t="shared" si="3"/>
        <v>0.001517145285</v>
      </c>
    </row>
    <row r="126">
      <c r="A126" s="253" t="s">
        <v>669</v>
      </c>
      <c r="B126" s="254">
        <v>12147.0</v>
      </c>
      <c r="C126" s="255" t="str">
        <f t="shared" si="4"/>
        <v>SINAPI</v>
      </c>
      <c r="D126" s="256" t="s">
        <v>286</v>
      </c>
      <c r="E126" s="257" t="str">
        <f>IFERROR(IF(D126="SINAPI-S",VLOOKUP(B126,'20-B.SINAPI-S'!A:J,2,0),IF(D126="SINAPI-I",VLOOKUP(B126,'20-A.SINAPI-I'!A:G,2,0),IF(D126="COMPOSIÇÕES",VLOOKUP(B126,'11.COMPOSIÇÕES GERAIS'!B:I,2,0),VLOOKUP(B126,'12.COT.MERCADO'!A:I,2,0)))),"Em Elaboração")</f>
        <v>TOMADA 2P+T 10A, 250V, CONJUNTO MONTADO PARA SOBREPOR 4" X 2" (CAIXA + MODULO)</v>
      </c>
      <c r="F126" s="258" t="str">
        <f>IFERROR(IF(D126="SINAPI-S",VLOOKUP(B126,'20-B.SINAPI-S'!A:J,3,0),IF(D126="SINAPI-I",VLOOKUP(B126,'20-A.SINAPI-I'!A:G,3,0),IF(D126="COMPOSIÇÕES",VLOOKUP(B126,'11.COMPOSIÇÕES GERAIS'!B:I,3,0),VLOOKUP(B126,'12.COT.MERCADO'!A:I,7,0)))),"Em Elaboração")</f>
        <v>UN</v>
      </c>
      <c r="G126" s="254">
        <v>12.0</v>
      </c>
      <c r="H126" s="259">
        <f>IFERROR(IF(D126="SINAPI-S",VLOOKUP(B126,'20-B.SINAPI-S'!A:J,5,0),IF(D126="SINAPI-I",VLOOKUP(B126,'20-A.SINAPI-I'!A:G,6,0),IF(D126="COMPOSIÇÕES",VLOOKUP(B126,'11.COMPOSIÇÕES GERAIS'!B:I,7,0),0))),"Em Elaboração")</f>
        <v>0</v>
      </c>
      <c r="I126" s="259">
        <f>IFERROR(IF(D126="SINAPI-S",VLOOKUP(B126,'20-B.SINAPI-S'!A:J,6,0),IF(D126="SINAPI-I",VLOOKUP(B126,'20-A.SINAPI-I'!A:G,7,0),IF(D126="COMPOSIÇÕES",VLOOKUP(B126,'11.COMPOSIÇÕES GERAIS'!B:I,8,0),VLOOKUP(B126,'12.COT.MERCADO'!A:I,8,0)))),"Em Elaboração")</f>
        <v>15.09</v>
      </c>
      <c r="J126" s="259">
        <f t="shared" si="5"/>
        <v>0</v>
      </c>
      <c r="K126" s="259">
        <f t="shared" si="6"/>
        <v>17.67543889</v>
      </c>
      <c r="L126" s="259">
        <f t="shared" si="7"/>
        <v>17.67543889</v>
      </c>
      <c r="M126" s="259">
        <f t="shared" si="8"/>
        <v>0</v>
      </c>
      <c r="N126" s="259">
        <f t="shared" si="9"/>
        <v>212.1052667</v>
      </c>
      <c r="O126" s="259">
        <f t="shared" si="10"/>
        <v>212.1052667</v>
      </c>
      <c r="P126" s="586">
        <f t="shared" si="3"/>
        <v>0.001156248603</v>
      </c>
    </row>
    <row r="127">
      <c r="A127" s="253" t="s">
        <v>670</v>
      </c>
      <c r="B127" s="254">
        <v>38075.0</v>
      </c>
      <c r="C127" s="255" t="str">
        <f t="shared" si="4"/>
        <v>SINAPI</v>
      </c>
      <c r="D127" s="256" t="s">
        <v>286</v>
      </c>
      <c r="E127" s="257" t="str">
        <f>IFERROR(IF(D127="SINAPI-S",VLOOKUP(B127,'20-B.SINAPI-S'!A:J,2,0),IF(D127="SINAPI-I",VLOOKUP(B127,'20-A.SINAPI-I'!A:G,2,0),IF(D127="COMPOSIÇÕES",VLOOKUP(B127,'11.COMPOSIÇÕES GERAIS'!B:I,2,0),VLOOKUP(B127,'12.COT.MERCADO'!A:I,2,0)))),"Em Elaboração")</f>
        <v>TOMADA 2P+T 20A 250V, CONJUNTO MONTADO PARA EMBUTIR 4" X 2" (PLACA + SUPORTE + MODULO)</v>
      </c>
      <c r="F127" s="258" t="str">
        <f>IFERROR(IF(D127="SINAPI-S",VLOOKUP(B127,'20-B.SINAPI-S'!A:J,3,0),IF(D127="SINAPI-I",VLOOKUP(B127,'20-A.SINAPI-I'!A:G,3,0),IF(D127="COMPOSIÇÕES",VLOOKUP(B127,'11.COMPOSIÇÕES GERAIS'!B:I,3,0),VLOOKUP(B127,'12.COT.MERCADO'!A:I,7,0)))),"Em Elaboração")</f>
        <v>UN</v>
      </c>
      <c r="G127" s="254">
        <v>12.0</v>
      </c>
      <c r="H127" s="259">
        <f>IFERROR(IF(D127="SINAPI-S",VLOOKUP(B127,'20-B.SINAPI-S'!A:J,5,0),IF(D127="SINAPI-I",VLOOKUP(B127,'20-A.SINAPI-I'!A:G,6,0),IF(D127="COMPOSIÇÕES",VLOOKUP(B127,'11.COMPOSIÇÕES GERAIS'!B:I,7,0),0))),"Em Elaboração")</f>
        <v>0</v>
      </c>
      <c r="I127" s="259">
        <f>IFERROR(IF(D127="SINAPI-S",VLOOKUP(B127,'20-B.SINAPI-S'!A:J,6,0),IF(D127="SINAPI-I",VLOOKUP(B127,'20-A.SINAPI-I'!A:G,7,0),IF(D127="COMPOSIÇÕES",VLOOKUP(B127,'11.COMPOSIÇÕES GERAIS'!B:I,8,0),VLOOKUP(B127,'12.COT.MERCADO'!A:I,8,0)))),"Em Elaboração")</f>
        <v>17.15</v>
      </c>
      <c r="J127" s="259">
        <f t="shared" si="5"/>
        <v>0</v>
      </c>
      <c r="K127" s="259">
        <f t="shared" si="6"/>
        <v>20.08838814</v>
      </c>
      <c r="L127" s="259">
        <f t="shared" si="7"/>
        <v>20.08838814</v>
      </c>
      <c r="M127" s="259">
        <f t="shared" si="8"/>
        <v>0</v>
      </c>
      <c r="N127" s="259">
        <f t="shared" si="9"/>
        <v>241.0606576</v>
      </c>
      <c r="O127" s="259">
        <f t="shared" si="10"/>
        <v>241.0606576</v>
      </c>
      <c r="P127" s="586">
        <f t="shared" si="3"/>
        <v>0.001314093012</v>
      </c>
    </row>
    <row r="128">
      <c r="A128" s="253" t="s">
        <v>671</v>
      </c>
      <c r="B128" s="254">
        <v>38193.0</v>
      </c>
      <c r="C128" s="255" t="str">
        <f t="shared" si="4"/>
        <v>SINAPI</v>
      </c>
      <c r="D128" s="256" t="s">
        <v>286</v>
      </c>
      <c r="E128" s="257" t="str">
        <f>IFERROR(IF(D128="SINAPI-S",VLOOKUP(B128,'20-B.SINAPI-S'!A:J,2,0),IF(D128="SINAPI-I",VLOOKUP(B128,'20-A.SINAPI-I'!A:G,2,0),IF(D128="COMPOSIÇÕES",VLOOKUP(B128,'11.COMPOSIÇÕES GERAIS'!B:I,2,0),VLOOKUP(B128,'12.COT.MERCADO'!A:I,2,0)))),"Em Elaboração")</f>
        <v>LAMPADA LED 6 W BIVOLT BRANCA, FORMATO TRADICIONAL (BASE E27)</v>
      </c>
      <c r="F128" s="258" t="str">
        <f>IFERROR(IF(D128="SINAPI-S",VLOOKUP(B128,'20-B.SINAPI-S'!A:J,3,0),IF(D128="SINAPI-I",VLOOKUP(B128,'20-A.SINAPI-I'!A:G,3,0),IF(D128="COMPOSIÇÕES",VLOOKUP(B128,'11.COMPOSIÇÕES GERAIS'!B:I,3,0),VLOOKUP(B128,'12.COT.MERCADO'!A:I,7,0)))),"Em Elaboração")</f>
        <v>UN</v>
      </c>
      <c r="G128" s="254">
        <v>35.0</v>
      </c>
      <c r="H128" s="259">
        <f>IFERROR(IF(D128="SINAPI-S",VLOOKUP(B128,'20-B.SINAPI-S'!A:J,5,0),IF(D128="SINAPI-I",VLOOKUP(B128,'20-A.SINAPI-I'!A:G,6,0),IF(D128="COMPOSIÇÕES",VLOOKUP(B128,'11.COMPOSIÇÕES GERAIS'!B:I,7,0),0))),"Em Elaboração")</f>
        <v>0</v>
      </c>
      <c r="I128" s="259">
        <f>IFERROR(IF(D128="SINAPI-S",VLOOKUP(B128,'20-B.SINAPI-S'!A:J,6,0),IF(D128="SINAPI-I",VLOOKUP(B128,'20-A.SINAPI-I'!A:G,7,0),IF(D128="COMPOSIÇÕES",VLOOKUP(B128,'11.COMPOSIÇÕES GERAIS'!B:I,8,0),VLOOKUP(B128,'12.COT.MERCADO'!A:I,8,0)))),"Em Elaboração")</f>
        <v>6.52</v>
      </c>
      <c r="J128" s="259">
        <f t="shared" si="5"/>
        <v>0</v>
      </c>
      <c r="K128" s="259">
        <f t="shared" si="6"/>
        <v>7.637101495</v>
      </c>
      <c r="L128" s="259">
        <f t="shared" si="7"/>
        <v>7.637101495</v>
      </c>
      <c r="M128" s="259">
        <f t="shared" si="8"/>
        <v>0</v>
      </c>
      <c r="N128" s="259">
        <f t="shared" si="9"/>
        <v>267.2985523</v>
      </c>
      <c r="O128" s="259">
        <f t="shared" si="10"/>
        <v>267.2985523</v>
      </c>
      <c r="P128" s="586">
        <f t="shared" si="3"/>
        <v>0.001457123544</v>
      </c>
    </row>
    <row r="129">
      <c r="A129" s="253" t="s">
        <v>672</v>
      </c>
      <c r="B129" s="254">
        <v>42244.0</v>
      </c>
      <c r="C129" s="255" t="str">
        <f t="shared" si="4"/>
        <v>SINAPI</v>
      </c>
      <c r="D129" s="256" t="s">
        <v>286</v>
      </c>
      <c r="E129" s="257" t="str">
        <f>IFERROR(IF(D129="SINAPI-S",VLOOKUP(B129,'20-B.SINAPI-S'!A:J,2,0),IF(D129="SINAPI-I",VLOOKUP(B129,'20-A.SINAPI-I'!A:G,2,0),IF(D129="COMPOSIÇÕES",VLOOKUP(B129,'11.COMPOSIÇÕES GERAIS'!B:I,2,0),VLOOKUP(B129,'12.COT.MERCADO'!A:I,2,0)))),"Em Elaboração")</f>
        <v>LUMINARIA DE LED PARA ILUMINACAO PUBLICA, DE 33 W ATE 50 W, INVOLUCRO EM ALUMINIO OU ACO INOX</v>
      </c>
      <c r="F129" s="258" t="str">
        <f>IFERROR(IF(D129="SINAPI-S",VLOOKUP(B129,'20-B.SINAPI-S'!A:J,3,0),IF(D129="SINAPI-I",VLOOKUP(B129,'20-A.SINAPI-I'!A:G,3,0),IF(D129="COMPOSIÇÕES",VLOOKUP(B129,'11.COMPOSIÇÕES GERAIS'!B:I,3,0),VLOOKUP(B129,'12.COT.MERCADO'!A:I,7,0)))),"Em Elaboração")</f>
        <v>UN</v>
      </c>
      <c r="G129" s="254">
        <v>12.0</v>
      </c>
      <c r="H129" s="259">
        <f>IFERROR(IF(D129="SINAPI-S",VLOOKUP(B129,'20-B.SINAPI-S'!A:J,5,0),IF(D129="SINAPI-I",VLOOKUP(B129,'20-A.SINAPI-I'!A:G,6,0),IF(D129="COMPOSIÇÕES",VLOOKUP(B129,'11.COMPOSIÇÕES GERAIS'!B:I,7,0),0))),"Em Elaboração")</f>
        <v>0</v>
      </c>
      <c r="I129" s="259">
        <f>IFERROR(IF(D129="SINAPI-S",VLOOKUP(B129,'20-B.SINAPI-S'!A:J,6,0),IF(D129="SINAPI-I",VLOOKUP(B129,'20-A.SINAPI-I'!A:G,7,0),IF(D129="COMPOSIÇÕES",VLOOKUP(B129,'11.COMPOSIÇÕES GERAIS'!B:I,8,0),VLOOKUP(B129,'12.COT.MERCADO'!A:I,8,0)))),"Em Elaboração")</f>
        <v>193.27</v>
      </c>
      <c r="J129" s="259">
        <f t="shared" si="5"/>
        <v>0</v>
      </c>
      <c r="K129" s="259">
        <f t="shared" si="6"/>
        <v>226.3838353</v>
      </c>
      <c r="L129" s="259">
        <f t="shared" si="7"/>
        <v>226.3838353</v>
      </c>
      <c r="M129" s="259">
        <f t="shared" si="8"/>
        <v>0</v>
      </c>
      <c r="N129" s="259">
        <f t="shared" si="9"/>
        <v>2716.606023</v>
      </c>
      <c r="O129" s="259">
        <f t="shared" si="10"/>
        <v>2716.606023</v>
      </c>
      <c r="P129" s="586">
        <f t="shared" si="3"/>
        <v>0.0148090237</v>
      </c>
    </row>
    <row r="130">
      <c r="A130" s="253" t="s">
        <v>673</v>
      </c>
      <c r="B130" s="254">
        <v>38095.0</v>
      </c>
      <c r="C130" s="255" t="str">
        <f t="shared" si="4"/>
        <v>SINAPI</v>
      </c>
      <c r="D130" s="256" t="s">
        <v>286</v>
      </c>
      <c r="E130" s="257" t="str">
        <f>IFERROR(IF(D130="SINAPI-S",VLOOKUP(B130,'20-B.SINAPI-S'!A:J,2,0),IF(D130="SINAPI-I",VLOOKUP(B130,'20-A.SINAPI-I'!A:G,2,0),IF(D130="COMPOSIÇÕES",VLOOKUP(B130,'11.COMPOSIÇÕES GERAIS'!B:I,2,0),VLOOKUP(B130,'12.COT.MERCADO'!A:I,2,0)))),"Em Elaboração")</f>
        <v>ESPELHO / PLACA CEGA 4" X 4", PARA INSTALACAO DE TOMADAS E INTERRUPTORES</v>
      </c>
      <c r="F130" s="258" t="str">
        <f>IFERROR(IF(D130="SINAPI-S",VLOOKUP(B130,'20-B.SINAPI-S'!A:J,3,0),IF(D130="SINAPI-I",VLOOKUP(B130,'20-A.SINAPI-I'!A:G,3,0),IF(D130="COMPOSIÇÕES",VLOOKUP(B130,'11.COMPOSIÇÕES GERAIS'!B:I,3,0),VLOOKUP(B130,'12.COT.MERCADO'!A:I,7,0)))),"Em Elaboração")</f>
        <v>UN</v>
      </c>
      <c r="G130" s="254">
        <v>12.0</v>
      </c>
      <c r="H130" s="259">
        <f>IFERROR(IF(D130="SINAPI-S",VLOOKUP(B130,'20-B.SINAPI-S'!A:J,5,0),IF(D130="SINAPI-I",VLOOKUP(B130,'20-A.SINAPI-I'!A:G,6,0),IF(D130="COMPOSIÇÕES",VLOOKUP(B130,'11.COMPOSIÇÕES GERAIS'!B:I,7,0),0))),"Em Elaboração")</f>
        <v>0</v>
      </c>
      <c r="I130" s="259">
        <f>IFERROR(IF(D130="SINAPI-S",VLOOKUP(B130,'20-B.SINAPI-S'!A:J,6,0),IF(D130="SINAPI-I",VLOOKUP(B130,'20-A.SINAPI-I'!A:G,7,0),IF(D130="COMPOSIÇÕES",VLOOKUP(B130,'11.COMPOSIÇÕES GERAIS'!B:I,8,0),VLOOKUP(B130,'12.COT.MERCADO'!A:I,8,0)))),"Em Elaboração")</f>
        <v>5.53</v>
      </c>
      <c r="J130" s="259">
        <f t="shared" si="5"/>
        <v>0</v>
      </c>
      <c r="K130" s="259">
        <f t="shared" si="6"/>
        <v>6.477480256</v>
      </c>
      <c r="L130" s="259">
        <f t="shared" si="7"/>
        <v>6.477480256</v>
      </c>
      <c r="M130" s="259">
        <f t="shared" si="8"/>
        <v>0</v>
      </c>
      <c r="N130" s="259">
        <f t="shared" si="9"/>
        <v>77.72976307</v>
      </c>
      <c r="O130" s="259">
        <f t="shared" si="10"/>
        <v>77.72976307</v>
      </c>
      <c r="P130" s="586">
        <f t="shared" si="3"/>
        <v>0.0004237279507</v>
      </c>
    </row>
    <row r="131">
      <c r="A131" s="253" t="s">
        <v>674</v>
      </c>
      <c r="B131" s="254">
        <v>38092.0</v>
      </c>
      <c r="C131" s="255" t="str">
        <f t="shared" si="4"/>
        <v>SINAPI</v>
      </c>
      <c r="D131" s="256" t="s">
        <v>286</v>
      </c>
      <c r="E131" s="257" t="str">
        <f>IFERROR(IF(D131="SINAPI-S",VLOOKUP(B131,'20-B.SINAPI-S'!A:J,2,0),IF(D131="SINAPI-I",VLOOKUP(B131,'20-A.SINAPI-I'!A:G,2,0),IF(D131="COMPOSIÇÕES",VLOOKUP(B131,'11.COMPOSIÇÕES GERAIS'!B:I,2,0),VLOOKUP(B131,'12.COT.MERCADO'!A:I,2,0)))),"Em Elaboração")</f>
        <v>ESPELHO / PLACA DE 1 POSTO 4" X 2", PARA INSTALACAO DE TOMADAS E INTERRUPTORES</v>
      </c>
      <c r="F131" s="258" t="str">
        <f>IFERROR(IF(D131="SINAPI-S",VLOOKUP(B131,'20-B.SINAPI-S'!A:J,3,0),IF(D131="SINAPI-I",VLOOKUP(B131,'20-A.SINAPI-I'!A:G,3,0),IF(D131="COMPOSIÇÕES",VLOOKUP(B131,'11.COMPOSIÇÕES GERAIS'!B:I,3,0),VLOOKUP(B131,'12.COT.MERCADO'!A:I,7,0)))),"Em Elaboração")</f>
        <v>UN</v>
      </c>
      <c r="G131" s="254">
        <v>12.0</v>
      </c>
      <c r="H131" s="259">
        <f>IFERROR(IF(D131="SINAPI-S",VLOOKUP(B131,'20-B.SINAPI-S'!A:J,5,0),IF(D131="SINAPI-I",VLOOKUP(B131,'20-A.SINAPI-I'!A:G,6,0),IF(D131="COMPOSIÇÕES",VLOOKUP(B131,'11.COMPOSIÇÕES GERAIS'!B:I,7,0),0))),"Em Elaboração")</f>
        <v>0</v>
      </c>
      <c r="I131" s="259">
        <f>IFERROR(IF(D131="SINAPI-S",VLOOKUP(B131,'20-B.SINAPI-S'!A:J,6,0),IF(D131="SINAPI-I",VLOOKUP(B131,'20-A.SINAPI-I'!A:G,7,0),IF(D131="COMPOSIÇÕES",VLOOKUP(B131,'11.COMPOSIÇÕES GERAIS'!B:I,8,0),VLOOKUP(B131,'12.COT.MERCADO'!A:I,8,0)))),"Em Elaboração")</f>
        <v>2.47</v>
      </c>
      <c r="J131" s="259">
        <f t="shared" si="5"/>
        <v>0</v>
      </c>
      <c r="K131" s="259">
        <f t="shared" si="6"/>
        <v>2.893196425</v>
      </c>
      <c r="L131" s="259">
        <f t="shared" si="7"/>
        <v>2.893196425</v>
      </c>
      <c r="M131" s="259">
        <f t="shared" si="8"/>
        <v>0</v>
      </c>
      <c r="N131" s="259">
        <f t="shared" si="9"/>
        <v>34.7183571</v>
      </c>
      <c r="O131" s="259">
        <f t="shared" si="10"/>
        <v>34.7183571</v>
      </c>
      <c r="P131" s="586">
        <f t="shared" si="3"/>
        <v>0.0001892600431</v>
      </c>
    </row>
    <row r="132">
      <c r="A132" s="253" t="s">
        <v>675</v>
      </c>
      <c r="B132" s="254">
        <v>38093.0</v>
      </c>
      <c r="C132" s="255" t="str">
        <f t="shared" si="4"/>
        <v>SINAPI</v>
      </c>
      <c r="D132" s="256" t="s">
        <v>286</v>
      </c>
      <c r="E132" s="257" t="str">
        <f>IFERROR(IF(D132="SINAPI-S",VLOOKUP(B132,'20-B.SINAPI-S'!A:J,2,0),IF(D132="SINAPI-I",VLOOKUP(B132,'20-A.SINAPI-I'!A:G,2,0),IF(D132="COMPOSIÇÕES",VLOOKUP(B132,'11.COMPOSIÇÕES GERAIS'!B:I,2,0),VLOOKUP(B132,'12.COT.MERCADO'!A:I,2,0)))),"Em Elaboração")</f>
        <v>ESPELHO / PLACA DE 2 POSTOS 4" X 2", PARA INSTALACAO DE TOMADAS E INTERRUPTORES</v>
      </c>
      <c r="F132" s="258" t="str">
        <f>IFERROR(IF(D132="SINAPI-S",VLOOKUP(B132,'20-B.SINAPI-S'!A:J,3,0),IF(D132="SINAPI-I",VLOOKUP(B132,'20-A.SINAPI-I'!A:G,3,0),IF(D132="COMPOSIÇÕES",VLOOKUP(B132,'11.COMPOSIÇÕES GERAIS'!B:I,3,0),VLOOKUP(B132,'12.COT.MERCADO'!A:I,7,0)))),"Em Elaboração")</f>
        <v>UN</v>
      </c>
      <c r="G132" s="254">
        <v>12.0</v>
      </c>
      <c r="H132" s="259">
        <f>IFERROR(IF(D132="SINAPI-S",VLOOKUP(B132,'20-B.SINAPI-S'!A:J,5,0),IF(D132="SINAPI-I",VLOOKUP(B132,'20-A.SINAPI-I'!A:G,6,0),IF(D132="COMPOSIÇÕES",VLOOKUP(B132,'11.COMPOSIÇÕES GERAIS'!B:I,7,0),0))),"Em Elaboração")</f>
        <v>0</v>
      </c>
      <c r="I132" s="259">
        <f>IFERROR(IF(D132="SINAPI-S",VLOOKUP(B132,'20-B.SINAPI-S'!A:J,6,0),IF(D132="SINAPI-I",VLOOKUP(B132,'20-A.SINAPI-I'!A:G,7,0),IF(D132="COMPOSIÇÕES",VLOOKUP(B132,'11.COMPOSIÇÕES GERAIS'!B:I,8,0),VLOOKUP(B132,'12.COT.MERCADO'!A:I,8,0)))),"Em Elaboração")</f>
        <v>2.56</v>
      </c>
      <c r="J132" s="259">
        <f t="shared" si="5"/>
        <v>0</v>
      </c>
      <c r="K132" s="259">
        <f t="shared" si="6"/>
        <v>2.998616538</v>
      </c>
      <c r="L132" s="259">
        <f t="shared" si="7"/>
        <v>2.998616538</v>
      </c>
      <c r="M132" s="259">
        <f t="shared" si="8"/>
        <v>0</v>
      </c>
      <c r="N132" s="259">
        <f t="shared" si="9"/>
        <v>35.98339846</v>
      </c>
      <c r="O132" s="259">
        <f t="shared" si="10"/>
        <v>35.98339846</v>
      </c>
      <c r="P132" s="586">
        <f t="shared" si="3"/>
        <v>0.000196156158</v>
      </c>
    </row>
    <row r="133">
      <c r="A133" s="253" t="s">
        <v>676</v>
      </c>
      <c r="B133" s="254">
        <v>38078.0</v>
      </c>
      <c r="C133" s="255" t="str">
        <f t="shared" si="4"/>
        <v>SINAPI</v>
      </c>
      <c r="D133" s="256" t="s">
        <v>286</v>
      </c>
      <c r="E133" s="257" t="str">
        <f>IFERROR(IF(D133="SINAPI-S",VLOOKUP(B133,'20-B.SINAPI-S'!A:J,2,0),IF(D133="SINAPI-I",VLOOKUP(B133,'20-A.SINAPI-I'!A:G,2,0),IF(D133="COMPOSIÇÕES",VLOOKUP(B133,'11.COMPOSIÇÕES GERAIS'!B:I,2,0),VLOOKUP(B133,'12.COT.MERCADO'!A:I,2,0)))),"Em Elaboração")</f>
        <v>INTERRUPTOR PARALELO + TOMADA 2P+T 10A, 250V, CONJUNTO MONTADO PARA EMBUTIR 4" X 2" (PLACA + SUPORTE + MODULOS)</v>
      </c>
      <c r="F133" s="258" t="str">
        <f>IFERROR(IF(D133="SINAPI-S",VLOOKUP(B133,'20-B.SINAPI-S'!A:J,3,0),IF(D133="SINAPI-I",VLOOKUP(B133,'20-A.SINAPI-I'!A:G,3,0),IF(D133="COMPOSIÇÕES",VLOOKUP(B133,'11.COMPOSIÇÕES GERAIS'!B:I,3,0),VLOOKUP(B133,'12.COT.MERCADO'!A:I,7,0)))),"Em Elaboração")</f>
        <v>UN</v>
      </c>
      <c r="G133" s="254">
        <v>12.0</v>
      </c>
      <c r="H133" s="259">
        <f>IFERROR(IF(D133="SINAPI-S",VLOOKUP(B133,'20-B.SINAPI-S'!A:J,5,0),IF(D133="SINAPI-I",VLOOKUP(B133,'20-A.SINAPI-I'!A:G,6,0),IF(D133="COMPOSIÇÕES",VLOOKUP(B133,'11.COMPOSIÇÕES GERAIS'!B:I,7,0),0))),"Em Elaboração")</f>
        <v>0</v>
      </c>
      <c r="I133" s="259">
        <f>IFERROR(IF(D133="SINAPI-S",VLOOKUP(B133,'20-B.SINAPI-S'!A:J,6,0),IF(D133="SINAPI-I",VLOOKUP(B133,'20-A.SINAPI-I'!A:G,7,0),IF(D133="COMPOSIÇÕES",VLOOKUP(B133,'11.COMPOSIÇÕES GERAIS'!B:I,8,0),VLOOKUP(B133,'12.COT.MERCADO'!A:I,8,0)))),"Em Elaboração")</f>
        <v>17.75</v>
      </c>
      <c r="J133" s="259">
        <f t="shared" si="5"/>
        <v>0</v>
      </c>
      <c r="K133" s="259">
        <f t="shared" si="6"/>
        <v>20.79118889</v>
      </c>
      <c r="L133" s="259">
        <f t="shared" si="7"/>
        <v>20.79118889</v>
      </c>
      <c r="M133" s="259">
        <f t="shared" si="8"/>
        <v>0</v>
      </c>
      <c r="N133" s="259">
        <f t="shared" si="9"/>
        <v>249.4942666</v>
      </c>
      <c r="O133" s="259">
        <f t="shared" si="10"/>
        <v>249.4942666</v>
      </c>
      <c r="P133" s="586">
        <f t="shared" si="3"/>
        <v>0.001360067111</v>
      </c>
    </row>
    <row r="134">
      <c r="A134" s="253" t="s">
        <v>677</v>
      </c>
      <c r="B134" s="254">
        <v>38077.0</v>
      </c>
      <c r="C134" s="255" t="str">
        <f t="shared" si="4"/>
        <v>SINAPI</v>
      </c>
      <c r="D134" s="256" t="s">
        <v>286</v>
      </c>
      <c r="E134" s="257" t="str">
        <f>IFERROR(IF(D134="SINAPI-S",VLOOKUP(B134,'20-B.SINAPI-S'!A:J,2,0),IF(D134="SINAPI-I",VLOOKUP(B134,'20-A.SINAPI-I'!A:G,2,0),IF(D134="COMPOSIÇÕES",VLOOKUP(B134,'11.COMPOSIÇÕES GERAIS'!B:I,2,0),VLOOKUP(B134,'12.COT.MERCADO'!A:I,2,0)))),"Em Elaboração")</f>
        <v>INTERRUPTOR SIMPLES + TOMADA 2P+T 10A, 250V, CONJUNTO MONTADO PARA EMBUTIR 4" X 2" (PLACA + SUPORTE + MODULOS)</v>
      </c>
      <c r="F134" s="258" t="str">
        <f>IFERROR(IF(D134="SINAPI-S",VLOOKUP(B134,'20-B.SINAPI-S'!A:J,3,0),IF(D134="SINAPI-I",VLOOKUP(B134,'20-A.SINAPI-I'!A:G,3,0),IF(D134="COMPOSIÇÕES",VLOOKUP(B134,'11.COMPOSIÇÕES GERAIS'!B:I,3,0),VLOOKUP(B134,'12.COT.MERCADO'!A:I,7,0)))),"Em Elaboração")</f>
        <v>UN</v>
      </c>
      <c r="G134" s="254">
        <v>12.0</v>
      </c>
      <c r="H134" s="259">
        <f>IFERROR(IF(D134="SINAPI-S",VLOOKUP(B134,'20-B.SINAPI-S'!A:J,5,0),IF(D134="SINAPI-I",VLOOKUP(B134,'20-A.SINAPI-I'!A:G,6,0),IF(D134="COMPOSIÇÕES",VLOOKUP(B134,'11.COMPOSIÇÕES GERAIS'!B:I,7,0),0))),"Em Elaboração")</f>
        <v>0</v>
      </c>
      <c r="I134" s="259">
        <f>IFERROR(IF(D134="SINAPI-S",VLOOKUP(B134,'20-B.SINAPI-S'!A:J,6,0),IF(D134="SINAPI-I",VLOOKUP(B134,'20-A.SINAPI-I'!A:G,7,0),IF(D134="COMPOSIÇÕES",VLOOKUP(B134,'11.COMPOSIÇÕES GERAIS'!B:I,8,0),VLOOKUP(B134,'12.COT.MERCADO'!A:I,8,0)))),"Em Elaboração")</f>
        <v>16.48</v>
      </c>
      <c r="J134" s="259">
        <f t="shared" si="5"/>
        <v>0</v>
      </c>
      <c r="K134" s="259">
        <f t="shared" si="6"/>
        <v>19.30359396</v>
      </c>
      <c r="L134" s="259">
        <f t="shared" si="7"/>
        <v>19.30359396</v>
      </c>
      <c r="M134" s="259">
        <f t="shared" si="8"/>
        <v>0</v>
      </c>
      <c r="N134" s="259">
        <f t="shared" si="9"/>
        <v>231.6431276</v>
      </c>
      <c r="O134" s="259">
        <f t="shared" si="10"/>
        <v>231.6431276</v>
      </c>
      <c r="P134" s="586">
        <f t="shared" si="3"/>
        <v>0.001262755267</v>
      </c>
    </row>
    <row r="135">
      <c r="A135" s="253" t="s">
        <v>678</v>
      </c>
      <c r="B135" s="254">
        <v>43130.0</v>
      </c>
      <c r="C135" s="255" t="str">
        <f t="shared" si="4"/>
        <v>SINAPI</v>
      </c>
      <c r="D135" s="256" t="s">
        <v>286</v>
      </c>
      <c r="E135" s="257" t="str">
        <f>IFERROR(IF(D135="SINAPI-S",VLOOKUP(B135,'20-B.SINAPI-S'!A:J,2,0),IF(D135="SINAPI-I",VLOOKUP(B135,'20-A.SINAPI-I'!A:G,2,0),IF(D135="COMPOSIÇÕES",VLOOKUP(B135,'11.COMPOSIÇÕES GERAIS'!B:I,2,0),VLOOKUP(B135,'12.COT.MERCADO'!A:I,2,0)))),"Em Elaboração")</f>
        <v>ARAME GALVANIZADO 12 BWG, D = 2,76 MM (0,048 KG/M) OU 14 BWG, D = 2,11 MM (0,026 KG/M)</v>
      </c>
      <c r="F135" s="258" t="str">
        <f>IFERROR(IF(D135="SINAPI-S",VLOOKUP(B135,'20-B.SINAPI-S'!A:J,3,0),IF(D135="SINAPI-I",VLOOKUP(B135,'20-A.SINAPI-I'!A:G,3,0),IF(D135="COMPOSIÇÕES",VLOOKUP(B135,'11.COMPOSIÇÕES GERAIS'!B:I,3,0),VLOOKUP(B135,'12.COT.MERCADO'!A:I,7,0)))),"Em Elaboração")</f>
        <v>KG</v>
      </c>
      <c r="G135" s="254">
        <v>5.0</v>
      </c>
      <c r="H135" s="259">
        <f>IFERROR(IF(D135="SINAPI-S",VLOOKUP(B135,'20-B.SINAPI-S'!A:J,5,0),IF(D135="SINAPI-I",VLOOKUP(B135,'20-A.SINAPI-I'!A:G,6,0),IF(D135="COMPOSIÇÕES",VLOOKUP(B135,'11.COMPOSIÇÕES GERAIS'!B:I,7,0),0))),"Em Elaboração")</f>
        <v>0</v>
      </c>
      <c r="I135" s="259">
        <f>IFERROR(IF(D135="SINAPI-S",VLOOKUP(B135,'20-B.SINAPI-S'!A:J,6,0),IF(D135="SINAPI-I",VLOOKUP(B135,'20-A.SINAPI-I'!A:G,7,0),IF(D135="COMPOSIÇÕES",VLOOKUP(B135,'11.COMPOSIÇÕES GERAIS'!B:I,8,0),VLOOKUP(B135,'12.COT.MERCADO'!A:I,8,0)))),"Em Elaboração")</f>
        <v>27.75</v>
      </c>
      <c r="J135" s="259">
        <f t="shared" si="5"/>
        <v>0</v>
      </c>
      <c r="K135" s="259">
        <f t="shared" si="6"/>
        <v>32.50453474</v>
      </c>
      <c r="L135" s="259">
        <f t="shared" si="7"/>
        <v>32.50453474</v>
      </c>
      <c r="M135" s="259">
        <f t="shared" si="8"/>
        <v>0</v>
      </c>
      <c r="N135" s="259">
        <f t="shared" si="9"/>
        <v>162.5226737</v>
      </c>
      <c r="O135" s="259">
        <f t="shared" si="10"/>
        <v>162.5226737</v>
      </c>
      <c r="P135" s="586">
        <f t="shared" si="3"/>
        <v>0.0008859592098</v>
      </c>
    </row>
    <row r="136">
      <c r="A136" s="253" t="s">
        <v>679</v>
      </c>
      <c r="B136" s="254">
        <v>2527.0</v>
      </c>
      <c r="C136" s="255" t="str">
        <f t="shared" si="4"/>
        <v>SINAPI</v>
      </c>
      <c r="D136" s="256" t="s">
        <v>286</v>
      </c>
      <c r="E136" s="257" t="str">
        <f>IFERROR(IF(D136="SINAPI-S",VLOOKUP(B136,'20-B.SINAPI-S'!A:J,2,0),IF(D136="SINAPI-I",VLOOKUP(B136,'20-A.SINAPI-I'!A:G,2,0),IF(D136="COMPOSIÇÕES",VLOOKUP(B136,'11.COMPOSIÇÕES GERAIS'!B:I,2,0),VLOOKUP(B136,'12.COT.MERCADO'!A:I,2,0)))),"Em Elaboração")</f>
        <v>CONECTOR RETO DE ALUMINIO PARA ELETRODUTO DE 1 1/2", PARA ADAPTAR ENTRADA DE ELETRODUTO METALICO FLEXIVEL EM QUADROS</v>
      </c>
      <c r="F136" s="258" t="str">
        <f>IFERROR(IF(D136="SINAPI-S",VLOOKUP(B136,'20-B.SINAPI-S'!A:J,3,0),IF(D136="SINAPI-I",VLOOKUP(B136,'20-A.SINAPI-I'!A:G,3,0),IF(D136="COMPOSIÇÕES",VLOOKUP(B136,'11.COMPOSIÇÕES GERAIS'!B:I,3,0),VLOOKUP(B136,'12.COT.MERCADO'!A:I,7,0)))),"Em Elaboração")</f>
        <v>UN</v>
      </c>
      <c r="G136" s="254">
        <v>8.0</v>
      </c>
      <c r="H136" s="259">
        <f>IFERROR(IF(D136="SINAPI-S",VLOOKUP(B136,'20-B.SINAPI-S'!A:J,5,0),IF(D136="SINAPI-I",VLOOKUP(B136,'20-A.SINAPI-I'!A:G,6,0),IF(D136="COMPOSIÇÕES",VLOOKUP(B136,'11.COMPOSIÇÕES GERAIS'!B:I,7,0),0))),"Em Elaboração")</f>
        <v>0</v>
      </c>
      <c r="I136" s="259">
        <f>IFERROR(IF(D136="SINAPI-S",VLOOKUP(B136,'20-B.SINAPI-S'!A:J,6,0),IF(D136="SINAPI-I",VLOOKUP(B136,'20-A.SINAPI-I'!A:G,7,0),IF(D136="COMPOSIÇÕES",VLOOKUP(B136,'11.COMPOSIÇÕES GERAIS'!B:I,8,0),VLOOKUP(B136,'12.COT.MERCADO'!A:I,8,0)))),"Em Elaboração")</f>
        <v>10.59</v>
      </c>
      <c r="J136" s="259">
        <f t="shared" si="5"/>
        <v>0</v>
      </c>
      <c r="K136" s="259">
        <f t="shared" si="6"/>
        <v>12.40443326</v>
      </c>
      <c r="L136" s="259">
        <f t="shared" si="7"/>
        <v>12.40443326</v>
      </c>
      <c r="M136" s="259">
        <f t="shared" si="8"/>
        <v>0</v>
      </c>
      <c r="N136" s="259">
        <f t="shared" si="9"/>
        <v>99.23546605</v>
      </c>
      <c r="O136" s="259">
        <f t="shared" si="10"/>
        <v>99.23546605</v>
      </c>
      <c r="P136" s="586">
        <f t="shared" si="3"/>
        <v>0.0005409619046</v>
      </c>
    </row>
    <row r="137">
      <c r="A137" s="253" t="s">
        <v>680</v>
      </c>
      <c r="B137" s="254">
        <v>2489.0</v>
      </c>
      <c r="C137" s="255" t="str">
        <f t="shared" si="4"/>
        <v>SINAPI</v>
      </c>
      <c r="D137" s="256" t="s">
        <v>286</v>
      </c>
      <c r="E137" s="257" t="str">
        <f>IFERROR(IF(D137="SINAPI-S",VLOOKUP(B137,'20-B.SINAPI-S'!A:J,2,0),IF(D137="SINAPI-I",VLOOKUP(B137,'20-A.SINAPI-I'!A:G,2,0),IF(D137="COMPOSIÇÕES",VLOOKUP(B137,'11.COMPOSIÇÕES GERAIS'!B:I,2,0),VLOOKUP(B137,'12.COT.MERCADO'!A:I,2,0)))),"Em Elaboração")</f>
        <v>CONECTOR RETO DE ALUMINIO PARA ELETRODUTO DE 2", PARA ADAPTAR ENTRADA DE ELETRODUTO METALICO FLEXIVEL EM QUADROS</v>
      </c>
      <c r="F137" s="258" t="str">
        <f>IFERROR(IF(D137="SINAPI-S",VLOOKUP(B137,'20-B.SINAPI-S'!A:J,3,0),IF(D137="SINAPI-I",VLOOKUP(B137,'20-A.SINAPI-I'!A:G,3,0),IF(D137="COMPOSIÇÕES",VLOOKUP(B137,'11.COMPOSIÇÕES GERAIS'!B:I,3,0),VLOOKUP(B137,'12.COT.MERCADO'!A:I,7,0)))),"Em Elaboração")</f>
        <v>UN</v>
      </c>
      <c r="G137" s="254">
        <v>4.0</v>
      </c>
      <c r="H137" s="259">
        <f>IFERROR(IF(D137="SINAPI-S",VLOOKUP(B137,'20-B.SINAPI-S'!A:J,5,0),IF(D137="SINAPI-I",VLOOKUP(B137,'20-A.SINAPI-I'!A:G,6,0),IF(D137="COMPOSIÇÕES",VLOOKUP(B137,'11.COMPOSIÇÕES GERAIS'!B:I,7,0),0))),"Em Elaboração")</f>
        <v>0</v>
      </c>
      <c r="I137" s="259">
        <f>IFERROR(IF(D137="SINAPI-S",VLOOKUP(B137,'20-B.SINAPI-S'!A:J,6,0),IF(D137="SINAPI-I",VLOOKUP(B137,'20-A.SINAPI-I'!A:G,7,0),IF(D137="COMPOSIÇÕES",VLOOKUP(B137,'11.COMPOSIÇÕES GERAIS'!B:I,8,0),VLOOKUP(B137,'12.COT.MERCADO'!A:I,8,0)))),"Em Elaboração")</f>
        <v>11.74</v>
      </c>
      <c r="J137" s="259">
        <f t="shared" si="5"/>
        <v>0</v>
      </c>
      <c r="K137" s="259">
        <f t="shared" si="6"/>
        <v>13.75146803</v>
      </c>
      <c r="L137" s="259">
        <f t="shared" si="7"/>
        <v>13.75146803</v>
      </c>
      <c r="M137" s="259">
        <f t="shared" si="8"/>
        <v>0</v>
      </c>
      <c r="N137" s="259">
        <f t="shared" si="9"/>
        <v>55.00587212</v>
      </c>
      <c r="O137" s="259">
        <f t="shared" si="10"/>
        <v>55.00587212</v>
      </c>
      <c r="P137" s="586">
        <f t="shared" si="3"/>
        <v>0.0002998532936</v>
      </c>
    </row>
    <row r="138">
      <c r="A138" s="253" t="s">
        <v>681</v>
      </c>
      <c r="B138" s="254">
        <v>2483.0</v>
      </c>
      <c r="C138" s="255" t="str">
        <f t="shared" si="4"/>
        <v>SINAPI</v>
      </c>
      <c r="D138" s="256" t="s">
        <v>286</v>
      </c>
      <c r="E138" s="257" t="str">
        <f>IFERROR(IF(D138="SINAPI-S",VLOOKUP(B138,'20-B.SINAPI-S'!A:J,2,0),IF(D138="SINAPI-I",VLOOKUP(B138,'20-A.SINAPI-I'!A:G,2,0),IF(D138="COMPOSIÇÕES",VLOOKUP(B138,'11.COMPOSIÇÕES GERAIS'!B:I,2,0),VLOOKUP(B138,'12.COT.MERCADO'!A:I,2,0)))),"Em Elaboração")</f>
        <v>CONECTOR RETO DE ALUMINIO PARA ELETRODUTO DE 1", PARA ADAPTAR ENTRADA DE ELETRODUTO METALICO FLEXIVEL EM QUADROS</v>
      </c>
      <c r="F138" s="258" t="str">
        <f>IFERROR(IF(D138="SINAPI-S",VLOOKUP(B138,'20-B.SINAPI-S'!A:J,3,0),IF(D138="SINAPI-I",VLOOKUP(B138,'20-A.SINAPI-I'!A:G,3,0),IF(D138="COMPOSIÇÕES",VLOOKUP(B138,'11.COMPOSIÇÕES GERAIS'!B:I,3,0),VLOOKUP(B138,'12.COT.MERCADO'!A:I,7,0)))),"Em Elaboração")</f>
        <v>UN</v>
      </c>
      <c r="G138" s="254">
        <v>4.0</v>
      </c>
      <c r="H138" s="259">
        <f>IFERROR(IF(D138="SINAPI-S",VLOOKUP(B138,'20-B.SINAPI-S'!A:J,5,0),IF(D138="SINAPI-I",VLOOKUP(B138,'20-A.SINAPI-I'!A:G,6,0),IF(D138="COMPOSIÇÕES",VLOOKUP(B138,'11.COMPOSIÇÕES GERAIS'!B:I,7,0),0))),"Em Elaboração")</f>
        <v>0</v>
      </c>
      <c r="I138" s="259">
        <f>IFERROR(IF(D138="SINAPI-S",VLOOKUP(B138,'20-B.SINAPI-S'!A:J,6,0),IF(D138="SINAPI-I",VLOOKUP(B138,'20-A.SINAPI-I'!A:G,7,0),IF(D138="COMPOSIÇÕES",VLOOKUP(B138,'11.COMPOSIÇÕES GERAIS'!B:I,8,0),VLOOKUP(B138,'12.COT.MERCADO'!A:I,8,0)))),"Em Elaboração")</f>
        <v>4.83</v>
      </c>
      <c r="J138" s="259">
        <f t="shared" si="5"/>
        <v>0</v>
      </c>
      <c r="K138" s="259">
        <f t="shared" si="6"/>
        <v>5.657546046</v>
      </c>
      <c r="L138" s="259">
        <f t="shared" si="7"/>
        <v>5.657546046</v>
      </c>
      <c r="M138" s="259">
        <f t="shared" si="8"/>
        <v>0</v>
      </c>
      <c r="N138" s="259">
        <f t="shared" si="9"/>
        <v>22.63018418</v>
      </c>
      <c r="O138" s="259">
        <f t="shared" si="10"/>
        <v>22.63018418</v>
      </c>
      <c r="P138" s="586">
        <f t="shared" si="3"/>
        <v>0.0001233638338</v>
      </c>
    </row>
    <row r="139">
      <c r="A139" s="253" t="s">
        <v>682</v>
      </c>
      <c r="B139" s="254">
        <v>34602.0</v>
      </c>
      <c r="C139" s="255" t="str">
        <f t="shared" si="4"/>
        <v>SINAPI</v>
      </c>
      <c r="D139" s="256" t="s">
        <v>286</v>
      </c>
      <c r="E139" s="257" t="str">
        <f>IFERROR(IF(D139="SINAPI-S",VLOOKUP(B139,'20-B.SINAPI-S'!A:J,2,0),IF(D139="SINAPI-I",VLOOKUP(B139,'20-A.SINAPI-I'!A:G,2,0),IF(D139="COMPOSIÇÕES",VLOOKUP(B139,'11.COMPOSIÇÕES GERAIS'!B:I,2,0),VLOOKUP(B139,'12.COT.MERCADO'!A:I,2,0)))),"Em Elaboração")</f>
        <v>CABO FLEXIVEL PVC 750 V, 2 CONDUTORES DE 1,5 MM2</v>
      </c>
      <c r="F139" s="258" t="str">
        <f>IFERROR(IF(D139="SINAPI-S",VLOOKUP(B139,'20-B.SINAPI-S'!A:J,3,0),IF(D139="SINAPI-I",VLOOKUP(B139,'20-A.SINAPI-I'!A:G,3,0),IF(D139="COMPOSIÇÕES",VLOOKUP(B139,'11.COMPOSIÇÕES GERAIS'!B:I,3,0),VLOOKUP(B139,'12.COT.MERCADO'!A:I,7,0)))),"Em Elaboração")</f>
        <v>M</v>
      </c>
      <c r="G139" s="254">
        <v>100.0</v>
      </c>
      <c r="H139" s="259">
        <f>IFERROR(IF(D139="SINAPI-S",VLOOKUP(B139,'20-B.SINAPI-S'!A:J,5,0),IF(D139="SINAPI-I",VLOOKUP(B139,'20-A.SINAPI-I'!A:G,6,0),IF(D139="COMPOSIÇÕES",VLOOKUP(B139,'11.COMPOSIÇÕES GERAIS'!B:I,7,0),0))),"Em Elaboração")</f>
        <v>0</v>
      </c>
      <c r="I139" s="259">
        <f>IFERROR(IF(D139="SINAPI-S",VLOOKUP(B139,'20-B.SINAPI-S'!A:J,6,0),IF(D139="SINAPI-I",VLOOKUP(B139,'20-A.SINAPI-I'!A:G,7,0),IF(D139="COMPOSIÇÕES",VLOOKUP(B139,'11.COMPOSIÇÕES GERAIS'!B:I,8,0),VLOOKUP(B139,'12.COT.MERCADO'!A:I,8,0)))),"Em Elaboração")</f>
        <v>3.99</v>
      </c>
      <c r="J139" s="259">
        <f t="shared" si="5"/>
        <v>0</v>
      </c>
      <c r="K139" s="259">
        <f t="shared" si="6"/>
        <v>4.673624995</v>
      </c>
      <c r="L139" s="259">
        <f t="shared" si="7"/>
        <v>4.673624995</v>
      </c>
      <c r="M139" s="259">
        <f t="shared" si="8"/>
        <v>0</v>
      </c>
      <c r="N139" s="259">
        <f t="shared" si="9"/>
        <v>467.3624995</v>
      </c>
      <c r="O139" s="259">
        <f t="shared" si="10"/>
        <v>467.3624995</v>
      </c>
      <c r="P139" s="586">
        <f t="shared" si="3"/>
        <v>0.002547731349</v>
      </c>
    </row>
    <row r="140">
      <c r="A140" s="253" t="s">
        <v>683</v>
      </c>
      <c r="B140" s="254">
        <v>34607.0</v>
      </c>
      <c r="C140" s="255" t="str">
        <f t="shared" si="4"/>
        <v>SINAPI</v>
      </c>
      <c r="D140" s="256" t="s">
        <v>286</v>
      </c>
      <c r="E140" s="257" t="str">
        <f>IFERROR(IF(D140="SINAPI-S",VLOOKUP(B140,'20-B.SINAPI-S'!A:J,2,0),IF(D140="SINAPI-I",VLOOKUP(B140,'20-A.SINAPI-I'!A:G,2,0),IF(D140="COMPOSIÇÕES",VLOOKUP(B140,'11.COMPOSIÇÕES GERAIS'!B:I,2,0),VLOOKUP(B140,'12.COT.MERCADO'!A:I,2,0)))),"Em Elaboração")</f>
        <v>CABO FLEXIVEL PVC 750 V, 2 CONDUTORES DE 4,0 MM2</v>
      </c>
      <c r="F140" s="258" t="str">
        <f>IFERROR(IF(D140="SINAPI-S",VLOOKUP(B140,'20-B.SINAPI-S'!A:J,3,0),IF(D140="SINAPI-I",VLOOKUP(B140,'20-A.SINAPI-I'!A:G,3,0),IF(D140="COMPOSIÇÕES",VLOOKUP(B140,'11.COMPOSIÇÕES GERAIS'!B:I,3,0),VLOOKUP(B140,'12.COT.MERCADO'!A:I,7,0)))),"Em Elaboração")</f>
        <v>M</v>
      </c>
      <c r="G140" s="254">
        <v>100.0</v>
      </c>
      <c r="H140" s="259">
        <f>IFERROR(IF(D140="SINAPI-S",VLOOKUP(B140,'20-B.SINAPI-S'!A:J,5,0),IF(D140="SINAPI-I",VLOOKUP(B140,'20-A.SINAPI-I'!A:G,6,0),IF(D140="COMPOSIÇÕES",VLOOKUP(B140,'11.COMPOSIÇÕES GERAIS'!B:I,7,0),0))),"Em Elaboração")</f>
        <v>0</v>
      </c>
      <c r="I140" s="259">
        <f>IFERROR(IF(D140="SINAPI-S",VLOOKUP(B140,'20-B.SINAPI-S'!A:J,6,0),IF(D140="SINAPI-I",VLOOKUP(B140,'20-A.SINAPI-I'!A:G,7,0),IF(D140="COMPOSIÇÕES",VLOOKUP(B140,'11.COMPOSIÇÕES GERAIS'!B:I,8,0),VLOOKUP(B140,'12.COT.MERCADO'!A:I,8,0)))),"Em Elaboração")</f>
        <v>9.79</v>
      </c>
      <c r="J140" s="259">
        <f t="shared" si="5"/>
        <v>0</v>
      </c>
      <c r="K140" s="259">
        <f t="shared" si="6"/>
        <v>11.46736559</v>
      </c>
      <c r="L140" s="259">
        <f t="shared" si="7"/>
        <v>11.46736559</v>
      </c>
      <c r="M140" s="259">
        <f t="shared" si="8"/>
        <v>0</v>
      </c>
      <c r="N140" s="259">
        <f t="shared" si="9"/>
        <v>1146.736559</v>
      </c>
      <c r="O140" s="259">
        <f t="shared" si="10"/>
        <v>1146.736559</v>
      </c>
      <c r="P140" s="586">
        <f t="shared" si="3"/>
        <v>0.006251200479</v>
      </c>
    </row>
    <row r="141">
      <c r="A141" s="253" t="s">
        <v>684</v>
      </c>
      <c r="B141" s="254">
        <v>34618.0</v>
      </c>
      <c r="C141" s="255" t="str">
        <f t="shared" si="4"/>
        <v>SINAPI</v>
      </c>
      <c r="D141" s="256" t="s">
        <v>286</v>
      </c>
      <c r="E141" s="257" t="str">
        <f>IFERROR(IF(D141="SINAPI-S",VLOOKUP(B141,'20-B.SINAPI-S'!A:J,2,0),IF(D141="SINAPI-I",VLOOKUP(B141,'20-A.SINAPI-I'!A:G,2,0),IF(D141="COMPOSIÇÕES",VLOOKUP(B141,'11.COMPOSIÇÕES GERAIS'!B:I,2,0),VLOOKUP(B141,'12.COT.MERCADO'!A:I,2,0)))),"Em Elaboração")</f>
        <v>CABO FLEXIVEL PVC 750 V, 3 CONDUTORES DE 1,5 MM2</v>
      </c>
      <c r="F141" s="258" t="str">
        <f>IFERROR(IF(D141="SINAPI-S",VLOOKUP(B141,'20-B.SINAPI-S'!A:J,3,0),IF(D141="SINAPI-I",VLOOKUP(B141,'20-A.SINAPI-I'!A:G,3,0),IF(D141="COMPOSIÇÕES",VLOOKUP(B141,'11.COMPOSIÇÕES GERAIS'!B:I,3,0),VLOOKUP(B141,'12.COT.MERCADO'!A:I,7,0)))),"Em Elaboração")</f>
        <v>M</v>
      </c>
      <c r="G141" s="254">
        <v>100.0</v>
      </c>
      <c r="H141" s="259">
        <f>IFERROR(IF(D141="SINAPI-S",VLOOKUP(B141,'20-B.SINAPI-S'!A:J,5,0),IF(D141="SINAPI-I",VLOOKUP(B141,'20-A.SINAPI-I'!A:G,6,0),IF(D141="COMPOSIÇÕES",VLOOKUP(B141,'11.COMPOSIÇÕES GERAIS'!B:I,7,0),0))),"Em Elaboração")</f>
        <v>0</v>
      </c>
      <c r="I141" s="259">
        <f>IFERROR(IF(D141="SINAPI-S",VLOOKUP(B141,'20-B.SINAPI-S'!A:J,6,0),IF(D141="SINAPI-I",VLOOKUP(B141,'20-A.SINAPI-I'!A:G,7,0),IF(D141="COMPOSIÇÕES",VLOOKUP(B141,'11.COMPOSIÇÕES GERAIS'!B:I,8,0),VLOOKUP(B141,'12.COT.MERCADO'!A:I,8,0)))),"Em Elaboração")</f>
        <v>5.45</v>
      </c>
      <c r="J141" s="259">
        <f t="shared" si="5"/>
        <v>0</v>
      </c>
      <c r="K141" s="259">
        <f t="shared" si="6"/>
        <v>6.383773489</v>
      </c>
      <c r="L141" s="259">
        <f t="shared" si="7"/>
        <v>6.383773489</v>
      </c>
      <c r="M141" s="259">
        <f t="shared" si="8"/>
        <v>0</v>
      </c>
      <c r="N141" s="259">
        <f t="shared" si="9"/>
        <v>638.3773489</v>
      </c>
      <c r="O141" s="259">
        <f t="shared" si="10"/>
        <v>638.3773489</v>
      </c>
      <c r="P141" s="586">
        <f t="shared" si="3"/>
        <v>0.003479983923</v>
      </c>
    </row>
    <row r="142">
      <c r="A142" s="253" t="s">
        <v>685</v>
      </c>
      <c r="B142" s="254">
        <v>34621.0</v>
      </c>
      <c r="C142" s="255" t="str">
        <f t="shared" si="4"/>
        <v>SINAPI</v>
      </c>
      <c r="D142" s="256" t="s">
        <v>286</v>
      </c>
      <c r="E142" s="257" t="str">
        <f>IFERROR(IF(D142="SINAPI-S",VLOOKUP(B142,'20-B.SINAPI-S'!A:J,2,0),IF(D142="SINAPI-I",VLOOKUP(B142,'20-A.SINAPI-I'!A:G,2,0),IF(D142="COMPOSIÇÕES",VLOOKUP(B142,'11.COMPOSIÇÕES GERAIS'!B:I,2,0),VLOOKUP(B142,'12.COT.MERCADO'!A:I,2,0)))),"Em Elaboração")</f>
        <v>CABO FLEXIVEL PVC 750 V, 3 CONDUTORES DE 4,0 MM2</v>
      </c>
      <c r="F142" s="258" t="str">
        <f>IFERROR(IF(D142="SINAPI-S",VLOOKUP(B142,'20-B.SINAPI-S'!A:J,3,0),IF(D142="SINAPI-I",VLOOKUP(B142,'20-A.SINAPI-I'!A:G,3,0),IF(D142="COMPOSIÇÕES",VLOOKUP(B142,'11.COMPOSIÇÕES GERAIS'!B:I,3,0),VLOOKUP(B142,'12.COT.MERCADO'!A:I,7,0)))),"Em Elaboração")</f>
        <v>M</v>
      </c>
      <c r="G142" s="254">
        <v>100.0</v>
      </c>
      <c r="H142" s="259">
        <f>IFERROR(IF(D142="SINAPI-S",VLOOKUP(B142,'20-B.SINAPI-S'!A:J,5,0),IF(D142="SINAPI-I",VLOOKUP(B142,'20-A.SINAPI-I'!A:G,6,0),IF(D142="COMPOSIÇÕES",VLOOKUP(B142,'11.COMPOSIÇÕES GERAIS'!B:I,7,0),0))),"Em Elaboração")</f>
        <v>0</v>
      </c>
      <c r="I142" s="259">
        <f>IFERROR(IF(D142="SINAPI-S",VLOOKUP(B142,'20-B.SINAPI-S'!A:J,6,0),IF(D142="SINAPI-I",VLOOKUP(B142,'20-A.SINAPI-I'!A:G,7,0),IF(D142="COMPOSIÇÕES",VLOOKUP(B142,'11.COMPOSIÇÕES GERAIS'!B:I,8,0),VLOOKUP(B142,'12.COT.MERCADO'!A:I,8,0)))),"Em Elaboração")</f>
        <v>13.5</v>
      </c>
      <c r="J142" s="259">
        <f t="shared" si="5"/>
        <v>0</v>
      </c>
      <c r="K142" s="259">
        <f t="shared" si="6"/>
        <v>15.8130169</v>
      </c>
      <c r="L142" s="259">
        <f t="shared" si="7"/>
        <v>15.8130169</v>
      </c>
      <c r="M142" s="259">
        <f t="shared" si="8"/>
        <v>0</v>
      </c>
      <c r="N142" s="259">
        <f t="shared" si="9"/>
        <v>1581.30169</v>
      </c>
      <c r="O142" s="259">
        <f t="shared" si="10"/>
        <v>1581.30169</v>
      </c>
      <c r="P142" s="586">
        <f t="shared" si="3"/>
        <v>0.008620143663</v>
      </c>
    </row>
    <row r="143">
      <c r="A143" s="253" t="s">
        <v>686</v>
      </c>
      <c r="B143" s="254">
        <v>39771.0</v>
      </c>
      <c r="C143" s="255" t="str">
        <f t="shared" si="4"/>
        <v>SINAPI</v>
      </c>
      <c r="D143" s="256" t="s">
        <v>286</v>
      </c>
      <c r="E143" s="257" t="str">
        <f>IFERROR(IF(D143="SINAPI-S",VLOOKUP(B143,'20-B.SINAPI-S'!A:J,2,0),IF(D143="SINAPI-I",VLOOKUP(B143,'20-A.SINAPI-I'!A:G,2,0),IF(D143="COMPOSIÇÕES",VLOOKUP(B143,'11.COMPOSIÇÕES GERAIS'!B:I,2,0),VLOOKUP(B143,'12.COT.MERCADO'!A:I,2,0)))),"Em Elaboração")</f>
        <v>CAIXA DE PASSAGEM METALICA DE SOBREPOR COM TAMPA PARAFUSADA, DIMENSOES 20 X 20 X 10 CM</v>
      </c>
      <c r="F143" s="258" t="str">
        <f>IFERROR(IF(D143="SINAPI-S",VLOOKUP(B143,'20-B.SINAPI-S'!A:J,3,0),IF(D143="SINAPI-I",VLOOKUP(B143,'20-A.SINAPI-I'!A:G,3,0),IF(D143="COMPOSIÇÕES",VLOOKUP(B143,'11.COMPOSIÇÕES GERAIS'!B:I,3,0),VLOOKUP(B143,'12.COT.MERCADO'!A:I,7,0)))),"Em Elaboração")</f>
        <v>UN</v>
      </c>
      <c r="G143" s="254">
        <v>2.0</v>
      </c>
      <c r="H143" s="259">
        <f>IFERROR(IF(D143="SINAPI-S",VLOOKUP(B143,'20-B.SINAPI-S'!A:J,5,0),IF(D143="SINAPI-I",VLOOKUP(B143,'20-A.SINAPI-I'!A:G,6,0),IF(D143="COMPOSIÇÕES",VLOOKUP(B143,'11.COMPOSIÇÕES GERAIS'!B:I,7,0),0))),"Em Elaboração")</f>
        <v>0</v>
      </c>
      <c r="I143" s="259">
        <f>IFERROR(IF(D143="SINAPI-S",VLOOKUP(B143,'20-B.SINAPI-S'!A:J,6,0),IF(D143="SINAPI-I",VLOOKUP(B143,'20-A.SINAPI-I'!A:G,7,0),IF(D143="COMPOSIÇÕES",VLOOKUP(B143,'11.COMPOSIÇÕES GERAIS'!B:I,8,0),VLOOKUP(B143,'12.COT.MERCADO'!A:I,8,0)))),"Em Elaboração")</f>
        <v>31.13</v>
      </c>
      <c r="J143" s="259">
        <f t="shared" si="5"/>
        <v>0</v>
      </c>
      <c r="K143" s="259">
        <f t="shared" si="6"/>
        <v>36.46364564</v>
      </c>
      <c r="L143" s="259">
        <f t="shared" si="7"/>
        <v>36.46364564</v>
      </c>
      <c r="M143" s="259">
        <f t="shared" si="8"/>
        <v>0</v>
      </c>
      <c r="N143" s="259">
        <f t="shared" si="9"/>
        <v>72.92729127</v>
      </c>
      <c r="O143" s="259">
        <f t="shared" si="10"/>
        <v>72.92729127</v>
      </c>
      <c r="P143" s="586">
        <f t="shared" si="3"/>
        <v>0.0003975482552</v>
      </c>
    </row>
    <row r="144">
      <c r="A144" s="253" t="s">
        <v>687</v>
      </c>
      <c r="B144" s="254">
        <v>2680.0</v>
      </c>
      <c r="C144" s="255" t="str">
        <f t="shared" si="4"/>
        <v>SINAPI</v>
      </c>
      <c r="D144" s="256" t="s">
        <v>286</v>
      </c>
      <c r="E144" s="257" t="str">
        <f>IFERROR(IF(D144="SINAPI-S",VLOOKUP(B144,'20-B.SINAPI-S'!A:J,2,0),IF(D144="SINAPI-I",VLOOKUP(B144,'20-A.SINAPI-I'!A:G,2,0),IF(D144="COMPOSIÇÕES",VLOOKUP(B144,'11.COMPOSIÇÕES GERAIS'!B:I,2,0),VLOOKUP(B144,'12.COT.MERCADO'!A:I,2,0)))),"Em Elaboração")</f>
        <v>ELETRODUTO DE PVC RIGIDO ROSCAVEL DE 1 1/2 ", SEM LUVA</v>
      </c>
      <c r="F144" s="258" t="str">
        <f>IFERROR(IF(D144="SINAPI-S",VLOOKUP(B144,'20-B.SINAPI-S'!A:J,3,0),IF(D144="SINAPI-I",VLOOKUP(B144,'20-A.SINAPI-I'!A:G,3,0),IF(D144="COMPOSIÇÕES",VLOOKUP(B144,'11.COMPOSIÇÕES GERAIS'!B:I,3,0),VLOOKUP(B144,'12.COT.MERCADO'!A:I,7,0)))),"Em Elaboração")</f>
        <v>M</v>
      </c>
      <c r="G144" s="254">
        <v>12.0</v>
      </c>
      <c r="H144" s="259">
        <f>IFERROR(IF(D144="SINAPI-S",VLOOKUP(B144,'20-B.SINAPI-S'!A:J,5,0),IF(D144="SINAPI-I",VLOOKUP(B144,'20-A.SINAPI-I'!A:G,6,0),IF(D144="COMPOSIÇÕES",VLOOKUP(B144,'11.COMPOSIÇÕES GERAIS'!B:I,7,0),0))),"Em Elaboração")</f>
        <v>0</v>
      </c>
      <c r="I144" s="259">
        <f>IFERROR(IF(D144="SINAPI-S",VLOOKUP(B144,'20-B.SINAPI-S'!A:J,6,0),IF(D144="SINAPI-I",VLOOKUP(B144,'20-A.SINAPI-I'!A:G,7,0),IF(D144="COMPOSIÇÕES",VLOOKUP(B144,'11.COMPOSIÇÕES GERAIS'!B:I,8,0),VLOOKUP(B144,'12.COT.MERCADO'!A:I,8,0)))),"Em Elaboração")</f>
        <v>14.78</v>
      </c>
      <c r="J144" s="259">
        <f t="shared" si="5"/>
        <v>0</v>
      </c>
      <c r="K144" s="259">
        <f t="shared" si="6"/>
        <v>17.31232517</v>
      </c>
      <c r="L144" s="259">
        <f t="shared" si="7"/>
        <v>17.31232517</v>
      </c>
      <c r="M144" s="259">
        <f t="shared" si="8"/>
        <v>0</v>
      </c>
      <c r="N144" s="259">
        <f t="shared" si="9"/>
        <v>207.747902</v>
      </c>
      <c r="O144" s="259">
        <f t="shared" si="10"/>
        <v>207.747902</v>
      </c>
      <c r="P144" s="586">
        <f t="shared" si="3"/>
        <v>0.001132495319</v>
      </c>
    </row>
    <row r="145">
      <c r="A145" s="253" t="s">
        <v>688</v>
      </c>
      <c r="B145" s="254">
        <v>2684.0</v>
      </c>
      <c r="C145" s="255" t="str">
        <f t="shared" si="4"/>
        <v>SINAPI</v>
      </c>
      <c r="D145" s="256" t="s">
        <v>286</v>
      </c>
      <c r="E145" s="257" t="str">
        <f>IFERROR(IF(D145="SINAPI-S",VLOOKUP(B145,'20-B.SINAPI-S'!A:J,2,0),IF(D145="SINAPI-I",VLOOKUP(B145,'20-A.SINAPI-I'!A:G,2,0),IF(D145="COMPOSIÇÕES",VLOOKUP(B145,'11.COMPOSIÇÕES GERAIS'!B:I,2,0),VLOOKUP(B145,'12.COT.MERCADO'!A:I,2,0)))),"Em Elaboração")</f>
        <v>ELETRODUTO DE PVC RIGIDO ROSCAVEL DE 1 1/4 ", SEM LUVA</v>
      </c>
      <c r="F145" s="258" t="str">
        <f>IFERROR(IF(D145="SINAPI-S",VLOOKUP(B145,'20-B.SINAPI-S'!A:J,3,0),IF(D145="SINAPI-I",VLOOKUP(B145,'20-A.SINAPI-I'!A:G,3,0),IF(D145="COMPOSIÇÕES",VLOOKUP(B145,'11.COMPOSIÇÕES GERAIS'!B:I,3,0),VLOOKUP(B145,'12.COT.MERCADO'!A:I,7,0)))),"Em Elaboração")</f>
        <v>M</v>
      </c>
      <c r="G145" s="254">
        <v>12.0</v>
      </c>
      <c r="H145" s="259">
        <f>IFERROR(IF(D145="SINAPI-S",VLOOKUP(B145,'20-B.SINAPI-S'!A:J,5,0),IF(D145="SINAPI-I",VLOOKUP(B145,'20-A.SINAPI-I'!A:G,6,0),IF(D145="COMPOSIÇÕES",VLOOKUP(B145,'11.COMPOSIÇÕES GERAIS'!B:I,7,0),0))),"Em Elaboração")</f>
        <v>0</v>
      </c>
      <c r="I145" s="259">
        <f>IFERROR(IF(D145="SINAPI-S",VLOOKUP(B145,'20-B.SINAPI-S'!A:J,6,0),IF(D145="SINAPI-I",VLOOKUP(B145,'20-A.SINAPI-I'!A:G,7,0),IF(D145="COMPOSIÇÕES",VLOOKUP(B145,'11.COMPOSIÇÕES GERAIS'!B:I,8,0),VLOOKUP(B145,'12.COT.MERCADO'!A:I,8,0)))),"Em Elaboração")</f>
        <v>13.45</v>
      </c>
      <c r="J145" s="259">
        <f t="shared" si="5"/>
        <v>0</v>
      </c>
      <c r="K145" s="259">
        <f t="shared" si="6"/>
        <v>15.75445017</v>
      </c>
      <c r="L145" s="259">
        <f t="shared" si="7"/>
        <v>15.75445017</v>
      </c>
      <c r="M145" s="259">
        <f t="shared" si="8"/>
        <v>0</v>
      </c>
      <c r="N145" s="259">
        <f t="shared" si="9"/>
        <v>189.053402</v>
      </c>
      <c r="O145" s="259">
        <f t="shared" si="10"/>
        <v>189.053402</v>
      </c>
      <c r="P145" s="586">
        <f t="shared" si="3"/>
        <v>0.001030586065</v>
      </c>
    </row>
    <row r="146">
      <c r="A146" s="253" t="s">
        <v>689</v>
      </c>
      <c r="B146" s="254">
        <v>2681.0</v>
      </c>
      <c r="C146" s="255" t="str">
        <f t="shared" si="4"/>
        <v>SINAPI</v>
      </c>
      <c r="D146" s="256" t="s">
        <v>286</v>
      </c>
      <c r="E146" s="257" t="str">
        <f>IFERROR(IF(D146="SINAPI-S",VLOOKUP(B146,'20-B.SINAPI-S'!A:J,2,0),IF(D146="SINAPI-I",VLOOKUP(B146,'20-A.SINAPI-I'!A:G,2,0),IF(D146="COMPOSIÇÕES",VLOOKUP(B146,'11.COMPOSIÇÕES GERAIS'!B:I,2,0),VLOOKUP(B146,'12.COT.MERCADO'!A:I,2,0)))),"Em Elaboração")</f>
        <v>ELETRODUTO DE PVC RIGIDO ROSCAVEL DE 2 ", SEM LUVA</v>
      </c>
      <c r="F146" s="258" t="str">
        <f>IFERROR(IF(D146="SINAPI-S",VLOOKUP(B146,'20-B.SINAPI-S'!A:J,3,0),IF(D146="SINAPI-I",VLOOKUP(B146,'20-A.SINAPI-I'!A:G,3,0),IF(D146="COMPOSIÇÕES",VLOOKUP(B146,'11.COMPOSIÇÕES GERAIS'!B:I,3,0),VLOOKUP(B146,'12.COT.MERCADO'!A:I,7,0)))),"Em Elaboração")</f>
        <v>M</v>
      </c>
      <c r="G146" s="254">
        <v>12.0</v>
      </c>
      <c r="H146" s="259">
        <f>IFERROR(IF(D146="SINAPI-S",VLOOKUP(B146,'20-B.SINAPI-S'!A:J,5,0),IF(D146="SINAPI-I",VLOOKUP(B146,'20-A.SINAPI-I'!A:G,6,0),IF(D146="COMPOSIÇÕES",VLOOKUP(B146,'11.COMPOSIÇÕES GERAIS'!B:I,7,0),0))),"Em Elaboração")</f>
        <v>0</v>
      </c>
      <c r="I146" s="259">
        <f>IFERROR(IF(D146="SINAPI-S",VLOOKUP(B146,'20-B.SINAPI-S'!A:J,6,0),IF(D146="SINAPI-I",VLOOKUP(B146,'20-A.SINAPI-I'!A:G,7,0),IF(D146="COMPOSIÇÕES",VLOOKUP(B146,'11.COMPOSIÇÕES GERAIS'!B:I,8,0),VLOOKUP(B146,'12.COT.MERCADO'!A:I,8,0)))),"Em Elaboração")</f>
        <v>24.15</v>
      </c>
      <c r="J146" s="259">
        <f t="shared" si="5"/>
        <v>0</v>
      </c>
      <c r="K146" s="259">
        <f t="shared" si="6"/>
        <v>28.28773023</v>
      </c>
      <c r="L146" s="259">
        <f t="shared" si="7"/>
        <v>28.28773023</v>
      </c>
      <c r="M146" s="259">
        <f t="shared" si="8"/>
        <v>0</v>
      </c>
      <c r="N146" s="259">
        <f t="shared" si="9"/>
        <v>339.4527628</v>
      </c>
      <c r="O146" s="259">
        <f t="shared" si="10"/>
        <v>339.4527628</v>
      </c>
      <c r="P146" s="586">
        <f t="shared" si="3"/>
        <v>0.001850457506</v>
      </c>
    </row>
    <row r="147">
      <c r="A147" s="253" t="s">
        <v>690</v>
      </c>
      <c r="B147" s="254">
        <v>39757.0</v>
      </c>
      <c r="C147" s="255" t="str">
        <f t="shared" si="4"/>
        <v>SINAPI</v>
      </c>
      <c r="D147" s="256" t="s">
        <v>286</v>
      </c>
      <c r="E147" s="257" t="str">
        <f>IFERROR(IF(D147="SINAPI-S",VLOOKUP(B147,'20-B.SINAPI-S'!A:J,2,0),IF(D147="SINAPI-I",VLOOKUP(B147,'20-A.SINAPI-I'!A:G,2,0),IF(D147="COMPOSIÇÕES",VLOOKUP(B147,'11.COMPOSIÇÕES GERAIS'!B:I,2,0),VLOOKUP(B147,'12.COT.MERCADO'!A:I,2,0)))),"Em Elaboração")</f>
        <v>QUADRO DE DISTRIBUICAO COM BARRAMENTO TRIFASICO, DE SOBREPOR, EM CHAPA DE ACO GALVANIZADO, PARA 28 DISJUNTORES DIN, 100 A</v>
      </c>
      <c r="F147" s="258" t="str">
        <f>IFERROR(IF(D147="SINAPI-S",VLOOKUP(B147,'20-B.SINAPI-S'!A:J,3,0),IF(D147="SINAPI-I",VLOOKUP(B147,'20-A.SINAPI-I'!A:G,3,0),IF(D147="COMPOSIÇÕES",VLOOKUP(B147,'11.COMPOSIÇÕES GERAIS'!B:I,3,0),VLOOKUP(B147,'12.COT.MERCADO'!A:I,7,0)))),"Em Elaboração")</f>
        <v>UN</v>
      </c>
      <c r="G147" s="254">
        <v>2.0</v>
      </c>
      <c r="H147" s="259">
        <f>IFERROR(IF(D147="SINAPI-S",VLOOKUP(B147,'20-B.SINAPI-S'!A:J,5,0),IF(D147="SINAPI-I",VLOOKUP(B147,'20-A.SINAPI-I'!A:G,6,0),IF(D147="COMPOSIÇÕES",VLOOKUP(B147,'11.COMPOSIÇÕES GERAIS'!B:I,7,0),0))),"Em Elaboração")</f>
        <v>0</v>
      </c>
      <c r="I147" s="259">
        <f>IFERROR(IF(D147="SINAPI-S",VLOOKUP(B147,'20-B.SINAPI-S'!A:J,6,0),IF(D147="SINAPI-I",VLOOKUP(B147,'20-A.SINAPI-I'!A:G,7,0),IF(D147="COMPOSIÇÕES",VLOOKUP(B147,'11.COMPOSIÇÕES GERAIS'!B:I,8,0),VLOOKUP(B147,'12.COT.MERCADO'!A:I,8,0)))),"Em Elaboração")</f>
        <v>416.38</v>
      </c>
      <c r="J147" s="259">
        <f t="shared" si="5"/>
        <v>0</v>
      </c>
      <c r="K147" s="259">
        <f t="shared" si="6"/>
        <v>487.7202946</v>
      </c>
      <c r="L147" s="259">
        <f t="shared" si="7"/>
        <v>487.7202946</v>
      </c>
      <c r="M147" s="259">
        <f t="shared" si="8"/>
        <v>0</v>
      </c>
      <c r="N147" s="259">
        <f t="shared" si="9"/>
        <v>975.4405891</v>
      </c>
      <c r="O147" s="259">
        <f t="shared" si="10"/>
        <v>975.4405891</v>
      </c>
      <c r="P147" s="586">
        <f t="shared" si="3"/>
        <v>0.005317415435</v>
      </c>
    </row>
    <row r="148">
      <c r="A148" s="253" t="s">
        <v>691</v>
      </c>
      <c r="B148" s="254">
        <v>1542.0</v>
      </c>
      <c r="C148" s="255" t="str">
        <f t="shared" si="4"/>
        <v>SINAPI</v>
      </c>
      <c r="D148" s="256" t="s">
        <v>286</v>
      </c>
      <c r="E148" s="257" t="str">
        <f>IFERROR(IF(D148="SINAPI-S",VLOOKUP(B148,'20-B.SINAPI-S'!A:J,2,0),IF(D148="SINAPI-I",VLOOKUP(B148,'20-A.SINAPI-I'!A:G,2,0),IF(D148="COMPOSIÇÕES",VLOOKUP(B148,'11.COMPOSIÇÕES GERAIS'!B:I,2,0),VLOOKUP(B148,'12.COT.MERCADO'!A:I,2,0)))),"Em Elaboração")</f>
        <v>TERMINAL METALICO A PRESSAO 1 CABO, PARA CABOS DE 4 A 10 MM2, COM 2 FUROS PARA FIXACAO</v>
      </c>
      <c r="F148" s="258" t="str">
        <f>IFERROR(IF(D148="SINAPI-S",VLOOKUP(B148,'20-B.SINAPI-S'!A:J,3,0),IF(D148="SINAPI-I",VLOOKUP(B148,'20-A.SINAPI-I'!A:G,3,0),IF(D148="COMPOSIÇÕES",VLOOKUP(B148,'11.COMPOSIÇÕES GERAIS'!B:I,3,0),VLOOKUP(B148,'12.COT.MERCADO'!A:I,7,0)))),"Em Elaboração")</f>
        <v>UN</v>
      </c>
      <c r="G148" s="254">
        <v>8.0</v>
      </c>
      <c r="H148" s="259">
        <f>IFERROR(IF(D148="SINAPI-S",VLOOKUP(B148,'20-B.SINAPI-S'!A:J,5,0),IF(D148="SINAPI-I",VLOOKUP(B148,'20-A.SINAPI-I'!A:G,6,0),IF(D148="COMPOSIÇÕES",VLOOKUP(B148,'11.COMPOSIÇÕES GERAIS'!B:I,7,0),0))),"Em Elaboração")</f>
        <v>0</v>
      </c>
      <c r="I148" s="259">
        <f>IFERROR(IF(D148="SINAPI-S",VLOOKUP(B148,'20-B.SINAPI-S'!A:J,6,0),IF(D148="SINAPI-I",VLOOKUP(B148,'20-A.SINAPI-I'!A:G,7,0),IF(D148="COMPOSIÇÕES",VLOOKUP(B148,'11.COMPOSIÇÕES GERAIS'!B:I,8,0),VLOOKUP(B148,'12.COT.MERCADO'!A:I,8,0)))),"Em Elaboração")</f>
        <v>22.71</v>
      </c>
      <c r="J148" s="259">
        <f t="shared" si="5"/>
        <v>0</v>
      </c>
      <c r="K148" s="259">
        <f t="shared" si="6"/>
        <v>26.60100843</v>
      </c>
      <c r="L148" s="259">
        <f t="shared" si="7"/>
        <v>26.60100843</v>
      </c>
      <c r="M148" s="259">
        <f t="shared" si="8"/>
        <v>0</v>
      </c>
      <c r="N148" s="259">
        <f t="shared" si="9"/>
        <v>212.8080674</v>
      </c>
      <c r="O148" s="259">
        <f t="shared" si="10"/>
        <v>212.8080674</v>
      </c>
      <c r="P148" s="586">
        <f t="shared" si="3"/>
        <v>0.001160079778</v>
      </c>
    </row>
    <row r="149">
      <c r="A149" s="253" t="s">
        <v>692</v>
      </c>
      <c r="B149" s="254">
        <v>2510.0</v>
      </c>
      <c r="C149" s="255" t="str">
        <f t="shared" si="4"/>
        <v>SINAPI</v>
      </c>
      <c r="D149" s="256" t="s">
        <v>286</v>
      </c>
      <c r="E149" s="257" t="str">
        <f>IFERROR(IF(D149="SINAPI-S",VLOOKUP(B149,'20-B.SINAPI-S'!A:J,2,0),IF(D149="SINAPI-I",VLOOKUP(B149,'20-A.SINAPI-I'!A:G,2,0),IF(D149="COMPOSIÇÕES",VLOOKUP(B149,'11.COMPOSIÇÕES GERAIS'!B:I,2,0),VLOOKUP(B149,'12.COT.MERCADO'!A:I,2,0)))),"Em Elaboração")</f>
        <v>RELE FOTOELETRICO INTERNO E EXTERNO BIVOLT 1000 W, DE CONECTOR, SEM BASE</v>
      </c>
      <c r="F149" s="258" t="str">
        <f>IFERROR(IF(D149="SINAPI-S",VLOOKUP(B149,'20-B.SINAPI-S'!A:J,3,0),IF(D149="SINAPI-I",VLOOKUP(B149,'20-A.SINAPI-I'!A:G,3,0),IF(D149="COMPOSIÇÕES",VLOOKUP(B149,'11.COMPOSIÇÕES GERAIS'!B:I,3,0),VLOOKUP(B149,'12.COT.MERCADO'!A:I,7,0)))),"Em Elaboração")</f>
        <v>UN</v>
      </c>
      <c r="G149" s="254">
        <v>12.0</v>
      </c>
      <c r="H149" s="259">
        <f>IFERROR(IF(D149="SINAPI-S",VLOOKUP(B149,'20-B.SINAPI-S'!A:J,5,0),IF(D149="SINAPI-I",VLOOKUP(B149,'20-A.SINAPI-I'!A:G,6,0),IF(D149="COMPOSIÇÕES",VLOOKUP(B149,'11.COMPOSIÇÕES GERAIS'!B:I,7,0),0))),"Em Elaboração")</f>
        <v>0</v>
      </c>
      <c r="I149" s="259">
        <f>IFERROR(IF(D149="SINAPI-S",VLOOKUP(B149,'20-B.SINAPI-S'!A:J,6,0),IF(D149="SINAPI-I",VLOOKUP(B149,'20-A.SINAPI-I'!A:G,7,0),IF(D149="COMPOSIÇÕES",VLOOKUP(B149,'11.COMPOSIÇÕES GERAIS'!B:I,8,0),VLOOKUP(B149,'12.COT.MERCADO'!A:I,8,0)))),"Em Elaboração")</f>
        <v>34.29</v>
      </c>
      <c r="J149" s="259">
        <f t="shared" si="5"/>
        <v>0</v>
      </c>
      <c r="K149" s="259">
        <f t="shared" si="6"/>
        <v>40.16506292</v>
      </c>
      <c r="L149" s="259">
        <f t="shared" si="7"/>
        <v>40.16506292</v>
      </c>
      <c r="M149" s="259">
        <f t="shared" si="8"/>
        <v>0</v>
      </c>
      <c r="N149" s="259">
        <f t="shared" si="9"/>
        <v>481.9807551</v>
      </c>
      <c r="O149" s="259">
        <f t="shared" si="10"/>
        <v>481.9807551</v>
      </c>
      <c r="P149" s="586">
        <f t="shared" si="3"/>
        <v>0.002627419789</v>
      </c>
    </row>
    <row r="150">
      <c r="A150" s="253" t="s">
        <v>693</v>
      </c>
      <c r="B150" s="254">
        <v>996.0</v>
      </c>
      <c r="C150" s="255" t="str">
        <f t="shared" si="4"/>
        <v>SINAPI</v>
      </c>
      <c r="D150" s="256" t="s">
        <v>286</v>
      </c>
      <c r="E150" s="257" t="str">
        <f>IFERROR(IF(D150="SINAPI-S",VLOOKUP(B150,'20-B.SINAPI-S'!A:J,2,0),IF(D150="SINAPI-I",VLOOKUP(B150,'20-A.SINAPI-I'!A:G,2,0),IF(D150="COMPOSIÇÕES",VLOOKUP(B150,'11.COMPOSIÇÕES GERAIS'!B:I,2,0),VLOOKUP(B150,'12.COT.MERCADO'!A:I,2,0)))),"Em Elaboração")</f>
        <v>CABO DE COBRE, FLEXIVEL, CLASSE 4 OU 5, ISOLACAO EM PVC/A, ANTICHAMA BWF-B, COBERTURA PVC-ST1, ANTICHAMA BWF-B, 1 CONDUTOR, 0,6/1 KV, SECAO NOMINAL 25 MM2</v>
      </c>
      <c r="F150" s="258" t="str">
        <f>IFERROR(IF(D150="SINAPI-S",VLOOKUP(B150,'20-B.SINAPI-S'!A:J,3,0),IF(D150="SINAPI-I",VLOOKUP(B150,'20-A.SINAPI-I'!A:G,3,0),IF(D150="COMPOSIÇÕES",VLOOKUP(B150,'11.COMPOSIÇÕES GERAIS'!B:I,3,0),VLOOKUP(B150,'12.COT.MERCADO'!A:I,7,0)))),"Em Elaboração")</f>
        <v>M</v>
      </c>
      <c r="G150" s="254">
        <v>100.0</v>
      </c>
      <c r="H150" s="259">
        <f>IFERROR(IF(D150="SINAPI-S",VLOOKUP(B150,'20-B.SINAPI-S'!A:J,5,0),IF(D150="SINAPI-I",VLOOKUP(B150,'20-A.SINAPI-I'!A:G,6,0),IF(D150="COMPOSIÇÕES",VLOOKUP(B150,'11.COMPOSIÇÕES GERAIS'!B:I,7,0),0))),"Em Elaboração")</f>
        <v>0</v>
      </c>
      <c r="I150" s="259">
        <f>IFERROR(IF(D150="SINAPI-S",VLOOKUP(B150,'20-B.SINAPI-S'!A:J,6,0),IF(D150="SINAPI-I",VLOOKUP(B150,'20-A.SINAPI-I'!A:G,7,0),IF(D150="COMPOSIÇÕES",VLOOKUP(B150,'11.COMPOSIÇÕES GERAIS'!B:I,8,0),VLOOKUP(B150,'12.COT.MERCADO'!A:I,8,0)))),"Em Elaboração")</f>
        <v>23.22</v>
      </c>
      <c r="J150" s="259">
        <f t="shared" si="5"/>
        <v>0</v>
      </c>
      <c r="K150" s="259">
        <f t="shared" si="6"/>
        <v>27.19838907</v>
      </c>
      <c r="L150" s="259">
        <f t="shared" si="7"/>
        <v>27.19838907</v>
      </c>
      <c r="M150" s="259">
        <f t="shared" si="8"/>
        <v>0</v>
      </c>
      <c r="N150" s="259">
        <f t="shared" si="9"/>
        <v>2719.838907</v>
      </c>
      <c r="O150" s="259">
        <f t="shared" si="10"/>
        <v>2719.838907</v>
      </c>
      <c r="P150" s="586">
        <f t="shared" si="3"/>
        <v>0.0148266471</v>
      </c>
    </row>
    <row r="151">
      <c r="A151" s="253" t="s">
        <v>694</v>
      </c>
      <c r="B151" s="254">
        <v>39603.0</v>
      </c>
      <c r="C151" s="255" t="str">
        <f t="shared" si="4"/>
        <v>SINAPI</v>
      </c>
      <c r="D151" s="256" t="s">
        <v>286</v>
      </c>
      <c r="E151" s="257" t="str">
        <f>IFERROR(IF(D151="SINAPI-S",VLOOKUP(B151,'20-B.SINAPI-S'!A:J,2,0),IF(D151="SINAPI-I",VLOOKUP(B151,'20-A.SINAPI-I'!A:G,2,0),IF(D151="COMPOSIÇÕES",VLOOKUP(B151,'11.COMPOSIÇÕES GERAIS'!B:I,2,0),VLOOKUP(B151,'12.COT.MERCADO'!A:I,2,0)))),"Em Elaboração")</f>
        <v>CONECTOR MACHO RJ 45, CATEGORIA 6 (CAT 6) PARA CABOS</v>
      </c>
      <c r="F151" s="258" t="str">
        <f>IFERROR(IF(D151="SINAPI-S",VLOOKUP(B151,'20-B.SINAPI-S'!A:J,3,0),IF(D151="SINAPI-I",VLOOKUP(B151,'20-A.SINAPI-I'!A:G,3,0),IF(D151="COMPOSIÇÕES",VLOOKUP(B151,'11.COMPOSIÇÕES GERAIS'!B:I,3,0),VLOOKUP(B151,'12.COT.MERCADO'!A:I,7,0)))),"Em Elaboração")</f>
        <v>UN</v>
      </c>
      <c r="G151" s="254">
        <v>100.0</v>
      </c>
      <c r="H151" s="259">
        <f>IFERROR(IF(D151="SINAPI-S",VLOOKUP(B151,'20-B.SINAPI-S'!A:J,5,0),IF(D151="SINAPI-I",VLOOKUP(B151,'20-A.SINAPI-I'!A:G,6,0),IF(D151="COMPOSIÇÕES",VLOOKUP(B151,'11.COMPOSIÇÕES GERAIS'!B:I,7,0),0))),"Em Elaboração")</f>
        <v>0</v>
      </c>
      <c r="I151" s="259">
        <f>IFERROR(IF(D151="SINAPI-S",VLOOKUP(B151,'20-B.SINAPI-S'!A:J,6,0),IF(D151="SINAPI-I",VLOOKUP(B151,'20-A.SINAPI-I'!A:G,7,0),IF(D151="COMPOSIÇÕES",VLOOKUP(B151,'11.COMPOSIÇÕES GERAIS'!B:I,8,0),VLOOKUP(B151,'12.COT.MERCADO'!A:I,8,0)))),"Em Elaboração")</f>
        <v>3.55</v>
      </c>
      <c r="J151" s="259">
        <f t="shared" si="5"/>
        <v>0</v>
      </c>
      <c r="K151" s="259">
        <f t="shared" si="6"/>
        <v>4.158237777</v>
      </c>
      <c r="L151" s="259">
        <f t="shared" si="7"/>
        <v>4.158237777</v>
      </c>
      <c r="M151" s="259">
        <f t="shared" si="8"/>
        <v>0</v>
      </c>
      <c r="N151" s="259">
        <f t="shared" si="9"/>
        <v>415.8237777</v>
      </c>
      <c r="O151" s="259">
        <f t="shared" si="10"/>
        <v>415.8237777</v>
      </c>
      <c r="P151" s="586">
        <f t="shared" si="3"/>
        <v>0.002266778519</v>
      </c>
    </row>
    <row r="152" ht="21.75" customHeight="1">
      <c r="A152" s="587" t="s">
        <v>695</v>
      </c>
      <c r="B152" s="588" t="s">
        <v>696</v>
      </c>
      <c r="C152" s="44"/>
      <c r="D152" s="44"/>
      <c r="E152" s="44"/>
      <c r="F152" s="44"/>
      <c r="G152" s="44"/>
      <c r="H152" s="44"/>
      <c r="I152" s="44"/>
      <c r="J152" s="44"/>
      <c r="K152" s="44"/>
      <c r="L152" s="44"/>
      <c r="M152" s="589">
        <f t="shared" ref="M152:O152" si="11">SUM(M153:M450)</f>
        <v>0</v>
      </c>
      <c r="N152" s="589">
        <f t="shared" si="11"/>
        <v>49472.52268</v>
      </c>
      <c r="O152" s="589">
        <f t="shared" si="11"/>
        <v>49472.52268</v>
      </c>
      <c r="P152" s="590">
        <f t="shared" si="3"/>
        <v>0.2696893677</v>
      </c>
    </row>
    <row r="153">
      <c r="A153" s="253" t="s">
        <v>697</v>
      </c>
      <c r="B153" s="254">
        <v>112.0</v>
      </c>
      <c r="C153" s="255" t="str">
        <f t="shared" ref="C153:C450" si="12">IF(OR(D153="SINAPI-S",D153="SINAPI-I"),"SINAPI","PRÓPRIO")</f>
        <v>SINAPI</v>
      </c>
      <c r="D153" s="256" t="s">
        <v>286</v>
      </c>
      <c r="E153" s="257" t="str">
        <f>IFERROR(IF(D153="SINAPI-S",VLOOKUP(B153,'20-B.SINAPI-S'!A:J,2,0),IF(D153="SINAPI-I",VLOOKUP(B153,'20-A.SINAPI-I'!A:G,2,0),IF(D153="COMPOSIÇÕES",VLOOKUP(B153,'11.COMPOSIÇÕES GERAIS'!B:I,2,0),VLOOKUP(B153,'12.COT.MERCADO'!A:I,2,0)))),"Em Elaboração")</f>
        <v>ADAPTADOR PVC SOLDAVEL CURTO COM BOLSA E ROSCA, 50 MM X1 1/2", PARA AGUA FRIA</v>
      </c>
      <c r="F153" s="258" t="str">
        <f>IFERROR(IF(D153="SINAPI-S",VLOOKUP(B153,'20-B.SINAPI-S'!A:J,3,0),IF(D153="SINAPI-I",VLOOKUP(B153,'20-A.SINAPI-I'!A:G,3,0),IF(D153="COMPOSIÇÕES",VLOOKUP(B153,'11.COMPOSIÇÕES GERAIS'!B:I,3,0),VLOOKUP(B153,'12.COT.MERCADO'!A:I,7,0)))),"Em Elaboração")</f>
        <v>UN</v>
      </c>
      <c r="G153" s="254">
        <v>2.0</v>
      </c>
      <c r="H153" s="259">
        <f>IFERROR(IF(D153="SINAPI-S",VLOOKUP(B153,'20-B.SINAPI-S'!A:J,5,0),IF(D153="SINAPI-I",VLOOKUP(B153,'20-A.SINAPI-I'!A:G,6,0),IF(D153="COMPOSIÇÕES",VLOOKUP(B153,'11.COMPOSIÇÕES GERAIS'!B:I,7,0),0))),"Em Elaboração")</f>
        <v>0</v>
      </c>
      <c r="I153" s="259">
        <f>IFERROR(IF(D153="SINAPI-S",VLOOKUP(B153,'20-B.SINAPI-S'!A:J,6,0),IF(D153="SINAPI-I",VLOOKUP(B153,'20-A.SINAPI-I'!A:G,7,0),IF(D153="COMPOSIÇÕES",VLOOKUP(B153,'11.COMPOSIÇÕES GERAIS'!B:I,8,0),VLOOKUP(B153,'12.COT.MERCADO'!A:I,8,0)))),"Em Elaboração")</f>
        <v>4.67</v>
      </c>
      <c r="J153" s="259">
        <f t="shared" ref="J153:J450" si="13">H153*(1+$J$5)</f>
        <v>0</v>
      </c>
      <c r="K153" s="259">
        <f t="shared" ref="K153:K450" si="14">I153*(1+$J$8)</f>
        <v>5.470132513</v>
      </c>
      <c r="L153" s="259">
        <f t="shared" ref="L153:L450" si="15">SUM(J153:K153)</f>
        <v>5.470132513</v>
      </c>
      <c r="M153" s="259">
        <f t="shared" ref="M153:M450" si="16">J153*G153</f>
        <v>0</v>
      </c>
      <c r="N153" s="259">
        <f t="shared" ref="N153:N450" si="17">K153*G153</f>
        <v>10.94026503</v>
      </c>
      <c r="O153" s="259">
        <f t="shared" ref="O153:O450" si="18">SUM(M153:N153)</f>
        <v>10.94026503</v>
      </c>
      <c r="P153" s="586">
        <f t="shared" si="3"/>
        <v>0.00005963862357</v>
      </c>
    </row>
    <row r="154">
      <c r="A154" s="253" t="s">
        <v>698</v>
      </c>
      <c r="B154" s="254">
        <v>107.0</v>
      </c>
      <c r="C154" s="255" t="str">
        <f t="shared" si="12"/>
        <v>SINAPI</v>
      </c>
      <c r="D154" s="256" t="s">
        <v>286</v>
      </c>
      <c r="E154" s="257" t="str">
        <f>IFERROR(IF(D154="SINAPI-S",VLOOKUP(B154,'20-B.SINAPI-S'!A:J,2,0),IF(D154="SINAPI-I",VLOOKUP(B154,'20-A.SINAPI-I'!A:G,2,0),IF(D154="COMPOSIÇÕES",VLOOKUP(B154,'11.COMPOSIÇÕES GERAIS'!B:I,2,0),VLOOKUP(B154,'12.COT.MERCADO'!A:I,2,0)))),"Em Elaboração")</f>
        <v>ADAPTADOR PVC SOLDAVEL CURTO COM BOLSA E ROSCA, 20 MM X 1/2", PARA AGUA FRIA</v>
      </c>
      <c r="F154" s="258" t="str">
        <f>IFERROR(IF(D154="SINAPI-S",VLOOKUP(B154,'20-B.SINAPI-S'!A:J,3,0),IF(D154="SINAPI-I",VLOOKUP(B154,'20-A.SINAPI-I'!A:G,3,0),IF(D154="COMPOSIÇÕES",VLOOKUP(B154,'11.COMPOSIÇÕES GERAIS'!B:I,3,0),VLOOKUP(B154,'12.COT.MERCADO'!A:I,7,0)))),"Em Elaboração")</f>
        <v>UN</v>
      </c>
      <c r="G154" s="254">
        <v>2.0</v>
      </c>
      <c r="H154" s="259">
        <f>IFERROR(IF(D154="SINAPI-S",VLOOKUP(B154,'20-B.SINAPI-S'!A:J,5,0),IF(D154="SINAPI-I",VLOOKUP(B154,'20-A.SINAPI-I'!A:G,6,0),IF(D154="COMPOSIÇÕES",VLOOKUP(B154,'11.COMPOSIÇÕES GERAIS'!B:I,7,0),0))),"Em Elaboração")</f>
        <v>0</v>
      </c>
      <c r="I154" s="259">
        <f>IFERROR(IF(D154="SINAPI-S",VLOOKUP(B154,'20-B.SINAPI-S'!A:J,6,0),IF(D154="SINAPI-I",VLOOKUP(B154,'20-A.SINAPI-I'!A:G,7,0),IF(D154="COMPOSIÇÕES",VLOOKUP(B154,'11.COMPOSIÇÕES GERAIS'!B:I,8,0),VLOOKUP(B154,'12.COT.MERCADO'!A:I,8,0)))),"Em Elaboração")</f>
        <v>0.85</v>
      </c>
      <c r="J154" s="259">
        <f t="shared" si="13"/>
        <v>0</v>
      </c>
      <c r="K154" s="259">
        <f t="shared" si="14"/>
        <v>0.9956343974</v>
      </c>
      <c r="L154" s="259">
        <f t="shared" si="15"/>
        <v>0.9956343974</v>
      </c>
      <c r="M154" s="259">
        <f t="shared" si="16"/>
        <v>0</v>
      </c>
      <c r="N154" s="259">
        <f t="shared" si="17"/>
        <v>1.991268795</v>
      </c>
      <c r="O154" s="259">
        <f t="shared" si="18"/>
        <v>1.991268795</v>
      </c>
      <c r="P154" s="586">
        <f t="shared" si="3"/>
        <v>0.00001085499572</v>
      </c>
    </row>
    <row r="155">
      <c r="A155" s="253" t="s">
        <v>699</v>
      </c>
      <c r="B155" s="254">
        <v>104.0</v>
      </c>
      <c r="C155" s="255" t="str">
        <f t="shared" si="12"/>
        <v>SINAPI</v>
      </c>
      <c r="D155" s="256" t="s">
        <v>286</v>
      </c>
      <c r="E155" s="257" t="str">
        <f>IFERROR(IF(D155="SINAPI-S",VLOOKUP(B155,'20-B.SINAPI-S'!A:J,2,0),IF(D155="SINAPI-I",VLOOKUP(B155,'20-A.SINAPI-I'!A:G,2,0),IF(D155="COMPOSIÇÕES",VLOOKUP(B155,'11.COMPOSIÇÕES GERAIS'!B:I,2,0),VLOOKUP(B155,'12.COT.MERCADO'!A:I,2,0)))),"Em Elaboração")</f>
        <v>ADAPTADOR PVC SOLDAVEL CURTO COM BOLSA E ROSCA, 75 MM X 2 1/2", PARA AGUA FRIA</v>
      </c>
      <c r="F155" s="258" t="str">
        <f>IFERROR(IF(D155="SINAPI-S",VLOOKUP(B155,'20-B.SINAPI-S'!A:J,3,0),IF(D155="SINAPI-I",VLOOKUP(B155,'20-A.SINAPI-I'!A:G,3,0),IF(D155="COMPOSIÇÕES",VLOOKUP(B155,'11.COMPOSIÇÕES GERAIS'!B:I,3,0),VLOOKUP(B155,'12.COT.MERCADO'!A:I,7,0)))),"Em Elaboração")</f>
        <v>UN</v>
      </c>
      <c r="G155" s="254">
        <v>2.0</v>
      </c>
      <c r="H155" s="259">
        <f>IFERROR(IF(D155="SINAPI-S",VLOOKUP(B155,'20-B.SINAPI-S'!A:J,5,0),IF(D155="SINAPI-I",VLOOKUP(B155,'20-A.SINAPI-I'!A:G,6,0),IF(D155="COMPOSIÇÕES",VLOOKUP(B155,'11.COMPOSIÇÕES GERAIS'!B:I,7,0),0))),"Em Elaboração")</f>
        <v>0</v>
      </c>
      <c r="I155" s="259">
        <f>IFERROR(IF(D155="SINAPI-S",VLOOKUP(B155,'20-B.SINAPI-S'!A:J,6,0),IF(D155="SINAPI-I",VLOOKUP(B155,'20-A.SINAPI-I'!A:G,7,0),IF(D155="COMPOSIÇÕES",VLOOKUP(B155,'11.COMPOSIÇÕES GERAIS'!B:I,8,0),VLOOKUP(B155,'12.COT.MERCADO'!A:I,8,0)))),"Em Elaboração")</f>
        <v>20.36</v>
      </c>
      <c r="J155" s="259">
        <f t="shared" si="13"/>
        <v>0</v>
      </c>
      <c r="K155" s="259">
        <f t="shared" si="14"/>
        <v>23.84837215</v>
      </c>
      <c r="L155" s="259">
        <f t="shared" si="15"/>
        <v>23.84837215</v>
      </c>
      <c r="M155" s="259">
        <f t="shared" si="16"/>
        <v>0</v>
      </c>
      <c r="N155" s="259">
        <f t="shared" si="17"/>
        <v>47.69674431</v>
      </c>
      <c r="O155" s="259">
        <f t="shared" si="18"/>
        <v>47.69674431</v>
      </c>
      <c r="P155" s="586">
        <f t="shared" si="3"/>
        <v>0.000260009074</v>
      </c>
    </row>
    <row r="156">
      <c r="A156" s="253" t="s">
        <v>700</v>
      </c>
      <c r="B156" s="254">
        <v>102.0</v>
      </c>
      <c r="C156" s="255" t="str">
        <f t="shared" si="12"/>
        <v>SINAPI</v>
      </c>
      <c r="D156" s="256" t="s">
        <v>286</v>
      </c>
      <c r="E156" s="257" t="str">
        <f>IFERROR(IF(D156="SINAPI-S",VLOOKUP(B156,'20-B.SINAPI-S'!A:J,2,0),IF(D156="SINAPI-I",VLOOKUP(B156,'20-A.SINAPI-I'!A:G,2,0),IF(D156="COMPOSIÇÕES",VLOOKUP(B156,'11.COMPOSIÇÕES GERAIS'!B:I,2,0),VLOOKUP(B156,'12.COT.MERCADO'!A:I,2,0)))),"Em Elaboração")</f>
        <v>ADAPTADOR PVC SOLDAVEL CURTO COM BOLSA E ROSCA, 85 MM X 3", PARA AGUA FRIA</v>
      </c>
      <c r="F156" s="258" t="str">
        <f>IFERROR(IF(D156="SINAPI-S",VLOOKUP(B156,'20-B.SINAPI-S'!A:J,3,0),IF(D156="SINAPI-I",VLOOKUP(B156,'20-A.SINAPI-I'!A:G,3,0),IF(D156="COMPOSIÇÕES",VLOOKUP(B156,'11.COMPOSIÇÕES GERAIS'!B:I,3,0),VLOOKUP(B156,'12.COT.MERCADO'!A:I,7,0)))),"Em Elaboração")</f>
        <v>UN</v>
      </c>
      <c r="G156" s="254">
        <v>2.0</v>
      </c>
      <c r="H156" s="259">
        <f>IFERROR(IF(D156="SINAPI-S",VLOOKUP(B156,'20-B.SINAPI-S'!A:J,5,0),IF(D156="SINAPI-I",VLOOKUP(B156,'20-A.SINAPI-I'!A:G,6,0),IF(D156="COMPOSIÇÕES",VLOOKUP(B156,'11.COMPOSIÇÕES GERAIS'!B:I,7,0),0))),"Em Elaboração")</f>
        <v>0</v>
      </c>
      <c r="I156" s="259">
        <f>IFERROR(IF(D156="SINAPI-S",VLOOKUP(B156,'20-B.SINAPI-S'!A:J,6,0),IF(D156="SINAPI-I",VLOOKUP(B156,'20-A.SINAPI-I'!A:G,7,0),IF(D156="COMPOSIÇÕES",VLOOKUP(B156,'11.COMPOSIÇÕES GERAIS'!B:I,8,0),VLOOKUP(B156,'12.COT.MERCADO'!A:I,8,0)))),"Em Elaboração")</f>
        <v>28.07</v>
      </c>
      <c r="J156" s="259">
        <f t="shared" si="13"/>
        <v>0</v>
      </c>
      <c r="K156" s="259">
        <f t="shared" si="14"/>
        <v>32.8793618</v>
      </c>
      <c r="L156" s="259">
        <f t="shared" si="15"/>
        <v>32.8793618</v>
      </c>
      <c r="M156" s="259">
        <f t="shared" si="16"/>
        <v>0</v>
      </c>
      <c r="N156" s="259">
        <f t="shared" si="17"/>
        <v>65.75872361</v>
      </c>
      <c r="O156" s="259">
        <f t="shared" si="18"/>
        <v>65.75872361</v>
      </c>
      <c r="P156" s="586">
        <f t="shared" si="3"/>
        <v>0.0003584702706</v>
      </c>
    </row>
    <row r="157">
      <c r="A157" s="253" t="s">
        <v>701</v>
      </c>
      <c r="B157" s="254">
        <v>74.0</v>
      </c>
      <c r="C157" s="255" t="str">
        <f t="shared" si="12"/>
        <v>SINAPI</v>
      </c>
      <c r="D157" s="256" t="s">
        <v>286</v>
      </c>
      <c r="E157" s="257" t="str">
        <f>IFERROR(IF(D157="SINAPI-S",VLOOKUP(B157,'20-B.SINAPI-S'!A:J,2,0),IF(D157="SINAPI-I",VLOOKUP(B157,'20-A.SINAPI-I'!A:G,2,0),IF(D157="COMPOSIÇÕES",VLOOKUP(B157,'11.COMPOSIÇÕES GERAIS'!B:I,2,0),VLOOKUP(B157,'12.COT.MERCADO'!A:I,2,0)))),"Em Elaboração")</f>
        <v>ADAPTADOR PVC SOLDAVEL, COM FLANGES LIVRES, 85 MM X 3", PARA CAIXA D' AGUA</v>
      </c>
      <c r="F157" s="258" t="str">
        <f>IFERROR(IF(D157="SINAPI-S",VLOOKUP(B157,'20-B.SINAPI-S'!A:J,3,0),IF(D157="SINAPI-I",VLOOKUP(B157,'20-A.SINAPI-I'!A:G,3,0),IF(D157="COMPOSIÇÕES",VLOOKUP(B157,'11.COMPOSIÇÕES GERAIS'!B:I,3,0),VLOOKUP(B157,'12.COT.MERCADO'!A:I,7,0)))),"Em Elaboração")</f>
        <v>UN</v>
      </c>
      <c r="G157" s="254">
        <v>2.0</v>
      </c>
      <c r="H157" s="259">
        <f>IFERROR(IF(D157="SINAPI-S",VLOOKUP(B157,'20-B.SINAPI-S'!A:J,5,0),IF(D157="SINAPI-I",VLOOKUP(B157,'20-A.SINAPI-I'!A:G,6,0),IF(D157="COMPOSIÇÕES",VLOOKUP(B157,'11.COMPOSIÇÕES GERAIS'!B:I,7,0),0))),"Em Elaboração")</f>
        <v>0</v>
      </c>
      <c r="I157" s="259">
        <f>IFERROR(IF(D157="SINAPI-S",VLOOKUP(B157,'20-B.SINAPI-S'!A:J,6,0),IF(D157="SINAPI-I",VLOOKUP(B157,'20-A.SINAPI-I'!A:G,7,0),IF(D157="COMPOSIÇÕES",VLOOKUP(B157,'11.COMPOSIÇÕES GERAIS'!B:I,8,0),VLOOKUP(B157,'12.COT.MERCADO'!A:I,8,0)))),"Em Elaboração")</f>
        <v>319.81</v>
      </c>
      <c r="J157" s="259">
        <f t="shared" si="13"/>
        <v>0</v>
      </c>
      <c r="K157" s="259">
        <f t="shared" si="14"/>
        <v>374.6045137</v>
      </c>
      <c r="L157" s="259">
        <f t="shared" si="15"/>
        <v>374.6045137</v>
      </c>
      <c r="M157" s="259">
        <f t="shared" si="16"/>
        <v>0</v>
      </c>
      <c r="N157" s="259">
        <f t="shared" si="17"/>
        <v>749.2090273</v>
      </c>
      <c r="O157" s="259">
        <f t="shared" si="18"/>
        <v>749.2090273</v>
      </c>
      <c r="P157" s="586">
        <f t="shared" si="3"/>
        <v>0.004084160215</v>
      </c>
    </row>
    <row r="158">
      <c r="A158" s="253" t="s">
        <v>702</v>
      </c>
      <c r="B158" s="254">
        <v>122.0</v>
      </c>
      <c r="C158" s="255" t="str">
        <f t="shared" si="12"/>
        <v>SINAPI</v>
      </c>
      <c r="D158" s="256" t="s">
        <v>286</v>
      </c>
      <c r="E158" s="257" t="str">
        <f>IFERROR(IF(D158="SINAPI-S",VLOOKUP(B158,'20-B.SINAPI-S'!A:J,2,0),IF(D158="SINAPI-I",VLOOKUP(B158,'20-A.SINAPI-I'!A:G,2,0),IF(D158="COMPOSIÇÕES",VLOOKUP(B158,'11.COMPOSIÇÕES GERAIS'!B:I,2,0),VLOOKUP(B158,'12.COT.MERCADO'!A:I,2,0)))),"Em Elaboração")</f>
        <v>ADESIVO PLASTICO PARA PVC, FRASCO COM *850* GR</v>
      </c>
      <c r="F158" s="258" t="str">
        <f>IFERROR(IF(D158="SINAPI-S",VLOOKUP(B158,'20-B.SINAPI-S'!A:J,3,0),IF(D158="SINAPI-I",VLOOKUP(B158,'20-A.SINAPI-I'!A:G,3,0),IF(D158="COMPOSIÇÕES",VLOOKUP(B158,'11.COMPOSIÇÕES GERAIS'!B:I,3,0),VLOOKUP(B158,'12.COT.MERCADO'!A:I,7,0)))),"Em Elaboração")</f>
        <v>UN</v>
      </c>
      <c r="G158" s="254">
        <v>6.0</v>
      </c>
      <c r="H158" s="259">
        <f>IFERROR(IF(D158="SINAPI-S",VLOOKUP(B158,'20-B.SINAPI-S'!A:J,5,0),IF(D158="SINAPI-I",VLOOKUP(B158,'20-A.SINAPI-I'!A:G,6,0),IF(D158="COMPOSIÇÕES",VLOOKUP(B158,'11.COMPOSIÇÕES GERAIS'!B:I,7,0),0))),"Em Elaboração")</f>
        <v>0</v>
      </c>
      <c r="I158" s="259">
        <f>IFERROR(IF(D158="SINAPI-S",VLOOKUP(B158,'20-B.SINAPI-S'!A:J,6,0),IF(D158="SINAPI-I",VLOOKUP(B158,'20-A.SINAPI-I'!A:G,7,0),IF(D158="COMPOSIÇÕES",VLOOKUP(B158,'11.COMPOSIÇÕES GERAIS'!B:I,8,0),VLOOKUP(B158,'12.COT.MERCADO'!A:I,8,0)))),"Em Elaboração")</f>
        <v>69.78</v>
      </c>
      <c r="J158" s="259">
        <f t="shared" si="13"/>
        <v>0</v>
      </c>
      <c r="K158" s="259">
        <f t="shared" si="14"/>
        <v>81.73572735</v>
      </c>
      <c r="L158" s="259">
        <f t="shared" si="15"/>
        <v>81.73572735</v>
      </c>
      <c r="M158" s="259">
        <f t="shared" si="16"/>
        <v>0</v>
      </c>
      <c r="N158" s="259">
        <f t="shared" si="17"/>
        <v>490.4143641</v>
      </c>
      <c r="O158" s="259">
        <f t="shared" si="18"/>
        <v>490.4143641</v>
      </c>
      <c r="P158" s="586">
        <f t="shared" si="3"/>
        <v>0.002673393888</v>
      </c>
    </row>
    <row r="159">
      <c r="A159" s="253" t="s">
        <v>703</v>
      </c>
      <c r="B159" s="254">
        <v>296.0</v>
      </c>
      <c r="C159" s="255" t="str">
        <f t="shared" si="12"/>
        <v>SINAPI</v>
      </c>
      <c r="D159" s="256" t="s">
        <v>286</v>
      </c>
      <c r="E159" s="257" t="str">
        <f>IFERROR(IF(D159="SINAPI-S",VLOOKUP(B159,'20-B.SINAPI-S'!A:J,2,0),IF(D159="SINAPI-I",VLOOKUP(B159,'20-A.SINAPI-I'!A:G,2,0),IF(D159="COMPOSIÇÕES",VLOOKUP(B159,'11.COMPOSIÇÕES GERAIS'!B:I,2,0),VLOOKUP(B159,'12.COT.MERCADO'!A:I,2,0)))),"Em Elaboração")</f>
        <v>ANEL BORRACHA PARA TUBO ESGOTO PREDIAL, DN 50 MM (NBR 5688)</v>
      </c>
      <c r="F159" s="258" t="str">
        <f>IFERROR(IF(D159="SINAPI-S",VLOOKUP(B159,'20-B.SINAPI-S'!A:J,3,0),IF(D159="SINAPI-I",VLOOKUP(B159,'20-A.SINAPI-I'!A:G,3,0),IF(D159="COMPOSIÇÕES",VLOOKUP(B159,'11.COMPOSIÇÕES GERAIS'!B:I,3,0),VLOOKUP(B159,'12.COT.MERCADO'!A:I,7,0)))),"Em Elaboração")</f>
        <v>UN</v>
      </c>
      <c r="G159" s="254">
        <v>6.0</v>
      </c>
      <c r="H159" s="259">
        <f>IFERROR(IF(D159="SINAPI-S",VLOOKUP(B159,'20-B.SINAPI-S'!A:J,5,0),IF(D159="SINAPI-I",VLOOKUP(B159,'20-A.SINAPI-I'!A:G,6,0),IF(D159="COMPOSIÇÕES",VLOOKUP(B159,'11.COMPOSIÇÕES GERAIS'!B:I,7,0),0))),"Em Elaboração")</f>
        <v>0</v>
      </c>
      <c r="I159" s="259">
        <f>IFERROR(IF(D159="SINAPI-S",VLOOKUP(B159,'20-B.SINAPI-S'!A:J,6,0),IF(D159="SINAPI-I",VLOOKUP(B159,'20-A.SINAPI-I'!A:G,7,0),IF(D159="COMPOSIÇÕES",VLOOKUP(B159,'11.COMPOSIÇÕES GERAIS'!B:I,8,0),VLOOKUP(B159,'12.COT.MERCADO'!A:I,8,0)))),"Em Elaboração")</f>
        <v>1.49</v>
      </c>
      <c r="J159" s="259">
        <f t="shared" si="13"/>
        <v>0</v>
      </c>
      <c r="K159" s="259">
        <f t="shared" si="14"/>
        <v>1.745288532</v>
      </c>
      <c r="L159" s="259">
        <f t="shared" si="15"/>
        <v>1.745288532</v>
      </c>
      <c r="M159" s="259">
        <f t="shared" si="16"/>
        <v>0</v>
      </c>
      <c r="N159" s="259">
        <f t="shared" si="17"/>
        <v>10.47173119</v>
      </c>
      <c r="O159" s="259">
        <f t="shared" si="18"/>
        <v>10.47173119</v>
      </c>
      <c r="P159" s="586">
        <f t="shared" si="3"/>
        <v>0.00005708450693</v>
      </c>
    </row>
    <row r="160">
      <c r="A160" s="253" t="s">
        <v>704</v>
      </c>
      <c r="B160" s="254">
        <v>97.0</v>
      </c>
      <c r="C160" s="255" t="str">
        <f t="shared" si="12"/>
        <v>SINAPI</v>
      </c>
      <c r="D160" s="256" t="s">
        <v>286</v>
      </c>
      <c r="E160" s="257" t="str">
        <f>IFERROR(IF(D160="SINAPI-S",VLOOKUP(B160,'20-B.SINAPI-S'!A:J,2,0),IF(D160="SINAPI-I",VLOOKUP(B160,'20-A.SINAPI-I'!A:G,2,0),IF(D160="COMPOSIÇÕES",VLOOKUP(B160,'11.COMPOSIÇÕES GERAIS'!B:I,2,0),VLOOKUP(B160,'12.COT.MERCADO'!A:I,2,0)))),"Em Elaboração")</f>
        <v>ADAPTADOR PVC SOLDAVEL, COM FLANGE E ANEL DE VEDACAO, 32 MM X 1", PARA CAIXA D'AGUA</v>
      </c>
      <c r="F160" s="258" t="str">
        <f>IFERROR(IF(D160="SINAPI-S",VLOOKUP(B160,'20-B.SINAPI-S'!A:J,3,0),IF(D160="SINAPI-I",VLOOKUP(B160,'20-A.SINAPI-I'!A:G,3,0),IF(D160="COMPOSIÇÕES",VLOOKUP(B160,'11.COMPOSIÇÕES GERAIS'!B:I,3,0),VLOOKUP(B160,'12.COT.MERCADO'!A:I,7,0)))),"Em Elaboração")</f>
        <v>UN</v>
      </c>
      <c r="G160" s="254">
        <v>6.0</v>
      </c>
      <c r="H160" s="259">
        <f>IFERROR(IF(D160="SINAPI-S",VLOOKUP(B160,'20-B.SINAPI-S'!A:J,5,0),IF(D160="SINAPI-I",VLOOKUP(B160,'20-A.SINAPI-I'!A:G,6,0),IF(D160="COMPOSIÇÕES",VLOOKUP(B160,'11.COMPOSIÇÕES GERAIS'!B:I,7,0),0))),"Em Elaboração")</f>
        <v>0</v>
      </c>
      <c r="I160" s="259">
        <f>IFERROR(IF(D160="SINAPI-S",VLOOKUP(B160,'20-B.SINAPI-S'!A:J,6,0),IF(D160="SINAPI-I",VLOOKUP(B160,'20-A.SINAPI-I'!A:G,7,0),IF(D160="COMPOSIÇÕES",VLOOKUP(B160,'11.COMPOSIÇÕES GERAIS'!B:I,8,0),VLOOKUP(B160,'12.COT.MERCADO'!A:I,8,0)))),"Em Elaboração")</f>
        <v>19.41</v>
      </c>
      <c r="J160" s="259">
        <f t="shared" si="13"/>
        <v>0</v>
      </c>
      <c r="K160" s="259">
        <f t="shared" si="14"/>
        <v>22.7356043</v>
      </c>
      <c r="L160" s="259">
        <f t="shared" si="15"/>
        <v>22.7356043</v>
      </c>
      <c r="M160" s="259">
        <f t="shared" si="16"/>
        <v>0</v>
      </c>
      <c r="N160" s="259">
        <f t="shared" si="17"/>
        <v>136.4136258</v>
      </c>
      <c r="O160" s="259">
        <f t="shared" si="18"/>
        <v>136.4136258</v>
      </c>
      <c r="P160" s="586">
        <f t="shared" si="3"/>
        <v>0.00074363106</v>
      </c>
    </row>
    <row r="161">
      <c r="A161" s="253" t="s">
        <v>705</v>
      </c>
      <c r="B161" s="254">
        <v>95.0</v>
      </c>
      <c r="C161" s="255" t="str">
        <f t="shared" si="12"/>
        <v>SINAPI</v>
      </c>
      <c r="D161" s="256" t="s">
        <v>286</v>
      </c>
      <c r="E161" s="257" t="str">
        <f>IFERROR(IF(D161="SINAPI-S",VLOOKUP(B161,'20-B.SINAPI-S'!A:J,2,0),IF(D161="SINAPI-I",VLOOKUP(B161,'20-A.SINAPI-I'!A:G,2,0),IF(D161="COMPOSIÇÕES",VLOOKUP(B161,'11.COMPOSIÇÕES GERAIS'!B:I,2,0),VLOOKUP(B161,'12.COT.MERCADO'!A:I,2,0)))),"Em Elaboração")</f>
        <v>ADAPTADOR PVC SOLDAVEL, COM FLANGE E ANEL DE VEDACAO, 20 MM X 1/2", PARA CAIXA D'AGUA</v>
      </c>
      <c r="F161" s="258" t="str">
        <f>IFERROR(IF(D161="SINAPI-S",VLOOKUP(B161,'20-B.SINAPI-S'!A:J,3,0),IF(D161="SINAPI-I",VLOOKUP(B161,'20-A.SINAPI-I'!A:G,3,0),IF(D161="COMPOSIÇÕES",VLOOKUP(B161,'11.COMPOSIÇÕES GERAIS'!B:I,3,0),VLOOKUP(B161,'12.COT.MERCADO'!A:I,7,0)))),"Em Elaboração")</f>
        <v>UN</v>
      </c>
      <c r="G161" s="254">
        <v>3.0</v>
      </c>
      <c r="H161" s="259">
        <f>IFERROR(IF(D161="SINAPI-S",VLOOKUP(B161,'20-B.SINAPI-S'!A:J,5,0),IF(D161="SINAPI-I",VLOOKUP(B161,'20-A.SINAPI-I'!A:G,6,0),IF(D161="COMPOSIÇÕES",VLOOKUP(B161,'11.COMPOSIÇÕES GERAIS'!B:I,7,0),0))),"Em Elaboração")</f>
        <v>0</v>
      </c>
      <c r="I161" s="259">
        <f>IFERROR(IF(D161="SINAPI-S",VLOOKUP(B161,'20-B.SINAPI-S'!A:J,6,0),IF(D161="SINAPI-I",VLOOKUP(B161,'20-A.SINAPI-I'!A:G,7,0),IF(D161="COMPOSIÇÕES",VLOOKUP(B161,'11.COMPOSIÇÕES GERAIS'!B:I,8,0),VLOOKUP(B161,'12.COT.MERCADO'!A:I,8,0)))),"Em Elaboração")</f>
        <v>11.86</v>
      </c>
      <c r="J161" s="259">
        <f t="shared" si="13"/>
        <v>0</v>
      </c>
      <c r="K161" s="259">
        <f t="shared" si="14"/>
        <v>13.89202818</v>
      </c>
      <c r="L161" s="259">
        <f t="shared" si="15"/>
        <v>13.89202818</v>
      </c>
      <c r="M161" s="259">
        <f t="shared" si="16"/>
        <v>0</v>
      </c>
      <c r="N161" s="259">
        <f t="shared" si="17"/>
        <v>41.67608454</v>
      </c>
      <c r="O161" s="259">
        <f t="shared" si="18"/>
        <v>41.67608454</v>
      </c>
      <c r="P161" s="586">
        <f t="shared" si="3"/>
        <v>0.0002271886752</v>
      </c>
    </row>
    <row r="162">
      <c r="A162" s="253" t="s">
        <v>706</v>
      </c>
      <c r="B162" s="254">
        <v>96.0</v>
      </c>
      <c r="C162" s="255" t="str">
        <f t="shared" si="12"/>
        <v>SINAPI</v>
      </c>
      <c r="D162" s="256" t="s">
        <v>286</v>
      </c>
      <c r="E162" s="257" t="str">
        <f>IFERROR(IF(D162="SINAPI-S",VLOOKUP(B162,'20-B.SINAPI-S'!A:J,2,0),IF(D162="SINAPI-I",VLOOKUP(B162,'20-A.SINAPI-I'!A:G,2,0),IF(D162="COMPOSIÇÕES",VLOOKUP(B162,'11.COMPOSIÇÕES GERAIS'!B:I,2,0),VLOOKUP(B162,'12.COT.MERCADO'!A:I,2,0)))),"Em Elaboração")</f>
        <v>ADAPTADOR PVC SOLDAVEL, COM FLANGE E ANEL DE VEDACAO, 25 MM X 3/4", PARA CAIXA D'AGUA</v>
      </c>
      <c r="F162" s="258" t="str">
        <f>IFERROR(IF(D162="SINAPI-S",VLOOKUP(B162,'20-B.SINAPI-S'!A:J,3,0),IF(D162="SINAPI-I",VLOOKUP(B162,'20-A.SINAPI-I'!A:G,3,0),IF(D162="COMPOSIÇÕES",VLOOKUP(B162,'11.COMPOSIÇÕES GERAIS'!B:I,3,0),VLOOKUP(B162,'12.COT.MERCADO'!A:I,7,0)))),"Em Elaboração")</f>
        <v>UN</v>
      </c>
      <c r="G162" s="254">
        <v>3.0</v>
      </c>
      <c r="H162" s="259">
        <f>IFERROR(IF(D162="SINAPI-S",VLOOKUP(B162,'20-B.SINAPI-S'!A:J,5,0),IF(D162="SINAPI-I",VLOOKUP(B162,'20-A.SINAPI-I'!A:G,6,0),IF(D162="COMPOSIÇÕES",VLOOKUP(B162,'11.COMPOSIÇÕES GERAIS'!B:I,7,0),0))),"Em Elaboração")</f>
        <v>0</v>
      </c>
      <c r="I162" s="259">
        <f>IFERROR(IF(D162="SINAPI-S",VLOOKUP(B162,'20-B.SINAPI-S'!A:J,6,0),IF(D162="SINAPI-I",VLOOKUP(B162,'20-A.SINAPI-I'!A:G,7,0),IF(D162="COMPOSIÇÕES",VLOOKUP(B162,'11.COMPOSIÇÕES GERAIS'!B:I,8,0),VLOOKUP(B162,'12.COT.MERCADO'!A:I,8,0)))),"Em Elaboração")</f>
        <v>12.9</v>
      </c>
      <c r="J162" s="259">
        <f t="shared" si="13"/>
        <v>0</v>
      </c>
      <c r="K162" s="259">
        <f t="shared" si="14"/>
        <v>15.11021615</v>
      </c>
      <c r="L162" s="259">
        <f t="shared" si="15"/>
        <v>15.11021615</v>
      </c>
      <c r="M162" s="259">
        <f t="shared" si="16"/>
        <v>0</v>
      </c>
      <c r="N162" s="259">
        <f t="shared" si="17"/>
        <v>45.33064844</v>
      </c>
      <c r="O162" s="259">
        <f t="shared" si="18"/>
        <v>45.33064844</v>
      </c>
      <c r="P162" s="586">
        <f t="shared" si="3"/>
        <v>0.000247110785</v>
      </c>
    </row>
    <row r="163">
      <c r="A163" s="253" t="s">
        <v>707</v>
      </c>
      <c r="B163" s="254">
        <v>366.0</v>
      </c>
      <c r="C163" s="255" t="str">
        <f t="shared" si="12"/>
        <v>SINAPI</v>
      </c>
      <c r="D163" s="256" t="s">
        <v>286</v>
      </c>
      <c r="E163" s="257" t="str">
        <f>IFERROR(IF(D163="SINAPI-S",VLOOKUP(B163,'20-B.SINAPI-S'!A:J,2,0),IF(D163="SINAPI-I",VLOOKUP(B163,'20-A.SINAPI-I'!A:G,2,0),IF(D163="COMPOSIÇÕES",VLOOKUP(B163,'11.COMPOSIÇÕES GERAIS'!B:I,2,0),VLOOKUP(B163,'12.COT.MERCADO'!A:I,2,0)))),"Em Elaboração")</f>
        <v>AREIA FINA - POSTO JAZIDA/FORNECEDOR (RETIRADO NA JAZIDA, SEM TRANSPORTE)</v>
      </c>
      <c r="F163" s="258" t="str">
        <f>IFERROR(IF(D163="SINAPI-S",VLOOKUP(B163,'20-B.SINAPI-S'!A:J,3,0),IF(D163="SINAPI-I",VLOOKUP(B163,'20-A.SINAPI-I'!A:G,3,0),IF(D163="COMPOSIÇÕES",VLOOKUP(B163,'11.COMPOSIÇÕES GERAIS'!B:I,3,0),VLOOKUP(B163,'12.COT.MERCADO'!A:I,7,0)))),"Em Elaboração")</f>
        <v>M3</v>
      </c>
      <c r="G163" s="254">
        <v>2.0</v>
      </c>
      <c r="H163" s="259">
        <f>IFERROR(IF(D163="SINAPI-S",VLOOKUP(B163,'20-B.SINAPI-S'!A:J,5,0),IF(D163="SINAPI-I",VLOOKUP(B163,'20-A.SINAPI-I'!A:G,6,0),IF(D163="COMPOSIÇÕES",VLOOKUP(B163,'11.COMPOSIÇÕES GERAIS'!B:I,7,0),0))),"Em Elaboração")</f>
        <v>0</v>
      </c>
      <c r="I163" s="259">
        <f>IFERROR(IF(D163="SINAPI-S",VLOOKUP(B163,'20-B.SINAPI-S'!A:J,6,0),IF(D163="SINAPI-I",VLOOKUP(B163,'20-A.SINAPI-I'!A:G,7,0),IF(D163="COMPOSIÇÕES",VLOOKUP(B163,'11.COMPOSIÇÕES GERAIS'!B:I,8,0),VLOOKUP(B163,'12.COT.MERCADO'!A:I,8,0)))),"Em Elaboração")</f>
        <v>109.41</v>
      </c>
      <c r="J163" s="259">
        <f t="shared" si="13"/>
        <v>0</v>
      </c>
      <c r="K163" s="259">
        <f t="shared" si="14"/>
        <v>128.155717</v>
      </c>
      <c r="L163" s="259">
        <f t="shared" si="15"/>
        <v>128.155717</v>
      </c>
      <c r="M163" s="259">
        <f t="shared" si="16"/>
        <v>0</v>
      </c>
      <c r="N163" s="259">
        <f t="shared" si="17"/>
        <v>256.3114339</v>
      </c>
      <c r="O163" s="259">
        <f t="shared" si="18"/>
        <v>256.3114339</v>
      </c>
      <c r="P163" s="586">
        <f t="shared" si="3"/>
        <v>0.001397229508</v>
      </c>
    </row>
    <row r="164">
      <c r="A164" s="253" t="s">
        <v>708</v>
      </c>
      <c r="B164" s="254">
        <v>1381.0</v>
      </c>
      <c r="C164" s="255" t="str">
        <f t="shared" si="12"/>
        <v>SINAPI</v>
      </c>
      <c r="D164" s="256" t="s">
        <v>286</v>
      </c>
      <c r="E164" s="257" t="str">
        <f>IFERROR(IF(D164="SINAPI-S",VLOOKUP(B164,'20-B.SINAPI-S'!A:J,2,0),IF(D164="SINAPI-I",VLOOKUP(B164,'20-A.SINAPI-I'!A:G,2,0),IF(D164="COMPOSIÇÕES",VLOOKUP(B164,'11.COMPOSIÇÕES GERAIS'!B:I,2,0),VLOOKUP(B164,'12.COT.MERCADO'!A:I,2,0)))),"Em Elaboração")</f>
        <v>ARGAMASSA COLANTE AC I PARA CERAMICAS</v>
      </c>
      <c r="F164" s="258" t="str">
        <f>IFERROR(IF(D164="SINAPI-S",VLOOKUP(B164,'20-B.SINAPI-S'!A:J,3,0),IF(D164="SINAPI-I",VLOOKUP(B164,'20-A.SINAPI-I'!A:G,3,0),IF(D164="COMPOSIÇÕES",VLOOKUP(B164,'11.COMPOSIÇÕES GERAIS'!B:I,3,0),VLOOKUP(B164,'12.COT.MERCADO'!A:I,7,0)))),"Em Elaboração")</f>
        <v>KG</v>
      </c>
      <c r="G164" s="254">
        <v>10.0</v>
      </c>
      <c r="H164" s="259">
        <f>IFERROR(IF(D164="SINAPI-S",VLOOKUP(B164,'20-B.SINAPI-S'!A:J,5,0),IF(D164="SINAPI-I",VLOOKUP(B164,'20-A.SINAPI-I'!A:G,6,0),IF(D164="COMPOSIÇÕES",VLOOKUP(B164,'11.COMPOSIÇÕES GERAIS'!B:I,7,0),0))),"Em Elaboração")</f>
        <v>0</v>
      </c>
      <c r="I164" s="259">
        <f>IFERROR(IF(D164="SINAPI-S",VLOOKUP(B164,'20-B.SINAPI-S'!A:J,6,0),IF(D164="SINAPI-I",VLOOKUP(B164,'20-A.SINAPI-I'!A:G,7,0),IF(D164="COMPOSIÇÕES",VLOOKUP(B164,'11.COMPOSIÇÕES GERAIS'!B:I,8,0),VLOOKUP(B164,'12.COT.MERCADO'!A:I,8,0)))),"Em Elaboração")</f>
        <v>0.73</v>
      </c>
      <c r="J164" s="259">
        <f t="shared" si="13"/>
        <v>0</v>
      </c>
      <c r="K164" s="259">
        <f t="shared" si="14"/>
        <v>0.8550742471</v>
      </c>
      <c r="L164" s="259">
        <f t="shared" si="15"/>
        <v>0.8550742471</v>
      </c>
      <c r="M164" s="259">
        <f t="shared" si="16"/>
        <v>0</v>
      </c>
      <c r="N164" s="259">
        <f t="shared" si="17"/>
        <v>8.550742471</v>
      </c>
      <c r="O164" s="259">
        <f t="shared" si="18"/>
        <v>8.550742471</v>
      </c>
      <c r="P164" s="586">
        <f t="shared" si="3"/>
        <v>0.0000466126287</v>
      </c>
    </row>
    <row r="165">
      <c r="A165" s="253" t="s">
        <v>709</v>
      </c>
      <c r="B165" s="254">
        <v>34353.0</v>
      </c>
      <c r="C165" s="255" t="str">
        <f t="shared" si="12"/>
        <v>SINAPI</v>
      </c>
      <c r="D165" s="256" t="s">
        <v>286</v>
      </c>
      <c r="E165" s="257" t="str">
        <f>IFERROR(IF(D165="SINAPI-S",VLOOKUP(B165,'20-B.SINAPI-S'!A:J,2,0),IF(D165="SINAPI-I",VLOOKUP(B165,'20-A.SINAPI-I'!A:G,2,0),IF(D165="COMPOSIÇÕES",VLOOKUP(B165,'11.COMPOSIÇÕES GERAIS'!B:I,2,0),VLOOKUP(B165,'12.COT.MERCADO'!A:I,2,0)))),"Em Elaboração")</f>
        <v>ARGAMASSA COLANTE AC II</v>
      </c>
      <c r="F165" s="258" t="str">
        <f>IFERROR(IF(D165="SINAPI-S",VLOOKUP(B165,'20-B.SINAPI-S'!A:J,3,0),IF(D165="SINAPI-I",VLOOKUP(B165,'20-A.SINAPI-I'!A:G,3,0),IF(D165="COMPOSIÇÕES",VLOOKUP(B165,'11.COMPOSIÇÕES GERAIS'!B:I,3,0),VLOOKUP(B165,'12.COT.MERCADO'!A:I,7,0)))),"Em Elaboração")</f>
        <v>KG</v>
      </c>
      <c r="G165" s="254">
        <v>10.0</v>
      </c>
      <c r="H165" s="259">
        <f>IFERROR(IF(D165="SINAPI-S",VLOOKUP(B165,'20-B.SINAPI-S'!A:J,5,0),IF(D165="SINAPI-I",VLOOKUP(B165,'20-A.SINAPI-I'!A:G,6,0),IF(D165="COMPOSIÇÕES",VLOOKUP(B165,'11.COMPOSIÇÕES GERAIS'!B:I,7,0),0))),"Em Elaboração")</f>
        <v>0</v>
      </c>
      <c r="I165" s="259">
        <f>IFERROR(IF(D165="SINAPI-S",VLOOKUP(B165,'20-B.SINAPI-S'!A:J,6,0),IF(D165="SINAPI-I",VLOOKUP(B165,'20-A.SINAPI-I'!A:G,7,0),IF(D165="COMPOSIÇÕES",VLOOKUP(B165,'11.COMPOSIÇÕES GERAIS'!B:I,8,0),VLOOKUP(B165,'12.COT.MERCADO'!A:I,8,0)))),"Em Elaboração")</f>
        <v>1.35</v>
      </c>
      <c r="J165" s="259">
        <f t="shared" si="13"/>
        <v>0</v>
      </c>
      <c r="K165" s="259">
        <f t="shared" si="14"/>
        <v>1.58130169</v>
      </c>
      <c r="L165" s="259">
        <f t="shared" si="15"/>
        <v>1.58130169</v>
      </c>
      <c r="M165" s="259">
        <f t="shared" si="16"/>
        <v>0</v>
      </c>
      <c r="N165" s="259">
        <f t="shared" si="17"/>
        <v>15.8130169</v>
      </c>
      <c r="O165" s="259">
        <f t="shared" si="18"/>
        <v>15.8130169</v>
      </c>
      <c r="P165" s="586">
        <f t="shared" si="3"/>
        <v>0.00008620143663</v>
      </c>
    </row>
    <row r="166">
      <c r="A166" s="253" t="s">
        <v>710</v>
      </c>
      <c r="B166" s="254">
        <v>377.0</v>
      </c>
      <c r="C166" s="255" t="str">
        <f t="shared" si="12"/>
        <v>SINAPI</v>
      </c>
      <c r="D166" s="256" t="s">
        <v>286</v>
      </c>
      <c r="E166" s="257" t="str">
        <f>IFERROR(IF(D166="SINAPI-S",VLOOKUP(B166,'20-B.SINAPI-S'!A:J,2,0),IF(D166="SINAPI-I",VLOOKUP(B166,'20-A.SINAPI-I'!A:G,2,0),IF(D166="COMPOSIÇÕES",VLOOKUP(B166,'11.COMPOSIÇÕES GERAIS'!B:I,2,0),VLOOKUP(B166,'12.COT.MERCADO'!A:I,2,0)))),"Em Elaboração")</f>
        <v>ASSENTO SANITARIO DE PLASTICO, TIPO CONVENCIONAL</v>
      </c>
      <c r="F166" s="258" t="str">
        <f>IFERROR(IF(D166="SINAPI-S",VLOOKUP(B166,'20-B.SINAPI-S'!A:J,3,0),IF(D166="SINAPI-I",VLOOKUP(B166,'20-A.SINAPI-I'!A:G,3,0),IF(D166="COMPOSIÇÕES",VLOOKUP(B166,'11.COMPOSIÇÕES GERAIS'!B:I,3,0),VLOOKUP(B166,'12.COT.MERCADO'!A:I,7,0)))),"Em Elaboração")</f>
        <v>UN</v>
      </c>
      <c r="G166" s="254">
        <v>4.0</v>
      </c>
      <c r="H166" s="259">
        <f>IFERROR(IF(D166="SINAPI-S",VLOOKUP(B166,'20-B.SINAPI-S'!A:J,5,0),IF(D166="SINAPI-I",VLOOKUP(B166,'20-A.SINAPI-I'!A:G,6,0),IF(D166="COMPOSIÇÕES",VLOOKUP(B166,'11.COMPOSIÇÕES GERAIS'!B:I,7,0),0))),"Em Elaboração")</f>
        <v>0</v>
      </c>
      <c r="I166" s="259">
        <f>IFERROR(IF(D166="SINAPI-S",VLOOKUP(B166,'20-B.SINAPI-S'!A:J,6,0),IF(D166="SINAPI-I",VLOOKUP(B166,'20-A.SINAPI-I'!A:G,7,0),IF(D166="COMPOSIÇÕES",VLOOKUP(B166,'11.COMPOSIÇÕES GERAIS'!B:I,8,0),VLOOKUP(B166,'12.COT.MERCADO'!A:I,8,0)))),"Em Elaboração")</f>
        <v>39</v>
      </c>
      <c r="J166" s="259">
        <f t="shared" si="13"/>
        <v>0</v>
      </c>
      <c r="K166" s="259">
        <f t="shared" si="14"/>
        <v>45.68204882</v>
      </c>
      <c r="L166" s="259">
        <f t="shared" si="15"/>
        <v>45.68204882</v>
      </c>
      <c r="M166" s="259">
        <f t="shared" si="16"/>
        <v>0</v>
      </c>
      <c r="N166" s="259">
        <f t="shared" si="17"/>
        <v>182.7281953</v>
      </c>
      <c r="O166" s="259">
        <f t="shared" si="18"/>
        <v>182.7281953</v>
      </c>
      <c r="P166" s="586">
        <f t="shared" si="3"/>
        <v>0.00099610549</v>
      </c>
    </row>
    <row r="167">
      <c r="A167" s="253" t="s">
        <v>711</v>
      </c>
      <c r="B167" s="254">
        <v>7588.0</v>
      </c>
      <c r="C167" s="255" t="str">
        <f t="shared" si="12"/>
        <v>SINAPI</v>
      </c>
      <c r="D167" s="256" t="s">
        <v>286</v>
      </c>
      <c r="E167" s="257" t="str">
        <f>IFERROR(IF(D167="SINAPI-S",VLOOKUP(B167,'20-B.SINAPI-S'!A:J,2,0),IF(D167="SINAPI-I",VLOOKUP(B167,'20-A.SINAPI-I'!A:G,2,0),IF(D167="COMPOSIÇÕES",VLOOKUP(B167,'11.COMPOSIÇÕES GERAIS'!B:I,2,0),VLOOKUP(B167,'12.COT.MERCADO'!A:I,2,0)))),"Em Elaboração")</f>
        <v>AUTOMATICO DE BOIA SUPERIOR / INFERIOR, *15* A / 250 V</v>
      </c>
      <c r="F167" s="258" t="str">
        <f>IFERROR(IF(D167="SINAPI-S",VLOOKUP(B167,'20-B.SINAPI-S'!A:J,3,0),IF(D167="SINAPI-I",VLOOKUP(B167,'20-A.SINAPI-I'!A:G,3,0),IF(D167="COMPOSIÇÕES",VLOOKUP(B167,'11.COMPOSIÇÕES GERAIS'!B:I,3,0),VLOOKUP(B167,'12.COT.MERCADO'!A:I,7,0)))),"Em Elaboração")</f>
        <v>UN</v>
      </c>
      <c r="G167" s="254">
        <v>2.0</v>
      </c>
      <c r="H167" s="259">
        <f>IFERROR(IF(D167="SINAPI-S",VLOOKUP(B167,'20-B.SINAPI-S'!A:J,5,0),IF(D167="SINAPI-I",VLOOKUP(B167,'20-A.SINAPI-I'!A:G,6,0),IF(D167="COMPOSIÇÕES",VLOOKUP(B167,'11.COMPOSIÇÕES GERAIS'!B:I,7,0),0))),"Em Elaboração")</f>
        <v>0</v>
      </c>
      <c r="I167" s="259">
        <f>IFERROR(IF(D167="SINAPI-S",VLOOKUP(B167,'20-B.SINAPI-S'!A:J,6,0),IF(D167="SINAPI-I",VLOOKUP(B167,'20-A.SINAPI-I'!A:G,7,0),IF(D167="COMPOSIÇÕES",VLOOKUP(B167,'11.COMPOSIÇÕES GERAIS'!B:I,8,0),VLOOKUP(B167,'12.COT.MERCADO'!A:I,8,0)))),"Em Elaboração")</f>
        <v>39.6</v>
      </c>
      <c r="J167" s="259">
        <f t="shared" si="13"/>
        <v>0</v>
      </c>
      <c r="K167" s="259">
        <f t="shared" si="14"/>
        <v>46.38484957</v>
      </c>
      <c r="L167" s="259">
        <f t="shared" si="15"/>
        <v>46.38484957</v>
      </c>
      <c r="M167" s="259">
        <f t="shared" si="16"/>
        <v>0</v>
      </c>
      <c r="N167" s="259">
        <f t="shared" si="17"/>
        <v>92.76969914</v>
      </c>
      <c r="O167" s="259">
        <f t="shared" si="18"/>
        <v>92.76969914</v>
      </c>
      <c r="P167" s="586">
        <f t="shared" si="3"/>
        <v>0.0005057150949</v>
      </c>
    </row>
    <row r="168">
      <c r="A168" s="253" t="s">
        <v>712</v>
      </c>
      <c r="B168" s="254">
        <v>3731.0</v>
      </c>
      <c r="C168" s="255" t="str">
        <f t="shared" si="12"/>
        <v>SINAPI</v>
      </c>
      <c r="D168" s="256" t="s">
        <v>286</v>
      </c>
      <c r="E168" s="257" t="str">
        <f>IFERROR(IF(D168="SINAPI-S",VLOOKUP(B168,'20-B.SINAPI-S'!A:J,2,0),IF(D168="SINAPI-I",VLOOKUP(B168,'20-A.SINAPI-I'!A:G,2,0),IF(D168="COMPOSIÇÕES",VLOOKUP(B168,'11.COMPOSIÇÕES GERAIS'!B:I,2,0),VLOOKUP(B168,'12.COT.MERCADO'!A:I,2,0)))),"Em Elaboração")</f>
        <v>LADRILHO HIDRAULICO, *20 X 20* CM, E= 2 CM, DADOS, COR NATURAL</v>
      </c>
      <c r="F168" s="258" t="str">
        <f>IFERROR(IF(D168="SINAPI-S",VLOOKUP(B168,'20-B.SINAPI-S'!A:J,3,0),IF(D168="SINAPI-I",VLOOKUP(B168,'20-A.SINAPI-I'!A:G,3,0),IF(D168="COMPOSIÇÕES",VLOOKUP(B168,'11.COMPOSIÇÕES GERAIS'!B:I,3,0),VLOOKUP(B168,'12.COT.MERCADO'!A:I,7,0)))),"Em Elaboração")</f>
        <v>M2</v>
      </c>
      <c r="G168" s="254">
        <v>3.0</v>
      </c>
      <c r="H168" s="259">
        <f>IFERROR(IF(D168="SINAPI-S",VLOOKUP(B168,'20-B.SINAPI-S'!A:J,5,0),IF(D168="SINAPI-I",VLOOKUP(B168,'20-A.SINAPI-I'!A:G,6,0),IF(D168="COMPOSIÇÕES",VLOOKUP(B168,'11.COMPOSIÇÕES GERAIS'!B:I,7,0),0))),"Em Elaboração")</f>
        <v>0</v>
      </c>
      <c r="I168" s="259">
        <f>IFERROR(IF(D168="SINAPI-S",VLOOKUP(B168,'20-B.SINAPI-S'!A:J,6,0),IF(D168="SINAPI-I",VLOOKUP(B168,'20-A.SINAPI-I'!A:G,7,0),IF(D168="COMPOSIÇÕES",VLOOKUP(B168,'11.COMPOSIÇÕES GERAIS'!B:I,8,0),VLOOKUP(B168,'12.COT.MERCADO'!A:I,8,0)))),"Em Elaboração")</f>
        <v>50</v>
      </c>
      <c r="J168" s="259">
        <f t="shared" si="13"/>
        <v>0</v>
      </c>
      <c r="K168" s="259">
        <f t="shared" si="14"/>
        <v>58.56672926</v>
      </c>
      <c r="L168" s="259">
        <f t="shared" si="15"/>
        <v>58.56672926</v>
      </c>
      <c r="M168" s="259">
        <f t="shared" si="16"/>
        <v>0</v>
      </c>
      <c r="N168" s="259">
        <f t="shared" si="17"/>
        <v>175.7001878</v>
      </c>
      <c r="O168" s="259">
        <f t="shared" si="18"/>
        <v>175.7001878</v>
      </c>
      <c r="P168" s="586">
        <f t="shared" si="3"/>
        <v>0.0009577937404</v>
      </c>
    </row>
    <row r="169">
      <c r="A169" s="253" t="s">
        <v>713</v>
      </c>
      <c r="B169" s="254">
        <v>7271.0</v>
      </c>
      <c r="C169" s="255" t="str">
        <f t="shared" si="12"/>
        <v>SINAPI</v>
      </c>
      <c r="D169" s="256" t="s">
        <v>286</v>
      </c>
      <c r="E169" s="257" t="str">
        <f>IFERROR(IF(D169="SINAPI-S",VLOOKUP(B169,'20-B.SINAPI-S'!A:J,2,0),IF(D169="SINAPI-I",VLOOKUP(B169,'20-A.SINAPI-I'!A:G,2,0),IF(D169="COMPOSIÇÕES",VLOOKUP(B169,'11.COMPOSIÇÕES GERAIS'!B:I,2,0),VLOOKUP(B169,'12.COT.MERCADO'!A:I,2,0)))),"Em Elaboração")</f>
        <v>BLOCO CERAMICO / TIJOLO VAZADO PARA ALVENARIA DE VEDACAO, 8 FUROS NA HORIZONTAL, DE 9 X 19 X 19 CM (L XA X C)</v>
      </c>
      <c r="F169" s="258" t="str">
        <f>IFERROR(IF(D169="SINAPI-S",VLOOKUP(B169,'20-B.SINAPI-S'!A:J,3,0),IF(D169="SINAPI-I",VLOOKUP(B169,'20-A.SINAPI-I'!A:G,3,0),IF(D169="COMPOSIÇÕES",VLOOKUP(B169,'11.COMPOSIÇÕES GERAIS'!B:I,3,0),VLOOKUP(B169,'12.COT.MERCADO'!A:I,7,0)))),"Em Elaboração")</f>
        <v>UN</v>
      </c>
      <c r="G169" s="254">
        <v>45.0</v>
      </c>
      <c r="H169" s="259">
        <f>IFERROR(IF(D169="SINAPI-S",VLOOKUP(B169,'20-B.SINAPI-S'!A:J,5,0),IF(D169="SINAPI-I",VLOOKUP(B169,'20-A.SINAPI-I'!A:G,6,0),IF(D169="COMPOSIÇÕES",VLOOKUP(B169,'11.COMPOSIÇÕES GERAIS'!B:I,7,0),0))),"Em Elaboração")</f>
        <v>0</v>
      </c>
      <c r="I169" s="259">
        <f>IFERROR(IF(D169="SINAPI-S",VLOOKUP(B169,'20-B.SINAPI-S'!A:J,6,0),IF(D169="SINAPI-I",VLOOKUP(B169,'20-A.SINAPI-I'!A:G,7,0),IF(D169="COMPOSIÇÕES",VLOOKUP(B169,'11.COMPOSIÇÕES GERAIS'!B:I,8,0),VLOOKUP(B169,'12.COT.MERCADO'!A:I,8,0)))),"Em Elaboração")</f>
        <v>0.8</v>
      </c>
      <c r="J169" s="259">
        <f t="shared" si="13"/>
        <v>0</v>
      </c>
      <c r="K169" s="259">
        <f t="shared" si="14"/>
        <v>0.9370676681</v>
      </c>
      <c r="L169" s="259">
        <f t="shared" si="15"/>
        <v>0.9370676681</v>
      </c>
      <c r="M169" s="259">
        <f t="shared" si="16"/>
        <v>0</v>
      </c>
      <c r="N169" s="259">
        <f t="shared" si="17"/>
        <v>42.16804506</v>
      </c>
      <c r="O169" s="259">
        <f t="shared" si="18"/>
        <v>42.16804506</v>
      </c>
      <c r="P169" s="586">
        <f t="shared" si="3"/>
        <v>0.0002298704977</v>
      </c>
    </row>
    <row r="170">
      <c r="A170" s="253" t="s">
        <v>714</v>
      </c>
      <c r="B170" s="254">
        <v>820.0</v>
      </c>
      <c r="C170" s="255" t="str">
        <f t="shared" si="12"/>
        <v>SINAPI</v>
      </c>
      <c r="D170" s="256" t="s">
        <v>286</v>
      </c>
      <c r="E170" s="257" t="str">
        <f>IFERROR(IF(D170="SINAPI-S",VLOOKUP(B170,'20-B.SINAPI-S'!A:J,2,0),IF(D170="SINAPI-I",VLOOKUP(B170,'20-A.SINAPI-I'!A:G,2,0),IF(D170="COMPOSIÇÕES",VLOOKUP(B170,'11.COMPOSIÇÕES GERAIS'!B:I,2,0),VLOOKUP(B170,'12.COT.MERCADO'!A:I,2,0)))),"Em Elaboração")</f>
        <v>BUCHA DE REDUCAO DE PVC, SOLDAVEL, LONGA, COM 50 X 32 MM, PARA AGUA FRIA PREDIAL</v>
      </c>
      <c r="F170" s="258" t="str">
        <f>IFERROR(IF(D170="SINAPI-S",VLOOKUP(B170,'20-B.SINAPI-S'!A:J,3,0),IF(D170="SINAPI-I",VLOOKUP(B170,'20-A.SINAPI-I'!A:G,3,0),IF(D170="COMPOSIÇÕES",VLOOKUP(B170,'11.COMPOSIÇÕES GERAIS'!B:I,3,0),VLOOKUP(B170,'12.COT.MERCADO'!A:I,7,0)))),"Em Elaboração")</f>
        <v>UN</v>
      </c>
      <c r="G170" s="254">
        <v>4.0</v>
      </c>
      <c r="H170" s="259">
        <f>IFERROR(IF(D170="SINAPI-S",VLOOKUP(B170,'20-B.SINAPI-S'!A:J,5,0),IF(D170="SINAPI-I",VLOOKUP(B170,'20-A.SINAPI-I'!A:G,6,0),IF(D170="COMPOSIÇÕES",VLOOKUP(B170,'11.COMPOSIÇÕES GERAIS'!B:I,7,0),0))),"Em Elaboração")</f>
        <v>0</v>
      </c>
      <c r="I170" s="259">
        <f>IFERROR(IF(D170="SINAPI-S",VLOOKUP(B170,'20-B.SINAPI-S'!A:J,6,0),IF(D170="SINAPI-I",VLOOKUP(B170,'20-A.SINAPI-I'!A:G,7,0),IF(D170="COMPOSIÇÕES",VLOOKUP(B170,'11.COMPOSIÇÕES GERAIS'!B:I,8,0),VLOOKUP(B170,'12.COT.MERCADO'!A:I,8,0)))),"Em Elaboração")</f>
        <v>5.98</v>
      </c>
      <c r="J170" s="259">
        <f t="shared" si="13"/>
        <v>0</v>
      </c>
      <c r="K170" s="259">
        <f t="shared" si="14"/>
        <v>7.004580819</v>
      </c>
      <c r="L170" s="259">
        <f t="shared" si="15"/>
        <v>7.004580819</v>
      </c>
      <c r="M170" s="259">
        <f t="shared" si="16"/>
        <v>0</v>
      </c>
      <c r="N170" s="259">
        <f t="shared" si="17"/>
        <v>28.01832328</v>
      </c>
      <c r="O170" s="259">
        <f t="shared" si="18"/>
        <v>28.01832328</v>
      </c>
      <c r="P170" s="586">
        <f t="shared" si="3"/>
        <v>0.0001527361751</v>
      </c>
    </row>
    <row r="171">
      <c r="A171" s="253" t="s">
        <v>715</v>
      </c>
      <c r="B171" s="254">
        <v>20086.0</v>
      </c>
      <c r="C171" s="255" t="str">
        <f t="shared" si="12"/>
        <v>SINAPI</v>
      </c>
      <c r="D171" s="256" t="s">
        <v>286</v>
      </c>
      <c r="E171" s="257" t="str">
        <f>IFERROR(IF(D171="SINAPI-S",VLOOKUP(B171,'20-B.SINAPI-S'!A:J,2,0),IF(D171="SINAPI-I",VLOOKUP(B171,'20-A.SINAPI-I'!A:G,2,0),IF(D171="COMPOSIÇÕES",VLOOKUP(B171,'11.COMPOSIÇÕES GERAIS'!B:I,2,0),VLOOKUP(B171,'12.COT.MERCADO'!A:I,2,0)))),"Em Elaboração")</f>
        <v>BUCHA DE REDUCAO DE PVC, SOLDAVEL, LONGA, 50 X 40 MM, PARA ESGOTO PREDIAL</v>
      </c>
      <c r="F171" s="258" t="str">
        <f>IFERROR(IF(D171="SINAPI-S",VLOOKUP(B171,'20-B.SINAPI-S'!A:J,3,0),IF(D171="SINAPI-I",VLOOKUP(B171,'20-A.SINAPI-I'!A:G,3,0),IF(D171="COMPOSIÇÕES",VLOOKUP(B171,'11.COMPOSIÇÕES GERAIS'!B:I,3,0),VLOOKUP(B171,'12.COT.MERCADO'!A:I,7,0)))),"Em Elaboração")</f>
        <v>UN</v>
      </c>
      <c r="G171" s="254">
        <v>4.0</v>
      </c>
      <c r="H171" s="259">
        <f>IFERROR(IF(D171="SINAPI-S",VLOOKUP(B171,'20-B.SINAPI-S'!A:J,5,0),IF(D171="SINAPI-I",VLOOKUP(B171,'20-A.SINAPI-I'!A:G,6,0),IF(D171="COMPOSIÇÕES",VLOOKUP(B171,'11.COMPOSIÇÕES GERAIS'!B:I,7,0),0))),"Em Elaboração")</f>
        <v>0</v>
      </c>
      <c r="I171" s="259">
        <f>IFERROR(IF(D171="SINAPI-S",VLOOKUP(B171,'20-B.SINAPI-S'!A:J,6,0),IF(D171="SINAPI-I",VLOOKUP(B171,'20-A.SINAPI-I'!A:G,7,0),IF(D171="COMPOSIÇÕES",VLOOKUP(B171,'11.COMPOSIÇÕES GERAIS'!B:I,8,0),VLOOKUP(B171,'12.COT.MERCADO'!A:I,8,0)))),"Em Elaboração")</f>
        <v>3.52</v>
      </c>
      <c r="J171" s="259">
        <f t="shared" si="13"/>
        <v>0</v>
      </c>
      <c r="K171" s="259">
        <f t="shared" si="14"/>
        <v>4.12309774</v>
      </c>
      <c r="L171" s="259">
        <f t="shared" si="15"/>
        <v>4.12309774</v>
      </c>
      <c r="M171" s="259">
        <f t="shared" si="16"/>
        <v>0</v>
      </c>
      <c r="N171" s="259">
        <f t="shared" si="17"/>
        <v>16.49239096</v>
      </c>
      <c r="O171" s="259">
        <f t="shared" si="18"/>
        <v>16.49239096</v>
      </c>
      <c r="P171" s="586">
        <f t="shared" si="3"/>
        <v>0.00008990490576</v>
      </c>
    </row>
    <row r="172">
      <c r="A172" s="253" t="s">
        <v>716</v>
      </c>
      <c r="B172" s="254">
        <v>797.0</v>
      </c>
      <c r="C172" s="255" t="str">
        <f t="shared" si="12"/>
        <v>SINAPI</v>
      </c>
      <c r="D172" s="256" t="s">
        <v>286</v>
      </c>
      <c r="E172" s="257" t="str">
        <f>IFERROR(IF(D172="SINAPI-S",VLOOKUP(B172,'20-B.SINAPI-S'!A:J,2,0),IF(D172="SINAPI-I",VLOOKUP(B172,'20-A.SINAPI-I'!A:G,2,0),IF(D172="COMPOSIÇÕES",VLOOKUP(B172,'11.COMPOSIÇÕES GERAIS'!B:I,2,0),VLOOKUP(B172,'12.COT.MERCADO'!A:I,2,0)))),"Em Elaboração")</f>
        <v>BUCHA DE REDUCAO PVC, ROSCAVEL 1 1/2" X 1"</v>
      </c>
      <c r="F172" s="258" t="str">
        <f>IFERROR(IF(D172="SINAPI-S",VLOOKUP(B172,'20-B.SINAPI-S'!A:J,3,0),IF(D172="SINAPI-I",VLOOKUP(B172,'20-A.SINAPI-I'!A:G,3,0),IF(D172="COMPOSIÇÕES",VLOOKUP(B172,'11.COMPOSIÇÕES GERAIS'!B:I,3,0),VLOOKUP(B172,'12.COT.MERCADO'!A:I,7,0)))),"Em Elaboração")</f>
        <v>UN</v>
      </c>
      <c r="G172" s="254">
        <v>3.0</v>
      </c>
      <c r="H172" s="259">
        <f>IFERROR(IF(D172="SINAPI-S",VLOOKUP(B172,'20-B.SINAPI-S'!A:J,5,0),IF(D172="SINAPI-I",VLOOKUP(B172,'20-A.SINAPI-I'!A:G,6,0),IF(D172="COMPOSIÇÕES",VLOOKUP(B172,'11.COMPOSIÇÕES GERAIS'!B:I,7,0),0))),"Em Elaboração")</f>
        <v>0</v>
      </c>
      <c r="I172" s="259">
        <f>IFERROR(IF(D172="SINAPI-S",VLOOKUP(B172,'20-B.SINAPI-S'!A:J,6,0),IF(D172="SINAPI-I",VLOOKUP(B172,'20-A.SINAPI-I'!A:G,7,0),IF(D172="COMPOSIÇÕES",VLOOKUP(B172,'11.COMPOSIÇÕES GERAIS'!B:I,8,0),VLOOKUP(B172,'12.COT.MERCADO'!A:I,8,0)))),"Em Elaboração")</f>
        <v>8.95</v>
      </c>
      <c r="J172" s="259">
        <f t="shared" si="13"/>
        <v>0</v>
      </c>
      <c r="K172" s="259">
        <f t="shared" si="14"/>
        <v>10.48344454</v>
      </c>
      <c r="L172" s="259">
        <f t="shared" si="15"/>
        <v>10.48344454</v>
      </c>
      <c r="M172" s="259">
        <f t="shared" si="16"/>
        <v>0</v>
      </c>
      <c r="N172" s="259">
        <f t="shared" si="17"/>
        <v>31.45033361</v>
      </c>
      <c r="O172" s="259">
        <f t="shared" si="18"/>
        <v>31.45033361</v>
      </c>
      <c r="P172" s="586">
        <f t="shared" si="3"/>
        <v>0.0001714450795</v>
      </c>
    </row>
    <row r="173">
      <c r="A173" s="253" t="s">
        <v>717</v>
      </c>
      <c r="B173" s="254">
        <v>796.0</v>
      </c>
      <c r="C173" s="255" t="str">
        <f t="shared" si="12"/>
        <v>SINAPI</v>
      </c>
      <c r="D173" s="256" t="s">
        <v>286</v>
      </c>
      <c r="E173" s="257" t="str">
        <f>IFERROR(IF(D173="SINAPI-S",VLOOKUP(B173,'20-B.SINAPI-S'!A:J,2,0),IF(D173="SINAPI-I",VLOOKUP(B173,'20-A.SINAPI-I'!A:G,2,0),IF(D173="COMPOSIÇÕES",VLOOKUP(B173,'11.COMPOSIÇÕES GERAIS'!B:I,2,0),VLOOKUP(B173,'12.COT.MERCADO'!A:I,2,0)))),"Em Elaboração")</f>
        <v>BUCHA DE REDUCAO PVC, ROSCAVEL, 1 1/2" X 3/4"</v>
      </c>
      <c r="F173" s="258" t="str">
        <f>IFERROR(IF(D173="SINAPI-S",VLOOKUP(B173,'20-B.SINAPI-S'!A:J,3,0),IF(D173="SINAPI-I",VLOOKUP(B173,'20-A.SINAPI-I'!A:G,3,0),IF(D173="COMPOSIÇÕES",VLOOKUP(B173,'11.COMPOSIÇÕES GERAIS'!B:I,3,0),VLOOKUP(B173,'12.COT.MERCADO'!A:I,7,0)))),"Em Elaboração")</f>
        <v>UN</v>
      </c>
      <c r="G173" s="254">
        <v>3.0</v>
      </c>
      <c r="H173" s="259">
        <f>IFERROR(IF(D173="SINAPI-S",VLOOKUP(B173,'20-B.SINAPI-S'!A:J,5,0),IF(D173="SINAPI-I",VLOOKUP(B173,'20-A.SINAPI-I'!A:G,6,0),IF(D173="COMPOSIÇÕES",VLOOKUP(B173,'11.COMPOSIÇÕES GERAIS'!B:I,7,0),0))),"Em Elaboração")</f>
        <v>0</v>
      </c>
      <c r="I173" s="259">
        <f>IFERROR(IF(D173="SINAPI-S",VLOOKUP(B173,'20-B.SINAPI-S'!A:J,6,0),IF(D173="SINAPI-I",VLOOKUP(B173,'20-A.SINAPI-I'!A:G,7,0),IF(D173="COMPOSIÇÕES",VLOOKUP(B173,'11.COMPOSIÇÕES GERAIS'!B:I,8,0),VLOOKUP(B173,'12.COT.MERCADO'!A:I,8,0)))),"Em Elaboração")</f>
        <v>7.6</v>
      </c>
      <c r="J173" s="259">
        <f t="shared" si="13"/>
        <v>0</v>
      </c>
      <c r="K173" s="259">
        <f t="shared" si="14"/>
        <v>8.902142847</v>
      </c>
      <c r="L173" s="259">
        <f t="shared" si="15"/>
        <v>8.902142847</v>
      </c>
      <c r="M173" s="259">
        <f t="shared" si="16"/>
        <v>0</v>
      </c>
      <c r="N173" s="259">
        <f t="shared" si="17"/>
        <v>26.70642854</v>
      </c>
      <c r="O173" s="259">
        <f t="shared" si="18"/>
        <v>26.70642854</v>
      </c>
      <c r="P173" s="586">
        <f t="shared" si="3"/>
        <v>0.0001455846485</v>
      </c>
    </row>
    <row r="174">
      <c r="A174" s="253" t="s">
        <v>718</v>
      </c>
      <c r="B174" s="254">
        <v>798.0</v>
      </c>
      <c r="C174" s="255" t="str">
        <f t="shared" si="12"/>
        <v>SINAPI</v>
      </c>
      <c r="D174" s="256" t="s">
        <v>286</v>
      </c>
      <c r="E174" s="257" t="str">
        <f>IFERROR(IF(D174="SINAPI-S",VLOOKUP(B174,'20-B.SINAPI-S'!A:J,2,0),IF(D174="SINAPI-I",VLOOKUP(B174,'20-A.SINAPI-I'!A:G,2,0),IF(D174="COMPOSIÇÕES",VLOOKUP(B174,'11.COMPOSIÇÕES GERAIS'!B:I,2,0),VLOOKUP(B174,'12.COT.MERCADO'!A:I,2,0)))),"Em Elaboração")</f>
        <v>BUCHA DE REDUCAO PVC ROSCAVEL 3/4" X 1/2"</v>
      </c>
      <c r="F174" s="258" t="str">
        <f>IFERROR(IF(D174="SINAPI-S",VLOOKUP(B174,'20-B.SINAPI-S'!A:J,3,0),IF(D174="SINAPI-I",VLOOKUP(B174,'20-A.SINAPI-I'!A:G,3,0),IF(D174="COMPOSIÇÕES",VLOOKUP(B174,'11.COMPOSIÇÕES GERAIS'!B:I,3,0),VLOOKUP(B174,'12.COT.MERCADO'!A:I,7,0)))),"Em Elaboração")</f>
        <v>UN</v>
      </c>
      <c r="G174" s="254">
        <v>3.0</v>
      </c>
      <c r="H174" s="259">
        <f>IFERROR(IF(D174="SINAPI-S",VLOOKUP(B174,'20-B.SINAPI-S'!A:J,5,0),IF(D174="SINAPI-I",VLOOKUP(B174,'20-A.SINAPI-I'!A:G,6,0),IF(D174="COMPOSIÇÕES",VLOOKUP(B174,'11.COMPOSIÇÕES GERAIS'!B:I,7,0),0))),"Em Elaboração")</f>
        <v>0</v>
      </c>
      <c r="I174" s="259">
        <f>IFERROR(IF(D174="SINAPI-S",VLOOKUP(B174,'20-B.SINAPI-S'!A:J,6,0),IF(D174="SINAPI-I",VLOOKUP(B174,'20-A.SINAPI-I'!A:G,7,0),IF(D174="COMPOSIÇÕES",VLOOKUP(B174,'11.COMPOSIÇÕES GERAIS'!B:I,8,0),VLOOKUP(B174,'12.COT.MERCADO'!A:I,8,0)))),"Em Elaboração")</f>
        <v>1.23</v>
      </c>
      <c r="J174" s="259">
        <f t="shared" si="13"/>
        <v>0</v>
      </c>
      <c r="K174" s="259">
        <f t="shared" si="14"/>
        <v>1.44074154</v>
      </c>
      <c r="L174" s="259">
        <f t="shared" si="15"/>
        <v>1.44074154</v>
      </c>
      <c r="M174" s="259">
        <f t="shared" si="16"/>
        <v>0</v>
      </c>
      <c r="N174" s="259">
        <f t="shared" si="17"/>
        <v>4.322224619</v>
      </c>
      <c r="O174" s="259">
        <f t="shared" si="18"/>
        <v>4.322224619</v>
      </c>
      <c r="P174" s="586">
        <f t="shared" si="3"/>
        <v>0.00002356172601</v>
      </c>
    </row>
    <row r="175">
      <c r="A175" s="253" t="s">
        <v>719</v>
      </c>
      <c r="B175" s="254">
        <v>829.0</v>
      </c>
      <c r="C175" s="255" t="str">
        <f t="shared" si="12"/>
        <v>SINAPI</v>
      </c>
      <c r="D175" s="256" t="s">
        <v>286</v>
      </c>
      <c r="E175" s="257" t="str">
        <f>IFERROR(IF(D175="SINAPI-S",VLOOKUP(B175,'20-B.SINAPI-S'!A:J,2,0),IF(D175="SINAPI-I",VLOOKUP(B175,'20-A.SINAPI-I'!A:G,2,0),IF(D175="COMPOSIÇÕES",VLOOKUP(B175,'11.COMPOSIÇÕES GERAIS'!B:I,2,0),VLOOKUP(B175,'12.COT.MERCADO'!A:I,2,0)))),"Em Elaboração")</f>
        <v>BUCHA DE REDUCAO DE PVC, SOLDAVEL, CURTA, COM 32 X 25 MM, PARA AGUA FRIA PREDIAL</v>
      </c>
      <c r="F175" s="258" t="str">
        <f>IFERROR(IF(D175="SINAPI-S",VLOOKUP(B175,'20-B.SINAPI-S'!A:J,3,0),IF(D175="SINAPI-I",VLOOKUP(B175,'20-A.SINAPI-I'!A:G,3,0),IF(D175="COMPOSIÇÕES",VLOOKUP(B175,'11.COMPOSIÇÕES GERAIS'!B:I,3,0),VLOOKUP(B175,'12.COT.MERCADO'!A:I,7,0)))),"Em Elaboração")</f>
        <v>UN</v>
      </c>
      <c r="G175" s="254">
        <v>3.0</v>
      </c>
      <c r="H175" s="259">
        <f>IFERROR(IF(D175="SINAPI-S",VLOOKUP(B175,'20-B.SINAPI-S'!A:J,5,0),IF(D175="SINAPI-I",VLOOKUP(B175,'20-A.SINAPI-I'!A:G,6,0),IF(D175="COMPOSIÇÕES",VLOOKUP(B175,'11.COMPOSIÇÕES GERAIS'!B:I,7,0),0))),"Em Elaboração")</f>
        <v>0</v>
      </c>
      <c r="I175" s="259">
        <f>IFERROR(IF(D175="SINAPI-S",VLOOKUP(B175,'20-B.SINAPI-S'!A:J,6,0),IF(D175="SINAPI-I",VLOOKUP(B175,'20-A.SINAPI-I'!A:G,7,0),IF(D175="COMPOSIÇÕES",VLOOKUP(B175,'11.COMPOSIÇÕES GERAIS'!B:I,8,0),VLOOKUP(B175,'12.COT.MERCADO'!A:I,8,0)))),"Em Elaboração")</f>
        <v>1</v>
      </c>
      <c r="J175" s="259">
        <f t="shared" si="13"/>
        <v>0</v>
      </c>
      <c r="K175" s="259">
        <f t="shared" si="14"/>
        <v>1.171334585</v>
      </c>
      <c r="L175" s="259">
        <f t="shared" si="15"/>
        <v>1.171334585</v>
      </c>
      <c r="M175" s="259">
        <f t="shared" si="16"/>
        <v>0</v>
      </c>
      <c r="N175" s="259">
        <f t="shared" si="17"/>
        <v>3.514003755</v>
      </c>
      <c r="O175" s="259">
        <f t="shared" si="18"/>
        <v>3.514003755</v>
      </c>
      <c r="P175" s="586">
        <f t="shared" si="3"/>
        <v>0.00001915587481</v>
      </c>
    </row>
    <row r="176">
      <c r="A176" s="253" t="s">
        <v>720</v>
      </c>
      <c r="B176" s="254">
        <v>812.0</v>
      </c>
      <c r="C176" s="255" t="str">
        <f t="shared" si="12"/>
        <v>SINAPI</v>
      </c>
      <c r="D176" s="256" t="s">
        <v>286</v>
      </c>
      <c r="E176" s="257" t="str">
        <f>IFERROR(IF(D176="SINAPI-S",VLOOKUP(B176,'20-B.SINAPI-S'!A:J,2,0),IF(D176="SINAPI-I",VLOOKUP(B176,'20-A.SINAPI-I'!A:G,2,0),IF(D176="COMPOSIÇÕES",VLOOKUP(B176,'11.COMPOSIÇÕES GERAIS'!B:I,2,0),VLOOKUP(B176,'12.COT.MERCADO'!A:I,2,0)))),"Em Elaboração")</f>
        <v>BUCHA DE REDUCAO DE PVC, SOLDAVEL, CURTA, COM 40 X 32 MM, PARA AGUA FRIA PREDIAL</v>
      </c>
      <c r="F176" s="258" t="str">
        <f>IFERROR(IF(D176="SINAPI-S",VLOOKUP(B176,'20-B.SINAPI-S'!A:J,3,0),IF(D176="SINAPI-I",VLOOKUP(B176,'20-A.SINAPI-I'!A:G,3,0),IF(D176="COMPOSIÇÕES",VLOOKUP(B176,'11.COMPOSIÇÕES GERAIS'!B:I,3,0),VLOOKUP(B176,'12.COT.MERCADO'!A:I,7,0)))),"Em Elaboração")</f>
        <v>UN</v>
      </c>
      <c r="G176" s="254">
        <v>3.0</v>
      </c>
      <c r="H176" s="259">
        <f>IFERROR(IF(D176="SINAPI-S",VLOOKUP(B176,'20-B.SINAPI-S'!A:J,5,0),IF(D176="SINAPI-I",VLOOKUP(B176,'20-A.SINAPI-I'!A:G,6,0),IF(D176="COMPOSIÇÕES",VLOOKUP(B176,'11.COMPOSIÇÕES GERAIS'!B:I,7,0),0))),"Em Elaboração")</f>
        <v>0</v>
      </c>
      <c r="I176" s="259">
        <f>IFERROR(IF(D176="SINAPI-S",VLOOKUP(B176,'20-B.SINAPI-S'!A:J,6,0),IF(D176="SINAPI-I",VLOOKUP(B176,'20-A.SINAPI-I'!A:G,7,0),IF(D176="COMPOSIÇÕES",VLOOKUP(B176,'11.COMPOSIÇÕES GERAIS'!B:I,8,0),VLOOKUP(B176,'12.COT.MERCADO'!A:I,8,0)))),"Em Elaboração")</f>
        <v>2.2</v>
      </c>
      <c r="J176" s="259">
        <f t="shared" si="13"/>
        <v>0</v>
      </c>
      <c r="K176" s="259">
        <f t="shared" si="14"/>
        <v>2.576936087</v>
      </c>
      <c r="L176" s="259">
        <f t="shared" si="15"/>
        <v>2.576936087</v>
      </c>
      <c r="M176" s="259">
        <f t="shared" si="16"/>
        <v>0</v>
      </c>
      <c r="N176" s="259">
        <f t="shared" si="17"/>
        <v>7.730808262</v>
      </c>
      <c r="O176" s="259">
        <f t="shared" si="18"/>
        <v>7.730808262</v>
      </c>
      <c r="P176" s="586">
        <f t="shared" si="3"/>
        <v>0.00004214292458</v>
      </c>
    </row>
    <row r="177">
      <c r="A177" s="253" t="s">
        <v>721</v>
      </c>
      <c r="B177" s="254">
        <v>819.0</v>
      </c>
      <c r="C177" s="255" t="str">
        <f t="shared" si="12"/>
        <v>SINAPI</v>
      </c>
      <c r="D177" s="256" t="s">
        <v>286</v>
      </c>
      <c r="E177" s="257" t="str">
        <f>IFERROR(IF(D177="SINAPI-S",VLOOKUP(B177,'20-B.SINAPI-S'!A:J,2,0),IF(D177="SINAPI-I",VLOOKUP(B177,'20-A.SINAPI-I'!A:G,2,0),IF(D177="COMPOSIÇÕES",VLOOKUP(B177,'11.COMPOSIÇÕES GERAIS'!B:I,2,0),VLOOKUP(B177,'12.COT.MERCADO'!A:I,2,0)))),"Em Elaboração")</f>
        <v>BUCHA DE REDUCAO DE PVC, SOLDAVEL, CURTA, COM 50 X 40 MM, PARA AGUA FRIA PREDIAL</v>
      </c>
      <c r="F177" s="258" t="str">
        <f>IFERROR(IF(D177="SINAPI-S",VLOOKUP(B177,'20-B.SINAPI-S'!A:J,3,0),IF(D177="SINAPI-I",VLOOKUP(B177,'20-A.SINAPI-I'!A:G,3,0),IF(D177="COMPOSIÇÕES",VLOOKUP(B177,'11.COMPOSIÇÕES GERAIS'!B:I,3,0),VLOOKUP(B177,'12.COT.MERCADO'!A:I,7,0)))),"Em Elaboração")</f>
        <v>UN</v>
      </c>
      <c r="G177" s="254">
        <v>3.0</v>
      </c>
      <c r="H177" s="259">
        <f>IFERROR(IF(D177="SINAPI-S",VLOOKUP(B177,'20-B.SINAPI-S'!A:J,5,0),IF(D177="SINAPI-I",VLOOKUP(B177,'20-A.SINAPI-I'!A:G,6,0),IF(D177="COMPOSIÇÕES",VLOOKUP(B177,'11.COMPOSIÇÕES GERAIS'!B:I,7,0),0))),"Em Elaboração")</f>
        <v>0</v>
      </c>
      <c r="I177" s="259">
        <f>IFERROR(IF(D177="SINAPI-S",VLOOKUP(B177,'20-B.SINAPI-S'!A:J,6,0),IF(D177="SINAPI-I",VLOOKUP(B177,'20-A.SINAPI-I'!A:G,7,0),IF(D177="COMPOSIÇÕES",VLOOKUP(B177,'11.COMPOSIÇÕES GERAIS'!B:I,8,0),VLOOKUP(B177,'12.COT.MERCADO'!A:I,8,0)))),"Em Elaboração")</f>
        <v>3.82</v>
      </c>
      <c r="J177" s="259">
        <f t="shared" si="13"/>
        <v>0</v>
      </c>
      <c r="K177" s="259">
        <f t="shared" si="14"/>
        <v>4.474498115</v>
      </c>
      <c r="L177" s="259">
        <f t="shared" si="15"/>
        <v>4.474498115</v>
      </c>
      <c r="M177" s="259">
        <f t="shared" si="16"/>
        <v>0</v>
      </c>
      <c r="N177" s="259">
        <f t="shared" si="17"/>
        <v>13.42349435</v>
      </c>
      <c r="O177" s="259">
        <f t="shared" si="18"/>
        <v>13.42349435</v>
      </c>
      <c r="P177" s="586">
        <f t="shared" si="3"/>
        <v>0.00007317544176</v>
      </c>
    </row>
    <row r="178">
      <c r="A178" s="253" t="s">
        <v>722</v>
      </c>
      <c r="B178" s="254">
        <v>818.0</v>
      </c>
      <c r="C178" s="255" t="str">
        <f t="shared" si="12"/>
        <v>SINAPI</v>
      </c>
      <c r="D178" s="256" t="s">
        <v>286</v>
      </c>
      <c r="E178" s="257" t="str">
        <f>IFERROR(IF(D178="SINAPI-S",VLOOKUP(B178,'20-B.SINAPI-S'!A:J,2,0),IF(D178="SINAPI-I",VLOOKUP(B178,'20-A.SINAPI-I'!A:G,2,0),IF(D178="COMPOSIÇÕES",VLOOKUP(B178,'11.COMPOSIÇÕES GERAIS'!B:I,2,0),VLOOKUP(B178,'12.COT.MERCADO'!A:I,2,0)))),"Em Elaboração")</f>
        <v>BUCHA DE REDUCAO DE PVC, SOLDAVEL, CURTA, COM 60 X 50 MM, PARA AGUA FRIA PREDIAL</v>
      </c>
      <c r="F178" s="258" t="str">
        <f>IFERROR(IF(D178="SINAPI-S",VLOOKUP(B178,'20-B.SINAPI-S'!A:J,3,0),IF(D178="SINAPI-I",VLOOKUP(B178,'20-A.SINAPI-I'!A:G,3,0),IF(D178="COMPOSIÇÕES",VLOOKUP(B178,'11.COMPOSIÇÕES GERAIS'!B:I,3,0),VLOOKUP(B178,'12.COT.MERCADO'!A:I,7,0)))),"Em Elaboração")</f>
        <v>UN</v>
      </c>
      <c r="G178" s="254">
        <v>3.0</v>
      </c>
      <c r="H178" s="259">
        <f>IFERROR(IF(D178="SINAPI-S",VLOOKUP(B178,'20-B.SINAPI-S'!A:J,5,0),IF(D178="SINAPI-I",VLOOKUP(B178,'20-A.SINAPI-I'!A:G,6,0),IF(D178="COMPOSIÇÕES",VLOOKUP(B178,'11.COMPOSIÇÕES GERAIS'!B:I,7,0),0))),"Em Elaboração")</f>
        <v>0</v>
      </c>
      <c r="I178" s="259">
        <f>IFERROR(IF(D178="SINAPI-S",VLOOKUP(B178,'20-B.SINAPI-S'!A:J,6,0),IF(D178="SINAPI-I",VLOOKUP(B178,'20-A.SINAPI-I'!A:G,7,0),IF(D178="COMPOSIÇÕES",VLOOKUP(B178,'11.COMPOSIÇÕES GERAIS'!B:I,8,0),VLOOKUP(B178,'12.COT.MERCADO'!A:I,8,0)))),"Em Elaboração")</f>
        <v>7.14</v>
      </c>
      <c r="J178" s="259">
        <f t="shared" si="13"/>
        <v>0</v>
      </c>
      <c r="K178" s="259">
        <f t="shared" si="14"/>
        <v>8.363328938</v>
      </c>
      <c r="L178" s="259">
        <f t="shared" si="15"/>
        <v>8.363328938</v>
      </c>
      <c r="M178" s="259">
        <f t="shared" si="16"/>
        <v>0</v>
      </c>
      <c r="N178" s="259">
        <f t="shared" si="17"/>
        <v>25.08998681</v>
      </c>
      <c r="O178" s="259">
        <f t="shared" si="18"/>
        <v>25.08998681</v>
      </c>
      <c r="P178" s="586">
        <f t="shared" si="3"/>
        <v>0.0001367729461</v>
      </c>
    </row>
    <row r="179">
      <c r="A179" s="253" t="s">
        <v>723</v>
      </c>
      <c r="B179" s="254">
        <v>832.0</v>
      </c>
      <c r="C179" s="255" t="str">
        <f t="shared" si="12"/>
        <v>SINAPI</v>
      </c>
      <c r="D179" s="256" t="s">
        <v>286</v>
      </c>
      <c r="E179" s="257" t="str">
        <f>IFERROR(IF(D179="SINAPI-S",VLOOKUP(B179,'20-B.SINAPI-S'!A:J,2,0),IF(D179="SINAPI-I",VLOOKUP(B179,'20-A.SINAPI-I'!A:G,2,0),IF(D179="COMPOSIÇÕES",VLOOKUP(B179,'11.COMPOSIÇÕES GERAIS'!B:I,2,0),VLOOKUP(B179,'12.COT.MERCADO'!A:I,2,0)))),"Em Elaboração")</f>
        <v>BUCHA DE REDUCAO DE PVC, SOLDAVEL, LONGA, COM 32 X 20 MM, PARA AGUA FRIA PREDIAL</v>
      </c>
      <c r="F179" s="258" t="str">
        <f>IFERROR(IF(D179="SINAPI-S",VLOOKUP(B179,'20-B.SINAPI-S'!A:J,3,0),IF(D179="SINAPI-I",VLOOKUP(B179,'20-A.SINAPI-I'!A:G,3,0),IF(D179="COMPOSIÇÕES",VLOOKUP(B179,'11.COMPOSIÇÕES GERAIS'!B:I,3,0),VLOOKUP(B179,'12.COT.MERCADO'!A:I,7,0)))),"Em Elaboração")</f>
        <v>UN</v>
      </c>
      <c r="G179" s="254">
        <v>3.0</v>
      </c>
      <c r="H179" s="259">
        <f>IFERROR(IF(D179="SINAPI-S",VLOOKUP(B179,'20-B.SINAPI-S'!A:J,5,0),IF(D179="SINAPI-I",VLOOKUP(B179,'20-A.SINAPI-I'!A:G,6,0),IF(D179="COMPOSIÇÕES",VLOOKUP(B179,'11.COMPOSIÇÕES GERAIS'!B:I,7,0),0))),"Em Elaboração")</f>
        <v>0</v>
      </c>
      <c r="I179" s="259">
        <f>IFERROR(IF(D179="SINAPI-S",VLOOKUP(B179,'20-B.SINAPI-S'!A:J,6,0),IF(D179="SINAPI-I",VLOOKUP(B179,'20-A.SINAPI-I'!A:G,7,0),IF(D179="COMPOSIÇÕES",VLOOKUP(B179,'11.COMPOSIÇÕES GERAIS'!B:I,8,0),VLOOKUP(B179,'12.COT.MERCADO'!A:I,8,0)))),"Em Elaboração")</f>
        <v>2.95</v>
      </c>
      <c r="J179" s="259">
        <f t="shared" si="13"/>
        <v>0</v>
      </c>
      <c r="K179" s="259">
        <f t="shared" si="14"/>
        <v>3.455437026</v>
      </c>
      <c r="L179" s="259">
        <f t="shared" si="15"/>
        <v>3.455437026</v>
      </c>
      <c r="M179" s="259">
        <f t="shared" si="16"/>
        <v>0</v>
      </c>
      <c r="N179" s="259">
        <f t="shared" si="17"/>
        <v>10.36631108</v>
      </c>
      <c r="O179" s="259">
        <f t="shared" si="18"/>
        <v>10.36631108</v>
      </c>
      <c r="P179" s="586">
        <f t="shared" si="3"/>
        <v>0.00005650983068</v>
      </c>
    </row>
    <row r="180">
      <c r="A180" s="253" t="s">
        <v>724</v>
      </c>
      <c r="B180" s="254">
        <v>834.0</v>
      </c>
      <c r="C180" s="255" t="str">
        <f t="shared" si="12"/>
        <v>SINAPI</v>
      </c>
      <c r="D180" s="256" t="s">
        <v>286</v>
      </c>
      <c r="E180" s="257" t="str">
        <f>IFERROR(IF(D180="SINAPI-S",VLOOKUP(B180,'20-B.SINAPI-S'!A:J,2,0),IF(D180="SINAPI-I",VLOOKUP(B180,'20-A.SINAPI-I'!A:G,2,0),IF(D180="COMPOSIÇÕES",VLOOKUP(B180,'11.COMPOSIÇÕES GERAIS'!B:I,2,0),VLOOKUP(B180,'12.COT.MERCADO'!A:I,2,0)))),"Em Elaboração")</f>
        <v>BUCHA DE REDUCAO DE PVC, SOLDAVEL, LONGA, COM 40 X 25 MM, PARA AGUA FRIA PREDIAL</v>
      </c>
      <c r="F180" s="258" t="str">
        <f>IFERROR(IF(D180="SINAPI-S",VLOOKUP(B180,'20-B.SINAPI-S'!A:J,3,0),IF(D180="SINAPI-I",VLOOKUP(B180,'20-A.SINAPI-I'!A:G,3,0),IF(D180="COMPOSIÇÕES",VLOOKUP(B180,'11.COMPOSIÇÕES GERAIS'!B:I,3,0),VLOOKUP(B180,'12.COT.MERCADO'!A:I,7,0)))),"Em Elaboração")</f>
        <v>UN</v>
      </c>
      <c r="G180" s="254">
        <v>3.0</v>
      </c>
      <c r="H180" s="259">
        <f>IFERROR(IF(D180="SINAPI-S",VLOOKUP(B180,'20-B.SINAPI-S'!A:J,5,0),IF(D180="SINAPI-I",VLOOKUP(B180,'20-A.SINAPI-I'!A:G,6,0),IF(D180="COMPOSIÇÕES",VLOOKUP(B180,'11.COMPOSIÇÕES GERAIS'!B:I,7,0),0))),"Em Elaboração")</f>
        <v>0</v>
      </c>
      <c r="I180" s="259">
        <f>IFERROR(IF(D180="SINAPI-S",VLOOKUP(B180,'20-B.SINAPI-S'!A:J,6,0),IF(D180="SINAPI-I",VLOOKUP(B180,'20-A.SINAPI-I'!A:G,7,0),IF(D180="COMPOSIÇÕES",VLOOKUP(B180,'11.COMPOSIÇÕES GERAIS'!B:I,8,0),VLOOKUP(B180,'12.COT.MERCADO'!A:I,8,0)))),"Em Elaboração")</f>
        <v>3.82</v>
      </c>
      <c r="J180" s="259">
        <f t="shared" si="13"/>
        <v>0</v>
      </c>
      <c r="K180" s="259">
        <f t="shared" si="14"/>
        <v>4.474498115</v>
      </c>
      <c r="L180" s="259">
        <f t="shared" si="15"/>
        <v>4.474498115</v>
      </c>
      <c r="M180" s="259">
        <f t="shared" si="16"/>
        <v>0</v>
      </c>
      <c r="N180" s="259">
        <f t="shared" si="17"/>
        <v>13.42349435</v>
      </c>
      <c r="O180" s="259">
        <f t="shared" si="18"/>
        <v>13.42349435</v>
      </c>
      <c r="P180" s="586">
        <f t="shared" si="3"/>
        <v>0.00007317544176</v>
      </c>
    </row>
    <row r="181">
      <c r="A181" s="253" t="s">
        <v>725</v>
      </c>
      <c r="B181" s="254">
        <v>813.0</v>
      </c>
      <c r="C181" s="255" t="str">
        <f t="shared" si="12"/>
        <v>SINAPI</v>
      </c>
      <c r="D181" s="256" t="s">
        <v>286</v>
      </c>
      <c r="E181" s="257" t="str">
        <f>IFERROR(IF(D181="SINAPI-S",VLOOKUP(B181,'20-B.SINAPI-S'!A:J,2,0),IF(D181="SINAPI-I",VLOOKUP(B181,'20-A.SINAPI-I'!A:G,2,0),IF(D181="COMPOSIÇÕES",VLOOKUP(B181,'11.COMPOSIÇÕES GERAIS'!B:I,2,0),VLOOKUP(B181,'12.COT.MERCADO'!A:I,2,0)))),"Em Elaboração")</f>
        <v>BUCHA DE REDUCAO DE PVC, SOLDAVEL, LONGA, COM 50 X 25 MM, PARA AGUA FRIA PREDIAL</v>
      </c>
      <c r="F181" s="258" t="str">
        <f>IFERROR(IF(D181="SINAPI-S",VLOOKUP(B181,'20-B.SINAPI-S'!A:J,3,0),IF(D181="SINAPI-I",VLOOKUP(B181,'20-A.SINAPI-I'!A:G,3,0),IF(D181="COMPOSIÇÕES",VLOOKUP(B181,'11.COMPOSIÇÕES GERAIS'!B:I,3,0),VLOOKUP(B181,'12.COT.MERCADO'!A:I,7,0)))),"Em Elaboração")</f>
        <v>UN</v>
      </c>
      <c r="G181" s="254">
        <v>3.0</v>
      </c>
      <c r="H181" s="259">
        <f>IFERROR(IF(D181="SINAPI-S",VLOOKUP(B181,'20-B.SINAPI-S'!A:J,5,0),IF(D181="SINAPI-I",VLOOKUP(B181,'20-A.SINAPI-I'!A:G,6,0),IF(D181="COMPOSIÇÕES",VLOOKUP(B181,'11.COMPOSIÇÕES GERAIS'!B:I,7,0),0))),"Em Elaboração")</f>
        <v>0</v>
      </c>
      <c r="I181" s="259">
        <f>IFERROR(IF(D181="SINAPI-S",VLOOKUP(B181,'20-B.SINAPI-S'!A:J,6,0),IF(D181="SINAPI-I",VLOOKUP(B181,'20-A.SINAPI-I'!A:G,7,0),IF(D181="COMPOSIÇÕES",VLOOKUP(B181,'11.COMPOSIÇÕES GERAIS'!B:I,8,0),VLOOKUP(B181,'12.COT.MERCADO'!A:I,8,0)))),"Em Elaboração")</f>
        <v>4.44</v>
      </c>
      <c r="J181" s="259">
        <f t="shared" si="13"/>
        <v>0</v>
      </c>
      <c r="K181" s="259">
        <f t="shared" si="14"/>
        <v>5.200725558</v>
      </c>
      <c r="L181" s="259">
        <f t="shared" si="15"/>
        <v>5.200725558</v>
      </c>
      <c r="M181" s="259">
        <f t="shared" si="16"/>
        <v>0</v>
      </c>
      <c r="N181" s="259">
        <f t="shared" si="17"/>
        <v>15.60217667</v>
      </c>
      <c r="O181" s="259">
        <f t="shared" si="18"/>
        <v>15.60217667</v>
      </c>
      <c r="P181" s="586">
        <f t="shared" si="3"/>
        <v>0.00008505208414</v>
      </c>
    </row>
    <row r="182">
      <c r="A182" s="253" t="s">
        <v>726</v>
      </c>
      <c r="B182" s="254">
        <v>816.0</v>
      </c>
      <c r="C182" s="255" t="str">
        <f t="shared" si="12"/>
        <v>SINAPI</v>
      </c>
      <c r="D182" s="256" t="s">
        <v>286</v>
      </c>
      <c r="E182" s="257" t="str">
        <f>IFERROR(IF(D182="SINAPI-S",VLOOKUP(B182,'20-B.SINAPI-S'!A:J,2,0),IF(D182="SINAPI-I",VLOOKUP(B182,'20-A.SINAPI-I'!A:G,2,0),IF(D182="COMPOSIÇÕES",VLOOKUP(B182,'11.COMPOSIÇÕES GERAIS'!B:I,2,0),VLOOKUP(B182,'12.COT.MERCADO'!A:I,2,0)))),"Em Elaboração")</f>
        <v>BUCHA DE REDUCAO DE PVC, SOLDAVEL, LONGA, COM 60 X 25 MM, PARA AGUA FRIA PREDIAL</v>
      </c>
      <c r="F182" s="258" t="str">
        <f>IFERROR(IF(D182="SINAPI-S",VLOOKUP(B182,'20-B.SINAPI-S'!A:J,3,0),IF(D182="SINAPI-I",VLOOKUP(B182,'20-A.SINAPI-I'!A:G,3,0),IF(D182="COMPOSIÇÕES",VLOOKUP(B182,'11.COMPOSIÇÕES GERAIS'!B:I,3,0),VLOOKUP(B182,'12.COT.MERCADO'!A:I,7,0)))),"Em Elaboração")</f>
        <v>UN</v>
      </c>
      <c r="G182" s="254">
        <v>3.0</v>
      </c>
      <c r="H182" s="259">
        <f>IFERROR(IF(D182="SINAPI-S",VLOOKUP(B182,'20-B.SINAPI-S'!A:J,5,0),IF(D182="SINAPI-I",VLOOKUP(B182,'20-A.SINAPI-I'!A:G,6,0),IF(D182="COMPOSIÇÕES",VLOOKUP(B182,'11.COMPOSIÇÕES GERAIS'!B:I,7,0),0))),"Em Elaboração")</f>
        <v>0</v>
      </c>
      <c r="I182" s="259">
        <f>IFERROR(IF(D182="SINAPI-S",VLOOKUP(B182,'20-B.SINAPI-S'!A:J,6,0),IF(D182="SINAPI-I",VLOOKUP(B182,'20-A.SINAPI-I'!A:G,7,0),IF(D182="COMPOSIÇÕES",VLOOKUP(B182,'11.COMPOSIÇÕES GERAIS'!B:I,8,0),VLOOKUP(B182,'12.COT.MERCADO'!A:I,8,0)))),"Em Elaboração")</f>
        <v>10.66</v>
      </c>
      <c r="J182" s="259">
        <f t="shared" si="13"/>
        <v>0</v>
      </c>
      <c r="K182" s="259">
        <f t="shared" si="14"/>
        <v>12.48642668</v>
      </c>
      <c r="L182" s="259">
        <f t="shared" si="15"/>
        <v>12.48642668</v>
      </c>
      <c r="M182" s="259">
        <f t="shared" si="16"/>
        <v>0</v>
      </c>
      <c r="N182" s="259">
        <f t="shared" si="17"/>
        <v>37.45928003</v>
      </c>
      <c r="O182" s="259">
        <f t="shared" si="18"/>
        <v>37.45928003</v>
      </c>
      <c r="P182" s="586">
        <f t="shared" si="3"/>
        <v>0.0002042016254</v>
      </c>
    </row>
    <row r="183">
      <c r="A183" s="253" t="s">
        <v>727</v>
      </c>
      <c r="B183" s="254">
        <v>814.0</v>
      </c>
      <c r="C183" s="255" t="str">
        <f t="shared" si="12"/>
        <v>SINAPI</v>
      </c>
      <c r="D183" s="256" t="s">
        <v>286</v>
      </c>
      <c r="E183" s="257" t="str">
        <f>IFERROR(IF(D183="SINAPI-S",VLOOKUP(B183,'20-B.SINAPI-S'!A:J,2,0),IF(D183="SINAPI-I",VLOOKUP(B183,'20-A.SINAPI-I'!A:G,2,0),IF(D183="COMPOSIÇÕES",VLOOKUP(B183,'11.COMPOSIÇÕES GERAIS'!B:I,2,0),VLOOKUP(B183,'12.COT.MERCADO'!A:I,2,0)))),"Em Elaboração")</f>
        <v>BUCHA DE REDUCAO DE PVC, SOLDAVEL, LONGA, COM 60 X 32 MM, PARA AGUA FRIA PREDIAL</v>
      </c>
      <c r="F183" s="258" t="str">
        <f>IFERROR(IF(D183="SINAPI-S",VLOOKUP(B183,'20-B.SINAPI-S'!A:J,3,0),IF(D183="SINAPI-I",VLOOKUP(B183,'20-A.SINAPI-I'!A:G,3,0),IF(D183="COMPOSIÇÕES",VLOOKUP(B183,'11.COMPOSIÇÕES GERAIS'!B:I,3,0),VLOOKUP(B183,'12.COT.MERCADO'!A:I,7,0)))),"Em Elaboração")</f>
        <v>UN</v>
      </c>
      <c r="G183" s="254">
        <v>3.0</v>
      </c>
      <c r="H183" s="259">
        <f>IFERROR(IF(D183="SINAPI-S",VLOOKUP(B183,'20-B.SINAPI-S'!A:J,5,0),IF(D183="SINAPI-I",VLOOKUP(B183,'20-A.SINAPI-I'!A:G,6,0),IF(D183="COMPOSIÇÕES",VLOOKUP(B183,'11.COMPOSIÇÕES GERAIS'!B:I,7,0),0))),"Em Elaboração")</f>
        <v>0</v>
      </c>
      <c r="I183" s="259">
        <f>IFERROR(IF(D183="SINAPI-S",VLOOKUP(B183,'20-B.SINAPI-S'!A:J,6,0),IF(D183="SINAPI-I",VLOOKUP(B183,'20-A.SINAPI-I'!A:G,7,0),IF(D183="COMPOSIÇÕES",VLOOKUP(B183,'11.COMPOSIÇÕES GERAIS'!B:I,8,0),VLOOKUP(B183,'12.COT.MERCADO'!A:I,8,0)))),"Em Elaboração")</f>
        <v>13.24</v>
      </c>
      <c r="J183" s="259">
        <f t="shared" si="13"/>
        <v>0</v>
      </c>
      <c r="K183" s="259">
        <f t="shared" si="14"/>
        <v>15.50846991</v>
      </c>
      <c r="L183" s="259">
        <f t="shared" si="15"/>
        <v>15.50846991</v>
      </c>
      <c r="M183" s="259">
        <f t="shared" si="16"/>
        <v>0</v>
      </c>
      <c r="N183" s="259">
        <f t="shared" si="17"/>
        <v>46.52540972</v>
      </c>
      <c r="O183" s="259">
        <f t="shared" si="18"/>
        <v>46.52540972</v>
      </c>
      <c r="P183" s="586">
        <f t="shared" si="3"/>
        <v>0.0002536237824</v>
      </c>
    </row>
    <row r="184">
      <c r="A184" s="253" t="s">
        <v>728</v>
      </c>
      <c r="B184" s="254">
        <v>822.0</v>
      </c>
      <c r="C184" s="255" t="str">
        <f t="shared" si="12"/>
        <v>SINAPI</v>
      </c>
      <c r="D184" s="256" t="s">
        <v>286</v>
      </c>
      <c r="E184" s="257" t="str">
        <f>IFERROR(IF(D184="SINAPI-S",VLOOKUP(B184,'20-B.SINAPI-S'!A:J,2,0),IF(D184="SINAPI-I",VLOOKUP(B184,'20-A.SINAPI-I'!A:G,2,0),IF(D184="COMPOSIÇÕES",VLOOKUP(B184,'11.COMPOSIÇÕES GERAIS'!B:I,2,0),VLOOKUP(B184,'12.COT.MERCADO'!A:I,2,0)))),"Em Elaboração")</f>
        <v>BUCHA DE REDUCAO DE PVC, SOLDAVEL, LONGA, COM 60 X 50 MM, PARA AGUA FRIA PREDIAL</v>
      </c>
      <c r="F184" s="258" t="str">
        <f>IFERROR(IF(D184="SINAPI-S",VLOOKUP(B184,'20-B.SINAPI-S'!A:J,3,0),IF(D184="SINAPI-I",VLOOKUP(B184,'20-A.SINAPI-I'!A:G,3,0),IF(D184="COMPOSIÇÕES",VLOOKUP(B184,'11.COMPOSIÇÕES GERAIS'!B:I,3,0),VLOOKUP(B184,'12.COT.MERCADO'!A:I,7,0)))),"Em Elaboração")</f>
        <v>UN</v>
      </c>
      <c r="G184" s="254">
        <v>3.0</v>
      </c>
      <c r="H184" s="259">
        <f>IFERROR(IF(D184="SINAPI-S",VLOOKUP(B184,'20-B.SINAPI-S'!A:J,5,0),IF(D184="SINAPI-I",VLOOKUP(B184,'20-A.SINAPI-I'!A:G,6,0),IF(D184="COMPOSIÇÕES",VLOOKUP(B184,'11.COMPOSIÇÕES GERAIS'!B:I,7,0),0))),"Em Elaboração")</f>
        <v>0</v>
      </c>
      <c r="I184" s="259">
        <f>IFERROR(IF(D184="SINAPI-S",VLOOKUP(B184,'20-B.SINAPI-S'!A:J,6,0),IF(D184="SINAPI-I",VLOOKUP(B184,'20-A.SINAPI-I'!A:G,7,0),IF(D184="COMPOSIÇÕES",VLOOKUP(B184,'11.COMPOSIÇÕES GERAIS'!B:I,8,0),VLOOKUP(B184,'12.COT.MERCADO'!A:I,8,0)))),"Em Elaboração")</f>
        <v>17.28</v>
      </c>
      <c r="J184" s="259">
        <f t="shared" si="13"/>
        <v>0</v>
      </c>
      <c r="K184" s="259">
        <f t="shared" si="14"/>
        <v>20.24066163</v>
      </c>
      <c r="L184" s="259">
        <f t="shared" si="15"/>
        <v>20.24066163</v>
      </c>
      <c r="M184" s="259">
        <f t="shared" si="16"/>
        <v>0</v>
      </c>
      <c r="N184" s="259">
        <f t="shared" si="17"/>
        <v>60.72198489</v>
      </c>
      <c r="O184" s="259">
        <f t="shared" si="18"/>
        <v>60.72198489</v>
      </c>
      <c r="P184" s="586">
        <f t="shared" si="3"/>
        <v>0.0003310135167</v>
      </c>
    </row>
    <row r="185">
      <c r="A185" s="253" t="s">
        <v>729</v>
      </c>
      <c r="B185" s="254">
        <v>11868.0</v>
      </c>
      <c r="C185" s="255" t="str">
        <f t="shared" si="12"/>
        <v>SINAPI</v>
      </c>
      <c r="D185" s="256" t="s">
        <v>286</v>
      </c>
      <c r="E185" s="257" t="str">
        <f>IFERROR(IF(D185="SINAPI-S",VLOOKUP(B185,'20-B.SINAPI-S'!A:J,2,0),IF(D185="SINAPI-I",VLOOKUP(B185,'20-A.SINAPI-I'!A:G,2,0),IF(D185="COMPOSIÇÕES",VLOOKUP(B185,'11.COMPOSIÇÕES GERAIS'!B:I,2,0),VLOOKUP(B185,'12.COT.MERCADO'!A:I,2,0)))),"Em Elaboração")</f>
        <v>CAIXA D'AGUA / RESERVATORIO EM POLIESTER REFORCADO COM FIBRA DE VIDRO,1000 LITROS, COM TAMPA</v>
      </c>
      <c r="F185" s="258" t="str">
        <f>IFERROR(IF(D185="SINAPI-S",VLOOKUP(B185,'20-B.SINAPI-S'!A:J,3,0),IF(D185="SINAPI-I",VLOOKUP(B185,'20-A.SINAPI-I'!A:G,3,0),IF(D185="COMPOSIÇÕES",VLOOKUP(B185,'11.COMPOSIÇÕES GERAIS'!B:I,3,0),VLOOKUP(B185,'12.COT.MERCADO'!A:I,7,0)))),"Em Elaboração")</f>
        <v>UN</v>
      </c>
      <c r="G185" s="254">
        <v>3.0</v>
      </c>
      <c r="H185" s="259">
        <f>IFERROR(IF(D185="SINAPI-S",VLOOKUP(B185,'20-B.SINAPI-S'!A:J,5,0),IF(D185="SINAPI-I",VLOOKUP(B185,'20-A.SINAPI-I'!A:G,6,0),IF(D185="COMPOSIÇÕES",VLOOKUP(B185,'11.COMPOSIÇÕES GERAIS'!B:I,7,0),0))),"Em Elaboração")</f>
        <v>0</v>
      </c>
      <c r="I185" s="259">
        <f>IFERROR(IF(D185="SINAPI-S",VLOOKUP(B185,'20-B.SINAPI-S'!A:J,6,0),IF(D185="SINAPI-I",VLOOKUP(B185,'20-A.SINAPI-I'!A:G,7,0),IF(D185="COMPOSIÇÕES",VLOOKUP(B185,'11.COMPOSIÇÕES GERAIS'!B:I,8,0),VLOOKUP(B185,'12.COT.MERCADO'!A:I,8,0)))),"Em Elaboração")</f>
        <v>667.06</v>
      </c>
      <c r="J185" s="259">
        <f t="shared" si="13"/>
        <v>0</v>
      </c>
      <c r="K185" s="259">
        <f t="shared" si="14"/>
        <v>781.3504484</v>
      </c>
      <c r="L185" s="259">
        <f t="shared" si="15"/>
        <v>781.3504484</v>
      </c>
      <c r="M185" s="259">
        <f t="shared" si="16"/>
        <v>0</v>
      </c>
      <c r="N185" s="259">
        <f t="shared" si="17"/>
        <v>2344.051345</v>
      </c>
      <c r="O185" s="259">
        <f t="shared" si="18"/>
        <v>2344.051345</v>
      </c>
      <c r="P185" s="586">
        <f t="shared" si="3"/>
        <v>0.01277811785</v>
      </c>
    </row>
    <row r="186">
      <c r="A186" s="253" t="s">
        <v>730</v>
      </c>
      <c r="B186" s="254">
        <v>11712.0</v>
      </c>
      <c r="C186" s="255" t="str">
        <f t="shared" si="12"/>
        <v>SINAPI</v>
      </c>
      <c r="D186" s="256" t="s">
        <v>286</v>
      </c>
      <c r="E186" s="257" t="str">
        <f>IFERROR(IF(D186="SINAPI-S",VLOOKUP(B186,'20-B.SINAPI-S'!A:J,2,0),IF(D186="SINAPI-I",VLOOKUP(B186,'20-A.SINAPI-I'!A:G,2,0),IF(D186="COMPOSIÇÕES",VLOOKUP(B186,'11.COMPOSIÇÕES GERAIS'!B:I,2,0),VLOOKUP(B186,'12.COT.MERCADO'!A:I,2,0)))),"Em Elaboração")</f>
        <v>CAIXA SIFONADA, PVC, 150 X 150 X 50 MM, COM GRELHA QUADRADA, BRANCA (NBR 5688)</v>
      </c>
      <c r="F186" s="258" t="str">
        <f>IFERROR(IF(D186="SINAPI-S",VLOOKUP(B186,'20-B.SINAPI-S'!A:J,3,0),IF(D186="SINAPI-I",VLOOKUP(B186,'20-A.SINAPI-I'!A:G,3,0),IF(D186="COMPOSIÇÕES",VLOOKUP(B186,'11.COMPOSIÇÕES GERAIS'!B:I,3,0),VLOOKUP(B186,'12.COT.MERCADO'!A:I,7,0)))),"Em Elaboração")</f>
        <v>UN</v>
      </c>
      <c r="G186" s="254">
        <v>4.0</v>
      </c>
      <c r="H186" s="259">
        <f>IFERROR(IF(D186="SINAPI-S",VLOOKUP(B186,'20-B.SINAPI-S'!A:J,5,0),IF(D186="SINAPI-I",VLOOKUP(B186,'20-A.SINAPI-I'!A:G,6,0),IF(D186="COMPOSIÇÕES",VLOOKUP(B186,'11.COMPOSIÇÕES GERAIS'!B:I,7,0),0))),"Em Elaboração")</f>
        <v>0</v>
      </c>
      <c r="I186" s="259">
        <f>IFERROR(IF(D186="SINAPI-S",VLOOKUP(B186,'20-B.SINAPI-S'!A:J,6,0),IF(D186="SINAPI-I",VLOOKUP(B186,'20-A.SINAPI-I'!A:G,7,0),IF(D186="COMPOSIÇÕES",VLOOKUP(B186,'11.COMPOSIÇÕES GERAIS'!B:I,8,0),VLOOKUP(B186,'12.COT.MERCADO'!A:I,8,0)))),"Em Elaboração")</f>
        <v>43.65</v>
      </c>
      <c r="J186" s="259">
        <f t="shared" si="13"/>
        <v>0</v>
      </c>
      <c r="K186" s="259">
        <f t="shared" si="14"/>
        <v>51.12875464</v>
      </c>
      <c r="L186" s="259">
        <f t="shared" si="15"/>
        <v>51.12875464</v>
      </c>
      <c r="M186" s="259">
        <f t="shared" si="16"/>
        <v>0</v>
      </c>
      <c r="N186" s="259">
        <f t="shared" si="17"/>
        <v>204.5150186</v>
      </c>
      <c r="O186" s="259">
        <f t="shared" si="18"/>
        <v>204.5150186</v>
      </c>
      <c r="P186" s="586">
        <f t="shared" si="3"/>
        <v>0.001114871914</v>
      </c>
    </row>
    <row r="187">
      <c r="A187" s="253" t="s">
        <v>731</v>
      </c>
      <c r="B187" s="254">
        <v>11880.0</v>
      </c>
      <c r="C187" s="255" t="str">
        <f t="shared" si="12"/>
        <v>SINAPI</v>
      </c>
      <c r="D187" s="256" t="s">
        <v>286</v>
      </c>
      <c r="E187" s="257" t="str">
        <f>IFERROR(IF(D187="SINAPI-S",VLOOKUP(B187,'20-B.SINAPI-S'!A:J,2,0),IF(D187="SINAPI-I",VLOOKUP(B187,'20-A.SINAPI-I'!A:G,2,0),IF(D187="COMPOSIÇÕES",VLOOKUP(B187,'11.COMPOSIÇÕES GERAIS'!B:I,2,0),VLOOKUP(B187,'12.COT.MERCADO'!A:I,2,0)))),"Em Elaboração")</f>
        <v>CAIXA SIFONADA PVC, 250 X 230 X 75 MM, COM TAMPA CEGA QUADRADA, BRANCA</v>
      </c>
      <c r="F187" s="258" t="str">
        <f>IFERROR(IF(D187="SINAPI-S",VLOOKUP(B187,'20-B.SINAPI-S'!A:J,3,0),IF(D187="SINAPI-I",VLOOKUP(B187,'20-A.SINAPI-I'!A:G,3,0),IF(D187="COMPOSIÇÕES",VLOOKUP(B187,'11.COMPOSIÇÕES GERAIS'!B:I,3,0),VLOOKUP(B187,'12.COT.MERCADO'!A:I,7,0)))),"Em Elaboração")</f>
        <v>UN</v>
      </c>
      <c r="G187" s="254">
        <v>4.0</v>
      </c>
      <c r="H187" s="259">
        <f>IFERROR(IF(D187="SINAPI-S",VLOOKUP(B187,'20-B.SINAPI-S'!A:J,5,0),IF(D187="SINAPI-I",VLOOKUP(B187,'20-A.SINAPI-I'!A:G,6,0),IF(D187="COMPOSIÇÕES",VLOOKUP(B187,'11.COMPOSIÇÕES GERAIS'!B:I,7,0),0))),"Em Elaboração")</f>
        <v>0</v>
      </c>
      <c r="I187" s="259">
        <f>IFERROR(IF(D187="SINAPI-S",VLOOKUP(B187,'20-B.SINAPI-S'!A:J,6,0),IF(D187="SINAPI-I",VLOOKUP(B187,'20-A.SINAPI-I'!A:G,7,0),IF(D187="COMPOSIÇÕES",VLOOKUP(B187,'11.COMPOSIÇÕES GERAIS'!B:I,8,0),VLOOKUP(B187,'12.COT.MERCADO'!A:I,8,0)))),"Em Elaboração")</f>
        <v>98.12</v>
      </c>
      <c r="J187" s="259">
        <f t="shared" si="13"/>
        <v>0</v>
      </c>
      <c r="K187" s="259">
        <f t="shared" si="14"/>
        <v>114.9313495</v>
      </c>
      <c r="L187" s="259">
        <f t="shared" si="15"/>
        <v>114.9313495</v>
      </c>
      <c r="M187" s="259">
        <f t="shared" si="16"/>
        <v>0</v>
      </c>
      <c r="N187" s="259">
        <f t="shared" si="17"/>
        <v>459.725398</v>
      </c>
      <c r="O187" s="259">
        <f t="shared" si="18"/>
        <v>459.725398</v>
      </c>
      <c r="P187" s="586">
        <f t="shared" si="3"/>
        <v>0.002506099248</v>
      </c>
    </row>
    <row r="188">
      <c r="A188" s="253" t="s">
        <v>732</v>
      </c>
      <c r="B188" s="254">
        <v>1030.0</v>
      </c>
      <c r="C188" s="255" t="str">
        <f t="shared" si="12"/>
        <v>SINAPI</v>
      </c>
      <c r="D188" s="256" t="s">
        <v>286</v>
      </c>
      <c r="E188" s="257" t="str">
        <f>IFERROR(IF(D188="SINAPI-S",VLOOKUP(B188,'20-B.SINAPI-S'!A:J,2,0),IF(D188="SINAPI-I",VLOOKUP(B188,'20-A.SINAPI-I'!A:G,2,0),IF(D188="COMPOSIÇÕES",VLOOKUP(B188,'11.COMPOSIÇÕES GERAIS'!B:I,2,0),VLOOKUP(B188,'12.COT.MERCADO'!A:I,2,0)))),"Em Elaboração")</f>
        <v>CAIXA DE DESCARGA DE PLASTICO EXTERNA, DE *9* L, PUXADOR FIO DE NYLON, NAO INCLUSO CANO, BOLSA, ENGATE</v>
      </c>
      <c r="F188" s="258" t="str">
        <f>IFERROR(IF(D188="SINAPI-S",VLOOKUP(B188,'20-B.SINAPI-S'!A:J,3,0),IF(D188="SINAPI-I",VLOOKUP(B188,'20-A.SINAPI-I'!A:G,3,0),IF(D188="COMPOSIÇÕES",VLOOKUP(B188,'11.COMPOSIÇÕES GERAIS'!B:I,3,0),VLOOKUP(B188,'12.COT.MERCADO'!A:I,7,0)))),"Em Elaboração")</f>
        <v>UN</v>
      </c>
      <c r="G188" s="254">
        <v>2.0</v>
      </c>
      <c r="H188" s="259">
        <f>IFERROR(IF(D188="SINAPI-S",VLOOKUP(B188,'20-B.SINAPI-S'!A:J,5,0),IF(D188="SINAPI-I",VLOOKUP(B188,'20-A.SINAPI-I'!A:G,6,0),IF(D188="COMPOSIÇÕES",VLOOKUP(B188,'11.COMPOSIÇÕES GERAIS'!B:I,7,0),0))),"Em Elaboração")</f>
        <v>0</v>
      </c>
      <c r="I188" s="259">
        <f>IFERROR(IF(D188="SINAPI-S",VLOOKUP(B188,'20-B.SINAPI-S'!A:J,6,0),IF(D188="SINAPI-I",VLOOKUP(B188,'20-A.SINAPI-I'!A:G,7,0),IF(D188="COMPOSIÇÕES",VLOOKUP(B188,'11.COMPOSIÇÕES GERAIS'!B:I,8,0),VLOOKUP(B188,'12.COT.MERCADO'!A:I,8,0)))),"Em Elaboração")</f>
        <v>49.34</v>
      </c>
      <c r="J188" s="259">
        <f t="shared" si="13"/>
        <v>0</v>
      </c>
      <c r="K188" s="259">
        <f t="shared" si="14"/>
        <v>57.79364843</v>
      </c>
      <c r="L188" s="259">
        <f t="shared" si="15"/>
        <v>57.79364843</v>
      </c>
      <c r="M188" s="259">
        <f t="shared" si="16"/>
        <v>0</v>
      </c>
      <c r="N188" s="259">
        <f t="shared" si="17"/>
        <v>115.5872969</v>
      </c>
      <c r="O188" s="259">
        <f t="shared" si="18"/>
        <v>115.5872969</v>
      </c>
      <c r="P188" s="586">
        <f t="shared" si="3"/>
        <v>0.0006301005753</v>
      </c>
    </row>
    <row r="189">
      <c r="A189" s="253" t="s">
        <v>733</v>
      </c>
      <c r="B189" s="254">
        <v>5103.0</v>
      </c>
      <c r="C189" s="255" t="str">
        <f t="shared" si="12"/>
        <v>SINAPI</v>
      </c>
      <c r="D189" s="256" t="s">
        <v>286</v>
      </c>
      <c r="E189" s="257" t="str">
        <f>IFERROR(IF(D189="SINAPI-S",VLOOKUP(B189,'20-B.SINAPI-S'!A:J,2,0),IF(D189="SINAPI-I",VLOOKUP(B189,'20-A.SINAPI-I'!A:G,2,0),IF(D189="COMPOSIÇÕES",VLOOKUP(B189,'11.COMPOSIÇÕES GERAIS'!B:I,2,0),VLOOKUP(B189,'12.COT.MERCADO'!A:I,2,0)))),"Em Elaboração")</f>
        <v>CAIXA SIFONADA PVC, 100 X 100 X 50 MM, COM GRELHA REDONDA, BRANCA</v>
      </c>
      <c r="F189" s="258" t="str">
        <f>IFERROR(IF(D189="SINAPI-S",VLOOKUP(B189,'20-B.SINAPI-S'!A:J,3,0),IF(D189="SINAPI-I",VLOOKUP(B189,'20-A.SINAPI-I'!A:G,3,0),IF(D189="COMPOSIÇÕES",VLOOKUP(B189,'11.COMPOSIÇÕES GERAIS'!B:I,3,0),VLOOKUP(B189,'12.COT.MERCADO'!A:I,7,0)))),"Em Elaboração")</f>
        <v>UN</v>
      </c>
      <c r="G189" s="254">
        <v>2.0</v>
      </c>
      <c r="H189" s="259">
        <f>IFERROR(IF(D189="SINAPI-S",VLOOKUP(B189,'20-B.SINAPI-S'!A:J,5,0),IF(D189="SINAPI-I",VLOOKUP(B189,'20-A.SINAPI-I'!A:G,6,0),IF(D189="COMPOSIÇÕES",VLOOKUP(B189,'11.COMPOSIÇÕES GERAIS'!B:I,7,0),0))),"Em Elaboração")</f>
        <v>0</v>
      </c>
      <c r="I189" s="259">
        <f>IFERROR(IF(D189="SINAPI-S",VLOOKUP(B189,'20-B.SINAPI-S'!A:J,6,0),IF(D189="SINAPI-I",VLOOKUP(B189,'20-A.SINAPI-I'!A:G,7,0),IF(D189="COMPOSIÇÕES",VLOOKUP(B189,'11.COMPOSIÇÕES GERAIS'!B:I,8,0),VLOOKUP(B189,'12.COT.MERCADO'!A:I,8,0)))),"Em Elaboração")</f>
        <v>23.33</v>
      </c>
      <c r="J189" s="259">
        <f t="shared" si="13"/>
        <v>0</v>
      </c>
      <c r="K189" s="259">
        <f t="shared" si="14"/>
        <v>27.32723587</v>
      </c>
      <c r="L189" s="259">
        <f t="shared" si="15"/>
        <v>27.32723587</v>
      </c>
      <c r="M189" s="259">
        <f t="shared" si="16"/>
        <v>0</v>
      </c>
      <c r="N189" s="259">
        <f t="shared" si="17"/>
        <v>54.65447174</v>
      </c>
      <c r="O189" s="259">
        <f t="shared" si="18"/>
        <v>54.65447174</v>
      </c>
      <c r="P189" s="586">
        <f t="shared" si="3"/>
        <v>0.0002979377062</v>
      </c>
    </row>
    <row r="190">
      <c r="A190" s="253" t="s">
        <v>734</v>
      </c>
      <c r="B190" s="254">
        <v>40607.0</v>
      </c>
      <c r="C190" s="255" t="str">
        <f t="shared" si="12"/>
        <v>SINAPI</v>
      </c>
      <c r="D190" s="256" t="s">
        <v>286</v>
      </c>
      <c r="E190" s="257" t="str">
        <f>IFERROR(IF(D190="SINAPI-S",VLOOKUP(B190,'20-B.SINAPI-S'!A:J,2,0),IF(D190="SINAPI-I",VLOOKUP(B190,'20-A.SINAPI-I'!A:G,2,0),IF(D190="COMPOSIÇÕES",VLOOKUP(B190,'11.COMPOSIÇÕES GERAIS'!B:I,2,0),VLOOKUP(B190,'12.COT.MERCADO'!A:I,2,0)))),"Em Elaboração")</f>
        <v>CANOPLA ACABAMENTO CROMADO PARA INSTALACAO DE SPRINKLER, SOB FORRO, 15 MM</v>
      </c>
      <c r="F190" s="258" t="str">
        <f>IFERROR(IF(D190="SINAPI-S",VLOOKUP(B190,'20-B.SINAPI-S'!A:J,3,0),IF(D190="SINAPI-I",VLOOKUP(B190,'20-A.SINAPI-I'!A:G,3,0),IF(D190="COMPOSIÇÕES",VLOOKUP(B190,'11.COMPOSIÇÕES GERAIS'!B:I,3,0),VLOOKUP(B190,'12.COT.MERCADO'!A:I,7,0)))),"Em Elaboração")</f>
        <v>UN</v>
      </c>
      <c r="G190" s="254">
        <v>2.0</v>
      </c>
      <c r="H190" s="259">
        <f>IFERROR(IF(D190="SINAPI-S",VLOOKUP(B190,'20-B.SINAPI-S'!A:J,5,0),IF(D190="SINAPI-I",VLOOKUP(B190,'20-A.SINAPI-I'!A:G,6,0),IF(D190="COMPOSIÇÕES",VLOOKUP(B190,'11.COMPOSIÇÕES GERAIS'!B:I,7,0),0))),"Em Elaboração")</f>
        <v>0</v>
      </c>
      <c r="I190" s="259">
        <f>IFERROR(IF(D190="SINAPI-S",VLOOKUP(B190,'20-B.SINAPI-S'!A:J,6,0),IF(D190="SINAPI-I",VLOOKUP(B190,'20-A.SINAPI-I'!A:G,7,0),IF(D190="COMPOSIÇÕES",VLOOKUP(B190,'11.COMPOSIÇÕES GERAIS'!B:I,8,0),VLOOKUP(B190,'12.COT.MERCADO'!A:I,8,0)))),"Em Elaboração")</f>
        <v>7.68</v>
      </c>
      <c r="J190" s="259">
        <f t="shared" si="13"/>
        <v>0</v>
      </c>
      <c r="K190" s="259">
        <f t="shared" si="14"/>
        <v>8.995849614</v>
      </c>
      <c r="L190" s="259">
        <f t="shared" si="15"/>
        <v>8.995849614</v>
      </c>
      <c r="M190" s="259">
        <f t="shared" si="16"/>
        <v>0</v>
      </c>
      <c r="N190" s="259">
        <f t="shared" si="17"/>
        <v>17.99169923</v>
      </c>
      <c r="O190" s="259">
        <f t="shared" si="18"/>
        <v>17.99169923</v>
      </c>
      <c r="P190" s="586">
        <f t="shared" si="3"/>
        <v>0.00009807807901</v>
      </c>
    </row>
    <row r="191">
      <c r="A191" s="253" t="s">
        <v>735</v>
      </c>
      <c r="B191" s="254">
        <v>567.0</v>
      </c>
      <c r="C191" s="255" t="str">
        <f t="shared" si="12"/>
        <v>SINAPI</v>
      </c>
      <c r="D191" s="256" t="s">
        <v>286</v>
      </c>
      <c r="E191" s="257" t="str">
        <f>IFERROR(IF(D191="SINAPI-S",VLOOKUP(B191,'20-B.SINAPI-S'!A:J,2,0),IF(D191="SINAPI-I",VLOOKUP(B191,'20-A.SINAPI-I'!A:G,2,0),IF(D191="COMPOSIÇÕES",VLOOKUP(B191,'11.COMPOSIÇÕES GERAIS'!B:I,2,0),VLOOKUP(B191,'12.COT.MERCADO'!A:I,2,0)))),"Em Elaboração")</f>
        <v>CANTONEIRA (ABAS IGUAIS) EM ACO CARBONO, 25,4 MM X 3,17 MM (L X E), 1,27KG/M</v>
      </c>
      <c r="F191" s="258" t="str">
        <f>IFERROR(IF(D191="SINAPI-S",VLOOKUP(B191,'20-B.SINAPI-S'!A:J,3,0),IF(D191="SINAPI-I",VLOOKUP(B191,'20-A.SINAPI-I'!A:G,3,0),IF(D191="COMPOSIÇÕES",VLOOKUP(B191,'11.COMPOSIÇÕES GERAIS'!B:I,3,0),VLOOKUP(B191,'12.COT.MERCADO'!A:I,7,0)))),"Em Elaboração")</f>
        <v>M</v>
      </c>
      <c r="G191" s="254">
        <v>9.0</v>
      </c>
      <c r="H191" s="259">
        <f>IFERROR(IF(D191="SINAPI-S",VLOOKUP(B191,'20-B.SINAPI-S'!A:J,5,0),IF(D191="SINAPI-I",VLOOKUP(B191,'20-A.SINAPI-I'!A:G,6,0),IF(D191="COMPOSIÇÕES",VLOOKUP(B191,'11.COMPOSIÇÕES GERAIS'!B:I,7,0),0))),"Em Elaboração")</f>
        <v>0</v>
      </c>
      <c r="I191" s="259">
        <f>IFERROR(IF(D191="SINAPI-S",VLOOKUP(B191,'20-B.SINAPI-S'!A:J,6,0),IF(D191="SINAPI-I",VLOOKUP(B191,'20-A.SINAPI-I'!A:G,7,0),IF(D191="COMPOSIÇÕES",VLOOKUP(B191,'11.COMPOSIÇÕES GERAIS'!B:I,8,0),VLOOKUP(B191,'12.COT.MERCADO'!A:I,8,0)))),"Em Elaboração")</f>
        <v>11.96</v>
      </c>
      <c r="J191" s="259">
        <f t="shared" si="13"/>
        <v>0</v>
      </c>
      <c r="K191" s="259">
        <f t="shared" si="14"/>
        <v>14.00916164</v>
      </c>
      <c r="L191" s="259">
        <f t="shared" si="15"/>
        <v>14.00916164</v>
      </c>
      <c r="M191" s="259">
        <f t="shared" si="16"/>
        <v>0</v>
      </c>
      <c r="N191" s="259">
        <f t="shared" si="17"/>
        <v>126.0824547</v>
      </c>
      <c r="O191" s="259">
        <f t="shared" si="18"/>
        <v>126.0824547</v>
      </c>
      <c r="P191" s="586">
        <f t="shared" si="3"/>
        <v>0.0006873127881</v>
      </c>
    </row>
    <row r="192">
      <c r="A192" s="253" t="s">
        <v>736</v>
      </c>
      <c r="B192" s="254">
        <v>1170.0</v>
      </c>
      <c r="C192" s="255" t="str">
        <f t="shared" si="12"/>
        <v>SINAPI</v>
      </c>
      <c r="D192" s="256" t="s">
        <v>286</v>
      </c>
      <c r="E192" s="257" t="str">
        <f>IFERROR(IF(D192="SINAPI-S",VLOOKUP(B192,'20-B.SINAPI-S'!A:J,2,0),IF(D192="SINAPI-I",VLOOKUP(B192,'20-A.SINAPI-I'!A:G,2,0),IF(D192="COMPOSIÇÕES",VLOOKUP(B192,'11.COMPOSIÇÕES GERAIS'!B:I,2,0),VLOOKUP(B192,'12.COT.MERCADO'!A:I,2,0)))),"Em Elaboração")</f>
        <v>CAP OU TAMPAO DE FERRO GALVANIZADO, COM ROSCA BSP, DE 1"</v>
      </c>
      <c r="F192" s="258" t="str">
        <f>IFERROR(IF(D192="SINAPI-S",VLOOKUP(B192,'20-B.SINAPI-S'!A:J,3,0),IF(D192="SINAPI-I",VLOOKUP(B192,'20-A.SINAPI-I'!A:G,3,0),IF(D192="COMPOSIÇÕES",VLOOKUP(B192,'11.COMPOSIÇÕES GERAIS'!B:I,3,0),VLOOKUP(B192,'12.COT.MERCADO'!A:I,7,0)))),"Em Elaboração")</f>
        <v>UN</v>
      </c>
      <c r="G192" s="254">
        <v>2.0</v>
      </c>
      <c r="H192" s="259">
        <f>IFERROR(IF(D192="SINAPI-S",VLOOKUP(B192,'20-B.SINAPI-S'!A:J,5,0),IF(D192="SINAPI-I",VLOOKUP(B192,'20-A.SINAPI-I'!A:G,6,0),IF(D192="COMPOSIÇÕES",VLOOKUP(B192,'11.COMPOSIÇÕES GERAIS'!B:I,7,0),0))),"Em Elaboração")</f>
        <v>0</v>
      </c>
      <c r="I192" s="259">
        <f>IFERROR(IF(D192="SINAPI-S",VLOOKUP(B192,'20-B.SINAPI-S'!A:J,6,0),IF(D192="SINAPI-I",VLOOKUP(B192,'20-A.SINAPI-I'!A:G,7,0),IF(D192="COMPOSIÇÕES",VLOOKUP(B192,'11.COMPOSIÇÕES GERAIS'!B:I,8,0),VLOOKUP(B192,'12.COT.MERCADO'!A:I,8,0)))),"Em Elaboração")</f>
        <v>11.1</v>
      </c>
      <c r="J192" s="259">
        <f t="shared" si="13"/>
        <v>0</v>
      </c>
      <c r="K192" s="259">
        <f t="shared" si="14"/>
        <v>13.00181389</v>
      </c>
      <c r="L192" s="259">
        <f t="shared" si="15"/>
        <v>13.00181389</v>
      </c>
      <c r="M192" s="259">
        <f t="shared" si="16"/>
        <v>0</v>
      </c>
      <c r="N192" s="259">
        <f t="shared" si="17"/>
        <v>26.00362779</v>
      </c>
      <c r="O192" s="259">
        <f t="shared" si="18"/>
        <v>26.00362779</v>
      </c>
      <c r="P192" s="586">
        <f t="shared" si="3"/>
        <v>0.0001417534736</v>
      </c>
    </row>
    <row r="193">
      <c r="A193" s="253" t="s">
        <v>737</v>
      </c>
      <c r="B193" s="254">
        <v>574.0</v>
      </c>
      <c r="C193" s="255" t="str">
        <f t="shared" si="12"/>
        <v>SINAPI</v>
      </c>
      <c r="D193" s="256" t="s">
        <v>286</v>
      </c>
      <c r="E193" s="257" t="str">
        <f>IFERROR(IF(D193="SINAPI-S",VLOOKUP(B193,'20-B.SINAPI-S'!A:J,2,0),IF(D193="SINAPI-I",VLOOKUP(B193,'20-A.SINAPI-I'!A:G,2,0),IF(D193="COMPOSIÇÕES",VLOOKUP(B193,'11.COMPOSIÇÕES GERAIS'!B:I,2,0),VLOOKUP(B193,'12.COT.MERCADO'!A:I,2,0)))),"Em Elaboração")</f>
        <v>CANTONEIRA (ABAS IGUAIS) EM ACO CARBONO, 38,1 MM X 3,17 MM (L X E), 3,48 KG/M</v>
      </c>
      <c r="F193" s="258" t="str">
        <f>IFERROR(IF(D193="SINAPI-S",VLOOKUP(B193,'20-B.SINAPI-S'!A:J,3,0),IF(D193="SINAPI-I",VLOOKUP(B193,'20-A.SINAPI-I'!A:G,3,0),IF(D193="COMPOSIÇÕES",VLOOKUP(B193,'11.COMPOSIÇÕES GERAIS'!B:I,3,0),VLOOKUP(B193,'12.COT.MERCADO'!A:I,7,0)))),"Em Elaboração")</f>
        <v>M</v>
      </c>
      <c r="G193" s="254">
        <v>2.0</v>
      </c>
      <c r="H193" s="259">
        <f>IFERROR(IF(D193="SINAPI-S",VLOOKUP(B193,'20-B.SINAPI-S'!A:J,5,0),IF(D193="SINAPI-I",VLOOKUP(B193,'20-A.SINAPI-I'!A:G,6,0),IF(D193="COMPOSIÇÕES",VLOOKUP(B193,'11.COMPOSIÇÕES GERAIS'!B:I,7,0),0))),"Em Elaboração")</f>
        <v>0</v>
      </c>
      <c r="I193" s="259">
        <f>IFERROR(IF(D193="SINAPI-S",VLOOKUP(B193,'20-B.SINAPI-S'!A:J,6,0),IF(D193="SINAPI-I",VLOOKUP(B193,'20-A.SINAPI-I'!A:G,7,0),IF(D193="COMPOSIÇÕES",VLOOKUP(B193,'11.COMPOSIÇÕES GERAIS'!B:I,8,0),VLOOKUP(B193,'12.COT.MERCADO'!A:I,8,0)))),"Em Elaboração")</f>
        <v>31.44</v>
      </c>
      <c r="J193" s="259">
        <f t="shared" si="13"/>
        <v>0</v>
      </c>
      <c r="K193" s="259">
        <f t="shared" si="14"/>
        <v>36.82675936</v>
      </c>
      <c r="L193" s="259">
        <f t="shared" si="15"/>
        <v>36.82675936</v>
      </c>
      <c r="M193" s="259">
        <f t="shared" si="16"/>
        <v>0</v>
      </c>
      <c r="N193" s="259">
        <f t="shared" si="17"/>
        <v>73.65351871</v>
      </c>
      <c r="O193" s="259">
        <f t="shared" si="18"/>
        <v>73.65351871</v>
      </c>
      <c r="P193" s="586">
        <f t="shared" si="3"/>
        <v>0.000401507136</v>
      </c>
    </row>
    <row r="194">
      <c r="A194" s="253" t="s">
        <v>738</v>
      </c>
      <c r="B194" s="254">
        <v>20088.0</v>
      </c>
      <c r="C194" s="255" t="str">
        <f t="shared" si="12"/>
        <v>SINAPI</v>
      </c>
      <c r="D194" s="256" t="s">
        <v>286</v>
      </c>
      <c r="E194" s="257" t="str">
        <f>IFERROR(IF(D194="SINAPI-S",VLOOKUP(B194,'20-B.SINAPI-S'!A:J,2,0),IF(D194="SINAPI-I",VLOOKUP(B194,'20-A.SINAPI-I'!A:G,2,0),IF(D194="COMPOSIÇÕES",VLOOKUP(B194,'11.COMPOSIÇÕES GERAIS'!B:I,2,0),VLOOKUP(B194,'12.COT.MERCADO'!A:I,2,0)))),"Em Elaboração")</f>
        <v>CAP PVC, SERIE R, DN 100 MM, PARA ESGOTO PREDIAL</v>
      </c>
      <c r="F194" s="258" t="str">
        <f>IFERROR(IF(D194="SINAPI-S",VLOOKUP(B194,'20-B.SINAPI-S'!A:J,3,0),IF(D194="SINAPI-I",VLOOKUP(B194,'20-A.SINAPI-I'!A:G,3,0),IF(D194="COMPOSIÇÕES",VLOOKUP(B194,'11.COMPOSIÇÕES GERAIS'!B:I,3,0),VLOOKUP(B194,'12.COT.MERCADO'!A:I,7,0)))),"Em Elaboração")</f>
        <v>UN</v>
      </c>
      <c r="G194" s="254">
        <v>2.0</v>
      </c>
      <c r="H194" s="259">
        <f>IFERROR(IF(D194="SINAPI-S",VLOOKUP(B194,'20-B.SINAPI-S'!A:J,5,0),IF(D194="SINAPI-I",VLOOKUP(B194,'20-A.SINAPI-I'!A:G,6,0),IF(D194="COMPOSIÇÕES",VLOOKUP(B194,'11.COMPOSIÇÕES GERAIS'!B:I,7,0),0))),"Em Elaboração")</f>
        <v>0</v>
      </c>
      <c r="I194" s="259">
        <f>IFERROR(IF(D194="SINAPI-S",VLOOKUP(B194,'20-B.SINAPI-S'!A:J,6,0),IF(D194="SINAPI-I",VLOOKUP(B194,'20-A.SINAPI-I'!A:G,7,0),IF(D194="COMPOSIÇÕES",VLOOKUP(B194,'11.COMPOSIÇÕES GERAIS'!B:I,8,0),VLOOKUP(B194,'12.COT.MERCADO'!A:I,8,0)))),"Em Elaboração")</f>
        <v>14.65</v>
      </c>
      <c r="J194" s="259">
        <f t="shared" si="13"/>
        <v>0</v>
      </c>
      <c r="K194" s="259">
        <f t="shared" si="14"/>
        <v>17.16005167</v>
      </c>
      <c r="L194" s="259">
        <f t="shared" si="15"/>
        <v>17.16005167</v>
      </c>
      <c r="M194" s="259">
        <f t="shared" si="16"/>
        <v>0</v>
      </c>
      <c r="N194" s="259">
        <f t="shared" si="17"/>
        <v>34.32010334</v>
      </c>
      <c r="O194" s="259">
        <f t="shared" si="18"/>
        <v>34.32010334</v>
      </c>
      <c r="P194" s="586">
        <f t="shared" si="3"/>
        <v>0.0001870890439</v>
      </c>
    </row>
    <row r="195">
      <c r="A195" s="253" t="s">
        <v>739</v>
      </c>
      <c r="B195" s="254">
        <v>20089.0</v>
      </c>
      <c r="C195" s="255" t="str">
        <f t="shared" si="12"/>
        <v>SINAPI</v>
      </c>
      <c r="D195" s="256" t="s">
        <v>286</v>
      </c>
      <c r="E195" s="257" t="str">
        <f>IFERROR(IF(D195="SINAPI-S",VLOOKUP(B195,'20-B.SINAPI-S'!A:J,2,0),IF(D195="SINAPI-I",VLOOKUP(B195,'20-A.SINAPI-I'!A:G,2,0),IF(D195="COMPOSIÇÕES",VLOOKUP(B195,'11.COMPOSIÇÕES GERAIS'!B:I,2,0),VLOOKUP(B195,'12.COT.MERCADO'!A:I,2,0)))),"Em Elaboração")</f>
        <v>CAP PVC, SERIE R, DN 150 MM, PARA ESGOTO PREDIAL</v>
      </c>
      <c r="F195" s="258" t="str">
        <f>IFERROR(IF(D195="SINAPI-S",VLOOKUP(B195,'20-B.SINAPI-S'!A:J,3,0),IF(D195="SINAPI-I",VLOOKUP(B195,'20-A.SINAPI-I'!A:G,3,0),IF(D195="COMPOSIÇÕES",VLOOKUP(B195,'11.COMPOSIÇÕES GERAIS'!B:I,3,0),VLOOKUP(B195,'12.COT.MERCADO'!A:I,7,0)))),"Em Elaboração")</f>
        <v>UN</v>
      </c>
      <c r="G195" s="254">
        <v>2.0</v>
      </c>
      <c r="H195" s="259">
        <f>IFERROR(IF(D195="SINAPI-S",VLOOKUP(B195,'20-B.SINAPI-S'!A:J,5,0),IF(D195="SINAPI-I",VLOOKUP(B195,'20-A.SINAPI-I'!A:G,6,0),IF(D195="COMPOSIÇÕES",VLOOKUP(B195,'11.COMPOSIÇÕES GERAIS'!B:I,7,0),0))),"Em Elaboração")</f>
        <v>0</v>
      </c>
      <c r="I195" s="259">
        <f>IFERROR(IF(D195="SINAPI-S",VLOOKUP(B195,'20-B.SINAPI-S'!A:J,6,0),IF(D195="SINAPI-I",VLOOKUP(B195,'20-A.SINAPI-I'!A:G,7,0),IF(D195="COMPOSIÇÕES",VLOOKUP(B195,'11.COMPOSIÇÕES GERAIS'!B:I,8,0),VLOOKUP(B195,'12.COT.MERCADO'!A:I,8,0)))),"Em Elaboração")</f>
        <v>71.84</v>
      </c>
      <c r="J195" s="259">
        <f t="shared" si="13"/>
        <v>0</v>
      </c>
      <c r="K195" s="259">
        <f t="shared" si="14"/>
        <v>84.1486766</v>
      </c>
      <c r="L195" s="259">
        <f t="shared" si="15"/>
        <v>84.1486766</v>
      </c>
      <c r="M195" s="259">
        <f t="shared" si="16"/>
        <v>0</v>
      </c>
      <c r="N195" s="259">
        <f t="shared" si="17"/>
        <v>168.2973532</v>
      </c>
      <c r="O195" s="259">
        <f t="shared" si="18"/>
        <v>168.2973532</v>
      </c>
      <c r="P195" s="586">
        <f t="shared" si="3"/>
        <v>0.0009174386974</v>
      </c>
    </row>
    <row r="196">
      <c r="A196" s="253" t="s">
        <v>740</v>
      </c>
      <c r="B196" s="254">
        <v>20087.0</v>
      </c>
      <c r="C196" s="255" t="str">
        <f t="shared" si="12"/>
        <v>SINAPI</v>
      </c>
      <c r="D196" s="256" t="s">
        <v>286</v>
      </c>
      <c r="E196" s="257" t="str">
        <f>IFERROR(IF(D196="SINAPI-S",VLOOKUP(B196,'20-B.SINAPI-S'!A:J,2,0),IF(D196="SINAPI-I",VLOOKUP(B196,'20-A.SINAPI-I'!A:G,2,0),IF(D196="COMPOSIÇÕES",VLOOKUP(B196,'11.COMPOSIÇÕES GERAIS'!B:I,2,0),VLOOKUP(B196,'12.COT.MERCADO'!A:I,2,0)))),"Em Elaboração")</f>
        <v>CAP PVC, SERIE R, DN 75 MM, PARA ESGOTO PREDIAL</v>
      </c>
      <c r="F196" s="258" t="str">
        <f>IFERROR(IF(D196="SINAPI-S",VLOOKUP(B196,'20-B.SINAPI-S'!A:J,3,0),IF(D196="SINAPI-I",VLOOKUP(B196,'20-A.SINAPI-I'!A:G,3,0),IF(D196="COMPOSIÇÕES",VLOOKUP(B196,'11.COMPOSIÇÕES GERAIS'!B:I,3,0),VLOOKUP(B196,'12.COT.MERCADO'!A:I,7,0)))),"Em Elaboração")</f>
        <v>UN</v>
      </c>
      <c r="G196" s="254">
        <v>2.0</v>
      </c>
      <c r="H196" s="259">
        <f>IFERROR(IF(D196="SINAPI-S",VLOOKUP(B196,'20-B.SINAPI-S'!A:J,5,0),IF(D196="SINAPI-I",VLOOKUP(B196,'20-A.SINAPI-I'!A:G,6,0),IF(D196="COMPOSIÇÕES",VLOOKUP(B196,'11.COMPOSIÇÕES GERAIS'!B:I,7,0),0))),"Em Elaboração")</f>
        <v>0</v>
      </c>
      <c r="I196" s="259">
        <f>IFERROR(IF(D196="SINAPI-S",VLOOKUP(B196,'20-B.SINAPI-S'!A:J,6,0),IF(D196="SINAPI-I",VLOOKUP(B196,'20-A.SINAPI-I'!A:G,7,0),IF(D196="COMPOSIÇÕES",VLOOKUP(B196,'11.COMPOSIÇÕES GERAIS'!B:I,8,0),VLOOKUP(B196,'12.COT.MERCADO'!A:I,8,0)))),"Em Elaboração")</f>
        <v>12.12</v>
      </c>
      <c r="J196" s="259">
        <f t="shared" si="13"/>
        <v>0</v>
      </c>
      <c r="K196" s="259">
        <f t="shared" si="14"/>
        <v>14.19657517</v>
      </c>
      <c r="L196" s="259">
        <f t="shared" si="15"/>
        <v>14.19657517</v>
      </c>
      <c r="M196" s="259">
        <f t="shared" si="16"/>
        <v>0</v>
      </c>
      <c r="N196" s="259">
        <f t="shared" si="17"/>
        <v>28.39315034</v>
      </c>
      <c r="O196" s="259">
        <f t="shared" si="18"/>
        <v>28.39315034</v>
      </c>
      <c r="P196" s="586">
        <f t="shared" si="3"/>
        <v>0.0001547794684</v>
      </c>
    </row>
    <row r="197">
      <c r="A197" s="253" t="s">
        <v>741</v>
      </c>
      <c r="B197" s="254">
        <v>1202.0</v>
      </c>
      <c r="C197" s="255" t="str">
        <f t="shared" si="12"/>
        <v>SINAPI</v>
      </c>
      <c r="D197" s="256" t="s">
        <v>286</v>
      </c>
      <c r="E197" s="257" t="str">
        <f>IFERROR(IF(D197="SINAPI-S",VLOOKUP(B197,'20-B.SINAPI-S'!A:J,2,0),IF(D197="SINAPI-I",VLOOKUP(B197,'20-A.SINAPI-I'!A:G,2,0),IF(D197="COMPOSIÇÕES",VLOOKUP(B197,'11.COMPOSIÇÕES GERAIS'!B:I,2,0),VLOOKUP(B197,'12.COT.MERCADO'!A:I,2,0)))),"Em Elaboração")</f>
        <v>CAP PVC, ROSCAVEL, 1",  PARA AGUA FRIA PREDIAL</v>
      </c>
      <c r="F197" s="258" t="str">
        <f>IFERROR(IF(D197="SINAPI-S",VLOOKUP(B197,'20-B.SINAPI-S'!A:J,3,0),IF(D197="SINAPI-I",VLOOKUP(B197,'20-A.SINAPI-I'!A:G,3,0),IF(D197="COMPOSIÇÕES",VLOOKUP(B197,'11.COMPOSIÇÕES GERAIS'!B:I,3,0),VLOOKUP(B197,'12.COT.MERCADO'!A:I,7,0)))),"Em Elaboração")</f>
        <v>UN</v>
      </c>
      <c r="G197" s="254">
        <v>2.0</v>
      </c>
      <c r="H197" s="259">
        <f>IFERROR(IF(D197="SINAPI-S",VLOOKUP(B197,'20-B.SINAPI-S'!A:J,5,0),IF(D197="SINAPI-I",VLOOKUP(B197,'20-A.SINAPI-I'!A:G,6,0),IF(D197="COMPOSIÇÕES",VLOOKUP(B197,'11.COMPOSIÇÕES GERAIS'!B:I,7,0),0))),"Em Elaboração")</f>
        <v>0</v>
      </c>
      <c r="I197" s="259">
        <f>IFERROR(IF(D197="SINAPI-S",VLOOKUP(B197,'20-B.SINAPI-S'!A:J,6,0),IF(D197="SINAPI-I",VLOOKUP(B197,'20-A.SINAPI-I'!A:G,7,0),IF(D197="COMPOSIÇÕES",VLOOKUP(B197,'11.COMPOSIÇÕES GERAIS'!B:I,8,0),VLOOKUP(B197,'12.COT.MERCADO'!A:I,8,0)))),"Em Elaboração")</f>
        <v>5.21</v>
      </c>
      <c r="J197" s="259">
        <f t="shared" si="13"/>
        <v>0</v>
      </c>
      <c r="K197" s="259">
        <f t="shared" si="14"/>
        <v>6.102653189</v>
      </c>
      <c r="L197" s="259">
        <f t="shared" si="15"/>
        <v>6.102653189</v>
      </c>
      <c r="M197" s="259">
        <f t="shared" si="16"/>
        <v>0</v>
      </c>
      <c r="N197" s="259">
        <f t="shared" si="17"/>
        <v>12.20530638</v>
      </c>
      <c r="O197" s="259">
        <f t="shared" si="18"/>
        <v>12.20530638</v>
      </c>
      <c r="P197" s="586">
        <f t="shared" si="3"/>
        <v>0.0000665347385</v>
      </c>
    </row>
    <row r="198">
      <c r="A198" s="253" t="s">
        <v>742</v>
      </c>
      <c r="B198" s="254">
        <v>1197.0</v>
      </c>
      <c r="C198" s="255" t="str">
        <f t="shared" si="12"/>
        <v>SINAPI</v>
      </c>
      <c r="D198" s="256" t="s">
        <v>286</v>
      </c>
      <c r="E198" s="257" t="str">
        <f>IFERROR(IF(D198="SINAPI-S",VLOOKUP(B198,'20-B.SINAPI-S'!A:J,2,0),IF(D198="SINAPI-I",VLOOKUP(B198,'20-A.SINAPI-I'!A:G,2,0),IF(D198="COMPOSIÇÕES",VLOOKUP(B198,'11.COMPOSIÇÕES GERAIS'!B:I,2,0),VLOOKUP(B198,'12.COT.MERCADO'!A:I,2,0)))),"Em Elaboração")</f>
        <v>CAP PVC, ROSCAVEL, 1/2", PARA AGUA FRIA PREDIAL</v>
      </c>
      <c r="F198" s="258" t="str">
        <f>IFERROR(IF(D198="SINAPI-S",VLOOKUP(B198,'20-B.SINAPI-S'!A:J,3,0),IF(D198="SINAPI-I",VLOOKUP(B198,'20-A.SINAPI-I'!A:G,3,0),IF(D198="COMPOSIÇÕES",VLOOKUP(B198,'11.COMPOSIÇÕES GERAIS'!B:I,3,0),VLOOKUP(B198,'12.COT.MERCADO'!A:I,7,0)))),"Em Elaboração")</f>
        <v>UN</v>
      </c>
      <c r="G198" s="254">
        <v>2.0</v>
      </c>
      <c r="H198" s="259">
        <f>IFERROR(IF(D198="SINAPI-S",VLOOKUP(B198,'20-B.SINAPI-S'!A:J,5,0),IF(D198="SINAPI-I",VLOOKUP(B198,'20-A.SINAPI-I'!A:G,6,0),IF(D198="COMPOSIÇÕES",VLOOKUP(B198,'11.COMPOSIÇÕES GERAIS'!B:I,7,0),0))),"Em Elaboração")</f>
        <v>0</v>
      </c>
      <c r="I198" s="259">
        <f>IFERROR(IF(D198="SINAPI-S",VLOOKUP(B198,'20-B.SINAPI-S'!A:J,6,0),IF(D198="SINAPI-I",VLOOKUP(B198,'20-A.SINAPI-I'!A:G,7,0),IF(D198="COMPOSIÇÕES",VLOOKUP(B198,'11.COMPOSIÇÕES GERAIS'!B:I,8,0),VLOOKUP(B198,'12.COT.MERCADO'!A:I,8,0)))),"Em Elaboração")</f>
        <v>1.84</v>
      </c>
      <c r="J198" s="259">
        <f t="shared" si="13"/>
        <v>0</v>
      </c>
      <c r="K198" s="259">
        <f t="shared" si="14"/>
        <v>2.155255637</v>
      </c>
      <c r="L198" s="259">
        <f t="shared" si="15"/>
        <v>2.155255637</v>
      </c>
      <c r="M198" s="259">
        <f t="shared" si="16"/>
        <v>0</v>
      </c>
      <c r="N198" s="259">
        <f t="shared" si="17"/>
        <v>4.310511273</v>
      </c>
      <c r="O198" s="259">
        <f t="shared" si="18"/>
        <v>4.310511273</v>
      </c>
      <c r="P198" s="586">
        <f t="shared" si="3"/>
        <v>0.0000234978731</v>
      </c>
    </row>
    <row r="199">
      <c r="A199" s="253" t="s">
        <v>743</v>
      </c>
      <c r="B199" s="254">
        <v>1198.0</v>
      </c>
      <c r="C199" s="255" t="str">
        <f t="shared" si="12"/>
        <v>SINAPI</v>
      </c>
      <c r="D199" s="256" t="s">
        <v>286</v>
      </c>
      <c r="E199" s="257" t="str">
        <f>IFERROR(IF(D199="SINAPI-S",VLOOKUP(B199,'20-B.SINAPI-S'!A:J,2,0),IF(D199="SINAPI-I",VLOOKUP(B199,'20-A.SINAPI-I'!A:G,2,0),IF(D199="COMPOSIÇÕES",VLOOKUP(B199,'11.COMPOSIÇÕES GERAIS'!B:I,2,0),VLOOKUP(B199,'12.COT.MERCADO'!A:I,2,0)))),"Em Elaboração")</f>
        <v>CAP PVC, ROSCAVEL, 3/4",  PARA AGUA FRIA PREDIAL</v>
      </c>
      <c r="F199" s="258" t="str">
        <f>IFERROR(IF(D199="SINAPI-S",VLOOKUP(B199,'20-B.SINAPI-S'!A:J,3,0),IF(D199="SINAPI-I",VLOOKUP(B199,'20-A.SINAPI-I'!A:G,3,0),IF(D199="COMPOSIÇÕES",VLOOKUP(B199,'11.COMPOSIÇÕES GERAIS'!B:I,3,0),VLOOKUP(B199,'12.COT.MERCADO'!A:I,7,0)))),"Em Elaboração")</f>
        <v>UN</v>
      </c>
      <c r="G199" s="254">
        <v>2.0</v>
      </c>
      <c r="H199" s="259">
        <f>IFERROR(IF(D199="SINAPI-S",VLOOKUP(B199,'20-B.SINAPI-S'!A:J,5,0),IF(D199="SINAPI-I",VLOOKUP(B199,'20-A.SINAPI-I'!A:G,6,0),IF(D199="COMPOSIÇÕES",VLOOKUP(B199,'11.COMPOSIÇÕES GERAIS'!B:I,7,0),0))),"Em Elaboração")</f>
        <v>0</v>
      </c>
      <c r="I199" s="259">
        <f>IFERROR(IF(D199="SINAPI-S",VLOOKUP(B199,'20-B.SINAPI-S'!A:J,6,0),IF(D199="SINAPI-I",VLOOKUP(B199,'20-A.SINAPI-I'!A:G,7,0),IF(D199="COMPOSIÇÕES",VLOOKUP(B199,'11.COMPOSIÇÕES GERAIS'!B:I,8,0),VLOOKUP(B199,'12.COT.MERCADO'!A:I,8,0)))),"Em Elaboração")</f>
        <v>2.4</v>
      </c>
      <c r="J199" s="259">
        <f t="shared" si="13"/>
        <v>0</v>
      </c>
      <c r="K199" s="259">
        <f t="shared" si="14"/>
        <v>2.811203004</v>
      </c>
      <c r="L199" s="259">
        <f t="shared" si="15"/>
        <v>2.811203004</v>
      </c>
      <c r="M199" s="259">
        <f t="shared" si="16"/>
        <v>0</v>
      </c>
      <c r="N199" s="259">
        <f t="shared" si="17"/>
        <v>5.622406009</v>
      </c>
      <c r="O199" s="259">
        <f t="shared" si="18"/>
        <v>5.622406009</v>
      </c>
      <c r="P199" s="586">
        <f t="shared" si="3"/>
        <v>0.00003064939969</v>
      </c>
    </row>
    <row r="200">
      <c r="A200" s="253" t="s">
        <v>744</v>
      </c>
      <c r="B200" s="254">
        <v>1200.0</v>
      </c>
      <c r="C200" s="255" t="str">
        <f t="shared" si="12"/>
        <v>SINAPI</v>
      </c>
      <c r="D200" s="256" t="s">
        <v>286</v>
      </c>
      <c r="E200" s="257" t="str">
        <f>IFERROR(IF(D200="SINAPI-S",VLOOKUP(B200,'20-B.SINAPI-S'!A:J,2,0),IF(D200="SINAPI-I",VLOOKUP(B200,'20-A.SINAPI-I'!A:G,2,0),IF(D200="COMPOSIÇÕES",VLOOKUP(B200,'11.COMPOSIÇÕES GERAIS'!B:I,2,0),VLOOKUP(B200,'12.COT.MERCADO'!A:I,2,0)))),"Em Elaboração")</f>
        <v>CAP PVC, SOLDAVEL, DN 100 MM, SERIE NORMAL, PARA ESGOTO PREDIAL</v>
      </c>
      <c r="F200" s="258" t="str">
        <f>IFERROR(IF(D200="SINAPI-S",VLOOKUP(B200,'20-B.SINAPI-S'!A:J,3,0),IF(D200="SINAPI-I",VLOOKUP(B200,'20-A.SINAPI-I'!A:G,3,0),IF(D200="COMPOSIÇÕES",VLOOKUP(B200,'11.COMPOSIÇÕES GERAIS'!B:I,3,0),VLOOKUP(B200,'12.COT.MERCADO'!A:I,7,0)))),"Em Elaboração")</f>
        <v>UN</v>
      </c>
      <c r="G200" s="254">
        <v>2.0</v>
      </c>
      <c r="H200" s="259">
        <f>IFERROR(IF(D200="SINAPI-S",VLOOKUP(B200,'20-B.SINAPI-S'!A:J,5,0),IF(D200="SINAPI-I",VLOOKUP(B200,'20-A.SINAPI-I'!A:G,6,0),IF(D200="COMPOSIÇÕES",VLOOKUP(B200,'11.COMPOSIÇÕES GERAIS'!B:I,7,0),0))),"Em Elaboração")</f>
        <v>0</v>
      </c>
      <c r="I200" s="259">
        <f>IFERROR(IF(D200="SINAPI-S",VLOOKUP(B200,'20-B.SINAPI-S'!A:J,6,0),IF(D200="SINAPI-I",VLOOKUP(B200,'20-A.SINAPI-I'!A:G,7,0),IF(D200="COMPOSIÇÕES",VLOOKUP(B200,'11.COMPOSIÇÕES GERAIS'!B:I,8,0),VLOOKUP(B200,'12.COT.MERCADO'!A:I,8,0)))),"Em Elaboração")</f>
        <v>11.01</v>
      </c>
      <c r="J200" s="259">
        <f t="shared" si="13"/>
        <v>0</v>
      </c>
      <c r="K200" s="259">
        <f t="shared" si="14"/>
        <v>12.89639378</v>
      </c>
      <c r="L200" s="259">
        <f t="shared" si="15"/>
        <v>12.89639378</v>
      </c>
      <c r="M200" s="259">
        <f t="shared" si="16"/>
        <v>0</v>
      </c>
      <c r="N200" s="259">
        <f t="shared" si="17"/>
        <v>25.79278756</v>
      </c>
      <c r="O200" s="259">
        <f t="shared" si="18"/>
        <v>25.79278756</v>
      </c>
      <c r="P200" s="586">
        <f t="shared" si="3"/>
        <v>0.0001406041211</v>
      </c>
    </row>
    <row r="201">
      <c r="A201" s="253" t="s">
        <v>745</v>
      </c>
      <c r="B201" s="254">
        <v>12909.0</v>
      </c>
      <c r="C201" s="255" t="str">
        <f t="shared" si="12"/>
        <v>SINAPI</v>
      </c>
      <c r="D201" s="256" t="s">
        <v>286</v>
      </c>
      <c r="E201" s="257" t="str">
        <f>IFERROR(IF(D201="SINAPI-S",VLOOKUP(B201,'20-B.SINAPI-S'!A:J,2,0),IF(D201="SINAPI-I",VLOOKUP(B201,'20-A.SINAPI-I'!A:G,2,0),IF(D201="COMPOSIÇÕES",VLOOKUP(B201,'11.COMPOSIÇÕES GERAIS'!B:I,2,0),VLOOKUP(B201,'12.COT.MERCADO'!A:I,2,0)))),"Em Elaboração")</f>
        <v>CAP PVC, SOLDAVEL, DN 50 MM, SERIE NORMAL, PARA ESGOTO PREDIAL</v>
      </c>
      <c r="F201" s="258" t="str">
        <f>IFERROR(IF(D201="SINAPI-S",VLOOKUP(B201,'20-B.SINAPI-S'!A:J,3,0),IF(D201="SINAPI-I",VLOOKUP(B201,'20-A.SINAPI-I'!A:G,3,0),IF(D201="COMPOSIÇÕES",VLOOKUP(B201,'11.COMPOSIÇÕES GERAIS'!B:I,3,0),VLOOKUP(B201,'12.COT.MERCADO'!A:I,7,0)))),"Em Elaboração")</f>
        <v>UN</v>
      </c>
      <c r="G201" s="254">
        <v>2.0</v>
      </c>
      <c r="H201" s="259">
        <f>IFERROR(IF(D201="SINAPI-S",VLOOKUP(B201,'20-B.SINAPI-S'!A:J,5,0),IF(D201="SINAPI-I",VLOOKUP(B201,'20-A.SINAPI-I'!A:G,6,0),IF(D201="COMPOSIÇÕES",VLOOKUP(B201,'11.COMPOSIÇÕES GERAIS'!B:I,7,0),0))),"Em Elaboração")</f>
        <v>0</v>
      </c>
      <c r="I201" s="259">
        <f>IFERROR(IF(D201="SINAPI-S",VLOOKUP(B201,'20-B.SINAPI-S'!A:J,6,0),IF(D201="SINAPI-I",VLOOKUP(B201,'20-A.SINAPI-I'!A:G,7,0),IF(D201="COMPOSIÇÕES",VLOOKUP(B201,'11.COMPOSIÇÕES GERAIS'!B:I,8,0),VLOOKUP(B201,'12.COT.MERCADO'!A:I,8,0)))),"Em Elaboração")</f>
        <v>5.11</v>
      </c>
      <c r="J201" s="259">
        <f t="shared" si="13"/>
        <v>0</v>
      </c>
      <c r="K201" s="259">
        <f t="shared" si="14"/>
        <v>5.98551973</v>
      </c>
      <c r="L201" s="259">
        <f t="shared" si="15"/>
        <v>5.98551973</v>
      </c>
      <c r="M201" s="259">
        <f t="shared" si="16"/>
        <v>0</v>
      </c>
      <c r="N201" s="259">
        <f t="shared" si="17"/>
        <v>11.97103946</v>
      </c>
      <c r="O201" s="259">
        <f t="shared" si="18"/>
        <v>11.97103946</v>
      </c>
      <c r="P201" s="586">
        <f t="shared" si="3"/>
        <v>0.00006525768018</v>
      </c>
    </row>
    <row r="202">
      <c r="A202" s="253" t="s">
        <v>746</v>
      </c>
      <c r="B202" s="254">
        <v>12910.0</v>
      </c>
      <c r="C202" s="255" t="str">
        <f t="shared" si="12"/>
        <v>SINAPI</v>
      </c>
      <c r="D202" s="256" t="s">
        <v>286</v>
      </c>
      <c r="E202" s="257" t="str">
        <f>IFERROR(IF(D202="SINAPI-S",VLOOKUP(B202,'20-B.SINAPI-S'!A:J,2,0),IF(D202="SINAPI-I",VLOOKUP(B202,'20-A.SINAPI-I'!A:G,2,0),IF(D202="COMPOSIÇÕES",VLOOKUP(B202,'11.COMPOSIÇÕES GERAIS'!B:I,2,0),VLOOKUP(B202,'12.COT.MERCADO'!A:I,2,0)))),"Em Elaboração")</f>
        <v>CAP PVC, SOLDAVEL, DN 75 MM, SERIE NORMAL, PARA ESGOTO PREDIAL</v>
      </c>
      <c r="F202" s="258" t="str">
        <f>IFERROR(IF(D202="SINAPI-S",VLOOKUP(B202,'20-B.SINAPI-S'!A:J,3,0),IF(D202="SINAPI-I",VLOOKUP(B202,'20-A.SINAPI-I'!A:G,3,0),IF(D202="COMPOSIÇÕES",VLOOKUP(B202,'11.COMPOSIÇÕES GERAIS'!B:I,3,0),VLOOKUP(B202,'12.COT.MERCADO'!A:I,7,0)))),"Em Elaboração")</f>
        <v>UN</v>
      </c>
      <c r="G202" s="254">
        <v>2.0</v>
      </c>
      <c r="H202" s="259">
        <f>IFERROR(IF(D202="SINAPI-S",VLOOKUP(B202,'20-B.SINAPI-S'!A:J,5,0),IF(D202="SINAPI-I",VLOOKUP(B202,'20-A.SINAPI-I'!A:G,6,0),IF(D202="COMPOSIÇÕES",VLOOKUP(B202,'11.COMPOSIÇÕES GERAIS'!B:I,7,0),0))),"Em Elaboração")</f>
        <v>0</v>
      </c>
      <c r="I202" s="259">
        <f>IFERROR(IF(D202="SINAPI-S",VLOOKUP(B202,'20-B.SINAPI-S'!A:J,6,0),IF(D202="SINAPI-I",VLOOKUP(B202,'20-A.SINAPI-I'!A:G,7,0),IF(D202="COMPOSIÇÕES",VLOOKUP(B202,'11.COMPOSIÇÕES GERAIS'!B:I,8,0),VLOOKUP(B202,'12.COT.MERCADO'!A:I,8,0)))),"Em Elaboração")</f>
        <v>9.18</v>
      </c>
      <c r="J202" s="259">
        <f t="shared" si="13"/>
        <v>0</v>
      </c>
      <c r="K202" s="259">
        <f t="shared" si="14"/>
        <v>10.75285149</v>
      </c>
      <c r="L202" s="259">
        <f t="shared" si="15"/>
        <v>10.75285149</v>
      </c>
      <c r="M202" s="259">
        <f t="shared" si="16"/>
        <v>0</v>
      </c>
      <c r="N202" s="259">
        <f t="shared" si="17"/>
        <v>21.50570298</v>
      </c>
      <c r="O202" s="259">
        <f t="shared" si="18"/>
        <v>21.50570298</v>
      </c>
      <c r="P202" s="586">
        <f t="shared" si="3"/>
        <v>0.0001172339538</v>
      </c>
    </row>
    <row r="203">
      <c r="A203" s="253" t="s">
        <v>747</v>
      </c>
      <c r="B203" s="254">
        <v>1185.0</v>
      </c>
      <c r="C203" s="255" t="str">
        <f t="shared" si="12"/>
        <v>SINAPI</v>
      </c>
      <c r="D203" s="256" t="s">
        <v>286</v>
      </c>
      <c r="E203" s="257" t="str">
        <f>IFERROR(IF(D203="SINAPI-S",VLOOKUP(B203,'20-B.SINAPI-S'!A:J,2,0),IF(D203="SINAPI-I",VLOOKUP(B203,'20-A.SINAPI-I'!A:G,2,0),IF(D203="COMPOSIÇÕES",VLOOKUP(B203,'11.COMPOSIÇÕES GERAIS'!B:I,2,0),VLOOKUP(B203,'12.COT.MERCADO'!A:I,2,0)))),"Em Elaboração")</f>
        <v>CAP PVC, SOLDAVEL, 25 MM, PARA AGUA FRIA PREDIAL</v>
      </c>
      <c r="F203" s="258" t="str">
        <f>IFERROR(IF(D203="SINAPI-S",VLOOKUP(B203,'20-B.SINAPI-S'!A:J,3,0),IF(D203="SINAPI-I",VLOOKUP(B203,'20-A.SINAPI-I'!A:G,3,0),IF(D203="COMPOSIÇÕES",VLOOKUP(B203,'11.COMPOSIÇÕES GERAIS'!B:I,3,0),VLOOKUP(B203,'12.COT.MERCADO'!A:I,7,0)))),"Em Elaboração")</f>
        <v>UN</v>
      </c>
      <c r="G203" s="254">
        <v>2.0</v>
      </c>
      <c r="H203" s="259">
        <f>IFERROR(IF(D203="SINAPI-S",VLOOKUP(B203,'20-B.SINAPI-S'!A:J,5,0),IF(D203="SINAPI-I",VLOOKUP(B203,'20-A.SINAPI-I'!A:G,6,0),IF(D203="COMPOSIÇÕES",VLOOKUP(B203,'11.COMPOSIÇÕES GERAIS'!B:I,7,0),0))),"Em Elaboração")</f>
        <v>0</v>
      </c>
      <c r="I203" s="259">
        <f>IFERROR(IF(D203="SINAPI-S",VLOOKUP(B203,'20-B.SINAPI-S'!A:J,6,0),IF(D203="SINAPI-I",VLOOKUP(B203,'20-A.SINAPI-I'!A:G,7,0),IF(D203="COMPOSIÇÕES",VLOOKUP(B203,'11.COMPOSIÇÕES GERAIS'!B:I,8,0),VLOOKUP(B203,'12.COT.MERCADO'!A:I,8,0)))),"Em Elaboração")</f>
        <v>1.31</v>
      </c>
      <c r="J203" s="259">
        <f t="shared" si="13"/>
        <v>0</v>
      </c>
      <c r="K203" s="259">
        <f t="shared" si="14"/>
        <v>1.534448307</v>
      </c>
      <c r="L203" s="259">
        <f t="shared" si="15"/>
        <v>1.534448307</v>
      </c>
      <c r="M203" s="259">
        <f t="shared" si="16"/>
        <v>0</v>
      </c>
      <c r="N203" s="259">
        <f t="shared" si="17"/>
        <v>3.068896613</v>
      </c>
      <c r="O203" s="259">
        <f t="shared" si="18"/>
        <v>3.068896613</v>
      </c>
      <c r="P203" s="586">
        <f t="shared" si="3"/>
        <v>0.000016729464</v>
      </c>
    </row>
    <row r="204">
      <c r="A204" s="253" t="s">
        <v>748</v>
      </c>
      <c r="B204" s="254">
        <v>1189.0</v>
      </c>
      <c r="C204" s="255" t="str">
        <f t="shared" si="12"/>
        <v>SINAPI</v>
      </c>
      <c r="D204" s="256" t="s">
        <v>286</v>
      </c>
      <c r="E204" s="257" t="str">
        <f>IFERROR(IF(D204="SINAPI-S",VLOOKUP(B204,'20-B.SINAPI-S'!A:J,2,0),IF(D204="SINAPI-I",VLOOKUP(B204,'20-A.SINAPI-I'!A:G,2,0),IF(D204="COMPOSIÇÕES",VLOOKUP(B204,'11.COMPOSIÇÕES GERAIS'!B:I,2,0),VLOOKUP(B204,'12.COT.MERCADO'!A:I,2,0)))),"Em Elaboração")</f>
        <v>CAP PVC, SOLDAVEL, 32 MM, PARA AGUA FRIA PREDIAL</v>
      </c>
      <c r="F204" s="258" t="str">
        <f>IFERROR(IF(D204="SINAPI-S",VLOOKUP(B204,'20-B.SINAPI-S'!A:J,3,0),IF(D204="SINAPI-I",VLOOKUP(B204,'20-A.SINAPI-I'!A:G,3,0),IF(D204="COMPOSIÇÕES",VLOOKUP(B204,'11.COMPOSIÇÕES GERAIS'!B:I,3,0),VLOOKUP(B204,'12.COT.MERCADO'!A:I,7,0)))),"Em Elaboração")</f>
        <v>UN</v>
      </c>
      <c r="G204" s="254">
        <v>2.0</v>
      </c>
      <c r="H204" s="259">
        <f>IFERROR(IF(D204="SINAPI-S",VLOOKUP(B204,'20-B.SINAPI-S'!A:J,5,0),IF(D204="SINAPI-I",VLOOKUP(B204,'20-A.SINAPI-I'!A:G,6,0),IF(D204="COMPOSIÇÕES",VLOOKUP(B204,'11.COMPOSIÇÕES GERAIS'!B:I,7,0),0))),"Em Elaboração")</f>
        <v>0</v>
      </c>
      <c r="I204" s="259">
        <f>IFERROR(IF(D204="SINAPI-S",VLOOKUP(B204,'20-B.SINAPI-S'!A:J,6,0),IF(D204="SINAPI-I",VLOOKUP(B204,'20-A.SINAPI-I'!A:G,7,0),IF(D204="COMPOSIÇÕES",VLOOKUP(B204,'11.COMPOSIÇÕES GERAIS'!B:I,8,0),VLOOKUP(B204,'12.COT.MERCADO'!A:I,8,0)))),"Em Elaboração")</f>
        <v>2.14</v>
      </c>
      <c r="J204" s="259">
        <f t="shared" si="13"/>
        <v>0</v>
      </c>
      <c r="K204" s="259">
        <f t="shared" si="14"/>
        <v>2.506656012</v>
      </c>
      <c r="L204" s="259">
        <f t="shared" si="15"/>
        <v>2.506656012</v>
      </c>
      <c r="M204" s="259">
        <f t="shared" si="16"/>
        <v>0</v>
      </c>
      <c r="N204" s="259">
        <f t="shared" si="17"/>
        <v>5.013312024</v>
      </c>
      <c r="O204" s="259">
        <f t="shared" si="18"/>
        <v>5.013312024</v>
      </c>
      <c r="P204" s="586">
        <f t="shared" si="3"/>
        <v>0.00002732904806</v>
      </c>
    </row>
    <row r="205">
      <c r="A205" s="253" t="s">
        <v>749</v>
      </c>
      <c r="B205" s="254">
        <v>1193.0</v>
      </c>
      <c r="C205" s="255" t="str">
        <f t="shared" si="12"/>
        <v>SINAPI</v>
      </c>
      <c r="D205" s="256" t="s">
        <v>286</v>
      </c>
      <c r="E205" s="257" t="str">
        <f>IFERROR(IF(D205="SINAPI-S",VLOOKUP(B205,'20-B.SINAPI-S'!A:J,2,0),IF(D205="SINAPI-I",VLOOKUP(B205,'20-A.SINAPI-I'!A:G,2,0),IF(D205="COMPOSIÇÕES",VLOOKUP(B205,'11.COMPOSIÇÕES GERAIS'!B:I,2,0),VLOOKUP(B205,'12.COT.MERCADO'!A:I,2,0)))),"Em Elaboração")</f>
        <v>CAP PVC, SOLDAVEL, 40 MM, PARA AGUA FRIA PREDIAL</v>
      </c>
      <c r="F205" s="258" t="str">
        <f>IFERROR(IF(D205="SINAPI-S",VLOOKUP(B205,'20-B.SINAPI-S'!A:J,3,0),IF(D205="SINAPI-I",VLOOKUP(B205,'20-A.SINAPI-I'!A:G,3,0),IF(D205="COMPOSIÇÕES",VLOOKUP(B205,'11.COMPOSIÇÕES GERAIS'!B:I,3,0),VLOOKUP(B205,'12.COT.MERCADO'!A:I,7,0)))),"Em Elaboração")</f>
        <v>UN</v>
      </c>
      <c r="G205" s="254">
        <v>2.0</v>
      </c>
      <c r="H205" s="259">
        <f>IFERROR(IF(D205="SINAPI-S",VLOOKUP(B205,'20-B.SINAPI-S'!A:J,5,0),IF(D205="SINAPI-I",VLOOKUP(B205,'20-A.SINAPI-I'!A:G,6,0),IF(D205="COMPOSIÇÕES",VLOOKUP(B205,'11.COMPOSIÇÕES GERAIS'!B:I,7,0),0))),"Em Elaboração")</f>
        <v>0</v>
      </c>
      <c r="I205" s="259">
        <f>IFERROR(IF(D205="SINAPI-S",VLOOKUP(B205,'20-B.SINAPI-S'!A:J,6,0),IF(D205="SINAPI-I",VLOOKUP(B205,'20-A.SINAPI-I'!A:G,7,0),IF(D205="COMPOSIÇÕES",VLOOKUP(B205,'11.COMPOSIÇÕES GERAIS'!B:I,8,0),VLOOKUP(B205,'12.COT.MERCADO'!A:I,8,0)))),"Em Elaboração")</f>
        <v>4.11</v>
      </c>
      <c r="J205" s="259">
        <f t="shared" si="13"/>
        <v>0</v>
      </c>
      <c r="K205" s="259">
        <f t="shared" si="14"/>
        <v>4.814185145</v>
      </c>
      <c r="L205" s="259">
        <f t="shared" si="15"/>
        <v>4.814185145</v>
      </c>
      <c r="M205" s="259">
        <f t="shared" si="16"/>
        <v>0</v>
      </c>
      <c r="N205" s="259">
        <f t="shared" si="17"/>
        <v>9.62837029</v>
      </c>
      <c r="O205" s="259">
        <f t="shared" si="18"/>
        <v>9.62837029</v>
      </c>
      <c r="P205" s="586">
        <f t="shared" si="3"/>
        <v>0.00005248709697</v>
      </c>
    </row>
    <row r="206">
      <c r="A206" s="253" t="s">
        <v>750</v>
      </c>
      <c r="B206" s="254">
        <v>1194.0</v>
      </c>
      <c r="C206" s="255" t="str">
        <f t="shared" si="12"/>
        <v>SINAPI</v>
      </c>
      <c r="D206" s="256" t="s">
        <v>286</v>
      </c>
      <c r="E206" s="257" t="str">
        <f>IFERROR(IF(D206="SINAPI-S",VLOOKUP(B206,'20-B.SINAPI-S'!A:J,2,0),IF(D206="SINAPI-I",VLOOKUP(B206,'20-A.SINAPI-I'!A:G,2,0),IF(D206="COMPOSIÇÕES",VLOOKUP(B206,'11.COMPOSIÇÕES GERAIS'!B:I,2,0),VLOOKUP(B206,'12.COT.MERCADO'!A:I,2,0)))),"Em Elaboração")</f>
        <v>CAP PVC, SOLDAVEL, 50 MM, PARA AGUA FRIA PREDIAL</v>
      </c>
      <c r="F206" s="258" t="str">
        <f>IFERROR(IF(D206="SINAPI-S",VLOOKUP(B206,'20-B.SINAPI-S'!A:J,3,0),IF(D206="SINAPI-I",VLOOKUP(B206,'20-A.SINAPI-I'!A:G,3,0),IF(D206="COMPOSIÇÕES",VLOOKUP(B206,'11.COMPOSIÇÕES GERAIS'!B:I,3,0),VLOOKUP(B206,'12.COT.MERCADO'!A:I,7,0)))),"Em Elaboração")</f>
        <v>UN</v>
      </c>
      <c r="G206" s="254">
        <v>2.0</v>
      </c>
      <c r="H206" s="259">
        <f>IFERROR(IF(D206="SINAPI-S",VLOOKUP(B206,'20-B.SINAPI-S'!A:J,5,0),IF(D206="SINAPI-I",VLOOKUP(B206,'20-A.SINAPI-I'!A:G,6,0),IF(D206="COMPOSIÇÕES",VLOOKUP(B206,'11.COMPOSIÇÕES GERAIS'!B:I,7,0),0))),"Em Elaboração")</f>
        <v>0</v>
      </c>
      <c r="I206" s="259">
        <f>IFERROR(IF(D206="SINAPI-S",VLOOKUP(B206,'20-B.SINAPI-S'!A:J,6,0),IF(D206="SINAPI-I",VLOOKUP(B206,'20-A.SINAPI-I'!A:G,7,0),IF(D206="COMPOSIÇÕES",VLOOKUP(B206,'11.COMPOSIÇÕES GERAIS'!B:I,8,0),VLOOKUP(B206,'12.COT.MERCADO'!A:I,8,0)))),"Em Elaboração")</f>
        <v>7.43</v>
      </c>
      <c r="J206" s="259">
        <f t="shared" si="13"/>
        <v>0</v>
      </c>
      <c r="K206" s="259">
        <f t="shared" si="14"/>
        <v>8.703015968</v>
      </c>
      <c r="L206" s="259">
        <f t="shared" si="15"/>
        <v>8.703015968</v>
      </c>
      <c r="M206" s="259">
        <f t="shared" si="16"/>
        <v>0</v>
      </c>
      <c r="N206" s="259">
        <f t="shared" si="17"/>
        <v>17.40603194</v>
      </c>
      <c r="O206" s="259">
        <f t="shared" si="18"/>
        <v>17.40603194</v>
      </c>
      <c r="P206" s="586">
        <f t="shared" si="3"/>
        <v>0.00009488543321</v>
      </c>
    </row>
    <row r="207">
      <c r="A207" s="253" t="s">
        <v>751</v>
      </c>
      <c r="B207" s="254">
        <v>1195.0</v>
      </c>
      <c r="C207" s="255" t="str">
        <f t="shared" si="12"/>
        <v>SINAPI</v>
      </c>
      <c r="D207" s="256" t="s">
        <v>286</v>
      </c>
      <c r="E207" s="257" t="str">
        <f>IFERROR(IF(D207="SINAPI-S",VLOOKUP(B207,'20-B.SINAPI-S'!A:J,2,0),IF(D207="SINAPI-I",VLOOKUP(B207,'20-A.SINAPI-I'!A:G,2,0),IF(D207="COMPOSIÇÕES",VLOOKUP(B207,'11.COMPOSIÇÕES GERAIS'!B:I,2,0),VLOOKUP(B207,'12.COT.MERCADO'!A:I,2,0)))),"Em Elaboração")</f>
        <v>CAP PVC, SOLDAVEL, 60 MM, PARA AGUA FRIA PREDIAL</v>
      </c>
      <c r="F207" s="258" t="str">
        <f>IFERROR(IF(D207="SINAPI-S",VLOOKUP(B207,'20-B.SINAPI-S'!A:J,3,0),IF(D207="SINAPI-I",VLOOKUP(B207,'20-A.SINAPI-I'!A:G,3,0),IF(D207="COMPOSIÇÕES",VLOOKUP(B207,'11.COMPOSIÇÕES GERAIS'!B:I,3,0),VLOOKUP(B207,'12.COT.MERCADO'!A:I,7,0)))),"Em Elaboração")</f>
        <v>UN</v>
      </c>
      <c r="G207" s="254">
        <v>2.0</v>
      </c>
      <c r="H207" s="259">
        <f>IFERROR(IF(D207="SINAPI-S",VLOOKUP(B207,'20-B.SINAPI-S'!A:J,5,0),IF(D207="SINAPI-I",VLOOKUP(B207,'20-A.SINAPI-I'!A:G,6,0),IF(D207="COMPOSIÇÕES",VLOOKUP(B207,'11.COMPOSIÇÕES GERAIS'!B:I,7,0),0))),"Em Elaboração")</f>
        <v>0</v>
      </c>
      <c r="I207" s="259">
        <f>IFERROR(IF(D207="SINAPI-S",VLOOKUP(B207,'20-B.SINAPI-S'!A:J,6,0),IF(D207="SINAPI-I",VLOOKUP(B207,'20-A.SINAPI-I'!A:G,7,0),IF(D207="COMPOSIÇÕES",VLOOKUP(B207,'11.COMPOSIÇÕES GERAIS'!B:I,8,0),VLOOKUP(B207,'12.COT.MERCADO'!A:I,8,0)))),"Em Elaboração")</f>
        <v>12.51</v>
      </c>
      <c r="J207" s="259">
        <f t="shared" si="13"/>
        <v>0</v>
      </c>
      <c r="K207" s="259">
        <f t="shared" si="14"/>
        <v>14.65339566</v>
      </c>
      <c r="L207" s="259">
        <f t="shared" si="15"/>
        <v>14.65339566</v>
      </c>
      <c r="M207" s="259">
        <f t="shared" si="16"/>
        <v>0</v>
      </c>
      <c r="N207" s="259">
        <f t="shared" si="17"/>
        <v>29.30679132</v>
      </c>
      <c r="O207" s="259">
        <f t="shared" si="18"/>
        <v>29.30679132</v>
      </c>
      <c r="P207" s="586">
        <f t="shared" si="3"/>
        <v>0.0001597599959</v>
      </c>
    </row>
    <row r="208">
      <c r="A208" s="253" t="s">
        <v>752</v>
      </c>
      <c r="B208" s="254">
        <v>20971.0</v>
      </c>
      <c r="C208" s="255" t="str">
        <f t="shared" si="12"/>
        <v>SINAPI</v>
      </c>
      <c r="D208" s="256" t="s">
        <v>286</v>
      </c>
      <c r="E208" s="257" t="str">
        <f>IFERROR(IF(D208="SINAPI-S",VLOOKUP(B208,'20-B.SINAPI-S'!A:J,2,0),IF(D208="SINAPI-I",VLOOKUP(B208,'20-A.SINAPI-I'!A:G,2,0),IF(D208="COMPOSIÇÕES",VLOOKUP(B208,'11.COMPOSIÇÕES GERAIS'!B:I,2,0),VLOOKUP(B208,'12.COT.MERCADO'!A:I,2,0)))),"Em Elaboração")</f>
        <v>CHAVE DUPLA PARA CONEXOES TIPO STORZ, ENGATE RAPIDO 1 1/2" X 2 1/2", EM LATAO, PARA INSTALACAO PREDIAL COMBATE A INCENDIO</v>
      </c>
      <c r="F208" s="258" t="str">
        <f>IFERROR(IF(D208="SINAPI-S",VLOOKUP(B208,'20-B.SINAPI-S'!A:J,3,0),IF(D208="SINAPI-I",VLOOKUP(B208,'20-A.SINAPI-I'!A:G,3,0),IF(D208="COMPOSIÇÕES",VLOOKUP(B208,'11.COMPOSIÇÕES GERAIS'!B:I,3,0),VLOOKUP(B208,'12.COT.MERCADO'!A:I,7,0)))),"Em Elaboração")</f>
        <v>UN</v>
      </c>
      <c r="G208" s="254">
        <v>4.0</v>
      </c>
      <c r="H208" s="259">
        <f>IFERROR(IF(D208="SINAPI-S",VLOOKUP(B208,'20-B.SINAPI-S'!A:J,5,0),IF(D208="SINAPI-I",VLOOKUP(B208,'20-A.SINAPI-I'!A:G,6,0),IF(D208="COMPOSIÇÕES",VLOOKUP(B208,'11.COMPOSIÇÕES GERAIS'!B:I,7,0),0))),"Em Elaboração")</f>
        <v>0</v>
      </c>
      <c r="I208" s="259">
        <f>IFERROR(IF(D208="SINAPI-S",VLOOKUP(B208,'20-B.SINAPI-S'!A:J,6,0),IF(D208="SINAPI-I",VLOOKUP(B208,'20-A.SINAPI-I'!A:G,7,0),IF(D208="COMPOSIÇÕES",VLOOKUP(B208,'11.COMPOSIÇÕES GERAIS'!B:I,8,0),VLOOKUP(B208,'12.COT.MERCADO'!A:I,8,0)))),"Em Elaboração")</f>
        <v>24.28</v>
      </c>
      <c r="J208" s="259">
        <f t="shared" si="13"/>
        <v>0</v>
      </c>
      <c r="K208" s="259">
        <f t="shared" si="14"/>
        <v>28.44000373</v>
      </c>
      <c r="L208" s="259">
        <f t="shared" si="15"/>
        <v>28.44000373</v>
      </c>
      <c r="M208" s="259">
        <f t="shared" si="16"/>
        <v>0</v>
      </c>
      <c r="N208" s="259">
        <f t="shared" si="17"/>
        <v>113.7600149</v>
      </c>
      <c r="O208" s="259">
        <f t="shared" si="18"/>
        <v>113.7600149</v>
      </c>
      <c r="P208" s="586">
        <f t="shared" si="3"/>
        <v>0.0006201395204</v>
      </c>
    </row>
    <row r="209">
      <c r="A209" s="253" t="s">
        <v>753</v>
      </c>
      <c r="B209" s="254">
        <v>1647.0</v>
      </c>
      <c r="C209" s="255" t="str">
        <f t="shared" si="12"/>
        <v>SINAPI</v>
      </c>
      <c r="D209" s="256" t="s">
        <v>286</v>
      </c>
      <c r="E209" s="257" t="str">
        <f>IFERROR(IF(D209="SINAPI-S",VLOOKUP(B209,'20-B.SINAPI-S'!A:J,2,0),IF(D209="SINAPI-I",VLOOKUP(B209,'20-A.SINAPI-I'!A:G,2,0),IF(D209="COMPOSIÇÕES",VLOOKUP(B209,'11.COMPOSIÇÕES GERAIS'!B:I,2,0),VLOOKUP(B209,'12.COT.MERCADO'!A:I,2,0)))),"Em Elaboração")</f>
        <v>CRUZETA DE FERRO GALVANIZADO, COM ROSCA BSP, DE 1/2"</v>
      </c>
      <c r="F209" s="258" t="str">
        <f>IFERROR(IF(D209="SINAPI-S",VLOOKUP(B209,'20-B.SINAPI-S'!A:J,3,0),IF(D209="SINAPI-I",VLOOKUP(B209,'20-A.SINAPI-I'!A:G,3,0),IF(D209="COMPOSIÇÕES",VLOOKUP(B209,'11.COMPOSIÇÕES GERAIS'!B:I,3,0),VLOOKUP(B209,'12.COT.MERCADO'!A:I,7,0)))),"Em Elaboração")</f>
        <v>UN</v>
      </c>
      <c r="G209" s="254">
        <v>2.0</v>
      </c>
      <c r="H209" s="259">
        <f>IFERROR(IF(D209="SINAPI-S",VLOOKUP(B209,'20-B.SINAPI-S'!A:J,5,0),IF(D209="SINAPI-I",VLOOKUP(B209,'20-A.SINAPI-I'!A:G,6,0),IF(D209="COMPOSIÇÕES",VLOOKUP(B209,'11.COMPOSIÇÕES GERAIS'!B:I,7,0),0))),"Em Elaboração")</f>
        <v>0</v>
      </c>
      <c r="I209" s="259">
        <f>IFERROR(IF(D209="SINAPI-S",VLOOKUP(B209,'20-B.SINAPI-S'!A:J,6,0),IF(D209="SINAPI-I",VLOOKUP(B209,'20-A.SINAPI-I'!A:G,7,0),IF(D209="COMPOSIÇÕES",VLOOKUP(B209,'11.COMPOSIÇÕES GERAIS'!B:I,8,0),VLOOKUP(B209,'12.COT.MERCADO'!A:I,8,0)))),"Em Elaboração")</f>
        <v>23.45</v>
      </c>
      <c r="J209" s="259">
        <f t="shared" si="13"/>
        <v>0</v>
      </c>
      <c r="K209" s="259">
        <f t="shared" si="14"/>
        <v>27.46779602</v>
      </c>
      <c r="L209" s="259">
        <f t="shared" si="15"/>
        <v>27.46779602</v>
      </c>
      <c r="M209" s="259">
        <f t="shared" si="16"/>
        <v>0</v>
      </c>
      <c r="N209" s="259">
        <f t="shared" si="17"/>
        <v>54.93559204</v>
      </c>
      <c r="O209" s="259">
        <f t="shared" si="18"/>
        <v>54.93559204</v>
      </c>
      <c r="P209" s="586">
        <f t="shared" si="3"/>
        <v>0.0002994701762</v>
      </c>
    </row>
    <row r="210">
      <c r="A210" s="253" t="s">
        <v>754</v>
      </c>
      <c r="B210" s="254">
        <v>1747.0</v>
      </c>
      <c r="C210" s="255" t="str">
        <f t="shared" si="12"/>
        <v>SINAPI</v>
      </c>
      <c r="D210" s="256" t="s">
        <v>286</v>
      </c>
      <c r="E210" s="257" t="str">
        <f>IFERROR(IF(D210="SINAPI-S",VLOOKUP(B210,'20-B.SINAPI-S'!A:J,2,0),IF(D210="SINAPI-I",VLOOKUP(B210,'20-A.SINAPI-I'!A:G,2,0),IF(D210="COMPOSIÇÕES",VLOOKUP(B210,'11.COMPOSIÇÕES GERAIS'!B:I,2,0),VLOOKUP(B210,'12.COT.MERCADO'!A:I,2,0)))),"Em Elaboração")</f>
        <v>CUBA ACO INOX (AISI 304) DE EMBUTIR COM VALVULA DE 3 1/2 ", DE *56 X 33 X 12* CM</v>
      </c>
      <c r="F210" s="258" t="str">
        <f>IFERROR(IF(D210="SINAPI-S",VLOOKUP(B210,'20-B.SINAPI-S'!A:J,3,0),IF(D210="SINAPI-I",VLOOKUP(B210,'20-A.SINAPI-I'!A:G,3,0),IF(D210="COMPOSIÇÕES",VLOOKUP(B210,'11.COMPOSIÇÕES GERAIS'!B:I,3,0),VLOOKUP(B210,'12.COT.MERCADO'!A:I,7,0)))),"Em Elaboração")</f>
        <v>UN</v>
      </c>
      <c r="G210" s="254">
        <v>2.0</v>
      </c>
      <c r="H210" s="259">
        <f>IFERROR(IF(D210="SINAPI-S",VLOOKUP(B210,'20-B.SINAPI-S'!A:J,5,0),IF(D210="SINAPI-I",VLOOKUP(B210,'20-A.SINAPI-I'!A:G,6,0),IF(D210="COMPOSIÇÕES",VLOOKUP(B210,'11.COMPOSIÇÕES GERAIS'!B:I,7,0),0))),"Em Elaboração")</f>
        <v>0</v>
      </c>
      <c r="I210" s="259">
        <f>IFERROR(IF(D210="SINAPI-S",VLOOKUP(B210,'20-B.SINAPI-S'!A:J,6,0),IF(D210="SINAPI-I",VLOOKUP(B210,'20-A.SINAPI-I'!A:G,7,0),IF(D210="COMPOSIÇÕES",VLOOKUP(B210,'11.COMPOSIÇÕES GERAIS'!B:I,8,0),VLOOKUP(B210,'12.COT.MERCADO'!A:I,8,0)))),"Em Elaboração")</f>
        <v>238.9</v>
      </c>
      <c r="J210" s="259">
        <f t="shared" si="13"/>
        <v>0</v>
      </c>
      <c r="K210" s="259">
        <f t="shared" si="14"/>
        <v>279.8318324</v>
      </c>
      <c r="L210" s="259">
        <f t="shared" si="15"/>
        <v>279.8318324</v>
      </c>
      <c r="M210" s="259">
        <f t="shared" si="16"/>
        <v>0</v>
      </c>
      <c r="N210" s="259">
        <f t="shared" si="17"/>
        <v>559.6636648</v>
      </c>
      <c r="O210" s="259">
        <f t="shared" si="18"/>
        <v>559.6636648</v>
      </c>
      <c r="P210" s="586">
        <f t="shared" si="3"/>
        <v>0.003050892328</v>
      </c>
    </row>
    <row r="211">
      <c r="A211" s="253" t="s">
        <v>755</v>
      </c>
      <c r="B211" s="254">
        <v>4823.0</v>
      </c>
      <c r="C211" s="255" t="str">
        <f t="shared" si="12"/>
        <v>SINAPI</v>
      </c>
      <c r="D211" s="256" t="s">
        <v>286</v>
      </c>
      <c r="E211" s="257" t="str">
        <f>IFERROR(IF(D211="SINAPI-S",VLOOKUP(B211,'20-B.SINAPI-S'!A:J,2,0),IF(D211="SINAPI-I",VLOOKUP(B211,'20-A.SINAPI-I'!A:G,2,0),IF(D211="COMPOSIÇÕES",VLOOKUP(B211,'11.COMPOSIÇÕES GERAIS'!B:I,2,0),VLOOKUP(B211,'12.COT.MERCADO'!A:I,2,0)))),"Em Elaboração")</f>
        <v>MASSA PLASTICA PARA MARMORE/GRANITO</v>
      </c>
      <c r="F211" s="258" t="str">
        <f>IFERROR(IF(D211="SINAPI-S",VLOOKUP(B211,'20-B.SINAPI-S'!A:J,3,0),IF(D211="SINAPI-I",VLOOKUP(B211,'20-A.SINAPI-I'!A:G,3,0),IF(D211="COMPOSIÇÕES",VLOOKUP(B211,'11.COMPOSIÇÕES GERAIS'!B:I,3,0),VLOOKUP(B211,'12.COT.MERCADO'!A:I,7,0)))),"Em Elaboração")</f>
        <v>KG</v>
      </c>
      <c r="G211" s="254">
        <v>2.0</v>
      </c>
      <c r="H211" s="259">
        <f>IFERROR(IF(D211="SINAPI-S",VLOOKUP(B211,'20-B.SINAPI-S'!A:J,5,0),IF(D211="SINAPI-I",VLOOKUP(B211,'20-A.SINAPI-I'!A:G,6,0),IF(D211="COMPOSIÇÕES",VLOOKUP(B211,'11.COMPOSIÇÕES GERAIS'!B:I,7,0),0))),"Em Elaboração")</f>
        <v>0</v>
      </c>
      <c r="I211" s="259">
        <f>IFERROR(IF(D211="SINAPI-S",VLOOKUP(B211,'20-B.SINAPI-S'!A:J,6,0),IF(D211="SINAPI-I",VLOOKUP(B211,'20-A.SINAPI-I'!A:G,7,0),IF(D211="COMPOSIÇÕES",VLOOKUP(B211,'11.COMPOSIÇÕES GERAIS'!B:I,8,0),VLOOKUP(B211,'12.COT.MERCADO'!A:I,8,0)))),"Em Elaboração")</f>
        <v>37.56</v>
      </c>
      <c r="J211" s="259">
        <f t="shared" si="13"/>
        <v>0</v>
      </c>
      <c r="K211" s="259">
        <f t="shared" si="14"/>
        <v>43.99532702</v>
      </c>
      <c r="L211" s="259">
        <f t="shared" si="15"/>
        <v>43.99532702</v>
      </c>
      <c r="M211" s="259">
        <f t="shared" si="16"/>
        <v>0</v>
      </c>
      <c r="N211" s="259">
        <f t="shared" si="17"/>
        <v>87.99065404</v>
      </c>
      <c r="O211" s="259">
        <f t="shared" si="18"/>
        <v>87.99065404</v>
      </c>
      <c r="P211" s="586">
        <f t="shared" si="3"/>
        <v>0.0004796631052</v>
      </c>
    </row>
    <row r="212">
      <c r="A212" s="253" t="s">
        <v>756</v>
      </c>
      <c r="B212" s="254">
        <v>11696.0</v>
      </c>
      <c r="C212" s="255" t="str">
        <f t="shared" si="12"/>
        <v>SINAPI</v>
      </c>
      <c r="D212" s="256" t="s">
        <v>286</v>
      </c>
      <c r="E212" s="257" t="str">
        <f>IFERROR(IF(D212="SINAPI-S",VLOOKUP(B212,'20-B.SINAPI-S'!A:J,2,0),IF(D212="SINAPI-I",VLOOKUP(B212,'20-A.SINAPI-I'!A:G,2,0),IF(D212="COMPOSIÇÕES",VLOOKUP(B212,'11.COMPOSIÇÕES GERAIS'!B:I,2,0),VLOOKUP(B212,'12.COT.MERCADO'!A:I,2,0)))),"Em Elaboração")</f>
        <v>LAVATORIO / CUBA DE SOBREPOR, OVAL PEQUENA, DE LOUCA BRANCA, SEM LADRAO, DIMENSOES *44 X 31* CM (L X C)</v>
      </c>
      <c r="F212" s="258" t="str">
        <f>IFERROR(IF(D212="SINAPI-S",VLOOKUP(B212,'20-B.SINAPI-S'!A:J,3,0),IF(D212="SINAPI-I",VLOOKUP(B212,'20-A.SINAPI-I'!A:G,3,0),IF(D212="COMPOSIÇÕES",VLOOKUP(B212,'11.COMPOSIÇÕES GERAIS'!B:I,3,0),VLOOKUP(B212,'12.COT.MERCADO'!A:I,7,0)))),"Em Elaboração")</f>
        <v>UN</v>
      </c>
      <c r="G212" s="254">
        <v>2.0</v>
      </c>
      <c r="H212" s="259">
        <f>IFERROR(IF(D212="SINAPI-S",VLOOKUP(B212,'20-B.SINAPI-S'!A:J,5,0),IF(D212="SINAPI-I",VLOOKUP(B212,'20-A.SINAPI-I'!A:G,6,0),IF(D212="COMPOSIÇÕES",VLOOKUP(B212,'11.COMPOSIÇÕES GERAIS'!B:I,7,0),0))),"Em Elaboração")</f>
        <v>0</v>
      </c>
      <c r="I212" s="259">
        <f>IFERROR(IF(D212="SINAPI-S",VLOOKUP(B212,'20-B.SINAPI-S'!A:J,6,0),IF(D212="SINAPI-I",VLOOKUP(B212,'20-A.SINAPI-I'!A:G,7,0),IF(D212="COMPOSIÇÕES",VLOOKUP(B212,'11.COMPOSIÇÕES GERAIS'!B:I,8,0),VLOOKUP(B212,'12.COT.MERCADO'!A:I,8,0)))),"Em Elaboração")</f>
        <v>185.24</v>
      </c>
      <c r="J212" s="259">
        <f t="shared" si="13"/>
        <v>0</v>
      </c>
      <c r="K212" s="259">
        <f t="shared" si="14"/>
        <v>216.9780186</v>
      </c>
      <c r="L212" s="259">
        <f t="shared" si="15"/>
        <v>216.9780186</v>
      </c>
      <c r="M212" s="259">
        <f t="shared" si="16"/>
        <v>0</v>
      </c>
      <c r="N212" s="259">
        <f t="shared" si="17"/>
        <v>433.9560371</v>
      </c>
      <c r="O212" s="259">
        <f t="shared" si="18"/>
        <v>433.9560371</v>
      </c>
      <c r="P212" s="586">
        <f t="shared" si="3"/>
        <v>0.002365622833</v>
      </c>
    </row>
    <row r="213">
      <c r="A213" s="253" t="s">
        <v>757</v>
      </c>
      <c r="B213" s="254">
        <v>1743.0</v>
      </c>
      <c r="C213" s="255" t="str">
        <f t="shared" si="12"/>
        <v>SINAPI</v>
      </c>
      <c r="D213" s="256" t="s">
        <v>286</v>
      </c>
      <c r="E213" s="257" t="str">
        <f>IFERROR(IF(D213="SINAPI-S",VLOOKUP(B213,'20-B.SINAPI-S'!A:J,2,0),IF(D213="SINAPI-I",VLOOKUP(B213,'20-A.SINAPI-I'!A:G,2,0),IF(D213="COMPOSIÇÕES",VLOOKUP(B213,'11.COMPOSIÇÕES GERAIS'!B:I,2,0),VLOOKUP(B213,'12.COT.MERCADO'!A:I,2,0)))),"Em Elaboração")</f>
        <v>CUBA ACO INOX (AISI 304) DE EMBUTIR COM VALVULA 3 1/2 ", DE *46 X 30 X 12* CM</v>
      </c>
      <c r="F213" s="258" t="str">
        <f>IFERROR(IF(D213="SINAPI-S",VLOOKUP(B213,'20-B.SINAPI-S'!A:J,3,0),IF(D213="SINAPI-I",VLOOKUP(B213,'20-A.SINAPI-I'!A:G,3,0),IF(D213="COMPOSIÇÕES",VLOOKUP(B213,'11.COMPOSIÇÕES GERAIS'!B:I,3,0),VLOOKUP(B213,'12.COT.MERCADO'!A:I,7,0)))),"Em Elaboração")</f>
        <v>UN</v>
      </c>
      <c r="G213" s="254">
        <v>2.0</v>
      </c>
      <c r="H213" s="259">
        <f>IFERROR(IF(D213="SINAPI-S",VLOOKUP(B213,'20-B.SINAPI-S'!A:J,5,0),IF(D213="SINAPI-I",VLOOKUP(B213,'20-A.SINAPI-I'!A:G,6,0),IF(D213="COMPOSIÇÕES",VLOOKUP(B213,'11.COMPOSIÇÕES GERAIS'!B:I,7,0),0))),"Em Elaboração")</f>
        <v>0</v>
      </c>
      <c r="I213" s="259">
        <f>IFERROR(IF(D213="SINAPI-S",VLOOKUP(B213,'20-B.SINAPI-S'!A:J,6,0),IF(D213="SINAPI-I",VLOOKUP(B213,'20-A.SINAPI-I'!A:G,7,0),IF(D213="COMPOSIÇÕES",VLOOKUP(B213,'11.COMPOSIÇÕES GERAIS'!B:I,8,0),VLOOKUP(B213,'12.COT.MERCADO'!A:I,8,0)))),"Em Elaboração")</f>
        <v>217.3</v>
      </c>
      <c r="J213" s="259">
        <f t="shared" si="13"/>
        <v>0</v>
      </c>
      <c r="K213" s="259">
        <f t="shared" si="14"/>
        <v>254.5310053</v>
      </c>
      <c r="L213" s="259">
        <f t="shared" si="15"/>
        <v>254.5310053</v>
      </c>
      <c r="M213" s="259">
        <f t="shared" si="16"/>
        <v>0</v>
      </c>
      <c r="N213" s="259">
        <f t="shared" si="17"/>
        <v>509.0620107</v>
      </c>
      <c r="O213" s="259">
        <f t="shared" si="18"/>
        <v>509.0620107</v>
      </c>
      <c r="P213" s="586">
        <f t="shared" si="3"/>
        <v>0.00277504773</v>
      </c>
    </row>
    <row r="214">
      <c r="A214" s="253" t="s">
        <v>758</v>
      </c>
      <c r="B214" s="254">
        <v>1927.0</v>
      </c>
      <c r="C214" s="255" t="str">
        <f t="shared" si="12"/>
        <v>SINAPI</v>
      </c>
      <c r="D214" s="256" t="s">
        <v>286</v>
      </c>
      <c r="E214" s="257" t="str">
        <f>IFERROR(IF(D214="SINAPI-S",VLOOKUP(B214,'20-B.SINAPI-S'!A:J,2,0),IF(D214="SINAPI-I",VLOOKUP(B214,'20-A.SINAPI-I'!A:G,2,0),IF(D214="COMPOSIÇÕES",VLOOKUP(B214,'11.COMPOSIÇÕES GERAIS'!B:I,2,0),VLOOKUP(B214,'12.COT.MERCADO'!A:I,2,0)))),"Em Elaboração")</f>
        <v>CURVA DE PVC 45 GRAUS, SOLDAVEL, 25 MM, COR MARROM, PARA AGUA FRIA PREDIAL</v>
      </c>
      <c r="F214" s="258" t="str">
        <f>IFERROR(IF(D214="SINAPI-S",VLOOKUP(B214,'20-B.SINAPI-S'!A:J,3,0),IF(D214="SINAPI-I",VLOOKUP(B214,'20-A.SINAPI-I'!A:G,3,0),IF(D214="COMPOSIÇÕES",VLOOKUP(B214,'11.COMPOSIÇÕES GERAIS'!B:I,3,0),VLOOKUP(B214,'12.COT.MERCADO'!A:I,7,0)))),"Em Elaboração")</f>
        <v>UN</v>
      </c>
      <c r="G214" s="254">
        <v>4.0</v>
      </c>
      <c r="H214" s="259">
        <f>IFERROR(IF(D214="SINAPI-S",VLOOKUP(B214,'20-B.SINAPI-S'!A:J,5,0),IF(D214="SINAPI-I",VLOOKUP(B214,'20-A.SINAPI-I'!A:G,6,0),IF(D214="COMPOSIÇÕES",VLOOKUP(B214,'11.COMPOSIÇÕES GERAIS'!B:I,7,0),0))),"Em Elaboração")</f>
        <v>0</v>
      </c>
      <c r="I214" s="259">
        <f>IFERROR(IF(D214="SINAPI-S",VLOOKUP(B214,'20-B.SINAPI-S'!A:J,6,0),IF(D214="SINAPI-I",VLOOKUP(B214,'20-A.SINAPI-I'!A:G,7,0),IF(D214="COMPOSIÇÕES",VLOOKUP(B214,'11.COMPOSIÇÕES GERAIS'!B:I,8,0),VLOOKUP(B214,'12.COT.MERCADO'!A:I,8,0)))),"Em Elaboração")</f>
        <v>2.57</v>
      </c>
      <c r="J214" s="259">
        <f t="shared" si="13"/>
        <v>0</v>
      </c>
      <c r="K214" s="259">
        <f t="shared" si="14"/>
        <v>3.010329884</v>
      </c>
      <c r="L214" s="259">
        <f t="shared" si="15"/>
        <v>3.010329884</v>
      </c>
      <c r="M214" s="259">
        <f t="shared" si="16"/>
        <v>0</v>
      </c>
      <c r="N214" s="259">
        <f t="shared" si="17"/>
        <v>12.04131954</v>
      </c>
      <c r="O214" s="259">
        <f t="shared" si="18"/>
        <v>12.04131954</v>
      </c>
      <c r="P214" s="586">
        <f t="shared" si="3"/>
        <v>0.00006564079767</v>
      </c>
    </row>
    <row r="215">
      <c r="A215" s="253" t="s">
        <v>759</v>
      </c>
      <c r="B215" s="254">
        <v>1923.0</v>
      </c>
      <c r="C215" s="255" t="str">
        <f t="shared" si="12"/>
        <v>SINAPI</v>
      </c>
      <c r="D215" s="256" t="s">
        <v>286</v>
      </c>
      <c r="E215" s="257" t="str">
        <f>IFERROR(IF(D215="SINAPI-S",VLOOKUP(B215,'20-B.SINAPI-S'!A:J,2,0),IF(D215="SINAPI-I",VLOOKUP(B215,'20-A.SINAPI-I'!A:G,2,0),IF(D215="COMPOSIÇÕES",VLOOKUP(B215,'11.COMPOSIÇÕES GERAIS'!B:I,2,0),VLOOKUP(B215,'12.COT.MERCADO'!A:I,2,0)))),"Em Elaboração")</f>
        <v>CURVA DE PVC 45 GRAUS, SOLDAVEL, 32 MM, COR MARROM, PARA AGUA FRIA PREDIAL</v>
      </c>
      <c r="F215" s="258" t="str">
        <f>IFERROR(IF(D215="SINAPI-S",VLOOKUP(B215,'20-B.SINAPI-S'!A:J,3,0),IF(D215="SINAPI-I",VLOOKUP(B215,'20-A.SINAPI-I'!A:G,3,0),IF(D215="COMPOSIÇÕES",VLOOKUP(B215,'11.COMPOSIÇÕES GERAIS'!B:I,3,0),VLOOKUP(B215,'12.COT.MERCADO'!A:I,7,0)))),"Em Elaboração")</f>
        <v>UN</v>
      </c>
      <c r="G215" s="254">
        <v>4.0</v>
      </c>
      <c r="H215" s="259">
        <f>IFERROR(IF(D215="SINAPI-S",VLOOKUP(B215,'20-B.SINAPI-S'!A:J,5,0),IF(D215="SINAPI-I",VLOOKUP(B215,'20-A.SINAPI-I'!A:G,6,0),IF(D215="COMPOSIÇÕES",VLOOKUP(B215,'11.COMPOSIÇÕES GERAIS'!B:I,7,0),0))),"Em Elaboração")</f>
        <v>0</v>
      </c>
      <c r="I215" s="259">
        <f>IFERROR(IF(D215="SINAPI-S",VLOOKUP(B215,'20-B.SINAPI-S'!A:J,6,0),IF(D215="SINAPI-I",VLOOKUP(B215,'20-A.SINAPI-I'!A:G,7,0),IF(D215="COMPOSIÇÕES",VLOOKUP(B215,'11.COMPOSIÇÕES GERAIS'!B:I,8,0),VLOOKUP(B215,'12.COT.MERCADO'!A:I,8,0)))),"Em Elaboração")</f>
        <v>4.68</v>
      </c>
      <c r="J215" s="259">
        <f t="shared" si="13"/>
        <v>0</v>
      </c>
      <c r="K215" s="259">
        <f t="shared" si="14"/>
        <v>5.481845858</v>
      </c>
      <c r="L215" s="259">
        <f t="shared" si="15"/>
        <v>5.481845858</v>
      </c>
      <c r="M215" s="259">
        <f t="shared" si="16"/>
        <v>0</v>
      </c>
      <c r="N215" s="259">
        <f t="shared" si="17"/>
        <v>21.92738343</v>
      </c>
      <c r="O215" s="259">
        <f t="shared" si="18"/>
        <v>21.92738343</v>
      </c>
      <c r="P215" s="586">
        <f t="shared" si="3"/>
        <v>0.0001195326588</v>
      </c>
    </row>
    <row r="216">
      <c r="A216" s="253" t="s">
        <v>760</v>
      </c>
      <c r="B216" s="254">
        <v>1929.0</v>
      </c>
      <c r="C216" s="255" t="str">
        <f t="shared" si="12"/>
        <v>SINAPI</v>
      </c>
      <c r="D216" s="256" t="s">
        <v>286</v>
      </c>
      <c r="E216" s="257" t="str">
        <f>IFERROR(IF(D216="SINAPI-S",VLOOKUP(B216,'20-B.SINAPI-S'!A:J,2,0),IF(D216="SINAPI-I",VLOOKUP(B216,'20-A.SINAPI-I'!A:G,2,0),IF(D216="COMPOSIÇÕES",VLOOKUP(B216,'11.COMPOSIÇÕES GERAIS'!B:I,2,0),VLOOKUP(B216,'12.COT.MERCADO'!A:I,2,0)))),"Em Elaboração")</f>
        <v>CURVA DE PVC 45 GRAUS, SOLDAVEL, 40 MM, COR MARROM, PARA AGUA FRIA PREDIAL</v>
      </c>
      <c r="F216" s="258" t="str">
        <f>IFERROR(IF(D216="SINAPI-S",VLOOKUP(B216,'20-B.SINAPI-S'!A:J,3,0),IF(D216="SINAPI-I",VLOOKUP(B216,'20-A.SINAPI-I'!A:G,3,0),IF(D216="COMPOSIÇÕES",VLOOKUP(B216,'11.COMPOSIÇÕES GERAIS'!B:I,3,0),VLOOKUP(B216,'12.COT.MERCADO'!A:I,7,0)))),"Em Elaboração")</f>
        <v>UN</v>
      </c>
      <c r="G216" s="254">
        <v>4.0</v>
      </c>
      <c r="H216" s="259">
        <f>IFERROR(IF(D216="SINAPI-S",VLOOKUP(B216,'20-B.SINAPI-S'!A:J,5,0),IF(D216="SINAPI-I",VLOOKUP(B216,'20-A.SINAPI-I'!A:G,6,0),IF(D216="COMPOSIÇÕES",VLOOKUP(B216,'11.COMPOSIÇÕES GERAIS'!B:I,7,0),0))),"Em Elaboração")</f>
        <v>0</v>
      </c>
      <c r="I216" s="259">
        <f>IFERROR(IF(D216="SINAPI-S",VLOOKUP(B216,'20-B.SINAPI-S'!A:J,6,0),IF(D216="SINAPI-I",VLOOKUP(B216,'20-A.SINAPI-I'!A:G,7,0),IF(D216="COMPOSIÇÕES",VLOOKUP(B216,'11.COMPOSIÇÕES GERAIS'!B:I,8,0),VLOOKUP(B216,'12.COT.MERCADO'!A:I,8,0)))),"Em Elaboração")</f>
        <v>5.68</v>
      </c>
      <c r="J216" s="259">
        <f t="shared" si="13"/>
        <v>0</v>
      </c>
      <c r="K216" s="259">
        <f t="shared" si="14"/>
        <v>6.653180444</v>
      </c>
      <c r="L216" s="259">
        <f t="shared" si="15"/>
        <v>6.653180444</v>
      </c>
      <c r="M216" s="259">
        <f t="shared" si="16"/>
        <v>0</v>
      </c>
      <c r="N216" s="259">
        <f t="shared" si="17"/>
        <v>26.61272177</v>
      </c>
      <c r="O216" s="259">
        <f t="shared" si="18"/>
        <v>26.61272177</v>
      </c>
      <c r="P216" s="586">
        <f t="shared" si="3"/>
        <v>0.0001450738252</v>
      </c>
    </row>
    <row r="217">
      <c r="A217" s="253" t="s">
        <v>761</v>
      </c>
      <c r="B217" s="254">
        <v>1930.0</v>
      </c>
      <c r="C217" s="255" t="str">
        <f t="shared" si="12"/>
        <v>SINAPI</v>
      </c>
      <c r="D217" s="256" t="s">
        <v>286</v>
      </c>
      <c r="E217" s="257" t="str">
        <f>IFERROR(IF(D217="SINAPI-S",VLOOKUP(B217,'20-B.SINAPI-S'!A:J,2,0),IF(D217="SINAPI-I",VLOOKUP(B217,'20-A.SINAPI-I'!A:G,2,0),IF(D217="COMPOSIÇÕES",VLOOKUP(B217,'11.COMPOSIÇÕES GERAIS'!B:I,2,0),VLOOKUP(B217,'12.COT.MERCADO'!A:I,2,0)))),"Em Elaboração")</f>
        <v>CURVA DE PVC 45 GRAUS, SOLDAVEL, 50 MM, COR MARROM, PARA AGUA FRIA PREDIAL</v>
      </c>
      <c r="F217" s="258" t="str">
        <f>IFERROR(IF(D217="SINAPI-S",VLOOKUP(B217,'20-B.SINAPI-S'!A:J,3,0),IF(D217="SINAPI-I",VLOOKUP(B217,'20-A.SINAPI-I'!A:G,3,0),IF(D217="COMPOSIÇÕES",VLOOKUP(B217,'11.COMPOSIÇÕES GERAIS'!B:I,3,0),VLOOKUP(B217,'12.COT.MERCADO'!A:I,7,0)))),"Em Elaboração")</f>
        <v>UN</v>
      </c>
      <c r="G217" s="254">
        <v>4.0</v>
      </c>
      <c r="H217" s="259">
        <f>IFERROR(IF(D217="SINAPI-S",VLOOKUP(B217,'20-B.SINAPI-S'!A:J,5,0),IF(D217="SINAPI-I",VLOOKUP(B217,'20-A.SINAPI-I'!A:G,6,0),IF(D217="COMPOSIÇÕES",VLOOKUP(B217,'11.COMPOSIÇÕES GERAIS'!B:I,7,0),0))),"Em Elaboração")</f>
        <v>0</v>
      </c>
      <c r="I217" s="259">
        <f>IFERROR(IF(D217="SINAPI-S",VLOOKUP(B217,'20-B.SINAPI-S'!A:J,6,0),IF(D217="SINAPI-I",VLOOKUP(B217,'20-A.SINAPI-I'!A:G,7,0),IF(D217="COMPOSIÇÕES",VLOOKUP(B217,'11.COMPOSIÇÕES GERAIS'!B:I,8,0),VLOOKUP(B217,'12.COT.MERCADO'!A:I,8,0)))),"Em Elaboração")</f>
        <v>9.71</v>
      </c>
      <c r="J217" s="259">
        <f t="shared" si="13"/>
        <v>0</v>
      </c>
      <c r="K217" s="259">
        <f t="shared" si="14"/>
        <v>11.37365882</v>
      </c>
      <c r="L217" s="259">
        <f t="shared" si="15"/>
        <v>11.37365882</v>
      </c>
      <c r="M217" s="259">
        <f t="shared" si="16"/>
        <v>0</v>
      </c>
      <c r="N217" s="259">
        <f t="shared" si="17"/>
        <v>45.49463529</v>
      </c>
      <c r="O217" s="259">
        <f t="shared" si="18"/>
        <v>45.49463529</v>
      </c>
      <c r="P217" s="586">
        <f t="shared" si="3"/>
        <v>0.0002480047258</v>
      </c>
    </row>
    <row r="218">
      <c r="A218" s="253" t="s">
        <v>762</v>
      </c>
      <c r="B218" s="254">
        <v>1924.0</v>
      </c>
      <c r="C218" s="255" t="str">
        <f t="shared" si="12"/>
        <v>SINAPI</v>
      </c>
      <c r="D218" s="256" t="s">
        <v>286</v>
      </c>
      <c r="E218" s="257" t="str">
        <f>IFERROR(IF(D218="SINAPI-S",VLOOKUP(B218,'20-B.SINAPI-S'!A:J,2,0),IF(D218="SINAPI-I",VLOOKUP(B218,'20-A.SINAPI-I'!A:G,2,0),IF(D218="COMPOSIÇÕES",VLOOKUP(B218,'11.COMPOSIÇÕES GERAIS'!B:I,2,0),VLOOKUP(B218,'12.COT.MERCADO'!A:I,2,0)))),"Em Elaboração")</f>
        <v>CURVA DE PVC 45 GRAUS, SOLDAVEL, 60 MM, COR MARROM, PARA AGUA FRIA PREDIAL</v>
      </c>
      <c r="F218" s="258" t="str">
        <f>IFERROR(IF(D218="SINAPI-S",VLOOKUP(B218,'20-B.SINAPI-S'!A:J,3,0),IF(D218="SINAPI-I",VLOOKUP(B218,'20-A.SINAPI-I'!A:G,3,0),IF(D218="COMPOSIÇÕES",VLOOKUP(B218,'11.COMPOSIÇÕES GERAIS'!B:I,3,0),VLOOKUP(B218,'12.COT.MERCADO'!A:I,7,0)))),"Em Elaboração")</f>
        <v>UN</v>
      </c>
      <c r="G218" s="254">
        <v>4.0</v>
      </c>
      <c r="H218" s="259">
        <f>IFERROR(IF(D218="SINAPI-S",VLOOKUP(B218,'20-B.SINAPI-S'!A:J,5,0),IF(D218="SINAPI-I",VLOOKUP(B218,'20-A.SINAPI-I'!A:G,6,0),IF(D218="COMPOSIÇÕES",VLOOKUP(B218,'11.COMPOSIÇÕES GERAIS'!B:I,7,0),0))),"Em Elaboração")</f>
        <v>0</v>
      </c>
      <c r="I218" s="259">
        <f>IFERROR(IF(D218="SINAPI-S",VLOOKUP(B218,'20-B.SINAPI-S'!A:J,6,0),IF(D218="SINAPI-I",VLOOKUP(B218,'20-A.SINAPI-I'!A:G,7,0),IF(D218="COMPOSIÇÕES",VLOOKUP(B218,'11.COMPOSIÇÕES GERAIS'!B:I,8,0),VLOOKUP(B218,'12.COT.MERCADO'!A:I,8,0)))),"Em Elaboração")</f>
        <v>15.68</v>
      </c>
      <c r="J218" s="259">
        <f t="shared" si="13"/>
        <v>0</v>
      </c>
      <c r="K218" s="259">
        <f t="shared" si="14"/>
        <v>18.36652629</v>
      </c>
      <c r="L218" s="259">
        <f t="shared" si="15"/>
        <v>18.36652629</v>
      </c>
      <c r="M218" s="259">
        <f t="shared" si="16"/>
        <v>0</v>
      </c>
      <c r="N218" s="259">
        <f t="shared" si="17"/>
        <v>73.46610518</v>
      </c>
      <c r="O218" s="259">
        <f t="shared" si="18"/>
        <v>73.46610518</v>
      </c>
      <c r="P218" s="586">
        <f t="shared" si="3"/>
        <v>0.0004004854893</v>
      </c>
    </row>
    <row r="219">
      <c r="A219" s="253" t="s">
        <v>763</v>
      </c>
      <c r="B219" s="254">
        <v>1939.0</v>
      </c>
      <c r="C219" s="255" t="str">
        <f t="shared" si="12"/>
        <v>SINAPI</v>
      </c>
      <c r="D219" s="256" t="s">
        <v>286</v>
      </c>
      <c r="E219" s="257" t="str">
        <f>IFERROR(IF(D219="SINAPI-S",VLOOKUP(B219,'20-B.SINAPI-S'!A:J,2,0),IF(D219="SINAPI-I",VLOOKUP(B219,'20-A.SINAPI-I'!A:G,2,0),IF(D219="COMPOSIÇÕES",VLOOKUP(B219,'11.COMPOSIÇÕES GERAIS'!B:I,2,0),VLOOKUP(B219,'12.COT.MERCADO'!A:I,2,0)))),"Em Elaboração")</f>
        <v>CURVA PVC 90 GRAUS, ROSCAVEL, 1", COR BRANCA, AGUA FRIA PREDIAL</v>
      </c>
      <c r="F219" s="258" t="str">
        <f>IFERROR(IF(D219="SINAPI-S",VLOOKUP(B219,'20-B.SINAPI-S'!A:J,3,0),IF(D219="SINAPI-I",VLOOKUP(B219,'20-A.SINAPI-I'!A:G,3,0),IF(D219="COMPOSIÇÕES",VLOOKUP(B219,'11.COMPOSIÇÕES GERAIS'!B:I,3,0),VLOOKUP(B219,'12.COT.MERCADO'!A:I,7,0)))),"Em Elaboração")</f>
        <v>UN</v>
      </c>
      <c r="G219" s="254">
        <v>2.0</v>
      </c>
      <c r="H219" s="259">
        <f>IFERROR(IF(D219="SINAPI-S",VLOOKUP(B219,'20-B.SINAPI-S'!A:J,5,0),IF(D219="SINAPI-I",VLOOKUP(B219,'20-A.SINAPI-I'!A:G,6,0),IF(D219="COMPOSIÇÕES",VLOOKUP(B219,'11.COMPOSIÇÕES GERAIS'!B:I,7,0),0))),"Em Elaboração")</f>
        <v>0</v>
      </c>
      <c r="I219" s="259">
        <f>IFERROR(IF(D219="SINAPI-S",VLOOKUP(B219,'20-B.SINAPI-S'!A:J,6,0),IF(D219="SINAPI-I",VLOOKUP(B219,'20-A.SINAPI-I'!A:G,7,0),IF(D219="COMPOSIÇÕES",VLOOKUP(B219,'11.COMPOSIÇÕES GERAIS'!B:I,8,0),VLOOKUP(B219,'12.COT.MERCADO'!A:I,8,0)))),"Em Elaboração")</f>
        <v>9.57</v>
      </c>
      <c r="J219" s="259">
        <f t="shared" si="13"/>
        <v>0</v>
      </c>
      <c r="K219" s="259">
        <f t="shared" si="14"/>
        <v>11.20967198</v>
      </c>
      <c r="L219" s="259">
        <f t="shared" si="15"/>
        <v>11.20967198</v>
      </c>
      <c r="M219" s="259">
        <f t="shared" si="16"/>
        <v>0</v>
      </c>
      <c r="N219" s="259">
        <f t="shared" si="17"/>
        <v>22.41934396</v>
      </c>
      <c r="O219" s="259">
        <f t="shared" si="18"/>
        <v>22.41934396</v>
      </c>
      <c r="P219" s="586">
        <f t="shared" si="3"/>
        <v>0.0001222144813</v>
      </c>
    </row>
    <row r="220">
      <c r="A220" s="253" t="s">
        <v>764</v>
      </c>
      <c r="B220" s="254">
        <v>1940.0</v>
      </c>
      <c r="C220" s="255" t="str">
        <f t="shared" si="12"/>
        <v>SINAPI</v>
      </c>
      <c r="D220" s="256" t="s">
        <v>286</v>
      </c>
      <c r="E220" s="257" t="str">
        <f>IFERROR(IF(D220="SINAPI-S",VLOOKUP(B220,'20-B.SINAPI-S'!A:J,2,0),IF(D220="SINAPI-I",VLOOKUP(B220,'20-A.SINAPI-I'!A:G,2,0),IF(D220="COMPOSIÇÕES",VLOOKUP(B220,'11.COMPOSIÇÕES GERAIS'!B:I,2,0),VLOOKUP(B220,'12.COT.MERCADO'!A:I,2,0)))),"Em Elaboração")</f>
        <v>CURVA PVC 90 GRAUS, ROSCAVEL, 1 1/4", COR BRANCA, AGUA FRIA PREDIAL</v>
      </c>
      <c r="F220" s="258" t="str">
        <f>IFERROR(IF(D220="SINAPI-S",VLOOKUP(B220,'20-B.SINAPI-S'!A:J,3,0),IF(D220="SINAPI-I",VLOOKUP(B220,'20-A.SINAPI-I'!A:G,3,0),IF(D220="COMPOSIÇÕES",VLOOKUP(B220,'11.COMPOSIÇÕES GERAIS'!B:I,3,0),VLOOKUP(B220,'12.COT.MERCADO'!A:I,7,0)))),"Em Elaboração")</f>
        <v>UN</v>
      </c>
      <c r="G220" s="254">
        <v>2.0</v>
      </c>
      <c r="H220" s="259">
        <f>IFERROR(IF(D220="SINAPI-S",VLOOKUP(B220,'20-B.SINAPI-S'!A:J,5,0),IF(D220="SINAPI-I",VLOOKUP(B220,'20-A.SINAPI-I'!A:G,6,0),IF(D220="COMPOSIÇÕES",VLOOKUP(B220,'11.COMPOSIÇÕES GERAIS'!B:I,7,0),0))),"Em Elaboração")</f>
        <v>0</v>
      </c>
      <c r="I220" s="259">
        <f>IFERROR(IF(D220="SINAPI-S",VLOOKUP(B220,'20-B.SINAPI-S'!A:J,6,0),IF(D220="SINAPI-I",VLOOKUP(B220,'20-A.SINAPI-I'!A:G,7,0),IF(D220="COMPOSIÇÕES",VLOOKUP(B220,'11.COMPOSIÇÕES GERAIS'!B:I,8,0),VLOOKUP(B220,'12.COT.MERCADO'!A:I,8,0)))),"Em Elaboração")</f>
        <v>34.89</v>
      </c>
      <c r="J220" s="259">
        <f t="shared" si="13"/>
        <v>0</v>
      </c>
      <c r="K220" s="259">
        <f t="shared" si="14"/>
        <v>40.86786368</v>
      </c>
      <c r="L220" s="259">
        <f t="shared" si="15"/>
        <v>40.86786368</v>
      </c>
      <c r="M220" s="259">
        <f t="shared" si="16"/>
        <v>0</v>
      </c>
      <c r="N220" s="259">
        <f t="shared" si="17"/>
        <v>81.73572735</v>
      </c>
      <c r="O220" s="259">
        <f t="shared" si="18"/>
        <v>81.73572735</v>
      </c>
      <c r="P220" s="586">
        <f t="shared" si="3"/>
        <v>0.000445565648</v>
      </c>
    </row>
    <row r="221">
      <c r="A221" s="253" t="s">
        <v>765</v>
      </c>
      <c r="B221" s="254">
        <v>1937.0</v>
      </c>
      <c r="C221" s="255" t="str">
        <f t="shared" si="12"/>
        <v>SINAPI</v>
      </c>
      <c r="D221" s="256" t="s">
        <v>286</v>
      </c>
      <c r="E221" s="257" t="str">
        <f>IFERROR(IF(D221="SINAPI-S",VLOOKUP(B221,'20-B.SINAPI-S'!A:J,2,0),IF(D221="SINAPI-I",VLOOKUP(B221,'20-A.SINAPI-I'!A:G,2,0),IF(D221="COMPOSIÇÕES",VLOOKUP(B221,'11.COMPOSIÇÕES GERAIS'!B:I,2,0),VLOOKUP(B221,'12.COT.MERCADO'!A:I,2,0)))),"Em Elaboração")</f>
        <v>CURVA PVC 90 GRAUS, ROSCAVEL, 1/2", COR BRANCA, AGUA FRIA PREDIAL</v>
      </c>
      <c r="F221" s="258" t="str">
        <f>IFERROR(IF(D221="SINAPI-S",VLOOKUP(B221,'20-B.SINAPI-S'!A:J,3,0),IF(D221="SINAPI-I",VLOOKUP(B221,'20-A.SINAPI-I'!A:G,3,0),IF(D221="COMPOSIÇÕES",VLOOKUP(B221,'11.COMPOSIÇÕES GERAIS'!B:I,3,0),VLOOKUP(B221,'12.COT.MERCADO'!A:I,7,0)))),"Em Elaboração")</f>
        <v>UN</v>
      </c>
      <c r="G221" s="254">
        <v>2.0</v>
      </c>
      <c r="H221" s="259">
        <f>IFERROR(IF(D221="SINAPI-S",VLOOKUP(B221,'20-B.SINAPI-S'!A:J,5,0),IF(D221="SINAPI-I",VLOOKUP(B221,'20-A.SINAPI-I'!A:G,6,0),IF(D221="COMPOSIÇÕES",VLOOKUP(B221,'11.COMPOSIÇÕES GERAIS'!B:I,7,0),0))),"Em Elaboração")</f>
        <v>0</v>
      </c>
      <c r="I221" s="259">
        <f>IFERROR(IF(D221="SINAPI-S",VLOOKUP(B221,'20-B.SINAPI-S'!A:J,6,0),IF(D221="SINAPI-I",VLOOKUP(B221,'20-A.SINAPI-I'!A:G,7,0),IF(D221="COMPOSIÇÕES",VLOOKUP(B221,'11.COMPOSIÇÕES GERAIS'!B:I,8,0),VLOOKUP(B221,'12.COT.MERCADO'!A:I,8,0)))),"Em Elaboração")</f>
        <v>5.89</v>
      </c>
      <c r="J221" s="259">
        <f t="shared" si="13"/>
        <v>0</v>
      </c>
      <c r="K221" s="259">
        <f t="shared" si="14"/>
        <v>6.899160706</v>
      </c>
      <c r="L221" s="259">
        <f t="shared" si="15"/>
        <v>6.899160706</v>
      </c>
      <c r="M221" s="259">
        <f t="shared" si="16"/>
        <v>0</v>
      </c>
      <c r="N221" s="259">
        <f t="shared" si="17"/>
        <v>13.79832141</v>
      </c>
      <c r="O221" s="259">
        <f t="shared" si="18"/>
        <v>13.79832141</v>
      </c>
      <c r="P221" s="586">
        <f t="shared" si="3"/>
        <v>0.00007521873508</v>
      </c>
    </row>
    <row r="222">
      <c r="A222" s="253" t="s">
        <v>766</v>
      </c>
      <c r="B222" s="254">
        <v>1938.0</v>
      </c>
      <c r="C222" s="255" t="str">
        <f t="shared" si="12"/>
        <v>SINAPI</v>
      </c>
      <c r="D222" s="256" t="s">
        <v>286</v>
      </c>
      <c r="E222" s="257" t="str">
        <f>IFERROR(IF(D222="SINAPI-S",VLOOKUP(B222,'20-B.SINAPI-S'!A:J,2,0),IF(D222="SINAPI-I",VLOOKUP(B222,'20-A.SINAPI-I'!A:G,2,0),IF(D222="COMPOSIÇÕES",VLOOKUP(B222,'11.COMPOSIÇÕES GERAIS'!B:I,2,0),VLOOKUP(B222,'12.COT.MERCADO'!A:I,2,0)))),"Em Elaboração")</f>
        <v>CURVA PVC 90 GRAUS, ROSCAVEL, 3/4", COR BRANCA, AGUA FRIA PREDIAL</v>
      </c>
      <c r="F222" s="258" t="str">
        <f>IFERROR(IF(D222="SINAPI-S",VLOOKUP(B222,'20-B.SINAPI-S'!A:J,3,0),IF(D222="SINAPI-I",VLOOKUP(B222,'20-A.SINAPI-I'!A:G,3,0),IF(D222="COMPOSIÇÕES",VLOOKUP(B222,'11.COMPOSIÇÕES GERAIS'!B:I,3,0),VLOOKUP(B222,'12.COT.MERCADO'!A:I,7,0)))),"Em Elaboração")</f>
        <v>UN</v>
      </c>
      <c r="G222" s="254">
        <v>2.0</v>
      </c>
      <c r="H222" s="259">
        <f>IFERROR(IF(D222="SINAPI-S",VLOOKUP(B222,'20-B.SINAPI-S'!A:J,5,0),IF(D222="SINAPI-I",VLOOKUP(B222,'20-A.SINAPI-I'!A:G,6,0),IF(D222="COMPOSIÇÕES",VLOOKUP(B222,'11.COMPOSIÇÕES GERAIS'!B:I,7,0),0))),"Em Elaboração")</f>
        <v>0</v>
      </c>
      <c r="I222" s="259">
        <f>IFERROR(IF(D222="SINAPI-S",VLOOKUP(B222,'20-B.SINAPI-S'!A:J,6,0),IF(D222="SINAPI-I",VLOOKUP(B222,'20-A.SINAPI-I'!A:G,7,0),IF(D222="COMPOSIÇÕES",VLOOKUP(B222,'11.COMPOSIÇÕES GERAIS'!B:I,8,0),VLOOKUP(B222,'12.COT.MERCADO'!A:I,8,0)))),"Em Elaboração")</f>
        <v>6.69</v>
      </c>
      <c r="J222" s="259">
        <f t="shared" si="13"/>
        <v>0</v>
      </c>
      <c r="K222" s="259">
        <f t="shared" si="14"/>
        <v>7.836228375</v>
      </c>
      <c r="L222" s="259">
        <f t="shared" si="15"/>
        <v>7.836228375</v>
      </c>
      <c r="M222" s="259">
        <f t="shared" si="16"/>
        <v>0</v>
      </c>
      <c r="N222" s="259">
        <f t="shared" si="17"/>
        <v>15.67245675</v>
      </c>
      <c r="O222" s="259">
        <f t="shared" si="18"/>
        <v>15.67245675</v>
      </c>
      <c r="P222" s="586">
        <f t="shared" si="3"/>
        <v>0.00008543520164</v>
      </c>
    </row>
    <row r="223">
      <c r="A223" s="253" t="s">
        <v>767</v>
      </c>
      <c r="B223" s="254">
        <v>1955.0</v>
      </c>
      <c r="C223" s="255" t="str">
        <f t="shared" si="12"/>
        <v>SINAPI</v>
      </c>
      <c r="D223" s="256" t="s">
        <v>286</v>
      </c>
      <c r="E223" s="257" t="str">
        <f>IFERROR(IF(D223="SINAPI-S",VLOOKUP(B223,'20-B.SINAPI-S'!A:J,2,0),IF(D223="SINAPI-I",VLOOKUP(B223,'20-A.SINAPI-I'!A:G,2,0),IF(D223="COMPOSIÇÕES",VLOOKUP(B223,'11.COMPOSIÇÕES GERAIS'!B:I,2,0),VLOOKUP(B223,'12.COT.MERCADO'!A:I,2,0)))),"Em Elaboração")</f>
        <v>CURVA DE PVC 90 GRAUS, SOLDAVEL, 20 MM, COR MARROM, PARA AGUA FRIA PREDIAL</v>
      </c>
      <c r="F223" s="258" t="str">
        <f>IFERROR(IF(D223="SINAPI-S",VLOOKUP(B223,'20-B.SINAPI-S'!A:J,3,0),IF(D223="SINAPI-I",VLOOKUP(B223,'20-A.SINAPI-I'!A:G,3,0),IF(D223="COMPOSIÇÕES",VLOOKUP(B223,'11.COMPOSIÇÕES GERAIS'!B:I,3,0),VLOOKUP(B223,'12.COT.MERCADO'!A:I,7,0)))),"Em Elaboração")</f>
        <v>UN</v>
      </c>
      <c r="G223" s="254">
        <v>2.0</v>
      </c>
      <c r="H223" s="259">
        <f>IFERROR(IF(D223="SINAPI-S",VLOOKUP(B223,'20-B.SINAPI-S'!A:J,5,0),IF(D223="SINAPI-I",VLOOKUP(B223,'20-A.SINAPI-I'!A:G,6,0),IF(D223="COMPOSIÇÕES",VLOOKUP(B223,'11.COMPOSIÇÕES GERAIS'!B:I,7,0),0))),"Em Elaboração")</f>
        <v>0</v>
      </c>
      <c r="I223" s="259">
        <f>IFERROR(IF(D223="SINAPI-S",VLOOKUP(B223,'20-B.SINAPI-S'!A:J,6,0),IF(D223="SINAPI-I",VLOOKUP(B223,'20-A.SINAPI-I'!A:G,7,0),IF(D223="COMPOSIÇÕES",VLOOKUP(B223,'11.COMPOSIÇÕES GERAIS'!B:I,8,0),VLOOKUP(B223,'12.COT.MERCADO'!A:I,8,0)))),"Em Elaboração")</f>
        <v>2.21</v>
      </c>
      <c r="J223" s="259">
        <f t="shared" si="13"/>
        <v>0</v>
      </c>
      <c r="K223" s="259">
        <f t="shared" si="14"/>
        <v>2.588649433</v>
      </c>
      <c r="L223" s="259">
        <f t="shared" si="15"/>
        <v>2.588649433</v>
      </c>
      <c r="M223" s="259">
        <f t="shared" si="16"/>
        <v>0</v>
      </c>
      <c r="N223" s="259">
        <f t="shared" si="17"/>
        <v>5.177298866</v>
      </c>
      <c r="O223" s="259">
        <f t="shared" si="18"/>
        <v>5.177298866</v>
      </c>
      <c r="P223" s="586">
        <f t="shared" si="3"/>
        <v>0.00002822298888</v>
      </c>
    </row>
    <row r="224">
      <c r="A224" s="253" t="s">
        <v>768</v>
      </c>
      <c r="B224" s="254">
        <v>1956.0</v>
      </c>
      <c r="C224" s="255" t="str">
        <f t="shared" si="12"/>
        <v>SINAPI</v>
      </c>
      <c r="D224" s="256" t="s">
        <v>286</v>
      </c>
      <c r="E224" s="257" t="str">
        <f>IFERROR(IF(D224="SINAPI-S",VLOOKUP(B224,'20-B.SINAPI-S'!A:J,2,0),IF(D224="SINAPI-I",VLOOKUP(B224,'20-A.SINAPI-I'!A:G,2,0),IF(D224="COMPOSIÇÕES",VLOOKUP(B224,'11.COMPOSIÇÕES GERAIS'!B:I,2,0),VLOOKUP(B224,'12.COT.MERCADO'!A:I,2,0)))),"Em Elaboração")</f>
        <v>CURVA DE PVC 90 GRAUS, SOLDAVEL, 25 MM, COR MARROM, PARA AGUA FRIA PREDIAL</v>
      </c>
      <c r="F224" s="258" t="str">
        <f>IFERROR(IF(D224="SINAPI-S",VLOOKUP(B224,'20-B.SINAPI-S'!A:J,3,0),IF(D224="SINAPI-I",VLOOKUP(B224,'20-A.SINAPI-I'!A:G,3,0),IF(D224="COMPOSIÇÕES",VLOOKUP(B224,'11.COMPOSIÇÕES GERAIS'!B:I,3,0),VLOOKUP(B224,'12.COT.MERCADO'!A:I,7,0)))),"Em Elaboração")</f>
        <v>UN</v>
      </c>
      <c r="G224" s="254">
        <v>2.0</v>
      </c>
      <c r="H224" s="259">
        <f>IFERROR(IF(D224="SINAPI-S",VLOOKUP(B224,'20-B.SINAPI-S'!A:J,5,0),IF(D224="SINAPI-I",VLOOKUP(B224,'20-A.SINAPI-I'!A:G,6,0),IF(D224="COMPOSIÇÕES",VLOOKUP(B224,'11.COMPOSIÇÕES GERAIS'!B:I,7,0),0))),"Em Elaboração")</f>
        <v>0</v>
      </c>
      <c r="I224" s="259">
        <f>IFERROR(IF(D224="SINAPI-S",VLOOKUP(B224,'20-B.SINAPI-S'!A:J,6,0),IF(D224="SINAPI-I",VLOOKUP(B224,'20-A.SINAPI-I'!A:G,7,0),IF(D224="COMPOSIÇÕES",VLOOKUP(B224,'11.COMPOSIÇÕES GERAIS'!B:I,8,0),VLOOKUP(B224,'12.COT.MERCADO'!A:I,8,0)))),"Em Elaboração")</f>
        <v>3.13</v>
      </c>
      <c r="J224" s="259">
        <f t="shared" si="13"/>
        <v>0</v>
      </c>
      <c r="K224" s="259">
        <f t="shared" si="14"/>
        <v>3.666277251</v>
      </c>
      <c r="L224" s="259">
        <f t="shared" si="15"/>
        <v>3.666277251</v>
      </c>
      <c r="M224" s="259">
        <f t="shared" si="16"/>
        <v>0</v>
      </c>
      <c r="N224" s="259">
        <f t="shared" si="17"/>
        <v>7.332554503</v>
      </c>
      <c r="O224" s="259">
        <f t="shared" si="18"/>
        <v>7.332554503</v>
      </c>
      <c r="P224" s="586">
        <f t="shared" si="3"/>
        <v>0.00003997192543</v>
      </c>
    </row>
    <row r="225">
      <c r="A225" s="253" t="s">
        <v>769</v>
      </c>
      <c r="B225" s="254">
        <v>1957.0</v>
      </c>
      <c r="C225" s="255" t="str">
        <f t="shared" si="12"/>
        <v>SINAPI</v>
      </c>
      <c r="D225" s="256" t="s">
        <v>286</v>
      </c>
      <c r="E225" s="257" t="str">
        <f>IFERROR(IF(D225="SINAPI-S",VLOOKUP(B225,'20-B.SINAPI-S'!A:J,2,0),IF(D225="SINAPI-I",VLOOKUP(B225,'20-A.SINAPI-I'!A:G,2,0),IF(D225="COMPOSIÇÕES",VLOOKUP(B225,'11.COMPOSIÇÕES GERAIS'!B:I,2,0),VLOOKUP(B225,'12.COT.MERCADO'!A:I,2,0)))),"Em Elaboração")</f>
        <v>CURVA DE PVC 90 GRAUS, SOLDAVEL, 32 MM, COR MARROM, PARA AGUA FRIA PREDIAL</v>
      </c>
      <c r="F225" s="258" t="str">
        <f>IFERROR(IF(D225="SINAPI-S",VLOOKUP(B225,'20-B.SINAPI-S'!A:J,3,0),IF(D225="SINAPI-I",VLOOKUP(B225,'20-A.SINAPI-I'!A:G,3,0),IF(D225="COMPOSIÇÕES",VLOOKUP(B225,'11.COMPOSIÇÕES GERAIS'!B:I,3,0),VLOOKUP(B225,'12.COT.MERCADO'!A:I,7,0)))),"Em Elaboração")</f>
        <v>UN</v>
      </c>
      <c r="G225" s="254">
        <v>2.0</v>
      </c>
      <c r="H225" s="259">
        <f>IFERROR(IF(D225="SINAPI-S",VLOOKUP(B225,'20-B.SINAPI-S'!A:J,5,0),IF(D225="SINAPI-I",VLOOKUP(B225,'20-A.SINAPI-I'!A:G,6,0),IF(D225="COMPOSIÇÕES",VLOOKUP(B225,'11.COMPOSIÇÕES GERAIS'!B:I,7,0),0))),"Em Elaboração")</f>
        <v>0</v>
      </c>
      <c r="I225" s="259">
        <f>IFERROR(IF(D225="SINAPI-S",VLOOKUP(B225,'20-B.SINAPI-S'!A:J,6,0),IF(D225="SINAPI-I",VLOOKUP(B225,'20-A.SINAPI-I'!A:G,7,0),IF(D225="COMPOSIÇÕES",VLOOKUP(B225,'11.COMPOSIÇÕES GERAIS'!B:I,8,0),VLOOKUP(B225,'12.COT.MERCADO'!A:I,8,0)))),"Em Elaboração")</f>
        <v>6.76</v>
      </c>
      <c r="J225" s="259">
        <f t="shared" si="13"/>
        <v>0</v>
      </c>
      <c r="K225" s="259">
        <f t="shared" si="14"/>
        <v>7.918221796</v>
      </c>
      <c r="L225" s="259">
        <f t="shared" si="15"/>
        <v>7.918221796</v>
      </c>
      <c r="M225" s="259">
        <f t="shared" si="16"/>
        <v>0</v>
      </c>
      <c r="N225" s="259">
        <f t="shared" si="17"/>
        <v>15.83644359</v>
      </c>
      <c r="O225" s="259">
        <f t="shared" si="18"/>
        <v>15.83644359</v>
      </c>
      <c r="P225" s="586">
        <f t="shared" si="3"/>
        <v>0.00008632914246</v>
      </c>
    </row>
    <row r="226">
      <c r="A226" s="253" t="s">
        <v>770</v>
      </c>
      <c r="B226" s="254">
        <v>1958.0</v>
      </c>
      <c r="C226" s="255" t="str">
        <f t="shared" si="12"/>
        <v>SINAPI</v>
      </c>
      <c r="D226" s="256" t="s">
        <v>286</v>
      </c>
      <c r="E226" s="257" t="str">
        <f>IFERROR(IF(D226="SINAPI-S",VLOOKUP(B226,'20-B.SINAPI-S'!A:J,2,0),IF(D226="SINAPI-I",VLOOKUP(B226,'20-A.SINAPI-I'!A:G,2,0),IF(D226="COMPOSIÇÕES",VLOOKUP(B226,'11.COMPOSIÇÕES GERAIS'!B:I,2,0),VLOOKUP(B226,'12.COT.MERCADO'!A:I,2,0)))),"Em Elaboração")</f>
        <v>CURVA DE PVC 90 GRAUS, SOLDAVEL, 40 MM, COR MARROM, PARA AGUA FRIA PREDIAL</v>
      </c>
      <c r="F226" s="258" t="str">
        <f>IFERROR(IF(D226="SINAPI-S",VLOOKUP(B226,'20-B.SINAPI-S'!A:J,3,0),IF(D226="SINAPI-I",VLOOKUP(B226,'20-A.SINAPI-I'!A:G,3,0),IF(D226="COMPOSIÇÕES",VLOOKUP(B226,'11.COMPOSIÇÕES GERAIS'!B:I,3,0),VLOOKUP(B226,'12.COT.MERCADO'!A:I,7,0)))),"Em Elaboração")</f>
        <v>UN</v>
      </c>
      <c r="G226" s="254">
        <v>2.0</v>
      </c>
      <c r="H226" s="259">
        <f>IFERROR(IF(D226="SINAPI-S",VLOOKUP(B226,'20-B.SINAPI-S'!A:J,5,0),IF(D226="SINAPI-I",VLOOKUP(B226,'20-A.SINAPI-I'!A:G,6,0),IF(D226="COMPOSIÇÕES",VLOOKUP(B226,'11.COMPOSIÇÕES GERAIS'!B:I,7,0),0))),"Em Elaboração")</f>
        <v>0</v>
      </c>
      <c r="I226" s="259">
        <f>IFERROR(IF(D226="SINAPI-S",VLOOKUP(B226,'20-B.SINAPI-S'!A:J,6,0),IF(D226="SINAPI-I",VLOOKUP(B226,'20-A.SINAPI-I'!A:G,7,0),IF(D226="COMPOSIÇÕES",VLOOKUP(B226,'11.COMPOSIÇÕES GERAIS'!B:I,8,0),VLOOKUP(B226,'12.COT.MERCADO'!A:I,8,0)))),"Em Elaboração")</f>
        <v>12.59</v>
      </c>
      <c r="J226" s="259">
        <f t="shared" si="13"/>
        <v>0</v>
      </c>
      <c r="K226" s="259">
        <f t="shared" si="14"/>
        <v>14.74710243</v>
      </c>
      <c r="L226" s="259">
        <f t="shared" si="15"/>
        <v>14.74710243</v>
      </c>
      <c r="M226" s="259">
        <f t="shared" si="16"/>
        <v>0</v>
      </c>
      <c r="N226" s="259">
        <f t="shared" si="17"/>
        <v>29.49420485</v>
      </c>
      <c r="O226" s="259">
        <f t="shared" si="18"/>
        <v>29.49420485</v>
      </c>
      <c r="P226" s="586">
        <f t="shared" si="3"/>
        <v>0.0001607816425</v>
      </c>
    </row>
    <row r="227">
      <c r="A227" s="253" t="s">
        <v>771</v>
      </c>
      <c r="B227" s="254">
        <v>1959.0</v>
      </c>
      <c r="C227" s="255" t="str">
        <f t="shared" si="12"/>
        <v>SINAPI</v>
      </c>
      <c r="D227" s="256" t="s">
        <v>286</v>
      </c>
      <c r="E227" s="257" t="str">
        <f>IFERROR(IF(D227="SINAPI-S",VLOOKUP(B227,'20-B.SINAPI-S'!A:J,2,0),IF(D227="SINAPI-I",VLOOKUP(B227,'20-A.SINAPI-I'!A:G,2,0),IF(D227="COMPOSIÇÕES",VLOOKUP(B227,'11.COMPOSIÇÕES GERAIS'!B:I,2,0),VLOOKUP(B227,'12.COT.MERCADO'!A:I,2,0)))),"Em Elaboração")</f>
        <v>CURVA DE PVC 90 GRAUS, SOLDAVEL, 50 MM, COR MARROM, PARA AGUA FRIA PREDIAL</v>
      </c>
      <c r="F227" s="258" t="str">
        <f>IFERROR(IF(D227="SINAPI-S",VLOOKUP(B227,'20-B.SINAPI-S'!A:J,3,0),IF(D227="SINAPI-I",VLOOKUP(B227,'20-A.SINAPI-I'!A:G,3,0),IF(D227="COMPOSIÇÕES",VLOOKUP(B227,'11.COMPOSIÇÕES GERAIS'!B:I,3,0),VLOOKUP(B227,'12.COT.MERCADO'!A:I,7,0)))),"Em Elaboração")</f>
        <v>UN</v>
      </c>
      <c r="G227" s="254">
        <v>2.0</v>
      </c>
      <c r="H227" s="259">
        <f>IFERROR(IF(D227="SINAPI-S",VLOOKUP(B227,'20-B.SINAPI-S'!A:J,5,0),IF(D227="SINAPI-I",VLOOKUP(B227,'20-A.SINAPI-I'!A:G,6,0),IF(D227="COMPOSIÇÕES",VLOOKUP(B227,'11.COMPOSIÇÕES GERAIS'!B:I,7,0),0))),"Em Elaboração")</f>
        <v>0</v>
      </c>
      <c r="I227" s="259">
        <f>IFERROR(IF(D227="SINAPI-S",VLOOKUP(B227,'20-B.SINAPI-S'!A:J,6,0),IF(D227="SINAPI-I",VLOOKUP(B227,'20-A.SINAPI-I'!A:G,7,0),IF(D227="COMPOSIÇÕES",VLOOKUP(B227,'11.COMPOSIÇÕES GERAIS'!B:I,8,0),VLOOKUP(B227,'12.COT.MERCADO'!A:I,8,0)))),"Em Elaboração")</f>
        <v>13.66</v>
      </c>
      <c r="J227" s="259">
        <f t="shared" si="13"/>
        <v>0</v>
      </c>
      <c r="K227" s="259">
        <f t="shared" si="14"/>
        <v>16.00043043</v>
      </c>
      <c r="L227" s="259">
        <f t="shared" si="15"/>
        <v>16.00043043</v>
      </c>
      <c r="M227" s="259">
        <f t="shared" si="16"/>
        <v>0</v>
      </c>
      <c r="N227" s="259">
        <f t="shared" si="17"/>
        <v>32.00086087</v>
      </c>
      <c r="O227" s="259">
        <f t="shared" si="18"/>
        <v>32.00086087</v>
      </c>
      <c r="P227" s="586">
        <f t="shared" si="3"/>
        <v>0.0001744461666</v>
      </c>
    </row>
    <row r="228">
      <c r="A228" s="253" t="s">
        <v>772</v>
      </c>
      <c r="B228" s="254">
        <v>1925.0</v>
      </c>
      <c r="C228" s="255" t="str">
        <f t="shared" si="12"/>
        <v>SINAPI</v>
      </c>
      <c r="D228" s="256" t="s">
        <v>286</v>
      </c>
      <c r="E228" s="257" t="str">
        <f>IFERROR(IF(D228="SINAPI-S",VLOOKUP(B228,'20-B.SINAPI-S'!A:J,2,0),IF(D228="SINAPI-I",VLOOKUP(B228,'20-A.SINAPI-I'!A:G,2,0),IF(D228="COMPOSIÇÕES",VLOOKUP(B228,'11.COMPOSIÇÕES GERAIS'!B:I,2,0),VLOOKUP(B228,'12.COT.MERCADO'!A:I,2,0)))),"Em Elaboração")</f>
        <v>CURVA DE PVC 90 GRAUS, SOLDAVEL, 60 MM, COR MARROM, PARA AGUA FRIA PREDIAL</v>
      </c>
      <c r="F228" s="258" t="str">
        <f>IFERROR(IF(D228="SINAPI-S",VLOOKUP(B228,'20-B.SINAPI-S'!A:J,3,0),IF(D228="SINAPI-I",VLOOKUP(B228,'20-A.SINAPI-I'!A:G,3,0),IF(D228="COMPOSIÇÕES",VLOOKUP(B228,'11.COMPOSIÇÕES GERAIS'!B:I,3,0),VLOOKUP(B228,'12.COT.MERCADO'!A:I,7,0)))),"Em Elaboração")</f>
        <v>UN</v>
      </c>
      <c r="G228" s="254">
        <v>2.0</v>
      </c>
      <c r="H228" s="259">
        <f>IFERROR(IF(D228="SINAPI-S",VLOOKUP(B228,'20-B.SINAPI-S'!A:J,5,0),IF(D228="SINAPI-I",VLOOKUP(B228,'20-A.SINAPI-I'!A:G,6,0),IF(D228="COMPOSIÇÕES",VLOOKUP(B228,'11.COMPOSIÇÕES GERAIS'!B:I,7,0),0))),"Em Elaboração")</f>
        <v>0</v>
      </c>
      <c r="I228" s="259">
        <f>IFERROR(IF(D228="SINAPI-S",VLOOKUP(B228,'20-B.SINAPI-S'!A:J,6,0),IF(D228="SINAPI-I",VLOOKUP(B228,'20-A.SINAPI-I'!A:G,7,0),IF(D228="COMPOSIÇÕES",VLOOKUP(B228,'11.COMPOSIÇÕES GERAIS'!B:I,8,0),VLOOKUP(B228,'12.COT.MERCADO'!A:I,8,0)))),"Em Elaboração")</f>
        <v>35.71</v>
      </c>
      <c r="J228" s="259">
        <f t="shared" si="13"/>
        <v>0</v>
      </c>
      <c r="K228" s="259">
        <f t="shared" si="14"/>
        <v>41.82835804</v>
      </c>
      <c r="L228" s="259">
        <f t="shared" si="15"/>
        <v>41.82835804</v>
      </c>
      <c r="M228" s="259">
        <f t="shared" si="16"/>
        <v>0</v>
      </c>
      <c r="N228" s="259">
        <f t="shared" si="17"/>
        <v>83.65671607</v>
      </c>
      <c r="O228" s="259">
        <f t="shared" si="18"/>
        <v>83.65671607</v>
      </c>
      <c r="P228" s="586">
        <f t="shared" si="3"/>
        <v>0.0004560375262</v>
      </c>
    </row>
    <row r="229">
      <c r="A229" s="253" t="s">
        <v>773</v>
      </c>
      <c r="B229" s="254">
        <v>1966.0</v>
      </c>
      <c r="C229" s="255" t="str">
        <f t="shared" si="12"/>
        <v>SINAPI</v>
      </c>
      <c r="D229" s="256" t="s">
        <v>286</v>
      </c>
      <c r="E229" s="257" t="str">
        <f>IFERROR(IF(D229="SINAPI-S",VLOOKUP(B229,'20-B.SINAPI-S'!A:J,2,0),IF(D229="SINAPI-I",VLOOKUP(B229,'20-A.SINAPI-I'!A:G,2,0),IF(D229="COMPOSIÇÕES",VLOOKUP(B229,'11.COMPOSIÇÕES GERAIS'!B:I,2,0),VLOOKUP(B229,'12.COT.MERCADO'!A:I,2,0)))),"Em Elaboração")</f>
        <v>CURVA PVC CURTA 90 GRAUS, DN 100 MM, PARA ESGOTO PREDIAL</v>
      </c>
      <c r="F229" s="258" t="str">
        <f>IFERROR(IF(D229="SINAPI-S",VLOOKUP(B229,'20-B.SINAPI-S'!A:J,3,0),IF(D229="SINAPI-I",VLOOKUP(B229,'20-A.SINAPI-I'!A:G,3,0),IF(D229="COMPOSIÇÕES",VLOOKUP(B229,'11.COMPOSIÇÕES GERAIS'!B:I,3,0),VLOOKUP(B229,'12.COT.MERCADO'!A:I,7,0)))),"Em Elaboração")</f>
        <v>UN</v>
      </c>
      <c r="G229" s="254">
        <v>3.0</v>
      </c>
      <c r="H229" s="259">
        <f>IFERROR(IF(D229="SINAPI-S",VLOOKUP(B229,'20-B.SINAPI-S'!A:J,5,0),IF(D229="SINAPI-I",VLOOKUP(B229,'20-A.SINAPI-I'!A:G,6,0),IF(D229="COMPOSIÇÕES",VLOOKUP(B229,'11.COMPOSIÇÕES GERAIS'!B:I,7,0),0))),"Em Elaboração")</f>
        <v>0</v>
      </c>
      <c r="I229" s="259">
        <f>IFERROR(IF(D229="SINAPI-S",VLOOKUP(B229,'20-B.SINAPI-S'!A:J,6,0),IF(D229="SINAPI-I",VLOOKUP(B229,'20-A.SINAPI-I'!A:G,7,0),IF(D229="COMPOSIÇÕES",VLOOKUP(B229,'11.COMPOSIÇÕES GERAIS'!B:I,8,0),VLOOKUP(B229,'12.COT.MERCADO'!A:I,8,0)))),"Em Elaboração")</f>
        <v>26.6</v>
      </c>
      <c r="J229" s="259">
        <f t="shared" si="13"/>
        <v>0</v>
      </c>
      <c r="K229" s="259">
        <f t="shared" si="14"/>
        <v>31.15749996</v>
      </c>
      <c r="L229" s="259">
        <f t="shared" si="15"/>
        <v>31.15749996</v>
      </c>
      <c r="M229" s="259">
        <f t="shared" si="16"/>
        <v>0</v>
      </c>
      <c r="N229" s="259">
        <f t="shared" si="17"/>
        <v>93.47249989</v>
      </c>
      <c r="O229" s="259">
        <f t="shared" si="18"/>
        <v>93.47249989</v>
      </c>
      <c r="P229" s="586">
        <f t="shared" si="3"/>
        <v>0.0005095462699</v>
      </c>
    </row>
    <row r="230">
      <c r="A230" s="253" t="s">
        <v>774</v>
      </c>
      <c r="B230" s="254">
        <v>1933.0</v>
      </c>
      <c r="C230" s="255" t="str">
        <f t="shared" si="12"/>
        <v>SINAPI</v>
      </c>
      <c r="D230" s="256" t="s">
        <v>286</v>
      </c>
      <c r="E230" s="257" t="str">
        <f>IFERROR(IF(D230="SINAPI-S",VLOOKUP(B230,'20-B.SINAPI-S'!A:J,2,0),IF(D230="SINAPI-I",VLOOKUP(B230,'20-A.SINAPI-I'!A:G,2,0),IF(D230="COMPOSIÇÕES",VLOOKUP(B230,'11.COMPOSIÇÕES GERAIS'!B:I,2,0),VLOOKUP(B230,'12.COT.MERCADO'!A:I,2,0)))),"Em Elaboração")</f>
        <v>CURVA PVC CURTA 90 GRAUS, DN 40 MM, PARA ESGOTO PREDIAL</v>
      </c>
      <c r="F230" s="258" t="str">
        <f>IFERROR(IF(D230="SINAPI-S",VLOOKUP(B230,'20-B.SINAPI-S'!A:J,3,0),IF(D230="SINAPI-I",VLOOKUP(B230,'20-A.SINAPI-I'!A:G,3,0),IF(D230="COMPOSIÇÕES",VLOOKUP(B230,'11.COMPOSIÇÕES GERAIS'!B:I,3,0),VLOOKUP(B230,'12.COT.MERCADO'!A:I,7,0)))),"Em Elaboração")</f>
        <v>UN</v>
      </c>
      <c r="G230" s="254">
        <v>3.0</v>
      </c>
      <c r="H230" s="259">
        <f>IFERROR(IF(D230="SINAPI-S",VLOOKUP(B230,'20-B.SINAPI-S'!A:J,5,0),IF(D230="SINAPI-I",VLOOKUP(B230,'20-A.SINAPI-I'!A:G,6,0),IF(D230="COMPOSIÇÕES",VLOOKUP(B230,'11.COMPOSIÇÕES GERAIS'!B:I,7,0),0))),"Em Elaboração")</f>
        <v>0</v>
      </c>
      <c r="I230" s="259">
        <f>IFERROR(IF(D230="SINAPI-S",VLOOKUP(B230,'20-B.SINAPI-S'!A:J,6,0),IF(D230="SINAPI-I",VLOOKUP(B230,'20-A.SINAPI-I'!A:G,7,0),IF(D230="COMPOSIÇÕES",VLOOKUP(B230,'11.COMPOSIÇÕES GERAIS'!B:I,8,0),VLOOKUP(B230,'12.COT.MERCADO'!A:I,8,0)))),"Em Elaboração")</f>
        <v>5.73</v>
      </c>
      <c r="J230" s="259">
        <f t="shared" si="13"/>
        <v>0</v>
      </c>
      <c r="K230" s="259">
        <f t="shared" si="14"/>
        <v>6.711747173</v>
      </c>
      <c r="L230" s="259">
        <f t="shared" si="15"/>
        <v>6.711747173</v>
      </c>
      <c r="M230" s="259">
        <f t="shared" si="16"/>
        <v>0</v>
      </c>
      <c r="N230" s="259">
        <f t="shared" si="17"/>
        <v>20.13524152</v>
      </c>
      <c r="O230" s="259">
        <f t="shared" si="18"/>
        <v>20.13524152</v>
      </c>
      <c r="P230" s="586">
        <f t="shared" si="3"/>
        <v>0.0001097631626</v>
      </c>
    </row>
    <row r="231">
      <c r="A231" s="253" t="s">
        <v>775</v>
      </c>
      <c r="B231" s="254">
        <v>1932.0</v>
      </c>
      <c r="C231" s="255" t="str">
        <f t="shared" si="12"/>
        <v>SINAPI</v>
      </c>
      <c r="D231" s="256" t="s">
        <v>286</v>
      </c>
      <c r="E231" s="257" t="str">
        <f>IFERROR(IF(D231="SINAPI-S",VLOOKUP(B231,'20-B.SINAPI-S'!A:J,2,0),IF(D231="SINAPI-I",VLOOKUP(B231,'20-A.SINAPI-I'!A:G,2,0),IF(D231="COMPOSIÇÕES",VLOOKUP(B231,'11.COMPOSIÇÕES GERAIS'!B:I,2,0),VLOOKUP(B231,'12.COT.MERCADO'!A:I,2,0)))),"Em Elaboração")</f>
        <v>CURVA PVC CURTA 90 GRAUS, DN 50 MM, PARA ESGOTO PREDIAL</v>
      </c>
      <c r="F231" s="258" t="str">
        <f>IFERROR(IF(D231="SINAPI-S",VLOOKUP(B231,'20-B.SINAPI-S'!A:J,3,0),IF(D231="SINAPI-I",VLOOKUP(B231,'20-A.SINAPI-I'!A:G,3,0),IF(D231="COMPOSIÇÕES",VLOOKUP(B231,'11.COMPOSIÇÕES GERAIS'!B:I,3,0),VLOOKUP(B231,'12.COT.MERCADO'!A:I,7,0)))),"Em Elaboração")</f>
        <v>UN</v>
      </c>
      <c r="G231" s="254">
        <v>3.0</v>
      </c>
      <c r="H231" s="259">
        <f>IFERROR(IF(D231="SINAPI-S",VLOOKUP(B231,'20-B.SINAPI-S'!A:J,5,0),IF(D231="SINAPI-I",VLOOKUP(B231,'20-A.SINAPI-I'!A:G,6,0),IF(D231="COMPOSIÇÕES",VLOOKUP(B231,'11.COMPOSIÇÕES GERAIS'!B:I,7,0),0))),"Em Elaboração")</f>
        <v>0</v>
      </c>
      <c r="I231" s="259">
        <f>IFERROR(IF(D231="SINAPI-S",VLOOKUP(B231,'20-B.SINAPI-S'!A:J,6,0),IF(D231="SINAPI-I",VLOOKUP(B231,'20-A.SINAPI-I'!A:G,7,0),IF(D231="COMPOSIÇÕES",VLOOKUP(B231,'11.COMPOSIÇÕES GERAIS'!B:I,8,0),VLOOKUP(B231,'12.COT.MERCADO'!A:I,8,0)))),"Em Elaboração")</f>
        <v>13.12</v>
      </c>
      <c r="J231" s="259">
        <f t="shared" si="13"/>
        <v>0</v>
      </c>
      <c r="K231" s="259">
        <f t="shared" si="14"/>
        <v>15.36790976</v>
      </c>
      <c r="L231" s="259">
        <f t="shared" si="15"/>
        <v>15.36790976</v>
      </c>
      <c r="M231" s="259">
        <f t="shared" si="16"/>
        <v>0</v>
      </c>
      <c r="N231" s="259">
        <f t="shared" si="17"/>
        <v>46.10372927</v>
      </c>
      <c r="O231" s="259">
        <f t="shared" si="18"/>
        <v>46.10372927</v>
      </c>
      <c r="P231" s="586">
        <f t="shared" si="3"/>
        <v>0.0002513250775</v>
      </c>
    </row>
    <row r="232">
      <c r="A232" s="253" t="s">
        <v>776</v>
      </c>
      <c r="B232" s="254">
        <v>1951.0</v>
      </c>
      <c r="C232" s="255" t="str">
        <f t="shared" si="12"/>
        <v>SINAPI</v>
      </c>
      <c r="D232" s="256" t="s">
        <v>286</v>
      </c>
      <c r="E232" s="257" t="str">
        <f>IFERROR(IF(D232="SINAPI-S",VLOOKUP(B232,'20-B.SINAPI-S'!A:J,2,0),IF(D232="SINAPI-I",VLOOKUP(B232,'20-A.SINAPI-I'!A:G,2,0),IF(D232="COMPOSIÇÕES",VLOOKUP(B232,'11.COMPOSIÇÕES GERAIS'!B:I,2,0),VLOOKUP(B232,'12.COT.MERCADO'!A:I,2,0)))),"Em Elaboração")</f>
        <v>CURVA PVC CURTA 90 GRAUS, DN 75 MM, PARA ESGOTO PREDIAL</v>
      </c>
      <c r="F232" s="258" t="str">
        <f>IFERROR(IF(D232="SINAPI-S",VLOOKUP(B232,'20-B.SINAPI-S'!A:J,3,0),IF(D232="SINAPI-I",VLOOKUP(B232,'20-A.SINAPI-I'!A:G,3,0),IF(D232="COMPOSIÇÕES",VLOOKUP(B232,'11.COMPOSIÇÕES GERAIS'!B:I,3,0),VLOOKUP(B232,'12.COT.MERCADO'!A:I,7,0)))),"Em Elaboração")</f>
        <v>UN</v>
      </c>
      <c r="G232" s="254">
        <v>2.0</v>
      </c>
      <c r="H232" s="259">
        <f>IFERROR(IF(D232="SINAPI-S",VLOOKUP(B232,'20-B.SINAPI-S'!A:J,5,0),IF(D232="SINAPI-I",VLOOKUP(B232,'20-A.SINAPI-I'!A:G,6,0),IF(D232="COMPOSIÇÕES",VLOOKUP(B232,'11.COMPOSIÇÕES GERAIS'!B:I,7,0),0))),"Em Elaboração")</f>
        <v>0</v>
      </c>
      <c r="I232" s="259">
        <f>IFERROR(IF(D232="SINAPI-S",VLOOKUP(B232,'20-B.SINAPI-S'!A:J,6,0),IF(D232="SINAPI-I",VLOOKUP(B232,'20-A.SINAPI-I'!A:G,7,0),IF(D232="COMPOSIÇÕES",VLOOKUP(B232,'11.COMPOSIÇÕES GERAIS'!B:I,8,0),VLOOKUP(B232,'12.COT.MERCADO'!A:I,8,0)))),"Em Elaboração")</f>
        <v>27.37</v>
      </c>
      <c r="J232" s="259">
        <f t="shared" si="13"/>
        <v>0</v>
      </c>
      <c r="K232" s="259">
        <f t="shared" si="14"/>
        <v>32.0594276</v>
      </c>
      <c r="L232" s="259">
        <f t="shared" si="15"/>
        <v>32.0594276</v>
      </c>
      <c r="M232" s="259">
        <f t="shared" si="16"/>
        <v>0</v>
      </c>
      <c r="N232" s="259">
        <f t="shared" si="17"/>
        <v>64.11885519</v>
      </c>
      <c r="O232" s="259">
        <f t="shared" si="18"/>
        <v>64.11885519</v>
      </c>
      <c r="P232" s="586">
        <f t="shared" si="3"/>
        <v>0.0003495308623</v>
      </c>
    </row>
    <row r="233">
      <c r="A233" s="253" t="s">
        <v>777</v>
      </c>
      <c r="B233" s="254">
        <v>1970.0</v>
      </c>
      <c r="C233" s="255" t="str">
        <f t="shared" si="12"/>
        <v>SINAPI</v>
      </c>
      <c r="D233" s="256" t="s">
        <v>286</v>
      </c>
      <c r="E233" s="257" t="str">
        <f>IFERROR(IF(D233="SINAPI-S",VLOOKUP(B233,'20-B.SINAPI-S'!A:J,2,0),IF(D233="SINAPI-I",VLOOKUP(B233,'20-A.SINAPI-I'!A:G,2,0),IF(D233="COMPOSIÇÕES",VLOOKUP(B233,'11.COMPOSIÇÕES GERAIS'!B:I,2,0),VLOOKUP(B233,'12.COT.MERCADO'!A:I,2,0)))),"Em Elaboração")</f>
        <v>CURVA PVC LONGA 90 GRAUS, DN 100 MM, PARA ESGOTO PREDIAL</v>
      </c>
      <c r="F233" s="258" t="str">
        <f>IFERROR(IF(D233="SINAPI-S",VLOOKUP(B233,'20-B.SINAPI-S'!A:J,3,0),IF(D233="SINAPI-I",VLOOKUP(B233,'20-A.SINAPI-I'!A:G,3,0),IF(D233="COMPOSIÇÕES",VLOOKUP(B233,'11.COMPOSIÇÕES GERAIS'!B:I,3,0),VLOOKUP(B233,'12.COT.MERCADO'!A:I,7,0)))),"Em Elaboração")</f>
        <v>UN</v>
      </c>
      <c r="G233" s="254">
        <v>2.0</v>
      </c>
      <c r="H233" s="259">
        <f>IFERROR(IF(D233="SINAPI-S",VLOOKUP(B233,'20-B.SINAPI-S'!A:J,5,0),IF(D233="SINAPI-I",VLOOKUP(B233,'20-A.SINAPI-I'!A:G,6,0),IF(D233="COMPOSIÇÕES",VLOOKUP(B233,'11.COMPOSIÇÕES GERAIS'!B:I,7,0),0))),"Em Elaboração")</f>
        <v>0</v>
      </c>
      <c r="I233" s="259">
        <f>IFERROR(IF(D233="SINAPI-S",VLOOKUP(B233,'20-B.SINAPI-S'!A:J,6,0),IF(D233="SINAPI-I",VLOOKUP(B233,'20-A.SINAPI-I'!A:G,7,0),IF(D233="COMPOSIÇÕES",VLOOKUP(B233,'11.COMPOSIÇÕES GERAIS'!B:I,8,0),VLOOKUP(B233,'12.COT.MERCADO'!A:I,8,0)))),"Em Elaboração")</f>
        <v>66.49</v>
      </c>
      <c r="J233" s="259">
        <f t="shared" si="13"/>
        <v>0</v>
      </c>
      <c r="K233" s="259">
        <f t="shared" si="14"/>
        <v>77.88203657</v>
      </c>
      <c r="L233" s="259">
        <f t="shared" si="15"/>
        <v>77.88203657</v>
      </c>
      <c r="M233" s="259">
        <f t="shared" si="16"/>
        <v>0</v>
      </c>
      <c r="N233" s="259">
        <f t="shared" si="17"/>
        <v>155.7640731</v>
      </c>
      <c r="O233" s="259">
        <f t="shared" si="18"/>
        <v>155.7640731</v>
      </c>
      <c r="P233" s="586">
        <f t="shared" si="3"/>
        <v>0.0008491160773</v>
      </c>
    </row>
    <row r="234">
      <c r="A234" s="253" t="s">
        <v>778</v>
      </c>
      <c r="B234" s="254">
        <v>1967.0</v>
      </c>
      <c r="C234" s="255" t="str">
        <f t="shared" si="12"/>
        <v>SINAPI</v>
      </c>
      <c r="D234" s="256" t="s">
        <v>286</v>
      </c>
      <c r="E234" s="257" t="str">
        <f>IFERROR(IF(D234="SINAPI-S",VLOOKUP(B234,'20-B.SINAPI-S'!A:J,2,0),IF(D234="SINAPI-I",VLOOKUP(B234,'20-A.SINAPI-I'!A:G,2,0),IF(D234="COMPOSIÇÕES",VLOOKUP(B234,'11.COMPOSIÇÕES GERAIS'!B:I,2,0),VLOOKUP(B234,'12.COT.MERCADO'!A:I,2,0)))),"Em Elaboração")</f>
        <v>CURVA PVC LONGA 90 GRAUS, DN 40 MM, PARA ESGOTO PREDIAL</v>
      </c>
      <c r="F234" s="258" t="str">
        <f>IFERROR(IF(D234="SINAPI-S",VLOOKUP(B234,'20-B.SINAPI-S'!A:J,3,0),IF(D234="SINAPI-I",VLOOKUP(B234,'20-A.SINAPI-I'!A:G,3,0),IF(D234="COMPOSIÇÕES",VLOOKUP(B234,'11.COMPOSIÇÕES GERAIS'!B:I,3,0),VLOOKUP(B234,'12.COT.MERCADO'!A:I,7,0)))),"Em Elaboração")</f>
        <v>UN</v>
      </c>
      <c r="G234" s="254">
        <v>3.0</v>
      </c>
      <c r="H234" s="259">
        <f>IFERROR(IF(D234="SINAPI-S",VLOOKUP(B234,'20-B.SINAPI-S'!A:J,5,0),IF(D234="SINAPI-I",VLOOKUP(B234,'20-A.SINAPI-I'!A:G,6,0),IF(D234="COMPOSIÇÕES",VLOOKUP(B234,'11.COMPOSIÇÕES GERAIS'!B:I,7,0),0))),"Em Elaboração")</f>
        <v>0</v>
      </c>
      <c r="I234" s="259">
        <f>IFERROR(IF(D234="SINAPI-S",VLOOKUP(B234,'20-B.SINAPI-S'!A:J,6,0),IF(D234="SINAPI-I",VLOOKUP(B234,'20-A.SINAPI-I'!A:G,7,0),IF(D234="COMPOSIÇÕES",VLOOKUP(B234,'11.COMPOSIÇÕES GERAIS'!B:I,8,0),VLOOKUP(B234,'12.COT.MERCADO'!A:I,8,0)))),"Em Elaboração")</f>
        <v>7.89</v>
      </c>
      <c r="J234" s="259">
        <f t="shared" si="13"/>
        <v>0</v>
      </c>
      <c r="K234" s="259">
        <f t="shared" si="14"/>
        <v>9.241829877</v>
      </c>
      <c r="L234" s="259">
        <f t="shared" si="15"/>
        <v>9.241829877</v>
      </c>
      <c r="M234" s="259">
        <f t="shared" si="16"/>
        <v>0</v>
      </c>
      <c r="N234" s="259">
        <f t="shared" si="17"/>
        <v>27.72548963</v>
      </c>
      <c r="O234" s="259">
        <f t="shared" si="18"/>
        <v>27.72548963</v>
      </c>
      <c r="P234" s="586">
        <f t="shared" si="3"/>
        <v>0.0001511398522</v>
      </c>
    </row>
    <row r="235">
      <c r="A235" s="253" t="s">
        <v>779</v>
      </c>
      <c r="B235" s="254">
        <v>1968.0</v>
      </c>
      <c r="C235" s="255" t="str">
        <f t="shared" si="12"/>
        <v>SINAPI</v>
      </c>
      <c r="D235" s="256" t="s">
        <v>286</v>
      </c>
      <c r="E235" s="257" t="str">
        <f>IFERROR(IF(D235="SINAPI-S",VLOOKUP(B235,'20-B.SINAPI-S'!A:J,2,0),IF(D235="SINAPI-I",VLOOKUP(B235,'20-A.SINAPI-I'!A:G,2,0),IF(D235="COMPOSIÇÕES",VLOOKUP(B235,'11.COMPOSIÇÕES GERAIS'!B:I,2,0),VLOOKUP(B235,'12.COT.MERCADO'!A:I,2,0)))),"Em Elaboração")</f>
        <v>CURVA PVC LONGA 90 GRAUS, DN 50 MM, PARA ESGOTO PREDIAL</v>
      </c>
      <c r="F235" s="258" t="str">
        <f>IFERROR(IF(D235="SINAPI-S",VLOOKUP(B235,'20-B.SINAPI-S'!A:J,3,0),IF(D235="SINAPI-I",VLOOKUP(B235,'20-A.SINAPI-I'!A:G,3,0),IF(D235="COMPOSIÇÕES",VLOOKUP(B235,'11.COMPOSIÇÕES GERAIS'!B:I,3,0),VLOOKUP(B235,'12.COT.MERCADO'!A:I,7,0)))),"Em Elaboração")</f>
        <v>UN</v>
      </c>
      <c r="G235" s="254">
        <v>3.0</v>
      </c>
      <c r="H235" s="259">
        <f>IFERROR(IF(D235="SINAPI-S",VLOOKUP(B235,'20-B.SINAPI-S'!A:J,5,0),IF(D235="SINAPI-I",VLOOKUP(B235,'20-A.SINAPI-I'!A:G,6,0),IF(D235="COMPOSIÇÕES",VLOOKUP(B235,'11.COMPOSIÇÕES GERAIS'!B:I,7,0),0))),"Em Elaboração")</f>
        <v>0</v>
      </c>
      <c r="I235" s="259">
        <f>IFERROR(IF(D235="SINAPI-S",VLOOKUP(B235,'20-B.SINAPI-S'!A:J,6,0),IF(D235="SINAPI-I",VLOOKUP(B235,'20-A.SINAPI-I'!A:G,7,0),IF(D235="COMPOSIÇÕES",VLOOKUP(B235,'11.COMPOSIÇÕES GERAIS'!B:I,8,0),VLOOKUP(B235,'12.COT.MERCADO'!A:I,8,0)))),"Em Elaboração")</f>
        <v>15.6</v>
      </c>
      <c r="J235" s="259">
        <f t="shared" si="13"/>
        <v>0</v>
      </c>
      <c r="K235" s="259">
        <f t="shared" si="14"/>
        <v>18.27281953</v>
      </c>
      <c r="L235" s="259">
        <f t="shared" si="15"/>
        <v>18.27281953</v>
      </c>
      <c r="M235" s="259">
        <f t="shared" si="16"/>
        <v>0</v>
      </c>
      <c r="N235" s="259">
        <f t="shared" si="17"/>
        <v>54.81845858</v>
      </c>
      <c r="O235" s="259">
        <f t="shared" si="18"/>
        <v>54.81845858</v>
      </c>
      <c r="P235" s="586">
        <f t="shared" si="3"/>
        <v>0.000298831647</v>
      </c>
    </row>
    <row r="236">
      <c r="A236" s="253" t="s">
        <v>780</v>
      </c>
      <c r="B236" s="254">
        <v>1969.0</v>
      </c>
      <c r="C236" s="255" t="str">
        <f t="shared" si="12"/>
        <v>SINAPI</v>
      </c>
      <c r="D236" s="256" t="s">
        <v>286</v>
      </c>
      <c r="E236" s="257" t="str">
        <f>IFERROR(IF(D236="SINAPI-S",VLOOKUP(B236,'20-B.SINAPI-S'!A:J,2,0),IF(D236="SINAPI-I",VLOOKUP(B236,'20-A.SINAPI-I'!A:G,2,0),IF(D236="COMPOSIÇÕES",VLOOKUP(B236,'11.COMPOSIÇÕES GERAIS'!B:I,2,0),VLOOKUP(B236,'12.COT.MERCADO'!A:I,2,0)))),"Em Elaboração")</f>
        <v>CURVA PVC LONGA 90 GRAUS, DN 75 MM, PARA ESGOTO PREDIAL</v>
      </c>
      <c r="F236" s="258" t="str">
        <f>IFERROR(IF(D236="SINAPI-S",VLOOKUP(B236,'20-B.SINAPI-S'!A:J,3,0),IF(D236="SINAPI-I",VLOOKUP(B236,'20-A.SINAPI-I'!A:G,3,0),IF(D236="COMPOSIÇÕES",VLOOKUP(B236,'11.COMPOSIÇÕES GERAIS'!B:I,3,0),VLOOKUP(B236,'12.COT.MERCADO'!A:I,7,0)))),"Em Elaboração")</f>
        <v>UN</v>
      </c>
      <c r="G236" s="254">
        <v>3.0</v>
      </c>
      <c r="H236" s="259">
        <f>IFERROR(IF(D236="SINAPI-S",VLOOKUP(B236,'20-B.SINAPI-S'!A:J,5,0),IF(D236="SINAPI-I",VLOOKUP(B236,'20-A.SINAPI-I'!A:G,6,0),IF(D236="COMPOSIÇÕES",VLOOKUP(B236,'11.COMPOSIÇÕES GERAIS'!B:I,7,0),0))),"Em Elaboração")</f>
        <v>0</v>
      </c>
      <c r="I236" s="259">
        <f>IFERROR(IF(D236="SINAPI-S",VLOOKUP(B236,'20-B.SINAPI-S'!A:J,6,0),IF(D236="SINAPI-I",VLOOKUP(B236,'20-A.SINAPI-I'!A:G,7,0),IF(D236="COMPOSIÇÕES",VLOOKUP(B236,'11.COMPOSIÇÕES GERAIS'!B:I,8,0),VLOOKUP(B236,'12.COT.MERCADO'!A:I,8,0)))),"Em Elaboração")</f>
        <v>50.8</v>
      </c>
      <c r="J236" s="259">
        <f t="shared" si="13"/>
        <v>0</v>
      </c>
      <c r="K236" s="259">
        <f t="shared" si="14"/>
        <v>59.50379692</v>
      </c>
      <c r="L236" s="259">
        <f t="shared" si="15"/>
        <v>59.50379692</v>
      </c>
      <c r="M236" s="259">
        <f t="shared" si="16"/>
        <v>0</v>
      </c>
      <c r="N236" s="259">
        <f t="shared" si="17"/>
        <v>178.5113908</v>
      </c>
      <c r="O236" s="259">
        <f t="shared" si="18"/>
        <v>178.5113908</v>
      </c>
      <c r="P236" s="586">
        <f t="shared" si="3"/>
        <v>0.0009731184402</v>
      </c>
    </row>
    <row r="237">
      <c r="A237" s="253" t="s">
        <v>781</v>
      </c>
      <c r="B237" s="254">
        <v>1370.0</v>
      </c>
      <c r="C237" s="255" t="str">
        <f t="shared" si="12"/>
        <v>SINAPI</v>
      </c>
      <c r="D237" s="256" t="s">
        <v>286</v>
      </c>
      <c r="E237" s="257" t="str">
        <f>IFERROR(IF(D237="SINAPI-S",VLOOKUP(B237,'20-B.SINAPI-S'!A:J,2,0),IF(D237="SINAPI-I",VLOOKUP(B237,'20-A.SINAPI-I'!A:G,2,0),IF(D237="COMPOSIÇÕES",VLOOKUP(B237,'11.COMPOSIÇÕES GERAIS'!B:I,2,0),VLOOKUP(B237,'12.COT.MERCADO'!A:I,2,0)))),"Em Elaboração")</f>
        <v>DUCHA HIGIENICA PLASTICA COM REGISTRO METALICO 1/2 "</v>
      </c>
      <c r="F237" s="258" t="str">
        <f>IFERROR(IF(D237="SINAPI-S",VLOOKUP(B237,'20-B.SINAPI-S'!A:J,3,0),IF(D237="SINAPI-I",VLOOKUP(B237,'20-A.SINAPI-I'!A:G,3,0),IF(D237="COMPOSIÇÕES",VLOOKUP(B237,'11.COMPOSIÇÕES GERAIS'!B:I,3,0),VLOOKUP(B237,'12.COT.MERCADO'!A:I,7,0)))),"Em Elaboração")</f>
        <v>UN</v>
      </c>
      <c r="G237" s="254">
        <v>1.0</v>
      </c>
      <c r="H237" s="259">
        <f>IFERROR(IF(D237="SINAPI-S",VLOOKUP(B237,'20-B.SINAPI-S'!A:J,5,0),IF(D237="SINAPI-I",VLOOKUP(B237,'20-A.SINAPI-I'!A:G,6,0),IF(D237="COMPOSIÇÕES",VLOOKUP(B237,'11.COMPOSIÇÕES GERAIS'!B:I,7,0),0))),"Em Elaboração")</f>
        <v>0</v>
      </c>
      <c r="I237" s="259">
        <f>IFERROR(IF(D237="SINAPI-S",VLOOKUP(B237,'20-B.SINAPI-S'!A:J,6,0),IF(D237="SINAPI-I",VLOOKUP(B237,'20-A.SINAPI-I'!A:G,7,0),IF(D237="COMPOSIÇÕES",VLOOKUP(B237,'11.COMPOSIÇÕES GERAIS'!B:I,8,0),VLOOKUP(B237,'12.COT.MERCADO'!A:I,8,0)))),"Em Elaboração")</f>
        <v>116.48</v>
      </c>
      <c r="J237" s="259">
        <f t="shared" si="13"/>
        <v>0</v>
      </c>
      <c r="K237" s="259">
        <f t="shared" si="14"/>
        <v>136.4370525</v>
      </c>
      <c r="L237" s="259">
        <f t="shared" si="15"/>
        <v>136.4370525</v>
      </c>
      <c r="M237" s="259">
        <f t="shared" si="16"/>
        <v>0</v>
      </c>
      <c r="N237" s="259">
        <f t="shared" si="17"/>
        <v>136.4370525</v>
      </c>
      <c r="O237" s="259">
        <f t="shared" si="18"/>
        <v>136.4370525</v>
      </c>
      <c r="P237" s="586">
        <f t="shared" si="3"/>
        <v>0.0007437587658</v>
      </c>
    </row>
    <row r="238">
      <c r="A238" s="253" t="s">
        <v>782</v>
      </c>
      <c r="B238" s="254">
        <v>11683.0</v>
      </c>
      <c r="C238" s="255" t="str">
        <f t="shared" si="12"/>
        <v>SINAPI</v>
      </c>
      <c r="D238" s="256" t="s">
        <v>286</v>
      </c>
      <c r="E238" s="257" t="str">
        <f>IFERROR(IF(D238="SINAPI-S",VLOOKUP(B238,'20-B.SINAPI-S'!A:J,2,0),IF(D238="SINAPI-I",VLOOKUP(B238,'20-A.SINAPI-I'!A:G,2,0),IF(D238="COMPOSIÇÕES",VLOOKUP(B238,'11.COMPOSIÇÕES GERAIS'!B:I,2,0),VLOOKUP(B238,'12.COT.MERCADO'!A:I,2,0)))),"Em Elaboração")</f>
        <v>ENGATE / RABICHO FLEXIVEL INOX 1/2 " X 30 CM</v>
      </c>
      <c r="F238" s="258" t="str">
        <f>IFERROR(IF(D238="SINAPI-S",VLOOKUP(B238,'20-B.SINAPI-S'!A:J,3,0),IF(D238="SINAPI-I",VLOOKUP(B238,'20-A.SINAPI-I'!A:G,3,0),IF(D238="COMPOSIÇÕES",VLOOKUP(B238,'11.COMPOSIÇÕES GERAIS'!B:I,3,0),VLOOKUP(B238,'12.COT.MERCADO'!A:I,7,0)))),"Em Elaboração")</f>
        <v>UN</v>
      </c>
      <c r="G238" s="254">
        <v>1.0</v>
      </c>
      <c r="H238" s="259">
        <f>IFERROR(IF(D238="SINAPI-S",VLOOKUP(B238,'20-B.SINAPI-S'!A:J,5,0),IF(D238="SINAPI-I",VLOOKUP(B238,'20-A.SINAPI-I'!A:G,6,0),IF(D238="COMPOSIÇÕES",VLOOKUP(B238,'11.COMPOSIÇÕES GERAIS'!B:I,7,0),0))),"Em Elaboração")</f>
        <v>0</v>
      </c>
      <c r="I238" s="259">
        <f>IFERROR(IF(D238="SINAPI-S",VLOOKUP(B238,'20-B.SINAPI-S'!A:J,6,0),IF(D238="SINAPI-I",VLOOKUP(B238,'20-A.SINAPI-I'!A:G,7,0),IF(D238="COMPOSIÇÕES",VLOOKUP(B238,'11.COMPOSIÇÕES GERAIS'!B:I,8,0),VLOOKUP(B238,'12.COT.MERCADO'!A:I,8,0)))),"Em Elaboração")</f>
        <v>62.49</v>
      </c>
      <c r="J238" s="259">
        <f t="shared" si="13"/>
        <v>0</v>
      </c>
      <c r="K238" s="259">
        <f t="shared" si="14"/>
        <v>73.19669823</v>
      </c>
      <c r="L238" s="259">
        <f t="shared" si="15"/>
        <v>73.19669823</v>
      </c>
      <c r="M238" s="259">
        <f t="shared" si="16"/>
        <v>0</v>
      </c>
      <c r="N238" s="259">
        <f t="shared" si="17"/>
        <v>73.19669823</v>
      </c>
      <c r="O238" s="259">
        <f t="shared" si="18"/>
        <v>73.19669823</v>
      </c>
      <c r="P238" s="586">
        <f t="shared" si="3"/>
        <v>0.0003990168722</v>
      </c>
    </row>
    <row r="239">
      <c r="A239" s="253" t="s">
        <v>783</v>
      </c>
      <c r="B239" s="254">
        <v>11684.0</v>
      </c>
      <c r="C239" s="255" t="str">
        <f t="shared" si="12"/>
        <v>SINAPI</v>
      </c>
      <c r="D239" s="256" t="s">
        <v>286</v>
      </c>
      <c r="E239" s="257" t="str">
        <f>IFERROR(IF(D239="SINAPI-S",VLOOKUP(B239,'20-B.SINAPI-S'!A:J,2,0),IF(D239="SINAPI-I",VLOOKUP(B239,'20-A.SINAPI-I'!A:G,2,0),IF(D239="COMPOSIÇÕES",VLOOKUP(B239,'11.COMPOSIÇÕES GERAIS'!B:I,2,0),VLOOKUP(B239,'12.COT.MERCADO'!A:I,2,0)))),"Em Elaboração")</f>
        <v>ENGATE / RABICHO FLEXIVEL INOX 1/2 " X 40 CM</v>
      </c>
      <c r="F239" s="258" t="str">
        <f>IFERROR(IF(D239="SINAPI-S",VLOOKUP(B239,'20-B.SINAPI-S'!A:J,3,0),IF(D239="SINAPI-I",VLOOKUP(B239,'20-A.SINAPI-I'!A:G,3,0),IF(D239="COMPOSIÇÕES",VLOOKUP(B239,'11.COMPOSIÇÕES GERAIS'!B:I,3,0),VLOOKUP(B239,'12.COT.MERCADO'!A:I,7,0)))),"Em Elaboração")</f>
        <v>UN</v>
      </c>
      <c r="G239" s="254">
        <v>1.0</v>
      </c>
      <c r="H239" s="259">
        <f>IFERROR(IF(D239="SINAPI-S",VLOOKUP(B239,'20-B.SINAPI-S'!A:J,5,0),IF(D239="SINAPI-I",VLOOKUP(B239,'20-A.SINAPI-I'!A:G,6,0),IF(D239="COMPOSIÇÕES",VLOOKUP(B239,'11.COMPOSIÇÕES GERAIS'!B:I,7,0),0))),"Em Elaboração")</f>
        <v>0</v>
      </c>
      <c r="I239" s="259">
        <f>IFERROR(IF(D239="SINAPI-S",VLOOKUP(B239,'20-B.SINAPI-S'!A:J,6,0),IF(D239="SINAPI-I",VLOOKUP(B239,'20-A.SINAPI-I'!A:G,7,0),IF(D239="COMPOSIÇÕES",VLOOKUP(B239,'11.COMPOSIÇÕES GERAIS'!B:I,8,0),VLOOKUP(B239,'12.COT.MERCADO'!A:I,8,0)))),"Em Elaboração")</f>
        <v>68.4</v>
      </c>
      <c r="J239" s="259">
        <f t="shared" si="13"/>
        <v>0</v>
      </c>
      <c r="K239" s="259">
        <f t="shared" si="14"/>
        <v>80.11928562</v>
      </c>
      <c r="L239" s="259">
        <f t="shared" si="15"/>
        <v>80.11928562</v>
      </c>
      <c r="M239" s="259">
        <f t="shared" si="16"/>
        <v>0</v>
      </c>
      <c r="N239" s="259">
        <f t="shared" si="17"/>
        <v>80.11928562</v>
      </c>
      <c r="O239" s="259">
        <f t="shared" si="18"/>
        <v>80.11928562</v>
      </c>
      <c r="P239" s="586">
        <f t="shared" si="3"/>
        <v>0.0004367539456</v>
      </c>
    </row>
    <row r="240">
      <c r="A240" s="253" t="s">
        <v>784</v>
      </c>
      <c r="B240" s="254">
        <v>6142.0</v>
      </c>
      <c r="C240" s="255" t="str">
        <f t="shared" si="12"/>
        <v>SINAPI</v>
      </c>
      <c r="D240" s="256" t="s">
        <v>286</v>
      </c>
      <c r="E240" s="257" t="str">
        <f>IFERROR(IF(D240="SINAPI-S",VLOOKUP(B240,'20-B.SINAPI-S'!A:J,2,0),IF(D240="SINAPI-I",VLOOKUP(B240,'20-A.SINAPI-I'!A:G,2,0),IF(D240="COMPOSIÇÕES",VLOOKUP(B240,'11.COMPOSIÇÕES GERAIS'!B:I,2,0),VLOOKUP(B240,'12.COT.MERCADO'!A:I,2,0)))),"Em Elaboração")</f>
        <v>CONJUNTO DE LIGACAO PARA BACIA SANITARIA AJUSTAVEL, EM PLASTICO BRANCO, COM TUBO, CANOPLA E ESPUDE</v>
      </c>
      <c r="F240" s="258" t="str">
        <f>IFERROR(IF(D240="SINAPI-S",VLOOKUP(B240,'20-B.SINAPI-S'!A:J,3,0),IF(D240="SINAPI-I",VLOOKUP(B240,'20-A.SINAPI-I'!A:G,3,0),IF(D240="COMPOSIÇÕES",VLOOKUP(B240,'11.COMPOSIÇÕES GERAIS'!B:I,3,0),VLOOKUP(B240,'12.COT.MERCADO'!A:I,7,0)))),"Em Elaboração")</f>
        <v>UN</v>
      </c>
      <c r="G240" s="254">
        <v>8.0</v>
      </c>
      <c r="H240" s="259">
        <f>IFERROR(IF(D240="SINAPI-S",VLOOKUP(B240,'20-B.SINAPI-S'!A:J,5,0),IF(D240="SINAPI-I",VLOOKUP(B240,'20-A.SINAPI-I'!A:G,6,0),IF(D240="COMPOSIÇÕES",VLOOKUP(B240,'11.COMPOSIÇÕES GERAIS'!B:I,7,0),0))),"Em Elaboração")</f>
        <v>0</v>
      </c>
      <c r="I240" s="259">
        <f>IFERROR(IF(D240="SINAPI-S",VLOOKUP(B240,'20-B.SINAPI-S'!A:J,6,0),IF(D240="SINAPI-I",VLOOKUP(B240,'20-A.SINAPI-I'!A:G,7,0),IF(D240="COMPOSIÇÕES",VLOOKUP(B240,'11.COMPOSIÇÕES GERAIS'!B:I,8,0),VLOOKUP(B240,'12.COT.MERCADO'!A:I,8,0)))),"Em Elaboração")</f>
        <v>9.33</v>
      </c>
      <c r="J240" s="259">
        <f t="shared" si="13"/>
        <v>0</v>
      </c>
      <c r="K240" s="259">
        <f t="shared" si="14"/>
        <v>10.92855168</v>
      </c>
      <c r="L240" s="259">
        <f t="shared" si="15"/>
        <v>10.92855168</v>
      </c>
      <c r="M240" s="259">
        <f t="shared" si="16"/>
        <v>0</v>
      </c>
      <c r="N240" s="259">
        <f t="shared" si="17"/>
        <v>87.42841343</v>
      </c>
      <c r="O240" s="259">
        <f t="shared" si="18"/>
        <v>87.42841343</v>
      </c>
      <c r="P240" s="586">
        <f t="shared" si="3"/>
        <v>0.0004765981652</v>
      </c>
    </row>
    <row r="241">
      <c r="A241" s="253" t="s">
        <v>785</v>
      </c>
      <c r="B241" s="254">
        <v>3148.0</v>
      </c>
      <c r="C241" s="255" t="str">
        <f t="shared" si="12"/>
        <v>SINAPI</v>
      </c>
      <c r="D241" s="256" t="s">
        <v>286</v>
      </c>
      <c r="E241" s="257" t="str">
        <f>IFERROR(IF(D241="SINAPI-S",VLOOKUP(B241,'20-B.SINAPI-S'!A:J,2,0),IF(D241="SINAPI-I",VLOOKUP(B241,'20-A.SINAPI-I'!A:G,2,0),IF(D241="COMPOSIÇÕES",VLOOKUP(B241,'11.COMPOSIÇÕES GERAIS'!B:I,2,0),VLOOKUP(B241,'12.COT.MERCADO'!A:I,2,0)))),"Em Elaboração")</f>
        <v>FITA VEDA ROSCA EM ROLOS DE 18 MM X 50 M (L X C)</v>
      </c>
      <c r="F241" s="258" t="str">
        <f>IFERROR(IF(D241="SINAPI-S",VLOOKUP(B241,'20-B.SINAPI-S'!A:J,3,0),IF(D241="SINAPI-I",VLOOKUP(B241,'20-A.SINAPI-I'!A:G,3,0),IF(D241="COMPOSIÇÕES",VLOOKUP(B241,'11.COMPOSIÇÕES GERAIS'!B:I,3,0),VLOOKUP(B241,'12.COT.MERCADO'!A:I,7,0)))),"Em Elaboração")</f>
        <v>UN</v>
      </c>
      <c r="G241" s="254">
        <v>15.0</v>
      </c>
      <c r="H241" s="259">
        <f>IFERROR(IF(D241="SINAPI-S",VLOOKUP(B241,'20-B.SINAPI-S'!A:J,5,0),IF(D241="SINAPI-I",VLOOKUP(B241,'20-A.SINAPI-I'!A:G,6,0),IF(D241="COMPOSIÇÕES",VLOOKUP(B241,'11.COMPOSIÇÕES GERAIS'!B:I,7,0),0))),"Em Elaboração")</f>
        <v>0</v>
      </c>
      <c r="I241" s="259">
        <f>IFERROR(IF(D241="SINAPI-S",VLOOKUP(B241,'20-B.SINAPI-S'!A:J,6,0),IF(D241="SINAPI-I",VLOOKUP(B241,'20-A.SINAPI-I'!A:G,7,0),IF(D241="COMPOSIÇÕES",VLOOKUP(B241,'11.COMPOSIÇÕES GERAIS'!B:I,8,0),VLOOKUP(B241,'12.COT.MERCADO'!A:I,8,0)))),"Em Elaboração")</f>
        <v>16.59</v>
      </c>
      <c r="J241" s="259">
        <f t="shared" si="13"/>
        <v>0</v>
      </c>
      <c r="K241" s="259">
        <f t="shared" si="14"/>
        <v>19.43244077</v>
      </c>
      <c r="L241" s="259">
        <f t="shared" si="15"/>
        <v>19.43244077</v>
      </c>
      <c r="M241" s="259">
        <f t="shared" si="16"/>
        <v>0</v>
      </c>
      <c r="N241" s="259">
        <f t="shared" si="17"/>
        <v>291.4866115</v>
      </c>
      <c r="O241" s="259">
        <f t="shared" si="18"/>
        <v>291.4866115</v>
      </c>
      <c r="P241" s="586">
        <f t="shared" si="3"/>
        <v>0.001588979815</v>
      </c>
    </row>
    <row r="242">
      <c r="A242" s="253" t="s">
        <v>786</v>
      </c>
      <c r="B242" s="254">
        <v>39512.0</v>
      </c>
      <c r="C242" s="255" t="str">
        <f t="shared" si="12"/>
        <v>SINAPI</v>
      </c>
      <c r="D242" s="256" t="s">
        <v>286</v>
      </c>
      <c r="E242" s="257" t="str">
        <f>IFERROR(IF(D242="SINAPI-S",VLOOKUP(B242,'20-B.SINAPI-S'!A:J,2,0),IF(D242="SINAPI-I",VLOOKUP(B242,'20-A.SINAPI-I'!A:G,2,0),IF(D242="COMPOSIÇÕES",VLOOKUP(B242,'11.COMPOSIÇÕES GERAIS'!B:I,2,0),VLOOKUP(B242,'12.COT.MERCADO'!A:I,2,0)))),"Em Elaboração")</f>
        <v>FORRO DE FIBRA MINERAL EM PLACAS DE 1250 X 625 MM, E = 15 MM, BORDA RETA, COM PINTURA ANTIMOFO, APOIADO EM PERFIL DE ACO GALVANIZADO COM 24 MM DE BASE - INSTALADO</v>
      </c>
      <c r="F242" s="258" t="str">
        <f>IFERROR(IF(D242="SINAPI-S",VLOOKUP(B242,'20-B.SINAPI-S'!A:J,3,0),IF(D242="SINAPI-I",VLOOKUP(B242,'20-A.SINAPI-I'!A:G,3,0),IF(D242="COMPOSIÇÕES",VLOOKUP(B242,'11.COMPOSIÇÕES GERAIS'!B:I,3,0),VLOOKUP(B242,'12.COT.MERCADO'!A:I,7,0)))),"Em Elaboração")</f>
        <v>M2</v>
      </c>
      <c r="G242" s="254">
        <v>30.0</v>
      </c>
      <c r="H242" s="259">
        <f>IFERROR(IF(D242="SINAPI-S",VLOOKUP(B242,'20-B.SINAPI-S'!A:J,5,0),IF(D242="SINAPI-I",VLOOKUP(B242,'20-A.SINAPI-I'!A:G,6,0),IF(D242="COMPOSIÇÕES",VLOOKUP(B242,'11.COMPOSIÇÕES GERAIS'!B:I,7,0),0))),"Em Elaboração")</f>
        <v>0</v>
      </c>
      <c r="I242" s="259">
        <f>IFERROR(IF(D242="SINAPI-S",VLOOKUP(B242,'20-B.SINAPI-S'!A:J,6,0),IF(D242="SINAPI-I",VLOOKUP(B242,'20-A.SINAPI-I'!A:G,7,0),IF(D242="COMPOSIÇÕES",VLOOKUP(B242,'11.COMPOSIÇÕES GERAIS'!B:I,8,0),VLOOKUP(B242,'12.COT.MERCADO'!A:I,8,0)))),"Em Elaboração")</f>
        <v>93.3</v>
      </c>
      <c r="J242" s="259">
        <f t="shared" si="13"/>
        <v>0</v>
      </c>
      <c r="K242" s="259">
        <f t="shared" si="14"/>
        <v>109.2855168</v>
      </c>
      <c r="L242" s="259">
        <f t="shared" si="15"/>
        <v>109.2855168</v>
      </c>
      <c r="M242" s="259">
        <f t="shared" si="16"/>
        <v>0</v>
      </c>
      <c r="N242" s="259">
        <f t="shared" si="17"/>
        <v>3278.565504</v>
      </c>
      <c r="O242" s="259">
        <f t="shared" si="18"/>
        <v>3278.565504</v>
      </c>
      <c r="P242" s="586">
        <f t="shared" si="3"/>
        <v>0.0178724312</v>
      </c>
    </row>
    <row r="243">
      <c r="A243" s="253" t="s">
        <v>787</v>
      </c>
      <c r="B243" s="254">
        <v>3315.0</v>
      </c>
      <c r="C243" s="255" t="str">
        <f t="shared" si="12"/>
        <v>SINAPI</v>
      </c>
      <c r="D243" s="256" t="s">
        <v>286</v>
      </c>
      <c r="E243" s="257" t="str">
        <f>IFERROR(IF(D243="SINAPI-S",VLOOKUP(B243,'20-B.SINAPI-S'!A:J,2,0),IF(D243="SINAPI-I",VLOOKUP(B243,'20-A.SINAPI-I'!A:G,2,0),IF(D243="COMPOSIÇÕES",VLOOKUP(B243,'11.COMPOSIÇÕES GERAIS'!B:I,2,0),VLOOKUP(B243,'12.COT.MERCADO'!A:I,2,0)))),"Em Elaboração")</f>
        <v>GESSO EM PO PARA REVESTIMENTOS/MOLDURAS/SANCAS E USO GERAL</v>
      </c>
      <c r="F243" s="258" t="str">
        <f>IFERROR(IF(D243="SINAPI-S",VLOOKUP(B243,'20-B.SINAPI-S'!A:J,3,0),IF(D243="SINAPI-I",VLOOKUP(B243,'20-A.SINAPI-I'!A:G,3,0),IF(D243="COMPOSIÇÕES",VLOOKUP(B243,'11.COMPOSIÇÕES GERAIS'!B:I,3,0),VLOOKUP(B243,'12.COT.MERCADO'!A:I,7,0)))),"Em Elaboração")</f>
        <v>KG</v>
      </c>
      <c r="G243" s="254">
        <v>30.0</v>
      </c>
      <c r="H243" s="259">
        <f>IFERROR(IF(D243="SINAPI-S",VLOOKUP(B243,'20-B.SINAPI-S'!A:J,5,0),IF(D243="SINAPI-I",VLOOKUP(B243,'20-A.SINAPI-I'!A:G,6,0),IF(D243="COMPOSIÇÕES",VLOOKUP(B243,'11.COMPOSIÇÕES GERAIS'!B:I,7,0),0))),"Em Elaboração")</f>
        <v>0</v>
      </c>
      <c r="I243" s="259">
        <f>IFERROR(IF(D243="SINAPI-S",VLOOKUP(B243,'20-B.SINAPI-S'!A:J,6,0),IF(D243="SINAPI-I",VLOOKUP(B243,'20-A.SINAPI-I'!A:G,7,0),IF(D243="COMPOSIÇÕES",VLOOKUP(B243,'11.COMPOSIÇÕES GERAIS'!B:I,8,0),VLOOKUP(B243,'12.COT.MERCADO'!A:I,8,0)))),"Em Elaboração")</f>
        <v>0.77</v>
      </c>
      <c r="J243" s="259">
        <f t="shared" si="13"/>
        <v>0</v>
      </c>
      <c r="K243" s="259">
        <f t="shared" si="14"/>
        <v>0.9019276306</v>
      </c>
      <c r="L243" s="259">
        <f t="shared" si="15"/>
        <v>0.9019276306</v>
      </c>
      <c r="M243" s="259">
        <f t="shared" si="16"/>
        <v>0</v>
      </c>
      <c r="N243" s="259">
        <f t="shared" si="17"/>
        <v>27.05782892</v>
      </c>
      <c r="O243" s="259">
        <f t="shared" si="18"/>
        <v>27.05782892</v>
      </c>
      <c r="P243" s="586">
        <f t="shared" si="3"/>
        <v>0.000147500236</v>
      </c>
    </row>
    <row r="244">
      <c r="A244" s="253" t="s">
        <v>788</v>
      </c>
      <c r="B244" s="254">
        <v>134.0</v>
      </c>
      <c r="C244" s="255" t="str">
        <f t="shared" si="12"/>
        <v>SINAPI</v>
      </c>
      <c r="D244" s="256" t="s">
        <v>286</v>
      </c>
      <c r="E244" s="257" t="str">
        <f>IFERROR(IF(D244="SINAPI-S",VLOOKUP(B244,'20-B.SINAPI-S'!A:J,2,0),IF(D244="SINAPI-I",VLOOKUP(B244,'20-A.SINAPI-I'!A:G,2,0),IF(D244="COMPOSIÇÕES",VLOOKUP(B244,'11.COMPOSIÇÕES GERAIS'!B:I,2,0),VLOOKUP(B244,'12.COT.MERCADO'!A:I,2,0)))),"Em Elaboração")</f>
        <v>GRAUTE CIMENTICIO PARA USO GERAL</v>
      </c>
      <c r="F244" s="258" t="str">
        <f>IFERROR(IF(D244="SINAPI-S",VLOOKUP(B244,'20-B.SINAPI-S'!A:J,3,0),IF(D244="SINAPI-I",VLOOKUP(B244,'20-A.SINAPI-I'!A:G,3,0),IF(D244="COMPOSIÇÕES",VLOOKUP(B244,'11.COMPOSIÇÕES GERAIS'!B:I,3,0),VLOOKUP(B244,'12.COT.MERCADO'!A:I,7,0)))),"Em Elaboração")</f>
        <v>KG</v>
      </c>
      <c r="G244" s="254">
        <v>30.0</v>
      </c>
      <c r="H244" s="259">
        <f>IFERROR(IF(D244="SINAPI-S",VLOOKUP(B244,'20-B.SINAPI-S'!A:J,5,0),IF(D244="SINAPI-I",VLOOKUP(B244,'20-A.SINAPI-I'!A:G,6,0),IF(D244="COMPOSIÇÕES",VLOOKUP(B244,'11.COMPOSIÇÕES GERAIS'!B:I,7,0),0))),"Em Elaboração")</f>
        <v>0</v>
      </c>
      <c r="I244" s="259">
        <f>IFERROR(IF(D244="SINAPI-S",VLOOKUP(B244,'20-B.SINAPI-S'!A:J,6,0),IF(D244="SINAPI-I",VLOOKUP(B244,'20-A.SINAPI-I'!A:G,7,0),IF(D244="COMPOSIÇÕES",VLOOKUP(B244,'11.COMPOSIÇÕES GERAIS'!B:I,8,0),VLOOKUP(B244,'12.COT.MERCADO'!A:I,8,0)))),"Em Elaboração")</f>
        <v>1.64</v>
      </c>
      <c r="J244" s="259">
        <f t="shared" si="13"/>
        <v>0</v>
      </c>
      <c r="K244" s="259">
        <f t="shared" si="14"/>
        <v>1.92098872</v>
      </c>
      <c r="L244" s="259">
        <f t="shared" si="15"/>
        <v>1.92098872</v>
      </c>
      <c r="M244" s="259">
        <f t="shared" si="16"/>
        <v>0</v>
      </c>
      <c r="N244" s="259">
        <f t="shared" si="17"/>
        <v>57.62966159</v>
      </c>
      <c r="O244" s="259">
        <f t="shared" si="18"/>
        <v>57.62966159</v>
      </c>
      <c r="P244" s="586">
        <f t="shared" si="3"/>
        <v>0.0003141563468</v>
      </c>
    </row>
    <row r="245">
      <c r="A245" s="253" t="s">
        <v>789</v>
      </c>
      <c r="B245" s="254">
        <v>3485.0</v>
      </c>
      <c r="C245" s="255" t="str">
        <f t="shared" si="12"/>
        <v>SINAPI</v>
      </c>
      <c r="D245" s="256" t="s">
        <v>286</v>
      </c>
      <c r="E245" s="257" t="str">
        <f>IFERROR(IF(D245="SINAPI-S",VLOOKUP(B245,'20-B.SINAPI-S'!A:J,2,0),IF(D245="SINAPI-I",VLOOKUP(B245,'20-A.SINAPI-I'!A:G,2,0),IF(D245="COMPOSIÇÕES",VLOOKUP(B245,'11.COMPOSIÇÕES GERAIS'!B:I,2,0),VLOOKUP(B245,'12.COT.MERCADO'!A:I,2,0)))),"Em Elaboração")</f>
        <v>JOELHO PVC, ROSCAVEL, 45 GRAUS, 1", COR BRANCA, PARA AGUA FRIA PREDIAL</v>
      </c>
      <c r="F245" s="258" t="str">
        <f>IFERROR(IF(D245="SINAPI-S",VLOOKUP(B245,'20-B.SINAPI-S'!A:J,3,0),IF(D245="SINAPI-I",VLOOKUP(B245,'20-A.SINAPI-I'!A:G,3,0),IF(D245="COMPOSIÇÕES",VLOOKUP(B245,'11.COMPOSIÇÕES GERAIS'!B:I,3,0),VLOOKUP(B245,'12.COT.MERCADO'!A:I,7,0)))),"Em Elaboração")</f>
        <v>UN</v>
      </c>
      <c r="G245" s="254">
        <v>3.0</v>
      </c>
      <c r="H245" s="259">
        <f>IFERROR(IF(D245="SINAPI-S",VLOOKUP(B245,'20-B.SINAPI-S'!A:J,5,0),IF(D245="SINAPI-I",VLOOKUP(B245,'20-A.SINAPI-I'!A:G,6,0),IF(D245="COMPOSIÇÕES",VLOOKUP(B245,'11.COMPOSIÇÕES GERAIS'!B:I,7,0),0))),"Em Elaboração")</f>
        <v>0</v>
      </c>
      <c r="I245" s="259">
        <f>IFERROR(IF(D245="SINAPI-S",VLOOKUP(B245,'20-B.SINAPI-S'!A:J,6,0),IF(D245="SINAPI-I",VLOOKUP(B245,'20-A.SINAPI-I'!A:G,7,0),IF(D245="COMPOSIÇÕES",VLOOKUP(B245,'11.COMPOSIÇÕES GERAIS'!B:I,8,0),VLOOKUP(B245,'12.COT.MERCADO'!A:I,8,0)))),"Em Elaboração")</f>
        <v>13.88</v>
      </c>
      <c r="J245" s="259">
        <f t="shared" si="13"/>
        <v>0</v>
      </c>
      <c r="K245" s="259">
        <f t="shared" si="14"/>
        <v>16.25812404</v>
      </c>
      <c r="L245" s="259">
        <f t="shared" si="15"/>
        <v>16.25812404</v>
      </c>
      <c r="M245" s="259">
        <f t="shared" si="16"/>
        <v>0</v>
      </c>
      <c r="N245" s="259">
        <f t="shared" si="17"/>
        <v>48.77437212</v>
      </c>
      <c r="O245" s="259">
        <f t="shared" si="18"/>
        <v>48.77437212</v>
      </c>
      <c r="P245" s="586">
        <f t="shared" si="3"/>
        <v>0.0002658835423</v>
      </c>
    </row>
    <row r="246">
      <c r="A246" s="253" t="s">
        <v>790</v>
      </c>
      <c r="B246" s="254">
        <v>3475.0</v>
      </c>
      <c r="C246" s="255" t="str">
        <f t="shared" si="12"/>
        <v>SINAPI</v>
      </c>
      <c r="D246" s="256" t="s">
        <v>286</v>
      </c>
      <c r="E246" s="257" t="str">
        <f>IFERROR(IF(D246="SINAPI-S",VLOOKUP(B246,'20-B.SINAPI-S'!A:J,2,0),IF(D246="SINAPI-I",VLOOKUP(B246,'20-A.SINAPI-I'!A:G,2,0),IF(D246="COMPOSIÇÕES",VLOOKUP(B246,'11.COMPOSIÇÕES GERAIS'!B:I,2,0),VLOOKUP(B246,'12.COT.MERCADO'!A:I,2,0)))),"Em Elaboração")</f>
        <v>JOELHO PVC, ROSCAVEL, 45 GRAUS, 1/2", COR BRANCA, PARA AGUA FRIA PREDIAL</v>
      </c>
      <c r="F246" s="258" t="str">
        <f>IFERROR(IF(D246="SINAPI-S",VLOOKUP(B246,'20-B.SINAPI-S'!A:J,3,0),IF(D246="SINAPI-I",VLOOKUP(B246,'20-A.SINAPI-I'!A:G,3,0),IF(D246="COMPOSIÇÕES",VLOOKUP(B246,'11.COMPOSIÇÕES GERAIS'!B:I,3,0),VLOOKUP(B246,'12.COT.MERCADO'!A:I,7,0)))),"Em Elaboração")</f>
        <v>UN</v>
      </c>
      <c r="G246" s="254">
        <v>3.0</v>
      </c>
      <c r="H246" s="259">
        <f>IFERROR(IF(D246="SINAPI-S",VLOOKUP(B246,'20-B.SINAPI-S'!A:J,5,0),IF(D246="SINAPI-I",VLOOKUP(B246,'20-A.SINAPI-I'!A:G,6,0),IF(D246="COMPOSIÇÕES",VLOOKUP(B246,'11.COMPOSIÇÕES GERAIS'!B:I,7,0),0))),"Em Elaboração")</f>
        <v>0</v>
      </c>
      <c r="I246" s="259">
        <f>IFERROR(IF(D246="SINAPI-S",VLOOKUP(B246,'20-B.SINAPI-S'!A:J,6,0),IF(D246="SINAPI-I",VLOOKUP(B246,'20-A.SINAPI-I'!A:G,7,0),IF(D246="COMPOSIÇÕES",VLOOKUP(B246,'11.COMPOSIÇÕES GERAIS'!B:I,8,0),VLOOKUP(B246,'12.COT.MERCADO'!A:I,8,0)))),"Em Elaboração")</f>
        <v>5.02</v>
      </c>
      <c r="J246" s="259">
        <f t="shared" si="13"/>
        <v>0</v>
      </c>
      <c r="K246" s="259">
        <f t="shared" si="14"/>
        <v>5.880099617</v>
      </c>
      <c r="L246" s="259">
        <f t="shared" si="15"/>
        <v>5.880099617</v>
      </c>
      <c r="M246" s="259">
        <f t="shared" si="16"/>
        <v>0</v>
      </c>
      <c r="N246" s="259">
        <f t="shared" si="17"/>
        <v>17.64029885</v>
      </c>
      <c r="O246" s="259">
        <f t="shared" si="18"/>
        <v>17.64029885</v>
      </c>
      <c r="P246" s="586">
        <f t="shared" si="3"/>
        <v>0.00009616249153</v>
      </c>
    </row>
    <row r="247">
      <c r="A247" s="253" t="s">
        <v>791</v>
      </c>
      <c r="B247" s="254">
        <v>3534.0</v>
      </c>
      <c r="C247" s="255" t="str">
        <f t="shared" si="12"/>
        <v>SINAPI</v>
      </c>
      <c r="D247" s="256" t="s">
        <v>286</v>
      </c>
      <c r="E247" s="257" t="str">
        <f>IFERROR(IF(D247="SINAPI-S",VLOOKUP(B247,'20-B.SINAPI-S'!A:J,2,0),IF(D247="SINAPI-I",VLOOKUP(B247,'20-A.SINAPI-I'!A:G,2,0),IF(D247="COMPOSIÇÕES",VLOOKUP(B247,'11.COMPOSIÇÕES GERAIS'!B:I,2,0),VLOOKUP(B247,'12.COT.MERCADO'!A:I,2,0)))),"Em Elaboração")</f>
        <v>JOELHO PVC, ROSCAVEL, 45 GRAUS, 3/4", COR BRANCA, PARA AGUA FRIA PREDIAL</v>
      </c>
      <c r="F247" s="258" t="str">
        <f>IFERROR(IF(D247="SINAPI-S",VLOOKUP(B247,'20-B.SINAPI-S'!A:J,3,0),IF(D247="SINAPI-I",VLOOKUP(B247,'20-A.SINAPI-I'!A:G,3,0),IF(D247="COMPOSIÇÕES",VLOOKUP(B247,'11.COMPOSIÇÕES GERAIS'!B:I,3,0),VLOOKUP(B247,'12.COT.MERCADO'!A:I,7,0)))),"Em Elaboração")</f>
        <v>UN</v>
      </c>
      <c r="G247" s="254">
        <v>3.0</v>
      </c>
      <c r="H247" s="259">
        <f>IFERROR(IF(D247="SINAPI-S",VLOOKUP(B247,'20-B.SINAPI-S'!A:J,5,0),IF(D247="SINAPI-I",VLOOKUP(B247,'20-A.SINAPI-I'!A:G,6,0),IF(D247="COMPOSIÇÕES",VLOOKUP(B247,'11.COMPOSIÇÕES GERAIS'!B:I,7,0),0))),"Em Elaboração")</f>
        <v>0</v>
      </c>
      <c r="I247" s="259">
        <f>IFERROR(IF(D247="SINAPI-S",VLOOKUP(B247,'20-B.SINAPI-S'!A:J,6,0),IF(D247="SINAPI-I",VLOOKUP(B247,'20-A.SINAPI-I'!A:G,7,0),IF(D247="COMPOSIÇÕES",VLOOKUP(B247,'11.COMPOSIÇÕES GERAIS'!B:I,8,0),VLOOKUP(B247,'12.COT.MERCADO'!A:I,8,0)))),"Em Elaboração")</f>
        <v>7.96</v>
      </c>
      <c r="J247" s="259">
        <f t="shared" si="13"/>
        <v>0</v>
      </c>
      <c r="K247" s="259">
        <f t="shared" si="14"/>
        <v>9.323823298</v>
      </c>
      <c r="L247" s="259">
        <f t="shared" si="15"/>
        <v>9.323823298</v>
      </c>
      <c r="M247" s="259">
        <f t="shared" si="16"/>
        <v>0</v>
      </c>
      <c r="N247" s="259">
        <f t="shared" si="17"/>
        <v>27.97146989</v>
      </c>
      <c r="O247" s="259">
        <f t="shared" si="18"/>
        <v>27.97146989</v>
      </c>
      <c r="P247" s="586">
        <f t="shared" si="3"/>
        <v>0.0001524807635</v>
      </c>
    </row>
    <row r="248">
      <c r="A248" s="253" t="s">
        <v>792</v>
      </c>
      <c r="B248" s="254">
        <v>3499.0</v>
      </c>
      <c r="C248" s="255" t="str">
        <f t="shared" si="12"/>
        <v>SINAPI</v>
      </c>
      <c r="D248" s="256" t="s">
        <v>286</v>
      </c>
      <c r="E248" s="257" t="str">
        <f>IFERROR(IF(D248="SINAPI-S",VLOOKUP(B248,'20-B.SINAPI-S'!A:J,2,0),IF(D248="SINAPI-I",VLOOKUP(B248,'20-A.SINAPI-I'!A:G,2,0),IF(D248="COMPOSIÇÕES",VLOOKUP(B248,'11.COMPOSIÇÕES GERAIS'!B:I,2,0),VLOOKUP(B248,'12.COT.MERCADO'!A:I,2,0)))),"Em Elaboração")</f>
        <v>JOELHO, PVC SOLDAVEL, 45 GRAUS, 20 MM, COR MARROM, PARA AGUA FRIA PREDIAL</v>
      </c>
      <c r="F248" s="258" t="str">
        <f>IFERROR(IF(D248="SINAPI-S",VLOOKUP(B248,'20-B.SINAPI-S'!A:J,3,0),IF(D248="SINAPI-I",VLOOKUP(B248,'20-A.SINAPI-I'!A:G,3,0),IF(D248="COMPOSIÇÕES",VLOOKUP(B248,'11.COMPOSIÇÕES GERAIS'!B:I,3,0),VLOOKUP(B248,'12.COT.MERCADO'!A:I,7,0)))),"Em Elaboração")</f>
        <v>UN</v>
      </c>
      <c r="G248" s="254">
        <v>5.0</v>
      </c>
      <c r="H248" s="259">
        <f>IFERROR(IF(D248="SINAPI-S",VLOOKUP(B248,'20-B.SINAPI-S'!A:J,5,0),IF(D248="SINAPI-I",VLOOKUP(B248,'20-A.SINAPI-I'!A:G,6,0),IF(D248="COMPOSIÇÕES",VLOOKUP(B248,'11.COMPOSIÇÕES GERAIS'!B:I,7,0),0))),"Em Elaboração")</f>
        <v>0</v>
      </c>
      <c r="I248" s="259">
        <f>IFERROR(IF(D248="SINAPI-S",VLOOKUP(B248,'20-B.SINAPI-S'!A:J,6,0),IF(D248="SINAPI-I",VLOOKUP(B248,'20-A.SINAPI-I'!A:G,7,0),IF(D248="COMPOSIÇÕES",VLOOKUP(B248,'11.COMPOSIÇÕES GERAIS'!B:I,8,0),VLOOKUP(B248,'12.COT.MERCADO'!A:I,8,0)))),"Em Elaboração")</f>
        <v>1.18</v>
      </c>
      <c r="J248" s="259">
        <f t="shared" si="13"/>
        <v>0</v>
      </c>
      <c r="K248" s="259">
        <f t="shared" si="14"/>
        <v>1.38217481</v>
      </c>
      <c r="L248" s="259">
        <f t="shared" si="15"/>
        <v>1.38217481</v>
      </c>
      <c r="M248" s="259">
        <f t="shared" si="16"/>
        <v>0</v>
      </c>
      <c r="N248" s="259">
        <f t="shared" si="17"/>
        <v>6.910874052</v>
      </c>
      <c r="O248" s="259">
        <f t="shared" si="18"/>
        <v>6.910874052</v>
      </c>
      <c r="P248" s="586">
        <f t="shared" si="3"/>
        <v>0.00003767322045</v>
      </c>
    </row>
    <row r="249">
      <c r="A249" s="253" t="s">
        <v>793</v>
      </c>
      <c r="B249" s="254">
        <v>3500.0</v>
      </c>
      <c r="C249" s="255" t="str">
        <f t="shared" si="12"/>
        <v>SINAPI</v>
      </c>
      <c r="D249" s="256" t="s">
        <v>286</v>
      </c>
      <c r="E249" s="257" t="str">
        <f>IFERROR(IF(D249="SINAPI-S",VLOOKUP(B249,'20-B.SINAPI-S'!A:J,2,0),IF(D249="SINAPI-I",VLOOKUP(B249,'20-A.SINAPI-I'!A:G,2,0),IF(D249="COMPOSIÇÕES",VLOOKUP(B249,'11.COMPOSIÇÕES GERAIS'!B:I,2,0),VLOOKUP(B249,'12.COT.MERCADO'!A:I,2,0)))),"Em Elaboração")</f>
        <v>JOELHO, PVC SOLDAVEL, 45 GRAUS, 25 MM, COR MARROM, PARA AGUA FRIA PREDIAL</v>
      </c>
      <c r="F249" s="258" t="str">
        <f>IFERROR(IF(D249="SINAPI-S",VLOOKUP(B249,'20-B.SINAPI-S'!A:J,3,0),IF(D249="SINAPI-I",VLOOKUP(B249,'20-A.SINAPI-I'!A:G,3,0),IF(D249="COMPOSIÇÕES",VLOOKUP(B249,'11.COMPOSIÇÕES GERAIS'!B:I,3,0),VLOOKUP(B249,'12.COT.MERCADO'!A:I,7,0)))),"Em Elaboração")</f>
        <v>UN</v>
      </c>
      <c r="G249" s="254">
        <v>5.0</v>
      </c>
      <c r="H249" s="259">
        <f>IFERROR(IF(D249="SINAPI-S",VLOOKUP(B249,'20-B.SINAPI-S'!A:J,5,0),IF(D249="SINAPI-I",VLOOKUP(B249,'20-A.SINAPI-I'!A:G,6,0),IF(D249="COMPOSIÇÕES",VLOOKUP(B249,'11.COMPOSIÇÕES GERAIS'!B:I,7,0),0))),"Em Elaboração")</f>
        <v>0</v>
      </c>
      <c r="I249" s="259">
        <f>IFERROR(IF(D249="SINAPI-S",VLOOKUP(B249,'20-B.SINAPI-S'!A:J,6,0),IF(D249="SINAPI-I",VLOOKUP(B249,'20-A.SINAPI-I'!A:G,7,0),IF(D249="COMPOSIÇÕES",VLOOKUP(B249,'11.COMPOSIÇÕES GERAIS'!B:I,8,0),VLOOKUP(B249,'12.COT.MERCADO'!A:I,8,0)))),"Em Elaboração")</f>
        <v>1.57</v>
      </c>
      <c r="J249" s="259">
        <f t="shared" si="13"/>
        <v>0</v>
      </c>
      <c r="K249" s="259">
        <f t="shared" si="14"/>
        <v>1.838995299</v>
      </c>
      <c r="L249" s="259">
        <f t="shared" si="15"/>
        <v>1.838995299</v>
      </c>
      <c r="M249" s="259">
        <f t="shared" si="16"/>
        <v>0</v>
      </c>
      <c r="N249" s="259">
        <f t="shared" si="17"/>
        <v>9.194976493</v>
      </c>
      <c r="O249" s="259">
        <f t="shared" si="18"/>
        <v>9.194976493</v>
      </c>
      <c r="P249" s="586">
        <f t="shared" si="3"/>
        <v>0.00005012453908</v>
      </c>
    </row>
    <row r="250">
      <c r="A250" s="253" t="s">
        <v>794</v>
      </c>
      <c r="B250" s="254">
        <v>3501.0</v>
      </c>
      <c r="C250" s="255" t="str">
        <f t="shared" si="12"/>
        <v>SINAPI</v>
      </c>
      <c r="D250" s="256" t="s">
        <v>286</v>
      </c>
      <c r="E250" s="257" t="str">
        <f>IFERROR(IF(D250="SINAPI-S",VLOOKUP(B250,'20-B.SINAPI-S'!A:J,2,0),IF(D250="SINAPI-I",VLOOKUP(B250,'20-A.SINAPI-I'!A:G,2,0),IF(D250="COMPOSIÇÕES",VLOOKUP(B250,'11.COMPOSIÇÕES GERAIS'!B:I,2,0),VLOOKUP(B250,'12.COT.MERCADO'!A:I,2,0)))),"Em Elaboração")</f>
        <v>JOELHO, PVC SOLDAVEL, 45 GRAUS, 32 MM, COR MARROM, PARA AGUA FRIA PREDIAL</v>
      </c>
      <c r="F250" s="258" t="str">
        <f>IFERROR(IF(D250="SINAPI-S",VLOOKUP(B250,'20-B.SINAPI-S'!A:J,3,0),IF(D250="SINAPI-I",VLOOKUP(B250,'20-A.SINAPI-I'!A:G,3,0),IF(D250="COMPOSIÇÕES",VLOOKUP(B250,'11.COMPOSIÇÕES GERAIS'!B:I,3,0),VLOOKUP(B250,'12.COT.MERCADO'!A:I,7,0)))),"Em Elaboração")</f>
        <v>UN</v>
      </c>
      <c r="G250" s="254">
        <v>5.0</v>
      </c>
      <c r="H250" s="259">
        <f>IFERROR(IF(D250="SINAPI-S",VLOOKUP(B250,'20-B.SINAPI-S'!A:J,5,0),IF(D250="SINAPI-I",VLOOKUP(B250,'20-A.SINAPI-I'!A:G,6,0),IF(D250="COMPOSIÇÕES",VLOOKUP(B250,'11.COMPOSIÇÕES GERAIS'!B:I,7,0),0))),"Em Elaboração")</f>
        <v>0</v>
      </c>
      <c r="I250" s="259">
        <f>IFERROR(IF(D250="SINAPI-S",VLOOKUP(B250,'20-B.SINAPI-S'!A:J,6,0),IF(D250="SINAPI-I",VLOOKUP(B250,'20-A.SINAPI-I'!A:G,7,0),IF(D250="COMPOSIÇÕES",VLOOKUP(B250,'11.COMPOSIÇÕES GERAIS'!B:I,8,0),VLOOKUP(B250,'12.COT.MERCADO'!A:I,8,0)))),"Em Elaboração")</f>
        <v>4.34</v>
      </c>
      <c r="J250" s="259">
        <f t="shared" si="13"/>
        <v>0</v>
      </c>
      <c r="K250" s="259">
        <f t="shared" si="14"/>
        <v>5.083592099</v>
      </c>
      <c r="L250" s="259">
        <f t="shared" si="15"/>
        <v>5.083592099</v>
      </c>
      <c r="M250" s="259">
        <f t="shared" si="16"/>
        <v>0</v>
      </c>
      <c r="N250" s="259">
        <f t="shared" si="17"/>
        <v>25.4179605</v>
      </c>
      <c r="O250" s="259">
        <f t="shared" si="18"/>
        <v>25.4179605</v>
      </c>
      <c r="P250" s="586">
        <f t="shared" si="3"/>
        <v>0.0001385608278</v>
      </c>
    </row>
    <row r="251">
      <c r="A251" s="253" t="s">
        <v>795</v>
      </c>
      <c r="B251" s="254">
        <v>3502.0</v>
      </c>
      <c r="C251" s="255" t="str">
        <f t="shared" si="12"/>
        <v>SINAPI</v>
      </c>
      <c r="D251" s="256" t="s">
        <v>286</v>
      </c>
      <c r="E251" s="257" t="str">
        <f>IFERROR(IF(D251="SINAPI-S",VLOOKUP(B251,'20-B.SINAPI-S'!A:J,2,0),IF(D251="SINAPI-I",VLOOKUP(B251,'20-A.SINAPI-I'!A:G,2,0),IF(D251="COMPOSIÇÕES",VLOOKUP(B251,'11.COMPOSIÇÕES GERAIS'!B:I,2,0),VLOOKUP(B251,'12.COT.MERCADO'!A:I,2,0)))),"Em Elaboração")</f>
        <v>JOELHO, PVC SOLDAVEL, 45 GRAUS, 40 MM, COR MARROM, PARA AGUA FRIA PREDIAL</v>
      </c>
      <c r="F251" s="258" t="str">
        <f>IFERROR(IF(D251="SINAPI-S",VLOOKUP(B251,'20-B.SINAPI-S'!A:J,3,0),IF(D251="SINAPI-I",VLOOKUP(B251,'20-A.SINAPI-I'!A:G,3,0),IF(D251="COMPOSIÇÕES",VLOOKUP(B251,'11.COMPOSIÇÕES GERAIS'!B:I,3,0),VLOOKUP(B251,'12.COT.MERCADO'!A:I,7,0)))),"Em Elaboração")</f>
        <v>UN</v>
      </c>
      <c r="G251" s="254">
        <v>5.0</v>
      </c>
      <c r="H251" s="259">
        <f>IFERROR(IF(D251="SINAPI-S",VLOOKUP(B251,'20-B.SINAPI-S'!A:J,5,0),IF(D251="SINAPI-I",VLOOKUP(B251,'20-A.SINAPI-I'!A:G,6,0),IF(D251="COMPOSIÇÕES",VLOOKUP(B251,'11.COMPOSIÇÕES GERAIS'!B:I,7,0),0))),"Em Elaboração")</f>
        <v>0</v>
      </c>
      <c r="I251" s="259">
        <f>IFERROR(IF(D251="SINAPI-S",VLOOKUP(B251,'20-B.SINAPI-S'!A:J,6,0),IF(D251="SINAPI-I",VLOOKUP(B251,'20-A.SINAPI-I'!A:G,7,0),IF(D251="COMPOSIÇÕES",VLOOKUP(B251,'11.COMPOSIÇÕES GERAIS'!B:I,8,0),VLOOKUP(B251,'12.COT.MERCADO'!A:I,8,0)))),"Em Elaboração")</f>
        <v>6.24</v>
      </c>
      <c r="J251" s="259">
        <f t="shared" si="13"/>
        <v>0</v>
      </c>
      <c r="K251" s="259">
        <f t="shared" si="14"/>
        <v>7.309127811</v>
      </c>
      <c r="L251" s="259">
        <f t="shared" si="15"/>
        <v>7.309127811</v>
      </c>
      <c r="M251" s="259">
        <f t="shared" si="16"/>
        <v>0</v>
      </c>
      <c r="N251" s="259">
        <f t="shared" si="17"/>
        <v>36.54563906</v>
      </c>
      <c r="O251" s="259">
        <f t="shared" si="18"/>
        <v>36.54563906</v>
      </c>
      <c r="P251" s="586">
        <f t="shared" si="3"/>
        <v>0.000199221098</v>
      </c>
    </row>
    <row r="252">
      <c r="A252" s="253" t="s">
        <v>796</v>
      </c>
      <c r="B252" s="254">
        <v>3503.0</v>
      </c>
      <c r="C252" s="255" t="str">
        <f t="shared" si="12"/>
        <v>SINAPI</v>
      </c>
      <c r="D252" s="256" t="s">
        <v>286</v>
      </c>
      <c r="E252" s="257" t="str">
        <f>IFERROR(IF(D252="SINAPI-S",VLOOKUP(B252,'20-B.SINAPI-S'!A:J,2,0),IF(D252="SINAPI-I",VLOOKUP(B252,'20-A.SINAPI-I'!A:G,2,0),IF(D252="COMPOSIÇÕES",VLOOKUP(B252,'11.COMPOSIÇÕES GERAIS'!B:I,2,0),VLOOKUP(B252,'12.COT.MERCADO'!A:I,2,0)))),"Em Elaboração")</f>
        <v>JOELHO, PVC SOLDAVEL, 45 GRAUS, 50 MM, COR MARROM, PARA AGUA FRIA PREDIAL</v>
      </c>
      <c r="F252" s="258" t="str">
        <f>IFERROR(IF(D252="SINAPI-S",VLOOKUP(B252,'20-B.SINAPI-S'!A:J,3,0),IF(D252="SINAPI-I",VLOOKUP(B252,'20-A.SINAPI-I'!A:G,3,0),IF(D252="COMPOSIÇÕES",VLOOKUP(B252,'11.COMPOSIÇÕES GERAIS'!B:I,3,0),VLOOKUP(B252,'12.COT.MERCADO'!A:I,7,0)))),"Em Elaboração")</f>
        <v>UN</v>
      </c>
      <c r="G252" s="254">
        <v>5.0</v>
      </c>
      <c r="H252" s="259">
        <f>IFERROR(IF(D252="SINAPI-S",VLOOKUP(B252,'20-B.SINAPI-S'!A:J,5,0),IF(D252="SINAPI-I",VLOOKUP(B252,'20-A.SINAPI-I'!A:G,6,0),IF(D252="COMPOSIÇÕES",VLOOKUP(B252,'11.COMPOSIÇÕES GERAIS'!B:I,7,0),0))),"Em Elaboração")</f>
        <v>0</v>
      </c>
      <c r="I252" s="259">
        <f>IFERROR(IF(D252="SINAPI-S",VLOOKUP(B252,'20-B.SINAPI-S'!A:J,6,0),IF(D252="SINAPI-I",VLOOKUP(B252,'20-A.SINAPI-I'!A:G,7,0),IF(D252="COMPOSIÇÕES",VLOOKUP(B252,'11.COMPOSIÇÕES GERAIS'!B:I,8,0),VLOOKUP(B252,'12.COT.MERCADO'!A:I,8,0)))),"Em Elaboração")</f>
        <v>7.84</v>
      </c>
      <c r="J252" s="259">
        <f t="shared" si="13"/>
        <v>0</v>
      </c>
      <c r="K252" s="259">
        <f t="shared" si="14"/>
        <v>9.183263147</v>
      </c>
      <c r="L252" s="259">
        <f t="shared" si="15"/>
        <v>9.183263147</v>
      </c>
      <c r="M252" s="259">
        <f t="shared" si="16"/>
        <v>0</v>
      </c>
      <c r="N252" s="259">
        <f t="shared" si="17"/>
        <v>45.91631574</v>
      </c>
      <c r="O252" s="259">
        <f t="shared" si="18"/>
        <v>45.91631574</v>
      </c>
      <c r="P252" s="586">
        <f t="shared" si="3"/>
        <v>0.0002503034308</v>
      </c>
    </row>
    <row r="253">
      <c r="A253" s="253" t="s">
        <v>797</v>
      </c>
      <c r="B253" s="254">
        <v>3477.0</v>
      </c>
      <c r="C253" s="255" t="str">
        <f t="shared" si="12"/>
        <v>SINAPI</v>
      </c>
      <c r="D253" s="256" t="s">
        <v>286</v>
      </c>
      <c r="E253" s="257" t="str">
        <f>IFERROR(IF(D253="SINAPI-S",VLOOKUP(B253,'20-B.SINAPI-S'!A:J,2,0),IF(D253="SINAPI-I",VLOOKUP(B253,'20-A.SINAPI-I'!A:G,2,0),IF(D253="COMPOSIÇÕES",VLOOKUP(B253,'11.COMPOSIÇÕES GERAIS'!B:I,2,0),VLOOKUP(B253,'12.COT.MERCADO'!A:I,2,0)))),"Em Elaboração")</f>
        <v>JOELHO, PVC SOLDAVEL, 45 GRAUS, 60 MM, COR MARROM, PARA AGUA FRIA PREDIAL</v>
      </c>
      <c r="F253" s="258" t="str">
        <f>IFERROR(IF(D253="SINAPI-S",VLOOKUP(B253,'20-B.SINAPI-S'!A:J,3,0),IF(D253="SINAPI-I",VLOOKUP(B253,'20-A.SINAPI-I'!A:G,3,0),IF(D253="COMPOSIÇÕES",VLOOKUP(B253,'11.COMPOSIÇÕES GERAIS'!B:I,3,0),VLOOKUP(B253,'12.COT.MERCADO'!A:I,7,0)))),"Em Elaboração")</f>
        <v>UN</v>
      </c>
      <c r="G253" s="254">
        <v>5.0</v>
      </c>
      <c r="H253" s="259">
        <f>IFERROR(IF(D253="SINAPI-S",VLOOKUP(B253,'20-B.SINAPI-S'!A:J,5,0),IF(D253="SINAPI-I",VLOOKUP(B253,'20-A.SINAPI-I'!A:G,6,0),IF(D253="COMPOSIÇÕES",VLOOKUP(B253,'11.COMPOSIÇÕES GERAIS'!B:I,7,0),0))),"Em Elaboração")</f>
        <v>0</v>
      </c>
      <c r="I253" s="259">
        <f>IFERROR(IF(D253="SINAPI-S",VLOOKUP(B253,'20-B.SINAPI-S'!A:J,6,0),IF(D253="SINAPI-I",VLOOKUP(B253,'20-A.SINAPI-I'!A:G,7,0),IF(D253="COMPOSIÇÕES",VLOOKUP(B253,'11.COMPOSIÇÕES GERAIS'!B:I,8,0),VLOOKUP(B253,'12.COT.MERCADO'!A:I,8,0)))),"Em Elaboração")</f>
        <v>28.49</v>
      </c>
      <c r="J253" s="259">
        <f t="shared" si="13"/>
        <v>0</v>
      </c>
      <c r="K253" s="259">
        <f t="shared" si="14"/>
        <v>33.37132233</v>
      </c>
      <c r="L253" s="259">
        <f t="shared" si="15"/>
        <v>33.37132233</v>
      </c>
      <c r="M253" s="259">
        <f t="shared" si="16"/>
        <v>0</v>
      </c>
      <c r="N253" s="259">
        <f t="shared" si="17"/>
        <v>166.8566117</v>
      </c>
      <c r="O253" s="259">
        <f t="shared" si="18"/>
        <v>166.8566117</v>
      </c>
      <c r="P253" s="586">
        <f t="shared" si="3"/>
        <v>0.0009095847888</v>
      </c>
    </row>
    <row r="254">
      <c r="A254" s="253" t="s">
        <v>798</v>
      </c>
      <c r="B254" s="254">
        <v>3472.0</v>
      </c>
      <c r="C254" s="255" t="str">
        <f t="shared" si="12"/>
        <v>SINAPI</v>
      </c>
      <c r="D254" s="256" t="s">
        <v>286</v>
      </c>
      <c r="E254" s="257" t="str">
        <f>IFERROR(IF(D254="SINAPI-S",VLOOKUP(B254,'20-B.SINAPI-S'!A:J,2,0),IF(D254="SINAPI-I",VLOOKUP(B254,'20-A.SINAPI-I'!A:G,2,0),IF(D254="COMPOSIÇÕES",VLOOKUP(B254,'11.COMPOSIÇÕES GERAIS'!B:I,2,0),VLOOKUP(B254,'12.COT.MERCADO'!A:I,2,0)))),"Em Elaboração")</f>
        <v>COTOVELO 90 GRAUS DE FERRO GALVANIZADO, COM ROSCA BSP, DE 1"</v>
      </c>
      <c r="F254" s="258" t="str">
        <f>IFERROR(IF(D254="SINAPI-S",VLOOKUP(B254,'20-B.SINAPI-S'!A:J,3,0),IF(D254="SINAPI-I",VLOOKUP(B254,'20-A.SINAPI-I'!A:G,3,0),IF(D254="COMPOSIÇÕES",VLOOKUP(B254,'11.COMPOSIÇÕES GERAIS'!B:I,3,0),VLOOKUP(B254,'12.COT.MERCADO'!A:I,7,0)))),"Em Elaboração")</f>
        <v>UN</v>
      </c>
      <c r="G254" s="254">
        <v>2.0</v>
      </c>
      <c r="H254" s="259">
        <f>IFERROR(IF(D254="SINAPI-S",VLOOKUP(B254,'20-B.SINAPI-S'!A:J,5,0),IF(D254="SINAPI-I",VLOOKUP(B254,'20-A.SINAPI-I'!A:G,6,0),IF(D254="COMPOSIÇÕES",VLOOKUP(B254,'11.COMPOSIÇÕES GERAIS'!B:I,7,0),0))),"Em Elaboração")</f>
        <v>0</v>
      </c>
      <c r="I254" s="259">
        <f>IFERROR(IF(D254="SINAPI-S",VLOOKUP(B254,'20-B.SINAPI-S'!A:J,6,0),IF(D254="SINAPI-I",VLOOKUP(B254,'20-A.SINAPI-I'!A:G,7,0),IF(D254="COMPOSIÇÕES",VLOOKUP(B254,'11.COMPOSIÇÕES GERAIS'!B:I,8,0),VLOOKUP(B254,'12.COT.MERCADO'!A:I,8,0)))),"Em Elaboração")</f>
        <v>16.98</v>
      </c>
      <c r="J254" s="259">
        <f t="shared" si="13"/>
        <v>0</v>
      </c>
      <c r="K254" s="259">
        <f t="shared" si="14"/>
        <v>19.88926126</v>
      </c>
      <c r="L254" s="259">
        <f t="shared" si="15"/>
        <v>19.88926126</v>
      </c>
      <c r="M254" s="259">
        <f t="shared" si="16"/>
        <v>0</v>
      </c>
      <c r="N254" s="259">
        <f t="shared" si="17"/>
        <v>39.77852251</v>
      </c>
      <c r="O254" s="259">
        <f t="shared" si="18"/>
        <v>39.77852251</v>
      </c>
      <c r="P254" s="586">
        <f t="shared" si="3"/>
        <v>0.0002168445028</v>
      </c>
    </row>
    <row r="255">
      <c r="A255" s="253" t="s">
        <v>799</v>
      </c>
      <c r="B255" s="254">
        <v>3450.0</v>
      </c>
      <c r="C255" s="255" t="str">
        <f t="shared" si="12"/>
        <v>SINAPI</v>
      </c>
      <c r="D255" s="256" t="s">
        <v>286</v>
      </c>
      <c r="E255" s="257" t="str">
        <f>IFERROR(IF(D255="SINAPI-S",VLOOKUP(B255,'20-B.SINAPI-S'!A:J,2,0),IF(D255="SINAPI-I",VLOOKUP(B255,'20-A.SINAPI-I'!A:G,2,0),IF(D255="COMPOSIÇÕES",VLOOKUP(B255,'11.COMPOSIÇÕES GERAIS'!B:I,2,0),VLOOKUP(B255,'12.COT.MERCADO'!A:I,2,0)))),"Em Elaboração")</f>
        <v>COTOVELO 90 GRAUS DE FERRO GALVANIZADO, COM ROSCA BSP MACHO/FEMEA, DE 1/2"</v>
      </c>
      <c r="F255" s="258" t="str">
        <f>IFERROR(IF(D255="SINAPI-S",VLOOKUP(B255,'20-B.SINAPI-S'!A:J,3,0),IF(D255="SINAPI-I",VLOOKUP(B255,'20-A.SINAPI-I'!A:G,3,0),IF(D255="COMPOSIÇÕES",VLOOKUP(B255,'11.COMPOSIÇÕES GERAIS'!B:I,3,0),VLOOKUP(B255,'12.COT.MERCADO'!A:I,7,0)))),"Em Elaboração")</f>
        <v>UN</v>
      </c>
      <c r="G255" s="254">
        <v>3.0</v>
      </c>
      <c r="H255" s="259">
        <f>IFERROR(IF(D255="SINAPI-S",VLOOKUP(B255,'20-B.SINAPI-S'!A:J,5,0),IF(D255="SINAPI-I",VLOOKUP(B255,'20-A.SINAPI-I'!A:G,6,0),IF(D255="COMPOSIÇÕES",VLOOKUP(B255,'11.COMPOSIÇÕES GERAIS'!B:I,7,0),0))),"Em Elaboração")</f>
        <v>0</v>
      </c>
      <c r="I255" s="259">
        <f>IFERROR(IF(D255="SINAPI-S",VLOOKUP(B255,'20-B.SINAPI-S'!A:J,6,0),IF(D255="SINAPI-I",VLOOKUP(B255,'20-A.SINAPI-I'!A:G,7,0),IF(D255="COMPOSIÇÕES",VLOOKUP(B255,'11.COMPOSIÇÕES GERAIS'!B:I,8,0),VLOOKUP(B255,'12.COT.MERCADO'!A:I,8,0)))),"Em Elaboração")</f>
        <v>10.57</v>
      </c>
      <c r="J255" s="259">
        <f t="shared" si="13"/>
        <v>0</v>
      </c>
      <c r="K255" s="259">
        <f t="shared" si="14"/>
        <v>12.38100656</v>
      </c>
      <c r="L255" s="259">
        <f t="shared" si="15"/>
        <v>12.38100656</v>
      </c>
      <c r="M255" s="259">
        <f t="shared" si="16"/>
        <v>0</v>
      </c>
      <c r="N255" s="259">
        <f t="shared" si="17"/>
        <v>37.14301969</v>
      </c>
      <c r="O255" s="259">
        <f t="shared" si="18"/>
        <v>37.14301969</v>
      </c>
      <c r="P255" s="586">
        <f t="shared" si="3"/>
        <v>0.0002024775967</v>
      </c>
    </row>
    <row r="256">
      <c r="A256" s="253" t="s">
        <v>800</v>
      </c>
      <c r="B256" s="254">
        <v>3525.0</v>
      </c>
      <c r="C256" s="255" t="str">
        <f t="shared" si="12"/>
        <v>SINAPI</v>
      </c>
      <c r="D256" s="256" t="s">
        <v>286</v>
      </c>
      <c r="E256" s="257" t="str">
        <f>IFERROR(IF(D256="SINAPI-S",VLOOKUP(B256,'20-B.SINAPI-S'!A:J,2,0),IF(D256="SINAPI-I",VLOOKUP(B256,'20-A.SINAPI-I'!A:G,2,0),IF(D256="COMPOSIÇÕES",VLOOKUP(B256,'11.COMPOSIÇÕES GERAIS'!B:I,2,0),VLOOKUP(B256,'12.COT.MERCADO'!A:I,2,0)))),"Em Elaboração")</f>
        <v>JOELHO, PVC SOLDAVEL, 45 GRAUS, 85 MM, COR MARROM, PARA AGUA FRIA PREDIAL</v>
      </c>
      <c r="F256" s="258" t="str">
        <f>IFERROR(IF(D256="SINAPI-S",VLOOKUP(B256,'20-B.SINAPI-S'!A:J,3,0),IF(D256="SINAPI-I",VLOOKUP(B256,'20-A.SINAPI-I'!A:G,3,0),IF(D256="COMPOSIÇÕES",VLOOKUP(B256,'11.COMPOSIÇÕES GERAIS'!B:I,3,0),VLOOKUP(B256,'12.COT.MERCADO'!A:I,7,0)))),"Em Elaboração")</f>
        <v>UN</v>
      </c>
      <c r="G256" s="254">
        <v>6.0</v>
      </c>
      <c r="H256" s="259">
        <f>IFERROR(IF(D256="SINAPI-S",VLOOKUP(B256,'20-B.SINAPI-S'!A:J,5,0),IF(D256="SINAPI-I",VLOOKUP(B256,'20-A.SINAPI-I'!A:G,6,0),IF(D256="COMPOSIÇÕES",VLOOKUP(B256,'11.COMPOSIÇÕES GERAIS'!B:I,7,0),0))),"Em Elaboração")</f>
        <v>0</v>
      </c>
      <c r="I256" s="259">
        <f>IFERROR(IF(D256="SINAPI-S",VLOOKUP(B256,'20-B.SINAPI-S'!A:J,6,0),IF(D256="SINAPI-I",VLOOKUP(B256,'20-A.SINAPI-I'!A:G,7,0),IF(D256="COMPOSIÇÕES",VLOOKUP(B256,'11.COMPOSIÇÕES GERAIS'!B:I,8,0),VLOOKUP(B256,'12.COT.MERCADO'!A:I,8,0)))),"Em Elaboração")</f>
        <v>84.3</v>
      </c>
      <c r="J256" s="259">
        <f t="shared" si="13"/>
        <v>0</v>
      </c>
      <c r="K256" s="259">
        <f t="shared" si="14"/>
        <v>98.74350553</v>
      </c>
      <c r="L256" s="259">
        <f t="shared" si="15"/>
        <v>98.74350553</v>
      </c>
      <c r="M256" s="259">
        <f t="shared" si="16"/>
        <v>0</v>
      </c>
      <c r="N256" s="259">
        <f t="shared" si="17"/>
        <v>592.4610332</v>
      </c>
      <c r="O256" s="259">
        <f t="shared" si="18"/>
        <v>592.4610332</v>
      </c>
      <c r="P256" s="586">
        <f t="shared" si="3"/>
        <v>0.003229680492</v>
      </c>
    </row>
    <row r="257">
      <c r="A257" s="253" t="s">
        <v>801</v>
      </c>
      <c r="B257" s="254">
        <v>3482.0</v>
      </c>
      <c r="C257" s="255" t="str">
        <f t="shared" si="12"/>
        <v>SINAPI</v>
      </c>
      <c r="D257" s="256" t="s">
        <v>286</v>
      </c>
      <c r="E257" s="257" t="str">
        <f>IFERROR(IF(D257="SINAPI-S",VLOOKUP(B257,'20-B.SINAPI-S'!A:J,2,0),IF(D257="SINAPI-I",VLOOKUP(B257,'20-A.SINAPI-I'!A:G,2,0),IF(D257="COMPOSIÇÕES",VLOOKUP(B257,'11.COMPOSIÇÕES GERAIS'!B:I,2,0),VLOOKUP(B257,'12.COT.MERCADO'!A:I,2,0)))),"Em Elaboração")</f>
        <v>JOELHO PVC, ROSCAVEL, 90 GRAUS, 1", COR BRANCA, PARA AGUA FRIA PREDIAL</v>
      </c>
      <c r="F257" s="258" t="str">
        <f>IFERROR(IF(D257="SINAPI-S",VLOOKUP(B257,'20-B.SINAPI-S'!A:J,3,0),IF(D257="SINAPI-I",VLOOKUP(B257,'20-A.SINAPI-I'!A:G,3,0),IF(D257="COMPOSIÇÕES",VLOOKUP(B257,'11.COMPOSIÇÕES GERAIS'!B:I,3,0),VLOOKUP(B257,'12.COT.MERCADO'!A:I,7,0)))),"Em Elaboração")</f>
        <v>UN</v>
      </c>
      <c r="G257" s="254">
        <v>9.0</v>
      </c>
      <c r="H257" s="259">
        <f>IFERROR(IF(D257="SINAPI-S",VLOOKUP(B257,'20-B.SINAPI-S'!A:J,5,0),IF(D257="SINAPI-I",VLOOKUP(B257,'20-A.SINAPI-I'!A:G,6,0),IF(D257="COMPOSIÇÕES",VLOOKUP(B257,'11.COMPOSIÇÕES GERAIS'!B:I,7,0),0))),"Em Elaboração")</f>
        <v>0</v>
      </c>
      <c r="I257" s="259">
        <f>IFERROR(IF(D257="SINAPI-S",VLOOKUP(B257,'20-B.SINAPI-S'!A:J,6,0),IF(D257="SINAPI-I",VLOOKUP(B257,'20-A.SINAPI-I'!A:G,7,0),IF(D257="COMPOSIÇÕES",VLOOKUP(B257,'11.COMPOSIÇÕES GERAIS'!B:I,8,0),VLOOKUP(B257,'12.COT.MERCADO'!A:I,8,0)))),"Em Elaboração")</f>
        <v>5.69</v>
      </c>
      <c r="J257" s="259">
        <f t="shared" si="13"/>
        <v>0</v>
      </c>
      <c r="K257" s="259">
        <f t="shared" si="14"/>
        <v>6.664893789</v>
      </c>
      <c r="L257" s="259">
        <f t="shared" si="15"/>
        <v>6.664893789</v>
      </c>
      <c r="M257" s="259">
        <f t="shared" si="16"/>
        <v>0</v>
      </c>
      <c r="N257" s="259">
        <f t="shared" si="17"/>
        <v>59.9840441</v>
      </c>
      <c r="O257" s="259">
        <f t="shared" si="18"/>
        <v>59.9840441</v>
      </c>
      <c r="P257" s="586">
        <f t="shared" si="3"/>
        <v>0.000326990783</v>
      </c>
    </row>
    <row r="258">
      <c r="A258" s="253" t="s">
        <v>802</v>
      </c>
      <c r="B258" s="254">
        <v>3510.0</v>
      </c>
      <c r="C258" s="255" t="str">
        <f t="shared" si="12"/>
        <v>SINAPI</v>
      </c>
      <c r="D258" s="256" t="s">
        <v>286</v>
      </c>
      <c r="E258" s="257" t="str">
        <f>IFERROR(IF(D258="SINAPI-S",VLOOKUP(B258,'20-B.SINAPI-S'!A:J,2,0),IF(D258="SINAPI-I",VLOOKUP(B258,'20-A.SINAPI-I'!A:G,2,0),IF(D258="COMPOSIÇÕES",VLOOKUP(B258,'11.COMPOSIÇÕES GERAIS'!B:I,2,0),VLOOKUP(B258,'12.COT.MERCADO'!A:I,2,0)))),"Em Elaboração")</f>
        <v>JOELHO PVC, 90 GRAUS, ROSCAVEL, 1 1/4", COR BRANCA, AGUA FRIA PREDIAL</v>
      </c>
      <c r="F258" s="258" t="str">
        <f>IFERROR(IF(D258="SINAPI-S",VLOOKUP(B258,'20-B.SINAPI-S'!A:J,3,0),IF(D258="SINAPI-I",VLOOKUP(B258,'20-A.SINAPI-I'!A:G,3,0),IF(D258="COMPOSIÇÕES",VLOOKUP(B258,'11.COMPOSIÇÕES GERAIS'!B:I,3,0),VLOOKUP(B258,'12.COT.MERCADO'!A:I,7,0)))),"Em Elaboração")</f>
        <v>UN</v>
      </c>
      <c r="G258" s="254">
        <v>3.0</v>
      </c>
      <c r="H258" s="259">
        <f>IFERROR(IF(D258="SINAPI-S",VLOOKUP(B258,'20-B.SINAPI-S'!A:J,5,0),IF(D258="SINAPI-I",VLOOKUP(B258,'20-A.SINAPI-I'!A:G,6,0),IF(D258="COMPOSIÇÕES",VLOOKUP(B258,'11.COMPOSIÇÕES GERAIS'!B:I,7,0),0))),"Em Elaboração")</f>
        <v>0</v>
      </c>
      <c r="I258" s="259">
        <f>IFERROR(IF(D258="SINAPI-S",VLOOKUP(B258,'20-B.SINAPI-S'!A:J,6,0),IF(D258="SINAPI-I",VLOOKUP(B258,'20-A.SINAPI-I'!A:G,7,0),IF(D258="COMPOSIÇÕES",VLOOKUP(B258,'11.COMPOSIÇÕES GERAIS'!B:I,8,0),VLOOKUP(B258,'12.COT.MERCADO'!A:I,8,0)))),"Em Elaboração")</f>
        <v>13.2</v>
      </c>
      <c r="J258" s="259">
        <f t="shared" si="13"/>
        <v>0</v>
      </c>
      <c r="K258" s="259">
        <f t="shared" si="14"/>
        <v>15.46161652</v>
      </c>
      <c r="L258" s="259">
        <f t="shared" si="15"/>
        <v>15.46161652</v>
      </c>
      <c r="M258" s="259">
        <f t="shared" si="16"/>
        <v>0</v>
      </c>
      <c r="N258" s="259">
        <f t="shared" si="17"/>
        <v>46.38484957</v>
      </c>
      <c r="O258" s="259">
        <f t="shared" si="18"/>
        <v>46.38484957</v>
      </c>
      <c r="P258" s="586">
        <f t="shared" si="3"/>
        <v>0.0002528575475</v>
      </c>
    </row>
    <row r="259">
      <c r="A259" s="253" t="s">
        <v>803</v>
      </c>
      <c r="B259" s="254">
        <v>3543.0</v>
      </c>
      <c r="C259" s="255" t="str">
        <f t="shared" si="12"/>
        <v>SINAPI</v>
      </c>
      <c r="D259" s="256" t="s">
        <v>286</v>
      </c>
      <c r="E259" s="257" t="str">
        <f>IFERROR(IF(D259="SINAPI-S",VLOOKUP(B259,'20-B.SINAPI-S'!A:J,2,0),IF(D259="SINAPI-I",VLOOKUP(B259,'20-A.SINAPI-I'!A:G,2,0),IF(D259="COMPOSIÇÕES",VLOOKUP(B259,'11.COMPOSIÇÕES GERAIS'!B:I,2,0),VLOOKUP(B259,'12.COT.MERCADO'!A:I,2,0)))),"Em Elaboração")</f>
        <v>JOELHO PVC, ROSCAVEL, 90 GRAUS, 1/2", COR BRANCA, PARA AGUA FRIA PREDIAL</v>
      </c>
      <c r="F259" s="258" t="str">
        <f>IFERROR(IF(D259="SINAPI-S",VLOOKUP(B259,'20-B.SINAPI-S'!A:J,3,0),IF(D259="SINAPI-I",VLOOKUP(B259,'20-A.SINAPI-I'!A:G,3,0),IF(D259="COMPOSIÇÕES",VLOOKUP(B259,'11.COMPOSIÇÕES GERAIS'!B:I,3,0),VLOOKUP(B259,'12.COT.MERCADO'!A:I,7,0)))),"Em Elaboração")</f>
        <v>UN</v>
      </c>
      <c r="G259" s="254">
        <v>3.0</v>
      </c>
      <c r="H259" s="259">
        <f>IFERROR(IF(D259="SINAPI-S",VLOOKUP(B259,'20-B.SINAPI-S'!A:J,5,0),IF(D259="SINAPI-I",VLOOKUP(B259,'20-A.SINAPI-I'!A:G,6,0),IF(D259="COMPOSIÇÕES",VLOOKUP(B259,'11.COMPOSIÇÕES GERAIS'!B:I,7,0),0))),"Em Elaboração")</f>
        <v>0</v>
      </c>
      <c r="I259" s="259">
        <f>IFERROR(IF(D259="SINAPI-S",VLOOKUP(B259,'20-B.SINAPI-S'!A:J,6,0),IF(D259="SINAPI-I",VLOOKUP(B259,'20-A.SINAPI-I'!A:G,7,0),IF(D259="COMPOSIÇÕES",VLOOKUP(B259,'11.COMPOSIÇÕES GERAIS'!B:I,8,0),VLOOKUP(B259,'12.COT.MERCADO'!A:I,8,0)))),"Em Elaboração")</f>
        <v>1.85</v>
      </c>
      <c r="J259" s="259">
        <f t="shared" si="13"/>
        <v>0</v>
      </c>
      <c r="K259" s="259">
        <f t="shared" si="14"/>
        <v>2.166968982</v>
      </c>
      <c r="L259" s="259">
        <f t="shared" si="15"/>
        <v>2.166968982</v>
      </c>
      <c r="M259" s="259">
        <f t="shared" si="16"/>
        <v>0</v>
      </c>
      <c r="N259" s="259">
        <f t="shared" si="17"/>
        <v>6.500906947</v>
      </c>
      <c r="O259" s="259">
        <f t="shared" si="18"/>
        <v>6.500906947</v>
      </c>
      <c r="P259" s="586">
        <f t="shared" si="3"/>
        <v>0.00003543836839</v>
      </c>
    </row>
    <row r="260">
      <c r="A260" s="253" t="s">
        <v>804</v>
      </c>
      <c r="B260" s="254">
        <v>3505.0</v>
      </c>
      <c r="C260" s="255" t="str">
        <f t="shared" si="12"/>
        <v>SINAPI</v>
      </c>
      <c r="D260" s="256" t="s">
        <v>286</v>
      </c>
      <c r="E260" s="257" t="str">
        <f>IFERROR(IF(D260="SINAPI-S",VLOOKUP(B260,'20-B.SINAPI-S'!A:J,2,0),IF(D260="SINAPI-I",VLOOKUP(B260,'20-A.SINAPI-I'!A:G,2,0),IF(D260="COMPOSIÇÕES",VLOOKUP(B260,'11.COMPOSIÇÕES GERAIS'!B:I,2,0),VLOOKUP(B260,'12.COT.MERCADO'!A:I,2,0)))),"Em Elaboração")</f>
        <v>JOELHO PVC, ROSCAVEL, 90 GRAUS, 3/4", COR BRANCA, PARA AGUA FRIA PREDIAL</v>
      </c>
      <c r="F260" s="258" t="str">
        <f>IFERROR(IF(D260="SINAPI-S",VLOOKUP(B260,'20-B.SINAPI-S'!A:J,3,0),IF(D260="SINAPI-I",VLOOKUP(B260,'20-A.SINAPI-I'!A:G,3,0),IF(D260="COMPOSIÇÕES",VLOOKUP(B260,'11.COMPOSIÇÕES GERAIS'!B:I,3,0),VLOOKUP(B260,'12.COT.MERCADO'!A:I,7,0)))),"Em Elaboração")</f>
        <v>UN</v>
      </c>
      <c r="G260" s="254">
        <v>3.0</v>
      </c>
      <c r="H260" s="259">
        <f>IFERROR(IF(D260="SINAPI-S",VLOOKUP(B260,'20-B.SINAPI-S'!A:J,5,0),IF(D260="SINAPI-I",VLOOKUP(B260,'20-A.SINAPI-I'!A:G,6,0),IF(D260="COMPOSIÇÕES",VLOOKUP(B260,'11.COMPOSIÇÕES GERAIS'!B:I,7,0),0))),"Em Elaboração")</f>
        <v>0</v>
      </c>
      <c r="I260" s="259">
        <f>IFERROR(IF(D260="SINAPI-S",VLOOKUP(B260,'20-B.SINAPI-S'!A:J,6,0),IF(D260="SINAPI-I",VLOOKUP(B260,'20-A.SINAPI-I'!A:G,7,0),IF(D260="COMPOSIÇÕES",VLOOKUP(B260,'11.COMPOSIÇÕES GERAIS'!B:I,8,0),VLOOKUP(B260,'12.COT.MERCADO'!A:I,8,0)))),"Em Elaboração")</f>
        <v>2.75</v>
      </c>
      <c r="J260" s="259">
        <f t="shared" si="13"/>
        <v>0</v>
      </c>
      <c r="K260" s="259">
        <f t="shared" si="14"/>
        <v>3.221170109</v>
      </c>
      <c r="L260" s="259">
        <f t="shared" si="15"/>
        <v>3.221170109</v>
      </c>
      <c r="M260" s="259">
        <f t="shared" si="16"/>
        <v>0</v>
      </c>
      <c r="N260" s="259">
        <f t="shared" si="17"/>
        <v>9.663510327</v>
      </c>
      <c r="O260" s="259">
        <f t="shared" si="18"/>
        <v>9.663510327</v>
      </c>
      <c r="P260" s="586">
        <f t="shared" si="3"/>
        <v>0.00005267865572</v>
      </c>
    </row>
    <row r="261">
      <c r="A261" s="253" t="s">
        <v>805</v>
      </c>
      <c r="B261" s="254">
        <v>3542.0</v>
      </c>
      <c r="C261" s="255" t="str">
        <f t="shared" si="12"/>
        <v>SINAPI</v>
      </c>
      <c r="D261" s="256" t="s">
        <v>286</v>
      </c>
      <c r="E261" s="257" t="str">
        <f>IFERROR(IF(D261="SINAPI-S",VLOOKUP(B261,'20-B.SINAPI-S'!A:J,2,0),IF(D261="SINAPI-I",VLOOKUP(B261,'20-A.SINAPI-I'!A:G,2,0),IF(D261="COMPOSIÇÕES",VLOOKUP(B261,'11.COMPOSIÇÕES GERAIS'!B:I,2,0),VLOOKUP(B261,'12.COT.MERCADO'!A:I,2,0)))),"Em Elaboração")</f>
        <v>JOELHO PVC, SOLDAVEL, 90 GRAUS, 20 MM, COR MARROM, PARA AGUA FRIA PREDIAL</v>
      </c>
      <c r="F261" s="258" t="str">
        <f>IFERROR(IF(D261="SINAPI-S",VLOOKUP(B261,'20-B.SINAPI-S'!A:J,3,0),IF(D261="SINAPI-I",VLOOKUP(B261,'20-A.SINAPI-I'!A:G,3,0),IF(D261="COMPOSIÇÕES",VLOOKUP(B261,'11.COMPOSIÇÕES GERAIS'!B:I,3,0),VLOOKUP(B261,'12.COT.MERCADO'!A:I,7,0)))),"Em Elaboração")</f>
        <v>UN</v>
      </c>
      <c r="G261" s="254">
        <v>15.0</v>
      </c>
      <c r="H261" s="259">
        <f>IFERROR(IF(D261="SINAPI-S",VLOOKUP(B261,'20-B.SINAPI-S'!A:J,5,0),IF(D261="SINAPI-I",VLOOKUP(B261,'20-A.SINAPI-I'!A:G,6,0),IF(D261="COMPOSIÇÕES",VLOOKUP(B261,'11.COMPOSIÇÕES GERAIS'!B:I,7,0),0))),"Em Elaboração")</f>
        <v>0</v>
      </c>
      <c r="I261" s="259">
        <f>IFERROR(IF(D261="SINAPI-S",VLOOKUP(B261,'20-B.SINAPI-S'!A:J,6,0),IF(D261="SINAPI-I",VLOOKUP(B261,'20-A.SINAPI-I'!A:G,7,0),IF(D261="COMPOSIÇÕES",VLOOKUP(B261,'11.COMPOSIÇÕES GERAIS'!B:I,8,0),VLOOKUP(B261,'12.COT.MERCADO'!A:I,8,0)))),"Em Elaboração")</f>
        <v>0.62</v>
      </c>
      <c r="J261" s="259">
        <f t="shared" si="13"/>
        <v>0</v>
      </c>
      <c r="K261" s="259">
        <f t="shared" si="14"/>
        <v>0.7262274428</v>
      </c>
      <c r="L261" s="259">
        <f t="shared" si="15"/>
        <v>0.7262274428</v>
      </c>
      <c r="M261" s="259">
        <f t="shared" si="16"/>
        <v>0</v>
      </c>
      <c r="N261" s="259">
        <f t="shared" si="17"/>
        <v>10.89341164</v>
      </c>
      <c r="O261" s="259">
        <f t="shared" si="18"/>
        <v>10.89341164</v>
      </c>
      <c r="P261" s="586">
        <f t="shared" si="3"/>
        <v>0.0000593832119</v>
      </c>
    </row>
    <row r="262">
      <c r="A262" s="253" t="s">
        <v>806</v>
      </c>
      <c r="B262" s="254">
        <v>3529.0</v>
      </c>
      <c r="C262" s="255" t="str">
        <f t="shared" si="12"/>
        <v>SINAPI</v>
      </c>
      <c r="D262" s="256" t="s">
        <v>286</v>
      </c>
      <c r="E262" s="257" t="str">
        <f>IFERROR(IF(D262="SINAPI-S",VLOOKUP(B262,'20-B.SINAPI-S'!A:J,2,0),IF(D262="SINAPI-I",VLOOKUP(B262,'20-A.SINAPI-I'!A:G,2,0),IF(D262="COMPOSIÇÕES",VLOOKUP(B262,'11.COMPOSIÇÕES GERAIS'!B:I,2,0),VLOOKUP(B262,'12.COT.MERCADO'!A:I,2,0)))),"Em Elaboração")</f>
        <v>JOELHO PVC, SOLDAVEL, 90 GRAUS, 25 MM, COR MARROM, PARA AGUA FRIA PREDIAL</v>
      </c>
      <c r="F262" s="258" t="str">
        <f>IFERROR(IF(D262="SINAPI-S",VLOOKUP(B262,'20-B.SINAPI-S'!A:J,3,0),IF(D262="SINAPI-I",VLOOKUP(B262,'20-A.SINAPI-I'!A:G,3,0),IF(D262="COMPOSIÇÕES",VLOOKUP(B262,'11.COMPOSIÇÕES GERAIS'!B:I,3,0),VLOOKUP(B262,'12.COT.MERCADO'!A:I,7,0)))),"Em Elaboração")</f>
        <v>UN</v>
      </c>
      <c r="G262" s="254">
        <v>15.0</v>
      </c>
      <c r="H262" s="259">
        <f>IFERROR(IF(D262="SINAPI-S",VLOOKUP(B262,'20-B.SINAPI-S'!A:J,5,0),IF(D262="SINAPI-I",VLOOKUP(B262,'20-A.SINAPI-I'!A:G,6,0),IF(D262="COMPOSIÇÕES",VLOOKUP(B262,'11.COMPOSIÇÕES GERAIS'!B:I,7,0),0))),"Em Elaboração")</f>
        <v>0</v>
      </c>
      <c r="I262" s="259">
        <f>IFERROR(IF(D262="SINAPI-S",VLOOKUP(B262,'20-B.SINAPI-S'!A:J,6,0),IF(D262="SINAPI-I",VLOOKUP(B262,'20-A.SINAPI-I'!A:G,7,0),IF(D262="COMPOSIÇÕES",VLOOKUP(B262,'11.COMPOSIÇÕES GERAIS'!B:I,8,0),VLOOKUP(B262,'12.COT.MERCADO'!A:I,8,0)))),"Em Elaboração")</f>
        <v>0.76</v>
      </c>
      <c r="J262" s="259">
        <f t="shared" si="13"/>
        <v>0</v>
      </c>
      <c r="K262" s="259">
        <f t="shared" si="14"/>
        <v>0.8902142847</v>
      </c>
      <c r="L262" s="259">
        <f t="shared" si="15"/>
        <v>0.8902142847</v>
      </c>
      <c r="M262" s="259">
        <f t="shared" si="16"/>
        <v>0</v>
      </c>
      <c r="N262" s="259">
        <f t="shared" si="17"/>
        <v>13.35321427</v>
      </c>
      <c r="O262" s="259">
        <f t="shared" si="18"/>
        <v>13.35321427</v>
      </c>
      <c r="P262" s="586">
        <f t="shared" si="3"/>
        <v>0.00007279232427</v>
      </c>
    </row>
    <row r="263">
      <c r="A263" s="253" t="s">
        <v>807</v>
      </c>
      <c r="B263" s="254">
        <v>3536.0</v>
      </c>
      <c r="C263" s="255" t="str">
        <f t="shared" si="12"/>
        <v>SINAPI</v>
      </c>
      <c r="D263" s="256" t="s">
        <v>286</v>
      </c>
      <c r="E263" s="257" t="str">
        <f>IFERROR(IF(D263="SINAPI-S",VLOOKUP(B263,'20-B.SINAPI-S'!A:J,2,0),IF(D263="SINAPI-I",VLOOKUP(B263,'20-A.SINAPI-I'!A:G,2,0),IF(D263="COMPOSIÇÕES",VLOOKUP(B263,'11.COMPOSIÇÕES GERAIS'!B:I,2,0),VLOOKUP(B263,'12.COT.MERCADO'!A:I,2,0)))),"Em Elaboração")</f>
        <v>JOELHO PVC, SOLDAVEL, 90 GRAUS, 32 MM, COR MARROM, PARA AGUA FRIA PREDIAL</v>
      </c>
      <c r="F263" s="258" t="str">
        <f>IFERROR(IF(D263="SINAPI-S",VLOOKUP(B263,'20-B.SINAPI-S'!A:J,3,0),IF(D263="SINAPI-I",VLOOKUP(B263,'20-A.SINAPI-I'!A:G,3,0),IF(D263="COMPOSIÇÕES",VLOOKUP(B263,'11.COMPOSIÇÕES GERAIS'!B:I,3,0),VLOOKUP(B263,'12.COT.MERCADO'!A:I,7,0)))),"Em Elaboração")</f>
        <v>UN</v>
      </c>
      <c r="G263" s="254">
        <v>15.0</v>
      </c>
      <c r="H263" s="259">
        <f>IFERROR(IF(D263="SINAPI-S",VLOOKUP(B263,'20-B.SINAPI-S'!A:J,5,0),IF(D263="SINAPI-I",VLOOKUP(B263,'20-A.SINAPI-I'!A:G,6,0),IF(D263="COMPOSIÇÕES",VLOOKUP(B263,'11.COMPOSIÇÕES GERAIS'!B:I,7,0),0))),"Em Elaboração")</f>
        <v>0</v>
      </c>
      <c r="I263" s="259">
        <f>IFERROR(IF(D263="SINAPI-S",VLOOKUP(B263,'20-B.SINAPI-S'!A:J,6,0),IF(D263="SINAPI-I",VLOOKUP(B263,'20-A.SINAPI-I'!A:G,7,0),IF(D263="COMPOSIÇÕES",VLOOKUP(B263,'11.COMPOSIÇÕES GERAIS'!B:I,8,0),VLOOKUP(B263,'12.COT.MERCADO'!A:I,8,0)))),"Em Elaboração")</f>
        <v>2.54</v>
      </c>
      <c r="J263" s="259">
        <f t="shared" si="13"/>
        <v>0</v>
      </c>
      <c r="K263" s="259">
        <f t="shared" si="14"/>
        <v>2.975189846</v>
      </c>
      <c r="L263" s="259">
        <f t="shared" si="15"/>
        <v>2.975189846</v>
      </c>
      <c r="M263" s="259">
        <f t="shared" si="16"/>
        <v>0</v>
      </c>
      <c r="N263" s="259">
        <f t="shared" si="17"/>
        <v>44.62784769</v>
      </c>
      <c r="O263" s="259">
        <f t="shared" si="18"/>
        <v>44.62784769</v>
      </c>
      <c r="P263" s="586">
        <f t="shared" si="3"/>
        <v>0.0002432796101</v>
      </c>
    </row>
    <row r="264">
      <c r="A264" s="253" t="s">
        <v>808</v>
      </c>
      <c r="B264" s="254">
        <v>3535.0</v>
      </c>
      <c r="C264" s="255" t="str">
        <f t="shared" si="12"/>
        <v>SINAPI</v>
      </c>
      <c r="D264" s="256" t="s">
        <v>286</v>
      </c>
      <c r="E264" s="257" t="str">
        <f>IFERROR(IF(D264="SINAPI-S",VLOOKUP(B264,'20-B.SINAPI-S'!A:J,2,0),IF(D264="SINAPI-I",VLOOKUP(B264,'20-A.SINAPI-I'!A:G,2,0),IF(D264="COMPOSIÇÕES",VLOOKUP(B264,'11.COMPOSIÇÕES GERAIS'!B:I,2,0),VLOOKUP(B264,'12.COT.MERCADO'!A:I,2,0)))),"Em Elaboração")</f>
        <v>JOELHO PVC, SOLDAVEL, 90 GRAUS, 40 MM, COR MARROM, PARA AGUA FRIA PREDIAL</v>
      </c>
      <c r="F264" s="258" t="str">
        <f>IFERROR(IF(D264="SINAPI-S",VLOOKUP(B264,'20-B.SINAPI-S'!A:J,3,0),IF(D264="SINAPI-I",VLOOKUP(B264,'20-A.SINAPI-I'!A:G,3,0),IF(D264="COMPOSIÇÕES",VLOOKUP(B264,'11.COMPOSIÇÕES GERAIS'!B:I,3,0),VLOOKUP(B264,'12.COT.MERCADO'!A:I,7,0)))),"Em Elaboração")</f>
        <v>UN</v>
      </c>
      <c r="G264" s="254">
        <v>15.0</v>
      </c>
      <c r="H264" s="259">
        <f>IFERROR(IF(D264="SINAPI-S",VLOOKUP(B264,'20-B.SINAPI-S'!A:J,5,0),IF(D264="SINAPI-I",VLOOKUP(B264,'20-A.SINAPI-I'!A:G,6,0),IF(D264="COMPOSIÇÕES",VLOOKUP(B264,'11.COMPOSIÇÕES GERAIS'!B:I,7,0),0))),"Em Elaboração")</f>
        <v>0</v>
      </c>
      <c r="I264" s="259">
        <f>IFERROR(IF(D264="SINAPI-S",VLOOKUP(B264,'20-B.SINAPI-S'!A:J,6,0),IF(D264="SINAPI-I",VLOOKUP(B264,'20-A.SINAPI-I'!A:G,7,0),IF(D264="COMPOSIÇÕES",VLOOKUP(B264,'11.COMPOSIÇÕES GERAIS'!B:I,8,0),VLOOKUP(B264,'12.COT.MERCADO'!A:I,8,0)))),"Em Elaboração")</f>
        <v>6.18</v>
      </c>
      <c r="J264" s="259">
        <f t="shared" si="13"/>
        <v>0</v>
      </c>
      <c r="K264" s="259">
        <f t="shared" si="14"/>
        <v>7.238847736</v>
      </c>
      <c r="L264" s="259">
        <f t="shared" si="15"/>
        <v>7.238847736</v>
      </c>
      <c r="M264" s="259">
        <f t="shared" si="16"/>
        <v>0</v>
      </c>
      <c r="N264" s="259">
        <f t="shared" si="17"/>
        <v>108.582716</v>
      </c>
      <c r="O264" s="259">
        <f t="shared" si="18"/>
        <v>108.582716</v>
      </c>
      <c r="P264" s="586">
        <f t="shared" si="3"/>
        <v>0.0005919165315</v>
      </c>
    </row>
    <row r="265">
      <c r="A265" s="253" t="s">
        <v>809</v>
      </c>
      <c r="B265" s="254">
        <v>3540.0</v>
      </c>
      <c r="C265" s="255" t="str">
        <f t="shared" si="12"/>
        <v>SINAPI</v>
      </c>
      <c r="D265" s="256" t="s">
        <v>286</v>
      </c>
      <c r="E265" s="257" t="str">
        <f>IFERROR(IF(D265="SINAPI-S",VLOOKUP(B265,'20-B.SINAPI-S'!A:J,2,0),IF(D265="SINAPI-I",VLOOKUP(B265,'20-A.SINAPI-I'!A:G,2,0),IF(D265="COMPOSIÇÕES",VLOOKUP(B265,'11.COMPOSIÇÕES GERAIS'!B:I,2,0),VLOOKUP(B265,'12.COT.MERCADO'!A:I,2,0)))),"Em Elaboração")</f>
        <v>JOELHO PVC, SOLDAVEL, 90 GRAUS, 50 MM, COR MARROM, PARA AGUA FRIA PREDIAL</v>
      </c>
      <c r="F265" s="258" t="str">
        <f>IFERROR(IF(D265="SINAPI-S",VLOOKUP(B265,'20-B.SINAPI-S'!A:J,3,0),IF(D265="SINAPI-I",VLOOKUP(B265,'20-A.SINAPI-I'!A:G,3,0),IF(D265="COMPOSIÇÕES",VLOOKUP(B265,'11.COMPOSIÇÕES GERAIS'!B:I,3,0),VLOOKUP(B265,'12.COT.MERCADO'!A:I,7,0)))),"Em Elaboração")</f>
        <v>UN</v>
      </c>
      <c r="G265" s="254">
        <v>8.0</v>
      </c>
      <c r="H265" s="259">
        <f>IFERROR(IF(D265="SINAPI-S",VLOOKUP(B265,'20-B.SINAPI-S'!A:J,5,0),IF(D265="SINAPI-I",VLOOKUP(B265,'20-A.SINAPI-I'!A:G,6,0),IF(D265="COMPOSIÇÕES",VLOOKUP(B265,'11.COMPOSIÇÕES GERAIS'!B:I,7,0),0))),"Em Elaboração")</f>
        <v>0</v>
      </c>
      <c r="I265" s="259">
        <f>IFERROR(IF(D265="SINAPI-S",VLOOKUP(B265,'20-B.SINAPI-S'!A:J,6,0),IF(D265="SINAPI-I",VLOOKUP(B265,'20-A.SINAPI-I'!A:G,7,0),IF(D265="COMPOSIÇÕES",VLOOKUP(B265,'11.COMPOSIÇÕES GERAIS'!B:I,8,0),VLOOKUP(B265,'12.COT.MERCADO'!A:I,8,0)))),"Em Elaboração")</f>
        <v>5.23</v>
      </c>
      <c r="J265" s="259">
        <f t="shared" si="13"/>
        <v>0</v>
      </c>
      <c r="K265" s="259">
        <f t="shared" si="14"/>
        <v>6.12607988</v>
      </c>
      <c r="L265" s="259">
        <f t="shared" si="15"/>
        <v>6.12607988</v>
      </c>
      <c r="M265" s="259">
        <f t="shared" si="16"/>
        <v>0</v>
      </c>
      <c r="N265" s="259">
        <f t="shared" si="17"/>
        <v>49.00863904</v>
      </c>
      <c r="O265" s="259">
        <f t="shared" si="18"/>
        <v>49.00863904</v>
      </c>
      <c r="P265" s="586">
        <f t="shared" si="3"/>
        <v>0.0002671606006</v>
      </c>
    </row>
    <row r="266">
      <c r="A266" s="253" t="s">
        <v>810</v>
      </c>
      <c r="B266" s="254">
        <v>3539.0</v>
      </c>
      <c r="C266" s="255" t="str">
        <f t="shared" si="12"/>
        <v>SINAPI</v>
      </c>
      <c r="D266" s="256" t="s">
        <v>286</v>
      </c>
      <c r="E266" s="257" t="str">
        <f>IFERROR(IF(D266="SINAPI-S",VLOOKUP(B266,'20-B.SINAPI-S'!A:J,2,0),IF(D266="SINAPI-I",VLOOKUP(B266,'20-A.SINAPI-I'!A:G,2,0),IF(D266="COMPOSIÇÕES",VLOOKUP(B266,'11.COMPOSIÇÕES GERAIS'!B:I,2,0),VLOOKUP(B266,'12.COT.MERCADO'!A:I,2,0)))),"Em Elaboração")</f>
        <v>JOELHO PVC, SOLDAVEL, 90 GRAUS, 60 MM, COR MARROM, PARA AGUA FRIA PREDIAL</v>
      </c>
      <c r="F266" s="258" t="str">
        <f>IFERROR(IF(D266="SINAPI-S",VLOOKUP(B266,'20-B.SINAPI-S'!A:J,3,0),IF(D266="SINAPI-I",VLOOKUP(B266,'20-A.SINAPI-I'!A:G,3,0),IF(D266="COMPOSIÇÕES",VLOOKUP(B266,'11.COMPOSIÇÕES GERAIS'!B:I,3,0),VLOOKUP(B266,'12.COT.MERCADO'!A:I,7,0)))),"Em Elaboração")</f>
        <v>UN</v>
      </c>
      <c r="G266" s="254">
        <v>6.0</v>
      </c>
      <c r="H266" s="259">
        <f>IFERROR(IF(D266="SINAPI-S",VLOOKUP(B266,'20-B.SINAPI-S'!A:J,5,0),IF(D266="SINAPI-I",VLOOKUP(B266,'20-A.SINAPI-I'!A:G,6,0),IF(D266="COMPOSIÇÕES",VLOOKUP(B266,'11.COMPOSIÇÕES GERAIS'!B:I,7,0),0))),"Em Elaboração")</f>
        <v>0</v>
      </c>
      <c r="I266" s="259">
        <f>IFERROR(IF(D266="SINAPI-S",VLOOKUP(B266,'20-B.SINAPI-S'!A:J,6,0),IF(D266="SINAPI-I",VLOOKUP(B266,'20-A.SINAPI-I'!A:G,7,0),IF(D266="COMPOSIÇÕES",VLOOKUP(B266,'11.COMPOSIÇÕES GERAIS'!B:I,8,0),VLOOKUP(B266,'12.COT.MERCADO'!A:I,8,0)))),"Em Elaboração")</f>
        <v>30.32</v>
      </c>
      <c r="J266" s="259">
        <f t="shared" si="13"/>
        <v>0</v>
      </c>
      <c r="K266" s="259">
        <f t="shared" si="14"/>
        <v>35.51486462</v>
      </c>
      <c r="L266" s="259">
        <f t="shared" si="15"/>
        <v>35.51486462</v>
      </c>
      <c r="M266" s="259">
        <f t="shared" si="16"/>
        <v>0</v>
      </c>
      <c r="N266" s="259">
        <f t="shared" si="17"/>
        <v>213.0891877</v>
      </c>
      <c r="O266" s="259">
        <f t="shared" si="18"/>
        <v>213.0891877</v>
      </c>
      <c r="P266" s="586">
        <f t="shared" si="3"/>
        <v>0.001161612248</v>
      </c>
    </row>
    <row r="267">
      <c r="A267" s="253" t="s">
        <v>811</v>
      </c>
      <c r="B267" s="254">
        <v>20147.0</v>
      </c>
      <c r="C267" s="255" t="str">
        <f t="shared" si="12"/>
        <v>SINAPI</v>
      </c>
      <c r="D267" s="256" t="s">
        <v>286</v>
      </c>
      <c r="E267" s="257" t="str">
        <f>IFERROR(IF(D267="SINAPI-S",VLOOKUP(B267,'20-B.SINAPI-S'!A:J,2,0),IF(D267="SINAPI-I",VLOOKUP(B267,'20-A.SINAPI-I'!A:G,2,0),IF(D267="COMPOSIÇÕES",VLOOKUP(B267,'11.COMPOSIÇÕES GERAIS'!B:I,2,0),VLOOKUP(B267,'12.COT.MERCADO'!A:I,2,0)))),"Em Elaboração")</f>
        <v>JOELHO PVC, SOLDAVEL, COM BUCHA DE LATAO, 90 GRAUS, 25 MM X 1/2", PARA AGUA FRIA PREDIAL</v>
      </c>
      <c r="F267" s="258" t="str">
        <f>IFERROR(IF(D267="SINAPI-S",VLOOKUP(B267,'20-B.SINAPI-S'!A:J,3,0),IF(D267="SINAPI-I",VLOOKUP(B267,'20-A.SINAPI-I'!A:G,3,0),IF(D267="COMPOSIÇÕES",VLOOKUP(B267,'11.COMPOSIÇÕES GERAIS'!B:I,3,0),VLOOKUP(B267,'12.COT.MERCADO'!A:I,7,0)))),"Em Elaboração")</f>
        <v>UN</v>
      </c>
      <c r="G267" s="254">
        <v>5.0</v>
      </c>
      <c r="H267" s="259">
        <f>IFERROR(IF(D267="SINAPI-S",VLOOKUP(B267,'20-B.SINAPI-S'!A:J,5,0),IF(D267="SINAPI-I",VLOOKUP(B267,'20-A.SINAPI-I'!A:G,6,0),IF(D267="COMPOSIÇÕES",VLOOKUP(B267,'11.COMPOSIÇÕES GERAIS'!B:I,7,0),0))),"Em Elaboração")</f>
        <v>0</v>
      </c>
      <c r="I267" s="259">
        <f>IFERROR(IF(D267="SINAPI-S",VLOOKUP(B267,'20-B.SINAPI-S'!A:J,6,0),IF(D267="SINAPI-I",VLOOKUP(B267,'20-A.SINAPI-I'!A:G,7,0),IF(D267="COMPOSIÇÕES",VLOOKUP(B267,'11.COMPOSIÇÕES GERAIS'!B:I,8,0),VLOOKUP(B267,'12.COT.MERCADO'!A:I,8,0)))),"Em Elaboração")</f>
        <v>5.61</v>
      </c>
      <c r="J267" s="259">
        <f t="shared" si="13"/>
        <v>0</v>
      </c>
      <c r="K267" s="259">
        <f t="shared" si="14"/>
        <v>6.571187023</v>
      </c>
      <c r="L267" s="259">
        <f t="shared" si="15"/>
        <v>6.571187023</v>
      </c>
      <c r="M267" s="259">
        <f t="shared" si="16"/>
        <v>0</v>
      </c>
      <c r="N267" s="259">
        <f t="shared" si="17"/>
        <v>32.85593511</v>
      </c>
      <c r="O267" s="259">
        <f t="shared" si="18"/>
        <v>32.85593511</v>
      </c>
      <c r="P267" s="586">
        <f t="shared" si="3"/>
        <v>0.0001791074294</v>
      </c>
    </row>
    <row r="268">
      <c r="A268" s="253" t="s">
        <v>812</v>
      </c>
      <c r="B268" s="254">
        <v>3524.0</v>
      </c>
      <c r="C268" s="255" t="str">
        <f t="shared" si="12"/>
        <v>SINAPI</v>
      </c>
      <c r="D268" s="256" t="s">
        <v>286</v>
      </c>
      <c r="E268" s="257" t="str">
        <f>IFERROR(IF(D268="SINAPI-S",VLOOKUP(B268,'20-B.SINAPI-S'!A:J,2,0),IF(D268="SINAPI-I",VLOOKUP(B268,'20-A.SINAPI-I'!A:G,2,0),IF(D268="COMPOSIÇÕES",VLOOKUP(B268,'11.COMPOSIÇÕES GERAIS'!B:I,2,0),VLOOKUP(B268,'12.COT.MERCADO'!A:I,2,0)))),"Em Elaboração")</f>
        <v>JOELHO PVC, SOLDAVEL, COM BUCHA DE LATAO, 90 GRAUS, 25 MM X 3/4", PARA AGUA FRIA PREDIAL</v>
      </c>
      <c r="F268" s="258" t="str">
        <f>IFERROR(IF(D268="SINAPI-S",VLOOKUP(B268,'20-B.SINAPI-S'!A:J,3,0),IF(D268="SINAPI-I",VLOOKUP(B268,'20-A.SINAPI-I'!A:G,3,0),IF(D268="COMPOSIÇÕES",VLOOKUP(B268,'11.COMPOSIÇÕES GERAIS'!B:I,3,0),VLOOKUP(B268,'12.COT.MERCADO'!A:I,7,0)))),"Em Elaboração")</f>
        <v>UN</v>
      </c>
      <c r="G268" s="254">
        <v>5.0</v>
      </c>
      <c r="H268" s="259">
        <f>IFERROR(IF(D268="SINAPI-S",VLOOKUP(B268,'20-B.SINAPI-S'!A:J,5,0),IF(D268="SINAPI-I",VLOOKUP(B268,'20-A.SINAPI-I'!A:G,6,0),IF(D268="COMPOSIÇÕES",VLOOKUP(B268,'11.COMPOSIÇÕES GERAIS'!B:I,7,0),0))),"Em Elaboração")</f>
        <v>0</v>
      </c>
      <c r="I268" s="259">
        <f>IFERROR(IF(D268="SINAPI-S",VLOOKUP(B268,'20-B.SINAPI-S'!A:J,6,0),IF(D268="SINAPI-I",VLOOKUP(B268,'20-A.SINAPI-I'!A:G,7,0),IF(D268="COMPOSIÇÕES",VLOOKUP(B268,'11.COMPOSIÇÕES GERAIS'!B:I,8,0),VLOOKUP(B268,'12.COT.MERCADO'!A:I,8,0)))),"Em Elaboração")</f>
        <v>8.44</v>
      </c>
      <c r="J268" s="259">
        <f t="shared" si="13"/>
        <v>0</v>
      </c>
      <c r="K268" s="259">
        <f t="shared" si="14"/>
        <v>9.886063899</v>
      </c>
      <c r="L268" s="259">
        <f t="shared" si="15"/>
        <v>9.886063899</v>
      </c>
      <c r="M268" s="259">
        <f t="shared" si="16"/>
        <v>0</v>
      </c>
      <c r="N268" s="259">
        <f t="shared" si="17"/>
        <v>49.43031949</v>
      </c>
      <c r="O268" s="259">
        <f t="shared" si="18"/>
        <v>49.43031949</v>
      </c>
      <c r="P268" s="586">
        <f t="shared" si="3"/>
        <v>0.0002694593056</v>
      </c>
    </row>
    <row r="269">
      <c r="A269" s="253" t="s">
        <v>813</v>
      </c>
      <c r="B269" s="254">
        <v>3532.0</v>
      </c>
      <c r="C269" s="255" t="str">
        <f t="shared" si="12"/>
        <v>SINAPI</v>
      </c>
      <c r="D269" s="256" t="s">
        <v>286</v>
      </c>
      <c r="E269" s="257" t="str">
        <f>IFERROR(IF(D269="SINAPI-S",VLOOKUP(B269,'20-B.SINAPI-S'!A:J,2,0),IF(D269="SINAPI-I",VLOOKUP(B269,'20-A.SINAPI-I'!A:G,2,0),IF(D269="COMPOSIÇÕES",VLOOKUP(B269,'11.COMPOSIÇÕES GERAIS'!B:I,2,0),VLOOKUP(B269,'12.COT.MERCADO'!A:I,2,0)))),"Em Elaboração")</f>
        <v>JOELHO PVC, SOLDAVEL, COM BUCHA DE LATAO, 90 GRAUS, 32 MM X 3/4", PARA AGUA FRIA PREDIAL</v>
      </c>
      <c r="F269" s="258" t="str">
        <f>IFERROR(IF(D269="SINAPI-S",VLOOKUP(B269,'20-B.SINAPI-S'!A:J,3,0),IF(D269="SINAPI-I",VLOOKUP(B269,'20-A.SINAPI-I'!A:G,3,0),IF(D269="COMPOSIÇÕES",VLOOKUP(B269,'11.COMPOSIÇÕES GERAIS'!B:I,3,0),VLOOKUP(B269,'12.COT.MERCADO'!A:I,7,0)))),"Em Elaboração")</f>
        <v>UN</v>
      </c>
      <c r="G269" s="254">
        <v>5.0</v>
      </c>
      <c r="H269" s="259">
        <f>IFERROR(IF(D269="SINAPI-S",VLOOKUP(B269,'20-B.SINAPI-S'!A:J,5,0),IF(D269="SINAPI-I",VLOOKUP(B269,'20-A.SINAPI-I'!A:G,6,0),IF(D269="COMPOSIÇÕES",VLOOKUP(B269,'11.COMPOSIÇÕES GERAIS'!B:I,7,0),0))),"Em Elaboração")</f>
        <v>0</v>
      </c>
      <c r="I269" s="259">
        <f>IFERROR(IF(D269="SINAPI-S",VLOOKUP(B269,'20-B.SINAPI-S'!A:J,6,0),IF(D269="SINAPI-I",VLOOKUP(B269,'20-A.SINAPI-I'!A:G,7,0),IF(D269="COMPOSIÇÕES",VLOOKUP(B269,'11.COMPOSIÇÕES GERAIS'!B:I,8,0),VLOOKUP(B269,'12.COT.MERCADO'!A:I,8,0)))),"Em Elaboração")</f>
        <v>19.51</v>
      </c>
      <c r="J269" s="259">
        <f t="shared" si="13"/>
        <v>0</v>
      </c>
      <c r="K269" s="259">
        <f t="shared" si="14"/>
        <v>22.85273776</v>
      </c>
      <c r="L269" s="259">
        <f t="shared" si="15"/>
        <v>22.85273776</v>
      </c>
      <c r="M269" s="259">
        <f t="shared" si="16"/>
        <v>0</v>
      </c>
      <c r="N269" s="259">
        <f t="shared" si="17"/>
        <v>114.2636888</v>
      </c>
      <c r="O269" s="259">
        <f t="shared" si="18"/>
        <v>114.2636888</v>
      </c>
      <c r="P269" s="586">
        <f t="shared" si="3"/>
        <v>0.0006228851958</v>
      </c>
    </row>
    <row r="270">
      <c r="A270" s="253" t="s">
        <v>814</v>
      </c>
      <c r="B270" s="254">
        <v>3531.0</v>
      </c>
      <c r="C270" s="255" t="str">
        <f t="shared" si="12"/>
        <v>SINAPI</v>
      </c>
      <c r="D270" s="256" t="s">
        <v>286</v>
      </c>
      <c r="E270" s="257" t="str">
        <f>IFERROR(IF(D270="SINAPI-S",VLOOKUP(B270,'20-B.SINAPI-S'!A:J,2,0),IF(D270="SINAPI-I",VLOOKUP(B270,'20-A.SINAPI-I'!A:G,2,0),IF(D270="COMPOSIÇÕES",VLOOKUP(B270,'11.COMPOSIÇÕES GERAIS'!B:I,2,0),VLOOKUP(B270,'12.COT.MERCADO'!A:I,2,0)))),"Em Elaboração")</f>
        <v>JOELHO PVC, SOLDAVEL COM ROSCA, 90 GRAUS, 25 MM X 1/2", COR MARROM, PARA AGUA FRIA PREDIAL</v>
      </c>
      <c r="F270" s="258" t="str">
        <f>IFERROR(IF(D270="SINAPI-S",VLOOKUP(B270,'20-B.SINAPI-S'!A:J,3,0),IF(D270="SINAPI-I",VLOOKUP(B270,'20-A.SINAPI-I'!A:G,3,0),IF(D270="COMPOSIÇÕES",VLOOKUP(B270,'11.COMPOSIÇÕES GERAIS'!B:I,3,0),VLOOKUP(B270,'12.COT.MERCADO'!A:I,7,0)))),"Em Elaboração")</f>
        <v>UN</v>
      </c>
      <c r="G270" s="254">
        <v>5.0</v>
      </c>
      <c r="H270" s="259">
        <f>IFERROR(IF(D270="SINAPI-S",VLOOKUP(B270,'20-B.SINAPI-S'!A:J,5,0),IF(D270="SINAPI-I",VLOOKUP(B270,'20-A.SINAPI-I'!A:G,6,0),IF(D270="COMPOSIÇÕES",VLOOKUP(B270,'11.COMPOSIÇÕES GERAIS'!B:I,7,0),0))),"Em Elaboração")</f>
        <v>0</v>
      </c>
      <c r="I270" s="259">
        <f>IFERROR(IF(D270="SINAPI-S",VLOOKUP(B270,'20-B.SINAPI-S'!A:J,6,0),IF(D270="SINAPI-I",VLOOKUP(B270,'20-A.SINAPI-I'!A:G,7,0),IF(D270="COMPOSIÇÕES",VLOOKUP(B270,'11.COMPOSIÇÕES GERAIS'!B:I,8,0),VLOOKUP(B270,'12.COT.MERCADO'!A:I,8,0)))),"Em Elaboração")</f>
        <v>3.94</v>
      </c>
      <c r="J270" s="259">
        <f t="shared" si="13"/>
        <v>0</v>
      </c>
      <c r="K270" s="259">
        <f t="shared" si="14"/>
        <v>4.615058265</v>
      </c>
      <c r="L270" s="259">
        <f t="shared" si="15"/>
        <v>4.615058265</v>
      </c>
      <c r="M270" s="259">
        <f t="shared" si="16"/>
        <v>0</v>
      </c>
      <c r="N270" s="259">
        <f t="shared" si="17"/>
        <v>23.07529133</v>
      </c>
      <c r="O270" s="259">
        <f t="shared" si="18"/>
        <v>23.07529133</v>
      </c>
      <c r="P270" s="586">
        <f t="shared" si="3"/>
        <v>0.0001257902446</v>
      </c>
    </row>
    <row r="271">
      <c r="A271" s="253" t="s">
        <v>815</v>
      </c>
      <c r="B271" s="254">
        <v>3522.0</v>
      </c>
      <c r="C271" s="255" t="str">
        <f t="shared" si="12"/>
        <v>SINAPI</v>
      </c>
      <c r="D271" s="256" t="s">
        <v>286</v>
      </c>
      <c r="E271" s="257" t="str">
        <f>IFERROR(IF(D271="SINAPI-S",VLOOKUP(B271,'20-B.SINAPI-S'!A:J,2,0),IF(D271="SINAPI-I",VLOOKUP(B271,'20-A.SINAPI-I'!A:G,2,0),IF(D271="COMPOSIÇÕES",VLOOKUP(B271,'11.COMPOSIÇÕES GERAIS'!B:I,2,0),VLOOKUP(B271,'12.COT.MERCADO'!A:I,2,0)))),"Em Elaboração")</f>
        <v>JOELHO PVC, SOLDAVEL COM ROSCA, 90 GRAUS, 25 MM X 3/4", COR MARROM, PARA AGUA FRIA PREDIAL</v>
      </c>
      <c r="F271" s="258" t="str">
        <f>IFERROR(IF(D271="SINAPI-S",VLOOKUP(B271,'20-B.SINAPI-S'!A:J,3,0),IF(D271="SINAPI-I",VLOOKUP(B271,'20-A.SINAPI-I'!A:G,3,0),IF(D271="COMPOSIÇÕES",VLOOKUP(B271,'11.COMPOSIÇÕES GERAIS'!B:I,3,0),VLOOKUP(B271,'12.COT.MERCADO'!A:I,7,0)))),"Em Elaboração")</f>
        <v>UN</v>
      </c>
      <c r="G271" s="254">
        <v>10.0</v>
      </c>
      <c r="H271" s="259">
        <f>IFERROR(IF(D271="SINAPI-S",VLOOKUP(B271,'20-B.SINAPI-S'!A:J,5,0),IF(D271="SINAPI-I",VLOOKUP(B271,'20-A.SINAPI-I'!A:G,6,0),IF(D271="COMPOSIÇÕES",VLOOKUP(B271,'11.COMPOSIÇÕES GERAIS'!B:I,7,0),0))),"Em Elaboração")</f>
        <v>0</v>
      </c>
      <c r="I271" s="259">
        <f>IFERROR(IF(D271="SINAPI-S",VLOOKUP(B271,'20-B.SINAPI-S'!A:J,6,0),IF(D271="SINAPI-I",VLOOKUP(B271,'20-A.SINAPI-I'!A:G,7,0),IF(D271="COMPOSIÇÕES",VLOOKUP(B271,'11.COMPOSIÇÕES GERAIS'!B:I,8,0),VLOOKUP(B271,'12.COT.MERCADO'!A:I,8,0)))),"Em Elaboração")</f>
        <v>2.54</v>
      </c>
      <c r="J271" s="259">
        <f t="shared" si="13"/>
        <v>0</v>
      </c>
      <c r="K271" s="259">
        <f t="shared" si="14"/>
        <v>2.975189846</v>
      </c>
      <c r="L271" s="259">
        <f t="shared" si="15"/>
        <v>2.975189846</v>
      </c>
      <c r="M271" s="259">
        <f t="shared" si="16"/>
        <v>0</v>
      </c>
      <c r="N271" s="259">
        <f t="shared" si="17"/>
        <v>29.75189846</v>
      </c>
      <c r="O271" s="259">
        <f t="shared" si="18"/>
        <v>29.75189846</v>
      </c>
      <c r="P271" s="586">
        <f t="shared" si="3"/>
        <v>0.0001621864067</v>
      </c>
    </row>
    <row r="272">
      <c r="A272" s="253" t="s">
        <v>816</v>
      </c>
      <c r="B272" s="254">
        <v>3527.0</v>
      </c>
      <c r="C272" s="255" t="str">
        <f t="shared" si="12"/>
        <v>SINAPI</v>
      </c>
      <c r="D272" s="256" t="s">
        <v>286</v>
      </c>
      <c r="E272" s="257" t="str">
        <f>IFERROR(IF(D272="SINAPI-S",VLOOKUP(B272,'20-B.SINAPI-S'!A:J,2,0),IF(D272="SINAPI-I",VLOOKUP(B272,'20-A.SINAPI-I'!A:G,2,0),IF(D272="COMPOSIÇÕES",VLOOKUP(B272,'11.COMPOSIÇÕES GERAIS'!B:I,2,0),VLOOKUP(B272,'12.COT.MERCADO'!A:I,2,0)))),"Em Elaboração")</f>
        <v>JOELHO PVC, SOLDAVEL COM ROSCA, 90 GRAUS, 32 MM X 3/4", COR MARROM, PARA AGUA FRIA PREDIAL</v>
      </c>
      <c r="F272" s="258" t="str">
        <f>IFERROR(IF(D272="SINAPI-S",VLOOKUP(B272,'20-B.SINAPI-S'!A:J,3,0),IF(D272="SINAPI-I",VLOOKUP(B272,'20-A.SINAPI-I'!A:G,3,0),IF(D272="COMPOSIÇÕES",VLOOKUP(B272,'11.COMPOSIÇÕES GERAIS'!B:I,3,0),VLOOKUP(B272,'12.COT.MERCADO'!A:I,7,0)))),"Em Elaboração")</f>
        <v>UN</v>
      </c>
      <c r="G272" s="254">
        <v>5.0</v>
      </c>
      <c r="H272" s="259">
        <f>IFERROR(IF(D272="SINAPI-S",VLOOKUP(B272,'20-B.SINAPI-S'!A:J,5,0),IF(D272="SINAPI-I",VLOOKUP(B272,'20-A.SINAPI-I'!A:G,6,0),IF(D272="COMPOSIÇÕES",VLOOKUP(B272,'11.COMPOSIÇÕES GERAIS'!B:I,7,0),0))),"Em Elaboração")</f>
        <v>0</v>
      </c>
      <c r="I272" s="259">
        <f>IFERROR(IF(D272="SINAPI-S",VLOOKUP(B272,'20-B.SINAPI-S'!A:J,6,0),IF(D272="SINAPI-I",VLOOKUP(B272,'20-A.SINAPI-I'!A:G,7,0),IF(D272="COMPOSIÇÕES",VLOOKUP(B272,'11.COMPOSIÇÕES GERAIS'!B:I,8,0),VLOOKUP(B272,'12.COT.MERCADO'!A:I,8,0)))),"Em Elaboração")</f>
        <v>13.38</v>
      </c>
      <c r="J272" s="259">
        <f t="shared" si="13"/>
        <v>0</v>
      </c>
      <c r="K272" s="259">
        <f t="shared" si="14"/>
        <v>15.67245675</v>
      </c>
      <c r="L272" s="259">
        <f t="shared" si="15"/>
        <v>15.67245675</v>
      </c>
      <c r="M272" s="259">
        <f t="shared" si="16"/>
        <v>0</v>
      </c>
      <c r="N272" s="259">
        <f t="shared" si="17"/>
        <v>78.36228375</v>
      </c>
      <c r="O272" s="259">
        <f t="shared" si="18"/>
        <v>78.36228375</v>
      </c>
      <c r="P272" s="586">
        <f t="shared" si="3"/>
        <v>0.0004271760082</v>
      </c>
    </row>
    <row r="273">
      <c r="A273" s="253" t="s">
        <v>817</v>
      </c>
      <c r="B273" s="254">
        <v>3463.0</v>
      </c>
      <c r="C273" s="255" t="str">
        <f t="shared" si="12"/>
        <v>SINAPI</v>
      </c>
      <c r="D273" s="256" t="s">
        <v>286</v>
      </c>
      <c r="E273" s="257" t="str">
        <f>IFERROR(IF(D273="SINAPI-S",VLOOKUP(B273,'20-B.SINAPI-S'!A:J,2,0),IF(D273="SINAPI-I",VLOOKUP(B273,'20-A.SINAPI-I'!A:G,2,0),IF(D273="COMPOSIÇÕES",VLOOKUP(B273,'11.COMPOSIÇÕES GERAIS'!B:I,2,0),VLOOKUP(B273,'12.COT.MERCADO'!A:I,2,0)))),"Em Elaboração")</f>
        <v>COTOVELO DE REDUCAO 90 GRAUS DE FERRO GALVANIZADO, COM ROSCA BSP, DE 1" X 1/2"</v>
      </c>
      <c r="F273" s="258" t="str">
        <f>IFERROR(IF(D273="SINAPI-S",VLOOKUP(B273,'20-B.SINAPI-S'!A:J,3,0),IF(D273="SINAPI-I",VLOOKUP(B273,'20-A.SINAPI-I'!A:G,3,0),IF(D273="COMPOSIÇÕES",VLOOKUP(B273,'11.COMPOSIÇÕES GERAIS'!B:I,3,0),VLOOKUP(B273,'12.COT.MERCADO'!A:I,7,0)))),"Em Elaboração")</f>
        <v>UN</v>
      </c>
      <c r="G273" s="254">
        <v>2.0</v>
      </c>
      <c r="H273" s="259">
        <f>IFERROR(IF(D273="SINAPI-S",VLOOKUP(B273,'20-B.SINAPI-S'!A:J,5,0),IF(D273="SINAPI-I",VLOOKUP(B273,'20-A.SINAPI-I'!A:G,6,0),IF(D273="COMPOSIÇÕES",VLOOKUP(B273,'11.COMPOSIÇÕES GERAIS'!B:I,7,0),0))),"Em Elaboração")</f>
        <v>0</v>
      </c>
      <c r="I273" s="259">
        <f>IFERROR(IF(D273="SINAPI-S",VLOOKUP(B273,'20-B.SINAPI-S'!A:J,6,0),IF(D273="SINAPI-I",VLOOKUP(B273,'20-A.SINAPI-I'!A:G,7,0),IF(D273="COMPOSIÇÕES",VLOOKUP(B273,'11.COMPOSIÇÕES GERAIS'!B:I,8,0),VLOOKUP(B273,'12.COT.MERCADO'!A:I,8,0)))),"Em Elaboração")</f>
        <v>19.27</v>
      </c>
      <c r="J273" s="259">
        <f t="shared" si="13"/>
        <v>0</v>
      </c>
      <c r="K273" s="259">
        <f t="shared" si="14"/>
        <v>22.57161746</v>
      </c>
      <c r="L273" s="259">
        <f t="shared" si="15"/>
        <v>22.57161746</v>
      </c>
      <c r="M273" s="259">
        <f t="shared" si="16"/>
        <v>0</v>
      </c>
      <c r="N273" s="259">
        <f t="shared" si="17"/>
        <v>45.14323491</v>
      </c>
      <c r="O273" s="259">
        <f t="shared" si="18"/>
        <v>45.14323491</v>
      </c>
      <c r="P273" s="586">
        <f t="shared" si="3"/>
        <v>0.0002460891384</v>
      </c>
    </row>
    <row r="274">
      <c r="A274" s="253" t="s">
        <v>818</v>
      </c>
      <c r="B274" s="254">
        <v>3464.0</v>
      </c>
      <c r="C274" s="255" t="str">
        <f t="shared" si="12"/>
        <v>SINAPI</v>
      </c>
      <c r="D274" s="256" t="s">
        <v>286</v>
      </c>
      <c r="E274" s="257" t="str">
        <f>IFERROR(IF(D274="SINAPI-S",VLOOKUP(B274,'20-B.SINAPI-S'!A:J,2,0),IF(D274="SINAPI-I",VLOOKUP(B274,'20-A.SINAPI-I'!A:G,2,0),IF(D274="COMPOSIÇÕES",VLOOKUP(B274,'11.COMPOSIÇÕES GERAIS'!B:I,2,0),VLOOKUP(B274,'12.COT.MERCADO'!A:I,2,0)))),"Em Elaboração")</f>
        <v>COTOVELO DE REDUCAO 90 GRAUS DE FERRO GALVANIZADO, COM ROSCA BSP, DE 1" X 3/4"</v>
      </c>
      <c r="F274" s="258" t="str">
        <f>IFERROR(IF(D274="SINAPI-S",VLOOKUP(B274,'20-B.SINAPI-S'!A:J,3,0),IF(D274="SINAPI-I",VLOOKUP(B274,'20-A.SINAPI-I'!A:G,3,0),IF(D274="COMPOSIÇÕES",VLOOKUP(B274,'11.COMPOSIÇÕES GERAIS'!B:I,3,0),VLOOKUP(B274,'12.COT.MERCADO'!A:I,7,0)))),"Em Elaboração")</f>
        <v>UN</v>
      </c>
      <c r="G274" s="254">
        <v>2.0</v>
      </c>
      <c r="H274" s="259">
        <f>IFERROR(IF(D274="SINAPI-S",VLOOKUP(B274,'20-B.SINAPI-S'!A:J,5,0),IF(D274="SINAPI-I",VLOOKUP(B274,'20-A.SINAPI-I'!A:G,6,0),IF(D274="COMPOSIÇÕES",VLOOKUP(B274,'11.COMPOSIÇÕES GERAIS'!B:I,7,0),0))),"Em Elaboração")</f>
        <v>0</v>
      </c>
      <c r="I274" s="259">
        <f>IFERROR(IF(D274="SINAPI-S",VLOOKUP(B274,'20-B.SINAPI-S'!A:J,6,0),IF(D274="SINAPI-I",VLOOKUP(B274,'20-A.SINAPI-I'!A:G,7,0),IF(D274="COMPOSIÇÕES",VLOOKUP(B274,'11.COMPOSIÇÕES GERAIS'!B:I,8,0),VLOOKUP(B274,'12.COT.MERCADO'!A:I,8,0)))),"Em Elaboração")</f>
        <v>19.27</v>
      </c>
      <c r="J274" s="259">
        <f t="shared" si="13"/>
        <v>0</v>
      </c>
      <c r="K274" s="259">
        <f t="shared" si="14"/>
        <v>22.57161746</v>
      </c>
      <c r="L274" s="259">
        <f t="shared" si="15"/>
        <v>22.57161746</v>
      </c>
      <c r="M274" s="259">
        <f t="shared" si="16"/>
        <v>0</v>
      </c>
      <c r="N274" s="259">
        <f t="shared" si="17"/>
        <v>45.14323491</v>
      </c>
      <c r="O274" s="259">
        <f t="shared" si="18"/>
        <v>45.14323491</v>
      </c>
      <c r="P274" s="586">
        <f t="shared" si="3"/>
        <v>0.0002460891384</v>
      </c>
    </row>
    <row r="275">
      <c r="A275" s="253" t="s">
        <v>819</v>
      </c>
      <c r="B275" s="254">
        <v>12403.0</v>
      </c>
      <c r="C275" s="255" t="str">
        <f t="shared" si="12"/>
        <v>SINAPI</v>
      </c>
      <c r="D275" s="256" t="s">
        <v>286</v>
      </c>
      <c r="E275" s="257" t="str">
        <f>IFERROR(IF(D275="SINAPI-S",VLOOKUP(B275,'20-B.SINAPI-S'!A:J,2,0),IF(D275="SINAPI-I",VLOOKUP(B275,'20-A.SINAPI-I'!A:G,2,0),IF(D275="COMPOSIÇÕES",VLOOKUP(B275,'11.COMPOSIÇÕES GERAIS'!B:I,2,0),VLOOKUP(B275,'12.COT.MERCADO'!A:I,2,0)))),"Em Elaboração")</f>
        <v>COTOVELO DE REDUCAO 90 GRAUS DE FERRO GALVANIZADO, COM ROSCA BSP, DE 1 1/4" X 1"</v>
      </c>
      <c r="F275" s="258" t="str">
        <f>IFERROR(IF(D275="SINAPI-S",VLOOKUP(B275,'20-B.SINAPI-S'!A:J,3,0),IF(D275="SINAPI-I",VLOOKUP(B275,'20-A.SINAPI-I'!A:G,3,0),IF(D275="COMPOSIÇÕES",VLOOKUP(B275,'11.COMPOSIÇÕES GERAIS'!B:I,3,0),VLOOKUP(B275,'12.COT.MERCADO'!A:I,7,0)))),"Em Elaboração")</f>
        <v>UN</v>
      </c>
      <c r="G275" s="254">
        <v>2.0</v>
      </c>
      <c r="H275" s="259">
        <f>IFERROR(IF(D275="SINAPI-S",VLOOKUP(B275,'20-B.SINAPI-S'!A:J,5,0),IF(D275="SINAPI-I",VLOOKUP(B275,'20-A.SINAPI-I'!A:G,6,0),IF(D275="COMPOSIÇÕES",VLOOKUP(B275,'11.COMPOSIÇÕES GERAIS'!B:I,7,0),0))),"Em Elaboração")</f>
        <v>0</v>
      </c>
      <c r="I275" s="259">
        <f>IFERROR(IF(D275="SINAPI-S",VLOOKUP(B275,'20-B.SINAPI-S'!A:J,6,0),IF(D275="SINAPI-I",VLOOKUP(B275,'20-A.SINAPI-I'!A:G,7,0),IF(D275="COMPOSIÇÕES",VLOOKUP(B275,'11.COMPOSIÇÕES GERAIS'!B:I,8,0),VLOOKUP(B275,'12.COT.MERCADO'!A:I,8,0)))),"Em Elaboração")</f>
        <v>32.98</v>
      </c>
      <c r="J275" s="259">
        <f t="shared" si="13"/>
        <v>0</v>
      </c>
      <c r="K275" s="259">
        <f t="shared" si="14"/>
        <v>38.63061462</v>
      </c>
      <c r="L275" s="259">
        <f t="shared" si="15"/>
        <v>38.63061462</v>
      </c>
      <c r="M275" s="259">
        <f t="shared" si="16"/>
        <v>0</v>
      </c>
      <c r="N275" s="259">
        <f t="shared" si="17"/>
        <v>77.26122924</v>
      </c>
      <c r="O275" s="259">
        <f t="shared" si="18"/>
        <v>77.26122924</v>
      </c>
      <c r="P275" s="586">
        <f t="shared" si="3"/>
        <v>0.0004211738341</v>
      </c>
    </row>
    <row r="276">
      <c r="A276" s="253" t="s">
        <v>820</v>
      </c>
      <c r="B276" s="254">
        <v>3538.0</v>
      </c>
      <c r="C276" s="255" t="str">
        <f t="shared" si="12"/>
        <v>SINAPI</v>
      </c>
      <c r="D276" s="256" t="s">
        <v>286</v>
      </c>
      <c r="E276" s="257" t="str">
        <f>IFERROR(IF(D276="SINAPI-S",VLOOKUP(B276,'20-B.SINAPI-S'!A:J,2,0),IF(D276="SINAPI-I",VLOOKUP(B276,'20-A.SINAPI-I'!A:G,2,0),IF(D276="COMPOSIÇÕES",VLOOKUP(B276,'11.COMPOSIÇÕES GERAIS'!B:I,2,0),VLOOKUP(B276,'12.COT.MERCADO'!A:I,2,0)))),"Em Elaboração")</f>
        <v>JOELHO DE REDUCAO, PVC SOLDAVEL, 90 GRAUS, 32 MM X 25 MM, COR MARROM, PARA AGUA FRIA PREDIAL</v>
      </c>
      <c r="F276" s="258" t="str">
        <f>IFERROR(IF(D276="SINAPI-S",VLOOKUP(B276,'20-B.SINAPI-S'!A:J,3,0),IF(D276="SINAPI-I",VLOOKUP(B276,'20-A.SINAPI-I'!A:G,3,0),IF(D276="COMPOSIÇÕES",VLOOKUP(B276,'11.COMPOSIÇÕES GERAIS'!B:I,3,0),VLOOKUP(B276,'12.COT.MERCADO'!A:I,7,0)))),"Em Elaboração")</f>
        <v>UN</v>
      </c>
      <c r="G276" s="254">
        <v>4.0</v>
      </c>
      <c r="H276" s="259">
        <f>IFERROR(IF(D276="SINAPI-S",VLOOKUP(B276,'20-B.SINAPI-S'!A:J,5,0),IF(D276="SINAPI-I",VLOOKUP(B276,'20-A.SINAPI-I'!A:G,6,0),IF(D276="COMPOSIÇÕES",VLOOKUP(B276,'11.COMPOSIÇÕES GERAIS'!B:I,7,0),0))),"Em Elaboração")</f>
        <v>0</v>
      </c>
      <c r="I276" s="259">
        <f>IFERROR(IF(D276="SINAPI-S",VLOOKUP(B276,'20-B.SINAPI-S'!A:J,6,0),IF(D276="SINAPI-I",VLOOKUP(B276,'20-A.SINAPI-I'!A:G,7,0),IF(D276="COMPOSIÇÕES",VLOOKUP(B276,'11.COMPOSIÇÕES GERAIS'!B:I,8,0),VLOOKUP(B276,'12.COT.MERCADO'!A:I,8,0)))),"Em Elaboração")</f>
        <v>5.42</v>
      </c>
      <c r="J276" s="259">
        <f t="shared" si="13"/>
        <v>0</v>
      </c>
      <c r="K276" s="259">
        <f t="shared" si="14"/>
        <v>6.348633451</v>
      </c>
      <c r="L276" s="259">
        <f t="shared" si="15"/>
        <v>6.348633451</v>
      </c>
      <c r="M276" s="259">
        <f t="shared" si="16"/>
        <v>0</v>
      </c>
      <c r="N276" s="259">
        <f t="shared" si="17"/>
        <v>25.39453381</v>
      </c>
      <c r="O276" s="259">
        <f t="shared" si="18"/>
        <v>25.39453381</v>
      </c>
      <c r="P276" s="586">
        <f t="shared" si="3"/>
        <v>0.0001384331219</v>
      </c>
    </row>
    <row r="277">
      <c r="A277" s="253" t="s">
        <v>821</v>
      </c>
      <c r="B277" s="254">
        <v>20151.0</v>
      </c>
      <c r="C277" s="255" t="str">
        <f t="shared" si="12"/>
        <v>SINAPI</v>
      </c>
      <c r="D277" s="256" t="s">
        <v>286</v>
      </c>
      <c r="E277" s="257" t="str">
        <f>IFERROR(IF(D277="SINAPI-S",VLOOKUP(B277,'20-B.SINAPI-S'!A:J,2,0),IF(D277="SINAPI-I",VLOOKUP(B277,'20-A.SINAPI-I'!A:G,2,0),IF(D277="COMPOSIÇÕES",VLOOKUP(B277,'11.COMPOSIÇÕES GERAIS'!B:I,2,0),VLOOKUP(B277,'12.COT.MERCADO'!A:I,2,0)))),"Em Elaboração")</f>
        <v>JOELHO, PVC SERIE R, 45 GRAUS, DN 100 MM, PARA ESGOTO PREDIAL</v>
      </c>
      <c r="F277" s="258" t="str">
        <f>IFERROR(IF(D277="SINAPI-S",VLOOKUP(B277,'20-B.SINAPI-S'!A:J,3,0),IF(D277="SINAPI-I",VLOOKUP(B277,'20-A.SINAPI-I'!A:G,3,0),IF(D277="COMPOSIÇÕES",VLOOKUP(B277,'11.COMPOSIÇÕES GERAIS'!B:I,3,0),VLOOKUP(B277,'12.COT.MERCADO'!A:I,7,0)))),"Em Elaboração")</f>
        <v>UN</v>
      </c>
      <c r="G277" s="254">
        <v>2.0</v>
      </c>
      <c r="H277" s="259">
        <f>IFERROR(IF(D277="SINAPI-S",VLOOKUP(B277,'20-B.SINAPI-S'!A:J,5,0),IF(D277="SINAPI-I",VLOOKUP(B277,'20-A.SINAPI-I'!A:G,6,0),IF(D277="COMPOSIÇÕES",VLOOKUP(B277,'11.COMPOSIÇÕES GERAIS'!B:I,7,0),0))),"Em Elaboração")</f>
        <v>0</v>
      </c>
      <c r="I277" s="259">
        <f>IFERROR(IF(D277="SINAPI-S",VLOOKUP(B277,'20-B.SINAPI-S'!A:J,6,0),IF(D277="SINAPI-I",VLOOKUP(B277,'20-A.SINAPI-I'!A:G,7,0),IF(D277="COMPOSIÇÕES",VLOOKUP(B277,'11.COMPOSIÇÕES GERAIS'!B:I,8,0),VLOOKUP(B277,'12.COT.MERCADO'!A:I,8,0)))),"Em Elaboração")</f>
        <v>23.31</v>
      </c>
      <c r="J277" s="259">
        <f t="shared" si="13"/>
        <v>0</v>
      </c>
      <c r="K277" s="259">
        <f t="shared" si="14"/>
        <v>27.30380918</v>
      </c>
      <c r="L277" s="259">
        <f t="shared" si="15"/>
        <v>27.30380918</v>
      </c>
      <c r="M277" s="259">
        <f t="shared" si="16"/>
        <v>0</v>
      </c>
      <c r="N277" s="259">
        <f t="shared" si="17"/>
        <v>54.60761836</v>
      </c>
      <c r="O277" s="259">
        <f t="shared" si="18"/>
        <v>54.60761836</v>
      </c>
      <c r="P277" s="586">
        <f t="shared" si="3"/>
        <v>0.0002976822945</v>
      </c>
    </row>
    <row r="278">
      <c r="A278" s="253" t="s">
        <v>822</v>
      </c>
      <c r="B278" s="254">
        <v>20150.0</v>
      </c>
      <c r="C278" s="255" t="str">
        <f t="shared" si="12"/>
        <v>SINAPI</v>
      </c>
      <c r="D278" s="256" t="s">
        <v>286</v>
      </c>
      <c r="E278" s="257" t="str">
        <f>IFERROR(IF(D278="SINAPI-S",VLOOKUP(B278,'20-B.SINAPI-S'!A:J,2,0),IF(D278="SINAPI-I",VLOOKUP(B278,'20-A.SINAPI-I'!A:G,2,0),IF(D278="COMPOSIÇÕES",VLOOKUP(B278,'11.COMPOSIÇÕES GERAIS'!B:I,2,0),VLOOKUP(B278,'12.COT.MERCADO'!A:I,2,0)))),"Em Elaboração")</f>
        <v>JOELHO, PVC SERIE R, 45 GRAUS, DN 75 MM, PARA ESGOTO PREDIAL</v>
      </c>
      <c r="F278" s="258" t="str">
        <f>IFERROR(IF(D278="SINAPI-S",VLOOKUP(B278,'20-B.SINAPI-S'!A:J,3,0),IF(D278="SINAPI-I",VLOOKUP(B278,'20-A.SINAPI-I'!A:G,3,0),IF(D278="COMPOSIÇÕES",VLOOKUP(B278,'11.COMPOSIÇÕES GERAIS'!B:I,3,0),VLOOKUP(B278,'12.COT.MERCADO'!A:I,7,0)))),"Em Elaboração")</f>
        <v>UN</v>
      </c>
      <c r="G278" s="254">
        <v>2.0</v>
      </c>
      <c r="H278" s="259">
        <f>IFERROR(IF(D278="SINAPI-S",VLOOKUP(B278,'20-B.SINAPI-S'!A:J,5,0),IF(D278="SINAPI-I",VLOOKUP(B278,'20-A.SINAPI-I'!A:G,6,0),IF(D278="COMPOSIÇÕES",VLOOKUP(B278,'11.COMPOSIÇÕES GERAIS'!B:I,7,0),0))),"Em Elaboração")</f>
        <v>0</v>
      </c>
      <c r="I278" s="259">
        <f>IFERROR(IF(D278="SINAPI-S",VLOOKUP(B278,'20-B.SINAPI-S'!A:J,6,0),IF(D278="SINAPI-I",VLOOKUP(B278,'20-A.SINAPI-I'!A:G,7,0),IF(D278="COMPOSIÇÕES",VLOOKUP(B278,'11.COMPOSIÇÕES GERAIS'!B:I,8,0),VLOOKUP(B278,'12.COT.MERCADO'!A:I,8,0)))),"Em Elaboração")</f>
        <v>19.72</v>
      </c>
      <c r="J278" s="259">
        <f t="shared" si="13"/>
        <v>0</v>
      </c>
      <c r="K278" s="259">
        <f t="shared" si="14"/>
        <v>23.09871802</v>
      </c>
      <c r="L278" s="259">
        <f t="shared" si="15"/>
        <v>23.09871802</v>
      </c>
      <c r="M278" s="259">
        <f t="shared" si="16"/>
        <v>0</v>
      </c>
      <c r="N278" s="259">
        <f t="shared" si="17"/>
        <v>46.19743604</v>
      </c>
      <c r="O278" s="259">
        <f t="shared" si="18"/>
        <v>46.19743604</v>
      </c>
      <c r="P278" s="586">
        <f t="shared" si="3"/>
        <v>0.0002518359008</v>
      </c>
    </row>
    <row r="279">
      <c r="A279" s="253" t="s">
        <v>823</v>
      </c>
      <c r="B279" s="254">
        <v>20157.0</v>
      </c>
      <c r="C279" s="255" t="str">
        <f t="shared" si="12"/>
        <v>SINAPI</v>
      </c>
      <c r="D279" s="256" t="s">
        <v>286</v>
      </c>
      <c r="E279" s="257" t="str">
        <f>IFERROR(IF(D279="SINAPI-S",VLOOKUP(B279,'20-B.SINAPI-S'!A:J,2,0),IF(D279="SINAPI-I",VLOOKUP(B279,'20-A.SINAPI-I'!A:G,2,0),IF(D279="COMPOSIÇÕES",VLOOKUP(B279,'11.COMPOSIÇÕES GERAIS'!B:I,2,0),VLOOKUP(B279,'12.COT.MERCADO'!A:I,2,0)))),"Em Elaboração")</f>
        <v>JOELHO, PVC SERIE R, 90 GRAUS, DN 100 MM, PARA ESGOTO PREDIAL</v>
      </c>
      <c r="F279" s="258" t="str">
        <f>IFERROR(IF(D279="SINAPI-S",VLOOKUP(B279,'20-B.SINAPI-S'!A:J,3,0),IF(D279="SINAPI-I",VLOOKUP(B279,'20-A.SINAPI-I'!A:G,3,0),IF(D279="COMPOSIÇÕES",VLOOKUP(B279,'11.COMPOSIÇÕES GERAIS'!B:I,3,0),VLOOKUP(B279,'12.COT.MERCADO'!A:I,7,0)))),"Em Elaboração")</f>
        <v>UN</v>
      </c>
      <c r="G279" s="254">
        <v>2.0</v>
      </c>
      <c r="H279" s="259">
        <f>IFERROR(IF(D279="SINAPI-S",VLOOKUP(B279,'20-B.SINAPI-S'!A:J,5,0),IF(D279="SINAPI-I",VLOOKUP(B279,'20-A.SINAPI-I'!A:G,6,0),IF(D279="COMPOSIÇÕES",VLOOKUP(B279,'11.COMPOSIÇÕES GERAIS'!B:I,7,0),0))),"Em Elaboração")</f>
        <v>0</v>
      </c>
      <c r="I279" s="259">
        <f>IFERROR(IF(D279="SINAPI-S",VLOOKUP(B279,'20-B.SINAPI-S'!A:J,6,0),IF(D279="SINAPI-I",VLOOKUP(B279,'20-A.SINAPI-I'!A:G,7,0),IF(D279="COMPOSIÇÕES",VLOOKUP(B279,'11.COMPOSIÇÕES GERAIS'!B:I,8,0),VLOOKUP(B279,'12.COT.MERCADO'!A:I,8,0)))),"Em Elaboração")</f>
        <v>22.14</v>
      </c>
      <c r="J279" s="259">
        <f t="shared" si="13"/>
        <v>0</v>
      </c>
      <c r="K279" s="259">
        <f t="shared" si="14"/>
        <v>25.93334771</v>
      </c>
      <c r="L279" s="259">
        <f t="shared" si="15"/>
        <v>25.93334771</v>
      </c>
      <c r="M279" s="259">
        <f t="shared" si="16"/>
        <v>0</v>
      </c>
      <c r="N279" s="259">
        <f t="shared" si="17"/>
        <v>51.86669543</v>
      </c>
      <c r="O279" s="259">
        <f t="shared" si="18"/>
        <v>51.86669543</v>
      </c>
      <c r="P279" s="586">
        <f t="shared" si="3"/>
        <v>0.0002827407122</v>
      </c>
    </row>
    <row r="280">
      <c r="A280" s="253" t="s">
        <v>824</v>
      </c>
      <c r="B280" s="254">
        <v>20157.0</v>
      </c>
      <c r="C280" s="255" t="str">
        <f t="shared" si="12"/>
        <v>SINAPI</v>
      </c>
      <c r="D280" s="256" t="s">
        <v>286</v>
      </c>
      <c r="E280" s="257" t="str">
        <f>IFERROR(IF(D280="SINAPI-S",VLOOKUP(B280,'20-B.SINAPI-S'!A:J,2,0),IF(D280="SINAPI-I",VLOOKUP(B280,'20-A.SINAPI-I'!A:G,2,0),IF(D280="COMPOSIÇÕES",VLOOKUP(B280,'11.COMPOSIÇÕES GERAIS'!B:I,2,0),VLOOKUP(B280,'12.COT.MERCADO'!A:I,2,0)))),"Em Elaboração")</f>
        <v>JOELHO, PVC SERIE R, 90 GRAUS, DN 100 MM, PARA ESGOTO PREDIAL</v>
      </c>
      <c r="F280" s="258" t="str">
        <f>IFERROR(IF(D280="SINAPI-S",VLOOKUP(B280,'20-B.SINAPI-S'!A:J,3,0),IF(D280="SINAPI-I",VLOOKUP(B280,'20-A.SINAPI-I'!A:G,3,0),IF(D280="COMPOSIÇÕES",VLOOKUP(B280,'11.COMPOSIÇÕES GERAIS'!B:I,3,0),VLOOKUP(B280,'12.COT.MERCADO'!A:I,7,0)))),"Em Elaboração")</f>
        <v>UN</v>
      </c>
      <c r="G280" s="254">
        <v>2.0</v>
      </c>
      <c r="H280" s="259">
        <f>IFERROR(IF(D280="SINAPI-S",VLOOKUP(B280,'20-B.SINAPI-S'!A:J,5,0),IF(D280="SINAPI-I",VLOOKUP(B280,'20-A.SINAPI-I'!A:G,6,0),IF(D280="COMPOSIÇÕES",VLOOKUP(B280,'11.COMPOSIÇÕES GERAIS'!B:I,7,0),0))),"Em Elaboração")</f>
        <v>0</v>
      </c>
      <c r="I280" s="259">
        <f>IFERROR(IF(D280="SINAPI-S",VLOOKUP(B280,'20-B.SINAPI-S'!A:J,6,0),IF(D280="SINAPI-I",VLOOKUP(B280,'20-A.SINAPI-I'!A:G,7,0),IF(D280="COMPOSIÇÕES",VLOOKUP(B280,'11.COMPOSIÇÕES GERAIS'!B:I,8,0),VLOOKUP(B280,'12.COT.MERCADO'!A:I,8,0)))),"Em Elaboração")</f>
        <v>22.14</v>
      </c>
      <c r="J280" s="259">
        <f t="shared" si="13"/>
        <v>0</v>
      </c>
      <c r="K280" s="259">
        <f t="shared" si="14"/>
        <v>25.93334771</v>
      </c>
      <c r="L280" s="259">
        <f t="shared" si="15"/>
        <v>25.93334771</v>
      </c>
      <c r="M280" s="259">
        <f t="shared" si="16"/>
        <v>0</v>
      </c>
      <c r="N280" s="259">
        <f t="shared" si="17"/>
        <v>51.86669543</v>
      </c>
      <c r="O280" s="259">
        <f t="shared" si="18"/>
        <v>51.86669543</v>
      </c>
      <c r="P280" s="586">
        <f t="shared" si="3"/>
        <v>0.0002827407122</v>
      </c>
    </row>
    <row r="281">
      <c r="A281" s="253" t="s">
        <v>825</v>
      </c>
      <c r="B281" s="254">
        <v>20155.0</v>
      </c>
      <c r="C281" s="255" t="str">
        <f t="shared" si="12"/>
        <v>SINAPI</v>
      </c>
      <c r="D281" s="256" t="s">
        <v>286</v>
      </c>
      <c r="E281" s="257" t="str">
        <f>IFERROR(IF(D281="SINAPI-S",VLOOKUP(B281,'20-B.SINAPI-S'!A:J,2,0),IF(D281="SINAPI-I",VLOOKUP(B281,'20-A.SINAPI-I'!A:G,2,0),IF(D281="COMPOSIÇÕES",VLOOKUP(B281,'11.COMPOSIÇÕES GERAIS'!B:I,2,0),VLOOKUP(B281,'12.COT.MERCADO'!A:I,2,0)))),"Em Elaboração")</f>
        <v>JOELHO, PVC SERIE R, 90 GRAUS, DN 50 MM, PARA ESGOTO PREDIAL</v>
      </c>
      <c r="F281" s="258" t="str">
        <f>IFERROR(IF(D281="SINAPI-S",VLOOKUP(B281,'20-B.SINAPI-S'!A:J,3,0),IF(D281="SINAPI-I",VLOOKUP(B281,'20-A.SINAPI-I'!A:G,3,0),IF(D281="COMPOSIÇÕES",VLOOKUP(B281,'11.COMPOSIÇÕES GERAIS'!B:I,3,0),VLOOKUP(B281,'12.COT.MERCADO'!A:I,7,0)))),"Em Elaboração")</f>
        <v>UN</v>
      </c>
      <c r="G281" s="254">
        <v>2.0</v>
      </c>
      <c r="H281" s="259">
        <f>IFERROR(IF(D281="SINAPI-S",VLOOKUP(B281,'20-B.SINAPI-S'!A:J,5,0),IF(D281="SINAPI-I",VLOOKUP(B281,'20-A.SINAPI-I'!A:G,6,0),IF(D281="COMPOSIÇÕES",VLOOKUP(B281,'11.COMPOSIÇÕES GERAIS'!B:I,7,0),0))),"Em Elaboração")</f>
        <v>0</v>
      </c>
      <c r="I281" s="259">
        <f>IFERROR(IF(D281="SINAPI-S",VLOOKUP(B281,'20-B.SINAPI-S'!A:J,6,0),IF(D281="SINAPI-I",VLOOKUP(B281,'20-A.SINAPI-I'!A:G,7,0),IF(D281="COMPOSIÇÕES",VLOOKUP(B281,'11.COMPOSIÇÕES GERAIS'!B:I,8,0),VLOOKUP(B281,'12.COT.MERCADO'!A:I,8,0)))),"Em Elaboração")</f>
        <v>6.83</v>
      </c>
      <c r="J281" s="259">
        <f t="shared" si="13"/>
        <v>0</v>
      </c>
      <c r="K281" s="259">
        <f t="shared" si="14"/>
        <v>8.000215216</v>
      </c>
      <c r="L281" s="259">
        <f t="shared" si="15"/>
        <v>8.000215216</v>
      </c>
      <c r="M281" s="259">
        <f t="shared" si="16"/>
        <v>0</v>
      </c>
      <c r="N281" s="259">
        <f t="shared" si="17"/>
        <v>16.00043043</v>
      </c>
      <c r="O281" s="259">
        <f t="shared" si="18"/>
        <v>16.00043043</v>
      </c>
      <c r="P281" s="586">
        <f t="shared" si="3"/>
        <v>0.00008722308329</v>
      </c>
    </row>
    <row r="282">
      <c r="A282" s="253" t="s">
        <v>826</v>
      </c>
      <c r="B282" s="254">
        <v>20156.0</v>
      </c>
      <c r="C282" s="255" t="str">
        <f t="shared" si="12"/>
        <v>SINAPI</v>
      </c>
      <c r="D282" s="256" t="s">
        <v>286</v>
      </c>
      <c r="E282" s="257" t="str">
        <f>IFERROR(IF(D282="SINAPI-S",VLOOKUP(B282,'20-B.SINAPI-S'!A:J,2,0),IF(D282="SINAPI-I",VLOOKUP(B282,'20-A.SINAPI-I'!A:G,2,0),IF(D282="COMPOSIÇÕES",VLOOKUP(B282,'11.COMPOSIÇÕES GERAIS'!B:I,2,0),VLOOKUP(B282,'12.COT.MERCADO'!A:I,2,0)))),"Em Elaboração")</f>
        <v>JOELHO, PVC SERIE R, 90 GRAUS, DN 75 MM, PARA ESGOTO PREDIAL</v>
      </c>
      <c r="F282" s="258" t="str">
        <f>IFERROR(IF(D282="SINAPI-S",VLOOKUP(B282,'20-B.SINAPI-S'!A:J,3,0),IF(D282="SINAPI-I",VLOOKUP(B282,'20-A.SINAPI-I'!A:G,3,0),IF(D282="COMPOSIÇÕES",VLOOKUP(B282,'11.COMPOSIÇÕES GERAIS'!B:I,3,0),VLOOKUP(B282,'12.COT.MERCADO'!A:I,7,0)))),"Em Elaboração")</f>
        <v>UN</v>
      </c>
      <c r="G282" s="254">
        <v>2.0</v>
      </c>
      <c r="H282" s="259">
        <f>IFERROR(IF(D282="SINAPI-S",VLOOKUP(B282,'20-B.SINAPI-S'!A:J,5,0),IF(D282="SINAPI-I",VLOOKUP(B282,'20-A.SINAPI-I'!A:G,6,0),IF(D282="COMPOSIÇÕES",VLOOKUP(B282,'11.COMPOSIÇÕES GERAIS'!B:I,7,0),0))),"Em Elaboração")</f>
        <v>0</v>
      </c>
      <c r="I282" s="259">
        <f>IFERROR(IF(D282="SINAPI-S",VLOOKUP(B282,'20-B.SINAPI-S'!A:J,6,0),IF(D282="SINAPI-I",VLOOKUP(B282,'20-A.SINAPI-I'!A:G,7,0),IF(D282="COMPOSIÇÕES",VLOOKUP(B282,'11.COMPOSIÇÕES GERAIS'!B:I,8,0),VLOOKUP(B282,'12.COT.MERCADO'!A:I,8,0)))),"Em Elaboração")</f>
        <v>19.2</v>
      </c>
      <c r="J282" s="259">
        <f t="shared" si="13"/>
        <v>0</v>
      </c>
      <c r="K282" s="259">
        <f t="shared" si="14"/>
        <v>22.48962403</v>
      </c>
      <c r="L282" s="259">
        <f t="shared" si="15"/>
        <v>22.48962403</v>
      </c>
      <c r="M282" s="259">
        <f t="shared" si="16"/>
        <v>0</v>
      </c>
      <c r="N282" s="259">
        <f t="shared" si="17"/>
        <v>44.97924807</v>
      </c>
      <c r="O282" s="259">
        <f t="shared" si="18"/>
        <v>44.97924807</v>
      </c>
      <c r="P282" s="586">
        <f t="shared" si="3"/>
        <v>0.0002451951975</v>
      </c>
    </row>
    <row r="283">
      <c r="A283" s="253" t="s">
        <v>827</v>
      </c>
      <c r="B283" s="254">
        <v>3528.0</v>
      </c>
      <c r="C283" s="255" t="str">
        <f t="shared" si="12"/>
        <v>SINAPI</v>
      </c>
      <c r="D283" s="256" t="s">
        <v>286</v>
      </c>
      <c r="E283" s="257" t="str">
        <f>IFERROR(IF(D283="SINAPI-S",VLOOKUP(B283,'20-B.SINAPI-S'!A:J,2,0),IF(D283="SINAPI-I",VLOOKUP(B283,'20-A.SINAPI-I'!A:G,2,0),IF(D283="COMPOSIÇÕES",VLOOKUP(B283,'11.COMPOSIÇÕES GERAIS'!B:I,2,0),VLOOKUP(B283,'12.COT.MERCADO'!A:I,2,0)))),"Em Elaboração")</f>
        <v>JOELHO PVC, SOLDAVEL, PB, 45 GRAUS, DN 100 MM, PARA ESGOTO PREDIAL</v>
      </c>
      <c r="F283" s="258" t="str">
        <f>IFERROR(IF(D283="SINAPI-S",VLOOKUP(B283,'20-B.SINAPI-S'!A:J,3,0),IF(D283="SINAPI-I",VLOOKUP(B283,'20-A.SINAPI-I'!A:G,3,0),IF(D283="COMPOSIÇÕES",VLOOKUP(B283,'11.COMPOSIÇÕES GERAIS'!B:I,3,0),VLOOKUP(B283,'12.COT.MERCADO'!A:I,7,0)))),"Em Elaboração")</f>
        <v>UN</v>
      </c>
      <c r="G283" s="254">
        <v>2.0</v>
      </c>
      <c r="H283" s="259">
        <f>IFERROR(IF(D283="SINAPI-S",VLOOKUP(B283,'20-B.SINAPI-S'!A:J,5,0),IF(D283="SINAPI-I",VLOOKUP(B283,'20-A.SINAPI-I'!A:G,6,0),IF(D283="COMPOSIÇÕES",VLOOKUP(B283,'11.COMPOSIÇÕES GERAIS'!B:I,7,0),0))),"Em Elaboração")</f>
        <v>0</v>
      </c>
      <c r="I283" s="259">
        <f>IFERROR(IF(D283="SINAPI-S",VLOOKUP(B283,'20-B.SINAPI-S'!A:J,6,0),IF(D283="SINAPI-I",VLOOKUP(B283,'20-A.SINAPI-I'!A:G,7,0),IF(D283="COMPOSIÇÕES",VLOOKUP(B283,'11.COMPOSIÇÕES GERAIS'!B:I,8,0),VLOOKUP(B283,'12.COT.MERCADO'!A:I,8,0)))),"Em Elaboração")</f>
        <v>10.43</v>
      </c>
      <c r="J283" s="259">
        <f t="shared" si="13"/>
        <v>0</v>
      </c>
      <c r="K283" s="259">
        <f t="shared" si="14"/>
        <v>12.21701972</v>
      </c>
      <c r="L283" s="259">
        <f t="shared" si="15"/>
        <v>12.21701972</v>
      </c>
      <c r="M283" s="259">
        <f t="shared" si="16"/>
        <v>0</v>
      </c>
      <c r="N283" s="259">
        <f t="shared" si="17"/>
        <v>24.43403945</v>
      </c>
      <c r="O283" s="259">
        <f t="shared" si="18"/>
        <v>24.43403945</v>
      </c>
      <c r="P283" s="586">
        <f t="shared" si="3"/>
        <v>0.0001331971828</v>
      </c>
    </row>
    <row r="284">
      <c r="A284" s="253" t="s">
        <v>828</v>
      </c>
      <c r="B284" s="254">
        <v>3516.0</v>
      </c>
      <c r="C284" s="255" t="str">
        <f t="shared" si="12"/>
        <v>SINAPI</v>
      </c>
      <c r="D284" s="256" t="s">
        <v>286</v>
      </c>
      <c r="E284" s="257" t="str">
        <f>IFERROR(IF(D284="SINAPI-S",VLOOKUP(B284,'20-B.SINAPI-S'!A:J,2,0),IF(D284="SINAPI-I",VLOOKUP(B284,'20-A.SINAPI-I'!A:G,2,0),IF(D284="COMPOSIÇÕES",VLOOKUP(B284,'11.COMPOSIÇÕES GERAIS'!B:I,2,0),VLOOKUP(B284,'12.COT.MERCADO'!A:I,2,0)))),"Em Elaboração")</f>
        <v>JOELHO PVC, SOLDAVEL, BB, 45 GRAUS, DN 40 MM, PARA ESGOTO PREDIAL</v>
      </c>
      <c r="F284" s="258" t="str">
        <f>IFERROR(IF(D284="SINAPI-S",VLOOKUP(B284,'20-B.SINAPI-S'!A:J,3,0),IF(D284="SINAPI-I",VLOOKUP(B284,'20-A.SINAPI-I'!A:G,3,0),IF(D284="COMPOSIÇÕES",VLOOKUP(B284,'11.COMPOSIÇÕES GERAIS'!B:I,3,0),VLOOKUP(B284,'12.COT.MERCADO'!A:I,7,0)))),"Em Elaboração")</f>
        <v>UN</v>
      </c>
      <c r="G284" s="254">
        <v>2.0</v>
      </c>
      <c r="H284" s="259">
        <f>IFERROR(IF(D284="SINAPI-S",VLOOKUP(B284,'20-B.SINAPI-S'!A:J,5,0),IF(D284="SINAPI-I",VLOOKUP(B284,'20-A.SINAPI-I'!A:G,6,0),IF(D284="COMPOSIÇÕES",VLOOKUP(B284,'11.COMPOSIÇÕES GERAIS'!B:I,7,0),0))),"Em Elaboração")</f>
        <v>0</v>
      </c>
      <c r="I284" s="259">
        <f>IFERROR(IF(D284="SINAPI-S",VLOOKUP(B284,'20-B.SINAPI-S'!A:J,6,0),IF(D284="SINAPI-I",VLOOKUP(B284,'20-A.SINAPI-I'!A:G,7,0),IF(D284="COMPOSIÇÕES",VLOOKUP(B284,'11.COMPOSIÇÕES GERAIS'!B:I,8,0),VLOOKUP(B284,'12.COT.MERCADO'!A:I,8,0)))),"Em Elaboração")</f>
        <v>2.67</v>
      </c>
      <c r="J284" s="259">
        <f t="shared" si="13"/>
        <v>0</v>
      </c>
      <c r="K284" s="259">
        <f t="shared" si="14"/>
        <v>3.127463342</v>
      </c>
      <c r="L284" s="259">
        <f t="shared" si="15"/>
        <v>3.127463342</v>
      </c>
      <c r="M284" s="259">
        <f t="shared" si="16"/>
        <v>0</v>
      </c>
      <c r="N284" s="259">
        <f t="shared" si="17"/>
        <v>6.254926685</v>
      </c>
      <c r="O284" s="259">
        <f t="shared" si="18"/>
        <v>6.254926685</v>
      </c>
      <c r="P284" s="586">
        <f t="shared" si="3"/>
        <v>0.00003409745716</v>
      </c>
    </row>
    <row r="285">
      <c r="A285" s="253" t="s">
        <v>829</v>
      </c>
      <c r="B285" s="254">
        <v>3518.0</v>
      </c>
      <c r="C285" s="255" t="str">
        <f t="shared" si="12"/>
        <v>SINAPI</v>
      </c>
      <c r="D285" s="256" t="s">
        <v>286</v>
      </c>
      <c r="E285" s="257" t="str">
        <f>IFERROR(IF(D285="SINAPI-S",VLOOKUP(B285,'20-B.SINAPI-S'!A:J,2,0),IF(D285="SINAPI-I",VLOOKUP(B285,'20-A.SINAPI-I'!A:G,2,0),IF(D285="COMPOSIÇÕES",VLOOKUP(B285,'11.COMPOSIÇÕES GERAIS'!B:I,2,0),VLOOKUP(B285,'12.COT.MERCADO'!A:I,2,0)))),"Em Elaboração")</f>
        <v>JOELHO PVC, SOLDAVEL, PB, 45 GRAUS, DN 50 MM, PARA ESGOTO PREDIAL</v>
      </c>
      <c r="F285" s="258" t="str">
        <f>IFERROR(IF(D285="SINAPI-S",VLOOKUP(B285,'20-B.SINAPI-S'!A:J,3,0),IF(D285="SINAPI-I",VLOOKUP(B285,'20-A.SINAPI-I'!A:G,3,0),IF(D285="COMPOSIÇÕES",VLOOKUP(B285,'11.COMPOSIÇÕES GERAIS'!B:I,3,0),VLOOKUP(B285,'12.COT.MERCADO'!A:I,7,0)))),"Em Elaboração")</f>
        <v>UN</v>
      </c>
      <c r="G285" s="254">
        <v>2.0</v>
      </c>
      <c r="H285" s="259">
        <f>IFERROR(IF(D285="SINAPI-S",VLOOKUP(B285,'20-B.SINAPI-S'!A:J,5,0),IF(D285="SINAPI-I",VLOOKUP(B285,'20-A.SINAPI-I'!A:G,6,0),IF(D285="COMPOSIÇÕES",VLOOKUP(B285,'11.COMPOSIÇÕES GERAIS'!B:I,7,0),0))),"Em Elaboração")</f>
        <v>0</v>
      </c>
      <c r="I285" s="259">
        <f>IFERROR(IF(D285="SINAPI-S",VLOOKUP(B285,'20-B.SINAPI-S'!A:J,6,0),IF(D285="SINAPI-I",VLOOKUP(B285,'20-A.SINAPI-I'!A:G,7,0),IF(D285="COMPOSIÇÕES",VLOOKUP(B285,'11.COMPOSIÇÕES GERAIS'!B:I,8,0),VLOOKUP(B285,'12.COT.MERCADO'!A:I,8,0)))),"Em Elaboração")</f>
        <v>4.32</v>
      </c>
      <c r="J285" s="259">
        <f t="shared" si="13"/>
        <v>0</v>
      </c>
      <c r="K285" s="259">
        <f t="shared" si="14"/>
        <v>5.060165408</v>
      </c>
      <c r="L285" s="259">
        <f t="shared" si="15"/>
        <v>5.060165408</v>
      </c>
      <c r="M285" s="259">
        <f t="shared" si="16"/>
        <v>0</v>
      </c>
      <c r="N285" s="259">
        <f t="shared" si="17"/>
        <v>10.12033082</v>
      </c>
      <c r="O285" s="259">
        <f t="shared" si="18"/>
        <v>10.12033082</v>
      </c>
      <c r="P285" s="586">
        <f t="shared" si="3"/>
        <v>0.00005516891944</v>
      </c>
    </row>
    <row r="286">
      <c r="A286" s="253" t="s">
        <v>830</v>
      </c>
      <c r="B286" s="254">
        <v>3520.0</v>
      </c>
      <c r="C286" s="255" t="str">
        <f t="shared" si="12"/>
        <v>SINAPI</v>
      </c>
      <c r="D286" s="256" t="s">
        <v>286</v>
      </c>
      <c r="E286" s="257" t="str">
        <f>IFERROR(IF(D286="SINAPI-S",VLOOKUP(B286,'20-B.SINAPI-S'!A:J,2,0),IF(D286="SINAPI-I",VLOOKUP(B286,'20-A.SINAPI-I'!A:G,2,0),IF(D286="COMPOSIÇÕES",VLOOKUP(B286,'11.COMPOSIÇÕES GERAIS'!B:I,2,0),VLOOKUP(B286,'12.COT.MERCADO'!A:I,2,0)))),"Em Elaboração")</f>
        <v>JOELHO PVC, SOLDAVEL, PB, 90 GRAUS, DN 100 MM, PARA ESGOTO PREDIAL</v>
      </c>
      <c r="F286" s="258" t="str">
        <f>IFERROR(IF(D286="SINAPI-S",VLOOKUP(B286,'20-B.SINAPI-S'!A:J,3,0),IF(D286="SINAPI-I",VLOOKUP(B286,'20-A.SINAPI-I'!A:G,3,0),IF(D286="COMPOSIÇÕES",VLOOKUP(B286,'11.COMPOSIÇÕES GERAIS'!B:I,3,0),VLOOKUP(B286,'12.COT.MERCADO'!A:I,7,0)))),"Em Elaboração")</f>
        <v>UN</v>
      </c>
      <c r="G286" s="254">
        <v>2.0</v>
      </c>
      <c r="H286" s="259">
        <f>IFERROR(IF(D286="SINAPI-S",VLOOKUP(B286,'20-B.SINAPI-S'!A:J,5,0),IF(D286="SINAPI-I",VLOOKUP(B286,'20-A.SINAPI-I'!A:G,6,0),IF(D286="COMPOSIÇÕES",VLOOKUP(B286,'11.COMPOSIÇÕES GERAIS'!B:I,7,0),0))),"Em Elaboração")</f>
        <v>0</v>
      </c>
      <c r="I286" s="259">
        <f>IFERROR(IF(D286="SINAPI-S",VLOOKUP(B286,'20-B.SINAPI-S'!A:J,6,0),IF(D286="SINAPI-I",VLOOKUP(B286,'20-A.SINAPI-I'!A:G,7,0),IF(D286="COMPOSIÇÕES",VLOOKUP(B286,'11.COMPOSIÇÕES GERAIS'!B:I,8,0),VLOOKUP(B286,'12.COT.MERCADO'!A:I,8,0)))),"Em Elaboração")</f>
        <v>9.48</v>
      </c>
      <c r="J286" s="259">
        <f t="shared" si="13"/>
        <v>0</v>
      </c>
      <c r="K286" s="259">
        <f t="shared" si="14"/>
        <v>11.10425187</v>
      </c>
      <c r="L286" s="259">
        <f t="shared" si="15"/>
        <v>11.10425187</v>
      </c>
      <c r="M286" s="259">
        <f t="shared" si="16"/>
        <v>0</v>
      </c>
      <c r="N286" s="259">
        <f t="shared" si="17"/>
        <v>22.20850373</v>
      </c>
      <c r="O286" s="259">
        <f t="shared" si="18"/>
        <v>22.20850373</v>
      </c>
      <c r="P286" s="586">
        <f t="shared" si="3"/>
        <v>0.0001210651288</v>
      </c>
    </row>
    <row r="287">
      <c r="A287" s="253" t="s">
        <v>831</v>
      </c>
      <c r="B287" s="254">
        <v>10835.0</v>
      </c>
      <c r="C287" s="255" t="str">
        <f t="shared" si="12"/>
        <v>SINAPI</v>
      </c>
      <c r="D287" s="256" t="s">
        <v>286</v>
      </c>
      <c r="E287" s="257" t="str">
        <f>IFERROR(IF(D287="SINAPI-S",VLOOKUP(B287,'20-B.SINAPI-S'!A:J,2,0),IF(D287="SINAPI-I",VLOOKUP(B287,'20-A.SINAPI-I'!A:G,2,0),IF(D287="COMPOSIÇÕES",VLOOKUP(B287,'11.COMPOSIÇÕES GERAIS'!B:I,2,0),VLOOKUP(B287,'12.COT.MERCADO'!A:I,2,0)))),"Em Elaboração")</f>
        <v>JOELHO PVC, COM BOLSA E ANEL, 90 GRAUS, DN 40 X *38* MM, SERIE NORMAL, PARA ESGOTO PREDIAL</v>
      </c>
      <c r="F287" s="258" t="str">
        <f>IFERROR(IF(D287="SINAPI-S",VLOOKUP(B287,'20-B.SINAPI-S'!A:J,3,0),IF(D287="SINAPI-I",VLOOKUP(B287,'20-A.SINAPI-I'!A:G,3,0),IF(D287="COMPOSIÇÕES",VLOOKUP(B287,'11.COMPOSIÇÕES GERAIS'!B:I,3,0),VLOOKUP(B287,'12.COT.MERCADO'!A:I,7,0)))),"Em Elaboração")</f>
        <v>UN</v>
      </c>
      <c r="G287" s="254">
        <v>2.0</v>
      </c>
      <c r="H287" s="259">
        <f>IFERROR(IF(D287="SINAPI-S",VLOOKUP(B287,'20-B.SINAPI-S'!A:J,5,0),IF(D287="SINAPI-I",VLOOKUP(B287,'20-A.SINAPI-I'!A:G,6,0),IF(D287="COMPOSIÇÕES",VLOOKUP(B287,'11.COMPOSIÇÕES GERAIS'!B:I,7,0),0))),"Em Elaboração")</f>
        <v>0</v>
      </c>
      <c r="I287" s="259">
        <f>IFERROR(IF(D287="SINAPI-S",VLOOKUP(B287,'20-B.SINAPI-S'!A:J,6,0),IF(D287="SINAPI-I",VLOOKUP(B287,'20-A.SINAPI-I'!A:G,7,0),IF(D287="COMPOSIÇÕES",VLOOKUP(B287,'11.COMPOSIÇÕES GERAIS'!B:I,8,0),VLOOKUP(B287,'12.COT.MERCADO'!A:I,8,0)))),"Em Elaboração")</f>
        <v>6.46</v>
      </c>
      <c r="J287" s="259">
        <f t="shared" si="13"/>
        <v>0</v>
      </c>
      <c r="K287" s="259">
        <f t="shared" si="14"/>
        <v>7.56682142</v>
      </c>
      <c r="L287" s="259">
        <f t="shared" si="15"/>
        <v>7.56682142</v>
      </c>
      <c r="M287" s="259">
        <f t="shared" si="16"/>
        <v>0</v>
      </c>
      <c r="N287" s="259">
        <f t="shared" si="17"/>
        <v>15.13364284</v>
      </c>
      <c r="O287" s="259">
        <f t="shared" si="18"/>
        <v>15.13364284</v>
      </c>
      <c r="P287" s="586">
        <f t="shared" si="3"/>
        <v>0.0000824979675</v>
      </c>
    </row>
    <row r="288">
      <c r="A288" s="253" t="s">
        <v>832</v>
      </c>
      <c r="B288" s="254">
        <v>10836.0</v>
      </c>
      <c r="C288" s="255" t="str">
        <f t="shared" si="12"/>
        <v>SINAPI</v>
      </c>
      <c r="D288" s="256" t="s">
        <v>286</v>
      </c>
      <c r="E288" s="257" t="str">
        <f>IFERROR(IF(D288="SINAPI-S",VLOOKUP(B288,'20-B.SINAPI-S'!A:J,2,0),IF(D288="SINAPI-I",VLOOKUP(B288,'20-A.SINAPI-I'!A:G,2,0),IF(D288="COMPOSIÇÕES",VLOOKUP(B288,'11.COMPOSIÇÕES GERAIS'!B:I,2,0),VLOOKUP(B288,'12.COT.MERCADO'!A:I,2,0)))),"Em Elaboração")</f>
        <v>JOELHO PVC COM VISITA, 90 GRAUS, DN 100 X 50 MM, SERIE NORMAL, PARA ESGOTO PREDIAL</v>
      </c>
      <c r="F288" s="258" t="str">
        <f>IFERROR(IF(D288="SINAPI-S",VLOOKUP(B288,'20-B.SINAPI-S'!A:J,3,0),IF(D288="SINAPI-I",VLOOKUP(B288,'20-A.SINAPI-I'!A:G,3,0),IF(D288="COMPOSIÇÕES",VLOOKUP(B288,'11.COMPOSIÇÕES GERAIS'!B:I,3,0),VLOOKUP(B288,'12.COT.MERCADO'!A:I,7,0)))),"Em Elaboração")</f>
        <v>UN</v>
      </c>
      <c r="G288" s="254">
        <v>2.0</v>
      </c>
      <c r="H288" s="259">
        <f>IFERROR(IF(D288="SINAPI-S",VLOOKUP(B288,'20-B.SINAPI-S'!A:J,5,0),IF(D288="SINAPI-I",VLOOKUP(B288,'20-A.SINAPI-I'!A:G,6,0),IF(D288="COMPOSIÇÕES",VLOOKUP(B288,'11.COMPOSIÇÕES GERAIS'!B:I,7,0),0))),"Em Elaboração")</f>
        <v>0</v>
      </c>
      <c r="I288" s="259">
        <f>IFERROR(IF(D288="SINAPI-S",VLOOKUP(B288,'20-B.SINAPI-S'!A:J,6,0),IF(D288="SINAPI-I",VLOOKUP(B288,'20-A.SINAPI-I'!A:G,7,0),IF(D288="COMPOSIÇÕES",VLOOKUP(B288,'11.COMPOSIÇÕES GERAIS'!B:I,8,0),VLOOKUP(B288,'12.COT.MERCADO'!A:I,8,0)))),"Em Elaboração")</f>
        <v>23.16</v>
      </c>
      <c r="J288" s="259">
        <f t="shared" si="13"/>
        <v>0</v>
      </c>
      <c r="K288" s="259">
        <f t="shared" si="14"/>
        <v>27.12810899</v>
      </c>
      <c r="L288" s="259">
        <f t="shared" si="15"/>
        <v>27.12810899</v>
      </c>
      <c r="M288" s="259">
        <f t="shared" si="16"/>
        <v>0</v>
      </c>
      <c r="N288" s="259">
        <f t="shared" si="17"/>
        <v>54.25621798</v>
      </c>
      <c r="O288" s="259">
        <f t="shared" si="18"/>
        <v>54.25621798</v>
      </c>
      <c r="P288" s="586">
        <f t="shared" si="3"/>
        <v>0.000295766707</v>
      </c>
    </row>
    <row r="289">
      <c r="A289" s="253" t="s">
        <v>833</v>
      </c>
      <c r="B289" s="254">
        <v>3669.0</v>
      </c>
      <c r="C289" s="255" t="str">
        <f t="shared" si="12"/>
        <v>SINAPI</v>
      </c>
      <c r="D289" s="256" t="s">
        <v>286</v>
      </c>
      <c r="E289" s="257" t="str">
        <f>IFERROR(IF(D289="SINAPI-S",VLOOKUP(B289,'20-B.SINAPI-S'!A:J,2,0),IF(D289="SINAPI-I",VLOOKUP(B289,'20-A.SINAPI-I'!A:G,2,0),IF(D289="COMPOSIÇÕES",VLOOKUP(B289,'11.COMPOSIÇÕES GERAIS'!B:I,2,0),VLOOKUP(B289,'12.COT.MERCADO'!A:I,2,0)))),"Em Elaboração")</f>
        <v>JUNCAO DE REDUCAO INVERTIDA, PVC SOLDAVEL, 75 X 50 MM, SERIE NORMAL PARA ESGOTO PREDIAL</v>
      </c>
      <c r="F289" s="258" t="str">
        <f>IFERROR(IF(D289="SINAPI-S",VLOOKUP(B289,'20-B.SINAPI-S'!A:J,3,0),IF(D289="SINAPI-I",VLOOKUP(B289,'20-A.SINAPI-I'!A:G,3,0),IF(D289="COMPOSIÇÕES",VLOOKUP(B289,'11.COMPOSIÇÕES GERAIS'!B:I,3,0),VLOOKUP(B289,'12.COT.MERCADO'!A:I,7,0)))),"Em Elaboração")</f>
        <v>UN</v>
      </c>
      <c r="G289" s="254">
        <v>2.0</v>
      </c>
      <c r="H289" s="259">
        <f>IFERROR(IF(D289="SINAPI-S",VLOOKUP(B289,'20-B.SINAPI-S'!A:J,5,0),IF(D289="SINAPI-I",VLOOKUP(B289,'20-A.SINAPI-I'!A:G,6,0),IF(D289="COMPOSIÇÕES",VLOOKUP(B289,'11.COMPOSIÇÕES GERAIS'!B:I,7,0),0))),"Em Elaboração")</f>
        <v>0</v>
      </c>
      <c r="I289" s="259">
        <f>IFERROR(IF(D289="SINAPI-S",VLOOKUP(B289,'20-B.SINAPI-S'!A:J,6,0),IF(D289="SINAPI-I",VLOOKUP(B289,'20-A.SINAPI-I'!A:G,7,0),IF(D289="COMPOSIÇÕES",VLOOKUP(B289,'11.COMPOSIÇÕES GERAIS'!B:I,8,0),VLOOKUP(B289,'12.COT.MERCADO'!A:I,8,0)))),"Em Elaboração")</f>
        <v>15.55</v>
      </c>
      <c r="J289" s="259">
        <f t="shared" si="13"/>
        <v>0</v>
      </c>
      <c r="K289" s="259">
        <f t="shared" si="14"/>
        <v>18.2142528</v>
      </c>
      <c r="L289" s="259">
        <f t="shared" si="15"/>
        <v>18.2142528</v>
      </c>
      <c r="M289" s="259">
        <f t="shared" si="16"/>
        <v>0</v>
      </c>
      <c r="N289" s="259">
        <f t="shared" si="17"/>
        <v>36.4285056</v>
      </c>
      <c r="O289" s="259">
        <f t="shared" si="18"/>
        <v>36.4285056</v>
      </c>
      <c r="P289" s="586">
        <f t="shared" si="3"/>
        <v>0.0001985825688</v>
      </c>
    </row>
    <row r="290">
      <c r="A290" s="253" t="s">
        <v>834</v>
      </c>
      <c r="B290" s="254">
        <v>10911.0</v>
      </c>
      <c r="C290" s="255" t="str">
        <f t="shared" si="12"/>
        <v>SINAPI</v>
      </c>
      <c r="D290" s="256" t="s">
        <v>286</v>
      </c>
      <c r="E290" s="257" t="str">
        <f>IFERROR(IF(D290="SINAPI-S",VLOOKUP(B290,'20-B.SINAPI-S'!A:J,2,0),IF(D290="SINAPI-I",VLOOKUP(B290,'20-A.SINAPI-I'!A:G,2,0),IF(D290="COMPOSIÇÕES",VLOOKUP(B290,'11.COMPOSIÇÕES GERAIS'!B:I,2,0),VLOOKUP(B290,'12.COT.MERCADO'!A:I,2,0)))),"Em Elaboração")</f>
        <v>JUNCAO INVERTIDA, PVC SOLDAVEL, 75 X 75 MM, SERIE NORMAL PARA ESGOTO PREDIAL</v>
      </c>
      <c r="F290" s="258" t="str">
        <f>IFERROR(IF(D290="SINAPI-S",VLOOKUP(B290,'20-B.SINAPI-S'!A:J,3,0),IF(D290="SINAPI-I",VLOOKUP(B290,'20-A.SINAPI-I'!A:G,3,0),IF(D290="COMPOSIÇÕES",VLOOKUP(B290,'11.COMPOSIÇÕES GERAIS'!B:I,3,0),VLOOKUP(B290,'12.COT.MERCADO'!A:I,7,0)))),"Em Elaboração")</f>
        <v>UN</v>
      </c>
      <c r="G290" s="254">
        <v>2.0</v>
      </c>
      <c r="H290" s="259">
        <f>IFERROR(IF(D290="SINAPI-S",VLOOKUP(B290,'20-B.SINAPI-S'!A:J,5,0),IF(D290="SINAPI-I",VLOOKUP(B290,'20-A.SINAPI-I'!A:G,6,0),IF(D290="COMPOSIÇÕES",VLOOKUP(B290,'11.COMPOSIÇÕES GERAIS'!B:I,7,0),0))),"Em Elaboração")</f>
        <v>0</v>
      </c>
      <c r="I290" s="259">
        <f>IFERROR(IF(D290="SINAPI-S",VLOOKUP(B290,'20-B.SINAPI-S'!A:J,6,0),IF(D290="SINAPI-I",VLOOKUP(B290,'20-A.SINAPI-I'!A:G,7,0),IF(D290="COMPOSIÇÕES",VLOOKUP(B290,'11.COMPOSIÇÕES GERAIS'!B:I,8,0),VLOOKUP(B290,'12.COT.MERCADO'!A:I,8,0)))),"Em Elaboração")</f>
        <v>20.94</v>
      </c>
      <c r="J290" s="259">
        <f t="shared" si="13"/>
        <v>0</v>
      </c>
      <c r="K290" s="259">
        <f t="shared" si="14"/>
        <v>24.52774621</v>
      </c>
      <c r="L290" s="259">
        <f t="shared" si="15"/>
        <v>24.52774621</v>
      </c>
      <c r="M290" s="259">
        <f t="shared" si="16"/>
        <v>0</v>
      </c>
      <c r="N290" s="259">
        <f t="shared" si="17"/>
        <v>49.05549243</v>
      </c>
      <c r="O290" s="259">
        <f t="shared" si="18"/>
        <v>49.05549243</v>
      </c>
      <c r="P290" s="586">
        <f t="shared" si="3"/>
        <v>0.0002674160123</v>
      </c>
    </row>
    <row r="291">
      <c r="A291" s="253" t="s">
        <v>835</v>
      </c>
      <c r="B291" s="254">
        <v>3670.0</v>
      </c>
      <c r="C291" s="255" t="str">
        <f t="shared" si="12"/>
        <v>SINAPI</v>
      </c>
      <c r="D291" s="256" t="s">
        <v>286</v>
      </c>
      <c r="E291" s="257" t="str">
        <f>IFERROR(IF(D291="SINAPI-S",VLOOKUP(B291,'20-B.SINAPI-S'!A:J,2,0),IF(D291="SINAPI-I",VLOOKUP(B291,'20-A.SINAPI-I'!A:G,2,0),IF(D291="COMPOSIÇÕES",VLOOKUP(B291,'11.COMPOSIÇÕES GERAIS'!B:I,2,0),VLOOKUP(B291,'12.COT.MERCADO'!A:I,2,0)))),"Em Elaboração")</f>
        <v>JUNCAO SIMPLES, PVC, 45 GRAUS, DN 100 X 100 MM, SERIE NORMAL PARA ESGOTO PREDIAL</v>
      </c>
      <c r="F291" s="258" t="str">
        <f>IFERROR(IF(D291="SINAPI-S",VLOOKUP(B291,'20-B.SINAPI-S'!A:J,3,0),IF(D291="SINAPI-I",VLOOKUP(B291,'20-A.SINAPI-I'!A:G,3,0),IF(D291="COMPOSIÇÕES",VLOOKUP(B291,'11.COMPOSIÇÕES GERAIS'!B:I,3,0),VLOOKUP(B291,'12.COT.MERCADO'!A:I,7,0)))),"Em Elaboração")</f>
        <v>UN</v>
      </c>
      <c r="G291" s="254">
        <v>2.0</v>
      </c>
      <c r="H291" s="259">
        <f>IFERROR(IF(D291="SINAPI-S",VLOOKUP(B291,'20-B.SINAPI-S'!A:J,5,0),IF(D291="SINAPI-I",VLOOKUP(B291,'20-A.SINAPI-I'!A:G,6,0),IF(D291="COMPOSIÇÕES",VLOOKUP(B291,'11.COMPOSIÇÕES GERAIS'!B:I,7,0),0))),"Em Elaboração")</f>
        <v>0</v>
      </c>
      <c r="I291" s="259">
        <f>IFERROR(IF(D291="SINAPI-S",VLOOKUP(B291,'20-B.SINAPI-S'!A:J,6,0),IF(D291="SINAPI-I",VLOOKUP(B291,'20-A.SINAPI-I'!A:G,7,0),IF(D291="COMPOSIÇÕES",VLOOKUP(B291,'11.COMPOSIÇÕES GERAIS'!B:I,8,0),VLOOKUP(B291,'12.COT.MERCADO'!A:I,8,0)))),"Em Elaboração")</f>
        <v>27.4</v>
      </c>
      <c r="J291" s="259">
        <f t="shared" si="13"/>
        <v>0</v>
      </c>
      <c r="K291" s="259">
        <f t="shared" si="14"/>
        <v>32.09456763</v>
      </c>
      <c r="L291" s="259">
        <f t="shared" si="15"/>
        <v>32.09456763</v>
      </c>
      <c r="M291" s="259">
        <f t="shared" si="16"/>
        <v>0</v>
      </c>
      <c r="N291" s="259">
        <f t="shared" si="17"/>
        <v>64.18913527</v>
      </c>
      <c r="O291" s="259">
        <f t="shared" si="18"/>
        <v>64.18913527</v>
      </c>
      <c r="P291" s="586">
        <f t="shared" si="3"/>
        <v>0.0003499139798</v>
      </c>
    </row>
    <row r="292">
      <c r="A292" s="253" t="s">
        <v>836</v>
      </c>
      <c r="B292" s="254">
        <v>3659.0</v>
      </c>
      <c r="C292" s="255" t="str">
        <f t="shared" si="12"/>
        <v>SINAPI</v>
      </c>
      <c r="D292" s="256" t="s">
        <v>286</v>
      </c>
      <c r="E292" s="257" t="str">
        <f>IFERROR(IF(D292="SINAPI-S",VLOOKUP(B292,'20-B.SINAPI-S'!A:J,2,0),IF(D292="SINAPI-I",VLOOKUP(B292,'20-A.SINAPI-I'!A:G,2,0),IF(D292="COMPOSIÇÕES",VLOOKUP(B292,'11.COMPOSIÇÕES GERAIS'!B:I,2,0),VLOOKUP(B292,'12.COT.MERCADO'!A:I,2,0)))),"Em Elaboração")</f>
        <v>JUNCAO SIMPLES DE REDUCAO, PVC, DN 100 X 50 MM, SERIE NORMAL PARA ESGOTO PREDIAL</v>
      </c>
      <c r="F292" s="258" t="str">
        <f>IFERROR(IF(D292="SINAPI-S",VLOOKUP(B292,'20-B.SINAPI-S'!A:J,3,0),IF(D292="SINAPI-I",VLOOKUP(B292,'20-A.SINAPI-I'!A:G,3,0),IF(D292="COMPOSIÇÕES",VLOOKUP(B292,'11.COMPOSIÇÕES GERAIS'!B:I,3,0),VLOOKUP(B292,'12.COT.MERCADO'!A:I,7,0)))),"Em Elaboração")</f>
        <v>UN</v>
      </c>
      <c r="G292" s="254">
        <v>2.0</v>
      </c>
      <c r="H292" s="259">
        <f>IFERROR(IF(D292="SINAPI-S",VLOOKUP(B292,'20-B.SINAPI-S'!A:J,5,0),IF(D292="SINAPI-I",VLOOKUP(B292,'20-A.SINAPI-I'!A:G,6,0),IF(D292="COMPOSIÇÕES",VLOOKUP(B292,'11.COMPOSIÇÕES GERAIS'!B:I,7,0),0))),"Em Elaboração")</f>
        <v>0</v>
      </c>
      <c r="I292" s="259">
        <f>IFERROR(IF(D292="SINAPI-S",VLOOKUP(B292,'20-B.SINAPI-S'!A:J,6,0),IF(D292="SINAPI-I",VLOOKUP(B292,'20-A.SINAPI-I'!A:G,7,0),IF(D292="COMPOSIÇÕES",VLOOKUP(B292,'11.COMPOSIÇÕES GERAIS'!B:I,8,0),VLOOKUP(B292,'12.COT.MERCADO'!A:I,8,0)))),"Em Elaboração")</f>
        <v>21.34</v>
      </c>
      <c r="J292" s="259">
        <f t="shared" si="13"/>
        <v>0</v>
      </c>
      <c r="K292" s="259">
        <f t="shared" si="14"/>
        <v>24.99628005</v>
      </c>
      <c r="L292" s="259">
        <f t="shared" si="15"/>
        <v>24.99628005</v>
      </c>
      <c r="M292" s="259">
        <f t="shared" si="16"/>
        <v>0</v>
      </c>
      <c r="N292" s="259">
        <f t="shared" si="17"/>
        <v>49.99256009</v>
      </c>
      <c r="O292" s="259">
        <f t="shared" si="18"/>
        <v>49.99256009</v>
      </c>
      <c r="P292" s="586">
        <f t="shared" si="3"/>
        <v>0.0002725242456</v>
      </c>
    </row>
    <row r="293">
      <c r="A293" s="253" t="s">
        <v>837</v>
      </c>
      <c r="B293" s="254">
        <v>3660.0</v>
      </c>
      <c r="C293" s="255" t="str">
        <f t="shared" si="12"/>
        <v>SINAPI</v>
      </c>
      <c r="D293" s="256" t="s">
        <v>286</v>
      </c>
      <c r="E293" s="257" t="str">
        <f>IFERROR(IF(D293="SINAPI-S",VLOOKUP(B293,'20-B.SINAPI-S'!A:J,2,0),IF(D293="SINAPI-I",VLOOKUP(B293,'20-A.SINAPI-I'!A:G,2,0),IF(D293="COMPOSIÇÕES",VLOOKUP(B293,'11.COMPOSIÇÕES GERAIS'!B:I,2,0),VLOOKUP(B293,'12.COT.MERCADO'!A:I,2,0)))),"Em Elaboração")</f>
        <v>JUNCAO SIMPLES DE REDUCAO, PVC, DN 100 X 75 MM, SERIE NORMAL PARA ESGOTO PREDIAL</v>
      </c>
      <c r="F293" s="258" t="str">
        <f>IFERROR(IF(D293="SINAPI-S",VLOOKUP(B293,'20-B.SINAPI-S'!A:J,3,0),IF(D293="SINAPI-I",VLOOKUP(B293,'20-A.SINAPI-I'!A:G,3,0),IF(D293="COMPOSIÇÕES",VLOOKUP(B293,'11.COMPOSIÇÕES GERAIS'!B:I,3,0),VLOOKUP(B293,'12.COT.MERCADO'!A:I,7,0)))),"Em Elaboração")</f>
        <v>UN</v>
      </c>
      <c r="G293" s="254">
        <v>2.0</v>
      </c>
      <c r="H293" s="259">
        <f>IFERROR(IF(D293="SINAPI-S",VLOOKUP(B293,'20-B.SINAPI-S'!A:J,5,0),IF(D293="SINAPI-I",VLOOKUP(B293,'20-A.SINAPI-I'!A:G,6,0),IF(D293="COMPOSIÇÕES",VLOOKUP(B293,'11.COMPOSIÇÕES GERAIS'!B:I,7,0),0))),"Em Elaboração")</f>
        <v>0</v>
      </c>
      <c r="I293" s="259">
        <f>IFERROR(IF(D293="SINAPI-S",VLOOKUP(B293,'20-B.SINAPI-S'!A:J,6,0),IF(D293="SINAPI-I",VLOOKUP(B293,'20-A.SINAPI-I'!A:G,7,0),IF(D293="COMPOSIÇÕES",VLOOKUP(B293,'11.COMPOSIÇÕES GERAIS'!B:I,8,0),VLOOKUP(B293,'12.COT.MERCADO'!A:I,8,0)))),"Em Elaboração")</f>
        <v>27.59</v>
      </c>
      <c r="J293" s="259">
        <f t="shared" si="13"/>
        <v>0</v>
      </c>
      <c r="K293" s="259">
        <f t="shared" si="14"/>
        <v>32.3171212</v>
      </c>
      <c r="L293" s="259">
        <f t="shared" si="15"/>
        <v>32.3171212</v>
      </c>
      <c r="M293" s="259">
        <f t="shared" si="16"/>
        <v>0</v>
      </c>
      <c r="N293" s="259">
        <f t="shared" si="17"/>
        <v>64.63424241</v>
      </c>
      <c r="O293" s="259">
        <f t="shared" si="18"/>
        <v>64.63424241</v>
      </c>
      <c r="P293" s="586">
        <f t="shared" si="3"/>
        <v>0.0003523403906</v>
      </c>
    </row>
    <row r="294">
      <c r="A294" s="253" t="s">
        <v>838</v>
      </c>
      <c r="B294" s="254">
        <v>3662.0</v>
      </c>
      <c r="C294" s="255" t="str">
        <f t="shared" si="12"/>
        <v>SINAPI</v>
      </c>
      <c r="D294" s="256" t="s">
        <v>286</v>
      </c>
      <c r="E294" s="257" t="str">
        <f>IFERROR(IF(D294="SINAPI-S",VLOOKUP(B294,'20-B.SINAPI-S'!A:J,2,0),IF(D294="SINAPI-I",VLOOKUP(B294,'20-A.SINAPI-I'!A:G,2,0),IF(D294="COMPOSIÇÕES",VLOOKUP(B294,'11.COMPOSIÇÕES GERAIS'!B:I,2,0),VLOOKUP(B294,'12.COT.MERCADO'!A:I,2,0)))),"Em Elaboração")</f>
        <v>JUNCAO SIMPLES, PVC, 45 GRAUS, DN 50 X 50 MM, SERIE NORMAL PARA ESGOTO PREDIAL</v>
      </c>
      <c r="F294" s="258" t="str">
        <f>IFERROR(IF(D294="SINAPI-S",VLOOKUP(B294,'20-B.SINAPI-S'!A:J,3,0),IF(D294="SINAPI-I",VLOOKUP(B294,'20-A.SINAPI-I'!A:G,3,0),IF(D294="COMPOSIÇÕES",VLOOKUP(B294,'11.COMPOSIÇÕES GERAIS'!B:I,3,0),VLOOKUP(B294,'12.COT.MERCADO'!A:I,7,0)))),"Em Elaboração")</f>
        <v>UN</v>
      </c>
      <c r="G294" s="254">
        <v>2.0</v>
      </c>
      <c r="H294" s="259">
        <f>IFERROR(IF(D294="SINAPI-S",VLOOKUP(B294,'20-B.SINAPI-S'!A:J,5,0),IF(D294="SINAPI-I",VLOOKUP(B294,'20-A.SINAPI-I'!A:G,6,0),IF(D294="COMPOSIÇÕES",VLOOKUP(B294,'11.COMPOSIÇÕES GERAIS'!B:I,7,0),0))),"Em Elaboração")</f>
        <v>0</v>
      </c>
      <c r="I294" s="259">
        <f>IFERROR(IF(D294="SINAPI-S",VLOOKUP(B294,'20-B.SINAPI-S'!A:J,6,0),IF(D294="SINAPI-I",VLOOKUP(B294,'20-A.SINAPI-I'!A:G,7,0),IF(D294="COMPOSIÇÕES",VLOOKUP(B294,'11.COMPOSIÇÕES GERAIS'!B:I,8,0),VLOOKUP(B294,'12.COT.MERCADO'!A:I,8,0)))),"Em Elaboração")</f>
        <v>11.24</v>
      </c>
      <c r="J294" s="259">
        <f t="shared" si="13"/>
        <v>0</v>
      </c>
      <c r="K294" s="259">
        <f t="shared" si="14"/>
        <v>13.16580074</v>
      </c>
      <c r="L294" s="259">
        <f t="shared" si="15"/>
        <v>13.16580074</v>
      </c>
      <c r="M294" s="259">
        <f t="shared" si="16"/>
        <v>0</v>
      </c>
      <c r="N294" s="259">
        <f t="shared" si="17"/>
        <v>26.33160147</v>
      </c>
      <c r="O294" s="259">
        <f t="shared" si="18"/>
        <v>26.33160147</v>
      </c>
      <c r="P294" s="586">
        <f t="shared" si="3"/>
        <v>0.0001435413552</v>
      </c>
    </row>
    <row r="295">
      <c r="A295" s="253" t="s">
        <v>839</v>
      </c>
      <c r="B295" s="254">
        <v>3658.0</v>
      </c>
      <c r="C295" s="255" t="str">
        <f t="shared" si="12"/>
        <v>SINAPI</v>
      </c>
      <c r="D295" s="256" t="s">
        <v>286</v>
      </c>
      <c r="E295" s="257" t="str">
        <f>IFERROR(IF(D295="SINAPI-S",VLOOKUP(B295,'20-B.SINAPI-S'!A:J,2,0),IF(D295="SINAPI-I",VLOOKUP(B295,'20-A.SINAPI-I'!A:G,2,0),IF(D295="COMPOSIÇÕES",VLOOKUP(B295,'11.COMPOSIÇÕES GERAIS'!B:I,2,0),VLOOKUP(B295,'12.COT.MERCADO'!A:I,2,0)))),"Em Elaboração")</f>
        <v>JUNCAO SIMPLES, PVC, 45 GRAUS, DN 75 X 75 MM, SERIE NORMAL PARA ESGOTO PREDIAL</v>
      </c>
      <c r="F295" s="258" t="str">
        <f>IFERROR(IF(D295="SINAPI-S",VLOOKUP(B295,'20-B.SINAPI-S'!A:J,3,0),IF(D295="SINAPI-I",VLOOKUP(B295,'20-A.SINAPI-I'!A:G,3,0),IF(D295="COMPOSIÇÕES",VLOOKUP(B295,'11.COMPOSIÇÕES GERAIS'!B:I,3,0),VLOOKUP(B295,'12.COT.MERCADO'!A:I,7,0)))),"Em Elaboração")</f>
        <v>UN</v>
      </c>
      <c r="G295" s="254">
        <v>2.0</v>
      </c>
      <c r="H295" s="259">
        <f>IFERROR(IF(D295="SINAPI-S",VLOOKUP(B295,'20-B.SINAPI-S'!A:J,5,0),IF(D295="SINAPI-I",VLOOKUP(B295,'20-A.SINAPI-I'!A:G,6,0),IF(D295="COMPOSIÇÕES",VLOOKUP(B295,'11.COMPOSIÇÕES GERAIS'!B:I,7,0),0))),"Em Elaboração")</f>
        <v>0</v>
      </c>
      <c r="I295" s="259">
        <f>IFERROR(IF(D295="SINAPI-S",VLOOKUP(B295,'20-B.SINAPI-S'!A:J,6,0),IF(D295="SINAPI-I",VLOOKUP(B295,'20-A.SINAPI-I'!A:G,7,0),IF(D295="COMPOSIÇÕES",VLOOKUP(B295,'11.COMPOSIÇÕES GERAIS'!B:I,8,0),VLOOKUP(B295,'12.COT.MERCADO'!A:I,8,0)))),"Em Elaboração")</f>
        <v>21.3</v>
      </c>
      <c r="J295" s="259">
        <f t="shared" si="13"/>
        <v>0</v>
      </c>
      <c r="K295" s="259">
        <f t="shared" si="14"/>
        <v>24.94942666</v>
      </c>
      <c r="L295" s="259">
        <f t="shared" si="15"/>
        <v>24.94942666</v>
      </c>
      <c r="M295" s="259">
        <f t="shared" si="16"/>
        <v>0</v>
      </c>
      <c r="N295" s="259">
        <f t="shared" si="17"/>
        <v>49.89885333</v>
      </c>
      <c r="O295" s="259">
        <f t="shared" si="18"/>
        <v>49.89885333</v>
      </c>
      <c r="P295" s="586">
        <f t="shared" si="3"/>
        <v>0.0002720134223</v>
      </c>
    </row>
    <row r="296">
      <c r="A296" s="253" t="s">
        <v>840</v>
      </c>
      <c r="B296" s="254">
        <v>3768.0</v>
      </c>
      <c r="C296" s="255" t="str">
        <f t="shared" si="12"/>
        <v>SINAPI</v>
      </c>
      <c r="D296" s="256" t="s">
        <v>286</v>
      </c>
      <c r="E296" s="257" t="str">
        <f>IFERROR(IF(D296="SINAPI-S",VLOOKUP(B296,'20-B.SINAPI-S'!A:J,2,0),IF(D296="SINAPI-I",VLOOKUP(B296,'20-A.SINAPI-I'!A:G,2,0),IF(D296="COMPOSIÇÕES",VLOOKUP(B296,'11.COMPOSIÇÕES GERAIS'!B:I,2,0),VLOOKUP(B296,'12.COT.MERCADO'!A:I,2,0)))),"Em Elaboração")</f>
        <v>LIXA EM FOLHA PARA FERRO, NUMERO 150</v>
      </c>
      <c r="F296" s="258" t="str">
        <f>IFERROR(IF(D296="SINAPI-S",VLOOKUP(B296,'20-B.SINAPI-S'!A:J,3,0),IF(D296="SINAPI-I",VLOOKUP(B296,'20-A.SINAPI-I'!A:G,3,0),IF(D296="COMPOSIÇÕES",VLOOKUP(B296,'11.COMPOSIÇÕES GERAIS'!B:I,3,0),VLOOKUP(B296,'12.COT.MERCADO'!A:I,7,0)))),"Em Elaboração")</f>
        <v>UN</v>
      </c>
      <c r="G296" s="254">
        <v>15.0</v>
      </c>
      <c r="H296" s="259">
        <f>IFERROR(IF(D296="SINAPI-S",VLOOKUP(B296,'20-B.SINAPI-S'!A:J,5,0),IF(D296="SINAPI-I",VLOOKUP(B296,'20-A.SINAPI-I'!A:G,6,0),IF(D296="COMPOSIÇÕES",VLOOKUP(B296,'11.COMPOSIÇÕES GERAIS'!B:I,7,0),0))),"Em Elaboração")</f>
        <v>0</v>
      </c>
      <c r="I296" s="259">
        <f>IFERROR(IF(D296="SINAPI-S",VLOOKUP(B296,'20-B.SINAPI-S'!A:J,6,0),IF(D296="SINAPI-I",VLOOKUP(B296,'20-A.SINAPI-I'!A:G,7,0),IF(D296="COMPOSIÇÕES",VLOOKUP(B296,'11.COMPOSIÇÕES GERAIS'!B:I,8,0),VLOOKUP(B296,'12.COT.MERCADO'!A:I,8,0)))),"Em Elaboração")</f>
        <v>4.96</v>
      </c>
      <c r="J296" s="259">
        <f t="shared" si="13"/>
        <v>0</v>
      </c>
      <c r="K296" s="259">
        <f t="shared" si="14"/>
        <v>5.809819542</v>
      </c>
      <c r="L296" s="259">
        <f t="shared" si="15"/>
        <v>5.809819542</v>
      </c>
      <c r="M296" s="259">
        <f t="shared" si="16"/>
        <v>0</v>
      </c>
      <c r="N296" s="259">
        <f t="shared" si="17"/>
        <v>87.14729313</v>
      </c>
      <c r="O296" s="259">
        <f t="shared" si="18"/>
        <v>87.14729313</v>
      </c>
      <c r="P296" s="586">
        <f t="shared" si="3"/>
        <v>0.0004750656952</v>
      </c>
    </row>
    <row r="297">
      <c r="A297" s="253" t="s">
        <v>841</v>
      </c>
      <c r="B297" s="254">
        <v>38383.0</v>
      </c>
      <c r="C297" s="255" t="str">
        <f t="shared" si="12"/>
        <v>SINAPI</v>
      </c>
      <c r="D297" s="256" t="s">
        <v>286</v>
      </c>
      <c r="E297" s="257" t="str">
        <f>IFERROR(IF(D297="SINAPI-S",VLOOKUP(B297,'20-B.SINAPI-S'!A:J,2,0),IF(D297="SINAPI-I",VLOOKUP(B297,'20-A.SINAPI-I'!A:G,2,0),IF(D297="COMPOSIÇÕES",VLOOKUP(B297,'11.COMPOSIÇÕES GERAIS'!B:I,2,0),VLOOKUP(B297,'12.COT.MERCADO'!A:I,2,0)))),"Em Elaboração")</f>
        <v>LIXA D'AGUA EM FOLHA, GRAO 100</v>
      </c>
      <c r="F297" s="258" t="str">
        <f>IFERROR(IF(D297="SINAPI-S",VLOOKUP(B297,'20-B.SINAPI-S'!A:J,3,0),IF(D297="SINAPI-I",VLOOKUP(B297,'20-A.SINAPI-I'!A:G,3,0),IF(D297="COMPOSIÇÕES",VLOOKUP(B297,'11.COMPOSIÇÕES GERAIS'!B:I,3,0),VLOOKUP(B297,'12.COT.MERCADO'!A:I,7,0)))),"Em Elaboração")</f>
        <v>UN</v>
      </c>
      <c r="G297" s="254">
        <v>17.0</v>
      </c>
      <c r="H297" s="259">
        <f>IFERROR(IF(D297="SINAPI-S",VLOOKUP(B297,'20-B.SINAPI-S'!A:J,5,0),IF(D297="SINAPI-I",VLOOKUP(B297,'20-A.SINAPI-I'!A:G,6,0),IF(D297="COMPOSIÇÕES",VLOOKUP(B297,'11.COMPOSIÇÕES GERAIS'!B:I,7,0),0))),"Em Elaboração")</f>
        <v>0</v>
      </c>
      <c r="I297" s="259">
        <f>IFERROR(IF(D297="SINAPI-S",VLOOKUP(B297,'20-B.SINAPI-S'!A:J,6,0),IF(D297="SINAPI-I",VLOOKUP(B297,'20-A.SINAPI-I'!A:G,7,0),IF(D297="COMPOSIÇÕES",VLOOKUP(B297,'11.COMPOSIÇÕES GERAIS'!B:I,8,0),VLOOKUP(B297,'12.COT.MERCADO'!A:I,8,0)))),"Em Elaboração")</f>
        <v>2.13</v>
      </c>
      <c r="J297" s="259">
        <f t="shared" si="13"/>
        <v>0</v>
      </c>
      <c r="K297" s="259">
        <f t="shared" si="14"/>
        <v>2.494942666</v>
      </c>
      <c r="L297" s="259">
        <f t="shared" si="15"/>
        <v>2.494942666</v>
      </c>
      <c r="M297" s="259">
        <f t="shared" si="16"/>
        <v>0</v>
      </c>
      <c r="N297" s="259">
        <f t="shared" si="17"/>
        <v>42.41402533</v>
      </c>
      <c r="O297" s="259">
        <f t="shared" si="18"/>
        <v>42.41402533</v>
      </c>
      <c r="P297" s="586">
        <f t="shared" si="3"/>
        <v>0.0002312114089</v>
      </c>
    </row>
    <row r="298">
      <c r="A298" s="253" t="s">
        <v>842</v>
      </c>
      <c r="B298" s="254">
        <v>3893.0</v>
      </c>
      <c r="C298" s="255" t="str">
        <f t="shared" si="12"/>
        <v>SINAPI</v>
      </c>
      <c r="D298" s="256" t="s">
        <v>286</v>
      </c>
      <c r="E298" s="257" t="str">
        <f>IFERROR(IF(D298="SINAPI-S",VLOOKUP(B298,'20-B.SINAPI-S'!A:J,2,0),IF(D298="SINAPI-I",VLOOKUP(B298,'20-A.SINAPI-I'!A:G,2,0),IF(D298="COMPOSIÇÕES",VLOOKUP(B298,'11.COMPOSIÇÕES GERAIS'!B:I,2,0),VLOOKUP(B298,'12.COT.MERCADO'!A:I,2,0)))),"Em Elaboração")</f>
        <v>LUVA DE CORRER, PVC, DN 100 MM, PARA ESGOTO PREDIAL</v>
      </c>
      <c r="F298" s="258" t="str">
        <f>IFERROR(IF(D298="SINAPI-S",VLOOKUP(B298,'20-B.SINAPI-S'!A:J,3,0),IF(D298="SINAPI-I",VLOOKUP(B298,'20-A.SINAPI-I'!A:G,3,0),IF(D298="COMPOSIÇÕES",VLOOKUP(B298,'11.COMPOSIÇÕES GERAIS'!B:I,3,0),VLOOKUP(B298,'12.COT.MERCADO'!A:I,7,0)))),"Em Elaboração")</f>
        <v>UN</v>
      </c>
      <c r="G298" s="254">
        <v>2.0</v>
      </c>
      <c r="H298" s="259">
        <f>IFERROR(IF(D298="SINAPI-S",VLOOKUP(B298,'20-B.SINAPI-S'!A:J,5,0),IF(D298="SINAPI-I",VLOOKUP(B298,'20-A.SINAPI-I'!A:G,6,0),IF(D298="COMPOSIÇÕES",VLOOKUP(B298,'11.COMPOSIÇÕES GERAIS'!B:I,7,0),0))),"Em Elaboração")</f>
        <v>0</v>
      </c>
      <c r="I298" s="259">
        <f>IFERROR(IF(D298="SINAPI-S",VLOOKUP(B298,'20-B.SINAPI-S'!A:J,6,0),IF(D298="SINAPI-I",VLOOKUP(B298,'20-A.SINAPI-I'!A:G,7,0),IF(D298="COMPOSIÇÕES",VLOOKUP(B298,'11.COMPOSIÇÕES GERAIS'!B:I,8,0),VLOOKUP(B298,'12.COT.MERCADO'!A:I,8,0)))),"Em Elaboração")</f>
        <v>21.05</v>
      </c>
      <c r="J298" s="259">
        <f t="shared" si="13"/>
        <v>0</v>
      </c>
      <c r="K298" s="259">
        <f t="shared" si="14"/>
        <v>24.65659302</v>
      </c>
      <c r="L298" s="259">
        <f t="shared" si="15"/>
        <v>24.65659302</v>
      </c>
      <c r="M298" s="259">
        <f t="shared" si="16"/>
        <v>0</v>
      </c>
      <c r="N298" s="259">
        <f t="shared" si="17"/>
        <v>49.31318603</v>
      </c>
      <c r="O298" s="259">
        <f t="shared" si="18"/>
        <v>49.31318603</v>
      </c>
      <c r="P298" s="586">
        <f t="shared" si="3"/>
        <v>0.0002688207765</v>
      </c>
    </row>
    <row r="299">
      <c r="A299" s="253" t="s">
        <v>843</v>
      </c>
      <c r="B299" s="254">
        <v>3895.0</v>
      </c>
      <c r="C299" s="255" t="str">
        <f t="shared" si="12"/>
        <v>SINAPI</v>
      </c>
      <c r="D299" s="256" t="s">
        <v>286</v>
      </c>
      <c r="E299" s="257" t="str">
        <f>IFERROR(IF(D299="SINAPI-S",VLOOKUP(B299,'20-B.SINAPI-S'!A:J,2,0),IF(D299="SINAPI-I",VLOOKUP(B299,'20-A.SINAPI-I'!A:G,2,0),IF(D299="COMPOSIÇÕES",VLOOKUP(B299,'11.COMPOSIÇÕES GERAIS'!B:I,2,0),VLOOKUP(B299,'12.COT.MERCADO'!A:I,2,0)))),"Em Elaboração")</f>
        <v>LUVA DE CORRER, PVC, DN 75 MM, PARA ESGOTO PREDIAL</v>
      </c>
      <c r="F299" s="258" t="str">
        <f>IFERROR(IF(D299="SINAPI-S",VLOOKUP(B299,'20-B.SINAPI-S'!A:J,3,0),IF(D299="SINAPI-I",VLOOKUP(B299,'20-A.SINAPI-I'!A:G,3,0),IF(D299="COMPOSIÇÕES",VLOOKUP(B299,'11.COMPOSIÇÕES GERAIS'!B:I,3,0),VLOOKUP(B299,'12.COT.MERCADO'!A:I,7,0)))),"Em Elaboração")</f>
        <v>UN</v>
      </c>
      <c r="G299" s="254">
        <v>2.0</v>
      </c>
      <c r="H299" s="259">
        <f>IFERROR(IF(D299="SINAPI-S",VLOOKUP(B299,'20-B.SINAPI-S'!A:J,5,0),IF(D299="SINAPI-I",VLOOKUP(B299,'20-A.SINAPI-I'!A:G,6,0),IF(D299="COMPOSIÇÕES",VLOOKUP(B299,'11.COMPOSIÇÕES GERAIS'!B:I,7,0),0))),"Em Elaboração")</f>
        <v>0</v>
      </c>
      <c r="I299" s="259">
        <f>IFERROR(IF(D299="SINAPI-S",VLOOKUP(B299,'20-B.SINAPI-S'!A:J,6,0),IF(D299="SINAPI-I",VLOOKUP(B299,'20-A.SINAPI-I'!A:G,7,0),IF(D299="COMPOSIÇÕES",VLOOKUP(B299,'11.COMPOSIÇÕES GERAIS'!B:I,8,0),VLOOKUP(B299,'12.COT.MERCADO'!A:I,8,0)))),"Em Elaboração")</f>
        <v>14.25</v>
      </c>
      <c r="J299" s="259">
        <f t="shared" si="13"/>
        <v>0</v>
      </c>
      <c r="K299" s="259">
        <f t="shared" si="14"/>
        <v>16.69151784</v>
      </c>
      <c r="L299" s="259">
        <f t="shared" si="15"/>
        <v>16.69151784</v>
      </c>
      <c r="M299" s="259">
        <f t="shared" si="16"/>
        <v>0</v>
      </c>
      <c r="N299" s="259">
        <f t="shared" si="17"/>
        <v>33.38303568</v>
      </c>
      <c r="O299" s="259">
        <f t="shared" si="18"/>
        <v>33.38303568</v>
      </c>
      <c r="P299" s="586">
        <f t="shared" si="3"/>
        <v>0.0001819808107</v>
      </c>
    </row>
    <row r="300">
      <c r="A300" s="253" t="s">
        <v>844</v>
      </c>
      <c r="B300" s="254">
        <v>3848.0</v>
      </c>
      <c r="C300" s="255" t="str">
        <f t="shared" si="12"/>
        <v>SINAPI</v>
      </c>
      <c r="D300" s="256" t="s">
        <v>286</v>
      </c>
      <c r="E300" s="257" t="str">
        <f>IFERROR(IF(D300="SINAPI-S",VLOOKUP(B300,'20-B.SINAPI-S'!A:J,2,0),IF(D300="SINAPI-I",VLOOKUP(B300,'20-A.SINAPI-I'!A:G,2,0),IF(D300="COMPOSIÇÕES",VLOOKUP(B300,'11.COMPOSIÇÕES GERAIS'!B:I,2,0),VLOOKUP(B300,'12.COT.MERCADO'!A:I,2,0)))),"Em Elaboração")</f>
        <v>LUVA DE CORRER, PVC, DN 50 MM, PARA ESGOTO PREDIAL</v>
      </c>
      <c r="F300" s="258" t="str">
        <f>IFERROR(IF(D300="SINAPI-S",VLOOKUP(B300,'20-B.SINAPI-S'!A:J,3,0),IF(D300="SINAPI-I",VLOOKUP(B300,'20-A.SINAPI-I'!A:G,3,0),IF(D300="COMPOSIÇÕES",VLOOKUP(B300,'11.COMPOSIÇÕES GERAIS'!B:I,3,0),VLOOKUP(B300,'12.COT.MERCADO'!A:I,7,0)))),"Em Elaboração")</f>
        <v>UN</v>
      </c>
      <c r="G300" s="254">
        <v>2.0</v>
      </c>
      <c r="H300" s="259">
        <f>IFERROR(IF(D300="SINAPI-S",VLOOKUP(B300,'20-B.SINAPI-S'!A:J,5,0),IF(D300="SINAPI-I",VLOOKUP(B300,'20-A.SINAPI-I'!A:G,6,0),IF(D300="COMPOSIÇÕES",VLOOKUP(B300,'11.COMPOSIÇÕES GERAIS'!B:I,7,0),0))),"Em Elaboração")</f>
        <v>0</v>
      </c>
      <c r="I300" s="259">
        <f>IFERROR(IF(D300="SINAPI-S",VLOOKUP(B300,'20-B.SINAPI-S'!A:J,6,0),IF(D300="SINAPI-I",VLOOKUP(B300,'20-A.SINAPI-I'!A:G,7,0),IF(D300="COMPOSIÇÕES",VLOOKUP(B300,'11.COMPOSIÇÕES GERAIS'!B:I,8,0),VLOOKUP(B300,'12.COT.MERCADO'!A:I,8,0)))),"Em Elaboração")</f>
        <v>12.83</v>
      </c>
      <c r="J300" s="259">
        <f t="shared" si="13"/>
        <v>0</v>
      </c>
      <c r="K300" s="259">
        <f t="shared" si="14"/>
        <v>15.02822273</v>
      </c>
      <c r="L300" s="259">
        <f t="shared" si="15"/>
        <v>15.02822273</v>
      </c>
      <c r="M300" s="259">
        <f t="shared" si="16"/>
        <v>0</v>
      </c>
      <c r="N300" s="259">
        <f t="shared" si="17"/>
        <v>30.05644545</v>
      </c>
      <c r="O300" s="259">
        <f t="shared" si="18"/>
        <v>30.05644545</v>
      </c>
      <c r="P300" s="586">
        <f t="shared" si="3"/>
        <v>0.0001638465825</v>
      </c>
    </row>
    <row r="301">
      <c r="A301" s="253" t="s">
        <v>845</v>
      </c>
      <c r="B301" s="254">
        <v>3869.0</v>
      </c>
      <c r="C301" s="255" t="str">
        <f t="shared" si="12"/>
        <v>SINAPI</v>
      </c>
      <c r="D301" s="256" t="s">
        <v>286</v>
      </c>
      <c r="E301" s="257" t="str">
        <f>IFERROR(IF(D301="SINAPI-S",VLOOKUP(B301,'20-B.SINAPI-S'!A:J,2,0),IF(D301="SINAPI-I",VLOOKUP(B301,'20-A.SINAPI-I'!A:G,2,0),IF(D301="COMPOSIÇÕES",VLOOKUP(B301,'11.COMPOSIÇÕES GERAIS'!B:I,2,0),VLOOKUP(B301,'12.COT.MERCADO'!A:I,2,0)))),"Em Elaboração")</f>
        <v>LUVA DE REDUCAO SOLDAVEL, PVC, 32 MM X 25 MM, PARA AGUA FRIA PREDIAL</v>
      </c>
      <c r="F301" s="258" t="str">
        <f>IFERROR(IF(D301="SINAPI-S",VLOOKUP(B301,'20-B.SINAPI-S'!A:J,3,0),IF(D301="SINAPI-I",VLOOKUP(B301,'20-A.SINAPI-I'!A:G,3,0),IF(D301="COMPOSIÇÕES",VLOOKUP(B301,'11.COMPOSIÇÕES GERAIS'!B:I,3,0),VLOOKUP(B301,'12.COT.MERCADO'!A:I,7,0)))),"Em Elaboração")</f>
        <v>UN</v>
      </c>
      <c r="G301" s="254">
        <v>2.0</v>
      </c>
      <c r="H301" s="259">
        <f>IFERROR(IF(D301="SINAPI-S",VLOOKUP(B301,'20-B.SINAPI-S'!A:J,5,0),IF(D301="SINAPI-I",VLOOKUP(B301,'20-A.SINAPI-I'!A:G,6,0),IF(D301="COMPOSIÇÕES",VLOOKUP(B301,'11.COMPOSIÇÕES GERAIS'!B:I,7,0),0))),"Em Elaboração")</f>
        <v>0</v>
      </c>
      <c r="I301" s="259">
        <f>IFERROR(IF(D301="SINAPI-S",VLOOKUP(B301,'20-B.SINAPI-S'!A:J,6,0),IF(D301="SINAPI-I",VLOOKUP(B301,'20-A.SINAPI-I'!A:G,7,0),IF(D301="COMPOSIÇÕES",VLOOKUP(B301,'11.COMPOSIÇÕES GERAIS'!B:I,8,0),VLOOKUP(B301,'12.COT.MERCADO'!A:I,8,0)))),"Em Elaboração")</f>
        <v>3.25</v>
      </c>
      <c r="J301" s="259">
        <f t="shared" si="13"/>
        <v>0</v>
      </c>
      <c r="K301" s="259">
        <f t="shared" si="14"/>
        <v>3.806837402</v>
      </c>
      <c r="L301" s="259">
        <f t="shared" si="15"/>
        <v>3.806837402</v>
      </c>
      <c r="M301" s="259">
        <f t="shared" si="16"/>
        <v>0</v>
      </c>
      <c r="N301" s="259">
        <f t="shared" si="17"/>
        <v>7.613674803</v>
      </c>
      <c r="O301" s="259">
        <f t="shared" si="18"/>
        <v>7.613674803</v>
      </c>
      <c r="P301" s="586">
        <f t="shared" si="3"/>
        <v>0.00004150439542</v>
      </c>
    </row>
    <row r="302">
      <c r="A302" s="253" t="s">
        <v>846</v>
      </c>
      <c r="B302" s="254">
        <v>3872.0</v>
      </c>
      <c r="C302" s="255" t="str">
        <f t="shared" si="12"/>
        <v>SINAPI</v>
      </c>
      <c r="D302" s="256" t="s">
        <v>286</v>
      </c>
      <c r="E302" s="257" t="str">
        <f>IFERROR(IF(D302="SINAPI-S",VLOOKUP(B302,'20-B.SINAPI-S'!A:J,2,0),IF(D302="SINAPI-I",VLOOKUP(B302,'20-A.SINAPI-I'!A:G,2,0),IF(D302="COMPOSIÇÕES",VLOOKUP(B302,'11.COMPOSIÇÕES GERAIS'!B:I,2,0),VLOOKUP(B302,'12.COT.MERCADO'!A:I,2,0)))),"Em Elaboração")</f>
        <v>LUVA DE REDUCAO SOLDAVEL, PVC, 40 MM X 32 MM, PARA AGUA FRIA PREDIAL</v>
      </c>
      <c r="F302" s="258" t="str">
        <f>IFERROR(IF(D302="SINAPI-S",VLOOKUP(B302,'20-B.SINAPI-S'!A:J,3,0),IF(D302="SINAPI-I",VLOOKUP(B302,'20-A.SINAPI-I'!A:G,3,0),IF(D302="COMPOSIÇÕES",VLOOKUP(B302,'11.COMPOSIÇÕES GERAIS'!B:I,3,0),VLOOKUP(B302,'12.COT.MERCADO'!A:I,7,0)))),"Em Elaboração")</f>
        <v>UN</v>
      </c>
      <c r="G302" s="254">
        <v>2.0</v>
      </c>
      <c r="H302" s="259">
        <f>IFERROR(IF(D302="SINAPI-S",VLOOKUP(B302,'20-B.SINAPI-S'!A:J,5,0),IF(D302="SINAPI-I",VLOOKUP(B302,'20-A.SINAPI-I'!A:G,6,0),IF(D302="COMPOSIÇÕES",VLOOKUP(B302,'11.COMPOSIÇÕES GERAIS'!B:I,7,0),0))),"Em Elaboração")</f>
        <v>0</v>
      </c>
      <c r="I302" s="259">
        <f>IFERROR(IF(D302="SINAPI-S",VLOOKUP(B302,'20-B.SINAPI-S'!A:J,6,0),IF(D302="SINAPI-I",VLOOKUP(B302,'20-A.SINAPI-I'!A:G,7,0),IF(D302="COMPOSIÇÕES",VLOOKUP(B302,'11.COMPOSIÇÕES GERAIS'!B:I,8,0),VLOOKUP(B302,'12.COT.MERCADO'!A:I,8,0)))),"Em Elaboração")</f>
        <v>5.55</v>
      </c>
      <c r="J302" s="259">
        <f t="shared" si="13"/>
        <v>0</v>
      </c>
      <c r="K302" s="259">
        <f t="shared" si="14"/>
        <v>6.500906947</v>
      </c>
      <c r="L302" s="259">
        <f t="shared" si="15"/>
        <v>6.500906947</v>
      </c>
      <c r="M302" s="259">
        <f t="shared" si="16"/>
        <v>0</v>
      </c>
      <c r="N302" s="259">
        <f t="shared" si="17"/>
        <v>13.00181389</v>
      </c>
      <c r="O302" s="259">
        <f t="shared" si="18"/>
        <v>13.00181389</v>
      </c>
      <c r="P302" s="586">
        <f t="shared" si="3"/>
        <v>0.00007087673679</v>
      </c>
    </row>
    <row r="303">
      <c r="A303" s="253" t="s">
        <v>847</v>
      </c>
      <c r="B303" s="254">
        <v>38023.0</v>
      </c>
      <c r="C303" s="255" t="str">
        <f t="shared" si="12"/>
        <v>SINAPI</v>
      </c>
      <c r="D303" s="256" t="s">
        <v>286</v>
      </c>
      <c r="E303" s="257" t="str">
        <f>IFERROR(IF(D303="SINAPI-S",VLOOKUP(B303,'20-B.SINAPI-S'!A:J,2,0),IF(D303="SINAPI-I",VLOOKUP(B303,'20-A.SINAPI-I'!A:G,2,0),IF(D303="COMPOSIÇÕES",VLOOKUP(B303,'11.COMPOSIÇÕES GERAIS'!B:I,2,0),VLOOKUP(B303,'12.COT.MERCADO'!A:I,2,0)))),"Em Elaboração")</f>
        <v>LUVA DE REDUCAO, SOLDAVEL, PVC, 50 X 25 MM, PARA AGUA FRIA PREDIAL</v>
      </c>
      <c r="F303" s="258" t="str">
        <f>IFERROR(IF(D303="SINAPI-S",VLOOKUP(B303,'20-B.SINAPI-S'!A:J,3,0),IF(D303="SINAPI-I",VLOOKUP(B303,'20-A.SINAPI-I'!A:G,3,0),IF(D303="COMPOSIÇÕES",VLOOKUP(B303,'11.COMPOSIÇÕES GERAIS'!B:I,3,0),VLOOKUP(B303,'12.COT.MERCADO'!A:I,7,0)))),"Em Elaboração")</f>
        <v>UN</v>
      </c>
      <c r="G303" s="254">
        <v>2.0</v>
      </c>
      <c r="H303" s="259">
        <f>IFERROR(IF(D303="SINAPI-S",VLOOKUP(B303,'20-B.SINAPI-S'!A:J,5,0),IF(D303="SINAPI-I",VLOOKUP(B303,'20-A.SINAPI-I'!A:G,6,0),IF(D303="COMPOSIÇÕES",VLOOKUP(B303,'11.COMPOSIÇÕES GERAIS'!B:I,7,0),0))),"Em Elaboração")</f>
        <v>0</v>
      </c>
      <c r="I303" s="259">
        <f>IFERROR(IF(D303="SINAPI-S",VLOOKUP(B303,'20-B.SINAPI-S'!A:J,6,0),IF(D303="SINAPI-I",VLOOKUP(B303,'20-A.SINAPI-I'!A:G,7,0),IF(D303="COMPOSIÇÕES",VLOOKUP(B303,'11.COMPOSIÇÕES GERAIS'!B:I,8,0),VLOOKUP(B303,'12.COT.MERCADO'!A:I,8,0)))),"Em Elaboração")</f>
        <v>6.52</v>
      </c>
      <c r="J303" s="259">
        <f t="shared" si="13"/>
        <v>0</v>
      </c>
      <c r="K303" s="259">
        <f t="shared" si="14"/>
        <v>7.637101495</v>
      </c>
      <c r="L303" s="259">
        <f t="shared" si="15"/>
        <v>7.637101495</v>
      </c>
      <c r="M303" s="259">
        <f t="shared" si="16"/>
        <v>0</v>
      </c>
      <c r="N303" s="259">
        <f t="shared" si="17"/>
        <v>15.27420299</v>
      </c>
      <c r="O303" s="259">
        <f t="shared" si="18"/>
        <v>15.27420299</v>
      </c>
      <c r="P303" s="586">
        <f t="shared" si="3"/>
        <v>0.00008326420249</v>
      </c>
    </row>
    <row r="304">
      <c r="A304" s="253" t="s">
        <v>848</v>
      </c>
      <c r="B304" s="254">
        <v>3850.0</v>
      </c>
      <c r="C304" s="255" t="str">
        <f t="shared" si="12"/>
        <v>SINAPI</v>
      </c>
      <c r="D304" s="256" t="s">
        <v>286</v>
      </c>
      <c r="E304" s="257" t="str">
        <f>IFERROR(IF(D304="SINAPI-S",VLOOKUP(B304,'20-B.SINAPI-S'!A:J,2,0),IF(D304="SINAPI-I",VLOOKUP(B304,'20-A.SINAPI-I'!A:G,2,0),IF(D304="COMPOSIÇÕES",VLOOKUP(B304,'11.COMPOSIÇÕES GERAIS'!B:I,2,0),VLOOKUP(B304,'12.COT.MERCADO'!A:I,2,0)))),"Em Elaboração")</f>
        <v>LUVA DE REDUCAO SOLDAVEL, PVC, 60 MM X 50 MM, PARA AGUA FRIA PREDIAL</v>
      </c>
      <c r="F304" s="258" t="str">
        <f>IFERROR(IF(D304="SINAPI-S",VLOOKUP(B304,'20-B.SINAPI-S'!A:J,3,0),IF(D304="SINAPI-I",VLOOKUP(B304,'20-A.SINAPI-I'!A:G,3,0),IF(D304="COMPOSIÇÕES",VLOOKUP(B304,'11.COMPOSIÇÕES GERAIS'!B:I,3,0),VLOOKUP(B304,'12.COT.MERCADO'!A:I,7,0)))),"Em Elaboração")</f>
        <v>UN</v>
      </c>
      <c r="G304" s="254">
        <v>2.0</v>
      </c>
      <c r="H304" s="259">
        <f>IFERROR(IF(D304="SINAPI-S",VLOOKUP(B304,'20-B.SINAPI-S'!A:J,5,0),IF(D304="SINAPI-I",VLOOKUP(B304,'20-A.SINAPI-I'!A:G,6,0),IF(D304="COMPOSIÇÕES",VLOOKUP(B304,'11.COMPOSIÇÕES GERAIS'!B:I,7,0),0))),"Em Elaboração")</f>
        <v>0</v>
      </c>
      <c r="I304" s="259">
        <f>IFERROR(IF(D304="SINAPI-S",VLOOKUP(B304,'20-B.SINAPI-S'!A:J,6,0),IF(D304="SINAPI-I",VLOOKUP(B304,'20-A.SINAPI-I'!A:G,7,0),IF(D304="COMPOSIÇÕES",VLOOKUP(B304,'11.COMPOSIÇÕES GERAIS'!B:I,8,0),VLOOKUP(B304,'12.COT.MERCADO'!A:I,8,0)))),"Em Elaboração")</f>
        <v>12.81</v>
      </c>
      <c r="J304" s="259">
        <f t="shared" si="13"/>
        <v>0</v>
      </c>
      <c r="K304" s="259">
        <f t="shared" si="14"/>
        <v>15.00479604</v>
      </c>
      <c r="L304" s="259">
        <f t="shared" si="15"/>
        <v>15.00479604</v>
      </c>
      <c r="M304" s="259">
        <f t="shared" si="16"/>
        <v>0</v>
      </c>
      <c r="N304" s="259">
        <f t="shared" si="17"/>
        <v>30.00959207</v>
      </c>
      <c r="O304" s="259">
        <f t="shared" si="18"/>
        <v>30.00959207</v>
      </c>
      <c r="P304" s="586">
        <f t="shared" si="3"/>
        <v>0.0001635911709</v>
      </c>
    </row>
    <row r="305">
      <c r="A305" s="253" t="s">
        <v>849</v>
      </c>
      <c r="B305" s="254">
        <v>3910.0</v>
      </c>
      <c r="C305" s="255" t="str">
        <f t="shared" si="12"/>
        <v>SINAPI</v>
      </c>
      <c r="D305" s="256" t="s">
        <v>286</v>
      </c>
      <c r="E305" s="257" t="str">
        <f>IFERROR(IF(D305="SINAPI-S",VLOOKUP(B305,'20-B.SINAPI-S'!A:J,2,0),IF(D305="SINAPI-I",VLOOKUP(B305,'20-A.SINAPI-I'!A:G,2,0),IF(D305="COMPOSIÇÕES",VLOOKUP(B305,'11.COMPOSIÇÕES GERAIS'!B:I,2,0),VLOOKUP(B305,'12.COT.MERCADO'!A:I,2,0)))),"Em Elaboração")</f>
        <v>LUVA DE FERRO GALVANIZADO, COM ROSCA BSP, DE 1"</v>
      </c>
      <c r="F305" s="258" t="str">
        <f>IFERROR(IF(D305="SINAPI-S",VLOOKUP(B305,'20-B.SINAPI-S'!A:J,3,0),IF(D305="SINAPI-I",VLOOKUP(B305,'20-A.SINAPI-I'!A:G,3,0),IF(D305="COMPOSIÇÕES",VLOOKUP(B305,'11.COMPOSIÇÕES GERAIS'!B:I,3,0),VLOOKUP(B305,'12.COT.MERCADO'!A:I,7,0)))),"Em Elaboração")</f>
        <v>UN</v>
      </c>
      <c r="G305" s="254">
        <v>2.0</v>
      </c>
      <c r="H305" s="259">
        <f>IFERROR(IF(D305="SINAPI-S",VLOOKUP(B305,'20-B.SINAPI-S'!A:J,5,0),IF(D305="SINAPI-I",VLOOKUP(B305,'20-A.SINAPI-I'!A:G,6,0),IF(D305="COMPOSIÇÕES",VLOOKUP(B305,'11.COMPOSIÇÕES GERAIS'!B:I,7,0),0))),"Em Elaboração")</f>
        <v>0</v>
      </c>
      <c r="I305" s="259">
        <f>IFERROR(IF(D305="SINAPI-S",VLOOKUP(B305,'20-B.SINAPI-S'!A:J,6,0),IF(D305="SINAPI-I",VLOOKUP(B305,'20-A.SINAPI-I'!A:G,7,0),IF(D305="COMPOSIÇÕES",VLOOKUP(B305,'11.COMPOSIÇÕES GERAIS'!B:I,8,0),VLOOKUP(B305,'12.COT.MERCADO'!A:I,8,0)))),"Em Elaboração")</f>
        <v>14.62</v>
      </c>
      <c r="J305" s="259">
        <f t="shared" si="13"/>
        <v>0</v>
      </c>
      <c r="K305" s="259">
        <f t="shared" si="14"/>
        <v>17.12491163</v>
      </c>
      <c r="L305" s="259">
        <f t="shared" si="15"/>
        <v>17.12491163</v>
      </c>
      <c r="M305" s="259">
        <f t="shared" si="16"/>
        <v>0</v>
      </c>
      <c r="N305" s="259">
        <f t="shared" si="17"/>
        <v>34.24982327</v>
      </c>
      <c r="O305" s="259">
        <f t="shared" si="18"/>
        <v>34.24982327</v>
      </c>
      <c r="P305" s="586">
        <f t="shared" si="3"/>
        <v>0.0001867059265</v>
      </c>
    </row>
    <row r="306">
      <c r="A306" s="253" t="s">
        <v>850</v>
      </c>
      <c r="B306" s="254">
        <v>3939.0</v>
      </c>
      <c r="C306" s="255" t="str">
        <f t="shared" si="12"/>
        <v>SINAPI</v>
      </c>
      <c r="D306" s="256" t="s">
        <v>286</v>
      </c>
      <c r="E306" s="257" t="str">
        <f>IFERROR(IF(D306="SINAPI-S",VLOOKUP(B306,'20-B.SINAPI-S'!A:J,2,0),IF(D306="SINAPI-I",VLOOKUP(B306,'20-A.SINAPI-I'!A:G,2,0),IF(D306="COMPOSIÇÕES",VLOOKUP(B306,'11.COMPOSIÇÕES GERAIS'!B:I,2,0),VLOOKUP(B306,'12.COT.MERCADO'!A:I,2,0)))),"Em Elaboração")</f>
        <v>LUVA DE FERRO GALVANIZADO, COM ROSCA BSP, DE 1 1/2"</v>
      </c>
      <c r="F306" s="258" t="str">
        <f>IFERROR(IF(D306="SINAPI-S",VLOOKUP(B306,'20-B.SINAPI-S'!A:J,3,0),IF(D306="SINAPI-I",VLOOKUP(B306,'20-A.SINAPI-I'!A:G,3,0),IF(D306="COMPOSIÇÕES",VLOOKUP(B306,'11.COMPOSIÇÕES GERAIS'!B:I,3,0),VLOOKUP(B306,'12.COT.MERCADO'!A:I,7,0)))),"Em Elaboração")</f>
        <v>UN</v>
      </c>
      <c r="G306" s="254">
        <v>2.0</v>
      </c>
      <c r="H306" s="259">
        <f>IFERROR(IF(D306="SINAPI-S",VLOOKUP(B306,'20-B.SINAPI-S'!A:J,5,0),IF(D306="SINAPI-I",VLOOKUP(B306,'20-A.SINAPI-I'!A:G,6,0),IF(D306="COMPOSIÇÕES",VLOOKUP(B306,'11.COMPOSIÇÕES GERAIS'!B:I,7,0),0))),"Em Elaboração")</f>
        <v>0</v>
      </c>
      <c r="I306" s="259">
        <f>IFERROR(IF(D306="SINAPI-S",VLOOKUP(B306,'20-B.SINAPI-S'!A:J,6,0),IF(D306="SINAPI-I",VLOOKUP(B306,'20-A.SINAPI-I'!A:G,7,0),IF(D306="COMPOSIÇÕES",VLOOKUP(B306,'11.COMPOSIÇÕES GERAIS'!B:I,8,0),VLOOKUP(B306,'12.COT.MERCADO'!A:I,8,0)))),"Em Elaboração")</f>
        <v>25.01</v>
      </c>
      <c r="J306" s="259">
        <f t="shared" si="13"/>
        <v>0</v>
      </c>
      <c r="K306" s="259">
        <f t="shared" si="14"/>
        <v>29.29507797</v>
      </c>
      <c r="L306" s="259">
        <f t="shared" si="15"/>
        <v>29.29507797</v>
      </c>
      <c r="M306" s="259">
        <f t="shared" si="16"/>
        <v>0</v>
      </c>
      <c r="N306" s="259">
        <f t="shared" si="17"/>
        <v>58.59015595</v>
      </c>
      <c r="O306" s="259">
        <f t="shared" si="18"/>
        <v>58.59015595</v>
      </c>
      <c r="P306" s="586">
        <f t="shared" si="3"/>
        <v>0.000319392286</v>
      </c>
    </row>
    <row r="307">
      <c r="A307" s="253" t="s">
        <v>851</v>
      </c>
      <c r="B307" s="254">
        <v>3911.0</v>
      </c>
      <c r="C307" s="255" t="str">
        <f t="shared" si="12"/>
        <v>SINAPI</v>
      </c>
      <c r="D307" s="256" t="s">
        <v>286</v>
      </c>
      <c r="E307" s="257" t="str">
        <f>IFERROR(IF(D307="SINAPI-S",VLOOKUP(B307,'20-B.SINAPI-S'!A:J,2,0),IF(D307="SINAPI-I",VLOOKUP(B307,'20-A.SINAPI-I'!A:G,2,0),IF(D307="COMPOSIÇÕES",VLOOKUP(B307,'11.COMPOSIÇÕES GERAIS'!B:I,2,0),VLOOKUP(B307,'12.COT.MERCADO'!A:I,2,0)))),"Em Elaboração")</f>
        <v>LUVA DE FERRO GALVANIZADO, COM ROSCA BSP, DE 1 1/4"</v>
      </c>
      <c r="F307" s="258" t="str">
        <f>IFERROR(IF(D307="SINAPI-S",VLOOKUP(B307,'20-B.SINAPI-S'!A:J,3,0),IF(D307="SINAPI-I",VLOOKUP(B307,'20-A.SINAPI-I'!A:G,3,0),IF(D307="COMPOSIÇÕES",VLOOKUP(B307,'11.COMPOSIÇÕES GERAIS'!B:I,3,0),VLOOKUP(B307,'12.COT.MERCADO'!A:I,7,0)))),"Em Elaboração")</f>
        <v>UN</v>
      </c>
      <c r="G307" s="254">
        <v>2.0</v>
      </c>
      <c r="H307" s="259">
        <f>IFERROR(IF(D307="SINAPI-S",VLOOKUP(B307,'20-B.SINAPI-S'!A:J,5,0),IF(D307="SINAPI-I",VLOOKUP(B307,'20-A.SINAPI-I'!A:G,6,0),IF(D307="COMPOSIÇÕES",VLOOKUP(B307,'11.COMPOSIÇÕES GERAIS'!B:I,7,0),0))),"Em Elaboração")</f>
        <v>0</v>
      </c>
      <c r="I307" s="259">
        <f>IFERROR(IF(D307="SINAPI-S",VLOOKUP(B307,'20-B.SINAPI-S'!A:J,6,0),IF(D307="SINAPI-I",VLOOKUP(B307,'20-A.SINAPI-I'!A:G,7,0),IF(D307="COMPOSIÇÕES",VLOOKUP(B307,'11.COMPOSIÇÕES GERAIS'!B:I,8,0),VLOOKUP(B307,'12.COT.MERCADO'!A:I,8,0)))),"Em Elaboração")</f>
        <v>20.43</v>
      </c>
      <c r="J307" s="259">
        <f t="shared" si="13"/>
        <v>0</v>
      </c>
      <c r="K307" s="259">
        <f t="shared" si="14"/>
        <v>23.93036557</v>
      </c>
      <c r="L307" s="259">
        <f t="shared" si="15"/>
        <v>23.93036557</v>
      </c>
      <c r="M307" s="259">
        <f t="shared" si="16"/>
        <v>0</v>
      </c>
      <c r="N307" s="259">
        <f t="shared" si="17"/>
        <v>47.86073115</v>
      </c>
      <c r="O307" s="259">
        <f t="shared" si="18"/>
        <v>47.86073115</v>
      </c>
      <c r="P307" s="586">
        <f t="shared" si="3"/>
        <v>0.0002609030149</v>
      </c>
    </row>
    <row r="308">
      <c r="A308" s="253" t="s">
        <v>852</v>
      </c>
      <c r="B308" s="254">
        <v>3912.0</v>
      </c>
      <c r="C308" s="255" t="str">
        <f t="shared" si="12"/>
        <v>SINAPI</v>
      </c>
      <c r="D308" s="256" t="s">
        <v>286</v>
      </c>
      <c r="E308" s="257" t="str">
        <f>IFERROR(IF(D308="SINAPI-S",VLOOKUP(B308,'20-B.SINAPI-S'!A:J,2,0),IF(D308="SINAPI-I",VLOOKUP(B308,'20-A.SINAPI-I'!A:G,2,0),IF(D308="COMPOSIÇÕES",VLOOKUP(B308,'11.COMPOSIÇÕES GERAIS'!B:I,2,0),VLOOKUP(B308,'12.COT.MERCADO'!A:I,2,0)))),"Em Elaboração")</f>
        <v>LUVA DE FERRO GALVANIZADO, COM ROSCA BSP, DE 2"</v>
      </c>
      <c r="F308" s="258" t="str">
        <f>IFERROR(IF(D308="SINAPI-S",VLOOKUP(B308,'20-B.SINAPI-S'!A:J,3,0),IF(D308="SINAPI-I",VLOOKUP(B308,'20-A.SINAPI-I'!A:G,3,0),IF(D308="COMPOSIÇÕES",VLOOKUP(B308,'11.COMPOSIÇÕES GERAIS'!B:I,3,0),VLOOKUP(B308,'12.COT.MERCADO'!A:I,7,0)))),"Em Elaboração")</f>
        <v>UN</v>
      </c>
      <c r="G308" s="254">
        <v>2.0</v>
      </c>
      <c r="H308" s="259">
        <f>IFERROR(IF(D308="SINAPI-S",VLOOKUP(B308,'20-B.SINAPI-S'!A:J,5,0),IF(D308="SINAPI-I",VLOOKUP(B308,'20-A.SINAPI-I'!A:G,6,0),IF(D308="COMPOSIÇÕES",VLOOKUP(B308,'11.COMPOSIÇÕES GERAIS'!B:I,7,0),0))),"Em Elaboração")</f>
        <v>0</v>
      </c>
      <c r="I308" s="259">
        <f>IFERROR(IF(D308="SINAPI-S",VLOOKUP(B308,'20-B.SINAPI-S'!A:J,6,0),IF(D308="SINAPI-I",VLOOKUP(B308,'20-A.SINAPI-I'!A:G,7,0),IF(D308="COMPOSIÇÕES",VLOOKUP(B308,'11.COMPOSIÇÕES GERAIS'!B:I,8,0),VLOOKUP(B308,'12.COT.MERCADO'!A:I,8,0)))),"Em Elaboração")</f>
        <v>38.3</v>
      </c>
      <c r="J308" s="259">
        <f t="shared" si="13"/>
        <v>0</v>
      </c>
      <c r="K308" s="259">
        <f t="shared" si="14"/>
        <v>44.86211461</v>
      </c>
      <c r="L308" s="259">
        <f t="shared" si="15"/>
        <v>44.86211461</v>
      </c>
      <c r="M308" s="259">
        <f t="shared" si="16"/>
        <v>0</v>
      </c>
      <c r="N308" s="259">
        <f t="shared" si="17"/>
        <v>89.72422922</v>
      </c>
      <c r="O308" s="259">
        <f t="shared" si="18"/>
        <v>89.72422922</v>
      </c>
      <c r="P308" s="586">
        <f t="shared" si="3"/>
        <v>0.0004891133367</v>
      </c>
    </row>
    <row r="309">
      <c r="A309" s="253" t="s">
        <v>853</v>
      </c>
      <c r="B309" s="254">
        <v>3913.0</v>
      </c>
      <c r="C309" s="255" t="str">
        <f t="shared" si="12"/>
        <v>SINAPI</v>
      </c>
      <c r="D309" s="256" t="s">
        <v>286</v>
      </c>
      <c r="E309" s="257" t="str">
        <f>IFERROR(IF(D309="SINAPI-S",VLOOKUP(B309,'20-B.SINAPI-S'!A:J,2,0),IF(D309="SINAPI-I",VLOOKUP(B309,'20-A.SINAPI-I'!A:G,2,0),IF(D309="COMPOSIÇÕES",VLOOKUP(B309,'11.COMPOSIÇÕES GERAIS'!B:I,2,0),VLOOKUP(B309,'12.COT.MERCADO'!A:I,2,0)))),"Em Elaboração")</f>
        <v>LUVA DE FERRO GALVANIZADO, COM ROSCA BSP, DE 2 1/2"</v>
      </c>
      <c r="F309" s="258" t="str">
        <f>IFERROR(IF(D309="SINAPI-S",VLOOKUP(B309,'20-B.SINAPI-S'!A:J,3,0),IF(D309="SINAPI-I",VLOOKUP(B309,'20-A.SINAPI-I'!A:G,3,0),IF(D309="COMPOSIÇÕES",VLOOKUP(B309,'11.COMPOSIÇÕES GERAIS'!B:I,3,0),VLOOKUP(B309,'12.COT.MERCADO'!A:I,7,0)))),"Em Elaboração")</f>
        <v>UN</v>
      </c>
      <c r="G309" s="254">
        <v>2.0</v>
      </c>
      <c r="H309" s="259">
        <f>IFERROR(IF(D309="SINAPI-S",VLOOKUP(B309,'20-B.SINAPI-S'!A:J,5,0),IF(D309="SINAPI-I",VLOOKUP(B309,'20-A.SINAPI-I'!A:G,6,0),IF(D309="COMPOSIÇÕES",VLOOKUP(B309,'11.COMPOSIÇÕES GERAIS'!B:I,7,0),0))),"Em Elaboração")</f>
        <v>0</v>
      </c>
      <c r="I309" s="259">
        <f>IFERROR(IF(D309="SINAPI-S",VLOOKUP(B309,'20-B.SINAPI-S'!A:J,6,0),IF(D309="SINAPI-I",VLOOKUP(B309,'20-A.SINAPI-I'!A:G,7,0),IF(D309="COMPOSIÇÕES",VLOOKUP(B309,'11.COMPOSIÇÕES GERAIS'!B:I,8,0),VLOOKUP(B309,'12.COT.MERCADO'!A:I,8,0)))),"Em Elaboração")</f>
        <v>69.87</v>
      </c>
      <c r="J309" s="259">
        <f t="shared" si="13"/>
        <v>0</v>
      </c>
      <c r="K309" s="259">
        <f t="shared" si="14"/>
        <v>81.84114746</v>
      </c>
      <c r="L309" s="259">
        <f t="shared" si="15"/>
        <v>81.84114746</v>
      </c>
      <c r="M309" s="259">
        <f t="shared" si="16"/>
        <v>0</v>
      </c>
      <c r="N309" s="259">
        <f t="shared" si="17"/>
        <v>163.6822949</v>
      </c>
      <c r="O309" s="259">
        <f t="shared" si="18"/>
        <v>163.6822949</v>
      </c>
      <c r="P309" s="586">
        <f t="shared" si="3"/>
        <v>0.0008922806485</v>
      </c>
    </row>
    <row r="310">
      <c r="A310" s="253" t="s">
        <v>854</v>
      </c>
      <c r="B310" s="254">
        <v>3914.0</v>
      </c>
      <c r="C310" s="255" t="str">
        <f t="shared" si="12"/>
        <v>SINAPI</v>
      </c>
      <c r="D310" s="256" t="s">
        <v>286</v>
      </c>
      <c r="E310" s="257" t="str">
        <f>IFERROR(IF(D310="SINAPI-S",VLOOKUP(B310,'20-B.SINAPI-S'!A:J,2,0),IF(D310="SINAPI-I",VLOOKUP(B310,'20-A.SINAPI-I'!A:G,2,0),IF(D310="COMPOSIÇÕES",VLOOKUP(B310,'11.COMPOSIÇÕES GERAIS'!B:I,2,0),VLOOKUP(B310,'12.COT.MERCADO'!A:I,2,0)))),"Em Elaboração")</f>
        <v>LUVA DE FERRO GALVANIZADO, COM ROSCA BSP, DE 3"</v>
      </c>
      <c r="F310" s="258" t="str">
        <f>IFERROR(IF(D310="SINAPI-S",VLOOKUP(B310,'20-B.SINAPI-S'!A:J,3,0),IF(D310="SINAPI-I",VLOOKUP(B310,'20-A.SINAPI-I'!A:G,3,0),IF(D310="COMPOSIÇÕES",VLOOKUP(B310,'11.COMPOSIÇÕES GERAIS'!B:I,3,0),VLOOKUP(B310,'12.COT.MERCADO'!A:I,7,0)))),"Em Elaboração")</f>
        <v>UN</v>
      </c>
      <c r="G310" s="254">
        <v>2.0</v>
      </c>
      <c r="H310" s="259">
        <f>IFERROR(IF(D310="SINAPI-S",VLOOKUP(B310,'20-B.SINAPI-S'!A:J,5,0),IF(D310="SINAPI-I",VLOOKUP(B310,'20-A.SINAPI-I'!A:G,6,0),IF(D310="COMPOSIÇÕES",VLOOKUP(B310,'11.COMPOSIÇÕES GERAIS'!B:I,7,0),0))),"Em Elaboração")</f>
        <v>0</v>
      </c>
      <c r="I310" s="259">
        <f>IFERROR(IF(D310="SINAPI-S",VLOOKUP(B310,'20-B.SINAPI-S'!A:J,6,0),IF(D310="SINAPI-I",VLOOKUP(B310,'20-A.SINAPI-I'!A:G,7,0),IF(D310="COMPOSIÇÕES",VLOOKUP(B310,'11.COMPOSIÇÕES GERAIS'!B:I,8,0),VLOOKUP(B310,'12.COT.MERCADO'!A:I,8,0)))),"Em Elaboração")</f>
        <v>105.4</v>
      </c>
      <c r="J310" s="259">
        <f t="shared" si="13"/>
        <v>0</v>
      </c>
      <c r="K310" s="259">
        <f t="shared" si="14"/>
        <v>123.4586653</v>
      </c>
      <c r="L310" s="259">
        <f t="shared" si="15"/>
        <v>123.4586653</v>
      </c>
      <c r="M310" s="259">
        <f t="shared" si="16"/>
        <v>0</v>
      </c>
      <c r="N310" s="259">
        <f t="shared" si="17"/>
        <v>246.9173305</v>
      </c>
      <c r="O310" s="259">
        <f t="shared" si="18"/>
        <v>246.9173305</v>
      </c>
      <c r="P310" s="586">
        <f t="shared" si="3"/>
        <v>0.00134601947</v>
      </c>
    </row>
    <row r="311">
      <c r="A311" s="253" t="s">
        <v>855</v>
      </c>
      <c r="B311" s="254">
        <v>3909.0</v>
      </c>
      <c r="C311" s="255" t="str">
        <f t="shared" si="12"/>
        <v>SINAPI</v>
      </c>
      <c r="D311" s="256" t="s">
        <v>286</v>
      </c>
      <c r="E311" s="257" t="str">
        <f>IFERROR(IF(D311="SINAPI-S",VLOOKUP(B311,'20-B.SINAPI-S'!A:J,2,0),IF(D311="SINAPI-I",VLOOKUP(B311,'20-A.SINAPI-I'!A:G,2,0),IF(D311="COMPOSIÇÕES",VLOOKUP(B311,'11.COMPOSIÇÕES GERAIS'!B:I,2,0),VLOOKUP(B311,'12.COT.MERCADO'!A:I,2,0)))),"Em Elaboração")</f>
        <v>LUVA DE FERRO GALVANIZADO, COM ROSCA BSP, DE 3/4"</v>
      </c>
      <c r="F311" s="258" t="str">
        <f>IFERROR(IF(D311="SINAPI-S",VLOOKUP(B311,'20-B.SINAPI-S'!A:J,3,0),IF(D311="SINAPI-I",VLOOKUP(B311,'20-A.SINAPI-I'!A:G,3,0),IF(D311="COMPOSIÇÕES",VLOOKUP(B311,'11.COMPOSIÇÕES GERAIS'!B:I,3,0),VLOOKUP(B311,'12.COT.MERCADO'!A:I,7,0)))),"Em Elaboração")</f>
        <v>UN</v>
      </c>
      <c r="G311" s="254">
        <v>2.0</v>
      </c>
      <c r="H311" s="259">
        <f>IFERROR(IF(D311="SINAPI-S",VLOOKUP(B311,'20-B.SINAPI-S'!A:J,5,0),IF(D311="SINAPI-I",VLOOKUP(B311,'20-A.SINAPI-I'!A:G,6,0),IF(D311="COMPOSIÇÕES",VLOOKUP(B311,'11.COMPOSIÇÕES GERAIS'!B:I,7,0),0))),"Em Elaboração")</f>
        <v>0</v>
      </c>
      <c r="I311" s="259">
        <f>IFERROR(IF(D311="SINAPI-S",VLOOKUP(B311,'20-B.SINAPI-S'!A:J,6,0),IF(D311="SINAPI-I",VLOOKUP(B311,'20-A.SINAPI-I'!A:G,7,0),IF(D311="COMPOSIÇÕES",VLOOKUP(B311,'11.COMPOSIÇÕES GERAIS'!B:I,8,0),VLOOKUP(B311,'12.COT.MERCADO'!A:I,8,0)))),"Em Elaboração")</f>
        <v>8.99</v>
      </c>
      <c r="J311" s="259">
        <f t="shared" si="13"/>
        <v>0</v>
      </c>
      <c r="K311" s="259">
        <f t="shared" si="14"/>
        <v>10.53029792</v>
      </c>
      <c r="L311" s="259">
        <f t="shared" si="15"/>
        <v>10.53029792</v>
      </c>
      <c r="M311" s="259">
        <f t="shared" si="16"/>
        <v>0</v>
      </c>
      <c r="N311" s="259">
        <f t="shared" si="17"/>
        <v>21.06059584</v>
      </c>
      <c r="O311" s="259">
        <f t="shared" si="18"/>
        <v>21.06059584</v>
      </c>
      <c r="P311" s="586">
        <f t="shared" si="3"/>
        <v>0.000114807543</v>
      </c>
    </row>
    <row r="312">
      <c r="A312" s="253" t="s">
        <v>856</v>
      </c>
      <c r="B312" s="254">
        <v>3915.0</v>
      </c>
      <c r="C312" s="255" t="str">
        <f t="shared" si="12"/>
        <v>SINAPI</v>
      </c>
      <c r="D312" s="256" t="s">
        <v>286</v>
      </c>
      <c r="E312" s="257" t="str">
        <f>IFERROR(IF(D312="SINAPI-S",VLOOKUP(B312,'20-B.SINAPI-S'!A:J,2,0),IF(D312="SINAPI-I",VLOOKUP(B312,'20-A.SINAPI-I'!A:G,2,0),IF(D312="COMPOSIÇÕES",VLOOKUP(B312,'11.COMPOSIÇÕES GERAIS'!B:I,2,0),VLOOKUP(B312,'12.COT.MERCADO'!A:I,2,0)))),"Em Elaboração")</f>
        <v>LUVA DE FERRO GALVANIZADO, COM ROSCA BSP, DE 4"</v>
      </c>
      <c r="F312" s="258" t="str">
        <f>IFERROR(IF(D312="SINAPI-S",VLOOKUP(B312,'20-B.SINAPI-S'!A:J,3,0),IF(D312="SINAPI-I",VLOOKUP(B312,'20-A.SINAPI-I'!A:G,3,0),IF(D312="COMPOSIÇÕES",VLOOKUP(B312,'11.COMPOSIÇÕES GERAIS'!B:I,3,0),VLOOKUP(B312,'12.COT.MERCADO'!A:I,7,0)))),"Em Elaboração")</f>
        <v>UN</v>
      </c>
      <c r="G312" s="254">
        <v>2.0</v>
      </c>
      <c r="H312" s="259">
        <f>IFERROR(IF(D312="SINAPI-S",VLOOKUP(B312,'20-B.SINAPI-S'!A:J,5,0),IF(D312="SINAPI-I",VLOOKUP(B312,'20-A.SINAPI-I'!A:G,6,0),IF(D312="COMPOSIÇÕES",VLOOKUP(B312,'11.COMPOSIÇÕES GERAIS'!B:I,7,0),0))),"Em Elaboração")</f>
        <v>0</v>
      </c>
      <c r="I312" s="259">
        <f>IFERROR(IF(D312="SINAPI-S",VLOOKUP(B312,'20-B.SINAPI-S'!A:J,6,0),IF(D312="SINAPI-I",VLOOKUP(B312,'20-A.SINAPI-I'!A:G,7,0),IF(D312="COMPOSIÇÕES",VLOOKUP(B312,'11.COMPOSIÇÕES GERAIS'!B:I,8,0),VLOOKUP(B312,'12.COT.MERCADO'!A:I,8,0)))),"Em Elaboração")</f>
        <v>166.21</v>
      </c>
      <c r="J312" s="259">
        <f t="shared" si="13"/>
        <v>0</v>
      </c>
      <c r="K312" s="259">
        <f t="shared" si="14"/>
        <v>194.6875214</v>
      </c>
      <c r="L312" s="259">
        <f t="shared" si="15"/>
        <v>194.6875214</v>
      </c>
      <c r="M312" s="259">
        <f t="shared" si="16"/>
        <v>0</v>
      </c>
      <c r="N312" s="259">
        <f t="shared" si="17"/>
        <v>389.3750428</v>
      </c>
      <c r="O312" s="259">
        <f t="shared" si="18"/>
        <v>389.3750428</v>
      </c>
      <c r="P312" s="586">
        <f t="shared" si="3"/>
        <v>0.002122598634</v>
      </c>
    </row>
    <row r="313">
      <c r="A313" s="253" t="s">
        <v>857</v>
      </c>
      <c r="B313" s="254">
        <v>20170.0</v>
      </c>
      <c r="C313" s="255" t="str">
        <f t="shared" si="12"/>
        <v>SINAPI</v>
      </c>
      <c r="D313" s="256" t="s">
        <v>286</v>
      </c>
      <c r="E313" s="257" t="str">
        <f>IFERROR(IF(D313="SINAPI-S",VLOOKUP(B313,'20-B.SINAPI-S'!A:J,2,0),IF(D313="SINAPI-I",VLOOKUP(B313,'20-A.SINAPI-I'!A:G,2,0),IF(D313="COMPOSIÇÕES",VLOOKUP(B313,'11.COMPOSIÇÕES GERAIS'!B:I,2,0),VLOOKUP(B313,'12.COT.MERCADO'!A:I,2,0)))),"Em Elaboração")</f>
        <v>LUVA SIMPLES, PVC SERIE R, 100 MM, PARA ESGOTO PREDIAL</v>
      </c>
      <c r="F313" s="258" t="str">
        <f>IFERROR(IF(D313="SINAPI-S",VLOOKUP(B313,'20-B.SINAPI-S'!A:J,3,0),IF(D313="SINAPI-I",VLOOKUP(B313,'20-A.SINAPI-I'!A:G,3,0),IF(D313="COMPOSIÇÕES",VLOOKUP(B313,'11.COMPOSIÇÕES GERAIS'!B:I,3,0),VLOOKUP(B313,'12.COT.MERCADO'!A:I,7,0)))),"Em Elaboração")</f>
        <v>UN</v>
      </c>
      <c r="G313" s="254">
        <v>2.0</v>
      </c>
      <c r="H313" s="259">
        <f>IFERROR(IF(D313="SINAPI-S",VLOOKUP(B313,'20-B.SINAPI-S'!A:J,5,0),IF(D313="SINAPI-I",VLOOKUP(B313,'20-A.SINAPI-I'!A:G,6,0),IF(D313="COMPOSIÇÕES",VLOOKUP(B313,'11.COMPOSIÇÕES GERAIS'!B:I,7,0),0))),"Em Elaboração")</f>
        <v>0</v>
      </c>
      <c r="I313" s="259">
        <f>IFERROR(IF(D313="SINAPI-S",VLOOKUP(B313,'20-B.SINAPI-S'!A:J,6,0),IF(D313="SINAPI-I",VLOOKUP(B313,'20-A.SINAPI-I'!A:G,7,0),IF(D313="COMPOSIÇÕES",VLOOKUP(B313,'11.COMPOSIÇÕES GERAIS'!B:I,8,0),VLOOKUP(B313,'12.COT.MERCADO'!A:I,8,0)))),"Em Elaboração")</f>
        <v>15.48</v>
      </c>
      <c r="J313" s="259">
        <f t="shared" si="13"/>
        <v>0</v>
      </c>
      <c r="K313" s="259">
        <f t="shared" si="14"/>
        <v>18.13225938</v>
      </c>
      <c r="L313" s="259">
        <f t="shared" si="15"/>
        <v>18.13225938</v>
      </c>
      <c r="M313" s="259">
        <f t="shared" si="16"/>
        <v>0</v>
      </c>
      <c r="N313" s="259">
        <f t="shared" si="17"/>
        <v>36.26451876</v>
      </c>
      <c r="O313" s="259">
        <f t="shared" si="18"/>
        <v>36.26451876</v>
      </c>
      <c r="P313" s="586">
        <f t="shared" si="3"/>
        <v>0.000197688628</v>
      </c>
    </row>
    <row r="314">
      <c r="A314" s="253" t="s">
        <v>858</v>
      </c>
      <c r="B314" s="254">
        <v>20171.0</v>
      </c>
      <c r="C314" s="255" t="str">
        <f t="shared" si="12"/>
        <v>SINAPI</v>
      </c>
      <c r="D314" s="256" t="s">
        <v>286</v>
      </c>
      <c r="E314" s="257" t="str">
        <f>IFERROR(IF(D314="SINAPI-S",VLOOKUP(B314,'20-B.SINAPI-S'!A:J,2,0),IF(D314="SINAPI-I",VLOOKUP(B314,'20-A.SINAPI-I'!A:G,2,0),IF(D314="COMPOSIÇÕES",VLOOKUP(B314,'11.COMPOSIÇÕES GERAIS'!B:I,2,0),VLOOKUP(B314,'12.COT.MERCADO'!A:I,2,0)))),"Em Elaboração")</f>
        <v>LUVA SIMPLES, PVC SERIE R, 150 MM, PARA ESGOTO PREDIAL</v>
      </c>
      <c r="F314" s="258" t="str">
        <f>IFERROR(IF(D314="SINAPI-S",VLOOKUP(B314,'20-B.SINAPI-S'!A:J,3,0),IF(D314="SINAPI-I",VLOOKUP(B314,'20-A.SINAPI-I'!A:G,3,0),IF(D314="COMPOSIÇÕES",VLOOKUP(B314,'11.COMPOSIÇÕES GERAIS'!B:I,3,0),VLOOKUP(B314,'12.COT.MERCADO'!A:I,7,0)))),"Em Elaboração")</f>
        <v>UN</v>
      </c>
      <c r="G314" s="254">
        <v>2.0</v>
      </c>
      <c r="H314" s="259">
        <f>IFERROR(IF(D314="SINAPI-S",VLOOKUP(B314,'20-B.SINAPI-S'!A:J,5,0),IF(D314="SINAPI-I",VLOOKUP(B314,'20-A.SINAPI-I'!A:G,6,0),IF(D314="COMPOSIÇÕES",VLOOKUP(B314,'11.COMPOSIÇÕES GERAIS'!B:I,7,0),0))),"Em Elaboração")</f>
        <v>0</v>
      </c>
      <c r="I314" s="259">
        <f>IFERROR(IF(D314="SINAPI-S",VLOOKUP(B314,'20-B.SINAPI-S'!A:J,6,0),IF(D314="SINAPI-I",VLOOKUP(B314,'20-A.SINAPI-I'!A:G,7,0),IF(D314="COMPOSIÇÕES",VLOOKUP(B314,'11.COMPOSIÇÕES GERAIS'!B:I,8,0),VLOOKUP(B314,'12.COT.MERCADO'!A:I,8,0)))),"Em Elaboração")</f>
        <v>44.65</v>
      </c>
      <c r="J314" s="259">
        <f t="shared" si="13"/>
        <v>0</v>
      </c>
      <c r="K314" s="259">
        <f t="shared" si="14"/>
        <v>52.30008923</v>
      </c>
      <c r="L314" s="259">
        <f t="shared" si="15"/>
        <v>52.30008923</v>
      </c>
      <c r="M314" s="259">
        <f t="shared" si="16"/>
        <v>0</v>
      </c>
      <c r="N314" s="259">
        <f t="shared" si="17"/>
        <v>104.6001785</v>
      </c>
      <c r="O314" s="259">
        <f t="shared" si="18"/>
        <v>104.6001785</v>
      </c>
      <c r="P314" s="586">
        <f t="shared" si="3"/>
        <v>0.0005702065401</v>
      </c>
    </row>
    <row r="315">
      <c r="A315" s="253" t="s">
        <v>859</v>
      </c>
      <c r="B315" s="254">
        <v>20169.0</v>
      </c>
      <c r="C315" s="255" t="str">
        <f t="shared" si="12"/>
        <v>SINAPI</v>
      </c>
      <c r="D315" s="256" t="s">
        <v>286</v>
      </c>
      <c r="E315" s="257" t="str">
        <f>IFERROR(IF(D315="SINAPI-S",VLOOKUP(B315,'20-B.SINAPI-S'!A:J,2,0),IF(D315="SINAPI-I",VLOOKUP(B315,'20-A.SINAPI-I'!A:G,2,0),IF(D315="COMPOSIÇÕES",VLOOKUP(B315,'11.COMPOSIÇÕES GERAIS'!B:I,2,0),VLOOKUP(B315,'12.COT.MERCADO'!A:I,2,0)))),"Em Elaboração")</f>
        <v>LUVA SIMPLES, PVC SERIE R, 75 MM, PARA ESGOTO PREDIAL</v>
      </c>
      <c r="F315" s="258" t="str">
        <f>IFERROR(IF(D315="SINAPI-S",VLOOKUP(B315,'20-B.SINAPI-S'!A:J,3,0),IF(D315="SINAPI-I",VLOOKUP(B315,'20-A.SINAPI-I'!A:G,3,0),IF(D315="COMPOSIÇÕES",VLOOKUP(B315,'11.COMPOSIÇÕES GERAIS'!B:I,3,0),VLOOKUP(B315,'12.COT.MERCADO'!A:I,7,0)))),"Em Elaboração")</f>
        <v>UN</v>
      </c>
      <c r="G315" s="254">
        <v>2.0</v>
      </c>
      <c r="H315" s="259">
        <f>IFERROR(IF(D315="SINAPI-S",VLOOKUP(B315,'20-B.SINAPI-S'!A:J,5,0),IF(D315="SINAPI-I",VLOOKUP(B315,'20-A.SINAPI-I'!A:G,6,0),IF(D315="COMPOSIÇÕES",VLOOKUP(B315,'11.COMPOSIÇÕES GERAIS'!B:I,7,0),0))),"Em Elaboração")</f>
        <v>0</v>
      </c>
      <c r="I315" s="259">
        <f>IFERROR(IF(D315="SINAPI-S",VLOOKUP(B315,'20-B.SINAPI-S'!A:J,6,0),IF(D315="SINAPI-I",VLOOKUP(B315,'20-A.SINAPI-I'!A:G,7,0),IF(D315="COMPOSIÇÕES",VLOOKUP(B315,'11.COMPOSIÇÕES GERAIS'!B:I,8,0),VLOOKUP(B315,'12.COT.MERCADO'!A:I,8,0)))),"Em Elaboração")</f>
        <v>13.48</v>
      </c>
      <c r="J315" s="259">
        <f t="shared" si="13"/>
        <v>0</v>
      </c>
      <c r="K315" s="259">
        <f t="shared" si="14"/>
        <v>15.78959021</v>
      </c>
      <c r="L315" s="259">
        <f t="shared" si="15"/>
        <v>15.78959021</v>
      </c>
      <c r="M315" s="259">
        <f t="shared" si="16"/>
        <v>0</v>
      </c>
      <c r="N315" s="259">
        <f t="shared" si="17"/>
        <v>31.57918042</v>
      </c>
      <c r="O315" s="259">
        <f t="shared" si="18"/>
        <v>31.57918042</v>
      </c>
      <c r="P315" s="586">
        <f t="shared" si="3"/>
        <v>0.0001721474616</v>
      </c>
    </row>
    <row r="316">
      <c r="A316" s="253" t="s">
        <v>860</v>
      </c>
      <c r="B316" s="254">
        <v>3904.0</v>
      </c>
      <c r="C316" s="255" t="str">
        <f t="shared" si="12"/>
        <v>SINAPI</v>
      </c>
      <c r="D316" s="256" t="s">
        <v>286</v>
      </c>
      <c r="E316" s="257" t="str">
        <f>IFERROR(IF(D316="SINAPI-S",VLOOKUP(B316,'20-B.SINAPI-S'!A:J,2,0),IF(D316="SINAPI-I",VLOOKUP(B316,'20-A.SINAPI-I'!A:G,2,0),IF(D316="COMPOSIÇÕES",VLOOKUP(B316,'11.COMPOSIÇÕES GERAIS'!B:I,2,0),VLOOKUP(B316,'12.COT.MERCADO'!A:I,2,0)))),"Em Elaboração")</f>
        <v>LUVA PVC SOLDAVEL, 25 MM, PARA AGUA FRIA PREDIAL</v>
      </c>
      <c r="F316" s="258" t="str">
        <f>IFERROR(IF(D316="SINAPI-S",VLOOKUP(B316,'20-B.SINAPI-S'!A:J,3,0),IF(D316="SINAPI-I",VLOOKUP(B316,'20-A.SINAPI-I'!A:G,3,0),IF(D316="COMPOSIÇÕES",VLOOKUP(B316,'11.COMPOSIÇÕES GERAIS'!B:I,3,0),VLOOKUP(B316,'12.COT.MERCADO'!A:I,7,0)))),"Em Elaboração")</f>
        <v>UN</v>
      </c>
      <c r="G316" s="254">
        <v>2.0</v>
      </c>
      <c r="H316" s="259">
        <f>IFERROR(IF(D316="SINAPI-S",VLOOKUP(B316,'20-B.SINAPI-S'!A:J,5,0),IF(D316="SINAPI-I",VLOOKUP(B316,'20-A.SINAPI-I'!A:G,6,0),IF(D316="COMPOSIÇÕES",VLOOKUP(B316,'11.COMPOSIÇÕES GERAIS'!B:I,7,0),0))),"Em Elaboração")</f>
        <v>0</v>
      </c>
      <c r="I316" s="259">
        <f>IFERROR(IF(D316="SINAPI-S",VLOOKUP(B316,'20-B.SINAPI-S'!A:J,6,0),IF(D316="SINAPI-I",VLOOKUP(B316,'20-A.SINAPI-I'!A:G,7,0),IF(D316="COMPOSIÇÕES",VLOOKUP(B316,'11.COMPOSIÇÕES GERAIS'!B:I,8,0),VLOOKUP(B316,'12.COT.MERCADO'!A:I,8,0)))),"Em Elaboração")</f>
        <v>0.86</v>
      </c>
      <c r="J316" s="259">
        <f t="shared" si="13"/>
        <v>0</v>
      </c>
      <c r="K316" s="259">
        <f t="shared" si="14"/>
        <v>1.007347743</v>
      </c>
      <c r="L316" s="259">
        <f t="shared" si="15"/>
        <v>1.007347743</v>
      </c>
      <c r="M316" s="259">
        <f t="shared" si="16"/>
        <v>0</v>
      </c>
      <c r="N316" s="259">
        <f t="shared" si="17"/>
        <v>2.014695486</v>
      </c>
      <c r="O316" s="259">
        <f t="shared" si="18"/>
        <v>2.014695486</v>
      </c>
      <c r="P316" s="586">
        <f t="shared" si="3"/>
        <v>0.00001098270156</v>
      </c>
    </row>
    <row r="317">
      <c r="A317" s="253" t="s">
        <v>861</v>
      </c>
      <c r="B317" s="254">
        <v>3903.0</v>
      </c>
      <c r="C317" s="255" t="str">
        <f t="shared" si="12"/>
        <v>SINAPI</v>
      </c>
      <c r="D317" s="256" t="s">
        <v>286</v>
      </c>
      <c r="E317" s="257" t="str">
        <f>IFERROR(IF(D317="SINAPI-S",VLOOKUP(B317,'20-B.SINAPI-S'!A:J,2,0),IF(D317="SINAPI-I",VLOOKUP(B317,'20-A.SINAPI-I'!A:G,2,0),IF(D317="COMPOSIÇÕES",VLOOKUP(B317,'11.COMPOSIÇÕES GERAIS'!B:I,2,0),VLOOKUP(B317,'12.COT.MERCADO'!A:I,2,0)))),"Em Elaboração")</f>
        <v>LUVA PVC SOLDAVEL, 32 MM, PARA AGUA FRIA PREDIAL</v>
      </c>
      <c r="F317" s="258" t="str">
        <f>IFERROR(IF(D317="SINAPI-S",VLOOKUP(B317,'20-B.SINAPI-S'!A:J,3,0),IF(D317="SINAPI-I",VLOOKUP(B317,'20-A.SINAPI-I'!A:G,3,0),IF(D317="COMPOSIÇÕES",VLOOKUP(B317,'11.COMPOSIÇÕES GERAIS'!B:I,3,0),VLOOKUP(B317,'12.COT.MERCADO'!A:I,7,0)))),"Em Elaboração")</f>
        <v>UN</v>
      </c>
      <c r="G317" s="254">
        <v>2.0</v>
      </c>
      <c r="H317" s="259">
        <f>IFERROR(IF(D317="SINAPI-S",VLOOKUP(B317,'20-B.SINAPI-S'!A:J,5,0),IF(D317="SINAPI-I",VLOOKUP(B317,'20-A.SINAPI-I'!A:G,6,0),IF(D317="COMPOSIÇÕES",VLOOKUP(B317,'11.COMPOSIÇÕES GERAIS'!B:I,7,0),0))),"Em Elaboração")</f>
        <v>0</v>
      </c>
      <c r="I317" s="259">
        <f>IFERROR(IF(D317="SINAPI-S",VLOOKUP(B317,'20-B.SINAPI-S'!A:J,6,0),IF(D317="SINAPI-I",VLOOKUP(B317,'20-A.SINAPI-I'!A:G,7,0),IF(D317="COMPOSIÇÕES",VLOOKUP(B317,'11.COMPOSIÇÕES GERAIS'!B:I,8,0),VLOOKUP(B317,'12.COT.MERCADO'!A:I,8,0)))),"Em Elaboração")</f>
        <v>2.09</v>
      </c>
      <c r="J317" s="259">
        <f t="shared" si="13"/>
        <v>0</v>
      </c>
      <c r="K317" s="259">
        <f t="shared" si="14"/>
        <v>2.448089283</v>
      </c>
      <c r="L317" s="259">
        <f t="shared" si="15"/>
        <v>2.448089283</v>
      </c>
      <c r="M317" s="259">
        <f t="shared" si="16"/>
        <v>0</v>
      </c>
      <c r="N317" s="259">
        <f t="shared" si="17"/>
        <v>4.896178566</v>
      </c>
      <c r="O317" s="259">
        <f t="shared" si="18"/>
        <v>4.896178566</v>
      </c>
      <c r="P317" s="586">
        <f t="shared" si="3"/>
        <v>0.0000266905189</v>
      </c>
    </row>
    <row r="318">
      <c r="A318" s="253" t="s">
        <v>862</v>
      </c>
      <c r="B318" s="254">
        <v>3862.0</v>
      </c>
      <c r="C318" s="255" t="str">
        <f t="shared" si="12"/>
        <v>SINAPI</v>
      </c>
      <c r="D318" s="256" t="s">
        <v>286</v>
      </c>
      <c r="E318" s="257" t="str">
        <f>IFERROR(IF(D318="SINAPI-S",VLOOKUP(B318,'20-B.SINAPI-S'!A:J,2,0),IF(D318="SINAPI-I",VLOOKUP(B318,'20-A.SINAPI-I'!A:G,2,0),IF(D318="COMPOSIÇÕES",VLOOKUP(B318,'11.COMPOSIÇÕES GERAIS'!B:I,2,0),VLOOKUP(B318,'12.COT.MERCADO'!A:I,2,0)))),"Em Elaboração")</f>
        <v>LUVA PVC SOLDAVEL, 40 MM, PARA AGUA FRIA PREDIAL</v>
      </c>
      <c r="F318" s="258" t="str">
        <f>IFERROR(IF(D318="SINAPI-S",VLOOKUP(B318,'20-B.SINAPI-S'!A:J,3,0),IF(D318="SINAPI-I",VLOOKUP(B318,'20-A.SINAPI-I'!A:G,3,0),IF(D318="COMPOSIÇÕES",VLOOKUP(B318,'11.COMPOSIÇÕES GERAIS'!B:I,3,0),VLOOKUP(B318,'12.COT.MERCADO'!A:I,7,0)))),"Em Elaboração")</f>
        <v>UN</v>
      </c>
      <c r="G318" s="254">
        <v>2.0</v>
      </c>
      <c r="H318" s="259">
        <f>IFERROR(IF(D318="SINAPI-S",VLOOKUP(B318,'20-B.SINAPI-S'!A:J,5,0),IF(D318="SINAPI-I",VLOOKUP(B318,'20-A.SINAPI-I'!A:G,6,0),IF(D318="COMPOSIÇÕES",VLOOKUP(B318,'11.COMPOSIÇÕES GERAIS'!B:I,7,0),0))),"Em Elaboração")</f>
        <v>0</v>
      </c>
      <c r="I318" s="259">
        <f>IFERROR(IF(D318="SINAPI-S",VLOOKUP(B318,'20-B.SINAPI-S'!A:J,6,0),IF(D318="SINAPI-I",VLOOKUP(B318,'20-A.SINAPI-I'!A:G,7,0),IF(D318="COMPOSIÇÕES",VLOOKUP(B318,'11.COMPOSIÇÕES GERAIS'!B:I,8,0),VLOOKUP(B318,'12.COT.MERCADO'!A:I,8,0)))),"Em Elaboração")</f>
        <v>4.46</v>
      </c>
      <c r="J318" s="259">
        <f t="shared" si="13"/>
        <v>0</v>
      </c>
      <c r="K318" s="259">
        <f t="shared" si="14"/>
        <v>5.22415225</v>
      </c>
      <c r="L318" s="259">
        <f t="shared" si="15"/>
        <v>5.22415225</v>
      </c>
      <c r="M318" s="259">
        <f t="shared" si="16"/>
        <v>0</v>
      </c>
      <c r="N318" s="259">
        <f t="shared" si="17"/>
        <v>10.4483045</v>
      </c>
      <c r="O318" s="259">
        <f t="shared" si="18"/>
        <v>10.4483045</v>
      </c>
      <c r="P318" s="586">
        <f t="shared" si="3"/>
        <v>0.00005695680109</v>
      </c>
    </row>
    <row r="319">
      <c r="A319" s="253" t="s">
        <v>863</v>
      </c>
      <c r="B319" s="254">
        <v>3863.0</v>
      </c>
      <c r="C319" s="255" t="str">
        <f t="shared" si="12"/>
        <v>SINAPI</v>
      </c>
      <c r="D319" s="256" t="s">
        <v>286</v>
      </c>
      <c r="E319" s="257" t="str">
        <f>IFERROR(IF(D319="SINAPI-S",VLOOKUP(B319,'20-B.SINAPI-S'!A:J,2,0),IF(D319="SINAPI-I",VLOOKUP(B319,'20-A.SINAPI-I'!A:G,2,0),IF(D319="COMPOSIÇÕES",VLOOKUP(B319,'11.COMPOSIÇÕES GERAIS'!B:I,2,0),VLOOKUP(B319,'12.COT.MERCADO'!A:I,2,0)))),"Em Elaboração")</f>
        <v>LUVA PVC SOLDAVEL, 50 MM, PARA AGUA FRIA PREDIAL</v>
      </c>
      <c r="F319" s="258" t="str">
        <f>IFERROR(IF(D319="SINAPI-S",VLOOKUP(B319,'20-B.SINAPI-S'!A:J,3,0),IF(D319="SINAPI-I",VLOOKUP(B319,'20-A.SINAPI-I'!A:G,3,0),IF(D319="COMPOSIÇÕES",VLOOKUP(B319,'11.COMPOSIÇÕES GERAIS'!B:I,3,0),VLOOKUP(B319,'12.COT.MERCADO'!A:I,7,0)))),"Em Elaboração")</f>
        <v>UN</v>
      </c>
      <c r="G319" s="254">
        <v>2.0</v>
      </c>
      <c r="H319" s="259">
        <f>IFERROR(IF(D319="SINAPI-S",VLOOKUP(B319,'20-B.SINAPI-S'!A:J,5,0),IF(D319="SINAPI-I",VLOOKUP(B319,'20-A.SINAPI-I'!A:G,6,0),IF(D319="COMPOSIÇÕES",VLOOKUP(B319,'11.COMPOSIÇÕES GERAIS'!B:I,7,0),0))),"Em Elaboração")</f>
        <v>0</v>
      </c>
      <c r="I319" s="259">
        <f>IFERROR(IF(D319="SINAPI-S",VLOOKUP(B319,'20-B.SINAPI-S'!A:J,6,0),IF(D319="SINAPI-I",VLOOKUP(B319,'20-A.SINAPI-I'!A:G,7,0),IF(D319="COMPOSIÇÕES",VLOOKUP(B319,'11.COMPOSIÇÕES GERAIS'!B:I,8,0),VLOOKUP(B319,'12.COT.MERCADO'!A:I,8,0)))),"Em Elaboração")</f>
        <v>4.57</v>
      </c>
      <c r="J319" s="259">
        <f t="shared" si="13"/>
        <v>0</v>
      </c>
      <c r="K319" s="259">
        <f t="shared" si="14"/>
        <v>5.352999054</v>
      </c>
      <c r="L319" s="259">
        <f t="shared" si="15"/>
        <v>5.352999054</v>
      </c>
      <c r="M319" s="259">
        <f t="shared" si="16"/>
        <v>0</v>
      </c>
      <c r="N319" s="259">
        <f t="shared" si="17"/>
        <v>10.70599811</v>
      </c>
      <c r="O319" s="259">
        <f t="shared" si="18"/>
        <v>10.70599811</v>
      </c>
      <c r="P319" s="586">
        <f t="shared" si="3"/>
        <v>0.00005836156525</v>
      </c>
    </row>
    <row r="320">
      <c r="A320" s="253" t="s">
        <v>864</v>
      </c>
      <c r="B320" s="254">
        <v>3864.0</v>
      </c>
      <c r="C320" s="255" t="str">
        <f t="shared" si="12"/>
        <v>SINAPI</v>
      </c>
      <c r="D320" s="256" t="s">
        <v>286</v>
      </c>
      <c r="E320" s="257" t="str">
        <f>IFERROR(IF(D320="SINAPI-S",VLOOKUP(B320,'20-B.SINAPI-S'!A:J,2,0),IF(D320="SINAPI-I",VLOOKUP(B320,'20-A.SINAPI-I'!A:G,2,0),IF(D320="COMPOSIÇÕES",VLOOKUP(B320,'11.COMPOSIÇÕES GERAIS'!B:I,2,0),VLOOKUP(B320,'12.COT.MERCADO'!A:I,2,0)))),"Em Elaboração")</f>
        <v>LUVA PVC SOLDAVEL, 60 MM, PARA AGUA FRIA PREDIAL</v>
      </c>
      <c r="F320" s="258" t="str">
        <f>IFERROR(IF(D320="SINAPI-S",VLOOKUP(B320,'20-B.SINAPI-S'!A:J,3,0),IF(D320="SINAPI-I",VLOOKUP(B320,'20-A.SINAPI-I'!A:G,3,0),IF(D320="COMPOSIÇÕES",VLOOKUP(B320,'11.COMPOSIÇÕES GERAIS'!B:I,3,0),VLOOKUP(B320,'12.COT.MERCADO'!A:I,7,0)))),"Em Elaboração")</f>
        <v>UN</v>
      </c>
      <c r="G320" s="254">
        <v>2.0</v>
      </c>
      <c r="H320" s="259">
        <f>IFERROR(IF(D320="SINAPI-S",VLOOKUP(B320,'20-B.SINAPI-S'!A:J,5,0),IF(D320="SINAPI-I",VLOOKUP(B320,'20-A.SINAPI-I'!A:G,6,0),IF(D320="COMPOSIÇÕES",VLOOKUP(B320,'11.COMPOSIÇÕES GERAIS'!B:I,7,0),0))),"Em Elaboração")</f>
        <v>0</v>
      </c>
      <c r="I320" s="259">
        <f>IFERROR(IF(D320="SINAPI-S",VLOOKUP(B320,'20-B.SINAPI-S'!A:J,6,0),IF(D320="SINAPI-I",VLOOKUP(B320,'20-A.SINAPI-I'!A:G,7,0),IF(D320="COMPOSIÇÕES",VLOOKUP(B320,'11.COMPOSIÇÕES GERAIS'!B:I,8,0),VLOOKUP(B320,'12.COT.MERCADO'!A:I,8,0)))),"Em Elaboração")</f>
        <v>13.99</v>
      </c>
      <c r="J320" s="259">
        <f t="shared" si="13"/>
        <v>0</v>
      </c>
      <c r="K320" s="259">
        <f t="shared" si="14"/>
        <v>16.38697085</v>
      </c>
      <c r="L320" s="259">
        <f t="shared" si="15"/>
        <v>16.38697085</v>
      </c>
      <c r="M320" s="259">
        <f t="shared" si="16"/>
        <v>0</v>
      </c>
      <c r="N320" s="259">
        <f t="shared" si="17"/>
        <v>32.77394169</v>
      </c>
      <c r="O320" s="259">
        <f t="shared" si="18"/>
        <v>32.77394169</v>
      </c>
      <c r="P320" s="586">
        <f t="shared" si="3"/>
        <v>0.000178660459</v>
      </c>
    </row>
    <row r="321">
      <c r="A321" s="253" t="s">
        <v>865</v>
      </c>
      <c r="B321" s="254">
        <v>37985.0</v>
      </c>
      <c r="C321" s="255" t="str">
        <f t="shared" si="12"/>
        <v>SINAPI</v>
      </c>
      <c r="D321" s="256" t="s">
        <v>286</v>
      </c>
      <c r="E321" s="257" t="str">
        <f>IFERROR(IF(D321="SINAPI-S",VLOOKUP(B321,'20-B.SINAPI-S'!A:J,2,0),IF(D321="SINAPI-I",VLOOKUP(B321,'20-A.SINAPI-I'!A:G,2,0),IF(D321="COMPOSIÇÕES",VLOOKUP(B321,'11.COMPOSIÇÕES GERAIS'!B:I,2,0),VLOOKUP(B321,'12.COT.MERCADO'!A:I,2,0)))),"Em Elaboração")</f>
        <v>LUVA DE CORRER, CPVC, SOLDAVEL, 42 MM, PARA AGUA QUENTE PREDIAL</v>
      </c>
      <c r="F321" s="258" t="str">
        <f>IFERROR(IF(D321="SINAPI-S",VLOOKUP(B321,'20-B.SINAPI-S'!A:J,3,0),IF(D321="SINAPI-I",VLOOKUP(B321,'20-A.SINAPI-I'!A:G,3,0),IF(D321="COMPOSIÇÕES",VLOOKUP(B321,'11.COMPOSIÇÕES GERAIS'!B:I,3,0),VLOOKUP(B321,'12.COT.MERCADO'!A:I,7,0)))),"Em Elaboração")</f>
        <v>UN</v>
      </c>
      <c r="G321" s="254">
        <v>2.0</v>
      </c>
      <c r="H321" s="259">
        <f>IFERROR(IF(D321="SINAPI-S",VLOOKUP(B321,'20-B.SINAPI-S'!A:J,5,0),IF(D321="SINAPI-I",VLOOKUP(B321,'20-A.SINAPI-I'!A:G,6,0),IF(D321="COMPOSIÇÕES",VLOOKUP(B321,'11.COMPOSIÇÕES GERAIS'!B:I,7,0),0))),"Em Elaboração")</f>
        <v>0</v>
      </c>
      <c r="I321" s="259">
        <f>IFERROR(IF(D321="SINAPI-S",VLOOKUP(B321,'20-B.SINAPI-S'!A:J,6,0),IF(D321="SINAPI-I",VLOOKUP(B321,'20-A.SINAPI-I'!A:G,7,0),IF(D321="COMPOSIÇÕES",VLOOKUP(B321,'11.COMPOSIÇÕES GERAIS'!B:I,8,0),VLOOKUP(B321,'12.COT.MERCADO'!A:I,8,0)))),"Em Elaboração")</f>
        <v>30.02</v>
      </c>
      <c r="J321" s="259">
        <f t="shared" si="13"/>
        <v>0</v>
      </c>
      <c r="K321" s="259">
        <f t="shared" si="14"/>
        <v>35.16346425</v>
      </c>
      <c r="L321" s="259">
        <f t="shared" si="15"/>
        <v>35.16346425</v>
      </c>
      <c r="M321" s="259">
        <f t="shared" si="16"/>
        <v>0</v>
      </c>
      <c r="N321" s="259">
        <f t="shared" si="17"/>
        <v>70.32692849</v>
      </c>
      <c r="O321" s="259">
        <f t="shared" si="18"/>
        <v>70.32692849</v>
      </c>
      <c r="P321" s="586">
        <f t="shared" si="3"/>
        <v>0.0003833729078</v>
      </c>
    </row>
    <row r="322">
      <c r="A322" s="253" t="s">
        <v>866</v>
      </c>
      <c r="B322" s="254">
        <v>3871.0</v>
      </c>
      <c r="C322" s="255" t="str">
        <f t="shared" si="12"/>
        <v>SINAPI</v>
      </c>
      <c r="D322" s="256" t="s">
        <v>286</v>
      </c>
      <c r="E322" s="257" t="str">
        <f>IFERROR(IF(D322="SINAPI-S",VLOOKUP(B322,'20-B.SINAPI-S'!A:J,2,0),IF(D322="SINAPI-I",VLOOKUP(B322,'20-A.SINAPI-I'!A:G,2,0),IF(D322="COMPOSIÇÕES",VLOOKUP(B322,'11.COMPOSIÇÕES GERAIS'!B:I,2,0),VLOOKUP(B322,'12.COT.MERCADO'!A:I,2,0)))),"Em Elaboração")</f>
        <v>LUVA SOLDAVEL COM ROSCA, PVC, 50 MM X 1 1/2", PARA AGUA FRIA PREDIAL</v>
      </c>
      <c r="F322" s="258" t="str">
        <f>IFERROR(IF(D322="SINAPI-S",VLOOKUP(B322,'20-B.SINAPI-S'!A:J,3,0),IF(D322="SINAPI-I",VLOOKUP(B322,'20-A.SINAPI-I'!A:G,3,0),IF(D322="COMPOSIÇÕES",VLOOKUP(B322,'11.COMPOSIÇÕES GERAIS'!B:I,3,0),VLOOKUP(B322,'12.COT.MERCADO'!A:I,7,0)))),"Em Elaboração")</f>
        <v>UN</v>
      </c>
      <c r="G322" s="254">
        <v>2.0</v>
      </c>
      <c r="H322" s="259">
        <f>IFERROR(IF(D322="SINAPI-S",VLOOKUP(B322,'20-B.SINAPI-S'!A:J,5,0),IF(D322="SINAPI-I",VLOOKUP(B322,'20-A.SINAPI-I'!A:G,6,0),IF(D322="COMPOSIÇÕES",VLOOKUP(B322,'11.COMPOSIÇÕES GERAIS'!B:I,7,0),0))),"Em Elaboração")</f>
        <v>0</v>
      </c>
      <c r="I322" s="259">
        <f>IFERROR(IF(D322="SINAPI-S",VLOOKUP(B322,'20-B.SINAPI-S'!A:J,6,0),IF(D322="SINAPI-I",VLOOKUP(B322,'20-A.SINAPI-I'!A:G,7,0),IF(D322="COMPOSIÇÕES",VLOOKUP(B322,'11.COMPOSIÇÕES GERAIS'!B:I,8,0),VLOOKUP(B322,'12.COT.MERCADO'!A:I,8,0)))),"Em Elaboração")</f>
        <v>19.14</v>
      </c>
      <c r="J322" s="259">
        <f t="shared" si="13"/>
        <v>0</v>
      </c>
      <c r="K322" s="259">
        <f t="shared" si="14"/>
        <v>22.41934396</v>
      </c>
      <c r="L322" s="259">
        <f t="shared" si="15"/>
        <v>22.41934396</v>
      </c>
      <c r="M322" s="259">
        <f t="shared" si="16"/>
        <v>0</v>
      </c>
      <c r="N322" s="259">
        <f t="shared" si="17"/>
        <v>44.83868792</v>
      </c>
      <c r="O322" s="259">
        <f t="shared" si="18"/>
        <v>44.83868792</v>
      </c>
      <c r="P322" s="586">
        <f t="shared" si="3"/>
        <v>0.0002444289625</v>
      </c>
    </row>
    <row r="323">
      <c r="A323" s="253" t="s">
        <v>867</v>
      </c>
      <c r="B323" s="254">
        <v>3825.0</v>
      </c>
      <c r="C323" s="255" t="str">
        <f t="shared" si="12"/>
        <v>SINAPI</v>
      </c>
      <c r="D323" s="256" t="s">
        <v>286</v>
      </c>
      <c r="E323" s="257" t="str">
        <f>IFERROR(IF(D323="SINAPI-S",VLOOKUP(B323,'20-B.SINAPI-S'!A:J,2,0),IF(D323="SINAPI-I",VLOOKUP(B323,'20-A.SINAPI-I'!A:G,2,0),IF(D323="COMPOSIÇÕES",VLOOKUP(B323,'11.COMPOSIÇÕES GERAIS'!B:I,2,0),VLOOKUP(B323,'12.COT.MERCADO'!A:I,2,0)))),"Em Elaboração")</f>
        <v>LUVA DE CORRER, PVC PBA, JE, DN 50 / DE 60 MM, PARA REDE AGUA (NBR 10351)</v>
      </c>
      <c r="F323" s="258" t="str">
        <f>IFERROR(IF(D323="SINAPI-S",VLOOKUP(B323,'20-B.SINAPI-S'!A:J,3,0),IF(D323="SINAPI-I",VLOOKUP(B323,'20-A.SINAPI-I'!A:G,3,0),IF(D323="COMPOSIÇÕES",VLOOKUP(B323,'11.COMPOSIÇÕES GERAIS'!B:I,3,0),VLOOKUP(B323,'12.COT.MERCADO'!A:I,7,0)))),"Em Elaboração")</f>
        <v>UN</v>
      </c>
      <c r="G323" s="254">
        <v>2.0</v>
      </c>
      <c r="H323" s="259">
        <f>IFERROR(IF(D323="SINAPI-S",VLOOKUP(B323,'20-B.SINAPI-S'!A:J,5,0),IF(D323="SINAPI-I",VLOOKUP(B323,'20-A.SINAPI-I'!A:G,6,0),IF(D323="COMPOSIÇÕES",VLOOKUP(B323,'11.COMPOSIÇÕES GERAIS'!B:I,7,0),0))),"Em Elaboração")</f>
        <v>0</v>
      </c>
      <c r="I323" s="259">
        <f>IFERROR(IF(D323="SINAPI-S",VLOOKUP(B323,'20-B.SINAPI-S'!A:J,6,0),IF(D323="SINAPI-I",VLOOKUP(B323,'20-A.SINAPI-I'!A:G,7,0),IF(D323="COMPOSIÇÕES",VLOOKUP(B323,'11.COMPOSIÇÕES GERAIS'!B:I,8,0),VLOOKUP(B323,'12.COT.MERCADO'!A:I,8,0)))),"Em Elaboração")</f>
        <v>14.49</v>
      </c>
      <c r="J323" s="259">
        <f t="shared" si="13"/>
        <v>0</v>
      </c>
      <c r="K323" s="259">
        <f t="shared" si="14"/>
        <v>16.97263814</v>
      </c>
      <c r="L323" s="259">
        <f t="shared" si="15"/>
        <v>16.97263814</v>
      </c>
      <c r="M323" s="259">
        <f t="shared" si="16"/>
        <v>0</v>
      </c>
      <c r="N323" s="259">
        <f t="shared" si="17"/>
        <v>33.94527628</v>
      </c>
      <c r="O323" s="259">
        <f t="shared" si="18"/>
        <v>33.94527628</v>
      </c>
      <c r="P323" s="586">
        <f t="shared" si="3"/>
        <v>0.0001850457506</v>
      </c>
    </row>
    <row r="324">
      <c r="A324" s="253" t="s">
        <v>868</v>
      </c>
      <c r="B324" s="254">
        <v>3874.0</v>
      </c>
      <c r="C324" s="255" t="str">
        <f t="shared" si="12"/>
        <v>SINAPI</v>
      </c>
      <c r="D324" s="256" t="s">
        <v>286</v>
      </c>
      <c r="E324" s="257" t="str">
        <f>IFERROR(IF(D324="SINAPI-S",VLOOKUP(B324,'20-B.SINAPI-S'!A:J,2,0),IF(D324="SINAPI-I",VLOOKUP(B324,'20-A.SINAPI-I'!A:G,2,0),IF(D324="COMPOSIÇÕES",VLOOKUP(B324,'11.COMPOSIÇÕES GERAIS'!B:I,2,0),VLOOKUP(B324,'12.COT.MERCADO'!A:I,2,0)))),"Em Elaboração")</f>
        <v>LUVA SOLDAVEL COM BUCHA DE LATAO, PVC, 25 MM X 1/2"</v>
      </c>
      <c r="F324" s="258" t="str">
        <f>IFERROR(IF(D324="SINAPI-S",VLOOKUP(B324,'20-B.SINAPI-S'!A:J,3,0),IF(D324="SINAPI-I",VLOOKUP(B324,'20-A.SINAPI-I'!A:G,3,0),IF(D324="COMPOSIÇÕES",VLOOKUP(B324,'11.COMPOSIÇÕES GERAIS'!B:I,3,0),VLOOKUP(B324,'12.COT.MERCADO'!A:I,7,0)))),"Em Elaboração")</f>
        <v>UN</v>
      </c>
      <c r="G324" s="254">
        <v>2.0</v>
      </c>
      <c r="H324" s="259">
        <f>IFERROR(IF(D324="SINAPI-S",VLOOKUP(B324,'20-B.SINAPI-S'!A:J,5,0),IF(D324="SINAPI-I",VLOOKUP(B324,'20-A.SINAPI-I'!A:G,6,0),IF(D324="COMPOSIÇÕES",VLOOKUP(B324,'11.COMPOSIÇÕES GERAIS'!B:I,7,0),0))),"Em Elaboração")</f>
        <v>0</v>
      </c>
      <c r="I324" s="259">
        <f>IFERROR(IF(D324="SINAPI-S",VLOOKUP(B324,'20-B.SINAPI-S'!A:J,6,0),IF(D324="SINAPI-I",VLOOKUP(B324,'20-A.SINAPI-I'!A:G,7,0),IF(D324="COMPOSIÇÕES",VLOOKUP(B324,'11.COMPOSIÇÕES GERAIS'!B:I,8,0),VLOOKUP(B324,'12.COT.MERCADO'!A:I,8,0)))),"Em Elaboração")</f>
        <v>6.27</v>
      </c>
      <c r="J324" s="259">
        <f t="shared" si="13"/>
        <v>0</v>
      </c>
      <c r="K324" s="259">
        <f t="shared" si="14"/>
        <v>7.344267849</v>
      </c>
      <c r="L324" s="259">
        <f t="shared" si="15"/>
        <v>7.344267849</v>
      </c>
      <c r="M324" s="259">
        <f t="shared" si="16"/>
        <v>0</v>
      </c>
      <c r="N324" s="259">
        <f t="shared" si="17"/>
        <v>14.6885357</v>
      </c>
      <c r="O324" s="259">
        <f t="shared" si="18"/>
        <v>14.6885357</v>
      </c>
      <c r="P324" s="586">
        <f t="shared" si="3"/>
        <v>0.00008007155669</v>
      </c>
    </row>
    <row r="325">
      <c r="A325" s="253" t="s">
        <v>869</v>
      </c>
      <c r="B325" s="254">
        <v>3870.0</v>
      </c>
      <c r="C325" s="255" t="str">
        <f t="shared" si="12"/>
        <v>SINAPI</v>
      </c>
      <c r="D325" s="256" t="s">
        <v>286</v>
      </c>
      <c r="E325" s="257" t="str">
        <f>IFERROR(IF(D325="SINAPI-S",VLOOKUP(B325,'20-B.SINAPI-S'!A:J,2,0),IF(D325="SINAPI-I",VLOOKUP(B325,'20-A.SINAPI-I'!A:G,2,0),IF(D325="COMPOSIÇÕES",VLOOKUP(B325,'11.COMPOSIÇÕES GERAIS'!B:I,2,0),VLOOKUP(B325,'12.COT.MERCADO'!A:I,2,0)))),"Em Elaboração")</f>
        <v>LUVA SOLDAVEL COM BUCHA DE LATAO, PVC, 25 MM X 3/4"</v>
      </c>
      <c r="F325" s="258" t="str">
        <f>IFERROR(IF(D325="SINAPI-S",VLOOKUP(B325,'20-B.SINAPI-S'!A:J,3,0),IF(D325="SINAPI-I",VLOOKUP(B325,'20-A.SINAPI-I'!A:G,3,0),IF(D325="COMPOSIÇÕES",VLOOKUP(B325,'11.COMPOSIÇÕES GERAIS'!B:I,3,0),VLOOKUP(B325,'12.COT.MERCADO'!A:I,7,0)))),"Em Elaboração")</f>
        <v>UN</v>
      </c>
      <c r="G325" s="254">
        <v>2.0</v>
      </c>
      <c r="H325" s="259">
        <f>IFERROR(IF(D325="SINAPI-S",VLOOKUP(B325,'20-B.SINAPI-S'!A:J,5,0),IF(D325="SINAPI-I",VLOOKUP(B325,'20-A.SINAPI-I'!A:G,6,0),IF(D325="COMPOSIÇÕES",VLOOKUP(B325,'11.COMPOSIÇÕES GERAIS'!B:I,7,0),0))),"Em Elaboração")</f>
        <v>0</v>
      </c>
      <c r="I325" s="259">
        <f>IFERROR(IF(D325="SINAPI-S",VLOOKUP(B325,'20-B.SINAPI-S'!A:J,6,0),IF(D325="SINAPI-I",VLOOKUP(B325,'20-A.SINAPI-I'!A:G,7,0),IF(D325="COMPOSIÇÕES",VLOOKUP(B325,'11.COMPOSIÇÕES GERAIS'!B:I,8,0),VLOOKUP(B325,'12.COT.MERCADO'!A:I,8,0)))),"Em Elaboração")</f>
        <v>6.88</v>
      </c>
      <c r="J325" s="259">
        <f t="shared" si="13"/>
        <v>0</v>
      </c>
      <c r="K325" s="259">
        <f t="shared" si="14"/>
        <v>8.058781946</v>
      </c>
      <c r="L325" s="259">
        <f t="shared" si="15"/>
        <v>8.058781946</v>
      </c>
      <c r="M325" s="259">
        <f t="shared" si="16"/>
        <v>0</v>
      </c>
      <c r="N325" s="259">
        <f t="shared" si="17"/>
        <v>16.11756389</v>
      </c>
      <c r="O325" s="259">
        <f t="shared" si="18"/>
        <v>16.11756389</v>
      </c>
      <c r="P325" s="586">
        <f t="shared" si="3"/>
        <v>0.00008786161245</v>
      </c>
    </row>
    <row r="326">
      <c r="A326" s="253" t="s">
        <v>870</v>
      </c>
      <c r="B326" s="254">
        <v>3873.0</v>
      </c>
      <c r="C326" s="255" t="str">
        <f t="shared" si="12"/>
        <v>SINAPI</v>
      </c>
      <c r="D326" s="256" t="s">
        <v>286</v>
      </c>
      <c r="E326" s="257" t="str">
        <f>IFERROR(IF(D326="SINAPI-S",VLOOKUP(B326,'20-B.SINAPI-S'!A:J,2,0),IF(D326="SINAPI-I",VLOOKUP(B326,'20-A.SINAPI-I'!A:G,2,0),IF(D326="COMPOSIÇÕES",VLOOKUP(B326,'11.COMPOSIÇÕES GERAIS'!B:I,2,0),VLOOKUP(B326,'12.COT.MERCADO'!A:I,2,0)))),"Em Elaboração")</f>
        <v>LUVA DE CORRER PARA TUBO SOLDAVEL, PVC, 25 MM, PARA AGUA FRIA PREDIAL</v>
      </c>
      <c r="F326" s="258" t="str">
        <f>IFERROR(IF(D326="SINAPI-S",VLOOKUP(B326,'20-B.SINAPI-S'!A:J,3,0),IF(D326="SINAPI-I",VLOOKUP(B326,'20-A.SINAPI-I'!A:G,3,0),IF(D326="COMPOSIÇÕES",VLOOKUP(B326,'11.COMPOSIÇÕES GERAIS'!B:I,3,0),VLOOKUP(B326,'12.COT.MERCADO'!A:I,7,0)))),"Em Elaboração")</f>
        <v>UN</v>
      </c>
      <c r="G326" s="254">
        <v>2.0</v>
      </c>
      <c r="H326" s="259">
        <f>IFERROR(IF(D326="SINAPI-S",VLOOKUP(B326,'20-B.SINAPI-S'!A:J,5,0),IF(D326="SINAPI-I",VLOOKUP(B326,'20-A.SINAPI-I'!A:G,6,0),IF(D326="COMPOSIÇÕES",VLOOKUP(B326,'11.COMPOSIÇÕES GERAIS'!B:I,7,0),0))),"Em Elaboração")</f>
        <v>0</v>
      </c>
      <c r="I326" s="259">
        <f>IFERROR(IF(D326="SINAPI-S",VLOOKUP(B326,'20-B.SINAPI-S'!A:J,6,0),IF(D326="SINAPI-I",VLOOKUP(B326,'20-A.SINAPI-I'!A:G,7,0),IF(D326="COMPOSIÇÕES",VLOOKUP(B326,'11.COMPOSIÇÕES GERAIS'!B:I,8,0),VLOOKUP(B326,'12.COT.MERCADO'!A:I,8,0)))),"Em Elaboração")</f>
        <v>12.93</v>
      </c>
      <c r="J326" s="259">
        <f t="shared" si="13"/>
        <v>0</v>
      </c>
      <c r="K326" s="259">
        <f t="shared" si="14"/>
        <v>15.14535619</v>
      </c>
      <c r="L326" s="259">
        <f t="shared" si="15"/>
        <v>15.14535619</v>
      </c>
      <c r="M326" s="259">
        <f t="shared" si="16"/>
        <v>0</v>
      </c>
      <c r="N326" s="259">
        <f t="shared" si="17"/>
        <v>30.29071237</v>
      </c>
      <c r="O326" s="259">
        <f t="shared" si="18"/>
        <v>30.29071237</v>
      </c>
      <c r="P326" s="586">
        <f t="shared" si="3"/>
        <v>0.0001651236408</v>
      </c>
    </row>
    <row r="327">
      <c r="A327" s="253" t="s">
        <v>871</v>
      </c>
      <c r="B327" s="254">
        <v>38021.0</v>
      </c>
      <c r="C327" s="255" t="str">
        <f t="shared" si="12"/>
        <v>SINAPI</v>
      </c>
      <c r="D327" s="256" t="s">
        <v>286</v>
      </c>
      <c r="E327" s="257" t="str">
        <f>IFERROR(IF(D327="SINAPI-S",VLOOKUP(B327,'20-B.SINAPI-S'!A:J,2,0),IF(D327="SINAPI-I",VLOOKUP(B327,'20-A.SINAPI-I'!A:G,2,0),IF(D327="COMPOSIÇÕES",VLOOKUP(B327,'11.COMPOSIÇÕES GERAIS'!B:I,2,0),VLOOKUP(B327,'12.COT.MERCADO'!A:I,2,0)))),"Em Elaboração")</f>
        <v>LUVA DE CORRER PARA TUBO SOLDAVEL, PVC, 32 MM, PARA AGUA FRIA PREDIAL</v>
      </c>
      <c r="F327" s="258" t="str">
        <f>IFERROR(IF(D327="SINAPI-S",VLOOKUP(B327,'20-B.SINAPI-S'!A:J,3,0),IF(D327="SINAPI-I",VLOOKUP(B327,'20-A.SINAPI-I'!A:G,3,0),IF(D327="COMPOSIÇÕES",VLOOKUP(B327,'11.COMPOSIÇÕES GERAIS'!B:I,3,0),VLOOKUP(B327,'12.COT.MERCADO'!A:I,7,0)))),"Em Elaboração")</f>
        <v>UN</v>
      </c>
      <c r="G327" s="254">
        <v>2.0</v>
      </c>
      <c r="H327" s="259">
        <f>IFERROR(IF(D327="SINAPI-S",VLOOKUP(B327,'20-B.SINAPI-S'!A:J,5,0),IF(D327="SINAPI-I",VLOOKUP(B327,'20-A.SINAPI-I'!A:G,6,0),IF(D327="COMPOSIÇÕES",VLOOKUP(B327,'11.COMPOSIÇÕES GERAIS'!B:I,7,0),0))),"Em Elaboração")</f>
        <v>0</v>
      </c>
      <c r="I327" s="259">
        <f>IFERROR(IF(D327="SINAPI-S",VLOOKUP(B327,'20-B.SINAPI-S'!A:J,6,0),IF(D327="SINAPI-I",VLOOKUP(B327,'20-A.SINAPI-I'!A:G,7,0),IF(D327="COMPOSIÇÕES",VLOOKUP(B327,'11.COMPOSIÇÕES GERAIS'!B:I,8,0),VLOOKUP(B327,'12.COT.MERCADO'!A:I,8,0)))),"Em Elaboração")</f>
        <v>22.95</v>
      </c>
      <c r="J327" s="259">
        <f t="shared" si="13"/>
        <v>0</v>
      </c>
      <c r="K327" s="259">
        <f t="shared" si="14"/>
        <v>26.88212873</v>
      </c>
      <c r="L327" s="259">
        <f t="shared" si="15"/>
        <v>26.88212873</v>
      </c>
      <c r="M327" s="259">
        <f t="shared" si="16"/>
        <v>0</v>
      </c>
      <c r="N327" s="259">
        <f t="shared" si="17"/>
        <v>53.76425746</v>
      </c>
      <c r="O327" s="259">
        <f t="shared" si="18"/>
        <v>53.76425746</v>
      </c>
      <c r="P327" s="586">
        <f t="shared" si="3"/>
        <v>0.0002930848845</v>
      </c>
    </row>
    <row r="328">
      <c r="A328" s="253" t="s">
        <v>872</v>
      </c>
      <c r="B328" s="254">
        <v>3847.0</v>
      </c>
      <c r="C328" s="255" t="str">
        <f t="shared" si="12"/>
        <v>SINAPI</v>
      </c>
      <c r="D328" s="256" t="s">
        <v>286</v>
      </c>
      <c r="E328" s="257" t="str">
        <f>IFERROR(IF(D328="SINAPI-S",VLOOKUP(B328,'20-B.SINAPI-S'!A:J,2,0),IF(D328="SINAPI-I",VLOOKUP(B328,'20-A.SINAPI-I'!A:G,2,0),IF(D328="COMPOSIÇÕES",VLOOKUP(B328,'11.COMPOSIÇÕES GERAIS'!B:I,2,0),VLOOKUP(B328,'12.COT.MERCADO'!A:I,2,0)))),"Em Elaboração")</f>
        <v>LUVA DE CORRER PARA TUBO SOLDAVEL, PVC, 50 MM, PARA AGUA FRIA PREDIAL</v>
      </c>
      <c r="F328" s="258" t="str">
        <f>IFERROR(IF(D328="SINAPI-S",VLOOKUP(B328,'20-B.SINAPI-S'!A:J,3,0),IF(D328="SINAPI-I",VLOOKUP(B328,'20-A.SINAPI-I'!A:G,3,0),IF(D328="COMPOSIÇÕES",VLOOKUP(B328,'11.COMPOSIÇÕES GERAIS'!B:I,3,0),VLOOKUP(B328,'12.COT.MERCADO'!A:I,7,0)))),"Em Elaboração")</f>
        <v>UN</v>
      </c>
      <c r="G328" s="254">
        <v>2.0</v>
      </c>
      <c r="H328" s="259">
        <f>IFERROR(IF(D328="SINAPI-S",VLOOKUP(B328,'20-B.SINAPI-S'!A:J,5,0),IF(D328="SINAPI-I",VLOOKUP(B328,'20-A.SINAPI-I'!A:G,6,0),IF(D328="COMPOSIÇÕES",VLOOKUP(B328,'11.COMPOSIÇÕES GERAIS'!B:I,7,0),0))),"Em Elaboração")</f>
        <v>0</v>
      </c>
      <c r="I328" s="259">
        <f>IFERROR(IF(D328="SINAPI-S",VLOOKUP(B328,'20-B.SINAPI-S'!A:J,6,0),IF(D328="SINAPI-I",VLOOKUP(B328,'20-A.SINAPI-I'!A:G,7,0),IF(D328="COMPOSIÇÕES",VLOOKUP(B328,'11.COMPOSIÇÕES GERAIS'!B:I,8,0),VLOOKUP(B328,'12.COT.MERCADO'!A:I,8,0)))),"Em Elaboração")</f>
        <v>29.91</v>
      </c>
      <c r="J328" s="259">
        <f t="shared" si="13"/>
        <v>0</v>
      </c>
      <c r="K328" s="259">
        <f t="shared" si="14"/>
        <v>35.03461744</v>
      </c>
      <c r="L328" s="259">
        <f t="shared" si="15"/>
        <v>35.03461744</v>
      </c>
      <c r="M328" s="259">
        <f t="shared" si="16"/>
        <v>0</v>
      </c>
      <c r="N328" s="259">
        <f t="shared" si="17"/>
        <v>70.06923488</v>
      </c>
      <c r="O328" s="259">
        <f t="shared" si="18"/>
        <v>70.06923488</v>
      </c>
      <c r="P328" s="586">
        <f t="shared" si="3"/>
        <v>0.0003819681437</v>
      </c>
    </row>
    <row r="329">
      <c r="A329" s="253" t="s">
        <v>873</v>
      </c>
      <c r="B329" s="254">
        <v>38022.0</v>
      </c>
      <c r="C329" s="255" t="str">
        <f t="shared" si="12"/>
        <v>SINAPI</v>
      </c>
      <c r="D329" s="256" t="s">
        <v>286</v>
      </c>
      <c r="E329" s="257" t="str">
        <f>IFERROR(IF(D329="SINAPI-S",VLOOKUP(B329,'20-B.SINAPI-S'!A:J,2,0),IF(D329="SINAPI-I",VLOOKUP(B329,'20-A.SINAPI-I'!A:G,2,0),IF(D329="COMPOSIÇÕES",VLOOKUP(B329,'11.COMPOSIÇÕES GERAIS'!B:I,2,0),VLOOKUP(B329,'12.COT.MERCADO'!A:I,2,0)))),"Em Elaboração")</f>
        <v>LUVA DE CORRER PARA TUBO SOLDAVEL, PVC, 60 MM, PARA AGUA FRIA PREDIAL</v>
      </c>
      <c r="F329" s="258" t="str">
        <f>IFERROR(IF(D329="SINAPI-S",VLOOKUP(B329,'20-B.SINAPI-S'!A:J,3,0),IF(D329="SINAPI-I",VLOOKUP(B329,'20-A.SINAPI-I'!A:G,3,0),IF(D329="COMPOSIÇÕES",VLOOKUP(B329,'11.COMPOSIÇÕES GERAIS'!B:I,3,0),VLOOKUP(B329,'12.COT.MERCADO'!A:I,7,0)))),"Em Elaboração")</f>
        <v>UN</v>
      </c>
      <c r="G329" s="254">
        <v>2.0</v>
      </c>
      <c r="H329" s="259">
        <f>IFERROR(IF(D329="SINAPI-S",VLOOKUP(B329,'20-B.SINAPI-S'!A:J,5,0),IF(D329="SINAPI-I",VLOOKUP(B329,'20-A.SINAPI-I'!A:G,6,0),IF(D329="COMPOSIÇÕES",VLOOKUP(B329,'11.COMPOSIÇÕES GERAIS'!B:I,7,0),0))),"Em Elaboração")</f>
        <v>0</v>
      </c>
      <c r="I329" s="259">
        <f>IFERROR(IF(D329="SINAPI-S",VLOOKUP(B329,'20-B.SINAPI-S'!A:J,6,0),IF(D329="SINAPI-I",VLOOKUP(B329,'20-A.SINAPI-I'!A:G,7,0),IF(D329="COMPOSIÇÕES",VLOOKUP(B329,'11.COMPOSIÇÕES GERAIS'!B:I,8,0),VLOOKUP(B329,'12.COT.MERCADO'!A:I,8,0)))),"Em Elaboração")</f>
        <v>41.12</v>
      </c>
      <c r="J329" s="259">
        <f t="shared" si="13"/>
        <v>0</v>
      </c>
      <c r="K329" s="259">
        <f t="shared" si="14"/>
        <v>48.16527814</v>
      </c>
      <c r="L329" s="259">
        <f t="shared" si="15"/>
        <v>48.16527814</v>
      </c>
      <c r="M329" s="259">
        <f t="shared" si="16"/>
        <v>0</v>
      </c>
      <c r="N329" s="259">
        <f t="shared" si="17"/>
        <v>96.33055628</v>
      </c>
      <c r="O329" s="259">
        <f t="shared" si="18"/>
        <v>96.33055628</v>
      </c>
      <c r="P329" s="586">
        <f t="shared" si="3"/>
        <v>0.0005251263814</v>
      </c>
    </row>
    <row r="330">
      <c r="A330" s="253" t="s">
        <v>874</v>
      </c>
      <c r="B330" s="254">
        <v>3899.0</v>
      </c>
      <c r="C330" s="255" t="str">
        <f t="shared" si="12"/>
        <v>SINAPI</v>
      </c>
      <c r="D330" s="256" t="s">
        <v>286</v>
      </c>
      <c r="E330" s="257" t="str">
        <f>IFERROR(IF(D330="SINAPI-S",VLOOKUP(B330,'20-B.SINAPI-S'!A:J,2,0),IF(D330="SINAPI-I",VLOOKUP(B330,'20-A.SINAPI-I'!A:G,2,0),IF(D330="COMPOSIÇÕES",VLOOKUP(B330,'11.COMPOSIÇÕES GERAIS'!B:I,2,0),VLOOKUP(B330,'12.COT.MERCADO'!A:I,2,0)))),"Em Elaboração")</f>
        <v>LUVA SIMPLES, PVC, SOLDAVEL, DN 100 MM, SERIE NORMAL, PARA ESGOTO PREDIAL</v>
      </c>
      <c r="F330" s="258" t="str">
        <f>IFERROR(IF(D330="SINAPI-S",VLOOKUP(B330,'20-B.SINAPI-S'!A:J,3,0),IF(D330="SINAPI-I",VLOOKUP(B330,'20-A.SINAPI-I'!A:G,3,0),IF(D330="COMPOSIÇÕES",VLOOKUP(B330,'11.COMPOSIÇÕES GERAIS'!B:I,3,0),VLOOKUP(B330,'12.COT.MERCADO'!A:I,7,0)))),"Em Elaboração")</f>
        <v>UN</v>
      </c>
      <c r="G330" s="254">
        <v>2.0</v>
      </c>
      <c r="H330" s="259">
        <f>IFERROR(IF(D330="SINAPI-S",VLOOKUP(B330,'20-B.SINAPI-S'!A:J,5,0),IF(D330="SINAPI-I",VLOOKUP(B330,'20-A.SINAPI-I'!A:G,6,0),IF(D330="COMPOSIÇÕES",VLOOKUP(B330,'11.COMPOSIÇÕES GERAIS'!B:I,7,0),0))),"Em Elaboração")</f>
        <v>0</v>
      </c>
      <c r="I330" s="259">
        <f>IFERROR(IF(D330="SINAPI-S",VLOOKUP(B330,'20-B.SINAPI-S'!A:J,6,0),IF(D330="SINAPI-I",VLOOKUP(B330,'20-A.SINAPI-I'!A:G,7,0),IF(D330="COMPOSIÇÕES",VLOOKUP(B330,'11.COMPOSIÇÕES GERAIS'!B:I,8,0),VLOOKUP(B330,'12.COT.MERCADO'!A:I,8,0)))),"Em Elaboração")</f>
        <v>7.48</v>
      </c>
      <c r="J330" s="259">
        <f t="shared" si="13"/>
        <v>0</v>
      </c>
      <c r="K330" s="259">
        <f t="shared" si="14"/>
        <v>8.761582697</v>
      </c>
      <c r="L330" s="259">
        <f t="shared" si="15"/>
        <v>8.761582697</v>
      </c>
      <c r="M330" s="259">
        <f t="shared" si="16"/>
        <v>0</v>
      </c>
      <c r="N330" s="259">
        <f t="shared" si="17"/>
        <v>17.52316539</v>
      </c>
      <c r="O330" s="259">
        <f t="shared" si="18"/>
        <v>17.52316539</v>
      </c>
      <c r="P330" s="586">
        <f t="shared" si="3"/>
        <v>0.00009552396237</v>
      </c>
    </row>
    <row r="331">
      <c r="A331" s="253" t="s">
        <v>875</v>
      </c>
      <c r="B331" s="254">
        <v>3875.0</v>
      </c>
      <c r="C331" s="255" t="str">
        <f t="shared" si="12"/>
        <v>SINAPI</v>
      </c>
      <c r="D331" s="256" t="s">
        <v>286</v>
      </c>
      <c r="E331" s="257" t="str">
        <f>IFERROR(IF(D331="SINAPI-S",VLOOKUP(B331,'20-B.SINAPI-S'!A:J,2,0),IF(D331="SINAPI-I",VLOOKUP(B331,'20-A.SINAPI-I'!A:G,2,0),IF(D331="COMPOSIÇÕES",VLOOKUP(B331,'11.COMPOSIÇÕES GERAIS'!B:I,2,0),VLOOKUP(B331,'12.COT.MERCADO'!A:I,2,0)))),"Em Elaboração")</f>
        <v>LUVA SIMPLES, PVC, SOLDAVEL, DN 50 MM, SERIE NORMAL, PARA ESGOTO PREDIAL</v>
      </c>
      <c r="F331" s="258" t="str">
        <f>IFERROR(IF(D331="SINAPI-S",VLOOKUP(B331,'20-B.SINAPI-S'!A:J,3,0),IF(D331="SINAPI-I",VLOOKUP(B331,'20-A.SINAPI-I'!A:G,3,0),IF(D331="COMPOSIÇÕES",VLOOKUP(B331,'11.COMPOSIÇÕES GERAIS'!B:I,3,0),VLOOKUP(B331,'12.COT.MERCADO'!A:I,7,0)))),"Em Elaboração")</f>
        <v>UN</v>
      </c>
      <c r="G331" s="254">
        <v>2.0</v>
      </c>
      <c r="H331" s="259">
        <f>IFERROR(IF(D331="SINAPI-S",VLOOKUP(B331,'20-B.SINAPI-S'!A:J,5,0),IF(D331="SINAPI-I",VLOOKUP(B331,'20-A.SINAPI-I'!A:G,6,0),IF(D331="COMPOSIÇÕES",VLOOKUP(B331,'11.COMPOSIÇÕES GERAIS'!B:I,7,0),0))),"Em Elaboração")</f>
        <v>0</v>
      </c>
      <c r="I331" s="259">
        <f>IFERROR(IF(D331="SINAPI-S",VLOOKUP(B331,'20-B.SINAPI-S'!A:J,6,0),IF(D331="SINAPI-I",VLOOKUP(B331,'20-A.SINAPI-I'!A:G,7,0),IF(D331="COMPOSIÇÕES",VLOOKUP(B331,'11.COMPOSIÇÕES GERAIS'!B:I,8,0),VLOOKUP(B331,'12.COT.MERCADO'!A:I,8,0)))),"Em Elaboração")</f>
        <v>3.77</v>
      </c>
      <c r="J331" s="259">
        <f t="shared" si="13"/>
        <v>0</v>
      </c>
      <c r="K331" s="259">
        <f t="shared" si="14"/>
        <v>4.415931386</v>
      </c>
      <c r="L331" s="259">
        <f t="shared" si="15"/>
        <v>4.415931386</v>
      </c>
      <c r="M331" s="259">
        <f t="shared" si="16"/>
        <v>0</v>
      </c>
      <c r="N331" s="259">
        <f t="shared" si="17"/>
        <v>8.831862772</v>
      </c>
      <c r="O331" s="259">
        <f t="shared" si="18"/>
        <v>8.831862772</v>
      </c>
      <c r="P331" s="586">
        <f t="shared" si="3"/>
        <v>0.00004814509868</v>
      </c>
    </row>
    <row r="332">
      <c r="A332" s="253" t="s">
        <v>876</v>
      </c>
      <c r="B332" s="254">
        <v>3898.0</v>
      </c>
      <c r="C332" s="255" t="str">
        <f t="shared" si="12"/>
        <v>SINAPI</v>
      </c>
      <c r="D332" s="256" t="s">
        <v>286</v>
      </c>
      <c r="E332" s="257" t="str">
        <f>IFERROR(IF(D332="SINAPI-S",VLOOKUP(B332,'20-B.SINAPI-S'!A:J,2,0),IF(D332="SINAPI-I",VLOOKUP(B332,'20-A.SINAPI-I'!A:G,2,0),IF(D332="COMPOSIÇÕES",VLOOKUP(B332,'11.COMPOSIÇÕES GERAIS'!B:I,2,0),VLOOKUP(B332,'12.COT.MERCADO'!A:I,2,0)))),"Em Elaboração")</f>
        <v>LUVA SIMPLES, PVC, SOLDAVEL, DN 75 MM, SERIE NORMAL, PARA ESGOTO PREDIAL</v>
      </c>
      <c r="F332" s="258" t="str">
        <f>IFERROR(IF(D332="SINAPI-S",VLOOKUP(B332,'20-B.SINAPI-S'!A:J,3,0),IF(D332="SINAPI-I",VLOOKUP(B332,'20-A.SINAPI-I'!A:G,3,0),IF(D332="COMPOSIÇÕES",VLOOKUP(B332,'11.COMPOSIÇÕES GERAIS'!B:I,3,0),VLOOKUP(B332,'12.COT.MERCADO'!A:I,7,0)))),"Em Elaboração")</f>
        <v>UN</v>
      </c>
      <c r="G332" s="254">
        <v>2.0</v>
      </c>
      <c r="H332" s="259">
        <f>IFERROR(IF(D332="SINAPI-S",VLOOKUP(B332,'20-B.SINAPI-S'!A:J,5,0),IF(D332="SINAPI-I",VLOOKUP(B332,'20-A.SINAPI-I'!A:G,6,0),IF(D332="COMPOSIÇÕES",VLOOKUP(B332,'11.COMPOSIÇÕES GERAIS'!B:I,7,0),0))),"Em Elaboração")</f>
        <v>0</v>
      </c>
      <c r="I332" s="259">
        <f>IFERROR(IF(D332="SINAPI-S",VLOOKUP(B332,'20-B.SINAPI-S'!A:J,6,0),IF(D332="SINAPI-I",VLOOKUP(B332,'20-A.SINAPI-I'!A:G,7,0),IF(D332="COMPOSIÇÕES",VLOOKUP(B332,'11.COMPOSIÇÕES GERAIS'!B:I,8,0),VLOOKUP(B332,'12.COT.MERCADO'!A:I,8,0)))),"Em Elaboração")</f>
        <v>7.65</v>
      </c>
      <c r="J332" s="259">
        <f t="shared" si="13"/>
        <v>0</v>
      </c>
      <c r="K332" s="259">
        <f t="shared" si="14"/>
        <v>8.960709576</v>
      </c>
      <c r="L332" s="259">
        <f t="shared" si="15"/>
        <v>8.960709576</v>
      </c>
      <c r="M332" s="259">
        <f t="shared" si="16"/>
        <v>0</v>
      </c>
      <c r="N332" s="259">
        <f t="shared" si="17"/>
        <v>17.92141915</v>
      </c>
      <c r="O332" s="259">
        <f t="shared" si="18"/>
        <v>17.92141915</v>
      </c>
      <c r="P332" s="586">
        <f t="shared" si="3"/>
        <v>0.00009769496152</v>
      </c>
    </row>
    <row r="333">
      <c r="A333" s="253" t="s">
        <v>877</v>
      </c>
      <c r="B333" s="254">
        <v>37527.0</v>
      </c>
      <c r="C333" s="255" t="str">
        <f t="shared" si="12"/>
        <v>SINAPI</v>
      </c>
      <c r="D333" s="256" t="s">
        <v>286</v>
      </c>
      <c r="E333" s="257" t="str">
        <f>IFERROR(IF(D333="SINAPI-S",VLOOKUP(B333,'20-B.SINAPI-S'!A:J,2,0),IF(D333="SINAPI-I",VLOOKUP(B333,'20-A.SINAPI-I'!A:G,2,0),IF(D333="COMPOSIÇÕES",VLOOKUP(B333,'11.COMPOSIÇÕES GERAIS'!B:I,2,0),VLOOKUP(B333,'12.COT.MERCADO'!A:I,2,0)))),"Em Elaboração")</f>
        <v>MANGUEIRA DE INCENDIO, TIPO 2, DE 1 1/2", COMPRIMENTO = 15 M, TECIDO EM FIO DE POLIESTER E TUBO INTERNO EM BORRACHA SINTETICA, COM UNIOES ENGATE RAPIDO</v>
      </c>
      <c r="F333" s="258" t="str">
        <f>IFERROR(IF(D333="SINAPI-S",VLOOKUP(B333,'20-B.SINAPI-S'!A:J,3,0),IF(D333="SINAPI-I",VLOOKUP(B333,'20-A.SINAPI-I'!A:G,3,0),IF(D333="COMPOSIÇÕES",VLOOKUP(B333,'11.COMPOSIÇÕES GERAIS'!B:I,3,0),VLOOKUP(B333,'12.COT.MERCADO'!A:I,7,0)))),"Em Elaboração")</f>
        <v>UN</v>
      </c>
      <c r="G333" s="254">
        <v>1.0</v>
      </c>
      <c r="H333" s="259">
        <f>IFERROR(IF(D333="SINAPI-S",VLOOKUP(B333,'20-B.SINAPI-S'!A:J,5,0),IF(D333="SINAPI-I",VLOOKUP(B333,'20-A.SINAPI-I'!A:G,6,0),IF(D333="COMPOSIÇÕES",VLOOKUP(B333,'11.COMPOSIÇÕES GERAIS'!B:I,7,0),0))),"Em Elaboração")</f>
        <v>0</v>
      </c>
      <c r="I333" s="259">
        <f>IFERROR(IF(D333="SINAPI-S",VLOOKUP(B333,'20-B.SINAPI-S'!A:J,6,0),IF(D333="SINAPI-I",VLOOKUP(B333,'20-A.SINAPI-I'!A:G,7,0),IF(D333="COMPOSIÇÕES",VLOOKUP(B333,'11.COMPOSIÇÕES GERAIS'!B:I,8,0),VLOOKUP(B333,'12.COT.MERCADO'!A:I,8,0)))),"Em Elaboração")</f>
        <v>436.65</v>
      </c>
      <c r="J333" s="259">
        <f t="shared" si="13"/>
        <v>0</v>
      </c>
      <c r="K333" s="259">
        <f t="shared" si="14"/>
        <v>511.4632466</v>
      </c>
      <c r="L333" s="259">
        <f t="shared" si="15"/>
        <v>511.4632466</v>
      </c>
      <c r="M333" s="259">
        <f t="shared" si="16"/>
        <v>0</v>
      </c>
      <c r="N333" s="259">
        <f t="shared" si="17"/>
        <v>511.4632466</v>
      </c>
      <c r="O333" s="259">
        <f t="shared" si="18"/>
        <v>511.4632466</v>
      </c>
      <c r="P333" s="586">
        <f t="shared" si="3"/>
        <v>0.002788137578</v>
      </c>
    </row>
    <row r="334">
      <c r="A334" s="253" t="s">
        <v>878</v>
      </c>
      <c r="B334" s="254">
        <v>37459.0</v>
      </c>
      <c r="C334" s="255" t="str">
        <f t="shared" si="12"/>
        <v>SINAPI</v>
      </c>
      <c r="D334" s="256" t="s">
        <v>286</v>
      </c>
      <c r="E334" s="257" t="str">
        <f>IFERROR(IF(D334="SINAPI-S",VLOOKUP(B334,'20-B.SINAPI-S'!A:J,2,0),IF(D334="SINAPI-I",VLOOKUP(B334,'20-A.SINAPI-I'!A:G,2,0),IF(D334="COMPOSIÇÕES",VLOOKUP(B334,'11.COMPOSIÇÕES GERAIS'!B:I,2,0),VLOOKUP(B334,'12.COT.MERCADO'!A:I,2,0)))),"Em Elaboração")</f>
        <v>MANGUEIRA CRISTAL, LISA, PVC TRANSPARENTE, 3/4" X 2 MM</v>
      </c>
      <c r="F334" s="258" t="str">
        <f>IFERROR(IF(D334="SINAPI-S",VLOOKUP(B334,'20-B.SINAPI-S'!A:J,3,0),IF(D334="SINAPI-I",VLOOKUP(B334,'20-A.SINAPI-I'!A:G,3,0),IF(D334="COMPOSIÇÕES",VLOOKUP(B334,'11.COMPOSIÇÕES GERAIS'!B:I,3,0),VLOOKUP(B334,'12.COT.MERCADO'!A:I,7,0)))),"Em Elaboração")</f>
        <v>M</v>
      </c>
      <c r="G334" s="254">
        <v>20.0</v>
      </c>
      <c r="H334" s="259">
        <f>IFERROR(IF(D334="SINAPI-S",VLOOKUP(B334,'20-B.SINAPI-S'!A:J,5,0),IF(D334="SINAPI-I",VLOOKUP(B334,'20-A.SINAPI-I'!A:G,6,0),IF(D334="COMPOSIÇÕES",VLOOKUP(B334,'11.COMPOSIÇÕES GERAIS'!B:I,7,0),0))),"Em Elaboração")</f>
        <v>0</v>
      </c>
      <c r="I334" s="259">
        <f>IFERROR(IF(D334="SINAPI-S",VLOOKUP(B334,'20-B.SINAPI-S'!A:J,6,0),IF(D334="SINAPI-I",VLOOKUP(B334,'20-A.SINAPI-I'!A:G,7,0),IF(D334="COMPOSIÇÕES",VLOOKUP(B334,'11.COMPOSIÇÕES GERAIS'!B:I,8,0),VLOOKUP(B334,'12.COT.MERCADO'!A:I,8,0)))),"Em Elaboração")</f>
        <v>8.76</v>
      </c>
      <c r="J334" s="259">
        <f t="shared" si="13"/>
        <v>0</v>
      </c>
      <c r="K334" s="259">
        <f t="shared" si="14"/>
        <v>10.26089097</v>
      </c>
      <c r="L334" s="259">
        <f t="shared" si="15"/>
        <v>10.26089097</v>
      </c>
      <c r="M334" s="259">
        <f t="shared" si="16"/>
        <v>0</v>
      </c>
      <c r="N334" s="259">
        <f t="shared" si="17"/>
        <v>205.2178193</v>
      </c>
      <c r="O334" s="259">
        <f t="shared" si="18"/>
        <v>205.2178193</v>
      </c>
      <c r="P334" s="586">
        <f t="shared" si="3"/>
        <v>0.001118703089</v>
      </c>
    </row>
    <row r="335">
      <c r="A335" s="253" t="s">
        <v>879</v>
      </c>
      <c r="B335" s="254">
        <v>12899.0</v>
      </c>
      <c r="C335" s="255" t="str">
        <f t="shared" si="12"/>
        <v>SINAPI</v>
      </c>
      <c r="D335" s="256" t="s">
        <v>286</v>
      </c>
      <c r="E335" s="257" t="str">
        <f>IFERROR(IF(D335="SINAPI-S",VLOOKUP(B335,'20-B.SINAPI-S'!A:J,2,0),IF(D335="SINAPI-I",VLOOKUP(B335,'20-A.SINAPI-I'!A:G,2,0),IF(D335="COMPOSIÇÕES",VLOOKUP(B335,'11.COMPOSIÇÕES GERAIS'!B:I,2,0),VLOOKUP(B335,'12.COT.MERCADO'!A:I,2,0)))),"Em Elaboração")</f>
        <v>MANOMETRO COM CAIXA EM ACO PINTADO, ESCALA *10* KGF/CM2 (*10* BAR), DIAMETRO NOMINAL DE *63* MM, CONEXAO DE 1/4"</v>
      </c>
      <c r="F335" s="258" t="str">
        <f>IFERROR(IF(D335="SINAPI-S",VLOOKUP(B335,'20-B.SINAPI-S'!A:J,3,0),IF(D335="SINAPI-I",VLOOKUP(B335,'20-A.SINAPI-I'!A:G,3,0),IF(D335="COMPOSIÇÕES",VLOOKUP(B335,'11.COMPOSIÇÕES GERAIS'!B:I,3,0),VLOOKUP(B335,'12.COT.MERCADO'!A:I,7,0)))),"Em Elaboração")</f>
        <v>UN</v>
      </c>
      <c r="G335" s="254">
        <v>1.0</v>
      </c>
      <c r="H335" s="259">
        <f>IFERROR(IF(D335="SINAPI-S",VLOOKUP(B335,'20-B.SINAPI-S'!A:J,5,0),IF(D335="SINAPI-I",VLOOKUP(B335,'20-A.SINAPI-I'!A:G,6,0),IF(D335="COMPOSIÇÕES",VLOOKUP(B335,'11.COMPOSIÇÕES GERAIS'!B:I,7,0),0))),"Em Elaboração")</f>
        <v>0</v>
      </c>
      <c r="I335" s="259">
        <f>IFERROR(IF(D335="SINAPI-S",VLOOKUP(B335,'20-B.SINAPI-S'!A:J,6,0),IF(D335="SINAPI-I",VLOOKUP(B335,'20-A.SINAPI-I'!A:G,7,0),IF(D335="COMPOSIÇÕES",VLOOKUP(B335,'11.COMPOSIÇÕES GERAIS'!B:I,8,0),VLOOKUP(B335,'12.COT.MERCADO'!A:I,8,0)))),"Em Elaboração")</f>
        <v>114.55</v>
      </c>
      <c r="J335" s="259">
        <f t="shared" si="13"/>
        <v>0</v>
      </c>
      <c r="K335" s="259">
        <f t="shared" si="14"/>
        <v>134.1763767</v>
      </c>
      <c r="L335" s="259">
        <f t="shared" si="15"/>
        <v>134.1763767</v>
      </c>
      <c r="M335" s="259">
        <f t="shared" si="16"/>
        <v>0</v>
      </c>
      <c r="N335" s="259">
        <f t="shared" si="17"/>
        <v>134.1763767</v>
      </c>
      <c r="O335" s="259">
        <f t="shared" si="18"/>
        <v>134.1763767</v>
      </c>
      <c r="P335" s="586">
        <f t="shared" si="3"/>
        <v>0.0007314351531</v>
      </c>
    </row>
    <row r="336">
      <c r="A336" s="253" t="s">
        <v>880</v>
      </c>
      <c r="B336" s="254">
        <v>10432.0</v>
      </c>
      <c r="C336" s="255" t="str">
        <f t="shared" si="12"/>
        <v>SINAPI</v>
      </c>
      <c r="D336" s="256" t="s">
        <v>286</v>
      </c>
      <c r="E336" s="257" t="str">
        <f>IFERROR(IF(D336="SINAPI-S",VLOOKUP(B336,'20-B.SINAPI-S'!A:J,2,0),IF(D336="SINAPI-I",VLOOKUP(B336,'20-A.SINAPI-I'!A:G,2,0),IF(D336="COMPOSIÇÕES",VLOOKUP(B336,'11.COMPOSIÇÕES GERAIS'!B:I,2,0),VLOOKUP(B336,'12.COT.MERCADO'!A:I,2,0)))),"Em Elaboração")</f>
        <v>MICTORIO INDICUDUAL, SIFONADO, LOUCA BRANCA, SEM COMPLEMENTOS</v>
      </c>
      <c r="F336" s="258" t="str">
        <f>IFERROR(IF(D336="SINAPI-S",VLOOKUP(B336,'20-B.SINAPI-S'!A:J,3,0),IF(D336="SINAPI-I",VLOOKUP(B336,'20-A.SINAPI-I'!A:G,3,0),IF(D336="COMPOSIÇÕES",VLOOKUP(B336,'11.COMPOSIÇÕES GERAIS'!B:I,3,0),VLOOKUP(B336,'12.COT.MERCADO'!A:I,7,0)))),"Em Elaboração")</f>
        <v>UN</v>
      </c>
      <c r="G336" s="254">
        <v>2.0</v>
      </c>
      <c r="H336" s="259">
        <f>IFERROR(IF(D336="SINAPI-S",VLOOKUP(B336,'20-B.SINAPI-S'!A:J,5,0),IF(D336="SINAPI-I",VLOOKUP(B336,'20-A.SINAPI-I'!A:G,6,0),IF(D336="COMPOSIÇÕES",VLOOKUP(B336,'11.COMPOSIÇÕES GERAIS'!B:I,7,0),0))),"Em Elaboração")</f>
        <v>0</v>
      </c>
      <c r="I336" s="259">
        <f>IFERROR(IF(D336="SINAPI-S",VLOOKUP(B336,'20-B.SINAPI-S'!A:J,6,0),IF(D336="SINAPI-I",VLOOKUP(B336,'20-A.SINAPI-I'!A:G,7,0),IF(D336="COMPOSIÇÕES",VLOOKUP(B336,'11.COMPOSIÇÕES GERAIS'!B:I,8,0),VLOOKUP(B336,'12.COT.MERCADO'!A:I,8,0)))),"Em Elaboração")</f>
        <v>387.58</v>
      </c>
      <c r="J336" s="259">
        <f t="shared" si="13"/>
        <v>0</v>
      </c>
      <c r="K336" s="259">
        <f t="shared" si="14"/>
        <v>453.9858585</v>
      </c>
      <c r="L336" s="259">
        <f t="shared" si="15"/>
        <v>453.9858585</v>
      </c>
      <c r="M336" s="259">
        <f t="shared" si="16"/>
        <v>0</v>
      </c>
      <c r="N336" s="259">
        <f t="shared" si="17"/>
        <v>907.971717</v>
      </c>
      <c r="O336" s="259">
        <f t="shared" si="18"/>
        <v>907.971717</v>
      </c>
      <c r="P336" s="586">
        <f t="shared" si="3"/>
        <v>0.004949622638</v>
      </c>
    </row>
    <row r="337">
      <c r="A337" s="253" t="s">
        <v>881</v>
      </c>
      <c r="B337" s="254">
        <v>11560.0</v>
      </c>
      <c r="C337" s="255" t="str">
        <f t="shared" si="12"/>
        <v>SINAPI</v>
      </c>
      <c r="D337" s="256" t="s">
        <v>286</v>
      </c>
      <c r="E337" s="257" t="str">
        <f>IFERROR(IF(D337="SINAPI-S",VLOOKUP(B337,'20-B.SINAPI-S'!A:J,2,0),IF(D337="SINAPI-I",VLOOKUP(B337,'20-A.SINAPI-I'!A:G,2,0),IF(D337="COMPOSIÇÕES",VLOOKUP(B337,'11.COMPOSIÇÕES GERAIS'!B:I,2,0),VLOOKUP(B337,'12.COT.MERCADO'!A:I,2,0)))),"Em Elaboração")</f>
        <v>MOLA HIDRAULICA AEREA, PARA PORTAS DE ATE 950 MM E PESO DE ATE 65 KG, COM CORPO EM ALUMINIO E BRACO EM ACO, SEM BRACO DE PARADA</v>
      </c>
      <c r="F337" s="258" t="str">
        <f>IFERROR(IF(D337="SINAPI-S",VLOOKUP(B337,'20-B.SINAPI-S'!A:J,3,0),IF(D337="SINAPI-I",VLOOKUP(B337,'20-A.SINAPI-I'!A:G,3,0),IF(D337="COMPOSIÇÕES",VLOOKUP(B337,'11.COMPOSIÇÕES GERAIS'!B:I,3,0),VLOOKUP(B337,'12.COT.MERCADO'!A:I,7,0)))),"Em Elaboração")</f>
        <v>UN</v>
      </c>
      <c r="G337" s="254">
        <v>2.0</v>
      </c>
      <c r="H337" s="259">
        <f>IFERROR(IF(D337="SINAPI-S",VLOOKUP(B337,'20-B.SINAPI-S'!A:J,5,0),IF(D337="SINAPI-I",VLOOKUP(B337,'20-A.SINAPI-I'!A:G,6,0),IF(D337="COMPOSIÇÕES",VLOOKUP(B337,'11.COMPOSIÇÕES GERAIS'!B:I,7,0),0))),"Em Elaboração")</f>
        <v>0</v>
      </c>
      <c r="I337" s="259">
        <f>IFERROR(IF(D337="SINAPI-S",VLOOKUP(B337,'20-B.SINAPI-S'!A:J,6,0),IF(D337="SINAPI-I",VLOOKUP(B337,'20-A.SINAPI-I'!A:G,7,0),IF(D337="COMPOSIÇÕES",VLOOKUP(B337,'11.COMPOSIÇÕES GERAIS'!B:I,8,0),VLOOKUP(B337,'12.COT.MERCADO'!A:I,8,0)))),"Em Elaboração")</f>
        <v>178.75</v>
      </c>
      <c r="J337" s="259">
        <f t="shared" si="13"/>
        <v>0</v>
      </c>
      <c r="K337" s="259">
        <f t="shared" si="14"/>
        <v>209.3760571</v>
      </c>
      <c r="L337" s="259">
        <f t="shared" si="15"/>
        <v>209.3760571</v>
      </c>
      <c r="M337" s="259">
        <f t="shared" si="16"/>
        <v>0</v>
      </c>
      <c r="N337" s="259">
        <f t="shared" si="17"/>
        <v>418.7521142</v>
      </c>
      <c r="O337" s="259">
        <f t="shared" si="18"/>
        <v>418.7521142</v>
      </c>
      <c r="P337" s="586">
        <f t="shared" si="3"/>
        <v>0.002282741748</v>
      </c>
    </row>
    <row r="338">
      <c r="A338" s="253" t="s">
        <v>882</v>
      </c>
      <c r="B338" s="254">
        <v>11960.0</v>
      </c>
      <c r="C338" s="255" t="str">
        <f t="shared" si="12"/>
        <v>SINAPI</v>
      </c>
      <c r="D338" s="256" t="s">
        <v>286</v>
      </c>
      <c r="E338" s="257" t="str">
        <f>IFERROR(IF(D338="SINAPI-S",VLOOKUP(B338,'20-B.SINAPI-S'!A:J,2,0),IF(D338="SINAPI-I",VLOOKUP(B338,'20-A.SINAPI-I'!A:G,2,0),IF(D338="COMPOSIÇÕES",VLOOKUP(B338,'11.COMPOSIÇÕES GERAIS'!B:I,2,0),VLOOKUP(B338,'12.COT.MERCADO'!A:I,2,0)))),"Em Elaboração")</f>
        <v>PARAFUSO DE LATAO COM ROSCA SOBERBA, CABECA CHATA E FENDA SIMPLES, DIAMETRO 2,5 MM, COMPRIMENTO 12 MM</v>
      </c>
      <c r="F338" s="258" t="str">
        <f>IFERROR(IF(D338="SINAPI-S",VLOOKUP(B338,'20-B.SINAPI-S'!A:J,3,0),IF(D338="SINAPI-I",VLOOKUP(B338,'20-A.SINAPI-I'!A:G,3,0),IF(D338="COMPOSIÇÕES",VLOOKUP(B338,'11.COMPOSIÇÕES GERAIS'!B:I,3,0),VLOOKUP(B338,'12.COT.MERCADO'!A:I,7,0)))),"Em Elaboração")</f>
        <v>UN</v>
      </c>
      <c r="G338" s="254">
        <v>15.0</v>
      </c>
      <c r="H338" s="259">
        <f>IFERROR(IF(D338="SINAPI-S",VLOOKUP(B338,'20-B.SINAPI-S'!A:J,5,0),IF(D338="SINAPI-I",VLOOKUP(B338,'20-A.SINAPI-I'!A:G,6,0),IF(D338="COMPOSIÇÕES",VLOOKUP(B338,'11.COMPOSIÇÕES GERAIS'!B:I,7,0),0))),"Em Elaboração")</f>
        <v>0</v>
      </c>
      <c r="I338" s="259">
        <f>IFERROR(IF(D338="SINAPI-S",VLOOKUP(B338,'20-B.SINAPI-S'!A:J,6,0),IF(D338="SINAPI-I",VLOOKUP(B338,'20-A.SINAPI-I'!A:G,7,0),IF(D338="COMPOSIÇÕES",VLOOKUP(B338,'11.COMPOSIÇÕES GERAIS'!B:I,8,0),VLOOKUP(B338,'12.COT.MERCADO'!A:I,8,0)))),"Em Elaboração")</f>
        <v>0.16</v>
      </c>
      <c r="J338" s="259">
        <f t="shared" si="13"/>
        <v>0</v>
      </c>
      <c r="K338" s="259">
        <f t="shared" si="14"/>
        <v>0.1874135336</v>
      </c>
      <c r="L338" s="259">
        <f t="shared" si="15"/>
        <v>0.1874135336</v>
      </c>
      <c r="M338" s="259">
        <f t="shared" si="16"/>
        <v>0</v>
      </c>
      <c r="N338" s="259">
        <f t="shared" si="17"/>
        <v>2.811203004</v>
      </c>
      <c r="O338" s="259">
        <f t="shared" si="18"/>
        <v>2.811203004</v>
      </c>
      <c r="P338" s="586">
        <f t="shared" si="3"/>
        <v>0.00001532469985</v>
      </c>
    </row>
    <row r="339">
      <c r="A339" s="253" t="s">
        <v>883</v>
      </c>
      <c r="B339" s="254">
        <v>4333.0</v>
      </c>
      <c r="C339" s="255" t="str">
        <f t="shared" si="12"/>
        <v>SINAPI</v>
      </c>
      <c r="D339" s="256" t="s">
        <v>286</v>
      </c>
      <c r="E339" s="257" t="str">
        <f>IFERROR(IF(D339="SINAPI-S",VLOOKUP(B339,'20-B.SINAPI-S'!A:J,2,0),IF(D339="SINAPI-I",VLOOKUP(B339,'20-A.SINAPI-I'!A:G,2,0),IF(D339="COMPOSIÇÕES",VLOOKUP(B339,'11.COMPOSIÇÕES GERAIS'!B:I,2,0),VLOOKUP(B339,'12.COT.MERCADO'!A:I,2,0)))),"Em Elaboração")</f>
        <v>PARAFUSO DE LATAO COM ROSCA SOBERBA, CABECA CHATA E FENDA SIMPLES, DIAMETRO 3,2 MM, COMPRIMENTO 16 MM</v>
      </c>
      <c r="F339" s="258" t="str">
        <f>IFERROR(IF(D339="SINAPI-S",VLOOKUP(B339,'20-B.SINAPI-S'!A:J,3,0),IF(D339="SINAPI-I",VLOOKUP(B339,'20-A.SINAPI-I'!A:G,3,0),IF(D339="COMPOSIÇÕES",VLOOKUP(B339,'11.COMPOSIÇÕES GERAIS'!B:I,3,0),VLOOKUP(B339,'12.COT.MERCADO'!A:I,7,0)))),"Em Elaboração")</f>
        <v>UN</v>
      </c>
      <c r="G339" s="254">
        <v>15.0</v>
      </c>
      <c r="H339" s="259">
        <f>IFERROR(IF(D339="SINAPI-S",VLOOKUP(B339,'20-B.SINAPI-S'!A:J,5,0),IF(D339="SINAPI-I",VLOOKUP(B339,'20-A.SINAPI-I'!A:G,6,0),IF(D339="COMPOSIÇÕES",VLOOKUP(B339,'11.COMPOSIÇÕES GERAIS'!B:I,7,0),0))),"Em Elaboração")</f>
        <v>0</v>
      </c>
      <c r="I339" s="259">
        <f>IFERROR(IF(D339="SINAPI-S",VLOOKUP(B339,'20-B.SINAPI-S'!A:J,6,0),IF(D339="SINAPI-I",VLOOKUP(B339,'20-A.SINAPI-I'!A:G,7,0),IF(D339="COMPOSIÇÕES",VLOOKUP(B339,'11.COMPOSIÇÕES GERAIS'!B:I,8,0),VLOOKUP(B339,'12.COT.MERCADO'!A:I,8,0)))),"Em Elaboração")</f>
        <v>0.29</v>
      </c>
      <c r="J339" s="259">
        <f t="shared" si="13"/>
        <v>0</v>
      </c>
      <c r="K339" s="259">
        <f t="shared" si="14"/>
        <v>0.3396870297</v>
      </c>
      <c r="L339" s="259">
        <f t="shared" si="15"/>
        <v>0.3396870297</v>
      </c>
      <c r="M339" s="259">
        <f t="shared" si="16"/>
        <v>0</v>
      </c>
      <c r="N339" s="259">
        <f t="shared" si="17"/>
        <v>5.095305445</v>
      </c>
      <c r="O339" s="259">
        <f t="shared" si="18"/>
        <v>5.095305445</v>
      </c>
      <c r="P339" s="586">
        <f t="shared" si="3"/>
        <v>0.00002777601847</v>
      </c>
    </row>
    <row r="340">
      <c r="A340" s="253" t="s">
        <v>884</v>
      </c>
      <c r="B340" s="254">
        <v>4358.0</v>
      </c>
      <c r="C340" s="255" t="str">
        <f t="shared" si="12"/>
        <v>SINAPI</v>
      </c>
      <c r="D340" s="256" t="s">
        <v>286</v>
      </c>
      <c r="E340" s="257" t="str">
        <f>IFERROR(IF(D340="SINAPI-S",VLOOKUP(B340,'20-B.SINAPI-S'!A:J,2,0),IF(D340="SINAPI-I",VLOOKUP(B340,'20-A.SINAPI-I'!A:G,2,0),IF(D340="COMPOSIÇÕES",VLOOKUP(B340,'11.COMPOSIÇÕES GERAIS'!B:I,2,0),VLOOKUP(B340,'12.COT.MERCADO'!A:I,2,0)))),"Em Elaboração")</f>
        <v>PARAFUSO DE LATAO COM ROSCA SOBERBA, CABECA CHATA E FENDA SIMPLES, DIAMETRO 4,8 MM, COMPRIMENTO 65 MM</v>
      </c>
      <c r="F340" s="258" t="str">
        <f>IFERROR(IF(D340="SINAPI-S",VLOOKUP(B340,'20-B.SINAPI-S'!A:J,3,0),IF(D340="SINAPI-I",VLOOKUP(B340,'20-A.SINAPI-I'!A:G,3,0),IF(D340="COMPOSIÇÕES",VLOOKUP(B340,'11.COMPOSIÇÕES GERAIS'!B:I,3,0),VLOOKUP(B340,'12.COT.MERCADO'!A:I,7,0)))),"Em Elaboração")</f>
        <v>UN</v>
      </c>
      <c r="G340" s="254">
        <v>8.0</v>
      </c>
      <c r="H340" s="259">
        <f>IFERROR(IF(D340="SINAPI-S",VLOOKUP(B340,'20-B.SINAPI-S'!A:J,5,0),IF(D340="SINAPI-I",VLOOKUP(B340,'20-A.SINAPI-I'!A:G,6,0),IF(D340="COMPOSIÇÕES",VLOOKUP(B340,'11.COMPOSIÇÕES GERAIS'!B:I,7,0),0))),"Em Elaboração")</f>
        <v>0</v>
      </c>
      <c r="I340" s="259">
        <f>IFERROR(IF(D340="SINAPI-S",VLOOKUP(B340,'20-B.SINAPI-S'!A:J,6,0),IF(D340="SINAPI-I",VLOOKUP(B340,'20-A.SINAPI-I'!A:G,7,0),IF(D340="COMPOSIÇÕES",VLOOKUP(B340,'11.COMPOSIÇÕES GERAIS'!B:I,8,0),VLOOKUP(B340,'12.COT.MERCADO'!A:I,8,0)))),"Em Elaboração")</f>
        <v>2.25</v>
      </c>
      <c r="J340" s="259">
        <f t="shared" si="13"/>
        <v>0</v>
      </c>
      <c r="K340" s="259">
        <f t="shared" si="14"/>
        <v>2.635502817</v>
      </c>
      <c r="L340" s="259">
        <f t="shared" si="15"/>
        <v>2.635502817</v>
      </c>
      <c r="M340" s="259">
        <f t="shared" si="16"/>
        <v>0</v>
      </c>
      <c r="N340" s="259">
        <f t="shared" si="17"/>
        <v>21.08402253</v>
      </c>
      <c r="O340" s="259">
        <f t="shared" si="18"/>
        <v>21.08402253</v>
      </c>
      <c r="P340" s="586">
        <f t="shared" si="3"/>
        <v>0.0001149352488</v>
      </c>
    </row>
    <row r="341">
      <c r="A341" s="253" t="s">
        <v>885</v>
      </c>
      <c r="B341" s="254">
        <v>11955.0</v>
      </c>
      <c r="C341" s="255" t="str">
        <f t="shared" si="12"/>
        <v>SINAPI</v>
      </c>
      <c r="D341" s="256" t="s">
        <v>286</v>
      </c>
      <c r="E341" s="257" t="str">
        <f>IFERROR(IF(D341="SINAPI-S",VLOOKUP(B341,'20-B.SINAPI-S'!A:J,2,0),IF(D341="SINAPI-I",VLOOKUP(B341,'20-A.SINAPI-I'!A:G,2,0),IF(D341="COMPOSIÇÕES",VLOOKUP(B341,'11.COMPOSIÇÕES GERAIS'!B:I,2,0),VLOOKUP(B341,'12.COT.MERCADO'!A:I,2,0)))),"Em Elaboração")</f>
        <v>PARAFUSO DE LATAO COM ACABAMENTO CROMADO PARA FIXAR PECA SANITARIA, INCLUI PORCA CEGA, ARRUELA E BUCHA DE NYLON TAMANHO S-10</v>
      </c>
      <c r="F341" s="258" t="str">
        <f>IFERROR(IF(D341="SINAPI-S",VLOOKUP(B341,'20-B.SINAPI-S'!A:J,3,0),IF(D341="SINAPI-I",VLOOKUP(B341,'20-A.SINAPI-I'!A:G,3,0),IF(D341="COMPOSIÇÕES",VLOOKUP(B341,'11.COMPOSIÇÕES GERAIS'!B:I,3,0),VLOOKUP(B341,'12.COT.MERCADO'!A:I,7,0)))),"Em Elaboração")</f>
        <v>UN</v>
      </c>
      <c r="G341" s="254">
        <v>15.0</v>
      </c>
      <c r="H341" s="259">
        <f>IFERROR(IF(D341="SINAPI-S",VLOOKUP(B341,'20-B.SINAPI-S'!A:J,5,0),IF(D341="SINAPI-I",VLOOKUP(B341,'20-A.SINAPI-I'!A:G,6,0),IF(D341="COMPOSIÇÕES",VLOOKUP(B341,'11.COMPOSIÇÕES GERAIS'!B:I,7,0),0))),"Em Elaboração")</f>
        <v>0</v>
      </c>
      <c r="I341" s="259">
        <f>IFERROR(IF(D341="SINAPI-S",VLOOKUP(B341,'20-B.SINAPI-S'!A:J,6,0),IF(D341="SINAPI-I",VLOOKUP(B341,'20-A.SINAPI-I'!A:G,7,0),IF(D341="COMPOSIÇÕES",VLOOKUP(B341,'11.COMPOSIÇÕES GERAIS'!B:I,8,0),VLOOKUP(B341,'12.COT.MERCADO'!A:I,8,0)))),"Em Elaboração")</f>
        <v>4.92</v>
      </c>
      <c r="J341" s="259">
        <f t="shared" si="13"/>
        <v>0</v>
      </c>
      <c r="K341" s="259">
        <f t="shared" si="14"/>
        <v>5.762966159</v>
      </c>
      <c r="L341" s="259">
        <f t="shared" si="15"/>
        <v>5.762966159</v>
      </c>
      <c r="M341" s="259">
        <f t="shared" si="16"/>
        <v>0</v>
      </c>
      <c r="N341" s="259">
        <f t="shared" si="17"/>
        <v>86.44449238</v>
      </c>
      <c r="O341" s="259">
        <f t="shared" si="18"/>
        <v>86.44449238</v>
      </c>
      <c r="P341" s="586">
        <f t="shared" si="3"/>
        <v>0.0004712345203</v>
      </c>
    </row>
    <row r="342">
      <c r="A342" s="253" t="s">
        <v>886</v>
      </c>
      <c r="B342" s="254">
        <v>20078.0</v>
      </c>
      <c r="C342" s="255" t="str">
        <f t="shared" si="12"/>
        <v>SINAPI</v>
      </c>
      <c r="D342" s="256" t="s">
        <v>286</v>
      </c>
      <c r="E342" s="257" t="str">
        <f>IFERROR(IF(D342="SINAPI-S",VLOOKUP(B342,'20-B.SINAPI-S'!A:J,2,0),IF(D342="SINAPI-I",VLOOKUP(B342,'20-A.SINAPI-I'!A:G,2,0),IF(D342="COMPOSIÇÕES",VLOOKUP(B342,'11.COMPOSIÇÕES GERAIS'!B:I,2,0),VLOOKUP(B342,'12.COT.MERCADO'!A:I,2,0)))),"Em Elaboração")</f>
        <v>PASTA LUBRIFICANTE PARA TUBOS E CONEXOES COM JUNTA ELASTICA, EMBALAGEM DE *400* GR (USO EM PVC, ACO, POLIETILENO E OUTROS)</v>
      </c>
      <c r="F342" s="258" t="str">
        <f>IFERROR(IF(D342="SINAPI-S",VLOOKUP(B342,'20-B.SINAPI-S'!A:J,3,0),IF(D342="SINAPI-I",VLOOKUP(B342,'20-A.SINAPI-I'!A:G,3,0),IF(D342="COMPOSIÇÕES",VLOOKUP(B342,'11.COMPOSIÇÕES GERAIS'!B:I,3,0),VLOOKUP(B342,'12.COT.MERCADO'!A:I,7,0)))),"Em Elaboração")</f>
        <v>UN</v>
      </c>
      <c r="G342" s="254">
        <v>2.0</v>
      </c>
      <c r="H342" s="259">
        <f>IFERROR(IF(D342="SINAPI-S",VLOOKUP(B342,'20-B.SINAPI-S'!A:J,5,0),IF(D342="SINAPI-I",VLOOKUP(B342,'20-A.SINAPI-I'!A:G,6,0),IF(D342="COMPOSIÇÕES",VLOOKUP(B342,'11.COMPOSIÇÕES GERAIS'!B:I,7,0),0))),"Em Elaboração")</f>
        <v>0</v>
      </c>
      <c r="I342" s="259">
        <f>IFERROR(IF(D342="SINAPI-S",VLOOKUP(B342,'20-B.SINAPI-S'!A:J,6,0),IF(D342="SINAPI-I",VLOOKUP(B342,'20-A.SINAPI-I'!A:G,7,0),IF(D342="COMPOSIÇÕES",VLOOKUP(B342,'11.COMPOSIÇÕES GERAIS'!B:I,8,0),VLOOKUP(B342,'12.COT.MERCADO'!A:I,8,0)))),"Em Elaboração")</f>
        <v>28.8</v>
      </c>
      <c r="J342" s="259">
        <f t="shared" si="13"/>
        <v>0</v>
      </c>
      <c r="K342" s="259">
        <f t="shared" si="14"/>
        <v>33.73443605</v>
      </c>
      <c r="L342" s="259">
        <f t="shared" si="15"/>
        <v>33.73443605</v>
      </c>
      <c r="M342" s="259">
        <f t="shared" si="16"/>
        <v>0</v>
      </c>
      <c r="N342" s="259">
        <f t="shared" si="17"/>
        <v>67.4688721</v>
      </c>
      <c r="O342" s="259">
        <f t="shared" si="18"/>
        <v>67.4688721</v>
      </c>
      <c r="P342" s="586">
        <f t="shared" si="3"/>
        <v>0.0003677927963</v>
      </c>
    </row>
    <row r="343">
      <c r="A343" s="253" t="s">
        <v>887</v>
      </c>
      <c r="B343" s="254">
        <v>4888.0</v>
      </c>
      <c r="C343" s="255" t="str">
        <f t="shared" si="12"/>
        <v>SINAPI</v>
      </c>
      <c r="D343" s="256" t="s">
        <v>286</v>
      </c>
      <c r="E343" s="257" t="str">
        <f>IFERROR(IF(D343="SINAPI-S",VLOOKUP(B343,'20-B.SINAPI-S'!A:J,2,0),IF(D343="SINAPI-I",VLOOKUP(B343,'20-A.SINAPI-I'!A:G,2,0),IF(D343="COMPOSIÇÕES",VLOOKUP(B343,'11.COMPOSIÇÕES GERAIS'!B:I,2,0),VLOOKUP(B343,'12.COT.MERCADO'!A:I,2,0)))),"Em Elaboração")</f>
        <v>PLUG OU BUJAO DE FERRO GALVANIZADO, DE 1/2"</v>
      </c>
      <c r="F343" s="258" t="str">
        <f>IFERROR(IF(D343="SINAPI-S",VLOOKUP(B343,'20-B.SINAPI-S'!A:J,3,0),IF(D343="SINAPI-I",VLOOKUP(B343,'20-A.SINAPI-I'!A:G,3,0),IF(D343="COMPOSIÇÕES",VLOOKUP(B343,'11.COMPOSIÇÕES GERAIS'!B:I,3,0),VLOOKUP(B343,'12.COT.MERCADO'!A:I,7,0)))),"Em Elaboração")</f>
        <v>UN</v>
      </c>
      <c r="G343" s="254">
        <v>2.0</v>
      </c>
      <c r="H343" s="259">
        <f>IFERROR(IF(D343="SINAPI-S",VLOOKUP(B343,'20-B.SINAPI-S'!A:J,5,0),IF(D343="SINAPI-I",VLOOKUP(B343,'20-A.SINAPI-I'!A:G,6,0),IF(D343="COMPOSIÇÕES",VLOOKUP(B343,'11.COMPOSIÇÕES GERAIS'!B:I,7,0),0))),"Em Elaboração")</f>
        <v>0</v>
      </c>
      <c r="I343" s="259">
        <f>IFERROR(IF(D343="SINAPI-S",VLOOKUP(B343,'20-B.SINAPI-S'!A:J,6,0),IF(D343="SINAPI-I",VLOOKUP(B343,'20-A.SINAPI-I'!A:G,7,0),IF(D343="COMPOSIÇÕES",VLOOKUP(B343,'11.COMPOSIÇÕES GERAIS'!B:I,8,0),VLOOKUP(B343,'12.COT.MERCADO'!A:I,8,0)))),"Em Elaboração")</f>
        <v>4.49</v>
      </c>
      <c r="J343" s="259">
        <f t="shared" si="13"/>
        <v>0</v>
      </c>
      <c r="K343" s="259">
        <f t="shared" si="14"/>
        <v>5.259292287</v>
      </c>
      <c r="L343" s="259">
        <f t="shared" si="15"/>
        <v>5.259292287</v>
      </c>
      <c r="M343" s="259">
        <f t="shared" si="16"/>
        <v>0</v>
      </c>
      <c r="N343" s="259">
        <f t="shared" si="17"/>
        <v>10.51858457</v>
      </c>
      <c r="O343" s="259">
        <f t="shared" si="18"/>
        <v>10.51858457</v>
      </c>
      <c r="P343" s="586">
        <f t="shared" si="3"/>
        <v>0.00005733991859</v>
      </c>
    </row>
    <row r="344">
      <c r="A344" s="253" t="s">
        <v>888</v>
      </c>
      <c r="B344" s="254">
        <v>21059.0</v>
      </c>
      <c r="C344" s="255" t="str">
        <f t="shared" si="12"/>
        <v>SINAPI</v>
      </c>
      <c r="D344" s="256" t="s">
        <v>286</v>
      </c>
      <c r="E344" s="257" t="str">
        <f>IFERROR(IF(D344="SINAPI-S",VLOOKUP(B344,'20-B.SINAPI-S'!A:J,2,0),IF(D344="SINAPI-I",VLOOKUP(B344,'20-A.SINAPI-I'!A:G,2,0),IF(D344="COMPOSIÇÕES",VLOOKUP(B344,'11.COMPOSIÇÕES GERAIS'!B:I,2,0),VLOOKUP(B344,'12.COT.MERCADO'!A:I,2,0)))),"Em Elaboração")</f>
        <v>RALO FOFO COM REQUADRO, QUADRADO 150 X 150 MM</v>
      </c>
      <c r="F344" s="258" t="str">
        <f>IFERROR(IF(D344="SINAPI-S",VLOOKUP(B344,'20-B.SINAPI-S'!A:J,3,0),IF(D344="SINAPI-I",VLOOKUP(B344,'20-A.SINAPI-I'!A:G,3,0),IF(D344="COMPOSIÇÕES",VLOOKUP(B344,'11.COMPOSIÇÕES GERAIS'!B:I,3,0),VLOOKUP(B344,'12.COT.MERCADO'!A:I,7,0)))),"Em Elaboração")</f>
        <v>UN</v>
      </c>
      <c r="G344" s="254">
        <v>2.0</v>
      </c>
      <c r="H344" s="259">
        <f>IFERROR(IF(D344="SINAPI-S",VLOOKUP(B344,'20-B.SINAPI-S'!A:J,5,0),IF(D344="SINAPI-I",VLOOKUP(B344,'20-A.SINAPI-I'!A:G,6,0),IF(D344="COMPOSIÇÕES",VLOOKUP(B344,'11.COMPOSIÇÕES GERAIS'!B:I,7,0),0))),"Em Elaboração")</f>
        <v>0</v>
      </c>
      <c r="I344" s="259">
        <f>IFERROR(IF(D344="SINAPI-S",VLOOKUP(B344,'20-B.SINAPI-S'!A:J,6,0),IF(D344="SINAPI-I",VLOOKUP(B344,'20-A.SINAPI-I'!A:G,7,0),IF(D344="COMPOSIÇÕES",VLOOKUP(B344,'11.COMPOSIÇÕES GERAIS'!B:I,8,0),VLOOKUP(B344,'12.COT.MERCADO'!A:I,8,0)))),"Em Elaboração")</f>
        <v>65.64</v>
      </c>
      <c r="J344" s="259">
        <f t="shared" si="13"/>
        <v>0</v>
      </c>
      <c r="K344" s="259">
        <f t="shared" si="14"/>
        <v>76.88640217</v>
      </c>
      <c r="L344" s="259">
        <f t="shared" si="15"/>
        <v>76.88640217</v>
      </c>
      <c r="M344" s="259">
        <f t="shared" si="16"/>
        <v>0</v>
      </c>
      <c r="N344" s="259">
        <f t="shared" si="17"/>
        <v>153.7728043</v>
      </c>
      <c r="O344" s="259">
        <f t="shared" si="18"/>
        <v>153.7728043</v>
      </c>
      <c r="P344" s="586">
        <f t="shared" si="3"/>
        <v>0.0008382610816</v>
      </c>
    </row>
    <row r="345">
      <c r="A345" s="253" t="s">
        <v>889</v>
      </c>
      <c r="B345" s="254">
        <v>11234.0</v>
      </c>
      <c r="C345" s="255" t="str">
        <f t="shared" si="12"/>
        <v>SINAPI</v>
      </c>
      <c r="D345" s="256" t="s">
        <v>286</v>
      </c>
      <c r="E345" s="257" t="str">
        <f>IFERROR(IF(D345="SINAPI-S",VLOOKUP(B345,'20-B.SINAPI-S'!A:J,2,0),IF(D345="SINAPI-I",VLOOKUP(B345,'20-A.SINAPI-I'!A:G,2,0),IF(D345="COMPOSIÇÕES",VLOOKUP(B345,'11.COMPOSIÇÕES GERAIS'!B:I,2,0),VLOOKUP(B345,'12.COT.MERCADO'!A:I,2,0)))),"Em Elaboração")</f>
        <v>RALO FOFO COM REQUADRO, QUADRADO 200 X 200 MM</v>
      </c>
      <c r="F345" s="258" t="str">
        <f>IFERROR(IF(D345="SINAPI-S",VLOOKUP(B345,'20-B.SINAPI-S'!A:J,3,0),IF(D345="SINAPI-I",VLOOKUP(B345,'20-A.SINAPI-I'!A:G,3,0),IF(D345="COMPOSIÇÕES",VLOOKUP(B345,'11.COMPOSIÇÕES GERAIS'!B:I,3,0),VLOOKUP(B345,'12.COT.MERCADO'!A:I,7,0)))),"Em Elaboração")</f>
        <v>UN</v>
      </c>
      <c r="G345" s="254">
        <v>2.0</v>
      </c>
      <c r="H345" s="259">
        <f>IFERROR(IF(D345="SINAPI-S",VLOOKUP(B345,'20-B.SINAPI-S'!A:J,5,0),IF(D345="SINAPI-I",VLOOKUP(B345,'20-A.SINAPI-I'!A:G,6,0),IF(D345="COMPOSIÇÕES",VLOOKUP(B345,'11.COMPOSIÇÕES GERAIS'!B:I,7,0),0))),"Em Elaboração")</f>
        <v>0</v>
      </c>
      <c r="I345" s="259">
        <f>IFERROR(IF(D345="SINAPI-S",VLOOKUP(B345,'20-B.SINAPI-S'!A:J,6,0),IF(D345="SINAPI-I",VLOOKUP(B345,'20-A.SINAPI-I'!A:G,7,0),IF(D345="COMPOSIÇÕES",VLOOKUP(B345,'11.COMPOSIÇÕES GERAIS'!B:I,8,0),VLOOKUP(B345,'12.COT.MERCADO'!A:I,8,0)))),"Em Elaboração")</f>
        <v>98.94</v>
      </c>
      <c r="J345" s="259">
        <f t="shared" si="13"/>
        <v>0</v>
      </c>
      <c r="K345" s="259">
        <f t="shared" si="14"/>
        <v>115.8918439</v>
      </c>
      <c r="L345" s="259">
        <f t="shared" si="15"/>
        <v>115.8918439</v>
      </c>
      <c r="M345" s="259">
        <f t="shared" si="16"/>
        <v>0</v>
      </c>
      <c r="N345" s="259">
        <f t="shared" si="17"/>
        <v>231.7836877</v>
      </c>
      <c r="O345" s="259">
        <f t="shared" si="18"/>
        <v>231.7836877</v>
      </c>
      <c r="P345" s="586">
        <f t="shared" si="3"/>
        <v>0.001263521502</v>
      </c>
    </row>
    <row r="346">
      <c r="A346" s="253" t="s">
        <v>890</v>
      </c>
      <c r="B346" s="254">
        <v>21060.0</v>
      </c>
      <c r="C346" s="255" t="str">
        <f t="shared" si="12"/>
        <v>SINAPI</v>
      </c>
      <c r="D346" s="256" t="s">
        <v>286</v>
      </c>
      <c r="E346" s="257" t="str">
        <f>IFERROR(IF(D346="SINAPI-S",VLOOKUP(B346,'20-B.SINAPI-S'!A:J,2,0),IF(D346="SINAPI-I",VLOOKUP(B346,'20-A.SINAPI-I'!A:G,2,0),IF(D346="COMPOSIÇÕES",VLOOKUP(B346,'11.COMPOSIÇÕES GERAIS'!B:I,2,0),VLOOKUP(B346,'12.COT.MERCADO'!A:I,2,0)))),"Em Elaboração")</f>
        <v>RALO FOFO COM REQUADRO, QUADRADO 250 X 250 MM</v>
      </c>
      <c r="F346" s="258" t="str">
        <f>IFERROR(IF(D346="SINAPI-S",VLOOKUP(B346,'20-B.SINAPI-S'!A:J,3,0),IF(D346="SINAPI-I",VLOOKUP(B346,'20-A.SINAPI-I'!A:G,3,0),IF(D346="COMPOSIÇÕES",VLOOKUP(B346,'11.COMPOSIÇÕES GERAIS'!B:I,3,0),VLOOKUP(B346,'12.COT.MERCADO'!A:I,7,0)))),"Em Elaboração")</f>
        <v>UN</v>
      </c>
      <c r="G346" s="254">
        <v>2.0</v>
      </c>
      <c r="H346" s="259">
        <f>IFERROR(IF(D346="SINAPI-S",VLOOKUP(B346,'20-B.SINAPI-S'!A:J,5,0),IF(D346="SINAPI-I",VLOOKUP(B346,'20-A.SINAPI-I'!A:G,6,0),IF(D346="COMPOSIÇÕES",VLOOKUP(B346,'11.COMPOSIÇÕES GERAIS'!B:I,7,0),0))),"Em Elaboração")</f>
        <v>0</v>
      </c>
      <c r="I346" s="259">
        <f>IFERROR(IF(D346="SINAPI-S",VLOOKUP(B346,'20-B.SINAPI-S'!A:J,6,0),IF(D346="SINAPI-I",VLOOKUP(B346,'20-A.SINAPI-I'!A:G,7,0),IF(D346="COMPOSIÇÕES",VLOOKUP(B346,'11.COMPOSIÇÕES GERAIS'!B:I,8,0),VLOOKUP(B346,'12.COT.MERCADO'!A:I,8,0)))),"Em Elaboração")</f>
        <v>121.77</v>
      </c>
      <c r="J346" s="259">
        <f t="shared" si="13"/>
        <v>0</v>
      </c>
      <c r="K346" s="259">
        <f t="shared" si="14"/>
        <v>142.6334124</v>
      </c>
      <c r="L346" s="259">
        <f t="shared" si="15"/>
        <v>142.6334124</v>
      </c>
      <c r="M346" s="259">
        <f t="shared" si="16"/>
        <v>0</v>
      </c>
      <c r="N346" s="259">
        <f t="shared" si="17"/>
        <v>285.2668249</v>
      </c>
      <c r="O346" s="259">
        <f t="shared" si="18"/>
        <v>285.2668249</v>
      </c>
      <c r="P346" s="586">
        <f t="shared" si="3"/>
        <v>0.001555073917</v>
      </c>
    </row>
    <row r="347">
      <c r="A347" s="253" t="s">
        <v>891</v>
      </c>
      <c r="B347" s="254">
        <v>21061.0</v>
      </c>
      <c r="C347" s="255" t="str">
        <f t="shared" si="12"/>
        <v>SINAPI</v>
      </c>
      <c r="D347" s="256" t="s">
        <v>286</v>
      </c>
      <c r="E347" s="257" t="str">
        <f>IFERROR(IF(D347="SINAPI-S",VLOOKUP(B347,'20-B.SINAPI-S'!A:J,2,0),IF(D347="SINAPI-I",VLOOKUP(B347,'20-A.SINAPI-I'!A:G,2,0),IF(D347="COMPOSIÇÕES",VLOOKUP(B347,'11.COMPOSIÇÕES GERAIS'!B:I,2,0),VLOOKUP(B347,'12.COT.MERCADO'!A:I,2,0)))),"Em Elaboração")</f>
        <v>RALO FOFO COM REQUADRO, QUADRADO 300 X 300 MM</v>
      </c>
      <c r="F347" s="258" t="str">
        <f>IFERROR(IF(D347="SINAPI-S",VLOOKUP(B347,'20-B.SINAPI-S'!A:J,3,0),IF(D347="SINAPI-I",VLOOKUP(B347,'20-A.SINAPI-I'!A:G,3,0),IF(D347="COMPOSIÇÕES",VLOOKUP(B347,'11.COMPOSIÇÕES GERAIS'!B:I,3,0),VLOOKUP(B347,'12.COT.MERCADO'!A:I,7,0)))),"Em Elaboração")</f>
        <v>UN</v>
      </c>
      <c r="G347" s="254">
        <v>2.0</v>
      </c>
      <c r="H347" s="259">
        <f>IFERROR(IF(D347="SINAPI-S",VLOOKUP(B347,'20-B.SINAPI-S'!A:J,5,0),IF(D347="SINAPI-I",VLOOKUP(B347,'20-A.SINAPI-I'!A:G,6,0),IF(D347="COMPOSIÇÕES",VLOOKUP(B347,'11.COMPOSIÇÕES GERAIS'!B:I,7,0),0))),"Em Elaboração")</f>
        <v>0</v>
      </c>
      <c r="I347" s="259">
        <f>IFERROR(IF(D347="SINAPI-S",VLOOKUP(B347,'20-B.SINAPI-S'!A:J,6,0),IF(D347="SINAPI-I",VLOOKUP(B347,'20-A.SINAPI-I'!A:G,7,0),IF(D347="COMPOSIÇÕES",VLOOKUP(B347,'11.COMPOSIÇÕES GERAIS'!B:I,8,0),VLOOKUP(B347,'12.COT.MERCADO'!A:I,8,0)))),"Em Elaboração")</f>
        <v>152.22</v>
      </c>
      <c r="J347" s="259">
        <f t="shared" si="13"/>
        <v>0</v>
      </c>
      <c r="K347" s="259">
        <f t="shared" si="14"/>
        <v>178.3005505</v>
      </c>
      <c r="L347" s="259">
        <f t="shared" si="15"/>
        <v>178.3005505</v>
      </c>
      <c r="M347" s="259">
        <f t="shared" si="16"/>
        <v>0</v>
      </c>
      <c r="N347" s="259">
        <f t="shared" si="17"/>
        <v>356.6011011</v>
      </c>
      <c r="O347" s="259">
        <f t="shared" si="18"/>
        <v>356.6011011</v>
      </c>
      <c r="P347" s="586">
        <f t="shared" si="3"/>
        <v>0.001943938175</v>
      </c>
    </row>
    <row r="348">
      <c r="A348" s="253" t="s">
        <v>892</v>
      </c>
      <c r="B348" s="254">
        <v>21062.0</v>
      </c>
      <c r="C348" s="255" t="str">
        <f t="shared" si="12"/>
        <v>SINAPI</v>
      </c>
      <c r="D348" s="256" t="s">
        <v>286</v>
      </c>
      <c r="E348" s="257" t="str">
        <f>IFERROR(IF(D348="SINAPI-S",VLOOKUP(B348,'20-B.SINAPI-S'!A:J,2,0),IF(D348="SINAPI-I",VLOOKUP(B348,'20-A.SINAPI-I'!A:G,2,0),IF(D348="COMPOSIÇÕES",VLOOKUP(B348,'11.COMPOSIÇÕES GERAIS'!B:I,2,0),VLOOKUP(B348,'12.COT.MERCADO'!A:I,2,0)))),"Em Elaboração")</f>
        <v>RALO FOFO COM REQUADRO, QUADRADO 400 X 400 MM</v>
      </c>
      <c r="F348" s="258" t="str">
        <f>IFERROR(IF(D348="SINAPI-S",VLOOKUP(B348,'20-B.SINAPI-S'!A:J,3,0),IF(D348="SINAPI-I",VLOOKUP(B348,'20-A.SINAPI-I'!A:G,3,0),IF(D348="COMPOSIÇÕES",VLOOKUP(B348,'11.COMPOSIÇÕES GERAIS'!B:I,3,0),VLOOKUP(B348,'12.COT.MERCADO'!A:I,7,0)))),"Em Elaboração")</f>
        <v>UN</v>
      </c>
      <c r="G348" s="254">
        <v>2.0</v>
      </c>
      <c r="H348" s="259">
        <f>IFERROR(IF(D348="SINAPI-S",VLOOKUP(B348,'20-B.SINAPI-S'!A:J,5,0),IF(D348="SINAPI-I",VLOOKUP(B348,'20-A.SINAPI-I'!A:G,6,0),IF(D348="COMPOSIÇÕES",VLOOKUP(B348,'11.COMPOSIÇÕES GERAIS'!B:I,7,0),0))),"Em Elaboração")</f>
        <v>0</v>
      </c>
      <c r="I348" s="259">
        <f>IFERROR(IF(D348="SINAPI-S",VLOOKUP(B348,'20-B.SINAPI-S'!A:J,6,0),IF(D348="SINAPI-I",VLOOKUP(B348,'20-A.SINAPI-I'!A:G,7,0),IF(D348="COMPOSIÇÕES",VLOOKUP(B348,'11.COMPOSIÇÕES GERAIS'!B:I,8,0),VLOOKUP(B348,'12.COT.MERCADO'!A:I,8,0)))),"Em Elaboração")</f>
        <v>239.74</v>
      </c>
      <c r="J348" s="259">
        <f t="shared" si="13"/>
        <v>0</v>
      </c>
      <c r="K348" s="259">
        <f t="shared" si="14"/>
        <v>280.8157534</v>
      </c>
      <c r="L348" s="259">
        <f t="shared" si="15"/>
        <v>280.8157534</v>
      </c>
      <c r="M348" s="259">
        <f t="shared" si="16"/>
        <v>0</v>
      </c>
      <c r="N348" s="259">
        <f t="shared" si="17"/>
        <v>561.6315069</v>
      </c>
      <c r="O348" s="259">
        <f t="shared" si="18"/>
        <v>561.6315069</v>
      </c>
      <c r="P348" s="586">
        <f t="shared" si="3"/>
        <v>0.003061619618</v>
      </c>
    </row>
    <row r="349">
      <c r="A349" s="253" t="s">
        <v>893</v>
      </c>
      <c r="B349" s="254">
        <v>11708.0</v>
      </c>
      <c r="C349" s="255" t="str">
        <f t="shared" si="12"/>
        <v>SINAPI</v>
      </c>
      <c r="D349" s="256" t="s">
        <v>286</v>
      </c>
      <c r="E349" s="257" t="str">
        <f>IFERROR(IF(D349="SINAPI-S",VLOOKUP(B349,'20-B.SINAPI-S'!A:J,2,0),IF(D349="SINAPI-I",VLOOKUP(B349,'20-A.SINAPI-I'!A:G,2,0),IF(D349="COMPOSIÇÕES",VLOOKUP(B349,'11.COMPOSIÇÕES GERAIS'!B:I,2,0),VLOOKUP(B349,'12.COT.MERCADO'!A:I,2,0)))),"Em Elaboração")</f>
        <v>RALO FOFO SEMIESFERICO, 100 MM, PARA LAJES/ CALHAS</v>
      </c>
      <c r="F349" s="258" t="str">
        <f>IFERROR(IF(D349="SINAPI-S",VLOOKUP(B349,'20-B.SINAPI-S'!A:J,3,0),IF(D349="SINAPI-I",VLOOKUP(B349,'20-A.SINAPI-I'!A:G,3,0),IF(D349="COMPOSIÇÕES",VLOOKUP(B349,'11.COMPOSIÇÕES GERAIS'!B:I,3,0),VLOOKUP(B349,'12.COT.MERCADO'!A:I,7,0)))),"Em Elaboração")</f>
        <v>UN</v>
      </c>
      <c r="G349" s="254">
        <v>2.0</v>
      </c>
      <c r="H349" s="259">
        <f>IFERROR(IF(D349="SINAPI-S",VLOOKUP(B349,'20-B.SINAPI-S'!A:J,5,0),IF(D349="SINAPI-I",VLOOKUP(B349,'20-A.SINAPI-I'!A:G,6,0),IF(D349="COMPOSIÇÕES",VLOOKUP(B349,'11.COMPOSIÇÕES GERAIS'!B:I,7,0),0))),"Em Elaboração")</f>
        <v>0</v>
      </c>
      <c r="I349" s="259">
        <f>IFERROR(IF(D349="SINAPI-S",VLOOKUP(B349,'20-B.SINAPI-S'!A:J,6,0),IF(D349="SINAPI-I",VLOOKUP(B349,'20-A.SINAPI-I'!A:G,7,0),IF(D349="COMPOSIÇÕES",VLOOKUP(B349,'11.COMPOSIÇÕES GERAIS'!B:I,8,0),VLOOKUP(B349,'12.COT.MERCADO'!A:I,8,0)))),"Em Elaboração")</f>
        <v>26.16</v>
      </c>
      <c r="J349" s="259">
        <f t="shared" si="13"/>
        <v>0</v>
      </c>
      <c r="K349" s="259">
        <f t="shared" si="14"/>
        <v>30.64211275</v>
      </c>
      <c r="L349" s="259">
        <f t="shared" si="15"/>
        <v>30.64211275</v>
      </c>
      <c r="M349" s="259">
        <f t="shared" si="16"/>
        <v>0</v>
      </c>
      <c r="N349" s="259">
        <f t="shared" si="17"/>
        <v>61.28422549</v>
      </c>
      <c r="O349" s="259">
        <f t="shared" si="18"/>
        <v>61.28422549</v>
      </c>
      <c r="P349" s="586">
        <f t="shared" si="3"/>
        <v>0.0003340784566</v>
      </c>
    </row>
    <row r="350">
      <c r="A350" s="253" t="s">
        <v>894</v>
      </c>
      <c r="B350" s="254">
        <v>11707.0</v>
      </c>
      <c r="C350" s="255" t="str">
        <f t="shared" si="12"/>
        <v>SINAPI</v>
      </c>
      <c r="D350" s="256" t="s">
        <v>286</v>
      </c>
      <c r="E350" s="257" t="str">
        <f>IFERROR(IF(D350="SINAPI-S",VLOOKUP(B350,'20-B.SINAPI-S'!A:J,2,0),IF(D350="SINAPI-I",VLOOKUP(B350,'20-A.SINAPI-I'!A:G,2,0),IF(D350="COMPOSIÇÕES",VLOOKUP(B350,'11.COMPOSIÇÕES GERAIS'!B:I,2,0),VLOOKUP(B350,'12.COT.MERCADO'!A:I,2,0)))),"Em Elaboração")</f>
        <v>RALO FOFO SEMIESFERICO, 75 MM, PARA LAJES/ CALHAS</v>
      </c>
      <c r="F350" s="258" t="str">
        <f>IFERROR(IF(D350="SINAPI-S",VLOOKUP(B350,'20-B.SINAPI-S'!A:J,3,0),IF(D350="SINAPI-I",VLOOKUP(B350,'20-A.SINAPI-I'!A:G,3,0),IF(D350="COMPOSIÇÕES",VLOOKUP(B350,'11.COMPOSIÇÕES GERAIS'!B:I,3,0),VLOOKUP(B350,'12.COT.MERCADO'!A:I,7,0)))),"Em Elaboração")</f>
        <v>UN</v>
      </c>
      <c r="G350" s="254">
        <v>2.0</v>
      </c>
      <c r="H350" s="259">
        <f>IFERROR(IF(D350="SINAPI-S",VLOOKUP(B350,'20-B.SINAPI-S'!A:J,5,0),IF(D350="SINAPI-I",VLOOKUP(B350,'20-A.SINAPI-I'!A:G,6,0),IF(D350="COMPOSIÇÕES",VLOOKUP(B350,'11.COMPOSIÇÕES GERAIS'!B:I,7,0),0))),"Em Elaboração")</f>
        <v>0</v>
      </c>
      <c r="I350" s="259">
        <f>IFERROR(IF(D350="SINAPI-S",VLOOKUP(B350,'20-B.SINAPI-S'!A:J,6,0),IF(D350="SINAPI-I",VLOOKUP(B350,'20-A.SINAPI-I'!A:G,7,0),IF(D350="COMPOSIÇÕES",VLOOKUP(B350,'11.COMPOSIÇÕES GERAIS'!B:I,8,0),VLOOKUP(B350,'12.COT.MERCADO'!A:I,8,0)))),"Em Elaboração")</f>
        <v>19.59</v>
      </c>
      <c r="J350" s="259">
        <f t="shared" si="13"/>
        <v>0</v>
      </c>
      <c r="K350" s="259">
        <f t="shared" si="14"/>
        <v>22.94644452</v>
      </c>
      <c r="L350" s="259">
        <f t="shared" si="15"/>
        <v>22.94644452</v>
      </c>
      <c r="M350" s="259">
        <f t="shared" si="16"/>
        <v>0</v>
      </c>
      <c r="N350" s="259">
        <f t="shared" si="17"/>
        <v>45.89288905</v>
      </c>
      <c r="O350" s="259">
        <f t="shared" si="18"/>
        <v>45.89288905</v>
      </c>
      <c r="P350" s="586">
        <f t="shared" si="3"/>
        <v>0.000250175725</v>
      </c>
    </row>
    <row r="351">
      <c r="A351" s="253" t="s">
        <v>895</v>
      </c>
      <c r="B351" s="254">
        <v>11743.0</v>
      </c>
      <c r="C351" s="255" t="str">
        <f t="shared" si="12"/>
        <v>SINAPI</v>
      </c>
      <c r="D351" s="256" t="s">
        <v>286</v>
      </c>
      <c r="E351" s="257" t="str">
        <f>IFERROR(IF(D351="SINAPI-S",VLOOKUP(B351,'20-B.SINAPI-S'!A:J,2,0),IF(D351="SINAPI-I",VLOOKUP(B351,'20-A.SINAPI-I'!A:G,2,0),IF(D351="COMPOSIÇÕES",VLOOKUP(B351,'11.COMPOSIÇÕES GERAIS'!B:I,2,0),VLOOKUP(B351,'12.COT.MERCADO'!A:I,2,0)))),"Em Elaboração")</f>
        <v>RALO SIFONADO REDONDO CONICO, PVC, 100 X 40 MM, COM GRELHA REDONDA BRANCA</v>
      </c>
      <c r="F351" s="258" t="str">
        <f>IFERROR(IF(D351="SINAPI-S",VLOOKUP(B351,'20-B.SINAPI-S'!A:J,3,0),IF(D351="SINAPI-I",VLOOKUP(B351,'20-A.SINAPI-I'!A:G,3,0),IF(D351="COMPOSIÇÕES",VLOOKUP(B351,'11.COMPOSIÇÕES GERAIS'!B:I,3,0),VLOOKUP(B351,'12.COT.MERCADO'!A:I,7,0)))),"Em Elaboração")</f>
        <v>UN</v>
      </c>
      <c r="G351" s="254">
        <v>2.0</v>
      </c>
      <c r="H351" s="259">
        <f>IFERROR(IF(D351="SINAPI-S",VLOOKUP(B351,'20-B.SINAPI-S'!A:J,5,0),IF(D351="SINAPI-I",VLOOKUP(B351,'20-A.SINAPI-I'!A:G,6,0),IF(D351="COMPOSIÇÕES",VLOOKUP(B351,'11.COMPOSIÇÕES GERAIS'!B:I,7,0),0))),"Em Elaboração")</f>
        <v>0</v>
      </c>
      <c r="I351" s="259">
        <f>IFERROR(IF(D351="SINAPI-S",VLOOKUP(B351,'20-B.SINAPI-S'!A:J,6,0),IF(D351="SINAPI-I",VLOOKUP(B351,'20-A.SINAPI-I'!A:G,7,0),IF(D351="COMPOSIÇÕES",VLOOKUP(B351,'11.COMPOSIÇÕES GERAIS'!B:I,8,0),VLOOKUP(B351,'12.COT.MERCADO'!A:I,8,0)))),"Em Elaboração")</f>
        <v>9.82</v>
      </c>
      <c r="J351" s="259">
        <f t="shared" si="13"/>
        <v>0</v>
      </c>
      <c r="K351" s="259">
        <f t="shared" si="14"/>
        <v>11.50250563</v>
      </c>
      <c r="L351" s="259">
        <f t="shared" si="15"/>
        <v>11.50250563</v>
      </c>
      <c r="M351" s="259">
        <f t="shared" si="16"/>
        <v>0</v>
      </c>
      <c r="N351" s="259">
        <f t="shared" si="17"/>
        <v>23.00501125</v>
      </c>
      <c r="O351" s="259">
        <f t="shared" si="18"/>
        <v>23.00501125</v>
      </c>
      <c r="P351" s="586">
        <f t="shared" si="3"/>
        <v>0.0001254071271</v>
      </c>
    </row>
    <row r="352">
      <c r="A352" s="253" t="s">
        <v>896</v>
      </c>
      <c r="B352" s="254">
        <v>20043.0</v>
      </c>
      <c r="C352" s="255" t="str">
        <f t="shared" si="12"/>
        <v>SINAPI</v>
      </c>
      <c r="D352" s="256" t="s">
        <v>286</v>
      </c>
      <c r="E352" s="257" t="str">
        <f>IFERROR(IF(D352="SINAPI-S",VLOOKUP(B352,'20-B.SINAPI-S'!A:J,2,0),IF(D352="SINAPI-I",VLOOKUP(B352,'20-A.SINAPI-I'!A:G,2,0),IF(D352="COMPOSIÇÕES",VLOOKUP(B352,'11.COMPOSIÇÕES GERAIS'!B:I,2,0),VLOOKUP(B352,'12.COT.MERCADO'!A:I,2,0)))),"Em Elaboração")</f>
        <v>REDUCAO EXCENTRICA PVC, DN 100 X 50 MM, PARA ESGOTO PREDIAL</v>
      </c>
      <c r="F352" s="258" t="str">
        <f>IFERROR(IF(D352="SINAPI-S",VLOOKUP(B352,'20-B.SINAPI-S'!A:J,3,0),IF(D352="SINAPI-I",VLOOKUP(B352,'20-A.SINAPI-I'!A:G,3,0),IF(D352="COMPOSIÇÕES",VLOOKUP(B352,'11.COMPOSIÇÕES GERAIS'!B:I,3,0),VLOOKUP(B352,'12.COT.MERCADO'!A:I,7,0)))),"Em Elaboração")</f>
        <v>UN</v>
      </c>
      <c r="G352" s="254">
        <v>3.0</v>
      </c>
      <c r="H352" s="259">
        <f>IFERROR(IF(D352="SINAPI-S",VLOOKUP(B352,'20-B.SINAPI-S'!A:J,5,0),IF(D352="SINAPI-I",VLOOKUP(B352,'20-A.SINAPI-I'!A:G,6,0),IF(D352="COMPOSIÇÕES",VLOOKUP(B352,'11.COMPOSIÇÕES GERAIS'!B:I,7,0),0))),"Em Elaboração")</f>
        <v>0</v>
      </c>
      <c r="I352" s="259">
        <f>IFERROR(IF(D352="SINAPI-S",VLOOKUP(B352,'20-B.SINAPI-S'!A:J,6,0),IF(D352="SINAPI-I",VLOOKUP(B352,'20-A.SINAPI-I'!A:G,7,0),IF(D352="COMPOSIÇÕES",VLOOKUP(B352,'11.COMPOSIÇÕES GERAIS'!B:I,8,0),VLOOKUP(B352,'12.COT.MERCADO'!A:I,8,0)))),"Em Elaboração")</f>
        <v>10.24</v>
      </c>
      <c r="J352" s="259">
        <f t="shared" si="13"/>
        <v>0</v>
      </c>
      <c r="K352" s="259">
        <f t="shared" si="14"/>
        <v>11.99446615</v>
      </c>
      <c r="L352" s="259">
        <f t="shared" si="15"/>
        <v>11.99446615</v>
      </c>
      <c r="M352" s="259">
        <f t="shared" si="16"/>
        <v>0</v>
      </c>
      <c r="N352" s="259">
        <f t="shared" si="17"/>
        <v>35.98339846</v>
      </c>
      <c r="O352" s="259">
        <f t="shared" si="18"/>
        <v>35.98339846</v>
      </c>
      <c r="P352" s="586">
        <f t="shared" si="3"/>
        <v>0.000196156158</v>
      </c>
    </row>
    <row r="353">
      <c r="A353" s="253" t="s">
        <v>897</v>
      </c>
      <c r="B353" s="254">
        <v>20044.0</v>
      </c>
      <c r="C353" s="255" t="str">
        <f t="shared" si="12"/>
        <v>SINAPI</v>
      </c>
      <c r="D353" s="256" t="s">
        <v>286</v>
      </c>
      <c r="E353" s="257" t="str">
        <f>IFERROR(IF(D353="SINAPI-S",VLOOKUP(B353,'20-B.SINAPI-S'!A:J,2,0),IF(D353="SINAPI-I",VLOOKUP(B353,'20-A.SINAPI-I'!A:G,2,0),IF(D353="COMPOSIÇÕES",VLOOKUP(B353,'11.COMPOSIÇÕES GERAIS'!B:I,2,0),VLOOKUP(B353,'12.COT.MERCADO'!A:I,2,0)))),"Em Elaboração")</f>
        <v>REDUCAO EXCENTRICA PVC, DN 100 X 75 MM, PARA ESGOTO PREDIAL</v>
      </c>
      <c r="F353" s="258" t="str">
        <f>IFERROR(IF(D353="SINAPI-S",VLOOKUP(B353,'20-B.SINAPI-S'!A:J,3,0),IF(D353="SINAPI-I",VLOOKUP(B353,'20-A.SINAPI-I'!A:G,3,0),IF(D353="COMPOSIÇÕES",VLOOKUP(B353,'11.COMPOSIÇÕES GERAIS'!B:I,3,0),VLOOKUP(B353,'12.COT.MERCADO'!A:I,7,0)))),"Em Elaboração")</f>
        <v>UN</v>
      </c>
      <c r="G353" s="254">
        <v>3.0</v>
      </c>
      <c r="H353" s="259">
        <f>IFERROR(IF(D353="SINAPI-S",VLOOKUP(B353,'20-B.SINAPI-S'!A:J,5,0),IF(D353="SINAPI-I",VLOOKUP(B353,'20-A.SINAPI-I'!A:G,6,0),IF(D353="COMPOSIÇÕES",VLOOKUP(B353,'11.COMPOSIÇÕES GERAIS'!B:I,7,0),0))),"Em Elaboração")</f>
        <v>0</v>
      </c>
      <c r="I353" s="259">
        <f>IFERROR(IF(D353="SINAPI-S",VLOOKUP(B353,'20-B.SINAPI-S'!A:J,6,0),IF(D353="SINAPI-I",VLOOKUP(B353,'20-A.SINAPI-I'!A:G,7,0),IF(D353="COMPOSIÇÕES",VLOOKUP(B353,'11.COMPOSIÇÕES GERAIS'!B:I,8,0),VLOOKUP(B353,'12.COT.MERCADO'!A:I,8,0)))),"Em Elaboração")</f>
        <v>11.87</v>
      </c>
      <c r="J353" s="259">
        <f t="shared" si="13"/>
        <v>0</v>
      </c>
      <c r="K353" s="259">
        <f t="shared" si="14"/>
        <v>13.90374153</v>
      </c>
      <c r="L353" s="259">
        <f t="shared" si="15"/>
        <v>13.90374153</v>
      </c>
      <c r="M353" s="259">
        <f t="shared" si="16"/>
        <v>0</v>
      </c>
      <c r="N353" s="259">
        <f t="shared" si="17"/>
        <v>41.71122458</v>
      </c>
      <c r="O353" s="259">
        <f t="shared" si="18"/>
        <v>41.71122458</v>
      </c>
      <c r="P353" s="586">
        <f t="shared" si="3"/>
        <v>0.000227380234</v>
      </c>
    </row>
    <row r="354">
      <c r="A354" s="253" t="s">
        <v>898</v>
      </c>
      <c r="B354" s="254">
        <v>20042.0</v>
      </c>
      <c r="C354" s="255" t="str">
        <f t="shared" si="12"/>
        <v>SINAPI</v>
      </c>
      <c r="D354" s="256" t="s">
        <v>286</v>
      </c>
      <c r="E354" s="257" t="str">
        <f>IFERROR(IF(D354="SINAPI-S",VLOOKUP(B354,'20-B.SINAPI-S'!A:J,2,0),IF(D354="SINAPI-I",VLOOKUP(B354,'20-A.SINAPI-I'!A:G,2,0),IF(D354="COMPOSIÇÕES",VLOOKUP(B354,'11.COMPOSIÇÕES GERAIS'!B:I,2,0),VLOOKUP(B354,'12.COT.MERCADO'!A:I,2,0)))),"Em Elaboração")</f>
        <v>REDUCAO EXCENTRICA PVC, DN 75 X 50 MM, PARA ESGOTO PREDIAL</v>
      </c>
      <c r="F354" s="258" t="str">
        <f>IFERROR(IF(D354="SINAPI-S",VLOOKUP(B354,'20-B.SINAPI-S'!A:J,3,0),IF(D354="SINAPI-I",VLOOKUP(B354,'20-A.SINAPI-I'!A:G,3,0),IF(D354="COMPOSIÇÕES",VLOOKUP(B354,'11.COMPOSIÇÕES GERAIS'!B:I,3,0),VLOOKUP(B354,'12.COT.MERCADO'!A:I,7,0)))),"Em Elaboração")</f>
        <v>UN</v>
      </c>
      <c r="G354" s="254">
        <v>3.0</v>
      </c>
      <c r="H354" s="259">
        <f>IFERROR(IF(D354="SINAPI-S",VLOOKUP(B354,'20-B.SINAPI-S'!A:J,5,0),IF(D354="SINAPI-I",VLOOKUP(B354,'20-A.SINAPI-I'!A:G,6,0),IF(D354="COMPOSIÇÕES",VLOOKUP(B354,'11.COMPOSIÇÕES GERAIS'!B:I,7,0),0))),"Em Elaboração")</f>
        <v>0</v>
      </c>
      <c r="I354" s="259">
        <f>IFERROR(IF(D354="SINAPI-S",VLOOKUP(B354,'20-B.SINAPI-S'!A:J,6,0),IF(D354="SINAPI-I",VLOOKUP(B354,'20-A.SINAPI-I'!A:G,7,0),IF(D354="COMPOSIÇÕES",VLOOKUP(B354,'11.COMPOSIÇÕES GERAIS'!B:I,8,0),VLOOKUP(B354,'12.COT.MERCADO'!A:I,8,0)))),"Em Elaboração")</f>
        <v>8.88</v>
      </c>
      <c r="J354" s="259">
        <f t="shared" si="13"/>
        <v>0</v>
      </c>
      <c r="K354" s="259">
        <f t="shared" si="14"/>
        <v>10.40145112</v>
      </c>
      <c r="L354" s="259">
        <f t="shared" si="15"/>
        <v>10.40145112</v>
      </c>
      <c r="M354" s="259">
        <f t="shared" si="16"/>
        <v>0</v>
      </c>
      <c r="N354" s="259">
        <f t="shared" si="17"/>
        <v>31.20435335</v>
      </c>
      <c r="O354" s="259">
        <f t="shared" si="18"/>
        <v>31.20435335</v>
      </c>
      <c r="P354" s="586">
        <f t="shared" si="3"/>
        <v>0.0001701041683</v>
      </c>
    </row>
    <row r="355">
      <c r="A355" s="253" t="s">
        <v>899</v>
      </c>
      <c r="B355" s="254">
        <v>11677.0</v>
      </c>
      <c r="C355" s="255" t="str">
        <f t="shared" si="12"/>
        <v>SINAPI</v>
      </c>
      <c r="D355" s="256" t="s">
        <v>286</v>
      </c>
      <c r="E355" s="257" t="str">
        <f>IFERROR(IF(D355="SINAPI-S",VLOOKUP(B355,'20-B.SINAPI-S'!A:J,2,0),IF(D355="SINAPI-I",VLOOKUP(B355,'20-A.SINAPI-I'!A:G,2,0),IF(D355="COMPOSIÇÕES",VLOOKUP(B355,'11.COMPOSIÇÕES GERAIS'!B:I,2,0),VLOOKUP(B355,'12.COT.MERCADO'!A:I,2,0)))),"Em Elaboração")</f>
        <v>REGISTRO DE ESFERA, PVC, COM VOLANTE, VS, SOLDAVEL, DN 50 MM, COM CORPO DIVIDIDO</v>
      </c>
      <c r="F355" s="258" t="str">
        <f>IFERROR(IF(D355="SINAPI-S",VLOOKUP(B355,'20-B.SINAPI-S'!A:J,3,0),IF(D355="SINAPI-I",VLOOKUP(B355,'20-A.SINAPI-I'!A:G,3,0),IF(D355="COMPOSIÇÕES",VLOOKUP(B355,'11.COMPOSIÇÕES GERAIS'!B:I,3,0),VLOOKUP(B355,'12.COT.MERCADO'!A:I,7,0)))),"Em Elaboração")</f>
        <v>UN</v>
      </c>
      <c r="G355" s="254">
        <v>2.0</v>
      </c>
      <c r="H355" s="259">
        <f>IFERROR(IF(D355="SINAPI-S",VLOOKUP(B355,'20-B.SINAPI-S'!A:J,5,0),IF(D355="SINAPI-I",VLOOKUP(B355,'20-A.SINAPI-I'!A:G,6,0),IF(D355="COMPOSIÇÕES",VLOOKUP(B355,'11.COMPOSIÇÕES GERAIS'!B:I,7,0),0))),"Em Elaboração")</f>
        <v>0</v>
      </c>
      <c r="I355" s="259">
        <f>IFERROR(IF(D355="SINAPI-S",VLOOKUP(B355,'20-B.SINAPI-S'!A:J,6,0),IF(D355="SINAPI-I",VLOOKUP(B355,'20-A.SINAPI-I'!A:G,7,0),IF(D355="COMPOSIÇÕES",VLOOKUP(B355,'11.COMPOSIÇÕES GERAIS'!B:I,8,0),VLOOKUP(B355,'12.COT.MERCADO'!A:I,8,0)))),"Em Elaboração")</f>
        <v>58.86</v>
      </c>
      <c r="J355" s="259">
        <f t="shared" si="13"/>
        <v>0</v>
      </c>
      <c r="K355" s="259">
        <f t="shared" si="14"/>
        <v>68.94475368</v>
      </c>
      <c r="L355" s="259">
        <f t="shared" si="15"/>
        <v>68.94475368</v>
      </c>
      <c r="M355" s="259">
        <f t="shared" si="16"/>
        <v>0</v>
      </c>
      <c r="N355" s="259">
        <f t="shared" si="17"/>
        <v>137.8895074</v>
      </c>
      <c r="O355" s="259">
        <f t="shared" si="18"/>
        <v>137.8895074</v>
      </c>
      <c r="P355" s="586">
        <f t="shared" si="3"/>
        <v>0.0007516765274</v>
      </c>
    </row>
    <row r="356">
      <c r="A356" s="253" t="s">
        <v>900</v>
      </c>
      <c r="B356" s="254">
        <v>6019.0</v>
      </c>
      <c r="C356" s="255" t="str">
        <f t="shared" si="12"/>
        <v>SINAPI</v>
      </c>
      <c r="D356" s="256" t="s">
        <v>286</v>
      </c>
      <c r="E356" s="257" t="str">
        <f>IFERROR(IF(D356="SINAPI-S",VLOOKUP(B356,'20-B.SINAPI-S'!A:J,2,0),IF(D356="SINAPI-I",VLOOKUP(B356,'20-A.SINAPI-I'!A:G,2,0),IF(D356="COMPOSIÇÕES",VLOOKUP(B356,'11.COMPOSIÇÕES GERAIS'!B:I,2,0),VLOOKUP(B356,'12.COT.MERCADO'!A:I,2,0)))),"Em Elaboração")</f>
        <v>REGISTRO GAVETA BRUTO EM LATAO FORJADO, BITOLA 1 " (REF 1509)</v>
      </c>
      <c r="F356" s="258" t="str">
        <f>IFERROR(IF(D356="SINAPI-S",VLOOKUP(B356,'20-B.SINAPI-S'!A:J,3,0),IF(D356="SINAPI-I",VLOOKUP(B356,'20-A.SINAPI-I'!A:G,3,0),IF(D356="COMPOSIÇÕES",VLOOKUP(B356,'11.COMPOSIÇÕES GERAIS'!B:I,3,0),VLOOKUP(B356,'12.COT.MERCADO'!A:I,7,0)))),"Em Elaboração")</f>
        <v>UN</v>
      </c>
      <c r="G356" s="254">
        <v>2.0</v>
      </c>
      <c r="H356" s="259">
        <f>IFERROR(IF(D356="SINAPI-S",VLOOKUP(B356,'20-B.SINAPI-S'!A:J,5,0),IF(D356="SINAPI-I",VLOOKUP(B356,'20-A.SINAPI-I'!A:G,6,0),IF(D356="COMPOSIÇÕES",VLOOKUP(B356,'11.COMPOSIÇÕES GERAIS'!B:I,7,0),0))),"Em Elaboração")</f>
        <v>0</v>
      </c>
      <c r="I356" s="259">
        <f>IFERROR(IF(D356="SINAPI-S",VLOOKUP(B356,'20-B.SINAPI-S'!A:J,6,0),IF(D356="SINAPI-I",VLOOKUP(B356,'20-A.SINAPI-I'!A:G,7,0),IF(D356="COMPOSIÇÕES",VLOOKUP(B356,'11.COMPOSIÇÕES GERAIS'!B:I,8,0),VLOOKUP(B356,'12.COT.MERCADO'!A:I,8,0)))),"Em Elaboração")</f>
        <v>60.79</v>
      </c>
      <c r="J356" s="259">
        <f t="shared" si="13"/>
        <v>0</v>
      </c>
      <c r="K356" s="259">
        <f t="shared" si="14"/>
        <v>71.20542943</v>
      </c>
      <c r="L356" s="259">
        <f t="shared" si="15"/>
        <v>71.20542943</v>
      </c>
      <c r="M356" s="259">
        <f t="shared" si="16"/>
        <v>0</v>
      </c>
      <c r="N356" s="259">
        <f t="shared" si="17"/>
        <v>142.4108589</v>
      </c>
      <c r="O356" s="259">
        <f t="shared" si="18"/>
        <v>142.4108589</v>
      </c>
      <c r="P356" s="586">
        <f t="shared" si="3"/>
        <v>0.000776323753</v>
      </c>
    </row>
    <row r="357">
      <c r="A357" s="253" t="s">
        <v>901</v>
      </c>
      <c r="B357" s="254">
        <v>6010.0</v>
      </c>
      <c r="C357" s="255" t="str">
        <f t="shared" si="12"/>
        <v>SINAPI</v>
      </c>
      <c r="D357" s="256" t="s">
        <v>286</v>
      </c>
      <c r="E357" s="257" t="str">
        <f>IFERROR(IF(D357="SINAPI-S",VLOOKUP(B357,'20-B.SINAPI-S'!A:J,2,0),IF(D357="SINAPI-I",VLOOKUP(B357,'20-A.SINAPI-I'!A:G,2,0),IF(D357="COMPOSIÇÕES",VLOOKUP(B357,'11.COMPOSIÇÕES GERAIS'!B:I,2,0),VLOOKUP(B357,'12.COT.MERCADO'!A:I,2,0)))),"Em Elaboração")</f>
        <v>REGISTRO GAVETA BRUTO EM LATAO FORJADO, BITOLA 1 1/2 " (REF 1509)</v>
      </c>
      <c r="F357" s="258" t="str">
        <f>IFERROR(IF(D357="SINAPI-S",VLOOKUP(B357,'20-B.SINAPI-S'!A:J,3,0),IF(D357="SINAPI-I",VLOOKUP(B357,'20-A.SINAPI-I'!A:G,3,0),IF(D357="COMPOSIÇÕES",VLOOKUP(B357,'11.COMPOSIÇÕES GERAIS'!B:I,3,0),VLOOKUP(B357,'12.COT.MERCADO'!A:I,7,0)))),"Em Elaboração")</f>
        <v>UN</v>
      </c>
      <c r="G357" s="254">
        <v>2.0</v>
      </c>
      <c r="H357" s="259">
        <f>IFERROR(IF(D357="SINAPI-S",VLOOKUP(B357,'20-B.SINAPI-S'!A:J,5,0),IF(D357="SINAPI-I",VLOOKUP(B357,'20-A.SINAPI-I'!A:G,6,0),IF(D357="COMPOSIÇÕES",VLOOKUP(B357,'11.COMPOSIÇÕES GERAIS'!B:I,7,0),0))),"Em Elaboração")</f>
        <v>0</v>
      </c>
      <c r="I357" s="259">
        <f>IFERROR(IF(D357="SINAPI-S",VLOOKUP(B357,'20-B.SINAPI-S'!A:J,6,0),IF(D357="SINAPI-I",VLOOKUP(B357,'20-A.SINAPI-I'!A:G,7,0),IF(D357="COMPOSIÇÕES",VLOOKUP(B357,'11.COMPOSIÇÕES GERAIS'!B:I,8,0),VLOOKUP(B357,'12.COT.MERCADO'!A:I,8,0)))),"Em Elaboração")</f>
        <v>104.59</v>
      </c>
      <c r="J357" s="259">
        <f t="shared" si="13"/>
        <v>0</v>
      </c>
      <c r="K357" s="259">
        <f t="shared" si="14"/>
        <v>122.5098843</v>
      </c>
      <c r="L357" s="259">
        <f t="shared" si="15"/>
        <v>122.5098843</v>
      </c>
      <c r="M357" s="259">
        <f t="shared" si="16"/>
        <v>0</v>
      </c>
      <c r="N357" s="259">
        <f t="shared" si="17"/>
        <v>245.0197685</v>
      </c>
      <c r="O357" s="259">
        <f t="shared" si="18"/>
        <v>245.0197685</v>
      </c>
      <c r="P357" s="586">
        <f t="shared" si="3"/>
        <v>0.001335675297</v>
      </c>
    </row>
    <row r="358">
      <c r="A358" s="253" t="s">
        <v>902</v>
      </c>
      <c r="B358" s="254">
        <v>6028.0</v>
      </c>
      <c r="C358" s="255" t="str">
        <f t="shared" si="12"/>
        <v>SINAPI</v>
      </c>
      <c r="D358" s="256" t="s">
        <v>286</v>
      </c>
      <c r="E358" s="257" t="str">
        <f>IFERROR(IF(D358="SINAPI-S",VLOOKUP(B358,'20-B.SINAPI-S'!A:J,2,0),IF(D358="SINAPI-I",VLOOKUP(B358,'20-A.SINAPI-I'!A:G,2,0),IF(D358="COMPOSIÇÕES",VLOOKUP(B358,'11.COMPOSIÇÕES GERAIS'!B:I,2,0),VLOOKUP(B358,'12.COT.MERCADO'!A:I,2,0)))),"Em Elaboração")</f>
        <v>REGISTRO GAVETA BRUTO EM LATAO FORJADO, BITOLA 2 " (REF 1509)</v>
      </c>
      <c r="F358" s="258" t="str">
        <f>IFERROR(IF(D358="SINAPI-S",VLOOKUP(B358,'20-B.SINAPI-S'!A:J,3,0),IF(D358="SINAPI-I",VLOOKUP(B358,'20-A.SINAPI-I'!A:G,3,0),IF(D358="COMPOSIÇÕES",VLOOKUP(B358,'11.COMPOSIÇÕES GERAIS'!B:I,3,0),VLOOKUP(B358,'12.COT.MERCADO'!A:I,7,0)))),"Em Elaboração")</f>
        <v>UN</v>
      </c>
      <c r="G358" s="254">
        <v>2.0</v>
      </c>
      <c r="H358" s="259">
        <f>IFERROR(IF(D358="SINAPI-S",VLOOKUP(B358,'20-B.SINAPI-S'!A:J,5,0),IF(D358="SINAPI-I",VLOOKUP(B358,'20-A.SINAPI-I'!A:G,6,0),IF(D358="COMPOSIÇÕES",VLOOKUP(B358,'11.COMPOSIÇÕES GERAIS'!B:I,7,0),0))),"Em Elaboração")</f>
        <v>0</v>
      </c>
      <c r="I358" s="259">
        <f>IFERROR(IF(D358="SINAPI-S",VLOOKUP(B358,'20-B.SINAPI-S'!A:J,6,0),IF(D358="SINAPI-I",VLOOKUP(B358,'20-A.SINAPI-I'!A:G,7,0),IF(D358="COMPOSIÇÕES",VLOOKUP(B358,'11.COMPOSIÇÕES GERAIS'!B:I,8,0),VLOOKUP(B358,'12.COT.MERCADO'!A:I,8,0)))),"Em Elaboração")</f>
        <v>145.68</v>
      </c>
      <c r="J358" s="259">
        <f t="shared" si="13"/>
        <v>0</v>
      </c>
      <c r="K358" s="259">
        <f t="shared" si="14"/>
        <v>170.6400224</v>
      </c>
      <c r="L358" s="259">
        <f t="shared" si="15"/>
        <v>170.6400224</v>
      </c>
      <c r="M358" s="259">
        <f t="shared" si="16"/>
        <v>0</v>
      </c>
      <c r="N358" s="259">
        <f t="shared" si="17"/>
        <v>341.2800447</v>
      </c>
      <c r="O358" s="259">
        <f t="shared" si="18"/>
        <v>341.2800447</v>
      </c>
      <c r="P358" s="586">
        <f t="shared" si="3"/>
        <v>0.001860418561</v>
      </c>
    </row>
    <row r="359">
      <c r="A359" s="253" t="s">
        <v>903</v>
      </c>
      <c r="B359" s="254">
        <v>6011.0</v>
      </c>
      <c r="C359" s="255" t="str">
        <f t="shared" si="12"/>
        <v>SINAPI</v>
      </c>
      <c r="D359" s="256" t="s">
        <v>286</v>
      </c>
      <c r="E359" s="257" t="str">
        <f>IFERROR(IF(D359="SINAPI-S",VLOOKUP(B359,'20-B.SINAPI-S'!A:J,2,0),IF(D359="SINAPI-I",VLOOKUP(B359,'20-A.SINAPI-I'!A:G,2,0),IF(D359="COMPOSIÇÕES",VLOOKUP(B359,'11.COMPOSIÇÕES GERAIS'!B:I,2,0),VLOOKUP(B359,'12.COT.MERCADO'!A:I,2,0)))),"Em Elaboração")</f>
        <v>REGISTRO GAVETA BRUTO EM LATAO FORJADO, BITOLA 2 1/2 " (REF 1509)</v>
      </c>
      <c r="F359" s="258" t="str">
        <f>IFERROR(IF(D359="SINAPI-S",VLOOKUP(B359,'20-B.SINAPI-S'!A:J,3,0),IF(D359="SINAPI-I",VLOOKUP(B359,'20-A.SINAPI-I'!A:G,3,0),IF(D359="COMPOSIÇÕES",VLOOKUP(B359,'11.COMPOSIÇÕES GERAIS'!B:I,3,0),VLOOKUP(B359,'12.COT.MERCADO'!A:I,7,0)))),"Em Elaboração")</f>
        <v>UN</v>
      </c>
      <c r="G359" s="254">
        <v>2.0</v>
      </c>
      <c r="H359" s="259">
        <f>IFERROR(IF(D359="SINAPI-S",VLOOKUP(B359,'20-B.SINAPI-S'!A:J,5,0),IF(D359="SINAPI-I",VLOOKUP(B359,'20-A.SINAPI-I'!A:G,6,0),IF(D359="COMPOSIÇÕES",VLOOKUP(B359,'11.COMPOSIÇÕES GERAIS'!B:I,7,0),0))),"Em Elaboração")</f>
        <v>0</v>
      </c>
      <c r="I359" s="259">
        <f>IFERROR(IF(D359="SINAPI-S",VLOOKUP(B359,'20-B.SINAPI-S'!A:J,6,0),IF(D359="SINAPI-I",VLOOKUP(B359,'20-A.SINAPI-I'!A:G,7,0),IF(D359="COMPOSIÇÕES",VLOOKUP(B359,'11.COMPOSIÇÕES GERAIS'!B:I,8,0),VLOOKUP(B359,'12.COT.MERCADO'!A:I,8,0)))),"Em Elaboração")</f>
        <v>302.13</v>
      </c>
      <c r="J359" s="259">
        <f t="shared" si="13"/>
        <v>0</v>
      </c>
      <c r="K359" s="259">
        <f t="shared" si="14"/>
        <v>353.8953182</v>
      </c>
      <c r="L359" s="259">
        <f t="shared" si="15"/>
        <v>353.8953182</v>
      </c>
      <c r="M359" s="259">
        <f t="shared" si="16"/>
        <v>0</v>
      </c>
      <c r="N359" s="259">
        <f t="shared" si="17"/>
        <v>707.7906364</v>
      </c>
      <c r="O359" s="259">
        <f t="shared" si="18"/>
        <v>707.7906364</v>
      </c>
      <c r="P359" s="586">
        <f t="shared" si="3"/>
        <v>0.003858376304</v>
      </c>
    </row>
    <row r="360">
      <c r="A360" s="253" t="s">
        <v>904</v>
      </c>
      <c r="B360" s="254">
        <v>6012.0</v>
      </c>
      <c r="C360" s="255" t="str">
        <f t="shared" si="12"/>
        <v>SINAPI</v>
      </c>
      <c r="D360" s="256" t="s">
        <v>286</v>
      </c>
      <c r="E360" s="257" t="str">
        <f>IFERROR(IF(D360="SINAPI-S",VLOOKUP(B360,'20-B.SINAPI-S'!A:J,2,0),IF(D360="SINAPI-I",VLOOKUP(B360,'20-A.SINAPI-I'!A:G,2,0),IF(D360="COMPOSIÇÕES",VLOOKUP(B360,'11.COMPOSIÇÕES GERAIS'!B:I,2,0),VLOOKUP(B360,'12.COT.MERCADO'!A:I,2,0)))),"Em Elaboração")</f>
        <v>REGISTRO GAVETA BRUTO EM LATAO FORJADO, BITOLA 3 " (REF 1509)</v>
      </c>
      <c r="F360" s="258" t="str">
        <f>IFERROR(IF(D360="SINAPI-S",VLOOKUP(B360,'20-B.SINAPI-S'!A:J,3,0),IF(D360="SINAPI-I",VLOOKUP(B360,'20-A.SINAPI-I'!A:G,3,0),IF(D360="COMPOSIÇÕES",VLOOKUP(B360,'11.COMPOSIÇÕES GERAIS'!B:I,3,0),VLOOKUP(B360,'12.COT.MERCADO'!A:I,7,0)))),"Em Elaboração")</f>
        <v>UN</v>
      </c>
      <c r="G360" s="254">
        <v>2.0</v>
      </c>
      <c r="H360" s="259">
        <f>IFERROR(IF(D360="SINAPI-S",VLOOKUP(B360,'20-B.SINAPI-S'!A:J,5,0),IF(D360="SINAPI-I",VLOOKUP(B360,'20-A.SINAPI-I'!A:G,6,0),IF(D360="COMPOSIÇÕES",VLOOKUP(B360,'11.COMPOSIÇÕES GERAIS'!B:I,7,0),0))),"Em Elaboração")</f>
        <v>0</v>
      </c>
      <c r="I360" s="259">
        <f>IFERROR(IF(D360="SINAPI-S",VLOOKUP(B360,'20-B.SINAPI-S'!A:J,6,0),IF(D360="SINAPI-I",VLOOKUP(B360,'20-A.SINAPI-I'!A:G,7,0),IF(D360="COMPOSIÇÕES",VLOOKUP(B360,'11.COMPOSIÇÕES GERAIS'!B:I,8,0),VLOOKUP(B360,'12.COT.MERCADO'!A:I,8,0)))),"Em Elaboração")</f>
        <v>365.78</v>
      </c>
      <c r="J360" s="259">
        <f t="shared" si="13"/>
        <v>0</v>
      </c>
      <c r="K360" s="259">
        <f t="shared" si="14"/>
        <v>428.4507646</v>
      </c>
      <c r="L360" s="259">
        <f t="shared" si="15"/>
        <v>428.4507646</v>
      </c>
      <c r="M360" s="259">
        <f t="shared" si="16"/>
        <v>0</v>
      </c>
      <c r="N360" s="259">
        <f t="shared" si="17"/>
        <v>856.9015291</v>
      </c>
      <c r="O360" s="259">
        <f t="shared" si="18"/>
        <v>856.9015291</v>
      </c>
      <c r="P360" s="586">
        <f t="shared" si="3"/>
        <v>0.004671223925</v>
      </c>
    </row>
    <row r="361">
      <c r="A361" s="253" t="s">
        <v>905</v>
      </c>
      <c r="B361" s="254">
        <v>6016.0</v>
      </c>
      <c r="C361" s="255" t="str">
        <f t="shared" si="12"/>
        <v>SINAPI</v>
      </c>
      <c r="D361" s="256" t="s">
        <v>286</v>
      </c>
      <c r="E361" s="257" t="str">
        <f>IFERROR(IF(D361="SINAPI-S",VLOOKUP(B361,'20-B.SINAPI-S'!A:J,2,0),IF(D361="SINAPI-I",VLOOKUP(B361,'20-A.SINAPI-I'!A:G,2,0),IF(D361="COMPOSIÇÕES",VLOOKUP(B361,'11.COMPOSIÇÕES GERAIS'!B:I,2,0),VLOOKUP(B361,'12.COT.MERCADO'!A:I,2,0)))),"Em Elaboração")</f>
        <v>REGISTRO GAVETA BRUTO EM LATAO FORJADO, BITOLA 3/4 " (REF 1509)</v>
      </c>
      <c r="F361" s="258" t="str">
        <f>IFERROR(IF(D361="SINAPI-S",VLOOKUP(B361,'20-B.SINAPI-S'!A:J,3,0),IF(D361="SINAPI-I",VLOOKUP(B361,'20-A.SINAPI-I'!A:G,3,0),IF(D361="COMPOSIÇÕES",VLOOKUP(B361,'11.COMPOSIÇÕES GERAIS'!B:I,3,0),VLOOKUP(B361,'12.COT.MERCADO'!A:I,7,0)))),"Em Elaboração")</f>
        <v>UN</v>
      </c>
      <c r="G361" s="254">
        <v>2.0</v>
      </c>
      <c r="H361" s="259">
        <f>IFERROR(IF(D361="SINAPI-S",VLOOKUP(B361,'20-B.SINAPI-S'!A:J,5,0),IF(D361="SINAPI-I",VLOOKUP(B361,'20-A.SINAPI-I'!A:G,6,0),IF(D361="COMPOSIÇÕES",VLOOKUP(B361,'11.COMPOSIÇÕES GERAIS'!B:I,7,0),0))),"Em Elaboração")</f>
        <v>0</v>
      </c>
      <c r="I361" s="259">
        <f>IFERROR(IF(D361="SINAPI-S",VLOOKUP(B361,'20-B.SINAPI-S'!A:J,6,0),IF(D361="SINAPI-I",VLOOKUP(B361,'20-A.SINAPI-I'!A:G,7,0),IF(D361="COMPOSIÇÕES",VLOOKUP(B361,'11.COMPOSIÇÕES GERAIS'!B:I,8,0),VLOOKUP(B361,'12.COT.MERCADO'!A:I,8,0)))),"Em Elaboração")</f>
        <v>38.51</v>
      </c>
      <c r="J361" s="259">
        <f t="shared" si="13"/>
        <v>0</v>
      </c>
      <c r="K361" s="259">
        <f t="shared" si="14"/>
        <v>45.10809487</v>
      </c>
      <c r="L361" s="259">
        <f t="shared" si="15"/>
        <v>45.10809487</v>
      </c>
      <c r="M361" s="259">
        <f t="shared" si="16"/>
        <v>0</v>
      </c>
      <c r="N361" s="259">
        <f t="shared" si="17"/>
        <v>90.21618975</v>
      </c>
      <c r="O361" s="259">
        <f t="shared" si="18"/>
        <v>90.21618975</v>
      </c>
      <c r="P361" s="586">
        <f t="shared" si="3"/>
        <v>0.0004917951592</v>
      </c>
    </row>
    <row r="362">
      <c r="A362" s="253" t="s">
        <v>906</v>
      </c>
      <c r="B362" s="254">
        <v>6027.0</v>
      </c>
      <c r="C362" s="255" t="str">
        <f t="shared" si="12"/>
        <v>SINAPI</v>
      </c>
      <c r="D362" s="256" t="s">
        <v>286</v>
      </c>
      <c r="E362" s="257" t="str">
        <f>IFERROR(IF(D362="SINAPI-S",VLOOKUP(B362,'20-B.SINAPI-S'!A:J,2,0),IF(D362="SINAPI-I",VLOOKUP(B362,'20-A.SINAPI-I'!A:G,2,0),IF(D362="COMPOSIÇÕES",VLOOKUP(B362,'11.COMPOSIÇÕES GERAIS'!B:I,2,0),VLOOKUP(B362,'12.COT.MERCADO'!A:I,2,0)))),"Em Elaboração")</f>
        <v>REGISTRO GAVETA BRUTO EM LATAO FORJADO, BITOLA 4 " (REF 1509)</v>
      </c>
      <c r="F362" s="258" t="str">
        <f>IFERROR(IF(D362="SINAPI-S",VLOOKUP(B362,'20-B.SINAPI-S'!A:J,3,0),IF(D362="SINAPI-I",VLOOKUP(B362,'20-A.SINAPI-I'!A:G,3,0),IF(D362="COMPOSIÇÕES",VLOOKUP(B362,'11.COMPOSIÇÕES GERAIS'!B:I,3,0),VLOOKUP(B362,'12.COT.MERCADO'!A:I,7,0)))),"Em Elaboração")</f>
        <v>UN</v>
      </c>
      <c r="G362" s="254">
        <v>2.0</v>
      </c>
      <c r="H362" s="259">
        <f>IFERROR(IF(D362="SINAPI-S",VLOOKUP(B362,'20-B.SINAPI-S'!A:J,5,0),IF(D362="SINAPI-I",VLOOKUP(B362,'20-A.SINAPI-I'!A:G,6,0),IF(D362="COMPOSIÇÕES",VLOOKUP(B362,'11.COMPOSIÇÕES GERAIS'!B:I,7,0),0))),"Em Elaboração")</f>
        <v>0</v>
      </c>
      <c r="I362" s="259">
        <f>IFERROR(IF(D362="SINAPI-S",VLOOKUP(B362,'20-B.SINAPI-S'!A:J,6,0),IF(D362="SINAPI-I",VLOOKUP(B362,'20-A.SINAPI-I'!A:G,7,0),IF(D362="COMPOSIÇÕES",VLOOKUP(B362,'11.COMPOSIÇÕES GERAIS'!B:I,8,0),VLOOKUP(B362,'12.COT.MERCADO'!A:I,8,0)))),"Em Elaboração")</f>
        <v>762.16</v>
      </c>
      <c r="J362" s="259">
        <f t="shared" si="13"/>
        <v>0</v>
      </c>
      <c r="K362" s="259">
        <f t="shared" si="14"/>
        <v>892.7443674</v>
      </c>
      <c r="L362" s="259">
        <f t="shared" si="15"/>
        <v>892.7443674</v>
      </c>
      <c r="M362" s="259">
        <f t="shared" si="16"/>
        <v>0</v>
      </c>
      <c r="N362" s="259">
        <f t="shared" si="17"/>
        <v>1785.488735</v>
      </c>
      <c r="O362" s="259">
        <f t="shared" si="18"/>
        <v>1785.488735</v>
      </c>
      <c r="P362" s="586">
        <f t="shared" si="3"/>
        <v>0.009733227695</v>
      </c>
    </row>
    <row r="363">
      <c r="A363" s="253" t="s">
        <v>907</v>
      </c>
      <c r="B363" s="254">
        <v>6020.0</v>
      </c>
      <c r="C363" s="255" t="str">
        <f t="shared" si="12"/>
        <v>SINAPI</v>
      </c>
      <c r="D363" s="256" t="s">
        <v>286</v>
      </c>
      <c r="E363" s="257" t="str">
        <f>IFERROR(IF(D363="SINAPI-S",VLOOKUP(B363,'20-B.SINAPI-S'!A:J,2,0),IF(D363="SINAPI-I",VLOOKUP(B363,'20-A.SINAPI-I'!A:G,2,0),IF(D363="COMPOSIÇÕES",VLOOKUP(B363,'11.COMPOSIÇÕES GERAIS'!B:I,2,0),VLOOKUP(B363,'12.COT.MERCADO'!A:I,2,0)))),"Em Elaboração")</f>
        <v>REGISTRO GAVETA BRUTO EM LATAO FORJADO, BITOLA 1/2 " (REF 1509)</v>
      </c>
      <c r="F363" s="258" t="str">
        <f>IFERROR(IF(D363="SINAPI-S",VLOOKUP(B363,'20-B.SINAPI-S'!A:J,3,0),IF(D363="SINAPI-I",VLOOKUP(B363,'20-A.SINAPI-I'!A:G,3,0),IF(D363="COMPOSIÇÕES",VLOOKUP(B363,'11.COMPOSIÇÕES GERAIS'!B:I,3,0),VLOOKUP(B363,'12.COT.MERCADO'!A:I,7,0)))),"Em Elaboração")</f>
        <v>UN</v>
      </c>
      <c r="G363" s="254">
        <v>2.0</v>
      </c>
      <c r="H363" s="259">
        <f>IFERROR(IF(D363="SINAPI-S",VLOOKUP(B363,'20-B.SINAPI-S'!A:J,5,0),IF(D363="SINAPI-I",VLOOKUP(B363,'20-A.SINAPI-I'!A:G,6,0),IF(D363="COMPOSIÇÕES",VLOOKUP(B363,'11.COMPOSIÇÕES GERAIS'!B:I,7,0),0))),"Em Elaboração")</f>
        <v>0</v>
      </c>
      <c r="I363" s="259">
        <f>IFERROR(IF(D363="SINAPI-S",VLOOKUP(B363,'20-B.SINAPI-S'!A:J,6,0),IF(D363="SINAPI-I",VLOOKUP(B363,'20-A.SINAPI-I'!A:G,7,0),IF(D363="COMPOSIÇÕES",VLOOKUP(B363,'11.COMPOSIÇÕES GERAIS'!B:I,8,0),VLOOKUP(B363,'12.COT.MERCADO'!A:I,8,0)))),"Em Elaboração")</f>
        <v>36.51</v>
      </c>
      <c r="J363" s="259">
        <f t="shared" si="13"/>
        <v>0</v>
      </c>
      <c r="K363" s="259">
        <f t="shared" si="14"/>
        <v>42.7654257</v>
      </c>
      <c r="L363" s="259">
        <f t="shared" si="15"/>
        <v>42.7654257</v>
      </c>
      <c r="M363" s="259">
        <f t="shared" si="16"/>
        <v>0</v>
      </c>
      <c r="N363" s="259">
        <f t="shared" si="17"/>
        <v>85.53085141</v>
      </c>
      <c r="O363" s="259">
        <f t="shared" si="18"/>
        <v>85.53085141</v>
      </c>
      <c r="P363" s="586">
        <f t="shared" si="3"/>
        <v>0.0004662539928</v>
      </c>
    </row>
    <row r="364">
      <c r="A364" s="253" t="s">
        <v>908</v>
      </c>
      <c r="B364" s="254">
        <v>11678.0</v>
      </c>
      <c r="C364" s="255" t="str">
        <f t="shared" si="12"/>
        <v>SINAPI</v>
      </c>
      <c r="D364" s="256" t="s">
        <v>286</v>
      </c>
      <c r="E364" s="257" t="str">
        <f>IFERROR(IF(D364="SINAPI-S",VLOOKUP(B364,'20-B.SINAPI-S'!A:J,2,0),IF(D364="SINAPI-I",VLOOKUP(B364,'20-A.SINAPI-I'!A:G,2,0),IF(D364="COMPOSIÇÕES",VLOOKUP(B364,'11.COMPOSIÇÕES GERAIS'!B:I,2,0),VLOOKUP(B364,'12.COT.MERCADO'!A:I,2,0)))),"Em Elaboração")</f>
        <v>REGISTRO DE ESFERA, PVC, COM VOLANTE, VS, SOLDAVEL, DN 60 MM, COM CORPO DIVIDIDO</v>
      </c>
      <c r="F364" s="258" t="str">
        <f>IFERROR(IF(D364="SINAPI-S",VLOOKUP(B364,'20-B.SINAPI-S'!A:J,3,0),IF(D364="SINAPI-I",VLOOKUP(B364,'20-A.SINAPI-I'!A:G,3,0),IF(D364="COMPOSIÇÕES",VLOOKUP(B364,'11.COMPOSIÇÕES GERAIS'!B:I,3,0),VLOOKUP(B364,'12.COT.MERCADO'!A:I,7,0)))),"Em Elaboração")</f>
        <v>UN</v>
      </c>
      <c r="G364" s="254">
        <v>2.0</v>
      </c>
      <c r="H364" s="259">
        <f>IFERROR(IF(D364="SINAPI-S",VLOOKUP(B364,'20-B.SINAPI-S'!A:J,5,0),IF(D364="SINAPI-I",VLOOKUP(B364,'20-A.SINAPI-I'!A:G,6,0),IF(D364="COMPOSIÇÕES",VLOOKUP(B364,'11.COMPOSIÇÕES GERAIS'!B:I,7,0),0))),"Em Elaboração")</f>
        <v>0</v>
      </c>
      <c r="I364" s="259">
        <f>IFERROR(IF(D364="SINAPI-S",VLOOKUP(B364,'20-B.SINAPI-S'!A:J,6,0),IF(D364="SINAPI-I",VLOOKUP(B364,'20-A.SINAPI-I'!A:G,7,0),IF(D364="COMPOSIÇÕES",VLOOKUP(B364,'11.COMPOSIÇÕES GERAIS'!B:I,8,0),VLOOKUP(B364,'12.COT.MERCADO'!A:I,8,0)))),"Em Elaboração")</f>
        <v>107.8</v>
      </c>
      <c r="J364" s="259">
        <f t="shared" si="13"/>
        <v>0</v>
      </c>
      <c r="K364" s="259">
        <f t="shared" si="14"/>
        <v>126.2698683</v>
      </c>
      <c r="L364" s="259">
        <f t="shared" si="15"/>
        <v>126.2698683</v>
      </c>
      <c r="M364" s="259">
        <f t="shared" si="16"/>
        <v>0</v>
      </c>
      <c r="N364" s="259">
        <f t="shared" si="17"/>
        <v>252.5397366</v>
      </c>
      <c r="O364" s="259">
        <f t="shared" si="18"/>
        <v>252.5397366</v>
      </c>
      <c r="P364" s="586">
        <f t="shared" si="3"/>
        <v>0.001376668869</v>
      </c>
    </row>
    <row r="365">
      <c r="A365" s="253" t="s">
        <v>909</v>
      </c>
      <c r="B365" s="254">
        <v>6021.0</v>
      </c>
      <c r="C365" s="255" t="str">
        <f t="shared" si="12"/>
        <v>SINAPI</v>
      </c>
      <c r="D365" s="256" t="s">
        <v>286</v>
      </c>
      <c r="E365" s="257" t="str">
        <f>IFERROR(IF(D365="SINAPI-S",VLOOKUP(B365,'20-B.SINAPI-S'!A:J,2,0),IF(D365="SINAPI-I",VLOOKUP(B365,'20-A.SINAPI-I'!A:G,2,0),IF(D365="COMPOSIÇÕES",VLOOKUP(B365,'11.COMPOSIÇÕES GERAIS'!B:I,2,0),VLOOKUP(B365,'12.COT.MERCADO'!A:I,2,0)))),"Em Elaboração")</f>
        <v>REGISTRO PRESSAO COM ACABAMENTO E CANOPLA CROMADA, SIMPLES, BITOLA 1/2 " (REF 1416)</v>
      </c>
      <c r="F365" s="258" t="str">
        <f>IFERROR(IF(D365="SINAPI-S",VLOOKUP(B365,'20-B.SINAPI-S'!A:J,3,0),IF(D365="SINAPI-I",VLOOKUP(B365,'20-A.SINAPI-I'!A:G,3,0),IF(D365="COMPOSIÇÕES",VLOOKUP(B365,'11.COMPOSIÇÕES GERAIS'!B:I,3,0),VLOOKUP(B365,'12.COT.MERCADO'!A:I,7,0)))),"Em Elaboração")</f>
        <v>UN</v>
      </c>
      <c r="G365" s="254">
        <v>2.0</v>
      </c>
      <c r="H365" s="259">
        <f>IFERROR(IF(D365="SINAPI-S",VLOOKUP(B365,'20-B.SINAPI-S'!A:J,5,0),IF(D365="SINAPI-I",VLOOKUP(B365,'20-A.SINAPI-I'!A:G,6,0),IF(D365="COMPOSIÇÕES",VLOOKUP(B365,'11.COMPOSIÇÕES GERAIS'!B:I,7,0),0))),"Em Elaboração")</f>
        <v>0</v>
      </c>
      <c r="I365" s="259">
        <f>IFERROR(IF(D365="SINAPI-S",VLOOKUP(B365,'20-B.SINAPI-S'!A:J,6,0),IF(D365="SINAPI-I",VLOOKUP(B365,'20-A.SINAPI-I'!A:G,7,0),IF(D365="COMPOSIÇÕES",VLOOKUP(B365,'11.COMPOSIÇÕES GERAIS'!B:I,8,0),VLOOKUP(B365,'12.COT.MERCADO'!A:I,8,0)))),"Em Elaboração")</f>
        <v>85.72</v>
      </c>
      <c r="J365" s="259">
        <f t="shared" si="13"/>
        <v>0</v>
      </c>
      <c r="K365" s="259">
        <f t="shared" si="14"/>
        <v>100.4068006</v>
      </c>
      <c r="L365" s="259">
        <f t="shared" si="15"/>
        <v>100.4068006</v>
      </c>
      <c r="M365" s="259">
        <f t="shared" si="16"/>
        <v>0</v>
      </c>
      <c r="N365" s="259">
        <f t="shared" si="17"/>
        <v>200.8136013</v>
      </c>
      <c r="O365" s="259">
        <f t="shared" si="18"/>
        <v>200.8136013</v>
      </c>
      <c r="P365" s="586">
        <f t="shared" si="3"/>
        <v>0.001094694392</v>
      </c>
    </row>
    <row r="366">
      <c r="A366" s="253" t="s">
        <v>910</v>
      </c>
      <c r="B366" s="254">
        <v>6024.0</v>
      </c>
      <c r="C366" s="255" t="str">
        <f t="shared" si="12"/>
        <v>SINAPI</v>
      </c>
      <c r="D366" s="256" t="s">
        <v>286</v>
      </c>
      <c r="E366" s="257" t="str">
        <f>IFERROR(IF(D366="SINAPI-S",VLOOKUP(B366,'20-B.SINAPI-S'!A:J,2,0),IF(D366="SINAPI-I",VLOOKUP(B366,'20-A.SINAPI-I'!A:G,2,0),IF(D366="COMPOSIÇÕES",VLOOKUP(B366,'11.COMPOSIÇÕES GERAIS'!B:I,2,0),VLOOKUP(B366,'12.COT.MERCADO'!A:I,2,0)))),"Em Elaboração")</f>
        <v>REGISTRO PRESSAO COM ACABAMENTO E CANOPLA CROMADA, SIMPLES, BITOLA 3/4 " (REF 1416)</v>
      </c>
      <c r="F366" s="258" t="str">
        <f>IFERROR(IF(D366="SINAPI-S",VLOOKUP(B366,'20-B.SINAPI-S'!A:J,3,0),IF(D366="SINAPI-I",VLOOKUP(B366,'20-A.SINAPI-I'!A:G,3,0),IF(D366="COMPOSIÇÕES",VLOOKUP(B366,'11.COMPOSIÇÕES GERAIS'!B:I,3,0),VLOOKUP(B366,'12.COT.MERCADO'!A:I,7,0)))),"Em Elaboração")</f>
        <v>UN</v>
      </c>
      <c r="G366" s="254">
        <v>2.0</v>
      </c>
      <c r="H366" s="259">
        <f>IFERROR(IF(D366="SINAPI-S",VLOOKUP(B366,'20-B.SINAPI-S'!A:J,5,0),IF(D366="SINAPI-I",VLOOKUP(B366,'20-A.SINAPI-I'!A:G,6,0),IF(D366="COMPOSIÇÕES",VLOOKUP(B366,'11.COMPOSIÇÕES GERAIS'!B:I,7,0),0))),"Em Elaboração")</f>
        <v>0</v>
      </c>
      <c r="I366" s="259">
        <f>IFERROR(IF(D366="SINAPI-S",VLOOKUP(B366,'20-B.SINAPI-S'!A:J,6,0),IF(D366="SINAPI-I",VLOOKUP(B366,'20-A.SINAPI-I'!A:G,7,0),IF(D366="COMPOSIÇÕES",VLOOKUP(B366,'11.COMPOSIÇÕES GERAIS'!B:I,8,0),VLOOKUP(B366,'12.COT.MERCADO'!A:I,8,0)))),"Em Elaboração")</f>
        <v>88.61</v>
      </c>
      <c r="J366" s="259">
        <f t="shared" si="13"/>
        <v>0</v>
      </c>
      <c r="K366" s="259">
        <f t="shared" si="14"/>
        <v>103.7919576</v>
      </c>
      <c r="L366" s="259">
        <f t="shared" si="15"/>
        <v>103.7919576</v>
      </c>
      <c r="M366" s="259">
        <f t="shared" si="16"/>
        <v>0</v>
      </c>
      <c r="N366" s="259">
        <f t="shared" si="17"/>
        <v>207.5839152</v>
      </c>
      <c r="O366" s="259">
        <f t="shared" si="18"/>
        <v>207.5839152</v>
      </c>
      <c r="P366" s="586">
        <f t="shared" si="3"/>
        <v>0.001131601378</v>
      </c>
    </row>
    <row r="367">
      <c r="A367" s="253" t="s">
        <v>911</v>
      </c>
      <c r="B367" s="254">
        <v>10904.0</v>
      </c>
      <c r="C367" s="255" t="str">
        <f t="shared" si="12"/>
        <v>SINAPI</v>
      </c>
      <c r="D367" s="256" t="s">
        <v>286</v>
      </c>
      <c r="E367" s="257" t="str">
        <f>IFERROR(IF(D367="SINAPI-S",VLOOKUP(B367,'20-B.SINAPI-S'!A:J,2,0),IF(D367="SINAPI-I",VLOOKUP(B367,'20-A.SINAPI-I'!A:G,2,0),IF(D367="COMPOSIÇÕES",VLOOKUP(B367,'11.COMPOSIÇÕES GERAIS'!B:I,2,0),VLOOKUP(B367,'12.COT.MERCADO'!A:I,2,0)))),"Em Elaboração")</f>
        <v>REGISTRO OU VALVULA GLOBO ANGULAR EM LATAO, PARA HIDRANTES EM INSTALACAO PREDIAL DE INCENDIO, 45 GRAUS, DIAMETRO DE 2 1/2", COM VOLANTE, CLASSE DE PRESSAO DE ATE 200 PSI</v>
      </c>
      <c r="F367" s="258" t="str">
        <f>IFERROR(IF(D367="SINAPI-S",VLOOKUP(B367,'20-B.SINAPI-S'!A:J,3,0),IF(D367="SINAPI-I",VLOOKUP(B367,'20-A.SINAPI-I'!A:G,3,0),IF(D367="COMPOSIÇÕES",VLOOKUP(B367,'11.COMPOSIÇÕES GERAIS'!B:I,3,0),VLOOKUP(B367,'12.COT.MERCADO'!A:I,7,0)))),"Em Elaboração")</f>
        <v>UN</v>
      </c>
      <c r="G367" s="254">
        <v>2.0</v>
      </c>
      <c r="H367" s="259">
        <f>IFERROR(IF(D367="SINAPI-S",VLOOKUP(B367,'20-B.SINAPI-S'!A:J,5,0),IF(D367="SINAPI-I",VLOOKUP(B367,'20-A.SINAPI-I'!A:G,6,0),IF(D367="COMPOSIÇÕES",VLOOKUP(B367,'11.COMPOSIÇÕES GERAIS'!B:I,7,0),0))),"Em Elaboração")</f>
        <v>0</v>
      </c>
      <c r="I367" s="259">
        <f>IFERROR(IF(D367="SINAPI-S",VLOOKUP(B367,'20-B.SINAPI-S'!A:J,6,0),IF(D367="SINAPI-I",VLOOKUP(B367,'20-A.SINAPI-I'!A:G,7,0),IF(D367="COMPOSIÇÕES",VLOOKUP(B367,'11.COMPOSIÇÕES GERAIS'!B:I,8,0),VLOOKUP(B367,'12.COT.MERCADO'!A:I,8,0)))),"Em Elaboração")</f>
        <v>255</v>
      </c>
      <c r="J367" s="259">
        <f t="shared" si="13"/>
        <v>0</v>
      </c>
      <c r="K367" s="259">
        <f t="shared" si="14"/>
        <v>298.6903192</v>
      </c>
      <c r="L367" s="259">
        <f t="shared" si="15"/>
        <v>298.6903192</v>
      </c>
      <c r="M367" s="259">
        <f t="shared" si="16"/>
        <v>0</v>
      </c>
      <c r="N367" s="259">
        <f t="shared" si="17"/>
        <v>597.3806384</v>
      </c>
      <c r="O367" s="259">
        <f t="shared" si="18"/>
        <v>597.3806384</v>
      </c>
      <c r="P367" s="586">
        <f t="shared" si="3"/>
        <v>0.003256498717</v>
      </c>
    </row>
    <row r="368">
      <c r="A368" s="253" t="s">
        <v>912</v>
      </c>
      <c r="B368" s="254">
        <v>38390.0</v>
      </c>
      <c r="C368" s="255" t="str">
        <f t="shared" si="12"/>
        <v>SINAPI</v>
      </c>
      <c r="D368" s="256" t="s">
        <v>286</v>
      </c>
      <c r="E368" s="257" t="str">
        <f>IFERROR(IF(D368="SINAPI-S",VLOOKUP(B368,'20-B.SINAPI-S'!A:J,2,0),IF(D368="SINAPI-I",VLOOKUP(B368,'20-A.SINAPI-I'!A:G,2,0),IF(D368="COMPOSIÇÕES",VLOOKUP(B368,'11.COMPOSIÇÕES GERAIS'!B:I,2,0),VLOOKUP(B368,'12.COT.MERCADO'!A:I,2,0)))),"Em Elaboração")</f>
        <v>ROLO DE LA DE CARNEIRO 23 CM (SEM CABO)</v>
      </c>
      <c r="F368" s="258" t="str">
        <f>IFERROR(IF(D368="SINAPI-S",VLOOKUP(B368,'20-B.SINAPI-S'!A:J,3,0),IF(D368="SINAPI-I",VLOOKUP(B368,'20-A.SINAPI-I'!A:G,3,0),IF(D368="COMPOSIÇÕES",VLOOKUP(B368,'11.COMPOSIÇÕES GERAIS'!B:I,3,0),VLOOKUP(B368,'12.COT.MERCADO'!A:I,7,0)))),"Em Elaboração")</f>
        <v>UN</v>
      </c>
      <c r="G368" s="254">
        <v>8.0</v>
      </c>
      <c r="H368" s="259">
        <f>IFERROR(IF(D368="SINAPI-S",VLOOKUP(B368,'20-B.SINAPI-S'!A:J,5,0),IF(D368="SINAPI-I",VLOOKUP(B368,'20-A.SINAPI-I'!A:G,6,0),IF(D368="COMPOSIÇÕES",VLOOKUP(B368,'11.COMPOSIÇÕES GERAIS'!B:I,7,0),0))),"Em Elaboração")</f>
        <v>0</v>
      </c>
      <c r="I368" s="259">
        <f>IFERROR(IF(D368="SINAPI-S",VLOOKUP(B368,'20-B.SINAPI-S'!A:J,6,0),IF(D368="SINAPI-I",VLOOKUP(B368,'20-A.SINAPI-I'!A:G,7,0),IF(D368="COMPOSIÇÕES",VLOOKUP(B368,'11.COMPOSIÇÕES GERAIS'!B:I,8,0),VLOOKUP(B368,'12.COT.MERCADO'!A:I,8,0)))),"Em Elaboração")</f>
        <v>34.27</v>
      </c>
      <c r="J368" s="259">
        <f t="shared" si="13"/>
        <v>0</v>
      </c>
      <c r="K368" s="259">
        <f t="shared" si="14"/>
        <v>40.14163623</v>
      </c>
      <c r="L368" s="259">
        <f t="shared" si="15"/>
        <v>40.14163623</v>
      </c>
      <c r="M368" s="259">
        <f t="shared" si="16"/>
        <v>0</v>
      </c>
      <c r="N368" s="259">
        <f t="shared" si="17"/>
        <v>321.1330899</v>
      </c>
      <c r="O368" s="259">
        <f t="shared" si="18"/>
        <v>321.1330899</v>
      </c>
      <c r="P368" s="586">
        <f t="shared" si="3"/>
        <v>0.001750591546</v>
      </c>
    </row>
    <row r="369">
      <c r="A369" s="253" t="s">
        <v>913</v>
      </c>
      <c r="B369" s="254">
        <v>6150.0</v>
      </c>
      <c r="C369" s="255" t="str">
        <f t="shared" si="12"/>
        <v>SINAPI</v>
      </c>
      <c r="D369" s="256" t="s">
        <v>286</v>
      </c>
      <c r="E369" s="257" t="str">
        <f>IFERROR(IF(D369="SINAPI-S",VLOOKUP(B369,'20-B.SINAPI-S'!A:J,2,0),IF(D369="SINAPI-I",VLOOKUP(B369,'20-A.SINAPI-I'!A:G,2,0),IF(D369="COMPOSIÇÕES",VLOOKUP(B369,'11.COMPOSIÇÕES GERAIS'!B:I,2,0),VLOOKUP(B369,'12.COT.MERCADO'!A:I,2,0)))),"Em Elaboração")</f>
        <v>SIFAO EM METAL CROMADO PARA PIA AMERICANA, 1.1/2 X 2 "</v>
      </c>
      <c r="F369" s="258" t="str">
        <f>IFERROR(IF(D369="SINAPI-S",VLOOKUP(B369,'20-B.SINAPI-S'!A:J,3,0),IF(D369="SINAPI-I",VLOOKUP(B369,'20-A.SINAPI-I'!A:G,3,0),IF(D369="COMPOSIÇÕES",VLOOKUP(B369,'11.COMPOSIÇÕES GERAIS'!B:I,3,0),VLOOKUP(B369,'12.COT.MERCADO'!A:I,7,0)))),"Em Elaboração")</f>
        <v>UN</v>
      </c>
      <c r="G369" s="254">
        <v>1.0</v>
      </c>
      <c r="H369" s="259">
        <f>IFERROR(IF(D369="SINAPI-S",VLOOKUP(B369,'20-B.SINAPI-S'!A:J,5,0),IF(D369="SINAPI-I",VLOOKUP(B369,'20-A.SINAPI-I'!A:G,6,0),IF(D369="COMPOSIÇÕES",VLOOKUP(B369,'11.COMPOSIÇÕES GERAIS'!B:I,7,0),0))),"Em Elaboração")</f>
        <v>0</v>
      </c>
      <c r="I369" s="259">
        <f>IFERROR(IF(D369="SINAPI-S",VLOOKUP(B369,'20-B.SINAPI-S'!A:J,6,0),IF(D369="SINAPI-I",VLOOKUP(B369,'20-A.SINAPI-I'!A:G,7,0),IF(D369="COMPOSIÇÕES",VLOOKUP(B369,'11.COMPOSIÇÕES GERAIS'!B:I,8,0),VLOOKUP(B369,'12.COT.MERCADO'!A:I,8,0)))),"Em Elaboração")</f>
        <v>346.67</v>
      </c>
      <c r="J369" s="259">
        <f t="shared" si="13"/>
        <v>0</v>
      </c>
      <c r="K369" s="259">
        <f t="shared" si="14"/>
        <v>406.0665606</v>
      </c>
      <c r="L369" s="259">
        <f t="shared" si="15"/>
        <v>406.0665606</v>
      </c>
      <c r="M369" s="259">
        <f t="shared" si="16"/>
        <v>0</v>
      </c>
      <c r="N369" s="259">
        <f t="shared" si="17"/>
        <v>406.0665606</v>
      </c>
      <c r="O369" s="259">
        <f t="shared" si="18"/>
        <v>406.0665606</v>
      </c>
      <c r="P369" s="586">
        <f t="shared" si="3"/>
        <v>0.00221358904</v>
      </c>
    </row>
    <row r="370">
      <c r="A370" s="253" t="s">
        <v>914</v>
      </c>
      <c r="B370" s="254">
        <v>6145.0</v>
      </c>
      <c r="C370" s="255" t="str">
        <f t="shared" si="12"/>
        <v>SINAPI</v>
      </c>
      <c r="D370" s="256" t="s">
        <v>286</v>
      </c>
      <c r="E370" s="257" t="str">
        <f>IFERROR(IF(D370="SINAPI-S",VLOOKUP(B370,'20-B.SINAPI-S'!A:J,2,0),IF(D370="SINAPI-I",VLOOKUP(B370,'20-A.SINAPI-I'!A:G,2,0),IF(D370="COMPOSIÇÕES",VLOOKUP(B370,'11.COMPOSIÇÕES GERAIS'!B:I,2,0),VLOOKUP(B370,'12.COT.MERCADO'!A:I,2,0)))),"Em Elaboração")</f>
        <v>SIFAO PLASTICO TIPO COPO PARA PIA AMERICANA 1.1/2 X 1.1/2 "</v>
      </c>
      <c r="F370" s="258" t="str">
        <f>IFERROR(IF(D370="SINAPI-S",VLOOKUP(B370,'20-B.SINAPI-S'!A:J,3,0),IF(D370="SINAPI-I",VLOOKUP(B370,'20-A.SINAPI-I'!A:G,3,0),IF(D370="COMPOSIÇÕES",VLOOKUP(B370,'11.COMPOSIÇÕES GERAIS'!B:I,3,0),VLOOKUP(B370,'12.COT.MERCADO'!A:I,7,0)))),"Em Elaboração")</f>
        <v>UN</v>
      </c>
      <c r="G370" s="254">
        <v>6.0</v>
      </c>
      <c r="H370" s="259">
        <f>IFERROR(IF(D370="SINAPI-S",VLOOKUP(B370,'20-B.SINAPI-S'!A:J,5,0),IF(D370="SINAPI-I",VLOOKUP(B370,'20-A.SINAPI-I'!A:G,6,0),IF(D370="COMPOSIÇÕES",VLOOKUP(B370,'11.COMPOSIÇÕES GERAIS'!B:I,7,0),0))),"Em Elaboração")</f>
        <v>0</v>
      </c>
      <c r="I370" s="259">
        <f>IFERROR(IF(D370="SINAPI-S",VLOOKUP(B370,'20-B.SINAPI-S'!A:J,6,0),IF(D370="SINAPI-I",VLOOKUP(B370,'20-A.SINAPI-I'!A:G,7,0),IF(D370="COMPOSIÇÕES",VLOOKUP(B370,'11.COMPOSIÇÕES GERAIS'!B:I,8,0),VLOOKUP(B370,'12.COT.MERCADO'!A:I,8,0)))),"Em Elaboração")</f>
        <v>19.2</v>
      </c>
      <c r="J370" s="259">
        <f t="shared" si="13"/>
        <v>0</v>
      </c>
      <c r="K370" s="259">
        <f t="shared" si="14"/>
        <v>22.48962403</v>
      </c>
      <c r="L370" s="259">
        <f t="shared" si="15"/>
        <v>22.48962403</v>
      </c>
      <c r="M370" s="259">
        <f t="shared" si="16"/>
        <v>0</v>
      </c>
      <c r="N370" s="259">
        <f t="shared" si="17"/>
        <v>134.9377442</v>
      </c>
      <c r="O370" s="259">
        <f t="shared" si="18"/>
        <v>134.9377442</v>
      </c>
      <c r="P370" s="586">
        <f t="shared" si="3"/>
        <v>0.0007355855926</v>
      </c>
    </row>
    <row r="371">
      <c r="A371" s="253" t="s">
        <v>915</v>
      </c>
      <c r="B371" s="254">
        <v>20262.0</v>
      </c>
      <c r="C371" s="255" t="str">
        <f t="shared" si="12"/>
        <v>SINAPI</v>
      </c>
      <c r="D371" s="256" t="s">
        <v>286</v>
      </c>
      <c r="E371" s="257" t="str">
        <f>IFERROR(IF(D371="SINAPI-S",VLOOKUP(B371,'20-B.SINAPI-S'!A:J,2,0),IF(D371="SINAPI-I",VLOOKUP(B371,'20-A.SINAPI-I'!A:G,2,0),IF(D371="COMPOSIÇÕES",VLOOKUP(B371,'11.COMPOSIÇÕES GERAIS'!B:I,2,0),VLOOKUP(B371,'12.COT.MERCADO'!A:I,2,0)))),"Em Elaboração")</f>
        <v>SIFAO PLASTICO EXTENSIVEL UNIVERSAL, TIPO COPO</v>
      </c>
      <c r="F371" s="258" t="str">
        <f>IFERROR(IF(D371="SINAPI-S",VLOOKUP(B371,'20-B.SINAPI-S'!A:J,3,0),IF(D371="SINAPI-I",VLOOKUP(B371,'20-A.SINAPI-I'!A:G,3,0),IF(D371="COMPOSIÇÕES",VLOOKUP(B371,'11.COMPOSIÇÕES GERAIS'!B:I,3,0),VLOOKUP(B371,'12.COT.MERCADO'!A:I,7,0)))),"Em Elaboração")</f>
        <v>UN</v>
      </c>
      <c r="G371" s="254">
        <v>6.0</v>
      </c>
      <c r="H371" s="259">
        <f>IFERROR(IF(D371="SINAPI-S",VLOOKUP(B371,'20-B.SINAPI-S'!A:J,5,0),IF(D371="SINAPI-I",VLOOKUP(B371,'20-A.SINAPI-I'!A:G,6,0),IF(D371="COMPOSIÇÕES",VLOOKUP(B371,'11.COMPOSIÇÕES GERAIS'!B:I,7,0),0))),"Em Elaboração")</f>
        <v>0</v>
      </c>
      <c r="I371" s="259">
        <f>IFERROR(IF(D371="SINAPI-S",VLOOKUP(B371,'20-B.SINAPI-S'!A:J,6,0),IF(D371="SINAPI-I",VLOOKUP(B371,'20-A.SINAPI-I'!A:G,7,0),IF(D371="COMPOSIÇÕES",VLOOKUP(B371,'11.COMPOSIÇÕES GERAIS'!B:I,8,0),VLOOKUP(B371,'12.COT.MERCADO'!A:I,8,0)))),"Em Elaboração")</f>
        <v>17.38</v>
      </c>
      <c r="J371" s="259">
        <f t="shared" si="13"/>
        <v>0</v>
      </c>
      <c r="K371" s="259">
        <f t="shared" si="14"/>
        <v>20.35779509</v>
      </c>
      <c r="L371" s="259">
        <f t="shared" si="15"/>
        <v>20.35779509</v>
      </c>
      <c r="M371" s="259">
        <f t="shared" si="16"/>
        <v>0</v>
      </c>
      <c r="N371" s="259">
        <f t="shared" si="17"/>
        <v>122.1467705</v>
      </c>
      <c r="O371" s="259">
        <f t="shared" si="18"/>
        <v>122.1467705</v>
      </c>
      <c r="P371" s="586">
        <f t="shared" si="3"/>
        <v>0.0006658582083</v>
      </c>
    </row>
    <row r="372">
      <c r="A372" s="253" t="s">
        <v>916</v>
      </c>
      <c r="B372" s="254">
        <v>7105.0</v>
      </c>
      <c r="C372" s="255" t="str">
        <f t="shared" si="12"/>
        <v>SINAPI</v>
      </c>
      <c r="D372" s="256" t="s">
        <v>286</v>
      </c>
      <c r="E372" s="257" t="str">
        <f>IFERROR(IF(D372="SINAPI-S",VLOOKUP(B372,'20-B.SINAPI-S'!A:J,2,0),IF(D372="SINAPI-I",VLOOKUP(B372,'20-A.SINAPI-I'!A:G,2,0),IF(D372="COMPOSIÇÕES",VLOOKUP(B372,'11.COMPOSIÇÕES GERAIS'!B:I,2,0),VLOOKUP(B372,'12.COT.MERCADO'!A:I,2,0)))),"Em Elaboração")</f>
        <v>TE DE INSPECAO, PVC,  100 X 75 MM, SERIE NORMAL PARA ESGOTO PREDIAL</v>
      </c>
      <c r="F372" s="258" t="str">
        <f>IFERROR(IF(D372="SINAPI-S",VLOOKUP(B372,'20-B.SINAPI-S'!A:J,3,0),IF(D372="SINAPI-I",VLOOKUP(B372,'20-A.SINAPI-I'!A:G,3,0),IF(D372="COMPOSIÇÕES",VLOOKUP(B372,'11.COMPOSIÇÕES GERAIS'!B:I,3,0),VLOOKUP(B372,'12.COT.MERCADO'!A:I,7,0)))),"Em Elaboração")</f>
        <v>UN</v>
      </c>
      <c r="G372" s="254">
        <v>1.0</v>
      </c>
      <c r="H372" s="259">
        <f>IFERROR(IF(D372="SINAPI-S",VLOOKUP(B372,'20-B.SINAPI-S'!A:J,5,0),IF(D372="SINAPI-I",VLOOKUP(B372,'20-A.SINAPI-I'!A:G,6,0),IF(D372="COMPOSIÇÕES",VLOOKUP(B372,'11.COMPOSIÇÕES GERAIS'!B:I,7,0),0))),"Em Elaboração")</f>
        <v>0</v>
      </c>
      <c r="I372" s="259">
        <f>IFERROR(IF(D372="SINAPI-S",VLOOKUP(B372,'20-B.SINAPI-S'!A:J,6,0),IF(D372="SINAPI-I",VLOOKUP(B372,'20-A.SINAPI-I'!A:G,7,0),IF(D372="COMPOSIÇÕES",VLOOKUP(B372,'11.COMPOSIÇÕES GERAIS'!B:I,8,0),VLOOKUP(B372,'12.COT.MERCADO'!A:I,8,0)))),"Em Elaboração")</f>
        <v>46.81</v>
      </c>
      <c r="J372" s="259">
        <f t="shared" si="13"/>
        <v>0</v>
      </c>
      <c r="K372" s="259">
        <f t="shared" si="14"/>
        <v>54.83017193</v>
      </c>
      <c r="L372" s="259">
        <f t="shared" si="15"/>
        <v>54.83017193</v>
      </c>
      <c r="M372" s="259">
        <f t="shared" si="16"/>
        <v>0</v>
      </c>
      <c r="N372" s="259">
        <f t="shared" si="17"/>
        <v>54.83017193</v>
      </c>
      <c r="O372" s="259">
        <f t="shared" si="18"/>
        <v>54.83017193</v>
      </c>
      <c r="P372" s="586">
        <f t="shared" si="3"/>
        <v>0.0002988954999</v>
      </c>
    </row>
    <row r="373">
      <c r="A373" s="253" t="s">
        <v>917</v>
      </c>
      <c r="B373" s="254">
        <v>7136.0</v>
      </c>
      <c r="C373" s="255" t="str">
        <f t="shared" si="12"/>
        <v>SINAPI</v>
      </c>
      <c r="D373" s="256" t="s">
        <v>286</v>
      </c>
      <c r="E373" s="257" t="str">
        <f>IFERROR(IF(D373="SINAPI-S",VLOOKUP(B373,'20-B.SINAPI-S'!A:J,2,0),IF(D373="SINAPI-I",VLOOKUP(B373,'20-A.SINAPI-I'!A:G,2,0),IF(D373="COMPOSIÇÕES",VLOOKUP(B373,'11.COMPOSIÇÕES GERAIS'!B:I,2,0),VLOOKUP(B373,'12.COT.MERCADO'!A:I,2,0)))),"Em Elaboração")</f>
        <v>TE DE REDUCAO, PVC, SOLDAVEL, 90 GRAUS, 32 MM X 25 MM, PARA AGUA FRIA PREDIAL</v>
      </c>
      <c r="F373" s="258" t="str">
        <f>IFERROR(IF(D373="SINAPI-S",VLOOKUP(B373,'20-B.SINAPI-S'!A:J,3,0),IF(D373="SINAPI-I",VLOOKUP(B373,'20-A.SINAPI-I'!A:G,3,0),IF(D373="COMPOSIÇÕES",VLOOKUP(B373,'11.COMPOSIÇÕES GERAIS'!B:I,3,0),VLOOKUP(B373,'12.COT.MERCADO'!A:I,7,0)))),"Em Elaboração")</f>
        <v>UN</v>
      </c>
      <c r="G373" s="254">
        <v>1.0</v>
      </c>
      <c r="H373" s="259">
        <f>IFERROR(IF(D373="SINAPI-S",VLOOKUP(B373,'20-B.SINAPI-S'!A:J,5,0),IF(D373="SINAPI-I",VLOOKUP(B373,'20-A.SINAPI-I'!A:G,6,0),IF(D373="COMPOSIÇÕES",VLOOKUP(B373,'11.COMPOSIÇÕES GERAIS'!B:I,7,0),0))),"Em Elaboração")</f>
        <v>0</v>
      </c>
      <c r="I373" s="259">
        <f>IFERROR(IF(D373="SINAPI-S",VLOOKUP(B373,'20-B.SINAPI-S'!A:J,6,0),IF(D373="SINAPI-I",VLOOKUP(B373,'20-A.SINAPI-I'!A:G,7,0),IF(D373="COMPOSIÇÕES",VLOOKUP(B373,'11.COMPOSIÇÕES GERAIS'!B:I,8,0),VLOOKUP(B373,'12.COT.MERCADO'!A:I,8,0)))),"Em Elaboração")</f>
        <v>7</v>
      </c>
      <c r="J373" s="259">
        <f t="shared" si="13"/>
        <v>0</v>
      </c>
      <c r="K373" s="259">
        <f t="shared" si="14"/>
        <v>8.199342096</v>
      </c>
      <c r="L373" s="259">
        <f t="shared" si="15"/>
        <v>8.199342096</v>
      </c>
      <c r="M373" s="259">
        <f t="shared" si="16"/>
        <v>0</v>
      </c>
      <c r="N373" s="259">
        <f t="shared" si="17"/>
        <v>8.199342096</v>
      </c>
      <c r="O373" s="259">
        <f t="shared" si="18"/>
        <v>8.199342096</v>
      </c>
      <c r="P373" s="586">
        <f t="shared" si="3"/>
        <v>0.00004469704122</v>
      </c>
    </row>
    <row r="374">
      <c r="A374" s="253" t="s">
        <v>918</v>
      </c>
      <c r="B374" s="254">
        <v>7128.0</v>
      </c>
      <c r="C374" s="255" t="str">
        <f t="shared" si="12"/>
        <v>SINAPI</v>
      </c>
      <c r="D374" s="256" t="s">
        <v>286</v>
      </c>
      <c r="E374" s="257" t="str">
        <f>IFERROR(IF(D374="SINAPI-S",VLOOKUP(B374,'20-B.SINAPI-S'!A:J,2,0),IF(D374="SINAPI-I",VLOOKUP(B374,'20-A.SINAPI-I'!A:G,2,0),IF(D374="COMPOSIÇÕES",VLOOKUP(B374,'11.COMPOSIÇÕES GERAIS'!B:I,2,0),VLOOKUP(B374,'12.COT.MERCADO'!A:I,2,0)))),"Em Elaboração")</f>
        <v>TE DE REDUCAO, PVC, SOLDAVEL, 90 GRAUS, 40 MM X 32 MM, PARA AGUA FRIA PREDIAL</v>
      </c>
      <c r="F374" s="258" t="str">
        <f>IFERROR(IF(D374="SINAPI-S",VLOOKUP(B374,'20-B.SINAPI-S'!A:J,3,0),IF(D374="SINAPI-I",VLOOKUP(B374,'20-A.SINAPI-I'!A:G,3,0),IF(D374="COMPOSIÇÕES",VLOOKUP(B374,'11.COMPOSIÇÕES GERAIS'!B:I,3,0),VLOOKUP(B374,'12.COT.MERCADO'!A:I,7,0)))),"Em Elaboração")</f>
        <v>UN</v>
      </c>
      <c r="G374" s="254">
        <v>1.0</v>
      </c>
      <c r="H374" s="259">
        <f>IFERROR(IF(D374="SINAPI-S",VLOOKUP(B374,'20-B.SINAPI-S'!A:J,5,0),IF(D374="SINAPI-I",VLOOKUP(B374,'20-A.SINAPI-I'!A:G,6,0),IF(D374="COMPOSIÇÕES",VLOOKUP(B374,'11.COMPOSIÇÕES GERAIS'!B:I,7,0),0))),"Em Elaboração")</f>
        <v>0</v>
      </c>
      <c r="I374" s="259">
        <f>IFERROR(IF(D374="SINAPI-S",VLOOKUP(B374,'20-B.SINAPI-S'!A:J,6,0),IF(D374="SINAPI-I",VLOOKUP(B374,'20-A.SINAPI-I'!A:G,7,0),IF(D374="COMPOSIÇÕES",VLOOKUP(B374,'11.COMPOSIÇÕES GERAIS'!B:I,8,0),VLOOKUP(B374,'12.COT.MERCADO'!A:I,8,0)))),"Em Elaboração")</f>
        <v>9.08</v>
      </c>
      <c r="J374" s="259">
        <f t="shared" si="13"/>
        <v>0</v>
      </c>
      <c r="K374" s="259">
        <f t="shared" si="14"/>
        <v>10.63571803</v>
      </c>
      <c r="L374" s="259">
        <f t="shared" si="15"/>
        <v>10.63571803</v>
      </c>
      <c r="M374" s="259">
        <f t="shared" si="16"/>
        <v>0</v>
      </c>
      <c r="N374" s="259">
        <f t="shared" si="17"/>
        <v>10.63571803</v>
      </c>
      <c r="O374" s="259">
        <f t="shared" si="18"/>
        <v>10.63571803</v>
      </c>
      <c r="P374" s="586">
        <f t="shared" si="3"/>
        <v>0.00005797844775</v>
      </c>
    </row>
    <row r="375">
      <c r="A375" s="253" t="s">
        <v>919</v>
      </c>
      <c r="B375" s="254">
        <v>7108.0</v>
      </c>
      <c r="C375" s="255" t="str">
        <f t="shared" si="12"/>
        <v>SINAPI</v>
      </c>
      <c r="D375" s="256" t="s">
        <v>286</v>
      </c>
      <c r="E375" s="257" t="str">
        <f>IFERROR(IF(D375="SINAPI-S",VLOOKUP(B375,'20-B.SINAPI-S'!A:J,2,0),IF(D375="SINAPI-I",VLOOKUP(B375,'20-A.SINAPI-I'!A:G,2,0),IF(D375="COMPOSIÇÕES",VLOOKUP(B375,'11.COMPOSIÇÕES GERAIS'!B:I,2,0),VLOOKUP(B375,'12.COT.MERCADO'!A:I,2,0)))),"Em Elaboração")</f>
        <v>TE DE REDUCAO, PVC, SOLDAVEL, 90 GRAUS, 50 MM X 20 MM, PARA AGUA FRIA PREDIAL</v>
      </c>
      <c r="F375" s="258" t="str">
        <f>IFERROR(IF(D375="SINAPI-S",VLOOKUP(B375,'20-B.SINAPI-S'!A:J,3,0),IF(D375="SINAPI-I",VLOOKUP(B375,'20-A.SINAPI-I'!A:G,3,0),IF(D375="COMPOSIÇÕES",VLOOKUP(B375,'11.COMPOSIÇÕES GERAIS'!B:I,3,0),VLOOKUP(B375,'12.COT.MERCADO'!A:I,7,0)))),"Em Elaboração")</f>
        <v>UN</v>
      </c>
      <c r="G375" s="254">
        <v>1.0</v>
      </c>
      <c r="H375" s="259">
        <f>IFERROR(IF(D375="SINAPI-S",VLOOKUP(B375,'20-B.SINAPI-S'!A:J,5,0),IF(D375="SINAPI-I",VLOOKUP(B375,'20-A.SINAPI-I'!A:G,6,0),IF(D375="COMPOSIÇÕES",VLOOKUP(B375,'11.COMPOSIÇÕES GERAIS'!B:I,7,0),0))),"Em Elaboração")</f>
        <v>0</v>
      </c>
      <c r="I375" s="259">
        <f>IFERROR(IF(D375="SINAPI-S",VLOOKUP(B375,'20-B.SINAPI-S'!A:J,6,0),IF(D375="SINAPI-I",VLOOKUP(B375,'20-A.SINAPI-I'!A:G,7,0),IF(D375="COMPOSIÇÕES",VLOOKUP(B375,'11.COMPOSIÇÕES GERAIS'!B:I,8,0),VLOOKUP(B375,'12.COT.MERCADO'!A:I,8,0)))),"Em Elaboração")</f>
        <v>9.06</v>
      </c>
      <c r="J375" s="259">
        <f t="shared" si="13"/>
        <v>0</v>
      </c>
      <c r="K375" s="259">
        <f t="shared" si="14"/>
        <v>10.61229134</v>
      </c>
      <c r="L375" s="259">
        <f t="shared" si="15"/>
        <v>10.61229134</v>
      </c>
      <c r="M375" s="259">
        <f t="shared" si="16"/>
        <v>0</v>
      </c>
      <c r="N375" s="259">
        <f t="shared" si="17"/>
        <v>10.61229134</v>
      </c>
      <c r="O375" s="259">
        <f t="shared" si="18"/>
        <v>10.61229134</v>
      </c>
      <c r="P375" s="586">
        <f t="shared" si="3"/>
        <v>0.00005785074192</v>
      </c>
    </row>
    <row r="376">
      <c r="A376" s="253" t="s">
        <v>920</v>
      </c>
      <c r="B376" s="254">
        <v>7129.0</v>
      </c>
      <c r="C376" s="255" t="str">
        <f t="shared" si="12"/>
        <v>SINAPI</v>
      </c>
      <c r="D376" s="256" t="s">
        <v>286</v>
      </c>
      <c r="E376" s="257" t="str">
        <f>IFERROR(IF(D376="SINAPI-S",VLOOKUP(B376,'20-B.SINAPI-S'!A:J,2,0),IF(D376="SINAPI-I",VLOOKUP(B376,'20-A.SINAPI-I'!A:G,2,0),IF(D376="COMPOSIÇÕES",VLOOKUP(B376,'11.COMPOSIÇÕES GERAIS'!B:I,2,0),VLOOKUP(B376,'12.COT.MERCADO'!A:I,2,0)))),"Em Elaboração")</f>
        <v>TE DE REDUCAO, PVC, SOLDAVEL, 90 GRAUS, 50 MM X 25 MM, PARA AGUA FRIA PREDIAL</v>
      </c>
      <c r="F376" s="258" t="str">
        <f>IFERROR(IF(D376="SINAPI-S",VLOOKUP(B376,'20-B.SINAPI-S'!A:J,3,0),IF(D376="SINAPI-I",VLOOKUP(B376,'20-A.SINAPI-I'!A:G,3,0),IF(D376="COMPOSIÇÕES",VLOOKUP(B376,'11.COMPOSIÇÕES GERAIS'!B:I,3,0),VLOOKUP(B376,'12.COT.MERCADO'!A:I,7,0)))),"Em Elaboração")</f>
        <v>UN</v>
      </c>
      <c r="G376" s="254">
        <v>1.0</v>
      </c>
      <c r="H376" s="259">
        <f>IFERROR(IF(D376="SINAPI-S",VLOOKUP(B376,'20-B.SINAPI-S'!A:J,5,0),IF(D376="SINAPI-I",VLOOKUP(B376,'20-A.SINAPI-I'!A:G,6,0),IF(D376="COMPOSIÇÕES",VLOOKUP(B376,'11.COMPOSIÇÕES GERAIS'!B:I,7,0),0))),"Em Elaboração")</f>
        <v>0</v>
      </c>
      <c r="I376" s="259">
        <f>IFERROR(IF(D376="SINAPI-S",VLOOKUP(B376,'20-B.SINAPI-S'!A:J,6,0),IF(D376="SINAPI-I",VLOOKUP(B376,'20-A.SINAPI-I'!A:G,7,0),IF(D376="COMPOSIÇÕES",VLOOKUP(B376,'11.COMPOSIÇÕES GERAIS'!B:I,8,0),VLOOKUP(B376,'12.COT.MERCADO'!A:I,8,0)))),"Em Elaboração")</f>
        <v>10.66</v>
      </c>
      <c r="J376" s="259">
        <f t="shared" si="13"/>
        <v>0</v>
      </c>
      <c r="K376" s="259">
        <f t="shared" si="14"/>
        <v>12.48642668</v>
      </c>
      <c r="L376" s="259">
        <f t="shared" si="15"/>
        <v>12.48642668</v>
      </c>
      <c r="M376" s="259">
        <f t="shared" si="16"/>
        <v>0</v>
      </c>
      <c r="N376" s="259">
        <f t="shared" si="17"/>
        <v>12.48642668</v>
      </c>
      <c r="O376" s="259">
        <f t="shared" si="18"/>
        <v>12.48642668</v>
      </c>
      <c r="P376" s="586">
        <f t="shared" si="3"/>
        <v>0.00006806720848</v>
      </c>
    </row>
    <row r="377">
      <c r="A377" s="253" t="s">
        <v>921</v>
      </c>
      <c r="B377" s="254">
        <v>7130.0</v>
      </c>
      <c r="C377" s="255" t="str">
        <f t="shared" si="12"/>
        <v>SINAPI</v>
      </c>
      <c r="D377" s="256" t="s">
        <v>286</v>
      </c>
      <c r="E377" s="257" t="str">
        <f>IFERROR(IF(D377="SINAPI-S",VLOOKUP(B377,'20-B.SINAPI-S'!A:J,2,0),IF(D377="SINAPI-I",VLOOKUP(B377,'20-A.SINAPI-I'!A:G,2,0),IF(D377="COMPOSIÇÕES",VLOOKUP(B377,'11.COMPOSIÇÕES GERAIS'!B:I,2,0),VLOOKUP(B377,'12.COT.MERCADO'!A:I,2,0)))),"Em Elaboração")</f>
        <v>TE DE REDUCAO, PVC, SOLDAVEL, 90 GRAUS, 50 MM X 32 MM, PARA AGUA FRIA PREDIAL</v>
      </c>
      <c r="F377" s="258" t="str">
        <f>IFERROR(IF(D377="SINAPI-S",VLOOKUP(B377,'20-B.SINAPI-S'!A:J,3,0),IF(D377="SINAPI-I",VLOOKUP(B377,'20-A.SINAPI-I'!A:G,3,0),IF(D377="COMPOSIÇÕES",VLOOKUP(B377,'11.COMPOSIÇÕES GERAIS'!B:I,3,0),VLOOKUP(B377,'12.COT.MERCADO'!A:I,7,0)))),"Em Elaboração")</f>
        <v>UN</v>
      </c>
      <c r="G377" s="254">
        <v>1.0</v>
      </c>
      <c r="H377" s="259">
        <f>IFERROR(IF(D377="SINAPI-S",VLOOKUP(B377,'20-B.SINAPI-S'!A:J,5,0),IF(D377="SINAPI-I",VLOOKUP(B377,'20-A.SINAPI-I'!A:G,6,0),IF(D377="COMPOSIÇÕES",VLOOKUP(B377,'11.COMPOSIÇÕES GERAIS'!B:I,7,0),0))),"Em Elaboração")</f>
        <v>0</v>
      </c>
      <c r="I377" s="259">
        <f>IFERROR(IF(D377="SINAPI-S",VLOOKUP(B377,'20-B.SINAPI-S'!A:J,6,0),IF(D377="SINAPI-I",VLOOKUP(B377,'20-A.SINAPI-I'!A:G,7,0),IF(D377="COMPOSIÇÕES",VLOOKUP(B377,'11.COMPOSIÇÕES GERAIS'!B:I,8,0),VLOOKUP(B377,'12.COT.MERCADO'!A:I,8,0)))),"Em Elaboração")</f>
        <v>15.49</v>
      </c>
      <c r="J377" s="259">
        <f t="shared" si="13"/>
        <v>0</v>
      </c>
      <c r="K377" s="259">
        <f t="shared" si="14"/>
        <v>18.14397272</v>
      </c>
      <c r="L377" s="259">
        <f t="shared" si="15"/>
        <v>18.14397272</v>
      </c>
      <c r="M377" s="259">
        <f t="shared" si="16"/>
        <v>0</v>
      </c>
      <c r="N377" s="259">
        <f t="shared" si="17"/>
        <v>18.14397272</v>
      </c>
      <c r="O377" s="259">
        <f t="shared" si="18"/>
        <v>18.14397272</v>
      </c>
      <c r="P377" s="586">
        <f t="shared" si="3"/>
        <v>0.00009890816692</v>
      </c>
    </row>
    <row r="378">
      <c r="A378" s="253" t="s">
        <v>922</v>
      </c>
      <c r="B378" s="254">
        <v>7131.0</v>
      </c>
      <c r="C378" s="255" t="str">
        <f t="shared" si="12"/>
        <v>SINAPI</v>
      </c>
      <c r="D378" s="256" t="s">
        <v>286</v>
      </c>
      <c r="E378" s="257" t="str">
        <f>IFERROR(IF(D378="SINAPI-S",VLOOKUP(B378,'20-B.SINAPI-S'!A:J,2,0),IF(D378="SINAPI-I",VLOOKUP(B378,'20-A.SINAPI-I'!A:G,2,0),IF(D378="COMPOSIÇÕES",VLOOKUP(B378,'11.COMPOSIÇÕES GERAIS'!B:I,2,0),VLOOKUP(B378,'12.COT.MERCADO'!A:I,2,0)))),"Em Elaboração")</f>
        <v>TE DE REDUCAO, PVC, SOLDAVEL, 90 GRAUS, 50 MM X 40 MM, PARA AGUA FRIA PREDIAL</v>
      </c>
      <c r="F378" s="258" t="str">
        <f>IFERROR(IF(D378="SINAPI-S",VLOOKUP(B378,'20-B.SINAPI-S'!A:J,3,0),IF(D378="SINAPI-I",VLOOKUP(B378,'20-A.SINAPI-I'!A:G,3,0),IF(D378="COMPOSIÇÕES",VLOOKUP(B378,'11.COMPOSIÇÕES GERAIS'!B:I,3,0),VLOOKUP(B378,'12.COT.MERCADO'!A:I,7,0)))),"Em Elaboração")</f>
        <v>UN</v>
      </c>
      <c r="G378" s="254">
        <v>1.0</v>
      </c>
      <c r="H378" s="259">
        <f>IFERROR(IF(D378="SINAPI-S",VLOOKUP(B378,'20-B.SINAPI-S'!A:J,5,0),IF(D378="SINAPI-I",VLOOKUP(B378,'20-A.SINAPI-I'!A:G,6,0),IF(D378="COMPOSIÇÕES",VLOOKUP(B378,'11.COMPOSIÇÕES GERAIS'!B:I,7,0),0))),"Em Elaboração")</f>
        <v>0</v>
      </c>
      <c r="I378" s="259">
        <f>IFERROR(IF(D378="SINAPI-S",VLOOKUP(B378,'20-B.SINAPI-S'!A:J,6,0),IF(D378="SINAPI-I",VLOOKUP(B378,'20-A.SINAPI-I'!A:G,7,0),IF(D378="COMPOSIÇÕES",VLOOKUP(B378,'11.COMPOSIÇÕES GERAIS'!B:I,8,0),VLOOKUP(B378,'12.COT.MERCADO'!A:I,8,0)))),"Em Elaboração")</f>
        <v>18.95</v>
      </c>
      <c r="J378" s="259">
        <f t="shared" si="13"/>
        <v>0</v>
      </c>
      <c r="K378" s="259">
        <f t="shared" si="14"/>
        <v>22.19679039</v>
      </c>
      <c r="L378" s="259">
        <f t="shared" si="15"/>
        <v>22.19679039</v>
      </c>
      <c r="M378" s="259">
        <f t="shared" si="16"/>
        <v>0</v>
      </c>
      <c r="N378" s="259">
        <f t="shared" si="17"/>
        <v>22.19679039</v>
      </c>
      <c r="O378" s="259">
        <f t="shared" si="18"/>
        <v>22.19679039</v>
      </c>
      <c r="P378" s="586">
        <f t="shared" si="3"/>
        <v>0.0001210012759</v>
      </c>
    </row>
    <row r="379">
      <c r="A379" s="253" t="s">
        <v>923</v>
      </c>
      <c r="B379" s="254">
        <v>7091.0</v>
      </c>
      <c r="C379" s="255" t="str">
        <f t="shared" si="12"/>
        <v>SINAPI</v>
      </c>
      <c r="D379" s="256" t="s">
        <v>286</v>
      </c>
      <c r="E379" s="257" t="str">
        <f>IFERROR(IF(D379="SINAPI-S",VLOOKUP(B379,'20-B.SINAPI-S'!A:J,2,0),IF(D379="SINAPI-I",VLOOKUP(B379,'20-A.SINAPI-I'!A:G,2,0),IF(D379="COMPOSIÇÕES",VLOOKUP(B379,'11.COMPOSIÇÕES GERAIS'!B:I,2,0),VLOOKUP(B379,'12.COT.MERCADO'!A:I,2,0)))),"Em Elaboração")</f>
        <v>TE SANITARIO, PVC, DN 100 X 100 MM, SERIE NORMAL, PARA ESGOTO PREDIAL</v>
      </c>
      <c r="F379" s="258" t="str">
        <f>IFERROR(IF(D379="SINAPI-S",VLOOKUP(B379,'20-B.SINAPI-S'!A:J,3,0),IF(D379="SINAPI-I",VLOOKUP(B379,'20-A.SINAPI-I'!A:G,3,0),IF(D379="COMPOSIÇÕES",VLOOKUP(B379,'11.COMPOSIÇÕES GERAIS'!B:I,3,0),VLOOKUP(B379,'12.COT.MERCADO'!A:I,7,0)))),"Em Elaboração")</f>
        <v>UN</v>
      </c>
      <c r="G379" s="254">
        <v>1.0</v>
      </c>
      <c r="H379" s="259">
        <f>IFERROR(IF(D379="SINAPI-S",VLOOKUP(B379,'20-B.SINAPI-S'!A:J,5,0),IF(D379="SINAPI-I",VLOOKUP(B379,'20-A.SINAPI-I'!A:G,6,0),IF(D379="COMPOSIÇÕES",VLOOKUP(B379,'11.COMPOSIÇÕES GERAIS'!B:I,7,0),0))),"Em Elaboração")</f>
        <v>0</v>
      </c>
      <c r="I379" s="259">
        <f>IFERROR(IF(D379="SINAPI-S",VLOOKUP(B379,'20-B.SINAPI-S'!A:J,6,0),IF(D379="SINAPI-I",VLOOKUP(B379,'20-A.SINAPI-I'!A:G,7,0),IF(D379="COMPOSIÇÕES",VLOOKUP(B379,'11.COMPOSIÇÕES GERAIS'!B:I,8,0),VLOOKUP(B379,'12.COT.MERCADO'!A:I,8,0)))),"Em Elaboração")</f>
        <v>18.25</v>
      </c>
      <c r="J379" s="259">
        <f t="shared" si="13"/>
        <v>0</v>
      </c>
      <c r="K379" s="259">
        <f t="shared" si="14"/>
        <v>21.37685618</v>
      </c>
      <c r="L379" s="259">
        <f t="shared" si="15"/>
        <v>21.37685618</v>
      </c>
      <c r="M379" s="259">
        <f t="shared" si="16"/>
        <v>0</v>
      </c>
      <c r="N379" s="259">
        <f t="shared" si="17"/>
        <v>21.37685618</v>
      </c>
      <c r="O379" s="259">
        <f t="shared" si="18"/>
        <v>21.37685618</v>
      </c>
      <c r="P379" s="586">
        <f t="shared" si="3"/>
        <v>0.0001165315717</v>
      </c>
    </row>
    <row r="380">
      <c r="A380" s="253" t="s">
        <v>924</v>
      </c>
      <c r="B380" s="254">
        <v>11655.0</v>
      </c>
      <c r="C380" s="255" t="str">
        <f t="shared" si="12"/>
        <v>SINAPI</v>
      </c>
      <c r="D380" s="256" t="s">
        <v>286</v>
      </c>
      <c r="E380" s="257" t="str">
        <f>IFERROR(IF(D380="SINAPI-S",VLOOKUP(B380,'20-B.SINAPI-S'!A:J,2,0),IF(D380="SINAPI-I",VLOOKUP(B380,'20-A.SINAPI-I'!A:G,2,0),IF(D380="COMPOSIÇÕES",VLOOKUP(B380,'11.COMPOSIÇÕES GERAIS'!B:I,2,0),VLOOKUP(B380,'12.COT.MERCADO'!A:I,2,0)))),"Em Elaboração")</f>
        <v>TE SANITARIO DE REDUCAO, PVC, DN 100 X 50 MM, SERIE NORMAL, PARA ESGOTO PREDIAL</v>
      </c>
      <c r="F380" s="258" t="str">
        <f>IFERROR(IF(D380="SINAPI-S",VLOOKUP(B380,'20-B.SINAPI-S'!A:J,3,0),IF(D380="SINAPI-I",VLOOKUP(B380,'20-A.SINAPI-I'!A:G,3,0),IF(D380="COMPOSIÇÕES",VLOOKUP(B380,'11.COMPOSIÇÕES GERAIS'!B:I,3,0),VLOOKUP(B380,'12.COT.MERCADO'!A:I,7,0)))),"Em Elaboração")</f>
        <v>UN</v>
      </c>
      <c r="G380" s="254">
        <v>1.0</v>
      </c>
      <c r="H380" s="259">
        <f>IFERROR(IF(D380="SINAPI-S",VLOOKUP(B380,'20-B.SINAPI-S'!A:J,5,0),IF(D380="SINAPI-I",VLOOKUP(B380,'20-A.SINAPI-I'!A:G,6,0),IF(D380="COMPOSIÇÕES",VLOOKUP(B380,'11.COMPOSIÇÕES GERAIS'!B:I,7,0),0))),"Em Elaboração")</f>
        <v>0</v>
      </c>
      <c r="I380" s="259">
        <f>IFERROR(IF(D380="SINAPI-S",VLOOKUP(B380,'20-B.SINAPI-S'!A:J,6,0),IF(D380="SINAPI-I",VLOOKUP(B380,'20-A.SINAPI-I'!A:G,7,0),IF(D380="COMPOSIÇÕES",VLOOKUP(B380,'11.COMPOSIÇÕES GERAIS'!B:I,8,0),VLOOKUP(B380,'12.COT.MERCADO'!A:I,8,0)))),"Em Elaboração")</f>
        <v>19.4</v>
      </c>
      <c r="J380" s="259">
        <f t="shared" si="13"/>
        <v>0</v>
      </c>
      <c r="K380" s="259">
        <f t="shared" si="14"/>
        <v>22.72389095</v>
      </c>
      <c r="L380" s="259">
        <f t="shared" si="15"/>
        <v>22.72389095</v>
      </c>
      <c r="M380" s="259">
        <f t="shared" si="16"/>
        <v>0</v>
      </c>
      <c r="N380" s="259">
        <f t="shared" si="17"/>
        <v>22.72389095</v>
      </c>
      <c r="O380" s="259">
        <f t="shared" si="18"/>
        <v>22.72389095</v>
      </c>
      <c r="P380" s="586">
        <f t="shared" si="3"/>
        <v>0.0001238746571</v>
      </c>
    </row>
    <row r="381">
      <c r="A381" s="253" t="s">
        <v>925</v>
      </c>
      <c r="B381" s="254">
        <v>11656.0</v>
      </c>
      <c r="C381" s="255" t="str">
        <f t="shared" si="12"/>
        <v>SINAPI</v>
      </c>
      <c r="D381" s="256" t="s">
        <v>286</v>
      </c>
      <c r="E381" s="257" t="str">
        <f>IFERROR(IF(D381="SINAPI-S",VLOOKUP(B381,'20-B.SINAPI-S'!A:J,2,0),IF(D381="SINAPI-I",VLOOKUP(B381,'20-A.SINAPI-I'!A:G,2,0),IF(D381="COMPOSIÇÕES",VLOOKUP(B381,'11.COMPOSIÇÕES GERAIS'!B:I,2,0),VLOOKUP(B381,'12.COT.MERCADO'!A:I,2,0)))),"Em Elaboração")</f>
        <v>TE SANITARIO DE REDUCAO, PVC, DN 100 X 75 MM, SERIE NORMAL PARA ESGOTO PREDIAL</v>
      </c>
      <c r="F381" s="258" t="str">
        <f>IFERROR(IF(D381="SINAPI-S",VLOOKUP(B381,'20-B.SINAPI-S'!A:J,3,0),IF(D381="SINAPI-I",VLOOKUP(B381,'20-A.SINAPI-I'!A:G,3,0),IF(D381="COMPOSIÇÕES",VLOOKUP(B381,'11.COMPOSIÇÕES GERAIS'!B:I,3,0),VLOOKUP(B381,'12.COT.MERCADO'!A:I,7,0)))),"Em Elaboração")</f>
        <v>UN</v>
      </c>
      <c r="G381" s="254">
        <v>1.0</v>
      </c>
      <c r="H381" s="259">
        <f>IFERROR(IF(D381="SINAPI-S",VLOOKUP(B381,'20-B.SINAPI-S'!A:J,5,0),IF(D381="SINAPI-I",VLOOKUP(B381,'20-A.SINAPI-I'!A:G,6,0),IF(D381="COMPOSIÇÕES",VLOOKUP(B381,'11.COMPOSIÇÕES GERAIS'!B:I,7,0),0))),"Em Elaboração")</f>
        <v>0</v>
      </c>
      <c r="I381" s="259">
        <f>IFERROR(IF(D381="SINAPI-S",VLOOKUP(B381,'20-B.SINAPI-S'!A:J,6,0),IF(D381="SINAPI-I",VLOOKUP(B381,'20-A.SINAPI-I'!A:G,7,0),IF(D381="COMPOSIÇÕES",VLOOKUP(B381,'11.COMPOSIÇÕES GERAIS'!B:I,8,0),VLOOKUP(B381,'12.COT.MERCADO'!A:I,8,0)))),"Em Elaboração")</f>
        <v>22.27</v>
      </c>
      <c r="J381" s="259">
        <f t="shared" si="13"/>
        <v>0</v>
      </c>
      <c r="K381" s="259">
        <f t="shared" si="14"/>
        <v>26.08562121</v>
      </c>
      <c r="L381" s="259">
        <f t="shared" si="15"/>
        <v>26.08562121</v>
      </c>
      <c r="M381" s="259">
        <f t="shared" si="16"/>
        <v>0</v>
      </c>
      <c r="N381" s="259">
        <f t="shared" si="17"/>
        <v>26.08562121</v>
      </c>
      <c r="O381" s="259">
        <f t="shared" si="18"/>
        <v>26.08562121</v>
      </c>
      <c r="P381" s="586">
        <f t="shared" si="3"/>
        <v>0.000142200444</v>
      </c>
    </row>
    <row r="382">
      <c r="A382" s="253" t="s">
        <v>926</v>
      </c>
      <c r="B382" s="254">
        <v>7097.0</v>
      </c>
      <c r="C382" s="255" t="str">
        <f t="shared" si="12"/>
        <v>SINAPI</v>
      </c>
      <c r="D382" s="256" t="s">
        <v>286</v>
      </c>
      <c r="E382" s="257" t="str">
        <f>IFERROR(IF(D382="SINAPI-S",VLOOKUP(B382,'20-B.SINAPI-S'!A:J,2,0),IF(D382="SINAPI-I",VLOOKUP(B382,'20-A.SINAPI-I'!A:G,2,0),IF(D382="COMPOSIÇÕES",VLOOKUP(B382,'11.COMPOSIÇÕES GERAIS'!B:I,2,0),VLOOKUP(B382,'12.COT.MERCADO'!A:I,2,0)))),"Em Elaboração")</f>
        <v>TE SANITARIO, PVC, DN 50 X 50 MM, SERIE NORMAL, PARA ESGOTO PREDIAL</v>
      </c>
      <c r="F382" s="258" t="str">
        <f>IFERROR(IF(D382="SINAPI-S",VLOOKUP(B382,'20-B.SINAPI-S'!A:J,3,0),IF(D382="SINAPI-I",VLOOKUP(B382,'20-A.SINAPI-I'!A:G,3,0),IF(D382="COMPOSIÇÕES",VLOOKUP(B382,'11.COMPOSIÇÕES GERAIS'!B:I,3,0),VLOOKUP(B382,'12.COT.MERCADO'!A:I,7,0)))),"Em Elaboração")</f>
        <v>UN</v>
      </c>
      <c r="G382" s="254">
        <v>1.0</v>
      </c>
      <c r="H382" s="259">
        <f>IFERROR(IF(D382="SINAPI-S",VLOOKUP(B382,'20-B.SINAPI-S'!A:J,5,0),IF(D382="SINAPI-I",VLOOKUP(B382,'20-A.SINAPI-I'!A:G,6,0),IF(D382="COMPOSIÇÕES",VLOOKUP(B382,'11.COMPOSIÇÕES GERAIS'!B:I,7,0),0))),"Em Elaboração")</f>
        <v>0</v>
      </c>
      <c r="I382" s="259">
        <f>IFERROR(IF(D382="SINAPI-S",VLOOKUP(B382,'20-B.SINAPI-S'!A:J,6,0),IF(D382="SINAPI-I",VLOOKUP(B382,'20-A.SINAPI-I'!A:G,7,0),IF(D382="COMPOSIÇÕES",VLOOKUP(B382,'11.COMPOSIÇÕES GERAIS'!B:I,8,0),VLOOKUP(B382,'12.COT.MERCADO'!A:I,8,0)))),"Em Elaboração")</f>
        <v>8.57</v>
      </c>
      <c r="J382" s="259">
        <f t="shared" si="13"/>
        <v>0</v>
      </c>
      <c r="K382" s="259">
        <f t="shared" si="14"/>
        <v>10.03833739</v>
      </c>
      <c r="L382" s="259">
        <f t="shared" si="15"/>
        <v>10.03833739</v>
      </c>
      <c r="M382" s="259">
        <f t="shared" si="16"/>
        <v>0</v>
      </c>
      <c r="N382" s="259">
        <f t="shared" si="17"/>
        <v>10.03833739</v>
      </c>
      <c r="O382" s="259">
        <f t="shared" si="18"/>
        <v>10.03833739</v>
      </c>
      <c r="P382" s="586">
        <f t="shared" si="3"/>
        <v>0.00005472194903</v>
      </c>
    </row>
    <row r="383">
      <c r="A383" s="253" t="s">
        <v>927</v>
      </c>
      <c r="B383" s="254">
        <v>11658.0</v>
      </c>
      <c r="C383" s="255" t="str">
        <f t="shared" si="12"/>
        <v>SINAPI</v>
      </c>
      <c r="D383" s="256" t="s">
        <v>286</v>
      </c>
      <c r="E383" s="257" t="str">
        <f>IFERROR(IF(D383="SINAPI-S",VLOOKUP(B383,'20-B.SINAPI-S'!A:J,2,0),IF(D383="SINAPI-I",VLOOKUP(B383,'20-A.SINAPI-I'!A:G,2,0),IF(D383="COMPOSIÇÕES",VLOOKUP(B383,'11.COMPOSIÇÕES GERAIS'!B:I,2,0),VLOOKUP(B383,'12.COT.MERCADO'!A:I,2,0)))),"Em Elaboração")</f>
        <v>TE SANITARIO, PVC, DN 75 X 75 MM, SERIE NORMAL PARA ESGOTO PREDIAL</v>
      </c>
      <c r="F383" s="258" t="str">
        <f>IFERROR(IF(D383="SINAPI-S",VLOOKUP(B383,'20-B.SINAPI-S'!A:J,3,0),IF(D383="SINAPI-I",VLOOKUP(B383,'20-A.SINAPI-I'!A:G,3,0),IF(D383="COMPOSIÇÕES",VLOOKUP(B383,'11.COMPOSIÇÕES GERAIS'!B:I,3,0),VLOOKUP(B383,'12.COT.MERCADO'!A:I,7,0)))),"Em Elaboração")</f>
        <v>UN</v>
      </c>
      <c r="G383" s="254">
        <v>1.0</v>
      </c>
      <c r="H383" s="259">
        <f>IFERROR(IF(D383="SINAPI-S",VLOOKUP(B383,'20-B.SINAPI-S'!A:J,5,0),IF(D383="SINAPI-I",VLOOKUP(B383,'20-A.SINAPI-I'!A:G,6,0),IF(D383="COMPOSIÇÕES",VLOOKUP(B383,'11.COMPOSIÇÕES GERAIS'!B:I,7,0),0))),"Em Elaboração")</f>
        <v>0</v>
      </c>
      <c r="I383" s="259">
        <f>IFERROR(IF(D383="SINAPI-S",VLOOKUP(B383,'20-B.SINAPI-S'!A:J,6,0),IF(D383="SINAPI-I",VLOOKUP(B383,'20-A.SINAPI-I'!A:G,7,0),IF(D383="COMPOSIÇÕES",VLOOKUP(B383,'11.COMPOSIÇÕES GERAIS'!B:I,8,0),VLOOKUP(B383,'12.COT.MERCADO'!A:I,8,0)))),"Em Elaboração")</f>
        <v>18.94</v>
      </c>
      <c r="J383" s="259">
        <f t="shared" si="13"/>
        <v>0</v>
      </c>
      <c r="K383" s="259">
        <f t="shared" si="14"/>
        <v>22.18507704</v>
      </c>
      <c r="L383" s="259">
        <f t="shared" si="15"/>
        <v>22.18507704</v>
      </c>
      <c r="M383" s="259">
        <f t="shared" si="16"/>
        <v>0</v>
      </c>
      <c r="N383" s="259">
        <f t="shared" si="17"/>
        <v>22.18507704</v>
      </c>
      <c r="O383" s="259">
        <f t="shared" si="18"/>
        <v>22.18507704</v>
      </c>
      <c r="P383" s="586">
        <f t="shared" si="3"/>
        <v>0.0001209374229</v>
      </c>
    </row>
    <row r="384">
      <c r="A384" s="253" t="s">
        <v>928</v>
      </c>
      <c r="B384" s="254">
        <v>7139.0</v>
      </c>
      <c r="C384" s="255" t="str">
        <f t="shared" si="12"/>
        <v>SINAPI</v>
      </c>
      <c r="D384" s="256" t="s">
        <v>286</v>
      </c>
      <c r="E384" s="257" t="str">
        <f>IFERROR(IF(D384="SINAPI-S",VLOOKUP(B384,'20-B.SINAPI-S'!A:J,2,0),IF(D384="SINAPI-I",VLOOKUP(B384,'20-A.SINAPI-I'!A:G,2,0),IF(D384="COMPOSIÇÕES",VLOOKUP(B384,'11.COMPOSIÇÕES GERAIS'!B:I,2,0),VLOOKUP(B384,'12.COT.MERCADO'!A:I,2,0)))),"Em Elaboração")</f>
        <v>TE SOLDAVEL, PVC, 90 GRAUS, 25 MM, PARA AGUA FRIA PREDIAL (NBR 5648)</v>
      </c>
      <c r="F384" s="258" t="str">
        <f>IFERROR(IF(D384="SINAPI-S",VLOOKUP(B384,'20-B.SINAPI-S'!A:J,3,0),IF(D384="SINAPI-I",VLOOKUP(B384,'20-A.SINAPI-I'!A:G,3,0),IF(D384="COMPOSIÇÕES",VLOOKUP(B384,'11.COMPOSIÇÕES GERAIS'!B:I,3,0),VLOOKUP(B384,'12.COT.MERCADO'!A:I,7,0)))),"Em Elaboração")</f>
        <v>UN</v>
      </c>
      <c r="G384" s="254">
        <v>1.0</v>
      </c>
      <c r="H384" s="259">
        <f>IFERROR(IF(D384="SINAPI-S",VLOOKUP(B384,'20-B.SINAPI-S'!A:J,5,0),IF(D384="SINAPI-I",VLOOKUP(B384,'20-A.SINAPI-I'!A:G,6,0),IF(D384="COMPOSIÇÕES",VLOOKUP(B384,'11.COMPOSIÇÕES GERAIS'!B:I,7,0),0))),"Em Elaboração")</f>
        <v>0</v>
      </c>
      <c r="I384" s="259">
        <f>IFERROR(IF(D384="SINAPI-S",VLOOKUP(B384,'20-B.SINAPI-S'!A:J,6,0),IF(D384="SINAPI-I",VLOOKUP(B384,'20-A.SINAPI-I'!A:G,7,0),IF(D384="COMPOSIÇÕES",VLOOKUP(B384,'11.COMPOSIÇÕES GERAIS'!B:I,8,0),VLOOKUP(B384,'12.COT.MERCADO'!A:I,8,0)))),"Em Elaboração")</f>
        <v>1.26</v>
      </c>
      <c r="J384" s="259">
        <f t="shared" si="13"/>
        <v>0</v>
      </c>
      <c r="K384" s="259">
        <f t="shared" si="14"/>
        <v>1.475881577</v>
      </c>
      <c r="L384" s="259">
        <f t="shared" si="15"/>
        <v>1.475881577</v>
      </c>
      <c r="M384" s="259">
        <f t="shared" si="16"/>
        <v>0</v>
      </c>
      <c r="N384" s="259">
        <f t="shared" si="17"/>
        <v>1.475881577</v>
      </c>
      <c r="O384" s="259">
        <f t="shared" si="18"/>
        <v>1.475881577</v>
      </c>
      <c r="P384" s="586">
        <f t="shared" si="3"/>
        <v>0.000008045467419</v>
      </c>
    </row>
    <row r="385">
      <c r="A385" s="253" t="s">
        <v>929</v>
      </c>
      <c r="B385" s="254">
        <v>7140.0</v>
      </c>
      <c r="C385" s="255" t="str">
        <f t="shared" si="12"/>
        <v>SINAPI</v>
      </c>
      <c r="D385" s="256" t="s">
        <v>286</v>
      </c>
      <c r="E385" s="257" t="str">
        <f>IFERROR(IF(D385="SINAPI-S",VLOOKUP(B385,'20-B.SINAPI-S'!A:J,2,0),IF(D385="SINAPI-I",VLOOKUP(B385,'20-A.SINAPI-I'!A:G,2,0),IF(D385="COMPOSIÇÕES",VLOOKUP(B385,'11.COMPOSIÇÕES GERAIS'!B:I,2,0),VLOOKUP(B385,'12.COT.MERCADO'!A:I,2,0)))),"Em Elaboração")</f>
        <v>TE SOLDAVEL, PVC, 90 GRAUS, 32 MM, PARA AGUA FRIA PREDIAL (NBR 5648)</v>
      </c>
      <c r="F385" s="258" t="str">
        <f>IFERROR(IF(D385="SINAPI-S",VLOOKUP(B385,'20-B.SINAPI-S'!A:J,3,0),IF(D385="SINAPI-I",VLOOKUP(B385,'20-A.SINAPI-I'!A:G,3,0),IF(D385="COMPOSIÇÕES",VLOOKUP(B385,'11.COMPOSIÇÕES GERAIS'!B:I,3,0),VLOOKUP(B385,'12.COT.MERCADO'!A:I,7,0)))),"Em Elaboração")</f>
        <v>UN</v>
      </c>
      <c r="G385" s="254">
        <v>1.0</v>
      </c>
      <c r="H385" s="259">
        <f>IFERROR(IF(D385="SINAPI-S",VLOOKUP(B385,'20-B.SINAPI-S'!A:J,5,0),IF(D385="SINAPI-I",VLOOKUP(B385,'20-A.SINAPI-I'!A:G,6,0),IF(D385="COMPOSIÇÕES",VLOOKUP(B385,'11.COMPOSIÇÕES GERAIS'!B:I,7,0),0))),"Em Elaboração")</f>
        <v>0</v>
      </c>
      <c r="I385" s="259">
        <f>IFERROR(IF(D385="SINAPI-S",VLOOKUP(B385,'20-B.SINAPI-S'!A:J,6,0),IF(D385="SINAPI-I",VLOOKUP(B385,'20-A.SINAPI-I'!A:G,7,0),IF(D385="COMPOSIÇÕES",VLOOKUP(B385,'11.COMPOSIÇÕES GERAIS'!B:I,8,0),VLOOKUP(B385,'12.COT.MERCADO'!A:I,8,0)))),"Em Elaboração")</f>
        <v>3.95</v>
      </c>
      <c r="J385" s="259">
        <f t="shared" si="13"/>
        <v>0</v>
      </c>
      <c r="K385" s="259">
        <f t="shared" si="14"/>
        <v>4.626771611</v>
      </c>
      <c r="L385" s="259">
        <f t="shared" si="15"/>
        <v>4.626771611</v>
      </c>
      <c r="M385" s="259">
        <f t="shared" si="16"/>
        <v>0</v>
      </c>
      <c r="N385" s="259">
        <f t="shared" si="17"/>
        <v>4.626771611</v>
      </c>
      <c r="O385" s="259">
        <f t="shared" si="18"/>
        <v>4.626771611</v>
      </c>
      <c r="P385" s="586">
        <f t="shared" si="3"/>
        <v>0.00002522190183</v>
      </c>
    </row>
    <row r="386">
      <c r="A386" s="253" t="s">
        <v>930</v>
      </c>
      <c r="B386" s="254">
        <v>7141.0</v>
      </c>
      <c r="C386" s="255" t="str">
        <f t="shared" si="12"/>
        <v>SINAPI</v>
      </c>
      <c r="D386" s="256" t="s">
        <v>286</v>
      </c>
      <c r="E386" s="257" t="str">
        <f>IFERROR(IF(D386="SINAPI-S",VLOOKUP(B386,'20-B.SINAPI-S'!A:J,2,0),IF(D386="SINAPI-I",VLOOKUP(B386,'20-A.SINAPI-I'!A:G,2,0),IF(D386="COMPOSIÇÕES",VLOOKUP(B386,'11.COMPOSIÇÕES GERAIS'!B:I,2,0),VLOOKUP(B386,'12.COT.MERCADO'!A:I,2,0)))),"Em Elaboração")</f>
        <v>TE SOLDAVEL, PVC, 90 GRAUS, 40 MM, PARA AGUA FRIA PREDIAL (NBR 5648)</v>
      </c>
      <c r="F386" s="258" t="str">
        <f>IFERROR(IF(D386="SINAPI-S",VLOOKUP(B386,'20-B.SINAPI-S'!A:J,3,0),IF(D386="SINAPI-I",VLOOKUP(B386,'20-A.SINAPI-I'!A:G,3,0),IF(D386="COMPOSIÇÕES",VLOOKUP(B386,'11.COMPOSIÇÕES GERAIS'!B:I,3,0),VLOOKUP(B386,'12.COT.MERCADO'!A:I,7,0)))),"Em Elaboração")</f>
        <v>UN</v>
      </c>
      <c r="G386" s="254">
        <v>1.0</v>
      </c>
      <c r="H386" s="259">
        <f>IFERROR(IF(D386="SINAPI-S",VLOOKUP(B386,'20-B.SINAPI-S'!A:J,5,0),IF(D386="SINAPI-I",VLOOKUP(B386,'20-A.SINAPI-I'!A:G,6,0),IF(D386="COMPOSIÇÕES",VLOOKUP(B386,'11.COMPOSIÇÕES GERAIS'!B:I,7,0),0))),"Em Elaboração")</f>
        <v>0</v>
      </c>
      <c r="I386" s="259">
        <f>IFERROR(IF(D386="SINAPI-S",VLOOKUP(B386,'20-B.SINAPI-S'!A:J,6,0),IF(D386="SINAPI-I",VLOOKUP(B386,'20-A.SINAPI-I'!A:G,7,0),IF(D386="COMPOSIÇÕES",VLOOKUP(B386,'11.COMPOSIÇÕES GERAIS'!B:I,8,0),VLOOKUP(B386,'12.COT.MERCADO'!A:I,8,0)))),"Em Elaboração")</f>
        <v>9.66</v>
      </c>
      <c r="J386" s="259">
        <f t="shared" si="13"/>
        <v>0</v>
      </c>
      <c r="K386" s="259">
        <f t="shared" si="14"/>
        <v>11.31509209</v>
      </c>
      <c r="L386" s="259">
        <f t="shared" si="15"/>
        <v>11.31509209</v>
      </c>
      <c r="M386" s="259">
        <f t="shared" si="16"/>
        <v>0</v>
      </c>
      <c r="N386" s="259">
        <f t="shared" si="17"/>
        <v>11.31509209</v>
      </c>
      <c r="O386" s="259">
        <f t="shared" si="18"/>
        <v>11.31509209</v>
      </c>
      <c r="P386" s="586">
        <f t="shared" si="3"/>
        <v>0.00006168191688</v>
      </c>
    </row>
    <row r="387">
      <c r="A387" s="253" t="s">
        <v>931</v>
      </c>
      <c r="B387" s="254">
        <v>7142.0</v>
      </c>
      <c r="C387" s="255" t="str">
        <f t="shared" si="12"/>
        <v>SINAPI</v>
      </c>
      <c r="D387" s="256" t="s">
        <v>286</v>
      </c>
      <c r="E387" s="257" t="str">
        <f>IFERROR(IF(D387="SINAPI-S",VLOOKUP(B387,'20-B.SINAPI-S'!A:J,2,0),IF(D387="SINAPI-I",VLOOKUP(B387,'20-A.SINAPI-I'!A:G,2,0),IF(D387="COMPOSIÇÕES",VLOOKUP(B387,'11.COMPOSIÇÕES GERAIS'!B:I,2,0),VLOOKUP(B387,'12.COT.MERCADO'!A:I,2,0)))),"Em Elaboração")</f>
        <v>TE SOLDAVEL, PVC, 90 GRAUS,50 MM, PARA AGUA FRIA PREDIAL (NBR 5648)</v>
      </c>
      <c r="F387" s="258" t="str">
        <f>IFERROR(IF(D387="SINAPI-S",VLOOKUP(B387,'20-B.SINAPI-S'!A:J,3,0),IF(D387="SINAPI-I",VLOOKUP(B387,'20-A.SINAPI-I'!A:G,3,0),IF(D387="COMPOSIÇÕES",VLOOKUP(B387,'11.COMPOSIÇÕES GERAIS'!B:I,3,0),VLOOKUP(B387,'12.COT.MERCADO'!A:I,7,0)))),"Em Elaboração")</f>
        <v>UN</v>
      </c>
      <c r="G387" s="254">
        <v>1.0</v>
      </c>
      <c r="H387" s="259">
        <f>IFERROR(IF(D387="SINAPI-S",VLOOKUP(B387,'20-B.SINAPI-S'!A:J,5,0),IF(D387="SINAPI-I",VLOOKUP(B387,'20-A.SINAPI-I'!A:G,6,0),IF(D387="COMPOSIÇÕES",VLOOKUP(B387,'11.COMPOSIÇÕES GERAIS'!B:I,7,0),0))),"Em Elaboração")</f>
        <v>0</v>
      </c>
      <c r="I387" s="259">
        <f>IFERROR(IF(D387="SINAPI-S",VLOOKUP(B387,'20-B.SINAPI-S'!A:J,6,0),IF(D387="SINAPI-I",VLOOKUP(B387,'20-A.SINAPI-I'!A:G,7,0),IF(D387="COMPOSIÇÕES",VLOOKUP(B387,'11.COMPOSIÇÕES GERAIS'!B:I,8,0),VLOOKUP(B387,'12.COT.MERCADO'!A:I,8,0)))),"Em Elaboração")</f>
        <v>10.1</v>
      </c>
      <c r="J387" s="259">
        <f t="shared" si="13"/>
        <v>0</v>
      </c>
      <c r="K387" s="259">
        <f t="shared" si="14"/>
        <v>11.83047931</v>
      </c>
      <c r="L387" s="259">
        <f t="shared" si="15"/>
        <v>11.83047931</v>
      </c>
      <c r="M387" s="259">
        <f t="shared" si="16"/>
        <v>0</v>
      </c>
      <c r="N387" s="259">
        <f t="shared" si="17"/>
        <v>11.83047931</v>
      </c>
      <c r="O387" s="259">
        <f t="shared" si="18"/>
        <v>11.83047931</v>
      </c>
      <c r="P387" s="586">
        <f t="shared" si="3"/>
        <v>0.00006449144518</v>
      </c>
    </row>
    <row r="388">
      <c r="A388" s="253" t="s">
        <v>932</v>
      </c>
      <c r="B388" s="254">
        <v>7143.0</v>
      </c>
      <c r="C388" s="255" t="str">
        <f t="shared" si="12"/>
        <v>SINAPI</v>
      </c>
      <c r="D388" s="256" t="s">
        <v>286</v>
      </c>
      <c r="E388" s="257" t="str">
        <f>IFERROR(IF(D388="SINAPI-S",VLOOKUP(B388,'20-B.SINAPI-S'!A:J,2,0),IF(D388="SINAPI-I",VLOOKUP(B388,'20-A.SINAPI-I'!A:G,2,0),IF(D388="COMPOSIÇÕES",VLOOKUP(B388,'11.COMPOSIÇÕES GERAIS'!B:I,2,0),VLOOKUP(B388,'12.COT.MERCADO'!A:I,2,0)))),"Em Elaboração")</f>
        <v>TE SOLDAVEL, PVC, 90 GRAUS, 60 MM, PARA AGUA FRIA PREDIAL (NBR 5648)</v>
      </c>
      <c r="F388" s="258" t="str">
        <f>IFERROR(IF(D388="SINAPI-S",VLOOKUP(B388,'20-B.SINAPI-S'!A:J,3,0),IF(D388="SINAPI-I",VLOOKUP(B388,'20-A.SINAPI-I'!A:G,3,0),IF(D388="COMPOSIÇÕES",VLOOKUP(B388,'11.COMPOSIÇÕES GERAIS'!B:I,3,0),VLOOKUP(B388,'12.COT.MERCADO'!A:I,7,0)))),"Em Elaboração")</f>
        <v>UN</v>
      </c>
      <c r="G388" s="254">
        <v>1.0</v>
      </c>
      <c r="H388" s="259">
        <f>IFERROR(IF(D388="SINAPI-S",VLOOKUP(B388,'20-B.SINAPI-S'!A:J,5,0),IF(D388="SINAPI-I",VLOOKUP(B388,'20-A.SINAPI-I'!A:G,6,0),IF(D388="COMPOSIÇÕES",VLOOKUP(B388,'11.COMPOSIÇÕES GERAIS'!B:I,7,0),0))),"Em Elaboração")</f>
        <v>0</v>
      </c>
      <c r="I388" s="259">
        <f>IFERROR(IF(D388="SINAPI-S",VLOOKUP(B388,'20-B.SINAPI-S'!A:J,6,0),IF(D388="SINAPI-I",VLOOKUP(B388,'20-A.SINAPI-I'!A:G,7,0),IF(D388="COMPOSIÇÕES",VLOOKUP(B388,'11.COMPOSIÇÕES GERAIS'!B:I,8,0),VLOOKUP(B388,'12.COT.MERCADO'!A:I,8,0)))),"Em Elaboração")</f>
        <v>32.42</v>
      </c>
      <c r="J388" s="259">
        <f t="shared" si="13"/>
        <v>0</v>
      </c>
      <c r="K388" s="259">
        <f t="shared" si="14"/>
        <v>37.97466725</v>
      </c>
      <c r="L388" s="259">
        <f t="shared" si="15"/>
        <v>37.97466725</v>
      </c>
      <c r="M388" s="259">
        <f t="shared" si="16"/>
        <v>0</v>
      </c>
      <c r="N388" s="259">
        <f t="shared" si="17"/>
        <v>37.97466725</v>
      </c>
      <c r="O388" s="259">
        <f t="shared" si="18"/>
        <v>37.97466725</v>
      </c>
      <c r="P388" s="586">
        <f t="shared" si="3"/>
        <v>0.0002070111537</v>
      </c>
    </row>
    <row r="389">
      <c r="A389" s="253" t="s">
        <v>933</v>
      </c>
      <c r="B389" s="254">
        <v>7123.0</v>
      </c>
      <c r="C389" s="255" t="str">
        <f t="shared" si="12"/>
        <v>SINAPI</v>
      </c>
      <c r="D389" s="256" t="s">
        <v>286</v>
      </c>
      <c r="E389" s="257" t="str">
        <f>IFERROR(IF(D389="SINAPI-S",VLOOKUP(B389,'20-B.SINAPI-S'!A:J,2,0),IF(D389="SINAPI-I",VLOOKUP(B389,'20-A.SINAPI-I'!A:G,2,0),IF(D389="COMPOSIÇÕES",VLOOKUP(B389,'11.COMPOSIÇÕES GERAIS'!B:I,2,0),VLOOKUP(B389,'12.COT.MERCADO'!A:I,2,0)))),"Em Elaboração")</f>
        <v>TE PVC, ROSCAVEL, 90 GRAUS, 3/4", AGUA FRIA PREDIAL</v>
      </c>
      <c r="F389" s="258" t="str">
        <f>IFERROR(IF(D389="SINAPI-S",VLOOKUP(B389,'20-B.SINAPI-S'!A:J,3,0),IF(D389="SINAPI-I",VLOOKUP(B389,'20-A.SINAPI-I'!A:G,3,0),IF(D389="COMPOSIÇÕES",VLOOKUP(B389,'11.COMPOSIÇÕES GERAIS'!B:I,3,0),VLOOKUP(B389,'12.COT.MERCADO'!A:I,7,0)))),"Em Elaboração")</f>
        <v>UN</v>
      </c>
      <c r="G389" s="254">
        <v>1.0</v>
      </c>
      <c r="H389" s="259">
        <f>IFERROR(IF(D389="SINAPI-S",VLOOKUP(B389,'20-B.SINAPI-S'!A:J,5,0),IF(D389="SINAPI-I",VLOOKUP(B389,'20-A.SINAPI-I'!A:G,6,0),IF(D389="COMPOSIÇÕES",VLOOKUP(B389,'11.COMPOSIÇÕES GERAIS'!B:I,7,0),0))),"Em Elaboração")</f>
        <v>0</v>
      </c>
      <c r="I389" s="259">
        <f>IFERROR(IF(D389="SINAPI-S",VLOOKUP(B389,'20-B.SINAPI-S'!A:J,6,0),IF(D389="SINAPI-I",VLOOKUP(B389,'20-A.SINAPI-I'!A:G,7,0),IF(D389="COMPOSIÇÕES",VLOOKUP(B389,'11.COMPOSIÇÕES GERAIS'!B:I,8,0),VLOOKUP(B389,'12.COT.MERCADO'!A:I,8,0)))),"Em Elaboração")</f>
        <v>4.85</v>
      </c>
      <c r="J389" s="259">
        <f t="shared" si="13"/>
        <v>0</v>
      </c>
      <c r="K389" s="259">
        <f t="shared" si="14"/>
        <v>5.680972738</v>
      </c>
      <c r="L389" s="259">
        <f t="shared" si="15"/>
        <v>5.680972738</v>
      </c>
      <c r="M389" s="259">
        <f t="shared" si="16"/>
        <v>0</v>
      </c>
      <c r="N389" s="259">
        <f t="shared" si="17"/>
        <v>5.680972738</v>
      </c>
      <c r="O389" s="259">
        <f t="shared" si="18"/>
        <v>5.680972738</v>
      </c>
      <c r="P389" s="586">
        <f t="shared" si="3"/>
        <v>0.00003096866427</v>
      </c>
    </row>
    <row r="390">
      <c r="A390" s="253" t="s">
        <v>934</v>
      </c>
      <c r="B390" s="254">
        <v>11762.0</v>
      </c>
      <c r="C390" s="255" t="str">
        <f t="shared" si="12"/>
        <v>SINAPI</v>
      </c>
      <c r="D390" s="256" t="s">
        <v>286</v>
      </c>
      <c r="E390" s="257" t="str">
        <f>IFERROR(IF(D390="SINAPI-S",VLOOKUP(B390,'20-B.SINAPI-S'!A:J,2,0),IF(D390="SINAPI-I",VLOOKUP(B390,'20-A.SINAPI-I'!A:G,2,0),IF(D390="COMPOSIÇÕES",VLOOKUP(B390,'11.COMPOSIÇÕES GERAIS'!B:I,2,0),VLOOKUP(B390,'12.COT.MERCADO'!A:I,2,0)))),"Em Elaboração")</f>
        <v>TORNEIRA METALICA CROMADA PARA JARDIM / TANQUE, COM BICO PLASTICO, CANO LONGO, DE PAREDE, PADRAO POPULAR / USO GERAL , 1/2 " OU 3/4 " (REF 1153 / 1130)</v>
      </c>
      <c r="F390" s="258" t="str">
        <f>IFERROR(IF(D390="SINAPI-S",VLOOKUP(B390,'20-B.SINAPI-S'!A:J,3,0),IF(D390="SINAPI-I",VLOOKUP(B390,'20-A.SINAPI-I'!A:G,3,0),IF(D390="COMPOSIÇÕES",VLOOKUP(B390,'11.COMPOSIÇÕES GERAIS'!B:I,3,0),VLOOKUP(B390,'12.COT.MERCADO'!A:I,7,0)))),"Em Elaboração")</f>
        <v>UN</v>
      </c>
      <c r="G390" s="254">
        <v>2.0</v>
      </c>
      <c r="H390" s="259">
        <f>IFERROR(IF(D390="SINAPI-S",VLOOKUP(B390,'20-B.SINAPI-S'!A:J,5,0),IF(D390="SINAPI-I",VLOOKUP(B390,'20-A.SINAPI-I'!A:G,6,0),IF(D390="COMPOSIÇÕES",VLOOKUP(B390,'11.COMPOSIÇÕES GERAIS'!B:I,7,0),0))),"Em Elaboração")</f>
        <v>0</v>
      </c>
      <c r="I390" s="259">
        <f>IFERROR(IF(D390="SINAPI-S",VLOOKUP(B390,'20-B.SINAPI-S'!A:J,6,0),IF(D390="SINAPI-I",VLOOKUP(B390,'20-A.SINAPI-I'!A:G,7,0),IF(D390="COMPOSIÇÕES",VLOOKUP(B390,'11.COMPOSIÇÕES GERAIS'!B:I,8,0),VLOOKUP(B390,'12.COT.MERCADO'!A:I,8,0)))),"Em Elaboração")</f>
        <v>49.23</v>
      </c>
      <c r="J390" s="259">
        <f t="shared" si="13"/>
        <v>0</v>
      </c>
      <c r="K390" s="259">
        <f t="shared" si="14"/>
        <v>57.66480163</v>
      </c>
      <c r="L390" s="259">
        <f t="shared" si="15"/>
        <v>57.66480163</v>
      </c>
      <c r="M390" s="259">
        <f t="shared" si="16"/>
        <v>0</v>
      </c>
      <c r="N390" s="259">
        <f t="shared" si="17"/>
        <v>115.3296033</v>
      </c>
      <c r="O390" s="259">
        <f t="shared" si="18"/>
        <v>115.3296033</v>
      </c>
      <c r="P390" s="586">
        <f t="shared" si="3"/>
        <v>0.0006286958112</v>
      </c>
    </row>
    <row r="391">
      <c r="A391" s="253" t="s">
        <v>935</v>
      </c>
      <c r="B391" s="254">
        <v>36796.0</v>
      </c>
      <c r="C391" s="255" t="str">
        <f t="shared" si="12"/>
        <v>SINAPI</v>
      </c>
      <c r="D391" s="256" t="s">
        <v>286</v>
      </c>
      <c r="E391" s="257" t="str">
        <f>IFERROR(IF(D391="SINAPI-S",VLOOKUP(B391,'20-B.SINAPI-S'!A:J,2,0),IF(D391="SINAPI-I",VLOOKUP(B391,'20-A.SINAPI-I'!A:G,2,0),IF(D391="COMPOSIÇÕES",VLOOKUP(B391,'11.COMPOSIÇÕES GERAIS'!B:I,2,0),VLOOKUP(B391,'12.COT.MERCADO'!A:I,2,0)))),"Em Elaboração")</f>
        <v>TORNEIRA METALICA CROMADA DE MESA, PARA LAVATORIO, TEMPORIZADA PRESSAO FECHAMENTO AUTOMATICO, BICA BAIXA</v>
      </c>
      <c r="F391" s="258" t="str">
        <f>IFERROR(IF(D391="SINAPI-S",VLOOKUP(B391,'20-B.SINAPI-S'!A:J,3,0),IF(D391="SINAPI-I",VLOOKUP(B391,'20-A.SINAPI-I'!A:G,3,0),IF(D391="COMPOSIÇÕES",VLOOKUP(B391,'11.COMPOSIÇÕES GERAIS'!B:I,3,0),VLOOKUP(B391,'12.COT.MERCADO'!A:I,7,0)))),"Em Elaboração")</f>
        <v>UN</v>
      </c>
      <c r="G391" s="254">
        <v>2.0</v>
      </c>
      <c r="H391" s="259">
        <f>IFERROR(IF(D391="SINAPI-S",VLOOKUP(B391,'20-B.SINAPI-S'!A:J,5,0),IF(D391="SINAPI-I",VLOOKUP(B391,'20-A.SINAPI-I'!A:G,6,0),IF(D391="COMPOSIÇÕES",VLOOKUP(B391,'11.COMPOSIÇÕES GERAIS'!B:I,7,0),0))),"Em Elaboração")</f>
        <v>0</v>
      </c>
      <c r="I391" s="259">
        <f>IFERROR(IF(D391="SINAPI-S",VLOOKUP(B391,'20-B.SINAPI-S'!A:J,6,0),IF(D391="SINAPI-I",VLOOKUP(B391,'20-A.SINAPI-I'!A:G,7,0),IF(D391="COMPOSIÇÕES",VLOOKUP(B391,'11.COMPOSIÇÕES GERAIS'!B:I,8,0),VLOOKUP(B391,'12.COT.MERCADO'!A:I,8,0)))),"Em Elaboração")</f>
        <v>123.08</v>
      </c>
      <c r="J391" s="259">
        <f t="shared" si="13"/>
        <v>0</v>
      </c>
      <c r="K391" s="259">
        <f t="shared" si="14"/>
        <v>144.1678607</v>
      </c>
      <c r="L391" s="259">
        <f t="shared" si="15"/>
        <v>144.1678607</v>
      </c>
      <c r="M391" s="259">
        <f t="shared" si="16"/>
        <v>0</v>
      </c>
      <c r="N391" s="259">
        <f t="shared" si="17"/>
        <v>288.3357215</v>
      </c>
      <c r="O391" s="259">
        <f t="shared" si="18"/>
        <v>288.3357215</v>
      </c>
      <c r="P391" s="586">
        <f t="shared" si="3"/>
        <v>0.001571803381</v>
      </c>
    </row>
    <row r="392">
      <c r="A392" s="253" t="s">
        <v>936</v>
      </c>
      <c r="B392" s="254">
        <v>13417.0</v>
      </c>
      <c r="C392" s="255" t="str">
        <f t="shared" si="12"/>
        <v>SINAPI</v>
      </c>
      <c r="D392" s="256" t="s">
        <v>286</v>
      </c>
      <c r="E392" s="257" t="str">
        <f>IFERROR(IF(D392="SINAPI-S",VLOOKUP(B392,'20-B.SINAPI-S'!A:J,2,0),IF(D392="SINAPI-I",VLOOKUP(B392,'20-A.SINAPI-I'!A:G,2,0),IF(D392="COMPOSIÇÕES",VLOOKUP(B392,'11.COMPOSIÇÕES GERAIS'!B:I,2,0),VLOOKUP(B392,'12.COT.MERCADO'!A:I,2,0)))),"Em Elaboração")</f>
        <v>TORNEIRA METALICA CROMADA CANO CURTO, SEM BICO, SEM AREJADOR, DE PAREDE, PARA TANQUE E USO GERAL, 1/2 " OU 3/4 " (REF 1143)</v>
      </c>
      <c r="F392" s="258" t="str">
        <f>IFERROR(IF(D392="SINAPI-S",VLOOKUP(B392,'20-B.SINAPI-S'!A:J,3,0),IF(D392="SINAPI-I",VLOOKUP(B392,'20-A.SINAPI-I'!A:G,3,0),IF(D392="COMPOSIÇÕES",VLOOKUP(B392,'11.COMPOSIÇÕES GERAIS'!B:I,3,0),VLOOKUP(B392,'12.COT.MERCADO'!A:I,7,0)))),"Em Elaboração")</f>
        <v>UN</v>
      </c>
      <c r="G392" s="254">
        <v>2.0</v>
      </c>
      <c r="H392" s="259">
        <f>IFERROR(IF(D392="SINAPI-S",VLOOKUP(B392,'20-B.SINAPI-S'!A:J,5,0),IF(D392="SINAPI-I",VLOOKUP(B392,'20-A.SINAPI-I'!A:G,6,0),IF(D392="COMPOSIÇÕES",VLOOKUP(B392,'11.COMPOSIÇÕES GERAIS'!B:I,7,0),0))),"Em Elaboração")</f>
        <v>0</v>
      </c>
      <c r="I392" s="259">
        <f>IFERROR(IF(D392="SINAPI-S",VLOOKUP(B392,'20-B.SINAPI-S'!A:J,6,0),IF(D392="SINAPI-I",VLOOKUP(B392,'20-A.SINAPI-I'!A:G,7,0),IF(D392="COMPOSIÇÕES",VLOOKUP(B392,'11.COMPOSIÇÕES GERAIS'!B:I,8,0),VLOOKUP(B392,'12.COT.MERCADO'!A:I,8,0)))),"Em Elaboração")</f>
        <v>78.05</v>
      </c>
      <c r="J392" s="259">
        <f t="shared" si="13"/>
        <v>0</v>
      </c>
      <c r="K392" s="259">
        <f t="shared" si="14"/>
        <v>91.42266437</v>
      </c>
      <c r="L392" s="259">
        <f t="shared" si="15"/>
        <v>91.42266437</v>
      </c>
      <c r="M392" s="259">
        <f t="shared" si="16"/>
        <v>0</v>
      </c>
      <c r="N392" s="259">
        <f t="shared" si="17"/>
        <v>182.8453287</v>
      </c>
      <c r="O392" s="259">
        <f t="shared" si="18"/>
        <v>182.8453287</v>
      </c>
      <c r="P392" s="586">
        <f t="shared" si="3"/>
        <v>0.0009967440191</v>
      </c>
    </row>
    <row r="393">
      <c r="A393" s="253" t="s">
        <v>937</v>
      </c>
      <c r="B393" s="254">
        <v>9866.0</v>
      </c>
      <c r="C393" s="255" t="str">
        <f t="shared" si="12"/>
        <v>SINAPI</v>
      </c>
      <c r="D393" s="256" t="s">
        <v>286</v>
      </c>
      <c r="E393" s="257" t="str">
        <f>IFERROR(IF(D393="SINAPI-S",VLOOKUP(B393,'20-B.SINAPI-S'!A:J,2,0),IF(D393="SINAPI-I",VLOOKUP(B393,'20-A.SINAPI-I'!A:G,2,0),IF(D393="COMPOSIÇÕES",VLOOKUP(B393,'11.COMPOSIÇÕES GERAIS'!B:I,2,0),VLOOKUP(B393,'12.COT.MERCADO'!A:I,2,0)))),"Em Elaboração")</f>
        <v>TUBO PVC, ROSCAVEL, 1", AGUA FRIA PREDIAL</v>
      </c>
      <c r="F393" s="258" t="str">
        <f>IFERROR(IF(D393="SINAPI-S",VLOOKUP(B393,'20-B.SINAPI-S'!A:J,3,0),IF(D393="SINAPI-I",VLOOKUP(B393,'20-A.SINAPI-I'!A:G,3,0),IF(D393="COMPOSIÇÕES",VLOOKUP(B393,'11.COMPOSIÇÕES GERAIS'!B:I,3,0),VLOOKUP(B393,'12.COT.MERCADO'!A:I,7,0)))),"Em Elaboração")</f>
        <v>M</v>
      </c>
      <c r="G393" s="254">
        <v>10.0</v>
      </c>
      <c r="H393" s="259">
        <f>IFERROR(IF(D393="SINAPI-S",VLOOKUP(B393,'20-B.SINAPI-S'!A:J,5,0),IF(D393="SINAPI-I",VLOOKUP(B393,'20-A.SINAPI-I'!A:G,6,0),IF(D393="COMPOSIÇÕES",VLOOKUP(B393,'11.COMPOSIÇÕES GERAIS'!B:I,7,0),0))),"Em Elaboração")</f>
        <v>0</v>
      </c>
      <c r="I393" s="259">
        <f>IFERROR(IF(D393="SINAPI-S",VLOOKUP(B393,'20-B.SINAPI-S'!A:J,6,0),IF(D393="SINAPI-I",VLOOKUP(B393,'20-A.SINAPI-I'!A:G,7,0),IF(D393="COMPOSIÇÕES",VLOOKUP(B393,'11.COMPOSIÇÕES GERAIS'!B:I,8,0),VLOOKUP(B393,'12.COT.MERCADO'!A:I,8,0)))),"Em Elaboração")</f>
        <v>22.24</v>
      </c>
      <c r="J393" s="259">
        <f t="shared" si="13"/>
        <v>0</v>
      </c>
      <c r="K393" s="259">
        <f t="shared" si="14"/>
        <v>26.05048117</v>
      </c>
      <c r="L393" s="259">
        <f t="shared" si="15"/>
        <v>26.05048117</v>
      </c>
      <c r="M393" s="259">
        <f t="shared" si="16"/>
        <v>0</v>
      </c>
      <c r="N393" s="259">
        <f t="shared" si="17"/>
        <v>260.5048117</v>
      </c>
      <c r="O393" s="259">
        <f t="shared" si="18"/>
        <v>260.5048117</v>
      </c>
      <c r="P393" s="586">
        <f t="shared" si="3"/>
        <v>0.001420088852</v>
      </c>
    </row>
    <row r="394">
      <c r="A394" s="253" t="s">
        <v>938</v>
      </c>
      <c r="B394" s="254">
        <v>9862.0</v>
      </c>
      <c r="C394" s="255" t="str">
        <f t="shared" si="12"/>
        <v>SINAPI</v>
      </c>
      <c r="D394" s="256" t="s">
        <v>286</v>
      </c>
      <c r="E394" s="257" t="str">
        <f>IFERROR(IF(D394="SINAPI-S",VLOOKUP(B394,'20-B.SINAPI-S'!A:J,2,0),IF(D394="SINAPI-I",VLOOKUP(B394,'20-A.SINAPI-I'!A:G,2,0),IF(D394="COMPOSIÇÕES",VLOOKUP(B394,'11.COMPOSIÇÕES GERAIS'!B:I,2,0),VLOOKUP(B394,'12.COT.MERCADO'!A:I,2,0)))),"Em Elaboração")</f>
        <v>TUBO PVC, ROSCAVEL, 1 1/2",  AGUA FRIA PREDIAL</v>
      </c>
      <c r="F394" s="258" t="str">
        <f>IFERROR(IF(D394="SINAPI-S",VLOOKUP(B394,'20-B.SINAPI-S'!A:J,3,0),IF(D394="SINAPI-I",VLOOKUP(B394,'20-A.SINAPI-I'!A:G,3,0),IF(D394="COMPOSIÇÕES",VLOOKUP(B394,'11.COMPOSIÇÕES GERAIS'!B:I,3,0),VLOOKUP(B394,'12.COT.MERCADO'!A:I,7,0)))),"Em Elaboração")</f>
        <v>M</v>
      </c>
      <c r="G394" s="254">
        <v>10.0</v>
      </c>
      <c r="H394" s="259">
        <f>IFERROR(IF(D394="SINAPI-S",VLOOKUP(B394,'20-B.SINAPI-S'!A:J,5,0),IF(D394="SINAPI-I",VLOOKUP(B394,'20-A.SINAPI-I'!A:G,6,0),IF(D394="COMPOSIÇÕES",VLOOKUP(B394,'11.COMPOSIÇÕES GERAIS'!B:I,7,0),0))),"Em Elaboração")</f>
        <v>0</v>
      </c>
      <c r="I394" s="259">
        <f>IFERROR(IF(D394="SINAPI-S",VLOOKUP(B394,'20-B.SINAPI-S'!A:J,6,0),IF(D394="SINAPI-I",VLOOKUP(B394,'20-A.SINAPI-I'!A:G,7,0),IF(D394="COMPOSIÇÕES",VLOOKUP(B394,'11.COMPOSIÇÕES GERAIS'!B:I,8,0),VLOOKUP(B394,'12.COT.MERCADO'!A:I,8,0)))),"Em Elaboração")</f>
        <v>32.82</v>
      </c>
      <c r="J394" s="259">
        <f t="shared" si="13"/>
        <v>0</v>
      </c>
      <c r="K394" s="259">
        <f t="shared" si="14"/>
        <v>38.44320108</v>
      </c>
      <c r="L394" s="259">
        <f t="shared" si="15"/>
        <v>38.44320108</v>
      </c>
      <c r="M394" s="259">
        <f t="shared" si="16"/>
        <v>0</v>
      </c>
      <c r="N394" s="259">
        <f t="shared" si="17"/>
        <v>384.4320108</v>
      </c>
      <c r="O394" s="259">
        <f t="shared" si="18"/>
        <v>384.4320108</v>
      </c>
      <c r="P394" s="586">
        <f t="shared" si="3"/>
        <v>0.002095652704</v>
      </c>
    </row>
    <row r="395">
      <c r="A395" s="253" t="s">
        <v>939</v>
      </c>
      <c r="B395" s="254">
        <v>9861.0</v>
      </c>
      <c r="C395" s="255" t="str">
        <f t="shared" si="12"/>
        <v>SINAPI</v>
      </c>
      <c r="D395" s="256" t="s">
        <v>286</v>
      </c>
      <c r="E395" s="257" t="str">
        <f>IFERROR(IF(D395="SINAPI-S",VLOOKUP(B395,'20-B.SINAPI-S'!A:J,2,0),IF(D395="SINAPI-I",VLOOKUP(B395,'20-A.SINAPI-I'!A:G,2,0),IF(D395="COMPOSIÇÕES",VLOOKUP(B395,'11.COMPOSIÇÕES GERAIS'!B:I,2,0),VLOOKUP(B395,'12.COT.MERCADO'!A:I,2,0)))),"Em Elaboração")</f>
        <v>TUBO PVC, ROSCAVEL, 1 1/4", AGUA FRIA PREDIAL</v>
      </c>
      <c r="F395" s="258" t="str">
        <f>IFERROR(IF(D395="SINAPI-S",VLOOKUP(B395,'20-B.SINAPI-S'!A:J,3,0),IF(D395="SINAPI-I",VLOOKUP(B395,'20-A.SINAPI-I'!A:G,3,0),IF(D395="COMPOSIÇÕES",VLOOKUP(B395,'11.COMPOSIÇÕES GERAIS'!B:I,3,0),VLOOKUP(B395,'12.COT.MERCADO'!A:I,7,0)))),"Em Elaboração")</f>
        <v>M</v>
      </c>
      <c r="G395" s="254">
        <v>10.0</v>
      </c>
      <c r="H395" s="259">
        <f>IFERROR(IF(D395="SINAPI-S",VLOOKUP(B395,'20-B.SINAPI-S'!A:J,5,0),IF(D395="SINAPI-I",VLOOKUP(B395,'20-A.SINAPI-I'!A:G,6,0),IF(D395="COMPOSIÇÕES",VLOOKUP(B395,'11.COMPOSIÇÕES GERAIS'!B:I,7,0),0))),"Em Elaboração")</f>
        <v>0</v>
      </c>
      <c r="I395" s="259">
        <f>IFERROR(IF(D395="SINAPI-S",VLOOKUP(B395,'20-B.SINAPI-S'!A:J,6,0),IF(D395="SINAPI-I",VLOOKUP(B395,'20-A.SINAPI-I'!A:G,7,0),IF(D395="COMPOSIÇÕES",VLOOKUP(B395,'11.COMPOSIÇÕES GERAIS'!B:I,8,0),VLOOKUP(B395,'12.COT.MERCADO'!A:I,8,0)))),"Em Elaboração")</f>
        <v>25.78</v>
      </c>
      <c r="J395" s="259">
        <f t="shared" si="13"/>
        <v>0</v>
      </c>
      <c r="K395" s="259">
        <f t="shared" si="14"/>
        <v>30.1970056</v>
      </c>
      <c r="L395" s="259">
        <f t="shared" si="15"/>
        <v>30.1970056</v>
      </c>
      <c r="M395" s="259">
        <f t="shared" si="16"/>
        <v>0</v>
      </c>
      <c r="N395" s="259">
        <f t="shared" si="17"/>
        <v>301.970056</v>
      </c>
      <c r="O395" s="259">
        <f t="shared" si="18"/>
        <v>301.970056</v>
      </c>
      <c r="P395" s="586">
        <f t="shared" si="3"/>
        <v>0.001646128175</v>
      </c>
    </row>
    <row r="396">
      <c r="A396" s="253" t="s">
        <v>940</v>
      </c>
      <c r="B396" s="254">
        <v>9860.0</v>
      </c>
      <c r="C396" s="255" t="str">
        <f t="shared" si="12"/>
        <v>SINAPI</v>
      </c>
      <c r="D396" s="256" t="s">
        <v>286</v>
      </c>
      <c r="E396" s="257" t="str">
        <f>IFERROR(IF(D396="SINAPI-S",VLOOKUP(B396,'20-B.SINAPI-S'!A:J,2,0),IF(D396="SINAPI-I",VLOOKUP(B396,'20-A.SINAPI-I'!A:G,2,0),IF(D396="COMPOSIÇÕES",VLOOKUP(B396,'11.COMPOSIÇÕES GERAIS'!B:I,2,0),VLOOKUP(B396,'12.COT.MERCADO'!A:I,2,0)))),"Em Elaboração")</f>
        <v>TUBO PVC, ROSCAVEL,  2", PARA AGUA FRIA PREDIAL</v>
      </c>
      <c r="F396" s="258" t="str">
        <f>IFERROR(IF(D396="SINAPI-S",VLOOKUP(B396,'20-B.SINAPI-S'!A:J,3,0),IF(D396="SINAPI-I",VLOOKUP(B396,'20-A.SINAPI-I'!A:G,3,0),IF(D396="COMPOSIÇÕES",VLOOKUP(B396,'11.COMPOSIÇÕES GERAIS'!B:I,3,0),VLOOKUP(B396,'12.COT.MERCADO'!A:I,7,0)))),"Em Elaboração")</f>
        <v>M</v>
      </c>
      <c r="G396" s="254">
        <v>10.0</v>
      </c>
      <c r="H396" s="259">
        <f>IFERROR(IF(D396="SINAPI-S",VLOOKUP(B396,'20-B.SINAPI-S'!A:J,5,0),IF(D396="SINAPI-I",VLOOKUP(B396,'20-A.SINAPI-I'!A:G,6,0),IF(D396="COMPOSIÇÕES",VLOOKUP(B396,'11.COMPOSIÇÕES GERAIS'!B:I,7,0),0))),"Em Elaboração")</f>
        <v>0</v>
      </c>
      <c r="I396" s="259">
        <f>IFERROR(IF(D396="SINAPI-S",VLOOKUP(B396,'20-B.SINAPI-S'!A:J,6,0),IF(D396="SINAPI-I",VLOOKUP(B396,'20-A.SINAPI-I'!A:G,7,0),IF(D396="COMPOSIÇÕES",VLOOKUP(B396,'11.COMPOSIÇÕES GERAIS'!B:I,8,0),VLOOKUP(B396,'12.COT.MERCADO'!A:I,8,0)))),"Em Elaboração")</f>
        <v>46.97</v>
      </c>
      <c r="J396" s="259">
        <f t="shared" si="13"/>
        <v>0</v>
      </c>
      <c r="K396" s="259">
        <f t="shared" si="14"/>
        <v>55.01758546</v>
      </c>
      <c r="L396" s="259">
        <f t="shared" si="15"/>
        <v>55.01758546</v>
      </c>
      <c r="M396" s="259">
        <f t="shared" si="16"/>
        <v>0</v>
      </c>
      <c r="N396" s="259">
        <f t="shared" si="17"/>
        <v>550.1758546</v>
      </c>
      <c r="O396" s="259">
        <f t="shared" si="18"/>
        <v>550.1758546</v>
      </c>
      <c r="P396" s="586">
        <f t="shared" si="3"/>
        <v>0.002999171466</v>
      </c>
    </row>
    <row r="397">
      <c r="A397" s="253" t="s">
        <v>941</v>
      </c>
      <c r="B397" s="254">
        <v>9863.0</v>
      </c>
      <c r="C397" s="255" t="str">
        <f t="shared" si="12"/>
        <v>SINAPI</v>
      </c>
      <c r="D397" s="256" t="s">
        <v>286</v>
      </c>
      <c r="E397" s="257" t="str">
        <f>IFERROR(IF(D397="SINAPI-S",VLOOKUP(B397,'20-B.SINAPI-S'!A:J,2,0),IF(D397="SINAPI-I",VLOOKUP(B397,'20-A.SINAPI-I'!A:G,2,0),IF(D397="COMPOSIÇÕES",VLOOKUP(B397,'11.COMPOSIÇÕES GERAIS'!B:I,2,0),VLOOKUP(B397,'12.COT.MERCADO'!A:I,2,0)))),"Em Elaboração")</f>
        <v>TUBO PVC, ROSCAVEL,  2 1/2", AGUA FRIA PREDIAL</v>
      </c>
      <c r="F397" s="258" t="str">
        <f>IFERROR(IF(D397="SINAPI-S",VLOOKUP(B397,'20-B.SINAPI-S'!A:J,3,0),IF(D397="SINAPI-I",VLOOKUP(B397,'20-A.SINAPI-I'!A:G,3,0),IF(D397="COMPOSIÇÕES",VLOOKUP(B397,'11.COMPOSIÇÕES GERAIS'!B:I,3,0),VLOOKUP(B397,'12.COT.MERCADO'!A:I,7,0)))),"Em Elaboração")</f>
        <v>M</v>
      </c>
      <c r="G397" s="254">
        <v>10.0</v>
      </c>
      <c r="H397" s="259">
        <f>IFERROR(IF(D397="SINAPI-S",VLOOKUP(B397,'20-B.SINAPI-S'!A:J,5,0),IF(D397="SINAPI-I",VLOOKUP(B397,'20-A.SINAPI-I'!A:G,6,0),IF(D397="COMPOSIÇÕES",VLOOKUP(B397,'11.COMPOSIÇÕES GERAIS'!B:I,7,0),0))),"Em Elaboração")</f>
        <v>0</v>
      </c>
      <c r="I397" s="259">
        <f>IFERROR(IF(D397="SINAPI-S",VLOOKUP(B397,'20-B.SINAPI-S'!A:J,6,0),IF(D397="SINAPI-I",VLOOKUP(B397,'20-A.SINAPI-I'!A:G,7,0),IF(D397="COMPOSIÇÕES",VLOOKUP(B397,'11.COMPOSIÇÕES GERAIS'!B:I,8,0),VLOOKUP(B397,'12.COT.MERCADO'!A:I,8,0)))),"Em Elaboração")</f>
        <v>64.35</v>
      </c>
      <c r="J397" s="259">
        <f t="shared" si="13"/>
        <v>0</v>
      </c>
      <c r="K397" s="259">
        <f t="shared" si="14"/>
        <v>75.37538055</v>
      </c>
      <c r="L397" s="259">
        <f t="shared" si="15"/>
        <v>75.37538055</v>
      </c>
      <c r="M397" s="259">
        <f t="shared" si="16"/>
        <v>0</v>
      </c>
      <c r="N397" s="259">
        <f t="shared" si="17"/>
        <v>753.7538055</v>
      </c>
      <c r="O397" s="259">
        <f t="shared" si="18"/>
        <v>753.7538055</v>
      </c>
      <c r="P397" s="586">
        <f t="shared" si="3"/>
        <v>0.004108935146</v>
      </c>
    </row>
    <row r="398">
      <c r="A398" s="253" t="s">
        <v>942</v>
      </c>
      <c r="B398" s="254">
        <v>9859.0</v>
      </c>
      <c r="C398" s="255" t="str">
        <f t="shared" si="12"/>
        <v>SINAPI</v>
      </c>
      <c r="D398" s="256" t="s">
        <v>286</v>
      </c>
      <c r="E398" s="257" t="str">
        <f>IFERROR(IF(D398="SINAPI-S",VLOOKUP(B398,'20-B.SINAPI-S'!A:J,2,0),IF(D398="SINAPI-I",VLOOKUP(B398,'20-A.SINAPI-I'!A:G,2,0),IF(D398="COMPOSIÇÕES",VLOOKUP(B398,'11.COMPOSIÇÕES GERAIS'!B:I,2,0),VLOOKUP(B398,'12.COT.MERCADO'!A:I,2,0)))),"Em Elaboração")</f>
        <v>TUBO PVC ROSCAVEL, 3/4",  AGUA FRIA PREDIAL</v>
      </c>
      <c r="F398" s="258" t="str">
        <f>IFERROR(IF(D398="SINAPI-S",VLOOKUP(B398,'20-B.SINAPI-S'!A:J,3,0),IF(D398="SINAPI-I",VLOOKUP(B398,'20-A.SINAPI-I'!A:G,3,0),IF(D398="COMPOSIÇÕES",VLOOKUP(B398,'11.COMPOSIÇÕES GERAIS'!B:I,3,0),VLOOKUP(B398,'12.COT.MERCADO'!A:I,7,0)))),"Em Elaboração")</f>
        <v>M</v>
      </c>
      <c r="G398" s="254">
        <v>10.0</v>
      </c>
      <c r="H398" s="259">
        <f>IFERROR(IF(D398="SINAPI-S",VLOOKUP(B398,'20-B.SINAPI-S'!A:J,5,0),IF(D398="SINAPI-I",VLOOKUP(B398,'20-A.SINAPI-I'!A:G,6,0),IF(D398="COMPOSIÇÕES",VLOOKUP(B398,'11.COMPOSIÇÕES GERAIS'!B:I,7,0),0))),"Em Elaboração")</f>
        <v>0</v>
      </c>
      <c r="I398" s="259">
        <f>IFERROR(IF(D398="SINAPI-S",VLOOKUP(B398,'20-B.SINAPI-S'!A:J,6,0),IF(D398="SINAPI-I",VLOOKUP(B398,'20-A.SINAPI-I'!A:G,7,0),IF(D398="COMPOSIÇÕES",VLOOKUP(B398,'11.COMPOSIÇÕES GERAIS'!B:I,8,0),VLOOKUP(B398,'12.COT.MERCADO'!A:I,8,0)))),"Em Elaboração")</f>
        <v>10.65</v>
      </c>
      <c r="J398" s="259">
        <f t="shared" si="13"/>
        <v>0</v>
      </c>
      <c r="K398" s="259">
        <f t="shared" si="14"/>
        <v>12.47471333</v>
      </c>
      <c r="L398" s="259">
        <f t="shared" si="15"/>
        <v>12.47471333</v>
      </c>
      <c r="M398" s="259">
        <f t="shared" si="16"/>
        <v>0</v>
      </c>
      <c r="N398" s="259">
        <f t="shared" si="17"/>
        <v>124.7471333</v>
      </c>
      <c r="O398" s="259">
        <f t="shared" si="18"/>
        <v>124.7471333</v>
      </c>
      <c r="P398" s="586">
        <f t="shared" si="3"/>
        <v>0.0006800335557</v>
      </c>
    </row>
    <row r="399">
      <c r="A399" s="253" t="s">
        <v>943</v>
      </c>
      <c r="B399" s="254">
        <v>9836.0</v>
      </c>
      <c r="C399" s="255" t="str">
        <f t="shared" si="12"/>
        <v>SINAPI</v>
      </c>
      <c r="D399" s="256" t="s">
        <v>286</v>
      </c>
      <c r="E399" s="257" t="str">
        <f>IFERROR(IF(D399="SINAPI-S",VLOOKUP(B399,'20-B.SINAPI-S'!A:J,2,0),IF(D399="SINAPI-I",VLOOKUP(B399,'20-A.SINAPI-I'!A:G,2,0),IF(D399="COMPOSIÇÕES",VLOOKUP(B399,'11.COMPOSIÇÕES GERAIS'!B:I,2,0),VLOOKUP(B399,'12.COT.MERCADO'!A:I,2,0)))),"Em Elaboração")</f>
        <v>TUBO PVC  SERIE NORMAL, DN 100 MM, PARA ESGOTO  PREDIAL (NBR 5688)</v>
      </c>
      <c r="F399" s="258" t="str">
        <f>IFERROR(IF(D399="SINAPI-S",VLOOKUP(B399,'20-B.SINAPI-S'!A:J,3,0),IF(D399="SINAPI-I",VLOOKUP(B399,'20-A.SINAPI-I'!A:G,3,0),IF(D399="COMPOSIÇÕES",VLOOKUP(B399,'11.COMPOSIÇÕES GERAIS'!B:I,3,0),VLOOKUP(B399,'12.COT.MERCADO'!A:I,7,0)))),"Em Elaboração")</f>
        <v>M</v>
      </c>
      <c r="G399" s="254">
        <v>10.0</v>
      </c>
      <c r="H399" s="259">
        <f>IFERROR(IF(D399="SINAPI-S",VLOOKUP(B399,'20-B.SINAPI-S'!A:J,5,0),IF(D399="SINAPI-I",VLOOKUP(B399,'20-A.SINAPI-I'!A:G,6,0),IF(D399="COMPOSIÇÕES",VLOOKUP(B399,'11.COMPOSIÇÕES GERAIS'!B:I,7,0),0))),"Em Elaboração")</f>
        <v>0</v>
      </c>
      <c r="I399" s="259">
        <f>IFERROR(IF(D399="SINAPI-S",VLOOKUP(B399,'20-B.SINAPI-S'!A:J,6,0),IF(D399="SINAPI-I",VLOOKUP(B399,'20-A.SINAPI-I'!A:G,7,0),IF(D399="COMPOSIÇÕES",VLOOKUP(B399,'11.COMPOSIÇÕES GERAIS'!B:I,8,0),VLOOKUP(B399,'12.COT.MERCADO'!A:I,8,0)))),"Em Elaboração")</f>
        <v>17</v>
      </c>
      <c r="J399" s="259">
        <f t="shared" si="13"/>
        <v>0</v>
      </c>
      <c r="K399" s="259">
        <f t="shared" si="14"/>
        <v>19.91268795</v>
      </c>
      <c r="L399" s="259">
        <f t="shared" si="15"/>
        <v>19.91268795</v>
      </c>
      <c r="M399" s="259">
        <f t="shared" si="16"/>
        <v>0</v>
      </c>
      <c r="N399" s="259">
        <f t="shared" si="17"/>
        <v>199.1268795</v>
      </c>
      <c r="O399" s="259">
        <f t="shared" si="18"/>
        <v>199.1268795</v>
      </c>
      <c r="P399" s="586">
        <f t="shared" si="3"/>
        <v>0.001085499572</v>
      </c>
    </row>
    <row r="400">
      <c r="A400" s="253" t="s">
        <v>944</v>
      </c>
      <c r="B400" s="254">
        <v>9835.0</v>
      </c>
      <c r="C400" s="255" t="str">
        <f t="shared" si="12"/>
        <v>SINAPI</v>
      </c>
      <c r="D400" s="256" t="s">
        <v>286</v>
      </c>
      <c r="E400" s="257" t="str">
        <f>IFERROR(IF(D400="SINAPI-S",VLOOKUP(B400,'20-B.SINAPI-S'!A:J,2,0),IF(D400="SINAPI-I",VLOOKUP(B400,'20-A.SINAPI-I'!A:G,2,0),IF(D400="COMPOSIÇÕES",VLOOKUP(B400,'11.COMPOSIÇÕES GERAIS'!B:I,2,0),VLOOKUP(B400,'12.COT.MERCADO'!A:I,2,0)))),"Em Elaboração")</f>
        <v>TUBO PVC  SERIE NORMAL, DN 40 MM, PARA ESGOTO  PREDIAL (NBR 5688)</v>
      </c>
      <c r="F400" s="258" t="str">
        <f>IFERROR(IF(D400="SINAPI-S",VLOOKUP(B400,'20-B.SINAPI-S'!A:J,3,0),IF(D400="SINAPI-I",VLOOKUP(B400,'20-A.SINAPI-I'!A:G,3,0),IF(D400="COMPOSIÇÕES",VLOOKUP(B400,'11.COMPOSIÇÕES GERAIS'!B:I,3,0),VLOOKUP(B400,'12.COT.MERCADO'!A:I,7,0)))),"Em Elaboração")</f>
        <v>M</v>
      </c>
      <c r="G400" s="254">
        <v>10.0</v>
      </c>
      <c r="H400" s="259">
        <f>IFERROR(IF(D400="SINAPI-S",VLOOKUP(B400,'20-B.SINAPI-S'!A:J,5,0),IF(D400="SINAPI-I",VLOOKUP(B400,'20-A.SINAPI-I'!A:G,6,0),IF(D400="COMPOSIÇÕES",VLOOKUP(B400,'11.COMPOSIÇÕES GERAIS'!B:I,7,0),0))),"Em Elaboração")</f>
        <v>0</v>
      </c>
      <c r="I400" s="259">
        <f>IFERROR(IF(D400="SINAPI-S",VLOOKUP(B400,'20-B.SINAPI-S'!A:J,6,0),IF(D400="SINAPI-I",VLOOKUP(B400,'20-A.SINAPI-I'!A:G,7,0),IF(D400="COMPOSIÇÕES",VLOOKUP(B400,'11.COMPOSIÇÕES GERAIS'!B:I,8,0),VLOOKUP(B400,'12.COT.MERCADO'!A:I,8,0)))),"Em Elaboração")</f>
        <v>7.43</v>
      </c>
      <c r="J400" s="259">
        <f t="shared" si="13"/>
        <v>0</v>
      </c>
      <c r="K400" s="259">
        <f t="shared" si="14"/>
        <v>8.703015968</v>
      </c>
      <c r="L400" s="259">
        <f t="shared" si="15"/>
        <v>8.703015968</v>
      </c>
      <c r="M400" s="259">
        <f t="shared" si="16"/>
        <v>0</v>
      </c>
      <c r="N400" s="259">
        <f t="shared" si="17"/>
        <v>87.03015968</v>
      </c>
      <c r="O400" s="259">
        <f t="shared" si="18"/>
        <v>87.03015968</v>
      </c>
      <c r="P400" s="586">
        <f t="shared" si="3"/>
        <v>0.0004744271661</v>
      </c>
    </row>
    <row r="401">
      <c r="A401" s="253" t="s">
        <v>945</v>
      </c>
      <c r="B401" s="254">
        <v>9838.0</v>
      </c>
      <c r="C401" s="255" t="str">
        <f t="shared" si="12"/>
        <v>SINAPI</v>
      </c>
      <c r="D401" s="256" t="s">
        <v>286</v>
      </c>
      <c r="E401" s="257" t="str">
        <f>IFERROR(IF(D401="SINAPI-S",VLOOKUP(B401,'20-B.SINAPI-S'!A:J,2,0),IF(D401="SINAPI-I",VLOOKUP(B401,'20-A.SINAPI-I'!A:G,2,0),IF(D401="COMPOSIÇÕES",VLOOKUP(B401,'11.COMPOSIÇÕES GERAIS'!B:I,2,0),VLOOKUP(B401,'12.COT.MERCADO'!A:I,2,0)))),"Em Elaboração")</f>
        <v>TUBO PVC SERIE NORMAL, DN 50 MM, PARA ESGOTO PREDIAL (NBR 5688)</v>
      </c>
      <c r="F401" s="258" t="str">
        <f>IFERROR(IF(D401="SINAPI-S",VLOOKUP(B401,'20-B.SINAPI-S'!A:J,3,0),IF(D401="SINAPI-I",VLOOKUP(B401,'20-A.SINAPI-I'!A:G,3,0),IF(D401="COMPOSIÇÕES",VLOOKUP(B401,'11.COMPOSIÇÕES GERAIS'!B:I,3,0),VLOOKUP(B401,'12.COT.MERCADO'!A:I,7,0)))),"Em Elaboração")</f>
        <v>M</v>
      </c>
      <c r="G401" s="254">
        <v>10.0</v>
      </c>
      <c r="H401" s="259">
        <f>IFERROR(IF(D401="SINAPI-S",VLOOKUP(B401,'20-B.SINAPI-S'!A:J,5,0),IF(D401="SINAPI-I",VLOOKUP(B401,'20-A.SINAPI-I'!A:G,6,0),IF(D401="COMPOSIÇÕES",VLOOKUP(B401,'11.COMPOSIÇÕES GERAIS'!B:I,7,0),0))),"Em Elaboração")</f>
        <v>0</v>
      </c>
      <c r="I401" s="259">
        <f>IFERROR(IF(D401="SINAPI-S",VLOOKUP(B401,'20-B.SINAPI-S'!A:J,6,0),IF(D401="SINAPI-I",VLOOKUP(B401,'20-A.SINAPI-I'!A:G,7,0),IF(D401="COMPOSIÇÕES",VLOOKUP(B401,'11.COMPOSIÇÕES GERAIS'!B:I,8,0),VLOOKUP(B401,'12.COT.MERCADO'!A:I,8,0)))),"Em Elaboração")</f>
        <v>12.26</v>
      </c>
      <c r="J401" s="259">
        <f t="shared" si="13"/>
        <v>0</v>
      </c>
      <c r="K401" s="259">
        <f t="shared" si="14"/>
        <v>14.36056201</v>
      </c>
      <c r="L401" s="259">
        <f t="shared" si="15"/>
        <v>14.36056201</v>
      </c>
      <c r="M401" s="259">
        <f t="shared" si="16"/>
        <v>0</v>
      </c>
      <c r="N401" s="259">
        <f t="shared" si="17"/>
        <v>143.6056201</v>
      </c>
      <c r="O401" s="259">
        <f t="shared" si="18"/>
        <v>143.6056201</v>
      </c>
      <c r="P401" s="586">
        <f t="shared" si="3"/>
        <v>0.0007828367505</v>
      </c>
    </row>
    <row r="402">
      <c r="A402" s="253" t="s">
        <v>946</v>
      </c>
      <c r="B402" s="254">
        <v>9837.0</v>
      </c>
      <c r="C402" s="255" t="str">
        <f t="shared" si="12"/>
        <v>SINAPI</v>
      </c>
      <c r="D402" s="256" t="s">
        <v>286</v>
      </c>
      <c r="E402" s="257" t="str">
        <f>IFERROR(IF(D402="SINAPI-S",VLOOKUP(B402,'20-B.SINAPI-S'!A:J,2,0),IF(D402="SINAPI-I",VLOOKUP(B402,'20-A.SINAPI-I'!A:G,2,0),IF(D402="COMPOSIÇÕES",VLOOKUP(B402,'11.COMPOSIÇÕES GERAIS'!B:I,2,0),VLOOKUP(B402,'12.COT.MERCADO'!A:I,2,0)))),"Em Elaboração")</f>
        <v>TUBO PVC SERIE NORMAL, DN 75 MM, PARA ESGOTO PREDIAL (NBR 5688)</v>
      </c>
      <c r="F402" s="258" t="str">
        <f>IFERROR(IF(D402="SINAPI-S",VLOOKUP(B402,'20-B.SINAPI-S'!A:J,3,0),IF(D402="SINAPI-I",VLOOKUP(B402,'20-A.SINAPI-I'!A:G,3,0),IF(D402="COMPOSIÇÕES",VLOOKUP(B402,'11.COMPOSIÇÕES GERAIS'!B:I,3,0),VLOOKUP(B402,'12.COT.MERCADO'!A:I,7,0)))),"Em Elaboração")</f>
        <v>M</v>
      </c>
      <c r="G402" s="254">
        <v>10.0</v>
      </c>
      <c r="H402" s="259">
        <f>IFERROR(IF(D402="SINAPI-S",VLOOKUP(B402,'20-B.SINAPI-S'!A:J,5,0),IF(D402="SINAPI-I",VLOOKUP(B402,'20-A.SINAPI-I'!A:G,6,0),IF(D402="COMPOSIÇÕES",VLOOKUP(B402,'11.COMPOSIÇÕES GERAIS'!B:I,7,0),0))),"Em Elaboração")</f>
        <v>0</v>
      </c>
      <c r="I402" s="259">
        <f>IFERROR(IF(D402="SINAPI-S",VLOOKUP(B402,'20-B.SINAPI-S'!A:J,6,0),IF(D402="SINAPI-I",VLOOKUP(B402,'20-A.SINAPI-I'!A:G,7,0),IF(D402="COMPOSIÇÕES",VLOOKUP(B402,'11.COMPOSIÇÕES GERAIS'!B:I,8,0),VLOOKUP(B402,'12.COT.MERCADO'!A:I,8,0)))),"Em Elaboração")</f>
        <v>16.09</v>
      </c>
      <c r="J402" s="259">
        <f t="shared" si="13"/>
        <v>0</v>
      </c>
      <c r="K402" s="259">
        <f t="shared" si="14"/>
        <v>18.84677347</v>
      </c>
      <c r="L402" s="259">
        <f t="shared" si="15"/>
        <v>18.84677347</v>
      </c>
      <c r="M402" s="259">
        <f t="shared" si="16"/>
        <v>0</v>
      </c>
      <c r="N402" s="259">
        <f t="shared" si="17"/>
        <v>188.4677347</v>
      </c>
      <c r="O402" s="259">
        <f t="shared" si="18"/>
        <v>188.4677347</v>
      </c>
      <c r="P402" s="586">
        <f t="shared" si="3"/>
        <v>0.001027393419</v>
      </c>
    </row>
    <row r="403">
      <c r="A403" s="253" t="s">
        <v>947</v>
      </c>
      <c r="B403" s="254">
        <v>9868.0</v>
      </c>
      <c r="C403" s="255" t="str">
        <f t="shared" si="12"/>
        <v>SINAPI</v>
      </c>
      <c r="D403" s="256" t="s">
        <v>286</v>
      </c>
      <c r="E403" s="257" t="str">
        <f>IFERROR(IF(D403="SINAPI-S",VLOOKUP(B403,'20-B.SINAPI-S'!A:J,2,0),IF(D403="SINAPI-I",VLOOKUP(B403,'20-A.SINAPI-I'!A:G,2,0),IF(D403="COMPOSIÇÕES",VLOOKUP(B403,'11.COMPOSIÇÕES GERAIS'!B:I,2,0),VLOOKUP(B403,'12.COT.MERCADO'!A:I,2,0)))),"Em Elaboração")</f>
        <v>TUBO PVC, SOLDAVEL, DE 25 MM, AGUA FRIA (NBR-5648)</v>
      </c>
      <c r="F403" s="258" t="str">
        <f>IFERROR(IF(D403="SINAPI-S",VLOOKUP(B403,'20-B.SINAPI-S'!A:J,3,0),IF(D403="SINAPI-I",VLOOKUP(B403,'20-A.SINAPI-I'!A:G,3,0),IF(D403="COMPOSIÇÕES",VLOOKUP(B403,'11.COMPOSIÇÕES GERAIS'!B:I,3,0),VLOOKUP(B403,'12.COT.MERCADO'!A:I,7,0)))),"Em Elaboração")</f>
        <v>M</v>
      </c>
      <c r="G403" s="254">
        <v>10.0</v>
      </c>
      <c r="H403" s="259">
        <f>IFERROR(IF(D403="SINAPI-S",VLOOKUP(B403,'20-B.SINAPI-S'!A:J,5,0),IF(D403="SINAPI-I",VLOOKUP(B403,'20-A.SINAPI-I'!A:G,6,0),IF(D403="COMPOSIÇÕES",VLOOKUP(B403,'11.COMPOSIÇÕES GERAIS'!B:I,7,0),0))),"Em Elaboração")</f>
        <v>0</v>
      </c>
      <c r="I403" s="259">
        <f>IFERROR(IF(D403="SINAPI-S",VLOOKUP(B403,'20-B.SINAPI-S'!A:J,6,0),IF(D403="SINAPI-I",VLOOKUP(B403,'20-A.SINAPI-I'!A:G,7,0),IF(D403="COMPOSIÇÕES",VLOOKUP(B403,'11.COMPOSIÇÕES GERAIS'!B:I,8,0),VLOOKUP(B403,'12.COT.MERCADO'!A:I,8,0)))),"Em Elaboração")</f>
        <v>4.35</v>
      </c>
      <c r="J403" s="259">
        <f t="shared" si="13"/>
        <v>0</v>
      </c>
      <c r="K403" s="259">
        <f t="shared" si="14"/>
        <v>5.095305445</v>
      </c>
      <c r="L403" s="259">
        <f t="shared" si="15"/>
        <v>5.095305445</v>
      </c>
      <c r="M403" s="259">
        <f t="shared" si="16"/>
        <v>0</v>
      </c>
      <c r="N403" s="259">
        <f t="shared" si="17"/>
        <v>50.95305445</v>
      </c>
      <c r="O403" s="259">
        <f t="shared" si="18"/>
        <v>50.95305445</v>
      </c>
      <c r="P403" s="586">
        <f t="shared" si="3"/>
        <v>0.0002777601847</v>
      </c>
    </row>
    <row r="404">
      <c r="A404" s="253" t="s">
        <v>948</v>
      </c>
      <c r="B404" s="254">
        <v>9869.0</v>
      </c>
      <c r="C404" s="255" t="str">
        <f t="shared" si="12"/>
        <v>SINAPI</v>
      </c>
      <c r="D404" s="256" t="s">
        <v>286</v>
      </c>
      <c r="E404" s="257" t="str">
        <f>IFERROR(IF(D404="SINAPI-S",VLOOKUP(B404,'20-B.SINAPI-S'!A:J,2,0),IF(D404="SINAPI-I",VLOOKUP(B404,'20-A.SINAPI-I'!A:G,2,0),IF(D404="COMPOSIÇÕES",VLOOKUP(B404,'11.COMPOSIÇÕES GERAIS'!B:I,2,0),VLOOKUP(B404,'12.COT.MERCADO'!A:I,2,0)))),"Em Elaboração")</f>
        <v>TUBO PVC, SOLDAVEL, DE 32 MM, AGUA FRIA (NBR-5648)</v>
      </c>
      <c r="F404" s="258" t="str">
        <f>IFERROR(IF(D404="SINAPI-S",VLOOKUP(B404,'20-B.SINAPI-S'!A:J,3,0),IF(D404="SINAPI-I",VLOOKUP(B404,'20-A.SINAPI-I'!A:G,3,0),IF(D404="COMPOSIÇÕES",VLOOKUP(B404,'11.COMPOSIÇÕES GERAIS'!B:I,3,0),VLOOKUP(B404,'12.COT.MERCADO'!A:I,7,0)))),"Em Elaboração")</f>
        <v>M</v>
      </c>
      <c r="G404" s="254">
        <v>10.0</v>
      </c>
      <c r="H404" s="259">
        <f>IFERROR(IF(D404="SINAPI-S",VLOOKUP(B404,'20-B.SINAPI-S'!A:J,5,0),IF(D404="SINAPI-I",VLOOKUP(B404,'20-A.SINAPI-I'!A:G,6,0),IF(D404="COMPOSIÇÕES",VLOOKUP(B404,'11.COMPOSIÇÕES GERAIS'!B:I,7,0),0))),"Em Elaboração")</f>
        <v>0</v>
      </c>
      <c r="I404" s="259">
        <f>IFERROR(IF(D404="SINAPI-S",VLOOKUP(B404,'20-B.SINAPI-S'!A:J,6,0),IF(D404="SINAPI-I",VLOOKUP(B404,'20-A.SINAPI-I'!A:G,7,0),IF(D404="COMPOSIÇÕES",VLOOKUP(B404,'11.COMPOSIÇÕES GERAIS'!B:I,8,0),VLOOKUP(B404,'12.COT.MERCADO'!A:I,8,0)))),"Em Elaboração")</f>
        <v>9.39</v>
      </c>
      <c r="J404" s="259">
        <f t="shared" si="13"/>
        <v>0</v>
      </c>
      <c r="K404" s="259">
        <f t="shared" si="14"/>
        <v>10.99883175</v>
      </c>
      <c r="L404" s="259">
        <f t="shared" si="15"/>
        <v>10.99883175</v>
      </c>
      <c r="M404" s="259">
        <f t="shared" si="16"/>
        <v>0</v>
      </c>
      <c r="N404" s="259">
        <f t="shared" si="17"/>
        <v>109.9883175</v>
      </c>
      <c r="O404" s="259">
        <f t="shared" si="18"/>
        <v>109.9883175</v>
      </c>
      <c r="P404" s="586">
        <f t="shared" si="3"/>
        <v>0.0005995788815</v>
      </c>
    </row>
    <row r="405">
      <c r="A405" s="253" t="s">
        <v>949</v>
      </c>
      <c r="B405" s="254">
        <v>9874.0</v>
      </c>
      <c r="C405" s="255" t="str">
        <f t="shared" si="12"/>
        <v>SINAPI</v>
      </c>
      <c r="D405" s="256" t="s">
        <v>286</v>
      </c>
      <c r="E405" s="257" t="str">
        <f>IFERROR(IF(D405="SINAPI-S",VLOOKUP(B405,'20-B.SINAPI-S'!A:J,2,0),IF(D405="SINAPI-I",VLOOKUP(B405,'20-A.SINAPI-I'!A:G,2,0),IF(D405="COMPOSIÇÕES",VLOOKUP(B405,'11.COMPOSIÇÕES GERAIS'!B:I,2,0),VLOOKUP(B405,'12.COT.MERCADO'!A:I,2,0)))),"Em Elaboração")</f>
        <v>TUBO PVC, SOLDAVEL, DE 40 MM, AGUA FRIA (NBR-5648)</v>
      </c>
      <c r="F405" s="258" t="str">
        <f>IFERROR(IF(D405="SINAPI-S",VLOOKUP(B405,'20-B.SINAPI-S'!A:J,3,0),IF(D405="SINAPI-I",VLOOKUP(B405,'20-A.SINAPI-I'!A:G,3,0),IF(D405="COMPOSIÇÕES",VLOOKUP(B405,'11.COMPOSIÇÕES GERAIS'!B:I,3,0),VLOOKUP(B405,'12.COT.MERCADO'!A:I,7,0)))),"Em Elaboração")</f>
        <v>M</v>
      </c>
      <c r="G405" s="254">
        <v>10.0</v>
      </c>
      <c r="H405" s="259">
        <f>IFERROR(IF(D405="SINAPI-S",VLOOKUP(B405,'20-B.SINAPI-S'!A:J,5,0),IF(D405="SINAPI-I",VLOOKUP(B405,'20-A.SINAPI-I'!A:G,6,0),IF(D405="COMPOSIÇÕES",VLOOKUP(B405,'11.COMPOSIÇÕES GERAIS'!B:I,7,0),0))),"Em Elaboração")</f>
        <v>0</v>
      </c>
      <c r="I405" s="259">
        <f>IFERROR(IF(D405="SINAPI-S",VLOOKUP(B405,'20-B.SINAPI-S'!A:J,6,0),IF(D405="SINAPI-I",VLOOKUP(B405,'20-A.SINAPI-I'!A:G,7,0),IF(D405="COMPOSIÇÕES",VLOOKUP(B405,'11.COMPOSIÇÕES GERAIS'!B:I,8,0),VLOOKUP(B405,'12.COT.MERCADO'!A:I,8,0)))),"Em Elaboração")</f>
        <v>14.74</v>
      </c>
      <c r="J405" s="259">
        <f t="shared" si="13"/>
        <v>0</v>
      </c>
      <c r="K405" s="259">
        <f t="shared" si="14"/>
        <v>17.26547178</v>
      </c>
      <c r="L405" s="259">
        <f t="shared" si="15"/>
        <v>17.26547178</v>
      </c>
      <c r="M405" s="259">
        <f t="shared" si="16"/>
        <v>0</v>
      </c>
      <c r="N405" s="259">
        <f t="shared" si="17"/>
        <v>172.6547178</v>
      </c>
      <c r="O405" s="259">
        <f t="shared" si="18"/>
        <v>172.6547178</v>
      </c>
      <c r="P405" s="586">
        <f t="shared" si="3"/>
        <v>0.0009411919822</v>
      </c>
    </row>
    <row r="406">
      <c r="A406" s="253" t="s">
        <v>950</v>
      </c>
      <c r="B406" s="254">
        <v>9875.0</v>
      </c>
      <c r="C406" s="255" t="str">
        <f t="shared" si="12"/>
        <v>SINAPI</v>
      </c>
      <c r="D406" s="256" t="s">
        <v>286</v>
      </c>
      <c r="E406" s="257" t="str">
        <f>IFERROR(IF(D406="SINAPI-S",VLOOKUP(B406,'20-B.SINAPI-S'!A:J,2,0),IF(D406="SINAPI-I",VLOOKUP(B406,'20-A.SINAPI-I'!A:G,2,0),IF(D406="COMPOSIÇÕES",VLOOKUP(B406,'11.COMPOSIÇÕES GERAIS'!B:I,2,0),VLOOKUP(B406,'12.COT.MERCADO'!A:I,2,0)))),"Em Elaboração")</f>
        <v>TUBO PVC, SOLDAVEL, DE 50 MM, AGUA FRIA (NBR-5648)</v>
      </c>
      <c r="F406" s="258" t="str">
        <f>IFERROR(IF(D406="SINAPI-S",VLOOKUP(B406,'20-B.SINAPI-S'!A:J,3,0),IF(D406="SINAPI-I",VLOOKUP(B406,'20-A.SINAPI-I'!A:G,3,0),IF(D406="COMPOSIÇÕES",VLOOKUP(B406,'11.COMPOSIÇÕES GERAIS'!B:I,3,0),VLOOKUP(B406,'12.COT.MERCADO'!A:I,7,0)))),"Em Elaboração")</f>
        <v>M</v>
      </c>
      <c r="G406" s="254">
        <v>10.0</v>
      </c>
      <c r="H406" s="259">
        <f>IFERROR(IF(D406="SINAPI-S",VLOOKUP(B406,'20-B.SINAPI-S'!A:J,5,0),IF(D406="SINAPI-I",VLOOKUP(B406,'20-A.SINAPI-I'!A:G,6,0),IF(D406="COMPOSIÇÕES",VLOOKUP(B406,'11.COMPOSIÇÕES GERAIS'!B:I,7,0),0))),"Em Elaboração")</f>
        <v>0</v>
      </c>
      <c r="I406" s="259">
        <f>IFERROR(IF(D406="SINAPI-S",VLOOKUP(B406,'20-B.SINAPI-S'!A:J,6,0),IF(D406="SINAPI-I",VLOOKUP(B406,'20-A.SINAPI-I'!A:G,7,0),IF(D406="COMPOSIÇÕES",VLOOKUP(B406,'11.COMPOSIÇÕES GERAIS'!B:I,8,0),VLOOKUP(B406,'12.COT.MERCADO'!A:I,8,0)))),"Em Elaboração")</f>
        <v>16.17</v>
      </c>
      <c r="J406" s="259">
        <f t="shared" si="13"/>
        <v>0</v>
      </c>
      <c r="K406" s="259">
        <f t="shared" si="14"/>
        <v>18.94048024</v>
      </c>
      <c r="L406" s="259">
        <f t="shared" si="15"/>
        <v>18.94048024</v>
      </c>
      <c r="M406" s="259">
        <f t="shared" si="16"/>
        <v>0</v>
      </c>
      <c r="N406" s="259">
        <f t="shared" si="17"/>
        <v>189.4048024</v>
      </c>
      <c r="O406" s="259">
        <f t="shared" si="18"/>
        <v>189.4048024</v>
      </c>
      <c r="P406" s="586">
        <f t="shared" si="3"/>
        <v>0.001032501652</v>
      </c>
    </row>
    <row r="407">
      <c r="A407" s="253" t="s">
        <v>951</v>
      </c>
      <c r="B407" s="254">
        <v>9873.0</v>
      </c>
      <c r="C407" s="255" t="str">
        <f t="shared" si="12"/>
        <v>SINAPI</v>
      </c>
      <c r="D407" s="256" t="s">
        <v>286</v>
      </c>
      <c r="E407" s="257" t="str">
        <f>IFERROR(IF(D407="SINAPI-S",VLOOKUP(B407,'20-B.SINAPI-S'!A:J,2,0),IF(D407="SINAPI-I",VLOOKUP(B407,'20-A.SINAPI-I'!A:G,2,0),IF(D407="COMPOSIÇÕES",VLOOKUP(B407,'11.COMPOSIÇÕES GERAIS'!B:I,2,0),VLOOKUP(B407,'12.COT.MERCADO'!A:I,2,0)))),"Em Elaboração")</f>
        <v>TUBO PVC, SOLDAVEL, DE 60 MM, AGUA FRIA (NBR-5648)</v>
      </c>
      <c r="F407" s="258" t="str">
        <f>IFERROR(IF(D407="SINAPI-S",VLOOKUP(B407,'20-B.SINAPI-S'!A:J,3,0),IF(D407="SINAPI-I",VLOOKUP(B407,'20-A.SINAPI-I'!A:G,3,0),IF(D407="COMPOSIÇÕES",VLOOKUP(B407,'11.COMPOSIÇÕES GERAIS'!B:I,3,0),VLOOKUP(B407,'12.COT.MERCADO'!A:I,7,0)))),"Em Elaboração")</f>
        <v>M</v>
      </c>
      <c r="G407" s="254">
        <v>10.0</v>
      </c>
      <c r="H407" s="259">
        <f>IFERROR(IF(D407="SINAPI-S",VLOOKUP(B407,'20-B.SINAPI-S'!A:J,5,0),IF(D407="SINAPI-I",VLOOKUP(B407,'20-A.SINAPI-I'!A:G,6,0),IF(D407="COMPOSIÇÕES",VLOOKUP(B407,'11.COMPOSIÇÕES GERAIS'!B:I,7,0),0))),"Em Elaboração")</f>
        <v>0</v>
      </c>
      <c r="I407" s="259">
        <f>IFERROR(IF(D407="SINAPI-S",VLOOKUP(B407,'20-B.SINAPI-S'!A:J,6,0),IF(D407="SINAPI-I",VLOOKUP(B407,'20-A.SINAPI-I'!A:G,7,0),IF(D407="COMPOSIÇÕES",VLOOKUP(B407,'11.COMPOSIÇÕES GERAIS'!B:I,8,0),VLOOKUP(B407,'12.COT.MERCADO'!A:I,8,0)))),"Em Elaboração")</f>
        <v>26.6</v>
      </c>
      <c r="J407" s="259">
        <f t="shared" si="13"/>
        <v>0</v>
      </c>
      <c r="K407" s="259">
        <f t="shared" si="14"/>
        <v>31.15749996</v>
      </c>
      <c r="L407" s="259">
        <f t="shared" si="15"/>
        <v>31.15749996</v>
      </c>
      <c r="M407" s="259">
        <f t="shared" si="16"/>
        <v>0</v>
      </c>
      <c r="N407" s="259">
        <f t="shared" si="17"/>
        <v>311.5749996</v>
      </c>
      <c r="O407" s="259">
        <f t="shared" si="18"/>
        <v>311.5749996</v>
      </c>
      <c r="P407" s="586">
        <f t="shared" si="3"/>
        <v>0.001698487566</v>
      </c>
    </row>
    <row r="408">
      <c r="A408" s="253" t="s">
        <v>952</v>
      </c>
      <c r="B408" s="254">
        <v>9871.0</v>
      </c>
      <c r="C408" s="255" t="str">
        <f t="shared" si="12"/>
        <v>SINAPI</v>
      </c>
      <c r="D408" s="256" t="s">
        <v>286</v>
      </c>
      <c r="E408" s="257" t="str">
        <f>IFERROR(IF(D408="SINAPI-S",VLOOKUP(B408,'20-B.SINAPI-S'!A:J,2,0),IF(D408="SINAPI-I",VLOOKUP(B408,'20-A.SINAPI-I'!A:G,2,0),IF(D408="COMPOSIÇÕES",VLOOKUP(B408,'11.COMPOSIÇÕES GERAIS'!B:I,2,0),VLOOKUP(B408,'12.COT.MERCADO'!A:I,2,0)))),"Em Elaboração")</f>
        <v>TUBO PVC, SOLDAVEL, DE 75 MM, AGUA FRIA (NBR-5648)</v>
      </c>
      <c r="F408" s="258" t="str">
        <f>IFERROR(IF(D408="SINAPI-S",VLOOKUP(B408,'20-B.SINAPI-S'!A:J,3,0),IF(D408="SINAPI-I",VLOOKUP(B408,'20-A.SINAPI-I'!A:G,3,0),IF(D408="COMPOSIÇÕES",VLOOKUP(B408,'11.COMPOSIÇÕES GERAIS'!B:I,3,0),VLOOKUP(B408,'12.COT.MERCADO'!A:I,7,0)))),"Em Elaboração")</f>
        <v>M</v>
      </c>
      <c r="G408" s="254">
        <v>10.0</v>
      </c>
      <c r="H408" s="259">
        <f>IFERROR(IF(D408="SINAPI-S",VLOOKUP(B408,'20-B.SINAPI-S'!A:J,5,0),IF(D408="SINAPI-I",VLOOKUP(B408,'20-A.SINAPI-I'!A:G,6,0),IF(D408="COMPOSIÇÕES",VLOOKUP(B408,'11.COMPOSIÇÕES GERAIS'!B:I,7,0),0))),"Em Elaboração")</f>
        <v>0</v>
      </c>
      <c r="I408" s="259">
        <f>IFERROR(IF(D408="SINAPI-S",VLOOKUP(B408,'20-B.SINAPI-S'!A:J,6,0),IF(D408="SINAPI-I",VLOOKUP(B408,'20-A.SINAPI-I'!A:G,7,0),IF(D408="COMPOSIÇÕES",VLOOKUP(B408,'11.COMPOSIÇÕES GERAIS'!B:I,8,0),VLOOKUP(B408,'12.COT.MERCADO'!A:I,8,0)))),"Em Elaboração")</f>
        <v>44.08</v>
      </c>
      <c r="J408" s="259">
        <f t="shared" si="13"/>
        <v>0</v>
      </c>
      <c r="K408" s="259">
        <f t="shared" si="14"/>
        <v>51.63242851</v>
      </c>
      <c r="L408" s="259">
        <f t="shared" si="15"/>
        <v>51.63242851</v>
      </c>
      <c r="M408" s="259">
        <f t="shared" si="16"/>
        <v>0</v>
      </c>
      <c r="N408" s="259">
        <f t="shared" si="17"/>
        <v>516.3242851</v>
      </c>
      <c r="O408" s="259">
        <f t="shared" si="18"/>
        <v>516.3242851</v>
      </c>
      <c r="P408" s="586">
        <f t="shared" si="3"/>
        <v>0.002814636538</v>
      </c>
    </row>
    <row r="409">
      <c r="A409" s="253" t="s">
        <v>953</v>
      </c>
      <c r="B409" s="254">
        <v>9872.0</v>
      </c>
      <c r="C409" s="255" t="str">
        <f t="shared" si="12"/>
        <v>SINAPI</v>
      </c>
      <c r="D409" s="256" t="s">
        <v>286</v>
      </c>
      <c r="E409" s="257" t="str">
        <f>IFERROR(IF(D409="SINAPI-S",VLOOKUP(B409,'20-B.SINAPI-S'!A:J,2,0),IF(D409="SINAPI-I",VLOOKUP(B409,'20-A.SINAPI-I'!A:G,2,0),IF(D409="COMPOSIÇÕES",VLOOKUP(B409,'11.COMPOSIÇÕES GERAIS'!B:I,2,0),VLOOKUP(B409,'12.COT.MERCADO'!A:I,2,0)))),"Em Elaboração")</f>
        <v>TUBO PVC, SOLDAVEL, DE 85 MM, AGUA FRIA (NBR-5648)</v>
      </c>
      <c r="F409" s="258" t="str">
        <f>IFERROR(IF(D409="SINAPI-S",VLOOKUP(B409,'20-B.SINAPI-S'!A:J,3,0),IF(D409="SINAPI-I",VLOOKUP(B409,'20-A.SINAPI-I'!A:G,3,0),IF(D409="COMPOSIÇÕES",VLOOKUP(B409,'11.COMPOSIÇÕES GERAIS'!B:I,3,0),VLOOKUP(B409,'12.COT.MERCADO'!A:I,7,0)))),"Em Elaboração")</f>
        <v>M</v>
      </c>
      <c r="G409" s="254">
        <v>10.0</v>
      </c>
      <c r="H409" s="259">
        <f>IFERROR(IF(D409="SINAPI-S",VLOOKUP(B409,'20-B.SINAPI-S'!A:J,5,0),IF(D409="SINAPI-I",VLOOKUP(B409,'20-A.SINAPI-I'!A:G,6,0),IF(D409="COMPOSIÇÕES",VLOOKUP(B409,'11.COMPOSIÇÕES GERAIS'!B:I,7,0),0))),"Em Elaboração")</f>
        <v>0</v>
      </c>
      <c r="I409" s="259">
        <f>IFERROR(IF(D409="SINAPI-S",VLOOKUP(B409,'20-B.SINAPI-S'!A:J,6,0),IF(D409="SINAPI-I",VLOOKUP(B409,'20-A.SINAPI-I'!A:G,7,0),IF(D409="COMPOSIÇÕES",VLOOKUP(B409,'11.COMPOSIÇÕES GERAIS'!B:I,8,0),VLOOKUP(B409,'12.COT.MERCADO'!A:I,8,0)))),"Em Elaboração")</f>
        <v>61.32</v>
      </c>
      <c r="J409" s="259">
        <f t="shared" si="13"/>
        <v>0</v>
      </c>
      <c r="K409" s="259">
        <f t="shared" si="14"/>
        <v>71.82623676</v>
      </c>
      <c r="L409" s="259">
        <f t="shared" si="15"/>
        <v>71.82623676</v>
      </c>
      <c r="M409" s="259">
        <f t="shared" si="16"/>
        <v>0</v>
      </c>
      <c r="N409" s="259">
        <f t="shared" si="17"/>
        <v>718.2623676</v>
      </c>
      <c r="O409" s="259">
        <f t="shared" si="18"/>
        <v>718.2623676</v>
      </c>
      <c r="P409" s="586">
        <f t="shared" si="3"/>
        <v>0.003915460811</v>
      </c>
    </row>
    <row r="410">
      <c r="A410" s="253" t="s">
        <v>954</v>
      </c>
      <c r="B410" s="254">
        <v>13127.0</v>
      </c>
      <c r="C410" s="255" t="str">
        <f t="shared" si="12"/>
        <v>SINAPI</v>
      </c>
      <c r="D410" s="256" t="s">
        <v>286</v>
      </c>
      <c r="E410" s="257" t="str">
        <f>IFERROR(IF(D410="SINAPI-S",VLOOKUP(B410,'20-B.SINAPI-S'!A:J,2,0),IF(D410="SINAPI-I",VLOOKUP(B410,'20-A.SINAPI-I'!A:G,2,0),IF(D410="COMPOSIÇÕES",VLOOKUP(B410,'11.COMPOSIÇÕES GERAIS'!B:I,2,0),VLOOKUP(B410,'12.COT.MERCADO'!A:I,2,0)))),"Em Elaboração")</f>
        <v>TUBO ACO CARBONO SEM COSTURA 1/2", E= *2,77 MM, SCHEDULE 40, *1,27 KG/M</v>
      </c>
      <c r="F410" s="258" t="str">
        <f>IFERROR(IF(D410="SINAPI-S",VLOOKUP(B410,'20-B.SINAPI-S'!A:J,3,0),IF(D410="SINAPI-I",VLOOKUP(B410,'20-A.SINAPI-I'!A:G,3,0),IF(D410="COMPOSIÇÕES",VLOOKUP(B410,'11.COMPOSIÇÕES GERAIS'!B:I,3,0),VLOOKUP(B410,'12.COT.MERCADO'!A:I,7,0)))),"Em Elaboração")</f>
        <v>M</v>
      </c>
      <c r="G410" s="254">
        <v>2.0</v>
      </c>
      <c r="H410" s="259">
        <f>IFERROR(IF(D410="SINAPI-S",VLOOKUP(B410,'20-B.SINAPI-S'!A:J,5,0),IF(D410="SINAPI-I",VLOOKUP(B410,'20-A.SINAPI-I'!A:G,6,0),IF(D410="COMPOSIÇÕES",VLOOKUP(B410,'11.COMPOSIÇÕES GERAIS'!B:I,7,0),0))),"Em Elaboração")</f>
        <v>0</v>
      </c>
      <c r="I410" s="259">
        <f>IFERROR(IF(D410="SINAPI-S",VLOOKUP(B410,'20-B.SINAPI-S'!A:J,6,0),IF(D410="SINAPI-I",VLOOKUP(B410,'20-A.SINAPI-I'!A:G,7,0),IF(D410="COMPOSIÇÕES",VLOOKUP(B410,'11.COMPOSIÇÕES GERAIS'!B:I,8,0),VLOOKUP(B410,'12.COT.MERCADO'!A:I,8,0)))),"Em Elaboração")</f>
        <v>43.5</v>
      </c>
      <c r="J410" s="259">
        <f t="shared" si="13"/>
        <v>0</v>
      </c>
      <c r="K410" s="259">
        <f t="shared" si="14"/>
        <v>50.95305445</v>
      </c>
      <c r="L410" s="259">
        <f t="shared" si="15"/>
        <v>50.95305445</v>
      </c>
      <c r="M410" s="259">
        <f t="shared" si="16"/>
        <v>0</v>
      </c>
      <c r="N410" s="259">
        <f t="shared" si="17"/>
        <v>101.9061089</v>
      </c>
      <c r="O410" s="259">
        <f t="shared" si="18"/>
        <v>101.9061089</v>
      </c>
      <c r="P410" s="586">
        <f t="shared" si="3"/>
        <v>0.0005555203694</v>
      </c>
    </row>
    <row r="411">
      <c r="A411" s="253" t="s">
        <v>955</v>
      </c>
      <c r="B411" s="254">
        <v>12425.0</v>
      </c>
      <c r="C411" s="255" t="str">
        <f t="shared" si="12"/>
        <v>SINAPI</v>
      </c>
      <c r="D411" s="256" t="s">
        <v>286</v>
      </c>
      <c r="E411" s="257" t="str">
        <f>IFERROR(IF(D411="SINAPI-S",VLOOKUP(B411,'20-B.SINAPI-S'!A:J,2,0),IF(D411="SINAPI-I",VLOOKUP(B411,'20-A.SINAPI-I'!A:G,2,0),IF(D411="COMPOSIÇÕES",VLOOKUP(B411,'11.COMPOSIÇÕES GERAIS'!B:I,2,0),VLOOKUP(B411,'12.COT.MERCADO'!A:I,2,0)))),"Em Elaboração")</f>
        <v>UNIAO COM ASSENTO CONICO DE BRONZE, DIAMETRO 1"</v>
      </c>
      <c r="F411" s="258" t="str">
        <f>IFERROR(IF(D411="SINAPI-S",VLOOKUP(B411,'20-B.SINAPI-S'!A:J,3,0),IF(D411="SINAPI-I",VLOOKUP(B411,'20-A.SINAPI-I'!A:G,3,0),IF(D411="COMPOSIÇÕES",VLOOKUP(B411,'11.COMPOSIÇÕES GERAIS'!B:I,3,0),VLOOKUP(B411,'12.COT.MERCADO'!A:I,7,0)))),"Em Elaboração")</f>
        <v>UN</v>
      </c>
      <c r="G411" s="254">
        <v>1.0</v>
      </c>
      <c r="H411" s="259">
        <f>IFERROR(IF(D411="SINAPI-S",VLOOKUP(B411,'20-B.SINAPI-S'!A:J,5,0),IF(D411="SINAPI-I",VLOOKUP(B411,'20-A.SINAPI-I'!A:G,6,0),IF(D411="COMPOSIÇÕES",VLOOKUP(B411,'11.COMPOSIÇÕES GERAIS'!B:I,7,0),0))),"Em Elaboração")</f>
        <v>0</v>
      </c>
      <c r="I411" s="259">
        <f>IFERROR(IF(D411="SINAPI-S",VLOOKUP(B411,'20-B.SINAPI-S'!A:J,6,0),IF(D411="SINAPI-I",VLOOKUP(B411,'20-A.SINAPI-I'!A:G,7,0),IF(D411="COMPOSIÇÕES",VLOOKUP(B411,'11.COMPOSIÇÕES GERAIS'!B:I,8,0),VLOOKUP(B411,'12.COT.MERCADO'!A:I,8,0)))),"Em Elaboração")</f>
        <v>68.03</v>
      </c>
      <c r="J411" s="259">
        <f t="shared" si="13"/>
        <v>0</v>
      </c>
      <c r="K411" s="259">
        <f t="shared" si="14"/>
        <v>79.68589183</v>
      </c>
      <c r="L411" s="259">
        <f t="shared" si="15"/>
        <v>79.68589183</v>
      </c>
      <c r="M411" s="259">
        <f t="shared" si="16"/>
        <v>0</v>
      </c>
      <c r="N411" s="259">
        <f t="shared" si="17"/>
        <v>79.68589183</v>
      </c>
      <c r="O411" s="259">
        <f t="shared" si="18"/>
        <v>79.68589183</v>
      </c>
      <c r="P411" s="586">
        <f t="shared" si="3"/>
        <v>0.0004343913877</v>
      </c>
    </row>
    <row r="412">
      <c r="A412" s="253" t="s">
        <v>956</v>
      </c>
      <c r="B412" s="254">
        <v>12424.0</v>
      </c>
      <c r="C412" s="255" t="str">
        <f t="shared" si="12"/>
        <v>SINAPI</v>
      </c>
      <c r="D412" s="256" t="s">
        <v>286</v>
      </c>
      <c r="E412" s="257" t="str">
        <f>IFERROR(IF(D412="SINAPI-S",VLOOKUP(B412,'20-B.SINAPI-S'!A:J,2,0),IF(D412="SINAPI-I",VLOOKUP(B412,'20-A.SINAPI-I'!A:G,2,0),IF(D412="COMPOSIÇÕES",VLOOKUP(B412,'11.COMPOSIÇÕES GERAIS'!B:I,2,0),VLOOKUP(B412,'12.COT.MERCADO'!A:I,2,0)))),"Em Elaboração")</f>
        <v>UNIAO DE FERRO GALVANIZADO, COM ASSENTO CONICO DE BRONZE, DE 1 1/2"</v>
      </c>
      <c r="F412" s="258" t="str">
        <f>IFERROR(IF(D412="SINAPI-S",VLOOKUP(B412,'20-B.SINAPI-S'!A:J,3,0),IF(D412="SINAPI-I",VLOOKUP(B412,'20-A.SINAPI-I'!A:G,3,0),IF(D412="COMPOSIÇÕES",VLOOKUP(B412,'11.COMPOSIÇÕES GERAIS'!B:I,3,0),VLOOKUP(B412,'12.COT.MERCADO'!A:I,7,0)))),"Em Elaboração")</f>
        <v>UN</v>
      </c>
      <c r="G412" s="254">
        <v>1.0</v>
      </c>
      <c r="H412" s="259">
        <f>IFERROR(IF(D412="SINAPI-S",VLOOKUP(B412,'20-B.SINAPI-S'!A:J,5,0),IF(D412="SINAPI-I",VLOOKUP(B412,'20-A.SINAPI-I'!A:G,6,0),IF(D412="COMPOSIÇÕES",VLOOKUP(B412,'11.COMPOSIÇÕES GERAIS'!B:I,7,0),0))),"Em Elaboração")</f>
        <v>0</v>
      </c>
      <c r="I412" s="259">
        <f>IFERROR(IF(D412="SINAPI-S",VLOOKUP(B412,'20-B.SINAPI-S'!A:J,6,0),IF(D412="SINAPI-I",VLOOKUP(B412,'20-A.SINAPI-I'!A:G,7,0),IF(D412="COMPOSIÇÕES",VLOOKUP(B412,'11.COMPOSIÇÕES GERAIS'!B:I,8,0),VLOOKUP(B412,'12.COT.MERCADO'!A:I,8,0)))),"Em Elaboração")</f>
        <v>104.75</v>
      </c>
      <c r="J412" s="259">
        <f t="shared" si="13"/>
        <v>0</v>
      </c>
      <c r="K412" s="259">
        <f t="shared" si="14"/>
        <v>122.6972978</v>
      </c>
      <c r="L412" s="259">
        <f t="shared" si="15"/>
        <v>122.6972978</v>
      </c>
      <c r="M412" s="259">
        <f t="shared" si="16"/>
        <v>0</v>
      </c>
      <c r="N412" s="259">
        <f t="shared" si="17"/>
        <v>122.6972978</v>
      </c>
      <c r="O412" s="259">
        <f t="shared" si="18"/>
        <v>122.6972978</v>
      </c>
      <c r="P412" s="586">
        <f t="shared" si="3"/>
        <v>0.0006688592953</v>
      </c>
    </row>
    <row r="413">
      <c r="A413" s="253" t="s">
        <v>957</v>
      </c>
      <c r="B413" s="254">
        <v>12426.0</v>
      </c>
      <c r="C413" s="255" t="str">
        <f t="shared" si="12"/>
        <v>SINAPI</v>
      </c>
      <c r="D413" s="256" t="s">
        <v>286</v>
      </c>
      <c r="E413" s="257" t="str">
        <f>IFERROR(IF(D413="SINAPI-S",VLOOKUP(B413,'20-B.SINAPI-S'!A:J,2,0),IF(D413="SINAPI-I",VLOOKUP(B413,'20-A.SINAPI-I'!A:G,2,0),IF(D413="COMPOSIÇÕES",VLOOKUP(B413,'11.COMPOSIÇÕES GERAIS'!B:I,2,0),VLOOKUP(B413,'12.COT.MERCADO'!A:I,2,0)))),"Em Elaboração")</f>
        <v>UNIAO COM ASSENTO CONICO DE BRONZE, DIAMETRO 1/2"</v>
      </c>
      <c r="F413" s="258" t="str">
        <f>IFERROR(IF(D413="SINAPI-S",VLOOKUP(B413,'20-B.SINAPI-S'!A:J,3,0),IF(D413="SINAPI-I",VLOOKUP(B413,'20-A.SINAPI-I'!A:G,3,0),IF(D413="COMPOSIÇÕES",VLOOKUP(B413,'11.COMPOSIÇÕES GERAIS'!B:I,3,0),VLOOKUP(B413,'12.COT.MERCADO'!A:I,7,0)))),"Em Elaboração")</f>
        <v>UN</v>
      </c>
      <c r="G413" s="254">
        <v>1.0</v>
      </c>
      <c r="H413" s="259">
        <f>IFERROR(IF(D413="SINAPI-S",VLOOKUP(B413,'20-B.SINAPI-S'!A:J,5,0),IF(D413="SINAPI-I",VLOOKUP(B413,'20-A.SINAPI-I'!A:G,6,0),IF(D413="COMPOSIÇÕES",VLOOKUP(B413,'11.COMPOSIÇÕES GERAIS'!B:I,7,0),0))),"Em Elaboração")</f>
        <v>0</v>
      </c>
      <c r="I413" s="259">
        <f>IFERROR(IF(D413="SINAPI-S",VLOOKUP(B413,'20-B.SINAPI-S'!A:J,6,0),IF(D413="SINAPI-I",VLOOKUP(B413,'20-A.SINAPI-I'!A:G,7,0),IF(D413="COMPOSIÇÕES",VLOOKUP(B413,'11.COMPOSIÇÕES GERAIS'!B:I,8,0),VLOOKUP(B413,'12.COT.MERCADO'!A:I,8,0)))),"Em Elaboração")</f>
        <v>49.52</v>
      </c>
      <c r="J413" s="259">
        <f t="shared" si="13"/>
        <v>0</v>
      </c>
      <c r="K413" s="259">
        <f t="shared" si="14"/>
        <v>58.00448866</v>
      </c>
      <c r="L413" s="259">
        <f t="shared" si="15"/>
        <v>58.00448866</v>
      </c>
      <c r="M413" s="259">
        <f t="shared" si="16"/>
        <v>0</v>
      </c>
      <c r="N413" s="259">
        <f t="shared" si="17"/>
        <v>58.00448866</v>
      </c>
      <c r="O413" s="259">
        <f t="shared" si="18"/>
        <v>58.00448866</v>
      </c>
      <c r="P413" s="586">
        <f t="shared" si="3"/>
        <v>0.0003161996401</v>
      </c>
    </row>
    <row r="414">
      <c r="A414" s="253" t="s">
        <v>958</v>
      </c>
      <c r="B414" s="254">
        <v>12428.0</v>
      </c>
      <c r="C414" s="255" t="str">
        <f t="shared" si="12"/>
        <v>SINAPI</v>
      </c>
      <c r="D414" s="256" t="s">
        <v>286</v>
      </c>
      <c r="E414" s="257" t="str">
        <f>IFERROR(IF(D414="SINAPI-S",VLOOKUP(B414,'20-B.SINAPI-S'!A:J,2,0),IF(D414="SINAPI-I",VLOOKUP(B414,'20-A.SINAPI-I'!A:G,2,0),IF(D414="COMPOSIÇÕES",VLOOKUP(B414,'11.COMPOSIÇÕES GERAIS'!B:I,2,0),VLOOKUP(B414,'12.COT.MERCADO'!A:I,2,0)))),"Em Elaboração")</f>
        <v>UNIAO COM ASSENTO CONICO DE BRONZE, DIAMETRO 2'</v>
      </c>
      <c r="F414" s="258" t="str">
        <f>IFERROR(IF(D414="SINAPI-S",VLOOKUP(B414,'20-B.SINAPI-S'!A:J,3,0),IF(D414="SINAPI-I",VLOOKUP(B414,'20-A.SINAPI-I'!A:G,3,0),IF(D414="COMPOSIÇÕES",VLOOKUP(B414,'11.COMPOSIÇÕES GERAIS'!B:I,3,0),VLOOKUP(B414,'12.COT.MERCADO'!A:I,7,0)))),"Em Elaboração")</f>
        <v>UN</v>
      </c>
      <c r="G414" s="254">
        <v>1.0</v>
      </c>
      <c r="H414" s="259">
        <f>IFERROR(IF(D414="SINAPI-S",VLOOKUP(B414,'20-B.SINAPI-S'!A:J,5,0),IF(D414="SINAPI-I",VLOOKUP(B414,'20-A.SINAPI-I'!A:G,6,0),IF(D414="COMPOSIÇÕES",VLOOKUP(B414,'11.COMPOSIÇÕES GERAIS'!B:I,7,0),0))),"Em Elaboração")</f>
        <v>0</v>
      </c>
      <c r="I414" s="259">
        <f>IFERROR(IF(D414="SINAPI-S",VLOOKUP(B414,'20-B.SINAPI-S'!A:J,6,0),IF(D414="SINAPI-I",VLOOKUP(B414,'20-A.SINAPI-I'!A:G,7,0),IF(D414="COMPOSIÇÕES",VLOOKUP(B414,'11.COMPOSIÇÕES GERAIS'!B:I,8,0),VLOOKUP(B414,'12.COT.MERCADO'!A:I,8,0)))),"Em Elaboração")</f>
        <v>181.25</v>
      </c>
      <c r="J414" s="259">
        <f t="shared" si="13"/>
        <v>0</v>
      </c>
      <c r="K414" s="259">
        <f t="shared" si="14"/>
        <v>212.3043936</v>
      </c>
      <c r="L414" s="259">
        <f t="shared" si="15"/>
        <v>212.3043936</v>
      </c>
      <c r="M414" s="259">
        <f t="shared" si="16"/>
        <v>0</v>
      </c>
      <c r="N414" s="259">
        <f t="shared" si="17"/>
        <v>212.3043936</v>
      </c>
      <c r="O414" s="259">
        <f t="shared" si="18"/>
        <v>212.3043936</v>
      </c>
      <c r="P414" s="586">
        <f t="shared" si="3"/>
        <v>0.001157334103</v>
      </c>
    </row>
    <row r="415">
      <c r="A415" s="253" t="s">
        <v>959</v>
      </c>
      <c r="B415" s="254">
        <v>12427.0</v>
      </c>
      <c r="C415" s="255" t="str">
        <f t="shared" si="12"/>
        <v>SINAPI</v>
      </c>
      <c r="D415" s="256" t="s">
        <v>286</v>
      </c>
      <c r="E415" s="257" t="str">
        <f>IFERROR(IF(D415="SINAPI-S",VLOOKUP(B415,'20-B.SINAPI-S'!A:J,2,0),IF(D415="SINAPI-I",VLOOKUP(B415,'20-A.SINAPI-I'!A:G,2,0),IF(D415="COMPOSIÇÕES",VLOOKUP(B415,'11.COMPOSIÇÕES GERAIS'!B:I,2,0),VLOOKUP(B415,'12.COT.MERCADO'!A:I,2,0)))),"Em Elaboração")</f>
        <v>UNIAO COM ASSENTO CONICO DE BRONZE, DIAMETRO 2 1/2"</v>
      </c>
      <c r="F415" s="258" t="str">
        <f>IFERROR(IF(D415="SINAPI-S",VLOOKUP(B415,'20-B.SINAPI-S'!A:J,3,0),IF(D415="SINAPI-I",VLOOKUP(B415,'20-A.SINAPI-I'!A:G,3,0),IF(D415="COMPOSIÇÕES",VLOOKUP(B415,'11.COMPOSIÇÕES GERAIS'!B:I,3,0),VLOOKUP(B415,'12.COT.MERCADO'!A:I,7,0)))),"Em Elaboração")</f>
        <v>UN</v>
      </c>
      <c r="G415" s="254">
        <v>1.0</v>
      </c>
      <c r="H415" s="259">
        <f>IFERROR(IF(D415="SINAPI-S",VLOOKUP(B415,'20-B.SINAPI-S'!A:J,5,0),IF(D415="SINAPI-I",VLOOKUP(B415,'20-A.SINAPI-I'!A:G,6,0),IF(D415="COMPOSIÇÕES",VLOOKUP(B415,'11.COMPOSIÇÕES GERAIS'!B:I,7,0),0))),"Em Elaboração")</f>
        <v>0</v>
      </c>
      <c r="I415" s="259">
        <f>IFERROR(IF(D415="SINAPI-S",VLOOKUP(B415,'20-B.SINAPI-S'!A:J,6,0),IF(D415="SINAPI-I",VLOOKUP(B415,'20-A.SINAPI-I'!A:G,7,0),IF(D415="COMPOSIÇÕES",VLOOKUP(B415,'11.COMPOSIÇÕES GERAIS'!B:I,8,0),VLOOKUP(B415,'12.COT.MERCADO'!A:I,8,0)))),"Em Elaboração")</f>
        <v>282.38</v>
      </c>
      <c r="J415" s="259">
        <f t="shared" si="13"/>
        <v>0</v>
      </c>
      <c r="K415" s="259">
        <f t="shared" si="14"/>
        <v>330.7614602</v>
      </c>
      <c r="L415" s="259">
        <f t="shared" si="15"/>
        <v>330.7614602</v>
      </c>
      <c r="M415" s="259">
        <f t="shared" si="16"/>
        <v>0</v>
      </c>
      <c r="N415" s="259">
        <f t="shared" si="17"/>
        <v>330.7614602</v>
      </c>
      <c r="O415" s="259">
        <f t="shared" si="18"/>
        <v>330.7614602</v>
      </c>
      <c r="P415" s="586">
        <f t="shared" si="3"/>
        <v>0.001803078643</v>
      </c>
    </row>
    <row r="416">
      <c r="A416" s="253" t="s">
        <v>960</v>
      </c>
      <c r="B416" s="254">
        <v>12429.0</v>
      </c>
      <c r="C416" s="255" t="str">
        <f t="shared" si="12"/>
        <v>SINAPI</v>
      </c>
      <c r="D416" s="256" t="s">
        <v>286</v>
      </c>
      <c r="E416" s="257" t="str">
        <f>IFERROR(IF(D416="SINAPI-S",VLOOKUP(B416,'20-B.SINAPI-S'!A:J,2,0),IF(D416="SINAPI-I",VLOOKUP(B416,'20-A.SINAPI-I'!A:G,2,0),IF(D416="COMPOSIÇÕES",VLOOKUP(B416,'11.COMPOSIÇÕES GERAIS'!B:I,2,0),VLOOKUP(B416,'12.COT.MERCADO'!A:I,2,0)))),"Em Elaboração")</f>
        <v>UNIAO COM ASSENTO CONICO DE BRONZE, DIAMETRO 3"</v>
      </c>
      <c r="F416" s="258" t="str">
        <f>IFERROR(IF(D416="SINAPI-S",VLOOKUP(B416,'20-B.SINAPI-S'!A:J,3,0),IF(D416="SINAPI-I",VLOOKUP(B416,'20-A.SINAPI-I'!A:G,3,0),IF(D416="COMPOSIÇÕES",VLOOKUP(B416,'11.COMPOSIÇÕES GERAIS'!B:I,3,0),VLOOKUP(B416,'12.COT.MERCADO'!A:I,7,0)))),"Em Elaboração")</f>
        <v>UN</v>
      </c>
      <c r="G416" s="254">
        <v>1.0</v>
      </c>
      <c r="H416" s="259">
        <f>IFERROR(IF(D416="SINAPI-S",VLOOKUP(B416,'20-B.SINAPI-S'!A:J,5,0),IF(D416="SINAPI-I",VLOOKUP(B416,'20-A.SINAPI-I'!A:G,6,0),IF(D416="COMPOSIÇÕES",VLOOKUP(B416,'11.COMPOSIÇÕES GERAIS'!B:I,7,0),0))),"Em Elaboração")</f>
        <v>0</v>
      </c>
      <c r="I416" s="259">
        <f>IFERROR(IF(D416="SINAPI-S",VLOOKUP(B416,'20-B.SINAPI-S'!A:J,6,0),IF(D416="SINAPI-I",VLOOKUP(B416,'20-A.SINAPI-I'!A:G,7,0),IF(D416="COMPOSIÇÕES",VLOOKUP(B416,'11.COMPOSIÇÕES GERAIS'!B:I,8,0),VLOOKUP(B416,'12.COT.MERCADO'!A:I,8,0)))),"Em Elaboração")</f>
        <v>456.62</v>
      </c>
      <c r="J416" s="259">
        <f t="shared" si="13"/>
        <v>0</v>
      </c>
      <c r="K416" s="259">
        <f t="shared" si="14"/>
        <v>534.8547983</v>
      </c>
      <c r="L416" s="259">
        <f t="shared" si="15"/>
        <v>534.8547983</v>
      </c>
      <c r="M416" s="259">
        <f t="shared" si="16"/>
        <v>0</v>
      </c>
      <c r="N416" s="259">
        <f t="shared" si="17"/>
        <v>534.8547983</v>
      </c>
      <c r="O416" s="259">
        <f t="shared" si="18"/>
        <v>534.8547983</v>
      </c>
      <c r="P416" s="586">
        <f t="shared" si="3"/>
        <v>0.002915651851</v>
      </c>
    </row>
    <row r="417">
      <c r="A417" s="253" t="s">
        <v>961</v>
      </c>
      <c r="B417" s="254">
        <v>12430.0</v>
      </c>
      <c r="C417" s="255" t="str">
        <f t="shared" si="12"/>
        <v>SINAPI</v>
      </c>
      <c r="D417" s="256" t="s">
        <v>286</v>
      </c>
      <c r="E417" s="257" t="str">
        <f>IFERROR(IF(D417="SINAPI-S",VLOOKUP(B417,'20-B.SINAPI-S'!A:J,2,0),IF(D417="SINAPI-I",VLOOKUP(B417,'20-A.SINAPI-I'!A:G,2,0),IF(D417="COMPOSIÇÕES",VLOOKUP(B417,'11.COMPOSIÇÕES GERAIS'!B:I,2,0),VLOOKUP(B417,'12.COT.MERCADO'!A:I,2,0)))),"Em Elaboração")</f>
        <v>UNIAO COM ASSENTO CONICO DE BRONZE, DIAMETRO 3/4"</v>
      </c>
      <c r="F417" s="258" t="str">
        <f>IFERROR(IF(D417="SINAPI-S",VLOOKUP(B417,'20-B.SINAPI-S'!A:J,3,0),IF(D417="SINAPI-I",VLOOKUP(B417,'20-A.SINAPI-I'!A:G,3,0),IF(D417="COMPOSIÇÕES",VLOOKUP(B417,'11.COMPOSIÇÕES GERAIS'!B:I,3,0),VLOOKUP(B417,'12.COT.MERCADO'!A:I,7,0)))),"Em Elaboração")</f>
        <v>UN</v>
      </c>
      <c r="G417" s="254">
        <v>1.0</v>
      </c>
      <c r="H417" s="259">
        <f>IFERROR(IF(D417="SINAPI-S",VLOOKUP(B417,'20-B.SINAPI-S'!A:J,5,0),IF(D417="SINAPI-I",VLOOKUP(B417,'20-A.SINAPI-I'!A:G,6,0),IF(D417="COMPOSIÇÕES",VLOOKUP(B417,'11.COMPOSIÇÕES GERAIS'!B:I,7,0),0))),"Em Elaboração")</f>
        <v>0</v>
      </c>
      <c r="I417" s="259">
        <f>IFERROR(IF(D417="SINAPI-S",VLOOKUP(B417,'20-B.SINAPI-S'!A:J,6,0),IF(D417="SINAPI-I",VLOOKUP(B417,'20-A.SINAPI-I'!A:G,7,0),IF(D417="COMPOSIÇÕES",VLOOKUP(B417,'11.COMPOSIÇÕES GERAIS'!B:I,8,0),VLOOKUP(B417,'12.COT.MERCADO'!A:I,8,0)))),"Em Elaboração")</f>
        <v>60.71</v>
      </c>
      <c r="J417" s="259">
        <f t="shared" si="13"/>
        <v>0</v>
      </c>
      <c r="K417" s="259">
        <f t="shared" si="14"/>
        <v>71.11172266</v>
      </c>
      <c r="L417" s="259">
        <f t="shared" si="15"/>
        <v>71.11172266</v>
      </c>
      <c r="M417" s="259">
        <f t="shared" si="16"/>
        <v>0</v>
      </c>
      <c r="N417" s="259">
        <f t="shared" si="17"/>
        <v>71.11172266</v>
      </c>
      <c r="O417" s="259">
        <f t="shared" si="18"/>
        <v>71.11172266</v>
      </c>
      <c r="P417" s="586">
        <f t="shared" si="3"/>
        <v>0.0003876510532</v>
      </c>
    </row>
    <row r="418">
      <c r="A418" s="253" t="s">
        <v>962</v>
      </c>
      <c r="B418" s="254">
        <v>12431.0</v>
      </c>
      <c r="C418" s="255" t="str">
        <f t="shared" si="12"/>
        <v>SINAPI</v>
      </c>
      <c r="D418" s="256" t="s">
        <v>286</v>
      </c>
      <c r="E418" s="257" t="str">
        <f>IFERROR(IF(D418="SINAPI-S",VLOOKUP(B418,'20-B.SINAPI-S'!A:J,2,0),IF(D418="SINAPI-I",VLOOKUP(B418,'20-A.SINAPI-I'!A:G,2,0),IF(D418="COMPOSIÇÕES",VLOOKUP(B418,'11.COMPOSIÇÕES GERAIS'!B:I,2,0),VLOOKUP(B418,'12.COT.MERCADO'!A:I,2,0)))),"Em Elaboração")</f>
        <v>UNIAO COM ASSENTO CONICO DE BRONZE, DIAMETRO 4"</v>
      </c>
      <c r="F418" s="258" t="str">
        <f>IFERROR(IF(D418="SINAPI-S",VLOOKUP(B418,'20-B.SINAPI-S'!A:J,3,0),IF(D418="SINAPI-I",VLOOKUP(B418,'20-A.SINAPI-I'!A:G,3,0),IF(D418="COMPOSIÇÕES",VLOOKUP(B418,'11.COMPOSIÇÕES GERAIS'!B:I,3,0),VLOOKUP(B418,'12.COT.MERCADO'!A:I,7,0)))),"Em Elaboração")</f>
        <v>UN</v>
      </c>
      <c r="G418" s="254">
        <v>1.0</v>
      </c>
      <c r="H418" s="259">
        <f>IFERROR(IF(D418="SINAPI-S",VLOOKUP(B418,'20-B.SINAPI-S'!A:J,5,0),IF(D418="SINAPI-I",VLOOKUP(B418,'20-A.SINAPI-I'!A:G,6,0),IF(D418="COMPOSIÇÕES",VLOOKUP(B418,'11.COMPOSIÇÕES GERAIS'!B:I,7,0),0))),"Em Elaboração")</f>
        <v>0</v>
      </c>
      <c r="I418" s="259">
        <f>IFERROR(IF(D418="SINAPI-S",VLOOKUP(B418,'20-B.SINAPI-S'!A:J,6,0),IF(D418="SINAPI-I",VLOOKUP(B418,'20-A.SINAPI-I'!A:G,7,0),IF(D418="COMPOSIÇÕES",VLOOKUP(B418,'11.COMPOSIÇÕES GERAIS'!B:I,8,0),VLOOKUP(B418,'12.COT.MERCADO'!A:I,8,0)))),"Em Elaboração")</f>
        <v>777.08</v>
      </c>
      <c r="J418" s="259">
        <f t="shared" si="13"/>
        <v>0</v>
      </c>
      <c r="K418" s="259">
        <f t="shared" si="14"/>
        <v>910.2206794</v>
      </c>
      <c r="L418" s="259">
        <f t="shared" si="15"/>
        <v>910.2206794</v>
      </c>
      <c r="M418" s="259">
        <f t="shared" si="16"/>
        <v>0</v>
      </c>
      <c r="N418" s="259">
        <f t="shared" si="17"/>
        <v>910.2206794</v>
      </c>
      <c r="O418" s="259">
        <f t="shared" si="18"/>
        <v>910.2206794</v>
      </c>
      <c r="P418" s="586">
        <f t="shared" si="3"/>
        <v>0.004961882398</v>
      </c>
    </row>
    <row r="419">
      <c r="A419" s="253" t="s">
        <v>963</v>
      </c>
      <c r="B419" s="254">
        <v>12437.0</v>
      </c>
      <c r="C419" s="255" t="str">
        <f t="shared" si="12"/>
        <v>SINAPI</v>
      </c>
      <c r="D419" s="256" t="s">
        <v>286</v>
      </c>
      <c r="E419" s="257" t="str">
        <f>IFERROR(IF(D419="SINAPI-S",VLOOKUP(B419,'20-B.SINAPI-S'!A:J,2,0),IF(D419="SINAPI-I",VLOOKUP(B419,'20-A.SINAPI-I'!A:G,2,0),IF(D419="COMPOSIÇÕES",VLOOKUP(B419,'11.COMPOSIÇÕES GERAIS'!B:I,2,0),VLOOKUP(B419,'12.COT.MERCADO'!A:I,2,0)))),"Em Elaboração")</f>
        <v>UNIAO COM ASSENTO CONICO DE FERRO LONGO (MACHO-FEMEA), DIAMETRO 2"</v>
      </c>
      <c r="F419" s="258" t="str">
        <f>IFERROR(IF(D419="SINAPI-S",VLOOKUP(B419,'20-B.SINAPI-S'!A:J,3,0),IF(D419="SINAPI-I",VLOOKUP(B419,'20-A.SINAPI-I'!A:G,3,0),IF(D419="COMPOSIÇÕES",VLOOKUP(B419,'11.COMPOSIÇÕES GERAIS'!B:I,3,0),VLOOKUP(B419,'12.COT.MERCADO'!A:I,7,0)))),"Em Elaboração")</f>
        <v>UN</v>
      </c>
      <c r="G419" s="254">
        <v>1.0</v>
      </c>
      <c r="H419" s="259">
        <f>IFERROR(IF(D419="SINAPI-S",VLOOKUP(B419,'20-B.SINAPI-S'!A:J,5,0),IF(D419="SINAPI-I",VLOOKUP(B419,'20-A.SINAPI-I'!A:G,6,0),IF(D419="COMPOSIÇÕES",VLOOKUP(B419,'11.COMPOSIÇÕES GERAIS'!B:I,7,0),0))),"Em Elaboração")</f>
        <v>0</v>
      </c>
      <c r="I419" s="259">
        <f>IFERROR(IF(D419="SINAPI-S",VLOOKUP(B419,'20-B.SINAPI-S'!A:J,6,0),IF(D419="SINAPI-I",VLOOKUP(B419,'20-A.SINAPI-I'!A:G,7,0),IF(D419="COMPOSIÇÕES",VLOOKUP(B419,'11.COMPOSIÇÕES GERAIS'!B:I,8,0),VLOOKUP(B419,'12.COT.MERCADO'!A:I,8,0)))),"Em Elaboração")</f>
        <v>254.3</v>
      </c>
      <c r="J419" s="259">
        <f t="shared" si="13"/>
        <v>0</v>
      </c>
      <c r="K419" s="259">
        <f t="shared" si="14"/>
        <v>297.870385</v>
      </c>
      <c r="L419" s="259">
        <f t="shared" si="15"/>
        <v>297.870385</v>
      </c>
      <c r="M419" s="259">
        <f t="shared" si="16"/>
        <v>0</v>
      </c>
      <c r="N419" s="259">
        <f t="shared" si="17"/>
        <v>297.870385</v>
      </c>
      <c r="O419" s="259">
        <f t="shared" si="18"/>
        <v>297.870385</v>
      </c>
      <c r="P419" s="586">
        <f t="shared" si="3"/>
        <v>0.001623779654</v>
      </c>
    </row>
    <row r="420">
      <c r="A420" s="253" t="s">
        <v>964</v>
      </c>
      <c r="B420" s="254">
        <v>12436.0</v>
      </c>
      <c r="C420" s="255" t="str">
        <f t="shared" si="12"/>
        <v>SINAPI</v>
      </c>
      <c r="D420" s="256" t="s">
        <v>286</v>
      </c>
      <c r="E420" s="257" t="str">
        <f>IFERROR(IF(D420="SINAPI-S",VLOOKUP(B420,'20-B.SINAPI-S'!A:J,2,0),IF(D420="SINAPI-I",VLOOKUP(B420,'20-A.SINAPI-I'!A:G,2,0),IF(D420="COMPOSIÇÕES",VLOOKUP(B420,'11.COMPOSIÇÕES GERAIS'!B:I,2,0),VLOOKUP(B420,'12.COT.MERCADO'!A:I,2,0)))),"Em Elaboração")</f>
        <v>UNIAO COM ASSENTO CONICO DE FERRO LONGO (MACHO-FEMEA), DIAMETRO 4"</v>
      </c>
      <c r="F420" s="258" t="str">
        <f>IFERROR(IF(D420="SINAPI-S",VLOOKUP(B420,'20-B.SINAPI-S'!A:J,3,0),IF(D420="SINAPI-I",VLOOKUP(B420,'20-A.SINAPI-I'!A:G,3,0),IF(D420="COMPOSIÇÕES",VLOOKUP(B420,'11.COMPOSIÇÕES GERAIS'!B:I,3,0),VLOOKUP(B420,'12.COT.MERCADO'!A:I,7,0)))),"Em Elaboração")</f>
        <v>UN</v>
      </c>
      <c r="G420" s="254">
        <v>1.0</v>
      </c>
      <c r="H420" s="259">
        <f>IFERROR(IF(D420="SINAPI-S",VLOOKUP(B420,'20-B.SINAPI-S'!A:J,5,0),IF(D420="SINAPI-I",VLOOKUP(B420,'20-A.SINAPI-I'!A:G,6,0),IF(D420="COMPOSIÇÕES",VLOOKUP(B420,'11.COMPOSIÇÕES GERAIS'!B:I,7,0),0))),"Em Elaboração")</f>
        <v>0</v>
      </c>
      <c r="I420" s="259">
        <f>IFERROR(IF(D420="SINAPI-S",VLOOKUP(B420,'20-B.SINAPI-S'!A:J,6,0),IF(D420="SINAPI-I",VLOOKUP(B420,'20-A.SINAPI-I'!A:G,7,0),IF(D420="COMPOSIÇÕES",VLOOKUP(B420,'11.COMPOSIÇÕES GERAIS'!B:I,8,0),VLOOKUP(B420,'12.COT.MERCADO'!A:I,8,0)))),"Em Elaboração")</f>
        <v>581.33</v>
      </c>
      <c r="J420" s="259">
        <f t="shared" si="13"/>
        <v>0</v>
      </c>
      <c r="K420" s="259">
        <f t="shared" si="14"/>
        <v>680.9319344</v>
      </c>
      <c r="L420" s="259">
        <f t="shared" si="15"/>
        <v>680.9319344</v>
      </c>
      <c r="M420" s="259">
        <f t="shared" si="16"/>
        <v>0</v>
      </c>
      <c r="N420" s="259">
        <f t="shared" si="17"/>
        <v>680.9319344</v>
      </c>
      <c r="O420" s="259">
        <f t="shared" si="18"/>
        <v>680.9319344</v>
      </c>
      <c r="P420" s="586">
        <f t="shared" si="3"/>
        <v>0.003711961567</v>
      </c>
    </row>
    <row r="421">
      <c r="A421" s="253" t="s">
        <v>965</v>
      </c>
      <c r="B421" s="254">
        <v>9900.0</v>
      </c>
      <c r="C421" s="255" t="str">
        <f t="shared" si="12"/>
        <v>SINAPI</v>
      </c>
      <c r="D421" s="256" t="s">
        <v>286</v>
      </c>
      <c r="E421" s="257" t="str">
        <f>IFERROR(IF(D421="SINAPI-S",VLOOKUP(B421,'20-B.SINAPI-S'!A:J,2,0),IF(D421="SINAPI-I",VLOOKUP(B421,'20-A.SINAPI-I'!A:G,2,0),IF(D421="COMPOSIÇÕES",VLOOKUP(B421,'11.COMPOSIÇÕES GERAIS'!B:I,2,0),VLOOKUP(B421,'12.COT.MERCADO'!A:I,2,0)))),"Em Elaboração")</f>
        <v>UNIAO PVC, ROSCAVEL, 1",  AGUA FRIA PREDIAL</v>
      </c>
      <c r="F421" s="258" t="str">
        <f>IFERROR(IF(D421="SINAPI-S",VLOOKUP(B421,'20-B.SINAPI-S'!A:J,3,0),IF(D421="SINAPI-I",VLOOKUP(B421,'20-A.SINAPI-I'!A:G,3,0),IF(D421="COMPOSIÇÕES",VLOOKUP(B421,'11.COMPOSIÇÕES GERAIS'!B:I,3,0),VLOOKUP(B421,'12.COT.MERCADO'!A:I,7,0)))),"Em Elaboração")</f>
        <v>UN</v>
      </c>
      <c r="G421" s="254">
        <v>4.0</v>
      </c>
      <c r="H421" s="259">
        <f>IFERROR(IF(D421="SINAPI-S",VLOOKUP(B421,'20-B.SINAPI-S'!A:J,5,0),IF(D421="SINAPI-I",VLOOKUP(B421,'20-A.SINAPI-I'!A:G,6,0),IF(D421="COMPOSIÇÕES",VLOOKUP(B421,'11.COMPOSIÇÕES GERAIS'!B:I,7,0),0))),"Em Elaboração")</f>
        <v>0</v>
      </c>
      <c r="I421" s="259">
        <f>IFERROR(IF(D421="SINAPI-S",VLOOKUP(B421,'20-B.SINAPI-S'!A:J,6,0),IF(D421="SINAPI-I",VLOOKUP(B421,'20-A.SINAPI-I'!A:G,7,0),IF(D421="COMPOSIÇÕES",VLOOKUP(B421,'11.COMPOSIÇÕES GERAIS'!B:I,8,0),VLOOKUP(B421,'12.COT.MERCADO'!A:I,8,0)))),"Em Elaboração")</f>
        <v>19.79</v>
      </c>
      <c r="J421" s="259">
        <f t="shared" si="13"/>
        <v>0</v>
      </c>
      <c r="K421" s="259">
        <f t="shared" si="14"/>
        <v>23.18071144</v>
      </c>
      <c r="L421" s="259">
        <f t="shared" si="15"/>
        <v>23.18071144</v>
      </c>
      <c r="M421" s="259">
        <f t="shared" si="16"/>
        <v>0</v>
      </c>
      <c r="N421" s="259">
        <f t="shared" si="17"/>
        <v>92.72284576</v>
      </c>
      <c r="O421" s="259">
        <f t="shared" si="18"/>
        <v>92.72284576</v>
      </c>
      <c r="P421" s="586">
        <f t="shared" si="3"/>
        <v>0.0005054596832</v>
      </c>
    </row>
    <row r="422">
      <c r="A422" s="253" t="s">
        <v>966</v>
      </c>
      <c r="B422" s="254">
        <v>9901.0</v>
      </c>
      <c r="C422" s="255" t="str">
        <f t="shared" si="12"/>
        <v>SINAPI</v>
      </c>
      <c r="D422" s="256" t="s">
        <v>286</v>
      </c>
      <c r="E422" s="257" t="str">
        <f>IFERROR(IF(D422="SINAPI-S",VLOOKUP(B422,'20-B.SINAPI-S'!A:J,2,0),IF(D422="SINAPI-I",VLOOKUP(B422,'20-A.SINAPI-I'!A:G,2,0),IF(D422="COMPOSIÇÕES",VLOOKUP(B422,'11.COMPOSIÇÕES GERAIS'!B:I,2,0),VLOOKUP(B422,'12.COT.MERCADO'!A:I,2,0)))),"Em Elaboração")</f>
        <v>UNIAO PVC, ROSCAVEL, 1 1/2",  AGUA FRIA PREDIAL</v>
      </c>
      <c r="F422" s="258" t="str">
        <f>IFERROR(IF(D422="SINAPI-S",VLOOKUP(B422,'20-B.SINAPI-S'!A:J,3,0),IF(D422="SINAPI-I",VLOOKUP(B422,'20-A.SINAPI-I'!A:G,3,0),IF(D422="COMPOSIÇÕES",VLOOKUP(B422,'11.COMPOSIÇÕES GERAIS'!B:I,3,0),VLOOKUP(B422,'12.COT.MERCADO'!A:I,7,0)))),"Em Elaboração")</f>
        <v>UN</v>
      </c>
      <c r="G422" s="254">
        <v>4.0</v>
      </c>
      <c r="H422" s="259">
        <f>IFERROR(IF(D422="SINAPI-S",VLOOKUP(B422,'20-B.SINAPI-S'!A:J,5,0),IF(D422="SINAPI-I",VLOOKUP(B422,'20-A.SINAPI-I'!A:G,6,0),IF(D422="COMPOSIÇÕES",VLOOKUP(B422,'11.COMPOSIÇÕES GERAIS'!B:I,7,0),0))),"Em Elaboração")</f>
        <v>0</v>
      </c>
      <c r="I422" s="259">
        <f>IFERROR(IF(D422="SINAPI-S",VLOOKUP(B422,'20-B.SINAPI-S'!A:J,6,0),IF(D422="SINAPI-I",VLOOKUP(B422,'20-A.SINAPI-I'!A:G,7,0),IF(D422="COMPOSIÇÕES",VLOOKUP(B422,'11.COMPOSIÇÕES GERAIS'!B:I,8,0),VLOOKUP(B422,'12.COT.MERCADO'!A:I,8,0)))),"Em Elaboração")</f>
        <v>34.16</v>
      </c>
      <c r="J422" s="259">
        <f t="shared" si="13"/>
        <v>0</v>
      </c>
      <c r="K422" s="259">
        <f t="shared" si="14"/>
        <v>40.01278943</v>
      </c>
      <c r="L422" s="259">
        <f t="shared" si="15"/>
        <v>40.01278943</v>
      </c>
      <c r="M422" s="259">
        <f t="shared" si="16"/>
        <v>0</v>
      </c>
      <c r="N422" s="259">
        <f t="shared" si="17"/>
        <v>160.0511577</v>
      </c>
      <c r="O422" s="259">
        <f t="shared" si="18"/>
        <v>160.0511577</v>
      </c>
      <c r="P422" s="586">
        <f t="shared" si="3"/>
        <v>0.0008724862445</v>
      </c>
    </row>
    <row r="423">
      <c r="A423" s="253" t="s">
        <v>967</v>
      </c>
      <c r="B423" s="254">
        <v>9892.0</v>
      </c>
      <c r="C423" s="255" t="str">
        <f t="shared" si="12"/>
        <v>SINAPI</v>
      </c>
      <c r="D423" s="256" t="s">
        <v>286</v>
      </c>
      <c r="E423" s="257" t="str">
        <f>IFERROR(IF(D423="SINAPI-S",VLOOKUP(B423,'20-B.SINAPI-S'!A:J,2,0),IF(D423="SINAPI-I",VLOOKUP(B423,'20-A.SINAPI-I'!A:G,2,0),IF(D423="COMPOSIÇÕES",VLOOKUP(B423,'11.COMPOSIÇÕES GERAIS'!B:I,2,0),VLOOKUP(B423,'12.COT.MERCADO'!A:I,2,0)))),"Em Elaboração")</f>
        <v>UNIAO PVC, ROSCAVEL 1/2",  AGUA FRIA PREDIAL</v>
      </c>
      <c r="F423" s="258" t="str">
        <f>IFERROR(IF(D423="SINAPI-S",VLOOKUP(B423,'20-B.SINAPI-S'!A:J,3,0),IF(D423="SINAPI-I",VLOOKUP(B423,'20-A.SINAPI-I'!A:G,3,0),IF(D423="COMPOSIÇÕES",VLOOKUP(B423,'11.COMPOSIÇÕES GERAIS'!B:I,3,0),VLOOKUP(B423,'12.COT.MERCADO'!A:I,7,0)))),"Em Elaboração")</f>
        <v>UN</v>
      </c>
      <c r="G423" s="254">
        <v>4.0</v>
      </c>
      <c r="H423" s="259">
        <f>IFERROR(IF(D423="SINAPI-S",VLOOKUP(B423,'20-B.SINAPI-S'!A:J,5,0),IF(D423="SINAPI-I",VLOOKUP(B423,'20-A.SINAPI-I'!A:G,6,0),IF(D423="COMPOSIÇÕES",VLOOKUP(B423,'11.COMPOSIÇÕES GERAIS'!B:I,7,0),0))),"Em Elaboração")</f>
        <v>0</v>
      </c>
      <c r="I423" s="259">
        <f>IFERROR(IF(D423="SINAPI-S",VLOOKUP(B423,'20-B.SINAPI-S'!A:J,6,0),IF(D423="SINAPI-I",VLOOKUP(B423,'20-A.SINAPI-I'!A:G,7,0),IF(D423="COMPOSIÇÕES",VLOOKUP(B423,'11.COMPOSIÇÕES GERAIS'!B:I,8,0),VLOOKUP(B423,'12.COT.MERCADO'!A:I,8,0)))),"Em Elaboração")</f>
        <v>7.06</v>
      </c>
      <c r="J423" s="259">
        <f t="shared" si="13"/>
        <v>0</v>
      </c>
      <c r="K423" s="259">
        <f t="shared" si="14"/>
        <v>8.269622171</v>
      </c>
      <c r="L423" s="259">
        <f t="shared" si="15"/>
        <v>8.269622171</v>
      </c>
      <c r="M423" s="259">
        <f t="shared" si="16"/>
        <v>0</v>
      </c>
      <c r="N423" s="259">
        <f t="shared" si="17"/>
        <v>33.07848868</v>
      </c>
      <c r="O423" s="259">
        <f t="shared" si="18"/>
        <v>33.07848868</v>
      </c>
      <c r="P423" s="586">
        <f t="shared" si="3"/>
        <v>0.0001803206349</v>
      </c>
    </row>
    <row r="424">
      <c r="A424" s="253" t="s">
        <v>968</v>
      </c>
      <c r="B424" s="254">
        <v>9905.0</v>
      </c>
      <c r="C424" s="255" t="str">
        <f t="shared" si="12"/>
        <v>SINAPI</v>
      </c>
      <c r="D424" s="256" t="s">
        <v>286</v>
      </c>
      <c r="E424" s="257" t="str">
        <f>IFERROR(IF(D424="SINAPI-S",VLOOKUP(B424,'20-B.SINAPI-S'!A:J,2,0),IF(D424="SINAPI-I",VLOOKUP(B424,'20-A.SINAPI-I'!A:G,2,0),IF(D424="COMPOSIÇÕES",VLOOKUP(B424,'11.COMPOSIÇÕES GERAIS'!B:I,2,0),VLOOKUP(B424,'12.COT.MERCADO'!A:I,2,0)))),"Em Elaboração")</f>
        <v>UNIAO PVC, SOLDAVEL, 20 MM,  PARA AGUA FRIA PREDIAL</v>
      </c>
      <c r="F424" s="258" t="str">
        <f>IFERROR(IF(D424="SINAPI-S",VLOOKUP(B424,'20-B.SINAPI-S'!A:J,3,0),IF(D424="SINAPI-I",VLOOKUP(B424,'20-A.SINAPI-I'!A:G,3,0),IF(D424="COMPOSIÇÕES",VLOOKUP(B424,'11.COMPOSIÇÕES GERAIS'!B:I,3,0),VLOOKUP(B424,'12.COT.MERCADO'!A:I,7,0)))),"Em Elaboração")</f>
        <v>UN</v>
      </c>
      <c r="G424" s="254">
        <v>4.0</v>
      </c>
      <c r="H424" s="259">
        <f>IFERROR(IF(D424="SINAPI-S",VLOOKUP(B424,'20-B.SINAPI-S'!A:J,5,0),IF(D424="SINAPI-I",VLOOKUP(B424,'20-A.SINAPI-I'!A:G,6,0),IF(D424="COMPOSIÇÕES",VLOOKUP(B424,'11.COMPOSIÇÕES GERAIS'!B:I,7,0),0))),"Em Elaboração")</f>
        <v>0</v>
      </c>
      <c r="I424" s="259">
        <f>IFERROR(IF(D424="SINAPI-S",VLOOKUP(B424,'20-B.SINAPI-S'!A:J,6,0),IF(D424="SINAPI-I",VLOOKUP(B424,'20-A.SINAPI-I'!A:G,7,0),IF(D424="COMPOSIÇÕES",VLOOKUP(B424,'11.COMPOSIÇÕES GERAIS'!B:I,8,0),VLOOKUP(B424,'12.COT.MERCADO'!A:I,8,0)))),"Em Elaboração")</f>
        <v>6.94</v>
      </c>
      <c r="J424" s="259">
        <f t="shared" si="13"/>
        <v>0</v>
      </c>
      <c r="K424" s="259">
        <f t="shared" si="14"/>
        <v>8.129062021</v>
      </c>
      <c r="L424" s="259">
        <f t="shared" si="15"/>
        <v>8.129062021</v>
      </c>
      <c r="M424" s="259">
        <f t="shared" si="16"/>
        <v>0</v>
      </c>
      <c r="N424" s="259">
        <f t="shared" si="17"/>
        <v>32.51624808</v>
      </c>
      <c r="O424" s="259">
        <f t="shared" si="18"/>
        <v>32.51624808</v>
      </c>
      <c r="P424" s="586">
        <f t="shared" si="3"/>
        <v>0.0001772556949</v>
      </c>
    </row>
    <row r="425">
      <c r="A425" s="253" t="s">
        <v>969</v>
      </c>
      <c r="B425" s="254">
        <v>9906.0</v>
      </c>
      <c r="C425" s="255" t="str">
        <f t="shared" si="12"/>
        <v>SINAPI</v>
      </c>
      <c r="D425" s="256" t="s">
        <v>286</v>
      </c>
      <c r="E425" s="257" t="str">
        <f>IFERROR(IF(D425="SINAPI-S",VLOOKUP(B425,'20-B.SINAPI-S'!A:J,2,0),IF(D425="SINAPI-I",VLOOKUP(B425,'20-A.SINAPI-I'!A:G,2,0),IF(D425="COMPOSIÇÕES",VLOOKUP(B425,'11.COMPOSIÇÕES GERAIS'!B:I,2,0),VLOOKUP(B425,'12.COT.MERCADO'!A:I,2,0)))),"Em Elaboração")</f>
        <v>UNIAO PVC, SOLDAVEL, 25 MM,  PARA AGUA FRIA PREDIAL</v>
      </c>
      <c r="F425" s="258" t="str">
        <f>IFERROR(IF(D425="SINAPI-S",VLOOKUP(B425,'20-B.SINAPI-S'!A:J,3,0),IF(D425="SINAPI-I",VLOOKUP(B425,'20-A.SINAPI-I'!A:G,3,0),IF(D425="COMPOSIÇÕES",VLOOKUP(B425,'11.COMPOSIÇÕES GERAIS'!B:I,3,0),VLOOKUP(B425,'12.COT.MERCADO'!A:I,7,0)))),"Em Elaboração")</f>
        <v>UN</v>
      </c>
      <c r="G425" s="254">
        <v>4.0</v>
      </c>
      <c r="H425" s="259">
        <f>IFERROR(IF(D425="SINAPI-S",VLOOKUP(B425,'20-B.SINAPI-S'!A:J,5,0),IF(D425="SINAPI-I",VLOOKUP(B425,'20-A.SINAPI-I'!A:G,6,0),IF(D425="COMPOSIÇÕES",VLOOKUP(B425,'11.COMPOSIÇÕES GERAIS'!B:I,7,0),0))),"Em Elaboração")</f>
        <v>0</v>
      </c>
      <c r="I425" s="259">
        <f>IFERROR(IF(D425="SINAPI-S",VLOOKUP(B425,'20-B.SINAPI-S'!A:J,6,0),IF(D425="SINAPI-I",VLOOKUP(B425,'20-A.SINAPI-I'!A:G,7,0),IF(D425="COMPOSIÇÕES",VLOOKUP(B425,'11.COMPOSIÇÕES GERAIS'!B:I,8,0),VLOOKUP(B425,'12.COT.MERCADO'!A:I,8,0)))),"Em Elaboração")</f>
        <v>8.37</v>
      </c>
      <c r="J425" s="259">
        <f t="shared" si="13"/>
        <v>0</v>
      </c>
      <c r="K425" s="259">
        <f t="shared" si="14"/>
        <v>9.804070478</v>
      </c>
      <c r="L425" s="259">
        <f t="shared" si="15"/>
        <v>9.804070478</v>
      </c>
      <c r="M425" s="259">
        <f t="shared" si="16"/>
        <v>0</v>
      </c>
      <c r="N425" s="259">
        <f t="shared" si="17"/>
        <v>39.21628191</v>
      </c>
      <c r="O425" s="259">
        <f t="shared" si="18"/>
        <v>39.21628191</v>
      </c>
      <c r="P425" s="586">
        <f t="shared" si="3"/>
        <v>0.0002137795628</v>
      </c>
    </row>
    <row r="426">
      <c r="A426" s="253" t="s">
        <v>970</v>
      </c>
      <c r="B426" s="254">
        <v>9899.0</v>
      </c>
      <c r="C426" s="255" t="str">
        <f t="shared" si="12"/>
        <v>SINAPI</v>
      </c>
      <c r="D426" s="256" t="s">
        <v>286</v>
      </c>
      <c r="E426" s="257" t="str">
        <f>IFERROR(IF(D426="SINAPI-S",VLOOKUP(B426,'20-B.SINAPI-S'!A:J,2,0),IF(D426="SINAPI-I",VLOOKUP(B426,'20-A.SINAPI-I'!A:G,2,0),IF(D426="COMPOSIÇÕES",VLOOKUP(B426,'11.COMPOSIÇÕES GERAIS'!B:I,2,0),VLOOKUP(B426,'12.COT.MERCADO'!A:I,2,0)))),"Em Elaboração")</f>
        <v>UNIAO PVC, ROSCAVEL, 3/4",  AGUA FRIA PREDIAL</v>
      </c>
      <c r="F426" s="258" t="str">
        <f>IFERROR(IF(D426="SINAPI-S",VLOOKUP(B426,'20-B.SINAPI-S'!A:J,3,0),IF(D426="SINAPI-I",VLOOKUP(B426,'20-A.SINAPI-I'!A:G,3,0),IF(D426="COMPOSIÇÕES",VLOOKUP(B426,'11.COMPOSIÇÕES GERAIS'!B:I,3,0),VLOOKUP(B426,'12.COT.MERCADO'!A:I,7,0)))),"Em Elaboração")</f>
        <v>UN</v>
      </c>
      <c r="G426" s="254">
        <v>4.0</v>
      </c>
      <c r="H426" s="259">
        <f>IFERROR(IF(D426="SINAPI-S",VLOOKUP(B426,'20-B.SINAPI-S'!A:J,5,0),IF(D426="SINAPI-I",VLOOKUP(B426,'20-A.SINAPI-I'!A:G,6,0),IF(D426="COMPOSIÇÕES",VLOOKUP(B426,'11.COMPOSIÇÕES GERAIS'!B:I,7,0),0))),"Em Elaboração")</f>
        <v>0</v>
      </c>
      <c r="I426" s="259">
        <f>IFERROR(IF(D426="SINAPI-S",VLOOKUP(B426,'20-B.SINAPI-S'!A:J,6,0),IF(D426="SINAPI-I",VLOOKUP(B426,'20-A.SINAPI-I'!A:G,7,0),IF(D426="COMPOSIÇÕES",VLOOKUP(B426,'11.COMPOSIÇÕES GERAIS'!B:I,8,0),VLOOKUP(B426,'12.COT.MERCADO'!A:I,8,0)))),"Em Elaboração")</f>
        <v>8.87</v>
      </c>
      <c r="J426" s="259">
        <f t="shared" si="13"/>
        <v>0</v>
      </c>
      <c r="K426" s="259">
        <f t="shared" si="14"/>
        <v>10.38973777</v>
      </c>
      <c r="L426" s="259">
        <f t="shared" si="15"/>
        <v>10.38973777</v>
      </c>
      <c r="M426" s="259">
        <f t="shared" si="16"/>
        <v>0</v>
      </c>
      <c r="N426" s="259">
        <f t="shared" si="17"/>
        <v>41.55895108</v>
      </c>
      <c r="O426" s="259">
        <f t="shared" si="18"/>
        <v>41.55895108</v>
      </c>
      <c r="P426" s="586">
        <f t="shared" si="3"/>
        <v>0.0002265501461</v>
      </c>
    </row>
    <row r="427">
      <c r="A427" s="253" t="s">
        <v>971</v>
      </c>
      <c r="B427" s="254">
        <v>9907.0</v>
      </c>
      <c r="C427" s="255" t="str">
        <f t="shared" si="12"/>
        <v>SINAPI</v>
      </c>
      <c r="D427" s="256" t="s">
        <v>286</v>
      </c>
      <c r="E427" s="257" t="str">
        <f>IFERROR(IF(D427="SINAPI-S",VLOOKUP(B427,'20-B.SINAPI-S'!A:J,2,0),IF(D427="SINAPI-I",VLOOKUP(B427,'20-A.SINAPI-I'!A:G,2,0),IF(D427="COMPOSIÇÕES",VLOOKUP(B427,'11.COMPOSIÇÕES GERAIS'!B:I,2,0),VLOOKUP(B427,'12.COT.MERCADO'!A:I,2,0)))),"Em Elaboração")</f>
        <v>UNIAO PVC, SOLDAVEL, 85 MM,  PARA AGUA FRIA PREDIAL</v>
      </c>
      <c r="F427" s="258" t="str">
        <f>IFERROR(IF(D427="SINAPI-S",VLOOKUP(B427,'20-B.SINAPI-S'!A:J,3,0),IF(D427="SINAPI-I",VLOOKUP(B427,'20-A.SINAPI-I'!A:G,3,0),IF(D427="COMPOSIÇÕES",VLOOKUP(B427,'11.COMPOSIÇÕES GERAIS'!B:I,3,0),VLOOKUP(B427,'12.COT.MERCADO'!A:I,7,0)))),"Em Elaboração")</f>
        <v>UN</v>
      </c>
      <c r="G427" s="254">
        <v>4.0</v>
      </c>
      <c r="H427" s="259">
        <f>IFERROR(IF(D427="SINAPI-S",VLOOKUP(B427,'20-B.SINAPI-S'!A:J,5,0),IF(D427="SINAPI-I",VLOOKUP(B427,'20-A.SINAPI-I'!A:G,6,0),IF(D427="COMPOSIÇÕES",VLOOKUP(B427,'11.COMPOSIÇÕES GERAIS'!B:I,7,0),0))),"Em Elaboração")</f>
        <v>0</v>
      </c>
      <c r="I427" s="259">
        <f>IFERROR(IF(D427="SINAPI-S",VLOOKUP(B427,'20-B.SINAPI-S'!A:J,6,0),IF(D427="SINAPI-I",VLOOKUP(B427,'20-A.SINAPI-I'!A:G,7,0),IF(D427="COMPOSIÇÕES",VLOOKUP(B427,'11.COMPOSIÇÕES GERAIS'!B:I,8,0),VLOOKUP(B427,'12.COT.MERCADO'!A:I,8,0)))),"Em Elaboração")</f>
        <v>181.08</v>
      </c>
      <c r="J427" s="259">
        <f t="shared" si="13"/>
        <v>0</v>
      </c>
      <c r="K427" s="259">
        <f t="shared" si="14"/>
        <v>212.1052667</v>
      </c>
      <c r="L427" s="259">
        <f t="shared" si="15"/>
        <v>212.1052667</v>
      </c>
      <c r="M427" s="259">
        <f t="shared" si="16"/>
        <v>0</v>
      </c>
      <c r="N427" s="259">
        <f t="shared" si="17"/>
        <v>848.4210667</v>
      </c>
      <c r="O427" s="259">
        <f t="shared" si="18"/>
        <v>848.4210667</v>
      </c>
      <c r="P427" s="586">
        <f t="shared" si="3"/>
        <v>0.004624994413</v>
      </c>
    </row>
    <row r="428">
      <c r="A428" s="253" t="s">
        <v>972</v>
      </c>
      <c r="B428" s="254">
        <v>9895.0</v>
      </c>
      <c r="C428" s="255" t="str">
        <f t="shared" si="12"/>
        <v>SINAPI</v>
      </c>
      <c r="D428" s="256" t="s">
        <v>286</v>
      </c>
      <c r="E428" s="257" t="str">
        <f>IFERROR(IF(D428="SINAPI-S",VLOOKUP(B428,'20-B.SINAPI-S'!A:J,2,0),IF(D428="SINAPI-I",VLOOKUP(B428,'20-A.SINAPI-I'!A:G,2,0),IF(D428="COMPOSIÇÕES",VLOOKUP(B428,'11.COMPOSIÇÕES GERAIS'!B:I,2,0),VLOOKUP(B428,'12.COT.MERCADO'!A:I,2,0)))),"Em Elaboração")</f>
        <v>UNIAO PVC, SOLDAVEL, 32 MM,  PARA AGUA FRIA PREDIAL</v>
      </c>
      <c r="F428" s="258" t="str">
        <f>IFERROR(IF(D428="SINAPI-S",VLOOKUP(B428,'20-B.SINAPI-S'!A:J,3,0),IF(D428="SINAPI-I",VLOOKUP(B428,'20-A.SINAPI-I'!A:G,3,0),IF(D428="COMPOSIÇÕES",VLOOKUP(B428,'11.COMPOSIÇÕES GERAIS'!B:I,3,0),VLOOKUP(B428,'12.COT.MERCADO'!A:I,7,0)))),"Em Elaboração")</f>
        <v>UN</v>
      </c>
      <c r="G428" s="254">
        <v>4.0</v>
      </c>
      <c r="H428" s="259">
        <f>IFERROR(IF(D428="SINAPI-S",VLOOKUP(B428,'20-B.SINAPI-S'!A:J,5,0),IF(D428="SINAPI-I",VLOOKUP(B428,'20-A.SINAPI-I'!A:G,6,0),IF(D428="COMPOSIÇÕES",VLOOKUP(B428,'11.COMPOSIÇÕES GERAIS'!B:I,7,0),0))),"Em Elaboração")</f>
        <v>0</v>
      </c>
      <c r="I428" s="259">
        <f>IFERROR(IF(D428="SINAPI-S",VLOOKUP(B428,'20-B.SINAPI-S'!A:J,6,0),IF(D428="SINAPI-I",VLOOKUP(B428,'20-A.SINAPI-I'!A:G,7,0),IF(D428="COMPOSIÇÕES",VLOOKUP(B428,'11.COMPOSIÇÕES GERAIS'!B:I,8,0),VLOOKUP(B428,'12.COT.MERCADO'!A:I,8,0)))),"Em Elaboração")</f>
        <v>14.09</v>
      </c>
      <c r="J428" s="259">
        <f t="shared" si="13"/>
        <v>0</v>
      </c>
      <c r="K428" s="259">
        <f t="shared" si="14"/>
        <v>16.5041043</v>
      </c>
      <c r="L428" s="259">
        <f t="shared" si="15"/>
        <v>16.5041043</v>
      </c>
      <c r="M428" s="259">
        <f t="shared" si="16"/>
        <v>0</v>
      </c>
      <c r="N428" s="259">
        <f t="shared" si="17"/>
        <v>66.01641722</v>
      </c>
      <c r="O428" s="259">
        <f t="shared" si="18"/>
        <v>66.01641722</v>
      </c>
      <c r="P428" s="586">
        <f t="shared" si="3"/>
        <v>0.0003598750347</v>
      </c>
    </row>
    <row r="429">
      <c r="A429" s="253" t="s">
        <v>973</v>
      </c>
      <c r="B429" s="254">
        <v>9894.0</v>
      </c>
      <c r="C429" s="255" t="str">
        <f t="shared" si="12"/>
        <v>SINAPI</v>
      </c>
      <c r="D429" s="256" t="s">
        <v>286</v>
      </c>
      <c r="E429" s="257" t="str">
        <f>IFERROR(IF(D429="SINAPI-S",VLOOKUP(B429,'20-B.SINAPI-S'!A:J,2,0),IF(D429="SINAPI-I",VLOOKUP(B429,'20-A.SINAPI-I'!A:G,2,0),IF(D429="COMPOSIÇÕES",VLOOKUP(B429,'11.COMPOSIÇÕES GERAIS'!B:I,2,0),VLOOKUP(B429,'12.COT.MERCADO'!A:I,2,0)))),"Em Elaboração")</f>
        <v>UNIAO PVC, SOLDAVEL, 40 MM,  PARA AGUA FRIA PREDIAL</v>
      </c>
      <c r="F429" s="258" t="str">
        <f>IFERROR(IF(D429="SINAPI-S",VLOOKUP(B429,'20-B.SINAPI-S'!A:J,3,0),IF(D429="SINAPI-I",VLOOKUP(B429,'20-A.SINAPI-I'!A:G,3,0),IF(D429="COMPOSIÇÕES",VLOOKUP(B429,'11.COMPOSIÇÕES GERAIS'!B:I,3,0),VLOOKUP(B429,'12.COT.MERCADO'!A:I,7,0)))),"Em Elaboração")</f>
        <v>UN</v>
      </c>
      <c r="G429" s="254">
        <v>4.0</v>
      </c>
      <c r="H429" s="259">
        <f>IFERROR(IF(D429="SINAPI-S",VLOOKUP(B429,'20-B.SINAPI-S'!A:J,5,0),IF(D429="SINAPI-I",VLOOKUP(B429,'20-A.SINAPI-I'!A:G,6,0),IF(D429="COMPOSIÇÕES",VLOOKUP(B429,'11.COMPOSIÇÕES GERAIS'!B:I,7,0),0))),"Em Elaboração")</f>
        <v>0</v>
      </c>
      <c r="I429" s="259">
        <f>IFERROR(IF(D429="SINAPI-S",VLOOKUP(B429,'20-B.SINAPI-S'!A:J,6,0),IF(D429="SINAPI-I",VLOOKUP(B429,'20-A.SINAPI-I'!A:G,7,0),IF(D429="COMPOSIÇÕES",VLOOKUP(B429,'11.COMPOSIÇÕES GERAIS'!B:I,8,0),VLOOKUP(B429,'12.COT.MERCADO'!A:I,8,0)))),"Em Elaboração")</f>
        <v>27.11</v>
      </c>
      <c r="J429" s="259">
        <f t="shared" si="13"/>
        <v>0</v>
      </c>
      <c r="K429" s="259">
        <f t="shared" si="14"/>
        <v>31.7548806</v>
      </c>
      <c r="L429" s="259">
        <f t="shared" si="15"/>
        <v>31.7548806</v>
      </c>
      <c r="M429" s="259">
        <f t="shared" si="16"/>
        <v>0</v>
      </c>
      <c r="N429" s="259">
        <f t="shared" si="17"/>
        <v>127.0195224</v>
      </c>
      <c r="O429" s="259">
        <f t="shared" si="18"/>
        <v>127.0195224</v>
      </c>
      <c r="P429" s="586">
        <f t="shared" si="3"/>
        <v>0.0006924210214</v>
      </c>
    </row>
    <row r="430">
      <c r="A430" s="253" t="s">
        <v>974</v>
      </c>
      <c r="B430" s="254">
        <v>9897.0</v>
      </c>
      <c r="C430" s="255" t="str">
        <f t="shared" si="12"/>
        <v>SINAPI</v>
      </c>
      <c r="D430" s="256" t="s">
        <v>286</v>
      </c>
      <c r="E430" s="257" t="str">
        <f>IFERROR(IF(D430="SINAPI-S",VLOOKUP(B430,'20-B.SINAPI-S'!A:J,2,0),IF(D430="SINAPI-I",VLOOKUP(B430,'20-A.SINAPI-I'!A:G,2,0),IF(D430="COMPOSIÇÕES",VLOOKUP(B430,'11.COMPOSIÇÕES GERAIS'!B:I,2,0),VLOOKUP(B430,'12.COT.MERCADO'!A:I,2,0)))),"Em Elaboração")</f>
        <v>UNIAO PVC, SOLDAVEL, 50 MM,  PARA AGUA FRIA PREDIAL</v>
      </c>
      <c r="F430" s="258" t="str">
        <f>IFERROR(IF(D430="SINAPI-S",VLOOKUP(B430,'20-B.SINAPI-S'!A:J,3,0),IF(D430="SINAPI-I",VLOOKUP(B430,'20-A.SINAPI-I'!A:G,3,0),IF(D430="COMPOSIÇÕES",VLOOKUP(B430,'11.COMPOSIÇÕES GERAIS'!B:I,3,0),VLOOKUP(B430,'12.COT.MERCADO'!A:I,7,0)))),"Em Elaboração")</f>
        <v>UN</v>
      </c>
      <c r="G430" s="254">
        <v>4.0</v>
      </c>
      <c r="H430" s="259">
        <f>IFERROR(IF(D430="SINAPI-S",VLOOKUP(B430,'20-B.SINAPI-S'!A:J,5,0),IF(D430="SINAPI-I",VLOOKUP(B430,'20-A.SINAPI-I'!A:G,6,0),IF(D430="COMPOSIÇÕES",VLOOKUP(B430,'11.COMPOSIÇÕES GERAIS'!B:I,7,0),0))),"Em Elaboração")</f>
        <v>0</v>
      </c>
      <c r="I430" s="259">
        <f>IFERROR(IF(D430="SINAPI-S",VLOOKUP(B430,'20-B.SINAPI-S'!A:J,6,0),IF(D430="SINAPI-I",VLOOKUP(B430,'20-A.SINAPI-I'!A:G,7,0),IF(D430="COMPOSIÇÕES",VLOOKUP(B430,'11.COMPOSIÇÕES GERAIS'!B:I,8,0),VLOOKUP(B430,'12.COT.MERCADO'!A:I,8,0)))),"Em Elaboração")</f>
        <v>28.94</v>
      </c>
      <c r="J430" s="259">
        <f t="shared" si="13"/>
        <v>0</v>
      </c>
      <c r="K430" s="259">
        <f t="shared" si="14"/>
        <v>33.89842289</v>
      </c>
      <c r="L430" s="259">
        <f t="shared" si="15"/>
        <v>33.89842289</v>
      </c>
      <c r="M430" s="259">
        <f t="shared" si="16"/>
        <v>0</v>
      </c>
      <c r="N430" s="259">
        <f t="shared" si="17"/>
        <v>135.5936916</v>
      </c>
      <c r="O430" s="259">
        <f t="shared" si="18"/>
        <v>135.5936916</v>
      </c>
      <c r="P430" s="586">
        <f t="shared" si="3"/>
        <v>0.0007391613559</v>
      </c>
    </row>
    <row r="431">
      <c r="A431" s="253" t="s">
        <v>975</v>
      </c>
      <c r="B431" s="254">
        <v>9910.0</v>
      </c>
      <c r="C431" s="255" t="str">
        <f t="shared" si="12"/>
        <v>SINAPI</v>
      </c>
      <c r="D431" s="256" t="s">
        <v>286</v>
      </c>
      <c r="E431" s="257" t="str">
        <f>IFERROR(IF(D431="SINAPI-S",VLOOKUP(B431,'20-B.SINAPI-S'!A:J,2,0),IF(D431="SINAPI-I",VLOOKUP(B431,'20-A.SINAPI-I'!A:G,2,0),IF(D431="COMPOSIÇÕES",VLOOKUP(B431,'11.COMPOSIÇÕES GERAIS'!B:I,2,0),VLOOKUP(B431,'12.COT.MERCADO'!A:I,2,0)))),"Em Elaboração")</f>
        <v>UNIAO PVC, SOLDAVEL, 60 MM,  PARA AGUA FRIA PREDIAL</v>
      </c>
      <c r="F431" s="258" t="str">
        <f>IFERROR(IF(D431="SINAPI-S",VLOOKUP(B431,'20-B.SINAPI-S'!A:J,3,0),IF(D431="SINAPI-I",VLOOKUP(B431,'20-A.SINAPI-I'!A:G,3,0),IF(D431="COMPOSIÇÕES",VLOOKUP(B431,'11.COMPOSIÇÕES GERAIS'!B:I,3,0),VLOOKUP(B431,'12.COT.MERCADO'!A:I,7,0)))),"Em Elaboração")</f>
        <v>UN</v>
      </c>
      <c r="G431" s="254">
        <v>4.0</v>
      </c>
      <c r="H431" s="259">
        <f>IFERROR(IF(D431="SINAPI-S",VLOOKUP(B431,'20-B.SINAPI-S'!A:J,5,0),IF(D431="SINAPI-I",VLOOKUP(B431,'20-A.SINAPI-I'!A:G,6,0),IF(D431="COMPOSIÇÕES",VLOOKUP(B431,'11.COMPOSIÇÕES GERAIS'!B:I,7,0),0))),"Em Elaboração")</f>
        <v>0</v>
      </c>
      <c r="I431" s="259">
        <f>IFERROR(IF(D431="SINAPI-S",VLOOKUP(B431,'20-B.SINAPI-S'!A:J,6,0),IF(D431="SINAPI-I",VLOOKUP(B431,'20-A.SINAPI-I'!A:G,7,0),IF(D431="COMPOSIÇÕES",VLOOKUP(B431,'11.COMPOSIÇÕES GERAIS'!B:I,8,0),VLOOKUP(B431,'12.COT.MERCADO'!A:I,8,0)))),"Em Elaboração")</f>
        <v>75.31</v>
      </c>
      <c r="J431" s="259">
        <f t="shared" si="13"/>
        <v>0</v>
      </c>
      <c r="K431" s="259">
        <f t="shared" si="14"/>
        <v>88.21320761</v>
      </c>
      <c r="L431" s="259">
        <f t="shared" si="15"/>
        <v>88.21320761</v>
      </c>
      <c r="M431" s="259">
        <f t="shared" si="16"/>
        <v>0</v>
      </c>
      <c r="N431" s="259">
        <f t="shared" si="17"/>
        <v>352.8528304</v>
      </c>
      <c r="O431" s="259">
        <f t="shared" si="18"/>
        <v>352.8528304</v>
      </c>
      <c r="P431" s="586">
        <f t="shared" si="3"/>
        <v>0.001923505242</v>
      </c>
    </row>
    <row r="432">
      <c r="A432" s="253" t="s">
        <v>976</v>
      </c>
      <c r="B432" s="254">
        <v>9909.0</v>
      </c>
      <c r="C432" s="255" t="str">
        <f t="shared" si="12"/>
        <v>SINAPI</v>
      </c>
      <c r="D432" s="256" t="s">
        <v>286</v>
      </c>
      <c r="E432" s="257" t="str">
        <f>IFERROR(IF(D432="SINAPI-S",VLOOKUP(B432,'20-B.SINAPI-S'!A:J,2,0),IF(D432="SINAPI-I",VLOOKUP(B432,'20-A.SINAPI-I'!A:G,2,0),IF(D432="COMPOSIÇÕES",VLOOKUP(B432,'11.COMPOSIÇÕES GERAIS'!B:I,2,0),VLOOKUP(B432,'12.COT.MERCADO'!A:I,2,0)))),"Em Elaboração")</f>
        <v>UNIAO PVC, SOLDAVEL, 75 MM,  PARA AGUA FRIA PREDIAL</v>
      </c>
      <c r="F432" s="258" t="str">
        <f>IFERROR(IF(D432="SINAPI-S",VLOOKUP(B432,'20-B.SINAPI-S'!A:J,3,0),IF(D432="SINAPI-I",VLOOKUP(B432,'20-A.SINAPI-I'!A:G,3,0),IF(D432="COMPOSIÇÕES",VLOOKUP(B432,'11.COMPOSIÇÕES GERAIS'!B:I,3,0),VLOOKUP(B432,'12.COT.MERCADO'!A:I,7,0)))),"Em Elaboração")</f>
        <v>UN</v>
      </c>
      <c r="G432" s="254">
        <v>4.0</v>
      </c>
      <c r="H432" s="259">
        <f>IFERROR(IF(D432="SINAPI-S",VLOOKUP(B432,'20-B.SINAPI-S'!A:J,5,0),IF(D432="SINAPI-I",VLOOKUP(B432,'20-A.SINAPI-I'!A:G,6,0),IF(D432="COMPOSIÇÕES",VLOOKUP(B432,'11.COMPOSIÇÕES GERAIS'!B:I,7,0),0))),"Em Elaboração")</f>
        <v>0</v>
      </c>
      <c r="I432" s="259">
        <f>IFERROR(IF(D432="SINAPI-S",VLOOKUP(B432,'20-B.SINAPI-S'!A:J,6,0),IF(D432="SINAPI-I",VLOOKUP(B432,'20-A.SINAPI-I'!A:G,7,0),IF(D432="COMPOSIÇÕES",VLOOKUP(B432,'11.COMPOSIÇÕES GERAIS'!B:I,8,0),VLOOKUP(B432,'12.COT.MERCADO'!A:I,8,0)))),"Em Elaboração")</f>
        <v>153.37</v>
      </c>
      <c r="J432" s="259">
        <f t="shared" si="13"/>
        <v>0</v>
      </c>
      <c r="K432" s="259">
        <f t="shared" si="14"/>
        <v>179.6475853</v>
      </c>
      <c r="L432" s="259">
        <f t="shared" si="15"/>
        <v>179.6475853</v>
      </c>
      <c r="M432" s="259">
        <f t="shared" si="16"/>
        <v>0</v>
      </c>
      <c r="N432" s="259">
        <f t="shared" si="17"/>
        <v>718.5903413</v>
      </c>
      <c r="O432" s="259">
        <f t="shared" si="18"/>
        <v>718.5903413</v>
      </c>
      <c r="P432" s="586">
        <f t="shared" si="3"/>
        <v>0.003917248692</v>
      </c>
    </row>
    <row r="433">
      <c r="A433" s="253" t="s">
        <v>977</v>
      </c>
      <c r="B433" s="254">
        <v>10228.0</v>
      </c>
      <c r="C433" s="255" t="str">
        <f t="shared" si="12"/>
        <v>SINAPI</v>
      </c>
      <c r="D433" s="256" t="s">
        <v>286</v>
      </c>
      <c r="E433" s="257" t="str">
        <f>IFERROR(IF(D433="SINAPI-S",VLOOKUP(B433,'20-B.SINAPI-S'!A:J,2,0),IF(D433="SINAPI-I",VLOOKUP(B433,'20-A.SINAPI-I'!A:G,2,0),IF(D433="COMPOSIÇÕES",VLOOKUP(B433,'11.COMPOSIÇÕES GERAIS'!B:I,2,0),VLOOKUP(B433,'12.COT.MERCADO'!A:I,2,0)))),"Em Elaboração")</f>
        <v>VALVULA DE DESCARGA METALICA, BASE 1 1/2 " E ACABAMENTO METALICO CROMADO</v>
      </c>
      <c r="F433" s="258" t="str">
        <f>IFERROR(IF(D433="SINAPI-S",VLOOKUP(B433,'20-B.SINAPI-S'!A:J,3,0),IF(D433="SINAPI-I",VLOOKUP(B433,'20-A.SINAPI-I'!A:G,3,0),IF(D433="COMPOSIÇÕES",VLOOKUP(B433,'11.COMPOSIÇÕES GERAIS'!B:I,3,0),VLOOKUP(B433,'12.COT.MERCADO'!A:I,7,0)))),"Em Elaboração")</f>
        <v>UN</v>
      </c>
      <c r="G433" s="254">
        <v>2.0</v>
      </c>
      <c r="H433" s="259">
        <f>IFERROR(IF(D433="SINAPI-S",VLOOKUP(B433,'20-B.SINAPI-S'!A:J,5,0),IF(D433="SINAPI-I",VLOOKUP(B433,'20-A.SINAPI-I'!A:G,6,0),IF(D433="COMPOSIÇÕES",VLOOKUP(B433,'11.COMPOSIÇÕES GERAIS'!B:I,7,0),0))),"Em Elaboração")</f>
        <v>0</v>
      </c>
      <c r="I433" s="259">
        <f>IFERROR(IF(D433="SINAPI-S",VLOOKUP(B433,'20-B.SINAPI-S'!A:J,6,0),IF(D433="SINAPI-I",VLOOKUP(B433,'20-A.SINAPI-I'!A:G,7,0),IF(D433="COMPOSIÇÕES",VLOOKUP(B433,'11.COMPOSIÇÕES GERAIS'!B:I,8,0),VLOOKUP(B433,'12.COT.MERCADO'!A:I,8,0)))),"Em Elaboração")</f>
        <v>266.85</v>
      </c>
      <c r="J433" s="259">
        <f t="shared" si="13"/>
        <v>0</v>
      </c>
      <c r="K433" s="259">
        <f t="shared" si="14"/>
        <v>312.570634</v>
      </c>
      <c r="L433" s="259">
        <f t="shared" si="15"/>
        <v>312.570634</v>
      </c>
      <c r="M433" s="259">
        <f t="shared" si="16"/>
        <v>0</v>
      </c>
      <c r="N433" s="259">
        <f t="shared" si="17"/>
        <v>625.1412681</v>
      </c>
      <c r="O433" s="259">
        <f t="shared" si="18"/>
        <v>625.1412681</v>
      </c>
      <c r="P433" s="586">
        <f t="shared" si="3"/>
        <v>0.003407830128</v>
      </c>
    </row>
    <row r="434">
      <c r="A434" s="253" t="s">
        <v>978</v>
      </c>
      <c r="B434" s="254">
        <v>21112.0</v>
      </c>
      <c r="C434" s="255" t="str">
        <f t="shared" si="12"/>
        <v>SINAPI</v>
      </c>
      <c r="D434" s="256" t="s">
        <v>286</v>
      </c>
      <c r="E434" s="257" t="str">
        <f>IFERROR(IF(D434="SINAPI-S",VLOOKUP(B434,'20-B.SINAPI-S'!A:J,2,0),IF(D434="SINAPI-I",VLOOKUP(B434,'20-A.SINAPI-I'!A:G,2,0),IF(D434="COMPOSIÇÕES",VLOOKUP(B434,'11.COMPOSIÇÕES GERAIS'!B:I,2,0),VLOOKUP(B434,'12.COT.MERCADO'!A:I,2,0)))),"Em Elaboração")</f>
        <v>VALVULA DE DESCARGA EM METAL CROMADO PARA MICTORIO COM ACIONAMENTO POR PRESSAO E FECHAMENTO AUTOMATICO</v>
      </c>
      <c r="F434" s="258" t="str">
        <f>IFERROR(IF(D434="SINAPI-S",VLOOKUP(B434,'20-B.SINAPI-S'!A:J,3,0),IF(D434="SINAPI-I",VLOOKUP(B434,'20-A.SINAPI-I'!A:G,3,0),IF(D434="COMPOSIÇÕES",VLOOKUP(B434,'11.COMPOSIÇÕES GERAIS'!B:I,3,0),VLOOKUP(B434,'12.COT.MERCADO'!A:I,7,0)))),"Em Elaboração")</f>
        <v>UN</v>
      </c>
      <c r="G434" s="254">
        <v>2.0</v>
      </c>
      <c r="H434" s="259">
        <f>IFERROR(IF(D434="SINAPI-S",VLOOKUP(B434,'20-B.SINAPI-S'!A:J,5,0),IF(D434="SINAPI-I",VLOOKUP(B434,'20-A.SINAPI-I'!A:G,6,0),IF(D434="COMPOSIÇÕES",VLOOKUP(B434,'11.COMPOSIÇÕES GERAIS'!B:I,7,0),0))),"Em Elaboração")</f>
        <v>0</v>
      </c>
      <c r="I434" s="259">
        <f>IFERROR(IF(D434="SINAPI-S",VLOOKUP(B434,'20-B.SINAPI-S'!A:J,6,0),IF(D434="SINAPI-I",VLOOKUP(B434,'20-A.SINAPI-I'!A:G,7,0),IF(D434="COMPOSIÇÕES",VLOOKUP(B434,'11.COMPOSIÇÕES GERAIS'!B:I,8,0),VLOOKUP(B434,'12.COT.MERCADO'!A:I,8,0)))),"Em Elaboração")</f>
        <v>229.7</v>
      </c>
      <c r="J434" s="259">
        <f t="shared" si="13"/>
        <v>0</v>
      </c>
      <c r="K434" s="259">
        <f t="shared" si="14"/>
        <v>269.0555542</v>
      </c>
      <c r="L434" s="259">
        <f t="shared" si="15"/>
        <v>269.0555542</v>
      </c>
      <c r="M434" s="259">
        <f t="shared" si="16"/>
        <v>0</v>
      </c>
      <c r="N434" s="259">
        <f t="shared" si="17"/>
        <v>538.1111084</v>
      </c>
      <c r="O434" s="259">
        <f t="shared" si="18"/>
        <v>538.1111084</v>
      </c>
      <c r="P434" s="586">
        <f t="shared" si="3"/>
        <v>0.002933402962</v>
      </c>
    </row>
    <row r="435">
      <c r="A435" s="253" t="s">
        <v>979</v>
      </c>
      <c r="B435" s="254">
        <v>10408.0</v>
      </c>
      <c r="C435" s="255" t="str">
        <f t="shared" si="12"/>
        <v>SINAPI</v>
      </c>
      <c r="D435" s="256" t="s">
        <v>286</v>
      </c>
      <c r="E435" s="257" t="str">
        <f>IFERROR(IF(D435="SINAPI-S",VLOOKUP(B435,'20-B.SINAPI-S'!A:J,2,0),IF(D435="SINAPI-I",VLOOKUP(B435,'20-A.SINAPI-I'!A:G,2,0),IF(D435="COMPOSIÇÕES",VLOOKUP(B435,'11.COMPOSIÇÕES GERAIS'!B:I,2,0),VLOOKUP(B435,'12.COT.MERCADO'!A:I,2,0)))),"Em Elaboração")</f>
        <v>VALVULA DE RETENCAO HORIZONTAL, DE BRONZE (PN-25), 2", 400 PSI, TAMPA DE PORCA DE UNIAO, EXTREMIDADES COM ROSCA</v>
      </c>
      <c r="F435" s="258" t="str">
        <f>IFERROR(IF(D435="SINAPI-S",VLOOKUP(B435,'20-B.SINAPI-S'!A:J,3,0),IF(D435="SINAPI-I",VLOOKUP(B435,'20-A.SINAPI-I'!A:G,3,0),IF(D435="COMPOSIÇÕES",VLOOKUP(B435,'11.COMPOSIÇÕES GERAIS'!B:I,3,0),VLOOKUP(B435,'12.COT.MERCADO'!A:I,7,0)))),"Em Elaboração")</f>
        <v>UN</v>
      </c>
      <c r="G435" s="254">
        <v>1.0</v>
      </c>
      <c r="H435" s="259">
        <f>IFERROR(IF(D435="SINAPI-S",VLOOKUP(B435,'20-B.SINAPI-S'!A:J,5,0),IF(D435="SINAPI-I",VLOOKUP(B435,'20-A.SINAPI-I'!A:G,6,0),IF(D435="COMPOSIÇÕES",VLOOKUP(B435,'11.COMPOSIÇÕES GERAIS'!B:I,7,0),0))),"Em Elaboração")</f>
        <v>0</v>
      </c>
      <c r="I435" s="259">
        <f>IFERROR(IF(D435="SINAPI-S",VLOOKUP(B435,'20-B.SINAPI-S'!A:J,6,0),IF(D435="SINAPI-I",VLOOKUP(B435,'20-A.SINAPI-I'!A:G,7,0),IF(D435="COMPOSIÇÕES",VLOOKUP(B435,'11.COMPOSIÇÕES GERAIS'!B:I,8,0),VLOOKUP(B435,'12.COT.MERCADO'!A:I,8,0)))),"Em Elaboração")</f>
        <v>359.74</v>
      </c>
      <c r="J435" s="259">
        <f t="shared" si="13"/>
        <v>0</v>
      </c>
      <c r="K435" s="259">
        <f t="shared" si="14"/>
        <v>421.3759037</v>
      </c>
      <c r="L435" s="259">
        <f t="shared" si="15"/>
        <v>421.3759037</v>
      </c>
      <c r="M435" s="259">
        <f t="shared" si="16"/>
        <v>0</v>
      </c>
      <c r="N435" s="259">
        <f t="shared" si="17"/>
        <v>421.3759037</v>
      </c>
      <c r="O435" s="259">
        <f t="shared" si="18"/>
        <v>421.3759037</v>
      </c>
      <c r="P435" s="586">
        <f t="shared" si="3"/>
        <v>0.002297044801</v>
      </c>
    </row>
    <row r="436">
      <c r="A436" s="253" t="s">
        <v>980</v>
      </c>
      <c r="B436" s="254">
        <v>10405.0</v>
      </c>
      <c r="C436" s="255" t="str">
        <f t="shared" si="12"/>
        <v>SINAPI</v>
      </c>
      <c r="D436" s="256" t="s">
        <v>286</v>
      </c>
      <c r="E436" s="257" t="str">
        <f>IFERROR(IF(D436="SINAPI-S",VLOOKUP(B436,'20-B.SINAPI-S'!A:J,2,0),IF(D436="SINAPI-I",VLOOKUP(B436,'20-A.SINAPI-I'!A:G,2,0),IF(D436="COMPOSIÇÕES",VLOOKUP(B436,'11.COMPOSIÇÕES GERAIS'!B:I,2,0),VLOOKUP(B436,'12.COT.MERCADO'!A:I,2,0)))),"Em Elaboração")</f>
        <v>VALVULA DE RETENCAO HORIZONTAL, DE BRONZE (PN-25), 2 1/2", 400 PSI, TAMPA DE PORCA DE UNIAO, EXTREMIDADES COM ROSCA</v>
      </c>
      <c r="F436" s="258" t="str">
        <f>IFERROR(IF(D436="SINAPI-S",VLOOKUP(B436,'20-B.SINAPI-S'!A:J,3,0),IF(D436="SINAPI-I",VLOOKUP(B436,'20-A.SINAPI-I'!A:G,3,0),IF(D436="COMPOSIÇÕES",VLOOKUP(B436,'11.COMPOSIÇÕES GERAIS'!B:I,3,0),VLOOKUP(B436,'12.COT.MERCADO'!A:I,7,0)))),"Em Elaboração")</f>
        <v>UN</v>
      </c>
      <c r="G436" s="254">
        <v>1.0</v>
      </c>
      <c r="H436" s="259">
        <f>IFERROR(IF(D436="SINAPI-S",VLOOKUP(B436,'20-B.SINAPI-S'!A:J,5,0),IF(D436="SINAPI-I",VLOOKUP(B436,'20-A.SINAPI-I'!A:G,6,0),IF(D436="COMPOSIÇÕES",VLOOKUP(B436,'11.COMPOSIÇÕES GERAIS'!B:I,7,0),0))),"Em Elaboração")</f>
        <v>0</v>
      </c>
      <c r="I436" s="259">
        <f>IFERROR(IF(D436="SINAPI-S",VLOOKUP(B436,'20-B.SINAPI-S'!A:J,6,0),IF(D436="SINAPI-I",VLOOKUP(B436,'20-A.SINAPI-I'!A:G,7,0),IF(D436="COMPOSIÇÕES",VLOOKUP(B436,'11.COMPOSIÇÕES GERAIS'!B:I,8,0),VLOOKUP(B436,'12.COT.MERCADO'!A:I,8,0)))),"Em Elaboração")</f>
        <v>514.44</v>
      </c>
      <c r="J436" s="259">
        <f t="shared" si="13"/>
        <v>0</v>
      </c>
      <c r="K436" s="259">
        <f t="shared" si="14"/>
        <v>602.581364</v>
      </c>
      <c r="L436" s="259">
        <f t="shared" si="15"/>
        <v>602.581364</v>
      </c>
      <c r="M436" s="259">
        <f t="shared" si="16"/>
        <v>0</v>
      </c>
      <c r="N436" s="259">
        <f t="shared" si="17"/>
        <v>602.581364</v>
      </c>
      <c r="O436" s="259">
        <f t="shared" si="18"/>
        <v>602.581364</v>
      </c>
      <c r="P436" s="586">
        <f t="shared" si="3"/>
        <v>0.003284849412</v>
      </c>
    </row>
    <row r="437">
      <c r="A437" s="253" t="s">
        <v>981</v>
      </c>
      <c r="B437" s="254">
        <v>10406.0</v>
      </c>
      <c r="C437" s="255" t="str">
        <f t="shared" si="12"/>
        <v>SINAPI</v>
      </c>
      <c r="D437" s="256" t="s">
        <v>286</v>
      </c>
      <c r="E437" s="257" t="str">
        <f>IFERROR(IF(D437="SINAPI-S",VLOOKUP(B437,'20-B.SINAPI-S'!A:J,2,0),IF(D437="SINAPI-I",VLOOKUP(B437,'20-A.SINAPI-I'!A:G,2,0),IF(D437="COMPOSIÇÕES",VLOOKUP(B437,'11.COMPOSIÇÕES GERAIS'!B:I,2,0),VLOOKUP(B437,'12.COT.MERCADO'!A:I,2,0)))),"Em Elaboração")</f>
        <v>VALVULA DE RETENCAO HORIZONTAL, DE BRONZE (PN-25), 3", 400 PSI, TAMPA DE PORCA DE UNIAO, EXTREMIDADES COM ROSCA</v>
      </c>
      <c r="F437" s="258" t="str">
        <f>IFERROR(IF(D437="SINAPI-S",VLOOKUP(B437,'20-B.SINAPI-S'!A:J,3,0),IF(D437="SINAPI-I",VLOOKUP(B437,'20-A.SINAPI-I'!A:G,3,0),IF(D437="COMPOSIÇÕES",VLOOKUP(B437,'11.COMPOSIÇÕES GERAIS'!B:I,3,0),VLOOKUP(B437,'12.COT.MERCADO'!A:I,7,0)))),"Em Elaboração")</f>
        <v>UN</v>
      </c>
      <c r="G437" s="254">
        <v>1.0</v>
      </c>
      <c r="H437" s="259">
        <f>IFERROR(IF(D437="SINAPI-S",VLOOKUP(B437,'20-B.SINAPI-S'!A:J,5,0),IF(D437="SINAPI-I",VLOOKUP(B437,'20-A.SINAPI-I'!A:G,6,0),IF(D437="COMPOSIÇÕES",VLOOKUP(B437,'11.COMPOSIÇÕES GERAIS'!B:I,7,0),0))),"Em Elaboração")</f>
        <v>0</v>
      </c>
      <c r="I437" s="259">
        <f>IFERROR(IF(D437="SINAPI-S",VLOOKUP(B437,'20-B.SINAPI-S'!A:J,6,0),IF(D437="SINAPI-I",VLOOKUP(B437,'20-A.SINAPI-I'!A:G,7,0),IF(D437="COMPOSIÇÕES",VLOOKUP(B437,'11.COMPOSIÇÕES GERAIS'!B:I,8,0),VLOOKUP(B437,'12.COT.MERCADO'!A:I,8,0)))),"Em Elaboração")</f>
        <v>710.55</v>
      </c>
      <c r="J437" s="259">
        <f t="shared" si="13"/>
        <v>0</v>
      </c>
      <c r="K437" s="259">
        <f t="shared" si="14"/>
        <v>832.2917895</v>
      </c>
      <c r="L437" s="259">
        <f t="shared" si="15"/>
        <v>832.2917895</v>
      </c>
      <c r="M437" s="259">
        <f t="shared" si="16"/>
        <v>0</v>
      </c>
      <c r="N437" s="259">
        <f t="shared" si="17"/>
        <v>832.2917895</v>
      </c>
      <c r="O437" s="259">
        <f t="shared" si="18"/>
        <v>832.2917895</v>
      </c>
      <c r="P437" s="586">
        <f t="shared" si="3"/>
        <v>0.004537068948</v>
      </c>
    </row>
    <row r="438">
      <c r="A438" s="253" t="s">
        <v>982</v>
      </c>
      <c r="B438" s="254">
        <v>10407.0</v>
      </c>
      <c r="C438" s="255" t="str">
        <f t="shared" si="12"/>
        <v>SINAPI</v>
      </c>
      <c r="D438" s="256" t="s">
        <v>286</v>
      </c>
      <c r="E438" s="257" t="str">
        <f>IFERROR(IF(D438="SINAPI-S",VLOOKUP(B438,'20-B.SINAPI-S'!A:J,2,0),IF(D438="SINAPI-I",VLOOKUP(B438,'20-A.SINAPI-I'!A:G,2,0),IF(D438="COMPOSIÇÕES",VLOOKUP(B438,'11.COMPOSIÇÕES GERAIS'!B:I,2,0),VLOOKUP(B438,'12.COT.MERCADO'!A:I,2,0)))),"Em Elaboração")</f>
        <v>VALVULA DE RETENCAO HORIZONTAL, DE BRONZE (PN-25), 4", 400 PSI, TAMPA DE PORCA DE UNIAO, EXTREMIDADES COM ROSCA</v>
      </c>
      <c r="F438" s="258" t="str">
        <f>IFERROR(IF(D438="SINAPI-S",VLOOKUP(B438,'20-B.SINAPI-S'!A:J,3,0),IF(D438="SINAPI-I",VLOOKUP(B438,'20-A.SINAPI-I'!A:G,3,0),IF(D438="COMPOSIÇÕES",VLOOKUP(B438,'11.COMPOSIÇÕES GERAIS'!B:I,3,0),VLOOKUP(B438,'12.COT.MERCADO'!A:I,7,0)))),"Em Elaboração")</f>
        <v>UN</v>
      </c>
      <c r="G438" s="254">
        <v>1.0</v>
      </c>
      <c r="H438" s="259">
        <f>IFERROR(IF(D438="SINAPI-S",VLOOKUP(B438,'20-B.SINAPI-S'!A:J,5,0),IF(D438="SINAPI-I",VLOOKUP(B438,'20-A.SINAPI-I'!A:G,6,0),IF(D438="COMPOSIÇÕES",VLOOKUP(B438,'11.COMPOSIÇÕES GERAIS'!B:I,7,0),0))),"Em Elaboração")</f>
        <v>0</v>
      </c>
      <c r="I438" s="259">
        <f>IFERROR(IF(D438="SINAPI-S",VLOOKUP(B438,'20-B.SINAPI-S'!A:J,6,0),IF(D438="SINAPI-I",VLOOKUP(B438,'20-A.SINAPI-I'!A:G,7,0),IF(D438="COMPOSIÇÕES",VLOOKUP(B438,'11.COMPOSIÇÕES GERAIS'!B:I,8,0),VLOOKUP(B438,'12.COT.MERCADO'!A:I,8,0)))),"Em Elaboração")</f>
        <v>1102.07</v>
      </c>
      <c r="J438" s="259">
        <f t="shared" si="13"/>
        <v>0</v>
      </c>
      <c r="K438" s="259">
        <f t="shared" si="14"/>
        <v>1290.892706</v>
      </c>
      <c r="L438" s="259">
        <f t="shared" si="15"/>
        <v>1290.892706</v>
      </c>
      <c r="M438" s="259">
        <f t="shared" si="16"/>
        <v>0</v>
      </c>
      <c r="N438" s="259">
        <f t="shared" si="17"/>
        <v>1290.892706</v>
      </c>
      <c r="O438" s="259">
        <f t="shared" si="18"/>
        <v>1290.892706</v>
      </c>
      <c r="P438" s="586">
        <f t="shared" si="3"/>
        <v>0.007037038316</v>
      </c>
    </row>
    <row r="439">
      <c r="A439" s="253" t="s">
        <v>983</v>
      </c>
      <c r="B439" s="254">
        <v>12657.0</v>
      </c>
      <c r="C439" s="255" t="str">
        <f t="shared" si="12"/>
        <v>SINAPI</v>
      </c>
      <c r="D439" s="256" t="s">
        <v>286</v>
      </c>
      <c r="E439" s="257" t="str">
        <f>IFERROR(IF(D439="SINAPI-S",VLOOKUP(B439,'20-B.SINAPI-S'!A:J,2,0),IF(D439="SINAPI-I",VLOOKUP(B439,'20-A.SINAPI-I'!A:G,2,0),IF(D439="COMPOSIÇÕES",VLOOKUP(B439,'11.COMPOSIÇÕES GERAIS'!B:I,2,0),VLOOKUP(B439,'12.COT.MERCADO'!A:I,2,0)))),"Em Elaboração")</f>
        <v>VALVULA DE RETENCAO VERTICAL, DE BRONZE (PN-16), 2 1/2", 200 PSI, EXTREMIDADES COM ROSCA</v>
      </c>
      <c r="F439" s="258" t="str">
        <f>IFERROR(IF(D439="SINAPI-S",VLOOKUP(B439,'20-B.SINAPI-S'!A:J,3,0),IF(D439="SINAPI-I",VLOOKUP(B439,'20-A.SINAPI-I'!A:G,3,0),IF(D439="COMPOSIÇÕES",VLOOKUP(B439,'11.COMPOSIÇÕES GERAIS'!B:I,3,0),VLOOKUP(B439,'12.COT.MERCADO'!A:I,7,0)))),"Em Elaboração")</f>
        <v>UN</v>
      </c>
      <c r="G439" s="254">
        <v>1.0</v>
      </c>
      <c r="H439" s="259">
        <f>IFERROR(IF(D439="SINAPI-S",VLOOKUP(B439,'20-B.SINAPI-S'!A:J,5,0),IF(D439="SINAPI-I",VLOOKUP(B439,'20-A.SINAPI-I'!A:G,6,0),IF(D439="COMPOSIÇÕES",VLOOKUP(B439,'11.COMPOSIÇÕES GERAIS'!B:I,7,0),0))),"Em Elaboração")</f>
        <v>0</v>
      </c>
      <c r="I439" s="259">
        <f>IFERROR(IF(D439="SINAPI-S",VLOOKUP(B439,'20-B.SINAPI-S'!A:J,6,0),IF(D439="SINAPI-I",VLOOKUP(B439,'20-A.SINAPI-I'!A:G,7,0),IF(D439="COMPOSIÇÕES",VLOOKUP(B439,'11.COMPOSIÇÕES GERAIS'!B:I,8,0),VLOOKUP(B439,'12.COT.MERCADO'!A:I,8,0)))),"Em Elaboração")</f>
        <v>319.16</v>
      </c>
      <c r="J439" s="259">
        <f t="shared" si="13"/>
        <v>0</v>
      </c>
      <c r="K439" s="259">
        <f t="shared" si="14"/>
        <v>373.8431462</v>
      </c>
      <c r="L439" s="259">
        <f t="shared" si="15"/>
        <v>373.8431462</v>
      </c>
      <c r="M439" s="259">
        <f t="shared" si="16"/>
        <v>0</v>
      </c>
      <c r="N439" s="259">
        <f t="shared" si="17"/>
        <v>373.8431462</v>
      </c>
      <c r="O439" s="259">
        <f t="shared" si="18"/>
        <v>373.8431462</v>
      </c>
      <c r="P439" s="586">
        <f t="shared" si="3"/>
        <v>0.002037929668</v>
      </c>
    </row>
    <row r="440">
      <c r="A440" s="253" t="s">
        <v>984</v>
      </c>
      <c r="B440" s="254">
        <v>10414.0</v>
      </c>
      <c r="C440" s="255" t="str">
        <f t="shared" si="12"/>
        <v>SINAPI</v>
      </c>
      <c r="D440" s="256" t="s">
        <v>286</v>
      </c>
      <c r="E440" s="257" t="str">
        <f>IFERROR(IF(D440="SINAPI-S",VLOOKUP(B440,'20-B.SINAPI-S'!A:J,2,0),IF(D440="SINAPI-I",VLOOKUP(B440,'20-A.SINAPI-I'!A:G,2,0),IF(D440="COMPOSIÇÕES",VLOOKUP(B440,'11.COMPOSIÇÕES GERAIS'!B:I,2,0),VLOOKUP(B440,'12.COT.MERCADO'!A:I,2,0)))),"Em Elaboração")</f>
        <v>VALVULA DE RETENCAO VERTICAL, DE BRONZE (PN-16), 3", 200 PSI, EXTREMIDADES COM ROSCA</v>
      </c>
      <c r="F440" s="258" t="str">
        <f>IFERROR(IF(D440="SINAPI-S",VLOOKUP(B440,'20-B.SINAPI-S'!A:J,3,0),IF(D440="SINAPI-I",VLOOKUP(B440,'20-A.SINAPI-I'!A:G,3,0),IF(D440="COMPOSIÇÕES",VLOOKUP(B440,'11.COMPOSIÇÕES GERAIS'!B:I,3,0),VLOOKUP(B440,'12.COT.MERCADO'!A:I,7,0)))),"Em Elaboração")</f>
        <v>UN</v>
      </c>
      <c r="G440" s="254">
        <v>1.0</v>
      </c>
      <c r="H440" s="259">
        <f>IFERROR(IF(D440="SINAPI-S",VLOOKUP(B440,'20-B.SINAPI-S'!A:J,5,0),IF(D440="SINAPI-I",VLOOKUP(B440,'20-A.SINAPI-I'!A:G,6,0),IF(D440="COMPOSIÇÕES",VLOOKUP(B440,'11.COMPOSIÇÕES GERAIS'!B:I,7,0),0))),"Em Elaboração")</f>
        <v>0</v>
      </c>
      <c r="I440" s="259">
        <f>IFERROR(IF(D440="SINAPI-S",VLOOKUP(B440,'20-B.SINAPI-S'!A:J,6,0),IF(D440="SINAPI-I",VLOOKUP(B440,'20-A.SINAPI-I'!A:G,7,0),IF(D440="COMPOSIÇÕES",VLOOKUP(B440,'11.COMPOSIÇÕES GERAIS'!B:I,8,0),VLOOKUP(B440,'12.COT.MERCADO'!A:I,8,0)))),"Em Elaboração")</f>
        <v>435.84</v>
      </c>
      <c r="J440" s="259">
        <f t="shared" si="13"/>
        <v>0</v>
      </c>
      <c r="K440" s="259">
        <f t="shared" si="14"/>
        <v>510.5144656</v>
      </c>
      <c r="L440" s="259">
        <f t="shared" si="15"/>
        <v>510.5144656</v>
      </c>
      <c r="M440" s="259">
        <f t="shared" si="16"/>
        <v>0</v>
      </c>
      <c r="N440" s="259">
        <f t="shared" si="17"/>
        <v>510.5144656</v>
      </c>
      <c r="O440" s="259">
        <f t="shared" si="18"/>
        <v>510.5144656</v>
      </c>
      <c r="P440" s="586">
        <f t="shared" si="3"/>
        <v>0.002782965492</v>
      </c>
    </row>
    <row r="441">
      <c r="A441" s="253" t="s">
        <v>985</v>
      </c>
      <c r="B441" s="254">
        <v>6157.0</v>
      </c>
      <c r="C441" s="255" t="str">
        <f t="shared" si="12"/>
        <v>SINAPI</v>
      </c>
      <c r="D441" s="256" t="s">
        <v>286</v>
      </c>
      <c r="E441" s="257" t="str">
        <f>IFERROR(IF(D441="SINAPI-S",VLOOKUP(B441,'20-B.SINAPI-S'!A:J,2,0),IF(D441="SINAPI-I",VLOOKUP(B441,'20-A.SINAPI-I'!A:G,2,0),IF(D441="COMPOSIÇÕES",VLOOKUP(B441,'11.COMPOSIÇÕES GERAIS'!B:I,2,0),VLOOKUP(B441,'12.COT.MERCADO'!A:I,2,0)))),"Em Elaboração")</f>
        <v>VALVULA EM METAL CROMADO PARA PIA AMERICANA 3.1/2 X 1.1/2 "</v>
      </c>
      <c r="F441" s="258" t="str">
        <f>IFERROR(IF(D441="SINAPI-S",VLOOKUP(B441,'20-B.SINAPI-S'!A:J,3,0),IF(D441="SINAPI-I",VLOOKUP(B441,'20-A.SINAPI-I'!A:G,3,0),IF(D441="COMPOSIÇÕES",VLOOKUP(B441,'11.COMPOSIÇÕES GERAIS'!B:I,3,0),VLOOKUP(B441,'12.COT.MERCADO'!A:I,7,0)))),"Em Elaboração")</f>
        <v>UN</v>
      </c>
      <c r="G441" s="254">
        <v>2.0</v>
      </c>
      <c r="H441" s="259">
        <f>IFERROR(IF(D441="SINAPI-S",VLOOKUP(B441,'20-B.SINAPI-S'!A:J,5,0),IF(D441="SINAPI-I",VLOOKUP(B441,'20-A.SINAPI-I'!A:G,6,0),IF(D441="COMPOSIÇÕES",VLOOKUP(B441,'11.COMPOSIÇÕES GERAIS'!B:I,7,0),0))),"Em Elaboração")</f>
        <v>0</v>
      </c>
      <c r="I441" s="259">
        <f>IFERROR(IF(D441="SINAPI-S",VLOOKUP(B441,'20-B.SINAPI-S'!A:J,6,0),IF(D441="SINAPI-I",VLOOKUP(B441,'20-A.SINAPI-I'!A:G,7,0),IF(D441="COMPOSIÇÕES",VLOOKUP(B441,'11.COMPOSIÇÕES GERAIS'!B:I,8,0),VLOOKUP(B441,'12.COT.MERCADO'!A:I,8,0)))),"Em Elaboração")</f>
        <v>93.06</v>
      </c>
      <c r="J441" s="259">
        <f t="shared" si="13"/>
        <v>0</v>
      </c>
      <c r="K441" s="259">
        <f t="shared" si="14"/>
        <v>109.0043965</v>
      </c>
      <c r="L441" s="259">
        <f t="shared" si="15"/>
        <v>109.0043965</v>
      </c>
      <c r="M441" s="259">
        <f t="shared" si="16"/>
        <v>0</v>
      </c>
      <c r="N441" s="259">
        <f t="shared" si="17"/>
        <v>218.008793</v>
      </c>
      <c r="O441" s="259">
        <f t="shared" si="18"/>
        <v>218.008793</v>
      </c>
      <c r="P441" s="586">
        <f t="shared" si="3"/>
        <v>0.001188430473</v>
      </c>
    </row>
    <row r="442">
      <c r="A442" s="253" t="s">
        <v>986</v>
      </c>
      <c r="B442" s="254">
        <v>10422.0</v>
      </c>
      <c r="C442" s="255" t="str">
        <f t="shared" si="12"/>
        <v>SINAPI</v>
      </c>
      <c r="D442" s="256" t="s">
        <v>286</v>
      </c>
      <c r="E442" s="257" t="str">
        <f>IFERROR(IF(D442="SINAPI-S",VLOOKUP(B442,'20-B.SINAPI-S'!A:J,2,0),IF(D442="SINAPI-I",VLOOKUP(B442,'20-A.SINAPI-I'!A:G,2,0),IF(D442="COMPOSIÇÕES",VLOOKUP(B442,'11.COMPOSIÇÕES GERAIS'!B:I,2,0),VLOOKUP(B442,'12.COT.MERCADO'!A:I,2,0)))),"Em Elaboração")</f>
        <v>BACIA SANITARIA (VASO) COM CAIXA ACOPLADA, SIFAO APARENTE, DE LOUCA BRANCA (SEM ASSENTO)</v>
      </c>
      <c r="F442" s="258" t="str">
        <f>IFERROR(IF(D442="SINAPI-S",VLOOKUP(B442,'20-B.SINAPI-S'!A:J,3,0),IF(D442="SINAPI-I",VLOOKUP(B442,'20-A.SINAPI-I'!A:G,3,0),IF(D442="COMPOSIÇÕES",VLOOKUP(B442,'11.COMPOSIÇÕES GERAIS'!B:I,3,0),VLOOKUP(B442,'12.COT.MERCADO'!A:I,7,0)))),"Em Elaboração")</f>
        <v>UN</v>
      </c>
      <c r="G442" s="254">
        <v>1.0</v>
      </c>
      <c r="H442" s="259">
        <f>IFERROR(IF(D442="SINAPI-S",VLOOKUP(B442,'20-B.SINAPI-S'!A:J,5,0),IF(D442="SINAPI-I",VLOOKUP(B442,'20-A.SINAPI-I'!A:G,6,0),IF(D442="COMPOSIÇÕES",VLOOKUP(B442,'11.COMPOSIÇÕES GERAIS'!B:I,7,0),0))),"Em Elaboração")</f>
        <v>0</v>
      </c>
      <c r="I442" s="259">
        <f>IFERROR(IF(D442="SINAPI-S",VLOOKUP(B442,'20-B.SINAPI-S'!A:J,6,0),IF(D442="SINAPI-I",VLOOKUP(B442,'20-A.SINAPI-I'!A:G,7,0),IF(D442="COMPOSIÇÕES",VLOOKUP(B442,'11.COMPOSIÇÕES GERAIS'!B:I,8,0),VLOOKUP(B442,'12.COT.MERCADO'!A:I,8,0)))),"Em Elaboração")</f>
        <v>416.1</v>
      </c>
      <c r="J442" s="259">
        <f t="shared" si="13"/>
        <v>0</v>
      </c>
      <c r="K442" s="259">
        <f t="shared" si="14"/>
        <v>487.3923209</v>
      </c>
      <c r="L442" s="259">
        <f t="shared" si="15"/>
        <v>487.3923209</v>
      </c>
      <c r="M442" s="259">
        <f t="shared" si="16"/>
        <v>0</v>
      </c>
      <c r="N442" s="259">
        <f t="shared" si="17"/>
        <v>487.3923209</v>
      </c>
      <c r="O442" s="259">
        <f t="shared" si="18"/>
        <v>487.3923209</v>
      </c>
      <c r="P442" s="586">
        <f t="shared" si="3"/>
        <v>0.002656919836</v>
      </c>
    </row>
    <row r="443">
      <c r="A443" s="253" t="s">
        <v>987</v>
      </c>
      <c r="B443" s="254">
        <v>10414.0</v>
      </c>
      <c r="C443" s="255" t="str">
        <f t="shared" si="12"/>
        <v>SINAPI</v>
      </c>
      <c r="D443" s="256" t="s">
        <v>286</v>
      </c>
      <c r="E443" s="257" t="str">
        <f>IFERROR(IF(D443="SINAPI-S",VLOOKUP(B443,'20-B.SINAPI-S'!A:J,2,0),IF(D443="SINAPI-I",VLOOKUP(B443,'20-A.SINAPI-I'!A:G,2,0),IF(D443="COMPOSIÇÕES",VLOOKUP(B443,'11.COMPOSIÇÕES GERAIS'!B:I,2,0),VLOOKUP(B443,'12.COT.MERCADO'!A:I,2,0)))),"Em Elaboração")</f>
        <v>VALVULA DE RETENCAO VERTICAL, DE BRONZE (PN-16), 3", 200 PSI, EXTREMIDADES COM ROSCA</v>
      </c>
      <c r="F443" s="258" t="str">
        <f>IFERROR(IF(D443="SINAPI-S",VLOOKUP(B443,'20-B.SINAPI-S'!A:J,3,0),IF(D443="SINAPI-I",VLOOKUP(B443,'20-A.SINAPI-I'!A:G,3,0),IF(D443="COMPOSIÇÕES",VLOOKUP(B443,'11.COMPOSIÇÕES GERAIS'!B:I,3,0),VLOOKUP(B443,'12.COT.MERCADO'!A:I,7,0)))),"Em Elaboração")</f>
        <v>UN</v>
      </c>
      <c r="G443" s="254">
        <v>1.0</v>
      </c>
      <c r="H443" s="259">
        <f>IFERROR(IF(D443="SINAPI-S",VLOOKUP(B443,'20-B.SINAPI-S'!A:J,5,0),IF(D443="SINAPI-I",VLOOKUP(B443,'20-A.SINAPI-I'!A:G,6,0),IF(D443="COMPOSIÇÕES",VLOOKUP(B443,'11.COMPOSIÇÕES GERAIS'!B:I,7,0),0))),"Em Elaboração")</f>
        <v>0</v>
      </c>
      <c r="I443" s="259">
        <f>IFERROR(IF(D443="SINAPI-S",VLOOKUP(B443,'20-B.SINAPI-S'!A:J,6,0),IF(D443="SINAPI-I",VLOOKUP(B443,'20-A.SINAPI-I'!A:G,7,0),IF(D443="COMPOSIÇÕES",VLOOKUP(B443,'11.COMPOSIÇÕES GERAIS'!B:I,8,0),VLOOKUP(B443,'12.COT.MERCADO'!A:I,8,0)))),"Em Elaboração")</f>
        <v>435.84</v>
      </c>
      <c r="J443" s="259">
        <f t="shared" si="13"/>
        <v>0</v>
      </c>
      <c r="K443" s="259">
        <f t="shared" si="14"/>
        <v>510.5144656</v>
      </c>
      <c r="L443" s="259">
        <f t="shared" si="15"/>
        <v>510.5144656</v>
      </c>
      <c r="M443" s="259">
        <f t="shared" si="16"/>
        <v>0</v>
      </c>
      <c r="N443" s="259">
        <f t="shared" si="17"/>
        <v>510.5144656</v>
      </c>
      <c r="O443" s="259">
        <f t="shared" si="18"/>
        <v>510.5144656</v>
      </c>
      <c r="P443" s="586">
        <f t="shared" si="3"/>
        <v>0.002782965492</v>
      </c>
    </row>
    <row r="444">
      <c r="A444" s="253" t="s">
        <v>988</v>
      </c>
      <c r="B444" s="254">
        <v>10420.0</v>
      </c>
      <c r="C444" s="255" t="str">
        <f t="shared" si="12"/>
        <v>SINAPI</v>
      </c>
      <c r="D444" s="256" t="s">
        <v>286</v>
      </c>
      <c r="E444" s="257" t="str">
        <f>IFERROR(IF(D444="SINAPI-S",VLOOKUP(B444,'20-B.SINAPI-S'!A:J,2,0),IF(D444="SINAPI-I",VLOOKUP(B444,'20-A.SINAPI-I'!A:G,2,0),IF(D444="COMPOSIÇÕES",VLOOKUP(B444,'11.COMPOSIÇÕES GERAIS'!B:I,2,0),VLOOKUP(B444,'12.COT.MERCADO'!A:I,2,0)))),"Em Elaboração")</f>
        <v>BACIA SANITARIA (VASO) CONVENCIONAL, DE LOUCA BRANCA, SIFAO APARENTE, SAIDA VERTICAL (SEM ASSENTO)</v>
      </c>
      <c r="F444" s="258" t="str">
        <f>IFERROR(IF(D444="SINAPI-S",VLOOKUP(B444,'20-B.SINAPI-S'!A:J,3,0),IF(D444="SINAPI-I",VLOOKUP(B444,'20-A.SINAPI-I'!A:G,3,0),IF(D444="COMPOSIÇÕES",VLOOKUP(B444,'11.COMPOSIÇÕES GERAIS'!B:I,3,0),VLOOKUP(B444,'12.COT.MERCADO'!A:I,7,0)))),"Em Elaboração")</f>
        <v>UN</v>
      </c>
      <c r="G444" s="254">
        <v>1.0</v>
      </c>
      <c r="H444" s="259">
        <f>IFERROR(IF(D444="SINAPI-S",VLOOKUP(B444,'20-B.SINAPI-S'!A:J,5,0),IF(D444="SINAPI-I",VLOOKUP(B444,'20-A.SINAPI-I'!A:G,6,0),IF(D444="COMPOSIÇÕES",VLOOKUP(B444,'11.COMPOSIÇÕES GERAIS'!B:I,7,0),0))),"Em Elaboração")</f>
        <v>0</v>
      </c>
      <c r="I444" s="259">
        <f>IFERROR(IF(D444="SINAPI-S",VLOOKUP(B444,'20-B.SINAPI-S'!A:J,6,0),IF(D444="SINAPI-I",VLOOKUP(B444,'20-A.SINAPI-I'!A:G,7,0),IF(D444="COMPOSIÇÕES",VLOOKUP(B444,'11.COMPOSIÇÕES GERAIS'!B:I,8,0),VLOOKUP(B444,'12.COT.MERCADO'!A:I,8,0)))),"Em Elaboração")</f>
        <v>222.61</v>
      </c>
      <c r="J444" s="259">
        <f t="shared" si="13"/>
        <v>0</v>
      </c>
      <c r="K444" s="259">
        <f t="shared" si="14"/>
        <v>260.750792</v>
      </c>
      <c r="L444" s="259">
        <f t="shared" si="15"/>
        <v>260.750792</v>
      </c>
      <c r="M444" s="259">
        <f t="shared" si="16"/>
        <v>0</v>
      </c>
      <c r="N444" s="259">
        <f t="shared" si="17"/>
        <v>260.750792</v>
      </c>
      <c r="O444" s="259">
        <f t="shared" si="18"/>
        <v>260.750792</v>
      </c>
      <c r="P444" s="586">
        <f t="shared" si="3"/>
        <v>0.001421429764</v>
      </c>
    </row>
    <row r="445">
      <c r="A445" s="253" t="s">
        <v>989</v>
      </c>
      <c r="B445" s="254">
        <v>7307.0</v>
      </c>
      <c r="C445" s="255" t="str">
        <f t="shared" si="12"/>
        <v>SINAPI</v>
      </c>
      <c r="D445" s="256" t="s">
        <v>286</v>
      </c>
      <c r="E445" s="257" t="str">
        <f>IFERROR(IF(D445="SINAPI-S",VLOOKUP(B445,'20-B.SINAPI-S'!A:J,2,0),IF(D445="SINAPI-I",VLOOKUP(B445,'20-A.SINAPI-I'!A:G,2,0),IF(D445="COMPOSIÇÕES",VLOOKUP(B445,'11.COMPOSIÇÕES GERAIS'!B:I,2,0),VLOOKUP(B445,'12.COT.MERCADO'!A:I,2,0)))),"Em Elaboração")</f>
        <v>FUNDO ANTICORROSIVO PARA METAIS FERROSOS (ZARCAO)</v>
      </c>
      <c r="F445" s="258" t="str">
        <f>IFERROR(IF(D445="SINAPI-S",VLOOKUP(B445,'20-B.SINAPI-S'!A:J,3,0),IF(D445="SINAPI-I",VLOOKUP(B445,'20-A.SINAPI-I'!A:G,3,0),IF(D445="COMPOSIÇÕES",VLOOKUP(B445,'11.COMPOSIÇÕES GERAIS'!B:I,3,0),VLOOKUP(B445,'12.COT.MERCADO'!A:I,7,0)))),"Em Elaboração")</f>
        <v>L</v>
      </c>
      <c r="G445" s="254">
        <v>3.0</v>
      </c>
      <c r="H445" s="259">
        <f>IFERROR(IF(D445="SINAPI-S",VLOOKUP(B445,'20-B.SINAPI-S'!A:J,5,0),IF(D445="SINAPI-I",VLOOKUP(B445,'20-A.SINAPI-I'!A:G,6,0),IF(D445="COMPOSIÇÕES",VLOOKUP(B445,'11.COMPOSIÇÕES GERAIS'!B:I,7,0),0))),"Em Elaboração")</f>
        <v>0</v>
      </c>
      <c r="I445" s="259">
        <f>IFERROR(IF(D445="SINAPI-S",VLOOKUP(B445,'20-B.SINAPI-S'!A:J,6,0),IF(D445="SINAPI-I",VLOOKUP(B445,'20-A.SINAPI-I'!A:G,7,0),IF(D445="COMPOSIÇÕES",VLOOKUP(B445,'11.COMPOSIÇÕES GERAIS'!B:I,8,0),VLOOKUP(B445,'12.COT.MERCADO'!A:I,8,0)))),"Em Elaboração")</f>
        <v>40.72</v>
      </c>
      <c r="J445" s="259">
        <f t="shared" si="13"/>
        <v>0</v>
      </c>
      <c r="K445" s="259">
        <f t="shared" si="14"/>
        <v>47.69674431</v>
      </c>
      <c r="L445" s="259">
        <f t="shared" si="15"/>
        <v>47.69674431</v>
      </c>
      <c r="M445" s="259">
        <f t="shared" si="16"/>
        <v>0</v>
      </c>
      <c r="N445" s="259">
        <f t="shared" si="17"/>
        <v>143.0902329</v>
      </c>
      <c r="O445" s="259">
        <f t="shared" si="18"/>
        <v>143.0902329</v>
      </c>
      <c r="P445" s="586">
        <f t="shared" si="3"/>
        <v>0.0007800272221</v>
      </c>
    </row>
    <row r="446">
      <c r="A446" s="253" t="s">
        <v>990</v>
      </c>
      <c r="B446" s="254">
        <v>1360.0</v>
      </c>
      <c r="C446" s="255" t="str">
        <f t="shared" si="12"/>
        <v>SINAPI</v>
      </c>
      <c r="D446" s="256" t="s">
        <v>286</v>
      </c>
      <c r="E446" s="257" t="str">
        <f>IFERROR(IF(D446="SINAPI-S",VLOOKUP(B446,'20-B.SINAPI-S'!A:J,2,0),IF(D446="SINAPI-I",VLOOKUP(B446,'20-A.SINAPI-I'!A:G,2,0),IF(D446="COMPOSIÇÕES",VLOOKUP(B446,'11.COMPOSIÇÕES GERAIS'!B:I,2,0),VLOOKUP(B446,'12.COT.MERCADO'!A:I,2,0)))),"Em Elaboração")</f>
        <v>COMPENSADO NAVAL - CHAPA/PAINEL EM MADEIRA COMPENSADA PRENSADA, DE 2200 X 1600 MM, E = 6 MM</v>
      </c>
      <c r="F446" s="258" t="str">
        <f>IFERROR(IF(D446="SINAPI-S",VLOOKUP(B446,'20-B.SINAPI-S'!A:J,3,0),IF(D446="SINAPI-I",VLOOKUP(B446,'20-A.SINAPI-I'!A:G,3,0),IF(D446="COMPOSIÇÕES",VLOOKUP(B446,'11.COMPOSIÇÕES GERAIS'!B:I,3,0),VLOOKUP(B446,'12.COT.MERCADO'!A:I,7,0)))),"Em Elaboração")</f>
        <v>M2</v>
      </c>
      <c r="G446" s="254">
        <v>10.0</v>
      </c>
      <c r="H446" s="259">
        <f>IFERROR(IF(D446="SINAPI-S",VLOOKUP(B446,'20-B.SINAPI-S'!A:J,5,0),IF(D446="SINAPI-I",VLOOKUP(B446,'20-A.SINAPI-I'!A:G,6,0),IF(D446="COMPOSIÇÕES",VLOOKUP(B446,'11.COMPOSIÇÕES GERAIS'!B:I,7,0),0))),"Em Elaboração")</f>
        <v>0</v>
      </c>
      <c r="I446" s="259">
        <f>IFERROR(IF(D446="SINAPI-S",VLOOKUP(B446,'20-B.SINAPI-S'!A:J,6,0),IF(D446="SINAPI-I",VLOOKUP(B446,'20-A.SINAPI-I'!A:G,7,0),IF(D446="COMPOSIÇÕES",VLOOKUP(B446,'11.COMPOSIÇÕES GERAIS'!B:I,8,0),VLOOKUP(B446,'12.COT.MERCADO'!A:I,8,0)))),"Em Elaboração")</f>
        <v>39.23</v>
      </c>
      <c r="J446" s="259">
        <f t="shared" si="13"/>
        <v>0</v>
      </c>
      <c r="K446" s="259">
        <f t="shared" si="14"/>
        <v>45.95145577</v>
      </c>
      <c r="L446" s="259">
        <f t="shared" si="15"/>
        <v>45.95145577</v>
      </c>
      <c r="M446" s="259">
        <f t="shared" si="16"/>
        <v>0</v>
      </c>
      <c r="N446" s="259">
        <f t="shared" si="17"/>
        <v>459.5145577</v>
      </c>
      <c r="O446" s="259">
        <f t="shared" si="18"/>
        <v>459.5145577</v>
      </c>
      <c r="P446" s="586">
        <f t="shared" si="3"/>
        <v>0.002504949896</v>
      </c>
    </row>
    <row r="447">
      <c r="A447" s="253" t="s">
        <v>991</v>
      </c>
      <c r="B447" s="254">
        <v>34357.0</v>
      </c>
      <c r="C447" s="255" t="str">
        <f t="shared" si="12"/>
        <v>SINAPI</v>
      </c>
      <c r="D447" s="256" t="s">
        <v>286</v>
      </c>
      <c r="E447" s="257" t="str">
        <f>IFERROR(IF(D447="SINAPI-S",VLOOKUP(B447,'20-B.SINAPI-S'!A:J,2,0),IF(D447="SINAPI-I",VLOOKUP(B447,'20-A.SINAPI-I'!A:G,2,0),IF(D447="COMPOSIÇÕES",VLOOKUP(B447,'11.COMPOSIÇÕES GERAIS'!B:I,2,0),VLOOKUP(B447,'12.COT.MERCADO'!A:I,2,0)))),"Em Elaboração")</f>
        <v>REJUNTE CIMENTICIO, QUALQUER COR</v>
      </c>
      <c r="F447" s="258" t="str">
        <f>IFERROR(IF(D447="SINAPI-S",VLOOKUP(B447,'20-B.SINAPI-S'!A:J,3,0),IF(D447="SINAPI-I",VLOOKUP(B447,'20-A.SINAPI-I'!A:G,3,0),IF(D447="COMPOSIÇÕES",VLOOKUP(B447,'11.COMPOSIÇÕES GERAIS'!B:I,3,0),VLOOKUP(B447,'12.COT.MERCADO'!A:I,7,0)))),"Em Elaboração")</f>
        <v>KG</v>
      </c>
      <c r="G447" s="254">
        <v>10.0</v>
      </c>
      <c r="H447" s="259">
        <f>IFERROR(IF(D447="SINAPI-S",VLOOKUP(B447,'20-B.SINAPI-S'!A:J,5,0),IF(D447="SINAPI-I",VLOOKUP(B447,'20-A.SINAPI-I'!A:G,6,0),IF(D447="COMPOSIÇÕES",VLOOKUP(B447,'11.COMPOSIÇÕES GERAIS'!B:I,7,0),0))),"Em Elaboração")</f>
        <v>0</v>
      </c>
      <c r="I447" s="259">
        <f>IFERROR(IF(D447="SINAPI-S",VLOOKUP(B447,'20-B.SINAPI-S'!A:J,6,0),IF(D447="SINAPI-I",VLOOKUP(B447,'20-A.SINAPI-I'!A:G,7,0),IF(D447="COMPOSIÇÕES",VLOOKUP(B447,'11.COMPOSIÇÕES GERAIS'!B:I,8,0),VLOOKUP(B447,'12.COT.MERCADO'!A:I,8,0)))),"Em Elaboração")</f>
        <v>4.28</v>
      </c>
      <c r="J447" s="259">
        <f t="shared" si="13"/>
        <v>0</v>
      </c>
      <c r="K447" s="259">
        <f t="shared" si="14"/>
        <v>5.013312024</v>
      </c>
      <c r="L447" s="259">
        <f t="shared" si="15"/>
        <v>5.013312024</v>
      </c>
      <c r="M447" s="259">
        <f t="shared" si="16"/>
        <v>0</v>
      </c>
      <c r="N447" s="259">
        <f t="shared" si="17"/>
        <v>50.13312024</v>
      </c>
      <c r="O447" s="259">
        <f t="shared" si="18"/>
        <v>50.13312024</v>
      </c>
      <c r="P447" s="586">
        <f t="shared" si="3"/>
        <v>0.0002732904806</v>
      </c>
    </row>
    <row r="448">
      <c r="A448" s="253" t="s">
        <v>992</v>
      </c>
      <c r="B448" s="254">
        <v>10909.0</v>
      </c>
      <c r="C448" s="255" t="str">
        <f t="shared" si="12"/>
        <v>SINAPI</v>
      </c>
      <c r="D448" s="256" t="s">
        <v>286</v>
      </c>
      <c r="E448" s="257" t="str">
        <f>IFERROR(IF(D448="SINAPI-S",VLOOKUP(B448,'20-B.SINAPI-S'!A:J,2,0),IF(D448="SINAPI-I",VLOOKUP(B448,'20-A.SINAPI-I'!A:G,2,0),IF(D448="COMPOSIÇÕES",VLOOKUP(B448,'11.COMPOSIÇÕES GERAIS'!B:I,2,0),VLOOKUP(B448,'12.COT.MERCADO'!A:I,2,0)))),"Em Elaboração")</f>
        <v>JUNCAO DE REDUCAO INVERTIDA, PVC SOLDAVEL, 100 X 75 MM, SERIE NORMAL PARA ESGOTO PREDIAL</v>
      </c>
      <c r="F448" s="258" t="str">
        <f>IFERROR(IF(D448="SINAPI-S",VLOOKUP(B448,'20-B.SINAPI-S'!A:J,3,0),IF(D448="SINAPI-I",VLOOKUP(B448,'20-A.SINAPI-I'!A:G,3,0),IF(D448="COMPOSIÇÕES",VLOOKUP(B448,'11.COMPOSIÇÕES GERAIS'!B:I,3,0),VLOOKUP(B448,'12.COT.MERCADO'!A:I,7,0)))),"Em Elaboração")</f>
        <v>UN</v>
      </c>
      <c r="G448" s="254">
        <v>8.0</v>
      </c>
      <c r="H448" s="259">
        <f>IFERROR(IF(D448="SINAPI-S",VLOOKUP(B448,'20-B.SINAPI-S'!A:J,5,0),IF(D448="SINAPI-I",VLOOKUP(B448,'20-A.SINAPI-I'!A:G,6,0),IF(D448="COMPOSIÇÕES",VLOOKUP(B448,'11.COMPOSIÇÕES GERAIS'!B:I,7,0),0))),"Em Elaboração")</f>
        <v>0</v>
      </c>
      <c r="I448" s="259">
        <f>IFERROR(IF(D448="SINAPI-S",VLOOKUP(B448,'20-B.SINAPI-S'!A:J,6,0),IF(D448="SINAPI-I",VLOOKUP(B448,'20-A.SINAPI-I'!A:G,7,0),IF(D448="COMPOSIÇÕES",VLOOKUP(B448,'11.COMPOSIÇÕES GERAIS'!B:I,8,0),VLOOKUP(B448,'12.COT.MERCADO'!A:I,8,0)))),"Em Elaboração")</f>
        <v>25.31</v>
      </c>
      <c r="J448" s="259">
        <f t="shared" si="13"/>
        <v>0</v>
      </c>
      <c r="K448" s="259">
        <f t="shared" si="14"/>
        <v>29.64647835</v>
      </c>
      <c r="L448" s="259">
        <f t="shared" si="15"/>
        <v>29.64647835</v>
      </c>
      <c r="M448" s="259">
        <f t="shared" si="16"/>
        <v>0</v>
      </c>
      <c r="N448" s="259">
        <f t="shared" si="17"/>
        <v>237.1718268</v>
      </c>
      <c r="O448" s="259">
        <f t="shared" si="18"/>
        <v>237.1718268</v>
      </c>
      <c r="P448" s="586">
        <f t="shared" si="3"/>
        <v>0.001292893844</v>
      </c>
    </row>
    <row r="449">
      <c r="A449" s="253" t="s">
        <v>993</v>
      </c>
      <c r="B449" s="254">
        <v>6136.0</v>
      </c>
      <c r="C449" s="255" t="str">
        <f t="shared" si="12"/>
        <v>SINAPI</v>
      </c>
      <c r="D449" s="256" t="s">
        <v>286</v>
      </c>
      <c r="E449" s="257" t="str">
        <f>IFERROR(IF(D449="SINAPI-S",VLOOKUP(B449,'20-B.SINAPI-S'!A:J,2,0),IF(D449="SINAPI-I",VLOOKUP(B449,'20-A.SINAPI-I'!A:G,2,0),IF(D449="COMPOSIÇÕES",VLOOKUP(B449,'11.COMPOSIÇÕES GERAIS'!B:I,2,0),VLOOKUP(B449,'12.COT.MERCADO'!A:I,2,0)))),"Em Elaboração")</f>
        <v>SIFAO EM METAL CROMADO PARA PIA OU LAVATORIO, 1 X 1.1/2 "</v>
      </c>
      <c r="F449" s="258" t="str">
        <f>IFERROR(IF(D449="SINAPI-S",VLOOKUP(B449,'20-B.SINAPI-S'!A:J,3,0),IF(D449="SINAPI-I",VLOOKUP(B449,'20-A.SINAPI-I'!A:G,3,0),IF(D449="COMPOSIÇÕES",VLOOKUP(B449,'11.COMPOSIÇÕES GERAIS'!B:I,3,0),VLOOKUP(B449,'12.COT.MERCADO'!A:I,7,0)))),"Em Elaboração")</f>
        <v>UN</v>
      </c>
      <c r="G449" s="254">
        <v>2.0</v>
      </c>
      <c r="H449" s="259">
        <f>IFERROR(IF(D449="SINAPI-S",VLOOKUP(B449,'20-B.SINAPI-S'!A:J,5,0),IF(D449="SINAPI-I",VLOOKUP(B449,'20-A.SINAPI-I'!A:G,6,0),IF(D449="COMPOSIÇÕES",VLOOKUP(B449,'11.COMPOSIÇÕES GERAIS'!B:I,7,0),0))),"Em Elaboração")</f>
        <v>0</v>
      </c>
      <c r="I449" s="259">
        <f>IFERROR(IF(D449="SINAPI-S",VLOOKUP(B449,'20-B.SINAPI-S'!A:J,6,0),IF(D449="SINAPI-I",VLOOKUP(B449,'20-A.SINAPI-I'!A:G,7,0),IF(D449="COMPOSIÇÕES",VLOOKUP(B449,'11.COMPOSIÇÕES GERAIS'!B:I,8,0),VLOOKUP(B449,'12.COT.MERCADO'!A:I,8,0)))),"Em Elaboração")</f>
        <v>272.5</v>
      </c>
      <c r="J449" s="259">
        <f t="shared" si="13"/>
        <v>0</v>
      </c>
      <c r="K449" s="259">
        <f t="shared" si="14"/>
        <v>319.1886744</v>
      </c>
      <c r="L449" s="259">
        <f t="shared" si="15"/>
        <v>319.1886744</v>
      </c>
      <c r="M449" s="259">
        <f t="shared" si="16"/>
        <v>0</v>
      </c>
      <c r="N449" s="259">
        <f t="shared" si="17"/>
        <v>638.3773489</v>
      </c>
      <c r="O449" s="259">
        <f t="shared" si="18"/>
        <v>638.3773489</v>
      </c>
      <c r="P449" s="586">
        <f t="shared" si="3"/>
        <v>0.003479983923</v>
      </c>
    </row>
    <row r="450">
      <c r="A450" s="253" t="s">
        <v>994</v>
      </c>
      <c r="B450" s="254">
        <v>38386.0</v>
      </c>
      <c r="C450" s="255" t="str">
        <f t="shared" si="12"/>
        <v>SINAPI</v>
      </c>
      <c r="D450" s="256" t="s">
        <v>286</v>
      </c>
      <c r="E450" s="257" t="str">
        <f>IFERROR(IF(D450="SINAPI-S",VLOOKUP(B450,'20-B.SINAPI-S'!A:J,2,0),IF(D450="SINAPI-I",VLOOKUP(B450,'20-A.SINAPI-I'!A:G,2,0),IF(D450="COMPOSIÇÕES",VLOOKUP(B450,'11.COMPOSIÇÕES GERAIS'!B:I,2,0),VLOOKUP(B450,'12.COT.MERCADO'!A:I,2,0)))),"Em Elaboração")</f>
        <v>PINCEL CHATO (TRINCHA) CERDAS GRIS 1.1/2 " (38 MM)</v>
      </c>
      <c r="F450" s="258" t="str">
        <f>IFERROR(IF(D450="SINAPI-S",VLOOKUP(B450,'20-B.SINAPI-S'!A:J,3,0),IF(D450="SINAPI-I",VLOOKUP(B450,'20-A.SINAPI-I'!A:G,3,0),IF(D450="COMPOSIÇÕES",VLOOKUP(B450,'11.COMPOSIÇÕES GERAIS'!B:I,3,0),VLOOKUP(B450,'12.COT.MERCADO'!A:I,7,0)))),"Em Elaboração")</f>
        <v>UN</v>
      </c>
      <c r="G450" s="254">
        <v>9.0</v>
      </c>
      <c r="H450" s="259">
        <f>IFERROR(IF(D450="SINAPI-S",VLOOKUP(B450,'20-B.SINAPI-S'!A:J,5,0),IF(D450="SINAPI-I",VLOOKUP(B450,'20-A.SINAPI-I'!A:G,6,0),IF(D450="COMPOSIÇÕES",VLOOKUP(B450,'11.COMPOSIÇÕES GERAIS'!B:I,7,0),0))),"Em Elaboração")</f>
        <v>0</v>
      </c>
      <c r="I450" s="259">
        <f>IFERROR(IF(D450="SINAPI-S",VLOOKUP(B450,'20-B.SINAPI-S'!A:J,6,0),IF(D450="SINAPI-I",VLOOKUP(B450,'20-A.SINAPI-I'!A:G,7,0),IF(D450="COMPOSIÇÕES",VLOOKUP(B450,'11.COMPOSIÇÕES GERAIS'!B:I,8,0),VLOOKUP(B450,'12.COT.MERCADO'!A:I,8,0)))),"Em Elaboração")</f>
        <v>5</v>
      </c>
      <c r="J450" s="259">
        <f t="shared" si="13"/>
        <v>0</v>
      </c>
      <c r="K450" s="259">
        <f t="shared" si="14"/>
        <v>5.856672926</v>
      </c>
      <c r="L450" s="259">
        <f t="shared" si="15"/>
        <v>5.856672926</v>
      </c>
      <c r="M450" s="259">
        <f t="shared" si="16"/>
        <v>0</v>
      </c>
      <c r="N450" s="259">
        <f t="shared" si="17"/>
        <v>52.71005633</v>
      </c>
      <c r="O450" s="259">
        <f t="shared" si="18"/>
        <v>52.71005633</v>
      </c>
      <c r="P450" s="586">
        <f t="shared" si="3"/>
        <v>0.0002873381221</v>
      </c>
    </row>
    <row r="451" ht="21.75" customHeight="1">
      <c r="A451" s="587" t="s">
        <v>995</v>
      </c>
      <c r="B451" s="588" t="s">
        <v>996</v>
      </c>
      <c r="C451" s="44"/>
      <c r="D451" s="44"/>
      <c r="E451" s="44"/>
      <c r="F451" s="44"/>
      <c r="G451" s="44"/>
      <c r="H451" s="44"/>
      <c r="I451" s="44"/>
      <c r="J451" s="44"/>
      <c r="K451" s="44"/>
      <c r="L451" s="44"/>
      <c r="M451" s="589">
        <f t="shared" ref="M451:O451" si="19">SUM(M452:M488)</f>
        <v>0</v>
      </c>
      <c r="N451" s="589">
        <f t="shared" si="19"/>
        <v>16260.06846</v>
      </c>
      <c r="O451" s="589">
        <f t="shared" si="19"/>
        <v>16260.06846</v>
      </c>
      <c r="P451" s="590">
        <f t="shared" si="3"/>
        <v>0.08863844702</v>
      </c>
    </row>
    <row r="452">
      <c r="A452" s="253" t="s">
        <v>997</v>
      </c>
      <c r="B452" s="254">
        <v>4791.0</v>
      </c>
      <c r="C452" s="255" t="str">
        <f t="shared" ref="C452:C488" si="20">IF(OR(D452="SINAPI-S",D452="SINAPI-I"),"SINAPI","PRÓPRIO")</f>
        <v>SINAPI</v>
      </c>
      <c r="D452" s="256" t="s">
        <v>286</v>
      </c>
      <c r="E452" s="257" t="str">
        <f>IFERROR(IF(D452="SINAPI-S",VLOOKUP(B452,'20-B.SINAPI-S'!A:J,2,0),IF(D452="SINAPI-I",VLOOKUP(B452,'20-A.SINAPI-I'!A:G,2,0),IF(D452="COMPOSIÇÕES",VLOOKUP(B452,'11.COMPOSIÇÕES GERAIS'!B:I,2,0),VLOOKUP(B452,'12.COT.MERCADO'!A:I,2,0)))),"Em Elaboração")</f>
        <v>ADESIVO ACRILICO DE BASE AQUOSA / COLA DE CONTATO</v>
      </c>
      <c r="F452" s="258" t="str">
        <f>IFERROR(IF(D452="SINAPI-S",VLOOKUP(B452,'20-B.SINAPI-S'!A:J,3,0),IF(D452="SINAPI-I",VLOOKUP(B452,'20-A.SINAPI-I'!A:G,3,0),IF(D452="COMPOSIÇÕES",VLOOKUP(B452,'11.COMPOSIÇÕES GERAIS'!B:I,3,0),VLOOKUP(B452,'12.COT.MERCADO'!A:I,7,0)))),"Em Elaboração")</f>
        <v>KG</v>
      </c>
      <c r="G452" s="254">
        <v>2.0</v>
      </c>
      <c r="H452" s="259">
        <f>IFERROR(IF(D452="SINAPI-S",VLOOKUP(B452,'20-B.SINAPI-S'!A:J,5,0),IF(D452="SINAPI-I",VLOOKUP(B452,'20-A.SINAPI-I'!A:G,6,0),IF(D452="COMPOSIÇÕES",VLOOKUP(B452,'11.COMPOSIÇÕES GERAIS'!B:I,7,0),0))),"Em Elaboração")</f>
        <v>0</v>
      </c>
      <c r="I452" s="259">
        <f>IFERROR(IF(D452="SINAPI-S",VLOOKUP(B452,'20-B.SINAPI-S'!A:J,6,0),IF(D452="SINAPI-I",VLOOKUP(B452,'20-A.SINAPI-I'!A:G,7,0),IF(D452="COMPOSIÇÕES",VLOOKUP(B452,'11.COMPOSIÇÕES GERAIS'!B:I,8,0),VLOOKUP(B452,'12.COT.MERCADO'!A:I,8,0)))),"Em Elaboração")</f>
        <v>43.68</v>
      </c>
      <c r="J452" s="259">
        <f t="shared" ref="J452:J488" si="21">H452*(1+$J$5)</f>
        <v>0</v>
      </c>
      <c r="K452" s="259">
        <f t="shared" ref="K452:K488" si="22">I452*(1+$J$8)</f>
        <v>51.16389468</v>
      </c>
      <c r="L452" s="259">
        <f t="shared" ref="L452:L488" si="23">SUM(J452:K452)</f>
        <v>51.16389468</v>
      </c>
      <c r="M452" s="259">
        <f t="shared" ref="M452:M488" si="24">J452*G452</f>
        <v>0</v>
      </c>
      <c r="N452" s="259">
        <f t="shared" ref="N452:N488" si="25">K452*G452</f>
        <v>102.3277894</v>
      </c>
      <c r="O452" s="259">
        <f t="shared" ref="O452:O488" si="26">SUM(M452:N452)</f>
        <v>102.3277894</v>
      </c>
      <c r="P452" s="586">
        <f t="shared" si="3"/>
        <v>0.0005578190744</v>
      </c>
    </row>
    <row r="453">
      <c r="A453" s="253" t="s">
        <v>998</v>
      </c>
      <c r="B453" s="254">
        <v>20080.0</v>
      </c>
      <c r="C453" s="255" t="str">
        <f t="shared" si="20"/>
        <v>SINAPI</v>
      </c>
      <c r="D453" s="256" t="s">
        <v>286</v>
      </c>
      <c r="E453" s="257" t="str">
        <f>IFERROR(IF(D453="SINAPI-S",VLOOKUP(B453,'20-B.SINAPI-S'!A:J,2,0),IF(D453="SINAPI-I",VLOOKUP(B453,'20-A.SINAPI-I'!A:G,2,0),IF(D453="COMPOSIÇÕES",VLOOKUP(B453,'11.COMPOSIÇÕES GERAIS'!B:I,2,0),VLOOKUP(B453,'12.COT.MERCADO'!A:I,2,0)))),"Em Elaboração")</f>
        <v>ADESIVO PLASTICO PARA PVC, FRASCO COM 175 GR</v>
      </c>
      <c r="F453" s="258" t="str">
        <f>IFERROR(IF(D453="SINAPI-S",VLOOKUP(B453,'20-B.SINAPI-S'!A:J,3,0),IF(D453="SINAPI-I",VLOOKUP(B453,'20-A.SINAPI-I'!A:G,3,0),IF(D453="COMPOSIÇÕES",VLOOKUP(B453,'11.COMPOSIÇÕES GERAIS'!B:I,3,0),VLOOKUP(B453,'12.COT.MERCADO'!A:I,7,0)))),"Em Elaboração")</f>
        <v>UN</v>
      </c>
      <c r="G453" s="254">
        <v>2.0</v>
      </c>
      <c r="H453" s="259">
        <f>IFERROR(IF(D453="SINAPI-S",VLOOKUP(B453,'20-B.SINAPI-S'!A:J,5,0),IF(D453="SINAPI-I",VLOOKUP(B453,'20-A.SINAPI-I'!A:G,6,0),IF(D453="COMPOSIÇÕES",VLOOKUP(B453,'11.COMPOSIÇÕES GERAIS'!B:I,7,0),0))),"Em Elaboração")</f>
        <v>0</v>
      </c>
      <c r="I453" s="259">
        <f>IFERROR(IF(D453="SINAPI-S",VLOOKUP(B453,'20-B.SINAPI-S'!A:J,6,0),IF(D453="SINAPI-I",VLOOKUP(B453,'20-A.SINAPI-I'!A:G,7,0),IF(D453="COMPOSIÇÕES",VLOOKUP(B453,'11.COMPOSIÇÕES GERAIS'!B:I,8,0),VLOOKUP(B453,'12.COT.MERCADO'!A:I,8,0)))),"Em Elaboração")</f>
        <v>22.77</v>
      </c>
      <c r="J453" s="259">
        <f t="shared" si="21"/>
        <v>0</v>
      </c>
      <c r="K453" s="259">
        <f t="shared" si="22"/>
        <v>26.6712885</v>
      </c>
      <c r="L453" s="259">
        <f t="shared" si="23"/>
        <v>26.6712885</v>
      </c>
      <c r="M453" s="259">
        <f t="shared" si="24"/>
        <v>0</v>
      </c>
      <c r="N453" s="259">
        <f t="shared" si="25"/>
        <v>53.34257701</v>
      </c>
      <c r="O453" s="259">
        <f t="shared" si="26"/>
        <v>53.34257701</v>
      </c>
      <c r="P453" s="586">
        <f t="shared" si="3"/>
        <v>0.0002907861796</v>
      </c>
    </row>
    <row r="454">
      <c r="A454" s="253" t="s">
        <v>999</v>
      </c>
      <c r="B454" s="254">
        <v>366.0</v>
      </c>
      <c r="C454" s="255" t="str">
        <f t="shared" si="20"/>
        <v>SINAPI</v>
      </c>
      <c r="D454" s="256" t="s">
        <v>286</v>
      </c>
      <c r="E454" s="257" t="str">
        <f>IFERROR(IF(D454="SINAPI-S",VLOOKUP(B454,'20-B.SINAPI-S'!A:J,2,0),IF(D454="SINAPI-I",VLOOKUP(B454,'20-A.SINAPI-I'!A:G,2,0),IF(D454="COMPOSIÇÕES",VLOOKUP(B454,'11.COMPOSIÇÕES GERAIS'!B:I,2,0),VLOOKUP(B454,'12.COT.MERCADO'!A:I,2,0)))),"Em Elaboração")</f>
        <v>AREIA FINA - POSTO JAZIDA/FORNECEDOR (RETIRADO NA JAZIDA, SEM TRANSPORTE)</v>
      </c>
      <c r="F454" s="258" t="str">
        <f>IFERROR(IF(D454="SINAPI-S",VLOOKUP(B454,'20-B.SINAPI-S'!A:J,3,0),IF(D454="SINAPI-I",VLOOKUP(B454,'20-A.SINAPI-I'!A:G,3,0),IF(D454="COMPOSIÇÕES",VLOOKUP(B454,'11.COMPOSIÇÕES GERAIS'!B:I,3,0),VLOOKUP(B454,'12.COT.MERCADO'!A:I,7,0)))),"Em Elaboração")</f>
        <v>M3</v>
      </c>
      <c r="G454" s="254">
        <v>1.0</v>
      </c>
      <c r="H454" s="259">
        <f>IFERROR(IF(D454="SINAPI-S",VLOOKUP(B454,'20-B.SINAPI-S'!A:J,5,0),IF(D454="SINAPI-I",VLOOKUP(B454,'20-A.SINAPI-I'!A:G,6,0),IF(D454="COMPOSIÇÕES",VLOOKUP(B454,'11.COMPOSIÇÕES GERAIS'!B:I,7,0),0))),"Em Elaboração")</f>
        <v>0</v>
      </c>
      <c r="I454" s="259">
        <f>IFERROR(IF(D454="SINAPI-S",VLOOKUP(B454,'20-B.SINAPI-S'!A:J,6,0),IF(D454="SINAPI-I",VLOOKUP(B454,'20-A.SINAPI-I'!A:G,7,0),IF(D454="COMPOSIÇÕES",VLOOKUP(B454,'11.COMPOSIÇÕES GERAIS'!B:I,8,0),VLOOKUP(B454,'12.COT.MERCADO'!A:I,8,0)))),"Em Elaboração")</f>
        <v>109.41</v>
      </c>
      <c r="J454" s="259">
        <f t="shared" si="21"/>
        <v>0</v>
      </c>
      <c r="K454" s="259">
        <f t="shared" si="22"/>
        <v>128.155717</v>
      </c>
      <c r="L454" s="259">
        <f t="shared" si="23"/>
        <v>128.155717</v>
      </c>
      <c r="M454" s="259">
        <f t="shared" si="24"/>
        <v>0</v>
      </c>
      <c r="N454" s="259">
        <f t="shared" si="25"/>
        <v>128.155717</v>
      </c>
      <c r="O454" s="259">
        <f t="shared" si="26"/>
        <v>128.155717</v>
      </c>
      <c r="P454" s="586">
        <f t="shared" si="3"/>
        <v>0.0006986147542</v>
      </c>
    </row>
    <row r="455">
      <c r="A455" s="253" t="s">
        <v>1000</v>
      </c>
      <c r="B455" s="254">
        <v>370.0</v>
      </c>
      <c r="C455" s="255" t="str">
        <f t="shared" si="20"/>
        <v>SINAPI</v>
      </c>
      <c r="D455" s="256" t="s">
        <v>286</v>
      </c>
      <c r="E455" s="257" t="str">
        <f>IFERROR(IF(D455="SINAPI-S",VLOOKUP(B455,'20-B.SINAPI-S'!A:J,2,0),IF(D455="SINAPI-I",VLOOKUP(B455,'20-A.SINAPI-I'!A:G,2,0),IF(D455="COMPOSIÇÕES",VLOOKUP(B455,'11.COMPOSIÇÕES GERAIS'!B:I,2,0),VLOOKUP(B455,'12.COT.MERCADO'!A:I,2,0)))),"Em Elaboração")</f>
        <v>AREIA MEDIA - POSTO JAZIDA/FORNECEDOR (RETIRADO NA JAZIDA, SEM TRANSPORTE)</v>
      </c>
      <c r="F455" s="258" t="str">
        <f>IFERROR(IF(D455="SINAPI-S",VLOOKUP(B455,'20-B.SINAPI-S'!A:J,3,0),IF(D455="SINAPI-I",VLOOKUP(B455,'20-A.SINAPI-I'!A:G,3,0),IF(D455="COMPOSIÇÕES",VLOOKUP(B455,'11.COMPOSIÇÕES GERAIS'!B:I,3,0),VLOOKUP(B455,'12.COT.MERCADO'!A:I,7,0)))),"Em Elaboração")</f>
        <v>M3</v>
      </c>
      <c r="G455" s="254">
        <v>1.0</v>
      </c>
      <c r="H455" s="259">
        <f>IFERROR(IF(D455="SINAPI-S",VLOOKUP(B455,'20-B.SINAPI-S'!A:J,5,0),IF(D455="SINAPI-I",VLOOKUP(B455,'20-A.SINAPI-I'!A:G,6,0),IF(D455="COMPOSIÇÕES",VLOOKUP(B455,'11.COMPOSIÇÕES GERAIS'!B:I,7,0),0))),"Em Elaboração")</f>
        <v>0</v>
      </c>
      <c r="I455" s="259">
        <f>IFERROR(IF(D455="SINAPI-S",VLOOKUP(B455,'20-B.SINAPI-S'!A:J,6,0),IF(D455="SINAPI-I",VLOOKUP(B455,'20-A.SINAPI-I'!A:G,7,0),IF(D455="COMPOSIÇÕES",VLOOKUP(B455,'11.COMPOSIÇÕES GERAIS'!B:I,8,0),VLOOKUP(B455,'12.COT.MERCADO'!A:I,8,0)))),"Em Elaboração")</f>
        <v>109.41</v>
      </c>
      <c r="J455" s="259">
        <f t="shared" si="21"/>
        <v>0</v>
      </c>
      <c r="K455" s="259">
        <f t="shared" si="22"/>
        <v>128.155717</v>
      </c>
      <c r="L455" s="259">
        <f t="shared" si="23"/>
        <v>128.155717</v>
      </c>
      <c r="M455" s="259">
        <f t="shared" si="24"/>
        <v>0</v>
      </c>
      <c r="N455" s="259">
        <f t="shared" si="25"/>
        <v>128.155717</v>
      </c>
      <c r="O455" s="259">
        <f t="shared" si="26"/>
        <v>128.155717</v>
      </c>
      <c r="P455" s="586">
        <f t="shared" si="3"/>
        <v>0.0006986147542</v>
      </c>
    </row>
    <row r="456">
      <c r="A456" s="253" t="s">
        <v>1001</v>
      </c>
      <c r="B456" s="254">
        <v>371.0</v>
      </c>
      <c r="C456" s="255" t="str">
        <f t="shared" si="20"/>
        <v>SINAPI</v>
      </c>
      <c r="D456" s="256" t="s">
        <v>286</v>
      </c>
      <c r="E456" s="257" t="str">
        <f>IFERROR(IF(D456="SINAPI-S",VLOOKUP(B456,'20-B.SINAPI-S'!A:J,2,0),IF(D456="SINAPI-I",VLOOKUP(B456,'20-A.SINAPI-I'!A:G,2,0),IF(D456="COMPOSIÇÕES",VLOOKUP(B456,'11.COMPOSIÇÕES GERAIS'!B:I,2,0),VLOOKUP(B456,'12.COT.MERCADO'!A:I,2,0)))),"Em Elaboração")</f>
        <v>ARGAMASSA INDUSTRIALIZADA MULTIUSO, PARA REVESTIMENTO INTERNO E EXTERNO E ASSENTAMENTO DE BLOCOS DIVERSOS</v>
      </c>
      <c r="F456" s="258" t="str">
        <f>IFERROR(IF(D456="SINAPI-S",VLOOKUP(B456,'20-B.SINAPI-S'!A:J,3,0),IF(D456="SINAPI-I",VLOOKUP(B456,'20-A.SINAPI-I'!A:G,3,0),IF(D456="COMPOSIÇÕES",VLOOKUP(B456,'11.COMPOSIÇÕES GERAIS'!B:I,3,0),VLOOKUP(B456,'12.COT.MERCADO'!A:I,7,0)))),"Em Elaboração")</f>
        <v>KG</v>
      </c>
      <c r="G456" s="254">
        <v>100.0</v>
      </c>
      <c r="H456" s="259">
        <f>IFERROR(IF(D456="SINAPI-S",VLOOKUP(B456,'20-B.SINAPI-S'!A:J,5,0),IF(D456="SINAPI-I",VLOOKUP(B456,'20-A.SINAPI-I'!A:G,6,0),IF(D456="COMPOSIÇÕES",VLOOKUP(B456,'11.COMPOSIÇÕES GERAIS'!B:I,7,0),0))),"Em Elaboração")</f>
        <v>0</v>
      </c>
      <c r="I456" s="259">
        <f>IFERROR(IF(D456="SINAPI-S",VLOOKUP(B456,'20-B.SINAPI-S'!A:J,6,0),IF(D456="SINAPI-I",VLOOKUP(B456,'20-A.SINAPI-I'!A:G,7,0),IF(D456="COMPOSIÇÕES",VLOOKUP(B456,'11.COMPOSIÇÕES GERAIS'!B:I,8,0),VLOOKUP(B456,'12.COT.MERCADO'!A:I,8,0)))),"Em Elaboração")</f>
        <v>0.79</v>
      </c>
      <c r="J456" s="259">
        <f t="shared" si="21"/>
        <v>0</v>
      </c>
      <c r="K456" s="259">
        <f t="shared" si="22"/>
        <v>0.9253543223</v>
      </c>
      <c r="L456" s="259">
        <f t="shared" si="23"/>
        <v>0.9253543223</v>
      </c>
      <c r="M456" s="259">
        <f t="shared" si="24"/>
        <v>0</v>
      </c>
      <c r="N456" s="259">
        <f t="shared" si="25"/>
        <v>92.53543223</v>
      </c>
      <c r="O456" s="259">
        <f t="shared" si="26"/>
        <v>92.53543223</v>
      </c>
      <c r="P456" s="586">
        <f t="shared" si="3"/>
        <v>0.0005044380366</v>
      </c>
    </row>
    <row r="457">
      <c r="A457" s="253" t="s">
        <v>1002</v>
      </c>
      <c r="B457" s="254">
        <v>4721.0</v>
      </c>
      <c r="C457" s="255" t="str">
        <f t="shared" si="20"/>
        <v>SINAPI</v>
      </c>
      <c r="D457" s="256" t="s">
        <v>286</v>
      </c>
      <c r="E457" s="257" t="str">
        <f>IFERROR(IF(D457="SINAPI-S",VLOOKUP(B457,'20-B.SINAPI-S'!A:J,2,0),IF(D457="SINAPI-I",VLOOKUP(B457,'20-A.SINAPI-I'!A:G,2,0),IF(D457="COMPOSIÇÕES",VLOOKUP(B457,'11.COMPOSIÇÕES GERAIS'!B:I,2,0),VLOOKUP(B457,'12.COT.MERCADO'!A:I,2,0)))),"Em Elaboração")</f>
        <v>PEDRA BRITADA N. 1 (9,5 a 19 MM) POSTO PEDREIRA/FORNECEDOR, SEM FRETE</v>
      </c>
      <c r="F457" s="258" t="str">
        <f>IFERROR(IF(D457="SINAPI-S",VLOOKUP(B457,'20-B.SINAPI-S'!A:J,3,0),IF(D457="SINAPI-I",VLOOKUP(B457,'20-A.SINAPI-I'!A:G,3,0),IF(D457="COMPOSIÇÕES",VLOOKUP(B457,'11.COMPOSIÇÕES GERAIS'!B:I,3,0),VLOOKUP(B457,'12.COT.MERCADO'!A:I,7,0)))),"Em Elaboração")</f>
        <v>M3</v>
      </c>
      <c r="G457" s="254">
        <v>1.0</v>
      </c>
      <c r="H457" s="259">
        <f>IFERROR(IF(D457="SINAPI-S",VLOOKUP(B457,'20-B.SINAPI-S'!A:J,5,0),IF(D457="SINAPI-I",VLOOKUP(B457,'20-A.SINAPI-I'!A:G,6,0),IF(D457="COMPOSIÇÕES",VLOOKUP(B457,'11.COMPOSIÇÕES GERAIS'!B:I,7,0),0))),"Em Elaboração")</f>
        <v>0</v>
      </c>
      <c r="I457" s="259">
        <f>IFERROR(IF(D457="SINAPI-S",VLOOKUP(B457,'20-B.SINAPI-S'!A:J,6,0),IF(D457="SINAPI-I",VLOOKUP(B457,'20-A.SINAPI-I'!A:G,7,0),IF(D457="COMPOSIÇÕES",VLOOKUP(B457,'11.COMPOSIÇÕES GERAIS'!B:I,8,0),VLOOKUP(B457,'12.COT.MERCADO'!A:I,8,0)))),"Em Elaboração")</f>
        <v>65.65</v>
      </c>
      <c r="J457" s="259">
        <f t="shared" si="21"/>
        <v>0</v>
      </c>
      <c r="K457" s="259">
        <f t="shared" si="22"/>
        <v>76.89811551</v>
      </c>
      <c r="L457" s="259">
        <f t="shared" si="23"/>
        <v>76.89811551</v>
      </c>
      <c r="M457" s="259">
        <f t="shared" si="24"/>
        <v>0</v>
      </c>
      <c r="N457" s="259">
        <f t="shared" si="25"/>
        <v>76.89811551</v>
      </c>
      <c r="O457" s="259">
        <f t="shared" si="26"/>
        <v>76.89811551</v>
      </c>
      <c r="P457" s="586">
        <f t="shared" si="3"/>
        <v>0.0004191943937</v>
      </c>
    </row>
    <row r="458">
      <c r="A458" s="253" t="s">
        <v>1003</v>
      </c>
      <c r="B458" s="254">
        <v>4718.0</v>
      </c>
      <c r="C458" s="255" t="str">
        <f t="shared" si="20"/>
        <v>SINAPI</v>
      </c>
      <c r="D458" s="256" t="s">
        <v>286</v>
      </c>
      <c r="E458" s="257" t="str">
        <f>IFERROR(IF(D458="SINAPI-S",VLOOKUP(B458,'20-B.SINAPI-S'!A:J,2,0),IF(D458="SINAPI-I",VLOOKUP(B458,'20-A.SINAPI-I'!A:G,2,0),IF(D458="COMPOSIÇÕES",VLOOKUP(B458,'11.COMPOSIÇÕES GERAIS'!B:I,2,0),VLOOKUP(B458,'12.COT.MERCADO'!A:I,2,0)))),"Em Elaboração")</f>
        <v>PEDRA BRITADA N. 2 (19 A 38 MM) POSTO PEDREIRA/FORNECEDOR, SEM FRETE</v>
      </c>
      <c r="F458" s="258" t="str">
        <f>IFERROR(IF(D458="SINAPI-S",VLOOKUP(B458,'20-B.SINAPI-S'!A:J,3,0),IF(D458="SINAPI-I",VLOOKUP(B458,'20-A.SINAPI-I'!A:G,3,0),IF(D458="COMPOSIÇÕES",VLOOKUP(B458,'11.COMPOSIÇÕES GERAIS'!B:I,3,0),VLOOKUP(B458,'12.COT.MERCADO'!A:I,7,0)))),"Em Elaboração")</f>
        <v>M3</v>
      </c>
      <c r="G458" s="254">
        <v>1.0</v>
      </c>
      <c r="H458" s="259">
        <f>IFERROR(IF(D458="SINAPI-S",VLOOKUP(B458,'20-B.SINAPI-S'!A:J,5,0),IF(D458="SINAPI-I",VLOOKUP(B458,'20-A.SINAPI-I'!A:G,6,0),IF(D458="COMPOSIÇÕES",VLOOKUP(B458,'11.COMPOSIÇÕES GERAIS'!B:I,7,0),0))),"Em Elaboração")</f>
        <v>0</v>
      </c>
      <c r="I458" s="259">
        <f>IFERROR(IF(D458="SINAPI-S",VLOOKUP(B458,'20-B.SINAPI-S'!A:J,6,0),IF(D458="SINAPI-I",VLOOKUP(B458,'20-A.SINAPI-I'!A:G,7,0),IF(D458="COMPOSIÇÕES",VLOOKUP(B458,'11.COMPOSIÇÕES GERAIS'!B:I,8,0),VLOOKUP(B458,'12.COT.MERCADO'!A:I,8,0)))),"Em Elaboração")</f>
        <v>66</v>
      </c>
      <c r="J458" s="259">
        <f t="shared" si="21"/>
        <v>0</v>
      </c>
      <c r="K458" s="259">
        <f t="shared" si="22"/>
        <v>77.30808262</v>
      </c>
      <c r="L458" s="259">
        <f t="shared" si="23"/>
        <v>77.30808262</v>
      </c>
      <c r="M458" s="259">
        <f t="shared" si="24"/>
        <v>0</v>
      </c>
      <c r="N458" s="259">
        <f t="shared" si="25"/>
        <v>77.30808262</v>
      </c>
      <c r="O458" s="259">
        <f t="shared" si="26"/>
        <v>77.30808262</v>
      </c>
      <c r="P458" s="586">
        <f t="shared" si="3"/>
        <v>0.0004214292458</v>
      </c>
    </row>
    <row r="459">
      <c r="A459" s="253" t="s">
        <v>1004</v>
      </c>
      <c r="B459" s="254">
        <v>4722.0</v>
      </c>
      <c r="C459" s="255" t="str">
        <f t="shared" si="20"/>
        <v>SINAPI</v>
      </c>
      <c r="D459" s="256" t="s">
        <v>286</v>
      </c>
      <c r="E459" s="257" t="str">
        <f>IFERROR(IF(D459="SINAPI-S",VLOOKUP(B459,'20-B.SINAPI-S'!A:J,2,0),IF(D459="SINAPI-I",VLOOKUP(B459,'20-A.SINAPI-I'!A:G,2,0),IF(D459="COMPOSIÇÕES",VLOOKUP(B459,'11.COMPOSIÇÕES GERAIS'!B:I,2,0),VLOOKUP(B459,'12.COT.MERCADO'!A:I,2,0)))),"Em Elaboração")</f>
        <v>PEDRA BRITADA N. 3 (38 A 50 MM) POSTO PEDREIRA/FORNECEDOR, SEM FRETE</v>
      </c>
      <c r="F459" s="258" t="str">
        <f>IFERROR(IF(D459="SINAPI-S",VLOOKUP(B459,'20-B.SINAPI-S'!A:J,3,0),IF(D459="SINAPI-I",VLOOKUP(B459,'20-A.SINAPI-I'!A:G,3,0),IF(D459="COMPOSIÇÕES",VLOOKUP(B459,'11.COMPOSIÇÕES GERAIS'!B:I,3,0),VLOOKUP(B459,'12.COT.MERCADO'!A:I,7,0)))),"Em Elaboração")</f>
        <v>M3</v>
      </c>
      <c r="G459" s="254">
        <v>1.0</v>
      </c>
      <c r="H459" s="259">
        <f>IFERROR(IF(D459="SINAPI-S",VLOOKUP(B459,'20-B.SINAPI-S'!A:J,5,0),IF(D459="SINAPI-I",VLOOKUP(B459,'20-A.SINAPI-I'!A:G,6,0),IF(D459="COMPOSIÇÕES",VLOOKUP(B459,'11.COMPOSIÇÕES GERAIS'!B:I,7,0),0))),"Em Elaboração")</f>
        <v>0</v>
      </c>
      <c r="I459" s="259">
        <f>IFERROR(IF(D459="SINAPI-S",VLOOKUP(B459,'20-B.SINAPI-S'!A:J,6,0),IF(D459="SINAPI-I",VLOOKUP(B459,'20-A.SINAPI-I'!A:G,7,0),IF(D459="COMPOSIÇÕES",VLOOKUP(B459,'11.COMPOSIÇÕES GERAIS'!B:I,8,0),VLOOKUP(B459,'12.COT.MERCADO'!A:I,8,0)))),"Em Elaboração")</f>
        <v>62.01</v>
      </c>
      <c r="J459" s="259">
        <f t="shared" si="21"/>
        <v>0</v>
      </c>
      <c r="K459" s="259">
        <f t="shared" si="22"/>
        <v>72.63445762</v>
      </c>
      <c r="L459" s="259">
        <f t="shared" si="23"/>
        <v>72.63445762</v>
      </c>
      <c r="M459" s="259">
        <f t="shared" si="24"/>
        <v>0</v>
      </c>
      <c r="N459" s="259">
        <f t="shared" si="25"/>
        <v>72.63445762</v>
      </c>
      <c r="O459" s="259">
        <f t="shared" si="26"/>
        <v>72.63445762</v>
      </c>
      <c r="P459" s="586">
        <f t="shared" si="3"/>
        <v>0.0003959519323</v>
      </c>
    </row>
    <row r="460">
      <c r="A460" s="253" t="s">
        <v>1005</v>
      </c>
      <c r="B460" s="254">
        <v>38392.0</v>
      </c>
      <c r="C460" s="255" t="str">
        <f t="shared" si="20"/>
        <v>SINAPI</v>
      </c>
      <c r="D460" s="256" t="s">
        <v>286</v>
      </c>
      <c r="E460" s="257" t="str">
        <f>IFERROR(IF(D460="SINAPI-S",VLOOKUP(B460,'20-B.SINAPI-S'!A:J,2,0),IF(D460="SINAPI-I",VLOOKUP(B460,'20-A.SINAPI-I'!A:G,2,0),IF(D460="COMPOSIÇÕES",VLOOKUP(B460,'11.COMPOSIÇÕES GERAIS'!B:I,2,0),VLOOKUP(B460,'12.COT.MERCADO'!A:I,2,0)))),"Em Elaboração")</f>
        <v>PROLONGADOR/EXTENSOR PARA ROLO DE PINTURA 3 M</v>
      </c>
      <c r="F460" s="258" t="str">
        <f>IFERROR(IF(D460="SINAPI-S",VLOOKUP(B460,'20-B.SINAPI-S'!A:J,3,0),IF(D460="SINAPI-I",VLOOKUP(B460,'20-A.SINAPI-I'!A:G,3,0),IF(D460="COMPOSIÇÕES",VLOOKUP(B460,'11.COMPOSIÇÕES GERAIS'!B:I,3,0),VLOOKUP(B460,'12.COT.MERCADO'!A:I,7,0)))),"Em Elaboração")</f>
        <v>UN</v>
      </c>
      <c r="G460" s="254">
        <v>5.0</v>
      </c>
      <c r="H460" s="259">
        <f>IFERROR(IF(D460="SINAPI-S",VLOOKUP(B460,'20-B.SINAPI-S'!A:J,5,0),IF(D460="SINAPI-I",VLOOKUP(B460,'20-A.SINAPI-I'!A:G,6,0),IF(D460="COMPOSIÇÕES",VLOOKUP(B460,'11.COMPOSIÇÕES GERAIS'!B:I,7,0),0))),"Em Elaboração")</f>
        <v>0</v>
      </c>
      <c r="I460" s="259">
        <f>IFERROR(IF(D460="SINAPI-S",VLOOKUP(B460,'20-B.SINAPI-S'!A:J,6,0),IF(D460="SINAPI-I",VLOOKUP(B460,'20-A.SINAPI-I'!A:G,7,0),IF(D460="COMPOSIÇÕES",VLOOKUP(B460,'11.COMPOSIÇÕES GERAIS'!B:I,8,0),VLOOKUP(B460,'12.COT.MERCADO'!A:I,8,0)))),"Em Elaboração")</f>
        <v>55.16</v>
      </c>
      <c r="J460" s="259">
        <f t="shared" si="21"/>
        <v>0</v>
      </c>
      <c r="K460" s="259">
        <f t="shared" si="22"/>
        <v>64.61081572</v>
      </c>
      <c r="L460" s="259">
        <f t="shared" si="23"/>
        <v>64.61081572</v>
      </c>
      <c r="M460" s="259">
        <f t="shared" si="24"/>
        <v>0</v>
      </c>
      <c r="N460" s="259">
        <f t="shared" si="25"/>
        <v>323.0540786</v>
      </c>
      <c r="O460" s="259">
        <f t="shared" si="26"/>
        <v>323.0540786</v>
      </c>
      <c r="P460" s="586">
        <f t="shared" si="3"/>
        <v>0.001761063424</v>
      </c>
    </row>
    <row r="461">
      <c r="A461" s="253" t="s">
        <v>1006</v>
      </c>
      <c r="B461" s="254">
        <v>1379.0</v>
      </c>
      <c r="C461" s="255" t="str">
        <f t="shared" si="20"/>
        <v>SINAPI</v>
      </c>
      <c r="D461" s="256" t="s">
        <v>286</v>
      </c>
      <c r="E461" s="257" t="str">
        <f>IFERROR(IF(D461="SINAPI-S",VLOOKUP(B461,'20-B.SINAPI-S'!A:J,2,0),IF(D461="SINAPI-I",VLOOKUP(B461,'20-A.SINAPI-I'!A:G,2,0),IF(D461="COMPOSIÇÕES",VLOOKUP(B461,'11.COMPOSIÇÕES GERAIS'!B:I,2,0),VLOOKUP(B461,'12.COT.MERCADO'!A:I,2,0)))),"Em Elaboração")</f>
        <v>CIMENTO PORTLAND COMPOSTO CP II-32</v>
      </c>
      <c r="F461" s="258" t="str">
        <f>IFERROR(IF(D461="SINAPI-S",VLOOKUP(B461,'20-B.SINAPI-S'!A:J,3,0),IF(D461="SINAPI-I",VLOOKUP(B461,'20-A.SINAPI-I'!A:G,3,0),IF(D461="COMPOSIÇÕES",VLOOKUP(B461,'11.COMPOSIÇÕES GERAIS'!B:I,3,0),VLOOKUP(B461,'12.COT.MERCADO'!A:I,7,0)))),"Em Elaboração")</f>
        <v>KG</v>
      </c>
      <c r="G461" s="254">
        <v>900.0</v>
      </c>
      <c r="H461" s="259">
        <f>IFERROR(IF(D461="SINAPI-S",VLOOKUP(B461,'20-B.SINAPI-S'!A:J,5,0),IF(D461="SINAPI-I",VLOOKUP(B461,'20-A.SINAPI-I'!A:G,6,0),IF(D461="COMPOSIÇÕES",VLOOKUP(B461,'11.COMPOSIÇÕES GERAIS'!B:I,7,0),0))),"Em Elaboração")</f>
        <v>0</v>
      </c>
      <c r="I461" s="259">
        <f>IFERROR(IF(D461="SINAPI-S",VLOOKUP(B461,'20-B.SINAPI-S'!A:J,6,0),IF(D461="SINAPI-I",VLOOKUP(B461,'20-A.SINAPI-I'!A:G,7,0),IF(D461="COMPOSIÇÕES",VLOOKUP(B461,'11.COMPOSIÇÕES GERAIS'!B:I,8,0),VLOOKUP(B461,'12.COT.MERCADO'!A:I,8,0)))),"Em Elaboração")</f>
        <v>0.7</v>
      </c>
      <c r="J461" s="259">
        <f t="shared" si="21"/>
        <v>0</v>
      </c>
      <c r="K461" s="259">
        <f t="shared" si="22"/>
        <v>0.8199342096</v>
      </c>
      <c r="L461" s="259">
        <f t="shared" si="23"/>
        <v>0.8199342096</v>
      </c>
      <c r="M461" s="259">
        <f t="shared" si="24"/>
        <v>0</v>
      </c>
      <c r="N461" s="259">
        <f t="shared" si="25"/>
        <v>737.9407886</v>
      </c>
      <c r="O461" s="259">
        <f t="shared" si="26"/>
        <v>737.9407886</v>
      </c>
      <c r="P461" s="586">
        <f t="shared" si="3"/>
        <v>0.004022733709</v>
      </c>
    </row>
    <row r="462">
      <c r="A462" s="253" t="s">
        <v>1007</v>
      </c>
      <c r="B462" s="254">
        <v>38367.0</v>
      </c>
      <c r="C462" s="255" t="str">
        <f t="shared" si="20"/>
        <v>SINAPI</v>
      </c>
      <c r="D462" s="256" t="s">
        <v>286</v>
      </c>
      <c r="E462" s="257" t="str">
        <f>IFERROR(IF(D462="SINAPI-S",VLOOKUP(B462,'20-B.SINAPI-S'!A:J,2,0),IF(D462="SINAPI-I",VLOOKUP(B462,'20-A.SINAPI-I'!A:G,2,0),IF(D462="COMPOSIÇÕES",VLOOKUP(B462,'11.COMPOSIÇÕES GERAIS'!B:I,2,0),VLOOKUP(B462,'12.COT.MERCADO'!A:I,2,0)))),"Em Elaboração")</f>
        <v>ESPATULA DE ACO INOX COM CABO DE MADEIRA, LARGURA 8 CM</v>
      </c>
      <c r="F462" s="258" t="str">
        <f>IFERROR(IF(D462="SINAPI-S",VLOOKUP(B462,'20-B.SINAPI-S'!A:J,3,0),IF(D462="SINAPI-I",VLOOKUP(B462,'20-A.SINAPI-I'!A:G,3,0),IF(D462="COMPOSIÇÕES",VLOOKUP(B462,'11.COMPOSIÇÕES GERAIS'!B:I,3,0),VLOOKUP(B462,'12.COT.MERCADO'!A:I,7,0)))),"Em Elaboração")</f>
        <v>UN</v>
      </c>
      <c r="G462" s="254">
        <v>8.0</v>
      </c>
      <c r="H462" s="259">
        <f>IFERROR(IF(D462="SINAPI-S",VLOOKUP(B462,'20-B.SINAPI-S'!A:J,5,0),IF(D462="SINAPI-I",VLOOKUP(B462,'20-A.SINAPI-I'!A:G,6,0),IF(D462="COMPOSIÇÕES",VLOOKUP(B462,'11.COMPOSIÇÕES GERAIS'!B:I,7,0),0))),"Em Elaboração")</f>
        <v>0</v>
      </c>
      <c r="I462" s="259">
        <f>IFERROR(IF(D462="SINAPI-S",VLOOKUP(B462,'20-B.SINAPI-S'!A:J,6,0),IF(D462="SINAPI-I",VLOOKUP(B462,'20-A.SINAPI-I'!A:G,7,0),IF(D462="COMPOSIÇÕES",VLOOKUP(B462,'11.COMPOSIÇÕES GERAIS'!B:I,8,0),VLOOKUP(B462,'12.COT.MERCADO'!A:I,8,0)))),"Em Elaboração")</f>
        <v>16.99</v>
      </c>
      <c r="J462" s="259">
        <f t="shared" si="21"/>
        <v>0</v>
      </c>
      <c r="K462" s="259">
        <f t="shared" si="22"/>
        <v>19.9009746</v>
      </c>
      <c r="L462" s="259">
        <f t="shared" si="23"/>
        <v>19.9009746</v>
      </c>
      <c r="M462" s="259">
        <f t="shared" si="24"/>
        <v>0</v>
      </c>
      <c r="N462" s="259">
        <f t="shared" si="25"/>
        <v>159.2077968</v>
      </c>
      <c r="O462" s="259">
        <f t="shared" si="26"/>
        <v>159.2077968</v>
      </c>
      <c r="P462" s="586">
        <f t="shared" si="3"/>
        <v>0.0008678888346</v>
      </c>
    </row>
    <row r="463">
      <c r="A463" s="253" t="s">
        <v>1008</v>
      </c>
      <c r="B463" s="254">
        <v>38124.0</v>
      </c>
      <c r="C463" s="255" t="str">
        <f t="shared" si="20"/>
        <v>SINAPI</v>
      </c>
      <c r="D463" s="256" t="s">
        <v>286</v>
      </c>
      <c r="E463" s="257" t="str">
        <f>IFERROR(IF(D463="SINAPI-S",VLOOKUP(B463,'20-B.SINAPI-S'!A:J,2,0),IF(D463="SINAPI-I",VLOOKUP(B463,'20-A.SINAPI-I'!A:G,2,0),IF(D463="COMPOSIÇÕES",VLOOKUP(B463,'11.COMPOSIÇÕES GERAIS'!B:I,2,0),VLOOKUP(B463,'12.COT.MERCADO'!A:I,2,0)))),"Em Elaboração")</f>
        <v>ESPUMA EXPANSIVA DE POLIURETANO, APLICACAO MANUAL - 500 ML</v>
      </c>
      <c r="F463" s="258" t="str">
        <f>IFERROR(IF(D463="SINAPI-S",VLOOKUP(B463,'20-B.SINAPI-S'!A:J,3,0),IF(D463="SINAPI-I",VLOOKUP(B463,'20-A.SINAPI-I'!A:G,3,0),IF(D463="COMPOSIÇÕES",VLOOKUP(B463,'11.COMPOSIÇÕES GERAIS'!B:I,3,0),VLOOKUP(B463,'12.COT.MERCADO'!A:I,7,0)))),"Em Elaboração")</f>
        <v>UN</v>
      </c>
      <c r="G463" s="254">
        <v>5.0</v>
      </c>
      <c r="H463" s="259">
        <f>IFERROR(IF(D463="SINAPI-S",VLOOKUP(B463,'20-B.SINAPI-S'!A:J,5,0),IF(D463="SINAPI-I",VLOOKUP(B463,'20-A.SINAPI-I'!A:G,6,0),IF(D463="COMPOSIÇÕES",VLOOKUP(B463,'11.COMPOSIÇÕES GERAIS'!B:I,7,0),0))),"Em Elaboração")</f>
        <v>0</v>
      </c>
      <c r="I463" s="259">
        <f>IFERROR(IF(D463="SINAPI-S",VLOOKUP(B463,'20-B.SINAPI-S'!A:J,6,0),IF(D463="SINAPI-I",VLOOKUP(B463,'20-A.SINAPI-I'!A:G,7,0),IF(D463="COMPOSIÇÕES",VLOOKUP(B463,'11.COMPOSIÇÕES GERAIS'!B:I,8,0),VLOOKUP(B463,'12.COT.MERCADO'!A:I,8,0)))),"Em Elaboração")</f>
        <v>29.41</v>
      </c>
      <c r="J463" s="259">
        <f t="shared" si="21"/>
        <v>0</v>
      </c>
      <c r="K463" s="259">
        <f t="shared" si="22"/>
        <v>34.44895015</v>
      </c>
      <c r="L463" s="259">
        <f t="shared" si="23"/>
        <v>34.44895015</v>
      </c>
      <c r="M463" s="259">
        <f t="shared" si="24"/>
        <v>0</v>
      </c>
      <c r="N463" s="259">
        <f t="shared" si="25"/>
        <v>172.2447507</v>
      </c>
      <c r="O463" s="259">
        <f t="shared" si="26"/>
        <v>172.2447507</v>
      </c>
      <c r="P463" s="586">
        <f t="shared" si="3"/>
        <v>0.0009389571301</v>
      </c>
    </row>
    <row r="464">
      <c r="A464" s="253" t="s">
        <v>1009</v>
      </c>
      <c r="B464" s="254">
        <v>38152.0</v>
      </c>
      <c r="C464" s="255" t="str">
        <f t="shared" si="20"/>
        <v>SINAPI</v>
      </c>
      <c r="D464" s="256" t="s">
        <v>286</v>
      </c>
      <c r="E464" s="257" t="str">
        <f>IFERROR(IF(D464="SINAPI-S",VLOOKUP(B464,'20-B.SINAPI-S'!A:J,2,0),IF(D464="SINAPI-I",VLOOKUP(B464,'20-A.SINAPI-I'!A:G,2,0),IF(D464="COMPOSIÇÕES",VLOOKUP(B464,'11.COMPOSIÇÕES GERAIS'!B:I,2,0),VLOOKUP(B464,'12.COT.MERCADO'!A:I,2,0)))),"Em Elaboração")</f>
        <v>FECHADURA ROSETA REDONDA PARA PORTA EXTERNA, EM ACO INOX (MAQUINA, TESTA E CONTRA-TESTA) E EM ZAMAC (MACANETA, LINGUETA E TRINCOS) COM ACABAMENTO CROMADO, MAQUINA DE 55 MM, INCLUINDO CHAVE TIPO CILINDRO</v>
      </c>
      <c r="F464" s="258" t="str">
        <f>IFERROR(IF(D464="SINAPI-S",VLOOKUP(B464,'20-B.SINAPI-S'!A:J,3,0),IF(D464="SINAPI-I",VLOOKUP(B464,'20-A.SINAPI-I'!A:G,3,0),IF(D464="COMPOSIÇÕES",VLOOKUP(B464,'11.COMPOSIÇÕES GERAIS'!B:I,3,0),VLOOKUP(B464,'12.COT.MERCADO'!A:I,7,0)))),"Em Elaboração")</f>
        <v>CJ</v>
      </c>
      <c r="G464" s="254">
        <v>2.0</v>
      </c>
      <c r="H464" s="259">
        <f>IFERROR(IF(D464="SINAPI-S",VLOOKUP(B464,'20-B.SINAPI-S'!A:J,5,0),IF(D464="SINAPI-I",VLOOKUP(B464,'20-A.SINAPI-I'!A:G,6,0),IF(D464="COMPOSIÇÕES",VLOOKUP(B464,'11.COMPOSIÇÕES GERAIS'!B:I,7,0),0))),"Em Elaboração")</f>
        <v>0</v>
      </c>
      <c r="I464" s="259">
        <f>IFERROR(IF(D464="SINAPI-S",VLOOKUP(B464,'20-B.SINAPI-S'!A:J,6,0),IF(D464="SINAPI-I",VLOOKUP(B464,'20-A.SINAPI-I'!A:G,7,0),IF(D464="COMPOSIÇÕES",VLOOKUP(B464,'11.COMPOSIÇÕES GERAIS'!B:I,8,0),VLOOKUP(B464,'12.COT.MERCADO'!A:I,8,0)))),"Em Elaboração")</f>
        <v>145.4</v>
      </c>
      <c r="J464" s="259">
        <f t="shared" si="21"/>
        <v>0</v>
      </c>
      <c r="K464" s="259">
        <f t="shared" si="22"/>
        <v>170.3120487</v>
      </c>
      <c r="L464" s="259">
        <f t="shared" si="23"/>
        <v>170.3120487</v>
      </c>
      <c r="M464" s="259">
        <f t="shared" si="24"/>
        <v>0</v>
      </c>
      <c r="N464" s="259">
        <f t="shared" si="25"/>
        <v>340.6240974</v>
      </c>
      <c r="O464" s="259">
        <f t="shared" si="26"/>
        <v>340.6240974</v>
      </c>
      <c r="P464" s="586">
        <f t="shared" si="3"/>
        <v>0.001856842798</v>
      </c>
    </row>
    <row r="465">
      <c r="A465" s="253" t="s">
        <v>1010</v>
      </c>
      <c r="B465" s="254">
        <v>11468.0</v>
      </c>
      <c r="C465" s="255" t="str">
        <f t="shared" si="20"/>
        <v>SINAPI</v>
      </c>
      <c r="D465" s="256" t="s">
        <v>286</v>
      </c>
      <c r="E465" s="257" t="str">
        <f>IFERROR(IF(D465="SINAPI-S",VLOOKUP(B465,'20-B.SINAPI-S'!A:J,2,0),IF(D465="SINAPI-I",VLOOKUP(B465,'20-A.SINAPI-I'!A:G,2,0),IF(D465="COMPOSIÇÕES",VLOOKUP(B465,'11.COMPOSIÇÕES GERAIS'!B:I,2,0),VLOOKUP(B465,'12.COT.MERCADO'!A:I,2,0)))),"Em Elaboração")</f>
        <v>FECHADURA DE SOBREPOR PARA GAVETAS E ARMARIOS, EM ACO INOX COM ACABAMENTO CROMADO, COM CILINDRO DE APROX 20 MM</v>
      </c>
      <c r="F465" s="258" t="str">
        <f>IFERROR(IF(D465="SINAPI-S",VLOOKUP(B465,'20-B.SINAPI-S'!A:J,3,0),IF(D465="SINAPI-I",VLOOKUP(B465,'20-A.SINAPI-I'!A:G,3,0),IF(D465="COMPOSIÇÕES",VLOOKUP(B465,'11.COMPOSIÇÕES GERAIS'!B:I,3,0),VLOOKUP(B465,'12.COT.MERCADO'!A:I,7,0)))),"Em Elaboração")</f>
        <v>UN</v>
      </c>
      <c r="G465" s="254">
        <v>2.0</v>
      </c>
      <c r="H465" s="259">
        <f>IFERROR(IF(D465="SINAPI-S",VLOOKUP(B465,'20-B.SINAPI-S'!A:J,5,0),IF(D465="SINAPI-I",VLOOKUP(B465,'20-A.SINAPI-I'!A:G,6,0),IF(D465="COMPOSIÇÕES",VLOOKUP(B465,'11.COMPOSIÇÕES GERAIS'!B:I,7,0),0))),"Em Elaboração")</f>
        <v>0</v>
      </c>
      <c r="I465" s="259">
        <f>IFERROR(IF(D465="SINAPI-S",VLOOKUP(B465,'20-B.SINAPI-S'!A:J,6,0),IF(D465="SINAPI-I",VLOOKUP(B465,'20-A.SINAPI-I'!A:G,7,0),IF(D465="COMPOSIÇÕES",VLOOKUP(B465,'11.COMPOSIÇÕES GERAIS'!B:I,8,0),VLOOKUP(B465,'12.COT.MERCADO'!A:I,8,0)))),"Em Elaboração")</f>
        <v>13.7</v>
      </c>
      <c r="J465" s="259">
        <f t="shared" si="21"/>
        <v>0</v>
      </c>
      <c r="K465" s="259">
        <f t="shared" si="22"/>
        <v>16.04728382</v>
      </c>
      <c r="L465" s="259">
        <f t="shared" si="23"/>
        <v>16.04728382</v>
      </c>
      <c r="M465" s="259">
        <f t="shared" si="24"/>
        <v>0</v>
      </c>
      <c r="N465" s="259">
        <f t="shared" si="25"/>
        <v>32.09456763</v>
      </c>
      <c r="O465" s="259">
        <f t="shared" si="26"/>
        <v>32.09456763</v>
      </c>
      <c r="P465" s="586">
        <f t="shared" si="3"/>
        <v>0.0001749569899</v>
      </c>
    </row>
    <row r="466">
      <c r="A466" s="253" t="s">
        <v>1011</v>
      </c>
      <c r="B466" s="254">
        <v>34546.0</v>
      </c>
      <c r="C466" s="255" t="str">
        <f t="shared" si="20"/>
        <v>SINAPI</v>
      </c>
      <c r="D466" s="256" t="s">
        <v>286</v>
      </c>
      <c r="E466" s="257" t="str">
        <f>IFERROR(IF(D466="SINAPI-S",VLOOKUP(B466,'20-B.SINAPI-S'!A:J,2,0),IF(D466="SINAPI-I",VLOOKUP(B466,'20-A.SINAPI-I'!A:G,2,0),IF(D466="COMPOSIÇÕES",VLOOKUP(B466,'11.COMPOSIÇÕES GERAIS'!B:I,2,0),VLOOKUP(B466,'12.COT.MERCADO'!A:I,2,0)))),"Em Elaboração")</f>
        <v>MASSA PREMIUM PARA TEXTURA RUSTICA DE BASE ACRILICA, COR BRANCA, USO INTERNO E EXTERNO</v>
      </c>
      <c r="F466" s="258" t="str">
        <f>IFERROR(IF(D466="SINAPI-S",VLOOKUP(B466,'20-B.SINAPI-S'!A:J,3,0),IF(D466="SINAPI-I",VLOOKUP(B466,'20-A.SINAPI-I'!A:G,3,0),IF(D466="COMPOSIÇÕES",VLOOKUP(B466,'11.COMPOSIÇÕES GERAIS'!B:I,3,0),VLOOKUP(B466,'12.COT.MERCADO'!A:I,7,0)))),"Em Elaboração")</f>
        <v>KG</v>
      </c>
      <c r="G466" s="254">
        <v>30.0</v>
      </c>
      <c r="H466" s="259">
        <f>IFERROR(IF(D466="SINAPI-S",VLOOKUP(B466,'20-B.SINAPI-S'!A:J,5,0),IF(D466="SINAPI-I",VLOOKUP(B466,'20-A.SINAPI-I'!A:G,6,0),IF(D466="COMPOSIÇÕES",VLOOKUP(B466,'11.COMPOSIÇÕES GERAIS'!B:I,7,0),0))),"Em Elaboração")</f>
        <v>0</v>
      </c>
      <c r="I466" s="259">
        <f>IFERROR(IF(D466="SINAPI-S",VLOOKUP(B466,'20-B.SINAPI-S'!A:J,6,0),IF(D466="SINAPI-I",VLOOKUP(B466,'20-A.SINAPI-I'!A:G,7,0),IF(D466="COMPOSIÇÕES",VLOOKUP(B466,'11.COMPOSIÇÕES GERAIS'!B:I,8,0),VLOOKUP(B466,'12.COT.MERCADO'!A:I,8,0)))),"Em Elaboração")</f>
        <v>6.76</v>
      </c>
      <c r="J466" s="259">
        <f t="shared" si="21"/>
        <v>0</v>
      </c>
      <c r="K466" s="259">
        <f t="shared" si="22"/>
        <v>7.918221796</v>
      </c>
      <c r="L466" s="259">
        <f t="shared" si="23"/>
        <v>7.918221796</v>
      </c>
      <c r="M466" s="259">
        <f t="shared" si="24"/>
        <v>0</v>
      </c>
      <c r="N466" s="259">
        <f t="shared" si="25"/>
        <v>237.5466539</v>
      </c>
      <c r="O466" s="259">
        <f t="shared" si="26"/>
        <v>237.5466539</v>
      </c>
      <c r="P466" s="586">
        <f t="shared" si="3"/>
        <v>0.001294937137</v>
      </c>
    </row>
    <row r="467">
      <c r="A467" s="253" t="s">
        <v>1012</v>
      </c>
      <c r="B467" s="254">
        <v>5065.0</v>
      </c>
      <c r="C467" s="255" t="str">
        <f t="shared" si="20"/>
        <v>SINAPI</v>
      </c>
      <c r="D467" s="256" t="s">
        <v>286</v>
      </c>
      <c r="E467" s="257" t="str">
        <f>IFERROR(IF(D467="SINAPI-S",VLOOKUP(B467,'20-B.SINAPI-S'!A:J,2,0),IF(D467="SINAPI-I",VLOOKUP(B467,'20-A.SINAPI-I'!A:G,2,0),IF(D467="COMPOSIÇÕES",VLOOKUP(B467,'11.COMPOSIÇÕES GERAIS'!B:I,2,0),VLOOKUP(B467,'12.COT.MERCADO'!A:I,2,0)))),"Em Elaboração")</f>
        <v>PREGO DE ACO POLIDO COM CABECA 10 X 10 (7/8 X 17)</v>
      </c>
      <c r="F467" s="258" t="str">
        <f>IFERROR(IF(D467="SINAPI-S",VLOOKUP(B467,'20-B.SINAPI-S'!A:J,3,0),IF(D467="SINAPI-I",VLOOKUP(B467,'20-A.SINAPI-I'!A:G,3,0),IF(D467="COMPOSIÇÕES",VLOOKUP(B467,'11.COMPOSIÇÕES GERAIS'!B:I,3,0),VLOOKUP(B467,'12.COT.MERCADO'!A:I,7,0)))),"Em Elaboração")</f>
        <v>KG</v>
      </c>
      <c r="G467" s="254">
        <v>2.0</v>
      </c>
      <c r="H467" s="259">
        <f>IFERROR(IF(D467="SINAPI-S",VLOOKUP(B467,'20-B.SINAPI-S'!A:J,5,0),IF(D467="SINAPI-I",VLOOKUP(B467,'20-A.SINAPI-I'!A:G,6,0),IF(D467="COMPOSIÇÕES",VLOOKUP(B467,'11.COMPOSIÇÕES GERAIS'!B:I,7,0),0))),"Em Elaboração")</f>
        <v>0</v>
      </c>
      <c r="I467" s="259">
        <f>IFERROR(IF(D467="SINAPI-S",VLOOKUP(B467,'20-B.SINAPI-S'!A:J,6,0),IF(D467="SINAPI-I",VLOOKUP(B467,'20-A.SINAPI-I'!A:G,7,0),IF(D467="COMPOSIÇÕES",VLOOKUP(B467,'11.COMPOSIÇÕES GERAIS'!B:I,8,0),VLOOKUP(B467,'12.COT.MERCADO'!A:I,8,0)))),"Em Elaboração")</f>
        <v>30.96</v>
      </c>
      <c r="J467" s="259">
        <f t="shared" si="21"/>
        <v>0</v>
      </c>
      <c r="K467" s="259">
        <f t="shared" si="22"/>
        <v>36.26451876</v>
      </c>
      <c r="L467" s="259">
        <f t="shared" si="23"/>
        <v>36.26451876</v>
      </c>
      <c r="M467" s="259">
        <f t="shared" si="24"/>
        <v>0</v>
      </c>
      <c r="N467" s="259">
        <f t="shared" si="25"/>
        <v>72.52903751</v>
      </c>
      <c r="O467" s="259">
        <f t="shared" si="26"/>
        <v>72.52903751</v>
      </c>
      <c r="P467" s="586">
        <f t="shared" si="3"/>
        <v>0.000395377256</v>
      </c>
    </row>
    <row r="468">
      <c r="A468" s="253" t="s">
        <v>1013</v>
      </c>
      <c r="B468" s="254">
        <v>5066.0</v>
      </c>
      <c r="C468" s="255" t="str">
        <f t="shared" si="20"/>
        <v>SINAPI</v>
      </c>
      <c r="D468" s="256" t="s">
        <v>286</v>
      </c>
      <c r="E468" s="257" t="str">
        <f>IFERROR(IF(D468="SINAPI-S",VLOOKUP(B468,'20-B.SINAPI-S'!A:J,2,0),IF(D468="SINAPI-I",VLOOKUP(B468,'20-A.SINAPI-I'!A:G,2,0),IF(D468="COMPOSIÇÕES",VLOOKUP(B468,'11.COMPOSIÇÕES GERAIS'!B:I,2,0),VLOOKUP(B468,'12.COT.MERCADO'!A:I,2,0)))),"Em Elaboração")</f>
        <v>PREGO DE ACO POLIDO COM CABECA 12 X 12</v>
      </c>
      <c r="F468" s="258" t="str">
        <f>IFERROR(IF(D468="SINAPI-S",VLOOKUP(B468,'20-B.SINAPI-S'!A:J,3,0),IF(D468="SINAPI-I",VLOOKUP(B468,'20-A.SINAPI-I'!A:G,3,0),IF(D468="COMPOSIÇÕES",VLOOKUP(B468,'11.COMPOSIÇÕES GERAIS'!B:I,3,0),VLOOKUP(B468,'12.COT.MERCADO'!A:I,7,0)))),"Em Elaboração")</f>
        <v>KG</v>
      </c>
      <c r="G468" s="254">
        <v>2.0</v>
      </c>
      <c r="H468" s="259">
        <f>IFERROR(IF(D468="SINAPI-S",VLOOKUP(B468,'20-B.SINAPI-S'!A:J,5,0),IF(D468="SINAPI-I",VLOOKUP(B468,'20-A.SINAPI-I'!A:G,6,0),IF(D468="COMPOSIÇÕES",VLOOKUP(B468,'11.COMPOSIÇÕES GERAIS'!B:I,7,0),0))),"Em Elaboração")</f>
        <v>0</v>
      </c>
      <c r="I468" s="259">
        <f>IFERROR(IF(D468="SINAPI-S",VLOOKUP(B468,'20-B.SINAPI-S'!A:J,6,0),IF(D468="SINAPI-I",VLOOKUP(B468,'20-A.SINAPI-I'!A:G,7,0),IF(D468="COMPOSIÇÕES",VLOOKUP(B468,'11.COMPOSIÇÕES GERAIS'!B:I,8,0),VLOOKUP(B468,'12.COT.MERCADO'!A:I,8,0)))),"Em Elaboração")</f>
        <v>21.44</v>
      </c>
      <c r="J468" s="259">
        <f t="shared" si="21"/>
        <v>0</v>
      </c>
      <c r="K468" s="259">
        <f t="shared" si="22"/>
        <v>25.11341351</v>
      </c>
      <c r="L468" s="259">
        <f t="shared" si="23"/>
        <v>25.11341351</v>
      </c>
      <c r="M468" s="259">
        <f t="shared" si="24"/>
        <v>0</v>
      </c>
      <c r="N468" s="259">
        <f t="shared" si="25"/>
        <v>50.22682701</v>
      </c>
      <c r="O468" s="259">
        <f t="shared" si="26"/>
        <v>50.22682701</v>
      </c>
      <c r="P468" s="586">
        <f t="shared" si="3"/>
        <v>0.0002738013039</v>
      </c>
    </row>
    <row r="469">
      <c r="A469" s="253" t="s">
        <v>1014</v>
      </c>
      <c r="B469" s="254">
        <v>5067.0</v>
      </c>
      <c r="C469" s="255" t="str">
        <f t="shared" si="20"/>
        <v>SINAPI</v>
      </c>
      <c r="D469" s="256" t="s">
        <v>286</v>
      </c>
      <c r="E469" s="257" t="str">
        <f>IFERROR(IF(D469="SINAPI-S",VLOOKUP(B469,'20-B.SINAPI-S'!A:J,2,0),IF(D469="SINAPI-I",VLOOKUP(B469,'20-A.SINAPI-I'!A:G,2,0),IF(D469="COMPOSIÇÕES",VLOOKUP(B469,'11.COMPOSIÇÕES GERAIS'!B:I,2,0),VLOOKUP(B469,'12.COT.MERCADO'!A:I,2,0)))),"Em Elaboração")</f>
        <v>PREGO DE ACO POLIDO COM CABECA 16 X 24 (2 1/4 X 12)</v>
      </c>
      <c r="F469" s="258" t="str">
        <f>IFERROR(IF(D469="SINAPI-S",VLOOKUP(B469,'20-B.SINAPI-S'!A:J,3,0),IF(D469="SINAPI-I",VLOOKUP(B469,'20-A.SINAPI-I'!A:G,3,0),IF(D469="COMPOSIÇÕES",VLOOKUP(B469,'11.COMPOSIÇÕES GERAIS'!B:I,3,0),VLOOKUP(B469,'12.COT.MERCADO'!A:I,7,0)))),"Em Elaboração")</f>
        <v>KG</v>
      </c>
      <c r="G469" s="254">
        <v>2.0</v>
      </c>
      <c r="H469" s="259">
        <f>IFERROR(IF(D469="SINAPI-S",VLOOKUP(B469,'20-B.SINAPI-S'!A:J,5,0),IF(D469="SINAPI-I",VLOOKUP(B469,'20-A.SINAPI-I'!A:G,6,0),IF(D469="COMPOSIÇÕES",VLOOKUP(B469,'11.COMPOSIÇÕES GERAIS'!B:I,7,0),0))),"Em Elaboração")</f>
        <v>0</v>
      </c>
      <c r="I469" s="259">
        <f>IFERROR(IF(D469="SINAPI-S",VLOOKUP(B469,'20-B.SINAPI-S'!A:J,6,0),IF(D469="SINAPI-I",VLOOKUP(B469,'20-A.SINAPI-I'!A:G,7,0),IF(D469="COMPOSIÇÕES",VLOOKUP(B469,'11.COMPOSIÇÕES GERAIS'!B:I,8,0),VLOOKUP(B469,'12.COT.MERCADO'!A:I,8,0)))),"Em Elaboração")</f>
        <v>17.34</v>
      </c>
      <c r="J469" s="259">
        <f t="shared" si="21"/>
        <v>0</v>
      </c>
      <c r="K469" s="259">
        <f t="shared" si="22"/>
        <v>20.31094171</v>
      </c>
      <c r="L469" s="259">
        <f t="shared" si="23"/>
        <v>20.31094171</v>
      </c>
      <c r="M469" s="259">
        <f t="shared" si="24"/>
        <v>0</v>
      </c>
      <c r="N469" s="259">
        <f t="shared" si="25"/>
        <v>40.62188341</v>
      </c>
      <c r="O469" s="259">
        <f t="shared" si="26"/>
        <v>40.62188341</v>
      </c>
      <c r="P469" s="586">
        <f t="shared" si="3"/>
        <v>0.0002214419128</v>
      </c>
    </row>
    <row r="470">
      <c r="A470" s="253" t="s">
        <v>1015</v>
      </c>
      <c r="B470" s="254">
        <v>34357.0</v>
      </c>
      <c r="C470" s="255" t="str">
        <f t="shared" si="20"/>
        <v>SINAPI</v>
      </c>
      <c r="D470" s="256" t="s">
        <v>286</v>
      </c>
      <c r="E470" s="257" t="str">
        <f>IFERROR(IF(D470="SINAPI-S",VLOOKUP(B470,'20-B.SINAPI-S'!A:J,2,0),IF(D470="SINAPI-I",VLOOKUP(B470,'20-A.SINAPI-I'!A:G,2,0),IF(D470="COMPOSIÇÕES",VLOOKUP(B470,'11.COMPOSIÇÕES GERAIS'!B:I,2,0),VLOOKUP(B470,'12.COT.MERCADO'!A:I,2,0)))),"Em Elaboração")</f>
        <v>REJUNTE CIMENTICIO, QUALQUER COR</v>
      </c>
      <c r="F470" s="258" t="str">
        <f>IFERROR(IF(D470="SINAPI-S",VLOOKUP(B470,'20-B.SINAPI-S'!A:J,3,0),IF(D470="SINAPI-I",VLOOKUP(B470,'20-A.SINAPI-I'!A:G,3,0),IF(D470="COMPOSIÇÕES",VLOOKUP(B470,'11.COMPOSIÇÕES GERAIS'!B:I,3,0),VLOOKUP(B470,'12.COT.MERCADO'!A:I,7,0)))),"Em Elaboração")</f>
        <v>KG</v>
      </c>
      <c r="G470" s="254">
        <v>3.0</v>
      </c>
      <c r="H470" s="259">
        <f>IFERROR(IF(D470="SINAPI-S",VLOOKUP(B470,'20-B.SINAPI-S'!A:J,5,0),IF(D470="SINAPI-I",VLOOKUP(B470,'20-A.SINAPI-I'!A:G,6,0),IF(D470="COMPOSIÇÕES",VLOOKUP(B470,'11.COMPOSIÇÕES GERAIS'!B:I,7,0),0))),"Em Elaboração")</f>
        <v>0</v>
      </c>
      <c r="I470" s="259">
        <f>IFERROR(IF(D470="SINAPI-S",VLOOKUP(B470,'20-B.SINAPI-S'!A:J,6,0),IF(D470="SINAPI-I",VLOOKUP(B470,'20-A.SINAPI-I'!A:G,7,0),IF(D470="COMPOSIÇÕES",VLOOKUP(B470,'11.COMPOSIÇÕES GERAIS'!B:I,8,0),VLOOKUP(B470,'12.COT.MERCADO'!A:I,8,0)))),"Em Elaboração")</f>
        <v>4.28</v>
      </c>
      <c r="J470" s="259">
        <f t="shared" si="21"/>
        <v>0</v>
      </c>
      <c r="K470" s="259">
        <f t="shared" si="22"/>
        <v>5.013312024</v>
      </c>
      <c r="L470" s="259">
        <f t="shared" si="23"/>
        <v>5.013312024</v>
      </c>
      <c r="M470" s="259">
        <f t="shared" si="24"/>
        <v>0</v>
      </c>
      <c r="N470" s="259">
        <f t="shared" si="25"/>
        <v>15.03993607</v>
      </c>
      <c r="O470" s="259">
        <f t="shared" si="26"/>
        <v>15.03993607</v>
      </c>
      <c r="P470" s="586">
        <f t="shared" si="3"/>
        <v>0.00008198714417</v>
      </c>
    </row>
    <row r="471">
      <c r="A471" s="253" t="s">
        <v>1016</v>
      </c>
      <c r="B471" s="254">
        <v>38393.0</v>
      </c>
      <c r="C471" s="255" t="str">
        <f t="shared" si="20"/>
        <v>SINAPI</v>
      </c>
      <c r="D471" s="256" t="s">
        <v>286</v>
      </c>
      <c r="E471" s="257" t="str">
        <f>IFERROR(IF(D471="SINAPI-S",VLOOKUP(B471,'20-B.SINAPI-S'!A:J,2,0),IF(D471="SINAPI-I",VLOOKUP(B471,'20-A.SINAPI-I'!A:G,2,0),IF(D471="COMPOSIÇÕES",VLOOKUP(B471,'11.COMPOSIÇÕES GERAIS'!B:I,2,0),VLOOKUP(B471,'12.COT.MERCADO'!A:I,2,0)))),"Em Elaboração")</f>
        <v>ROLO DE ESPUMA POLIESTER 23 CM (SEM CABO)</v>
      </c>
      <c r="F471" s="258" t="str">
        <f>IFERROR(IF(D471="SINAPI-S",VLOOKUP(B471,'20-B.SINAPI-S'!A:J,3,0),IF(D471="SINAPI-I",VLOOKUP(B471,'20-A.SINAPI-I'!A:G,3,0),IF(D471="COMPOSIÇÕES",VLOOKUP(B471,'11.COMPOSIÇÕES GERAIS'!B:I,3,0),VLOOKUP(B471,'12.COT.MERCADO'!A:I,7,0)))),"Em Elaboração")</f>
        <v>UN</v>
      </c>
      <c r="G471" s="254">
        <v>8.0</v>
      </c>
      <c r="H471" s="259">
        <f>IFERROR(IF(D471="SINAPI-S",VLOOKUP(B471,'20-B.SINAPI-S'!A:J,5,0),IF(D471="SINAPI-I",VLOOKUP(B471,'20-A.SINAPI-I'!A:G,6,0),IF(D471="COMPOSIÇÕES",VLOOKUP(B471,'11.COMPOSIÇÕES GERAIS'!B:I,7,0),0))),"Em Elaboração")</f>
        <v>0</v>
      </c>
      <c r="I471" s="259">
        <f>IFERROR(IF(D471="SINAPI-S",VLOOKUP(B471,'20-B.SINAPI-S'!A:J,6,0),IF(D471="SINAPI-I",VLOOKUP(B471,'20-A.SINAPI-I'!A:G,7,0),IF(D471="COMPOSIÇÕES",VLOOKUP(B471,'11.COMPOSIÇÕES GERAIS'!B:I,8,0),VLOOKUP(B471,'12.COT.MERCADO'!A:I,8,0)))),"Em Elaboração")</f>
        <v>15.45</v>
      </c>
      <c r="J471" s="259">
        <f t="shared" si="21"/>
        <v>0</v>
      </c>
      <c r="K471" s="259">
        <f t="shared" si="22"/>
        <v>18.09711934</v>
      </c>
      <c r="L471" s="259">
        <f t="shared" si="23"/>
        <v>18.09711934</v>
      </c>
      <c r="M471" s="259">
        <f t="shared" si="24"/>
        <v>0</v>
      </c>
      <c r="N471" s="259">
        <f t="shared" si="25"/>
        <v>144.7769547</v>
      </c>
      <c r="O471" s="259">
        <f t="shared" si="26"/>
        <v>144.7769547</v>
      </c>
      <c r="P471" s="586">
        <f t="shared" si="3"/>
        <v>0.0007892220421</v>
      </c>
    </row>
    <row r="472">
      <c r="A472" s="253" t="s">
        <v>1017</v>
      </c>
      <c r="B472" s="254">
        <v>6085.0</v>
      </c>
      <c r="C472" s="255" t="str">
        <f t="shared" si="20"/>
        <v>SINAPI</v>
      </c>
      <c r="D472" s="256" t="s">
        <v>286</v>
      </c>
      <c r="E472" s="257" t="str">
        <f>IFERROR(IF(D472="SINAPI-S",VLOOKUP(B472,'20-B.SINAPI-S'!A:J,2,0),IF(D472="SINAPI-I",VLOOKUP(B472,'20-A.SINAPI-I'!A:G,2,0),IF(D472="COMPOSIÇÕES",VLOOKUP(B472,'11.COMPOSIÇÕES GERAIS'!B:I,2,0),VLOOKUP(B472,'12.COT.MERCADO'!A:I,2,0)))),"Em Elaboração")</f>
        <v>SELADOR ACRILICO OPACO PREMIUM INTERIOR/EXTERIOR</v>
      </c>
      <c r="F472" s="258" t="str">
        <f>IFERROR(IF(D472="SINAPI-S",VLOOKUP(B472,'20-B.SINAPI-S'!A:J,3,0),IF(D472="SINAPI-I",VLOOKUP(B472,'20-A.SINAPI-I'!A:G,3,0),IF(D472="COMPOSIÇÕES",VLOOKUP(B472,'11.COMPOSIÇÕES GERAIS'!B:I,3,0),VLOOKUP(B472,'12.COT.MERCADO'!A:I,7,0)))),"Em Elaboração")</f>
        <v>L</v>
      </c>
      <c r="G472" s="254">
        <v>15.0</v>
      </c>
      <c r="H472" s="259">
        <f>IFERROR(IF(D472="SINAPI-S",VLOOKUP(B472,'20-B.SINAPI-S'!A:J,5,0),IF(D472="SINAPI-I",VLOOKUP(B472,'20-A.SINAPI-I'!A:G,6,0),IF(D472="COMPOSIÇÕES",VLOOKUP(B472,'11.COMPOSIÇÕES GERAIS'!B:I,7,0),0))),"Em Elaboração")</f>
        <v>0</v>
      </c>
      <c r="I472" s="259">
        <f>IFERROR(IF(D472="SINAPI-S",VLOOKUP(B472,'20-B.SINAPI-S'!A:J,6,0),IF(D472="SINAPI-I",VLOOKUP(B472,'20-A.SINAPI-I'!A:G,7,0),IF(D472="COMPOSIÇÕES",VLOOKUP(B472,'11.COMPOSIÇÕES GERAIS'!B:I,8,0),VLOOKUP(B472,'12.COT.MERCADO'!A:I,8,0)))),"Em Elaboração")</f>
        <v>10.14</v>
      </c>
      <c r="J472" s="259">
        <f t="shared" si="21"/>
        <v>0</v>
      </c>
      <c r="K472" s="259">
        <f t="shared" si="22"/>
        <v>11.87733269</v>
      </c>
      <c r="L472" s="259">
        <f t="shared" si="23"/>
        <v>11.87733269</v>
      </c>
      <c r="M472" s="259">
        <f t="shared" si="24"/>
        <v>0</v>
      </c>
      <c r="N472" s="259">
        <f t="shared" si="25"/>
        <v>178.1599904</v>
      </c>
      <c r="O472" s="259">
        <f t="shared" si="26"/>
        <v>178.1599904</v>
      </c>
      <c r="P472" s="586">
        <f t="shared" si="3"/>
        <v>0.0009712028527</v>
      </c>
    </row>
    <row r="473">
      <c r="A473" s="253" t="s">
        <v>1018</v>
      </c>
      <c r="B473" s="254">
        <v>39961.0</v>
      </c>
      <c r="C473" s="255" t="str">
        <f t="shared" si="20"/>
        <v>SINAPI</v>
      </c>
      <c r="D473" s="256" t="s">
        <v>286</v>
      </c>
      <c r="E473" s="257" t="str">
        <f>IFERROR(IF(D473="SINAPI-S",VLOOKUP(B473,'20-B.SINAPI-S'!A:J,2,0),IF(D473="SINAPI-I",VLOOKUP(B473,'20-A.SINAPI-I'!A:G,2,0),IF(D473="COMPOSIÇÕES",VLOOKUP(B473,'11.COMPOSIÇÕES GERAIS'!B:I,2,0),VLOOKUP(B473,'12.COT.MERCADO'!A:I,2,0)))),"Em Elaboração")</f>
        <v>SILICONE ACETICO USO GERAL INCOLOR 280 G</v>
      </c>
      <c r="F473" s="258" t="str">
        <f>IFERROR(IF(D473="SINAPI-S",VLOOKUP(B473,'20-B.SINAPI-S'!A:J,3,0),IF(D473="SINAPI-I",VLOOKUP(B473,'20-A.SINAPI-I'!A:G,3,0),IF(D473="COMPOSIÇÕES",VLOOKUP(B473,'11.COMPOSIÇÕES GERAIS'!B:I,3,0),VLOOKUP(B473,'12.COT.MERCADO'!A:I,7,0)))),"Em Elaboração")</f>
        <v>UN</v>
      </c>
      <c r="G473" s="254">
        <v>30.0</v>
      </c>
      <c r="H473" s="259">
        <f>IFERROR(IF(D473="SINAPI-S",VLOOKUP(B473,'20-B.SINAPI-S'!A:J,5,0),IF(D473="SINAPI-I",VLOOKUP(B473,'20-A.SINAPI-I'!A:G,6,0),IF(D473="COMPOSIÇÕES",VLOOKUP(B473,'11.COMPOSIÇÕES GERAIS'!B:I,7,0),0))),"Em Elaboração")</f>
        <v>0</v>
      </c>
      <c r="I473" s="259">
        <f>IFERROR(IF(D473="SINAPI-S",VLOOKUP(B473,'20-B.SINAPI-S'!A:J,6,0),IF(D473="SINAPI-I",VLOOKUP(B473,'20-A.SINAPI-I'!A:G,7,0),IF(D473="COMPOSIÇÕES",VLOOKUP(B473,'11.COMPOSIÇÕES GERAIS'!B:I,8,0),VLOOKUP(B473,'12.COT.MERCADO'!A:I,8,0)))),"Em Elaboração")</f>
        <v>22.15</v>
      </c>
      <c r="J473" s="259">
        <f t="shared" si="21"/>
        <v>0</v>
      </c>
      <c r="K473" s="259">
        <f t="shared" si="22"/>
        <v>25.94506106</v>
      </c>
      <c r="L473" s="259">
        <f t="shared" si="23"/>
        <v>25.94506106</v>
      </c>
      <c r="M473" s="259">
        <f t="shared" si="24"/>
        <v>0</v>
      </c>
      <c r="N473" s="259">
        <f t="shared" si="25"/>
        <v>778.3518318</v>
      </c>
      <c r="O473" s="259">
        <f t="shared" si="26"/>
        <v>778.3518318</v>
      </c>
      <c r="P473" s="586">
        <f t="shared" si="3"/>
        <v>0.00424302627</v>
      </c>
    </row>
    <row r="474">
      <c r="A474" s="253" t="s">
        <v>1019</v>
      </c>
      <c r="B474" s="254">
        <v>34401.0</v>
      </c>
      <c r="C474" s="255" t="str">
        <f t="shared" si="20"/>
        <v>SINAPI</v>
      </c>
      <c r="D474" s="256" t="s">
        <v>286</v>
      </c>
      <c r="E474" s="257" t="str">
        <f>IFERROR(IF(D474="SINAPI-S",VLOOKUP(B474,'20-B.SINAPI-S'!A:J,2,0),IF(D474="SINAPI-I",VLOOKUP(B474,'20-A.SINAPI-I'!A:G,2,0),IF(D474="COMPOSIÇÕES",VLOOKUP(B474,'11.COMPOSIÇÕES GERAIS'!B:I,2,0),VLOOKUP(B474,'12.COT.MERCADO'!A:I,2,0)))),"Em Elaboração")</f>
        <v>TIJOLO CERAMICO LAMINADO 5,5 X 11 X 23 CM (L X A X C)</v>
      </c>
      <c r="F474" s="258" t="str">
        <f>IFERROR(IF(D474="SINAPI-S",VLOOKUP(B474,'20-B.SINAPI-S'!A:J,3,0),IF(D474="SINAPI-I",VLOOKUP(B474,'20-A.SINAPI-I'!A:G,3,0),IF(D474="COMPOSIÇÕES",VLOOKUP(B474,'11.COMPOSIÇÕES GERAIS'!B:I,3,0),VLOOKUP(B474,'12.COT.MERCADO'!A:I,7,0)))),"Em Elaboração")</f>
        <v>UN</v>
      </c>
      <c r="G474" s="254">
        <v>150.0</v>
      </c>
      <c r="H474" s="259">
        <f>IFERROR(IF(D474="SINAPI-S",VLOOKUP(B474,'20-B.SINAPI-S'!A:J,5,0),IF(D474="SINAPI-I",VLOOKUP(B474,'20-A.SINAPI-I'!A:G,6,0),IF(D474="COMPOSIÇÕES",VLOOKUP(B474,'11.COMPOSIÇÕES GERAIS'!B:I,7,0),0))),"Em Elaboração")</f>
        <v>0</v>
      </c>
      <c r="I474" s="259">
        <f>IFERROR(IF(D474="SINAPI-S",VLOOKUP(B474,'20-B.SINAPI-S'!A:J,6,0),IF(D474="SINAPI-I",VLOOKUP(B474,'20-A.SINAPI-I'!A:G,7,0),IF(D474="COMPOSIÇÕES",VLOOKUP(B474,'11.COMPOSIÇÕES GERAIS'!B:I,8,0),VLOOKUP(B474,'12.COT.MERCADO'!A:I,8,0)))),"Em Elaboração")</f>
        <v>1.91</v>
      </c>
      <c r="J474" s="259">
        <f t="shared" si="21"/>
        <v>0</v>
      </c>
      <c r="K474" s="259">
        <f t="shared" si="22"/>
        <v>2.237249058</v>
      </c>
      <c r="L474" s="259">
        <f t="shared" si="23"/>
        <v>2.237249058</v>
      </c>
      <c r="M474" s="259">
        <f t="shared" si="24"/>
        <v>0</v>
      </c>
      <c r="N474" s="259">
        <f t="shared" si="25"/>
        <v>335.5873586</v>
      </c>
      <c r="O474" s="259">
        <f t="shared" si="26"/>
        <v>335.5873586</v>
      </c>
      <c r="P474" s="586">
        <f t="shared" si="3"/>
        <v>0.001829386044</v>
      </c>
    </row>
    <row r="475">
      <c r="A475" s="253" t="s">
        <v>1020</v>
      </c>
      <c r="B475" s="254">
        <v>7258.0</v>
      </c>
      <c r="C475" s="255" t="str">
        <f t="shared" si="20"/>
        <v>SINAPI</v>
      </c>
      <c r="D475" s="256" t="s">
        <v>286</v>
      </c>
      <c r="E475" s="257" t="str">
        <f>IFERROR(IF(D475="SINAPI-S",VLOOKUP(B475,'20-B.SINAPI-S'!A:J,2,0),IF(D475="SINAPI-I",VLOOKUP(B475,'20-A.SINAPI-I'!A:G,2,0),IF(D475="COMPOSIÇÕES",VLOOKUP(B475,'11.COMPOSIÇÕES GERAIS'!B:I,2,0),VLOOKUP(B475,'12.COT.MERCADO'!A:I,2,0)))),"Em Elaboração")</f>
        <v>TIJOLO CERAMICO MACICO COMUM *5 X 10 X 20* CM (L X A X C)</v>
      </c>
      <c r="F475" s="258" t="str">
        <f>IFERROR(IF(D475="SINAPI-S",VLOOKUP(B475,'20-B.SINAPI-S'!A:J,3,0),IF(D475="SINAPI-I",VLOOKUP(B475,'20-A.SINAPI-I'!A:G,3,0),IF(D475="COMPOSIÇÕES",VLOOKUP(B475,'11.COMPOSIÇÕES GERAIS'!B:I,3,0),VLOOKUP(B475,'12.COT.MERCADO'!A:I,7,0)))),"Em Elaboração")</f>
        <v>UN</v>
      </c>
      <c r="G475" s="254">
        <v>60.0</v>
      </c>
      <c r="H475" s="259">
        <f>IFERROR(IF(D475="SINAPI-S",VLOOKUP(B475,'20-B.SINAPI-S'!A:J,5,0),IF(D475="SINAPI-I",VLOOKUP(B475,'20-A.SINAPI-I'!A:G,6,0),IF(D475="COMPOSIÇÕES",VLOOKUP(B475,'11.COMPOSIÇÕES GERAIS'!B:I,7,0),0))),"Em Elaboração")</f>
        <v>0</v>
      </c>
      <c r="I475" s="259">
        <f>IFERROR(IF(D475="SINAPI-S",VLOOKUP(B475,'20-B.SINAPI-S'!A:J,6,0),IF(D475="SINAPI-I",VLOOKUP(B475,'20-A.SINAPI-I'!A:G,7,0),IF(D475="COMPOSIÇÕES",VLOOKUP(B475,'11.COMPOSIÇÕES GERAIS'!B:I,8,0),VLOOKUP(B475,'12.COT.MERCADO'!A:I,8,0)))),"Em Elaboração")</f>
        <v>0.68</v>
      </c>
      <c r="J475" s="259">
        <f t="shared" si="21"/>
        <v>0</v>
      </c>
      <c r="K475" s="259">
        <f t="shared" si="22"/>
        <v>0.7965075179</v>
      </c>
      <c r="L475" s="259">
        <f t="shared" si="23"/>
        <v>0.7965075179</v>
      </c>
      <c r="M475" s="259">
        <f t="shared" si="24"/>
        <v>0</v>
      </c>
      <c r="N475" s="259">
        <f t="shared" si="25"/>
        <v>47.79045107</v>
      </c>
      <c r="O475" s="259">
        <f t="shared" si="26"/>
        <v>47.79045107</v>
      </c>
      <c r="P475" s="586">
        <f t="shared" si="3"/>
        <v>0.0002605198974</v>
      </c>
    </row>
    <row r="476">
      <c r="A476" s="253" t="s">
        <v>1021</v>
      </c>
      <c r="B476" s="254">
        <v>7356.0</v>
      </c>
      <c r="C476" s="255" t="str">
        <f t="shared" si="20"/>
        <v>SINAPI</v>
      </c>
      <c r="D476" s="256" t="s">
        <v>286</v>
      </c>
      <c r="E476" s="257" t="str">
        <f>IFERROR(IF(D476="SINAPI-S",VLOOKUP(B476,'20-B.SINAPI-S'!A:J,2,0),IF(D476="SINAPI-I",VLOOKUP(B476,'20-A.SINAPI-I'!A:G,2,0),IF(D476="COMPOSIÇÕES",VLOOKUP(B476,'11.COMPOSIÇÕES GERAIS'!B:I,2,0),VLOOKUP(B476,'12.COT.MERCADO'!A:I,2,0)))),"Em Elaboração")</f>
        <v>TINTA LATEX ACRILICA PREMIUM, COR BRANCO FOSCO</v>
      </c>
      <c r="F476" s="258" t="str">
        <f>IFERROR(IF(D476="SINAPI-S",VLOOKUP(B476,'20-B.SINAPI-S'!A:J,3,0),IF(D476="SINAPI-I",VLOOKUP(B476,'20-A.SINAPI-I'!A:G,3,0),IF(D476="COMPOSIÇÕES",VLOOKUP(B476,'11.COMPOSIÇÕES GERAIS'!B:I,3,0),VLOOKUP(B476,'12.COT.MERCADO'!A:I,7,0)))),"Em Elaboração")</f>
        <v>L</v>
      </c>
      <c r="G476" s="254">
        <v>30.0</v>
      </c>
      <c r="H476" s="259">
        <f>IFERROR(IF(D476="SINAPI-S",VLOOKUP(B476,'20-B.SINAPI-S'!A:J,5,0),IF(D476="SINAPI-I",VLOOKUP(B476,'20-A.SINAPI-I'!A:G,6,0),IF(D476="COMPOSIÇÕES",VLOOKUP(B476,'11.COMPOSIÇÕES GERAIS'!B:I,7,0),0))),"Em Elaboração")</f>
        <v>0</v>
      </c>
      <c r="I476" s="259">
        <f>IFERROR(IF(D476="SINAPI-S",VLOOKUP(B476,'20-B.SINAPI-S'!A:J,6,0),IF(D476="SINAPI-I",VLOOKUP(B476,'20-A.SINAPI-I'!A:G,7,0),IF(D476="COMPOSIÇÕES",VLOOKUP(B476,'11.COMPOSIÇÕES GERAIS'!B:I,8,0),VLOOKUP(B476,'12.COT.MERCADO'!A:I,8,0)))),"Em Elaboração")</f>
        <v>27.55</v>
      </c>
      <c r="J476" s="259">
        <f t="shared" si="21"/>
        <v>0</v>
      </c>
      <c r="K476" s="259">
        <f t="shared" si="22"/>
        <v>32.27026782</v>
      </c>
      <c r="L476" s="259">
        <f t="shared" si="23"/>
        <v>32.27026782</v>
      </c>
      <c r="M476" s="259">
        <f t="shared" si="24"/>
        <v>0</v>
      </c>
      <c r="N476" s="259">
        <f t="shared" si="25"/>
        <v>968.1080346</v>
      </c>
      <c r="O476" s="259">
        <f t="shared" si="26"/>
        <v>968.1080346</v>
      </c>
      <c r="P476" s="586">
        <f t="shared" si="3"/>
        <v>0.005277443509</v>
      </c>
    </row>
    <row r="477">
      <c r="A477" s="253" t="s">
        <v>1022</v>
      </c>
      <c r="B477" s="254">
        <v>7348.0</v>
      </c>
      <c r="C477" s="255" t="str">
        <f t="shared" si="20"/>
        <v>SINAPI</v>
      </c>
      <c r="D477" s="256" t="s">
        <v>286</v>
      </c>
      <c r="E477" s="257" t="str">
        <f>IFERROR(IF(D477="SINAPI-S",VLOOKUP(B477,'20-B.SINAPI-S'!A:J,2,0),IF(D477="SINAPI-I",VLOOKUP(B477,'20-A.SINAPI-I'!A:G,2,0),IF(D477="COMPOSIÇÕES",VLOOKUP(B477,'11.COMPOSIÇÕES GERAIS'!B:I,2,0),VLOOKUP(B477,'12.COT.MERCADO'!A:I,2,0)))),"Em Elaboração")</f>
        <v>TINTA ACRILICA PREMIUM PARA PISO</v>
      </c>
      <c r="F477" s="258" t="str">
        <f>IFERROR(IF(D477="SINAPI-S",VLOOKUP(B477,'20-B.SINAPI-S'!A:J,3,0),IF(D477="SINAPI-I",VLOOKUP(B477,'20-A.SINAPI-I'!A:G,3,0),IF(D477="COMPOSIÇÕES",VLOOKUP(B477,'11.COMPOSIÇÕES GERAIS'!B:I,3,0),VLOOKUP(B477,'12.COT.MERCADO'!A:I,7,0)))),"Em Elaboração")</f>
        <v>L</v>
      </c>
      <c r="G477" s="254">
        <v>18.0</v>
      </c>
      <c r="H477" s="259">
        <f>IFERROR(IF(D477="SINAPI-S",VLOOKUP(B477,'20-B.SINAPI-S'!A:J,5,0),IF(D477="SINAPI-I",VLOOKUP(B477,'20-A.SINAPI-I'!A:G,6,0),IF(D477="COMPOSIÇÕES",VLOOKUP(B477,'11.COMPOSIÇÕES GERAIS'!B:I,7,0),0))),"Em Elaboração")</f>
        <v>0</v>
      </c>
      <c r="I477" s="259">
        <f>IFERROR(IF(D477="SINAPI-S",VLOOKUP(B477,'20-B.SINAPI-S'!A:J,6,0),IF(D477="SINAPI-I",VLOOKUP(B477,'20-A.SINAPI-I'!A:G,7,0),IF(D477="COMPOSIÇÕES",VLOOKUP(B477,'11.COMPOSIÇÕES GERAIS'!B:I,8,0),VLOOKUP(B477,'12.COT.MERCADO'!A:I,8,0)))),"Em Elaboração")</f>
        <v>18.48</v>
      </c>
      <c r="J477" s="259">
        <f t="shared" si="21"/>
        <v>0</v>
      </c>
      <c r="K477" s="259">
        <f t="shared" si="22"/>
        <v>21.64626313</v>
      </c>
      <c r="L477" s="259">
        <f t="shared" si="23"/>
        <v>21.64626313</v>
      </c>
      <c r="M477" s="259">
        <f t="shared" si="24"/>
        <v>0</v>
      </c>
      <c r="N477" s="259">
        <f t="shared" si="25"/>
        <v>389.6327364</v>
      </c>
      <c r="O477" s="259">
        <f t="shared" si="26"/>
        <v>389.6327364</v>
      </c>
      <c r="P477" s="586">
        <f t="shared" si="3"/>
        <v>0.002124003399</v>
      </c>
    </row>
    <row r="478">
      <c r="A478" s="253" t="s">
        <v>1023</v>
      </c>
      <c r="B478" s="254">
        <v>7288.0</v>
      </c>
      <c r="C478" s="255" t="str">
        <f t="shared" si="20"/>
        <v>SINAPI</v>
      </c>
      <c r="D478" s="256" t="s">
        <v>286</v>
      </c>
      <c r="E478" s="257" t="str">
        <f>IFERROR(IF(D478="SINAPI-S",VLOOKUP(B478,'20-B.SINAPI-S'!A:J,2,0),IF(D478="SINAPI-I",VLOOKUP(B478,'20-A.SINAPI-I'!A:G,2,0),IF(D478="COMPOSIÇÕES",VLOOKUP(B478,'11.COMPOSIÇÕES GERAIS'!B:I,2,0),VLOOKUP(B478,'12.COT.MERCADO'!A:I,2,0)))),"Em Elaboração")</f>
        <v>TINTA ESMALTE SINTETICO PREMIUM FOSCO</v>
      </c>
      <c r="F478" s="258" t="str">
        <f>IFERROR(IF(D478="SINAPI-S",VLOOKUP(B478,'20-B.SINAPI-S'!A:J,3,0),IF(D478="SINAPI-I",VLOOKUP(B478,'20-A.SINAPI-I'!A:G,3,0),IF(D478="COMPOSIÇÕES",VLOOKUP(B478,'11.COMPOSIÇÕES GERAIS'!B:I,3,0),VLOOKUP(B478,'12.COT.MERCADO'!A:I,7,0)))),"Em Elaboração")</f>
        <v>L</v>
      </c>
      <c r="G478" s="254">
        <v>18.0</v>
      </c>
      <c r="H478" s="259">
        <f>IFERROR(IF(D478="SINAPI-S",VLOOKUP(B478,'20-B.SINAPI-S'!A:J,5,0),IF(D478="SINAPI-I",VLOOKUP(B478,'20-A.SINAPI-I'!A:G,6,0),IF(D478="COMPOSIÇÕES",VLOOKUP(B478,'11.COMPOSIÇÕES GERAIS'!B:I,7,0),0))),"Em Elaboração")</f>
        <v>0</v>
      </c>
      <c r="I478" s="259">
        <f>IFERROR(IF(D478="SINAPI-S",VLOOKUP(B478,'20-B.SINAPI-S'!A:J,6,0),IF(D478="SINAPI-I",VLOOKUP(B478,'20-A.SINAPI-I'!A:G,7,0),IF(D478="COMPOSIÇÕES",VLOOKUP(B478,'11.COMPOSIÇÕES GERAIS'!B:I,8,0),VLOOKUP(B478,'12.COT.MERCADO'!A:I,8,0)))),"Em Elaboração")</f>
        <v>38.27</v>
      </c>
      <c r="J478" s="259">
        <f t="shared" si="21"/>
        <v>0</v>
      </c>
      <c r="K478" s="259">
        <f t="shared" si="22"/>
        <v>44.82697457</v>
      </c>
      <c r="L478" s="259">
        <f t="shared" si="23"/>
        <v>44.82697457</v>
      </c>
      <c r="M478" s="259">
        <f t="shared" si="24"/>
        <v>0</v>
      </c>
      <c r="N478" s="259">
        <f t="shared" si="25"/>
        <v>806.8855423</v>
      </c>
      <c r="O478" s="259">
        <f t="shared" si="26"/>
        <v>806.8855423</v>
      </c>
      <c r="P478" s="586">
        <f t="shared" si="3"/>
        <v>0.004398571973</v>
      </c>
    </row>
    <row r="479">
      <c r="A479" s="253" t="s">
        <v>1024</v>
      </c>
      <c r="B479" s="254">
        <v>7306.0</v>
      </c>
      <c r="C479" s="255" t="str">
        <f t="shared" si="20"/>
        <v>SINAPI</v>
      </c>
      <c r="D479" s="256" t="s">
        <v>286</v>
      </c>
      <c r="E479" s="257" t="str">
        <f>IFERROR(IF(D479="SINAPI-S",VLOOKUP(B479,'20-B.SINAPI-S'!A:J,2,0),IF(D479="SINAPI-I",VLOOKUP(B479,'20-A.SINAPI-I'!A:G,2,0),IF(D479="COMPOSIÇÕES",VLOOKUP(B479,'11.COMPOSIÇÕES GERAIS'!B:I,2,0),VLOOKUP(B479,'12.COT.MERCADO'!A:I,2,0)))),"Em Elaboração")</f>
        <v>TINTA ESMALTE SINTETICO PREMIUM DE EFEITO PROTETOR DE SUPERFICIE METALICA ALUMINIO</v>
      </c>
      <c r="F479" s="258" t="str">
        <f>IFERROR(IF(D479="SINAPI-S",VLOOKUP(B479,'20-B.SINAPI-S'!A:J,3,0),IF(D479="SINAPI-I",VLOOKUP(B479,'20-A.SINAPI-I'!A:G,3,0),IF(D479="COMPOSIÇÕES",VLOOKUP(B479,'11.COMPOSIÇÕES GERAIS'!B:I,3,0),VLOOKUP(B479,'12.COT.MERCADO'!A:I,7,0)))),"Em Elaboração")</f>
        <v>L</v>
      </c>
      <c r="G479" s="254">
        <v>18.0</v>
      </c>
      <c r="H479" s="259">
        <f>IFERROR(IF(D479="SINAPI-S",VLOOKUP(B479,'20-B.SINAPI-S'!A:J,5,0),IF(D479="SINAPI-I",VLOOKUP(B479,'20-A.SINAPI-I'!A:G,6,0),IF(D479="COMPOSIÇÕES",VLOOKUP(B479,'11.COMPOSIÇÕES GERAIS'!B:I,7,0),0))),"Em Elaboração")</f>
        <v>0</v>
      </c>
      <c r="I479" s="259">
        <f>IFERROR(IF(D479="SINAPI-S",VLOOKUP(B479,'20-B.SINAPI-S'!A:J,6,0),IF(D479="SINAPI-I",VLOOKUP(B479,'20-A.SINAPI-I'!A:G,7,0),IF(D479="COMPOSIÇÕES",VLOOKUP(B479,'11.COMPOSIÇÕES GERAIS'!B:I,8,0),VLOOKUP(B479,'12.COT.MERCADO'!A:I,8,0)))),"Em Elaboração")</f>
        <v>46.09</v>
      </c>
      <c r="J479" s="259">
        <f t="shared" si="21"/>
        <v>0</v>
      </c>
      <c r="K479" s="259">
        <f t="shared" si="22"/>
        <v>53.98681103</v>
      </c>
      <c r="L479" s="259">
        <f t="shared" si="23"/>
        <v>53.98681103</v>
      </c>
      <c r="M479" s="259">
        <f t="shared" si="24"/>
        <v>0</v>
      </c>
      <c r="N479" s="259">
        <f t="shared" si="25"/>
        <v>971.7625985</v>
      </c>
      <c r="O479" s="259">
        <f t="shared" si="26"/>
        <v>971.7625985</v>
      </c>
      <c r="P479" s="586">
        <f t="shared" si="3"/>
        <v>0.005297365619</v>
      </c>
    </row>
    <row r="480">
      <c r="A480" s="253" t="s">
        <v>1025</v>
      </c>
      <c r="B480" s="254">
        <v>7311.0</v>
      </c>
      <c r="C480" s="255" t="str">
        <f t="shared" si="20"/>
        <v>SINAPI</v>
      </c>
      <c r="D480" s="256" t="s">
        <v>286</v>
      </c>
      <c r="E480" s="257" t="str">
        <f>IFERROR(IF(D480="SINAPI-S",VLOOKUP(B480,'20-B.SINAPI-S'!A:J,2,0),IF(D480="SINAPI-I",VLOOKUP(B480,'20-A.SINAPI-I'!A:G,2,0),IF(D480="COMPOSIÇÕES",VLOOKUP(B480,'11.COMPOSIÇÕES GERAIS'!B:I,2,0),VLOOKUP(B480,'12.COT.MERCADO'!A:I,2,0)))),"Em Elaboração")</f>
        <v>TINTA ESMALTE SINTETICO PREMIUM ACETINADO</v>
      </c>
      <c r="F480" s="258" t="str">
        <f>IFERROR(IF(D480="SINAPI-S",VLOOKUP(B480,'20-B.SINAPI-S'!A:J,3,0),IF(D480="SINAPI-I",VLOOKUP(B480,'20-A.SINAPI-I'!A:G,3,0),IF(D480="COMPOSIÇÕES",VLOOKUP(B480,'11.COMPOSIÇÕES GERAIS'!B:I,3,0),VLOOKUP(B480,'12.COT.MERCADO'!A:I,7,0)))),"Em Elaboração")</f>
        <v>L</v>
      </c>
      <c r="G480" s="254">
        <v>36.0</v>
      </c>
      <c r="H480" s="259">
        <f>IFERROR(IF(D480="SINAPI-S",VLOOKUP(B480,'20-B.SINAPI-S'!A:J,5,0),IF(D480="SINAPI-I",VLOOKUP(B480,'20-A.SINAPI-I'!A:G,6,0),IF(D480="COMPOSIÇÕES",VLOOKUP(B480,'11.COMPOSIÇÕES GERAIS'!B:I,7,0),0))),"Em Elaboração")</f>
        <v>0</v>
      </c>
      <c r="I480" s="259">
        <f>IFERROR(IF(D480="SINAPI-S",VLOOKUP(B480,'20-B.SINAPI-S'!A:J,6,0),IF(D480="SINAPI-I",VLOOKUP(B480,'20-A.SINAPI-I'!A:G,7,0),IF(D480="COMPOSIÇÕES",VLOOKUP(B480,'11.COMPOSIÇÕES GERAIS'!B:I,8,0),VLOOKUP(B480,'12.COT.MERCADO'!A:I,8,0)))),"Em Elaboração")</f>
        <v>38.99</v>
      </c>
      <c r="J480" s="259">
        <f t="shared" si="21"/>
        <v>0</v>
      </c>
      <c r="K480" s="259">
        <f t="shared" si="22"/>
        <v>45.67033547</v>
      </c>
      <c r="L480" s="259">
        <f t="shared" si="23"/>
        <v>45.67033547</v>
      </c>
      <c r="M480" s="259">
        <f t="shared" si="24"/>
        <v>0</v>
      </c>
      <c r="N480" s="259">
        <f t="shared" si="25"/>
        <v>1644.132077</v>
      </c>
      <c r="O480" s="259">
        <f t="shared" si="26"/>
        <v>1644.132077</v>
      </c>
      <c r="P480" s="586">
        <f t="shared" si="3"/>
        <v>0.008962650705</v>
      </c>
    </row>
    <row r="481">
      <c r="A481" s="253" t="s">
        <v>1026</v>
      </c>
      <c r="B481" s="254">
        <v>35692.0</v>
      </c>
      <c r="C481" s="255" t="str">
        <f t="shared" si="20"/>
        <v>SINAPI</v>
      </c>
      <c r="D481" s="256" t="s">
        <v>286</v>
      </c>
      <c r="E481" s="257" t="str">
        <f>IFERROR(IF(D481="SINAPI-S",VLOOKUP(B481,'20-B.SINAPI-S'!A:J,2,0),IF(D481="SINAPI-I",VLOOKUP(B481,'20-A.SINAPI-I'!A:G,2,0),IF(D481="COMPOSIÇÕES",VLOOKUP(B481,'11.COMPOSIÇÕES GERAIS'!B:I,2,0),VLOOKUP(B481,'12.COT.MERCADO'!A:I,2,0)))),"Em Elaboração")</f>
        <v>TINTA LATEX ACRILICA STANDARD, COR BRANCA</v>
      </c>
      <c r="F481" s="258" t="str">
        <f>IFERROR(IF(D481="SINAPI-S",VLOOKUP(B481,'20-B.SINAPI-S'!A:J,3,0),IF(D481="SINAPI-I",VLOOKUP(B481,'20-A.SINAPI-I'!A:G,3,0),IF(D481="COMPOSIÇÕES",VLOOKUP(B481,'11.COMPOSIÇÕES GERAIS'!B:I,3,0),VLOOKUP(B481,'12.COT.MERCADO'!A:I,7,0)))),"Em Elaboração")</f>
        <v>L</v>
      </c>
      <c r="G481" s="254">
        <v>36.0</v>
      </c>
      <c r="H481" s="259">
        <f>IFERROR(IF(D481="SINAPI-S",VLOOKUP(B481,'20-B.SINAPI-S'!A:J,5,0),IF(D481="SINAPI-I",VLOOKUP(B481,'20-A.SINAPI-I'!A:G,6,0),IF(D481="COMPOSIÇÕES",VLOOKUP(B481,'11.COMPOSIÇÕES GERAIS'!B:I,7,0),0))),"Em Elaboração")</f>
        <v>0</v>
      </c>
      <c r="I481" s="259">
        <f>IFERROR(IF(D481="SINAPI-S",VLOOKUP(B481,'20-B.SINAPI-S'!A:J,6,0),IF(D481="SINAPI-I",VLOOKUP(B481,'20-A.SINAPI-I'!A:G,7,0),IF(D481="COMPOSIÇÕES",VLOOKUP(B481,'11.COMPOSIÇÕES GERAIS'!B:I,8,0),VLOOKUP(B481,'12.COT.MERCADO'!A:I,8,0)))),"Em Elaboração")</f>
        <v>18.03</v>
      </c>
      <c r="J481" s="259">
        <f t="shared" si="21"/>
        <v>0</v>
      </c>
      <c r="K481" s="259">
        <f t="shared" si="22"/>
        <v>21.11916257</v>
      </c>
      <c r="L481" s="259">
        <f t="shared" si="23"/>
        <v>21.11916257</v>
      </c>
      <c r="M481" s="259">
        <f t="shared" si="24"/>
        <v>0</v>
      </c>
      <c r="N481" s="259">
        <f t="shared" si="25"/>
        <v>760.2898525</v>
      </c>
      <c r="O481" s="259">
        <f t="shared" si="26"/>
        <v>760.2898525</v>
      </c>
      <c r="P481" s="586">
        <f t="shared" si="3"/>
        <v>0.004144565073</v>
      </c>
    </row>
    <row r="482">
      <c r="A482" s="253" t="s">
        <v>1027</v>
      </c>
      <c r="B482" s="254">
        <v>7304.0</v>
      </c>
      <c r="C482" s="255" t="str">
        <f t="shared" si="20"/>
        <v>SINAPI</v>
      </c>
      <c r="D482" s="256" t="s">
        <v>286</v>
      </c>
      <c r="E482" s="257" t="str">
        <f>IFERROR(IF(D482="SINAPI-S",VLOOKUP(B482,'20-B.SINAPI-S'!A:J,2,0),IF(D482="SINAPI-I",VLOOKUP(B482,'20-A.SINAPI-I'!A:G,2,0),IF(D482="COMPOSIÇÕES",VLOOKUP(B482,'11.COMPOSIÇÕES GERAIS'!B:I,2,0),VLOOKUP(B482,'12.COT.MERCADO'!A:I,2,0)))),"Em Elaboração")</f>
        <v>TINTA EPOXI BASE AGUA PREMIUM, BRANCA</v>
      </c>
      <c r="F482" s="258" t="str">
        <f>IFERROR(IF(D482="SINAPI-S",VLOOKUP(B482,'20-B.SINAPI-S'!A:J,3,0),IF(D482="SINAPI-I",VLOOKUP(B482,'20-A.SINAPI-I'!A:G,3,0),IF(D482="COMPOSIÇÕES",VLOOKUP(B482,'11.COMPOSIÇÕES GERAIS'!B:I,3,0),VLOOKUP(B482,'12.COT.MERCADO'!A:I,7,0)))),"Em Elaboração")</f>
        <v>L</v>
      </c>
      <c r="G482" s="254">
        <v>10.0</v>
      </c>
      <c r="H482" s="259">
        <f>IFERROR(IF(D482="SINAPI-S",VLOOKUP(B482,'20-B.SINAPI-S'!A:J,5,0),IF(D482="SINAPI-I",VLOOKUP(B482,'20-A.SINAPI-I'!A:G,6,0),IF(D482="COMPOSIÇÕES",VLOOKUP(B482,'11.COMPOSIÇÕES GERAIS'!B:I,7,0),0))),"Em Elaboração")</f>
        <v>0</v>
      </c>
      <c r="I482" s="259">
        <f>IFERROR(IF(D482="SINAPI-S",VLOOKUP(B482,'20-B.SINAPI-S'!A:J,6,0),IF(D482="SINAPI-I",VLOOKUP(B482,'20-A.SINAPI-I'!A:G,7,0),IF(D482="COMPOSIÇÕES",VLOOKUP(B482,'11.COMPOSIÇÕES GERAIS'!B:I,8,0),VLOOKUP(B482,'12.COT.MERCADO'!A:I,8,0)))),"Em Elaboração")</f>
        <v>77.88</v>
      </c>
      <c r="J482" s="259">
        <f t="shared" si="21"/>
        <v>0</v>
      </c>
      <c r="K482" s="259">
        <f t="shared" si="22"/>
        <v>91.22353749</v>
      </c>
      <c r="L482" s="259">
        <f t="shared" si="23"/>
        <v>91.22353749</v>
      </c>
      <c r="M482" s="259">
        <f t="shared" si="24"/>
        <v>0</v>
      </c>
      <c r="N482" s="259">
        <f t="shared" si="25"/>
        <v>912.2353749</v>
      </c>
      <c r="O482" s="259">
        <f t="shared" si="26"/>
        <v>912.2353749</v>
      </c>
      <c r="P482" s="586">
        <f t="shared" si="3"/>
        <v>0.0049728651</v>
      </c>
    </row>
    <row r="483">
      <c r="A483" s="253" t="s">
        <v>1028</v>
      </c>
      <c r="B483" s="254">
        <v>7348.0</v>
      </c>
      <c r="C483" s="255" t="str">
        <f t="shared" si="20"/>
        <v>SINAPI</v>
      </c>
      <c r="D483" s="256" t="s">
        <v>286</v>
      </c>
      <c r="E483" s="257" t="str">
        <f>IFERROR(IF(D483="SINAPI-S",VLOOKUP(B483,'20-B.SINAPI-S'!A:J,2,0),IF(D483="SINAPI-I",VLOOKUP(B483,'20-A.SINAPI-I'!A:G,2,0),IF(D483="COMPOSIÇÕES",VLOOKUP(B483,'11.COMPOSIÇÕES GERAIS'!B:I,2,0),VLOOKUP(B483,'12.COT.MERCADO'!A:I,2,0)))),"Em Elaboração")</f>
        <v>TINTA ACRILICA PREMIUM PARA PISO</v>
      </c>
      <c r="F483" s="258" t="str">
        <f>IFERROR(IF(D483="SINAPI-S",VLOOKUP(B483,'20-B.SINAPI-S'!A:J,3,0),IF(D483="SINAPI-I",VLOOKUP(B483,'20-A.SINAPI-I'!A:G,3,0),IF(D483="COMPOSIÇÕES",VLOOKUP(B483,'11.COMPOSIÇÕES GERAIS'!B:I,3,0),VLOOKUP(B483,'12.COT.MERCADO'!A:I,7,0)))),"Em Elaboração")</f>
        <v>L</v>
      </c>
      <c r="G483" s="254">
        <v>10.0</v>
      </c>
      <c r="H483" s="259">
        <f>IFERROR(IF(D483="SINAPI-S",VLOOKUP(B483,'20-B.SINAPI-S'!A:J,5,0),IF(D483="SINAPI-I",VLOOKUP(B483,'20-A.SINAPI-I'!A:G,6,0),IF(D483="COMPOSIÇÕES",VLOOKUP(B483,'11.COMPOSIÇÕES GERAIS'!B:I,7,0),0))),"Em Elaboração")</f>
        <v>0</v>
      </c>
      <c r="I483" s="259">
        <f>IFERROR(IF(D483="SINAPI-S",VLOOKUP(B483,'20-B.SINAPI-S'!A:J,6,0),IF(D483="SINAPI-I",VLOOKUP(B483,'20-A.SINAPI-I'!A:G,7,0),IF(D483="COMPOSIÇÕES",VLOOKUP(B483,'11.COMPOSIÇÕES GERAIS'!B:I,8,0),VLOOKUP(B483,'12.COT.MERCADO'!A:I,8,0)))),"Em Elaboração")</f>
        <v>18.48</v>
      </c>
      <c r="J483" s="259">
        <f t="shared" si="21"/>
        <v>0</v>
      </c>
      <c r="K483" s="259">
        <f t="shared" si="22"/>
        <v>21.64626313</v>
      </c>
      <c r="L483" s="259">
        <f t="shared" si="23"/>
        <v>21.64626313</v>
      </c>
      <c r="M483" s="259">
        <f t="shared" si="24"/>
        <v>0</v>
      </c>
      <c r="N483" s="259">
        <f t="shared" si="25"/>
        <v>216.4626313</v>
      </c>
      <c r="O483" s="259">
        <f t="shared" si="26"/>
        <v>216.4626313</v>
      </c>
      <c r="P483" s="586">
        <f t="shared" si="3"/>
        <v>0.001180001888</v>
      </c>
    </row>
    <row r="484">
      <c r="A484" s="253" t="s">
        <v>1029</v>
      </c>
      <c r="B484" s="254">
        <v>10527.0</v>
      </c>
      <c r="C484" s="255" t="str">
        <f t="shared" si="20"/>
        <v>SINAPI</v>
      </c>
      <c r="D484" s="256" t="s">
        <v>286</v>
      </c>
      <c r="E484" s="257" t="str">
        <f>IFERROR(IF(D484="SINAPI-S",VLOOKUP(B484,'20-B.SINAPI-S'!A:J,2,0),IF(D484="SINAPI-I",VLOOKUP(B484,'20-A.SINAPI-I'!A:G,2,0),IF(D484="COMPOSIÇÕES",VLOOKUP(B484,'11.COMPOSIÇÕES GERAIS'!B:I,2,0),VLOOKUP(B484,'12.COT.MERCADO'!A:I,2,0)))),"Em Elaboração")</f>
        <v>LOCACAO DE ANDAIME METALICO TUBULAR DE ENCAIXE, TIPO DE TORRE, CADA PAINEL COM LARGURA DE 1 ATE 1,5 M E ALTURA DE *1,00* M, INCLUINDO DIAGONAL, BARRAS DE LIGACAO, SAPATAS OU RODIZIOS E DEMAIS ITENS NECESSARIOS A MONTAGEM (NAO INCLUI INSTALACAO)</v>
      </c>
      <c r="F484" s="258" t="str">
        <f>IFERROR(IF(D484="SINAPI-S",VLOOKUP(B484,'20-B.SINAPI-S'!A:J,3,0),IF(D484="SINAPI-I",VLOOKUP(B484,'20-A.SINAPI-I'!A:G,3,0),IF(D484="COMPOSIÇÕES",VLOOKUP(B484,'11.COMPOSIÇÕES GERAIS'!B:I,3,0),VLOOKUP(B484,'12.COT.MERCADO'!A:I,7,0)))),"Em Elaboração")</f>
        <v>MXMES</v>
      </c>
      <c r="G484" s="254">
        <v>25.0</v>
      </c>
      <c r="H484" s="259">
        <f>IFERROR(IF(D484="SINAPI-S",VLOOKUP(B484,'20-B.SINAPI-S'!A:J,5,0),IF(D484="SINAPI-I",VLOOKUP(B484,'20-A.SINAPI-I'!A:G,6,0),IF(D484="COMPOSIÇÕES",VLOOKUP(B484,'11.COMPOSIÇÕES GERAIS'!B:I,7,0),0))),"Em Elaboração")</f>
        <v>0</v>
      </c>
      <c r="I484" s="259">
        <f>IFERROR(IF(D484="SINAPI-S",VLOOKUP(B484,'20-B.SINAPI-S'!A:J,6,0),IF(D484="SINAPI-I",VLOOKUP(B484,'20-A.SINAPI-I'!A:G,7,0),IF(D484="COMPOSIÇÕES",VLOOKUP(B484,'11.COMPOSIÇÕES GERAIS'!B:I,8,0),VLOOKUP(B484,'12.COT.MERCADO'!A:I,8,0)))),"Em Elaboração")</f>
        <v>20</v>
      </c>
      <c r="J484" s="259">
        <f t="shared" si="21"/>
        <v>0</v>
      </c>
      <c r="K484" s="259">
        <f t="shared" si="22"/>
        <v>23.4266917</v>
      </c>
      <c r="L484" s="259">
        <f t="shared" si="23"/>
        <v>23.4266917</v>
      </c>
      <c r="M484" s="259">
        <f t="shared" si="24"/>
        <v>0</v>
      </c>
      <c r="N484" s="259">
        <f t="shared" si="25"/>
        <v>585.6672926</v>
      </c>
      <c r="O484" s="259">
        <f t="shared" si="26"/>
        <v>585.6672926</v>
      </c>
      <c r="P484" s="586">
        <f t="shared" si="3"/>
        <v>0.003192645801</v>
      </c>
    </row>
    <row r="485">
      <c r="A485" s="253" t="s">
        <v>1030</v>
      </c>
      <c r="B485" s="254">
        <v>43130.0</v>
      </c>
      <c r="C485" s="255" t="str">
        <f t="shared" si="20"/>
        <v>SINAPI</v>
      </c>
      <c r="D485" s="256" t="s">
        <v>286</v>
      </c>
      <c r="E485" s="257" t="str">
        <f>IFERROR(IF(D485="SINAPI-S",VLOOKUP(B485,'20-B.SINAPI-S'!A:J,2,0),IF(D485="SINAPI-I",VLOOKUP(B485,'20-A.SINAPI-I'!A:G,2,0),IF(D485="COMPOSIÇÕES",VLOOKUP(B485,'11.COMPOSIÇÕES GERAIS'!B:I,2,0),VLOOKUP(B485,'12.COT.MERCADO'!A:I,2,0)))),"Em Elaboração")</f>
        <v>ARAME GALVANIZADO 12 BWG, D = 2,76 MM (0,048 KG/M) OU 14 BWG, D = 2,11 MM (0,026 KG/M)</v>
      </c>
      <c r="F485" s="258" t="str">
        <f>IFERROR(IF(D485="SINAPI-S",VLOOKUP(B485,'20-B.SINAPI-S'!A:J,3,0),IF(D485="SINAPI-I",VLOOKUP(B485,'20-A.SINAPI-I'!A:G,3,0),IF(D485="COMPOSIÇÕES",VLOOKUP(B485,'11.COMPOSIÇÕES GERAIS'!B:I,3,0),VLOOKUP(B485,'12.COT.MERCADO'!A:I,7,0)))),"Em Elaboração")</f>
        <v>KG</v>
      </c>
      <c r="G485" s="254">
        <v>25.0</v>
      </c>
      <c r="H485" s="259">
        <f>IFERROR(IF(D485="SINAPI-S",VLOOKUP(B485,'20-B.SINAPI-S'!A:J,5,0),IF(D485="SINAPI-I",VLOOKUP(B485,'20-A.SINAPI-I'!A:G,6,0),IF(D485="COMPOSIÇÕES",VLOOKUP(B485,'11.COMPOSIÇÕES GERAIS'!B:I,7,0),0))),"Em Elaboração")</f>
        <v>0</v>
      </c>
      <c r="I485" s="259">
        <f>IFERROR(IF(D485="SINAPI-S",VLOOKUP(B485,'20-B.SINAPI-S'!A:J,6,0),IF(D485="SINAPI-I",VLOOKUP(B485,'20-A.SINAPI-I'!A:G,7,0),IF(D485="COMPOSIÇÕES",VLOOKUP(B485,'11.COMPOSIÇÕES GERAIS'!B:I,8,0),VLOOKUP(B485,'12.COT.MERCADO'!A:I,8,0)))),"Em Elaboração")</f>
        <v>27.75</v>
      </c>
      <c r="J485" s="259">
        <f t="shared" si="21"/>
        <v>0</v>
      </c>
      <c r="K485" s="259">
        <f t="shared" si="22"/>
        <v>32.50453474</v>
      </c>
      <c r="L485" s="259">
        <f t="shared" si="23"/>
        <v>32.50453474</v>
      </c>
      <c r="M485" s="259">
        <f t="shared" si="24"/>
        <v>0</v>
      </c>
      <c r="N485" s="259">
        <f t="shared" si="25"/>
        <v>812.6133684</v>
      </c>
      <c r="O485" s="259">
        <f t="shared" si="26"/>
        <v>812.6133684</v>
      </c>
      <c r="P485" s="586">
        <f t="shared" si="3"/>
        <v>0.004429796049</v>
      </c>
    </row>
    <row r="486">
      <c r="A486" s="253" t="s">
        <v>1031</v>
      </c>
      <c r="B486" s="254">
        <v>37329.0</v>
      </c>
      <c r="C486" s="255" t="str">
        <f t="shared" si="20"/>
        <v>SINAPI</v>
      </c>
      <c r="D486" s="256" t="s">
        <v>286</v>
      </c>
      <c r="E486" s="257" t="str">
        <f>IFERROR(IF(D486="SINAPI-S",VLOOKUP(B486,'20-B.SINAPI-S'!A:J,2,0),IF(D486="SINAPI-I",VLOOKUP(B486,'20-A.SINAPI-I'!A:G,2,0),IF(D486="COMPOSIÇÕES",VLOOKUP(B486,'11.COMPOSIÇÕES GERAIS'!B:I,2,0),VLOOKUP(B486,'12.COT.MERCADO'!A:I,2,0)))),"Em Elaboração")</f>
        <v>REJUNTE EPOXI, QUALQUER COR</v>
      </c>
      <c r="F486" s="258" t="str">
        <f>IFERROR(IF(D486="SINAPI-S",VLOOKUP(B486,'20-B.SINAPI-S'!A:J,3,0),IF(D486="SINAPI-I",VLOOKUP(B486,'20-A.SINAPI-I'!A:G,3,0),IF(D486="COMPOSIÇÕES",VLOOKUP(B486,'11.COMPOSIÇÕES GERAIS'!B:I,3,0),VLOOKUP(B486,'12.COT.MERCADO'!A:I,7,0)))),"Em Elaboração")</f>
        <v>KG</v>
      </c>
      <c r="G486" s="254">
        <v>3.0</v>
      </c>
      <c r="H486" s="259">
        <f>IFERROR(IF(D486="SINAPI-S",VLOOKUP(B486,'20-B.SINAPI-S'!A:J,5,0),IF(D486="SINAPI-I",VLOOKUP(B486,'20-A.SINAPI-I'!A:G,6,0),IF(D486="COMPOSIÇÕES",VLOOKUP(B486,'11.COMPOSIÇÕES GERAIS'!B:I,7,0),0))),"Em Elaboração")</f>
        <v>0</v>
      </c>
      <c r="I486" s="259">
        <f>IFERROR(IF(D486="SINAPI-S",VLOOKUP(B486,'20-B.SINAPI-S'!A:J,6,0),IF(D486="SINAPI-I",VLOOKUP(B486,'20-A.SINAPI-I'!A:G,7,0),IF(D486="COMPOSIÇÕES",VLOOKUP(B486,'11.COMPOSIÇÕES GERAIS'!B:I,8,0),VLOOKUP(B486,'12.COT.MERCADO'!A:I,8,0)))),"Em Elaboração")</f>
        <v>90.28</v>
      </c>
      <c r="J486" s="259">
        <f t="shared" si="21"/>
        <v>0</v>
      </c>
      <c r="K486" s="259">
        <f t="shared" si="22"/>
        <v>105.7480863</v>
      </c>
      <c r="L486" s="259">
        <f t="shared" si="23"/>
        <v>105.7480863</v>
      </c>
      <c r="M486" s="259">
        <f t="shared" si="24"/>
        <v>0</v>
      </c>
      <c r="N486" s="259">
        <f t="shared" si="25"/>
        <v>317.244259</v>
      </c>
      <c r="O486" s="259">
        <f t="shared" si="26"/>
        <v>317.244259</v>
      </c>
      <c r="P486" s="586">
        <f t="shared" si="3"/>
        <v>0.001729392378</v>
      </c>
    </row>
    <row r="487">
      <c r="A487" s="253" t="s">
        <v>1032</v>
      </c>
      <c r="B487" s="254">
        <v>39897.0</v>
      </c>
      <c r="C487" s="255" t="str">
        <f t="shared" si="20"/>
        <v>SINAPI</v>
      </c>
      <c r="D487" s="256" t="s">
        <v>286</v>
      </c>
      <c r="E487" s="257" t="str">
        <f>IFERROR(IF(D487="SINAPI-S",VLOOKUP(B487,'20-B.SINAPI-S'!A:J,2,0),IF(D487="SINAPI-I",VLOOKUP(B487,'20-A.SINAPI-I'!A:G,2,0),IF(D487="COMPOSIÇÕES",VLOOKUP(B487,'11.COMPOSIÇÕES GERAIS'!B:I,2,0),VLOOKUP(B487,'12.COT.MERCADO'!A:I,2,0)))),"Em Elaboração")</f>
        <v>PASTA PARA SOLDA DE TUBOS E CONEXOES DE COBRE (EMBALAGEM COM 250 G)</v>
      </c>
      <c r="F487" s="258" t="str">
        <f>IFERROR(IF(D487="SINAPI-S",VLOOKUP(B487,'20-B.SINAPI-S'!A:J,3,0),IF(D487="SINAPI-I",VLOOKUP(B487,'20-A.SINAPI-I'!A:G,3,0),IF(D487="COMPOSIÇÕES",VLOOKUP(B487,'11.COMPOSIÇÕES GERAIS'!B:I,3,0),VLOOKUP(B487,'12.COT.MERCADO'!A:I,7,0)))),"Em Elaboração")</f>
        <v>UN</v>
      </c>
      <c r="G487" s="254">
        <v>3.0</v>
      </c>
      <c r="H487" s="259">
        <f>IFERROR(IF(D487="SINAPI-S",VLOOKUP(B487,'20-B.SINAPI-S'!A:J,5,0),IF(D487="SINAPI-I",VLOOKUP(B487,'20-A.SINAPI-I'!A:G,6,0),IF(D487="COMPOSIÇÕES",VLOOKUP(B487,'11.COMPOSIÇÕES GERAIS'!B:I,7,0),0))),"Em Elaboração")</f>
        <v>0</v>
      </c>
      <c r="I487" s="259">
        <f>IFERROR(IF(D487="SINAPI-S",VLOOKUP(B487,'20-B.SINAPI-S'!A:J,6,0),IF(D487="SINAPI-I",VLOOKUP(B487,'20-A.SINAPI-I'!A:G,7,0),IF(D487="COMPOSIÇÕES",VLOOKUP(B487,'11.COMPOSIÇÕES GERAIS'!B:I,8,0),VLOOKUP(B487,'12.COT.MERCADO'!A:I,8,0)))),"Em Elaboração")</f>
        <v>52.22</v>
      </c>
      <c r="J487" s="259">
        <f t="shared" si="21"/>
        <v>0</v>
      </c>
      <c r="K487" s="259">
        <f t="shared" si="22"/>
        <v>61.16709204</v>
      </c>
      <c r="L487" s="259">
        <f t="shared" si="23"/>
        <v>61.16709204</v>
      </c>
      <c r="M487" s="259">
        <f t="shared" si="24"/>
        <v>0</v>
      </c>
      <c r="N487" s="259">
        <f t="shared" si="25"/>
        <v>183.5012761</v>
      </c>
      <c r="O487" s="259">
        <f t="shared" si="26"/>
        <v>183.5012761</v>
      </c>
      <c r="P487" s="586">
        <f t="shared" si="3"/>
        <v>0.001000319782</v>
      </c>
    </row>
    <row r="488">
      <c r="A488" s="253" t="s">
        <v>1033</v>
      </c>
      <c r="B488" s="254">
        <v>626.0</v>
      </c>
      <c r="C488" s="255" t="str">
        <f t="shared" si="20"/>
        <v>SINAPI</v>
      </c>
      <c r="D488" s="256" t="s">
        <v>286</v>
      </c>
      <c r="E488" s="257" t="str">
        <f>IFERROR(IF(D488="SINAPI-S",VLOOKUP(B488,'20-B.SINAPI-S'!A:J,2,0),IF(D488="SINAPI-I",VLOOKUP(B488,'20-A.SINAPI-I'!A:G,2,0),IF(D488="COMPOSIÇÕES",VLOOKUP(B488,'11.COMPOSIÇÕES GERAIS'!B:I,2,0),VLOOKUP(B488,'12.COT.MERCADO'!A:I,2,0)))),"Em Elaboração")</f>
        <v>MANTA LIQUIDA DE BASE ASFALTICA MODIFICADA COM A ADICAO DE ELASTOMEROS DILUIDOS EM SOLVENTE ORGANICO, APLICACAO A FRIO (MEMBRANA IMPERMEABILIZANTE ASFASTICA)</v>
      </c>
      <c r="F488" s="258" t="str">
        <f>IFERROR(IF(D488="SINAPI-S",VLOOKUP(B488,'20-B.SINAPI-S'!A:J,3,0),IF(D488="SINAPI-I",VLOOKUP(B488,'20-A.SINAPI-I'!A:G,3,0),IF(D488="COMPOSIÇÕES",VLOOKUP(B488,'11.COMPOSIÇÕES GERAIS'!B:I,3,0),VLOOKUP(B488,'12.COT.MERCADO'!A:I,7,0)))),"Em Elaboração")</f>
        <v>KG</v>
      </c>
      <c r="G488" s="254">
        <v>150.0</v>
      </c>
      <c r="H488" s="259">
        <f>IFERROR(IF(D488="SINAPI-S",VLOOKUP(B488,'20-B.SINAPI-S'!A:J,5,0),IF(D488="SINAPI-I",VLOOKUP(B488,'20-A.SINAPI-I'!A:G,6,0),IF(D488="COMPOSIÇÕES",VLOOKUP(B488,'11.COMPOSIÇÕES GERAIS'!B:I,7,0),0))),"Em Elaboração")</f>
        <v>0</v>
      </c>
      <c r="I488" s="259">
        <f>IFERROR(IF(D488="SINAPI-S",VLOOKUP(B488,'20-B.SINAPI-S'!A:J,6,0),IF(D488="SINAPI-I",VLOOKUP(B488,'20-A.SINAPI-I'!A:G,7,0),IF(D488="COMPOSIÇÕES",VLOOKUP(B488,'11.COMPOSIÇÕES GERAIS'!B:I,8,0),VLOOKUP(B488,'12.COT.MERCADO'!A:I,8,0)))),"Em Elaboração")</f>
        <v>18.75</v>
      </c>
      <c r="J488" s="259">
        <f t="shared" si="21"/>
        <v>0</v>
      </c>
      <c r="K488" s="259">
        <f t="shared" si="22"/>
        <v>21.96252347</v>
      </c>
      <c r="L488" s="259">
        <f t="shared" si="23"/>
        <v>21.96252347</v>
      </c>
      <c r="M488" s="259">
        <f t="shared" si="24"/>
        <v>0</v>
      </c>
      <c r="N488" s="259">
        <f t="shared" si="25"/>
        <v>3294.378521</v>
      </c>
      <c r="O488" s="259">
        <f t="shared" si="26"/>
        <v>3294.378521</v>
      </c>
      <c r="P488" s="586">
        <f t="shared" si="3"/>
        <v>0.01795863263</v>
      </c>
    </row>
    <row r="489" ht="21.75" customHeight="1">
      <c r="A489" s="587" t="s">
        <v>1034</v>
      </c>
      <c r="B489" s="588" t="s">
        <v>1035</v>
      </c>
      <c r="C489" s="44"/>
      <c r="D489" s="44"/>
      <c r="E489" s="44"/>
      <c r="F489" s="44"/>
      <c r="G489" s="44"/>
      <c r="H489" s="44"/>
      <c r="I489" s="44"/>
      <c r="J489" s="44"/>
      <c r="K489" s="44"/>
      <c r="L489" s="44"/>
      <c r="M489" s="589">
        <f t="shared" ref="M489:O489" si="27">SUM(M490:M497)</f>
        <v>0</v>
      </c>
      <c r="N489" s="589">
        <f t="shared" si="27"/>
        <v>1365.448153</v>
      </c>
      <c r="O489" s="589">
        <f t="shared" si="27"/>
        <v>1365.448153</v>
      </c>
      <c r="P489" s="590">
        <f t="shared" si="3"/>
        <v>0.007443462127</v>
      </c>
    </row>
    <row r="490">
      <c r="A490" s="253" t="s">
        <v>1036</v>
      </c>
      <c r="B490" s="254">
        <v>13.0</v>
      </c>
      <c r="C490" s="255" t="str">
        <f t="shared" ref="C490:C497" si="28">IF(OR(D490="SINAPI-S",D490="SINAPI-I"),"SINAPI","PRÓPRIO")</f>
        <v>SINAPI</v>
      </c>
      <c r="D490" s="256" t="s">
        <v>286</v>
      </c>
      <c r="E490" s="257" t="str">
        <f>IFERROR(IF(D490="SINAPI-S",VLOOKUP(B490,'20-B.SINAPI-S'!A:J,2,0),IF(D490="SINAPI-I",VLOOKUP(B490,'20-A.SINAPI-I'!A:G,2,0),IF(D490="COMPOSIÇÕES",VLOOKUP(B490,'11.COMPOSIÇÕES GERAIS'!B:I,2,0),VLOOKUP(B490,'12.COT.MERCADO'!A:I,2,0)))),"Em Elaboração")</f>
        <v>ESTOPA</v>
      </c>
      <c r="F490" s="258" t="str">
        <f>IFERROR(IF(D490="SINAPI-S",VLOOKUP(B490,'20-B.SINAPI-S'!A:J,3,0),IF(D490="SINAPI-I",VLOOKUP(B490,'20-A.SINAPI-I'!A:G,3,0),IF(D490="COMPOSIÇÕES",VLOOKUP(B490,'11.COMPOSIÇÕES GERAIS'!B:I,3,0),VLOOKUP(B490,'12.COT.MERCADO'!A:I,7,0)))),"Em Elaboração")</f>
        <v>KG</v>
      </c>
      <c r="G490" s="254">
        <v>9.0</v>
      </c>
      <c r="H490" s="259">
        <f>IFERROR(IF(D490="SINAPI-S",VLOOKUP(B490,'20-B.SINAPI-S'!A:J,5,0),IF(D490="SINAPI-I",VLOOKUP(B490,'20-A.SINAPI-I'!A:G,6,0),IF(D490="COMPOSIÇÕES",VLOOKUP(B490,'11.COMPOSIÇÕES GERAIS'!B:I,7,0),0))),"Em Elaboração")</f>
        <v>0</v>
      </c>
      <c r="I490" s="259">
        <f>IFERROR(IF(D490="SINAPI-S",VLOOKUP(B490,'20-B.SINAPI-S'!A:J,6,0),IF(D490="SINAPI-I",VLOOKUP(B490,'20-A.SINAPI-I'!A:G,7,0),IF(D490="COMPOSIÇÕES",VLOOKUP(B490,'11.COMPOSIÇÕES GERAIS'!B:I,8,0),VLOOKUP(B490,'12.COT.MERCADO'!A:I,8,0)))),"Em Elaboração")</f>
        <v>19.21</v>
      </c>
      <c r="J490" s="259">
        <f t="shared" ref="J490:J497" si="29">H490*(1+$J$5)</f>
        <v>0</v>
      </c>
      <c r="K490" s="259">
        <f t="shared" ref="K490:K497" si="30">I490*(1+$J$8)</f>
        <v>22.50133738</v>
      </c>
      <c r="L490" s="259">
        <f t="shared" ref="L490:L497" si="31">SUM(J490:K490)</f>
        <v>22.50133738</v>
      </c>
      <c r="M490" s="259">
        <f t="shared" ref="M490:M497" si="32">J490*G490</f>
        <v>0</v>
      </c>
      <c r="N490" s="259">
        <f t="shared" ref="N490:N497" si="33">K490*G490</f>
        <v>202.5120364</v>
      </c>
      <c r="O490" s="259">
        <f t="shared" ref="O490:O497" si="34">SUM(M490:N490)</f>
        <v>202.5120364</v>
      </c>
      <c r="P490" s="586">
        <f t="shared" si="3"/>
        <v>0.001103953065</v>
      </c>
    </row>
    <row r="491">
      <c r="A491" s="253" t="s">
        <v>1037</v>
      </c>
      <c r="B491" s="254">
        <v>20111.0</v>
      </c>
      <c r="C491" s="255" t="str">
        <f t="shared" si="28"/>
        <v>SINAPI</v>
      </c>
      <c r="D491" s="256" t="s">
        <v>286</v>
      </c>
      <c r="E491" s="257" t="str">
        <f>IFERROR(IF(D491="SINAPI-S",VLOOKUP(B491,'20-B.SINAPI-S'!A:J,2,0),IF(D491="SINAPI-I",VLOOKUP(B491,'20-A.SINAPI-I'!A:G,2,0),IF(D491="COMPOSIÇÕES",VLOOKUP(B491,'11.COMPOSIÇÕES GERAIS'!B:I,2,0),VLOOKUP(B491,'12.COT.MERCADO'!A:I,2,0)))),"Em Elaboração")</f>
        <v>FITA ISOLANTE ADESIVA ANTICHAMA, USO ATE 750 V, EM ROLO DE 19 MM X 20 M</v>
      </c>
      <c r="F491" s="258" t="str">
        <f>IFERROR(IF(D491="SINAPI-S",VLOOKUP(B491,'20-B.SINAPI-S'!A:J,3,0),IF(D491="SINAPI-I",VLOOKUP(B491,'20-A.SINAPI-I'!A:G,3,0),IF(D491="COMPOSIÇÕES",VLOOKUP(B491,'11.COMPOSIÇÕES GERAIS'!B:I,3,0),VLOOKUP(B491,'12.COT.MERCADO'!A:I,7,0)))),"Em Elaboração")</f>
        <v>UN</v>
      </c>
      <c r="G491" s="254">
        <v>24.0</v>
      </c>
      <c r="H491" s="259">
        <f>IFERROR(IF(D491="SINAPI-S",VLOOKUP(B491,'20-B.SINAPI-S'!A:J,5,0),IF(D491="SINAPI-I",VLOOKUP(B491,'20-A.SINAPI-I'!A:G,6,0),IF(D491="COMPOSIÇÕES",VLOOKUP(B491,'11.COMPOSIÇÕES GERAIS'!B:I,7,0),0))),"Em Elaboração")</f>
        <v>0</v>
      </c>
      <c r="I491" s="259">
        <f>IFERROR(IF(D491="SINAPI-S",VLOOKUP(B491,'20-B.SINAPI-S'!A:J,6,0),IF(D491="SINAPI-I",VLOOKUP(B491,'20-A.SINAPI-I'!A:G,7,0),IF(D491="COMPOSIÇÕES",VLOOKUP(B491,'11.COMPOSIÇÕES GERAIS'!B:I,8,0),VLOOKUP(B491,'12.COT.MERCADO'!A:I,8,0)))),"Em Elaboração")</f>
        <v>12.9</v>
      </c>
      <c r="J491" s="259">
        <f t="shared" si="29"/>
        <v>0</v>
      </c>
      <c r="K491" s="259">
        <f t="shared" si="30"/>
        <v>15.11021615</v>
      </c>
      <c r="L491" s="259">
        <f t="shared" si="31"/>
        <v>15.11021615</v>
      </c>
      <c r="M491" s="259">
        <f t="shared" si="32"/>
        <v>0</v>
      </c>
      <c r="N491" s="259">
        <f t="shared" si="33"/>
        <v>362.6451876</v>
      </c>
      <c r="O491" s="259">
        <f t="shared" si="34"/>
        <v>362.6451876</v>
      </c>
      <c r="P491" s="586">
        <f t="shared" si="3"/>
        <v>0.00197688628</v>
      </c>
    </row>
    <row r="492">
      <c r="A492" s="253" t="s">
        <v>1038</v>
      </c>
      <c r="B492" s="254">
        <v>3767.0</v>
      </c>
      <c r="C492" s="255" t="str">
        <f t="shared" si="28"/>
        <v>SINAPI</v>
      </c>
      <c r="D492" s="256" t="s">
        <v>286</v>
      </c>
      <c r="E492" s="257" t="str">
        <f>IFERROR(IF(D492="SINAPI-S",VLOOKUP(B492,'20-B.SINAPI-S'!A:J,2,0),IF(D492="SINAPI-I",VLOOKUP(B492,'20-A.SINAPI-I'!A:G,2,0),IF(D492="COMPOSIÇÕES",VLOOKUP(B492,'11.COMPOSIÇÕES GERAIS'!B:I,2,0),VLOOKUP(B492,'12.COT.MERCADO'!A:I,2,0)))),"Em Elaboração")</f>
        <v>LIXA EM FOLHA PARA PAREDE OU MADEIRA, NUMERO 120, COR VERMELHA</v>
      </c>
      <c r="F492" s="258" t="str">
        <f>IFERROR(IF(D492="SINAPI-S",VLOOKUP(B492,'20-B.SINAPI-S'!A:J,3,0),IF(D492="SINAPI-I",VLOOKUP(B492,'20-A.SINAPI-I'!A:G,3,0),IF(D492="COMPOSIÇÕES",VLOOKUP(B492,'11.COMPOSIÇÕES GERAIS'!B:I,3,0),VLOOKUP(B492,'12.COT.MERCADO'!A:I,7,0)))),"Em Elaboração")</f>
        <v>UN</v>
      </c>
      <c r="G492" s="254">
        <v>40.0</v>
      </c>
      <c r="H492" s="259">
        <f>IFERROR(IF(D492="SINAPI-S",VLOOKUP(B492,'20-B.SINAPI-S'!A:J,5,0),IF(D492="SINAPI-I",VLOOKUP(B492,'20-A.SINAPI-I'!A:G,6,0),IF(D492="COMPOSIÇÕES",VLOOKUP(B492,'11.COMPOSIÇÕES GERAIS'!B:I,7,0),0))),"Em Elaboração")</f>
        <v>0</v>
      </c>
      <c r="I492" s="259">
        <f>IFERROR(IF(D492="SINAPI-S",VLOOKUP(B492,'20-B.SINAPI-S'!A:J,6,0),IF(D492="SINAPI-I",VLOOKUP(B492,'20-A.SINAPI-I'!A:G,7,0),IF(D492="COMPOSIÇÕES",VLOOKUP(B492,'11.COMPOSIÇÕES GERAIS'!B:I,8,0),VLOOKUP(B492,'12.COT.MERCADO'!A:I,8,0)))),"Em Elaboração")</f>
        <v>1.66</v>
      </c>
      <c r="J492" s="259">
        <f t="shared" si="29"/>
        <v>0</v>
      </c>
      <c r="K492" s="259">
        <f t="shared" si="30"/>
        <v>1.944415411</v>
      </c>
      <c r="L492" s="259">
        <f t="shared" si="31"/>
        <v>1.944415411</v>
      </c>
      <c r="M492" s="259">
        <f t="shared" si="32"/>
        <v>0</v>
      </c>
      <c r="N492" s="259">
        <f t="shared" si="33"/>
        <v>77.77661645</v>
      </c>
      <c r="O492" s="259">
        <f t="shared" si="34"/>
        <v>77.77661645</v>
      </c>
      <c r="P492" s="586">
        <f t="shared" si="3"/>
        <v>0.0004239833624</v>
      </c>
    </row>
    <row r="493">
      <c r="A493" s="253" t="s">
        <v>1039</v>
      </c>
      <c r="B493" s="254">
        <v>5318.0</v>
      </c>
      <c r="C493" s="255" t="str">
        <f t="shared" si="28"/>
        <v>SINAPI</v>
      </c>
      <c r="D493" s="256" t="s">
        <v>286</v>
      </c>
      <c r="E493" s="257" t="str">
        <f>IFERROR(IF(D493="SINAPI-S",VLOOKUP(B493,'20-B.SINAPI-S'!A:J,2,0),IF(D493="SINAPI-I",VLOOKUP(B493,'20-A.SINAPI-I'!A:G,2,0),IF(D493="COMPOSIÇÕES",VLOOKUP(B493,'11.COMPOSIÇÕES GERAIS'!B:I,2,0),VLOOKUP(B493,'12.COT.MERCADO'!A:I,2,0)))),"Em Elaboração")</f>
        <v>DILUENTE AGUARRAS</v>
      </c>
      <c r="F493" s="258" t="str">
        <f>IFERROR(IF(D493="SINAPI-S",VLOOKUP(B493,'20-B.SINAPI-S'!A:J,3,0),IF(D493="SINAPI-I",VLOOKUP(B493,'20-A.SINAPI-I'!A:G,3,0),IF(D493="COMPOSIÇÕES",VLOOKUP(B493,'11.COMPOSIÇÕES GERAIS'!B:I,3,0),VLOOKUP(B493,'12.COT.MERCADO'!A:I,7,0)))),"Em Elaboração")</f>
        <v>L</v>
      </c>
      <c r="G493" s="254">
        <v>8.0</v>
      </c>
      <c r="H493" s="259">
        <f>IFERROR(IF(D493="SINAPI-S",VLOOKUP(B493,'20-B.SINAPI-S'!A:J,5,0),IF(D493="SINAPI-I",VLOOKUP(B493,'20-A.SINAPI-I'!A:G,6,0),IF(D493="COMPOSIÇÕES",VLOOKUP(B493,'11.COMPOSIÇÕES GERAIS'!B:I,7,0),0))),"Em Elaboração")</f>
        <v>0</v>
      </c>
      <c r="I493" s="259">
        <f>IFERROR(IF(D493="SINAPI-S",VLOOKUP(B493,'20-B.SINAPI-S'!A:J,6,0),IF(D493="SINAPI-I",VLOOKUP(B493,'20-A.SINAPI-I'!A:G,7,0),IF(D493="COMPOSIÇÕES",VLOOKUP(B493,'11.COMPOSIÇÕES GERAIS'!B:I,8,0),VLOOKUP(B493,'12.COT.MERCADO'!A:I,8,0)))),"Em Elaboração")</f>
        <v>22.59</v>
      </c>
      <c r="J493" s="259">
        <f t="shared" si="29"/>
        <v>0</v>
      </c>
      <c r="K493" s="259">
        <f t="shared" si="30"/>
        <v>26.46044828</v>
      </c>
      <c r="L493" s="259">
        <f t="shared" si="31"/>
        <v>26.46044828</v>
      </c>
      <c r="M493" s="259">
        <f t="shared" si="32"/>
        <v>0</v>
      </c>
      <c r="N493" s="259">
        <f t="shared" si="33"/>
        <v>211.6835862</v>
      </c>
      <c r="O493" s="259">
        <f t="shared" si="34"/>
        <v>211.6835862</v>
      </c>
      <c r="P493" s="586">
        <f t="shared" si="3"/>
        <v>0.001153949898</v>
      </c>
    </row>
    <row r="494">
      <c r="A494" s="253" t="s">
        <v>1040</v>
      </c>
      <c r="B494" s="254">
        <v>151.0</v>
      </c>
      <c r="C494" s="255" t="str">
        <f t="shared" si="28"/>
        <v>SINAPI</v>
      </c>
      <c r="D494" s="256" t="s">
        <v>286</v>
      </c>
      <c r="E494" s="257" t="str">
        <f>IFERROR(IF(D494="SINAPI-S",VLOOKUP(B494,'20-B.SINAPI-S'!A:J,2,0),IF(D494="SINAPI-I",VLOOKUP(B494,'20-A.SINAPI-I'!A:G,2,0),IF(D494="COMPOSIÇÕES",VLOOKUP(B494,'11.COMPOSIÇÕES GERAIS'!B:I,2,0),VLOOKUP(B494,'12.COT.MERCADO'!A:I,2,0)))),"Em Elaboração")</f>
        <v>IMPERMEABILIZANTE INCOLOR,  BASE SILICONE, PARA TRATAMENTO DE FACHADAS, TELHAS, PEDRAS E OUTRAS SUPERFICIES</v>
      </c>
      <c r="F494" s="258" t="str">
        <f>IFERROR(IF(D494="SINAPI-S",VLOOKUP(B494,'20-B.SINAPI-S'!A:J,3,0),IF(D494="SINAPI-I",VLOOKUP(B494,'20-A.SINAPI-I'!A:G,3,0),IF(D494="COMPOSIÇÕES",VLOOKUP(B494,'11.COMPOSIÇÕES GERAIS'!B:I,3,0),VLOOKUP(B494,'12.COT.MERCADO'!A:I,7,0)))),"Em Elaboração")</f>
        <v>L</v>
      </c>
      <c r="G494" s="254">
        <v>4.0</v>
      </c>
      <c r="H494" s="259">
        <f>IFERROR(IF(D494="SINAPI-S",VLOOKUP(B494,'20-B.SINAPI-S'!A:J,5,0),IF(D494="SINAPI-I",VLOOKUP(B494,'20-A.SINAPI-I'!A:G,6,0),IF(D494="COMPOSIÇÕES",VLOOKUP(B494,'11.COMPOSIÇÕES GERAIS'!B:I,7,0),0))),"Em Elaboração")</f>
        <v>0</v>
      </c>
      <c r="I494" s="259">
        <f>IFERROR(IF(D494="SINAPI-S",VLOOKUP(B494,'20-B.SINAPI-S'!A:J,6,0),IF(D494="SINAPI-I",VLOOKUP(B494,'20-A.SINAPI-I'!A:G,7,0),IF(D494="COMPOSIÇÕES",VLOOKUP(B494,'11.COMPOSIÇÕES GERAIS'!B:I,8,0),VLOOKUP(B494,'12.COT.MERCADO'!A:I,8,0)))),"Em Elaboração")</f>
        <v>27.12</v>
      </c>
      <c r="J494" s="259">
        <f t="shared" si="29"/>
        <v>0</v>
      </c>
      <c r="K494" s="259">
        <f t="shared" si="30"/>
        <v>31.76659395</v>
      </c>
      <c r="L494" s="259">
        <f t="shared" si="31"/>
        <v>31.76659395</v>
      </c>
      <c r="M494" s="259">
        <f t="shared" si="32"/>
        <v>0</v>
      </c>
      <c r="N494" s="259">
        <f t="shared" si="33"/>
        <v>127.0663758</v>
      </c>
      <c r="O494" s="259">
        <f t="shared" si="34"/>
        <v>127.0663758</v>
      </c>
      <c r="P494" s="586">
        <f t="shared" si="3"/>
        <v>0.000692676433</v>
      </c>
    </row>
    <row r="495">
      <c r="A495" s="253" t="s">
        <v>1041</v>
      </c>
      <c r="B495" s="254">
        <v>38123.0</v>
      </c>
      <c r="C495" s="255" t="str">
        <f t="shared" si="28"/>
        <v>SINAPI</v>
      </c>
      <c r="D495" s="256" t="s">
        <v>286</v>
      </c>
      <c r="E495" s="257" t="str">
        <f>IFERROR(IF(D495="SINAPI-S",VLOOKUP(B495,'20-B.SINAPI-S'!A:J,2,0),IF(D495="SINAPI-I",VLOOKUP(B495,'20-A.SINAPI-I'!A:G,2,0),IF(D495="COMPOSIÇÕES",VLOOKUP(B495,'11.COMPOSIÇÕES GERAIS'!B:I,2,0),VLOOKUP(B495,'12.COT.MERCADO'!A:I,2,0)))),"Em Elaboração")</f>
        <v>SELANTE TIPO VEDA CALHA PARA METAL E FIBROCIMENTO</v>
      </c>
      <c r="F495" s="258" t="str">
        <f>IFERROR(IF(D495="SINAPI-S",VLOOKUP(B495,'20-B.SINAPI-S'!A:J,3,0),IF(D495="SINAPI-I",VLOOKUP(B495,'20-A.SINAPI-I'!A:G,3,0),IF(D495="COMPOSIÇÕES",VLOOKUP(B495,'11.COMPOSIÇÕES GERAIS'!B:I,3,0),VLOOKUP(B495,'12.COT.MERCADO'!A:I,7,0)))),"Em Elaboração")</f>
        <v>KG</v>
      </c>
      <c r="G495" s="254">
        <v>2.0</v>
      </c>
      <c r="H495" s="259">
        <f>IFERROR(IF(D495="SINAPI-S",VLOOKUP(B495,'20-B.SINAPI-S'!A:J,5,0),IF(D495="SINAPI-I",VLOOKUP(B495,'20-A.SINAPI-I'!A:G,6,0),IF(D495="COMPOSIÇÕES",VLOOKUP(B495,'11.COMPOSIÇÕES GERAIS'!B:I,7,0),0))),"Em Elaboração")</f>
        <v>0</v>
      </c>
      <c r="I495" s="259">
        <f>IFERROR(IF(D495="SINAPI-S",VLOOKUP(B495,'20-B.SINAPI-S'!A:J,6,0),IF(D495="SINAPI-I",VLOOKUP(B495,'20-A.SINAPI-I'!A:G,7,0),IF(D495="COMPOSIÇÕES",VLOOKUP(B495,'11.COMPOSIÇÕES GERAIS'!B:I,8,0),VLOOKUP(B495,'12.COT.MERCADO'!A:I,8,0)))),"Em Elaboração")</f>
        <v>64.1</v>
      </c>
      <c r="J495" s="259">
        <f t="shared" si="29"/>
        <v>0</v>
      </c>
      <c r="K495" s="259">
        <f t="shared" si="30"/>
        <v>75.08254691</v>
      </c>
      <c r="L495" s="259">
        <f t="shared" si="31"/>
        <v>75.08254691</v>
      </c>
      <c r="M495" s="259">
        <f t="shared" si="32"/>
        <v>0</v>
      </c>
      <c r="N495" s="259">
        <f t="shared" si="33"/>
        <v>150.1650938</v>
      </c>
      <c r="O495" s="259">
        <f t="shared" si="34"/>
        <v>150.1650938</v>
      </c>
      <c r="P495" s="586">
        <f t="shared" si="3"/>
        <v>0.0008185943834</v>
      </c>
    </row>
    <row r="496">
      <c r="A496" s="253" t="s">
        <v>1042</v>
      </c>
      <c r="B496" s="254">
        <v>37590.0</v>
      </c>
      <c r="C496" s="255" t="str">
        <f t="shared" si="28"/>
        <v>SINAPI</v>
      </c>
      <c r="D496" s="256" t="s">
        <v>286</v>
      </c>
      <c r="E496" s="257" t="str">
        <f>IFERROR(IF(D496="SINAPI-S",VLOOKUP(B496,'20-B.SINAPI-S'!A:J,2,0),IF(D496="SINAPI-I",VLOOKUP(B496,'20-A.SINAPI-I'!A:G,2,0),IF(D496="COMPOSIÇÕES",VLOOKUP(B496,'11.COMPOSIÇÕES GERAIS'!B:I,2,0),VLOOKUP(B496,'12.COT.MERCADO'!A:I,2,0)))),"Em Elaboração")</f>
        <v>SUPORTE MAO-FRANCESA EM ACO, ABAS IGUAIS 30 CM, CAPACIDADE MINIMA 60 KG, BRANCO</v>
      </c>
      <c r="F496" s="258" t="str">
        <f>IFERROR(IF(D496="SINAPI-S",VLOOKUP(B496,'20-B.SINAPI-S'!A:J,3,0),IF(D496="SINAPI-I",VLOOKUP(B496,'20-A.SINAPI-I'!A:G,3,0),IF(D496="COMPOSIÇÕES",VLOOKUP(B496,'11.COMPOSIÇÕES GERAIS'!B:I,3,0),VLOOKUP(B496,'12.COT.MERCADO'!A:I,7,0)))),"Em Elaboração")</f>
        <v>UN</v>
      </c>
      <c r="G496" s="254">
        <v>4.0</v>
      </c>
      <c r="H496" s="259">
        <f>IFERROR(IF(D496="SINAPI-S",VLOOKUP(B496,'20-B.SINAPI-S'!A:J,5,0),IF(D496="SINAPI-I",VLOOKUP(B496,'20-A.SINAPI-I'!A:G,6,0),IF(D496="COMPOSIÇÕES",VLOOKUP(B496,'11.COMPOSIÇÕES GERAIS'!B:I,7,0),0))),"Em Elaboração")</f>
        <v>0</v>
      </c>
      <c r="I496" s="259">
        <f>IFERROR(IF(D496="SINAPI-S",VLOOKUP(B496,'20-B.SINAPI-S'!A:J,6,0),IF(D496="SINAPI-I",VLOOKUP(B496,'20-A.SINAPI-I'!A:G,7,0),IF(D496="COMPOSIÇÕES",VLOOKUP(B496,'11.COMPOSIÇÕES GERAIS'!B:I,8,0),VLOOKUP(B496,'12.COT.MERCADO'!A:I,8,0)))),"Em Elaboração")</f>
        <v>21.92</v>
      </c>
      <c r="J496" s="259">
        <f t="shared" si="29"/>
        <v>0</v>
      </c>
      <c r="K496" s="259">
        <f t="shared" si="30"/>
        <v>25.67565411</v>
      </c>
      <c r="L496" s="259">
        <f t="shared" si="31"/>
        <v>25.67565411</v>
      </c>
      <c r="M496" s="259">
        <f t="shared" si="32"/>
        <v>0</v>
      </c>
      <c r="N496" s="259">
        <f t="shared" si="33"/>
        <v>102.7026164</v>
      </c>
      <c r="O496" s="259">
        <f t="shared" si="34"/>
        <v>102.7026164</v>
      </c>
      <c r="P496" s="586">
        <f t="shared" si="3"/>
        <v>0.0005598623677</v>
      </c>
    </row>
    <row r="497">
      <c r="A497" s="253" t="s">
        <v>1043</v>
      </c>
      <c r="B497" s="254">
        <v>938.0</v>
      </c>
      <c r="C497" s="255" t="str">
        <f t="shared" si="28"/>
        <v>SINAPI</v>
      </c>
      <c r="D497" s="256" t="s">
        <v>286</v>
      </c>
      <c r="E497" s="257" t="str">
        <f>IFERROR(IF(D497="SINAPI-S",VLOOKUP(B497,'20-B.SINAPI-S'!A:J,2,0),IF(D497="SINAPI-I",VLOOKUP(B497,'20-A.SINAPI-I'!A:G,2,0),IF(D497="COMPOSIÇÕES",VLOOKUP(B497,'11.COMPOSIÇÕES GERAIS'!B:I,2,0),VLOOKUP(B497,'12.COT.MERCADO'!A:I,2,0)))),"Em Elaboração")</f>
        <v>FIO DE COBRE, SOLIDO, CLASSE 1, ISOLACAO EM PVC/A, ANTICHAMA BWF-B, 450/750V, SECAO NOMINAL 1,5 MM2</v>
      </c>
      <c r="F497" s="258" t="str">
        <f>IFERROR(IF(D497="SINAPI-S",VLOOKUP(B497,'20-B.SINAPI-S'!A:J,3,0),IF(D497="SINAPI-I",VLOOKUP(B497,'20-A.SINAPI-I'!A:G,3,0),IF(D497="COMPOSIÇÕES",VLOOKUP(B497,'11.COMPOSIÇÕES GERAIS'!B:I,3,0),VLOOKUP(B497,'12.COT.MERCADO'!A:I,7,0)))),"Em Elaboração")</f>
        <v>M</v>
      </c>
      <c r="G497" s="254">
        <v>75.0</v>
      </c>
      <c r="H497" s="259">
        <f>IFERROR(IF(D497="SINAPI-S",VLOOKUP(B497,'20-B.SINAPI-S'!A:J,5,0),IF(D497="SINAPI-I",VLOOKUP(B497,'20-A.SINAPI-I'!A:G,6,0),IF(D497="COMPOSIÇÕES",VLOOKUP(B497,'11.COMPOSIÇÕES GERAIS'!B:I,7,0),0))),"Em Elaboração")</f>
        <v>0</v>
      </c>
      <c r="I497" s="259">
        <f>IFERROR(IF(D497="SINAPI-S",VLOOKUP(B497,'20-B.SINAPI-S'!A:J,6,0),IF(D497="SINAPI-I",VLOOKUP(B497,'20-A.SINAPI-I'!A:G,7,0),IF(D497="COMPOSIÇÕES",VLOOKUP(B497,'11.COMPOSIÇÕES GERAIS'!B:I,8,0),VLOOKUP(B497,'12.COT.MERCADO'!A:I,8,0)))),"Em Elaboração")</f>
        <v>1.49</v>
      </c>
      <c r="J497" s="259">
        <f t="shared" si="29"/>
        <v>0</v>
      </c>
      <c r="K497" s="259">
        <f t="shared" si="30"/>
        <v>1.745288532</v>
      </c>
      <c r="L497" s="259">
        <f t="shared" si="31"/>
        <v>1.745288532</v>
      </c>
      <c r="M497" s="259">
        <f t="shared" si="32"/>
        <v>0</v>
      </c>
      <c r="N497" s="259">
        <f t="shared" si="33"/>
        <v>130.8966399</v>
      </c>
      <c r="O497" s="259">
        <f t="shared" si="34"/>
        <v>130.8966399</v>
      </c>
      <c r="P497" s="586">
        <f t="shared" si="3"/>
        <v>0.0007135563366</v>
      </c>
    </row>
    <row r="498" ht="21.75" customHeight="1">
      <c r="A498" s="587" t="s">
        <v>1044</v>
      </c>
      <c r="B498" s="588" t="s">
        <v>1045</v>
      </c>
      <c r="C498" s="44"/>
      <c r="D498" s="44"/>
      <c r="E498" s="44"/>
      <c r="F498" s="44"/>
      <c r="G498" s="44"/>
      <c r="H498" s="44"/>
      <c r="I498" s="44"/>
      <c r="J498" s="44"/>
      <c r="K498" s="44"/>
      <c r="L498" s="44"/>
      <c r="M498" s="589">
        <f t="shared" ref="M498:O498" si="35">SUM(M499,M528,M541,M545,M548,M556,M569,M572,M585,M623,M642,M648,M654,M667,M677,M685)</f>
        <v>0</v>
      </c>
      <c r="N498" s="589">
        <f t="shared" si="35"/>
        <v>65897.44348</v>
      </c>
      <c r="O498" s="589">
        <f t="shared" si="35"/>
        <v>65897.44348</v>
      </c>
      <c r="P498" s="590">
        <f t="shared" si="3"/>
        <v>0.3592264736</v>
      </c>
    </row>
    <row r="499">
      <c r="A499" s="212" t="s">
        <v>1046</v>
      </c>
      <c r="B499" s="591" t="s">
        <v>1047</v>
      </c>
      <c r="C499" s="44"/>
      <c r="D499" s="44"/>
      <c r="E499" s="44"/>
      <c r="F499" s="44"/>
      <c r="G499" s="44"/>
      <c r="H499" s="44"/>
      <c r="I499" s="44"/>
      <c r="J499" s="44"/>
      <c r="K499" s="44"/>
      <c r="L499" s="44"/>
      <c r="M499" s="214">
        <f t="shared" ref="M499:O499" si="36">SUM(M500:M527)</f>
        <v>0</v>
      </c>
      <c r="N499" s="214">
        <f t="shared" si="36"/>
        <v>30939.0812</v>
      </c>
      <c r="O499" s="214">
        <f t="shared" si="36"/>
        <v>30939.0812</v>
      </c>
      <c r="P499" s="592">
        <f t="shared" si="3"/>
        <v>0.1686580913</v>
      </c>
    </row>
    <row r="500">
      <c r="A500" s="253" t="s">
        <v>1048</v>
      </c>
      <c r="B500" s="254" t="s">
        <v>1049</v>
      </c>
      <c r="C500" s="255" t="str">
        <f t="shared" ref="C500:C527" si="37">IF(OR(D500="SINAPI-S",D500="SINAPI-I"),"SINAPI","PRÓPRIO")</f>
        <v>PRÓPRIO</v>
      </c>
      <c r="D500" s="256" t="s">
        <v>110</v>
      </c>
      <c r="E500" s="257" t="str">
        <f>IFERROR(IF(D500="SINAPI-S",VLOOKUP(B500,'20-B.SINAPI-S'!A:J,2,0),IF(D500="SINAPI-I",VLOOKUP(B500,'20-A.SINAPI-I'!A:G,2,0),IF(D500="COMPOSIÇÕES",VLOOKUP(B500,'11.COMPOSIÇÕES GERAIS'!B:I,2,0),VLOOKUP(B500,'12.COT.MERCADO'!A:I,2,0)))),"Em Elaboração")</f>
        <v>COMPRESSOR CAPACIDADE 7.000 A 7.500 BTUS ROTATIVO R22 220V</v>
      </c>
      <c r="F500" s="258" t="str">
        <f>IFERROR(IF(D500="SINAPI-S",VLOOKUP(B500,'20-B.SINAPI-S'!A:J,3,0),IF(D500="SINAPI-I",VLOOKUP(B500,'20-A.SINAPI-I'!A:G,3,0),IF(D500="COMPOSIÇÕES",VLOOKUP(B500,'11.COMPOSIÇÕES GERAIS'!B:I,3,0),VLOOKUP(B500,'12.COT.MERCADO'!A:I,7,0)))),"Em Elaboração")</f>
        <v>UN </v>
      </c>
      <c r="G500" s="254">
        <v>1.0</v>
      </c>
      <c r="H500" s="259">
        <f>IFERROR(IF(D500="SINAPI-S",VLOOKUP(B500,'20-B.SINAPI-S'!A:J,5,0),IF(D500="SINAPI-I",VLOOKUP(B500,'20-A.SINAPI-I'!A:G,6,0),IF(D500="COMPOSIÇÕES",VLOOKUP(B500,'11.COMPOSIÇÕES GERAIS'!B:I,7,0),0))),"Em Elaboração")</f>
        <v>0</v>
      </c>
      <c r="I500" s="259">
        <f>IFERROR(IF(D500="SINAPI-S",VLOOKUP(B500,'20-B.SINAPI-S'!A:J,6,0),IF(D500="SINAPI-I",VLOOKUP(B500,'20-A.SINAPI-I'!A:G,7,0),IF(D500="COMPOSIÇÕES",VLOOKUP(B500,'11.COMPOSIÇÕES GERAIS'!B:I,8,0),VLOOKUP(B500,'12.COT.MERCADO'!A:I,8,0)))),"Em Elaboração")</f>
        <v>634.43</v>
      </c>
      <c r="J500" s="259">
        <f t="shared" ref="J500:J527" si="38">H500*(1+$J$5)</f>
        <v>0</v>
      </c>
      <c r="K500" s="259">
        <f t="shared" ref="K500:K527" si="39">I500*(1+$J$8)</f>
        <v>743.1298008</v>
      </c>
      <c r="L500" s="259">
        <f t="shared" ref="L500:L527" si="40">SUM(J500:K500)</f>
        <v>743.1298008</v>
      </c>
      <c r="M500" s="259">
        <f t="shared" ref="M500:M527" si="41">J500*G500</f>
        <v>0</v>
      </c>
      <c r="N500" s="259">
        <f t="shared" ref="N500:N527" si="42">K500*G500</f>
        <v>743.1298008</v>
      </c>
      <c r="O500" s="259">
        <f t="shared" ref="O500:O527" si="43">SUM(M500:N500)</f>
        <v>743.1298008</v>
      </c>
      <c r="P500" s="586">
        <f t="shared" si="3"/>
        <v>0.004051020551</v>
      </c>
    </row>
    <row r="501">
      <c r="A501" s="253" t="s">
        <v>1050</v>
      </c>
      <c r="B501" s="254" t="s">
        <v>1051</v>
      </c>
      <c r="C501" s="255" t="str">
        <f t="shared" si="37"/>
        <v>PRÓPRIO</v>
      </c>
      <c r="D501" s="256" t="s">
        <v>110</v>
      </c>
      <c r="E501" s="257" t="str">
        <f>IFERROR(IF(D501="SINAPI-S",VLOOKUP(B501,'20-B.SINAPI-S'!A:J,2,0),IF(D501="SINAPI-I",VLOOKUP(B501,'20-A.SINAPI-I'!A:G,2,0),IF(D501="COMPOSIÇÕES",VLOOKUP(B501,'11.COMPOSIÇÕES GERAIS'!B:I,2,0),VLOOKUP(B501,'12.COT.MERCADO'!A:I,2,0)))),"Em Elaboração")</f>
        <v>COMPRESSOR CAPACIDADE 9.000 BTUS ROTATIVO R22 220V</v>
      </c>
      <c r="F501" s="258" t="str">
        <f>IFERROR(IF(D501="SINAPI-S",VLOOKUP(B501,'20-B.SINAPI-S'!A:J,3,0),IF(D501="SINAPI-I",VLOOKUP(B501,'20-A.SINAPI-I'!A:G,3,0),IF(D501="COMPOSIÇÕES",VLOOKUP(B501,'11.COMPOSIÇÕES GERAIS'!B:I,3,0),VLOOKUP(B501,'12.COT.MERCADO'!A:I,7,0)))),"Em Elaboração")</f>
        <v>UN </v>
      </c>
      <c r="G501" s="254">
        <v>1.0</v>
      </c>
      <c r="H501" s="259">
        <f>IFERROR(IF(D501="SINAPI-S",VLOOKUP(B501,'20-B.SINAPI-S'!A:J,5,0),IF(D501="SINAPI-I",VLOOKUP(B501,'20-A.SINAPI-I'!A:G,6,0),IF(D501="COMPOSIÇÕES",VLOOKUP(B501,'11.COMPOSIÇÕES GERAIS'!B:I,7,0),0))),"Em Elaboração")</f>
        <v>0</v>
      </c>
      <c r="I501" s="259">
        <f>IFERROR(IF(D501="SINAPI-S",VLOOKUP(B501,'20-B.SINAPI-S'!A:J,6,0),IF(D501="SINAPI-I",VLOOKUP(B501,'20-A.SINAPI-I'!A:G,7,0),IF(D501="COMPOSIÇÕES",VLOOKUP(B501,'11.COMPOSIÇÕES GERAIS'!B:I,8,0),VLOOKUP(B501,'12.COT.MERCADO'!A:I,8,0)))),"Em Elaboração")</f>
        <v>527.02</v>
      </c>
      <c r="J501" s="259">
        <f t="shared" si="38"/>
        <v>0</v>
      </c>
      <c r="K501" s="259">
        <f t="shared" si="39"/>
        <v>617.3167531</v>
      </c>
      <c r="L501" s="259">
        <f t="shared" si="40"/>
        <v>617.3167531</v>
      </c>
      <c r="M501" s="259">
        <f t="shared" si="41"/>
        <v>0</v>
      </c>
      <c r="N501" s="259">
        <f t="shared" si="42"/>
        <v>617.3167531</v>
      </c>
      <c r="O501" s="259">
        <f t="shared" si="43"/>
        <v>617.3167531</v>
      </c>
      <c r="P501" s="586">
        <f t="shared" si="3"/>
        <v>0.00336517638</v>
      </c>
    </row>
    <row r="502">
      <c r="A502" s="253" t="s">
        <v>1052</v>
      </c>
      <c r="B502" s="254" t="s">
        <v>1053</v>
      </c>
      <c r="C502" s="255" t="str">
        <f t="shared" si="37"/>
        <v>PRÓPRIO</v>
      </c>
      <c r="D502" s="256" t="s">
        <v>110</v>
      </c>
      <c r="E502" s="257" t="str">
        <f>IFERROR(IF(D502="SINAPI-S",VLOOKUP(B502,'20-B.SINAPI-S'!A:J,2,0),IF(D502="SINAPI-I",VLOOKUP(B502,'20-A.SINAPI-I'!A:G,2,0),IF(D502="COMPOSIÇÕES",VLOOKUP(B502,'11.COMPOSIÇÕES GERAIS'!B:I,2,0),VLOOKUP(B502,'12.COT.MERCADO'!A:I,2,0)))),"Em Elaboração")</f>
        <v>COMPRESSOR CAPACIDADE 12.000 BTUS ROTATIVO R22 220V</v>
      </c>
      <c r="F502" s="258" t="str">
        <f>IFERROR(IF(D502="SINAPI-S",VLOOKUP(B502,'20-B.SINAPI-S'!A:J,3,0),IF(D502="SINAPI-I",VLOOKUP(B502,'20-A.SINAPI-I'!A:G,3,0),IF(D502="COMPOSIÇÕES",VLOOKUP(B502,'11.COMPOSIÇÕES GERAIS'!B:I,3,0),VLOOKUP(B502,'12.COT.MERCADO'!A:I,7,0)))),"Em Elaboração")</f>
        <v>UN </v>
      </c>
      <c r="G502" s="254">
        <v>1.0</v>
      </c>
      <c r="H502" s="259">
        <f>IFERROR(IF(D502="SINAPI-S",VLOOKUP(B502,'20-B.SINAPI-S'!A:J,5,0),IF(D502="SINAPI-I",VLOOKUP(B502,'20-A.SINAPI-I'!A:G,6,0),IF(D502="COMPOSIÇÕES",VLOOKUP(B502,'11.COMPOSIÇÕES GERAIS'!B:I,7,0),0))),"Em Elaboração")</f>
        <v>0</v>
      </c>
      <c r="I502" s="259">
        <f>IFERROR(IF(D502="SINAPI-S",VLOOKUP(B502,'20-B.SINAPI-S'!A:J,6,0),IF(D502="SINAPI-I",VLOOKUP(B502,'20-A.SINAPI-I'!A:G,7,0),IF(D502="COMPOSIÇÕES",VLOOKUP(B502,'11.COMPOSIÇÕES GERAIS'!B:I,8,0),VLOOKUP(B502,'12.COT.MERCADO'!A:I,8,0)))),"Em Elaboração")</f>
        <v>792.9</v>
      </c>
      <c r="J502" s="259">
        <f t="shared" si="38"/>
        <v>0</v>
      </c>
      <c r="K502" s="259">
        <f t="shared" si="39"/>
        <v>928.7511926</v>
      </c>
      <c r="L502" s="259">
        <f t="shared" si="40"/>
        <v>928.7511926</v>
      </c>
      <c r="M502" s="259">
        <f t="shared" si="41"/>
        <v>0</v>
      </c>
      <c r="N502" s="259">
        <f t="shared" si="42"/>
        <v>928.7511926</v>
      </c>
      <c r="O502" s="259">
        <f t="shared" si="43"/>
        <v>928.7511926</v>
      </c>
      <c r="P502" s="586">
        <f t="shared" si="3"/>
        <v>0.005062897712</v>
      </c>
    </row>
    <row r="503">
      <c r="A503" s="253" t="s">
        <v>1054</v>
      </c>
      <c r="B503" s="254" t="s">
        <v>1055</v>
      </c>
      <c r="C503" s="255" t="str">
        <f t="shared" si="37"/>
        <v>PRÓPRIO</v>
      </c>
      <c r="D503" s="256" t="s">
        <v>110</v>
      </c>
      <c r="E503" s="257" t="str">
        <f>IFERROR(IF(D503="SINAPI-S",VLOOKUP(B503,'20-B.SINAPI-S'!A:J,2,0),IF(D503="SINAPI-I",VLOOKUP(B503,'20-A.SINAPI-I'!A:G,2,0),IF(D503="COMPOSIÇÕES",VLOOKUP(B503,'11.COMPOSIÇÕES GERAIS'!B:I,2,0),VLOOKUP(B503,'12.COT.MERCADO'!A:I,2,0)))),"Em Elaboração")</f>
        <v>COMPRESSOR CAPACIDADE 18.000 BTUS ROTATIVO R22 220V</v>
      </c>
      <c r="F503" s="258" t="str">
        <f>IFERROR(IF(D503="SINAPI-S",VLOOKUP(B503,'20-B.SINAPI-S'!A:J,3,0),IF(D503="SINAPI-I",VLOOKUP(B503,'20-A.SINAPI-I'!A:G,3,0),IF(D503="COMPOSIÇÕES",VLOOKUP(B503,'11.COMPOSIÇÕES GERAIS'!B:I,3,0),VLOOKUP(B503,'12.COT.MERCADO'!A:I,7,0)))),"Em Elaboração")</f>
        <v>UN </v>
      </c>
      <c r="G503" s="254">
        <v>1.0</v>
      </c>
      <c r="H503" s="259">
        <f>IFERROR(IF(D503="SINAPI-S",VLOOKUP(B503,'20-B.SINAPI-S'!A:J,5,0),IF(D503="SINAPI-I",VLOOKUP(B503,'20-A.SINAPI-I'!A:G,6,0),IF(D503="COMPOSIÇÕES",VLOOKUP(B503,'11.COMPOSIÇÕES GERAIS'!B:I,7,0),0))),"Em Elaboração")</f>
        <v>0</v>
      </c>
      <c r="I503" s="259">
        <f>IFERROR(IF(D503="SINAPI-S",VLOOKUP(B503,'20-B.SINAPI-S'!A:J,6,0),IF(D503="SINAPI-I",VLOOKUP(B503,'20-A.SINAPI-I'!A:G,7,0),IF(D503="COMPOSIÇÕES",VLOOKUP(B503,'11.COMPOSIÇÕES GERAIS'!B:I,8,0),VLOOKUP(B503,'12.COT.MERCADO'!A:I,8,0)))),"Em Elaboração")</f>
        <v>1078.92</v>
      </c>
      <c r="J503" s="259">
        <f t="shared" si="38"/>
        <v>0</v>
      </c>
      <c r="K503" s="259">
        <f t="shared" si="39"/>
        <v>1263.776311</v>
      </c>
      <c r="L503" s="259">
        <f t="shared" si="40"/>
        <v>1263.776311</v>
      </c>
      <c r="M503" s="259">
        <f t="shared" si="41"/>
        <v>0</v>
      </c>
      <c r="N503" s="259">
        <f t="shared" si="42"/>
        <v>1263.776311</v>
      </c>
      <c r="O503" s="259">
        <f t="shared" si="43"/>
        <v>1263.776311</v>
      </c>
      <c r="P503" s="586">
        <f t="shared" si="3"/>
        <v>0.006889218816</v>
      </c>
    </row>
    <row r="504">
      <c r="A504" s="253" t="s">
        <v>1056</v>
      </c>
      <c r="B504" s="254" t="s">
        <v>1057</v>
      </c>
      <c r="C504" s="255" t="str">
        <f t="shared" si="37"/>
        <v>PRÓPRIO</v>
      </c>
      <c r="D504" s="256" t="s">
        <v>110</v>
      </c>
      <c r="E504" s="257" t="str">
        <f>IFERROR(IF(D504="SINAPI-S",VLOOKUP(B504,'20-B.SINAPI-S'!A:J,2,0),IF(D504="SINAPI-I",VLOOKUP(B504,'20-A.SINAPI-I'!A:G,2,0),IF(D504="COMPOSIÇÕES",VLOOKUP(B504,'11.COMPOSIÇÕES GERAIS'!B:I,2,0),VLOOKUP(B504,'12.COT.MERCADO'!A:I,2,0)))),"Em Elaboração")</f>
        <v>COMPRESSOR CAPACIDADE 24.000 BTUS ROTATIVO R22 220V</v>
      </c>
      <c r="F504" s="258" t="str">
        <f>IFERROR(IF(D504="SINAPI-S",VLOOKUP(B504,'20-B.SINAPI-S'!A:J,3,0),IF(D504="SINAPI-I",VLOOKUP(B504,'20-A.SINAPI-I'!A:G,3,0),IF(D504="COMPOSIÇÕES",VLOOKUP(B504,'11.COMPOSIÇÕES GERAIS'!B:I,3,0),VLOOKUP(B504,'12.COT.MERCADO'!A:I,7,0)))),"Em Elaboração")</f>
        <v>UN </v>
      </c>
      <c r="G504" s="254">
        <v>1.0</v>
      </c>
      <c r="H504" s="259">
        <f>IFERROR(IF(D504="SINAPI-S",VLOOKUP(B504,'20-B.SINAPI-S'!A:J,5,0),IF(D504="SINAPI-I",VLOOKUP(B504,'20-A.SINAPI-I'!A:G,6,0),IF(D504="COMPOSIÇÕES",VLOOKUP(B504,'11.COMPOSIÇÕES GERAIS'!B:I,7,0),0))),"Em Elaboração")</f>
        <v>0</v>
      </c>
      <c r="I504" s="259">
        <f>IFERROR(IF(D504="SINAPI-S",VLOOKUP(B504,'20-B.SINAPI-S'!A:J,6,0),IF(D504="SINAPI-I",VLOOKUP(B504,'20-A.SINAPI-I'!A:G,7,0),IF(D504="COMPOSIÇÕES",VLOOKUP(B504,'11.COMPOSIÇÕES GERAIS'!B:I,8,0),VLOOKUP(B504,'12.COT.MERCADO'!A:I,8,0)))),"Em Elaboração")</f>
        <v>899.99</v>
      </c>
      <c r="J504" s="259">
        <f t="shared" si="38"/>
        <v>0</v>
      </c>
      <c r="K504" s="259">
        <f t="shared" si="39"/>
        <v>1054.189413</v>
      </c>
      <c r="L504" s="259">
        <f t="shared" si="40"/>
        <v>1054.189413</v>
      </c>
      <c r="M504" s="259">
        <f t="shared" si="41"/>
        <v>0</v>
      </c>
      <c r="N504" s="259">
        <f t="shared" si="42"/>
        <v>1054.189413</v>
      </c>
      <c r="O504" s="259">
        <f t="shared" si="43"/>
        <v>1054.189413</v>
      </c>
      <c r="P504" s="586">
        <f t="shared" si="3"/>
        <v>0.005746698589</v>
      </c>
    </row>
    <row r="505">
      <c r="A505" s="253" t="s">
        <v>1058</v>
      </c>
      <c r="B505" s="254" t="s">
        <v>1059</v>
      </c>
      <c r="C505" s="255" t="str">
        <f t="shared" si="37"/>
        <v>PRÓPRIO</v>
      </c>
      <c r="D505" s="256" t="s">
        <v>110</v>
      </c>
      <c r="E505" s="257" t="str">
        <f>IFERROR(IF(D505="SINAPI-S",VLOOKUP(B505,'20-B.SINAPI-S'!A:J,2,0),IF(D505="SINAPI-I",VLOOKUP(B505,'20-A.SINAPI-I'!A:G,2,0),IF(D505="COMPOSIÇÕES",VLOOKUP(B505,'11.COMPOSIÇÕES GERAIS'!B:I,2,0),VLOOKUP(B505,'12.COT.MERCADO'!A:I,2,0)))),"Em Elaboração")</f>
        <v>COMPRESSOR CAPACIDADE 30.000 BTUS ROTATIVO R22 220V</v>
      </c>
      <c r="F505" s="258" t="str">
        <f>IFERROR(IF(D505="SINAPI-S",VLOOKUP(B505,'20-B.SINAPI-S'!A:J,3,0),IF(D505="SINAPI-I",VLOOKUP(B505,'20-A.SINAPI-I'!A:G,3,0),IF(D505="COMPOSIÇÕES",VLOOKUP(B505,'11.COMPOSIÇÕES GERAIS'!B:I,3,0),VLOOKUP(B505,'12.COT.MERCADO'!A:I,7,0)))),"Em Elaboração")</f>
        <v>UN </v>
      </c>
      <c r="G505" s="254">
        <v>1.0</v>
      </c>
      <c r="H505" s="259">
        <f>IFERROR(IF(D505="SINAPI-S",VLOOKUP(B505,'20-B.SINAPI-S'!A:J,5,0),IF(D505="SINAPI-I",VLOOKUP(B505,'20-A.SINAPI-I'!A:G,6,0),IF(D505="COMPOSIÇÕES",VLOOKUP(B505,'11.COMPOSIÇÕES GERAIS'!B:I,7,0),0))),"Em Elaboração")</f>
        <v>0</v>
      </c>
      <c r="I505" s="259">
        <f>IFERROR(IF(D505="SINAPI-S",VLOOKUP(B505,'20-B.SINAPI-S'!A:J,6,0),IF(D505="SINAPI-I",VLOOKUP(B505,'20-A.SINAPI-I'!A:G,7,0),IF(D505="COMPOSIÇÕES",VLOOKUP(B505,'11.COMPOSIÇÕES GERAIS'!B:I,8,0),VLOOKUP(B505,'12.COT.MERCADO'!A:I,8,0)))),"Em Elaboração")</f>
        <v>1510.5</v>
      </c>
      <c r="J505" s="259">
        <f t="shared" si="38"/>
        <v>0</v>
      </c>
      <c r="K505" s="259">
        <f t="shared" si="39"/>
        <v>1769.300891</v>
      </c>
      <c r="L505" s="259">
        <f t="shared" si="40"/>
        <v>1769.300891</v>
      </c>
      <c r="M505" s="259">
        <f t="shared" si="41"/>
        <v>0</v>
      </c>
      <c r="N505" s="259">
        <f t="shared" si="42"/>
        <v>1769.300891</v>
      </c>
      <c r="O505" s="259">
        <f t="shared" si="43"/>
        <v>1769.300891</v>
      </c>
      <c r="P505" s="586">
        <f t="shared" si="3"/>
        <v>0.009644982965</v>
      </c>
    </row>
    <row r="506">
      <c r="A506" s="253" t="s">
        <v>1060</v>
      </c>
      <c r="B506" s="254" t="s">
        <v>1061</v>
      </c>
      <c r="C506" s="255" t="str">
        <f t="shared" si="37"/>
        <v>PRÓPRIO</v>
      </c>
      <c r="D506" s="256" t="s">
        <v>110</v>
      </c>
      <c r="E506" s="257" t="str">
        <f>IFERROR(IF(D506="SINAPI-S",VLOOKUP(B506,'20-B.SINAPI-S'!A:J,2,0),IF(D506="SINAPI-I",VLOOKUP(B506,'20-A.SINAPI-I'!A:G,2,0),IF(D506="COMPOSIÇÕES",VLOOKUP(B506,'11.COMPOSIÇÕES GERAIS'!B:I,2,0),VLOOKUP(B506,'12.COT.MERCADO'!A:I,2,0)))),"Em Elaboração")</f>
        <v>COMPRESSOR CAPACIDADE 36.000 BTUS ROTATIVO R22 220V. </v>
      </c>
      <c r="F506" s="258" t="str">
        <f>IFERROR(IF(D506="SINAPI-S",VLOOKUP(B506,'20-B.SINAPI-S'!A:J,3,0),IF(D506="SINAPI-I",VLOOKUP(B506,'20-A.SINAPI-I'!A:G,3,0),IF(D506="COMPOSIÇÕES",VLOOKUP(B506,'11.COMPOSIÇÕES GERAIS'!B:I,3,0),VLOOKUP(B506,'12.COT.MERCADO'!A:I,7,0)))),"Em Elaboração")</f>
        <v>UN </v>
      </c>
      <c r="G506" s="254">
        <v>1.0</v>
      </c>
      <c r="H506" s="259">
        <f>IFERROR(IF(D506="SINAPI-S",VLOOKUP(B506,'20-B.SINAPI-S'!A:J,5,0),IF(D506="SINAPI-I",VLOOKUP(B506,'20-A.SINAPI-I'!A:G,6,0),IF(D506="COMPOSIÇÕES",VLOOKUP(B506,'11.COMPOSIÇÕES GERAIS'!B:I,7,0),0))),"Em Elaboração")</f>
        <v>0</v>
      </c>
      <c r="I506" s="259">
        <f>IFERROR(IF(D506="SINAPI-S",VLOOKUP(B506,'20-B.SINAPI-S'!A:J,6,0),IF(D506="SINAPI-I",VLOOKUP(B506,'20-A.SINAPI-I'!A:G,7,0),IF(D506="COMPOSIÇÕES",VLOOKUP(B506,'11.COMPOSIÇÕES GERAIS'!B:I,8,0),VLOOKUP(B506,'12.COT.MERCADO'!A:I,8,0)))),"Em Elaboração")</f>
        <v>2332.48</v>
      </c>
      <c r="J506" s="259">
        <f t="shared" si="38"/>
        <v>0</v>
      </c>
      <c r="K506" s="259">
        <f t="shared" si="39"/>
        <v>2732.114493</v>
      </c>
      <c r="L506" s="259">
        <f t="shared" si="40"/>
        <v>2732.114493</v>
      </c>
      <c r="M506" s="259">
        <f t="shared" si="41"/>
        <v>0</v>
      </c>
      <c r="N506" s="259">
        <f t="shared" si="42"/>
        <v>2732.114493</v>
      </c>
      <c r="O506" s="259">
        <f t="shared" si="43"/>
        <v>2732.114493</v>
      </c>
      <c r="P506" s="586">
        <f t="shared" si="3"/>
        <v>0.01489356496</v>
      </c>
    </row>
    <row r="507">
      <c r="A507" s="253" t="s">
        <v>1062</v>
      </c>
      <c r="B507" s="254" t="s">
        <v>1063</v>
      </c>
      <c r="C507" s="255" t="str">
        <f t="shared" si="37"/>
        <v>PRÓPRIO</v>
      </c>
      <c r="D507" s="256" t="s">
        <v>110</v>
      </c>
      <c r="E507" s="257" t="str">
        <f>IFERROR(IF(D507="SINAPI-S",VLOOKUP(B507,'20-B.SINAPI-S'!A:J,2,0),IF(D507="SINAPI-I",VLOOKUP(B507,'20-A.SINAPI-I'!A:G,2,0),IF(D507="COMPOSIÇÕES",VLOOKUP(B507,'11.COMPOSIÇÕES GERAIS'!B:I,2,0),VLOOKUP(B507,'12.COT.MERCADO'!A:I,2,0)))),"Em Elaboração")</f>
        <v>COMPRESSOR CAPACIDADE 48.000 BTUS ROTATIVO R22 220V. REF.: SCROLL SANYO CSB303H6B</v>
      </c>
      <c r="F507" s="258" t="str">
        <f>IFERROR(IF(D507="SINAPI-S",VLOOKUP(B507,'20-B.SINAPI-S'!A:J,3,0),IF(D507="SINAPI-I",VLOOKUP(B507,'20-A.SINAPI-I'!A:G,3,0),IF(D507="COMPOSIÇÕES",VLOOKUP(B507,'11.COMPOSIÇÕES GERAIS'!B:I,3,0),VLOOKUP(B507,'12.COT.MERCADO'!A:I,7,0)))),"Em Elaboração")</f>
        <v>UN </v>
      </c>
      <c r="G507" s="254">
        <v>1.0</v>
      </c>
      <c r="H507" s="259">
        <f>IFERROR(IF(D507="SINAPI-S",VLOOKUP(B507,'20-B.SINAPI-S'!A:J,5,0),IF(D507="SINAPI-I",VLOOKUP(B507,'20-A.SINAPI-I'!A:G,6,0),IF(D507="COMPOSIÇÕES",VLOOKUP(B507,'11.COMPOSIÇÕES GERAIS'!B:I,7,0),0))),"Em Elaboração")</f>
        <v>0</v>
      </c>
      <c r="I507" s="259">
        <f>IFERROR(IF(D507="SINAPI-S",VLOOKUP(B507,'20-B.SINAPI-S'!A:J,6,0),IF(D507="SINAPI-I",VLOOKUP(B507,'20-A.SINAPI-I'!A:G,7,0),IF(D507="COMPOSIÇÕES",VLOOKUP(B507,'11.COMPOSIÇÕES GERAIS'!B:I,8,0),VLOOKUP(B507,'12.COT.MERCADO'!A:I,8,0)))),"Em Elaboração")</f>
        <v>2223.49</v>
      </c>
      <c r="J507" s="259">
        <f t="shared" si="38"/>
        <v>0</v>
      </c>
      <c r="K507" s="259">
        <f t="shared" si="39"/>
        <v>2604.450737</v>
      </c>
      <c r="L507" s="259">
        <f t="shared" si="40"/>
        <v>2604.450737</v>
      </c>
      <c r="M507" s="259">
        <f t="shared" si="41"/>
        <v>0</v>
      </c>
      <c r="N507" s="259">
        <f t="shared" si="42"/>
        <v>2604.450737</v>
      </c>
      <c r="O507" s="259">
        <f t="shared" si="43"/>
        <v>2604.450737</v>
      </c>
      <c r="P507" s="586">
        <f t="shared" si="3"/>
        <v>0.01419763202</v>
      </c>
    </row>
    <row r="508">
      <c r="A508" s="253" t="s">
        <v>1064</v>
      </c>
      <c r="B508" s="254" t="s">
        <v>1065</v>
      </c>
      <c r="C508" s="255" t="str">
        <f t="shared" si="37"/>
        <v>PRÓPRIO</v>
      </c>
      <c r="D508" s="256" t="s">
        <v>110</v>
      </c>
      <c r="E508" s="257" t="str">
        <f>IFERROR(IF(D508="SINAPI-S",VLOOKUP(B508,'20-B.SINAPI-S'!A:J,2,0),IF(D508="SINAPI-I",VLOOKUP(B508,'20-A.SINAPI-I'!A:G,2,0),IF(D508="COMPOSIÇÕES",VLOOKUP(B508,'11.COMPOSIÇÕES GERAIS'!B:I,2,0),VLOOKUP(B508,'12.COT.MERCADO'!A:I,2,0)))),"Em Elaboração")</f>
        <v>COMPRESSOR CAPACIDADE 60.000 BTUS ROTATIVO R22 220V. REF.: SRCOLL COPELAND ZR57KETF552E</v>
      </c>
      <c r="F508" s="258" t="str">
        <f>IFERROR(IF(D508="SINAPI-S",VLOOKUP(B508,'20-B.SINAPI-S'!A:J,3,0),IF(D508="SINAPI-I",VLOOKUP(B508,'20-A.SINAPI-I'!A:G,3,0),IF(D508="COMPOSIÇÕES",VLOOKUP(B508,'11.COMPOSIÇÕES GERAIS'!B:I,3,0),VLOOKUP(B508,'12.COT.MERCADO'!A:I,7,0)))),"Em Elaboração")</f>
        <v>UN </v>
      </c>
      <c r="G508" s="254">
        <v>1.0</v>
      </c>
      <c r="H508" s="259">
        <f>IFERROR(IF(D508="SINAPI-S",VLOOKUP(B508,'20-B.SINAPI-S'!A:J,5,0),IF(D508="SINAPI-I",VLOOKUP(B508,'20-A.SINAPI-I'!A:G,6,0),IF(D508="COMPOSIÇÕES",VLOOKUP(B508,'11.COMPOSIÇÕES GERAIS'!B:I,7,0),0))),"Em Elaboração")</f>
        <v>0</v>
      </c>
      <c r="I508" s="259">
        <f>IFERROR(IF(D508="SINAPI-S",VLOOKUP(B508,'20-B.SINAPI-S'!A:J,6,0),IF(D508="SINAPI-I",VLOOKUP(B508,'20-A.SINAPI-I'!A:G,7,0),IF(D508="COMPOSIÇÕES",VLOOKUP(B508,'11.COMPOSIÇÕES GERAIS'!B:I,8,0),VLOOKUP(B508,'12.COT.MERCADO'!A:I,8,0)))),"Em Elaboração")</f>
        <v>2462.4</v>
      </c>
      <c r="J508" s="259">
        <f t="shared" si="38"/>
        <v>0</v>
      </c>
      <c r="K508" s="259">
        <f t="shared" si="39"/>
        <v>2884.294282</v>
      </c>
      <c r="L508" s="259">
        <f t="shared" si="40"/>
        <v>2884.294282</v>
      </c>
      <c r="M508" s="259">
        <f t="shared" si="41"/>
        <v>0</v>
      </c>
      <c r="N508" s="259">
        <f t="shared" si="42"/>
        <v>2884.294282</v>
      </c>
      <c r="O508" s="259">
        <f t="shared" si="43"/>
        <v>2884.294282</v>
      </c>
      <c r="P508" s="586">
        <f t="shared" si="3"/>
        <v>0.01572314204</v>
      </c>
    </row>
    <row r="509">
      <c r="A509" s="253" t="s">
        <v>1066</v>
      </c>
      <c r="B509" s="254" t="s">
        <v>1067</v>
      </c>
      <c r="C509" s="255" t="str">
        <f t="shared" si="37"/>
        <v>PRÓPRIO</v>
      </c>
      <c r="D509" s="256" t="s">
        <v>110</v>
      </c>
      <c r="E509" s="257" t="str">
        <f>IFERROR(IF(D509="SINAPI-S",VLOOKUP(B509,'20-B.SINAPI-S'!A:J,2,0),IF(D509="SINAPI-I",VLOOKUP(B509,'20-A.SINAPI-I'!A:G,2,0),IF(D509="COMPOSIÇÕES",VLOOKUP(B509,'11.COMPOSIÇÕES GERAIS'!B:I,2,0),VLOOKUP(B509,'12.COT.MERCADO'!A:I,2,0)))),"Em Elaboração")</f>
        <v>MOTOR VENTILADOR DA CONDENSADORA AR CONDICIONADO SPLIT DE 9.000 ATÉ 12.000 BTUS 220V. REF.: MIDEA, CARRIER 25906085</v>
      </c>
      <c r="F509" s="258" t="str">
        <f>IFERROR(IF(D509="SINAPI-S",VLOOKUP(B509,'20-B.SINAPI-S'!A:J,3,0),IF(D509="SINAPI-I",VLOOKUP(B509,'20-A.SINAPI-I'!A:G,3,0),IF(D509="COMPOSIÇÕES",VLOOKUP(B509,'11.COMPOSIÇÕES GERAIS'!B:I,3,0),VLOOKUP(B509,'12.COT.MERCADO'!A:I,7,0)))),"Em Elaboração")</f>
        <v>UN </v>
      </c>
      <c r="G509" s="254">
        <v>1.0</v>
      </c>
      <c r="H509" s="259">
        <f>IFERROR(IF(D509="SINAPI-S",VLOOKUP(B509,'20-B.SINAPI-S'!A:J,5,0),IF(D509="SINAPI-I",VLOOKUP(B509,'20-A.SINAPI-I'!A:G,6,0),IF(D509="COMPOSIÇÕES",VLOOKUP(B509,'11.COMPOSIÇÕES GERAIS'!B:I,7,0),0))),"Em Elaboração")</f>
        <v>0</v>
      </c>
      <c r="I509" s="259">
        <f>IFERROR(IF(D509="SINAPI-S",VLOOKUP(B509,'20-B.SINAPI-S'!A:J,6,0),IF(D509="SINAPI-I",VLOOKUP(B509,'20-A.SINAPI-I'!A:G,7,0),IF(D509="COMPOSIÇÕES",VLOOKUP(B509,'11.COMPOSIÇÕES GERAIS'!B:I,8,0),VLOOKUP(B509,'12.COT.MERCADO'!A:I,8,0)))),"Em Elaboração")</f>
        <v>163.6</v>
      </c>
      <c r="J509" s="259">
        <f t="shared" si="38"/>
        <v>0</v>
      </c>
      <c r="K509" s="259">
        <f t="shared" si="39"/>
        <v>191.6303381</v>
      </c>
      <c r="L509" s="259">
        <f t="shared" si="40"/>
        <v>191.6303381</v>
      </c>
      <c r="M509" s="259">
        <f t="shared" si="41"/>
        <v>0</v>
      </c>
      <c r="N509" s="259">
        <f t="shared" si="42"/>
        <v>191.6303381</v>
      </c>
      <c r="O509" s="259">
        <f t="shared" si="43"/>
        <v>191.6303381</v>
      </c>
      <c r="P509" s="586">
        <f t="shared" si="3"/>
        <v>0.001044633706</v>
      </c>
    </row>
    <row r="510">
      <c r="A510" s="253" t="s">
        <v>1068</v>
      </c>
      <c r="B510" s="254" t="s">
        <v>1069</v>
      </c>
      <c r="C510" s="255" t="str">
        <f t="shared" si="37"/>
        <v>PRÓPRIO</v>
      </c>
      <c r="D510" s="256" t="s">
        <v>110</v>
      </c>
      <c r="E510" s="257" t="str">
        <f>IFERROR(IF(D510="SINAPI-S",VLOOKUP(B510,'20-B.SINAPI-S'!A:J,2,0),IF(D510="SINAPI-I",VLOOKUP(B510,'20-A.SINAPI-I'!A:G,2,0),IF(D510="COMPOSIÇÕES",VLOOKUP(B510,'11.COMPOSIÇÕES GERAIS'!B:I,2,0),VLOOKUP(B510,'12.COT.MERCADO'!A:I,2,0)))),"Em Elaboração")</f>
        <v>MOTOR VENTILADOR DA CONDENSADORA AR CONDICIONADO SPLIT DE 18.000 ATÉ 30.000 BTUS 220V. REF.: CARRIER 25906088</v>
      </c>
      <c r="F510" s="258" t="str">
        <f>IFERROR(IF(D510="SINAPI-S",VLOOKUP(B510,'20-B.SINAPI-S'!A:J,3,0),IF(D510="SINAPI-I",VLOOKUP(B510,'20-A.SINAPI-I'!A:G,3,0),IF(D510="COMPOSIÇÕES",VLOOKUP(B510,'11.COMPOSIÇÕES GERAIS'!B:I,3,0),VLOOKUP(B510,'12.COT.MERCADO'!A:I,7,0)))),"Em Elaboração")</f>
        <v>UN </v>
      </c>
      <c r="G510" s="254">
        <v>1.0</v>
      </c>
      <c r="H510" s="259">
        <f>IFERROR(IF(D510="SINAPI-S",VLOOKUP(B510,'20-B.SINAPI-S'!A:J,5,0),IF(D510="SINAPI-I",VLOOKUP(B510,'20-A.SINAPI-I'!A:G,6,0),IF(D510="COMPOSIÇÕES",VLOOKUP(B510,'11.COMPOSIÇÕES GERAIS'!B:I,7,0),0))),"Em Elaboração")</f>
        <v>0</v>
      </c>
      <c r="I510" s="259">
        <f>IFERROR(IF(D510="SINAPI-S",VLOOKUP(B510,'20-B.SINAPI-S'!A:J,6,0),IF(D510="SINAPI-I",VLOOKUP(B510,'20-A.SINAPI-I'!A:G,7,0),IF(D510="COMPOSIÇÕES",VLOOKUP(B510,'11.COMPOSIÇÕES GERAIS'!B:I,8,0),VLOOKUP(B510,'12.COT.MERCADO'!A:I,8,0)))),"Em Elaboração")</f>
        <v>319.21</v>
      </c>
      <c r="J510" s="259">
        <f t="shared" si="38"/>
        <v>0</v>
      </c>
      <c r="K510" s="259">
        <f t="shared" si="39"/>
        <v>373.9017129</v>
      </c>
      <c r="L510" s="259">
        <f t="shared" si="40"/>
        <v>373.9017129</v>
      </c>
      <c r="M510" s="259">
        <f t="shared" si="41"/>
        <v>0</v>
      </c>
      <c r="N510" s="259">
        <f t="shared" si="42"/>
        <v>373.9017129</v>
      </c>
      <c r="O510" s="259">
        <f t="shared" si="43"/>
        <v>373.9017129</v>
      </c>
      <c r="P510" s="586">
        <f t="shared" si="3"/>
        <v>0.002038248932</v>
      </c>
    </row>
    <row r="511">
      <c r="A511" s="253" t="s">
        <v>1070</v>
      </c>
      <c r="B511" s="254" t="s">
        <v>1071</v>
      </c>
      <c r="C511" s="255" t="str">
        <f t="shared" si="37"/>
        <v>PRÓPRIO</v>
      </c>
      <c r="D511" s="256" t="s">
        <v>110</v>
      </c>
      <c r="E511" s="257" t="str">
        <f>IFERROR(IF(D511="SINAPI-S",VLOOKUP(B511,'20-B.SINAPI-S'!A:J,2,0),IF(D511="SINAPI-I",VLOOKUP(B511,'20-A.SINAPI-I'!A:G,2,0),IF(D511="COMPOSIÇÕES",VLOOKUP(B511,'11.COMPOSIÇÕES GERAIS'!B:I,2,0),VLOOKUP(B511,'12.COT.MERCADO'!A:I,2,0)))),"Em Elaboração")</f>
        <v>MOTOR VENTILADOR DA CONDENSADORA AR CONDICIONADO SPLIT DE 36.000 ATÉ 60.000 BTUS 220V/380V. REF.: MIDEA, SPRINGER, CARRIER 25901797</v>
      </c>
      <c r="F511" s="258" t="str">
        <f>IFERROR(IF(D511="SINAPI-S",VLOOKUP(B511,'20-B.SINAPI-S'!A:J,3,0),IF(D511="SINAPI-I",VLOOKUP(B511,'20-A.SINAPI-I'!A:G,3,0),IF(D511="COMPOSIÇÕES",VLOOKUP(B511,'11.COMPOSIÇÕES GERAIS'!B:I,3,0),VLOOKUP(B511,'12.COT.MERCADO'!A:I,7,0)))),"Em Elaboração")</f>
        <v>UN </v>
      </c>
      <c r="G511" s="254">
        <v>1.0</v>
      </c>
      <c r="H511" s="259">
        <f>IFERROR(IF(D511="SINAPI-S",VLOOKUP(B511,'20-B.SINAPI-S'!A:J,5,0),IF(D511="SINAPI-I",VLOOKUP(B511,'20-A.SINAPI-I'!A:G,6,0),IF(D511="COMPOSIÇÕES",VLOOKUP(B511,'11.COMPOSIÇÕES GERAIS'!B:I,7,0),0))),"Em Elaboração")</f>
        <v>0</v>
      </c>
      <c r="I511" s="259">
        <f>IFERROR(IF(D511="SINAPI-S",VLOOKUP(B511,'20-B.SINAPI-S'!A:J,6,0),IF(D511="SINAPI-I",VLOOKUP(B511,'20-A.SINAPI-I'!A:G,7,0),IF(D511="COMPOSIÇÕES",VLOOKUP(B511,'11.COMPOSIÇÕES GERAIS'!B:I,8,0),VLOOKUP(B511,'12.COT.MERCADO'!A:I,8,0)))),"Em Elaboração")</f>
        <v>571.67</v>
      </c>
      <c r="J511" s="259">
        <f t="shared" si="38"/>
        <v>0</v>
      </c>
      <c r="K511" s="259">
        <f t="shared" si="39"/>
        <v>669.6168423</v>
      </c>
      <c r="L511" s="259">
        <f t="shared" si="40"/>
        <v>669.6168423</v>
      </c>
      <c r="M511" s="259">
        <f t="shared" si="41"/>
        <v>0</v>
      </c>
      <c r="N511" s="259">
        <f t="shared" si="42"/>
        <v>669.6168423</v>
      </c>
      <c r="O511" s="259">
        <f t="shared" si="43"/>
        <v>669.6168423</v>
      </c>
      <c r="P511" s="586">
        <f t="shared" si="3"/>
        <v>0.00365027965</v>
      </c>
    </row>
    <row r="512">
      <c r="A512" s="253" t="s">
        <v>1072</v>
      </c>
      <c r="B512" s="254" t="s">
        <v>1073</v>
      </c>
      <c r="C512" s="255" t="str">
        <f t="shared" si="37"/>
        <v>PRÓPRIO</v>
      </c>
      <c r="D512" s="256" t="s">
        <v>110</v>
      </c>
      <c r="E512" s="257" t="str">
        <f>IFERROR(IF(D512="SINAPI-S",VLOOKUP(B512,'20-B.SINAPI-S'!A:J,2,0),IF(D512="SINAPI-I",VLOOKUP(B512,'20-A.SINAPI-I'!A:G,2,0),IF(D512="COMPOSIÇÕES",VLOOKUP(B512,'11.COMPOSIÇÕES GERAIS'!B:I,2,0),VLOOKUP(B512,'12.COT.MERCADO'!A:I,2,0)))),"Em Elaboração")</f>
        <v>MOTOR VENTILADOR DA EVAPORADORA AR CONDICIONADO SPLIT DE 7.500 ATÉ 12.000 BTUS 220V. REF. EOS UNIVERSAL OU SIMILAR</v>
      </c>
      <c r="F512" s="258" t="str">
        <f>IFERROR(IF(D512="SINAPI-S",VLOOKUP(B512,'20-B.SINAPI-S'!A:J,3,0),IF(D512="SINAPI-I",VLOOKUP(B512,'20-A.SINAPI-I'!A:G,3,0),IF(D512="COMPOSIÇÕES",VLOOKUP(B512,'11.COMPOSIÇÕES GERAIS'!B:I,3,0),VLOOKUP(B512,'12.COT.MERCADO'!A:I,7,0)))),"Em Elaboração")</f>
        <v>UN </v>
      </c>
      <c r="G512" s="254">
        <v>1.0</v>
      </c>
      <c r="H512" s="259">
        <f>IFERROR(IF(D512="SINAPI-S",VLOOKUP(B512,'20-B.SINAPI-S'!A:J,5,0),IF(D512="SINAPI-I",VLOOKUP(B512,'20-A.SINAPI-I'!A:G,6,0),IF(D512="COMPOSIÇÕES",VLOOKUP(B512,'11.COMPOSIÇÕES GERAIS'!B:I,7,0),0))),"Em Elaboração")</f>
        <v>0</v>
      </c>
      <c r="I512" s="259">
        <f>IFERROR(IF(D512="SINAPI-S",VLOOKUP(B512,'20-B.SINAPI-S'!A:J,6,0),IF(D512="SINAPI-I",VLOOKUP(B512,'20-A.SINAPI-I'!A:G,7,0),IF(D512="COMPOSIÇÕES",VLOOKUP(B512,'11.COMPOSIÇÕES GERAIS'!B:I,8,0),VLOOKUP(B512,'12.COT.MERCADO'!A:I,8,0)))),"Em Elaboração")</f>
        <v>209.9</v>
      </c>
      <c r="J512" s="259">
        <f t="shared" si="38"/>
        <v>0</v>
      </c>
      <c r="K512" s="259">
        <f t="shared" si="39"/>
        <v>245.8631294</v>
      </c>
      <c r="L512" s="259">
        <f t="shared" si="40"/>
        <v>245.8631294</v>
      </c>
      <c r="M512" s="259">
        <f t="shared" si="41"/>
        <v>0</v>
      </c>
      <c r="N512" s="259">
        <f t="shared" si="42"/>
        <v>245.8631294</v>
      </c>
      <c r="O512" s="259">
        <f t="shared" si="43"/>
        <v>245.8631294</v>
      </c>
      <c r="P512" s="586">
        <f t="shared" si="3"/>
        <v>0.001340272707</v>
      </c>
    </row>
    <row r="513">
      <c r="A513" s="253" t="s">
        <v>1074</v>
      </c>
      <c r="B513" s="254" t="s">
        <v>1075</v>
      </c>
      <c r="C513" s="255" t="str">
        <f t="shared" si="37"/>
        <v>PRÓPRIO</v>
      </c>
      <c r="D513" s="256" t="s">
        <v>110</v>
      </c>
      <c r="E513" s="257" t="str">
        <f>IFERROR(IF(D513="SINAPI-S",VLOOKUP(B513,'20-B.SINAPI-S'!A:J,2,0),IF(D513="SINAPI-I",VLOOKUP(B513,'20-A.SINAPI-I'!A:G,2,0),IF(D513="COMPOSIÇÕES",VLOOKUP(B513,'11.COMPOSIÇÕES GERAIS'!B:I,2,0),VLOOKUP(B513,'12.COT.MERCADO'!A:I,2,0)))),"Em Elaboração")</f>
        <v>MOTOR VENTILADOR DA EVAPORADORA AR CONDICIONADO SPLIT DE 18.000 BTUS BTUS 220V. REF. SPRINGER CARRIER MIDEA 2024003A0009 OU SIMILAR</v>
      </c>
      <c r="F513" s="258" t="str">
        <f>IFERROR(IF(D513="SINAPI-S",VLOOKUP(B513,'20-B.SINAPI-S'!A:J,3,0),IF(D513="SINAPI-I",VLOOKUP(B513,'20-A.SINAPI-I'!A:G,3,0),IF(D513="COMPOSIÇÕES",VLOOKUP(B513,'11.COMPOSIÇÕES GERAIS'!B:I,3,0),VLOOKUP(B513,'12.COT.MERCADO'!A:I,7,0)))),"Em Elaboração")</f>
        <v>UN </v>
      </c>
      <c r="G513" s="254">
        <v>1.0</v>
      </c>
      <c r="H513" s="259">
        <f>IFERROR(IF(D513="SINAPI-S",VLOOKUP(B513,'20-B.SINAPI-S'!A:J,5,0),IF(D513="SINAPI-I",VLOOKUP(B513,'20-A.SINAPI-I'!A:G,6,0),IF(D513="COMPOSIÇÕES",VLOOKUP(B513,'11.COMPOSIÇÕES GERAIS'!B:I,7,0),0))),"Em Elaboração")</f>
        <v>0</v>
      </c>
      <c r="I513" s="259">
        <f>IFERROR(IF(D513="SINAPI-S",VLOOKUP(B513,'20-B.SINAPI-S'!A:J,6,0),IF(D513="SINAPI-I",VLOOKUP(B513,'20-A.SINAPI-I'!A:G,7,0),IF(D513="COMPOSIÇÕES",VLOOKUP(B513,'11.COMPOSIÇÕES GERAIS'!B:I,8,0),VLOOKUP(B513,'12.COT.MERCADO'!A:I,8,0)))),"Em Elaboração")</f>
        <v>267.09</v>
      </c>
      <c r="J513" s="259">
        <f t="shared" si="38"/>
        <v>0</v>
      </c>
      <c r="K513" s="259">
        <f t="shared" si="39"/>
        <v>312.8517543</v>
      </c>
      <c r="L513" s="259">
        <f t="shared" si="40"/>
        <v>312.8517543</v>
      </c>
      <c r="M513" s="259">
        <f t="shared" si="41"/>
        <v>0</v>
      </c>
      <c r="N513" s="259">
        <f t="shared" si="42"/>
        <v>312.8517543</v>
      </c>
      <c r="O513" s="259">
        <f t="shared" si="43"/>
        <v>312.8517543</v>
      </c>
      <c r="P513" s="586">
        <f t="shared" si="3"/>
        <v>0.001705447534</v>
      </c>
    </row>
    <row r="514">
      <c r="A514" s="253" t="s">
        <v>1076</v>
      </c>
      <c r="B514" s="254" t="s">
        <v>1077</v>
      </c>
      <c r="C514" s="255" t="str">
        <f t="shared" si="37"/>
        <v>PRÓPRIO</v>
      </c>
      <c r="D514" s="256" t="s">
        <v>110</v>
      </c>
      <c r="E514" s="257" t="str">
        <f>IFERROR(IF(D514="SINAPI-S",VLOOKUP(B514,'20-B.SINAPI-S'!A:J,2,0),IF(D514="SINAPI-I",VLOOKUP(B514,'20-A.SINAPI-I'!A:G,2,0),IF(D514="COMPOSIÇÕES",VLOOKUP(B514,'11.COMPOSIÇÕES GERAIS'!B:I,2,0),VLOOKUP(B514,'12.COT.MERCADO'!A:I,2,0)))),"Em Elaboração")</f>
        <v>MOTOR VENTILADOR DA EVAPORADORA AR CONDICIONADO SPLIT DE 24.000 BTUS 220V. REF. ELGIN, SPRINGER, MIDEA OU SIMILAR</v>
      </c>
      <c r="F514" s="258" t="str">
        <f>IFERROR(IF(D514="SINAPI-S",VLOOKUP(B514,'20-B.SINAPI-S'!A:J,3,0),IF(D514="SINAPI-I",VLOOKUP(B514,'20-A.SINAPI-I'!A:G,3,0),IF(D514="COMPOSIÇÕES",VLOOKUP(B514,'11.COMPOSIÇÕES GERAIS'!B:I,3,0),VLOOKUP(B514,'12.COT.MERCADO'!A:I,7,0)))),"Em Elaboração")</f>
        <v>UN </v>
      </c>
      <c r="G514" s="254">
        <v>1.0</v>
      </c>
      <c r="H514" s="259">
        <f>IFERROR(IF(D514="SINAPI-S",VLOOKUP(B514,'20-B.SINAPI-S'!A:J,5,0),IF(D514="SINAPI-I",VLOOKUP(B514,'20-A.SINAPI-I'!A:G,6,0),IF(D514="COMPOSIÇÕES",VLOOKUP(B514,'11.COMPOSIÇÕES GERAIS'!B:I,7,0),0))),"Em Elaboração")</f>
        <v>0</v>
      </c>
      <c r="I514" s="259">
        <f>IFERROR(IF(D514="SINAPI-S",VLOOKUP(B514,'20-B.SINAPI-S'!A:J,6,0),IF(D514="SINAPI-I",VLOOKUP(B514,'20-A.SINAPI-I'!A:G,7,0),IF(D514="COMPOSIÇÕES",VLOOKUP(B514,'11.COMPOSIÇÕES GERAIS'!B:I,8,0),VLOOKUP(B514,'12.COT.MERCADO'!A:I,8,0)))),"Em Elaboração")</f>
        <v>260.21</v>
      </c>
      <c r="J514" s="259">
        <f t="shared" si="38"/>
        <v>0</v>
      </c>
      <c r="K514" s="259">
        <f t="shared" si="39"/>
        <v>304.7929724</v>
      </c>
      <c r="L514" s="259">
        <f t="shared" si="40"/>
        <v>304.7929724</v>
      </c>
      <c r="M514" s="259">
        <f t="shared" si="41"/>
        <v>0</v>
      </c>
      <c r="N514" s="259">
        <f t="shared" si="42"/>
        <v>304.7929724</v>
      </c>
      <c r="O514" s="259">
        <f t="shared" si="43"/>
        <v>304.7929724</v>
      </c>
      <c r="P514" s="586">
        <f t="shared" si="3"/>
        <v>0.001661516728</v>
      </c>
    </row>
    <row r="515">
      <c r="A515" s="253" t="s">
        <v>1078</v>
      </c>
      <c r="B515" s="254" t="s">
        <v>1079</v>
      </c>
      <c r="C515" s="255" t="str">
        <f t="shared" si="37"/>
        <v>PRÓPRIO</v>
      </c>
      <c r="D515" s="256" t="s">
        <v>110</v>
      </c>
      <c r="E515" s="257" t="str">
        <f>IFERROR(IF(D515="SINAPI-S",VLOOKUP(B515,'20-B.SINAPI-S'!A:J,2,0),IF(D515="SINAPI-I",VLOOKUP(B515,'20-A.SINAPI-I'!A:G,2,0),IF(D515="COMPOSIÇÕES",VLOOKUP(B515,'11.COMPOSIÇÕES GERAIS'!B:I,2,0),VLOOKUP(B515,'12.COT.MERCADO'!A:I,2,0)))),"Em Elaboração")</f>
        <v>MOTOR VENTILADOR DA EVAPORADORA AR CONDICIONADO SPLIT DE 30.000 BTUS 220V. REF. AGRATTO, CARRIER, ELGIN OU SIMILAR</v>
      </c>
      <c r="F515" s="258" t="str">
        <f>IFERROR(IF(D515="SINAPI-S",VLOOKUP(B515,'20-B.SINAPI-S'!A:J,3,0),IF(D515="SINAPI-I",VLOOKUP(B515,'20-A.SINAPI-I'!A:G,3,0),IF(D515="COMPOSIÇÕES",VLOOKUP(B515,'11.COMPOSIÇÕES GERAIS'!B:I,3,0),VLOOKUP(B515,'12.COT.MERCADO'!A:I,7,0)))),"Em Elaboração")</f>
        <v>UN </v>
      </c>
      <c r="G515" s="254">
        <v>1.0</v>
      </c>
      <c r="H515" s="259">
        <f>IFERROR(IF(D515="SINAPI-S",VLOOKUP(B515,'20-B.SINAPI-S'!A:J,5,0),IF(D515="SINAPI-I",VLOOKUP(B515,'20-A.SINAPI-I'!A:G,6,0),IF(D515="COMPOSIÇÕES",VLOOKUP(B515,'11.COMPOSIÇÕES GERAIS'!B:I,7,0),0))),"Em Elaboração")</f>
        <v>0</v>
      </c>
      <c r="I515" s="259">
        <f>IFERROR(IF(D515="SINAPI-S",VLOOKUP(B515,'20-B.SINAPI-S'!A:J,6,0),IF(D515="SINAPI-I",VLOOKUP(B515,'20-A.SINAPI-I'!A:G,7,0),IF(D515="COMPOSIÇÕES",VLOOKUP(B515,'11.COMPOSIÇÕES GERAIS'!B:I,8,0),VLOOKUP(B515,'12.COT.MERCADO'!A:I,8,0)))),"Em Elaboração")</f>
        <v>411.35</v>
      </c>
      <c r="J515" s="259">
        <f t="shared" si="38"/>
        <v>0</v>
      </c>
      <c r="K515" s="259">
        <f t="shared" si="39"/>
        <v>481.8284816</v>
      </c>
      <c r="L515" s="259">
        <f t="shared" si="40"/>
        <v>481.8284816</v>
      </c>
      <c r="M515" s="259">
        <f t="shared" si="41"/>
        <v>0</v>
      </c>
      <c r="N515" s="259">
        <f t="shared" si="42"/>
        <v>481.8284816</v>
      </c>
      <c r="O515" s="259">
        <f t="shared" si="43"/>
        <v>481.8284816</v>
      </c>
      <c r="P515" s="586">
        <f t="shared" si="3"/>
        <v>0.002626589701</v>
      </c>
    </row>
    <row r="516">
      <c r="A516" s="253" t="s">
        <v>1080</v>
      </c>
      <c r="B516" s="254" t="s">
        <v>1081</v>
      </c>
      <c r="C516" s="255" t="str">
        <f t="shared" si="37"/>
        <v>PRÓPRIO</v>
      </c>
      <c r="D516" s="256" t="s">
        <v>110</v>
      </c>
      <c r="E516" s="257" t="str">
        <f>IFERROR(IF(D516="SINAPI-S",VLOOKUP(B516,'20-B.SINAPI-S'!A:J,2,0),IF(D516="SINAPI-I",VLOOKUP(B516,'20-A.SINAPI-I'!A:G,2,0),IF(D516="COMPOSIÇÕES",VLOOKUP(B516,'11.COMPOSIÇÕES GERAIS'!B:I,2,0),VLOOKUP(B516,'12.COT.MERCADO'!A:I,2,0)))),"Em Elaboração")</f>
        <v>MOTOR VENTILADOR DA EVAPORADORA AR CONDICIONADO SPLIT DE 36.000 BTUS 220V. REF. SPLIT TETO CARRIER SPRINGER 36000 BTUS</v>
      </c>
      <c r="F516" s="258" t="str">
        <f>IFERROR(IF(D516="SINAPI-S",VLOOKUP(B516,'20-B.SINAPI-S'!A:J,3,0),IF(D516="SINAPI-I",VLOOKUP(B516,'20-A.SINAPI-I'!A:G,3,0),IF(D516="COMPOSIÇÕES",VLOOKUP(B516,'11.COMPOSIÇÕES GERAIS'!B:I,3,0),VLOOKUP(B516,'12.COT.MERCADO'!A:I,7,0)))),"Em Elaboração")</f>
        <v>UN </v>
      </c>
      <c r="G516" s="254">
        <v>1.0</v>
      </c>
      <c r="H516" s="259">
        <f>IFERROR(IF(D516="SINAPI-S",VLOOKUP(B516,'20-B.SINAPI-S'!A:J,5,0),IF(D516="SINAPI-I",VLOOKUP(B516,'20-A.SINAPI-I'!A:G,6,0),IF(D516="COMPOSIÇÕES",VLOOKUP(B516,'11.COMPOSIÇÕES GERAIS'!B:I,7,0),0))),"Em Elaboração")</f>
        <v>0</v>
      </c>
      <c r="I516" s="259">
        <f>IFERROR(IF(D516="SINAPI-S",VLOOKUP(B516,'20-B.SINAPI-S'!A:J,6,0),IF(D516="SINAPI-I",VLOOKUP(B516,'20-A.SINAPI-I'!A:G,7,0),IF(D516="COMPOSIÇÕES",VLOOKUP(B516,'11.COMPOSIÇÕES GERAIS'!B:I,8,0),VLOOKUP(B516,'12.COT.MERCADO'!A:I,8,0)))),"Em Elaboração")</f>
        <v>474.05</v>
      </c>
      <c r="J516" s="259">
        <f t="shared" si="38"/>
        <v>0</v>
      </c>
      <c r="K516" s="259">
        <f t="shared" si="39"/>
        <v>555.2711601</v>
      </c>
      <c r="L516" s="259">
        <f t="shared" si="40"/>
        <v>555.2711601</v>
      </c>
      <c r="M516" s="259">
        <f t="shared" si="41"/>
        <v>0</v>
      </c>
      <c r="N516" s="259">
        <f t="shared" si="42"/>
        <v>555.2711601</v>
      </c>
      <c r="O516" s="259">
        <f t="shared" si="43"/>
        <v>555.2711601</v>
      </c>
      <c r="P516" s="586">
        <f t="shared" si="3"/>
        <v>0.003026947484</v>
      </c>
    </row>
    <row r="517">
      <c r="A517" s="253" t="s">
        <v>1082</v>
      </c>
      <c r="B517" s="254" t="s">
        <v>1083</v>
      </c>
      <c r="C517" s="255" t="str">
        <f t="shared" si="37"/>
        <v>PRÓPRIO</v>
      </c>
      <c r="D517" s="256" t="s">
        <v>110</v>
      </c>
      <c r="E517" s="257" t="str">
        <f>IFERROR(IF(D517="SINAPI-S",VLOOKUP(B517,'20-B.SINAPI-S'!A:J,2,0),IF(D517="SINAPI-I",VLOOKUP(B517,'20-A.SINAPI-I'!A:G,2,0),IF(D517="COMPOSIÇÕES",VLOOKUP(B517,'11.COMPOSIÇÕES GERAIS'!B:I,2,0),VLOOKUP(B517,'12.COT.MERCADO'!A:I,2,0)))),"Em Elaboração")</f>
        <v>MOTOR VENTILADOR DA EVAPORADORA AR CONDICIONADO SPLIT DE 48.000 BTUS A 60.000 BTUS 220V. REF. SPLIT TETO CARRIER SPRINGER 48000 BTUS</v>
      </c>
      <c r="F517" s="258" t="str">
        <f>IFERROR(IF(D517="SINAPI-S",VLOOKUP(B517,'20-B.SINAPI-S'!A:J,3,0),IF(D517="SINAPI-I",VLOOKUP(B517,'20-A.SINAPI-I'!A:G,3,0),IF(D517="COMPOSIÇÕES",VLOOKUP(B517,'11.COMPOSIÇÕES GERAIS'!B:I,3,0),VLOOKUP(B517,'12.COT.MERCADO'!A:I,7,0)))),"Em Elaboração")</f>
        <v>UN </v>
      </c>
      <c r="G517" s="254">
        <v>1.0</v>
      </c>
      <c r="H517" s="259">
        <f>IFERROR(IF(D517="SINAPI-S",VLOOKUP(B517,'20-B.SINAPI-S'!A:J,5,0),IF(D517="SINAPI-I",VLOOKUP(B517,'20-A.SINAPI-I'!A:G,6,0),IF(D517="COMPOSIÇÕES",VLOOKUP(B517,'11.COMPOSIÇÕES GERAIS'!B:I,7,0),0))),"Em Elaboração")</f>
        <v>0</v>
      </c>
      <c r="I517" s="259">
        <f>IFERROR(IF(D517="SINAPI-S",VLOOKUP(B517,'20-B.SINAPI-S'!A:J,6,0),IF(D517="SINAPI-I",VLOOKUP(B517,'20-A.SINAPI-I'!A:G,7,0),IF(D517="COMPOSIÇÕES",VLOOKUP(B517,'11.COMPOSIÇÕES GERAIS'!B:I,8,0),VLOOKUP(B517,'12.COT.MERCADO'!A:I,8,0)))),"Em Elaboração")</f>
        <v>568.9</v>
      </c>
      <c r="J517" s="259">
        <f t="shared" si="38"/>
        <v>0</v>
      </c>
      <c r="K517" s="259">
        <f t="shared" si="39"/>
        <v>666.3722455</v>
      </c>
      <c r="L517" s="259">
        <f t="shared" si="40"/>
        <v>666.3722455</v>
      </c>
      <c r="M517" s="259">
        <f t="shared" si="41"/>
        <v>0</v>
      </c>
      <c r="N517" s="259">
        <f t="shared" si="42"/>
        <v>666.3722455</v>
      </c>
      <c r="O517" s="259">
        <f t="shared" si="43"/>
        <v>666.3722455</v>
      </c>
      <c r="P517" s="586">
        <f t="shared" si="3"/>
        <v>0.003632592393</v>
      </c>
    </row>
    <row r="518">
      <c r="A518" s="253" t="s">
        <v>1084</v>
      </c>
      <c r="B518" s="254" t="s">
        <v>1085</v>
      </c>
      <c r="C518" s="255" t="str">
        <f t="shared" si="37"/>
        <v>PRÓPRIO</v>
      </c>
      <c r="D518" s="256" t="s">
        <v>110</v>
      </c>
      <c r="E518" s="257" t="str">
        <f>IFERROR(IF(D518="SINAPI-S",VLOOKUP(B518,'20-B.SINAPI-S'!A:J,2,0),IF(D518="SINAPI-I",VLOOKUP(B518,'20-A.SINAPI-I'!A:G,2,0),IF(D518="COMPOSIÇÕES",VLOOKUP(B518,'11.COMPOSIÇÕES GERAIS'!B:I,2,0),VLOOKUP(B518,'12.COT.MERCADO'!A:I,2,0)))),"Em Elaboração")</f>
        <v>Placa de comando (da unidade evaporadora) ar condicionado SPLIT HI-WALL 9.000 Btus  REF.: Midea 17122000A15551 ou similar </v>
      </c>
      <c r="F518" s="258" t="str">
        <f>IFERROR(IF(D518="SINAPI-S",VLOOKUP(B518,'20-B.SINAPI-S'!A:J,3,0),IF(D518="SINAPI-I",VLOOKUP(B518,'20-A.SINAPI-I'!A:G,3,0),IF(D518="COMPOSIÇÕES",VLOOKUP(B518,'11.COMPOSIÇÕES GERAIS'!B:I,3,0),VLOOKUP(B518,'12.COT.MERCADO'!A:I,7,0)))),"Em Elaboração")</f>
        <v>UN </v>
      </c>
      <c r="G518" s="254">
        <v>1.0</v>
      </c>
      <c r="H518" s="259">
        <f>IFERROR(IF(D518="SINAPI-S",VLOOKUP(B518,'20-B.SINAPI-S'!A:J,5,0),IF(D518="SINAPI-I",VLOOKUP(B518,'20-A.SINAPI-I'!A:G,6,0),IF(D518="COMPOSIÇÕES",VLOOKUP(B518,'11.COMPOSIÇÕES GERAIS'!B:I,7,0),0))),"Em Elaboração")</f>
        <v>0</v>
      </c>
      <c r="I518" s="259">
        <f>IFERROR(IF(D518="SINAPI-S",VLOOKUP(B518,'20-B.SINAPI-S'!A:J,6,0),IF(D518="SINAPI-I",VLOOKUP(B518,'20-A.SINAPI-I'!A:G,7,0),IF(D518="COMPOSIÇÕES",VLOOKUP(B518,'11.COMPOSIÇÕES GERAIS'!B:I,8,0),VLOOKUP(B518,'12.COT.MERCADO'!A:I,8,0)))),"Em Elaboração")</f>
        <v>320</v>
      </c>
      <c r="J518" s="259">
        <f t="shared" si="38"/>
        <v>0</v>
      </c>
      <c r="K518" s="259">
        <f t="shared" si="39"/>
        <v>374.8270672</v>
      </c>
      <c r="L518" s="259">
        <f t="shared" si="40"/>
        <v>374.8270672</v>
      </c>
      <c r="M518" s="259">
        <f t="shared" si="41"/>
        <v>0</v>
      </c>
      <c r="N518" s="259">
        <f t="shared" si="42"/>
        <v>374.8270672</v>
      </c>
      <c r="O518" s="259">
        <f t="shared" si="43"/>
        <v>374.8270672</v>
      </c>
      <c r="P518" s="586">
        <f t="shared" si="3"/>
        <v>0.002043293313</v>
      </c>
    </row>
    <row r="519">
      <c r="A519" s="253" t="s">
        <v>1086</v>
      </c>
      <c r="B519" s="254" t="s">
        <v>1087</v>
      </c>
      <c r="C519" s="255" t="str">
        <f t="shared" si="37"/>
        <v>PRÓPRIO</v>
      </c>
      <c r="D519" s="256" t="s">
        <v>110</v>
      </c>
      <c r="E519" s="257" t="str">
        <f>IFERROR(IF(D519="SINAPI-S",VLOOKUP(B519,'20-B.SINAPI-S'!A:J,2,0),IF(D519="SINAPI-I",VLOOKUP(B519,'20-A.SINAPI-I'!A:G,2,0),IF(D519="COMPOSIÇÕES",VLOOKUP(B519,'11.COMPOSIÇÕES GERAIS'!B:I,2,0),VLOOKUP(B519,'12.COT.MERCADO'!A:I,2,0)))),"Em Elaboração")</f>
        <v>Placa de comando (da unidade evaporadora) ar condicionado SPLIT HI-WALL 12.000 Btus  REF.: MIDEA CARRIER 42MTCB12M5 201332590965 ou similar</v>
      </c>
      <c r="F519" s="258" t="str">
        <f>IFERROR(IF(D519="SINAPI-S",VLOOKUP(B519,'20-B.SINAPI-S'!A:J,3,0),IF(D519="SINAPI-I",VLOOKUP(B519,'20-A.SINAPI-I'!A:G,3,0),IF(D519="COMPOSIÇÕES",VLOOKUP(B519,'11.COMPOSIÇÕES GERAIS'!B:I,3,0),VLOOKUP(B519,'12.COT.MERCADO'!A:I,7,0)))),"Em Elaboração")</f>
        <v>UN </v>
      </c>
      <c r="G519" s="254">
        <v>2.0</v>
      </c>
      <c r="H519" s="259">
        <f>IFERROR(IF(D519="SINAPI-S",VLOOKUP(B519,'20-B.SINAPI-S'!A:J,5,0),IF(D519="SINAPI-I",VLOOKUP(B519,'20-A.SINAPI-I'!A:G,6,0),IF(D519="COMPOSIÇÕES",VLOOKUP(B519,'11.COMPOSIÇÕES GERAIS'!B:I,7,0),0))),"Em Elaboração")</f>
        <v>0</v>
      </c>
      <c r="I519" s="259">
        <f>IFERROR(IF(D519="SINAPI-S",VLOOKUP(B519,'20-B.SINAPI-S'!A:J,6,0),IF(D519="SINAPI-I",VLOOKUP(B519,'20-A.SINAPI-I'!A:G,7,0),IF(D519="COMPOSIÇÕES",VLOOKUP(B519,'11.COMPOSIÇÕES GERAIS'!B:I,8,0),VLOOKUP(B519,'12.COT.MERCADO'!A:I,8,0)))),"Em Elaboração")</f>
        <v>451.27</v>
      </c>
      <c r="J519" s="259">
        <f t="shared" si="38"/>
        <v>0</v>
      </c>
      <c r="K519" s="259">
        <f t="shared" si="39"/>
        <v>528.5881582</v>
      </c>
      <c r="L519" s="259">
        <f t="shared" si="40"/>
        <v>528.5881582</v>
      </c>
      <c r="M519" s="259">
        <f t="shared" si="41"/>
        <v>0</v>
      </c>
      <c r="N519" s="259">
        <f t="shared" si="42"/>
        <v>1057.176316</v>
      </c>
      <c r="O519" s="259">
        <f t="shared" si="43"/>
        <v>1057.176316</v>
      </c>
      <c r="P519" s="586">
        <f t="shared" si="3"/>
        <v>0.005762981083</v>
      </c>
    </row>
    <row r="520">
      <c r="A520" s="253" t="s">
        <v>1088</v>
      </c>
      <c r="B520" s="254" t="s">
        <v>1089</v>
      </c>
      <c r="C520" s="255" t="str">
        <f t="shared" si="37"/>
        <v>PRÓPRIO</v>
      </c>
      <c r="D520" s="256" t="s">
        <v>110</v>
      </c>
      <c r="E520" s="257" t="str">
        <f>IFERROR(IF(D520="SINAPI-S",VLOOKUP(B520,'20-B.SINAPI-S'!A:J,2,0),IF(D520="SINAPI-I",VLOOKUP(B520,'20-A.SINAPI-I'!A:G,2,0),IF(D520="COMPOSIÇÕES",VLOOKUP(B520,'11.COMPOSIÇÕES GERAIS'!B:I,2,0),VLOOKUP(B520,'12.COT.MERCADO'!A:I,2,0)))),"Em Elaboração")</f>
        <v>Placa de comando (da unidade evaporadora) ar condicionado SPLIT HI-WALL 18.000 Btus  REF.: New Carrier mod 2013328A0364 ou similar</v>
      </c>
      <c r="F520" s="258" t="str">
        <f>IFERROR(IF(D520="SINAPI-S",VLOOKUP(B520,'20-B.SINAPI-S'!A:J,3,0),IF(D520="SINAPI-I",VLOOKUP(B520,'20-A.SINAPI-I'!A:G,3,0),IF(D520="COMPOSIÇÕES",VLOOKUP(B520,'11.COMPOSIÇÕES GERAIS'!B:I,3,0),VLOOKUP(B520,'12.COT.MERCADO'!A:I,7,0)))),"Em Elaboração")</f>
        <v>UN </v>
      </c>
      <c r="G520" s="254">
        <v>2.0</v>
      </c>
      <c r="H520" s="259">
        <f>IFERROR(IF(D520="SINAPI-S",VLOOKUP(B520,'20-B.SINAPI-S'!A:J,5,0),IF(D520="SINAPI-I",VLOOKUP(B520,'20-A.SINAPI-I'!A:G,6,0),IF(D520="COMPOSIÇÕES",VLOOKUP(B520,'11.COMPOSIÇÕES GERAIS'!B:I,7,0),0))),"Em Elaboração")</f>
        <v>0</v>
      </c>
      <c r="I520" s="259">
        <f>IFERROR(IF(D520="SINAPI-S",VLOOKUP(B520,'20-B.SINAPI-S'!A:J,6,0),IF(D520="SINAPI-I",VLOOKUP(B520,'20-A.SINAPI-I'!A:G,7,0),IF(D520="COMPOSIÇÕES",VLOOKUP(B520,'11.COMPOSIÇÕES GERAIS'!B:I,8,0),VLOOKUP(B520,'12.COT.MERCADO'!A:I,8,0)))),"Em Elaboração")</f>
        <v>219</v>
      </c>
      <c r="J520" s="259">
        <f t="shared" si="38"/>
        <v>0</v>
      </c>
      <c r="K520" s="259">
        <f t="shared" si="39"/>
        <v>256.5222741</v>
      </c>
      <c r="L520" s="259">
        <f t="shared" si="40"/>
        <v>256.5222741</v>
      </c>
      <c r="M520" s="259">
        <f t="shared" si="41"/>
        <v>0</v>
      </c>
      <c r="N520" s="259">
        <f t="shared" si="42"/>
        <v>513.0445483</v>
      </c>
      <c r="O520" s="259">
        <f t="shared" si="43"/>
        <v>513.0445483</v>
      </c>
      <c r="P520" s="586">
        <f t="shared" si="3"/>
        <v>0.002796757722</v>
      </c>
    </row>
    <row r="521">
      <c r="A521" s="253" t="s">
        <v>1090</v>
      </c>
      <c r="B521" s="254" t="s">
        <v>1091</v>
      </c>
      <c r="C521" s="255" t="str">
        <f t="shared" si="37"/>
        <v>PRÓPRIO</v>
      </c>
      <c r="D521" s="256" t="s">
        <v>110</v>
      </c>
      <c r="E521" s="257" t="str">
        <f>IFERROR(IF(D521="SINAPI-S",VLOOKUP(B521,'20-B.SINAPI-S'!A:J,2,0),IF(D521="SINAPI-I",VLOOKUP(B521,'20-A.SINAPI-I'!A:G,2,0),IF(D521="COMPOSIÇÕES",VLOOKUP(B521,'11.COMPOSIÇÕES GERAIS'!B:I,2,0),VLOOKUP(B521,'12.COT.MERCADO'!A:I,2,0)))),"Em Elaboração")</f>
        <v>Placa de comando (da unidade evaporadora) ar condicionado SPLIT HI-WALL 24.000  - 30.000 Btus  REF.: Media mod 201333090103 ou similar</v>
      </c>
      <c r="F521" s="258" t="str">
        <f>IFERROR(IF(D521="SINAPI-S",VLOOKUP(B521,'20-B.SINAPI-S'!A:J,3,0),IF(D521="SINAPI-I",VLOOKUP(B521,'20-A.SINAPI-I'!A:G,3,0),IF(D521="COMPOSIÇÕES",VLOOKUP(B521,'11.COMPOSIÇÕES GERAIS'!B:I,3,0),VLOOKUP(B521,'12.COT.MERCADO'!A:I,7,0)))),"Em Elaboração")</f>
        <v>UN </v>
      </c>
      <c r="G521" s="254">
        <v>2.0</v>
      </c>
      <c r="H521" s="259">
        <f>IFERROR(IF(D521="SINAPI-S",VLOOKUP(B521,'20-B.SINAPI-S'!A:J,5,0),IF(D521="SINAPI-I",VLOOKUP(B521,'20-A.SINAPI-I'!A:G,6,0),IF(D521="COMPOSIÇÕES",VLOOKUP(B521,'11.COMPOSIÇÕES GERAIS'!B:I,7,0),0))),"Em Elaboração")</f>
        <v>0</v>
      </c>
      <c r="I521" s="259">
        <f>IFERROR(IF(D521="SINAPI-S",VLOOKUP(B521,'20-B.SINAPI-S'!A:J,6,0),IF(D521="SINAPI-I",VLOOKUP(B521,'20-A.SINAPI-I'!A:G,7,0),IF(D521="COMPOSIÇÕES",VLOOKUP(B521,'11.COMPOSIÇÕES GERAIS'!B:I,8,0),VLOOKUP(B521,'12.COT.MERCADO'!A:I,8,0)))),"Em Elaboração")</f>
        <v>267.07</v>
      </c>
      <c r="J521" s="259">
        <f t="shared" si="38"/>
        <v>0</v>
      </c>
      <c r="K521" s="259">
        <f t="shared" si="39"/>
        <v>312.8283277</v>
      </c>
      <c r="L521" s="259">
        <f t="shared" si="40"/>
        <v>312.8283277</v>
      </c>
      <c r="M521" s="259">
        <f t="shared" si="41"/>
        <v>0</v>
      </c>
      <c r="N521" s="259">
        <f t="shared" si="42"/>
        <v>625.6566553</v>
      </c>
      <c r="O521" s="259">
        <f t="shared" si="43"/>
        <v>625.6566553</v>
      </c>
      <c r="P521" s="586">
        <f t="shared" si="3"/>
        <v>0.003410639656</v>
      </c>
    </row>
    <row r="522">
      <c r="A522" s="253" t="s">
        <v>1092</v>
      </c>
      <c r="B522" s="254" t="s">
        <v>1093</v>
      </c>
      <c r="C522" s="255" t="str">
        <f t="shared" si="37"/>
        <v>PRÓPRIO</v>
      </c>
      <c r="D522" s="256" t="s">
        <v>110</v>
      </c>
      <c r="E522" s="257" t="str">
        <f>IFERROR(IF(D522="SINAPI-S",VLOOKUP(B522,'20-B.SINAPI-S'!A:J,2,0),IF(D522="SINAPI-I",VLOOKUP(B522,'20-A.SINAPI-I'!A:G,2,0),IF(D522="COMPOSIÇÕES",VLOOKUP(B522,'11.COMPOSIÇÕES GERAIS'!B:I,2,0),VLOOKUP(B522,'12.COT.MERCADO'!A:I,2,0)))),"Em Elaboração")</f>
        <v>Placa de comando (da unidade evaporadora) ar condicionado SPLIT PISO/TETO 30.000 - 60.000 BTUS. REF.: Eco Elgin ARC141290609401 ou similar</v>
      </c>
      <c r="F522" s="258" t="str">
        <f>IFERROR(IF(D522="SINAPI-S",VLOOKUP(B522,'20-B.SINAPI-S'!A:J,3,0),IF(D522="SINAPI-I",VLOOKUP(B522,'20-A.SINAPI-I'!A:G,3,0),IF(D522="COMPOSIÇÕES",VLOOKUP(B522,'11.COMPOSIÇÕES GERAIS'!B:I,3,0),VLOOKUP(B522,'12.COT.MERCADO'!A:I,7,0)))),"Em Elaboração")</f>
        <v>UN </v>
      </c>
      <c r="G522" s="254">
        <v>2.0</v>
      </c>
      <c r="H522" s="259">
        <f>IFERROR(IF(D522="SINAPI-S",VLOOKUP(B522,'20-B.SINAPI-S'!A:J,5,0),IF(D522="SINAPI-I",VLOOKUP(B522,'20-A.SINAPI-I'!A:G,6,0),IF(D522="COMPOSIÇÕES",VLOOKUP(B522,'11.COMPOSIÇÕES GERAIS'!B:I,7,0),0))),"Em Elaboração")</f>
        <v>0</v>
      </c>
      <c r="I522" s="259">
        <f>IFERROR(IF(D522="SINAPI-S",VLOOKUP(B522,'20-B.SINAPI-S'!A:J,6,0),IF(D522="SINAPI-I",VLOOKUP(B522,'20-A.SINAPI-I'!A:G,7,0),IF(D522="COMPOSIÇÕES",VLOOKUP(B522,'11.COMPOSIÇÕES GERAIS'!B:I,8,0),VLOOKUP(B522,'12.COT.MERCADO'!A:I,8,0)))),"Em Elaboração")</f>
        <v>474.05</v>
      </c>
      <c r="J522" s="259">
        <f t="shared" si="38"/>
        <v>0</v>
      </c>
      <c r="K522" s="259">
        <f t="shared" si="39"/>
        <v>555.2711601</v>
      </c>
      <c r="L522" s="259">
        <f t="shared" si="40"/>
        <v>555.2711601</v>
      </c>
      <c r="M522" s="259">
        <f t="shared" si="41"/>
        <v>0</v>
      </c>
      <c r="N522" s="259">
        <f t="shared" si="42"/>
        <v>1110.54232</v>
      </c>
      <c r="O522" s="259">
        <f t="shared" si="43"/>
        <v>1110.54232</v>
      </c>
      <c r="P522" s="586">
        <f t="shared" si="3"/>
        <v>0.006053894968</v>
      </c>
    </row>
    <row r="523">
      <c r="A523" s="253" t="s">
        <v>1094</v>
      </c>
      <c r="B523" s="254" t="s">
        <v>1095</v>
      </c>
      <c r="C523" s="255" t="str">
        <f t="shared" si="37"/>
        <v>PRÓPRIO</v>
      </c>
      <c r="D523" s="256" t="s">
        <v>110</v>
      </c>
      <c r="E523" s="257" t="str">
        <f>IFERROR(IF(D523="SINAPI-S",VLOOKUP(B523,'20-B.SINAPI-S'!A:J,2,0),IF(D523="SINAPI-I",VLOOKUP(B523,'20-A.SINAPI-I'!A:G,2,0),IF(D523="COMPOSIÇÕES",VLOOKUP(B523,'11.COMPOSIÇÕES GERAIS'!B:I,2,0),VLOOKUP(B523,'12.COT.MERCADO'!A:I,2,0)))),"Em Elaboração")</f>
        <v>Placa de comando (da unidade condensadora) ar condicionado SPLIT HI-WALL 9.000 até 12.000 Btus  REF.: MIDEA CARRIER 201337390164 ou similar</v>
      </c>
      <c r="F523" s="258" t="str">
        <f>IFERROR(IF(D523="SINAPI-S",VLOOKUP(B523,'20-B.SINAPI-S'!A:J,3,0),IF(D523="SINAPI-I",VLOOKUP(B523,'20-A.SINAPI-I'!A:G,3,0),IF(D523="COMPOSIÇÕES",VLOOKUP(B523,'11.COMPOSIÇÕES GERAIS'!B:I,3,0),VLOOKUP(B523,'12.COT.MERCADO'!A:I,7,0)))),"Em Elaboração")</f>
        <v>UN </v>
      </c>
      <c r="G523" s="254">
        <v>2.0</v>
      </c>
      <c r="H523" s="259">
        <f>IFERROR(IF(D523="SINAPI-S",VLOOKUP(B523,'20-B.SINAPI-S'!A:J,5,0),IF(D523="SINAPI-I",VLOOKUP(B523,'20-A.SINAPI-I'!A:G,6,0),IF(D523="COMPOSIÇÕES",VLOOKUP(B523,'11.COMPOSIÇÕES GERAIS'!B:I,7,0),0))),"Em Elaboração")</f>
        <v>0</v>
      </c>
      <c r="I523" s="259">
        <f>IFERROR(IF(D523="SINAPI-S",VLOOKUP(B523,'20-B.SINAPI-S'!A:J,6,0),IF(D523="SINAPI-I",VLOOKUP(B523,'20-A.SINAPI-I'!A:G,7,0),IF(D523="COMPOSIÇÕES",VLOOKUP(B523,'11.COMPOSIÇÕES GERAIS'!B:I,8,0),VLOOKUP(B523,'12.COT.MERCADO'!A:I,8,0)))),"Em Elaboração")</f>
        <v>1308.72</v>
      </c>
      <c r="J523" s="259">
        <f t="shared" si="38"/>
        <v>0</v>
      </c>
      <c r="K523" s="259">
        <f t="shared" si="39"/>
        <v>1532.948998</v>
      </c>
      <c r="L523" s="259">
        <f t="shared" si="40"/>
        <v>1532.948998</v>
      </c>
      <c r="M523" s="259">
        <f t="shared" si="41"/>
        <v>0</v>
      </c>
      <c r="N523" s="259">
        <f t="shared" si="42"/>
        <v>3065.897997</v>
      </c>
      <c r="O523" s="259">
        <f t="shared" si="43"/>
        <v>3065.897997</v>
      </c>
      <c r="P523" s="586">
        <f t="shared" si="3"/>
        <v>0.01671311765</v>
      </c>
    </row>
    <row r="524">
      <c r="A524" s="253" t="s">
        <v>1096</v>
      </c>
      <c r="B524" s="254" t="s">
        <v>1097</v>
      </c>
      <c r="C524" s="255" t="str">
        <f t="shared" si="37"/>
        <v>PRÓPRIO</v>
      </c>
      <c r="D524" s="256" t="s">
        <v>110</v>
      </c>
      <c r="E524" s="257" t="str">
        <f>IFERROR(IF(D524="SINAPI-S",VLOOKUP(B524,'20-B.SINAPI-S'!A:J,2,0),IF(D524="SINAPI-I",VLOOKUP(B524,'20-A.SINAPI-I'!A:G,2,0),IF(D524="COMPOSIÇÕES",VLOOKUP(B524,'11.COMPOSIÇÕES GERAIS'!B:I,2,0),VLOOKUP(B524,'12.COT.MERCADO'!A:I,2,0)))),"Em Elaboração")</f>
        <v>Placa de comando (da unidade condensadora) ar condicionado SPLIT HI-WALL 18.000 Btus  REF.: CARRIER ECO INVERTER 201337790035 ou similar</v>
      </c>
      <c r="F524" s="258" t="str">
        <f>IFERROR(IF(D524="SINAPI-S",VLOOKUP(B524,'20-B.SINAPI-S'!A:J,3,0),IF(D524="SINAPI-I",VLOOKUP(B524,'20-A.SINAPI-I'!A:G,3,0),IF(D524="COMPOSIÇÕES",VLOOKUP(B524,'11.COMPOSIÇÕES GERAIS'!B:I,3,0),VLOOKUP(B524,'12.COT.MERCADO'!A:I,7,0)))),"Em Elaboração")</f>
        <v>UN </v>
      </c>
      <c r="G524" s="254">
        <v>2.0</v>
      </c>
      <c r="H524" s="259">
        <f>IFERROR(IF(D524="SINAPI-S",VLOOKUP(B524,'20-B.SINAPI-S'!A:J,5,0),IF(D524="SINAPI-I",VLOOKUP(B524,'20-A.SINAPI-I'!A:G,6,0),IF(D524="COMPOSIÇÕES",VLOOKUP(B524,'11.COMPOSIÇÕES GERAIS'!B:I,7,0),0))),"Em Elaboração")</f>
        <v>0</v>
      </c>
      <c r="I524" s="259">
        <f>IFERROR(IF(D524="SINAPI-S",VLOOKUP(B524,'20-B.SINAPI-S'!A:J,6,0),IF(D524="SINAPI-I",VLOOKUP(B524,'20-A.SINAPI-I'!A:G,7,0),IF(D524="COMPOSIÇÕES",VLOOKUP(B524,'11.COMPOSIÇÕES GERAIS'!B:I,8,0),VLOOKUP(B524,'12.COT.MERCADO'!A:I,8,0)))),"Em Elaboração")</f>
        <v>870.7</v>
      </c>
      <c r="J524" s="259">
        <f t="shared" si="38"/>
        <v>0</v>
      </c>
      <c r="K524" s="259">
        <f t="shared" si="39"/>
        <v>1019.881023</v>
      </c>
      <c r="L524" s="259">
        <f t="shared" si="40"/>
        <v>1019.881023</v>
      </c>
      <c r="M524" s="259">
        <f t="shared" si="41"/>
        <v>0</v>
      </c>
      <c r="N524" s="259">
        <f t="shared" si="42"/>
        <v>2039.762047</v>
      </c>
      <c r="O524" s="259">
        <f t="shared" si="43"/>
        <v>2039.762047</v>
      </c>
      <c r="P524" s="586">
        <f t="shared" si="3"/>
        <v>0.0111193468</v>
      </c>
    </row>
    <row r="525">
      <c r="A525" s="253" t="s">
        <v>1098</v>
      </c>
      <c r="B525" s="254" t="s">
        <v>1099</v>
      </c>
      <c r="C525" s="255" t="str">
        <f t="shared" si="37"/>
        <v>PRÓPRIO</v>
      </c>
      <c r="D525" s="256" t="s">
        <v>110</v>
      </c>
      <c r="E525" s="257" t="str">
        <f>IFERROR(IF(D525="SINAPI-S",VLOOKUP(B525,'20-B.SINAPI-S'!A:J,2,0),IF(D525="SINAPI-I",VLOOKUP(B525,'20-A.SINAPI-I'!A:G,2,0),IF(D525="COMPOSIÇÕES",VLOOKUP(B525,'11.COMPOSIÇÕES GERAIS'!B:I,2,0),VLOOKUP(B525,'12.COT.MERCADO'!A:I,2,0)))),"Em Elaboração")</f>
        <v>Placa de comando (da unidade condensadora) ar condicionado SPLIT HI-WALL 24.000 Btus  REF.: ELGIN MOD HVQE24B2IA ou similar</v>
      </c>
      <c r="F525" s="258" t="str">
        <f>IFERROR(IF(D525="SINAPI-S",VLOOKUP(B525,'20-B.SINAPI-S'!A:J,3,0),IF(D525="SINAPI-I",VLOOKUP(B525,'20-A.SINAPI-I'!A:G,3,0),IF(D525="COMPOSIÇÕES",VLOOKUP(B525,'11.COMPOSIÇÕES GERAIS'!B:I,3,0),VLOOKUP(B525,'12.COT.MERCADO'!A:I,7,0)))),"Em Elaboração")</f>
        <v>UN </v>
      </c>
      <c r="G525" s="254">
        <v>2.0</v>
      </c>
      <c r="H525" s="259">
        <f>IFERROR(IF(D525="SINAPI-S",VLOOKUP(B525,'20-B.SINAPI-S'!A:J,5,0),IF(D525="SINAPI-I",VLOOKUP(B525,'20-A.SINAPI-I'!A:G,6,0),IF(D525="COMPOSIÇÕES",VLOOKUP(B525,'11.COMPOSIÇÕES GERAIS'!B:I,7,0),0))),"Em Elaboração")</f>
        <v>0</v>
      </c>
      <c r="I525" s="259">
        <f>IFERROR(IF(D525="SINAPI-S",VLOOKUP(B525,'20-B.SINAPI-S'!A:J,6,0),IF(D525="SINAPI-I",VLOOKUP(B525,'20-A.SINAPI-I'!A:G,7,0),IF(D525="COMPOSIÇÕES",VLOOKUP(B525,'11.COMPOSIÇÕES GERAIS'!B:I,8,0),VLOOKUP(B525,'12.COT.MERCADO'!A:I,8,0)))),"Em Elaboração")</f>
        <v>1169.05</v>
      </c>
      <c r="J525" s="259">
        <f t="shared" si="38"/>
        <v>0</v>
      </c>
      <c r="K525" s="259">
        <f t="shared" si="39"/>
        <v>1369.348697</v>
      </c>
      <c r="L525" s="259">
        <f t="shared" si="40"/>
        <v>1369.348697</v>
      </c>
      <c r="M525" s="259">
        <f t="shared" si="41"/>
        <v>0</v>
      </c>
      <c r="N525" s="259">
        <f t="shared" si="42"/>
        <v>2738.697394</v>
      </c>
      <c r="O525" s="259">
        <f t="shared" si="43"/>
        <v>2738.697394</v>
      </c>
      <c r="P525" s="586">
        <f t="shared" si="3"/>
        <v>0.0149294503</v>
      </c>
    </row>
    <row r="526">
      <c r="A526" s="253" t="s">
        <v>1100</v>
      </c>
      <c r="B526" s="254" t="s">
        <v>1101</v>
      </c>
      <c r="C526" s="255" t="str">
        <f t="shared" si="37"/>
        <v>PRÓPRIO</v>
      </c>
      <c r="D526" s="256" t="s">
        <v>110</v>
      </c>
      <c r="E526" s="257" t="str">
        <f>IFERROR(IF(D526="SINAPI-S",VLOOKUP(B526,'20-B.SINAPI-S'!A:J,2,0),IF(D526="SINAPI-I",VLOOKUP(B526,'20-A.SINAPI-I'!A:G,2,0),IF(D526="COMPOSIÇÕES",VLOOKUP(B526,'11.COMPOSIÇÕES GERAIS'!B:I,2,0),VLOOKUP(B526,'12.COT.MERCADO'!A:I,2,0)))),"Em Elaboração")</f>
        <v>Placa de comando (da unidade condensadora) ar condicionado SPLIT HI-WALL 30.000 Btus  REF.: Springer, Midea, Carrier INVERTER FRIO ou similar</v>
      </c>
      <c r="F526" s="258" t="str">
        <f>IFERROR(IF(D526="SINAPI-S",VLOOKUP(B526,'20-B.SINAPI-S'!A:J,3,0),IF(D526="SINAPI-I",VLOOKUP(B526,'20-A.SINAPI-I'!A:G,3,0),IF(D526="COMPOSIÇÕES",VLOOKUP(B526,'11.COMPOSIÇÕES GERAIS'!B:I,3,0),VLOOKUP(B526,'12.COT.MERCADO'!A:I,7,0)))),"Em Elaboração")</f>
        <v>UN </v>
      </c>
      <c r="G526" s="254">
        <v>1.0</v>
      </c>
      <c r="H526" s="259">
        <f>IFERROR(IF(D526="SINAPI-S",VLOOKUP(B526,'20-B.SINAPI-S'!A:J,5,0),IF(D526="SINAPI-I",VLOOKUP(B526,'20-A.SINAPI-I'!A:G,6,0),IF(D526="COMPOSIÇÕES",VLOOKUP(B526,'11.COMPOSIÇÕES GERAIS'!B:I,7,0),0))),"Em Elaboração")</f>
        <v>0</v>
      </c>
      <c r="I526" s="259">
        <f>IFERROR(IF(D526="SINAPI-S",VLOOKUP(B526,'20-B.SINAPI-S'!A:J,6,0),IF(D526="SINAPI-I",VLOOKUP(B526,'20-A.SINAPI-I'!A:G,7,0),IF(D526="COMPOSIÇÕES",VLOOKUP(B526,'11.COMPOSIÇÕES GERAIS'!B:I,8,0),VLOOKUP(B526,'12.COT.MERCADO'!A:I,8,0)))),"Em Elaboração")</f>
        <v>217</v>
      </c>
      <c r="J526" s="259">
        <f t="shared" si="38"/>
        <v>0</v>
      </c>
      <c r="K526" s="259">
        <f t="shared" si="39"/>
        <v>254.179605</v>
      </c>
      <c r="L526" s="259">
        <f t="shared" si="40"/>
        <v>254.179605</v>
      </c>
      <c r="M526" s="259">
        <f t="shared" si="41"/>
        <v>0</v>
      </c>
      <c r="N526" s="259">
        <f t="shared" si="42"/>
        <v>254.179605</v>
      </c>
      <c r="O526" s="259">
        <f t="shared" si="43"/>
        <v>254.179605</v>
      </c>
      <c r="P526" s="586">
        <f t="shared" si="3"/>
        <v>0.001385608278</v>
      </c>
    </row>
    <row r="527">
      <c r="A527" s="253" t="s">
        <v>1102</v>
      </c>
      <c r="B527" s="254" t="s">
        <v>1103</v>
      </c>
      <c r="C527" s="255" t="str">
        <f t="shared" si="37"/>
        <v>PRÓPRIO</v>
      </c>
      <c r="D527" s="256" t="s">
        <v>110</v>
      </c>
      <c r="E527" s="257" t="str">
        <f>IFERROR(IF(D527="SINAPI-S",VLOOKUP(B527,'20-B.SINAPI-S'!A:J,2,0),IF(D527="SINAPI-I",VLOOKUP(B527,'20-A.SINAPI-I'!A:G,2,0),IF(D527="COMPOSIÇÕES",VLOOKUP(B527,'11.COMPOSIÇÕES GERAIS'!B:I,2,0),VLOOKUP(B527,'12.COT.MERCADO'!A:I,2,0)))),"Em Elaboração")</f>
        <v>Placa de comando (da unidade condensadora) ar condicionado SPLIT PISO/TETO 48.000 Btus  REF.: KOMECO kop36.48fcqc koc36.48fcqc 380v g4 ou similar</v>
      </c>
      <c r="F527" s="258" t="str">
        <f>IFERROR(IF(D527="SINAPI-S",VLOOKUP(B527,'20-B.SINAPI-S'!A:J,3,0),IF(D527="SINAPI-I",VLOOKUP(B527,'20-A.SINAPI-I'!A:G,3,0),IF(D527="COMPOSIÇÕES",VLOOKUP(B527,'11.COMPOSIÇÕES GERAIS'!B:I,3,0),VLOOKUP(B527,'12.COT.MERCADO'!A:I,7,0)))),"Em Elaboração")</f>
        <v>UN </v>
      </c>
      <c r="G527" s="254">
        <v>1.0</v>
      </c>
      <c r="H527" s="259">
        <f>IFERROR(IF(D527="SINAPI-S",VLOOKUP(B527,'20-B.SINAPI-S'!A:J,5,0),IF(D527="SINAPI-I",VLOOKUP(B527,'20-A.SINAPI-I'!A:G,6,0),IF(D527="COMPOSIÇÕES",VLOOKUP(B527,'11.COMPOSIÇÕES GERAIS'!B:I,7,0),0))),"Em Elaboração")</f>
        <v>0</v>
      </c>
      <c r="I527" s="259">
        <f>IFERROR(IF(D527="SINAPI-S",VLOOKUP(B527,'20-B.SINAPI-S'!A:J,6,0),IF(D527="SINAPI-I",VLOOKUP(B527,'20-A.SINAPI-I'!A:G,7,0),IF(D527="COMPOSIÇÕES",VLOOKUP(B527,'11.COMPOSIÇÕES GERAIS'!B:I,8,0),VLOOKUP(B527,'12.COT.MERCADO'!A:I,8,0)))),"Em Elaboração")</f>
        <v>648.7</v>
      </c>
      <c r="J527" s="259">
        <f t="shared" si="38"/>
        <v>0</v>
      </c>
      <c r="K527" s="259">
        <f t="shared" si="39"/>
        <v>759.8447454</v>
      </c>
      <c r="L527" s="259">
        <f t="shared" si="40"/>
        <v>759.8447454</v>
      </c>
      <c r="M527" s="259">
        <f t="shared" si="41"/>
        <v>0</v>
      </c>
      <c r="N527" s="259">
        <f t="shared" si="42"/>
        <v>759.8447454</v>
      </c>
      <c r="O527" s="259">
        <f t="shared" si="43"/>
        <v>759.8447454</v>
      </c>
      <c r="P527" s="586">
        <f t="shared" si="3"/>
        <v>0.004142138662</v>
      </c>
    </row>
    <row r="528">
      <c r="A528" s="261" t="s">
        <v>1104</v>
      </c>
      <c r="B528" s="262" t="s">
        <v>1105</v>
      </c>
      <c r="C528" s="44"/>
      <c r="D528" s="44"/>
      <c r="E528" s="44"/>
      <c r="F528" s="44"/>
      <c r="G528" s="44"/>
      <c r="H528" s="44"/>
      <c r="I528" s="44"/>
      <c r="J528" s="44"/>
      <c r="K528" s="44"/>
      <c r="L528" s="44"/>
      <c r="M528" s="263">
        <f t="shared" ref="M528:O528" si="44">SUM(M529:M540)</f>
        <v>0</v>
      </c>
      <c r="N528" s="263">
        <f t="shared" si="44"/>
        <v>1459.272053</v>
      </c>
      <c r="O528" s="263">
        <f t="shared" si="44"/>
        <v>1459.272053</v>
      </c>
      <c r="P528" s="593">
        <f t="shared" si="3"/>
        <v>0.007954923984</v>
      </c>
    </row>
    <row r="529">
      <c r="A529" s="253" t="s">
        <v>1106</v>
      </c>
      <c r="B529" s="254" t="s">
        <v>1107</v>
      </c>
      <c r="C529" s="255" t="str">
        <f t="shared" ref="C529:C540" si="45">IF(OR(D529="SINAPI-S",D529="SINAPI-I"),"SINAPI","PRÓPRIO")</f>
        <v>PRÓPRIO</v>
      </c>
      <c r="D529" s="256" t="s">
        <v>110</v>
      </c>
      <c r="E529" s="257" t="str">
        <f>IFERROR(IF(D529="SINAPI-S",VLOOKUP(B529,'20-B.SINAPI-S'!A:J,2,0),IF(D529="SINAPI-I",VLOOKUP(B529,'20-A.SINAPI-I'!A:G,2,0),IF(D529="COMPOSIÇÕES",VLOOKUP(B529,'11.COMPOSIÇÕES GERAIS'!B:I,2,0),VLOOKUP(B529,'12.COT.MERCADO'!A:I,2,0)))),"Em Elaboração")</f>
        <v>Correia tipo V A-32. REF: WORKER, REXON OU SIMILAR</v>
      </c>
      <c r="F529" s="258" t="str">
        <f>IFERROR(IF(D529="SINAPI-S",VLOOKUP(B529,'20-B.SINAPI-S'!A:J,3,0),IF(D529="SINAPI-I",VLOOKUP(B529,'20-A.SINAPI-I'!A:G,3,0),IF(D529="COMPOSIÇÕES",VLOOKUP(B529,'11.COMPOSIÇÕES GERAIS'!B:I,3,0),VLOOKUP(B529,'12.COT.MERCADO'!A:I,7,0)))),"Em Elaboração")</f>
        <v>UN </v>
      </c>
      <c r="G529" s="254">
        <v>4.0</v>
      </c>
      <c r="H529" s="259">
        <f>IFERROR(IF(D529="SINAPI-S",VLOOKUP(B529,'20-B.SINAPI-S'!A:J,5,0),IF(D529="SINAPI-I",VLOOKUP(B529,'20-A.SINAPI-I'!A:G,6,0),IF(D529="COMPOSIÇÕES",VLOOKUP(B529,'11.COMPOSIÇÕES GERAIS'!B:I,7,0),0))),"Em Elaboração")</f>
        <v>0</v>
      </c>
      <c r="I529" s="259">
        <f>IFERROR(IF(D529="SINAPI-S",VLOOKUP(B529,'20-B.SINAPI-S'!A:J,6,0),IF(D529="SINAPI-I",VLOOKUP(B529,'20-A.SINAPI-I'!A:G,7,0),IF(D529="COMPOSIÇÕES",VLOOKUP(B529,'11.COMPOSIÇÕES GERAIS'!B:I,8,0),VLOOKUP(B529,'12.COT.MERCADO'!A:I,8,0)))),"Em Elaboração")</f>
        <v>9.18</v>
      </c>
      <c r="J529" s="259">
        <f t="shared" ref="J529:J540" si="46">H529*(1+$J$5)</f>
        <v>0</v>
      </c>
      <c r="K529" s="259">
        <f t="shared" ref="K529:K540" si="47">I529*(1+$J$8)</f>
        <v>10.75285149</v>
      </c>
      <c r="L529" s="259">
        <f t="shared" ref="L529:L540" si="48">SUM(J529:K529)</f>
        <v>10.75285149</v>
      </c>
      <c r="M529" s="259">
        <f t="shared" ref="M529:M540" si="49">J529*G529</f>
        <v>0</v>
      </c>
      <c r="N529" s="259">
        <f t="shared" ref="N529:N540" si="50">K529*G529</f>
        <v>43.01140597</v>
      </c>
      <c r="O529" s="259">
        <f t="shared" ref="O529:O540" si="51">SUM(M529:N529)</f>
        <v>43.01140597</v>
      </c>
      <c r="P529" s="586">
        <f t="shared" si="3"/>
        <v>0.0002344679076</v>
      </c>
    </row>
    <row r="530">
      <c r="A530" s="253" t="s">
        <v>1108</v>
      </c>
      <c r="B530" s="254" t="s">
        <v>1109</v>
      </c>
      <c r="C530" s="255" t="str">
        <f t="shared" si="45"/>
        <v>PRÓPRIO</v>
      </c>
      <c r="D530" s="256" t="s">
        <v>110</v>
      </c>
      <c r="E530" s="257" t="str">
        <f>IFERROR(IF(D530="SINAPI-S",VLOOKUP(B530,'20-B.SINAPI-S'!A:J,2,0),IF(D530="SINAPI-I",VLOOKUP(B530,'20-A.SINAPI-I'!A:G,2,0),IF(D530="COMPOSIÇÕES",VLOOKUP(B530,'11.COMPOSIÇÕES GERAIS'!B:I,2,0),VLOOKUP(B530,'12.COT.MERCADO'!A:I,2,0)))),"Em Elaboração")</f>
        <v>Correia tipo V B-41. REF.: POWER MAKE, REXON OU SIMILAR</v>
      </c>
      <c r="F530" s="258" t="str">
        <f>IFERROR(IF(D530="SINAPI-S",VLOOKUP(B530,'20-B.SINAPI-S'!A:J,3,0),IF(D530="SINAPI-I",VLOOKUP(B530,'20-A.SINAPI-I'!A:G,3,0),IF(D530="COMPOSIÇÕES",VLOOKUP(B530,'11.COMPOSIÇÕES GERAIS'!B:I,3,0),VLOOKUP(B530,'12.COT.MERCADO'!A:I,7,0)))),"Em Elaboração")</f>
        <v>UN </v>
      </c>
      <c r="G530" s="254">
        <v>2.0</v>
      </c>
      <c r="H530" s="259">
        <f>IFERROR(IF(D530="SINAPI-S",VLOOKUP(B530,'20-B.SINAPI-S'!A:J,5,0),IF(D530="SINAPI-I",VLOOKUP(B530,'20-A.SINAPI-I'!A:G,6,0),IF(D530="COMPOSIÇÕES",VLOOKUP(B530,'11.COMPOSIÇÕES GERAIS'!B:I,7,0),0))),"Em Elaboração")</f>
        <v>0</v>
      </c>
      <c r="I530" s="259">
        <f>IFERROR(IF(D530="SINAPI-S",VLOOKUP(B530,'20-B.SINAPI-S'!A:J,6,0),IF(D530="SINAPI-I",VLOOKUP(B530,'20-A.SINAPI-I'!A:G,7,0),IF(D530="COMPOSIÇÕES",VLOOKUP(B530,'11.COMPOSIÇÕES GERAIS'!B:I,8,0),VLOOKUP(B530,'12.COT.MERCADO'!A:I,8,0)))),"Em Elaboração")</f>
        <v>14.99</v>
      </c>
      <c r="J530" s="259">
        <f t="shared" si="46"/>
        <v>0</v>
      </c>
      <c r="K530" s="259">
        <f t="shared" si="47"/>
        <v>17.55830543</v>
      </c>
      <c r="L530" s="259">
        <f t="shared" si="48"/>
        <v>17.55830543</v>
      </c>
      <c r="M530" s="259">
        <f t="shared" si="49"/>
        <v>0</v>
      </c>
      <c r="N530" s="259">
        <f t="shared" si="50"/>
        <v>35.11661086</v>
      </c>
      <c r="O530" s="259">
        <f t="shared" si="51"/>
        <v>35.11661086</v>
      </c>
      <c r="P530" s="586">
        <f t="shared" si="3"/>
        <v>0.0001914310422</v>
      </c>
    </row>
    <row r="531">
      <c r="A531" s="253" t="s">
        <v>1110</v>
      </c>
      <c r="B531" s="254" t="s">
        <v>1111</v>
      </c>
      <c r="C531" s="255" t="str">
        <f t="shared" si="45"/>
        <v>PRÓPRIO</v>
      </c>
      <c r="D531" s="256" t="s">
        <v>110</v>
      </c>
      <c r="E531" s="257" t="str">
        <f>IFERROR(IF(D531="SINAPI-S",VLOOKUP(B531,'20-B.SINAPI-S'!A:J,2,0),IF(D531="SINAPI-I",VLOOKUP(B531,'20-A.SINAPI-I'!A:G,2,0),IF(D531="COMPOSIÇÕES",VLOOKUP(B531,'11.COMPOSIÇÕES GERAIS'!B:I,2,0),VLOOKUP(B531,'12.COT.MERCADO'!A:I,2,0)))),"Em Elaboração")</f>
        <v>Correia tipo V B-54. REF.: POWER SPAN OU SIMILAR</v>
      </c>
      <c r="F531" s="258" t="str">
        <f>IFERROR(IF(D531="SINAPI-S",VLOOKUP(B531,'20-B.SINAPI-S'!A:J,3,0),IF(D531="SINAPI-I",VLOOKUP(B531,'20-A.SINAPI-I'!A:G,3,0),IF(D531="COMPOSIÇÕES",VLOOKUP(B531,'11.COMPOSIÇÕES GERAIS'!B:I,3,0),VLOOKUP(B531,'12.COT.MERCADO'!A:I,7,0)))),"Em Elaboração")</f>
        <v>UN </v>
      </c>
      <c r="G531" s="254">
        <v>2.0</v>
      </c>
      <c r="H531" s="259">
        <f>IFERROR(IF(D531="SINAPI-S",VLOOKUP(B531,'20-B.SINAPI-S'!A:J,5,0),IF(D531="SINAPI-I",VLOOKUP(B531,'20-A.SINAPI-I'!A:G,6,0),IF(D531="COMPOSIÇÕES",VLOOKUP(B531,'11.COMPOSIÇÕES GERAIS'!B:I,7,0),0))),"Em Elaboração")</f>
        <v>0</v>
      </c>
      <c r="I531" s="259">
        <f>IFERROR(IF(D531="SINAPI-S",VLOOKUP(B531,'20-B.SINAPI-S'!A:J,6,0),IF(D531="SINAPI-I",VLOOKUP(B531,'20-A.SINAPI-I'!A:G,7,0),IF(D531="COMPOSIÇÕES",VLOOKUP(B531,'11.COMPOSIÇÕES GERAIS'!B:I,8,0),VLOOKUP(B531,'12.COT.MERCADO'!A:I,8,0)))),"Em Elaboração")</f>
        <v>24.96</v>
      </c>
      <c r="J531" s="259">
        <f t="shared" si="46"/>
        <v>0</v>
      </c>
      <c r="K531" s="259">
        <f t="shared" si="47"/>
        <v>29.23651124</v>
      </c>
      <c r="L531" s="259">
        <f t="shared" si="48"/>
        <v>29.23651124</v>
      </c>
      <c r="M531" s="259">
        <f t="shared" si="49"/>
        <v>0</v>
      </c>
      <c r="N531" s="259">
        <f t="shared" si="50"/>
        <v>58.47302249</v>
      </c>
      <c r="O531" s="259">
        <f t="shared" si="51"/>
        <v>58.47302249</v>
      </c>
      <c r="P531" s="586">
        <f t="shared" si="3"/>
        <v>0.0003187537568</v>
      </c>
    </row>
    <row r="532">
      <c r="A532" s="253" t="s">
        <v>1112</v>
      </c>
      <c r="B532" s="254" t="s">
        <v>1113</v>
      </c>
      <c r="C532" s="255" t="str">
        <f t="shared" si="45"/>
        <v>PRÓPRIO</v>
      </c>
      <c r="D532" s="256" t="s">
        <v>110</v>
      </c>
      <c r="E532" s="257" t="str">
        <f>IFERROR(IF(D532="SINAPI-S",VLOOKUP(B532,'20-B.SINAPI-S'!A:J,2,0),IF(D532="SINAPI-I",VLOOKUP(B532,'20-A.SINAPI-I'!A:G,2,0),IF(D532="COMPOSIÇÕES",VLOOKUP(B532,'11.COMPOSIÇÕES GERAIS'!B:I,2,0),VLOOKUP(B532,'12.COT.MERCADO'!A:I,2,0)))),"Em Elaboração")</f>
        <v>Correia tipo V B-53. REF.: POWER SPAN OU SIMILAR</v>
      </c>
      <c r="F532" s="258" t="str">
        <f>IFERROR(IF(D532="SINAPI-S",VLOOKUP(B532,'20-B.SINAPI-S'!A:J,3,0),IF(D532="SINAPI-I",VLOOKUP(B532,'20-A.SINAPI-I'!A:G,3,0),IF(D532="COMPOSIÇÕES",VLOOKUP(B532,'11.COMPOSIÇÕES GERAIS'!B:I,3,0),VLOOKUP(B532,'12.COT.MERCADO'!A:I,7,0)))),"Em Elaboração")</f>
        <v>UN </v>
      </c>
      <c r="G532" s="254">
        <v>2.0</v>
      </c>
      <c r="H532" s="259">
        <f>IFERROR(IF(D532="SINAPI-S",VLOOKUP(B532,'20-B.SINAPI-S'!A:J,5,0),IF(D532="SINAPI-I",VLOOKUP(B532,'20-A.SINAPI-I'!A:G,6,0),IF(D532="COMPOSIÇÕES",VLOOKUP(B532,'11.COMPOSIÇÕES GERAIS'!B:I,7,0),0))),"Em Elaboração")</f>
        <v>0</v>
      </c>
      <c r="I532" s="259">
        <f>IFERROR(IF(D532="SINAPI-S",VLOOKUP(B532,'20-B.SINAPI-S'!A:J,6,0),IF(D532="SINAPI-I",VLOOKUP(B532,'20-A.SINAPI-I'!A:G,7,0),IF(D532="COMPOSIÇÕES",VLOOKUP(B532,'11.COMPOSIÇÕES GERAIS'!B:I,8,0),VLOOKUP(B532,'12.COT.MERCADO'!A:I,8,0)))),"Em Elaboração")</f>
        <v>31.63</v>
      </c>
      <c r="J532" s="259">
        <f t="shared" si="46"/>
        <v>0</v>
      </c>
      <c r="K532" s="259">
        <f t="shared" si="47"/>
        <v>37.04931293</v>
      </c>
      <c r="L532" s="259">
        <f t="shared" si="48"/>
        <v>37.04931293</v>
      </c>
      <c r="M532" s="259">
        <f t="shared" si="49"/>
        <v>0</v>
      </c>
      <c r="N532" s="259">
        <f t="shared" si="50"/>
        <v>74.09862586</v>
      </c>
      <c r="O532" s="259">
        <f t="shared" si="51"/>
        <v>74.09862586</v>
      </c>
      <c r="P532" s="586">
        <f t="shared" si="3"/>
        <v>0.0004039335468</v>
      </c>
    </row>
    <row r="533">
      <c r="A533" s="253" t="s">
        <v>1114</v>
      </c>
      <c r="B533" s="254" t="s">
        <v>1115</v>
      </c>
      <c r="C533" s="255" t="str">
        <f t="shared" si="45"/>
        <v>PRÓPRIO</v>
      </c>
      <c r="D533" s="256" t="s">
        <v>110</v>
      </c>
      <c r="E533" s="257" t="str">
        <f>IFERROR(IF(D533="SINAPI-S",VLOOKUP(B533,'20-B.SINAPI-S'!A:J,2,0),IF(D533="SINAPI-I",VLOOKUP(B533,'20-A.SINAPI-I'!A:G,2,0),IF(D533="COMPOSIÇÕES",VLOOKUP(B533,'11.COMPOSIÇÕES GERAIS'!B:I,2,0),VLOOKUP(B533,'12.COT.MERCADO'!A:I,2,0)))),"Em Elaboração")</f>
        <v>Correia tipo V B-64. REF.: POWER SPAN OU SIMILAR</v>
      </c>
      <c r="F533" s="258" t="str">
        <f>IFERROR(IF(D533="SINAPI-S",VLOOKUP(B533,'20-B.SINAPI-S'!A:J,3,0),IF(D533="SINAPI-I",VLOOKUP(B533,'20-A.SINAPI-I'!A:G,3,0),IF(D533="COMPOSIÇÕES",VLOOKUP(B533,'11.COMPOSIÇÕES GERAIS'!B:I,3,0),VLOOKUP(B533,'12.COT.MERCADO'!A:I,7,0)))),"Em Elaboração")</f>
        <v>UN </v>
      </c>
      <c r="G533" s="254">
        <v>2.0</v>
      </c>
      <c r="H533" s="259">
        <f>IFERROR(IF(D533="SINAPI-S",VLOOKUP(B533,'20-B.SINAPI-S'!A:J,5,0),IF(D533="SINAPI-I",VLOOKUP(B533,'20-A.SINAPI-I'!A:G,6,0),IF(D533="COMPOSIÇÕES",VLOOKUP(B533,'11.COMPOSIÇÕES GERAIS'!B:I,7,0),0))),"Em Elaboração")</f>
        <v>0</v>
      </c>
      <c r="I533" s="259">
        <f>IFERROR(IF(D533="SINAPI-S",VLOOKUP(B533,'20-B.SINAPI-S'!A:J,6,0),IF(D533="SINAPI-I",VLOOKUP(B533,'20-A.SINAPI-I'!A:G,7,0),IF(D533="COMPOSIÇÕES",VLOOKUP(B533,'11.COMPOSIÇÕES GERAIS'!B:I,8,0),VLOOKUP(B533,'12.COT.MERCADO'!A:I,8,0)))),"Em Elaboração")</f>
        <v>28.9</v>
      </c>
      <c r="J533" s="259">
        <f t="shared" si="46"/>
        <v>0</v>
      </c>
      <c r="K533" s="259">
        <f t="shared" si="47"/>
        <v>33.85156951</v>
      </c>
      <c r="L533" s="259">
        <f t="shared" si="48"/>
        <v>33.85156951</v>
      </c>
      <c r="M533" s="259">
        <f t="shared" si="49"/>
        <v>0</v>
      </c>
      <c r="N533" s="259">
        <f t="shared" si="50"/>
        <v>67.70313902</v>
      </c>
      <c r="O533" s="259">
        <f t="shared" si="51"/>
        <v>67.70313902</v>
      </c>
      <c r="P533" s="586">
        <f t="shared" si="3"/>
        <v>0.0003690698546</v>
      </c>
    </row>
    <row r="534">
      <c r="A534" s="253" t="s">
        <v>1116</v>
      </c>
      <c r="B534" s="254" t="s">
        <v>1117</v>
      </c>
      <c r="C534" s="255" t="str">
        <f t="shared" si="45"/>
        <v>PRÓPRIO</v>
      </c>
      <c r="D534" s="256" t="s">
        <v>110</v>
      </c>
      <c r="E534" s="257" t="str">
        <f>IFERROR(IF(D534="SINAPI-S",VLOOKUP(B534,'20-B.SINAPI-S'!A:J,2,0),IF(D534="SINAPI-I",VLOOKUP(B534,'20-A.SINAPI-I'!A:G,2,0),IF(D534="COMPOSIÇÕES",VLOOKUP(B534,'11.COMPOSIÇÕES GERAIS'!B:I,2,0),VLOOKUP(B534,'12.COT.MERCADO'!A:I,2,0)))),"Em Elaboração")</f>
        <v>Correia tipo V B-52. REF.: POWER SPAN OU SIMILAR</v>
      </c>
      <c r="F534" s="258" t="str">
        <f>IFERROR(IF(D534="SINAPI-S",VLOOKUP(B534,'20-B.SINAPI-S'!A:J,3,0),IF(D534="SINAPI-I",VLOOKUP(B534,'20-A.SINAPI-I'!A:G,3,0),IF(D534="COMPOSIÇÕES",VLOOKUP(B534,'11.COMPOSIÇÕES GERAIS'!B:I,3,0),VLOOKUP(B534,'12.COT.MERCADO'!A:I,7,0)))),"Em Elaboração")</f>
        <v>UN </v>
      </c>
      <c r="G534" s="254">
        <v>2.0</v>
      </c>
      <c r="H534" s="259">
        <f>IFERROR(IF(D534="SINAPI-S",VLOOKUP(B534,'20-B.SINAPI-S'!A:J,5,0),IF(D534="SINAPI-I",VLOOKUP(B534,'20-A.SINAPI-I'!A:G,6,0),IF(D534="COMPOSIÇÕES",VLOOKUP(B534,'11.COMPOSIÇÕES GERAIS'!B:I,7,0),0))),"Em Elaboração")</f>
        <v>0</v>
      </c>
      <c r="I534" s="259">
        <f>IFERROR(IF(D534="SINAPI-S",VLOOKUP(B534,'20-B.SINAPI-S'!A:J,6,0),IF(D534="SINAPI-I",VLOOKUP(B534,'20-A.SINAPI-I'!A:G,7,0),IF(D534="COMPOSIÇÕES",VLOOKUP(B534,'11.COMPOSIÇÕES GERAIS'!B:I,8,0),VLOOKUP(B534,'12.COT.MERCADO'!A:I,8,0)))),"Em Elaboração")</f>
        <v>35.6</v>
      </c>
      <c r="J534" s="259">
        <f t="shared" si="46"/>
        <v>0</v>
      </c>
      <c r="K534" s="259">
        <f t="shared" si="47"/>
        <v>41.69951123</v>
      </c>
      <c r="L534" s="259">
        <f t="shared" si="48"/>
        <v>41.69951123</v>
      </c>
      <c r="M534" s="259">
        <f t="shared" si="49"/>
        <v>0</v>
      </c>
      <c r="N534" s="259">
        <f t="shared" si="50"/>
        <v>83.39902246</v>
      </c>
      <c r="O534" s="259">
        <f t="shared" si="51"/>
        <v>83.39902246</v>
      </c>
      <c r="P534" s="586">
        <f t="shared" si="3"/>
        <v>0.0004546327621</v>
      </c>
    </row>
    <row r="535">
      <c r="A535" s="253" t="s">
        <v>1118</v>
      </c>
      <c r="B535" s="254" t="s">
        <v>1119</v>
      </c>
      <c r="C535" s="255" t="str">
        <f t="shared" si="45"/>
        <v>PRÓPRIO</v>
      </c>
      <c r="D535" s="256" t="s">
        <v>110</v>
      </c>
      <c r="E535" s="257" t="str">
        <f>IFERROR(IF(D535="SINAPI-S",VLOOKUP(B535,'20-B.SINAPI-S'!A:J,2,0),IF(D535="SINAPI-I",VLOOKUP(B535,'20-A.SINAPI-I'!A:G,2,0),IF(D535="COMPOSIÇÕES",VLOOKUP(B535,'11.COMPOSIÇÕES GERAIS'!B:I,2,0),VLOOKUP(B535,'12.COT.MERCADO'!A:I,2,0)))),"Em Elaboração")</f>
        <v>Correia tipo V B-49. REF.: POWER SPAN OU SIMILAR</v>
      </c>
      <c r="F535" s="258" t="str">
        <f>IFERROR(IF(D535="SINAPI-S",VLOOKUP(B535,'20-B.SINAPI-S'!A:J,3,0),IF(D535="SINAPI-I",VLOOKUP(B535,'20-A.SINAPI-I'!A:G,3,0),IF(D535="COMPOSIÇÕES",VLOOKUP(B535,'11.COMPOSIÇÕES GERAIS'!B:I,3,0),VLOOKUP(B535,'12.COT.MERCADO'!A:I,7,0)))),"Em Elaboração")</f>
        <v>UN </v>
      </c>
      <c r="G535" s="254">
        <v>1.0</v>
      </c>
      <c r="H535" s="259">
        <f>IFERROR(IF(D535="SINAPI-S",VLOOKUP(B535,'20-B.SINAPI-S'!A:J,5,0),IF(D535="SINAPI-I",VLOOKUP(B535,'20-A.SINAPI-I'!A:G,6,0),IF(D535="COMPOSIÇÕES",VLOOKUP(B535,'11.COMPOSIÇÕES GERAIS'!B:I,7,0),0))),"Em Elaboração")</f>
        <v>0</v>
      </c>
      <c r="I535" s="259">
        <f>IFERROR(IF(D535="SINAPI-S",VLOOKUP(B535,'20-B.SINAPI-S'!A:J,6,0),IF(D535="SINAPI-I",VLOOKUP(B535,'20-A.SINAPI-I'!A:G,7,0),IF(D535="COMPOSIÇÕES",VLOOKUP(B535,'11.COMPOSIÇÕES GERAIS'!B:I,8,0),VLOOKUP(B535,'12.COT.MERCADO'!A:I,8,0)))),"Em Elaboração")</f>
        <v>31.6</v>
      </c>
      <c r="J535" s="259">
        <f t="shared" si="46"/>
        <v>0</v>
      </c>
      <c r="K535" s="259">
        <f t="shared" si="47"/>
        <v>37.01417289</v>
      </c>
      <c r="L535" s="259">
        <f t="shared" si="48"/>
        <v>37.01417289</v>
      </c>
      <c r="M535" s="259">
        <f t="shared" si="49"/>
        <v>0</v>
      </c>
      <c r="N535" s="259">
        <f t="shared" si="50"/>
        <v>37.01417289</v>
      </c>
      <c r="O535" s="259">
        <f t="shared" si="51"/>
        <v>37.01417289</v>
      </c>
      <c r="P535" s="586">
        <f t="shared" si="3"/>
        <v>0.0002017752146</v>
      </c>
    </row>
    <row r="536">
      <c r="A536" s="253" t="s">
        <v>1120</v>
      </c>
      <c r="B536" s="254" t="s">
        <v>1121</v>
      </c>
      <c r="C536" s="255" t="str">
        <f t="shared" si="45"/>
        <v>PRÓPRIO</v>
      </c>
      <c r="D536" s="256" t="s">
        <v>110</v>
      </c>
      <c r="E536" s="257" t="str">
        <f>IFERROR(IF(D536="SINAPI-S",VLOOKUP(B536,'20-B.SINAPI-S'!A:J,2,0),IF(D536="SINAPI-I",VLOOKUP(B536,'20-A.SINAPI-I'!A:G,2,0),IF(D536="COMPOSIÇÕES",VLOOKUP(B536,'11.COMPOSIÇÕES GERAIS'!B:I,2,0),VLOOKUP(B536,'12.COT.MERCADO'!A:I,2,0)))),"Em Elaboração")</f>
        <v>Correia tipo V B-42. REF.: POWER SPAN OU SIMILAR</v>
      </c>
      <c r="F536" s="258" t="str">
        <f>IFERROR(IF(D536="SINAPI-S",VLOOKUP(B536,'20-B.SINAPI-S'!A:J,3,0),IF(D536="SINAPI-I",VLOOKUP(B536,'20-A.SINAPI-I'!A:G,3,0),IF(D536="COMPOSIÇÕES",VLOOKUP(B536,'11.COMPOSIÇÕES GERAIS'!B:I,3,0),VLOOKUP(B536,'12.COT.MERCADO'!A:I,7,0)))),"Em Elaboração")</f>
        <v>UN </v>
      </c>
      <c r="G536" s="254">
        <v>2.0</v>
      </c>
      <c r="H536" s="259">
        <f>IFERROR(IF(D536="SINAPI-S",VLOOKUP(B536,'20-B.SINAPI-S'!A:J,5,0),IF(D536="SINAPI-I",VLOOKUP(B536,'20-A.SINAPI-I'!A:G,6,0),IF(D536="COMPOSIÇÕES",VLOOKUP(B536,'11.COMPOSIÇÕES GERAIS'!B:I,7,0),0))),"Em Elaboração")</f>
        <v>0</v>
      </c>
      <c r="I536" s="259">
        <f>IFERROR(IF(D536="SINAPI-S",VLOOKUP(B536,'20-B.SINAPI-S'!A:J,6,0),IF(D536="SINAPI-I",VLOOKUP(B536,'20-A.SINAPI-I'!A:G,7,0),IF(D536="COMPOSIÇÕES",VLOOKUP(B536,'11.COMPOSIÇÕES GERAIS'!B:I,8,0),VLOOKUP(B536,'12.COT.MERCADO'!A:I,8,0)))),"Em Elaboração")</f>
        <v>27.12</v>
      </c>
      <c r="J536" s="259">
        <f t="shared" si="46"/>
        <v>0</v>
      </c>
      <c r="K536" s="259">
        <f t="shared" si="47"/>
        <v>31.76659395</v>
      </c>
      <c r="L536" s="259">
        <f t="shared" si="48"/>
        <v>31.76659395</v>
      </c>
      <c r="M536" s="259">
        <f t="shared" si="49"/>
        <v>0</v>
      </c>
      <c r="N536" s="259">
        <f t="shared" si="50"/>
        <v>63.5331879</v>
      </c>
      <c r="O536" s="259">
        <f t="shared" si="51"/>
        <v>63.5331879</v>
      </c>
      <c r="P536" s="586">
        <f t="shared" si="3"/>
        <v>0.0003463382165</v>
      </c>
    </row>
    <row r="537">
      <c r="A537" s="253" t="s">
        <v>1122</v>
      </c>
      <c r="B537" s="254" t="s">
        <v>1123</v>
      </c>
      <c r="C537" s="255" t="str">
        <f t="shared" si="45"/>
        <v>PRÓPRIO</v>
      </c>
      <c r="D537" s="256" t="s">
        <v>110</v>
      </c>
      <c r="E537" s="257" t="str">
        <f>IFERROR(IF(D537="SINAPI-S",VLOOKUP(B537,'20-B.SINAPI-S'!A:J,2,0),IF(D537="SINAPI-I",VLOOKUP(B537,'20-A.SINAPI-I'!A:G,2,0),IF(D537="COMPOSIÇÕES",VLOOKUP(B537,'11.COMPOSIÇÕES GERAIS'!B:I,2,0),VLOOKUP(B537,'12.COT.MERCADO'!A:I,2,0)))),"Em Elaboração")</f>
        <v>Correia tipo V A-55. REF.: POWER SPAN OU SIMILAR</v>
      </c>
      <c r="F537" s="258" t="str">
        <f>IFERROR(IF(D537="SINAPI-S",VLOOKUP(B537,'20-B.SINAPI-S'!A:J,3,0),IF(D537="SINAPI-I",VLOOKUP(B537,'20-A.SINAPI-I'!A:G,3,0),IF(D537="COMPOSIÇÕES",VLOOKUP(B537,'11.COMPOSIÇÕES GERAIS'!B:I,3,0),VLOOKUP(B537,'12.COT.MERCADO'!A:I,7,0)))),"Em Elaboração")</f>
        <v>UN </v>
      </c>
      <c r="G537" s="254">
        <v>2.0</v>
      </c>
      <c r="H537" s="259">
        <f>IFERROR(IF(D537="SINAPI-S",VLOOKUP(B537,'20-B.SINAPI-S'!A:J,5,0),IF(D537="SINAPI-I",VLOOKUP(B537,'20-A.SINAPI-I'!A:G,6,0),IF(D537="COMPOSIÇÕES",VLOOKUP(B537,'11.COMPOSIÇÕES GERAIS'!B:I,7,0),0))),"Em Elaboração")</f>
        <v>0</v>
      </c>
      <c r="I537" s="259">
        <f>IFERROR(IF(D537="SINAPI-S",VLOOKUP(B537,'20-B.SINAPI-S'!A:J,6,0),IF(D537="SINAPI-I",VLOOKUP(B537,'20-A.SINAPI-I'!A:G,7,0),IF(D537="COMPOSIÇÕES",VLOOKUP(B537,'11.COMPOSIÇÕES GERAIS'!B:I,8,0),VLOOKUP(B537,'12.COT.MERCADO'!A:I,8,0)))),"Em Elaboração")</f>
        <v>26.25</v>
      </c>
      <c r="J537" s="259">
        <f t="shared" si="46"/>
        <v>0</v>
      </c>
      <c r="K537" s="259">
        <f t="shared" si="47"/>
        <v>30.74753286</v>
      </c>
      <c r="L537" s="259">
        <f t="shared" si="48"/>
        <v>30.74753286</v>
      </c>
      <c r="M537" s="259">
        <f t="shared" si="49"/>
        <v>0</v>
      </c>
      <c r="N537" s="259">
        <f t="shared" si="50"/>
        <v>61.49506572</v>
      </c>
      <c r="O537" s="259">
        <f t="shared" si="51"/>
        <v>61.49506572</v>
      </c>
      <c r="P537" s="586">
        <f t="shared" si="3"/>
        <v>0.0003352278091</v>
      </c>
    </row>
    <row r="538">
      <c r="A538" s="253" t="s">
        <v>1124</v>
      </c>
      <c r="B538" s="254" t="s">
        <v>1125</v>
      </c>
      <c r="C538" s="255" t="str">
        <f t="shared" si="45"/>
        <v>PRÓPRIO</v>
      </c>
      <c r="D538" s="256" t="s">
        <v>110</v>
      </c>
      <c r="E538" s="257" t="str">
        <f>IFERROR(IF(D538="SINAPI-S",VLOOKUP(B538,'20-B.SINAPI-S'!A:J,2,0),IF(D538="SINAPI-I",VLOOKUP(B538,'20-A.SINAPI-I'!A:G,2,0),IF(D538="COMPOSIÇÕES",VLOOKUP(B538,'11.COMPOSIÇÕES GERAIS'!B:I,2,0),VLOOKUP(B538,'12.COT.MERCADO'!A:I,2,0)))),"Em Elaboração")</f>
        <v>Correia C 128 multi v 3T. REF: VONDER OU SIMILAR</v>
      </c>
      <c r="F538" s="258" t="str">
        <f>IFERROR(IF(D538="SINAPI-S",VLOOKUP(B538,'20-B.SINAPI-S'!A:J,3,0),IF(D538="SINAPI-I",VLOOKUP(B538,'20-A.SINAPI-I'!A:G,3,0),IF(D538="COMPOSIÇÕES",VLOOKUP(B538,'11.COMPOSIÇÕES GERAIS'!B:I,3,0),VLOOKUP(B538,'12.COT.MERCADO'!A:I,7,0)))),"Em Elaboração")</f>
        <v>UN </v>
      </c>
      <c r="G538" s="254">
        <v>2.0</v>
      </c>
      <c r="H538" s="259">
        <f>IFERROR(IF(D538="SINAPI-S",VLOOKUP(B538,'20-B.SINAPI-S'!A:J,5,0),IF(D538="SINAPI-I",VLOOKUP(B538,'20-A.SINAPI-I'!A:G,6,0),IF(D538="COMPOSIÇÕES",VLOOKUP(B538,'11.COMPOSIÇÕES GERAIS'!B:I,7,0),0))),"Em Elaboração")</f>
        <v>0</v>
      </c>
      <c r="I538" s="259">
        <f>IFERROR(IF(D538="SINAPI-S",VLOOKUP(B538,'20-B.SINAPI-S'!A:J,6,0),IF(D538="SINAPI-I",VLOOKUP(B538,'20-A.SINAPI-I'!A:G,7,0),IF(D538="COMPOSIÇÕES",VLOOKUP(B538,'11.COMPOSIÇÕES GERAIS'!B:I,8,0),VLOOKUP(B538,'12.COT.MERCADO'!A:I,8,0)))),"Em Elaboração")</f>
        <v>89.05</v>
      </c>
      <c r="J538" s="259">
        <f t="shared" si="46"/>
        <v>0</v>
      </c>
      <c r="K538" s="259">
        <f t="shared" si="47"/>
        <v>104.3073448</v>
      </c>
      <c r="L538" s="259">
        <f t="shared" si="48"/>
        <v>104.3073448</v>
      </c>
      <c r="M538" s="259">
        <f t="shared" si="49"/>
        <v>0</v>
      </c>
      <c r="N538" s="259">
        <f t="shared" si="50"/>
        <v>208.6146896</v>
      </c>
      <c r="O538" s="259">
        <f t="shared" si="51"/>
        <v>208.6146896</v>
      </c>
      <c r="P538" s="586">
        <f t="shared" si="3"/>
        <v>0.001137220434</v>
      </c>
    </row>
    <row r="539">
      <c r="A539" s="253" t="s">
        <v>1126</v>
      </c>
      <c r="B539" s="254" t="s">
        <v>1127</v>
      </c>
      <c r="C539" s="255" t="str">
        <f t="shared" si="45"/>
        <v>PRÓPRIO</v>
      </c>
      <c r="D539" s="256" t="s">
        <v>110</v>
      </c>
      <c r="E539" s="257" t="str">
        <f>IFERROR(IF(D539="SINAPI-S",VLOOKUP(B539,'20-B.SINAPI-S'!A:J,2,0),IF(D539="SINAPI-I",VLOOKUP(B539,'20-A.SINAPI-I'!A:G,2,0),IF(D539="COMPOSIÇÕES",VLOOKUP(B539,'11.COMPOSIÇÕES GERAIS'!B:I,2,0),VLOOKUP(B539,'12.COT.MERCADO'!A:I,2,0)))),"Em Elaboração")</f>
        <v>Correia C 112 multi v 3T. REF: VONDER OU SIMILAR</v>
      </c>
      <c r="F539" s="258" t="str">
        <f>IFERROR(IF(D539="SINAPI-S",VLOOKUP(B539,'20-B.SINAPI-S'!A:J,3,0),IF(D539="SINAPI-I",VLOOKUP(B539,'20-A.SINAPI-I'!A:G,3,0),IF(D539="COMPOSIÇÕES",VLOOKUP(B539,'11.COMPOSIÇÕES GERAIS'!B:I,3,0),VLOOKUP(B539,'12.COT.MERCADO'!A:I,7,0)))),"Em Elaboração")</f>
        <v>UN </v>
      </c>
      <c r="G539" s="254">
        <v>2.0</v>
      </c>
      <c r="H539" s="259">
        <f>IFERROR(IF(D539="SINAPI-S",VLOOKUP(B539,'20-B.SINAPI-S'!A:J,5,0),IF(D539="SINAPI-I",VLOOKUP(B539,'20-A.SINAPI-I'!A:G,6,0),IF(D539="COMPOSIÇÕES",VLOOKUP(B539,'11.COMPOSIÇÕES GERAIS'!B:I,7,0),0))),"Em Elaboração")</f>
        <v>0</v>
      </c>
      <c r="I539" s="259">
        <f>IFERROR(IF(D539="SINAPI-S",VLOOKUP(B539,'20-B.SINAPI-S'!A:J,6,0),IF(D539="SINAPI-I",VLOOKUP(B539,'20-A.SINAPI-I'!A:G,7,0),IF(D539="COMPOSIÇÕES",VLOOKUP(B539,'11.COMPOSIÇÕES GERAIS'!B:I,8,0),VLOOKUP(B539,'12.COT.MERCADO'!A:I,8,0)))),"Em Elaboração")</f>
        <v>99.25</v>
      </c>
      <c r="J539" s="259">
        <f t="shared" si="46"/>
        <v>0</v>
      </c>
      <c r="K539" s="259">
        <f t="shared" si="47"/>
        <v>116.2549576</v>
      </c>
      <c r="L539" s="259">
        <f t="shared" si="48"/>
        <v>116.2549576</v>
      </c>
      <c r="M539" s="259">
        <f t="shared" si="49"/>
        <v>0</v>
      </c>
      <c r="N539" s="259">
        <f t="shared" si="50"/>
        <v>232.5099151</v>
      </c>
      <c r="O539" s="259">
        <f t="shared" si="51"/>
        <v>232.5099151</v>
      </c>
      <c r="P539" s="586">
        <f t="shared" si="3"/>
        <v>0.001267480383</v>
      </c>
    </row>
    <row r="540">
      <c r="A540" s="253" t="s">
        <v>1128</v>
      </c>
      <c r="B540" s="254" t="s">
        <v>1129</v>
      </c>
      <c r="C540" s="255" t="str">
        <f t="shared" si="45"/>
        <v>PRÓPRIO</v>
      </c>
      <c r="D540" s="256" t="s">
        <v>110</v>
      </c>
      <c r="E540" s="257" t="str">
        <f>IFERROR(IF(D540="SINAPI-S",VLOOKUP(B540,'20-B.SINAPI-S'!A:J,2,0),IF(D540="SINAPI-I",VLOOKUP(B540,'20-A.SINAPI-I'!A:G,2,0),IF(D540="COMPOSIÇÕES",VLOOKUP(B540,'11.COMPOSIÇÕES GERAIS'!B:I,2,0),VLOOKUP(B540,'12.COT.MERCADO'!A:I,2,0)))),"Em Elaboração")</f>
        <v>Correia C 225 multi v 3T. REF: POWER SPAN, VONDER OU SIMILAR</v>
      </c>
      <c r="F540" s="258" t="str">
        <f>IFERROR(IF(D540="SINAPI-S",VLOOKUP(B540,'20-B.SINAPI-S'!A:J,3,0),IF(D540="SINAPI-I",VLOOKUP(B540,'20-A.SINAPI-I'!A:G,3,0),IF(D540="COMPOSIÇÕES",VLOOKUP(B540,'11.COMPOSIÇÕES GERAIS'!B:I,3,0),VLOOKUP(B540,'12.COT.MERCADO'!A:I,7,0)))),"Em Elaboração")</f>
        <v>UN </v>
      </c>
      <c r="G540" s="254">
        <v>2.0</v>
      </c>
      <c r="H540" s="259">
        <f>IFERROR(IF(D540="SINAPI-S",VLOOKUP(B540,'20-B.SINAPI-S'!A:J,5,0),IF(D540="SINAPI-I",VLOOKUP(B540,'20-A.SINAPI-I'!A:G,6,0),IF(D540="COMPOSIÇÕES",VLOOKUP(B540,'11.COMPOSIÇÕES GERAIS'!B:I,7,0),0))),"Em Elaboração")</f>
        <v>0</v>
      </c>
      <c r="I540" s="259">
        <f>IFERROR(IF(D540="SINAPI-S",VLOOKUP(B540,'20-B.SINAPI-S'!A:J,6,0),IF(D540="SINAPI-I",VLOOKUP(B540,'20-A.SINAPI-I'!A:G,7,0),IF(D540="COMPOSIÇÕES",VLOOKUP(B540,'11.COMPOSIÇÕES GERAIS'!B:I,8,0),VLOOKUP(B540,'12.COT.MERCADO'!A:I,8,0)))),"Em Elaboração")</f>
        <v>211</v>
      </c>
      <c r="J540" s="259">
        <f t="shared" si="46"/>
        <v>0</v>
      </c>
      <c r="K540" s="259">
        <f t="shared" si="47"/>
        <v>247.1515975</v>
      </c>
      <c r="L540" s="259">
        <f t="shared" si="48"/>
        <v>247.1515975</v>
      </c>
      <c r="M540" s="259">
        <f t="shared" si="49"/>
        <v>0</v>
      </c>
      <c r="N540" s="259">
        <f t="shared" si="50"/>
        <v>494.3031949</v>
      </c>
      <c r="O540" s="259">
        <f t="shared" si="51"/>
        <v>494.3031949</v>
      </c>
      <c r="P540" s="586">
        <f t="shared" si="3"/>
        <v>0.002694593056</v>
      </c>
    </row>
    <row r="541">
      <c r="A541" s="261" t="s">
        <v>1130</v>
      </c>
      <c r="B541" s="262" t="s">
        <v>1131</v>
      </c>
      <c r="C541" s="44"/>
      <c r="D541" s="44"/>
      <c r="E541" s="44"/>
      <c r="F541" s="44"/>
      <c r="G541" s="44"/>
      <c r="H541" s="44"/>
      <c r="I541" s="44"/>
      <c r="J541" s="44"/>
      <c r="K541" s="44"/>
      <c r="L541" s="44"/>
      <c r="M541" s="263">
        <f t="shared" ref="M541:O541" si="52">SUM(M542:M544)</f>
        <v>0</v>
      </c>
      <c r="N541" s="263">
        <f t="shared" si="52"/>
        <v>2592.514837</v>
      </c>
      <c r="O541" s="263">
        <f t="shared" si="52"/>
        <v>2592.514837</v>
      </c>
      <c r="P541" s="593">
        <f t="shared" si="3"/>
        <v>0.0141325659</v>
      </c>
    </row>
    <row r="542">
      <c r="A542" s="253" t="s">
        <v>1132</v>
      </c>
      <c r="B542" s="254" t="s">
        <v>1133</v>
      </c>
      <c r="C542" s="255" t="str">
        <f t="shared" ref="C542:C544" si="53">IF(OR(D542="SINAPI-S",D542="SINAPI-I"),"SINAPI","PRÓPRIO")</f>
        <v>PRÓPRIO</v>
      </c>
      <c r="D542" s="256" t="s">
        <v>110</v>
      </c>
      <c r="E542" s="257" t="str">
        <f>IFERROR(IF(D542="SINAPI-S",VLOOKUP(B542,'20-B.SINAPI-S'!A:J,2,0),IF(D542="SINAPI-I",VLOOKUP(B542,'20-A.SINAPI-I'!A:G,2,0),IF(D542="COMPOSIÇÕES",VLOOKUP(B542,'11.COMPOSIÇÕES GERAIS'!B:I,2,0),VLOOKUP(B542,'12.COT.MERCADO'!A:I,2,0)))),"Em Elaboração")</f>
        <v>Gás refrigerante R22</v>
      </c>
      <c r="F542" s="258" t="str">
        <f>IFERROR(IF(D542="SINAPI-S",VLOOKUP(B542,'20-B.SINAPI-S'!A:J,3,0),IF(D542="SINAPI-I",VLOOKUP(B542,'20-A.SINAPI-I'!A:G,3,0),IF(D542="COMPOSIÇÕES",VLOOKUP(B542,'11.COMPOSIÇÕES GERAIS'!B:I,3,0),VLOOKUP(B542,'12.COT.MERCADO'!A:I,7,0)))),"Em Elaboração")</f>
        <v>KG</v>
      </c>
      <c r="G542" s="254">
        <v>10.0</v>
      </c>
      <c r="H542" s="259">
        <f>IFERROR(IF(D542="SINAPI-S",VLOOKUP(B542,'20-B.SINAPI-S'!A:J,5,0),IF(D542="SINAPI-I",VLOOKUP(B542,'20-A.SINAPI-I'!A:G,6,0),IF(D542="COMPOSIÇÕES",VLOOKUP(B542,'11.COMPOSIÇÕES GERAIS'!B:I,7,0),0))),"Em Elaboração")</f>
        <v>0</v>
      </c>
      <c r="I542" s="259">
        <f>IFERROR(IF(D542="SINAPI-S",VLOOKUP(B542,'20-B.SINAPI-S'!A:J,6,0),IF(D542="SINAPI-I",VLOOKUP(B542,'20-A.SINAPI-I'!A:G,7,0),IF(D542="COMPOSIÇÕES",VLOOKUP(B542,'11.COMPOSIÇÕES GERAIS'!B:I,8,0),VLOOKUP(B542,'12.COT.MERCADO'!A:I,8,0)))),"Em Elaboração")</f>
        <v>85.83</v>
      </c>
      <c r="J542" s="259">
        <f t="shared" ref="J542:J544" si="54">H542*(1+$J$5)</f>
        <v>0</v>
      </c>
      <c r="K542" s="259">
        <f t="shared" ref="K542:K544" si="55">I542*(1+$J$8)</f>
        <v>100.5356474</v>
      </c>
      <c r="L542" s="259">
        <f t="shared" ref="L542:L544" si="56">SUM(J542:K542)</f>
        <v>100.5356474</v>
      </c>
      <c r="M542" s="259">
        <f t="shared" ref="M542:M544" si="57">J542*G542</f>
        <v>0</v>
      </c>
      <c r="N542" s="259">
        <f t="shared" ref="N542:N544" si="58">K542*G542</f>
        <v>1005.356474</v>
      </c>
      <c r="O542" s="259">
        <f t="shared" ref="O542:O544" si="59">SUM(M542:N542)</f>
        <v>1005.356474</v>
      </c>
      <c r="P542" s="586">
        <f t="shared" si="3"/>
        <v>0.005480495782</v>
      </c>
    </row>
    <row r="543">
      <c r="A543" s="253" t="s">
        <v>1134</v>
      </c>
      <c r="B543" s="254" t="s">
        <v>1135</v>
      </c>
      <c r="C543" s="255" t="str">
        <f t="shared" si="53"/>
        <v>PRÓPRIO</v>
      </c>
      <c r="D543" s="256" t="s">
        <v>110</v>
      </c>
      <c r="E543" s="257" t="str">
        <f>IFERROR(IF(D543="SINAPI-S",VLOOKUP(B543,'20-B.SINAPI-S'!A:J,2,0),IF(D543="SINAPI-I",VLOOKUP(B543,'20-A.SINAPI-I'!A:G,2,0),IF(D543="COMPOSIÇÕES",VLOOKUP(B543,'11.COMPOSIÇÕES GERAIS'!B:I,2,0),VLOOKUP(B543,'12.COT.MERCADO'!A:I,2,0)))),"Em Elaboração")</f>
        <v>Gás R410 A - 750g</v>
      </c>
      <c r="F543" s="258" t="str">
        <f>IFERROR(IF(D543="SINAPI-S",VLOOKUP(B543,'20-B.SINAPI-S'!A:J,3,0),IF(D543="SINAPI-I",VLOOKUP(B543,'20-A.SINAPI-I'!A:G,3,0),IF(D543="COMPOSIÇÕES",VLOOKUP(B543,'11.COMPOSIÇÕES GERAIS'!B:I,3,0),VLOOKUP(B543,'12.COT.MERCADO'!A:I,7,0)))),"Em Elaboração")</f>
        <v>UN </v>
      </c>
      <c r="G543" s="254">
        <v>10.0</v>
      </c>
      <c r="H543" s="259">
        <f>IFERROR(IF(D543="SINAPI-S",VLOOKUP(B543,'20-B.SINAPI-S'!A:J,5,0),IF(D543="SINAPI-I",VLOOKUP(B543,'20-A.SINAPI-I'!A:G,6,0),IF(D543="COMPOSIÇÕES",VLOOKUP(B543,'11.COMPOSIÇÕES GERAIS'!B:I,7,0),0))),"Em Elaboração")</f>
        <v>0</v>
      </c>
      <c r="I543" s="259">
        <f>IFERROR(IF(D543="SINAPI-S",VLOOKUP(B543,'20-B.SINAPI-S'!A:J,6,0),IF(D543="SINAPI-I",VLOOKUP(B543,'20-A.SINAPI-I'!A:G,7,0),IF(D543="COMPOSIÇÕES",VLOOKUP(B543,'11.COMPOSIÇÕES GERAIS'!B:I,8,0),VLOOKUP(B543,'12.COT.MERCADO'!A:I,8,0)))),"Em Elaboração")</f>
        <v>89</v>
      </c>
      <c r="J543" s="259">
        <f t="shared" si="54"/>
        <v>0</v>
      </c>
      <c r="K543" s="259">
        <f t="shared" si="55"/>
        <v>104.2487781</v>
      </c>
      <c r="L543" s="259">
        <f t="shared" si="56"/>
        <v>104.2487781</v>
      </c>
      <c r="M543" s="259">
        <f t="shared" si="57"/>
        <v>0</v>
      </c>
      <c r="N543" s="259">
        <f t="shared" si="58"/>
        <v>1042.487781</v>
      </c>
      <c r="O543" s="259">
        <f t="shared" si="59"/>
        <v>1042.487781</v>
      </c>
      <c r="P543" s="586">
        <f t="shared" si="3"/>
        <v>0.005682909526</v>
      </c>
    </row>
    <row r="544">
      <c r="A544" s="253" t="s">
        <v>1136</v>
      </c>
      <c r="B544" s="254" t="s">
        <v>1137</v>
      </c>
      <c r="C544" s="255" t="str">
        <f t="shared" si="53"/>
        <v>PRÓPRIO</v>
      </c>
      <c r="D544" s="256" t="s">
        <v>110</v>
      </c>
      <c r="E544" s="257" t="str">
        <f>IFERROR(IF(D544="SINAPI-S",VLOOKUP(B544,'20-B.SINAPI-S'!A:J,2,0),IF(D544="SINAPI-I",VLOOKUP(B544,'20-A.SINAPI-I'!A:G,2,0),IF(D544="COMPOSIÇÕES",VLOOKUP(B544,'11.COMPOSIÇÕES GERAIS'!B:I,2,0),VLOOKUP(B544,'12.COT.MERCADO'!A:I,2,0)))),"Em Elaboração")</f>
        <v>Gás R134a - 13,6 Kg</v>
      </c>
      <c r="F544" s="258" t="str">
        <f>IFERROR(IF(D544="SINAPI-S",VLOOKUP(B544,'20-B.SINAPI-S'!A:J,3,0),IF(D544="SINAPI-I",VLOOKUP(B544,'20-A.SINAPI-I'!A:G,3,0),IF(D544="COMPOSIÇÕES",VLOOKUP(B544,'11.COMPOSIÇÕES GERAIS'!B:I,3,0),VLOOKUP(B544,'12.COT.MERCADO'!A:I,7,0)))),"Em Elaboração")</f>
        <v>UN </v>
      </c>
      <c r="G544" s="254">
        <v>1.0</v>
      </c>
      <c r="H544" s="259">
        <f>IFERROR(IF(D544="SINAPI-S",VLOOKUP(B544,'20-B.SINAPI-S'!A:J,5,0),IF(D544="SINAPI-I",VLOOKUP(B544,'20-A.SINAPI-I'!A:G,6,0),IF(D544="COMPOSIÇÕES",VLOOKUP(B544,'11.COMPOSIÇÕES GERAIS'!B:I,7,0),0))),"Em Elaboração")</f>
        <v>0</v>
      </c>
      <c r="I544" s="259">
        <f>IFERROR(IF(D544="SINAPI-S",VLOOKUP(B544,'20-B.SINAPI-S'!A:J,6,0),IF(D544="SINAPI-I",VLOOKUP(B544,'20-A.SINAPI-I'!A:G,7,0),IF(D544="COMPOSIÇÕES",VLOOKUP(B544,'11.COMPOSIÇÕES GERAIS'!B:I,8,0),VLOOKUP(B544,'12.COT.MERCADO'!A:I,8,0)))),"Em Elaboração")</f>
        <v>465</v>
      </c>
      <c r="J544" s="259">
        <f t="shared" si="54"/>
        <v>0</v>
      </c>
      <c r="K544" s="259">
        <f t="shared" si="55"/>
        <v>544.6705821</v>
      </c>
      <c r="L544" s="259">
        <f t="shared" si="56"/>
        <v>544.6705821</v>
      </c>
      <c r="M544" s="259">
        <f t="shared" si="57"/>
        <v>0</v>
      </c>
      <c r="N544" s="259">
        <f t="shared" si="58"/>
        <v>544.6705821</v>
      </c>
      <c r="O544" s="259">
        <f t="shared" si="59"/>
        <v>544.6705821</v>
      </c>
      <c r="P544" s="586">
        <f t="shared" si="3"/>
        <v>0.002969160595</v>
      </c>
    </row>
    <row r="545">
      <c r="A545" s="261" t="s">
        <v>1138</v>
      </c>
      <c r="B545" s="262" t="s">
        <v>1139</v>
      </c>
      <c r="C545" s="44"/>
      <c r="D545" s="44"/>
      <c r="E545" s="44"/>
      <c r="F545" s="44"/>
      <c r="G545" s="44"/>
      <c r="H545" s="44"/>
      <c r="I545" s="44"/>
      <c r="J545" s="44"/>
      <c r="K545" s="44"/>
      <c r="L545" s="44"/>
      <c r="M545" s="263">
        <f t="shared" ref="M545:O545" si="60">SUM(M546:M547)</f>
        <v>0</v>
      </c>
      <c r="N545" s="263">
        <f t="shared" si="60"/>
        <v>1166.813234</v>
      </c>
      <c r="O545" s="263">
        <f t="shared" si="60"/>
        <v>1166.813234</v>
      </c>
      <c r="P545" s="593">
        <f t="shared" si="3"/>
        <v>0.006360644377</v>
      </c>
    </row>
    <row r="546">
      <c r="A546" s="253" t="s">
        <v>1140</v>
      </c>
      <c r="B546" s="254">
        <v>12898.0</v>
      </c>
      <c r="C546" s="255" t="str">
        <f t="shared" ref="C546:C547" si="61">IF(OR(D546="SINAPI-S",D546="SINAPI-I"),"SINAPI","PRÓPRIO")</f>
        <v>SINAPI</v>
      </c>
      <c r="D546" s="256" t="s">
        <v>286</v>
      </c>
      <c r="E546" s="257" t="str">
        <f>IFERROR(IF(D546="SINAPI-S",VLOOKUP(B546,'20-B.SINAPI-S'!A:J,2,0),IF(D546="SINAPI-I",VLOOKUP(B546,'20-A.SINAPI-I'!A:G,2,0),IF(D546="COMPOSIÇÕES",VLOOKUP(B546,'11.COMPOSIÇÕES GERAIS'!B:I,2,0),VLOOKUP(B546,'12.COT.MERCADO'!A:I,2,0)))),"Em Elaboração")</f>
        <v>MANOMETRO COM CAIXA EM ACO PINTADO, ESCALA *10* KGF/CM2 (*10* BAR), DIAMETRO NOMINAL DE 100 MM, CONEXAO DE 1/2"</v>
      </c>
      <c r="F546" s="258" t="str">
        <f>IFERROR(IF(D546="SINAPI-S",VLOOKUP(B546,'20-B.SINAPI-S'!A:J,3,0),IF(D546="SINAPI-I",VLOOKUP(B546,'20-A.SINAPI-I'!A:G,3,0),IF(D546="COMPOSIÇÕES",VLOOKUP(B546,'11.COMPOSIÇÕES GERAIS'!B:I,3,0),VLOOKUP(B546,'12.COT.MERCADO'!A:I,7,0)))),"Em Elaboração")</f>
        <v>UN</v>
      </c>
      <c r="G546" s="254">
        <v>2.0</v>
      </c>
      <c r="H546" s="259">
        <f>IFERROR(IF(D546="SINAPI-S",VLOOKUP(B546,'20-B.SINAPI-S'!A:J,5,0),IF(D546="SINAPI-I",VLOOKUP(B546,'20-A.SINAPI-I'!A:G,6,0),IF(D546="COMPOSIÇÕES",VLOOKUP(B546,'11.COMPOSIÇÕES GERAIS'!B:I,7,0),0))),"Em Elaboração")</f>
        <v>0</v>
      </c>
      <c r="I546" s="259">
        <f>IFERROR(IF(D546="SINAPI-S",VLOOKUP(B546,'20-B.SINAPI-S'!A:J,6,0),IF(D546="SINAPI-I",VLOOKUP(B546,'20-A.SINAPI-I'!A:G,7,0),IF(D546="COMPOSIÇÕES",VLOOKUP(B546,'11.COMPOSIÇÕES GERAIS'!B:I,8,0),VLOOKUP(B546,'12.COT.MERCADO'!A:I,8,0)))),"Em Elaboração")</f>
        <v>181.71</v>
      </c>
      <c r="J546" s="259">
        <f t="shared" ref="J546:J547" si="62">H546*(1+$J$5)</f>
        <v>0</v>
      </c>
      <c r="K546" s="259">
        <f t="shared" ref="K546:K547" si="63">I546*(1+$J$8)</f>
        <v>212.8432075</v>
      </c>
      <c r="L546" s="259">
        <f t="shared" ref="L546:L547" si="64">SUM(J546:K546)</f>
        <v>212.8432075</v>
      </c>
      <c r="M546" s="259">
        <f t="shared" ref="M546:M547" si="65">J546*G546</f>
        <v>0</v>
      </c>
      <c r="N546" s="259">
        <f t="shared" ref="N546:N547" si="66">K546*G546</f>
        <v>425.6864149</v>
      </c>
      <c r="O546" s="259">
        <f t="shared" ref="O546:O547" si="67">SUM(M546:N546)</f>
        <v>425.6864149</v>
      </c>
      <c r="P546" s="586">
        <f t="shared" si="3"/>
        <v>0.002320542674</v>
      </c>
    </row>
    <row r="547">
      <c r="A547" s="253" t="s">
        <v>1141</v>
      </c>
      <c r="B547" s="254" t="s">
        <v>1142</v>
      </c>
      <c r="C547" s="255" t="str">
        <f t="shared" si="61"/>
        <v>PRÓPRIO</v>
      </c>
      <c r="D547" s="256" t="s">
        <v>110</v>
      </c>
      <c r="E547" s="257" t="str">
        <f>IFERROR(IF(D547="SINAPI-S",VLOOKUP(B547,'20-B.SINAPI-S'!A:J,2,0),IF(D547="SINAPI-I",VLOOKUP(B547,'20-A.SINAPI-I'!A:G,2,0),IF(D547="COMPOSIÇÕES",VLOOKUP(B547,'11.COMPOSIÇÕES GERAIS'!B:I,2,0),VLOOKUP(B547,'12.COT.MERCADO'!A:I,2,0)))),"Em Elaboração")</f>
        <v>Termômetro Capela Reto 0 a 50 Graus Haste 50mm</v>
      </c>
      <c r="F547" s="258" t="str">
        <f>IFERROR(IF(D547="SINAPI-S",VLOOKUP(B547,'20-B.SINAPI-S'!A:J,3,0),IF(D547="SINAPI-I",VLOOKUP(B547,'20-A.SINAPI-I'!A:G,3,0),IF(D547="COMPOSIÇÕES",VLOOKUP(B547,'11.COMPOSIÇÕES GERAIS'!B:I,3,0),VLOOKUP(B547,'12.COT.MERCADO'!A:I,7,0)))),"Em Elaboração")</f>
        <v>UN </v>
      </c>
      <c r="G547" s="254">
        <v>2.0</v>
      </c>
      <c r="H547" s="259">
        <f>IFERROR(IF(D547="SINAPI-S",VLOOKUP(B547,'20-B.SINAPI-S'!A:J,5,0),IF(D547="SINAPI-I",VLOOKUP(B547,'20-A.SINAPI-I'!A:G,6,0),IF(D547="COMPOSIÇÕES",VLOOKUP(B547,'11.COMPOSIÇÕES GERAIS'!B:I,7,0),0))),"Em Elaboração")</f>
        <v>0</v>
      </c>
      <c r="I547" s="259">
        <f>IFERROR(IF(D547="SINAPI-S",VLOOKUP(B547,'20-B.SINAPI-S'!A:J,6,0),IF(D547="SINAPI-I",VLOOKUP(B547,'20-A.SINAPI-I'!A:G,7,0),IF(D547="COMPOSIÇÕES",VLOOKUP(B547,'11.COMPOSIÇÕES GERAIS'!B:I,8,0),VLOOKUP(B547,'12.COT.MERCADO'!A:I,8,0)))),"Em Elaboração")</f>
        <v>316.36</v>
      </c>
      <c r="J547" s="259">
        <f t="shared" si="62"/>
        <v>0</v>
      </c>
      <c r="K547" s="259">
        <f t="shared" si="63"/>
        <v>370.5634094</v>
      </c>
      <c r="L547" s="259">
        <f t="shared" si="64"/>
        <v>370.5634094</v>
      </c>
      <c r="M547" s="259">
        <f t="shared" si="65"/>
        <v>0</v>
      </c>
      <c r="N547" s="259">
        <f t="shared" si="66"/>
        <v>741.1268187</v>
      </c>
      <c r="O547" s="259">
        <f t="shared" si="67"/>
        <v>741.1268187</v>
      </c>
      <c r="P547" s="586">
        <f t="shared" si="3"/>
        <v>0.004040101703</v>
      </c>
    </row>
    <row r="548">
      <c r="A548" s="261" t="s">
        <v>1143</v>
      </c>
      <c r="B548" s="262" t="s">
        <v>1144</v>
      </c>
      <c r="C548" s="44"/>
      <c r="D548" s="44"/>
      <c r="E548" s="44"/>
      <c r="F548" s="44"/>
      <c r="G548" s="44"/>
      <c r="H548" s="44"/>
      <c r="I548" s="44"/>
      <c r="J548" s="44"/>
      <c r="K548" s="44"/>
      <c r="L548" s="44"/>
      <c r="M548" s="263">
        <f t="shared" ref="M548:O548" si="68">SUM(M549:M555)</f>
        <v>0</v>
      </c>
      <c r="N548" s="263">
        <f t="shared" si="68"/>
        <v>273.4597722</v>
      </c>
      <c r="O548" s="263">
        <f t="shared" si="68"/>
        <v>273.4597722</v>
      </c>
      <c r="P548" s="593">
        <f t="shared" si="3"/>
        <v>0.001490710177</v>
      </c>
    </row>
    <row r="549">
      <c r="A549" s="253" t="s">
        <v>1145</v>
      </c>
      <c r="B549" s="254">
        <v>39660.0</v>
      </c>
      <c r="C549" s="255" t="str">
        <f t="shared" ref="C549:C555" si="69">IF(OR(D549="SINAPI-S",D549="SINAPI-I"),"SINAPI","PRÓPRIO")</f>
        <v>SINAPI</v>
      </c>
      <c r="D549" s="256" t="s">
        <v>286</v>
      </c>
      <c r="E549" s="257" t="str">
        <f>IFERROR(IF(D549="SINAPI-S",VLOOKUP(B549,'20-B.SINAPI-S'!A:J,2,0),IF(D549="SINAPI-I",VLOOKUP(B549,'20-A.SINAPI-I'!A:G,2,0),IF(D549="COMPOSIÇÕES",VLOOKUP(B549,'11.COMPOSIÇÕES GERAIS'!B:I,2,0),VLOOKUP(B549,'12.COT.MERCADO'!A:I,2,0)))),"Em Elaboração")</f>
        <v>TUBO DE COBRE FLEXIVEL, D = 1/2 ", E = 0,79 MM, PARA AR-CONDICIONADO/ INSTALACOES GAS RESIDENCIAIS E COMERCIAIS</v>
      </c>
      <c r="F549" s="258" t="str">
        <f>IFERROR(IF(D549="SINAPI-S",VLOOKUP(B549,'20-B.SINAPI-S'!A:J,3,0),IF(D549="SINAPI-I",VLOOKUP(B549,'20-A.SINAPI-I'!A:G,3,0),IF(D549="COMPOSIÇÕES",VLOOKUP(B549,'11.COMPOSIÇÕES GERAIS'!B:I,3,0),VLOOKUP(B549,'12.COT.MERCADO'!A:I,7,0)))),"Em Elaboração")</f>
        <v>M</v>
      </c>
      <c r="G549" s="254">
        <v>1.0</v>
      </c>
      <c r="H549" s="259">
        <f>IFERROR(IF(D549="SINAPI-S",VLOOKUP(B549,'20-B.SINAPI-S'!A:J,5,0),IF(D549="SINAPI-I",VLOOKUP(B549,'20-A.SINAPI-I'!A:G,6,0),IF(D549="COMPOSIÇÕES",VLOOKUP(B549,'11.COMPOSIÇÕES GERAIS'!B:I,7,0),0))),"Em Elaboração")</f>
        <v>0</v>
      </c>
      <c r="I549" s="259">
        <f>IFERROR(IF(D549="SINAPI-S",VLOOKUP(B549,'20-B.SINAPI-S'!A:J,6,0),IF(D549="SINAPI-I",VLOOKUP(B549,'20-A.SINAPI-I'!A:G,7,0),IF(D549="COMPOSIÇÕES",VLOOKUP(B549,'11.COMPOSIÇÕES GERAIS'!B:I,8,0),VLOOKUP(B549,'12.COT.MERCADO'!A:I,8,0)))),"Em Elaboração")</f>
        <v>39.7</v>
      </c>
      <c r="J549" s="259">
        <f t="shared" ref="J549:J555" si="70">H549*(1+$J$5)</f>
        <v>0</v>
      </c>
      <c r="K549" s="259">
        <f t="shared" ref="K549:K555" si="71">I549*(1+$J$8)</f>
        <v>46.50198303</v>
      </c>
      <c r="L549" s="259">
        <f t="shared" ref="L549:L555" si="72">SUM(J549:K549)</f>
        <v>46.50198303</v>
      </c>
      <c r="M549" s="259">
        <f t="shared" ref="M549:M555" si="73">J549*G549</f>
        <v>0</v>
      </c>
      <c r="N549" s="259">
        <f t="shared" ref="N549:N555" si="74">K549*G549</f>
        <v>46.50198303</v>
      </c>
      <c r="O549" s="259">
        <f t="shared" ref="O549:O555" si="75">SUM(M549:N549)</f>
        <v>46.50198303</v>
      </c>
      <c r="P549" s="586">
        <f t="shared" si="3"/>
        <v>0.0002534960766</v>
      </c>
    </row>
    <row r="550">
      <c r="A550" s="253" t="s">
        <v>1146</v>
      </c>
      <c r="B550" s="254">
        <v>39661.0</v>
      </c>
      <c r="C550" s="255" t="str">
        <f t="shared" si="69"/>
        <v>SINAPI</v>
      </c>
      <c r="D550" s="256" t="s">
        <v>286</v>
      </c>
      <c r="E550" s="257" t="str">
        <f>IFERROR(IF(D550="SINAPI-S",VLOOKUP(B550,'20-B.SINAPI-S'!A:J,2,0),IF(D550="SINAPI-I",VLOOKUP(B550,'20-A.SINAPI-I'!A:G,2,0),IF(D550="COMPOSIÇÕES",VLOOKUP(B550,'11.COMPOSIÇÕES GERAIS'!B:I,2,0),VLOOKUP(B550,'12.COT.MERCADO'!A:I,2,0)))),"Em Elaboração")</f>
        <v>TUBO DE COBRE FLEXIVEL, D = 3/16 ", E = 0,79 MM, PARA AR-CONDICIONADO/ INSTALACOES GAS RESIDENCIAIS E COMERCIAIS</v>
      </c>
      <c r="F550" s="258" t="str">
        <f>IFERROR(IF(D550="SINAPI-S",VLOOKUP(B550,'20-B.SINAPI-S'!A:J,3,0),IF(D550="SINAPI-I",VLOOKUP(B550,'20-A.SINAPI-I'!A:G,3,0),IF(D550="COMPOSIÇÕES",VLOOKUP(B550,'11.COMPOSIÇÕES GERAIS'!B:I,3,0),VLOOKUP(B550,'12.COT.MERCADO'!A:I,7,0)))),"Em Elaboração")</f>
        <v>M</v>
      </c>
      <c r="G550" s="254">
        <v>1.0</v>
      </c>
      <c r="H550" s="259">
        <f>IFERROR(IF(D550="SINAPI-S",VLOOKUP(B550,'20-B.SINAPI-S'!A:J,5,0),IF(D550="SINAPI-I",VLOOKUP(B550,'20-A.SINAPI-I'!A:G,6,0),IF(D550="COMPOSIÇÕES",VLOOKUP(B550,'11.COMPOSIÇÕES GERAIS'!B:I,7,0),0))),"Em Elaboração")</f>
        <v>0</v>
      </c>
      <c r="I550" s="259">
        <f>IFERROR(IF(D550="SINAPI-S",VLOOKUP(B550,'20-B.SINAPI-S'!A:J,6,0),IF(D550="SINAPI-I",VLOOKUP(B550,'20-A.SINAPI-I'!A:G,7,0),IF(D550="COMPOSIÇÕES",VLOOKUP(B550,'11.COMPOSIÇÕES GERAIS'!B:I,8,0),VLOOKUP(B550,'12.COT.MERCADO'!A:I,8,0)))),"Em Elaboração")</f>
        <v>12.97</v>
      </c>
      <c r="J550" s="259">
        <f t="shared" si="70"/>
        <v>0</v>
      </c>
      <c r="K550" s="259">
        <f t="shared" si="71"/>
        <v>15.19220957</v>
      </c>
      <c r="L550" s="259">
        <f t="shared" si="72"/>
        <v>15.19220957</v>
      </c>
      <c r="M550" s="259">
        <f t="shared" si="73"/>
        <v>0</v>
      </c>
      <c r="N550" s="259">
        <f t="shared" si="74"/>
        <v>15.19220957</v>
      </c>
      <c r="O550" s="259">
        <f t="shared" si="75"/>
        <v>15.19220957</v>
      </c>
      <c r="P550" s="586">
        <f t="shared" si="3"/>
        <v>0.00008281723208</v>
      </c>
    </row>
    <row r="551">
      <c r="A551" s="253" t="s">
        <v>1147</v>
      </c>
      <c r="B551" s="254">
        <v>39662.0</v>
      </c>
      <c r="C551" s="255" t="str">
        <f t="shared" si="69"/>
        <v>SINAPI</v>
      </c>
      <c r="D551" s="256" t="s">
        <v>286</v>
      </c>
      <c r="E551" s="257" t="str">
        <f>IFERROR(IF(D551="SINAPI-S",VLOOKUP(B551,'20-B.SINAPI-S'!A:J,2,0),IF(D551="SINAPI-I",VLOOKUP(B551,'20-A.SINAPI-I'!A:G,2,0),IF(D551="COMPOSIÇÕES",VLOOKUP(B551,'11.COMPOSIÇÕES GERAIS'!B:I,2,0),VLOOKUP(B551,'12.COT.MERCADO'!A:I,2,0)))),"Em Elaboração")</f>
        <v>TUBO DE COBRE FLEXIVEL, D = 1/4 ", E = 0,79 MM, PARA AR-CONDICIONADO/ INSTALACOES GAS RESIDENCIAIS E COMERCIAIS</v>
      </c>
      <c r="F551" s="258" t="str">
        <f>IFERROR(IF(D551="SINAPI-S",VLOOKUP(B551,'20-B.SINAPI-S'!A:J,3,0),IF(D551="SINAPI-I",VLOOKUP(B551,'20-A.SINAPI-I'!A:G,3,0),IF(D551="COMPOSIÇÕES",VLOOKUP(B551,'11.COMPOSIÇÕES GERAIS'!B:I,3,0),VLOOKUP(B551,'12.COT.MERCADO'!A:I,7,0)))),"Em Elaboração")</f>
        <v>M</v>
      </c>
      <c r="G551" s="254">
        <v>1.0</v>
      </c>
      <c r="H551" s="259">
        <f>IFERROR(IF(D551="SINAPI-S",VLOOKUP(B551,'20-B.SINAPI-S'!A:J,5,0),IF(D551="SINAPI-I",VLOOKUP(B551,'20-A.SINAPI-I'!A:G,6,0),IF(D551="COMPOSIÇÕES",VLOOKUP(B551,'11.COMPOSIÇÕES GERAIS'!B:I,7,0),0))),"Em Elaboração")</f>
        <v>0</v>
      </c>
      <c r="I551" s="259">
        <f>IFERROR(IF(D551="SINAPI-S",VLOOKUP(B551,'20-B.SINAPI-S'!A:J,6,0),IF(D551="SINAPI-I",VLOOKUP(B551,'20-A.SINAPI-I'!A:G,7,0),IF(D551="COMPOSIÇÕES",VLOOKUP(B551,'11.COMPOSIÇÕES GERAIS'!B:I,8,0),VLOOKUP(B551,'12.COT.MERCADO'!A:I,8,0)))),"Em Elaboração")</f>
        <v>19.02</v>
      </c>
      <c r="J551" s="259">
        <f t="shared" si="70"/>
        <v>0</v>
      </c>
      <c r="K551" s="259">
        <f t="shared" si="71"/>
        <v>22.27878381</v>
      </c>
      <c r="L551" s="259">
        <f t="shared" si="72"/>
        <v>22.27878381</v>
      </c>
      <c r="M551" s="259">
        <f t="shared" si="73"/>
        <v>0</v>
      </c>
      <c r="N551" s="259">
        <f t="shared" si="74"/>
        <v>22.27878381</v>
      </c>
      <c r="O551" s="259">
        <f t="shared" si="75"/>
        <v>22.27878381</v>
      </c>
      <c r="P551" s="586">
        <f t="shared" si="3"/>
        <v>0.0001214482463</v>
      </c>
    </row>
    <row r="552">
      <c r="A552" s="253" t="s">
        <v>1148</v>
      </c>
      <c r="B552" s="254">
        <v>39663.0</v>
      </c>
      <c r="C552" s="255" t="str">
        <f t="shared" si="69"/>
        <v>SINAPI</v>
      </c>
      <c r="D552" s="256" t="s">
        <v>286</v>
      </c>
      <c r="E552" s="257" t="str">
        <f>IFERROR(IF(D552="SINAPI-S",VLOOKUP(B552,'20-B.SINAPI-S'!A:J,2,0),IF(D552="SINAPI-I",VLOOKUP(B552,'20-A.SINAPI-I'!A:G,2,0),IF(D552="COMPOSIÇÕES",VLOOKUP(B552,'11.COMPOSIÇÕES GERAIS'!B:I,2,0),VLOOKUP(B552,'12.COT.MERCADO'!A:I,2,0)))),"Em Elaboração")</f>
        <v>TUBO DE COBRE FLEXIVEL, D = 5/16 ", E = 0,79 MM, PARA AR-CONDICIONADO/ INSTALACOES GAS RESIDENCIAIS E COMERCIAIS</v>
      </c>
      <c r="F552" s="258" t="str">
        <f>IFERROR(IF(D552="SINAPI-S",VLOOKUP(B552,'20-B.SINAPI-S'!A:J,3,0),IF(D552="SINAPI-I",VLOOKUP(B552,'20-A.SINAPI-I'!A:G,3,0),IF(D552="COMPOSIÇÕES",VLOOKUP(B552,'11.COMPOSIÇÕES GERAIS'!B:I,3,0),VLOOKUP(B552,'12.COT.MERCADO'!A:I,7,0)))),"Em Elaboração")</f>
        <v>M</v>
      </c>
      <c r="G552" s="254">
        <v>1.0</v>
      </c>
      <c r="H552" s="259">
        <f>IFERROR(IF(D552="SINAPI-S",VLOOKUP(B552,'20-B.SINAPI-S'!A:J,5,0),IF(D552="SINAPI-I",VLOOKUP(B552,'20-A.SINAPI-I'!A:G,6,0),IF(D552="COMPOSIÇÕES",VLOOKUP(B552,'11.COMPOSIÇÕES GERAIS'!B:I,7,0),0))),"Em Elaboração")</f>
        <v>0</v>
      </c>
      <c r="I552" s="259">
        <f>IFERROR(IF(D552="SINAPI-S",VLOOKUP(B552,'20-B.SINAPI-S'!A:J,6,0),IF(D552="SINAPI-I",VLOOKUP(B552,'20-A.SINAPI-I'!A:G,7,0),IF(D552="COMPOSIÇÕES",VLOOKUP(B552,'11.COMPOSIÇÕES GERAIS'!B:I,8,0),VLOOKUP(B552,'12.COT.MERCADO'!A:I,8,0)))),"Em Elaboração")</f>
        <v>23.4</v>
      </c>
      <c r="J552" s="259">
        <f t="shared" si="70"/>
        <v>0</v>
      </c>
      <c r="K552" s="259">
        <f t="shared" si="71"/>
        <v>27.40922929</v>
      </c>
      <c r="L552" s="259">
        <f t="shared" si="72"/>
        <v>27.40922929</v>
      </c>
      <c r="M552" s="259">
        <f t="shared" si="73"/>
        <v>0</v>
      </c>
      <c r="N552" s="259">
        <f t="shared" si="74"/>
        <v>27.40922929</v>
      </c>
      <c r="O552" s="259">
        <f t="shared" si="75"/>
        <v>27.40922929</v>
      </c>
      <c r="P552" s="586">
        <f t="shared" si="3"/>
        <v>0.0001494158235</v>
      </c>
    </row>
    <row r="553">
      <c r="A553" s="253" t="s">
        <v>1149</v>
      </c>
      <c r="B553" s="254">
        <v>39664.0</v>
      </c>
      <c r="C553" s="255" t="str">
        <f t="shared" si="69"/>
        <v>SINAPI</v>
      </c>
      <c r="D553" s="256" t="s">
        <v>286</v>
      </c>
      <c r="E553" s="257" t="str">
        <f>IFERROR(IF(D553="SINAPI-S",VLOOKUP(B553,'20-B.SINAPI-S'!A:J,2,0),IF(D553="SINAPI-I",VLOOKUP(B553,'20-A.SINAPI-I'!A:G,2,0),IF(D553="COMPOSIÇÕES",VLOOKUP(B553,'11.COMPOSIÇÕES GERAIS'!B:I,2,0),VLOOKUP(B553,'12.COT.MERCADO'!A:I,2,0)))),"Em Elaboração")</f>
        <v>TUBO DE COBRE FLEXIVEL, D = 3/8 ", E = 0,79 MM, PARA AR-CONDICIONADO/ INSTALACOES GAS RESIDENCIAIS E COMERCIAIS</v>
      </c>
      <c r="F553" s="258" t="str">
        <f>IFERROR(IF(D553="SINAPI-S",VLOOKUP(B553,'20-B.SINAPI-S'!A:J,3,0),IF(D553="SINAPI-I",VLOOKUP(B553,'20-A.SINAPI-I'!A:G,3,0),IF(D553="COMPOSIÇÕES",VLOOKUP(B553,'11.COMPOSIÇÕES GERAIS'!B:I,3,0),VLOOKUP(B553,'12.COT.MERCADO'!A:I,7,0)))),"Em Elaboração")</f>
        <v>M</v>
      </c>
      <c r="G553" s="254">
        <v>1.0</v>
      </c>
      <c r="H553" s="259">
        <f>IFERROR(IF(D553="SINAPI-S",VLOOKUP(B553,'20-B.SINAPI-S'!A:J,5,0),IF(D553="SINAPI-I",VLOOKUP(B553,'20-A.SINAPI-I'!A:G,6,0),IF(D553="COMPOSIÇÕES",VLOOKUP(B553,'11.COMPOSIÇÕES GERAIS'!B:I,7,0),0))),"Em Elaboração")</f>
        <v>0</v>
      </c>
      <c r="I553" s="259">
        <f>IFERROR(IF(D553="SINAPI-S",VLOOKUP(B553,'20-B.SINAPI-S'!A:J,6,0),IF(D553="SINAPI-I",VLOOKUP(B553,'20-A.SINAPI-I'!A:G,7,0),IF(D553="COMPOSIÇÕES",VLOOKUP(B553,'11.COMPOSIÇÕES GERAIS'!B:I,8,0),VLOOKUP(B553,'12.COT.MERCADO'!A:I,8,0)))),"Em Elaboração")</f>
        <v>29.27</v>
      </c>
      <c r="J553" s="259">
        <f t="shared" si="70"/>
        <v>0</v>
      </c>
      <c r="K553" s="259">
        <f t="shared" si="71"/>
        <v>34.28496331</v>
      </c>
      <c r="L553" s="259">
        <f t="shared" si="72"/>
        <v>34.28496331</v>
      </c>
      <c r="M553" s="259">
        <f t="shared" si="73"/>
        <v>0</v>
      </c>
      <c r="N553" s="259">
        <f t="shared" si="74"/>
        <v>34.28496331</v>
      </c>
      <c r="O553" s="259">
        <f t="shared" si="75"/>
        <v>34.28496331</v>
      </c>
      <c r="P553" s="586">
        <f t="shared" si="3"/>
        <v>0.0001868974852</v>
      </c>
    </row>
    <row r="554">
      <c r="A554" s="253" t="s">
        <v>1150</v>
      </c>
      <c r="B554" s="254">
        <v>39665.0</v>
      </c>
      <c r="C554" s="255" t="str">
        <f t="shared" si="69"/>
        <v>SINAPI</v>
      </c>
      <c r="D554" s="256" t="s">
        <v>286</v>
      </c>
      <c r="E554" s="257" t="str">
        <f>IFERROR(IF(D554="SINAPI-S",VLOOKUP(B554,'20-B.SINAPI-S'!A:J,2,0),IF(D554="SINAPI-I",VLOOKUP(B554,'20-A.SINAPI-I'!A:G,2,0),IF(D554="COMPOSIÇÕES",VLOOKUP(B554,'11.COMPOSIÇÕES GERAIS'!B:I,2,0),VLOOKUP(B554,'12.COT.MERCADO'!A:I,2,0)))),"Em Elaboração")</f>
        <v>TUBO DE COBRE FLEXIVEL, D = 5/8 ", E = 0,79 MM, PARA AR-CONDICIONADO/ INSTALACOES GAS RESIDENCIAIS E COMERCIAIS</v>
      </c>
      <c r="F554" s="258" t="str">
        <f>IFERROR(IF(D554="SINAPI-S",VLOOKUP(B554,'20-B.SINAPI-S'!A:J,3,0),IF(D554="SINAPI-I",VLOOKUP(B554,'20-A.SINAPI-I'!A:G,3,0),IF(D554="COMPOSIÇÕES",VLOOKUP(B554,'11.COMPOSIÇÕES GERAIS'!B:I,3,0),VLOOKUP(B554,'12.COT.MERCADO'!A:I,7,0)))),"Em Elaboração")</f>
        <v>M</v>
      </c>
      <c r="G554" s="254">
        <v>1.0</v>
      </c>
      <c r="H554" s="259">
        <f>IFERROR(IF(D554="SINAPI-S",VLOOKUP(B554,'20-B.SINAPI-S'!A:J,5,0),IF(D554="SINAPI-I",VLOOKUP(B554,'20-A.SINAPI-I'!A:G,6,0),IF(D554="COMPOSIÇÕES",VLOOKUP(B554,'11.COMPOSIÇÕES GERAIS'!B:I,7,0),0))),"Em Elaboração")</f>
        <v>0</v>
      </c>
      <c r="I554" s="259">
        <f>IFERROR(IF(D554="SINAPI-S",VLOOKUP(B554,'20-B.SINAPI-S'!A:J,6,0),IF(D554="SINAPI-I",VLOOKUP(B554,'20-A.SINAPI-I'!A:G,7,0),IF(D554="COMPOSIÇÕES",VLOOKUP(B554,'11.COMPOSIÇÕES GERAIS'!B:I,8,0),VLOOKUP(B554,'12.COT.MERCADO'!A:I,8,0)))),"Em Elaboração")</f>
        <v>49.38</v>
      </c>
      <c r="J554" s="259">
        <f t="shared" si="70"/>
        <v>0</v>
      </c>
      <c r="K554" s="259">
        <f t="shared" si="71"/>
        <v>57.84050181</v>
      </c>
      <c r="L554" s="259">
        <f t="shared" si="72"/>
        <v>57.84050181</v>
      </c>
      <c r="M554" s="259">
        <f t="shared" si="73"/>
        <v>0</v>
      </c>
      <c r="N554" s="259">
        <f t="shared" si="74"/>
        <v>57.84050181</v>
      </c>
      <c r="O554" s="259">
        <f t="shared" si="75"/>
        <v>57.84050181</v>
      </c>
      <c r="P554" s="586">
        <f t="shared" si="3"/>
        <v>0.0003153056993</v>
      </c>
    </row>
    <row r="555">
      <c r="A555" s="253" t="s">
        <v>1151</v>
      </c>
      <c r="B555" s="254">
        <v>39666.0</v>
      </c>
      <c r="C555" s="255" t="str">
        <f t="shared" si="69"/>
        <v>SINAPI</v>
      </c>
      <c r="D555" s="256" t="s">
        <v>286</v>
      </c>
      <c r="E555" s="257" t="str">
        <f>IFERROR(IF(D555="SINAPI-S",VLOOKUP(B555,'20-B.SINAPI-S'!A:J,2,0),IF(D555="SINAPI-I",VLOOKUP(B555,'20-A.SINAPI-I'!A:G,2,0),IF(D555="COMPOSIÇÕES",VLOOKUP(B555,'11.COMPOSIÇÕES GERAIS'!B:I,2,0),VLOOKUP(B555,'12.COT.MERCADO'!A:I,2,0)))),"Em Elaboração")</f>
        <v>TUBO DE COBRE FLEXIVEL, D = 3/4 ", E = 0,79 MM, PARA AR-CONDICIONADO/ INSTALACOES GAS RESIDENCIAIS E COMERCIAIS</v>
      </c>
      <c r="F555" s="258" t="str">
        <f>IFERROR(IF(D555="SINAPI-S",VLOOKUP(B555,'20-B.SINAPI-S'!A:J,3,0),IF(D555="SINAPI-I",VLOOKUP(B555,'20-A.SINAPI-I'!A:G,3,0),IF(D555="COMPOSIÇÕES",VLOOKUP(B555,'11.COMPOSIÇÕES GERAIS'!B:I,3,0),VLOOKUP(B555,'12.COT.MERCADO'!A:I,7,0)))),"Em Elaboração")</f>
        <v>M</v>
      </c>
      <c r="G555" s="254">
        <v>1.0</v>
      </c>
      <c r="H555" s="259">
        <f>IFERROR(IF(D555="SINAPI-S",VLOOKUP(B555,'20-B.SINAPI-S'!A:J,5,0),IF(D555="SINAPI-I",VLOOKUP(B555,'20-A.SINAPI-I'!A:G,6,0),IF(D555="COMPOSIÇÕES",VLOOKUP(B555,'11.COMPOSIÇÕES GERAIS'!B:I,7,0),0))),"Em Elaboração")</f>
        <v>0</v>
      </c>
      <c r="I555" s="259">
        <f>IFERROR(IF(D555="SINAPI-S",VLOOKUP(B555,'20-B.SINAPI-S'!A:J,6,0),IF(D555="SINAPI-I",VLOOKUP(B555,'20-A.SINAPI-I'!A:G,7,0),IF(D555="COMPOSIÇÕES",VLOOKUP(B555,'11.COMPOSIÇÕES GERAIS'!B:I,8,0),VLOOKUP(B555,'12.COT.MERCADO'!A:I,8,0)))),"Em Elaboração")</f>
        <v>59.72</v>
      </c>
      <c r="J555" s="259">
        <f t="shared" si="70"/>
        <v>0</v>
      </c>
      <c r="K555" s="259">
        <f t="shared" si="71"/>
        <v>69.95210142</v>
      </c>
      <c r="L555" s="259">
        <f t="shared" si="72"/>
        <v>69.95210142</v>
      </c>
      <c r="M555" s="259">
        <f t="shared" si="73"/>
        <v>0</v>
      </c>
      <c r="N555" s="259">
        <f t="shared" si="74"/>
        <v>69.95210142</v>
      </c>
      <c r="O555" s="259">
        <f t="shared" si="75"/>
        <v>69.95210142</v>
      </c>
      <c r="P555" s="586">
        <f t="shared" si="3"/>
        <v>0.0003813296145</v>
      </c>
    </row>
    <row r="556">
      <c r="A556" s="261" t="s">
        <v>1152</v>
      </c>
      <c r="B556" s="262" t="s">
        <v>1153</v>
      </c>
      <c r="C556" s="44"/>
      <c r="D556" s="44"/>
      <c r="E556" s="44"/>
      <c r="F556" s="44"/>
      <c r="G556" s="44"/>
      <c r="H556" s="44"/>
      <c r="I556" s="44"/>
      <c r="J556" s="44"/>
      <c r="K556" s="44"/>
      <c r="L556" s="44"/>
      <c r="M556" s="263">
        <f t="shared" ref="M556:O556" si="76">SUM(M557:M568)</f>
        <v>0</v>
      </c>
      <c r="N556" s="263">
        <f t="shared" si="76"/>
        <v>604.4906394</v>
      </c>
      <c r="O556" s="263">
        <f t="shared" si="76"/>
        <v>604.4906394</v>
      </c>
      <c r="P556" s="593">
        <f t="shared" si="3"/>
        <v>0.003295257437</v>
      </c>
    </row>
    <row r="557">
      <c r="A557" s="253" t="s">
        <v>1154</v>
      </c>
      <c r="B557" s="254">
        <v>4777.0</v>
      </c>
      <c r="C557" s="255" t="str">
        <f t="shared" ref="C557:C568" si="77">IF(OR(D557="SINAPI-S",D557="SINAPI-I"),"SINAPI","PRÓPRIO")</f>
        <v>SINAPI</v>
      </c>
      <c r="D557" s="256" t="s">
        <v>286</v>
      </c>
      <c r="E557" s="257" t="str">
        <f>IFERROR(IF(D557="SINAPI-S",VLOOKUP(B557,'20-B.SINAPI-S'!A:J,2,0),IF(D557="SINAPI-I",VLOOKUP(B557,'20-A.SINAPI-I'!A:G,2,0),IF(D557="COMPOSIÇÕES",VLOOKUP(B557,'11.COMPOSIÇÕES GERAIS'!B:I,2,0),VLOOKUP(B557,'12.COT.MERCADO'!A:I,2,0)))),"Em Elaboração")</f>
        <v>CANTONEIRA ACO ABAS IGUAIS (QUALQUER BITOLA), ESPESSURA ENTRE 1/8" E 1/4"</v>
      </c>
      <c r="F557" s="258" t="str">
        <f>IFERROR(IF(D557="SINAPI-S",VLOOKUP(B557,'20-B.SINAPI-S'!A:J,3,0),IF(D557="SINAPI-I",VLOOKUP(B557,'20-A.SINAPI-I'!A:G,3,0),IF(D557="COMPOSIÇÕES",VLOOKUP(B557,'11.COMPOSIÇÕES GERAIS'!B:I,3,0),VLOOKUP(B557,'12.COT.MERCADO'!A:I,7,0)))),"Em Elaboração")</f>
        <v>KG</v>
      </c>
      <c r="G557" s="254">
        <v>25.0</v>
      </c>
      <c r="H557" s="259">
        <f>IFERROR(IF(D557="SINAPI-S",VLOOKUP(B557,'20-B.SINAPI-S'!A:J,5,0),IF(D557="SINAPI-I",VLOOKUP(B557,'20-A.SINAPI-I'!A:G,6,0),IF(D557="COMPOSIÇÕES",VLOOKUP(B557,'11.COMPOSIÇÕES GERAIS'!B:I,7,0),0))),"Em Elaboração")</f>
        <v>0</v>
      </c>
      <c r="I557" s="259">
        <f>IFERROR(IF(D557="SINAPI-S",VLOOKUP(B557,'20-B.SINAPI-S'!A:J,6,0),IF(D557="SINAPI-I",VLOOKUP(B557,'20-A.SINAPI-I'!A:G,7,0),IF(D557="COMPOSIÇÕES",VLOOKUP(B557,'11.COMPOSIÇÕES GERAIS'!B:I,8,0),VLOOKUP(B557,'12.COT.MERCADO'!A:I,8,0)))),"Em Elaboração")</f>
        <v>10.43</v>
      </c>
      <c r="J557" s="259">
        <f t="shared" ref="J557:J568" si="78">H557*(1+$J$5)</f>
        <v>0</v>
      </c>
      <c r="K557" s="259">
        <f t="shared" ref="K557:K568" si="79">I557*(1+$J$8)</f>
        <v>12.21701972</v>
      </c>
      <c r="L557" s="259">
        <f t="shared" ref="L557:L568" si="80">SUM(J557:K557)</f>
        <v>12.21701972</v>
      </c>
      <c r="M557" s="259">
        <f t="shared" ref="M557:M568" si="81">J557*G557</f>
        <v>0</v>
      </c>
      <c r="N557" s="259">
        <f t="shared" ref="N557:N568" si="82">K557*G557</f>
        <v>305.4254931</v>
      </c>
      <c r="O557" s="259">
        <f t="shared" ref="O557:O568" si="83">SUM(M557:N557)</f>
        <v>305.4254931</v>
      </c>
      <c r="P557" s="586">
        <f t="shared" si="3"/>
        <v>0.001664964785</v>
      </c>
    </row>
    <row r="558">
      <c r="A558" s="253" t="s">
        <v>1155</v>
      </c>
      <c r="B558" s="254">
        <v>4331.0</v>
      </c>
      <c r="C558" s="255" t="str">
        <f t="shared" si="77"/>
        <v>SINAPI</v>
      </c>
      <c r="D558" s="256" t="s">
        <v>286</v>
      </c>
      <c r="E558" s="257" t="str">
        <f>IFERROR(IF(D558="SINAPI-S",VLOOKUP(B558,'20-B.SINAPI-S'!A:J,2,0),IF(D558="SINAPI-I",VLOOKUP(B558,'20-A.SINAPI-I'!A:G,2,0),IF(D558="COMPOSIÇÕES",VLOOKUP(B558,'11.COMPOSIÇÕES GERAIS'!B:I,2,0),VLOOKUP(B558,'12.COT.MERCADO'!A:I,2,0)))),"Em Elaboração")</f>
        <v>PARAFUSO ZINCADO, SEXTAVADO, COM ROSCA INTEIRA, DIAMETRO 5/8", COMPRIMENTO 2 1/4"</v>
      </c>
      <c r="F558" s="258" t="str">
        <f>IFERROR(IF(D558="SINAPI-S",VLOOKUP(B558,'20-B.SINAPI-S'!A:J,3,0),IF(D558="SINAPI-I",VLOOKUP(B558,'20-A.SINAPI-I'!A:G,3,0),IF(D558="COMPOSIÇÕES",VLOOKUP(B558,'11.COMPOSIÇÕES GERAIS'!B:I,3,0),VLOOKUP(B558,'12.COT.MERCADO'!A:I,7,0)))),"Em Elaboração")</f>
        <v>UN</v>
      </c>
      <c r="G558" s="254">
        <v>15.0</v>
      </c>
      <c r="H558" s="259">
        <f>IFERROR(IF(D558="SINAPI-S",VLOOKUP(B558,'20-B.SINAPI-S'!A:J,5,0),IF(D558="SINAPI-I",VLOOKUP(B558,'20-A.SINAPI-I'!A:G,6,0),IF(D558="COMPOSIÇÕES",VLOOKUP(B558,'11.COMPOSIÇÕES GERAIS'!B:I,7,0),0))),"Em Elaboração")</f>
        <v>0</v>
      </c>
      <c r="I558" s="259">
        <f>IFERROR(IF(D558="SINAPI-S",VLOOKUP(B558,'20-B.SINAPI-S'!A:J,6,0),IF(D558="SINAPI-I",VLOOKUP(B558,'20-A.SINAPI-I'!A:G,7,0),IF(D558="COMPOSIÇÕES",VLOOKUP(B558,'11.COMPOSIÇÕES GERAIS'!B:I,8,0),VLOOKUP(B558,'12.COT.MERCADO'!A:I,8,0)))),"Em Elaboração")</f>
        <v>4.54</v>
      </c>
      <c r="J558" s="259">
        <f t="shared" si="78"/>
        <v>0</v>
      </c>
      <c r="K558" s="259">
        <f t="shared" si="79"/>
        <v>5.317859017</v>
      </c>
      <c r="L558" s="259">
        <f t="shared" si="80"/>
        <v>5.317859017</v>
      </c>
      <c r="M558" s="259">
        <f t="shared" si="81"/>
        <v>0</v>
      </c>
      <c r="N558" s="259">
        <f t="shared" si="82"/>
        <v>79.76788525</v>
      </c>
      <c r="O558" s="259">
        <f t="shared" si="83"/>
        <v>79.76788525</v>
      </c>
      <c r="P558" s="586">
        <f t="shared" si="3"/>
        <v>0.0004348383581</v>
      </c>
    </row>
    <row r="559">
      <c r="A559" s="253" t="s">
        <v>1156</v>
      </c>
      <c r="B559" s="254">
        <v>4382.0</v>
      </c>
      <c r="C559" s="255" t="str">
        <f t="shared" si="77"/>
        <v>SINAPI</v>
      </c>
      <c r="D559" s="256" t="s">
        <v>286</v>
      </c>
      <c r="E559" s="257" t="str">
        <f>IFERROR(IF(D559="SINAPI-S",VLOOKUP(B559,'20-B.SINAPI-S'!A:J,2,0),IF(D559="SINAPI-I",VLOOKUP(B559,'20-A.SINAPI-I'!A:G,2,0),IF(D559="COMPOSIÇÕES",VLOOKUP(B559,'11.COMPOSIÇÕES GERAIS'!B:I,2,0),VLOOKUP(B559,'12.COT.MERCADO'!A:I,2,0)))),"Em Elaboração")</f>
        <v>PARAFUSO ZINCADO, SEXTAVADO, COM ROSCA SOBERBA, DIAMETRO 5/16", COMPRIMENTO 80 MM</v>
      </c>
      <c r="F559" s="258" t="str">
        <f>IFERROR(IF(D559="SINAPI-S",VLOOKUP(B559,'20-B.SINAPI-S'!A:J,3,0),IF(D559="SINAPI-I",VLOOKUP(B559,'20-A.SINAPI-I'!A:G,3,0),IF(D559="COMPOSIÇÕES",VLOOKUP(B559,'11.COMPOSIÇÕES GERAIS'!B:I,3,0),VLOOKUP(B559,'12.COT.MERCADO'!A:I,7,0)))),"Em Elaboração")</f>
        <v>UN</v>
      </c>
      <c r="G559" s="254">
        <v>20.0</v>
      </c>
      <c r="H559" s="259">
        <f>IFERROR(IF(D559="SINAPI-S",VLOOKUP(B559,'20-B.SINAPI-S'!A:J,5,0),IF(D559="SINAPI-I",VLOOKUP(B559,'20-A.SINAPI-I'!A:G,6,0),IF(D559="COMPOSIÇÕES",VLOOKUP(B559,'11.COMPOSIÇÕES GERAIS'!B:I,7,0),0))),"Em Elaboração")</f>
        <v>0</v>
      </c>
      <c r="I559" s="259">
        <f>IFERROR(IF(D559="SINAPI-S",VLOOKUP(B559,'20-B.SINAPI-S'!A:J,6,0),IF(D559="SINAPI-I",VLOOKUP(B559,'20-A.SINAPI-I'!A:G,7,0),IF(D559="COMPOSIÇÕES",VLOOKUP(B559,'11.COMPOSIÇÕES GERAIS'!B:I,8,0),VLOOKUP(B559,'12.COT.MERCADO'!A:I,8,0)))),"Em Elaboração")</f>
        <v>1.25</v>
      </c>
      <c r="J559" s="259">
        <f t="shared" si="78"/>
        <v>0</v>
      </c>
      <c r="K559" s="259">
        <f t="shared" si="79"/>
        <v>1.464168231</v>
      </c>
      <c r="L559" s="259">
        <f t="shared" si="80"/>
        <v>1.464168231</v>
      </c>
      <c r="M559" s="259">
        <f t="shared" si="81"/>
        <v>0</v>
      </c>
      <c r="N559" s="259">
        <f t="shared" si="82"/>
        <v>29.28336463</v>
      </c>
      <c r="O559" s="259">
        <f t="shared" si="83"/>
        <v>29.28336463</v>
      </c>
      <c r="P559" s="586">
        <f t="shared" si="3"/>
        <v>0.0001596322901</v>
      </c>
    </row>
    <row r="560">
      <c r="A560" s="253" t="s">
        <v>1157</v>
      </c>
      <c r="B560" s="254">
        <v>4330.0</v>
      </c>
      <c r="C560" s="255" t="str">
        <f t="shared" si="77"/>
        <v>SINAPI</v>
      </c>
      <c r="D560" s="256" t="s">
        <v>286</v>
      </c>
      <c r="E560" s="257" t="str">
        <f>IFERROR(IF(D560="SINAPI-S",VLOOKUP(B560,'20-B.SINAPI-S'!A:J,2,0),IF(D560="SINAPI-I",VLOOKUP(B560,'20-A.SINAPI-I'!A:G,2,0),IF(D560="COMPOSIÇÕES",VLOOKUP(B560,'11.COMPOSIÇÕES GERAIS'!B:I,2,0),VLOOKUP(B560,'12.COT.MERCADO'!A:I,2,0)))),"Em Elaboração")</f>
        <v>PORCA ZINCADA, SEXTAVADA, DIAMETRO 5/16"</v>
      </c>
      <c r="F560" s="258" t="str">
        <f>IFERROR(IF(D560="SINAPI-S",VLOOKUP(B560,'20-B.SINAPI-S'!A:J,3,0),IF(D560="SINAPI-I",VLOOKUP(B560,'20-A.SINAPI-I'!A:G,3,0),IF(D560="COMPOSIÇÕES",VLOOKUP(B560,'11.COMPOSIÇÕES GERAIS'!B:I,3,0),VLOOKUP(B560,'12.COT.MERCADO'!A:I,7,0)))),"Em Elaboração")</f>
        <v>UN</v>
      </c>
      <c r="G560" s="254">
        <v>20.0</v>
      </c>
      <c r="H560" s="259">
        <f>IFERROR(IF(D560="SINAPI-S",VLOOKUP(B560,'20-B.SINAPI-S'!A:J,5,0),IF(D560="SINAPI-I",VLOOKUP(B560,'20-A.SINAPI-I'!A:G,6,0),IF(D560="COMPOSIÇÕES",VLOOKUP(B560,'11.COMPOSIÇÕES GERAIS'!B:I,7,0),0))),"Em Elaboração")</f>
        <v>0</v>
      </c>
      <c r="I560" s="259">
        <f>IFERROR(IF(D560="SINAPI-S",VLOOKUP(B560,'20-B.SINAPI-S'!A:J,6,0),IF(D560="SINAPI-I",VLOOKUP(B560,'20-A.SINAPI-I'!A:G,7,0),IF(D560="COMPOSIÇÕES",VLOOKUP(B560,'11.COMPOSIÇÕES GERAIS'!B:I,8,0),VLOOKUP(B560,'12.COT.MERCADO'!A:I,8,0)))),"Em Elaboração")</f>
        <v>0.16</v>
      </c>
      <c r="J560" s="259">
        <f t="shared" si="78"/>
        <v>0</v>
      </c>
      <c r="K560" s="259">
        <f t="shared" si="79"/>
        <v>0.1874135336</v>
      </c>
      <c r="L560" s="259">
        <f t="shared" si="80"/>
        <v>0.1874135336</v>
      </c>
      <c r="M560" s="259">
        <f t="shared" si="81"/>
        <v>0</v>
      </c>
      <c r="N560" s="259">
        <f t="shared" si="82"/>
        <v>3.748270672</v>
      </c>
      <c r="O560" s="259">
        <f t="shared" si="83"/>
        <v>3.748270672</v>
      </c>
      <c r="P560" s="586">
        <f t="shared" si="3"/>
        <v>0.00002043293313</v>
      </c>
    </row>
    <row r="561">
      <c r="A561" s="253" t="s">
        <v>1158</v>
      </c>
      <c r="B561" s="254">
        <v>11950.0</v>
      </c>
      <c r="C561" s="255" t="str">
        <f t="shared" si="77"/>
        <v>SINAPI</v>
      </c>
      <c r="D561" s="256" t="s">
        <v>286</v>
      </c>
      <c r="E561" s="257" t="str">
        <f>IFERROR(IF(D561="SINAPI-S",VLOOKUP(B561,'20-B.SINAPI-S'!A:J,2,0),IF(D561="SINAPI-I",VLOOKUP(B561,'20-A.SINAPI-I'!A:G,2,0),IF(D561="COMPOSIÇÕES",VLOOKUP(B561,'11.COMPOSIÇÕES GERAIS'!B:I,2,0),VLOOKUP(B561,'12.COT.MERCADO'!A:I,2,0)))),"Em Elaboração")</f>
        <v>BUCHA DE NYLON SEM ABA S6, COM PARAFUSO DE 4,20 X 40 MM EM ACO ZINCADO COM ROSCA SOBERBA, CABECA CHATA E FENDA PHILLIPS</v>
      </c>
      <c r="F561" s="258" t="str">
        <f>IFERROR(IF(D561="SINAPI-S",VLOOKUP(B561,'20-B.SINAPI-S'!A:J,3,0),IF(D561="SINAPI-I",VLOOKUP(B561,'20-A.SINAPI-I'!A:G,3,0),IF(D561="COMPOSIÇÕES",VLOOKUP(B561,'11.COMPOSIÇÕES GERAIS'!B:I,3,0),VLOOKUP(B561,'12.COT.MERCADO'!A:I,7,0)))),"Em Elaboração")</f>
        <v>UN</v>
      </c>
      <c r="G561" s="254">
        <v>50.0</v>
      </c>
      <c r="H561" s="259">
        <f>IFERROR(IF(D561="SINAPI-S",VLOOKUP(B561,'20-B.SINAPI-S'!A:J,5,0),IF(D561="SINAPI-I",VLOOKUP(B561,'20-A.SINAPI-I'!A:G,6,0),IF(D561="COMPOSIÇÕES",VLOOKUP(B561,'11.COMPOSIÇÕES GERAIS'!B:I,7,0),0))),"Em Elaboração")</f>
        <v>0</v>
      </c>
      <c r="I561" s="259">
        <f>IFERROR(IF(D561="SINAPI-S",VLOOKUP(B561,'20-B.SINAPI-S'!A:J,6,0),IF(D561="SINAPI-I",VLOOKUP(B561,'20-A.SINAPI-I'!A:G,7,0),IF(D561="COMPOSIÇÕES",VLOOKUP(B561,'11.COMPOSIÇÕES GERAIS'!B:I,8,0),VLOOKUP(B561,'12.COT.MERCADO'!A:I,8,0)))),"Em Elaboração")</f>
        <v>0.24</v>
      </c>
      <c r="J561" s="259">
        <f t="shared" si="78"/>
        <v>0</v>
      </c>
      <c r="K561" s="259">
        <f t="shared" si="79"/>
        <v>0.2811203004</v>
      </c>
      <c r="L561" s="259">
        <f t="shared" si="80"/>
        <v>0.2811203004</v>
      </c>
      <c r="M561" s="259">
        <f t="shared" si="81"/>
        <v>0</v>
      </c>
      <c r="N561" s="259">
        <f t="shared" si="82"/>
        <v>14.05601502</v>
      </c>
      <c r="O561" s="259">
        <f t="shared" si="83"/>
        <v>14.05601502</v>
      </c>
      <c r="P561" s="586">
        <f t="shared" si="3"/>
        <v>0.00007662349923</v>
      </c>
    </row>
    <row r="562">
      <c r="A562" s="253" t="s">
        <v>1159</v>
      </c>
      <c r="B562" s="254" t="s">
        <v>1160</v>
      </c>
      <c r="C562" s="255" t="str">
        <f t="shared" si="77"/>
        <v>PRÓPRIO</v>
      </c>
      <c r="D562" s="256" t="s">
        <v>110</v>
      </c>
      <c r="E562" s="257" t="str">
        <f>IFERROR(IF(D562="SINAPI-S",VLOOKUP(B562,'20-B.SINAPI-S'!A:J,2,0),IF(D562="SINAPI-I",VLOOKUP(B562,'20-A.SINAPI-I'!A:G,2,0),IF(D562="COMPOSIÇÕES",VLOOKUP(B562,'11.COMPOSIÇÕES GERAIS'!B:I,2,0),VLOOKUP(B562,'12.COT.MERCADO'!A:I,2,0)))),"Em Elaboração")</f>
        <v>Arruela lisa de aço galvanizada de Ø 1/4"</v>
      </c>
      <c r="F562" s="258" t="str">
        <f>IFERROR(IF(D562="SINAPI-S",VLOOKUP(B562,'20-B.SINAPI-S'!A:J,3,0),IF(D562="SINAPI-I",VLOOKUP(B562,'20-A.SINAPI-I'!A:G,3,0),IF(D562="COMPOSIÇÕES",VLOOKUP(B562,'11.COMPOSIÇÕES GERAIS'!B:I,3,0),VLOOKUP(B562,'12.COT.MERCADO'!A:I,7,0)))),"Em Elaboração")</f>
        <v>UN </v>
      </c>
      <c r="G562" s="254">
        <v>10.0</v>
      </c>
      <c r="H562" s="259">
        <f>IFERROR(IF(D562="SINAPI-S",VLOOKUP(B562,'20-B.SINAPI-S'!A:J,5,0),IF(D562="SINAPI-I",VLOOKUP(B562,'20-A.SINAPI-I'!A:G,6,0),IF(D562="COMPOSIÇÕES",VLOOKUP(B562,'11.COMPOSIÇÕES GERAIS'!B:I,7,0),0))),"Em Elaboração")</f>
        <v>0</v>
      </c>
      <c r="I562" s="259">
        <f>IFERROR(IF(D562="SINAPI-S",VLOOKUP(B562,'20-B.SINAPI-S'!A:J,6,0),IF(D562="SINAPI-I",VLOOKUP(B562,'20-A.SINAPI-I'!A:G,7,0),IF(D562="COMPOSIÇÕES",VLOOKUP(B562,'11.COMPOSIÇÕES GERAIS'!B:I,8,0),VLOOKUP(B562,'12.COT.MERCADO'!A:I,8,0)))),"Em Elaboração")</f>
        <v>0.09</v>
      </c>
      <c r="J562" s="259">
        <f t="shared" si="78"/>
        <v>0</v>
      </c>
      <c r="K562" s="259">
        <f t="shared" si="79"/>
        <v>0.1054201127</v>
      </c>
      <c r="L562" s="259">
        <f t="shared" si="80"/>
        <v>0.1054201127</v>
      </c>
      <c r="M562" s="259">
        <f t="shared" si="81"/>
        <v>0</v>
      </c>
      <c r="N562" s="259">
        <f t="shared" si="82"/>
        <v>1.054201127</v>
      </c>
      <c r="O562" s="259">
        <f t="shared" si="83"/>
        <v>1.054201127</v>
      </c>
      <c r="P562" s="586">
        <f t="shared" si="3"/>
        <v>0.000005746762442</v>
      </c>
    </row>
    <row r="563">
      <c r="A563" s="253" t="s">
        <v>1161</v>
      </c>
      <c r="B563" s="254" t="s">
        <v>1162</v>
      </c>
      <c r="C563" s="255" t="str">
        <f t="shared" si="77"/>
        <v>PRÓPRIO</v>
      </c>
      <c r="D563" s="256" t="s">
        <v>110</v>
      </c>
      <c r="E563" s="257" t="str">
        <f>IFERROR(IF(D563="SINAPI-S",VLOOKUP(B563,'20-B.SINAPI-S'!A:J,2,0),IF(D563="SINAPI-I",VLOOKUP(B563,'20-A.SINAPI-I'!A:G,2,0),IF(D563="COMPOSIÇÕES",VLOOKUP(B563,'11.COMPOSIÇÕES GERAIS'!B:I,2,0),VLOOKUP(B563,'12.COT.MERCADO'!A:I,2,0)))),"Em Elaboração")</f>
        <v>Arruela lisa de 3/8"</v>
      </c>
      <c r="F563" s="258" t="str">
        <f>IFERROR(IF(D563="SINAPI-S",VLOOKUP(B563,'20-B.SINAPI-S'!A:J,3,0),IF(D563="SINAPI-I",VLOOKUP(B563,'20-A.SINAPI-I'!A:G,3,0),IF(D563="COMPOSIÇÕES",VLOOKUP(B563,'11.COMPOSIÇÕES GERAIS'!B:I,3,0),VLOOKUP(B563,'12.COT.MERCADO'!A:I,7,0)))),"Em Elaboração")</f>
        <v>UN </v>
      </c>
      <c r="G563" s="254">
        <v>10.0</v>
      </c>
      <c r="H563" s="259">
        <f>IFERROR(IF(D563="SINAPI-S",VLOOKUP(B563,'20-B.SINAPI-S'!A:J,5,0),IF(D563="SINAPI-I",VLOOKUP(B563,'20-A.SINAPI-I'!A:G,6,0),IF(D563="COMPOSIÇÕES",VLOOKUP(B563,'11.COMPOSIÇÕES GERAIS'!B:I,7,0),0))),"Em Elaboração")</f>
        <v>0</v>
      </c>
      <c r="I563" s="259">
        <f>IFERROR(IF(D563="SINAPI-S",VLOOKUP(B563,'20-B.SINAPI-S'!A:J,6,0),IF(D563="SINAPI-I",VLOOKUP(B563,'20-A.SINAPI-I'!A:G,7,0),IF(D563="COMPOSIÇÕES",VLOOKUP(B563,'11.COMPOSIÇÕES GERAIS'!B:I,8,0),VLOOKUP(B563,'12.COT.MERCADO'!A:I,8,0)))),"Em Elaboração")</f>
        <v>0.16</v>
      </c>
      <c r="J563" s="259">
        <f t="shared" si="78"/>
        <v>0</v>
      </c>
      <c r="K563" s="259">
        <f t="shared" si="79"/>
        <v>0.1874135336</v>
      </c>
      <c r="L563" s="259">
        <f t="shared" si="80"/>
        <v>0.1874135336</v>
      </c>
      <c r="M563" s="259">
        <f t="shared" si="81"/>
        <v>0</v>
      </c>
      <c r="N563" s="259">
        <f t="shared" si="82"/>
        <v>1.874135336</v>
      </c>
      <c r="O563" s="259">
        <f t="shared" si="83"/>
        <v>1.874135336</v>
      </c>
      <c r="P563" s="586">
        <f t="shared" si="3"/>
        <v>0.00001021646656</v>
      </c>
    </row>
    <row r="564">
      <c r="A564" s="253" t="s">
        <v>1163</v>
      </c>
      <c r="B564" s="254" t="s">
        <v>1164</v>
      </c>
      <c r="C564" s="255" t="str">
        <f t="shared" si="77"/>
        <v>PRÓPRIO</v>
      </c>
      <c r="D564" s="256" t="s">
        <v>110</v>
      </c>
      <c r="E564" s="257" t="str">
        <f>IFERROR(IF(D564="SINAPI-S",VLOOKUP(B564,'20-B.SINAPI-S'!A:J,2,0),IF(D564="SINAPI-I",VLOOKUP(B564,'20-A.SINAPI-I'!A:G,2,0),IF(D564="COMPOSIÇÕES",VLOOKUP(B564,'11.COMPOSIÇÕES GERAIS'!B:I,2,0),VLOOKUP(B564,'12.COT.MERCADO'!A:I,2,0)))),"Em Elaboração")</f>
        <v>Arruela lisa de 5/16"</v>
      </c>
      <c r="F564" s="258" t="str">
        <f>IFERROR(IF(D564="SINAPI-S",VLOOKUP(B564,'20-B.SINAPI-S'!A:J,3,0),IF(D564="SINAPI-I",VLOOKUP(B564,'20-A.SINAPI-I'!A:G,3,0),IF(D564="COMPOSIÇÕES",VLOOKUP(B564,'11.COMPOSIÇÕES GERAIS'!B:I,3,0),VLOOKUP(B564,'12.COT.MERCADO'!A:I,7,0)))),"Em Elaboração")</f>
        <v>UN </v>
      </c>
      <c r="G564" s="254">
        <v>10.0</v>
      </c>
      <c r="H564" s="259">
        <f>IFERROR(IF(D564="SINAPI-S",VLOOKUP(B564,'20-B.SINAPI-S'!A:J,5,0),IF(D564="SINAPI-I",VLOOKUP(B564,'20-A.SINAPI-I'!A:G,6,0),IF(D564="COMPOSIÇÕES",VLOOKUP(B564,'11.COMPOSIÇÕES GERAIS'!B:I,7,0),0))),"Em Elaboração")</f>
        <v>0</v>
      </c>
      <c r="I564" s="259">
        <f>IFERROR(IF(D564="SINAPI-S",VLOOKUP(B564,'20-B.SINAPI-S'!A:J,6,0),IF(D564="SINAPI-I",VLOOKUP(B564,'20-A.SINAPI-I'!A:G,7,0),IF(D564="COMPOSIÇÕES",VLOOKUP(B564,'11.COMPOSIÇÕES GERAIS'!B:I,8,0),VLOOKUP(B564,'12.COT.MERCADO'!A:I,8,0)))),"Em Elaboração")</f>
        <v>0.3</v>
      </c>
      <c r="J564" s="259">
        <f t="shared" si="78"/>
        <v>0</v>
      </c>
      <c r="K564" s="259">
        <f t="shared" si="79"/>
        <v>0.3514003755</v>
      </c>
      <c r="L564" s="259">
        <f t="shared" si="80"/>
        <v>0.3514003755</v>
      </c>
      <c r="M564" s="259">
        <f t="shared" si="81"/>
        <v>0</v>
      </c>
      <c r="N564" s="259">
        <f t="shared" si="82"/>
        <v>3.514003755</v>
      </c>
      <c r="O564" s="259">
        <f t="shared" si="83"/>
        <v>3.514003755</v>
      </c>
      <c r="P564" s="586">
        <f t="shared" si="3"/>
        <v>0.00001915587481</v>
      </c>
    </row>
    <row r="565">
      <c r="A565" s="253" t="s">
        <v>1165</v>
      </c>
      <c r="B565" s="254" t="s">
        <v>1166</v>
      </c>
      <c r="C565" s="255" t="str">
        <f t="shared" si="77"/>
        <v>PRÓPRIO</v>
      </c>
      <c r="D565" s="256" t="s">
        <v>110</v>
      </c>
      <c r="E565" s="257" t="str">
        <f>IFERROR(IF(D565="SINAPI-S",VLOOKUP(B565,'20-B.SINAPI-S'!A:J,2,0),IF(D565="SINAPI-I",VLOOKUP(B565,'20-A.SINAPI-I'!A:G,2,0),IF(D565="COMPOSIÇÕES",VLOOKUP(B565,'11.COMPOSIÇÕES GERAIS'!B:I,2,0),VLOOKUP(B565,'12.COT.MERCADO'!A:I,2,0)))),"Em Elaboração")</f>
        <v>Porca sextavada 1/4"</v>
      </c>
      <c r="F565" s="258" t="str">
        <f>IFERROR(IF(D565="SINAPI-S",VLOOKUP(B565,'20-B.SINAPI-S'!A:J,3,0),IF(D565="SINAPI-I",VLOOKUP(B565,'20-A.SINAPI-I'!A:G,3,0),IF(D565="COMPOSIÇÕES",VLOOKUP(B565,'11.COMPOSIÇÕES GERAIS'!B:I,3,0),VLOOKUP(B565,'12.COT.MERCADO'!A:I,7,0)))),"Em Elaboração")</f>
        <v>UN </v>
      </c>
      <c r="G565" s="254">
        <v>10.0</v>
      </c>
      <c r="H565" s="259">
        <f>IFERROR(IF(D565="SINAPI-S",VLOOKUP(B565,'20-B.SINAPI-S'!A:J,5,0),IF(D565="SINAPI-I",VLOOKUP(B565,'20-A.SINAPI-I'!A:G,6,0),IF(D565="COMPOSIÇÕES",VLOOKUP(B565,'11.COMPOSIÇÕES GERAIS'!B:I,7,0),0))),"Em Elaboração")</f>
        <v>0</v>
      </c>
      <c r="I565" s="259">
        <f>IFERROR(IF(D565="SINAPI-S",VLOOKUP(B565,'20-B.SINAPI-S'!A:J,6,0),IF(D565="SINAPI-I",VLOOKUP(B565,'20-A.SINAPI-I'!A:G,7,0),IF(D565="COMPOSIÇÕES",VLOOKUP(B565,'11.COMPOSIÇÕES GERAIS'!B:I,8,0),VLOOKUP(B565,'12.COT.MERCADO'!A:I,8,0)))),"Em Elaboração")</f>
        <v>0.14</v>
      </c>
      <c r="J565" s="259">
        <f t="shared" si="78"/>
        <v>0</v>
      </c>
      <c r="K565" s="259">
        <f t="shared" si="79"/>
        <v>0.1639868419</v>
      </c>
      <c r="L565" s="259">
        <f t="shared" si="80"/>
        <v>0.1639868419</v>
      </c>
      <c r="M565" s="259">
        <f t="shared" si="81"/>
        <v>0</v>
      </c>
      <c r="N565" s="259">
        <f t="shared" si="82"/>
        <v>1.639868419</v>
      </c>
      <c r="O565" s="259">
        <f t="shared" si="83"/>
        <v>1.639868419</v>
      </c>
      <c r="P565" s="586">
        <f t="shared" si="3"/>
        <v>0.000008939408243</v>
      </c>
    </row>
    <row r="566">
      <c r="A566" s="253" t="s">
        <v>1167</v>
      </c>
      <c r="B566" s="254" t="s">
        <v>1168</v>
      </c>
      <c r="C566" s="255" t="str">
        <f t="shared" si="77"/>
        <v>PRÓPRIO</v>
      </c>
      <c r="D566" s="256" t="s">
        <v>110</v>
      </c>
      <c r="E566" s="257" t="str">
        <f>IFERROR(IF(D566="SINAPI-S",VLOOKUP(B566,'20-B.SINAPI-S'!A:J,2,0),IF(D566="SINAPI-I",VLOOKUP(B566,'20-A.SINAPI-I'!A:G,2,0),IF(D566="COMPOSIÇÕES",VLOOKUP(B566,'11.COMPOSIÇÕES GERAIS'!B:I,2,0),VLOOKUP(B566,'12.COT.MERCADO'!A:I,2,0)))),"Em Elaboração")</f>
        <v>Porca sextavada 5/16"</v>
      </c>
      <c r="F566" s="258" t="str">
        <f>IFERROR(IF(D566="SINAPI-S",VLOOKUP(B566,'20-B.SINAPI-S'!A:J,3,0),IF(D566="SINAPI-I",VLOOKUP(B566,'20-A.SINAPI-I'!A:G,3,0),IF(D566="COMPOSIÇÕES",VLOOKUP(B566,'11.COMPOSIÇÕES GERAIS'!B:I,3,0),VLOOKUP(B566,'12.COT.MERCADO'!A:I,7,0)))),"Em Elaboração")</f>
        <v>UN </v>
      </c>
      <c r="G566" s="254">
        <v>10.0</v>
      </c>
      <c r="H566" s="259">
        <f>IFERROR(IF(D566="SINAPI-S",VLOOKUP(B566,'20-B.SINAPI-S'!A:J,5,0),IF(D566="SINAPI-I",VLOOKUP(B566,'20-A.SINAPI-I'!A:G,6,0),IF(D566="COMPOSIÇÕES",VLOOKUP(B566,'11.COMPOSIÇÕES GERAIS'!B:I,7,0),0))),"Em Elaboração")</f>
        <v>0</v>
      </c>
      <c r="I566" s="259">
        <f>IFERROR(IF(D566="SINAPI-S",VLOOKUP(B566,'20-B.SINAPI-S'!A:J,6,0),IF(D566="SINAPI-I",VLOOKUP(B566,'20-A.SINAPI-I'!A:G,7,0),IF(D566="COMPOSIÇÕES",VLOOKUP(B566,'11.COMPOSIÇÕES GERAIS'!B:I,8,0),VLOOKUP(B566,'12.COT.MERCADO'!A:I,8,0)))),"Em Elaboração")</f>
        <v>0.13</v>
      </c>
      <c r="J566" s="259">
        <f t="shared" si="78"/>
        <v>0</v>
      </c>
      <c r="K566" s="259">
        <f t="shared" si="79"/>
        <v>0.1522734961</v>
      </c>
      <c r="L566" s="259">
        <f t="shared" si="80"/>
        <v>0.1522734961</v>
      </c>
      <c r="M566" s="259">
        <f t="shared" si="81"/>
        <v>0</v>
      </c>
      <c r="N566" s="259">
        <f t="shared" si="82"/>
        <v>1.522734961</v>
      </c>
      <c r="O566" s="259">
        <f t="shared" si="83"/>
        <v>1.522734961</v>
      </c>
      <c r="P566" s="586">
        <f t="shared" si="3"/>
        <v>0.000008300879083</v>
      </c>
    </row>
    <row r="567">
      <c r="A567" s="253" t="s">
        <v>1169</v>
      </c>
      <c r="B567" s="254" t="s">
        <v>1170</v>
      </c>
      <c r="C567" s="255" t="str">
        <f t="shared" si="77"/>
        <v>PRÓPRIO</v>
      </c>
      <c r="D567" s="256" t="s">
        <v>110</v>
      </c>
      <c r="E567" s="257" t="str">
        <f>IFERROR(IF(D567="SINAPI-S",VLOOKUP(B567,'20-B.SINAPI-S'!A:J,2,0),IF(D567="SINAPI-I",VLOOKUP(B567,'20-A.SINAPI-I'!A:G,2,0),IF(D567="COMPOSIÇÕES",VLOOKUP(B567,'11.COMPOSIÇÕES GERAIS'!B:I,2,0),VLOOKUP(B567,'12.COT.MERCADO'!A:I,2,0)))),"Em Elaboração")</f>
        <v>Porca sextavada 3/8 "</v>
      </c>
      <c r="F567" s="258" t="str">
        <f>IFERROR(IF(D567="SINAPI-S",VLOOKUP(B567,'20-B.SINAPI-S'!A:J,3,0),IF(D567="SINAPI-I",VLOOKUP(B567,'20-A.SINAPI-I'!A:G,3,0),IF(D567="COMPOSIÇÕES",VLOOKUP(B567,'11.COMPOSIÇÕES GERAIS'!B:I,3,0),VLOOKUP(B567,'12.COT.MERCADO'!A:I,7,0)))),"Em Elaboração")</f>
        <v>UN </v>
      </c>
      <c r="G567" s="254">
        <v>10.0</v>
      </c>
      <c r="H567" s="259">
        <f>IFERROR(IF(D567="SINAPI-S",VLOOKUP(B567,'20-B.SINAPI-S'!A:J,5,0),IF(D567="SINAPI-I",VLOOKUP(B567,'20-A.SINAPI-I'!A:G,6,0),IF(D567="COMPOSIÇÕES",VLOOKUP(B567,'11.COMPOSIÇÕES GERAIS'!B:I,7,0),0))),"Em Elaboração")</f>
        <v>0</v>
      </c>
      <c r="I567" s="259">
        <f>IFERROR(IF(D567="SINAPI-S",VLOOKUP(B567,'20-B.SINAPI-S'!A:J,6,0),IF(D567="SINAPI-I",VLOOKUP(B567,'20-A.SINAPI-I'!A:G,7,0),IF(D567="COMPOSIÇÕES",VLOOKUP(B567,'11.COMPOSIÇÕES GERAIS'!B:I,8,0),VLOOKUP(B567,'12.COT.MERCADO'!A:I,8,0)))),"Em Elaboração")</f>
        <v>0.22</v>
      </c>
      <c r="J567" s="259">
        <f t="shared" si="78"/>
        <v>0</v>
      </c>
      <c r="K567" s="259">
        <f t="shared" si="79"/>
        <v>0.2576936087</v>
      </c>
      <c r="L567" s="259">
        <f t="shared" si="80"/>
        <v>0.2576936087</v>
      </c>
      <c r="M567" s="259">
        <f t="shared" si="81"/>
        <v>0</v>
      </c>
      <c r="N567" s="259">
        <f t="shared" si="82"/>
        <v>2.576936087</v>
      </c>
      <c r="O567" s="259">
        <f t="shared" si="83"/>
        <v>2.576936087</v>
      </c>
      <c r="P567" s="586">
        <f t="shared" si="3"/>
        <v>0.00001404764153</v>
      </c>
    </row>
    <row r="568">
      <c r="A568" s="253" t="s">
        <v>1171</v>
      </c>
      <c r="B568" s="254">
        <v>5104.0</v>
      </c>
      <c r="C568" s="255" t="str">
        <f t="shared" si="77"/>
        <v>SINAPI</v>
      </c>
      <c r="D568" s="256" t="s">
        <v>286</v>
      </c>
      <c r="E568" s="257" t="str">
        <f>IFERROR(IF(D568="SINAPI-S",VLOOKUP(B568,'20-B.SINAPI-S'!A:J,2,0),IF(D568="SINAPI-I",VLOOKUP(B568,'20-A.SINAPI-I'!A:G,2,0),IF(D568="COMPOSIÇÕES",VLOOKUP(B568,'11.COMPOSIÇÕES GERAIS'!B:I,2,0),VLOOKUP(B568,'12.COT.MERCADO'!A:I,2,0)))),"Em Elaboração")</f>
        <v>REBITE DE ALUMINIO VAZADO DE REPUXO, 3,2 X 8 MM (1KG = 1025 UNIDADES)</v>
      </c>
      <c r="F568" s="258" t="str">
        <f>IFERROR(IF(D568="SINAPI-S",VLOOKUP(B568,'20-B.SINAPI-S'!A:J,3,0),IF(D568="SINAPI-I",VLOOKUP(B568,'20-A.SINAPI-I'!A:G,3,0),IF(D568="COMPOSIÇÕES",VLOOKUP(B568,'11.COMPOSIÇÕES GERAIS'!B:I,3,0),VLOOKUP(B568,'12.COT.MERCADO'!A:I,7,0)))),"Em Elaboração")</f>
        <v>KG</v>
      </c>
      <c r="G568" s="254">
        <v>2.0</v>
      </c>
      <c r="H568" s="259">
        <f>IFERROR(IF(D568="SINAPI-S",VLOOKUP(B568,'20-B.SINAPI-S'!A:J,5,0),IF(D568="SINAPI-I",VLOOKUP(B568,'20-A.SINAPI-I'!A:G,6,0),IF(D568="COMPOSIÇÕES",VLOOKUP(B568,'11.COMPOSIÇÕES GERAIS'!B:I,7,0),0))),"Em Elaboração")</f>
        <v>0</v>
      </c>
      <c r="I568" s="259">
        <f>IFERROR(IF(D568="SINAPI-S",VLOOKUP(B568,'20-B.SINAPI-S'!A:J,6,0),IF(D568="SINAPI-I",VLOOKUP(B568,'20-A.SINAPI-I'!A:G,7,0),IF(D568="COMPOSIÇÕES",VLOOKUP(B568,'11.COMPOSIÇÕES GERAIS'!B:I,8,0),VLOOKUP(B568,'12.COT.MERCADO'!A:I,8,0)))),"Em Elaboração")</f>
        <v>68.31</v>
      </c>
      <c r="J568" s="259">
        <f t="shared" si="78"/>
        <v>0</v>
      </c>
      <c r="K568" s="259">
        <f t="shared" si="79"/>
        <v>80.01386551</v>
      </c>
      <c r="L568" s="259">
        <f t="shared" si="80"/>
        <v>80.01386551</v>
      </c>
      <c r="M568" s="259">
        <f t="shared" si="81"/>
        <v>0</v>
      </c>
      <c r="N568" s="259">
        <f t="shared" si="82"/>
        <v>160.027731</v>
      </c>
      <c r="O568" s="259">
        <f t="shared" si="83"/>
        <v>160.027731</v>
      </c>
      <c r="P568" s="586">
        <f t="shared" si="3"/>
        <v>0.0008723585387</v>
      </c>
    </row>
    <row r="569">
      <c r="A569" s="261" t="s">
        <v>1172</v>
      </c>
      <c r="B569" s="262" t="s">
        <v>1173</v>
      </c>
      <c r="C569" s="44"/>
      <c r="D569" s="44"/>
      <c r="E569" s="44"/>
      <c r="F569" s="44"/>
      <c r="G569" s="44"/>
      <c r="H569" s="44"/>
      <c r="I569" s="44"/>
      <c r="J569" s="44"/>
      <c r="K569" s="44"/>
      <c r="L569" s="44"/>
      <c r="M569" s="263">
        <f t="shared" ref="M569:O569" si="84">SUM(M570:M571)</f>
        <v>0</v>
      </c>
      <c r="N569" s="263">
        <f t="shared" si="84"/>
        <v>287.9374677</v>
      </c>
      <c r="O569" s="263">
        <f t="shared" si="84"/>
        <v>287.9374677</v>
      </c>
      <c r="P569" s="593">
        <f t="shared" si="3"/>
        <v>0.001569632382</v>
      </c>
    </row>
    <row r="570">
      <c r="A570" s="253" t="s">
        <v>1174</v>
      </c>
      <c r="B570" s="254" t="s">
        <v>1175</v>
      </c>
      <c r="C570" s="255" t="str">
        <f t="shared" ref="C570:C571" si="85">IF(OR(D570="SINAPI-S",D570="SINAPI-I"),"SINAPI","PRÓPRIO")</f>
        <v>PRÓPRIO</v>
      </c>
      <c r="D570" s="256" t="s">
        <v>110</v>
      </c>
      <c r="E570" s="257" t="str">
        <f>IFERROR(IF(D570="SINAPI-S",VLOOKUP(B570,'20-B.SINAPI-S'!A:J,2,0),IF(D570="SINAPI-I",VLOOKUP(B570,'20-A.SINAPI-I'!A:G,2,0),IF(D570="COMPOSIÇÕES",VLOOKUP(B570,'11.COMPOSIÇÕES GERAIS'!B:I,2,0),VLOOKUP(B570,'12.COT.MERCADO'!A:I,2,0)))),"Em Elaboração")</f>
        <v>Rolamento 6209 ZZ/C3. REF: NSK OU SIMILAR</v>
      </c>
      <c r="F570" s="258" t="str">
        <f>IFERROR(IF(D570="SINAPI-S",VLOOKUP(B570,'20-B.SINAPI-S'!A:J,3,0),IF(D570="SINAPI-I",VLOOKUP(B570,'20-A.SINAPI-I'!A:G,3,0),IF(D570="COMPOSIÇÕES",VLOOKUP(B570,'11.COMPOSIÇÕES GERAIS'!B:I,3,0),VLOOKUP(B570,'12.COT.MERCADO'!A:I,7,0)))),"Em Elaboração")</f>
        <v>UN </v>
      </c>
      <c r="G570" s="254">
        <v>2.0</v>
      </c>
      <c r="H570" s="259">
        <f>IFERROR(IF(D570="SINAPI-S",VLOOKUP(B570,'20-B.SINAPI-S'!A:J,5,0),IF(D570="SINAPI-I",VLOOKUP(B570,'20-A.SINAPI-I'!A:G,6,0),IF(D570="COMPOSIÇÕES",VLOOKUP(B570,'11.COMPOSIÇÕES GERAIS'!B:I,7,0),0))),"Em Elaboração")</f>
        <v>0</v>
      </c>
      <c r="I570" s="259">
        <f>IFERROR(IF(D570="SINAPI-S",VLOOKUP(B570,'20-B.SINAPI-S'!A:J,6,0),IF(D570="SINAPI-I",VLOOKUP(B570,'20-A.SINAPI-I'!A:G,7,0),IF(D570="COMPOSIÇÕES",VLOOKUP(B570,'11.COMPOSIÇÕES GERAIS'!B:I,8,0),VLOOKUP(B570,'12.COT.MERCADO'!A:I,8,0)))),"Em Elaboração")</f>
        <v>56.91</v>
      </c>
      <c r="J570" s="259">
        <f t="shared" ref="J570:J571" si="86">H570*(1+$J$5)</f>
        <v>0</v>
      </c>
      <c r="K570" s="259">
        <f t="shared" ref="K570:K571" si="87">I570*(1+$J$8)</f>
        <v>66.66065124</v>
      </c>
      <c r="L570" s="259">
        <f t="shared" ref="L570:L571" si="88">SUM(J570:K570)</f>
        <v>66.66065124</v>
      </c>
      <c r="M570" s="259">
        <f t="shared" ref="M570:M571" si="89">J570*G570</f>
        <v>0</v>
      </c>
      <c r="N570" s="259">
        <f t="shared" ref="N570:N571" si="90">K570*G570</f>
        <v>133.3213025</v>
      </c>
      <c r="O570" s="259">
        <f t="shared" ref="O570:O571" si="91">SUM(M570:N570)</f>
        <v>133.3213025</v>
      </c>
      <c r="P570" s="586">
        <f t="shared" si="3"/>
        <v>0.0007267738902</v>
      </c>
    </row>
    <row r="571">
      <c r="A571" s="253" t="s">
        <v>1176</v>
      </c>
      <c r="B571" s="254" t="s">
        <v>1177</v>
      </c>
      <c r="C571" s="255" t="str">
        <f t="shared" si="85"/>
        <v>PRÓPRIO</v>
      </c>
      <c r="D571" s="256" t="s">
        <v>110</v>
      </c>
      <c r="E571" s="257" t="str">
        <f>IFERROR(IF(D571="SINAPI-S",VLOOKUP(B571,'20-B.SINAPI-S'!A:J,2,0),IF(D571="SINAPI-I",VLOOKUP(B571,'20-A.SINAPI-I'!A:G,2,0),IF(D571="COMPOSIÇÕES",VLOOKUP(B571,'11.COMPOSIÇÕES GERAIS'!B:I,2,0),VLOOKUP(B571,'12.COT.MERCADO'!A:I,2,0)))),"Em Elaboração")</f>
        <v>Rolamento Rígido de Esferas 6307-ZZ/C3. REF: NSK 6307-ZZ/C3</v>
      </c>
      <c r="F571" s="258" t="str">
        <f>IFERROR(IF(D571="SINAPI-S",VLOOKUP(B571,'20-B.SINAPI-S'!A:J,3,0),IF(D571="SINAPI-I",VLOOKUP(B571,'20-A.SINAPI-I'!A:G,3,0),IF(D571="COMPOSIÇÕES",VLOOKUP(B571,'11.COMPOSIÇÕES GERAIS'!B:I,3,0),VLOOKUP(B571,'12.COT.MERCADO'!A:I,7,0)))),"Em Elaboração")</f>
        <v>UN </v>
      </c>
      <c r="G571" s="254">
        <v>2.0</v>
      </c>
      <c r="H571" s="259">
        <f>IFERROR(IF(D571="SINAPI-S",VLOOKUP(B571,'20-B.SINAPI-S'!A:J,5,0),IF(D571="SINAPI-I",VLOOKUP(B571,'20-A.SINAPI-I'!A:G,6,0),IF(D571="COMPOSIÇÕES",VLOOKUP(B571,'11.COMPOSIÇÕES GERAIS'!B:I,7,0),0))),"Em Elaboração")</f>
        <v>0</v>
      </c>
      <c r="I571" s="259">
        <f>IFERROR(IF(D571="SINAPI-S",VLOOKUP(B571,'20-B.SINAPI-S'!A:J,6,0),IF(D571="SINAPI-I",VLOOKUP(B571,'20-A.SINAPI-I'!A:G,7,0),IF(D571="COMPOSIÇÕES",VLOOKUP(B571,'11.COMPOSIÇÕES GERAIS'!B:I,8,0),VLOOKUP(B571,'12.COT.MERCADO'!A:I,8,0)))),"Em Elaboração")</f>
        <v>66</v>
      </c>
      <c r="J571" s="259">
        <f t="shared" si="86"/>
        <v>0</v>
      </c>
      <c r="K571" s="259">
        <f t="shared" si="87"/>
        <v>77.30808262</v>
      </c>
      <c r="L571" s="259">
        <f t="shared" si="88"/>
        <v>77.30808262</v>
      </c>
      <c r="M571" s="259">
        <f t="shared" si="89"/>
        <v>0</v>
      </c>
      <c r="N571" s="259">
        <f t="shared" si="90"/>
        <v>154.6161652</v>
      </c>
      <c r="O571" s="259">
        <f t="shared" si="91"/>
        <v>154.6161652</v>
      </c>
      <c r="P571" s="586">
        <f t="shared" si="3"/>
        <v>0.0008428584915</v>
      </c>
    </row>
    <row r="572">
      <c r="A572" s="261" t="s">
        <v>1178</v>
      </c>
      <c r="B572" s="262" t="s">
        <v>1179</v>
      </c>
      <c r="C572" s="44"/>
      <c r="D572" s="44"/>
      <c r="E572" s="44"/>
      <c r="F572" s="44"/>
      <c r="G572" s="44"/>
      <c r="H572" s="44"/>
      <c r="I572" s="44"/>
      <c r="J572" s="44"/>
      <c r="K572" s="44"/>
      <c r="L572" s="44"/>
      <c r="M572" s="263">
        <f t="shared" ref="M572:O572" si="92">SUM(M573:M584)</f>
        <v>0</v>
      </c>
      <c r="N572" s="263">
        <f t="shared" si="92"/>
        <v>1246.616259</v>
      </c>
      <c r="O572" s="263">
        <f t="shared" si="92"/>
        <v>1246.616259</v>
      </c>
      <c r="P572" s="593">
        <f t="shared" si="3"/>
        <v>0.006795674294</v>
      </c>
    </row>
    <row r="573">
      <c r="A573" s="253" t="s">
        <v>1180</v>
      </c>
      <c r="B573" s="254">
        <v>6298.0</v>
      </c>
      <c r="C573" s="255" t="str">
        <f t="shared" ref="C573:C584" si="93">IF(OR(D573="SINAPI-S",D573="SINAPI-I"),"SINAPI","PRÓPRIO")</f>
        <v>SINAPI</v>
      </c>
      <c r="D573" s="256" t="s">
        <v>286</v>
      </c>
      <c r="E573" s="257" t="str">
        <f>IFERROR(IF(D573="SINAPI-S",VLOOKUP(B573,'20-B.SINAPI-S'!A:J,2,0),IF(D573="SINAPI-I",VLOOKUP(B573,'20-A.SINAPI-I'!A:G,2,0),IF(D573="COMPOSIÇÕES",VLOOKUP(B573,'11.COMPOSIÇÕES GERAIS'!B:I,2,0),VLOOKUP(B573,'12.COT.MERCADO'!A:I,2,0)))),"Em Elaboração")</f>
        <v>TE DE FERRO GALVANIZADO, DE 2"</v>
      </c>
      <c r="F573" s="258" t="str">
        <f>IFERROR(IF(D573="SINAPI-S",VLOOKUP(B573,'20-B.SINAPI-S'!A:J,3,0),IF(D573="SINAPI-I",VLOOKUP(B573,'20-A.SINAPI-I'!A:G,3,0),IF(D573="COMPOSIÇÕES",VLOOKUP(B573,'11.COMPOSIÇÕES GERAIS'!B:I,3,0),VLOOKUP(B573,'12.COT.MERCADO'!A:I,7,0)))),"Em Elaboração")</f>
        <v>UN</v>
      </c>
      <c r="G573" s="254">
        <v>1.0</v>
      </c>
      <c r="H573" s="259">
        <f>IFERROR(IF(D573="SINAPI-S",VLOOKUP(B573,'20-B.SINAPI-S'!A:J,5,0),IF(D573="SINAPI-I",VLOOKUP(B573,'20-A.SINAPI-I'!A:G,6,0),IF(D573="COMPOSIÇÕES",VLOOKUP(B573,'11.COMPOSIÇÕES GERAIS'!B:I,7,0),0))),"Em Elaboração")</f>
        <v>0</v>
      </c>
      <c r="I573" s="259">
        <f>IFERROR(IF(D573="SINAPI-S",VLOOKUP(B573,'20-B.SINAPI-S'!A:J,6,0),IF(D573="SINAPI-I",VLOOKUP(B573,'20-A.SINAPI-I'!A:G,7,0),IF(D573="COMPOSIÇÕES",VLOOKUP(B573,'11.COMPOSIÇÕES GERAIS'!B:I,8,0),VLOOKUP(B573,'12.COT.MERCADO'!A:I,8,0)))),"Em Elaboração")</f>
        <v>72.33</v>
      </c>
      <c r="J573" s="259">
        <f t="shared" ref="J573:J584" si="94">H573*(1+$J$5)</f>
        <v>0</v>
      </c>
      <c r="K573" s="259">
        <f t="shared" ref="K573:K584" si="95">I573*(1+$J$8)</f>
        <v>84.72263054</v>
      </c>
      <c r="L573" s="259">
        <f t="shared" ref="L573:L584" si="96">SUM(J573:K573)</f>
        <v>84.72263054</v>
      </c>
      <c r="M573" s="259">
        <f t="shared" ref="M573:M584" si="97">J573*G573</f>
        <v>0</v>
      </c>
      <c r="N573" s="259">
        <f t="shared" ref="N573:N584" si="98">K573*G573</f>
        <v>84.72263054</v>
      </c>
      <c r="O573" s="259">
        <f t="shared" ref="O573:O584" si="99">SUM(M573:N573)</f>
        <v>84.72263054</v>
      </c>
      <c r="P573" s="586">
        <f t="shared" si="3"/>
        <v>0.0004618481416</v>
      </c>
    </row>
    <row r="574">
      <c r="A574" s="253" t="s">
        <v>1181</v>
      </c>
      <c r="B574" s="254" t="s">
        <v>1182</v>
      </c>
      <c r="C574" s="255" t="str">
        <f t="shared" si="93"/>
        <v>PRÓPRIO</v>
      </c>
      <c r="D574" s="256" t="s">
        <v>110</v>
      </c>
      <c r="E574" s="257" t="str">
        <f>IFERROR(IF(D574="SINAPI-S",VLOOKUP(B574,'20-B.SINAPI-S'!A:J,2,0),IF(D574="SINAPI-I",VLOOKUP(B574,'20-A.SINAPI-I'!A:G,2,0),IF(D574="COMPOSIÇÕES",VLOOKUP(B574,'11.COMPOSIÇÕES GERAIS'!B:I,2,0),VLOOKUP(B574,'12.COT.MERCADO'!A:I,2,0)))),"Em Elaboração")</f>
        <v>Válvula Filtro Y em Latão com Tela Inox de 1.1/2"</v>
      </c>
      <c r="F574" s="258" t="str">
        <f>IFERROR(IF(D574="SINAPI-S",VLOOKUP(B574,'20-B.SINAPI-S'!A:J,3,0),IF(D574="SINAPI-I",VLOOKUP(B574,'20-A.SINAPI-I'!A:G,3,0),IF(D574="COMPOSIÇÕES",VLOOKUP(B574,'11.COMPOSIÇÕES GERAIS'!B:I,3,0),VLOOKUP(B574,'12.COT.MERCADO'!A:I,7,0)))),"Em Elaboração")</f>
        <v>UN </v>
      </c>
      <c r="G574" s="254">
        <v>4.0</v>
      </c>
      <c r="H574" s="259">
        <f>IFERROR(IF(D574="SINAPI-S",VLOOKUP(B574,'20-B.SINAPI-S'!A:J,5,0),IF(D574="SINAPI-I",VLOOKUP(B574,'20-A.SINAPI-I'!A:G,6,0),IF(D574="COMPOSIÇÕES",VLOOKUP(B574,'11.COMPOSIÇÕES GERAIS'!B:I,7,0),0))),"Em Elaboração")</f>
        <v>0</v>
      </c>
      <c r="I574" s="259">
        <f>IFERROR(IF(D574="SINAPI-S",VLOOKUP(B574,'20-B.SINAPI-S'!A:J,6,0),IF(D574="SINAPI-I",VLOOKUP(B574,'20-A.SINAPI-I'!A:G,7,0),IF(D574="COMPOSIÇÕES",VLOOKUP(B574,'11.COMPOSIÇÕES GERAIS'!B:I,8,0),VLOOKUP(B574,'12.COT.MERCADO'!A:I,8,0)))),"Em Elaboração")</f>
        <v>145.93</v>
      </c>
      <c r="J574" s="259">
        <f t="shared" si="94"/>
        <v>0</v>
      </c>
      <c r="K574" s="259">
        <f t="shared" si="95"/>
        <v>170.932856</v>
      </c>
      <c r="L574" s="259">
        <f t="shared" si="96"/>
        <v>170.932856</v>
      </c>
      <c r="M574" s="259">
        <f t="shared" si="97"/>
        <v>0</v>
      </c>
      <c r="N574" s="259">
        <f t="shared" si="98"/>
        <v>683.731424</v>
      </c>
      <c r="O574" s="259">
        <f t="shared" si="99"/>
        <v>683.731424</v>
      </c>
      <c r="P574" s="586">
        <f t="shared" si="3"/>
        <v>0.003727222414</v>
      </c>
    </row>
    <row r="575">
      <c r="A575" s="253" t="s">
        <v>1183</v>
      </c>
      <c r="B575" s="254">
        <v>3482.0</v>
      </c>
      <c r="C575" s="255" t="str">
        <f t="shared" si="93"/>
        <v>SINAPI</v>
      </c>
      <c r="D575" s="256" t="s">
        <v>286</v>
      </c>
      <c r="E575" s="257" t="str">
        <f>IFERROR(IF(D575="SINAPI-S",VLOOKUP(B575,'20-B.SINAPI-S'!A:J,2,0),IF(D575="SINAPI-I",VLOOKUP(B575,'20-A.SINAPI-I'!A:G,2,0),IF(D575="COMPOSIÇÕES",VLOOKUP(B575,'11.COMPOSIÇÕES GERAIS'!B:I,2,0),VLOOKUP(B575,'12.COT.MERCADO'!A:I,2,0)))),"Em Elaboração")</f>
        <v>JOELHO PVC, ROSCAVEL, 90 GRAUS, 1", COR BRANCA, PARA AGUA FRIA PREDIAL</v>
      </c>
      <c r="F575" s="258" t="str">
        <f>IFERROR(IF(D575="SINAPI-S",VLOOKUP(B575,'20-B.SINAPI-S'!A:J,3,0),IF(D575="SINAPI-I",VLOOKUP(B575,'20-A.SINAPI-I'!A:G,3,0),IF(D575="COMPOSIÇÕES",VLOOKUP(B575,'11.COMPOSIÇÕES GERAIS'!B:I,3,0),VLOOKUP(B575,'12.COT.MERCADO'!A:I,7,0)))),"Em Elaboração")</f>
        <v>UN</v>
      </c>
      <c r="G575" s="254">
        <v>4.0</v>
      </c>
      <c r="H575" s="259">
        <f>IFERROR(IF(D575="SINAPI-S",VLOOKUP(B575,'20-B.SINAPI-S'!A:J,5,0),IF(D575="SINAPI-I",VLOOKUP(B575,'20-A.SINAPI-I'!A:G,6,0),IF(D575="COMPOSIÇÕES",VLOOKUP(B575,'11.COMPOSIÇÕES GERAIS'!B:I,7,0),0))),"Em Elaboração")</f>
        <v>0</v>
      </c>
      <c r="I575" s="259">
        <f>IFERROR(IF(D575="SINAPI-S",VLOOKUP(B575,'20-B.SINAPI-S'!A:J,6,0),IF(D575="SINAPI-I",VLOOKUP(B575,'20-A.SINAPI-I'!A:G,7,0),IF(D575="COMPOSIÇÕES",VLOOKUP(B575,'11.COMPOSIÇÕES GERAIS'!B:I,8,0),VLOOKUP(B575,'12.COT.MERCADO'!A:I,8,0)))),"Em Elaboração")</f>
        <v>5.69</v>
      </c>
      <c r="J575" s="259">
        <f t="shared" si="94"/>
        <v>0</v>
      </c>
      <c r="K575" s="259">
        <f t="shared" si="95"/>
        <v>6.664893789</v>
      </c>
      <c r="L575" s="259">
        <f t="shared" si="96"/>
        <v>6.664893789</v>
      </c>
      <c r="M575" s="259">
        <f t="shared" si="97"/>
        <v>0</v>
      </c>
      <c r="N575" s="259">
        <f t="shared" si="98"/>
        <v>26.65957516</v>
      </c>
      <c r="O575" s="259">
        <f t="shared" si="99"/>
        <v>26.65957516</v>
      </c>
      <c r="P575" s="586">
        <f t="shared" si="3"/>
        <v>0.0001453292369</v>
      </c>
    </row>
    <row r="576">
      <c r="A576" s="253" t="s">
        <v>1184</v>
      </c>
      <c r="B576" s="254">
        <v>3522.0</v>
      </c>
      <c r="C576" s="255" t="str">
        <f t="shared" si="93"/>
        <v>SINAPI</v>
      </c>
      <c r="D576" s="256" t="s">
        <v>286</v>
      </c>
      <c r="E576" s="257" t="str">
        <f>IFERROR(IF(D576="SINAPI-S",VLOOKUP(B576,'20-B.SINAPI-S'!A:J,2,0),IF(D576="SINAPI-I",VLOOKUP(B576,'20-A.SINAPI-I'!A:G,2,0),IF(D576="COMPOSIÇÕES",VLOOKUP(B576,'11.COMPOSIÇÕES GERAIS'!B:I,2,0),VLOOKUP(B576,'12.COT.MERCADO'!A:I,2,0)))),"Em Elaboração")</f>
        <v>JOELHO PVC, SOLDAVEL COM ROSCA, 90 GRAUS, 25 MM X 3/4", COR MARROM, PARA AGUA FRIA PREDIAL</v>
      </c>
      <c r="F576" s="258" t="str">
        <f>IFERROR(IF(D576="SINAPI-S",VLOOKUP(B576,'20-B.SINAPI-S'!A:J,3,0),IF(D576="SINAPI-I",VLOOKUP(B576,'20-A.SINAPI-I'!A:G,3,0),IF(D576="COMPOSIÇÕES",VLOOKUP(B576,'11.COMPOSIÇÕES GERAIS'!B:I,3,0),VLOOKUP(B576,'12.COT.MERCADO'!A:I,7,0)))),"Em Elaboração")</f>
        <v>UN</v>
      </c>
      <c r="G576" s="254">
        <v>4.0</v>
      </c>
      <c r="H576" s="259">
        <f>IFERROR(IF(D576="SINAPI-S",VLOOKUP(B576,'20-B.SINAPI-S'!A:J,5,0),IF(D576="SINAPI-I",VLOOKUP(B576,'20-A.SINAPI-I'!A:G,6,0),IF(D576="COMPOSIÇÕES",VLOOKUP(B576,'11.COMPOSIÇÕES GERAIS'!B:I,7,0),0))),"Em Elaboração")</f>
        <v>0</v>
      </c>
      <c r="I576" s="259">
        <f>IFERROR(IF(D576="SINAPI-S",VLOOKUP(B576,'20-B.SINAPI-S'!A:J,6,0),IF(D576="SINAPI-I",VLOOKUP(B576,'20-A.SINAPI-I'!A:G,7,0),IF(D576="COMPOSIÇÕES",VLOOKUP(B576,'11.COMPOSIÇÕES GERAIS'!B:I,8,0),VLOOKUP(B576,'12.COT.MERCADO'!A:I,8,0)))),"Em Elaboração")</f>
        <v>2.54</v>
      </c>
      <c r="J576" s="259">
        <f t="shared" si="94"/>
        <v>0</v>
      </c>
      <c r="K576" s="259">
        <f t="shared" si="95"/>
        <v>2.975189846</v>
      </c>
      <c r="L576" s="259">
        <f t="shared" si="96"/>
        <v>2.975189846</v>
      </c>
      <c r="M576" s="259">
        <f t="shared" si="97"/>
        <v>0</v>
      </c>
      <c r="N576" s="259">
        <f t="shared" si="98"/>
        <v>11.90075938</v>
      </c>
      <c r="O576" s="259">
        <f t="shared" si="99"/>
        <v>11.90075938</v>
      </c>
      <c r="P576" s="586">
        <f t="shared" si="3"/>
        <v>0.00006487456268</v>
      </c>
    </row>
    <row r="577">
      <c r="A577" s="253" t="s">
        <v>1185</v>
      </c>
      <c r="B577" s="254">
        <v>3908.0</v>
      </c>
      <c r="C577" s="255" t="str">
        <f t="shared" si="93"/>
        <v>SINAPI</v>
      </c>
      <c r="D577" s="256" t="s">
        <v>286</v>
      </c>
      <c r="E577" s="257" t="str">
        <f>IFERROR(IF(D577="SINAPI-S",VLOOKUP(B577,'20-B.SINAPI-S'!A:J,2,0),IF(D577="SINAPI-I",VLOOKUP(B577,'20-A.SINAPI-I'!A:G,2,0),IF(D577="COMPOSIÇÕES",VLOOKUP(B577,'11.COMPOSIÇÕES GERAIS'!B:I,2,0),VLOOKUP(B577,'12.COT.MERCADO'!A:I,2,0)))),"Em Elaboração")</f>
        <v>LUVA DE FERRO GALVANIZADO, COM ROSCA BSP, DE 1/2"</v>
      </c>
      <c r="F577" s="258" t="str">
        <f>IFERROR(IF(D577="SINAPI-S",VLOOKUP(B577,'20-B.SINAPI-S'!A:J,3,0),IF(D577="SINAPI-I",VLOOKUP(B577,'20-A.SINAPI-I'!A:G,3,0),IF(D577="COMPOSIÇÕES",VLOOKUP(B577,'11.COMPOSIÇÕES GERAIS'!B:I,3,0),VLOOKUP(B577,'12.COT.MERCADO'!A:I,7,0)))),"Em Elaboração")</f>
        <v>UN</v>
      </c>
      <c r="G577" s="254">
        <v>4.0</v>
      </c>
      <c r="H577" s="259">
        <f>IFERROR(IF(D577="SINAPI-S",VLOOKUP(B577,'20-B.SINAPI-S'!A:J,5,0),IF(D577="SINAPI-I",VLOOKUP(B577,'20-A.SINAPI-I'!A:G,6,0),IF(D577="COMPOSIÇÕES",VLOOKUP(B577,'11.COMPOSIÇÕES GERAIS'!B:I,7,0),0))),"Em Elaboração")</f>
        <v>0</v>
      </c>
      <c r="I577" s="259">
        <f>IFERROR(IF(D577="SINAPI-S",VLOOKUP(B577,'20-B.SINAPI-S'!A:J,6,0),IF(D577="SINAPI-I",VLOOKUP(B577,'20-A.SINAPI-I'!A:G,7,0),IF(D577="COMPOSIÇÕES",VLOOKUP(B577,'11.COMPOSIÇÕES GERAIS'!B:I,8,0),VLOOKUP(B577,'12.COT.MERCADO'!A:I,8,0)))),"Em Elaboração")</f>
        <v>6.61</v>
      </c>
      <c r="J577" s="259">
        <f t="shared" si="94"/>
        <v>0</v>
      </c>
      <c r="K577" s="259">
        <f t="shared" si="95"/>
        <v>7.742521608</v>
      </c>
      <c r="L577" s="259">
        <f t="shared" si="96"/>
        <v>7.742521608</v>
      </c>
      <c r="M577" s="259">
        <f t="shared" si="97"/>
        <v>0</v>
      </c>
      <c r="N577" s="259">
        <f t="shared" si="98"/>
        <v>30.97008643</v>
      </c>
      <c r="O577" s="259">
        <f t="shared" si="99"/>
        <v>30.97008643</v>
      </c>
      <c r="P577" s="586">
        <f t="shared" si="3"/>
        <v>0.00016882711</v>
      </c>
    </row>
    <row r="578">
      <c r="A578" s="253" t="s">
        <v>1186</v>
      </c>
      <c r="B578" s="254">
        <v>12404.0</v>
      </c>
      <c r="C578" s="255" t="str">
        <f t="shared" si="93"/>
        <v>SINAPI</v>
      </c>
      <c r="D578" s="256" t="s">
        <v>286</v>
      </c>
      <c r="E578" s="257" t="str">
        <f>IFERROR(IF(D578="SINAPI-S",VLOOKUP(B578,'20-B.SINAPI-S'!A:J,2,0),IF(D578="SINAPI-I",VLOOKUP(B578,'20-A.SINAPI-I'!A:G,2,0),IF(D578="COMPOSIÇÕES",VLOOKUP(B578,'11.COMPOSIÇÕES GERAIS'!B:I,2,0),VLOOKUP(B578,'12.COT.MERCADO'!A:I,2,0)))),"Em Elaboração")</f>
        <v>LUVA DE FERRO GALVANIZADO, COM ROSCA BSP MACHO/FEMEA, DE 3/4"</v>
      </c>
      <c r="F578" s="258" t="str">
        <f>IFERROR(IF(D578="SINAPI-S",VLOOKUP(B578,'20-B.SINAPI-S'!A:J,3,0),IF(D578="SINAPI-I",VLOOKUP(B578,'20-A.SINAPI-I'!A:G,3,0),IF(D578="COMPOSIÇÕES",VLOOKUP(B578,'11.COMPOSIÇÕES GERAIS'!B:I,3,0),VLOOKUP(B578,'12.COT.MERCADO'!A:I,7,0)))),"Em Elaboração")</f>
        <v>UN</v>
      </c>
      <c r="G578" s="254">
        <v>4.0</v>
      </c>
      <c r="H578" s="259">
        <f>IFERROR(IF(D578="SINAPI-S",VLOOKUP(B578,'20-B.SINAPI-S'!A:J,5,0),IF(D578="SINAPI-I",VLOOKUP(B578,'20-A.SINAPI-I'!A:G,6,0),IF(D578="COMPOSIÇÕES",VLOOKUP(B578,'11.COMPOSIÇÕES GERAIS'!B:I,7,0),0))),"Em Elaboração")</f>
        <v>0</v>
      </c>
      <c r="I578" s="259">
        <f>IFERROR(IF(D578="SINAPI-S",VLOOKUP(B578,'20-B.SINAPI-S'!A:J,6,0),IF(D578="SINAPI-I",VLOOKUP(B578,'20-A.SINAPI-I'!A:G,7,0),IF(D578="COMPOSIÇÕES",VLOOKUP(B578,'11.COMPOSIÇÕES GERAIS'!B:I,8,0),VLOOKUP(B578,'12.COT.MERCADO'!A:I,8,0)))),"Em Elaboração")</f>
        <v>12.14</v>
      </c>
      <c r="J578" s="259">
        <f t="shared" si="94"/>
        <v>0</v>
      </c>
      <c r="K578" s="259">
        <f t="shared" si="95"/>
        <v>14.22000186</v>
      </c>
      <c r="L578" s="259">
        <f t="shared" si="96"/>
        <v>14.22000186</v>
      </c>
      <c r="M578" s="259">
        <f t="shared" si="97"/>
        <v>0</v>
      </c>
      <c r="N578" s="259">
        <f t="shared" si="98"/>
        <v>56.88000745</v>
      </c>
      <c r="O578" s="259">
        <f t="shared" si="99"/>
        <v>56.88000745</v>
      </c>
      <c r="P578" s="586">
        <f t="shared" si="3"/>
        <v>0.0003100697602</v>
      </c>
    </row>
    <row r="579">
      <c r="A579" s="253" t="s">
        <v>1187</v>
      </c>
      <c r="B579" s="254">
        <v>3925.0</v>
      </c>
      <c r="C579" s="255" t="str">
        <f t="shared" si="93"/>
        <v>SINAPI</v>
      </c>
      <c r="D579" s="256" t="s">
        <v>286</v>
      </c>
      <c r="E579" s="257" t="str">
        <f>IFERROR(IF(D579="SINAPI-S",VLOOKUP(B579,'20-B.SINAPI-S'!A:J,2,0),IF(D579="SINAPI-I",VLOOKUP(B579,'20-A.SINAPI-I'!A:G,2,0),IF(D579="COMPOSIÇÕES",VLOOKUP(B579,'11.COMPOSIÇÕES GERAIS'!B:I,2,0),VLOOKUP(B579,'12.COT.MERCADO'!A:I,2,0)))),"Em Elaboração")</f>
        <v>LUVA DE REDUCAO DE FERRO GALVANIZADO, COM ROSCA BSP, DE 2" X 1"</v>
      </c>
      <c r="F579" s="258" t="str">
        <f>IFERROR(IF(D579="SINAPI-S",VLOOKUP(B579,'20-B.SINAPI-S'!A:J,3,0),IF(D579="SINAPI-I",VLOOKUP(B579,'20-A.SINAPI-I'!A:G,3,0),IF(D579="COMPOSIÇÕES",VLOOKUP(B579,'11.COMPOSIÇÕES GERAIS'!B:I,3,0),VLOOKUP(B579,'12.COT.MERCADO'!A:I,7,0)))),"Em Elaboração")</f>
        <v>UN</v>
      </c>
      <c r="G579" s="254">
        <v>1.0</v>
      </c>
      <c r="H579" s="259">
        <f>IFERROR(IF(D579="SINAPI-S",VLOOKUP(B579,'20-B.SINAPI-S'!A:J,5,0),IF(D579="SINAPI-I",VLOOKUP(B579,'20-A.SINAPI-I'!A:G,6,0),IF(D579="COMPOSIÇÕES",VLOOKUP(B579,'11.COMPOSIÇÕES GERAIS'!B:I,7,0),0))),"Em Elaboração")</f>
        <v>0</v>
      </c>
      <c r="I579" s="259">
        <f>IFERROR(IF(D579="SINAPI-S",VLOOKUP(B579,'20-B.SINAPI-S'!A:J,6,0),IF(D579="SINAPI-I",VLOOKUP(B579,'20-A.SINAPI-I'!A:G,7,0),IF(D579="COMPOSIÇÕES",VLOOKUP(B579,'11.COMPOSIÇÕES GERAIS'!B:I,8,0),VLOOKUP(B579,'12.COT.MERCADO'!A:I,8,0)))),"Em Elaboração")</f>
        <v>42.53</v>
      </c>
      <c r="J579" s="259">
        <f t="shared" si="94"/>
        <v>0</v>
      </c>
      <c r="K579" s="259">
        <f t="shared" si="95"/>
        <v>49.81685991</v>
      </c>
      <c r="L579" s="259">
        <f t="shared" si="96"/>
        <v>49.81685991</v>
      </c>
      <c r="M579" s="259">
        <f t="shared" si="97"/>
        <v>0</v>
      </c>
      <c r="N579" s="259">
        <f t="shared" si="98"/>
        <v>49.81685991</v>
      </c>
      <c r="O579" s="259">
        <f t="shared" si="99"/>
        <v>49.81685991</v>
      </c>
      <c r="P579" s="586">
        <f t="shared" si="3"/>
        <v>0.0002715664518</v>
      </c>
    </row>
    <row r="580">
      <c r="A580" s="253" t="s">
        <v>1188</v>
      </c>
      <c r="B580" s="254">
        <v>12410.0</v>
      </c>
      <c r="C580" s="255" t="str">
        <f t="shared" si="93"/>
        <v>SINAPI</v>
      </c>
      <c r="D580" s="256" t="s">
        <v>286</v>
      </c>
      <c r="E580" s="257" t="str">
        <f>IFERROR(IF(D580="SINAPI-S",VLOOKUP(B580,'20-B.SINAPI-S'!A:J,2,0),IF(D580="SINAPI-I",VLOOKUP(B580,'20-A.SINAPI-I'!A:G,2,0),IF(D580="COMPOSIÇÕES",VLOOKUP(B580,'11.COMPOSIÇÕES GERAIS'!B:I,2,0),VLOOKUP(B580,'12.COT.MERCADO'!A:I,2,0)))),"Em Elaboração")</f>
        <v>LUVA DE REDUCAO DE FERRO GALVANIZADO, COM ROSCA BSP MACHO/FEMEA, DE 3/4" X 1/2"</v>
      </c>
      <c r="F580" s="258" t="str">
        <f>IFERROR(IF(D580="SINAPI-S",VLOOKUP(B580,'20-B.SINAPI-S'!A:J,3,0),IF(D580="SINAPI-I",VLOOKUP(B580,'20-A.SINAPI-I'!A:G,3,0),IF(D580="COMPOSIÇÕES",VLOOKUP(B580,'11.COMPOSIÇÕES GERAIS'!B:I,3,0),VLOOKUP(B580,'12.COT.MERCADO'!A:I,7,0)))),"Em Elaboração")</f>
        <v>UN</v>
      </c>
      <c r="G580" s="254">
        <v>4.0</v>
      </c>
      <c r="H580" s="259">
        <f>IFERROR(IF(D580="SINAPI-S",VLOOKUP(B580,'20-B.SINAPI-S'!A:J,5,0),IF(D580="SINAPI-I",VLOOKUP(B580,'20-A.SINAPI-I'!A:G,6,0),IF(D580="COMPOSIÇÕES",VLOOKUP(B580,'11.COMPOSIÇÕES GERAIS'!B:I,7,0),0))),"Em Elaboração")</f>
        <v>0</v>
      </c>
      <c r="I580" s="259">
        <f>IFERROR(IF(D580="SINAPI-S",VLOOKUP(B580,'20-B.SINAPI-S'!A:J,6,0),IF(D580="SINAPI-I",VLOOKUP(B580,'20-A.SINAPI-I'!A:G,7,0),IF(D580="COMPOSIÇÕES",VLOOKUP(B580,'11.COMPOSIÇÕES GERAIS'!B:I,8,0),VLOOKUP(B580,'12.COT.MERCADO'!A:I,8,0)))),"Em Elaboração")</f>
        <v>14.7</v>
      </c>
      <c r="J580" s="259">
        <f t="shared" si="94"/>
        <v>0</v>
      </c>
      <c r="K580" s="259">
        <f t="shared" si="95"/>
        <v>17.2186184</v>
      </c>
      <c r="L580" s="259">
        <f t="shared" si="96"/>
        <v>17.2186184</v>
      </c>
      <c r="M580" s="259">
        <f t="shared" si="97"/>
        <v>0</v>
      </c>
      <c r="N580" s="259">
        <f t="shared" si="98"/>
        <v>68.87447361</v>
      </c>
      <c r="O580" s="259">
        <f t="shared" si="99"/>
        <v>68.87447361</v>
      </c>
      <c r="P580" s="586">
        <f t="shared" si="3"/>
        <v>0.0003754551462</v>
      </c>
    </row>
    <row r="581">
      <c r="A581" s="253" t="s">
        <v>1189</v>
      </c>
      <c r="B581" s="254">
        <v>6016.0</v>
      </c>
      <c r="C581" s="255" t="str">
        <f t="shared" si="93"/>
        <v>SINAPI</v>
      </c>
      <c r="D581" s="256" t="s">
        <v>286</v>
      </c>
      <c r="E581" s="257" t="str">
        <f>IFERROR(IF(D581="SINAPI-S",VLOOKUP(B581,'20-B.SINAPI-S'!A:J,2,0),IF(D581="SINAPI-I",VLOOKUP(B581,'20-A.SINAPI-I'!A:G,2,0),IF(D581="COMPOSIÇÕES",VLOOKUP(B581,'11.COMPOSIÇÕES GERAIS'!B:I,2,0),VLOOKUP(B581,'12.COT.MERCADO'!A:I,2,0)))),"Em Elaboração")</f>
        <v>REGISTRO GAVETA BRUTO EM LATAO FORJADO, BITOLA 3/4 " (REF 1509)</v>
      </c>
      <c r="F581" s="258" t="str">
        <f>IFERROR(IF(D581="SINAPI-S",VLOOKUP(B581,'20-B.SINAPI-S'!A:J,3,0),IF(D581="SINAPI-I",VLOOKUP(B581,'20-A.SINAPI-I'!A:G,3,0),IF(D581="COMPOSIÇÕES",VLOOKUP(B581,'11.COMPOSIÇÕES GERAIS'!B:I,3,0),VLOOKUP(B581,'12.COT.MERCADO'!A:I,7,0)))),"Em Elaboração")</f>
        <v>UN</v>
      </c>
      <c r="G581" s="254">
        <v>3.0</v>
      </c>
      <c r="H581" s="259">
        <f>IFERROR(IF(D581="SINAPI-S",VLOOKUP(B581,'20-B.SINAPI-S'!A:J,5,0),IF(D581="SINAPI-I",VLOOKUP(B581,'20-A.SINAPI-I'!A:G,6,0),IF(D581="COMPOSIÇÕES",VLOOKUP(B581,'11.COMPOSIÇÕES GERAIS'!B:I,7,0),0))),"Em Elaboração")</f>
        <v>0</v>
      </c>
      <c r="I581" s="259">
        <f>IFERROR(IF(D581="SINAPI-S",VLOOKUP(B581,'20-B.SINAPI-S'!A:J,6,0),IF(D581="SINAPI-I",VLOOKUP(B581,'20-A.SINAPI-I'!A:G,7,0),IF(D581="COMPOSIÇÕES",VLOOKUP(B581,'11.COMPOSIÇÕES GERAIS'!B:I,8,0),VLOOKUP(B581,'12.COT.MERCADO'!A:I,8,0)))),"Em Elaboração")</f>
        <v>38.51</v>
      </c>
      <c r="J581" s="259">
        <f t="shared" si="94"/>
        <v>0</v>
      </c>
      <c r="K581" s="259">
        <f t="shared" si="95"/>
        <v>45.10809487</v>
      </c>
      <c r="L581" s="259">
        <f t="shared" si="96"/>
        <v>45.10809487</v>
      </c>
      <c r="M581" s="259">
        <f t="shared" si="97"/>
        <v>0</v>
      </c>
      <c r="N581" s="259">
        <f t="shared" si="98"/>
        <v>135.3242846</v>
      </c>
      <c r="O581" s="259">
        <f t="shared" si="99"/>
        <v>135.3242846</v>
      </c>
      <c r="P581" s="586">
        <f t="shared" si="3"/>
        <v>0.0007376927388</v>
      </c>
    </row>
    <row r="582">
      <c r="A582" s="253" t="s">
        <v>1190</v>
      </c>
      <c r="B582" s="254">
        <v>4177.0</v>
      </c>
      <c r="C582" s="255" t="str">
        <f t="shared" si="93"/>
        <v>SINAPI</v>
      </c>
      <c r="D582" s="256" t="s">
        <v>286</v>
      </c>
      <c r="E582" s="257" t="str">
        <f>IFERROR(IF(D582="SINAPI-S",VLOOKUP(B582,'20-B.SINAPI-S'!A:J,2,0),IF(D582="SINAPI-I",VLOOKUP(B582,'20-A.SINAPI-I'!A:G,2,0),IF(D582="COMPOSIÇÕES",VLOOKUP(B582,'11.COMPOSIÇÕES GERAIS'!B:I,2,0),VLOOKUP(B582,'12.COT.MERCADO'!A:I,2,0)))),"Em Elaboração")</f>
        <v>NIPLE DE FERRO GALVANIZADO, COM ROSCA BSP, DE 1/2"</v>
      </c>
      <c r="F582" s="258" t="str">
        <f>IFERROR(IF(D582="SINAPI-S",VLOOKUP(B582,'20-B.SINAPI-S'!A:J,3,0),IF(D582="SINAPI-I",VLOOKUP(B582,'20-A.SINAPI-I'!A:G,3,0),IF(D582="COMPOSIÇÕES",VLOOKUP(B582,'11.COMPOSIÇÕES GERAIS'!B:I,3,0),VLOOKUP(B582,'12.COT.MERCADO'!A:I,7,0)))),"Em Elaboração")</f>
        <v>UN</v>
      </c>
      <c r="G582" s="254">
        <v>4.0</v>
      </c>
      <c r="H582" s="259">
        <f>IFERROR(IF(D582="SINAPI-S",VLOOKUP(B582,'20-B.SINAPI-S'!A:J,5,0),IF(D582="SINAPI-I",VLOOKUP(B582,'20-A.SINAPI-I'!A:G,6,0),IF(D582="COMPOSIÇÕES",VLOOKUP(B582,'11.COMPOSIÇÕES GERAIS'!B:I,7,0),0))),"Em Elaboração")</f>
        <v>0</v>
      </c>
      <c r="I582" s="259">
        <f>IFERROR(IF(D582="SINAPI-S",VLOOKUP(B582,'20-B.SINAPI-S'!A:J,6,0),IF(D582="SINAPI-I",VLOOKUP(B582,'20-A.SINAPI-I'!A:G,7,0),IF(D582="COMPOSIÇÕES",VLOOKUP(B582,'11.COMPOSIÇÕES GERAIS'!B:I,8,0),VLOOKUP(B582,'12.COT.MERCADO'!A:I,8,0)))),"Em Elaboração")</f>
        <v>6.16</v>
      </c>
      <c r="J582" s="259">
        <f t="shared" si="94"/>
        <v>0</v>
      </c>
      <c r="K582" s="259">
        <f t="shared" si="95"/>
        <v>7.215421044</v>
      </c>
      <c r="L582" s="259">
        <f t="shared" si="96"/>
        <v>7.215421044</v>
      </c>
      <c r="M582" s="259">
        <f t="shared" si="97"/>
        <v>0</v>
      </c>
      <c r="N582" s="259">
        <f t="shared" si="98"/>
        <v>28.86168418</v>
      </c>
      <c r="O582" s="259">
        <f t="shared" si="99"/>
        <v>28.86168418</v>
      </c>
      <c r="P582" s="586">
        <f t="shared" si="3"/>
        <v>0.0001573335851</v>
      </c>
    </row>
    <row r="583">
      <c r="A583" s="253" t="s">
        <v>1191</v>
      </c>
      <c r="B583" s="254">
        <v>4178.0</v>
      </c>
      <c r="C583" s="255" t="str">
        <f t="shared" si="93"/>
        <v>SINAPI</v>
      </c>
      <c r="D583" s="256" t="s">
        <v>286</v>
      </c>
      <c r="E583" s="257" t="str">
        <f>IFERROR(IF(D583="SINAPI-S",VLOOKUP(B583,'20-B.SINAPI-S'!A:J,2,0),IF(D583="SINAPI-I",VLOOKUP(B583,'20-A.SINAPI-I'!A:G,2,0),IF(D583="COMPOSIÇÕES",VLOOKUP(B583,'11.COMPOSIÇÕES GERAIS'!B:I,2,0),VLOOKUP(B583,'12.COT.MERCADO'!A:I,2,0)))),"Em Elaboração")</f>
        <v>NIPLE DE FERRO GALVANIZADO, COM ROSCA BSP, DE 3/4"</v>
      </c>
      <c r="F583" s="258" t="str">
        <f>IFERROR(IF(D583="SINAPI-S",VLOOKUP(B583,'20-B.SINAPI-S'!A:J,3,0),IF(D583="SINAPI-I",VLOOKUP(B583,'20-A.SINAPI-I'!A:G,3,0),IF(D583="COMPOSIÇÕES",VLOOKUP(B583,'11.COMPOSIÇÕES GERAIS'!B:I,3,0),VLOOKUP(B583,'12.COT.MERCADO'!A:I,7,0)))),"Em Elaboração")</f>
        <v>UN</v>
      </c>
      <c r="G583" s="254">
        <v>4.0</v>
      </c>
      <c r="H583" s="259">
        <f>IFERROR(IF(D583="SINAPI-S",VLOOKUP(B583,'20-B.SINAPI-S'!A:J,5,0),IF(D583="SINAPI-I",VLOOKUP(B583,'20-A.SINAPI-I'!A:G,6,0),IF(D583="COMPOSIÇÕES",VLOOKUP(B583,'11.COMPOSIÇÕES GERAIS'!B:I,7,0),0))),"Em Elaboração")</f>
        <v>0</v>
      </c>
      <c r="I583" s="259">
        <f>IFERROR(IF(D583="SINAPI-S",VLOOKUP(B583,'20-B.SINAPI-S'!A:J,6,0),IF(D583="SINAPI-I",VLOOKUP(B583,'20-A.SINAPI-I'!A:G,7,0),IF(D583="COMPOSIÇÕES",VLOOKUP(B583,'11.COMPOSIÇÕES GERAIS'!B:I,8,0),VLOOKUP(B583,'12.COT.MERCADO'!A:I,8,0)))),"Em Elaboração")</f>
        <v>8.54</v>
      </c>
      <c r="J583" s="259">
        <f t="shared" si="94"/>
        <v>0</v>
      </c>
      <c r="K583" s="259">
        <f t="shared" si="95"/>
        <v>10.00319736</v>
      </c>
      <c r="L583" s="259">
        <f t="shared" si="96"/>
        <v>10.00319736</v>
      </c>
      <c r="M583" s="259">
        <f t="shared" si="97"/>
        <v>0</v>
      </c>
      <c r="N583" s="259">
        <f t="shared" si="98"/>
        <v>40.01278943</v>
      </c>
      <c r="O583" s="259">
        <f t="shared" si="99"/>
        <v>40.01278943</v>
      </c>
      <c r="P583" s="586">
        <f t="shared" si="3"/>
        <v>0.0002181215611</v>
      </c>
    </row>
    <row r="584">
      <c r="A584" s="253" t="s">
        <v>1192</v>
      </c>
      <c r="B584" s="254">
        <v>4209.0</v>
      </c>
      <c r="C584" s="255" t="str">
        <f t="shared" si="93"/>
        <v>SINAPI</v>
      </c>
      <c r="D584" s="256" t="s">
        <v>286</v>
      </c>
      <c r="E584" s="257" t="str">
        <f>IFERROR(IF(D584="SINAPI-S",VLOOKUP(B584,'20-B.SINAPI-S'!A:J,2,0),IF(D584="SINAPI-I",VLOOKUP(B584,'20-A.SINAPI-I'!A:G,2,0),IF(D584="COMPOSIÇÕES",VLOOKUP(B584,'11.COMPOSIÇÕES GERAIS'!B:I,2,0),VLOOKUP(B584,'12.COT.MERCADO'!A:I,2,0)))),"Em Elaboração")</f>
        <v>NIPLE DE FERRO GALVANIZADO, COM ROSCA BSP, DE 1 1/2"</v>
      </c>
      <c r="F584" s="258" t="str">
        <f>IFERROR(IF(D584="SINAPI-S",VLOOKUP(B584,'20-B.SINAPI-S'!A:J,3,0),IF(D584="SINAPI-I",VLOOKUP(B584,'20-A.SINAPI-I'!A:G,3,0),IF(D584="COMPOSIÇÕES",VLOOKUP(B584,'11.COMPOSIÇÕES GERAIS'!B:I,3,0),VLOOKUP(B584,'12.COT.MERCADO'!A:I,7,0)))),"Em Elaboração")</f>
        <v>UN</v>
      </c>
      <c r="G584" s="254">
        <v>1.0</v>
      </c>
      <c r="H584" s="259">
        <f>IFERROR(IF(D584="SINAPI-S",VLOOKUP(B584,'20-B.SINAPI-S'!A:J,5,0),IF(D584="SINAPI-I",VLOOKUP(B584,'20-A.SINAPI-I'!A:G,6,0),IF(D584="COMPOSIÇÕES",VLOOKUP(B584,'11.COMPOSIÇÕES GERAIS'!B:I,7,0),0))),"Em Elaboração")</f>
        <v>0</v>
      </c>
      <c r="I584" s="259">
        <f>IFERROR(IF(D584="SINAPI-S",VLOOKUP(B584,'20-B.SINAPI-S'!A:J,6,0),IF(D584="SINAPI-I",VLOOKUP(B584,'20-A.SINAPI-I'!A:G,7,0),IF(D584="COMPOSIÇÕES",VLOOKUP(B584,'11.COMPOSIÇÕES GERAIS'!B:I,8,0),VLOOKUP(B584,'12.COT.MERCADO'!A:I,8,0)))),"Em Elaboração")</f>
        <v>24.64</v>
      </c>
      <c r="J584" s="259">
        <f t="shared" si="94"/>
        <v>0</v>
      </c>
      <c r="K584" s="259">
        <f t="shared" si="95"/>
        <v>28.86168418</v>
      </c>
      <c r="L584" s="259">
        <f t="shared" si="96"/>
        <v>28.86168418</v>
      </c>
      <c r="M584" s="259">
        <f t="shared" si="97"/>
        <v>0</v>
      </c>
      <c r="N584" s="259">
        <f t="shared" si="98"/>
        <v>28.86168418</v>
      </c>
      <c r="O584" s="259">
        <f t="shared" si="99"/>
        <v>28.86168418</v>
      </c>
      <c r="P584" s="586">
        <f t="shared" si="3"/>
        <v>0.0001573335851</v>
      </c>
    </row>
    <row r="585">
      <c r="A585" s="261" t="s">
        <v>1193</v>
      </c>
      <c r="B585" s="262" t="s">
        <v>1194</v>
      </c>
      <c r="C585" s="44"/>
      <c r="D585" s="44"/>
      <c r="E585" s="44"/>
      <c r="F585" s="44"/>
      <c r="G585" s="44"/>
      <c r="H585" s="44"/>
      <c r="I585" s="44"/>
      <c r="J585" s="44"/>
      <c r="K585" s="44"/>
      <c r="L585" s="44"/>
      <c r="M585" s="263">
        <f t="shared" ref="M585:O585" si="100">SUM(M586:M622)</f>
        <v>0</v>
      </c>
      <c r="N585" s="263">
        <f t="shared" si="100"/>
        <v>14445.00926</v>
      </c>
      <c r="O585" s="263">
        <f t="shared" si="100"/>
        <v>14445.00926</v>
      </c>
      <c r="P585" s="593">
        <f t="shared" si="3"/>
        <v>0.078744022</v>
      </c>
    </row>
    <row r="586">
      <c r="A586" s="253" t="s">
        <v>1195</v>
      </c>
      <c r="B586" s="254">
        <v>11950.0</v>
      </c>
      <c r="C586" s="255" t="str">
        <f t="shared" ref="C586:C622" si="101">IF(OR(D586="SINAPI-S",D586="SINAPI-I"),"SINAPI","PRÓPRIO")</f>
        <v>SINAPI</v>
      </c>
      <c r="D586" s="256" t="s">
        <v>286</v>
      </c>
      <c r="E586" s="257" t="str">
        <f>IFERROR(IF(D586="SINAPI-S",VLOOKUP(B586,'20-B.SINAPI-S'!A:J,2,0),IF(D586="SINAPI-I",VLOOKUP(B586,'20-A.SINAPI-I'!A:G,2,0),IF(D586="COMPOSIÇÕES",VLOOKUP(B586,'11.COMPOSIÇÕES GERAIS'!B:I,2,0),VLOOKUP(B586,'12.COT.MERCADO'!A:I,2,0)))),"Em Elaboração")</f>
        <v>BUCHA DE NYLON SEM ABA S6, COM PARAFUSO DE 4,20 X 40 MM EM ACO ZINCADO COM ROSCA SOBERBA, CABECA CHATA E FENDA PHILLIPS</v>
      </c>
      <c r="F586" s="258" t="str">
        <f>IFERROR(IF(D586="SINAPI-S",VLOOKUP(B586,'20-B.SINAPI-S'!A:J,3,0),IF(D586="SINAPI-I",VLOOKUP(B586,'20-A.SINAPI-I'!A:G,3,0),IF(D586="COMPOSIÇÕES",VLOOKUP(B586,'11.COMPOSIÇÕES GERAIS'!B:I,3,0),VLOOKUP(B586,'12.COT.MERCADO'!A:I,7,0)))),"Em Elaboração")</f>
        <v>UN</v>
      </c>
      <c r="G586" s="254">
        <v>1.0</v>
      </c>
      <c r="H586" s="259">
        <f>IFERROR(IF(D586="SINAPI-S",VLOOKUP(B586,'20-B.SINAPI-S'!A:J,5,0),IF(D586="SINAPI-I",VLOOKUP(B586,'20-A.SINAPI-I'!A:G,6,0),IF(D586="COMPOSIÇÕES",VLOOKUP(B586,'11.COMPOSIÇÕES GERAIS'!B:I,7,0),0))),"Em Elaboração")</f>
        <v>0</v>
      </c>
      <c r="I586" s="259">
        <f>IFERROR(IF(D586="SINAPI-S",VLOOKUP(B586,'20-B.SINAPI-S'!A:J,6,0),IF(D586="SINAPI-I",VLOOKUP(B586,'20-A.SINAPI-I'!A:G,7,0),IF(D586="COMPOSIÇÕES",VLOOKUP(B586,'11.COMPOSIÇÕES GERAIS'!B:I,8,0),VLOOKUP(B586,'12.COT.MERCADO'!A:I,8,0)))),"Em Elaboração")</f>
        <v>0.24</v>
      </c>
      <c r="J586" s="259">
        <f t="shared" ref="J586:J622" si="102">H586*(1+$J$5)</f>
        <v>0</v>
      </c>
      <c r="K586" s="259">
        <f t="shared" ref="K586:K622" si="103">I586*(1+$J$8)</f>
        <v>0.2811203004</v>
      </c>
      <c r="L586" s="259">
        <f t="shared" ref="L586:L622" si="104">SUM(J586:K586)</f>
        <v>0.2811203004</v>
      </c>
      <c r="M586" s="259">
        <f t="shared" ref="M586:M622" si="105">J586*G586</f>
        <v>0</v>
      </c>
      <c r="N586" s="259">
        <f t="shared" ref="N586:N622" si="106">K586*G586</f>
        <v>0.2811203004</v>
      </c>
      <c r="O586" s="259">
        <f t="shared" ref="O586:O622" si="107">SUM(M586:N586)</f>
        <v>0.2811203004</v>
      </c>
      <c r="P586" s="586">
        <f t="shared" si="3"/>
        <v>0.000001532469985</v>
      </c>
    </row>
    <row r="587">
      <c r="A587" s="253" t="s">
        <v>1196</v>
      </c>
      <c r="B587" s="254" t="s">
        <v>1197</v>
      </c>
      <c r="C587" s="255" t="str">
        <f t="shared" si="101"/>
        <v>PRÓPRIO</v>
      </c>
      <c r="D587" s="256" t="s">
        <v>110</v>
      </c>
      <c r="E587" s="257" t="str">
        <f>IFERROR(IF(D587="SINAPI-S",VLOOKUP(B587,'20-B.SINAPI-S'!A:J,2,0),IF(D587="SINAPI-I",VLOOKUP(B587,'20-A.SINAPI-I'!A:G,2,0),IF(D587="COMPOSIÇÕES",VLOOKUP(B587,'11.COMPOSIÇÕES GERAIS'!B:I,2,0),VLOOKUP(B587,'12.COT.MERCADO'!A:I,2,0)))),"Em Elaboração")</f>
        <v>Filtro Y de 1.1/2"</v>
      </c>
      <c r="F587" s="258" t="str">
        <f>IFERROR(IF(D587="SINAPI-S",VLOOKUP(B587,'20-B.SINAPI-S'!A:J,3,0),IF(D587="SINAPI-I",VLOOKUP(B587,'20-A.SINAPI-I'!A:G,3,0),IF(D587="COMPOSIÇÕES",VLOOKUP(B587,'11.COMPOSIÇÕES GERAIS'!B:I,3,0),VLOOKUP(B587,'12.COT.MERCADO'!A:I,7,0)))),"Em Elaboração")</f>
        <v>UN </v>
      </c>
      <c r="G587" s="254">
        <v>1.0</v>
      </c>
      <c r="H587" s="259">
        <f>IFERROR(IF(D587="SINAPI-S",VLOOKUP(B587,'20-B.SINAPI-S'!A:J,5,0),IF(D587="SINAPI-I",VLOOKUP(B587,'20-A.SINAPI-I'!A:G,6,0),IF(D587="COMPOSIÇÕES",VLOOKUP(B587,'11.COMPOSIÇÕES GERAIS'!B:I,7,0),0))),"Em Elaboração")</f>
        <v>0</v>
      </c>
      <c r="I587" s="259">
        <f>IFERROR(IF(D587="SINAPI-S",VLOOKUP(B587,'20-B.SINAPI-S'!A:J,6,0),IF(D587="SINAPI-I",VLOOKUP(B587,'20-A.SINAPI-I'!A:G,7,0),IF(D587="COMPOSIÇÕES",VLOOKUP(B587,'11.COMPOSIÇÕES GERAIS'!B:I,8,0),VLOOKUP(B587,'12.COT.MERCADO'!A:I,8,0)))),"Em Elaboração")</f>
        <v>279.95</v>
      </c>
      <c r="J587" s="259">
        <f t="shared" si="102"/>
        <v>0</v>
      </c>
      <c r="K587" s="259">
        <f t="shared" si="103"/>
        <v>327.9151171</v>
      </c>
      <c r="L587" s="259">
        <f t="shared" si="104"/>
        <v>327.9151171</v>
      </c>
      <c r="M587" s="259">
        <f t="shared" si="105"/>
        <v>0</v>
      </c>
      <c r="N587" s="259">
        <f t="shared" si="106"/>
        <v>327.9151171</v>
      </c>
      <c r="O587" s="259">
        <f t="shared" si="107"/>
        <v>327.9151171</v>
      </c>
      <c r="P587" s="586">
        <f t="shared" si="3"/>
        <v>0.001787562384</v>
      </c>
    </row>
    <row r="588">
      <c r="A588" s="253" t="s">
        <v>1198</v>
      </c>
      <c r="B588" s="254" t="s">
        <v>1199</v>
      </c>
      <c r="C588" s="255" t="str">
        <f t="shared" si="101"/>
        <v>PRÓPRIO</v>
      </c>
      <c r="D588" s="256" t="s">
        <v>110</v>
      </c>
      <c r="E588" s="257" t="str">
        <f>IFERROR(IF(D588="SINAPI-S",VLOOKUP(B588,'20-B.SINAPI-S'!A:J,2,0),IF(D588="SINAPI-I",VLOOKUP(B588,'20-A.SINAPI-I'!A:G,2,0),IF(D588="COMPOSIÇÕES",VLOOKUP(B588,'11.COMPOSIÇÕES GERAIS'!B:I,2,0),VLOOKUP(B588,'12.COT.MERCADO'!A:I,2,0)))),"Em Elaboração")</f>
        <v>Proteção Mecânica do isolamento, em alumínio liso espessUrí 0,5mm - 15M²</v>
      </c>
      <c r="F588" s="258" t="str">
        <f>IFERROR(IF(D588="SINAPI-S",VLOOKUP(B588,'20-B.SINAPI-S'!A:J,3,0),IF(D588="SINAPI-I",VLOOKUP(B588,'20-A.SINAPI-I'!A:G,3,0),IF(D588="COMPOSIÇÕES",VLOOKUP(B588,'11.COMPOSIÇÕES GERAIS'!B:I,3,0),VLOOKUP(B588,'12.COT.MERCADO'!A:I,7,0)))),"Em Elaboração")</f>
        <v>UN </v>
      </c>
      <c r="G588" s="254">
        <v>1.0</v>
      </c>
      <c r="H588" s="259">
        <f>IFERROR(IF(D588="SINAPI-S",VLOOKUP(B588,'20-B.SINAPI-S'!A:J,5,0),IF(D588="SINAPI-I",VLOOKUP(B588,'20-A.SINAPI-I'!A:G,6,0),IF(D588="COMPOSIÇÕES",VLOOKUP(B588,'11.COMPOSIÇÕES GERAIS'!B:I,7,0),0))),"Em Elaboração")</f>
        <v>0</v>
      </c>
      <c r="I588" s="259">
        <f>IFERROR(IF(D588="SINAPI-S",VLOOKUP(B588,'20-B.SINAPI-S'!A:J,6,0),IF(D588="SINAPI-I",VLOOKUP(B588,'20-A.SINAPI-I'!A:G,7,0),IF(D588="COMPOSIÇÕES",VLOOKUP(B588,'11.COMPOSIÇÕES GERAIS'!B:I,8,0),VLOOKUP(B588,'12.COT.MERCADO'!A:I,8,0)))),"Em Elaboração")</f>
        <v>946.5</v>
      </c>
      <c r="J588" s="259">
        <f t="shared" si="102"/>
        <v>0</v>
      </c>
      <c r="K588" s="259">
        <f t="shared" si="103"/>
        <v>1108.668185</v>
      </c>
      <c r="L588" s="259">
        <f t="shared" si="104"/>
        <v>1108.668185</v>
      </c>
      <c r="M588" s="259">
        <f t="shared" si="105"/>
        <v>0</v>
      </c>
      <c r="N588" s="259">
        <f t="shared" si="106"/>
        <v>1108.668185</v>
      </c>
      <c r="O588" s="259">
        <f t="shared" si="107"/>
        <v>1108.668185</v>
      </c>
      <c r="P588" s="586">
        <f t="shared" si="3"/>
        <v>0.006043678502</v>
      </c>
    </row>
    <row r="589">
      <c r="A589" s="253" t="s">
        <v>1200</v>
      </c>
      <c r="B589" s="254" t="s">
        <v>1201</v>
      </c>
      <c r="C589" s="255" t="str">
        <f t="shared" si="101"/>
        <v>PRÓPRIO</v>
      </c>
      <c r="D589" s="256" t="s">
        <v>110</v>
      </c>
      <c r="E589" s="257" t="str">
        <f>IFERROR(IF(D589="SINAPI-S",VLOOKUP(B589,'20-B.SINAPI-S'!A:J,2,0),IF(D589="SINAPI-I",VLOOKUP(B589,'20-A.SINAPI-I'!A:G,2,0),IF(D589="COMPOSIÇÕES",VLOOKUP(B589,'11.COMPOSIÇÕES GERAIS'!B:I,2,0),VLOOKUP(B589,'12.COT.MERCADO'!A:I,2,0)))),"Em Elaboração")</f>
        <v>Nitrogênio</v>
      </c>
      <c r="F589" s="258" t="str">
        <f>IFERROR(IF(D589="SINAPI-S",VLOOKUP(B589,'20-B.SINAPI-S'!A:J,3,0),IF(D589="SINAPI-I",VLOOKUP(B589,'20-A.SINAPI-I'!A:G,3,0),IF(D589="COMPOSIÇÕES",VLOOKUP(B589,'11.COMPOSIÇÕES GERAIS'!B:I,3,0),VLOOKUP(B589,'12.COT.MERCADO'!A:I,7,0)))),"Em Elaboração")</f>
        <v>M³ </v>
      </c>
      <c r="G589" s="254">
        <v>1.0</v>
      </c>
      <c r="H589" s="259">
        <f>IFERROR(IF(D589="SINAPI-S",VLOOKUP(B589,'20-B.SINAPI-S'!A:J,5,0),IF(D589="SINAPI-I",VLOOKUP(B589,'20-A.SINAPI-I'!A:G,6,0),IF(D589="COMPOSIÇÕES",VLOOKUP(B589,'11.COMPOSIÇÕES GERAIS'!B:I,7,0),0))),"Em Elaboração")</f>
        <v>0</v>
      </c>
      <c r="I589" s="259">
        <f>IFERROR(IF(D589="SINAPI-S",VLOOKUP(B589,'20-B.SINAPI-S'!A:J,6,0),IF(D589="SINAPI-I",VLOOKUP(B589,'20-A.SINAPI-I'!A:G,7,0),IF(D589="COMPOSIÇÕES",VLOOKUP(B589,'11.COMPOSIÇÕES GERAIS'!B:I,8,0),VLOOKUP(B589,'12.COT.MERCADO'!A:I,8,0)))),"Em Elaboração")</f>
        <v>70</v>
      </c>
      <c r="J589" s="259">
        <f t="shared" si="102"/>
        <v>0</v>
      </c>
      <c r="K589" s="259">
        <f t="shared" si="103"/>
        <v>81.99342096</v>
      </c>
      <c r="L589" s="259">
        <f t="shared" si="104"/>
        <v>81.99342096</v>
      </c>
      <c r="M589" s="259">
        <f t="shared" si="105"/>
        <v>0</v>
      </c>
      <c r="N589" s="259">
        <f t="shared" si="106"/>
        <v>81.99342096</v>
      </c>
      <c r="O589" s="259">
        <f t="shared" si="107"/>
        <v>81.99342096</v>
      </c>
      <c r="P589" s="586">
        <f t="shared" si="3"/>
        <v>0.0004469704122</v>
      </c>
    </row>
    <row r="590">
      <c r="A590" s="253" t="s">
        <v>1202</v>
      </c>
      <c r="B590" s="254" t="s">
        <v>1203</v>
      </c>
      <c r="C590" s="255" t="str">
        <f t="shared" si="101"/>
        <v>PRÓPRIO</v>
      </c>
      <c r="D590" s="256" t="s">
        <v>110</v>
      </c>
      <c r="E590" s="257" t="str">
        <f>IFERROR(IF(D590="SINAPI-S",VLOOKUP(B590,'20-B.SINAPI-S'!A:J,2,0),IF(D590="SINAPI-I",VLOOKUP(B590,'20-A.SINAPI-I'!A:G,2,0),IF(D590="COMPOSIÇÕES",VLOOKUP(B590,'11.COMPOSIÇÕES GERAIS'!B:I,2,0),VLOOKUP(B590,'12.COT.MERCADO'!A:I,2,0)))),"Em Elaboração")</f>
        <v>Termômetro Capela Reto Conexäo 1/2 BSP  Escala -10 A 50GR</v>
      </c>
      <c r="F590" s="258" t="str">
        <f>IFERROR(IF(D590="SINAPI-S",VLOOKUP(B590,'20-B.SINAPI-S'!A:J,3,0),IF(D590="SINAPI-I",VLOOKUP(B590,'20-A.SINAPI-I'!A:G,3,0),IF(D590="COMPOSIÇÕES",VLOOKUP(B590,'11.COMPOSIÇÕES GERAIS'!B:I,3,0),VLOOKUP(B590,'12.COT.MERCADO'!A:I,7,0)))),"Em Elaboração")</f>
        <v>UN </v>
      </c>
      <c r="G590" s="254">
        <v>1.0</v>
      </c>
      <c r="H590" s="259">
        <f>IFERROR(IF(D590="SINAPI-S",VLOOKUP(B590,'20-B.SINAPI-S'!A:J,5,0),IF(D590="SINAPI-I",VLOOKUP(B590,'20-A.SINAPI-I'!A:G,6,0),IF(D590="COMPOSIÇÕES",VLOOKUP(B590,'11.COMPOSIÇÕES GERAIS'!B:I,7,0),0))),"Em Elaboração")</f>
        <v>0</v>
      </c>
      <c r="I590" s="259">
        <f>IFERROR(IF(D590="SINAPI-S",VLOOKUP(B590,'20-B.SINAPI-S'!A:J,6,0),IF(D590="SINAPI-I",VLOOKUP(B590,'20-A.SINAPI-I'!A:G,7,0),IF(D590="COMPOSIÇÕES",VLOOKUP(B590,'11.COMPOSIÇÕES GERAIS'!B:I,8,0),VLOOKUP(B590,'12.COT.MERCADO'!A:I,8,0)))),"Em Elaboração")</f>
        <v>333.75</v>
      </c>
      <c r="J590" s="259">
        <f t="shared" si="102"/>
        <v>0</v>
      </c>
      <c r="K590" s="259">
        <f t="shared" si="103"/>
        <v>390.9329178</v>
      </c>
      <c r="L590" s="259">
        <f t="shared" si="104"/>
        <v>390.9329178</v>
      </c>
      <c r="M590" s="259">
        <f t="shared" si="105"/>
        <v>0</v>
      </c>
      <c r="N590" s="259">
        <f t="shared" si="106"/>
        <v>390.9329178</v>
      </c>
      <c r="O590" s="259">
        <f t="shared" si="107"/>
        <v>390.9329178</v>
      </c>
      <c r="P590" s="586">
        <f t="shared" si="3"/>
        <v>0.002131091072</v>
      </c>
    </row>
    <row r="591">
      <c r="A591" s="253" t="s">
        <v>1204</v>
      </c>
      <c r="B591" s="254" t="s">
        <v>1205</v>
      </c>
      <c r="C591" s="255" t="str">
        <f t="shared" si="101"/>
        <v>PRÓPRIO</v>
      </c>
      <c r="D591" s="256" t="s">
        <v>110</v>
      </c>
      <c r="E591" s="257" t="str">
        <f>IFERROR(IF(D591="SINAPI-S",VLOOKUP(B591,'20-B.SINAPI-S'!A:J,2,0),IF(D591="SINAPI-I",VLOOKUP(B591,'20-A.SINAPI-I'!A:G,2,0),IF(D591="COMPOSIÇÕES",VLOOKUP(B591,'11.COMPOSIÇÕES GERAIS'!B:I,2,0),VLOOKUP(B591,'12.COT.MERCADO'!A:I,2,0)))),"Em Elaboração")</f>
        <v>Tubo esponjoso l9mm para revest. de tubo de cobre 5/8", tipo armaftex</v>
      </c>
      <c r="F591" s="258" t="str">
        <f>IFERROR(IF(D591="SINAPI-S",VLOOKUP(B591,'20-B.SINAPI-S'!A:J,3,0),IF(D591="SINAPI-I",VLOOKUP(B591,'20-A.SINAPI-I'!A:G,3,0),IF(D591="COMPOSIÇÕES",VLOOKUP(B591,'11.COMPOSIÇÕES GERAIS'!B:I,3,0),VLOOKUP(B591,'12.COT.MERCADO'!A:I,7,0)))),"Em Elaboração")</f>
        <v>M</v>
      </c>
      <c r="G591" s="254">
        <v>1.0</v>
      </c>
      <c r="H591" s="259">
        <f>IFERROR(IF(D591="SINAPI-S",VLOOKUP(B591,'20-B.SINAPI-S'!A:J,5,0),IF(D591="SINAPI-I",VLOOKUP(B591,'20-A.SINAPI-I'!A:G,6,0),IF(D591="COMPOSIÇÕES",VLOOKUP(B591,'11.COMPOSIÇÕES GERAIS'!B:I,7,0),0))),"Em Elaboração")</f>
        <v>0</v>
      </c>
      <c r="I591" s="259">
        <f>IFERROR(IF(D591="SINAPI-S",VLOOKUP(B591,'20-B.SINAPI-S'!A:J,6,0),IF(D591="SINAPI-I",VLOOKUP(B591,'20-A.SINAPI-I'!A:G,7,0),IF(D591="COMPOSIÇÕES",VLOOKUP(B591,'11.COMPOSIÇÕES GERAIS'!B:I,8,0),VLOOKUP(B591,'12.COT.MERCADO'!A:I,8,0)))),"Em Elaboração")</f>
        <v>15</v>
      </c>
      <c r="J591" s="259">
        <f t="shared" si="102"/>
        <v>0</v>
      </c>
      <c r="K591" s="259">
        <f t="shared" si="103"/>
        <v>17.57001878</v>
      </c>
      <c r="L591" s="259">
        <f t="shared" si="104"/>
        <v>17.57001878</v>
      </c>
      <c r="M591" s="259">
        <f t="shared" si="105"/>
        <v>0</v>
      </c>
      <c r="N591" s="259">
        <f t="shared" si="106"/>
        <v>17.57001878</v>
      </c>
      <c r="O591" s="259">
        <f t="shared" si="107"/>
        <v>17.57001878</v>
      </c>
      <c r="P591" s="586">
        <f t="shared" si="3"/>
        <v>0.00009577937404</v>
      </c>
    </row>
    <row r="592">
      <c r="A592" s="253" t="s">
        <v>1206</v>
      </c>
      <c r="B592" s="254" t="s">
        <v>1207</v>
      </c>
      <c r="C592" s="255" t="str">
        <f t="shared" si="101"/>
        <v>PRÓPRIO</v>
      </c>
      <c r="D592" s="256" t="s">
        <v>110</v>
      </c>
      <c r="E592" s="257" t="str">
        <f>IFERROR(IF(D592="SINAPI-S",VLOOKUP(B592,'20-B.SINAPI-S'!A:J,2,0),IF(D592="SINAPI-I",VLOOKUP(B592,'20-A.SINAPI-I'!A:G,2,0),IF(D592="COMPOSIÇÕES",VLOOKUP(B592,'11.COMPOSIÇÕES GERAIS'!B:I,2,0),VLOOKUP(B592,'12.COT.MERCADO'!A:I,2,0)))),"Em Elaboração")</f>
        <v>Tubo esponjoso 19mm para revest. de tubo de cobre 3/8", tipo armaflex</v>
      </c>
      <c r="F592" s="258" t="str">
        <f>IFERROR(IF(D592="SINAPI-S",VLOOKUP(B592,'20-B.SINAPI-S'!A:J,3,0),IF(D592="SINAPI-I",VLOOKUP(B592,'20-A.SINAPI-I'!A:G,3,0),IF(D592="COMPOSIÇÕES",VLOOKUP(B592,'11.COMPOSIÇÕES GERAIS'!B:I,3,0),VLOOKUP(B592,'12.COT.MERCADO'!A:I,7,0)))),"Em Elaboração")</f>
        <v>M</v>
      </c>
      <c r="G592" s="254">
        <v>1.0</v>
      </c>
      <c r="H592" s="259">
        <f>IFERROR(IF(D592="SINAPI-S",VLOOKUP(B592,'20-B.SINAPI-S'!A:J,5,0),IF(D592="SINAPI-I",VLOOKUP(B592,'20-A.SINAPI-I'!A:G,6,0),IF(D592="COMPOSIÇÕES",VLOOKUP(B592,'11.COMPOSIÇÕES GERAIS'!B:I,7,0),0))),"Em Elaboração")</f>
        <v>0</v>
      </c>
      <c r="I592" s="259">
        <f>IFERROR(IF(D592="SINAPI-S",VLOOKUP(B592,'20-B.SINAPI-S'!A:J,6,0),IF(D592="SINAPI-I",VLOOKUP(B592,'20-A.SINAPI-I'!A:G,7,0),IF(D592="COMPOSIÇÕES",VLOOKUP(B592,'11.COMPOSIÇÕES GERAIS'!B:I,8,0),VLOOKUP(B592,'12.COT.MERCADO'!A:I,8,0)))),"Em Elaboração")</f>
        <v>12.53</v>
      </c>
      <c r="J592" s="259">
        <f t="shared" si="102"/>
        <v>0</v>
      </c>
      <c r="K592" s="259">
        <f t="shared" si="103"/>
        <v>14.67682235</v>
      </c>
      <c r="L592" s="259">
        <f t="shared" si="104"/>
        <v>14.67682235</v>
      </c>
      <c r="M592" s="259">
        <f t="shared" si="105"/>
        <v>0</v>
      </c>
      <c r="N592" s="259">
        <f t="shared" si="106"/>
        <v>14.67682235</v>
      </c>
      <c r="O592" s="259">
        <f t="shared" si="107"/>
        <v>14.67682235</v>
      </c>
      <c r="P592" s="586">
        <f t="shared" si="3"/>
        <v>0.00008000770378</v>
      </c>
    </row>
    <row r="593">
      <c r="A593" s="253" t="s">
        <v>1208</v>
      </c>
      <c r="B593" s="254" t="s">
        <v>1209</v>
      </c>
      <c r="C593" s="255" t="str">
        <f t="shared" si="101"/>
        <v>PRÓPRIO</v>
      </c>
      <c r="D593" s="256" t="s">
        <v>110</v>
      </c>
      <c r="E593" s="257" t="str">
        <f>IFERROR(IF(D593="SINAPI-S",VLOOKUP(B593,'20-B.SINAPI-S'!A:J,2,0),IF(D593="SINAPI-I",VLOOKUP(B593,'20-A.SINAPI-I'!A:G,2,0),IF(D593="COMPOSIÇÕES",VLOOKUP(B593,'11.COMPOSIÇÕES GERAIS'!B:I,2,0),VLOOKUP(B593,'12.COT.MERCADO'!A:I,2,0)))),"Em Elaboração")</f>
        <v>Arruela lisa Ø 1/4” - cento</v>
      </c>
      <c r="F593" s="258" t="str">
        <f>IFERROR(IF(D593="SINAPI-S",VLOOKUP(B593,'20-B.SINAPI-S'!A:J,3,0),IF(D593="SINAPI-I",VLOOKUP(B593,'20-A.SINAPI-I'!A:G,3,0),IF(D593="COMPOSIÇÕES",VLOOKUP(B593,'11.COMPOSIÇÕES GERAIS'!B:I,3,0),VLOOKUP(B593,'12.COT.MERCADO'!A:I,7,0)))),"Em Elaboração")</f>
        <v>UN </v>
      </c>
      <c r="G593" s="254">
        <v>4.0</v>
      </c>
      <c r="H593" s="259">
        <f>IFERROR(IF(D593="SINAPI-S",VLOOKUP(B593,'20-B.SINAPI-S'!A:J,5,0),IF(D593="SINAPI-I",VLOOKUP(B593,'20-A.SINAPI-I'!A:G,6,0),IF(D593="COMPOSIÇÕES",VLOOKUP(B593,'11.COMPOSIÇÕES GERAIS'!B:I,7,0),0))),"Em Elaboração")</f>
        <v>0</v>
      </c>
      <c r="I593" s="259">
        <f>IFERROR(IF(D593="SINAPI-S",VLOOKUP(B593,'20-B.SINAPI-S'!A:J,6,0),IF(D593="SINAPI-I",VLOOKUP(B593,'20-A.SINAPI-I'!A:G,7,0),IF(D593="COMPOSIÇÕES",VLOOKUP(B593,'11.COMPOSIÇÕES GERAIS'!B:I,8,0),VLOOKUP(B593,'12.COT.MERCADO'!A:I,8,0)))),"Em Elaboração")</f>
        <v>0.1</v>
      </c>
      <c r="J593" s="259">
        <f t="shared" si="102"/>
        <v>0</v>
      </c>
      <c r="K593" s="259">
        <f t="shared" si="103"/>
        <v>0.1171334585</v>
      </c>
      <c r="L593" s="259">
        <f t="shared" si="104"/>
        <v>0.1171334585</v>
      </c>
      <c r="M593" s="259">
        <f t="shared" si="105"/>
        <v>0</v>
      </c>
      <c r="N593" s="259">
        <f t="shared" si="106"/>
        <v>0.4685338341</v>
      </c>
      <c r="O593" s="259">
        <f t="shared" si="107"/>
        <v>0.4685338341</v>
      </c>
      <c r="P593" s="586">
        <f t="shared" si="3"/>
        <v>0.000002554116641</v>
      </c>
    </row>
    <row r="594">
      <c r="A594" s="253" t="s">
        <v>1210</v>
      </c>
      <c r="B594" s="254" t="s">
        <v>1211</v>
      </c>
      <c r="C594" s="255" t="str">
        <f t="shared" si="101"/>
        <v>PRÓPRIO</v>
      </c>
      <c r="D594" s="256" t="s">
        <v>110</v>
      </c>
      <c r="E594" s="257" t="str">
        <f>IFERROR(IF(D594="SINAPI-S",VLOOKUP(B594,'20-B.SINAPI-S'!A:J,2,0),IF(D594="SINAPI-I",VLOOKUP(B594,'20-A.SINAPI-I'!A:G,2,0),IF(D594="COMPOSIÇÕES",VLOOKUP(B594,'11.COMPOSIÇÕES GERAIS'!B:I,2,0),VLOOKUP(B594,'12.COT.MERCADO'!A:I,2,0)))),"Em Elaboração")</f>
        <v>Arruela lisa Ø 3/8”</v>
      </c>
      <c r="F594" s="258" t="str">
        <f>IFERROR(IF(D594="SINAPI-S",VLOOKUP(B594,'20-B.SINAPI-S'!A:J,3,0),IF(D594="SINAPI-I",VLOOKUP(B594,'20-A.SINAPI-I'!A:G,3,0),IF(D594="COMPOSIÇÕES",VLOOKUP(B594,'11.COMPOSIÇÕES GERAIS'!B:I,3,0),VLOOKUP(B594,'12.COT.MERCADO'!A:I,7,0)))),"Em Elaboração")</f>
        <v>UN </v>
      </c>
      <c r="G594" s="254">
        <v>4.0</v>
      </c>
      <c r="H594" s="259">
        <f>IFERROR(IF(D594="SINAPI-S",VLOOKUP(B594,'20-B.SINAPI-S'!A:J,5,0),IF(D594="SINAPI-I",VLOOKUP(B594,'20-A.SINAPI-I'!A:G,6,0),IF(D594="COMPOSIÇÕES",VLOOKUP(B594,'11.COMPOSIÇÕES GERAIS'!B:I,7,0),0))),"Em Elaboração")</f>
        <v>0</v>
      </c>
      <c r="I594" s="259">
        <f>IFERROR(IF(D594="SINAPI-S",VLOOKUP(B594,'20-B.SINAPI-S'!A:J,6,0),IF(D594="SINAPI-I",VLOOKUP(B594,'20-A.SINAPI-I'!A:G,7,0),IF(D594="COMPOSIÇÕES",VLOOKUP(B594,'11.COMPOSIÇÕES GERAIS'!B:I,8,0),VLOOKUP(B594,'12.COT.MERCADO'!A:I,8,0)))),"Em Elaboração")</f>
        <v>0.209</v>
      </c>
      <c r="J594" s="259">
        <f t="shared" si="102"/>
        <v>0</v>
      </c>
      <c r="K594" s="259">
        <f t="shared" si="103"/>
        <v>0.2448089283</v>
      </c>
      <c r="L594" s="259">
        <f t="shared" si="104"/>
        <v>0.2448089283</v>
      </c>
      <c r="M594" s="259">
        <f t="shared" si="105"/>
        <v>0</v>
      </c>
      <c r="N594" s="259">
        <f t="shared" si="106"/>
        <v>0.9792357132</v>
      </c>
      <c r="O594" s="259">
        <f t="shared" si="107"/>
        <v>0.9792357132</v>
      </c>
      <c r="P594" s="586">
        <f t="shared" si="3"/>
        <v>0.00000533810378</v>
      </c>
    </row>
    <row r="595">
      <c r="A595" s="253" t="s">
        <v>1212</v>
      </c>
      <c r="B595" s="254" t="s">
        <v>1213</v>
      </c>
      <c r="C595" s="255" t="str">
        <f t="shared" si="101"/>
        <v>PRÓPRIO</v>
      </c>
      <c r="D595" s="256" t="s">
        <v>110</v>
      </c>
      <c r="E595" s="257" t="str">
        <f>IFERROR(IF(D595="SINAPI-S",VLOOKUP(B595,'20-B.SINAPI-S'!A:J,2,0),IF(D595="SINAPI-I",VLOOKUP(B595,'20-A.SINAPI-I'!A:G,2,0),IF(D595="COMPOSIÇÕES",VLOOKUP(B595,'11.COMPOSIÇÕES GERAIS'!B:I,2,0),VLOOKUP(B595,'12.COT.MERCADO'!A:I,2,0)))),"Em Elaboração")</f>
        <v>Arruela lisa Ø 5/16” </v>
      </c>
      <c r="F595" s="258" t="str">
        <f>IFERROR(IF(D595="SINAPI-S",VLOOKUP(B595,'20-B.SINAPI-S'!A:J,3,0),IF(D595="SINAPI-I",VLOOKUP(B595,'20-A.SINAPI-I'!A:G,3,0),IF(D595="COMPOSIÇÕES",VLOOKUP(B595,'11.COMPOSIÇÕES GERAIS'!B:I,3,0),VLOOKUP(B595,'12.COT.MERCADO'!A:I,7,0)))),"Em Elaboração")</f>
        <v>UN </v>
      </c>
      <c r="G595" s="254">
        <v>1.0</v>
      </c>
      <c r="H595" s="259">
        <f>IFERROR(IF(D595="SINAPI-S",VLOOKUP(B595,'20-B.SINAPI-S'!A:J,5,0),IF(D595="SINAPI-I",VLOOKUP(B595,'20-A.SINAPI-I'!A:G,6,0),IF(D595="COMPOSIÇÕES",VLOOKUP(B595,'11.COMPOSIÇÕES GERAIS'!B:I,7,0),0))),"Em Elaboração")</f>
        <v>0</v>
      </c>
      <c r="I595" s="259">
        <f>IFERROR(IF(D595="SINAPI-S",VLOOKUP(B595,'20-B.SINAPI-S'!A:J,6,0),IF(D595="SINAPI-I",VLOOKUP(B595,'20-A.SINAPI-I'!A:G,7,0),IF(D595="COMPOSIÇÕES",VLOOKUP(B595,'11.COMPOSIÇÕES GERAIS'!B:I,8,0),VLOOKUP(B595,'12.COT.MERCADO'!A:I,8,0)))),"Em Elaboração")</f>
        <v>0.2</v>
      </c>
      <c r="J595" s="259">
        <f t="shared" si="102"/>
        <v>0</v>
      </c>
      <c r="K595" s="259">
        <f t="shared" si="103"/>
        <v>0.234266917</v>
      </c>
      <c r="L595" s="259">
        <f t="shared" si="104"/>
        <v>0.234266917</v>
      </c>
      <c r="M595" s="259">
        <f t="shared" si="105"/>
        <v>0</v>
      </c>
      <c r="N595" s="259">
        <f t="shared" si="106"/>
        <v>0.234266917</v>
      </c>
      <c r="O595" s="259">
        <f t="shared" si="107"/>
        <v>0.234266917</v>
      </c>
      <c r="P595" s="586">
        <f t="shared" si="3"/>
        <v>0.00000127705832</v>
      </c>
    </row>
    <row r="596">
      <c r="A596" s="253" t="s">
        <v>1214</v>
      </c>
      <c r="B596" s="254" t="s">
        <v>1215</v>
      </c>
      <c r="C596" s="255" t="str">
        <f t="shared" si="101"/>
        <v>PRÓPRIO</v>
      </c>
      <c r="D596" s="256" t="s">
        <v>110</v>
      </c>
      <c r="E596" s="257" t="str">
        <f>IFERROR(IF(D596="SINAPI-S",VLOOKUP(B596,'20-B.SINAPI-S'!A:J,2,0),IF(D596="SINAPI-I",VLOOKUP(B596,'20-A.SINAPI-I'!A:G,2,0),IF(D596="COMPOSIÇÕES",VLOOKUP(B596,'11.COMPOSIÇÕES GERAIS'!B:I,2,0),VLOOKUP(B596,'12.COT.MERCADO'!A:I,2,0)))),"Em Elaboração")</f>
        <v>Barra roscada Ø 1/2”com 1 metro - galvanizada</v>
      </c>
      <c r="F596" s="258" t="str">
        <f>IFERROR(IF(D596="SINAPI-S",VLOOKUP(B596,'20-B.SINAPI-S'!A:J,3,0),IF(D596="SINAPI-I",VLOOKUP(B596,'20-A.SINAPI-I'!A:G,3,0),IF(D596="COMPOSIÇÕES",VLOOKUP(B596,'11.COMPOSIÇÕES GERAIS'!B:I,3,0),VLOOKUP(B596,'12.COT.MERCADO'!A:I,7,0)))),"Em Elaboração")</f>
        <v>UN </v>
      </c>
      <c r="G596" s="254">
        <v>1.0</v>
      </c>
      <c r="H596" s="259">
        <f>IFERROR(IF(D596="SINAPI-S",VLOOKUP(B596,'20-B.SINAPI-S'!A:J,5,0),IF(D596="SINAPI-I",VLOOKUP(B596,'20-A.SINAPI-I'!A:G,6,0),IF(D596="COMPOSIÇÕES",VLOOKUP(B596,'11.COMPOSIÇÕES GERAIS'!B:I,7,0),0))),"Em Elaboração")</f>
        <v>0</v>
      </c>
      <c r="I596" s="259">
        <f>IFERROR(IF(D596="SINAPI-S",VLOOKUP(B596,'20-B.SINAPI-S'!A:J,6,0),IF(D596="SINAPI-I",VLOOKUP(B596,'20-A.SINAPI-I'!A:G,7,0),IF(D596="COMPOSIÇÕES",VLOOKUP(B596,'11.COMPOSIÇÕES GERAIS'!B:I,8,0),VLOOKUP(B596,'12.COT.MERCADO'!A:I,8,0)))),"Em Elaboração")</f>
        <v>20.9</v>
      </c>
      <c r="J596" s="259">
        <f t="shared" si="102"/>
        <v>0</v>
      </c>
      <c r="K596" s="259">
        <f t="shared" si="103"/>
        <v>24.48089283</v>
      </c>
      <c r="L596" s="259">
        <f t="shared" si="104"/>
        <v>24.48089283</v>
      </c>
      <c r="M596" s="259">
        <f t="shared" si="105"/>
        <v>0</v>
      </c>
      <c r="N596" s="259">
        <f t="shared" si="106"/>
        <v>24.48089283</v>
      </c>
      <c r="O596" s="259">
        <f t="shared" si="107"/>
        <v>24.48089283</v>
      </c>
      <c r="P596" s="586">
        <f t="shared" si="3"/>
        <v>0.0001334525945</v>
      </c>
    </row>
    <row r="597">
      <c r="A597" s="253" t="s">
        <v>1216</v>
      </c>
      <c r="B597" s="254" t="s">
        <v>1217</v>
      </c>
      <c r="C597" s="255" t="str">
        <f t="shared" si="101"/>
        <v>PRÓPRIO</v>
      </c>
      <c r="D597" s="256" t="s">
        <v>110</v>
      </c>
      <c r="E597" s="257" t="str">
        <f>IFERROR(IF(D597="SINAPI-S",VLOOKUP(B597,'20-B.SINAPI-S'!A:J,2,0),IF(D597="SINAPI-I",VLOOKUP(B597,'20-A.SINAPI-I'!A:G,2,0),IF(D597="COMPOSIÇÕES",VLOOKUP(B597,'11.COMPOSIÇÕES GERAIS'!B:I,2,0),VLOOKUP(B597,'12.COT.MERCADO'!A:I,2,0)))),"Em Elaboração")</f>
        <v>Rebite de Repuxo 3,2 x 6,0mm - cento</v>
      </c>
      <c r="F597" s="258" t="str">
        <f>IFERROR(IF(D597="SINAPI-S",VLOOKUP(B597,'20-B.SINAPI-S'!A:J,3,0),IF(D597="SINAPI-I",VLOOKUP(B597,'20-A.SINAPI-I'!A:G,3,0),IF(D597="COMPOSIÇÕES",VLOOKUP(B597,'11.COMPOSIÇÕES GERAIS'!B:I,3,0),VLOOKUP(B597,'12.COT.MERCADO'!A:I,7,0)))),"Em Elaboração")</f>
        <v>UN </v>
      </c>
      <c r="G597" s="254">
        <v>1.0</v>
      </c>
      <c r="H597" s="259">
        <f>IFERROR(IF(D597="SINAPI-S",VLOOKUP(B597,'20-B.SINAPI-S'!A:J,5,0),IF(D597="SINAPI-I",VLOOKUP(B597,'20-A.SINAPI-I'!A:G,6,0),IF(D597="COMPOSIÇÕES",VLOOKUP(B597,'11.COMPOSIÇÕES GERAIS'!B:I,7,0),0))),"Em Elaboração")</f>
        <v>0</v>
      </c>
      <c r="I597" s="259">
        <f>IFERROR(IF(D597="SINAPI-S",VLOOKUP(B597,'20-B.SINAPI-S'!A:J,6,0),IF(D597="SINAPI-I",VLOOKUP(B597,'20-A.SINAPI-I'!A:G,7,0),IF(D597="COMPOSIÇÕES",VLOOKUP(B597,'11.COMPOSIÇÕES GERAIS'!B:I,8,0),VLOOKUP(B597,'12.COT.MERCADO'!A:I,8,0)))),"Em Elaboração")</f>
        <v>8.77</v>
      </c>
      <c r="J597" s="259">
        <f t="shared" si="102"/>
        <v>0</v>
      </c>
      <c r="K597" s="259">
        <f t="shared" si="103"/>
        <v>10.27260431</v>
      </c>
      <c r="L597" s="259">
        <f t="shared" si="104"/>
        <v>10.27260431</v>
      </c>
      <c r="M597" s="259">
        <f t="shared" si="105"/>
        <v>0</v>
      </c>
      <c r="N597" s="259">
        <f t="shared" si="106"/>
        <v>10.27260431</v>
      </c>
      <c r="O597" s="259">
        <f t="shared" si="107"/>
        <v>10.27260431</v>
      </c>
      <c r="P597" s="586">
        <f t="shared" si="3"/>
        <v>0.00005599900735</v>
      </c>
    </row>
    <row r="598">
      <c r="A598" s="253" t="s">
        <v>1218</v>
      </c>
      <c r="B598" s="254" t="s">
        <v>1219</v>
      </c>
      <c r="C598" s="255" t="str">
        <f t="shared" si="101"/>
        <v>PRÓPRIO</v>
      </c>
      <c r="D598" s="256" t="s">
        <v>110</v>
      </c>
      <c r="E598" s="257" t="str">
        <f>IFERROR(IF(D598="SINAPI-S",VLOOKUP(B598,'20-B.SINAPI-S'!A:J,2,0),IF(D598="SINAPI-I",VLOOKUP(B598,'20-A.SINAPI-I'!A:G,2,0),IF(D598="COMPOSIÇÕES",VLOOKUP(B598,'11.COMPOSIÇÕES GERAIS'!B:I,2,0),VLOOKUP(B598,'12.COT.MERCADO'!A:I,2,0)))),"Em Elaboração")</f>
        <v>Rebite de Repuxo 4,8 x 12mm - cento</v>
      </c>
      <c r="F598" s="258" t="str">
        <f>IFERROR(IF(D598="SINAPI-S",VLOOKUP(B598,'20-B.SINAPI-S'!A:J,3,0),IF(D598="SINAPI-I",VLOOKUP(B598,'20-A.SINAPI-I'!A:G,3,0),IF(D598="COMPOSIÇÕES",VLOOKUP(B598,'11.COMPOSIÇÕES GERAIS'!B:I,3,0),VLOOKUP(B598,'12.COT.MERCADO'!A:I,7,0)))),"Em Elaboração")</f>
        <v>UN </v>
      </c>
      <c r="G598" s="254">
        <v>1.0</v>
      </c>
      <c r="H598" s="259">
        <f>IFERROR(IF(D598="SINAPI-S",VLOOKUP(B598,'20-B.SINAPI-S'!A:J,5,0),IF(D598="SINAPI-I",VLOOKUP(B598,'20-A.SINAPI-I'!A:G,6,0),IF(D598="COMPOSIÇÕES",VLOOKUP(B598,'11.COMPOSIÇÕES GERAIS'!B:I,7,0),0))),"Em Elaboração")</f>
        <v>0</v>
      </c>
      <c r="I598" s="259">
        <f>IFERROR(IF(D598="SINAPI-S",VLOOKUP(B598,'20-B.SINAPI-S'!A:J,6,0),IF(D598="SINAPI-I",VLOOKUP(B598,'20-A.SINAPI-I'!A:G,7,0),IF(D598="COMPOSIÇÕES",VLOOKUP(B598,'11.COMPOSIÇÕES GERAIS'!B:I,8,0),VLOOKUP(B598,'12.COT.MERCADO'!A:I,8,0)))),"Em Elaboração")</f>
        <v>18</v>
      </c>
      <c r="J598" s="259">
        <f t="shared" si="102"/>
        <v>0</v>
      </c>
      <c r="K598" s="259">
        <f t="shared" si="103"/>
        <v>21.08402253</v>
      </c>
      <c r="L598" s="259">
        <f t="shared" si="104"/>
        <v>21.08402253</v>
      </c>
      <c r="M598" s="259">
        <f t="shared" si="105"/>
        <v>0</v>
      </c>
      <c r="N598" s="259">
        <f t="shared" si="106"/>
        <v>21.08402253</v>
      </c>
      <c r="O598" s="259">
        <f t="shared" si="107"/>
        <v>21.08402253</v>
      </c>
      <c r="P598" s="586">
        <f t="shared" si="3"/>
        <v>0.0001149352488</v>
      </c>
    </row>
    <row r="599">
      <c r="A599" s="253" t="s">
        <v>1220</v>
      </c>
      <c r="B599" s="254" t="s">
        <v>1221</v>
      </c>
      <c r="C599" s="255" t="str">
        <f t="shared" si="101"/>
        <v>PRÓPRIO</v>
      </c>
      <c r="D599" s="256" t="s">
        <v>110</v>
      </c>
      <c r="E599" s="257" t="str">
        <f>IFERROR(IF(D599="SINAPI-S",VLOOKUP(B599,'20-B.SINAPI-S'!A:J,2,0),IF(D599="SINAPI-I",VLOOKUP(B599,'20-A.SINAPI-I'!A:G,2,0),IF(D599="COMPOSIÇÕES",VLOOKUP(B599,'11.COMPOSIÇÕES GERAIS'!B:I,2,0),VLOOKUP(B599,'12.COT.MERCADO'!A:I,2,0)))),"Em Elaboração")</f>
        <v>Rebite de Repuxo 4,0 x 16,0mm - cento</v>
      </c>
      <c r="F599" s="258" t="str">
        <f>IFERROR(IF(D599="SINAPI-S",VLOOKUP(B599,'20-B.SINAPI-S'!A:J,3,0),IF(D599="SINAPI-I",VLOOKUP(B599,'20-A.SINAPI-I'!A:G,3,0),IF(D599="COMPOSIÇÕES",VLOOKUP(B599,'11.COMPOSIÇÕES GERAIS'!B:I,3,0),VLOOKUP(B599,'12.COT.MERCADO'!A:I,7,0)))),"Em Elaboração")</f>
        <v>UN </v>
      </c>
      <c r="G599" s="254">
        <v>4.0</v>
      </c>
      <c r="H599" s="259">
        <f>IFERROR(IF(D599="SINAPI-S",VLOOKUP(B599,'20-B.SINAPI-S'!A:J,5,0),IF(D599="SINAPI-I",VLOOKUP(B599,'20-A.SINAPI-I'!A:G,6,0),IF(D599="COMPOSIÇÕES",VLOOKUP(B599,'11.COMPOSIÇÕES GERAIS'!B:I,7,0),0))),"Em Elaboração")</f>
        <v>0</v>
      </c>
      <c r="I599" s="259">
        <f>IFERROR(IF(D599="SINAPI-S",VLOOKUP(B599,'20-B.SINAPI-S'!A:J,6,0),IF(D599="SINAPI-I",VLOOKUP(B599,'20-A.SINAPI-I'!A:G,7,0),IF(D599="COMPOSIÇÕES",VLOOKUP(B599,'11.COMPOSIÇÕES GERAIS'!B:I,8,0),VLOOKUP(B599,'12.COT.MERCADO'!A:I,8,0)))),"Em Elaboração")</f>
        <v>28.24</v>
      </c>
      <c r="J599" s="259">
        <f t="shared" si="102"/>
        <v>0</v>
      </c>
      <c r="K599" s="259">
        <f t="shared" si="103"/>
        <v>33.07848868</v>
      </c>
      <c r="L599" s="259">
        <f t="shared" si="104"/>
        <v>33.07848868</v>
      </c>
      <c r="M599" s="259">
        <f t="shared" si="105"/>
        <v>0</v>
      </c>
      <c r="N599" s="259">
        <f t="shared" si="106"/>
        <v>132.3139547</v>
      </c>
      <c r="O599" s="259">
        <f t="shared" si="107"/>
        <v>132.3139547</v>
      </c>
      <c r="P599" s="586">
        <f t="shared" si="3"/>
        <v>0.0007212825394</v>
      </c>
    </row>
    <row r="600">
      <c r="A600" s="253" t="s">
        <v>1222</v>
      </c>
      <c r="B600" s="254" t="s">
        <v>1223</v>
      </c>
      <c r="C600" s="255" t="str">
        <f t="shared" si="101"/>
        <v>PRÓPRIO</v>
      </c>
      <c r="D600" s="256" t="s">
        <v>110</v>
      </c>
      <c r="E600" s="257" t="str">
        <f>IFERROR(IF(D600="SINAPI-S",VLOOKUP(B600,'20-B.SINAPI-S'!A:J,2,0),IF(D600="SINAPI-I",VLOOKUP(B600,'20-A.SINAPI-I'!A:G,2,0),IF(D600="COMPOSIÇÕES",VLOOKUP(B600,'11.COMPOSIÇÕES GERAIS'!B:I,2,0),VLOOKUP(B600,'12.COT.MERCADO'!A:I,2,0)))),"Em Elaboração")</f>
        <v>Parafuso parabolt Ø 1/4” x 1.3/4”</v>
      </c>
      <c r="F600" s="258" t="str">
        <f>IFERROR(IF(D600="SINAPI-S",VLOOKUP(B600,'20-B.SINAPI-S'!A:J,3,0),IF(D600="SINAPI-I",VLOOKUP(B600,'20-A.SINAPI-I'!A:G,3,0),IF(D600="COMPOSIÇÕES",VLOOKUP(B600,'11.COMPOSIÇÕES GERAIS'!B:I,3,0),VLOOKUP(B600,'12.COT.MERCADO'!A:I,7,0)))),"Em Elaboração")</f>
        <v>UN </v>
      </c>
      <c r="G600" s="254">
        <v>1.0</v>
      </c>
      <c r="H600" s="259">
        <f>IFERROR(IF(D600="SINAPI-S",VLOOKUP(B600,'20-B.SINAPI-S'!A:J,5,0),IF(D600="SINAPI-I",VLOOKUP(B600,'20-A.SINAPI-I'!A:G,6,0),IF(D600="COMPOSIÇÕES",VLOOKUP(B600,'11.COMPOSIÇÕES GERAIS'!B:I,7,0),0))),"Em Elaboração")</f>
        <v>0</v>
      </c>
      <c r="I600" s="259">
        <f>IFERROR(IF(D600="SINAPI-S",VLOOKUP(B600,'20-B.SINAPI-S'!A:J,6,0),IF(D600="SINAPI-I",VLOOKUP(B600,'20-A.SINAPI-I'!A:G,7,0),IF(D600="COMPOSIÇÕES",VLOOKUP(B600,'11.COMPOSIÇÕES GERAIS'!B:I,8,0),VLOOKUP(B600,'12.COT.MERCADO'!A:I,8,0)))),"Em Elaboração")</f>
        <v>1.2789</v>
      </c>
      <c r="J600" s="259">
        <f t="shared" si="102"/>
        <v>0</v>
      </c>
      <c r="K600" s="259">
        <f t="shared" si="103"/>
        <v>1.498019801</v>
      </c>
      <c r="L600" s="259">
        <f t="shared" si="104"/>
        <v>1.498019801</v>
      </c>
      <c r="M600" s="259">
        <f t="shared" si="105"/>
        <v>0</v>
      </c>
      <c r="N600" s="259">
        <f t="shared" si="106"/>
        <v>1.498019801</v>
      </c>
      <c r="O600" s="259">
        <f t="shared" si="107"/>
        <v>1.498019801</v>
      </c>
      <c r="P600" s="586">
        <f t="shared" si="3"/>
        <v>0.00000816614943</v>
      </c>
    </row>
    <row r="601">
      <c r="A601" s="253" t="s">
        <v>1224</v>
      </c>
      <c r="B601" s="254" t="s">
        <v>1225</v>
      </c>
      <c r="C601" s="255" t="str">
        <f t="shared" si="101"/>
        <v>PRÓPRIO</v>
      </c>
      <c r="D601" s="256" t="s">
        <v>110</v>
      </c>
      <c r="E601" s="257" t="str">
        <f>IFERROR(IF(D601="SINAPI-S",VLOOKUP(B601,'20-B.SINAPI-S'!A:J,2,0),IF(D601="SINAPI-I",VLOOKUP(B601,'20-A.SINAPI-I'!A:G,2,0),IF(D601="COMPOSIÇÕES",VLOOKUP(B601,'11.COMPOSIÇÕES GERAIS'!B:I,2,0),VLOOKUP(B601,'12.COT.MERCADO'!A:I,2,0)))),"Em Elaboração")</f>
        <v>Parafuso parabolt Ø 5/16”x 2”</v>
      </c>
      <c r="F601" s="258" t="str">
        <f>IFERROR(IF(D601="SINAPI-S",VLOOKUP(B601,'20-B.SINAPI-S'!A:J,3,0),IF(D601="SINAPI-I",VLOOKUP(B601,'20-A.SINAPI-I'!A:G,3,0),IF(D601="COMPOSIÇÕES",VLOOKUP(B601,'11.COMPOSIÇÕES GERAIS'!B:I,3,0),VLOOKUP(B601,'12.COT.MERCADO'!A:I,7,0)))),"Em Elaboração")</f>
        <v>UN </v>
      </c>
      <c r="G601" s="254">
        <v>1.0</v>
      </c>
      <c r="H601" s="259">
        <f>IFERROR(IF(D601="SINAPI-S",VLOOKUP(B601,'20-B.SINAPI-S'!A:J,5,0),IF(D601="SINAPI-I",VLOOKUP(B601,'20-A.SINAPI-I'!A:G,6,0),IF(D601="COMPOSIÇÕES",VLOOKUP(B601,'11.COMPOSIÇÕES GERAIS'!B:I,7,0),0))),"Em Elaboração")</f>
        <v>0</v>
      </c>
      <c r="I601" s="259">
        <f>IFERROR(IF(D601="SINAPI-S",VLOOKUP(B601,'20-B.SINAPI-S'!A:J,6,0),IF(D601="SINAPI-I",VLOOKUP(B601,'20-A.SINAPI-I'!A:G,7,0),IF(D601="COMPOSIÇÕES",VLOOKUP(B601,'11.COMPOSIÇÕES GERAIS'!B:I,8,0),VLOOKUP(B601,'12.COT.MERCADO'!A:I,8,0)))),"Em Elaboração")</f>
        <v>1.71</v>
      </c>
      <c r="J601" s="259">
        <f t="shared" si="102"/>
        <v>0</v>
      </c>
      <c r="K601" s="259">
        <f t="shared" si="103"/>
        <v>2.002982141</v>
      </c>
      <c r="L601" s="259">
        <f t="shared" si="104"/>
        <v>2.002982141</v>
      </c>
      <c r="M601" s="259">
        <f t="shared" si="105"/>
        <v>0</v>
      </c>
      <c r="N601" s="259">
        <f t="shared" si="106"/>
        <v>2.002982141</v>
      </c>
      <c r="O601" s="259">
        <f t="shared" si="107"/>
        <v>2.002982141</v>
      </c>
      <c r="P601" s="586">
        <f t="shared" si="3"/>
        <v>0.00001091884864</v>
      </c>
    </row>
    <row r="602">
      <c r="A602" s="253" t="s">
        <v>1226</v>
      </c>
      <c r="B602" s="254" t="s">
        <v>1227</v>
      </c>
      <c r="C602" s="255" t="str">
        <f t="shared" si="101"/>
        <v>PRÓPRIO</v>
      </c>
      <c r="D602" s="256" t="s">
        <v>110</v>
      </c>
      <c r="E602" s="257" t="str">
        <f>IFERROR(IF(D602="SINAPI-S",VLOOKUP(B602,'20-B.SINAPI-S'!A:J,2,0),IF(D602="SINAPI-I",VLOOKUP(B602,'20-A.SINAPI-I'!A:G,2,0),IF(D602="COMPOSIÇÕES",VLOOKUP(B602,'11.COMPOSIÇÕES GERAIS'!B:I,2,0),VLOOKUP(B602,'12.COT.MERCADO'!A:I,2,0)))),"Em Elaboração")</f>
        <v>Parafuso cabeça sextavada Ø 1/2" x 4"</v>
      </c>
      <c r="F602" s="258" t="str">
        <f>IFERROR(IF(D602="SINAPI-S",VLOOKUP(B602,'20-B.SINAPI-S'!A:J,3,0),IF(D602="SINAPI-I",VLOOKUP(B602,'20-A.SINAPI-I'!A:G,3,0),IF(D602="COMPOSIÇÕES",VLOOKUP(B602,'11.COMPOSIÇÕES GERAIS'!B:I,3,0),VLOOKUP(B602,'12.COT.MERCADO'!A:I,7,0)))),"Em Elaboração")</f>
        <v>UN </v>
      </c>
      <c r="G602" s="254">
        <v>8.0</v>
      </c>
      <c r="H602" s="259">
        <f>IFERROR(IF(D602="SINAPI-S",VLOOKUP(B602,'20-B.SINAPI-S'!A:J,5,0),IF(D602="SINAPI-I",VLOOKUP(B602,'20-A.SINAPI-I'!A:G,6,0),IF(D602="COMPOSIÇÕES",VLOOKUP(B602,'11.COMPOSIÇÕES GERAIS'!B:I,7,0),0))),"Em Elaboração")</f>
        <v>0</v>
      </c>
      <c r="I602" s="259">
        <f>IFERROR(IF(D602="SINAPI-S",VLOOKUP(B602,'20-B.SINAPI-S'!A:J,6,0),IF(D602="SINAPI-I",VLOOKUP(B602,'20-A.SINAPI-I'!A:G,7,0),IF(D602="COMPOSIÇÕES",VLOOKUP(B602,'11.COMPOSIÇÕES GERAIS'!B:I,8,0),VLOOKUP(B602,'12.COT.MERCADO'!A:I,8,0)))),"Em Elaboração")</f>
        <v>4.54</v>
      </c>
      <c r="J602" s="259">
        <f t="shared" si="102"/>
        <v>0</v>
      </c>
      <c r="K602" s="259">
        <f t="shared" si="103"/>
        <v>5.317859017</v>
      </c>
      <c r="L602" s="259">
        <f t="shared" si="104"/>
        <v>5.317859017</v>
      </c>
      <c r="M602" s="259">
        <f t="shared" si="105"/>
        <v>0</v>
      </c>
      <c r="N602" s="259">
        <f t="shared" si="106"/>
        <v>42.54287213</v>
      </c>
      <c r="O602" s="259">
        <f t="shared" si="107"/>
        <v>42.54287213</v>
      </c>
      <c r="P602" s="586">
        <f t="shared" si="3"/>
        <v>0.000231913791</v>
      </c>
    </row>
    <row r="603">
      <c r="A603" s="253" t="s">
        <v>1228</v>
      </c>
      <c r="B603" s="254" t="s">
        <v>1229</v>
      </c>
      <c r="C603" s="255" t="str">
        <f t="shared" si="101"/>
        <v>PRÓPRIO</v>
      </c>
      <c r="D603" s="256" t="s">
        <v>110</v>
      </c>
      <c r="E603" s="257" t="str">
        <f>IFERROR(IF(D603="SINAPI-S",VLOOKUP(B603,'20-B.SINAPI-S'!A:J,2,0),IF(D603="SINAPI-I",VLOOKUP(B603,'20-A.SINAPI-I'!A:G,2,0),IF(D603="COMPOSIÇÕES",VLOOKUP(B603,'11.COMPOSIÇÕES GERAIS'!B:I,2,0),VLOOKUP(B603,'12.COT.MERCADO'!A:I,2,0)))),"Em Elaboração")</f>
        <v>Parafuso cabeça sextavada Ø 1/4" x 4"</v>
      </c>
      <c r="F603" s="258" t="str">
        <f>IFERROR(IF(D603="SINAPI-S",VLOOKUP(B603,'20-B.SINAPI-S'!A:J,3,0),IF(D603="SINAPI-I",VLOOKUP(B603,'20-A.SINAPI-I'!A:G,3,0),IF(D603="COMPOSIÇÕES",VLOOKUP(B603,'11.COMPOSIÇÕES GERAIS'!B:I,3,0),VLOOKUP(B603,'12.COT.MERCADO'!A:I,7,0)))),"Em Elaboração")</f>
        <v>UN </v>
      </c>
      <c r="G603" s="254">
        <v>4.0</v>
      </c>
      <c r="H603" s="259">
        <f>IFERROR(IF(D603="SINAPI-S",VLOOKUP(B603,'20-B.SINAPI-S'!A:J,5,0),IF(D603="SINAPI-I",VLOOKUP(B603,'20-A.SINAPI-I'!A:G,6,0),IF(D603="COMPOSIÇÕES",VLOOKUP(B603,'11.COMPOSIÇÕES GERAIS'!B:I,7,0),0))),"Em Elaboração")</f>
        <v>0</v>
      </c>
      <c r="I603" s="259">
        <f>IFERROR(IF(D603="SINAPI-S",VLOOKUP(B603,'20-B.SINAPI-S'!A:J,6,0),IF(D603="SINAPI-I",VLOOKUP(B603,'20-A.SINAPI-I'!A:G,7,0),IF(D603="COMPOSIÇÕES",VLOOKUP(B603,'11.COMPOSIÇÕES GERAIS'!B:I,8,0),VLOOKUP(B603,'12.COT.MERCADO'!A:I,8,0)))),"Em Elaboração")</f>
        <v>2.06</v>
      </c>
      <c r="J603" s="259">
        <f t="shared" si="102"/>
        <v>0</v>
      </c>
      <c r="K603" s="259">
        <f t="shared" si="103"/>
        <v>2.412949245</v>
      </c>
      <c r="L603" s="259">
        <f t="shared" si="104"/>
        <v>2.412949245</v>
      </c>
      <c r="M603" s="259">
        <f t="shared" si="105"/>
        <v>0</v>
      </c>
      <c r="N603" s="259">
        <f t="shared" si="106"/>
        <v>9.651796982</v>
      </c>
      <c r="O603" s="259">
        <f t="shared" si="107"/>
        <v>9.651796982</v>
      </c>
      <c r="P603" s="586">
        <f t="shared" si="3"/>
        <v>0.0000526148028</v>
      </c>
    </row>
    <row r="604">
      <c r="A604" s="253" t="s">
        <v>1230</v>
      </c>
      <c r="B604" s="254" t="s">
        <v>1231</v>
      </c>
      <c r="C604" s="255" t="str">
        <f t="shared" si="101"/>
        <v>PRÓPRIO</v>
      </c>
      <c r="D604" s="256" t="s">
        <v>110</v>
      </c>
      <c r="E604" s="257" t="str">
        <f>IFERROR(IF(D604="SINAPI-S",VLOOKUP(B604,'20-B.SINAPI-S'!A:J,2,0),IF(D604="SINAPI-I",VLOOKUP(B604,'20-A.SINAPI-I'!A:G,2,0),IF(D604="COMPOSIÇÕES",VLOOKUP(B604,'11.COMPOSIÇÕES GERAIS'!B:I,2,0),VLOOKUP(B604,'12.COT.MERCADO'!A:I,2,0)))),"Em Elaboração")</f>
        <v>Parafuso cabeça sextavada Ø 3/8" x 1.1/4"</v>
      </c>
      <c r="F604" s="258" t="str">
        <f>IFERROR(IF(D604="SINAPI-S",VLOOKUP(B604,'20-B.SINAPI-S'!A:J,3,0),IF(D604="SINAPI-I",VLOOKUP(B604,'20-A.SINAPI-I'!A:G,3,0),IF(D604="COMPOSIÇÕES",VLOOKUP(B604,'11.COMPOSIÇÕES GERAIS'!B:I,3,0),VLOOKUP(B604,'12.COT.MERCADO'!A:I,7,0)))),"Em Elaboração")</f>
        <v>UN </v>
      </c>
      <c r="G604" s="254">
        <v>1.0</v>
      </c>
      <c r="H604" s="259">
        <f>IFERROR(IF(D604="SINAPI-S",VLOOKUP(B604,'20-B.SINAPI-S'!A:J,5,0),IF(D604="SINAPI-I",VLOOKUP(B604,'20-A.SINAPI-I'!A:G,6,0),IF(D604="COMPOSIÇÕES",VLOOKUP(B604,'11.COMPOSIÇÕES GERAIS'!B:I,7,0),0))),"Em Elaboração")</f>
        <v>0</v>
      </c>
      <c r="I604" s="259">
        <f>IFERROR(IF(D604="SINAPI-S",VLOOKUP(B604,'20-B.SINAPI-S'!A:J,6,0),IF(D604="SINAPI-I",VLOOKUP(B604,'20-A.SINAPI-I'!A:G,7,0),IF(D604="COMPOSIÇÕES",VLOOKUP(B604,'11.COMPOSIÇÕES GERAIS'!B:I,8,0),VLOOKUP(B604,'12.COT.MERCADO'!A:I,8,0)))),"Em Elaboração")</f>
        <v>1.14</v>
      </c>
      <c r="J604" s="259">
        <f t="shared" si="102"/>
        <v>0</v>
      </c>
      <c r="K604" s="259">
        <f t="shared" si="103"/>
        <v>1.335321427</v>
      </c>
      <c r="L604" s="259">
        <f t="shared" si="104"/>
        <v>1.335321427</v>
      </c>
      <c r="M604" s="259">
        <f t="shared" si="105"/>
        <v>0</v>
      </c>
      <c r="N604" s="259">
        <f t="shared" si="106"/>
        <v>1.335321427</v>
      </c>
      <c r="O604" s="259">
        <f t="shared" si="107"/>
        <v>1.335321427</v>
      </c>
      <c r="P604" s="586">
        <f t="shared" si="3"/>
        <v>0.000007279232427</v>
      </c>
    </row>
    <row r="605">
      <c r="A605" s="253" t="s">
        <v>1232</v>
      </c>
      <c r="B605" s="254" t="s">
        <v>1233</v>
      </c>
      <c r="C605" s="255" t="str">
        <f t="shared" si="101"/>
        <v>PRÓPRIO</v>
      </c>
      <c r="D605" s="256" t="s">
        <v>110</v>
      </c>
      <c r="E605" s="257" t="str">
        <f>IFERROR(IF(D605="SINAPI-S",VLOOKUP(B605,'20-B.SINAPI-S'!A:J,2,0),IF(D605="SINAPI-I",VLOOKUP(B605,'20-A.SINAPI-I'!A:G,2,0),IF(D605="COMPOSIÇÕES",VLOOKUP(B605,'11.COMPOSIÇÕES GERAIS'!B:I,2,0),VLOOKUP(B605,'12.COT.MERCADO'!A:I,2,0)))),"Em Elaboração")</f>
        <v>Porca sextavada Ø 1/4” - cento</v>
      </c>
      <c r="F605" s="258" t="str">
        <f>IFERROR(IF(D605="SINAPI-S",VLOOKUP(B605,'20-B.SINAPI-S'!A:J,3,0),IF(D605="SINAPI-I",VLOOKUP(B605,'20-A.SINAPI-I'!A:G,3,0),IF(D605="COMPOSIÇÕES",VLOOKUP(B605,'11.COMPOSIÇÕES GERAIS'!B:I,3,0),VLOOKUP(B605,'12.COT.MERCADO'!A:I,7,0)))),"Em Elaboração")</f>
        <v>UN </v>
      </c>
      <c r="G605" s="254">
        <v>2.0</v>
      </c>
      <c r="H605" s="259">
        <f>IFERROR(IF(D605="SINAPI-S",VLOOKUP(B605,'20-B.SINAPI-S'!A:J,5,0),IF(D605="SINAPI-I",VLOOKUP(B605,'20-A.SINAPI-I'!A:G,6,0),IF(D605="COMPOSIÇÕES",VLOOKUP(B605,'11.COMPOSIÇÕES GERAIS'!B:I,7,0),0))),"Em Elaboração")</f>
        <v>0</v>
      </c>
      <c r="I605" s="259">
        <f>IFERROR(IF(D605="SINAPI-S",VLOOKUP(B605,'20-B.SINAPI-S'!A:J,6,0),IF(D605="SINAPI-I",VLOOKUP(B605,'20-A.SINAPI-I'!A:G,7,0),IF(D605="COMPOSIÇÕES",VLOOKUP(B605,'11.COMPOSIÇÕES GERAIS'!B:I,8,0),VLOOKUP(B605,'12.COT.MERCADO'!A:I,8,0)))),"Em Elaboração")</f>
        <v>14.42</v>
      </c>
      <c r="J605" s="259">
        <f t="shared" si="102"/>
        <v>0</v>
      </c>
      <c r="K605" s="259">
        <f t="shared" si="103"/>
        <v>16.89064472</v>
      </c>
      <c r="L605" s="259">
        <f t="shared" si="104"/>
        <v>16.89064472</v>
      </c>
      <c r="M605" s="259">
        <f t="shared" si="105"/>
        <v>0</v>
      </c>
      <c r="N605" s="259">
        <f t="shared" si="106"/>
        <v>33.78128944</v>
      </c>
      <c r="O605" s="259">
        <f t="shared" si="107"/>
        <v>33.78128944</v>
      </c>
      <c r="P605" s="586">
        <f t="shared" si="3"/>
        <v>0.0001841518098</v>
      </c>
    </row>
    <row r="606">
      <c r="A606" s="253" t="s">
        <v>1234</v>
      </c>
      <c r="B606" s="254" t="s">
        <v>1235</v>
      </c>
      <c r="C606" s="255" t="str">
        <f t="shared" si="101"/>
        <v>PRÓPRIO</v>
      </c>
      <c r="D606" s="256" t="s">
        <v>110</v>
      </c>
      <c r="E606" s="257" t="str">
        <f>IFERROR(IF(D606="SINAPI-S",VLOOKUP(B606,'20-B.SINAPI-S'!A:J,2,0),IF(D606="SINAPI-I",VLOOKUP(B606,'20-A.SINAPI-I'!A:G,2,0),IF(D606="COMPOSIÇÕES",VLOOKUP(B606,'11.COMPOSIÇÕES GERAIS'!B:I,2,0),VLOOKUP(B606,'12.COT.MERCADO'!A:I,2,0)))),"Em Elaboração")</f>
        <v>Porca sextavada Ø 3/8” - cento</v>
      </c>
      <c r="F606" s="258" t="str">
        <f>IFERROR(IF(D606="SINAPI-S",VLOOKUP(B606,'20-B.SINAPI-S'!A:J,3,0),IF(D606="SINAPI-I",VLOOKUP(B606,'20-A.SINAPI-I'!A:G,3,0),IF(D606="COMPOSIÇÕES",VLOOKUP(B606,'11.COMPOSIÇÕES GERAIS'!B:I,3,0),VLOOKUP(B606,'12.COT.MERCADO'!A:I,7,0)))),"Em Elaboração")</f>
        <v>UN </v>
      </c>
      <c r="G606" s="254">
        <v>2.0</v>
      </c>
      <c r="H606" s="259">
        <f>IFERROR(IF(D606="SINAPI-S",VLOOKUP(B606,'20-B.SINAPI-S'!A:J,5,0),IF(D606="SINAPI-I",VLOOKUP(B606,'20-A.SINAPI-I'!A:G,6,0),IF(D606="COMPOSIÇÕES",VLOOKUP(B606,'11.COMPOSIÇÕES GERAIS'!B:I,7,0),0))),"Em Elaboração")</f>
        <v>0</v>
      </c>
      <c r="I606" s="259">
        <f>IFERROR(IF(D606="SINAPI-S",VLOOKUP(B606,'20-B.SINAPI-S'!A:J,6,0),IF(D606="SINAPI-I",VLOOKUP(B606,'20-A.SINAPI-I'!A:G,7,0),IF(D606="COMPOSIÇÕES",VLOOKUP(B606,'11.COMPOSIÇÕES GERAIS'!B:I,8,0),VLOOKUP(B606,'12.COT.MERCADO'!A:I,8,0)))),"Em Elaboração")</f>
        <v>26.32</v>
      </c>
      <c r="J606" s="259">
        <f t="shared" si="102"/>
        <v>0</v>
      </c>
      <c r="K606" s="259">
        <f t="shared" si="103"/>
        <v>30.82952628</v>
      </c>
      <c r="L606" s="259">
        <f t="shared" si="104"/>
        <v>30.82952628</v>
      </c>
      <c r="M606" s="259">
        <f t="shared" si="105"/>
        <v>0</v>
      </c>
      <c r="N606" s="259">
        <f t="shared" si="106"/>
        <v>61.65905256</v>
      </c>
      <c r="O606" s="259">
        <f t="shared" si="107"/>
        <v>61.65905256</v>
      </c>
      <c r="P606" s="586">
        <f t="shared" si="3"/>
        <v>0.0003361217499</v>
      </c>
    </row>
    <row r="607">
      <c r="A607" s="253" t="s">
        <v>1236</v>
      </c>
      <c r="B607" s="254" t="s">
        <v>1237</v>
      </c>
      <c r="C607" s="255" t="str">
        <f t="shared" si="101"/>
        <v>PRÓPRIO</v>
      </c>
      <c r="D607" s="256" t="s">
        <v>110</v>
      </c>
      <c r="E607" s="257" t="str">
        <f>IFERROR(IF(D607="SINAPI-S",VLOOKUP(B607,'20-B.SINAPI-S'!A:J,2,0),IF(D607="SINAPI-I",VLOOKUP(B607,'20-A.SINAPI-I'!A:G,2,0),IF(D607="COMPOSIÇÕES",VLOOKUP(B607,'11.COMPOSIÇÕES GERAIS'!B:I,2,0),VLOOKUP(B607,'12.COT.MERCADO'!A:I,2,0)))),"Em Elaboração")</f>
        <v>Manta de borracha 3,2mm X 1m</v>
      </c>
      <c r="F607" s="258" t="str">
        <f>IFERROR(IF(D607="SINAPI-S",VLOOKUP(B607,'20-B.SINAPI-S'!A:J,3,0),IF(D607="SINAPI-I",VLOOKUP(B607,'20-A.SINAPI-I'!A:G,3,0),IF(D607="COMPOSIÇÕES",VLOOKUP(B607,'11.COMPOSIÇÕES GERAIS'!B:I,3,0),VLOOKUP(B607,'12.COT.MERCADO'!A:I,7,0)))),"Em Elaboração")</f>
        <v>M </v>
      </c>
      <c r="G607" s="254">
        <v>1.0</v>
      </c>
      <c r="H607" s="259">
        <f>IFERROR(IF(D607="SINAPI-S",VLOOKUP(B607,'20-B.SINAPI-S'!A:J,5,0),IF(D607="SINAPI-I",VLOOKUP(B607,'20-A.SINAPI-I'!A:G,6,0),IF(D607="COMPOSIÇÕES",VLOOKUP(B607,'11.COMPOSIÇÕES GERAIS'!B:I,7,0),0))),"Em Elaboração")</f>
        <v>0</v>
      </c>
      <c r="I607" s="259">
        <f>IFERROR(IF(D607="SINAPI-S",VLOOKUP(B607,'20-B.SINAPI-S'!A:J,6,0),IF(D607="SINAPI-I",VLOOKUP(B607,'20-A.SINAPI-I'!A:G,7,0),IF(D607="COMPOSIÇÕES",VLOOKUP(B607,'11.COMPOSIÇÕES GERAIS'!B:I,8,0),VLOOKUP(B607,'12.COT.MERCADO'!A:I,8,0)))),"Em Elaboração")</f>
        <v>160.2</v>
      </c>
      <c r="J607" s="259">
        <f t="shared" si="102"/>
        <v>0</v>
      </c>
      <c r="K607" s="259">
        <f t="shared" si="103"/>
        <v>187.6478005</v>
      </c>
      <c r="L607" s="259">
        <f t="shared" si="104"/>
        <v>187.6478005</v>
      </c>
      <c r="M607" s="259">
        <f t="shared" si="105"/>
        <v>0</v>
      </c>
      <c r="N607" s="259">
        <f t="shared" si="106"/>
        <v>187.6478005</v>
      </c>
      <c r="O607" s="259">
        <f t="shared" si="107"/>
        <v>187.6478005</v>
      </c>
      <c r="P607" s="586">
        <f t="shared" si="3"/>
        <v>0.001022923715</v>
      </c>
    </row>
    <row r="608">
      <c r="A608" s="253" t="s">
        <v>1238</v>
      </c>
      <c r="B608" s="254" t="s">
        <v>1239</v>
      </c>
      <c r="C608" s="255" t="str">
        <f t="shared" si="101"/>
        <v>PRÓPRIO</v>
      </c>
      <c r="D608" s="256" t="s">
        <v>110</v>
      </c>
      <c r="E608" s="257" t="str">
        <f>IFERROR(IF(D608="SINAPI-S",VLOOKUP(B608,'20-B.SINAPI-S'!A:J,2,0),IF(D608="SINAPI-I",VLOOKUP(B608,'20-A.SINAPI-I'!A:G,2,0),IF(D608="COMPOSIÇÕES",VLOOKUP(B608,'11.COMPOSIÇÕES GERAIS'!B:I,2,0),VLOOKUP(B608,'12.COT.MERCADO'!A:I,2,0)))),"Em Elaboração")</f>
        <v>Manta filtrante Poliéster</v>
      </c>
      <c r="F608" s="258" t="str">
        <f>IFERROR(IF(D608="SINAPI-S",VLOOKUP(B608,'20-B.SINAPI-S'!A:J,3,0),IF(D608="SINAPI-I",VLOOKUP(B608,'20-A.SINAPI-I'!A:G,3,0),IF(D608="COMPOSIÇÕES",VLOOKUP(B608,'11.COMPOSIÇÕES GERAIS'!B:I,3,0),VLOOKUP(B608,'12.COT.MERCADO'!A:I,7,0)))),"Em Elaboração")</f>
        <v>M </v>
      </c>
      <c r="G608" s="254">
        <v>2.0</v>
      </c>
      <c r="H608" s="259">
        <f>IFERROR(IF(D608="SINAPI-S",VLOOKUP(B608,'20-B.SINAPI-S'!A:J,5,0),IF(D608="SINAPI-I",VLOOKUP(B608,'20-A.SINAPI-I'!A:G,6,0),IF(D608="COMPOSIÇÕES",VLOOKUP(B608,'11.COMPOSIÇÕES GERAIS'!B:I,7,0),0))),"Em Elaboração")</f>
        <v>0</v>
      </c>
      <c r="I608" s="259">
        <f>IFERROR(IF(D608="SINAPI-S",VLOOKUP(B608,'20-B.SINAPI-S'!A:J,6,0),IF(D608="SINAPI-I",VLOOKUP(B608,'20-A.SINAPI-I'!A:G,7,0),IF(D608="COMPOSIÇÕES",VLOOKUP(B608,'11.COMPOSIÇÕES GERAIS'!B:I,8,0),VLOOKUP(B608,'12.COT.MERCADO'!A:I,8,0)))),"Em Elaboração")</f>
        <v>194.75</v>
      </c>
      <c r="J608" s="259">
        <f t="shared" si="102"/>
        <v>0</v>
      </c>
      <c r="K608" s="259">
        <f t="shared" si="103"/>
        <v>228.1174105</v>
      </c>
      <c r="L608" s="259">
        <f t="shared" si="104"/>
        <v>228.1174105</v>
      </c>
      <c r="M608" s="259">
        <f t="shared" si="105"/>
        <v>0</v>
      </c>
      <c r="N608" s="259">
        <f t="shared" si="106"/>
        <v>456.2348209</v>
      </c>
      <c r="O608" s="259">
        <f t="shared" si="107"/>
        <v>456.2348209</v>
      </c>
      <c r="P608" s="586">
        <f t="shared" si="3"/>
        <v>0.002487071079</v>
      </c>
    </row>
    <row r="609">
      <c r="A609" s="253" t="s">
        <v>1240</v>
      </c>
      <c r="B609" s="254" t="s">
        <v>1241</v>
      </c>
      <c r="C609" s="255" t="str">
        <f t="shared" si="101"/>
        <v>PRÓPRIO</v>
      </c>
      <c r="D609" s="256" t="s">
        <v>110</v>
      </c>
      <c r="E609" s="257" t="str">
        <f>IFERROR(IF(D609="SINAPI-S",VLOOKUP(B609,'20-B.SINAPI-S'!A:J,2,0),IF(D609="SINAPI-I",VLOOKUP(B609,'20-A.SINAPI-I'!A:G,2,0),IF(D609="COMPOSIÇÕES",VLOOKUP(B609,'11.COMPOSIÇÕES GERAIS'!B:I,2,0),VLOOKUP(B609,'12.COT.MERCADO'!A:I,2,0)))),"Em Elaboração")</f>
        <v>Óleo lubrificante SAE 90</v>
      </c>
      <c r="F609" s="258" t="str">
        <f>IFERROR(IF(D609="SINAPI-S",VLOOKUP(B609,'20-B.SINAPI-S'!A:J,3,0),IF(D609="SINAPI-I",VLOOKUP(B609,'20-A.SINAPI-I'!A:G,3,0),IF(D609="COMPOSIÇÕES",VLOOKUP(B609,'11.COMPOSIÇÕES GERAIS'!B:I,3,0),VLOOKUP(B609,'12.COT.MERCADO'!A:I,7,0)))),"Em Elaboração")</f>
        <v>L</v>
      </c>
      <c r="G609" s="254">
        <v>3.0</v>
      </c>
      <c r="H609" s="259">
        <f>IFERROR(IF(D609="SINAPI-S",VLOOKUP(B609,'20-B.SINAPI-S'!A:J,5,0),IF(D609="SINAPI-I",VLOOKUP(B609,'20-A.SINAPI-I'!A:G,6,0),IF(D609="COMPOSIÇÕES",VLOOKUP(B609,'11.COMPOSIÇÕES GERAIS'!B:I,7,0),0))),"Em Elaboração")</f>
        <v>0</v>
      </c>
      <c r="I609" s="259">
        <f>IFERROR(IF(D609="SINAPI-S",VLOOKUP(B609,'20-B.SINAPI-S'!A:J,6,0),IF(D609="SINAPI-I",VLOOKUP(B609,'20-A.SINAPI-I'!A:G,7,0),IF(D609="COMPOSIÇÕES",VLOOKUP(B609,'11.COMPOSIÇÕES GERAIS'!B:I,8,0),VLOOKUP(B609,'12.COT.MERCADO'!A:I,8,0)))),"Em Elaboração")</f>
        <v>41.23</v>
      </c>
      <c r="J609" s="259">
        <f t="shared" si="102"/>
        <v>0</v>
      </c>
      <c r="K609" s="259">
        <f t="shared" si="103"/>
        <v>48.29412495</v>
      </c>
      <c r="L609" s="259">
        <f t="shared" si="104"/>
        <v>48.29412495</v>
      </c>
      <c r="M609" s="259">
        <f t="shared" si="105"/>
        <v>0</v>
      </c>
      <c r="N609" s="259">
        <f t="shared" si="106"/>
        <v>144.8823748</v>
      </c>
      <c r="O609" s="259">
        <f t="shared" si="107"/>
        <v>144.8823748</v>
      </c>
      <c r="P609" s="586">
        <f t="shared" si="3"/>
        <v>0.0007897967183</v>
      </c>
    </row>
    <row r="610">
      <c r="A610" s="253" t="s">
        <v>1242</v>
      </c>
      <c r="B610" s="254" t="s">
        <v>1243</v>
      </c>
      <c r="C610" s="255" t="str">
        <f t="shared" si="101"/>
        <v>PRÓPRIO</v>
      </c>
      <c r="D610" s="256" t="s">
        <v>110</v>
      </c>
      <c r="E610" s="257" t="str">
        <f>IFERROR(IF(D610="SINAPI-S",VLOOKUP(B610,'20-B.SINAPI-S'!A:J,2,0),IF(D610="SINAPI-I",VLOOKUP(B610,'20-A.SINAPI-I'!A:G,2,0),IF(D610="COMPOSIÇÕES",VLOOKUP(B610,'11.COMPOSIÇÕES GERAIS'!B:I,2,0),VLOOKUP(B610,'12.COT.MERCADO'!A:I,2,0)))),"Em Elaboração")</f>
        <v>Parafuso sextavado rosca parcial 5/16" x 3"</v>
      </c>
      <c r="F610" s="258" t="str">
        <f>IFERROR(IF(D610="SINAPI-S",VLOOKUP(B610,'20-B.SINAPI-S'!A:J,3,0),IF(D610="SINAPI-I",VLOOKUP(B610,'20-A.SINAPI-I'!A:G,3,0),IF(D610="COMPOSIÇÕES",VLOOKUP(B610,'11.COMPOSIÇÕES GERAIS'!B:I,3,0),VLOOKUP(B610,'12.COT.MERCADO'!A:I,7,0)))),"Em Elaboração")</f>
        <v>UN </v>
      </c>
      <c r="G610" s="254">
        <v>4.0</v>
      </c>
      <c r="H610" s="259">
        <f>IFERROR(IF(D610="SINAPI-S",VLOOKUP(B610,'20-B.SINAPI-S'!A:J,5,0),IF(D610="SINAPI-I",VLOOKUP(B610,'20-A.SINAPI-I'!A:G,6,0),IF(D610="COMPOSIÇÕES",VLOOKUP(B610,'11.COMPOSIÇÕES GERAIS'!B:I,7,0),0))),"Em Elaboração")</f>
        <v>0</v>
      </c>
      <c r="I610" s="259">
        <f>IFERROR(IF(D610="SINAPI-S",VLOOKUP(B610,'20-B.SINAPI-S'!A:J,6,0),IF(D610="SINAPI-I",VLOOKUP(B610,'20-A.SINAPI-I'!A:G,7,0),IF(D610="COMPOSIÇÕES",VLOOKUP(B610,'11.COMPOSIÇÕES GERAIS'!B:I,8,0),VLOOKUP(B610,'12.COT.MERCADO'!A:I,8,0)))),"Em Elaboração")</f>
        <v>49.41</v>
      </c>
      <c r="J610" s="259">
        <f t="shared" si="102"/>
        <v>0</v>
      </c>
      <c r="K610" s="259">
        <f t="shared" si="103"/>
        <v>57.87564185</v>
      </c>
      <c r="L610" s="259">
        <f t="shared" si="104"/>
        <v>57.87564185</v>
      </c>
      <c r="M610" s="259">
        <f t="shared" si="105"/>
        <v>0</v>
      </c>
      <c r="N610" s="259">
        <f t="shared" si="106"/>
        <v>231.5025674</v>
      </c>
      <c r="O610" s="259">
        <f t="shared" si="107"/>
        <v>231.5025674</v>
      </c>
      <c r="P610" s="586">
        <f t="shared" si="3"/>
        <v>0.001261989032</v>
      </c>
    </row>
    <row r="611">
      <c r="A611" s="253" t="s">
        <v>1244</v>
      </c>
      <c r="B611" s="254" t="s">
        <v>1245</v>
      </c>
      <c r="C611" s="255" t="str">
        <f t="shared" si="101"/>
        <v>PRÓPRIO</v>
      </c>
      <c r="D611" s="256" t="s">
        <v>110</v>
      </c>
      <c r="E611" s="257" t="str">
        <f>IFERROR(IF(D611="SINAPI-S",VLOOKUP(B611,'20-B.SINAPI-S'!A:J,2,0),IF(D611="SINAPI-I",VLOOKUP(B611,'20-A.SINAPI-I'!A:G,2,0),IF(D611="COMPOSIÇÕES",VLOOKUP(B611,'11.COMPOSIÇÕES GERAIS'!B:I,2,0),VLOOKUP(B611,'12.COT.MERCADO'!A:I,2,0)))),"Em Elaboração")</f>
        <v>Detergente Desincrustante Profissional limpa metal 5L. Ref: Thilex, Solupan, Metasil ou similar</v>
      </c>
      <c r="F611" s="258" t="str">
        <f>IFERROR(IF(D611="SINAPI-S",VLOOKUP(B611,'20-B.SINAPI-S'!A:J,3,0),IF(D611="SINAPI-I",VLOOKUP(B611,'20-A.SINAPI-I'!A:G,3,0),IF(D611="COMPOSIÇÕES",VLOOKUP(B611,'11.COMPOSIÇÕES GERAIS'!B:I,3,0),VLOOKUP(B611,'12.COT.MERCADO'!A:I,7,0)))),"Em Elaboração")</f>
        <v>UN </v>
      </c>
      <c r="G611" s="254">
        <v>3.0</v>
      </c>
      <c r="H611" s="259">
        <f>IFERROR(IF(D611="SINAPI-S",VLOOKUP(B611,'20-B.SINAPI-S'!A:J,5,0),IF(D611="SINAPI-I",VLOOKUP(B611,'20-A.SINAPI-I'!A:G,6,0),IF(D611="COMPOSIÇÕES",VLOOKUP(B611,'11.COMPOSIÇÕES GERAIS'!B:I,7,0),0))),"Em Elaboração")</f>
        <v>0</v>
      </c>
      <c r="I611" s="259">
        <f>IFERROR(IF(D611="SINAPI-S",VLOOKUP(B611,'20-B.SINAPI-S'!A:J,6,0),IF(D611="SINAPI-I",VLOOKUP(B611,'20-A.SINAPI-I'!A:G,7,0),IF(D611="COMPOSIÇÕES",VLOOKUP(B611,'11.COMPOSIÇÕES GERAIS'!B:I,8,0),VLOOKUP(B611,'12.COT.MERCADO'!A:I,8,0)))),"Em Elaboração")</f>
        <v>109</v>
      </c>
      <c r="J611" s="259">
        <f t="shared" si="102"/>
        <v>0</v>
      </c>
      <c r="K611" s="259">
        <f t="shared" si="103"/>
        <v>127.6754698</v>
      </c>
      <c r="L611" s="259">
        <f t="shared" si="104"/>
        <v>127.6754698</v>
      </c>
      <c r="M611" s="259">
        <f t="shared" si="105"/>
        <v>0</v>
      </c>
      <c r="N611" s="259">
        <f t="shared" si="106"/>
        <v>383.0264093</v>
      </c>
      <c r="O611" s="259">
        <f t="shared" si="107"/>
        <v>383.0264093</v>
      </c>
      <c r="P611" s="586">
        <f t="shared" si="3"/>
        <v>0.002087990354</v>
      </c>
    </row>
    <row r="612">
      <c r="A612" s="253" t="s">
        <v>1246</v>
      </c>
      <c r="B612" s="254" t="s">
        <v>1247</v>
      </c>
      <c r="C612" s="255" t="str">
        <f t="shared" si="101"/>
        <v>PRÓPRIO</v>
      </c>
      <c r="D612" s="256" t="s">
        <v>110</v>
      </c>
      <c r="E612" s="257" t="str">
        <f>IFERROR(IF(D612="SINAPI-S",VLOOKUP(B612,'20-B.SINAPI-S'!A:J,2,0),IF(D612="SINAPI-I",VLOOKUP(B612,'20-A.SINAPI-I'!A:G,2,0),IF(D612="COMPOSIÇÕES",VLOOKUP(B612,'11.COMPOSIÇÕES GERAIS'!B:I,2,0),VLOOKUP(B612,'12.COT.MERCADO'!A:I,2,0)))),"Em Elaboração")</f>
        <v>Vaselina Sólida 3kg</v>
      </c>
      <c r="F612" s="258" t="str">
        <f>IFERROR(IF(D612="SINAPI-S",VLOOKUP(B612,'20-B.SINAPI-S'!A:J,3,0),IF(D612="SINAPI-I",VLOOKUP(B612,'20-A.SINAPI-I'!A:G,3,0),IF(D612="COMPOSIÇÕES",VLOOKUP(B612,'11.COMPOSIÇÕES GERAIS'!B:I,3,0),VLOOKUP(B612,'12.COT.MERCADO'!A:I,7,0)))),"Em Elaboração")</f>
        <v>UN </v>
      </c>
      <c r="G612" s="254">
        <v>3.0</v>
      </c>
      <c r="H612" s="259">
        <f>IFERROR(IF(D612="SINAPI-S",VLOOKUP(B612,'20-B.SINAPI-S'!A:J,5,0),IF(D612="SINAPI-I",VLOOKUP(B612,'20-A.SINAPI-I'!A:G,6,0),IF(D612="COMPOSIÇÕES",VLOOKUP(B612,'11.COMPOSIÇÕES GERAIS'!B:I,7,0),0))),"Em Elaboração")</f>
        <v>0</v>
      </c>
      <c r="I612" s="259">
        <f>IFERROR(IF(D612="SINAPI-S",VLOOKUP(B612,'20-B.SINAPI-S'!A:J,6,0),IF(D612="SINAPI-I",VLOOKUP(B612,'20-A.SINAPI-I'!A:G,7,0),IF(D612="COMPOSIÇÕES",VLOOKUP(B612,'11.COMPOSIÇÕES GERAIS'!B:I,8,0),VLOOKUP(B612,'12.COT.MERCADO'!A:I,8,0)))),"Em Elaboração")</f>
        <v>83.84</v>
      </c>
      <c r="J612" s="259">
        <f t="shared" si="102"/>
        <v>0</v>
      </c>
      <c r="K612" s="259">
        <f t="shared" si="103"/>
        <v>98.20469162</v>
      </c>
      <c r="L612" s="259">
        <f t="shared" si="104"/>
        <v>98.20469162</v>
      </c>
      <c r="M612" s="259">
        <f t="shared" si="105"/>
        <v>0</v>
      </c>
      <c r="N612" s="259">
        <f t="shared" si="106"/>
        <v>294.6140749</v>
      </c>
      <c r="O612" s="259">
        <f t="shared" si="107"/>
        <v>294.6140749</v>
      </c>
      <c r="P612" s="586">
        <f t="shared" si="3"/>
        <v>0.001606028544</v>
      </c>
    </row>
    <row r="613">
      <c r="A613" s="253" t="s">
        <v>1248</v>
      </c>
      <c r="B613" s="254" t="s">
        <v>1249</v>
      </c>
      <c r="C613" s="255" t="str">
        <f t="shared" si="101"/>
        <v>PRÓPRIO</v>
      </c>
      <c r="D613" s="256" t="s">
        <v>110</v>
      </c>
      <c r="E613" s="257" t="str">
        <f>IFERROR(IF(D613="SINAPI-S",VLOOKUP(B613,'20-B.SINAPI-S'!A:J,2,0),IF(D613="SINAPI-I",VLOOKUP(B613,'20-A.SINAPI-I'!A:G,2,0),IF(D613="COMPOSIÇÕES",VLOOKUP(B613,'11.COMPOSIÇÕES GERAIS'!B:I,2,0),VLOOKUP(B613,'12.COT.MERCADO'!A:I,2,0)))),"Em Elaboração")</f>
        <v>Lâmina para Serra</v>
      </c>
      <c r="F613" s="258" t="str">
        <f>IFERROR(IF(D613="SINAPI-S",VLOOKUP(B613,'20-B.SINAPI-S'!A:J,3,0),IF(D613="SINAPI-I",VLOOKUP(B613,'20-A.SINAPI-I'!A:G,3,0),IF(D613="COMPOSIÇÕES",VLOOKUP(B613,'11.COMPOSIÇÕES GERAIS'!B:I,3,0),VLOOKUP(B613,'12.COT.MERCADO'!A:I,7,0)))),"Em Elaboração")</f>
        <v>UN </v>
      </c>
      <c r="G613" s="254">
        <v>6.0</v>
      </c>
      <c r="H613" s="259">
        <f>IFERROR(IF(D613="SINAPI-S",VLOOKUP(B613,'20-B.SINAPI-S'!A:J,5,0),IF(D613="SINAPI-I",VLOOKUP(B613,'20-A.SINAPI-I'!A:G,6,0),IF(D613="COMPOSIÇÕES",VLOOKUP(B613,'11.COMPOSIÇÕES GERAIS'!B:I,7,0),0))),"Em Elaboração")</f>
        <v>0</v>
      </c>
      <c r="I613" s="259">
        <f>IFERROR(IF(D613="SINAPI-S",VLOOKUP(B613,'20-B.SINAPI-S'!A:J,6,0),IF(D613="SINAPI-I",VLOOKUP(B613,'20-A.SINAPI-I'!A:G,7,0),IF(D613="COMPOSIÇÕES",VLOOKUP(B613,'11.COMPOSIÇÕES GERAIS'!B:I,8,0),VLOOKUP(B613,'12.COT.MERCADO'!A:I,8,0)))),"Em Elaboração")</f>
        <v>6.65</v>
      </c>
      <c r="J613" s="259">
        <f t="shared" si="102"/>
        <v>0</v>
      </c>
      <c r="K613" s="259">
        <f t="shared" si="103"/>
        <v>7.789374991</v>
      </c>
      <c r="L613" s="259">
        <f t="shared" si="104"/>
        <v>7.789374991</v>
      </c>
      <c r="M613" s="259">
        <f t="shared" si="105"/>
        <v>0</v>
      </c>
      <c r="N613" s="259">
        <f t="shared" si="106"/>
        <v>46.73624995</v>
      </c>
      <c r="O613" s="259">
        <f t="shared" si="107"/>
        <v>46.73624995</v>
      </c>
      <c r="P613" s="586">
        <f t="shared" si="3"/>
        <v>0.0002547731349</v>
      </c>
    </row>
    <row r="614">
      <c r="A614" s="253" t="s">
        <v>1250</v>
      </c>
      <c r="B614" s="254" t="s">
        <v>1251</v>
      </c>
      <c r="C614" s="255" t="str">
        <f t="shared" si="101"/>
        <v>PRÓPRIO</v>
      </c>
      <c r="D614" s="256" t="s">
        <v>110</v>
      </c>
      <c r="E614" s="257" t="str">
        <f>IFERROR(IF(D614="SINAPI-S",VLOOKUP(B614,'20-B.SINAPI-S'!A:J,2,0),IF(D614="SINAPI-I",VLOOKUP(B614,'20-A.SINAPI-I'!A:G,2,0),IF(D614="COMPOSIÇÕES",VLOOKUP(B614,'11.COMPOSIÇÕES GERAIS'!B:I,2,0),VLOOKUP(B614,'12.COT.MERCADO'!A:I,2,0)))),"Em Elaboração")</f>
        <v>Grelha de Insuflamento 40x40</v>
      </c>
      <c r="F614" s="258" t="str">
        <f>IFERROR(IF(D614="SINAPI-S",VLOOKUP(B614,'20-B.SINAPI-S'!A:J,3,0),IF(D614="SINAPI-I",VLOOKUP(B614,'20-A.SINAPI-I'!A:G,3,0),IF(D614="COMPOSIÇÕES",VLOOKUP(B614,'11.COMPOSIÇÕES GERAIS'!B:I,3,0),VLOOKUP(B614,'12.COT.MERCADO'!A:I,7,0)))),"Em Elaboração")</f>
        <v>UN </v>
      </c>
      <c r="G614" s="254">
        <v>2.0</v>
      </c>
      <c r="H614" s="259">
        <f>IFERROR(IF(D614="SINAPI-S",VLOOKUP(B614,'20-B.SINAPI-S'!A:J,5,0),IF(D614="SINAPI-I",VLOOKUP(B614,'20-A.SINAPI-I'!A:G,6,0),IF(D614="COMPOSIÇÕES",VLOOKUP(B614,'11.COMPOSIÇÕES GERAIS'!B:I,7,0),0))),"Em Elaboração")</f>
        <v>0</v>
      </c>
      <c r="I614" s="259">
        <f>IFERROR(IF(D614="SINAPI-S",VLOOKUP(B614,'20-B.SINAPI-S'!A:J,6,0),IF(D614="SINAPI-I",VLOOKUP(B614,'20-A.SINAPI-I'!A:G,7,0),IF(D614="COMPOSIÇÕES",VLOOKUP(B614,'11.COMPOSIÇÕES GERAIS'!B:I,8,0),VLOOKUP(B614,'12.COT.MERCADO'!A:I,8,0)))),"Em Elaboração")</f>
        <v>240</v>
      </c>
      <c r="J614" s="259">
        <f t="shared" si="102"/>
        <v>0</v>
      </c>
      <c r="K614" s="259">
        <f t="shared" si="103"/>
        <v>281.1203004</v>
      </c>
      <c r="L614" s="259">
        <f t="shared" si="104"/>
        <v>281.1203004</v>
      </c>
      <c r="M614" s="259">
        <f t="shared" si="105"/>
        <v>0</v>
      </c>
      <c r="N614" s="259">
        <f t="shared" si="106"/>
        <v>562.2406009</v>
      </c>
      <c r="O614" s="259">
        <f t="shared" si="107"/>
        <v>562.2406009</v>
      </c>
      <c r="P614" s="586">
        <f t="shared" si="3"/>
        <v>0.003064939969</v>
      </c>
    </row>
    <row r="615">
      <c r="A615" s="253" t="s">
        <v>1252</v>
      </c>
      <c r="B615" s="254" t="s">
        <v>1253</v>
      </c>
      <c r="C615" s="255" t="str">
        <f t="shared" si="101"/>
        <v>PRÓPRIO</v>
      </c>
      <c r="D615" s="256" t="s">
        <v>110</v>
      </c>
      <c r="E615" s="257" t="str">
        <f>IFERROR(IF(D615="SINAPI-S",VLOOKUP(B615,'20-B.SINAPI-S'!A:J,2,0),IF(D615="SINAPI-I",VLOOKUP(B615,'20-A.SINAPI-I'!A:G,2,0),IF(D615="COMPOSIÇÕES",VLOOKUP(B615,'11.COMPOSIÇÕES GERAIS'!B:I,2,0),VLOOKUP(B615,'12.COT.MERCADO'!A:I,2,0)))),"Em Elaboração")</f>
        <v>SENSOR TEMPERATURA 30RB 10M</v>
      </c>
      <c r="F615" s="258" t="str">
        <f>IFERROR(IF(D615="SINAPI-S",VLOOKUP(B615,'20-B.SINAPI-S'!A:J,3,0),IF(D615="SINAPI-I",VLOOKUP(B615,'20-A.SINAPI-I'!A:G,3,0),IF(D615="COMPOSIÇÕES",VLOOKUP(B615,'11.COMPOSIÇÕES GERAIS'!B:I,3,0),VLOOKUP(B615,'12.COT.MERCADO'!A:I,7,0)))),"Em Elaboração")</f>
        <v>UN </v>
      </c>
      <c r="G615" s="254">
        <v>2.0</v>
      </c>
      <c r="H615" s="259">
        <f>IFERROR(IF(D615="SINAPI-S",VLOOKUP(B615,'20-B.SINAPI-S'!A:J,5,0),IF(D615="SINAPI-I",VLOOKUP(B615,'20-A.SINAPI-I'!A:G,6,0),IF(D615="COMPOSIÇÕES",VLOOKUP(B615,'11.COMPOSIÇÕES GERAIS'!B:I,7,0),0))),"Em Elaboração")</f>
        <v>0</v>
      </c>
      <c r="I615" s="259">
        <f>IFERROR(IF(D615="SINAPI-S",VLOOKUP(B615,'20-B.SINAPI-S'!A:J,6,0),IF(D615="SINAPI-I",VLOOKUP(B615,'20-A.SINAPI-I'!A:G,7,0),IF(D615="COMPOSIÇÕES",VLOOKUP(B615,'11.COMPOSIÇÕES GERAIS'!B:I,8,0),VLOOKUP(B615,'12.COT.MERCADO'!A:I,8,0)))),"Em Elaboração")</f>
        <v>267.48</v>
      </c>
      <c r="J615" s="259">
        <f t="shared" si="102"/>
        <v>0</v>
      </c>
      <c r="K615" s="259">
        <f t="shared" si="103"/>
        <v>313.3085748</v>
      </c>
      <c r="L615" s="259">
        <f t="shared" si="104"/>
        <v>313.3085748</v>
      </c>
      <c r="M615" s="259">
        <f t="shared" si="105"/>
        <v>0</v>
      </c>
      <c r="N615" s="259">
        <f t="shared" si="106"/>
        <v>626.6171497</v>
      </c>
      <c r="O615" s="259">
        <f t="shared" si="107"/>
        <v>626.6171497</v>
      </c>
      <c r="P615" s="586">
        <f t="shared" si="3"/>
        <v>0.003415875596</v>
      </c>
    </row>
    <row r="616">
      <c r="A616" s="253" t="s">
        <v>1254</v>
      </c>
      <c r="B616" s="254" t="s">
        <v>1255</v>
      </c>
      <c r="C616" s="255" t="str">
        <f t="shared" si="101"/>
        <v>PRÓPRIO</v>
      </c>
      <c r="D616" s="256" t="s">
        <v>110</v>
      </c>
      <c r="E616" s="257" t="str">
        <f>IFERROR(IF(D616="SINAPI-S",VLOOKUP(B616,'20-B.SINAPI-S'!A:J,2,0),IF(D616="SINAPI-I",VLOOKUP(B616,'20-A.SINAPI-I'!A:G,2,0),IF(D616="COMPOSIÇÕES",VLOOKUP(B616,'11.COMPOSIÇÕES GERAIS'!B:I,2,0),VLOOKUP(B616,'12.COT.MERCADO'!A:I,2,0)))),"Em Elaboração")</f>
        <v>CONECTOR TRANSDUTOR  DE PRESSAO</v>
      </c>
      <c r="F616" s="258" t="str">
        <f>IFERROR(IF(D616="SINAPI-S",VLOOKUP(B616,'20-B.SINAPI-S'!A:J,3,0),IF(D616="SINAPI-I",VLOOKUP(B616,'20-A.SINAPI-I'!A:G,3,0),IF(D616="COMPOSIÇÕES",VLOOKUP(B616,'11.COMPOSIÇÕES GERAIS'!B:I,3,0),VLOOKUP(B616,'12.COT.MERCADO'!A:I,7,0)))),"Em Elaboração")</f>
        <v>UN </v>
      </c>
      <c r="G616" s="254">
        <v>2.0</v>
      </c>
      <c r="H616" s="259">
        <f>IFERROR(IF(D616="SINAPI-S",VLOOKUP(B616,'20-B.SINAPI-S'!A:J,5,0),IF(D616="SINAPI-I",VLOOKUP(B616,'20-A.SINAPI-I'!A:G,6,0),IF(D616="COMPOSIÇÕES",VLOOKUP(B616,'11.COMPOSIÇÕES GERAIS'!B:I,7,0),0))),"Em Elaboração")</f>
        <v>0</v>
      </c>
      <c r="I616" s="259">
        <f>IFERROR(IF(D616="SINAPI-S",VLOOKUP(B616,'20-B.SINAPI-S'!A:J,6,0),IF(D616="SINAPI-I",VLOOKUP(B616,'20-A.SINAPI-I'!A:G,7,0),IF(D616="COMPOSIÇÕES",VLOOKUP(B616,'11.COMPOSIÇÕES GERAIS'!B:I,8,0),VLOOKUP(B616,'12.COT.MERCADO'!A:I,8,0)))),"Em Elaboração")</f>
        <v>472.5</v>
      </c>
      <c r="J616" s="259">
        <f t="shared" si="102"/>
        <v>0</v>
      </c>
      <c r="K616" s="259">
        <f t="shared" si="103"/>
        <v>553.4555915</v>
      </c>
      <c r="L616" s="259">
        <f t="shared" si="104"/>
        <v>553.4555915</v>
      </c>
      <c r="M616" s="259">
        <f t="shared" si="105"/>
        <v>0</v>
      </c>
      <c r="N616" s="259">
        <f t="shared" si="106"/>
        <v>1106.911183</v>
      </c>
      <c r="O616" s="259">
        <f t="shared" si="107"/>
        <v>1106.911183</v>
      </c>
      <c r="P616" s="586">
        <f t="shared" si="3"/>
        <v>0.006034100564</v>
      </c>
    </row>
    <row r="617">
      <c r="A617" s="253" t="s">
        <v>1256</v>
      </c>
      <c r="B617" s="254" t="s">
        <v>1257</v>
      </c>
      <c r="C617" s="255" t="str">
        <f t="shared" si="101"/>
        <v>PRÓPRIO</v>
      </c>
      <c r="D617" s="256" t="s">
        <v>110</v>
      </c>
      <c r="E617" s="257" t="str">
        <f>IFERROR(IF(D617="SINAPI-S",VLOOKUP(B617,'20-B.SINAPI-S'!A:J,2,0),IF(D617="SINAPI-I",VLOOKUP(B617,'20-A.SINAPI-I'!A:G,2,0),IF(D617="COMPOSIÇÕES",VLOOKUP(B617,'11.COMPOSIÇÕES GERAIS'!B:I,2,0),VLOOKUP(B617,'12.COT.MERCADO'!A:I,2,0)))),"Em Elaboração")</f>
        <v>CABO/CONECTOR  DO SENSOR NACIONAL</v>
      </c>
      <c r="F617" s="258" t="str">
        <f>IFERROR(IF(D617="SINAPI-S",VLOOKUP(B617,'20-B.SINAPI-S'!A:J,3,0),IF(D617="SINAPI-I",VLOOKUP(B617,'20-A.SINAPI-I'!A:G,3,0),IF(D617="COMPOSIÇÕES",VLOOKUP(B617,'11.COMPOSIÇÕES GERAIS'!B:I,3,0),VLOOKUP(B617,'12.COT.MERCADO'!A:I,7,0)))),"Em Elaboração")</f>
        <v>UN </v>
      </c>
      <c r="G617" s="254">
        <v>2.0</v>
      </c>
      <c r="H617" s="259">
        <f>IFERROR(IF(D617="SINAPI-S",VLOOKUP(B617,'20-B.SINAPI-S'!A:J,5,0),IF(D617="SINAPI-I",VLOOKUP(B617,'20-A.SINAPI-I'!A:G,6,0),IF(D617="COMPOSIÇÕES",VLOOKUP(B617,'11.COMPOSIÇÕES GERAIS'!B:I,7,0),0))),"Em Elaboração")</f>
        <v>0</v>
      </c>
      <c r="I617" s="259">
        <f>IFERROR(IF(D617="SINAPI-S",VLOOKUP(B617,'20-B.SINAPI-S'!A:J,6,0),IF(D617="SINAPI-I",VLOOKUP(B617,'20-A.SINAPI-I'!A:G,7,0),IF(D617="COMPOSIÇÕES",VLOOKUP(B617,'11.COMPOSIÇÕES GERAIS'!B:I,8,0),VLOOKUP(B617,'12.COT.MERCADO'!A:I,8,0)))),"Em Elaboração")</f>
        <v>56.58</v>
      </c>
      <c r="J617" s="259">
        <f t="shared" si="102"/>
        <v>0</v>
      </c>
      <c r="K617" s="259">
        <f t="shared" si="103"/>
        <v>66.27411083</v>
      </c>
      <c r="L617" s="259">
        <f t="shared" si="104"/>
        <v>66.27411083</v>
      </c>
      <c r="M617" s="259">
        <f t="shared" si="105"/>
        <v>0</v>
      </c>
      <c r="N617" s="259">
        <f t="shared" si="106"/>
        <v>132.5482217</v>
      </c>
      <c r="O617" s="259">
        <f t="shared" si="107"/>
        <v>132.5482217</v>
      </c>
      <c r="P617" s="586">
        <f t="shared" si="3"/>
        <v>0.0007225595977</v>
      </c>
    </row>
    <row r="618">
      <c r="A618" s="253" t="s">
        <v>1258</v>
      </c>
      <c r="B618" s="254" t="s">
        <v>1259</v>
      </c>
      <c r="C618" s="255" t="str">
        <f t="shared" si="101"/>
        <v>PRÓPRIO</v>
      </c>
      <c r="D618" s="256" t="s">
        <v>110</v>
      </c>
      <c r="E618" s="257" t="str">
        <f>IFERROR(IF(D618="SINAPI-S",VLOOKUP(B618,'20-B.SINAPI-S'!A:J,2,0),IF(D618="SINAPI-I",VLOOKUP(B618,'20-A.SINAPI-I'!A:G,2,0),IF(D618="COMPOSIÇÕES",VLOOKUP(B618,'11.COMPOSIÇÕES GERAIS'!B:I,2,0),VLOOKUP(B618,'12.COT.MERCADO'!A:I,2,0)))),"Em Elaboração")</f>
        <v>TRANSD DE BAIXA PRESSAO </v>
      </c>
      <c r="F618" s="258" t="str">
        <f>IFERROR(IF(D618="SINAPI-S",VLOOKUP(B618,'20-B.SINAPI-S'!A:J,3,0),IF(D618="SINAPI-I",VLOOKUP(B618,'20-A.SINAPI-I'!A:G,3,0),IF(D618="COMPOSIÇÕES",VLOOKUP(B618,'11.COMPOSIÇÕES GERAIS'!B:I,3,0),VLOOKUP(B618,'12.COT.MERCADO'!A:I,7,0)))),"Em Elaboração")</f>
        <v>UN </v>
      </c>
      <c r="G618" s="254">
        <v>2.0</v>
      </c>
      <c r="H618" s="259">
        <f>IFERROR(IF(D618="SINAPI-S",VLOOKUP(B618,'20-B.SINAPI-S'!A:J,5,0),IF(D618="SINAPI-I",VLOOKUP(B618,'20-A.SINAPI-I'!A:G,6,0),IF(D618="COMPOSIÇÕES",VLOOKUP(B618,'11.COMPOSIÇÕES GERAIS'!B:I,7,0),0))),"Em Elaboração")</f>
        <v>0</v>
      </c>
      <c r="I618" s="259">
        <f>IFERROR(IF(D618="SINAPI-S",VLOOKUP(B618,'20-B.SINAPI-S'!A:J,6,0),IF(D618="SINAPI-I",VLOOKUP(B618,'20-A.SINAPI-I'!A:G,7,0),IF(D618="COMPOSIÇÕES",VLOOKUP(B618,'11.COMPOSIÇÕES GERAIS'!B:I,8,0),VLOOKUP(B618,'12.COT.MERCADO'!A:I,8,0)))),"Em Elaboração")</f>
        <v>815</v>
      </c>
      <c r="J618" s="259">
        <f t="shared" si="102"/>
        <v>0</v>
      </c>
      <c r="K618" s="259">
        <f t="shared" si="103"/>
        <v>954.6376869</v>
      </c>
      <c r="L618" s="259">
        <f t="shared" si="104"/>
        <v>954.6376869</v>
      </c>
      <c r="M618" s="259">
        <f t="shared" si="105"/>
        <v>0</v>
      </c>
      <c r="N618" s="259">
        <f t="shared" si="106"/>
        <v>1909.275374</v>
      </c>
      <c r="O618" s="259">
        <f t="shared" si="107"/>
        <v>1909.275374</v>
      </c>
      <c r="P618" s="586">
        <f t="shared" si="3"/>
        <v>0.01040802531</v>
      </c>
    </row>
    <row r="619">
      <c r="A619" s="253" t="s">
        <v>1260</v>
      </c>
      <c r="B619" s="254" t="s">
        <v>1261</v>
      </c>
      <c r="C619" s="255" t="str">
        <f t="shared" si="101"/>
        <v>PRÓPRIO</v>
      </c>
      <c r="D619" s="256" t="s">
        <v>110</v>
      </c>
      <c r="E619" s="257" t="str">
        <f>IFERROR(IF(D619="SINAPI-S",VLOOKUP(B619,'20-B.SINAPI-S'!A:J,2,0),IF(D619="SINAPI-I",VLOOKUP(B619,'20-A.SINAPI-I'!A:G,2,0),IF(D619="COMPOSIÇÕES",VLOOKUP(B619,'11.COMPOSIÇÕES GERAIS'!B:I,2,0),VLOOKUP(B619,'12.COT.MERCADO'!A:I,2,0)))),"Em Elaboração")</f>
        <v>FILTRO SECADOR SMICRONS CHILLER 30XA</v>
      </c>
      <c r="F619" s="258" t="str">
        <f>IFERROR(IF(D619="SINAPI-S",VLOOKUP(B619,'20-B.SINAPI-S'!A:J,3,0),IF(D619="SINAPI-I",VLOOKUP(B619,'20-A.SINAPI-I'!A:G,3,0),IF(D619="COMPOSIÇÕES",VLOOKUP(B619,'11.COMPOSIÇÕES GERAIS'!B:I,3,0),VLOOKUP(B619,'12.COT.MERCADO'!A:I,7,0)))),"Em Elaboração")</f>
        <v>UN </v>
      </c>
      <c r="G619" s="254">
        <v>2.0</v>
      </c>
      <c r="H619" s="259">
        <f>IFERROR(IF(D619="SINAPI-S",VLOOKUP(B619,'20-B.SINAPI-S'!A:J,5,0),IF(D619="SINAPI-I",VLOOKUP(B619,'20-A.SINAPI-I'!A:G,6,0),IF(D619="COMPOSIÇÕES",VLOOKUP(B619,'11.COMPOSIÇÕES GERAIS'!B:I,7,0),0))),"Em Elaboração")</f>
        <v>0</v>
      </c>
      <c r="I619" s="259">
        <f>IFERROR(IF(D619="SINAPI-S",VLOOKUP(B619,'20-B.SINAPI-S'!A:J,6,0),IF(D619="SINAPI-I",VLOOKUP(B619,'20-A.SINAPI-I'!A:G,7,0),IF(D619="COMPOSIÇÕES",VLOOKUP(B619,'11.COMPOSIÇÕES GERAIS'!B:I,8,0),VLOOKUP(B619,'12.COT.MERCADO'!A:I,8,0)))),"Em Elaboração")</f>
        <v>1700</v>
      </c>
      <c r="J619" s="259">
        <f t="shared" si="102"/>
        <v>0</v>
      </c>
      <c r="K619" s="259">
        <f t="shared" si="103"/>
        <v>1991.268795</v>
      </c>
      <c r="L619" s="259">
        <f t="shared" si="104"/>
        <v>1991.268795</v>
      </c>
      <c r="M619" s="259">
        <f t="shared" si="105"/>
        <v>0</v>
      </c>
      <c r="N619" s="259">
        <f t="shared" si="106"/>
        <v>3982.537589</v>
      </c>
      <c r="O619" s="259">
        <f t="shared" si="107"/>
        <v>3982.537589</v>
      </c>
      <c r="P619" s="586">
        <f t="shared" si="3"/>
        <v>0.02170999145</v>
      </c>
    </row>
    <row r="620">
      <c r="A620" s="253" t="s">
        <v>1262</v>
      </c>
      <c r="B620" s="254" t="s">
        <v>1263</v>
      </c>
      <c r="C620" s="255" t="str">
        <f t="shared" si="101"/>
        <v>PRÓPRIO</v>
      </c>
      <c r="D620" s="256" t="s">
        <v>110</v>
      </c>
      <c r="E620" s="257" t="str">
        <f>IFERROR(IF(D620="SINAPI-S",VLOOKUP(B620,'20-B.SINAPI-S'!A:J,2,0),IF(D620="SINAPI-I",VLOOKUP(B620,'20-A.SINAPI-I'!A:G,2,0),IF(D620="COMPOSIÇÕES",VLOOKUP(B620,'11.COMPOSIÇÕES GERAIS'!B:I,2,0),VLOOKUP(B620,'12.COT.MERCADO'!A:I,2,0)))),"Em Elaboração")</f>
        <v>CHAVE DE FLUXO DE AGUA ELET.</v>
      </c>
      <c r="F620" s="258" t="str">
        <f>IFERROR(IF(D620="SINAPI-S",VLOOKUP(B620,'20-B.SINAPI-S'!A:J,3,0),IF(D620="SINAPI-I",VLOOKUP(B620,'20-A.SINAPI-I'!A:G,3,0),IF(D620="COMPOSIÇÕES",VLOOKUP(B620,'11.COMPOSIÇÕES GERAIS'!B:I,3,0),VLOOKUP(B620,'12.COT.MERCADO'!A:I,7,0)))),"Em Elaboração")</f>
        <v>UN </v>
      </c>
      <c r="G620" s="254">
        <v>4.0</v>
      </c>
      <c r="H620" s="259">
        <f>IFERROR(IF(D620="SINAPI-S",VLOOKUP(B620,'20-B.SINAPI-S'!A:J,5,0),IF(D620="SINAPI-I",VLOOKUP(B620,'20-A.SINAPI-I'!A:G,6,0),IF(D620="COMPOSIÇÕES",VLOOKUP(B620,'11.COMPOSIÇÕES GERAIS'!B:I,7,0),0))),"Em Elaboração")</f>
        <v>0</v>
      </c>
      <c r="I620" s="259">
        <f>IFERROR(IF(D620="SINAPI-S",VLOOKUP(B620,'20-B.SINAPI-S'!A:J,6,0),IF(D620="SINAPI-I",VLOOKUP(B620,'20-A.SINAPI-I'!A:G,7,0),IF(D620="COMPOSIÇÕES",VLOOKUP(B620,'11.COMPOSIÇÕES GERAIS'!B:I,8,0),VLOOKUP(B620,'12.COT.MERCADO'!A:I,8,0)))),"Em Elaboração")</f>
        <v>149.58</v>
      </c>
      <c r="J620" s="259">
        <f t="shared" si="102"/>
        <v>0</v>
      </c>
      <c r="K620" s="259">
        <f t="shared" si="103"/>
        <v>175.2082272</v>
      </c>
      <c r="L620" s="259">
        <f t="shared" si="104"/>
        <v>175.2082272</v>
      </c>
      <c r="M620" s="259">
        <f t="shared" si="105"/>
        <v>0</v>
      </c>
      <c r="N620" s="259">
        <f t="shared" si="106"/>
        <v>700.832909</v>
      </c>
      <c r="O620" s="259">
        <f t="shared" si="107"/>
        <v>700.832909</v>
      </c>
      <c r="P620" s="586">
        <f t="shared" si="3"/>
        <v>0.003820447672</v>
      </c>
    </row>
    <row r="621">
      <c r="A621" s="253" t="s">
        <v>1264</v>
      </c>
      <c r="B621" s="254" t="s">
        <v>1265</v>
      </c>
      <c r="C621" s="255" t="str">
        <f t="shared" si="101"/>
        <v>PRÓPRIO</v>
      </c>
      <c r="D621" s="256" t="s">
        <v>110</v>
      </c>
      <c r="E621" s="257" t="str">
        <f>IFERROR(IF(D621="SINAPI-S",VLOOKUP(B621,'20-B.SINAPI-S'!A:J,2,0),IF(D621="SINAPI-I",VLOOKUP(B621,'20-A.SINAPI-I'!A:G,2,0),IF(D621="COMPOSIÇÕES",VLOOKUP(B621,'11.COMPOSIÇÕES GERAIS'!B:I,2,0),VLOOKUP(B621,'12.COT.MERCADO'!A:I,2,0)))),"Em Elaboração")</f>
        <v>BOBINA DA SOLENOIDE 24V - COMPR. 06T/06N</v>
      </c>
      <c r="F621" s="258" t="str">
        <f>IFERROR(IF(D621="SINAPI-S",VLOOKUP(B621,'20-B.SINAPI-S'!A:J,3,0),IF(D621="SINAPI-I",VLOOKUP(B621,'20-A.SINAPI-I'!A:G,3,0),IF(D621="COMPOSIÇÕES",VLOOKUP(B621,'11.COMPOSIÇÕES GERAIS'!B:I,3,0),VLOOKUP(B621,'12.COT.MERCADO'!A:I,7,0)))),"Em Elaboração")</f>
        <v>UN </v>
      </c>
      <c r="G621" s="254">
        <v>4.0</v>
      </c>
      <c r="H621" s="259">
        <f>IFERROR(IF(D621="SINAPI-S",VLOOKUP(B621,'20-B.SINAPI-S'!A:J,5,0),IF(D621="SINAPI-I",VLOOKUP(B621,'20-A.SINAPI-I'!A:G,6,0),IF(D621="COMPOSIÇÕES",VLOOKUP(B621,'11.COMPOSIÇÕES GERAIS'!B:I,7,0),0))),"Em Elaboração")</f>
        <v>0</v>
      </c>
      <c r="I621" s="259">
        <f>IFERROR(IF(D621="SINAPI-S",VLOOKUP(B621,'20-B.SINAPI-S'!A:J,6,0),IF(D621="SINAPI-I",VLOOKUP(B621,'20-A.SINAPI-I'!A:G,7,0),IF(D621="COMPOSIÇÕES",VLOOKUP(B621,'11.COMPOSIÇÕES GERAIS'!B:I,8,0),VLOOKUP(B621,'12.COT.MERCADO'!A:I,8,0)))),"Em Elaboração")</f>
        <v>161.86</v>
      </c>
      <c r="J621" s="259">
        <f t="shared" si="102"/>
        <v>0</v>
      </c>
      <c r="K621" s="259">
        <f t="shared" si="103"/>
        <v>189.5922159</v>
      </c>
      <c r="L621" s="259">
        <f t="shared" si="104"/>
        <v>189.5922159</v>
      </c>
      <c r="M621" s="259">
        <f t="shared" si="105"/>
        <v>0</v>
      </c>
      <c r="N621" s="259">
        <f t="shared" si="106"/>
        <v>758.3688638</v>
      </c>
      <c r="O621" s="259">
        <f t="shared" si="107"/>
        <v>758.3688638</v>
      </c>
      <c r="P621" s="586">
        <f t="shared" si="3"/>
        <v>0.004134093195</v>
      </c>
    </row>
    <row r="622">
      <c r="A622" s="253" t="s">
        <v>1266</v>
      </c>
      <c r="B622" s="254" t="s">
        <v>1267</v>
      </c>
      <c r="C622" s="255" t="str">
        <f t="shared" si="101"/>
        <v>PRÓPRIO</v>
      </c>
      <c r="D622" s="256" t="s">
        <v>110</v>
      </c>
      <c r="E622" s="257" t="str">
        <f>IFERROR(IF(D622="SINAPI-S",VLOOKUP(B622,'20-B.SINAPI-S'!A:J,2,0),IF(D622="SINAPI-I",VLOOKUP(B622,'20-A.SINAPI-I'!A:G,2,0),IF(D622="COMPOSIÇÕES",VLOOKUP(B622,'11.COMPOSIÇÕES GERAIS'!B:I,2,0),VLOOKUP(B622,'12.COT.MERCADO'!A:I,2,0)))),"Em Elaboração")</f>
        <v>PRESSOSTATO DE ALTA 30XW STD - 203 PSIG</v>
      </c>
      <c r="F622" s="258" t="str">
        <f>IFERROR(IF(D622="SINAPI-S",VLOOKUP(B622,'20-B.SINAPI-S'!A:J,3,0),IF(D622="SINAPI-I",VLOOKUP(B622,'20-A.SINAPI-I'!A:G,3,0),IF(D622="COMPOSIÇÕES",VLOOKUP(B622,'11.COMPOSIÇÕES GERAIS'!B:I,3,0),VLOOKUP(B622,'12.COT.MERCADO'!A:I,7,0)))),"Em Elaboração")</f>
        <v>UN </v>
      </c>
      <c r="G622" s="254">
        <v>4.0</v>
      </c>
      <c r="H622" s="259">
        <f>IFERROR(IF(D622="SINAPI-S",VLOOKUP(B622,'20-B.SINAPI-S'!A:J,5,0),IF(D622="SINAPI-I",VLOOKUP(B622,'20-A.SINAPI-I'!A:G,6,0),IF(D622="COMPOSIÇÕES",VLOOKUP(B622,'11.COMPOSIÇÕES GERAIS'!B:I,7,0),0))),"Em Elaboração")</f>
        <v>0</v>
      </c>
      <c r="I622" s="259">
        <f>IFERROR(IF(D622="SINAPI-S",VLOOKUP(B622,'20-B.SINAPI-S'!A:J,6,0),IF(D622="SINAPI-I",VLOOKUP(B622,'20-A.SINAPI-I'!A:G,7,0),IF(D622="COMPOSIÇÕES",VLOOKUP(B622,'11.COMPOSIÇÕES GERAIS'!B:I,8,0),VLOOKUP(B622,'12.COT.MERCADO'!A:I,8,0)))),"Em Elaboração")</f>
        <v>135.89</v>
      </c>
      <c r="J622" s="259">
        <f t="shared" si="102"/>
        <v>0</v>
      </c>
      <c r="K622" s="259">
        <f t="shared" si="103"/>
        <v>159.1726568</v>
      </c>
      <c r="L622" s="259">
        <f t="shared" si="104"/>
        <v>159.1726568</v>
      </c>
      <c r="M622" s="259">
        <f t="shared" si="105"/>
        <v>0</v>
      </c>
      <c r="N622" s="259">
        <f t="shared" si="106"/>
        <v>636.6906271</v>
      </c>
      <c r="O622" s="259">
        <f t="shared" si="107"/>
        <v>636.6906271</v>
      </c>
      <c r="P622" s="586">
        <f t="shared" si="3"/>
        <v>0.003470789103</v>
      </c>
    </row>
    <row r="623">
      <c r="A623" s="261" t="s">
        <v>1268</v>
      </c>
      <c r="B623" s="262" t="s">
        <v>1269</v>
      </c>
      <c r="C623" s="44"/>
      <c r="D623" s="44"/>
      <c r="E623" s="44"/>
      <c r="F623" s="44"/>
      <c r="G623" s="44"/>
      <c r="H623" s="44"/>
      <c r="I623" s="44"/>
      <c r="J623" s="44"/>
      <c r="K623" s="44"/>
      <c r="L623" s="44"/>
      <c r="M623" s="263">
        <f t="shared" ref="M623:O623" si="108">SUM(M624:M641)</f>
        <v>0</v>
      </c>
      <c r="N623" s="263">
        <f t="shared" si="108"/>
        <v>2317.267608</v>
      </c>
      <c r="O623" s="263">
        <f t="shared" si="108"/>
        <v>2317.267608</v>
      </c>
      <c r="P623" s="593">
        <f t="shared" si="3"/>
        <v>0.01263211177</v>
      </c>
    </row>
    <row r="624">
      <c r="A624" s="253" t="s">
        <v>1270</v>
      </c>
      <c r="B624" s="254">
        <v>3148.0</v>
      </c>
      <c r="C624" s="255" t="str">
        <f t="shared" ref="C624:C641" si="109">IF(OR(D624="SINAPI-S",D624="SINAPI-I"),"SINAPI","PRÓPRIO")</f>
        <v>SINAPI</v>
      </c>
      <c r="D624" s="256" t="s">
        <v>286</v>
      </c>
      <c r="E624" s="257" t="str">
        <f>IFERROR(IF(D624="SINAPI-S",VLOOKUP(B624,'20-B.SINAPI-S'!A:J,2,0),IF(D624="SINAPI-I",VLOOKUP(B624,'20-A.SINAPI-I'!A:G,2,0),IF(D624="COMPOSIÇÕES",VLOOKUP(B624,'11.COMPOSIÇÕES GERAIS'!B:I,2,0),VLOOKUP(B624,'12.COT.MERCADO'!A:I,2,0)))),"Em Elaboração")</f>
        <v>FITA VEDA ROSCA EM ROLOS DE 18 MM X 50 M (L X C)</v>
      </c>
      <c r="F624" s="258" t="str">
        <f>IFERROR(IF(D624="SINAPI-S",VLOOKUP(B624,'20-B.SINAPI-S'!A:J,3,0),IF(D624="SINAPI-I",VLOOKUP(B624,'20-A.SINAPI-I'!A:G,3,0),IF(D624="COMPOSIÇÕES",VLOOKUP(B624,'11.COMPOSIÇÕES GERAIS'!B:I,3,0),VLOOKUP(B624,'12.COT.MERCADO'!A:I,7,0)))),"Em Elaboração")</f>
        <v>UN</v>
      </c>
      <c r="G624" s="254">
        <v>6.0</v>
      </c>
      <c r="H624" s="259">
        <f>IFERROR(IF(D624="SINAPI-S",VLOOKUP(B624,'20-B.SINAPI-S'!A:J,5,0),IF(D624="SINAPI-I",VLOOKUP(B624,'20-A.SINAPI-I'!A:G,6,0),IF(D624="COMPOSIÇÕES",VLOOKUP(B624,'11.COMPOSIÇÕES GERAIS'!B:I,7,0),0))),"Em Elaboração")</f>
        <v>0</v>
      </c>
      <c r="I624" s="259">
        <f>IFERROR(IF(D624="SINAPI-S",VLOOKUP(B624,'20-B.SINAPI-S'!A:J,6,0),IF(D624="SINAPI-I",VLOOKUP(B624,'20-A.SINAPI-I'!A:G,7,0),IF(D624="COMPOSIÇÕES",VLOOKUP(B624,'11.COMPOSIÇÕES GERAIS'!B:I,8,0),VLOOKUP(B624,'12.COT.MERCADO'!A:I,8,0)))),"Em Elaboração")</f>
        <v>16.59</v>
      </c>
      <c r="J624" s="259">
        <f t="shared" ref="J624:J641" si="110">H624*(1+$J$5)</f>
        <v>0</v>
      </c>
      <c r="K624" s="259">
        <f t="shared" ref="K624:K641" si="111">I624*(1+$J$8)</f>
        <v>19.43244077</v>
      </c>
      <c r="L624" s="259">
        <f t="shared" ref="L624:L641" si="112">SUM(J624:K624)</f>
        <v>19.43244077</v>
      </c>
      <c r="M624" s="259">
        <f t="shared" ref="M624:M641" si="113">J624*G624</f>
        <v>0</v>
      </c>
      <c r="N624" s="259">
        <f t="shared" ref="N624:N641" si="114">K624*G624</f>
        <v>116.5946446</v>
      </c>
      <c r="O624" s="259">
        <f t="shared" ref="O624:O641" si="115">SUM(M624:N624)</f>
        <v>116.5946446</v>
      </c>
      <c r="P624" s="586">
        <f t="shared" si="3"/>
        <v>0.0006355919261</v>
      </c>
    </row>
    <row r="625">
      <c r="A625" s="253" t="s">
        <v>1271</v>
      </c>
      <c r="B625" s="254">
        <v>5318.0</v>
      </c>
      <c r="C625" s="255" t="str">
        <f t="shared" si="109"/>
        <v>SINAPI</v>
      </c>
      <c r="D625" s="256" t="s">
        <v>286</v>
      </c>
      <c r="E625" s="257" t="str">
        <f>IFERROR(IF(D625="SINAPI-S",VLOOKUP(B625,'20-B.SINAPI-S'!A:J,2,0),IF(D625="SINAPI-I",VLOOKUP(B625,'20-A.SINAPI-I'!A:G,2,0),IF(D625="COMPOSIÇÕES",VLOOKUP(B625,'11.COMPOSIÇÕES GERAIS'!B:I,2,0),VLOOKUP(B625,'12.COT.MERCADO'!A:I,2,0)))),"Em Elaboração")</f>
        <v>DILUENTE AGUARRAS</v>
      </c>
      <c r="F625" s="258" t="str">
        <f>IFERROR(IF(D625="SINAPI-S",VLOOKUP(B625,'20-B.SINAPI-S'!A:J,3,0),IF(D625="SINAPI-I",VLOOKUP(B625,'20-A.SINAPI-I'!A:G,3,0),IF(D625="COMPOSIÇÕES",VLOOKUP(B625,'11.COMPOSIÇÕES GERAIS'!B:I,3,0),VLOOKUP(B625,'12.COT.MERCADO'!A:I,7,0)))),"Em Elaboração")</f>
        <v>L</v>
      </c>
      <c r="G625" s="254">
        <v>6.0</v>
      </c>
      <c r="H625" s="259">
        <f>IFERROR(IF(D625="SINAPI-S",VLOOKUP(B625,'20-B.SINAPI-S'!A:J,5,0),IF(D625="SINAPI-I",VLOOKUP(B625,'20-A.SINAPI-I'!A:G,6,0),IF(D625="COMPOSIÇÕES",VLOOKUP(B625,'11.COMPOSIÇÕES GERAIS'!B:I,7,0),0))),"Em Elaboração")</f>
        <v>0</v>
      </c>
      <c r="I625" s="259">
        <f>IFERROR(IF(D625="SINAPI-S",VLOOKUP(B625,'20-B.SINAPI-S'!A:J,6,0),IF(D625="SINAPI-I",VLOOKUP(B625,'20-A.SINAPI-I'!A:G,7,0),IF(D625="COMPOSIÇÕES",VLOOKUP(B625,'11.COMPOSIÇÕES GERAIS'!B:I,8,0),VLOOKUP(B625,'12.COT.MERCADO'!A:I,8,0)))),"Em Elaboração")</f>
        <v>22.59</v>
      </c>
      <c r="J625" s="259">
        <f t="shared" si="110"/>
        <v>0</v>
      </c>
      <c r="K625" s="259">
        <f t="shared" si="111"/>
        <v>26.46044828</v>
      </c>
      <c r="L625" s="259">
        <f t="shared" si="112"/>
        <v>26.46044828</v>
      </c>
      <c r="M625" s="259">
        <f t="shared" si="113"/>
        <v>0</v>
      </c>
      <c r="N625" s="259">
        <f t="shared" si="114"/>
        <v>158.7626897</v>
      </c>
      <c r="O625" s="259">
        <f t="shared" si="115"/>
        <v>158.7626897</v>
      </c>
      <c r="P625" s="586">
        <f t="shared" si="3"/>
        <v>0.0008654624238</v>
      </c>
    </row>
    <row r="626">
      <c r="A626" s="253" t="s">
        <v>1272</v>
      </c>
      <c r="B626" s="254">
        <v>20080.0</v>
      </c>
      <c r="C626" s="255" t="str">
        <f t="shared" si="109"/>
        <v>SINAPI</v>
      </c>
      <c r="D626" s="256" t="s">
        <v>286</v>
      </c>
      <c r="E626" s="257" t="str">
        <f>IFERROR(IF(D626="SINAPI-S",VLOOKUP(B626,'20-B.SINAPI-S'!A:J,2,0),IF(D626="SINAPI-I",VLOOKUP(B626,'20-A.SINAPI-I'!A:G,2,0),IF(D626="COMPOSIÇÕES",VLOOKUP(B626,'11.COMPOSIÇÕES GERAIS'!B:I,2,0),VLOOKUP(B626,'12.COT.MERCADO'!A:I,2,0)))),"Em Elaboração")</f>
        <v>ADESIVO PLASTICO PARA PVC, FRASCO COM 175 GR</v>
      </c>
      <c r="F626" s="258" t="str">
        <f>IFERROR(IF(D626="SINAPI-S",VLOOKUP(B626,'20-B.SINAPI-S'!A:J,3,0),IF(D626="SINAPI-I",VLOOKUP(B626,'20-A.SINAPI-I'!A:G,3,0),IF(D626="COMPOSIÇÕES",VLOOKUP(B626,'11.COMPOSIÇÕES GERAIS'!B:I,3,0),VLOOKUP(B626,'12.COT.MERCADO'!A:I,7,0)))),"Em Elaboração")</f>
        <v>UN</v>
      </c>
      <c r="G626" s="254">
        <v>3.0</v>
      </c>
      <c r="H626" s="259">
        <f>IFERROR(IF(D626="SINAPI-S",VLOOKUP(B626,'20-B.SINAPI-S'!A:J,5,0),IF(D626="SINAPI-I",VLOOKUP(B626,'20-A.SINAPI-I'!A:G,6,0),IF(D626="COMPOSIÇÕES",VLOOKUP(B626,'11.COMPOSIÇÕES GERAIS'!B:I,7,0),0))),"Em Elaboração")</f>
        <v>0</v>
      </c>
      <c r="I626" s="259">
        <f>IFERROR(IF(D626="SINAPI-S",VLOOKUP(B626,'20-B.SINAPI-S'!A:J,6,0),IF(D626="SINAPI-I",VLOOKUP(B626,'20-A.SINAPI-I'!A:G,7,0),IF(D626="COMPOSIÇÕES",VLOOKUP(B626,'11.COMPOSIÇÕES GERAIS'!B:I,8,0),VLOOKUP(B626,'12.COT.MERCADO'!A:I,8,0)))),"Em Elaboração")</f>
        <v>22.77</v>
      </c>
      <c r="J626" s="259">
        <f t="shared" si="110"/>
        <v>0</v>
      </c>
      <c r="K626" s="259">
        <f t="shared" si="111"/>
        <v>26.6712885</v>
      </c>
      <c r="L626" s="259">
        <f t="shared" si="112"/>
        <v>26.6712885</v>
      </c>
      <c r="M626" s="259">
        <f t="shared" si="113"/>
        <v>0</v>
      </c>
      <c r="N626" s="259">
        <f t="shared" si="114"/>
        <v>80.01386551</v>
      </c>
      <c r="O626" s="259">
        <f t="shared" si="115"/>
        <v>80.01386551</v>
      </c>
      <c r="P626" s="586">
        <f t="shared" si="3"/>
        <v>0.0004361792694</v>
      </c>
    </row>
    <row r="627">
      <c r="A627" s="253" t="s">
        <v>1273</v>
      </c>
      <c r="B627" s="254">
        <v>13.0</v>
      </c>
      <c r="C627" s="255" t="str">
        <f t="shared" si="109"/>
        <v>SINAPI</v>
      </c>
      <c r="D627" s="256" t="s">
        <v>286</v>
      </c>
      <c r="E627" s="257" t="str">
        <f>IFERROR(IF(D627="SINAPI-S",VLOOKUP(B627,'20-B.SINAPI-S'!A:J,2,0),IF(D627="SINAPI-I",VLOOKUP(B627,'20-A.SINAPI-I'!A:G,2,0),IF(D627="COMPOSIÇÕES",VLOOKUP(B627,'11.COMPOSIÇÕES GERAIS'!B:I,2,0),VLOOKUP(B627,'12.COT.MERCADO'!A:I,2,0)))),"Em Elaboração")</f>
        <v>ESTOPA</v>
      </c>
      <c r="F627" s="258" t="str">
        <f>IFERROR(IF(D627="SINAPI-S",VLOOKUP(B627,'20-B.SINAPI-S'!A:J,3,0),IF(D627="SINAPI-I",VLOOKUP(B627,'20-A.SINAPI-I'!A:G,3,0),IF(D627="COMPOSIÇÕES",VLOOKUP(B627,'11.COMPOSIÇÕES GERAIS'!B:I,3,0),VLOOKUP(B627,'12.COT.MERCADO'!A:I,7,0)))),"Em Elaboração")</f>
        <v>KG</v>
      </c>
      <c r="G627" s="254">
        <v>8.0</v>
      </c>
      <c r="H627" s="259">
        <f>IFERROR(IF(D627="SINAPI-S",VLOOKUP(B627,'20-B.SINAPI-S'!A:J,5,0),IF(D627="SINAPI-I",VLOOKUP(B627,'20-A.SINAPI-I'!A:G,6,0),IF(D627="COMPOSIÇÕES",VLOOKUP(B627,'11.COMPOSIÇÕES GERAIS'!B:I,7,0),0))),"Em Elaboração")</f>
        <v>0</v>
      </c>
      <c r="I627" s="259">
        <f>IFERROR(IF(D627="SINAPI-S",VLOOKUP(B627,'20-B.SINAPI-S'!A:J,6,0),IF(D627="SINAPI-I",VLOOKUP(B627,'20-A.SINAPI-I'!A:G,7,0),IF(D627="COMPOSIÇÕES",VLOOKUP(B627,'11.COMPOSIÇÕES GERAIS'!B:I,8,0),VLOOKUP(B627,'12.COT.MERCADO'!A:I,8,0)))),"Em Elaboração")</f>
        <v>19.21</v>
      </c>
      <c r="J627" s="259">
        <f t="shared" si="110"/>
        <v>0</v>
      </c>
      <c r="K627" s="259">
        <f t="shared" si="111"/>
        <v>22.50133738</v>
      </c>
      <c r="L627" s="259">
        <f t="shared" si="112"/>
        <v>22.50133738</v>
      </c>
      <c r="M627" s="259">
        <f t="shared" si="113"/>
        <v>0</v>
      </c>
      <c r="N627" s="259">
        <f t="shared" si="114"/>
        <v>180.010699</v>
      </c>
      <c r="O627" s="259">
        <f t="shared" si="115"/>
        <v>180.010699</v>
      </c>
      <c r="P627" s="586">
        <f t="shared" si="3"/>
        <v>0.0009812916135</v>
      </c>
    </row>
    <row r="628">
      <c r="A628" s="253" t="s">
        <v>1274</v>
      </c>
      <c r="B628" s="254">
        <v>3143.0</v>
      </c>
      <c r="C628" s="255" t="str">
        <f t="shared" si="109"/>
        <v>SINAPI</v>
      </c>
      <c r="D628" s="256" t="s">
        <v>286</v>
      </c>
      <c r="E628" s="257" t="str">
        <f>IFERROR(IF(D628="SINAPI-S",VLOOKUP(B628,'20-B.SINAPI-S'!A:J,2,0),IF(D628="SINAPI-I",VLOOKUP(B628,'20-A.SINAPI-I'!A:G,2,0),IF(D628="COMPOSIÇÕES",VLOOKUP(B628,'11.COMPOSIÇÕES GERAIS'!B:I,2,0),VLOOKUP(B628,'12.COT.MERCADO'!A:I,2,0)))),"Em Elaboração")</f>
        <v>FITA VEDA ROSCA EM ROLOS DE 18 MM X 25 M (L X C)</v>
      </c>
      <c r="F628" s="258" t="str">
        <f>IFERROR(IF(D628="SINAPI-S",VLOOKUP(B628,'20-B.SINAPI-S'!A:J,3,0),IF(D628="SINAPI-I",VLOOKUP(B628,'20-A.SINAPI-I'!A:G,3,0),IF(D628="COMPOSIÇÕES",VLOOKUP(B628,'11.COMPOSIÇÕES GERAIS'!B:I,3,0),VLOOKUP(B628,'12.COT.MERCADO'!A:I,7,0)))),"Em Elaboração")</f>
        <v>UN</v>
      </c>
      <c r="G628" s="254">
        <v>3.0</v>
      </c>
      <c r="H628" s="259">
        <f>IFERROR(IF(D628="SINAPI-S",VLOOKUP(B628,'20-B.SINAPI-S'!A:J,5,0),IF(D628="SINAPI-I",VLOOKUP(B628,'20-A.SINAPI-I'!A:G,6,0),IF(D628="COMPOSIÇÕES",VLOOKUP(B628,'11.COMPOSIÇÕES GERAIS'!B:I,7,0),0))),"Em Elaboração")</f>
        <v>0</v>
      </c>
      <c r="I628" s="259">
        <f>IFERROR(IF(D628="SINAPI-S",VLOOKUP(B628,'20-B.SINAPI-S'!A:J,6,0),IF(D628="SINAPI-I",VLOOKUP(B628,'20-A.SINAPI-I'!A:G,7,0),IF(D628="COMPOSIÇÕES",VLOOKUP(B628,'11.COMPOSIÇÕES GERAIS'!B:I,8,0),VLOOKUP(B628,'12.COT.MERCADO'!A:I,8,0)))),"Em Elaboração")</f>
        <v>10.23</v>
      </c>
      <c r="J628" s="259">
        <f t="shared" si="110"/>
        <v>0</v>
      </c>
      <c r="K628" s="259">
        <f t="shared" si="111"/>
        <v>11.98275281</v>
      </c>
      <c r="L628" s="259">
        <f t="shared" si="112"/>
        <v>11.98275281</v>
      </c>
      <c r="M628" s="259">
        <f t="shared" si="113"/>
        <v>0</v>
      </c>
      <c r="N628" s="259">
        <f t="shared" si="114"/>
        <v>35.94825842</v>
      </c>
      <c r="O628" s="259">
        <f t="shared" si="115"/>
        <v>35.94825842</v>
      </c>
      <c r="P628" s="586">
        <f t="shared" si="3"/>
        <v>0.0001959645993</v>
      </c>
    </row>
    <row r="629">
      <c r="A629" s="253" t="s">
        <v>1275</v>
      </c>
      <c r="B629" s="254" t="s">
        <v>1276</v>
      </c>
      <c r="C629" s="255" t="str">
        <f t="shared" si="109"/>
        <v>PRÓPRIO</v>
      </c>
      <c r="D629" s="256" t="s">
        <v>110</v>
      </c>
      <c r="E629" s="257" t="str">
        <f>IFERROR(IF(D629="SINAPI-S",VLOOKUP(B629,'20-B.SINAPI-S'!A:J,2,0),IF(D629="SINAPI-I",VLOOKUP(B629,'20-A.SINAPI-I'!A:G,2,0),IF(D629="COMPOSIÇÕES",VLOOKUP(B629,'11.COMPOSIÇÕES GERAIS'!B:I,2,0),VLOOKUP(B629,'12.COT.MERCADO'!A:I,2,0)))),"Em Elaboração")</f>
        <v>Fita adesiva silver tape 48mm x 50m</v>
      </c>
      <c r="F629" s="258" t="str">
        <f>IFERROR(IF(D629="SINAPI-S",VLOOKUP(B629,'20-B.SINAPI-S'!A:J,3,0),IF(D629="SINAPI-I",VLOOKUP(B629,'20-A.SINAPI-I'!A:G,3,0),IF(D629="COMPOSIÇÕES",VLOOKUP(B629,'11.COMPOSIÇÕES GERAIS'!B:I,3,0),VLOOKUP(B629,'12.COT.MERCADO'!A:I,7,0)))),"Em Elaboração")</f>
        <v>UN </v>
      </c>
      <c r="G629" s="254">
        <v>2.0</v>
      </c>
      <c r="H629" s="259">
        <f>IFERROR(IF(D629="SINAPI-S",VLOOKUP(B629,'20-B.SINAPI-S'!A:J,5,0),IF(D629="SINAPI-I",VLOOKUP(B629,'20-A.SINAPI-I'!A:G,6,0),IF(D629="COMPOSIÇÕES",VLOOKUP(B629,'11.COMPOSIÇÕES GERAIS'!B:I,7,0),0))),"Em Elaboração")</f>
        <v>0</v>
      </c>
      <c r="I629" s="259">
        <f>IFERROR(IF(D629="SINAPI-S",VLOOKUP(B629,'20-B.SINAPI-S'!A:J,6,0),IF(D629="SINAPI-I",VLOOKUP(B629,'20-A.SINAPI-I'!A:G,7,0),IF(D629="COMPOSIÇÕES",VLOOKUP(B629,'11.COMPOSIÇÕES GERAIS'!B:I,8,0),VLOOKUP(B629,'12.COT.MERCADO'!A:I,8,0)))),"Em Elaboração")</f>
        <v>41.99</v>
      </c>
      <c r="J629" s="259">
        <f t="shared" si="110"/>
        <v>0</v>
      </c>
      <c r="K629" s="259">
        <f t="shared" si="111"/>
        <v>49.18433923</v>
      </c>
      <c r="L629" s="259">
        <f t="shared" si="112"/>
        <v>49.18433923</v>
      </c>
      <c r="M629" s="259">
        <f t="shared" si="113"/>
        <v>0</v>
      </c>
      <c r="N629" s="259">
        <f t="shared" si="114"/>
        <v>98.36867846</v>
      </c>
      <c r="O629" s="259">
        <f t="shared" si="115"/>
        <v>98.36867846</v>
      </c>
      <c r="P629" s="586">
        <f t="shared" si="3"/>
        <v>0.0005362367888</v>
      </c>
    </row>
    <row r="630">
      <c r="A630" s="253" t="s">
        <v>1277</v>
      </c>
      <c r="B630" s="254" t="s">
        <v>1278</v>
      </c>
      <c r="C630" s="255" t="str">
        <f t="shared" si="109"/>
        <v>PRÓPRIO</v>
      </c>
      <c r="D630" s="256" t="s">
        <v>110</v>
      </c>
      <c r="E630" s="257" t="str">
        <f>IFERROR(IF(D630="SINAPI-S",VLOOKUP(B630,'20-B.SINAPI-S'!A:J,2,0),IF(D630="SINAPI-I",VLOOKUP(B630,'20-A.SINAPI-I'!A:G,2,0),IF(D630="COMPOSIÇÕES",VLOOKUP(B630,'11.COMPOSIÇÕES GERAIS'!B:I,2,0),VLOOKUP(B630,'12.COT.MERCADO'!A:I,2,0)))),"Em Elaboração")</f>
        <v>Thinner, ref. Natrielli ou equivalente</v>
      </c>
      <c r="F630" s="258" t="str">
        <f>IFERROR(IF(D630="SINAPI-S",VLOOKUP(B630,'20-B.SINAPI-S'!A:J,3,0),IF(D630="SINAPI-I",VLOOKUP(B630,'20-A.SINAPI-I'!A:G,3,0),IF(D630="COMPOSIÇÕES",VLOOKUP(B630,'11.COMPOSIÇÕES GERAIS'!B:I,3,0),VLOOKUP(B630,'12.COT.MERCADO'!A:I,7,0)))),"Em Elaboração")</f>
        <v>L </v>
      </c>
      <c r="G630" s="254">
        <v>10.0</v>
      </c>
      <c r="H630" s="259">
        <f>IFERROR(IF(D630="SINAPI-S",VLOOKUP(B630,'20-B.SINAPI-S'!A:J,5,0),IF(D630="SINAPI-I",VLOOKUP(B630,'20-A.SINAPI-I'!A:G,6,0),IF(D630="COMPOSIÇÕES",VLOOKUP(B630,'11.COMPOSIÇÕES GERAIS'!B:I,7,0),0))),"Em Elaboração")</f>
        <v>0</v>
      </c>
      <c r="I630" s="259">
        <f>IFERROR(IF(D630="SINAPI-S",VLOOKUP(B630,'20-B.SINAPI-S'!A:J,6,0),IF(D630="SINAPI-I",VLOOKUP(B630,'20-A.SINAPI-I'!A:G,7,0),IF(D630="COMPOSIÇÕES",VLOOKUP(B630,'11.COMPOSIÇÕES GERAIS'!B:I,8,0),VLOOKUP(B630,'12.COT.MERCADO'!A:I,8,0)))),"Em Elaboração")</f>
        <v>17.58</v>
      </c>
      <c r="J630" s="259">
        <f t="shared" si="110"/>
        <v>0</v>
      </c>
      <c r="K630" s="259">
        <f t="shared" si="111"/>
        <v>20.59206201</v>
      </c>
      <c r="L630" s="259">
        <f t="shared" si="112"/>
        <v>20.59206201</v>
      </c>
      <c r="M630" s="259">
        <f t="shared" si="113"/>
        <v>0</v>
      </c>
      <c r="N630" s="259">
        <f t="shared" si="114"/>
        <v>205.9206201</v>
      </c>
      <c r="O630" s="259">
        <f t="shared" si="115"/>
        <v>205.9206201</v>
      </c>
      <c r="P630" s="586">
        <f t="shared" si="3"/>
        <v>0.001122534264</v>
      </c>
    </row>
    <row r="631">
      <c r="A631" s="253" t="s">
        <v>1279</v>
      </c>
      <c r="B631" s="254">
        <v>7307.0</v>
      </c>
      <c r="C631" s="255" t="str">
        <f t="shared" si="109"/>
        <v>SINAPI</v>
      </c>
      <c r="D631" s="256" t="s">
        <v>286</v>
      </c>
      <c r="E631" s="257" t="str">
        <f>IFERROR(IF(D631="SINAPI-S",VLOOKUP(B631,'20-B.SINAPI-S'!A:J,2,0),IF(D631="SINAPI-I",VLOOKUP(B631,'20-A.SINAPI-I'!A:G,2,0),IF(D631="COMPOSIÇÕES",VLOOKUP(B631,'11.COMPOSIÇÕES GERAIS'!B:I,2,0),VLOOKUP(B631,'12.COT.MERCADO'!A:I,2,0)))),"Em Elaboração")</f>
        <v>FUNDO ANTICORROSIVO PARA METAIS FERROSOS (ZARCAO)</v>
      </c>
      <c r="F631" s="258" t="str">
        <f>IFERROR(IF(D631="SINAPI-S",VLOOKUP(B631,'20-B.SINAPI-S'!A:J,3,0),IF(D631="SINAPI-I",VLOOKUP(B631,'20-A.SINAPI-I'!A:G,3,0),IF(D631="COMPOSIÇÕES",VLOOKUP(B631,'11.COMPOSIÇÕES GERAIS'!B:I,3,0),VLOOKUP(B631,'12.COT.MERCADO'!A:I,7,0)))),"Em Elaboração")</f>
        <v>L</v>
      </c>
      <c r="G631" s="254">
        <v>7.2</v>
      </c>
      <c r="H631" s="259">
        <f>IFERROR(IF(D631="SINAPI-S",VLOOKUP(B631,'20-B.SINAPI-S'!A:J,5,0),IF(D631="SINAPI-I",VLOOKUP(B631,'20-A.SINAPI-I'!A:G,6,0),IF(D631="COMPOSIÇÕES",VLOOKUP(B631,'11.COMPOSIÇÕES GERAIS'!B:I,7,0),0))),"Em Elaboração")</f>
        <v>0</v>
      </c>
      <c r="I631" s="259">
        <f>IFERROR(IF(D631="SINAPI-S",VLOOKUP(B631,'20-B.SINAPI-S'!A:J,6,0),IF(D631="SINAPI-I",VLOOKUP(B631,'20-A.SINAPI-I'!A:G,7,0),IF(D631="COMPOSIÇÕES",VLOOKUP(B631,'11.COMPOSIÇÕES GERAIS'!B:I,8,0),VLOOKUP(B631,'12.COT.MERCADO'!A:I,8,0)))),"Em Elaboração")</f>
        <v>40.72</v>
      </c>
      <c r="J631" s="259">
        <f t="shared" si="110"/>
        <v>0</v>
      </c>
      <c r="K631" s="259">
        <f t="shared" si="111"/>
        <v>47.69674431</v>
      </c>
      <c r="L631" s="259">
        <f t="shared" si="112"/>
        <v>47.69674431</v>
      </c>
      <c r="M631" s="259">
        <f t="shared" si="113"/>
        <v>0</v>
      </c>
      <c r="N631" s="259">
        <f t="shared" si="114"/>
        <v>343.416559</v>
      </c>
      <c r="O631" s="259">
        <f t="shared" si="115"/>
        <v>343.416559</v>
      </c>
      <c r="P631" s="586">
        <f t="shared" si="3"/>
        <v>0.001872065333</v>
      </c>
    </row>
    <row r="632">
      <c r="A632" s="253" t="s">
        <v>1280</v>
      </c>
      <c r="B632" s="254" t="s">
        <v>1281</v>
      </c>
      <c r="C632" s="255" t="str">
        <f t="shared" si="109"/>
        <v>PRÓPRIO</v>
      </c>
      <c r="D632" s="256" t="s">
        <v>110</v>
      </c>
      <c r="E632" s="257" t="str">
        <f>IFERROR(IF(D632="SINAPI-S",VLOOKUP(B632,'20-B.SINAPI-S'!A:J,2,0),IF(D632="SINAPI-I",VLOOKUP(B632,'20-A.SINAPI-I'!A:G,2,0),IF(D632="COMPOSIÇÕES",VLOOKUP(B632,'11.COMPOSIÇÕES GERAIS'!B:I,2,0),VLOOKUP(B632,'12.COT.MERCADO'!A:I,2,0)))),"Em Elaboração")</f>
        <v>Detergente Desincrustante Profissional limpa metal 5L. Ref: Thilex, Solupan, Metasil ou similar</v>
      </c>
      <c r="F632" s="258" t="str">
        <f>IFERROR(IF(D632="SINAPI-S",VLOOKUP(B632,'20-B.SINAPI-S'!A:J,3,0),IF(D632="SINAPI-I",VLOOKUP(B632,'20-A.SINAPI-I'!A:G,3,0),IF(D632="COMPOSIÇÕES",VLOOKUP(B632,'11.COMPOSIÇÕES GERAIS'!B:I,3,0),VLOOKUP(B632,'12.COT.MERCADO'!A:I,7,0)))),"Em Elaboração")</f>
        <v>UN </v>
      </c>
      <c r="G632" s="254">
        <v>4.0</v>
      </c>
      <c r="H632" s="259">
        <f>IFERROR(IF(D632="SINAPI-S",VLOOKUP(B632,'20-B.SINAPI-S'!A:J,5,0),IF(D632="SINAPI-I",VLOOKUP(B632,'20-A.SINAPI-I'!A:G,6,0),IF(D632="COMPOSIÇÕES",VLOOKUP(B632,'11.COMPOSIÇÕES GERAIS'!B:I,7,0),0))),"Em Elaboração")</f>
        <v>0</v>
      </c>
      <c r="I632" s="259">
        <f>IFERROR(IF(D632="SINAPI-S",VLOOKUP(B632,'20-B.SINAPI-S'!A:J,6,0),IF(D632="SINAPI-I",VLOOKUP(B632,'20-A.SINAPI-I'!A:G,7,0),IF(D632="COMPOSIÇÕES",VLOOKUP(B632,'11.COMPOSIÇÕES GERAIS'!B:I,8,0),VLOOKUP(B632,'12.COT.MERCADO'!A:I,8,0)))),"Em Elaboração")</f>
        <v>109</v>
      </c>
      <c r="J632" s="259">
        <f t="shared" si="110"/>
        <v>0</v>
      </c>
      <c r="K632" s="259">
        <f t="shared" si="111"/>
        <v>127.6754698</v>
      </c>
      <c r="L632" s="259">
        <f t="shared" si="112"/>
        <v>127.6754698</v>
      </c>
      <c r="M632" s="259">
        <f t="shared" si="113"/>
        <v>0</v>
      </c>
      <c r="N632" s="259">
        <f t="shared" si="114"/>
        <v>510.7018791</v>
      </c>
      <c r="O632" s="259">
        <f t="shared" si="115"/>
        <v>510.7018791</v>
      </c>
      <c r="P632" s="586">
        <f t="shared" si="3"/>
        <v>0.002783987139</v>
      </c>
    </row>
    <row r="633">
      <c r="A633" s="253" t="s">
        <v>1282</v>
      </c>
      <c r="B633" s="254">
        <v>39701.0</v>
      </c>
      <c r="C633" s="255" t="str">
        <f t="shared" si="109"/>
        <v>SINAPI</v>
      </c>
      <c r="D633" s="256" t="s">
        <v>286</v>
      </c>
      <c r="E633" s="257" t="str">
        <f>IFERROR(IF(D633="SINAPI-S",VLOOKUP(B633,'20-B.SINAPI-S'!A:J,2,0),IF(D633="SINAPI-I",VLOOKUP(B633,'20-A.SINAPI-I'!A:G,2,0),IF(D633="COMPOSIÇÕES",VLOOKUP(B633,'11.COMPOSIÇÕES GERAIS'!B:I,2,0),VLOOKUP(B633,'12.COT.MERCADO'!A:I,2,0)))),"Em Elaboração")</f>
        <v>FITA ADESIVA ASFALTICA ALUMINIZADA MULTIUSO, L = 10 CM, ROLO DE 10 M</v>
      </c>
      <c r="F633" s="258" t="str">
        <f>IFERROR(IF(D633="SINAPI-S",VLOOKUP(B633,'20-B.SINAPI-S'!A:J,3,0),IF(D633="SINAPI-I",VLOOKUP(B633,'20-A.SINAPI-I'!A:G,3,0),IF(D633="COMPOSIÇÕES",VLOOKUP(B633,'11.COMPOSIÇÕES GERAIS'!B:I,3,0),VLOOKUP(B633,'12.COT.MERCADO'!A:I,7,0)))),"Em Elaboração")</f>
        <v>UN</v>
      </c>
      <c r="G633" s="254">
        <v>1.0</v>
      </c>
      <c r="H633" s="259">
        <f>IFERROR(IF(D633="SINAPI-S",VLOOKUP(B633,'20-B.SINAPI-S'!A:J,5,0),IF(D633="SINAPI-I",VLOOKUP(B633,'20-A.SINAPI-I'!A:G,6,0),IF(D633="COMPOSIÇÕES",VLOOKUP(B633,'11.COMPOSIÇÕES GERAIS'!B:I,7,0),0))),"Em Elaboração")</f>
        <v>0</v>
      </c>
      <c r="I633" s="259">
        <f>IFERROR(IF(D633="SINAPI-S",VLOOKUP(B633,'20-B.SINAPI-S'!A:J,6,0),IF(D633="SINAPI-I",VLOOKUP(B633,'20-A.SINAPI-I'!A:G,7,0),IF(D633="COMPOSIÇÕES",VLOOKUP(B633,'11.COMPOSIÇÕES GERAIS'!B:I,8,0),VLOOKUP(B633,'12.COT.MERCADO'!A:I,8,0)))),"Em Elaboração")</f>
        <v>102.7</v>
      </c>
      <c r="J633" s="259">
        <f t="shared" si="110"/>
        <v>0</v>
      </c>
      <c r="K633" s="259">
        <f t="shared" si="111"/>
        <v>120.2960619</v>
      </c>
      <c r="L633" s="259">
        <f t="shared" si="112"/>
        <v>120.2960619</v>
      </c>
      <c r="M633" s="259">
        <f t="shared" si="113"/>
        <v>0</v>
      </c>
      <c r="N633" s="259">
        <f t="shared" si="114"/>
        <v>120.2960619</v>
      </c>
      <c r="O633" s="259">
        <f t="shared" si="115"/>
        <v>120.2960619</v>
      </c>
      <c r="P633" s="586">
        <f t="shared" si="3"/>
        <v>0.0006557694476</v>
      </c>
    </row>
    <row r="634">
      <c r="A634" s="253" t="s">
        <v>1283</v>
      </c>
      <c r="B634" s="254">
        <v>410.0</v>
      </c>
      <c r="C634" s="255" t="str">
        <f t="shared" si="109"/>
        <v>SINAPI</v>
      </c>
      <c r="D634" s="256" t="s">
        <v>286</v>
      </c>
      <c r="E634" s="257" t="str">
        <f>IFERROR(IF(D634="SINAPI-S",VLOOKUP(B634,'20-B.SINAPI-S'!A:J,2,0),IF(D634="SINAPI-I",VLOOKUP(B634,'20-A.SINAPI-I'!A:G,2,0),IF(D634="COMPOSIÇÕES",VLOOKUP(B634,'11.COMPOSIÇÕES GERAIS'!B:I,2,0),VLOOKUP(B634,'12.COT.MERCADO'!A:I,2,0)))),"Em Elaboração")</f>
        <v>ABRACADEIRA DE NYLON PARA AMARRACAO DE CABOS, COMPRIMENTO DE 150 X *3,6* MM</v>
      </c>
      <c r="F634" s="258" t="str">
        <f>IFERROR(IF(D634="SINAPI-S",VLOOKUP(B634,'20-B.SINAPI-S'!A:J,3,0),IF(D634="SINAPI-I",VLOOKUP(B634,'20-A.SINAPI-I'!A:G,3,0),IF(D634="COMPOSIÇÕES",VLOOKUP(B634,'11.COMPOSIÇÕES GERAIS'!B:I,3,0),VLOOKUP(B634,'12.COT.MERCADO'!A:I,7,0)))),"Em Elaboração")</f>
        <v>UN</v>
      </c>
      <c r="G634" s="254">
        <v>100.0</v>
      </c>
      <c r="H634" s="259">
        <f>IFERROR(IF(D634="SINAPI-S",VLOOKUP(B634,'20-B.SINAPI-S'!A:J,5,0),IF(D634="SINAPI-I",VLOOKUP(B634,'20-A.SINAPI-I'!A:G,6,0),IF(D634="COMPOSIÇÕES",VLOOKUP(B634,'11.COMPOSIÇÕES GERAIS'!B:I,7,0),0))),"Em Elaboração")</f>
        <v>0</v>
      </c>
      <c r="I634" s="259">
        <f>IFERROR(IF(D634="SINAPI-S",VLOOKUP(B634,'20-B.SINAPI-S'!A:J,6,0),IF(D634="SINAPI-I",VLOOKUP(B634,'20-A.SINAPI-I'!A:G,7,0),IF(D634="COMPOSIÇÕES",VLOOKUP(B634,'11.COMPOSIÇÕES GERAIS'!B:I,8,0),VLOOKUP(B634,'12.COT.MERCADO'!A:I,8,0)))),"Em Elaboração")</f>
        <v>0.15</v>
      </c>
      <c r="J634" s="259">
        <f t="shared" si="110"/>
        <v>0</v>
      </c>
      <c r="K634" s="259">
        <f t="shared" si="111"/>
        <v>0.1757001878</v>
      </c>
      <c r="L634" s="259">
        <f t="shared" si="112"/>
        <v>0.1757001878</v>
      </c>
      <c r="M634" s="259">
        <f t="shared" si="113"/>
        <v>0</v>
      </c>
      <c r="N634" s="259">
        <f t="shared" si="114"/>
        <v>17.57001878</v>
      </c>
      <c r="O634" s="259">
        <f t="shared" si="115"/>
        <v>17.57001878</v>
      </c>
      <c r="P634" s="586">
        <f t="shared" si="3"/>
        <v>0.00009577937404</v>
      </c>
    </row>
    <row r="635">
      <c r="A635" s="253" t="s">
        <v>1284</v>
      </c>
      <c r="B635" s="254">
        <v>411.0</v>
      </c>
      <c r="C635" s="255" t="str">
        <f t="shared" si="109"/>
        <v>SINAPI</v>
      </c>
      <c r="D635" s="256" t="s">
        <v>286</v>
      </c>
      <c r="E635" s="257" t="str">
        <f>IFERROR(IF(D635="SINAPI-S",VLOOKUP(B635,'20-B.SINAPI-S'!A:J,2,0),IF(D635="SINAPI-I",VLOOKUP(B635,'20-A.SINAPI-I'!A:G,2,0),IF(D635="COMPOSIÇÕES",VLOOKUP(B635,'11.COMPOSIÇÕES GERAIS'!B:I,2,0),VLOOKUP(B635,'12.COT.MERCADO'!A:I,2,0)))),"Em Elaboração")</f>
        <v>ABRACADEIRA DE NYLON PARA AMARRACAO DE CABOS, COMPRIMENTO DE 200 X *4,6* MM</v>
      </c>
      <c r="F635" s="258" t="str">
        <f>IFERROR(IF(D635="SINAPI-S",VLOOKUP(B635,'20-B.SINAPI-S'!A:J,3,0),IF(D635="SINAPI-I",VLOOKUP(B635,'20-A.SINAPI-I'!A:G,3,0),IF(D635="COMPOSIÇÕES",VLOOKUP(B635,'11.COMPOSIÇÕES GERAIS'!B:I,3,0),VLOOKUP(B635,'12.COT.MERCADO'!A:I,7,0)))),"Em Elaboração")</f>
        <v>UN</v>
      </c>
      <c r="G635" s="254">
        <v>100.0</v>
      </c>
      <c r="H635" s="259">
        <f>IFERROR(IF(D635="SINAPI-S",VLOOKUP(B635,'20-B.SINAPI-S'!A:J,5,0),IF(D635="SINAPI-I",VLOOKUP(B635,'20-A.SINAPI-I'!A:G,6,0),IF(D635="COMPOSIÇÕES",VLOOKUP(B635,'11.COMPOSIÇÕES GERAIS'!B:I,7,0),0))),"Em Elaboração")</f>
        <v>0</v>
      </c>
      <c r="I635" s="259">
        <f>IFERROR(IF(D635="SINAPI-S",VLOOKUP(B635,'20-B.SINAPI-S'!A:J,6,0),IF(D635="SINAPI-I",VLOOKUP(B635,'20-A.SINAPI-I'!A:G,7,0),IF(D635="COMPOSIÇÕES",VLOOKUP(B635,'11.COMPOSIÇÕES GERAIS'!B:I,8,0),VLOOKUP(B635,'12.COT.MERCADO'!A:I,8,0)))),"Em Elaboração")</f>
        <v>0.2</v>
      </c>
      <c r="J635" s="259">
        <f t="shared" si="110"/>
        <v>0</v>
      </c>
      <c r="K635" s="259">
        <f t="shared" si="111"/>
        <v>0.234266917</v>
      </c>
      <c r="L635" s="259">
        <f t="shared" si="112"/>
        <v>0.234266917</v>
      </c>
      <c r="M635" s="259">
        <f t="shared" si="113"/>
        <v>0</v>
      </c>
      <c r="N635" s="259">
        <f t="shared" si="114"/>
        <v>23.4266917</v>
      </c>
      <c r="O635" s="259">
        <f t="shared" si="115"/>
        <v>23.4266917</v>
      </c>
      <c r="P635" s="586">
        <f t="shared" si="3"/>
        <v>0.000127705832</v>
      </c>
    </row>
    <row r="636">
      <c r="A636" s="253" t="s">
        <v>1285</v>
      </c>
      <c r="B636" s="254">
        <v>414.0</v>
      </c>
      <c r="C636" s="255" t="str">
        <f t="shared" si="109"/>
        <v>SINAPI</v>
      </c>
      <c r="D636" s="256" t="s">
        <v>286</v>
      </c>
      <c r="E636" s="257" t="str">
        <f>IFERROR(IF(D636="SINAPI-S",VLOOKUP(B636,'20-B.SINAPI-S'!A:J,2,0),IF(D636="SINAPI-I",VLOOKUP(B636,'20-A.SINAPI-I'!A:G,2,0),IF(D636="COMPOSIÇÕES",VLOOKUP(B636,'11.COMPOSIÇÕES GERAIS'!B:I,2,0),VLOOKUP(B636,'12.COT.MERCADO'!A:I,2,0)))),"Em Elaboração")</f>
        <v>ABRACADEIRA DE NYLON PARA AMARRACAO DE CABOS, COMPRIMENTO DE 100 X 2,5 MM</v>
      </c>
      <c r="F636" s="258" t="str">
        <f>IFERROR(IF(D636="SINAPI-S",VLOOKUP(B636,'20-B.SINAPI-S'!A:J,3,0),IF(D636="SINAPI-I",VLOOKUP(B636,'20-A.SINAPI-I'!A:G,3,0),IF(D636="COMPOSIÇÕES",VLOOKUP(B636,'11.COMPOSIÇÕES GERAIS'!B:I,3,0),VLOOKUP(B636,'12.COT.MERCADO'!A:I,7,0)))),"Em Elaboração")</f>
        <v>UN</v>
      </c>
      <c r="G636" s="254">
        <v>100.0</v>
      </c>
      <c r="H636" s="259">
        <f>IFERROR(IF(D636="SINAPI-S",VLOOKUP(B636,'20-B.SINAPI-S'!A:J,5,0),IF(D636="SINAPI-I",VLOOKUP(B636,'20-A.SINAPI-I'!A:G,6,0),IF(D636="COMPOSIÇÕES",VLOOKUP(B636,'11.COMPOSIÇÕES GERAIS'!B:I,7,0),0))),"Em Elaboração")</f>
        <v>0</v>
      </c>
      <c r="I636" s="259">
        <f>IFERROR(IF(D636="SINAPI-S",VLOOKUP(B636,'20-B.SINAPI-S'!A:J,6,0),IF(D636="SINAPI-I",VLOOKUP(B636,'20-A.SINAPI-I'!A:G,7,0),IF(D636="COMPOSIÇÕES",VLOOKUP(B636,'11.COMPOSIÇÕES GERAIS'!B:I,8,0),VLOOKUP(B636,'12.COT.MERCADO'!A:I,8,0)))),"Em Elaboração")</f>
        <v>0.06</v>
      </c>
      <c r="J636" s="259">
        <f t="shared" si="110"/>
        <v>0</v>
      </c>
      <c r="K636" s="259">
        <f t="shared" si="111"/>
        <v>0.07028007511</v>
      </c>
      <c r="L636" s="259">
        <f t="shared" si="112"/>
        <v>0.07028007511</v>
      </c>
      <c r="M636" s="259">
        <f t="shared" si="113"/>
        <v>0</v>
      </c>
      <c r="N636" s="259">
        <f t="shared" si="114"/>
        <v>7.028007511</v>
      </c>
      <c r="O636" s="259">
        <f t="shared" si="115"/>
        <v>7.028007511</v>
      </c>
      <c r="P636" s="586">
        <f t="shared" si="3"/>
        <v>0.00003831174961</v>
      </c>
    </row>
    <row r="637">
      <c r="A637" s="253" t="s">
        <v>1286</v>
      </c>
      <c r="B637" s="254">
        <v>37458.0</v>
      </c>
      <c r="C637" s="255" t="str">
        <f t="shared" si="109"/>
        <v>SINAPI</v>
      </c>
      <c r="D637" s="256" t="s">
        <v>286</v>
      </c>
      <c r="E637" s="257" t="str">
        <f>IFERROR(IF(D637="SINAPI-S",VLOOKUP(B637,'20-B.SINAPI-S'!A:J,2,0),IF(D637="SINAPI-I",VLOOKUP(B637,'20-A.SINAPI-I'!A:G,2,0),IF(D637="COMPOSIÇÕES",VLOOKUP(B637,'11.COMPOSIÇÕES GERAIS'!B:I,2,0),VLOOKUP(B637,'12.COT.MERCADO'!A:I,2,0)))),"Em Elaboração")</f>
        <v>MANGUEIRA CRISTAL, LISA, PVC TRANSPARENTE, 1/2" X 2 MM</v>
      </c>
      <c r="F637" s="258" t="str">
        <f>IFERROR(IF(D637="SINAPI-S",VLOOKUP(B637,'20-B.SINAPI-S'!A:J,3,0),IF(D637="SINAPI-I",VLOOKUP(B637,'20-A.SINAPI-I'!A:G,3,0),IF(D637="COMPOSIÇÕES",VLOOKUP(B637,'11.COMPOSIÇÕES GERAIS'!B:I,3,0),VLOOKUP(B637,'12.COT.MERCADO'!A:I,7,0)))),"Em Elaboração")</f>
        <v>M</v>
      </c>
      <c r="G637" s="254">
        <v>35.0</v>
      </c>
      <c r="H637" s="259">
        <f>IFERROR(IF(D637="SINAPI-S",VLOOKUP(B637,'20-B.SINAPI-S'!A:J,5,0),IF(D637="SINAPI-I",VLOOKUP(B637,'20-A.SINAPI-I'!A:G,6,0),IF(D637="COMPOSIÇÕES",VLOOKUP(B637,'11.COMPOSIÇÕES GERAIS'!B:I,7,0),0))),"Em Elaboração")</f>
        <v>0</v>
      </c>
      <c r="I637" s="259">
        <f>IFERROR(IF(D637="SINAPI-S",VLOOKUP(B637,'20-B.SINAPI-S'!A:J,6,0),IF(D637="SINAPI-I",VLOOKUP(B637,'20-A.SINAPI-I'!A:G,7,0),IF(D637="COMPOSIÇÕES",VLOOKUP(B637,'11.COMPOSIÇÕES GERAIS'!B:I,8,0),VLOOKUP(B637,'12.COT.MERCADO'!A:I,8,0)))),"Em Elaboração")</f>
        <v>6.24</v>
      </c>
      <c r="J637" s="259">
        <f t="shared" si="110"/>
        <v>0</v>
      </c>
      <c r="K637" s="259">
        <f t="shared" si="111"/>
        <v>7.309127811</v>
      </c>
      <c r="L637" s="259">
        <f t="shared" si="112"/>
        <v>7.309127811</v>
      </c>
      <c r="M637" s="259">
        <f t="shared" si="113"/>
        <v>0</v>
      </c>
      <c r="N637" s="259">
        <f t="shared" si="114"/>
        <v>255.8194734</v>
      </c>
      <c r="O637" s="259">
        <f t="shared" si="115"/>
        <v>255.8194734</v>
      </c>
      <c r="P637" s="586">
        <f t="shared" si="3"/>
        <v>0.001394547686</v>
      </c>
    </row>
    <row r="638">
      <c r="A638" s="253" t="s">
        <v>1287</v>
      </c>
      <c r="B638" s="254">
        <v>3143.0</v>
      </c>
      <c r="C638" s="255" t="str">
        <f t="shared" si="109"/>
        <v>SINAPI</v>
      </c>
      <c r="D638" s="256" t="s">
        <v>286</v>
      </c>
      <c r="E638" s="257" t="str">
        <f>IFERROR(IF(D638="SINAPI-S",VLOOKUP(B638,'20-B.SINAPI-S'!A:J,2,0),IF(D638="SINAPI-I",VLOOKUP(B638,'20-A.SINAPI-I'!A:G,2,0),IF(D638="COMPOSIÇÕES",VLOOKUP(B638,'11.COMPOSIÇÕES GERAIS'!B:I,2,0),VLOOKUP(B638,'12.COT.MERCADO'!A:I,2,0)))),"Em Elaboração")</f>
        <v>FITA VEDA ROSCA EM ROLOS DE 18 MM X 25 M (L X C)</v>
      </c>
      <c r="F638" s="258" t="str">
        <f>IFERROR(IF(D638="SINAPI-S",VLOOKUP(B638,'20-B.SINAPI-S'!A:J,3,0),IF(D638="SINAPI-I",VLOOKUP(B638,'20-A.SINAPI-I'!A:G,3,0),IF(D638="COMPOSIÇÕES",VLOOKUP(B638,'11.COMPOSIÇÕES GERAIS'!B:I,3,0),VLOOKUP(B638,'12.COT.MERCADO'!A:I,7,0)))),"Em Elaboração")</f>
        <v>UN</v>
      </c>
      <c r="G638" s="254">
        <v>3.0</v>
      </c>
      <c r="H638" s="259">
        <f>IFERROR(IF(D638="SINAPI-S",VLOOKUP(B638,'20-B.SINAPI-S'!A:J,5,0),IF(D638="SINAPI-I",VLOOKUP(B638,'20-A.SINAPI-I'!A:G,6,0),IF(D638="COMPOSIÇÕES",VLOOKUP(B638,'11.COMPOSIÇÕES GERAIS'!B:I,7,0),0))),"Em Elaboração")</f>
        <v>0</v>
      </c>
      <c r="I638" s="259">
        <f>IFERROR(IF(D638="SINAPI-S",VLOOKUP(B638,'20-B.SINAPI-S'!A:J,6,0),IF(D638="SINAPI-I",VLOOKUP(B638,'20-A.SINAPI-I'!A:G,7,0),IF(D638="COMPOSIÇÕES",VLOOKUP(B638,'11.COMPOSIÇÕES GERAIS'!B:I,8,0),VLOOKUP(B638,'12.COT.MERCADO'!A:I,8,0)))),"Em Elaboração")</f>
        <v>10.23</v>
      </c>
      <c r="J638" s="259">
        <f t="shared" si="110"/>
        <v>0</v>
      </c>
      <c r="K638" s="259">
        <f t="shared" si="111"/>
        <v>11.98275281</v>
      </c>
      <c r="L638" s="259">
        <f t="shared" si="112"/>
        <v>11.98275281</v>
      </c>
      <c r="M638" s="259">
        <f t="shared" si="113"/>
        <v>0</v>
      </c>
      <c r="N638" s="259">
        <f t="shared" si="114"/>
        <v>35.94825842</v>
      </c>
      <c r="O638" s="259">
        <f t="shared" si="115"/>
        <v>35.94825842</v>
      </c>
      <c r="P638" s="586">
        <f t="shared" si="3"/>
        <v>0.0001959645993</v>
      </c>
    </row>
    <row r="639">
      <c r="A639" s="253" t="s">
        <v>1288</v>
      </c>
      <c r="B639" s="254" t="s">
        <v>1289</v>
      </c>
      <c r="C639" s="255" t="str">
        <f t="shared" si="109"/>
        <v>PRÓPRIO</v>
      </c>
      <c r="D639" s="256" t="s">
        <v>110</v>
      </c>
      <c r="E639" s="257" t="str">
        <f>IFERROR(IF(D639="SINAPI-S",VLOOKUP(B639,'20-B.SINAPI-S'!A:J,2,0),IF(D639="SINAPI-I",VLOOKUP(B639,'20-A.SINAPI-I'!A:G,2,0),IF(D639="COMPOSIÇÕES",VLOOKUP(B639,'11.COMPOSIÇÕES GERAIS'!B:I,2,0),VLOOKUP(B639,'12.COT.MERCADO'!A:I,2,0)))),"Em Elaboração")</f>
        <v>Filtro Secador de cobre 1" com Ponteira comp. 70mm</v>
      </c>
      <c r="F639" s="258" t="str">
        <f>IFERROR(IF(D639="SINAPI-S",VLOOKUP(B639,'20-B.SINAPI-S'!A:J,3,0),IF(D639="SINAPI-I",VLOOKUP(B639,'20-A.SINAPI-I'!A:G,3,0),IF(D639="COMPOSIÇÕES",VLOOKUP(B639,'11.COMPOSIÇÕES GERAIS'!B:I,3,0),VLOOKUP(B639,'12.COT.MERCADO'!A:I,7,0)))),"Em Elaboração")</f>
        <v>UN </v>
      </c>
      <c r="G639" s="254">
        <v>1.0</v>
      </c>
      <c r="H639" s="259">
        <f>IFERROR(IF(D639="SINAPI-S",VLOOKUP(B639,'20-B.SINAPI-S'!A:J,5,0),IF(D639="SINAPI-I",VLOOKUP(B639,'20-A.SINAPI-I'!A:G,6,0),IF(D639="COMPOSIÇÕES",VLOOKUP(B639,'11.COMPOSIÇÕES GERAIS'!B:I,7,0),0))),"Em Elaboração")</f>
        <v>0</v>
      </c>
      <c r="I639" s="259">
        <f>IFERROR(IF(D639="SINAPI-S",VLOOKUP(B639,'20-B.SINAPI-S'!A:J,6,0),IF(D639="SINAPI-I",VLOOKUP(B639,'20-A.SINAPI-I'!A:G,7,0),IF(D639="COMPOSIÇÕES",VLOOKUP(B639,'11.COMPOSIÇÕES GERAIS'!B:I,8,0),VLOOKUP(B639,'12.COT.MERCADO'!A:I,8,0)))),"Em Elaboração")</f>
        <v>7.9</v>
      </c>
      <c r="J639" s="259">
        <f t="shared" si="110"/>
        <v>0</v>
      </c>
      <c r="K639" s="259">
        <f t="shared" si="111"/>
        <v>9.253543223</v>
      </c>
      <c r="L639" s="259">
        <f t="shared" si="112"/>
        <v>9.253543223</v>
      </c>
      <c r="M639" s="259">
        <f t="shared" si="113"/>
        <v>0</v>
      </c>
      <c r="N639" s="259">
        <f t="shared" si="114"/>
        <v>9.253543223</v>
      </c>
      <c r="O639" s="259">
        <f t="shared" si="115"/>
        <v>9.253543223</v>
      </c>
      <c r="P639" s="586">
        <f t="shared" si="3"/>
        <v>0.00005044380366</v>
      </c>
    </row>
    <row r="640">
      <c r="A640" s="253" t="s">
        <v>1290</v>
      </c>
      <c r="B640" s="254" t="s">
        <v>1291</v>
      </c>
      <c r="C640" s="255" t="str">
        <f t="shared" si="109"/>
        <v>PRÓPRIO</v>
      </c>
      <c r="D640" s="256" t="s">
        <v>110</v>
      </c>
      <c r="E640" s="257" t="str">
        <f>IFERROR(IF(D640="SINAPI-S",VLOOKUP(B640,'20-B.SINAPI-S'!A:J,2,0),IF(D640="SINAPI-I",VLOOKUP(B640,'20-A.SINAPI-I'!A:G,2,0),IF(D640="COMPOSIÇÕES",VLOOKUP(B640,'11.COMPOSIÇÕES GERAIS'!B:I,2,0),VLOOKUP(B640,'12.COT.MERCADO'!A:I,2,0)))),"Em Elaboração")</f>
        <v>Controle Remoto Universal EOS para Ar Condicionado Split. REF: EOS KIT000687 ou similar</v>
      </c>
      <c r="F640" s="258" t="str">
        <f>IFERROR(IF(D640="SINAPI-S",VLOOKUP(B640,'20-B.SINAPI-S'!A:J,3,0),IF(D640="SINAPI-I",VLOOKUP(B640,'20-A.SINAPI-I'!A:G,3,0),IF(D640="COMPOSIÇÕES",VLOOKUP(B640,'11.COMPOSIÇÕES GERAIS'!B:I,3,0),VLOOKUP(B640,'12.COT.MERCADO'!A:I,7,0)))),"Em Elaboração")</f>
        <v>UN </v>
      </c>
      <c r="G640" s="254">
        <v>1.0</v>
      </c>
      <c r="H640" s="259">
        <f>IFERROR(IF(D640="SINAPI-S",VLOOKUP(B640,'20-B.SINAPI-S'!A:J,5,0),IF(D640="SINAPI-I",VLOOKUP(B640,'20-A.SINAPI-I'!A:G,6,0),IF(D640="COMPOSIÇÕES",VLOOKUP(B640,'11.COMPOSIÇÕES GERAIS'!B:I,7,0),0))),"Em Elaboração")</f>
        <v>0</v>
      </c>
      <c r="I640" s="259">
        <f>IFERROR(IF(D640="SINAPI-S",VLOOKUP(B640,'20-B.SINAPI-S'!A:J,6,0),IF(D640="SINAPI-I",VLOOKUP(B640,'20-A.SINAPI-I'!A:G,7,0),IF(D640="COMPOSIÇÕES",VLOOKUP(B640,'11.COMPOSIÇÕES GERAIS'!B:I,8,0),VLOOKUP(B640,'12.COT.MERCADO'!A:I,8,0)))),"Em Elaboração")</f>
        <v>21</v>
      </c>
      <c r="J640" s="259">
        <f t="shared" si="110"/>
        <v>0</v>
      </c>
      <c r="K640" s="259">
        <f t="shared" si="111"/>
        <v>24.59802629</v>
      </c>
      <c r="L640" s="259">
        <f t="shared" si="112"/>
        <v>24.59802629</v>
      </c>
      <c r="M640" s="259">
        <f t="shared" si="113"/>
        <v>0</v>
      </c>
      <c r="N640" s="259">
        <f t="shared" si="114"/>
        <v>24.59802629</v>
      </c>
      <c r="O640" s="259">
        <f t="shared" si="115"/>
        <v>24.59802629</v>
      </c>
      <c r="P640" s="586">
        <f t="shared" si="3"/>
        <v>0.0001340911236</v>
      </c>
    </row>
    <row r="641">
      <c r="A641" s="253" t="s">
        <v>1292</v>
      </c>
      <c r="B641" s="254" t="s">
        <v>1293</v>
      </c>
      <c r="C641" s="255" t="str">
        <f t="shared" si="109"/>
        <v>PRÓPRIO</v>
      </c>
      <c r="D641" s="256" t="s">
        <v>110</v>
      </c>
      <c r="E641" s="257" t="str">
        <f>IFERROR(IF(D641="SINAPI-S",VLOOKUP(B641,'20-B.SINAPI-S'!A:J,2,0),IF(D641="SINAPI-I",VLOOKUP(B641,'20-A.SINAPI-I'!A:G,2,0),IF(D641="COMPOSIÇÕES",VLOOKUP(B641,'11.COMPOSIÇÕES GERAIS'!B:I,2,0),VLOOKUP(B641,'12.COT.MERCADO'!A:I,2,0)))),"Em Elaboração")</f>
        <v>Kit de Pilhas Alcalinas AAA Palito com 16 unidades. REF: DURACELL ou similar</v>
      </c>
      <c r="F641" s="258" t="str">
        <f>IFERROR(IF(D641="SINAPI-S",VLOOKUP(B641,'20-B.SINAPI-S'!A:J,3,0),IF(D641="SINAPI-I",VLOOKUP(B641,'20-A.SINAPI-I'!A:G,3,0),IF(D641="COMPOSIÇÕES",VLOOKUP(B641,'11.COMPOSIÇÕES GERAIS'!B:I,3,0),VLOOKUP(B641,'12.COT.MERCADO'!A:I,7,0)))),"Em Elaboração")</f>
        <v>UN </v>
      </c>
      <c r="G641" s="254">
        <v>1.0</v>
      </c>
      <c r="H641" s="259">
        <f>IFERROR(IF(D641="SINAPI-S",VLOOKUP(B641,'20-B.SINAPI-S'!A:J,5,0),IF(D641="SINAPI-I",VLOOKUP(B641,'20-A.SINAPI-I'!A:G,6,0),IF(D641="COMPOSIÇÕES",VLOOKUP(B641,'11.COMPOSIÇÕES GERAIS'!B:I,7,0),0))),"Em Elaboração")</f>
        <v>0</v>
      </c>
      <c r="I641" s="259">
        <f>IFERROR(IF(D641="SINAPI-S",VLOOKUP(B641,'20-B.SINAPI-S'!A:J,6,0),IF(D641="SINAPI-I",VLOOKUP(B641,'20-A.SINAPI-I'!A:G,7,0),IF(D641="COMPOSIÇÕES",VLOOKUP(B641,'11.COMPOSIÇÕES GERAIS'!B:I,8,0),VLOOKUP(B641,'12.COT.MERCADO'!A:I,8,0)))),"Em Elaboração")</f>
        <v>79.9</v>
      </c>
      <c r="J641" s="259">
        <f t="shared" si="110"/>
        <v>0</v>
      </c>
      <c r="K641" s="259">
        <f t="shared" si="111"/>
        <v>93.58963335</v>
      </c>
      <c r="L641" s="259">
        <f t="shared" si="112"/>
        <v>93.58963335</v>
      </c>
      <c r="M641" s="259">
        <f t="shared" si="113"/>
        <v>0</v>
      </c>
      <c r="N641" s="259">
        <f t="shared" si="114"/>
        <v>93.58963335</v>
      </c>
      <c r="O641" s="259">
        <f t="shared" si="115"/>
        <v>93.58963335</v>
      </c>
      <c r="P641" s="586">
        <f t="shared" si="3"/>
        <v>0.000510184799</v>
      </c>
    </row>
    <row r="642">
      <c r="A642" s="261" t="s">
        <v>1294</v>
      </c>
      <c r="B642" s="262" t="s">
        <v>1295</v>
      </c>
      <c r="C642" s="44"/>
      <c r="D642" s="44"/>
      <c r="E642" s="44"/>
      <c r="F642" s="44"/>
      <c r="G642" s="44"/>
      <c r="H642" s="44"/>
      <c r="I642" s="44"/>
      <c r="J642" s="44"/>
      <c r="K642" s="44"/>
      <c r="L642" s="44"/>
      <c r="M642" s="263">
        <f t="shared" ref="M642:O642" si="116">SUM(M643:M647)</f>
        <v>0</v>
      </c>
      <c r="N642" s="263">
        <f t="shared" si="116"/>
        <v>899.0110074</v>
      </c>
      <c r="O642" s="263">
        <f t="shared" si="116"/>
        <v>899.0110074</v>
      </c>
      <c r="P642" s="593">
        <f t="shared" si="3"/>
        <v>0.004900775158</v>
      </c>
    </row>
    <row r="643">
      <c r="A643" s="253" t="s">
        <v>1296</v>
      </c>
      <c r="B643" s="254">
        <v>11002.0</v>
      </c>
      <c r="C643" s="255" t="str">
        <f t="shared" ref="C643:C647" si="117">IF(OR(D643="SINAPI-S",D643="SINAPI-I"),"SINAPI","PRÓPRIO")</f>
        <v>SINAPI</v>
      </c>
      <c r="D643" s="256" t="s">
        <v>286</v>
      </c>
      <c r="E643" s="257" t="str">
        <f>IFERROR(IF(D643="SINAPI-S",VLOOKUP(B643,'20-B.SINAPI-S'!A:J,2,0),IF(D643="SINAPI-I",VLOOKUP(B643,'20-A.SINAPI-I'!A:G,2,0),IF(D643="COMPOSIÇÕES",VLOOKUP(B643,'11.COMPOSIÇÕES GERAIS'!B:I,2,0),VLOOKUP(B643,'12.COT.MERCADO'!A:I,2,0)))),"Em Elaboração")</f>
        <v>ELETRODO REVESTIDO AWS - E6013, DIAMETRO IGUAL A 2,50 MM</v>
      </c>
      <c r="F643" s="258" t="str">
        <f>IFERROR(IF(D643="SINAPI-S",VLOOKUP(B643,'20-B.SINAPI-S'!A:J,3,0),IF(D643="SINAPI-I",VLOOKUP(B643,'20-A.SINAPI-I'!A:G,3,0),IF(D643="COMPOSIÇÕES",VLOOKUP(B643,'11.COMPOSIÇÕES GERAIS'!B:I,3,0),VLOOKUP(B643,'12.COT.MERCADO'!A:I,7,0)))),"Em Elaboração")</f>
        <v>KG</v>
      </c>
      <c r="G643" s="254">
        <v>5.0</v>
      </c>
      <c r="H643" s="259">
        <f>IFERROR(IF(D643="SINAPI-S",VLOOKUP(B643,'20-B.SINAPI-S'!A:J,5,0),IF(D643="SINAPI-I",VLOOKUP(B643,'20-A.SINAPI-I'!A:G,6,0),IF(D643="COMPOSIÇÕES",VLOOKUP(B643,'11.COMPOSIÇÕES GERAIS'!B:I,7,0),0))),"Em Elaboração")</f>
        <v>0</v>
      </c>
      <c r="I643" s="259">
        <f>IFERROR(IF(D643="SINAPI-S",VLOOKUP(B643,'20-B.SINAPI-S'!A:J,6,0),IF(D643="SINAPI-I",VLOOKUP(B643,'20-A.SINAPI-I'!A:G,7,0),IF(D643="COMPOSIÇÕES",VLOOKUP(B643,'11.COMPOSIÇÕES GERAIS'!B:I,8,0),VLOOKUP(B643,'12.COT.MERCADO'!A:I,8,0)))),"Em Elaboração")</f>
        <v>31.68</v>
      </c>
      <c r="J643" s="259">
        <f t="shared" ref="J643:J647" si="118">H643*(1+$J$5)</f>
        <v>0</v>
      </c>
      <c r="K643" s="259">
        <f t="shared" ref="K643:K647" si="119">I643*(1+$J$8)</f>
        <v>37.10787966</v>
      </c>
      <c r="L643" s="259">
        <f t="shared" ref="L643:L647" si="120">SUM(J643:K643)</f>
        <v>37.10787966</v>
      </c>
      <c r="M643" s="259">
        <f t="shared" ref="M643:M647" si="121">J643*G643</f>
        <v>0</v>
      </c>
      <c r="N643" s="259">
        <f t="shared" ref="N643:N647" si="122">K643*G643</f>
        <v>185.5393983</v>
      </c>
      <c r="O643" s="259">
        <f t="shared" ref="O643:O647" si="123">SUM(M643:N643)</f>
        <v>185.5393983</v>
      </c>
      <c r="P643" s="586">
        <f t="shared" si="3"/>
        <v>0.00101143019</v>
      </c>
    </row>
    <row r="644">
      <c r="A644" s="253" t="s">
        <v>1297</v>
      </c>
      <c r="B644" s="254">
        <v>39914.0</v>
      </c>
      <c r="C644" s="255" t="str">
        <f t="shared" si="117"/>
        <v>SINAPI</v>
      </c>
      <c r="D644" s="256" t="s">
        <v>286</v>
      </c>
      <c r="E644" s="257" t="str">
        <f>IFERROR(IF(D644="SINAPI-S",VLOOKUP(B644,'20-B.SINAPI-S'!A:J,2,0),IF(D644="SINAPI-I",VLOOKUP(B644,'20-A.SINAPI-I'!A:G,2,0),IF(D644="COMPOSIÇÕES",VLOOKUP(B644,'11.COMPOSIÇÕES GERAIS'!B:I,2,0),VLOOKUP(B644,'12.COT.MERCADO'!A:I,2,0)))),"Em Elaboração")</f>
        <v>SOLDA EM VARETA FOSCOPER, D = *2,5* MM  X COMPRIMENTO 500 MM</v>
      </c>
      <c r="F644" s="258" t="str">
        <f>IFERROR(IF(D644="SINAPI-S",VLOOKUP(B644,'20-B.SINAPI-S'!A:J,3,0),IF(D644="SINAPI-I",VLOOKUP(B644,'20-A.SINAPI-I'!A:G,3,0),IF(D644="COMPOSIÇÕES",VLOOKUP(B644,'11.COMPOSIÇÕES GERAIS'!B:I,3,0),VLOOKUP(B644,'12.COT.MERCADO'!A:I,7,0)))),"Em Elaboração")</f>
        <v>KG</v>
      </c>
      <c r="G644" s="254">
        <v>1.0</v>
      </c>
      <c r="H644" s="259">
        <f>IFERROR(IF(D644="SINAPI-S",VLOOKUP(B644,'20-B.SINAPI-S'!A:J,5,0),IF(D644="SINAPI-I",VLOOKUP(B644,'20-A.SINAPI-I'!A:G,6,0),IF(D644="COMPOSIÇÕES",VLOOKUP(B644,'11.COMPOSIÇÕES GERAIS'!B:I,7,0),0))),"Em Elaboração")</f>
        <v>0</v>
      </c>
      <c r="I644" s="259">
        <f>IFERROR(IF(D644="SINAPI-S",VLOOKUP(B644,'20-B.SINAPI-S'!A:J,6,0),IF(D644="SINAPI-I",VLOOKUP(B644,'20-A.SINAPI-I'!A:G,7,0),IF(D644="COMPOSIÇÕES",VLOOKUP(B644,'11.COMPOSIÇÕES GERAIS'!B:I,8,0),VLOOKUP(B644,'12.COT.MERCADO'!A:I,8,0)))),"Em Elaboração")</f>
        <v>246.88</v>
      </c>
      <c r="J644" s="259">
        <f t="shared" si="118"/>
        <v>0</v>
      </c>
      <c r="K644" s="259">
        <f t="shared" si="119"/>
        <v>289.1790824</v>
      </c>
      <c r="L644" s="259">
        <f t="shared" si="120"/>
        <v>289.1790824</v>
      </c>
      <c r="M644" s="259">
        <f t="shared" si="121"/>
        <v>0</v>
      </c>
      <c r="N644" s="259">
        <f t="shared" si="122"/>
        <v>289.1790824</v>
      </c>
      <c r="O644" s="259">
        <f t="shared" si="123"/>
        <v>289.1790824</v>
      </c>
      <c r="P644" s="586">
        <f t="shared" si="3"/>
        <v>0.001576400791</v>
      </c>
    </row>
    <row r="645">
      <c r="A645" s="253" t="s">
        <v>1298</v>
      </c>
      <c r="B645" s="254">
        <v>1.0</v>
      </c>
      <c r="C645" s="255" t="str">
        <f t="shared" si="117"/>
        <v>SINAPI</v>
      </c>
      <c r="D645" s="256" t="s">
        <v>286</v>
      </c>
      <c r="E645" s="257" t="str">
        <f>IFERROR(IF(D645="SINAPI-S",VLOOKUP(B645,'20-B.SINAPI-S'!A:J,2,0),IF(D645="SINAPI-I",VLOOKUP(B645,'20-A.SINAPI-I'!A:G,2,0),IF(D645="COMPOSIÇÕES",VLOOKUP(B645,'11.COMPOSIÇÕES GERAIS'!B:I,2,0),VLOOKUP(B645,'12.COT.MERCADO'!A:I,2,0)))),"Em Elaboração")</f>
        <v>ACETILENO (RECARGA DE GAS ACETILENO PARA CILINDRO DE CONJUNTO OXICORTE GRANDE) NAO INCLUI TROCA/MANUTENCAO DO CILINDRO</v>
      </c>
      <c r="F645" s="258" t="str">
        <f>IFERROR(IF(D645="SINAPI-S",VLOOKUP(B645,'20-B.SINAPI-S'!A:J,3,0),IF(D645="SINAPI-I",VLOOKUP(B645,'20-A.SINAPI-I'!A:G,3,0),IF(D645="COMPOSIÇÕES",VLOOKUP(B645,'11.COMPOSIÇÕES GERAIS'!B:I,3,0),VLOOKUP(B645,'12.COT.MERCADO'!A:I,7,0)))),"Em Elaboração")</f>
        <v>KG</v>
      </c>
      <c r="G645" s="254">
        <v>1.0</v>
      </c>
      <c r="H645" s="259">
        <f>IFERROR(IF(D645="SINAPI-S",VLOOKUP(B645,'20-B.SINAPI-S'!A:J,5,0),IF(D645="SINAPI-I",VLOOKUP(B645,'20-A.SINAPI-I'!A:G,6,0),IF(D645="COMPOSIÇÕES",VLOOKUP(B645,'11.COMPOSIÇÕES GERAIS'!B:I,7,0),0))),"Em Elaboração")</f>
        <v>0</v>
      </c>
      <c r="I645" s="259">
        <f>IFERROR(IF(D645="SINAPI-S",VLOOKUP(B645,'20-B.SINAPI-S'!A:J,6,0),IF(D645="SINAPI-I",VLOOKUP(B645,'20-A.SINAPI-I'!A:G,7,0),IF(D645="COMPOSIÇÕES",VLOOKUP(B645,'11.COMPOSIÇÕES GERAIS'!B:I,8,0),VLOOKUP(B645,'12.COT.MERCADO'!A:I,8,0)))),"Em Elaboração")</f>
        <v>84.45</v>
      </c>
      <c r="J645" s="259">
        <f t="shared" si="118"/>
        <v>0</v>
      </c>
      <c r="K645" s="259">
        <f t="shared" si="119"/>
        <v>98.91920571</v>
      </c>
      <c r="L645" s="259">
        <f t="shared" si="120"/>
        <v>98.91920571</v>
      </c>
      <c r="M645" s="259">
        <f t="shared" si="121"/>
        <v>0</v>
      </c>
      <c r="N645" s="259">
        <f t="shared" si="122"/>
        <v>98.91920571</v>
      </c>
      <c r="O645" s="259">
        <f t="shared" si="123"/>
        <v>98.91920571</v>
      </c>
      <c r="P645" s="586">
        <f t="shared" si="3"/>
        <v>0.0005392378758</v>
      </c>
    </row>
    <row r="646">
      <c r="A646" s="253" t="s">
        <v>1299</v>
      </c>
      <c r="B646" s="254">
        <v>2.0</v>
      </c>
      <c r="C646" s="255" t="str">
        <f t="shared" si="117"/>
        <v>SINAPI</v>
      </c>
      <c r="D646" s="256" t="s">
        <v>286</v>
      </c>
      <c r="E646" s="257" t="str">
        <f>IFERROR(IF(D646="SINAPI-S",VLOOKUP(B646,'20-B.SINAPI-S'!A:J,2,0),IF(D646="SINAPI-I",VLOOKUP(B646,'20-A.SINAPI-I'!A:G,2,0),IF(D646="COMPOSIÇÕES",VLOOKUP(B646,'11.COMPOSIÇÕES GERAIS'!B:I,2,0),VLOOKUP(B646,'12.COT.MERCADO'!A:I,2,0)))),"Em Elaboração")</f>
        <v>OXIGENIO, RECARGA PARA CILINDRO DE CONJUNTO OXICORTE GRANDE</v>
      </c>
      <c r="F646" s="258" t="str">
        <f>IFERROR(IF(D646="SINAPI-S",VLOOKUP(B646,'20-B.SINAPI-S'!A:J,3,0),IF(D646="SINAPI-I",VLOOKUP(B646,'20-A.SINAPI-I'!A:G,3,0),IF(D646="COMPOSIÇÕES",VLOOKUP(B646,'11.COMPOSIÇÕES GERAIS'!B:I,3,0),VLOOKUP(B646,'12.COT.MERCADO'!A:I,7,0)))),"Em Elaboração")</f>
        <v>M3</v>
      </c>
      <c r="G646" s="254">
        <v>10.0</v>
      </c>
      <c r="H646" s="259">
        <f>IFERROR(IF(D646="SINAPI-S",VLOOKUP(B646,'20-B.SINAPI-S'!A:J,5,0),IF(D646="SINAPI-I",VLOOKUP(B646,'20-A.SINAPI-I'!A:G,6,0),IF(D646="COMPOSIÇÕES",VLOOKUP(B646,'11.COMPOSIÇÕES GERAIS'!B:I,7,0),0))),"Em Elaboração")</f>
        <v>0</v>
      </c>
      <c r="I646" s="259">
        <f>IFERROR(IF(D646="SINAPI-S",VLOOKUP(B646,'20-B.SINAPI-S'!A:J,6,0),IF(D646="SINAPI-I",VLOOKUP(B646,'20-A.SINAPI-I'!A:G,7,0),IF(D646="COMPOSIÇÕES",VLOOKUP(B646,'11.COMPOSIÇÕES GERAIS'!B:I,8,0),VLOOKUP(B646,'12.COT.MERCADO'!A:I,8,0)))),"Em Elaboração")</f>
        <v>18.5</v>
      </c>
      <c r="J646" s="259">
        <f t="shared" si="118"/>
        <v>0</v>
      </c>
      <c r="K646" s="259">
        <f t="shared" si="119"/>
        <v>21.66968982</v>
      </c>
      <c r="L646" s="259">
        <f t="shared" si="120"/>
        <v>21.66968982</v>
      </c>
      <c r="M646" s="259">
        <f t="shared" si="121"/>
        <v>0</v>
      </c>
      <c r="N646" s="259">
        <f t="shared" si="122"/>
        <v>216.6968982</v>
      </c>
      <c r="O646" s="259">
        <f t="shared" si="123"/>
        <v>216.6968982</v>
      </c>
      <c r="P646" s="586">
        <f t="shared" si="3"/>
        <v>0.001181278946</v>
      </c>
    </row>
    <row r="647">
      <c r="A647" s="253" t="s">
        <v>1300</v>
      </c>
      <c r="B647" s="254" t="s">
        <v>1301</v>
      </c>
      <c r="C647" s="255" t="str">
        <f t="shared" si="117"/>
        <v>PRÓPRIO</v>
      </c>
      <c r="D647" s="256" t="s">
        <v>110</v>
      </c>
      <c r="E647" s="257" t="str">
        <f>IFERROR(IF(D647="SINAPI-S",VLOOKUP(B647,'20-B.SINAPI-S'!A:J,2,0),IF(D647="SINAPI-I",VLOOKUP(B647,'20-A.SINAPI-I'!A:G,2,0),IF(D647="COMPOSIÇÕES",VLOOKUP(B647,'11.COMPOSIÇÕES GERAIS'!B:I,2,0),VLOOKUP(B647,'12.COT.MERCADO'!A:I,2,0)))),"Em Elaboração")</f>
        <v>Refil Gás Map Pro Para Maçarico Com 400g</v>
      </c>
      <c r="F647" s="258" t="str">
        <f>IFERROR(IF(D647="SINAPI-S",VLOOKUP(B647,'20-B.SINAPI-S'!A:J,3,0),IF(D647="SINAPI-I",VLOOKUP(B647,'20-A.SINAPI-I'!A:G,3,0),IF(D647="COMPOSIÇÕES",VLOOKUP(B647,'11.COMPOSIÇÕES GERAIS'!B:I,3,0),VLOOKUP(B647,'12.COT.MERCADO'!A:I,7,0)))),"Em Elaboração")</f>
        <v>UN </v>
      </c>
      <c r="G647" s="254">
        <v>2.0</v>
      </c>
      <c r="H647" s="259">
        <f>IFERROR(IF(D647="SINAPI-S",VLOOKUP(B647,'20-B.SINAPI-S'!A:J,5,0),IF(D647="SINAPI-I",VLOOKUP(B647,'20-A.SINAPI-I'!A:G,6,0),IF(D647="COMPOSIÇÕES",VLOOKUP(B647,'11.COMPOSIÇÕES GERAIS'!B:I,7,0),0))),"Em Elaboração")</f>
        <v>0</v>
      </c>
      <c r="I647" s="259">
        <f>IFERROR(IF(D647="SINAPI-S",VLOOKUP(B647,'20-B.SINAPI-S'!A:J,6,0),IF(D647="SINAPI-I",VLOOKUP(B647,'20-A.SINAPI-I'!A:G,7,0),IF(D647="COMPOSIÇÕES",VLOOKUP(B647,'11.COMPOSIÇÕES GERAIS'!B:I,8,0),VLOOKUP(B647,'12.COT.MERCADO'!A:I,8,0)))),"Em Elaboração")</f>
        <v>46.39</v>
      </c>
      <c r="J647" s="259">
        <f t="shared" si="118"/>
        <v>0</v>
      </c>
      <c r="K647" s="259">
        <f t="shared" si="119"/>
        <v>54.3382114</v>
      </c>
      <c r="L647" s="259">
        <f t="shared" si="120"/>
        <v>54.3382114</v>
      </c>
      <c r="M647" s="259">
        <f t="shared" si="121"/>
        <v>0</v>
      </c>
      <c r="N647" s="259">
        <f t="shared" si="122"/>
        <v>108.6764228</v>
      </c>
      <c r="O647" s="259">
        <f t="shared" si="123"/>
        <v>108.6764228</v>
      </c>
      <c r="P647" s="586">
        <f t="shared" si="3"/>
        <v>0.0005924273549</v>
      </c>
    </row>
    <row r="648">
      <c r="A648" s="261" t="s">
        <v>1302</v>
      </c>
      <c r="B648" s="262" t="s">
        <v>1303</v>
      </c>
      <c r="C648" s="44"/>
      <c r="D648" s="44"/>
      <c r="E648" s="44"/>
      <c r="F648" s="44"/>
      <c r="G648" s="44"/>
      <c r="H648" s="44"/>
      <c r="I648" s="44"/>
      <c r="J648" s="44"/>
      <c r="K648" s="44"/>
      <c r="L648" s="44"/>
      <c r="M648" s="263">
        <f t="shared" ref="M648:O648" si="124">SUM(M649:M653)</f>
        <v>0</v>
      </c>
      <c r="N648" s="263">
        <f t="shared" si="124"/>
        <v>3483.408496</v>
      </c>
      <c r="O648" s="263">
        <f t="shared" si="124"/>
        <v>3483.408496</v>
      </c>
      <c r="P648" s="593">
        <f t="shared" si="3"/>
        <v>0.01898909099</v>
      </c>
    </row>
    <row r="649">
      <c r="A649" s="253" t="s">
        <v>1304</v>
      </c>
      <c r="B649" s="254">
        <v>10416.0</v>
      </c>
      <c r="C649" s="255" t="str">
        <f t="shared" ref="C649:C653" si="125">IF(OR(D649="SINAPI-S",D649="SINAPI-I"),"SINAPI","PRÓPRIO")</f>
        <v>SINAPI</v>
      </c>
      <c r="D649" s="256" t="s">
        <v>286</v>
      </c>
      <c r="E649" s="257" t="str">
        <f>IFERROR(IF(D649="SINAPI-S",VLOOKUP(B649,'20-B.SINAPI-S'!A:J,2,0),IF(D649="SINAPI-I",VLOOKUP(B649,'20-A.SINAPI-I'!A:G,2,0),IF(D649="COMPOSIÇÕES",VLOOKUP(B649,'11.COMPOSIÇÕES GERAIS'!B:I,2,0),VLOOKUP(B649,'12.COT.MERCADO'!A:I,2,0)))),"Em Elaboração")</f>
        <v>VALVULA DE RETENCAO VERTICAL, DE BRONZE (PN-16), 1 1/2", 200 PSI, EXTREMIDADES COM ROSCA</v>
      </c>
      <c r="F649" s="258" t="str">
        <f>IFERROR(IF(D649="SINAPI-S",VLOOKUP(B649,'20-B.SINAPI-S'!A:J,3,0),IF(D649="SINAPI-I",VLOOKUP(B649,'20-A.SINAPI-I'!A:G,3,0),IF(D649="COMPOSIÇÕES",VLOOKUP(B649,'11.COMPOSIÇÕES GERAIS'!B:I,3,0),VLOOKUP(B649,'12.COT.MERCADO'!A:I,7,0)))),"Em Elaboração")</f>
        <v>UN</v>
      </c>
      <c r="G649" s="254">
        <v>1.0</v>
      </c>
      <c r="H649" s="259">
        <f>IFERROR(IF(D649="SINAPI-S",VLOOKUP(B649,'20-B.SINAPI-S'!A:J,5,0),IF(D649="SINAPI-I",VLOOKUP(B649,'20-A.SINAPI-I'!A:G,6,0),IF(D649="COMPOSIÇÕES",VLOOKUP(B649,'11.COMPOSIÇÕES GERAIS'!B:I,7,0),0))),"Em Elaboração")</f>
        <v>0</v>
      </c>
      <c r="I649" s="259">
        <f>IFERROR(IF(D649="SINAPI-S",VLOOKUP(B649,'20-B.SINAPI-S'!A:J,6,0),IF(D649="SINAPI-I",VLOOKUP(B649,'20-A.SINAPI-I'!A:G,7,0),IF(D649="COMPOSIÇÕES",VLOOKUP(B649,'11.COMPOSIÇÕES GERAIS'!B:I,8,0),VLOOKUP(B649,'12.COT.MERCADO'!A:I,8,0)))),"Em Elaboração")</f>
        <v>136.7</v>
      </c>
      <c r="J649" s="259">
        <f t="shared" ref="J649:J653" si="126">H649*(1+$J$5)</f>
        <v>0</v>
      </c>
      <c r="K649" s="259">
        <f t="shared" ref="K649:K653" si="127">I649*(1+$J$8)</f>
        <v>160.1214378</v>
      </c>
      <c r="L649" s="259">
        <f t="shared" ref="L649:L653" si="128">SUM(J649:K649)</f>
        <v>160.1214378</v>
      </c>
      <c r="M649" s="259">
        <f t="shared" ref="M649:M653" si="129">J649*G649</f>
        <v>0</v>
      </c>
      <c r="N649" s="259">
        <f t="shared" ref="N649:N653" si="130">K649*G649</f>
        <v>160.1214378</v>
      </c>
      <c r="O649" s="259">
        <f t="shared" ref="O649:O653" si="131">SUM(M649:N649)</f>
        <v>160.1214378</v>
      </c>
      <c r="P649" s="586">
        <f t="shared" si="3"/>
        <v>0.000872869362</v>
      </c>
    </row>
    <row r="650">
      <c r="A650" s="253" t="s">
        <v>1305</v>
      </c>
      <c r="B650" s="254" t="s">
        <v>1306</v>
      </c>
      <c r="C650" s="255" t="str">
        <f t="shared" si="125"/>
        <v>PRÓPRIO</v>
      </c>
      <c r="D650" s="256" t="s">
        <v>110</v>
      </c>
      <c r="E650" s="257" t="str">
        <f>IFERROR(IF(D650="SINAPI-S",VLOOKUP(B650,'20-B.SINAPI-S'!A:J,2,0),IF(D650="SINAPI-I",VLOOKUP(B650,'20-A.SINAPI-I'!A:G,2,0),IF(D650="COMPOSIÇÕES",VLOOKUP(B650,'11.COMPOSIÇÕES GERAIS'!B:I,2,0),VLOOKUP(B650,'12.COT.MERCADO'!A:I,2,0)))),"Em Elaboração")</f>
        <v>Válvula Motorizada 3 Vias 1” ON-OFF Retorno Elétrico REF: Actua Controls ou similar</v>
      </c>
      <c r="F650" s="258" t="str">
        <f>IFERROR(IF(D650="SINAPI-S",VLOOKUP(B650,'20-B.SINAPI-S'!A:J,3,0),IF(D650="SINAPI-I",VLOOKUP(B650,'20-A.SINAPI-I'!A:G,3,0),IF(D650="COMPOSIÇÕES",VLOOKUP(B650,'11.COMPOSIÇÕES GERAIS'!B:I,3,0),VLOOKUP(B650,'12.COT.MERCADO'!A:I,7,0)))),"Em Elaboração")</f>
        <v>UN </v>
      </c>
      <c r="G650" s="254">
        <v>2.0</v>
      </c>
      <c r="H650" s="259">
        <f>IFERROR(IF(D650="SINAPI-S",VLOOKUP(B650,'20-B.SINAPI-S'!A:J,5,0),IF(D650="SINAPI-I",VLOOKUP(B650,'20-A.SINAPI-I'!A:G,6,0),IF(D650="COMPOSIÇÕES",VLOOKUP(B650,'11.COMPOSIÇÕES GERAIS'!B:I,7,0),0))),"Em Elaboração")</f>
        <v>0</v>
      </c>
      <c r="I650" s="259">
        <f>IFERROR(IF(D650="SINAPI-S",VLOOKUP(B650,'20-B.SINAPI-S'!A:J,6,0),IF(D650="SINAPI-I",VLOOKUP(B650,'20-A.SINAPI-I'!A:G,7,0),IF(D650="COMPOSIÇÕES",VLOOKUP(B650,'11.COMPOSIÇÕES GERAIS'!B:I,8,0),VLOOKUP(B650,'12.COT.MERCADO'!A:I,8,0)))),"Em Elaboração")</f>
        <v>652.8</v>
      </c>
      <c r="J650" s="259">
        <f t="shared" si="126"/>
        <v>0</v>
      </c>
      <c r="K650" s="259">
        <f t="shared" si="127"/>
        <v>764.6472172</v>
      </c>
      <c r="L650" s="259">
        <f t="shared" si="128"/>
        <v>764.6472172</v>
      </c>
      <c r="M650" s="259">
        <f t="shared" si="129"/>
        <v>0</v>
      </c>
      <c r="N650" s="259">
        <f t="shared" si="130"/>
        <v>1529.294434</v>
      </c>
      <c r="O650" s="259">
        <f t="shared" si="131"/>
        <v>1529.294434</v>
      </c>
      <c r="P650" s="586">
        <f t="shared" si="3"/>
        <v>0.008336636716</v>
      </c>
    </row>
    <row r="651">
      <c r="A651" s="253" t="s">
        <v>1307</v>
      </c>
      <c r="B651" s="254" t="s">
        <v>1308</v>
      </c>
      <c r="C651" s="255" t="str">
        <f t="shared" si="125"/>
        <v>PRÓPRIO</v>
      </c>
      <c r="D651" s="256" t="s">
        <v>110</v>
      </c>
      <c r="E651" s="257" t="str">
        <f>IFERROR(IF(D651="SINAPI-S",VLOOKUP(B651,'20-B.SINAPI-S'!A:J,2,0),IF(D651="SINAPI-I",VLOOKUP(B651,'20-A.SINAPI-I'!A:G,2,0),IF(D651="COMPOSIÇÕES",VLOOKUP(B651,'11.COMPOSIÇÕES GERAIS'!B:I,2,0),VLOOKUP(B651,'12.COT.MERCADO'!A:I,2,0)))),"Em Elaboração")</f>
        <v>Válvula Motorizada 3 Vias 3/4” ON-OFF Retorno Elétrico REF: Actua Controls ou similar</v>
      </c>
      <c r="F651" s="258" t="str">
        <f>IFERROR(IF(D651="SINAPI-S",VLOOKUP(B651,'20-B.SINAPI-S'!A:J,3,0),IF(D651="SINAPI-I",VLOOKUP(B651,'20-A.SINAPI-I'!A:G,3,0),IF(D651="COMPOSIÇÕES",VLOOKUP(B651,'11.COMPOSIÇÕES GERAIS'!B:I,3,0),VLOOKUP(B651,'12.COT.MERCADO'!A:I,7,0)))),"Em Elaboração")</f>
        <v>UN </v>
      </c>
      <c r="G651" s="254">
        <v>2.0</v>
      </c>
      <c r="H651" s="259">
        <f>IFERROR(IF(D651="SINAPI-S",VLOOKUP(B651,'20-B.SINAPI-S'!A:J,5,0),IF(D651="SINAPI-I",VLOOKUP(B651,'20-A.SINAPI-I'!A:G,6,0),IF(D651="COMPOSIÇÕES",VLOOKUP(B651,'11.COMPOSIÇÕES GERAIS'!B:I,7,0),0))),"Em Elaboração")</f>
        <v>0</v>
      </c>
      <c r="I651" s="259">
        <f>IFERROR(IF(D651="SINAPI-S",VLOOKUP(B651,'20-B.SINAPI-S'!A:J,6,0),IF(D651="SINAPI-I",VLOOKUP(B651,'20-A.SINAPI-I'!A:G,7,0),IF(D651="COMPOSIÇÕES",VLOOKUP(B651,'11.COMPOSIÇÕES GERAIS'!B:I,8,0),VLOOKUP(B651,'12.COT.MERCADO'!A:I,8,0)))),"Em Elaboração")</f>
        <v>463.88</v>
      </c>
      <c r="J651" s="259">
        <f t="shared" si="126"/>
        <v>0</v>
      </c>
      <c r="K651" s="259">
        <f t="shared" si="127"/>
        <v>543.3586874</v>
      </c>
      <c r="L651" s="259">
        <f t="shared" si="128"/>
        <v>543.3586874</v>
      </c>
      <c r="M651" s="259">
        <f t="shared" si="129"/>
        <v>0</v>
      </c>
      <c r="N651" s="259">
        <f t="shared" si="130"/>
        <v>1086.717375</v>
      </c>
      <c r="O651" s="259">
        <f t="shared" si="131"/>
        <v>1086.717375</v>
      </c>
      <c r="P651" s="586">
        <f t="shared" si="3"/>
        <v>0.005924018137</v>
      </c>
    </row>
    <row r="652">
      <c r="A652" s="253" t="s">
        <v>1309</v>
      </c>
      <c r="B652" s="254" t="s">
        <v>1310</v>
      </c>
      <c r="C652" s="255" t="str">
        <f t="shared" si="125"/>
        <v>PRÓPRIO</v>
      </c>
      <c r="D652" s="256" t="s">
        <v>110</v>
      </c>
      <c r="E652" s="257" t="str">
        <f>IFERROR(IF(D652="SINAPI-S",VLOOKUP(B652,'20-B.SINAPI-S'!A:J,2,0),IF(D652="SINAPI-I",VLOOKUP(B652,'20-A.SINAPI-I'!A:G,2,0),IF(D652="COMPOSIÇÕES",VLOOKUP(B652,'11.COMPOSIÇÕES GERAIS'!B:I,2,0),VLOOKUP(B652,'12.COT.MERCADO'!A:I,2,0)))),"Em Elaboração")</f>
        <v>Válvula Motorizada 3 Vias 1/2” ON-OFF Retorno Elétrico REF: Actua Controls ou similar</v>
      </c>
      <c r="F652" s="258" t="str">
        <f>IFERROR(IF(D652="SINAPI-S",VLOOKUP(B652,'20-B.SINAPI-S'!A:J,3,0),IF(D652="SINAPI-I",VLOOKUP(B652,'20-A.SINAPI-I'!A:G,3,0),IF(D652="COMPOSIÇÕES",VLOOKUP(B652,'11.COMPOSIÇÕES GERAIS'!B:I,3,0),VLOOKUP(B652,'12.COT.MERCADO'!A:I,7,0)))),"Em Elaboração")</f>
        <v>UN </v>
      </c>
      <c r="G652" s="254">
        <v>1.0</v>
      </c>
      <c r="H652" s="259">
        <f>IFERROR(IF(D652="SINAPI-S",VLOOKUP(B652,'20-B.SINAPI-S'!A:J,5,0),IF(D652="SINAPI-I",VLOOKUP(B652,'20-A.SINAPI-I'!A:G,6,0),IF(D652="COMPOSIÇÕES",VLOOKUP(B652,'11.COMPOSIÇÕES GERAIS'!B:I,7,0),0))),"Em Elaboração")</f>
        <v>0</v>
      </c>
      <c r="I652" s="259">
        <f>IFERROR(IF(D652="SINAPI-S",VLOOKUP(B652,'20-B.SINAPI-S'!A:J,6,0),IF(D652="SINAPI-I",VLOOKUP(B652,'20-A.SINAPI-I'!A:G,7,0),IF(D652="COMPOSIÇÕES",VLOOKUP(B652,'11.COMPOSIÇÕES GERAIS'!B:I,8,0),VLOOKUP(B652,'12.COT.MERCADO'!A:I,8,0)))),"Em Elaboração")</f>
        <v>429.8</v>
      </c>
      <c r="J652" s="259">
        <f t="shared" si="126"/>
        <v>0</v>
      </c>
      <c r="K652" s="259">
        <f t="shared" si="127"/>
        <v>503.4396047</v>
      </c>
      <c r="L652" s="259">
        <f t="shared" si="128"/>
        <v>503.4396047</v>
      </c>
      <c r="M652" s="259">
        <f t="shared" si="129"/>
        <v>0</v>
      </c>
      <c r="N652" s="259">
        <f t="shared" si="130"/>
        <v>503.4396047</v>
      </c>
      <c r="O652" s="259">
        <f t="shared" si="131"/>
        <v>503.4396047</v>
      </c>
      <c r="P652" s="586">
        <f t="shared" si="3"/>
        <v>0.002744398331</v>
      </c>
    </row>
    <row r="653">
      <c r="A653" s="253" t="s">
        <v>1311</v>
      </c>
      <c r="B653" s="254" t="s">
        <v>1312</v>
      </c>
      <c r="C653" s="255" t="str">
        <f t="shared" si="125"/>
        <v>PRÓPRIO</v>
      </c>
      <c r="D653" s="256" t="s">
        <v>110</v>
      </c>
      <c r="E653" s="257" t="str">
        <f>IFERROR(IF(D653="SINAPI-S",VLOOKUP(B653,'20-B.SINAPI-S'!A:J,2,0),IF(D653="SINAPI-I",VLOOKUP(B653,'20-A.SINAPI-I'!A:G,2,0),IF(D653="COMPOSIÇÕES",VLOOKUP(B653,'11.COMPOSIÇÕES GERAIS'!B:I,2,0),VLOOKUP(B653,'12.COT.MERCADO'!A:I,2,0)))),"Em Elaboração")</f>
        <v>Válvula De Esfera GBC 5/8"</v>
      </c>
      <c r="F653" s="258" t="str">
        <f>IFERROR(IF(D653="SINAPI-S",VLOOKUP(B653,'20-B.SINAPI-S'!A:J,3,0),IF(D653="SINAPI-I",VLOOKUP(B653,'20-A.SINAPI-I'!A:G,3,0),IF(D653="COMPOSIÇÕES",VLOOKUP(B653,'11.COMPOSIÇÕES GERAIS'!B:I,3,0),VLOOKUP(B653,'12.COT.MERCADO'!A:I,7,0)))),"Em Elaboração")</f>
        <v>UN </v>
      </c>
      <c r="G653" s="254">
        <v>1.0</v>
      </c>
      <c r="H653" s="259">
        <f>IFERROR(IF(D653="SINAPI-S",VLOOKUP(B653,'20-B.SINAPI-S'!A:J,5,0),IF(D653="SINAPI-I",VLOOKUP(B653,'20-A.SINAPI-I'!A:G,6,0),IF(D653="COMPOSIÇÕES",VLOOKUP(B653,'11.COMPOSIÇÕES GERAIS'!B:I,7,0),0))),"Em Elaboração")</f>
        <v>0</v>
      </c>
      <c r="I653" s="259">
        <f>IFERROR(IF(D653="SINAPI-S",VLOOKUP(B653,'20-B.SINAPI-S'!A:J,6,0),IF(D653="SINAPI-I",VLOOKUP(B653,'20-A.SINAPI-I'!A:G,7,0),IF(D653="COMPOSIÇÕES",VLOOKUP(B653,'11.COMPOSIÇÕES GERAIS'!B:I,8,0),VLOOKUP(B653,'12.COT.MERCADO'!A:I,8,0)))),"Em Elaboração")</f>
        <v>174.02</v>
      </c>
      <c r="J653" s="259">
        <f t="shared" si="126"/>
        <v>0</v>
      </c>
      <c r="K653" s="259">
        <f t="shared" si="127"/>
        <v>203.8356445</v>
      </c>
      <c r="L653" s="259">
        <f t="shared" si="128"/>
        <v>203.8356445</v>
      </c>
      <c r="M653" s="259">
        <f t="shared" si="129"/>
        <v>0</v>
      </c>
      <c r="N653" s="259">
        <f t="shared" si="130"/>
        <v>203.8356445</v>
      </c>
      <c r="O653" s="259">
        <f t="shared" si="131"/>
        <v>203.8356445</v>
      </c>
      <c r="P653" s="586">
        <f t="shared" si="3"/>
        <v>0.001111168445</v>
      </c>
    </row>
    <row r="654">
      <c r="A654" s="261" t="s">
        <v>1313</v>
      </c>
      <c r="B654" s="262" t="s">
        <v>1314</v>
      </c>
      <c r="C654" s="44"/>
      <c r="D654" s="44"/>
      <c r="E654" s="44"/>
      <c r="F654" s="44"/>
      <c r="G654" s="44"/>
      <c r="H654" s="44"/>
      <c r="I654" s="44"/>
      <c r="J654" s="44"/>
      <c r="K654" s="44"/>
      <c r="L654" s="44"/>
      <c r="M654" s="263">
        <f t="shared" ref="M654:O654" si="132">SUM(M655:M666)</f>
        <v>0</v>
      </c>
      <c r="N654" s="263">
        <f t="shared" si="132"/>
        <v>4309.902179</v>
      </c>
      <c r="O654" s="263">
        <f t="shared" si="132"/>
        <v>4309.902179</v>
      </c>
      <c r="P654" s="593">
        <f t="shared" si="3"/>
        <v>0.02349455275</v>
      </c>
    </row>
    <row r="655">
      <c r="A655" s="253" t="s">
        <v>1315</v>
      </c>
      <c r="B655" s="254" t="s">
        <v>1316</v>
      </c>
      <c r="C655" s="255" t="str">
        <f t="shared" ref="C655:C666" si="133">IF(OR(D655="SINAPI-S",D655="SINAPI-I"),"SINAPI","PRÓPRIO")</f>
        <v>PRÓPRIO</v>
      </c>
      <c r="D655" s="256" t="s">
        <v>110</v>
      </c>
      <c r="E655" s="257" t="str">
        <f>IFERROR(IF(D655="SINAPI-S",VLOOKUP(B655,'20-B.SINAPI-S'!A:J,2,0),IF(D655="SINAPI-I",VLOOKUP(B655,'20-A.SINAPI-I'!A:G,2,0),IF(D655="COMPOSIÇÕES",VLOOKUP(B655,'11.COMPOSIÇÕES GERAIS'!B:I,2,0),VLOOKUP(B655,'12.COT.MERCADO'!A:I,2,0)))),"Em Elaboração")</f>
        <v>Isolamento esponjoso elastomérico para tubo de cobre 1/4"</v>
      </c>
      <c r="F655" s="258" t="str">
        <f>IFERROR(IF(D655="SINAPI-S",VLOOKUP(B655,'20-B.SINAPI-S'!A:J,3,0),IF(D655="SINAPI-I",VLOOKUP(B655,'20-A.SINAPI-I'!A:G,3,0),IF(D655="COMPOSIÇÕES",VLOOKUP(B655,'11.COMPOSIÇÕES GERAIS'!B:I,3,0),VLOOKUP(B655,'12.COT.MERCADO'!A:I,7,0)))),"Em Elaboração")</f>
        <v>M</v>
      </c>
      <c r="G655" s="254">
        <v>20.0</v>
      </c>
      <c r="H655" s="259">
        <f>IFERROR(IF(D655="SINAPI-S",VLOOKUP(B655,'20-B.SINAPI-S'!A:J,5,0),IF(D655="SINAPI-I",VLOOKUP(B655,'20-A.SINAPI-I'!A:G,6,0),IF(D655="COMPOSIÇÕES",VLOOKUP(B655,'11.COMPOSIÇÕES GERAIS'!B:I,7,0),0))),"Em Elaboração")</f>
        <v>0</v>
      </c>
      <c r="I655" s="259">
        <f>IFERROR(IF(D655="SINAPI-S",VLOOKUP(B655,'20-B.SINAPI-S'!A:J,6,0),IF(D655="SINAPI-I",VLOOKUP(B655,'20-A.SINAPI-I'!A:G,7,0),IF(D655="COMPOSIÇÕES",VLOOKUP(B655,'11.COMPOSIÇÕES GERAIS'!B:I,8,0),VLOOKUP(B655,'12.COT.MERCADO'!A:I,8,0)))),"Em Elaboração")</f>
        <v>8.55</v>
      </c>
      <c r="J655" s="259">
        <f t="shared" ref="J655:J666" si="134">H655*(1+$J$5)</f>
        <v>0</v>
      </c>
      <c r="K655" s="259">
        <f t="shared" ref="K655:K666" si="135">I655*(1+$J$8)</f>
        <v>10.0149107</v>
      </c>
      <c r="L655" s="259">
        <f t="shared" ref="L655:L666" si="136">SUM(J655:K655)</f>
        <v>10.0149107</v>
      </c>
      <c r="M655" s="259">
        <f t="shared" ref="M655:M666" si="137">J655*G655</f>
        <v>0</v>
      </c>
      <c r="N655" s="259">
        <f t="shared" ref="N655:N666" si="138">K655*G655</f>
        <v>200.2982141</v>
      </c>
      <c r="O655" s="259">
        <f t="shared" ref="O655:O666" si="139">SUM(M655:N655)</f>
        <v>200.2982141</v>
      </c>
      <c r="P655" s="586">
        <f t="shared" si="3"/>
        <v>0.001091884864</v>
      </c>
    </row>
    <row r="656">
      <c r="A656" s="253" t="s">
        <v>1317</v>
      </c>
      <c r="B656" s="254" t="s">
        <v>1318</v>
      </c>
      <c r="C656" s="255" t="str">
        <f t="shared" si="133"/>
        <v>PRÓPRIO</v>
      </c>
      <c r="D656" s="256" t="s">
        <v>110</v>
      </c>
      <c r="E656" s="257" t="str">
        <f>IFERROR(IF(D656="SINAPI-S",VLOOKUP(B656,'20-B.SINAPI-S'!A:J,2,0),IF(D656="SINAPI-I",VLOOKUP(B656,'20-A.SINAPI-I'!A:G,2,0),IF(D656="COMPOSIÇÕES",VLOOKUP(B656,'11.COMPOSIÇÕES GERAIS'!B:I,2,0),VLOOKUP(B656,'12.COT.MERCADO'!A:I,2,0)))),"Em Elaboração")</f>
        <v>Isolamento esponjoso elastomérico para tubo de cobre 3/8"</v>
      </c>
      <c r="F656" s="258" t="str">
        <f>IFERROR(IF(D656="SINAPI-S",VLOOKUP(B656,'20-B.SINAPI-S'!A:J,3,0),IF(D656="SINAPI-I",VLOOKUP(B656,'20-A.SINAPI-I'!A:G,3,0),IF(D656="COMPOSIÇÕES",VLOOKUP(B656,'11.COMPOSIÇÕES GERAIS'!B:I,3,0),VLOOKUP(B656,'12.COT.MERCADO'!A:I,7,0)))),"Em Elaboração")</f>
        <v>M</v>
      </c>
      <c r="G656" s="254">
        <v>20.0</v>
      </c>
      <c r="H656" s="259">
        <f>IFERROR(IF(D656="SINAPI-S",VLOOKUP(B656,'20-B.SINAPI-S'!A:J,5,0),IF(D656="SINAPI-I",VLOOKUP(B656,'20-A.SINAPI-I'!A:G,6,0),IF(D656="COMPOSIÇÕES",VLOOKUP(B656,'11.COMPOSIÇÕES GERAIS'!B:I,7,0),0))),"Em Elaboração")</f>
        <v>0</v>
      </c>
      <c r="I656" s="259">
        <f>IFERROR(IF(D656="SINAPI-S",VLOOKUP(B656,'20-B.SINAPI-S'!A:J,6,0),IF(D656="SINAPI-I",VLOOKUP(B656,'20-A.SINAPI-I'!A:G,7,0),IF(D656="COMPOSIÇÕES",VLOOKUP(B656,'11.COMPOSIÇÕES GERAIS'!B:I,8,0),VLOOKUP(B656,'12.COT.MERCADO'!A:I,8,0)))),"Em Elaboração")</f>
        <v>11.23</v>
      </c>
      <c r="J656" s="259">
        <f t="shared" si="134"/>
        <v>0</v>
      </c>
      <c r="K656" s="259">
        <f t="shared" si="135"/>
        <v>13.15408739</v>
      </c>
      <c r="L656" s="259">
        <f t="shared" si="136"/>
        <v>13.15408739</v>
      </c>
      <c r="M656" s="259">
        <f t="shared" si="137"/>
        <v>0</v>
      </c>
      <c r="N656" s="259">
        <f t="shared" si="138"/>
        <v>263.0817478</v>
      </c>
      <c r="O656" s="259">
        <f t="shared" si="139"/>
        <v>263.0817478</v>
      </c>
      <c r="P656" s="586">
        <f t="shared" si="3"/>
        <v>0.001434136494</v>
      </c>
    </row>
    <row r="657">
      <c r="A657" s="253" t="s">
        <v>1319</v>
      </c>
      <c r="B657" s="254" t="s">
        <v>1320</v>
      </c>
      <c r="C657" s="255" t="str">
        <f t="shared" si="133"/>
        <v>PRÓPRIO</v>
      </c>
      <c r="D657" s="256" t="s">
        <v>110</v>
      </c>
      <c r="E657" s="257" t="str">
        <f>IFERROR(IF(D657="SINAPI-S",VLOOKUP(B657,'20-B.SINAPI-S'!A:J,2,0),IF(D657="SINAPI-I",VLOOKUP(B657,'20-A.SINAPI-I'!A:G,2,0),IF(D657="COMPOSIÇÕES",VLOOKUP(B657,'11.COMPOSIÇÕES GERAIS'!B:I,2,0),VLOOKUP(B657,'12.COT.MERCADO'!A:I,2,0)))),"Em Elaboração")</f>
        <v>Isolamento esponjoso elastomérico para tubo de cobre 1/2"</v>
      </c>
      <c r="F657" s="258" t="str">
        <f>IFERROR(IF(D657="SINAPI-S",VLOOKUP(B657,'20-B.SINAPI-S'!A:J,3,0),IF(D657="SINAPI-I",VLOOKUP(B657,'20-A.SINAPI-I'!A:G,3,0),IF(D657="COMPOSIÇÕES",VLOOKUP(B657,'11.COMPOSIÇÕES GERAIS'!B:I,3,0),VLOOKUP(B657,'12.COT.MERCADO'!A:I,7,0)))),"Em Elaboração")</f>
        <v>M</v>
      </c>
      <c r="G657" s="254">
        <v>20.0</v>
      </c>
      <c r="H657" s="259">
        <f>IFERROR(IF(D657="SINAPI-S",VLOOKUP(B657,'20-B.SINAPI-S'!A:J,5,0),IF(D657="SINAPI-I",VLOOKUP(B657,'20-A.SINAPI-I'!A:G,6,0),IF(D657="COMPOSIÇÕES",VLOOKUP(B657,'11.COMPOSIÇÕES GERAIS'!B:I,7,0),0))),"Em Elaboração")</f>
        <v>0</v>
      </c>
      <c r="I657" s="259">
        <f>IFERROR(IF(D657="SINAPI-S",VLOOKUP(B657,'20-B.SINAPI-S'!A:J,6,0),IF(D657="SINAPI-I",VLOOKUP(B657,'20-A.SINAPI-I'!A:G,7,0),IF(D657="COMPOSIÇÕES",VLOOKUP(B657,'11.COMPOSIÇÕES GERAIS'!B:I,8,0),VLOOKUP(B657,'12.COT.MERCADO'!A:I,8,0)))),"Em Elaboração")</f>
        <v>11.92</v>
      </c>
      <c r="J657" s="259">
        <f t="shared" si="134"/>
        <v>0</v>
      </c>
      <c r="K657" s="259">
        <f t="shared" si="135"/>
        <v>13.96230825</v>
      </c>
      <c r="L657" s="259">
        <f t="shared" si="136"/>
        <v>13.96230825</v>
      </c>
      <c r="M657" s="259">
        <f t="shared" si="137"/>
        <v>0</v>
      </c>
      <c r="N657" s="259">
        <f t="shared" si="138"/>
        <v>279.2461651</v>
      </c>
      <c r="O657" s="259">
        <f t="shared" si="139"/>
        <v>279.2461651</v>
      </c>
      <c r="P657" s="586">
        <f t="shared" si="3"/>
        <v>0.001522253518</v>
      </c>
    </row>
    <row r="658">
      <c r="A658" s="253" t="s">
        <v>1321</v>
      </c>
      <c r="B658" s="254" t="s">
        <v>1322</v>
      </c>
      <c r="C658" s="255" t="str">
        <f t="shared" si="133"/>
        <v>PRÓPRIO</v>
      </c>
      <c r="D658" s="256" t="s">
        <v>110</v>
      </c>
      <c r="E658" s="257" t="str">
        <f>IFERROR(IF(D658="SINAPI-S",VLOOKUP(B658,'20-B.SINAPI-S'!A:J,2,0),IF(D658="SINAPI-I",VLOOKUP(B658,'20-A.SINAPI-I'!A:G,2,0),IF(D658="COMPOSIÇÕES",VLOOKUP(B658,'11.COMPOSIÇÕES GERAIS'!B:I,2,0),VLOOKUP(B658,'12.COT.MERCADO'!A:I,2,0)))),"Em Elaboração")</f>
        <v>Isolamento esponjoso elastomérico para tubo de cobre 5/8"</v>
      </c>
      <c r="F658" s="258" t="str">
        <f>IFERROR(IF(D658="SINAPI-S",VLOOKUP(B658,'20-B.SINAPI-S'!A:J,3,0),IF(D658="SINAPI-I",VLOOKUP(B658,'20-A.SINAPI-I'!A:G,3,0),IF(D658="COMPOSIÇÕES",VLOOKUP(B658,'11.COMPOSIÇÕES GERAIS'!B:I,3,0),VLOOKUP(B658,'12.COT.MERCADO'!A:I,7,0)))),"Em Elaboração")</f>
        <v>M</v>
      </c>
      <c r="G658" s="254">
        <v>20.0</v>
      </c>
      <c r="H658" s="259">
        <f>IFERROR(IF(D658="SINAPI-S",VLOOKUP(B658,'20-B.SINAPI-S'!A:J,5,0),IF(D658="SINAPI-I",VLOOKUP(B658,'20-A.SINAPI-I'!A:G,6,0),IF(D658="COMPOSIÇÕES",VLOOKUP(B658,'11.COMPOSIÇÕES GERAIS'!B:I,7,0),0))),"Em Elaboração")</f>
        <v>0</v>
      </c>
      <c r="I658" s="259">
        <f>IFERROR(IF(D658="SINAPI-S",VLOOKUP(B658,'20-B.SINAPI-S'!A:J,6,0),IF(D658="SINAPI-I",VLOOKUP(B658,'20-A.SINAPI-I'!A:G,7,0),IF(D658="COMPOSIÇÕES",VLOOKUP(B658,'11.COMPOSIÇÕES GERAIS'!B:I,8,0),VLOOKUP(B658,'12.COT.MERCADO'!A:I,8,0)))),"Em Elaboração")</f>
        <v>36.48</v>
      </c>
      <c r="J658" s="259">
        <f t="shared" si="134"/>
        <v>0</v>
      </c>
      <c r="K658" s="259">
        <f t="shared" si="135"/>
        <v>42.73028567</v>
      </c>
      <c r="L658" s="259">
        <f t="shared" si="136"/>
        <v>42.73028567</v>
      </c>
      <c r="M658" s="259">
        <f t="shared" si="137"/>
        <v>0</v>
      </c>
      <c r="N658" s="259">
        <f t="shared" si="138"/>
        <v>854.6057133</v>
      </c>
      <c r="O658" s="259">
        <f t="shared" si="139"/>
        <v>854.6057133</v>
      </c>
      <c r="P658" s="586">
        <f t="shared" si="3"/>
        <v>0.004658708753</v>
      </c>
    </row>
    <row r="659">
      <c r="A659" s="253" t="s">
        <v>1323</v>
      </c>
      <c r="B659" s="254" t="s">
        <v>1324</v>
      </c>
      <c r="C659" s="255" t="str">
        <f t="shared" si="133"/>
        <v>PRÓPRIO</v>
      </c>
      <c r="D659" s="256" t="s">
        <v>110</v>
      </c>
      <c r="E659" s="257" t="str">
        <f>IFERROR(IF(D659="SINAPI-S",VLOOKUP(B659,'20-B.SINAPI-S'!A:J,2,0),IF(D659="SINAPI-I",VLOOKUP(B659,'20-A.SINAPI-I'!A:G,2,0),IF(D659="COMPOSIÇÕES",VLOOKUP(B659,'11.COMPOSIÇÕES GERAIS'!B:I,2,0),VLOOKUP(B659,'12.COT.MERCADO'!A:I,2,0)))),"Em Elaboração")</f>
        <v>Isolamento esponjoso elastomérico para tubo de cobre 3/4"</v>
      </c>
      <c r="F659" s="258" t="str">
        <f>IFERROR(IF(D659="SINAPI-S",VLOOKUP(B659,'20-B.SINAPI-S'!A:J,3,0),IF(D659="SINAPI-I",VLOOKUP(B659,'20-A.SINAPI-I'!A:G,3,0),IF(D659="COMPOSIÇÕES",VLOOKUP(B659,'11.COMPOSIÇÕES GERAIS'!B:I,3,0),VLOOKUP(B659,'12.COT.MERCADO'!A:I,7,0)))),"Em Elaboração")</f>
        <v>M</v>
      </c>
      <c r="G659" s="254">
        <v>20.0</v>
      </c>
      <c r="H659" s="259">
        <f>IFERROR(IF(D659="SINAPI-S",VLOOKUP(B659,'20-B.SINAPI-S'!A:J,5,0),IF(D659="SINAPI-I",VLOOKUP(B659,'20-A.SINAPI-I'!A:G,6,0),IF(D659="COMPOSIÇÕES",VLOOKUP(B659,'11.COMPOSIÇÕES GERAIS'!B:I,7,0),0))),"Em Elaboração")</f>
        <v>0</v>
      </c>
      <c r="I659" s="259">
        <f>IFERROR(IF(D659="SINAPI-S",VLOOKUP(B659,'20-B.SINAPI-S'!A:J,6,0),IF(D659="SINAPI-I",VLOOKUP(B659,'20-A.SINAPI-I'!A:G,7,0),IF(D659="COMPOSIÇÕES",VLOOKUP(B659,'11.COMPOSIÇÕES GERAIS'!B:I,8,0),VLOOKUP(B659,'12.COT.MERCADO'!A:I,8,0)))),"Em Elaboração")</f>
        <v>18.14</v>
      </c>
      <c r="J659" s="259">
        <f t="shared" si="134"/>
        <v>0</v>
      </c>
      <c r="K659" s="259">
        <f t="shared" si="135"/>
        <v>21.24800937</v>
      </c>
      <c r="L659" s="259">
        <f t="shared" si="136"/>
        <v>21.24800937</v>
      </c>
      <c r="M659" s="259">
        <f t="shared" si="137"/>
        <v>0</v>
      </c>
      <c r="N659" s="259">
        <f t="shared" si="138"/>
        <v>424.9601875</v>
      </c>
      <c r="O659" s="259">
        <f t="shared" si="139"/>
        <v>424.9601875</v>
      </c>
      <c r="P659" s="586">
        <f t="shared" si="3"/>
        <v>0.002316583793</v>
      </c>
    </row>
    <row r="660">
      <c r="A660" s="253" t="s">
        <v>1325</v>
      </c>
      <c r="B660" s="254" t="s">
        <v>1326</v>
      </c>
      <c r="C660" s="255" t="str">
        <f t="shared" si="133"/>
        <v>PRÓPRIO</v>
      </c>
      <c r="D660" s="256" t="s">
        <v>110</v>
      </c>
      <c r="E660" s="257" t="str">
        <f>IFERROR(IF(D660="SINAPI-S",VLOOKUP(B660,'20-B.SINAPI-S'!A:J,2,0),IF(D660="SINAPI-I",VLOOKUP(B660,'20-A.SINAPI-I'!A:G,2,0),IF(D660="COMPOSIÇÕES",VLOOKUP(B660,'11.COMPOSIÇÕES GERAIS'!B:I,2,0),VLOOKUP(B660,'12.COT.MERCADO'!A:I,2,0)))),"Em Elaboração")</f>
        <v>Isolamento esponjoso elastomérico para tubo de cobre 7/8"</v>
      </c>
      <c r="F660" s="258" t="str">
        <f>IFERROR(IF(D660="SINAPI-S",VLOOKUP(B660,'20-B.SINAPI-S'!A:J,3,0),IF(D660="SINAPI-I",VLOOKUP(B660,'20-A.SINAPI-I'!A:G,3,0),IF(D660="COMPOSIÇÕES",VLOOKUP(B660,'11.COMPOSIÇÕES GERAIS'!B:I,3,0),VLOOKUP(B660,'12.COT.MERCADO'!A:I,7,0)))),"Em Elaboração")</f>
        <v>M</v>
      </c>
      <c r="G660" s="254">
        <v>20.0</v>
      </c>
      <c r="H660" s="259">
        <f>IFERROR(IF(D660="SINAPI-S",VLOOKUP(B660,'20-B.SINAPI-S'!A:J,5,0),IF(D660="SINAPI-I",VLOOKUP(B660,'20-A.SINAPI-I'!A:G,6,0),IF(D660="COMPOSIÇÕES",VLOOKUP(B660,'11.COMPOSIÇÕES GERAIS'!B:I,7,0),0))),"Em Elaboração")</f>
        <v>0</v>
      </c>
      <c r="I660" s="259">
        <f>IFERROR(IF(D660="SINAPI-S",VLOOKUP(B660,'20-B.SINAPI-S'!A:J,6,0),IF(D660="SINAPI-I",VLOOKUP(B660,'20-A.SINAPI-I'!A:G,7,0),IF(D660="COMPOSIÇÕES",VLOOKUP(B660,'11.COMPOSIÇÕES GERAIS'!B:I,8,0),VLOOKUP(B660,'12.COT.MERCADO'!A:I,8,0)))),"Em Elaboração")</f>
        <v>19</v>
      </c>
      <c r="J660" s="259">
        <f t="shared" si="134"/>
        <v>0</v>
      </c>
      <c r="K660" s="259">
        <f t="shared" si="135"/>
        <v>22.25535712</v>
      </c>
      <c r="L660" s="259">
        <f t="shared" si="136"/>
        <v>22.25535712</v>
      </c>
      <c r="M660" s="259">
        <f t="shared" si="137"/>
        <v>0</v>
      </c>
      <c r="N660" s="259">
        <f t="shared" si="138"/>
        <v>445.1071424</v>
      </c>
      <c r="O660" s="259">
        <f t="shared" si="139"/>
        <v>445.1071424</v>
      </c>
      <c r="P660" s="586">
        <f t="shared" si="3"/>
        <v>0.002426410809</v>
      </c>
    </row>
    <row r="661">
      <c r="A661" s="253" t="s">
        <v>1327</v>
      </c>
      <c r="B661" s="254">
        <v>407.0</v>
      </c>
      <c r="C661" s="255" t="str">
        <f t="shared" si="133"/>
        <v>SINAPI</v>
      </c>
      <c r="D661" s="256" t="s">
        <v>286</v>
      </c>
      <c r="E661" s="257" t="str">
        <f>IFERROR(IF(D661="SINAPI-S",VLOOKUP(B661,'20-B.SINAPI-S'!A:J,2,0),IF(D661="SINAPI-I",VLOOKUP(B661,'20-A.SINAPI-I'!A:G,2,0),IF(D661="COMPOSIÇÕES",VLOOKUP(B661,'11.COMPOSIÇÕES GERAIS'!B:I,2,0),VLOOKUP(B661,'12.COT.MERCADO'!A:I,2,0)))),"Em Elaboração")</f>
        <v>FITA DE ALUMINIO PARA PROTECAO DO CONDUTOR LARGURA 10 MM</v>
      </c>
      <c r="F661" s="258" t="str">
        <f>IFERROR(IF(D661="SINAPI-S",VLOOKUP(B661,'20-B.SINAPI-S'!A:J,3,0),IF(D661="SINAPI-I",VLOOKUP(B661,'20-A.SINAPI-I'!A:G,3,0),IF(D661="COMPOSIÇÕES",VLOOKUP(B661,'11.COMPOSIÇÕES GERAIS'!B:I,3,0),VLOOKUP(B661,'12.COT.MERCADO'!A:I,7,0)))),"Em Elaboração")</f>
        <v>KG</v>
      </c>
      <c r="G661" s="254">
        <v>4.0</v>
      </c>
      <c r="H661" s="259">
        <f>IFERROR(IF(D661="SINAPI-S",VLOOKUP(B661,'20-B.SINAPI-S'!A:J,5,0),IF(D661="SINAPI-I",VLOOKUP(B661,'20-A.SINAPI-I'!A:G,6,0),IF(D661="COMPOSIÇÕES",VLOOKUP(B661,'11.COMPOSIÇÕES GERAIS'!B:I,7,0),0))),"Em Elaboração")</f>
        <v>0</v>
      </c>
      <c r="I661" s="259">
        <f>IFERROR(IF(D661="SINAPI-S",VLOOKUP(B661,'20-B.SINAPI-S'!A:J,6,0),IF(D661="SINAPI-I",VLOOKUP(B661,'20-A.SINAPI-I'!A:G,7,0),IF(D661="COMPOSIÇÕES",VLOOKUP(B661,'11.COMPOSIÇÕES GERAIS'!B:I,8,0),VLOOKUP(B661,'12.COT.MERCADO'!A:I,8,0)))),"Em Elaboração")</f>
        <v>57.47</v>
      </c>
      <c r="J661" s="259">
        <f t="shared" si="134"/>
        <v>0</v>
      </c>
      <c r="K661" s="259">
        <f t="shared" si="135"/>
        <v>67.31659861</v>
      </c>
      <c r="L661" s="259">
        <f t="shared" si="136"/>
        <v>67.31659861</v>
      </c>
      <c r="M661" s="259">
        <f t="shared" si="137"/>
        <v>0</v>
      </c>
      <c r="N661" s="259">
        <f t="shared" si="138"/>
        <v>269.2663944</v>
      </c>
      <c r="O661" s="259">
        <f t="shared" si="139"/>
        <v>269.2663944</v>
      </c>
      <c r="P661" s="586">
        <f t="shared" si="3"/>
        <v>0.001467850834</v>
      </c>
    </row>
    <row r="662">
      <c r="A662" s="253" t="s">
        <v>1328</v>
      </c>
      <c r="B662" s="254">
        <v>39699.0</v>
      </c>
      <c r="C662" s="255" t="str">
        <f t="shared" si="133"/>
        <v>SINAPI</v>
      </c>
      <c r="D662" s="256" t="s">
        <v>286</v>
      </c>
      <c r="E662" s="257" t="str">
        <f>IFERROR(IF(D662="SINAPI-S",VLOOKUP(B662,'20-B.SINAPI-S'!A:J,2,0),IF(D662="SINAPI-I",VLOOKUP(B662,'20-A.SINAPI-I'!A:G,2,0),IF(D662="COMPOSIÇÕES",VLOOKUP(B662,'11.COMPOSIÇÕES GERAIS'!B:I,2,0),VLOOKUP(B662,'12.COT.MERCADO'!A:I,2,0)))),"Em Elaboração")</f>
        <v>MANTA / LENCOL DE BORRACHA, SBR, ANTIRRUIDO, E = 5 MM</v>
      </c>
      <c r="F662" s="258" t="str">
        <f>IFERROR(IF(D662="SINAPI-S",VLOOKUP(B662,'20-B.SINAPI-S'!A:J,3,0),IF(D662="SINAPI-I",VLOOKUP(B662,'20-A.SINAPI-I'!A:G,3,0),IF(D662="COMPOSIÇÕES",VLOOKUP(B662,'11.COMPOSIÇÕES GERAIS'!B:I,3,0),VLOOKUP(B662,'12.COT.MERCADO'!A:I,7,0)))),"Em Elaboração")</f>
        <v>M2</v>
      </c>
      <c r="G662" s="254">
        <v>40.0</v>
      </c>
      <c r="H662" s="259">
        <f>IFERROR(IF(D662="SINAPI-S",VLOOKUP(B662,'20-B.SINAPI-S'!A:J,5,0),IF(D662="SINAPI-I",VLOOKUP(B662,'20-A.SINAPI-I'!A:G,6,0),IF(D662="COMPOSIÇÕES",VLOOKUP(B662,'11.COMPOSIÇÕES GERAIS'!B:I,7,0),0))),"Em Elaboração")</f>
        <v>0</v>
      </c>
      <c r="I662" s="259">
        <f>IFERROR(IF(D662="SINAPI-S",VLOOKUP(B662,'20-B.SINAPI-S'!A:J,6,0),IF(D662="SINAPI-I",VLOOKUP(B662,'20-A.SINAPI-I'!A:G,7,0),IF(D662="COMPOSIÇÕES",VLOOKUP(B662,'11.COMPOSIÇÕES GERAIS'!B:I,8,0),VLOOKUP(B662,'12.COT.MERCADO'!A:I,8,0)))),"Em Elaboração")</f>
        <v>15.83</v>
      </c>
      <c r="J662" s="259">
        <f t="shared" si="134"/>
        <v>0</v>
      </c>
      <c r="K662" s="259">
        <f t="shared" si="135"/>
        <v>18.54222648</v>
      </c>
      <c r="L662" s="259">
        <f t="shared" si="136"/>
        <v>18.54222648</v>
      </c>
      <c r="M662" s="259">
        <f t="shared" si="137"/>
        <v>0</v>
      </c>
      <c r="N662" s="259">
        <f t="shared" si="138"/>
        <v>741.6890593</v>
      </c>
      <c r="O662" s="259">
        <f t="shared" si="139"/>
        <v>741.6890593</v>
      </c>
      <c r="P662" s="586">
        <f t="shared" si="3"/>
        <v>0.004043166643</v>
      </c>
    </row>
    <row r="663">
      <c r="A663" s="253" t="s">
        <v>1329</v>
      </c>
      <c r="B663" s="254" t="s">
        <v>1330</v>
      </c>
      <c r="C663" s="255" t="str">
        <f t="shared" si="133"/>
        <v>PRÓPRIO</v>
      </c>
      <c r="D663" s="256" t="s">
        <v>110</v>
      </c>
      <c r="E663" s="257" t="str">
        <f>IFERROR(IF(D663="SINAPI-S",VLOOKUP(B663,'20-B.SINAPI-S'!A:J,2,0),IF(D663="SINAPI-I",VLOOKUP(B663,'20-A.SINAPI-I'!A:G,2,0),IF(D663="COMPOSIÇÕES",VLOOKUP(B663,'11.COMPOSIÇÕES GERAIS'!B:I,2,0),VLOOKUP(B663,'12.COT.MERCADO'!A:I,2,0)))),"Em Elaboração")</f>
        <v>TUBO ESPONJOSO 1/2 BLINDADO PRETO BARRA COM 2 METROS. REF: VIX OU SIMILAR</v>
      </c>
      <c r="F663" s="258" t="str">
        <f>IFERROR(IF(D663="SINAPI-S",VLOOKUP(B663,'20-B.SINAPI-S'!A:J,3,0),IF(D663="SINAPI-I",VLOOKUP(B663,'20-A.SINAPI-I'!A:G,3,0),IF(D663="COMPOSIÇÕES",VLOOKUP(B663,'11.COMPOSIÇÕES GERAIS'!B:I,3,0),VLOOKUP(B663,'12.COT.MERCADO'!A:I,7,0)))),"Em Elaboração")</f>
        <v>UN </v>
      </c>
      <c r="G663" s="254">
        <v>30.0</v>
      </c>
      <c r="H663" s="259">
        <f>IFERROR(IF(D663="SINAPI-S",VLOOKUP(B663,'20-B.SINAPI-S'!A:J,5,0),IF(D663="SINAPI-I",VLOOKUP(B663,'20-A.SINAPI-I'!A:G,6,0),IF(D663="COMPOSIÇÕES",VLOOKUP(B663,'11.COMPOSIÇÕES GERAIS'!B:I,7,0),0))),"Em Elaboração")</f>
        <v>0</v>
      </c>
      <c r="I663" s="259">
        <f>IFERROR(IF(D663="SINAPI-S",VLOOKUP(B663,'20-B.SINAPI-S'!A:J,6,0),IF(D663="SINAPI-I",VLOOKUP(B663,'20-A.SINAPI-I'!A:G,7,0),IF(D663="COMPOSIÇÕES",VLOOKUP(B663,'11.COMPOSIÇÕES GERAIS'!B:I,8,0),VLOOKUP(B663,'12.COT.MERCADO'!A:I,8,0)))),"Em Elaboração")</f>
        <v>2.57</v>
      </c>
      <c r="J663" s="259">
        <f t="shared" si="134"/>
        <v>0</v>
      </c>
      <c r="K663" s="259">
        <f t="shared" si="135"/>
        <v>3.010329884</v>
      </c>
      <c r="L663" s="259">
        <f t="shared" si="136"/>
        <v>3.010329884</v>
      </c>
      <c r="M663" s="259">
        <f t="shared" si="137"/>
        <v>0</v>
      </c>
      <c r="N663" s="259">
        <f t="shared" si="138"/>
        <v>90.30989651</v>
      </c>
      <c r="O663" s="259">
        <f t="shared" si="139"/>
        <v>90.30989651</v>
      </c>
      <c r="P663" s="586">
        <f t="shared" si="3"/>
        <v>0.0004923059825</v>
      </c>
    </row>
    <row r="664">
      <c r="A664" s="253" t="s">
        <v>1331</v>
      </c>
      <c r="B664" s="254" t="s">
        <v>1332</v>
      </c>
      <c r="C664" s="255" t="str">
        <f t="shared" si="133"/>
        <v>PRÓPRIO</v>
      </c>
      <c r="D664" s="256" t="s">
        <v>110</v>
      </c>
      <c r="E664" s="257" t="str">
        <f>IFERROR(IF(D664="SINAPI-S",VLOOKUP(B664,'20-B.SINAPI-S'!A:J,2,0),IF(D664="SINAPI-I",VLOOKUP(B664,'20-A.SINAPI-I'!A:G,2,0),IF(D664="COMPOSIÇÕES",VLOOKUP(B664,'11.COMPOSIÇÕES GERAIS'!B:I,2,0),VLOOKUP(B664,'12.COT.MERCADO'!A:I,2,0)))),"Em Elaboração")</f>
        <v>TUBO ESPONJOSO 3/4 BLINDADO PRETO BARRA COM 2 METROS. REF: VIX OU SIMILAR</v>
      </c>
      <c r="F664" s="258" t="str">
        <f>IFERROR(IF(D664="SINAPI-S",VLOOKUP(B664,'20-B.SINAPI-S'!A:J,3,0),IF(D664="SINAPI-I",VLOOKUP(B664,'20-A.SINAPI-I'!A:G,3,0),IF(D664="COMPOSIÇÕES",VLOOKUP(B664,'11.COMPOSIÇÕES GERAIS'!B:I,3,0),VLOOKUP(B664,'12.COT.MERCADO'!A:I,7,0)))),"Em Elaboração")</f>
        <v>UN </v>
      </c>
      <c r="G664" s="254">
        <v>20.0</v>
      </c>
      <c r="H664" s="259">
        <f>IFERROR(IF(D664="SINAPI-S",VLOOKUP(B664,'20-B.SINAPI-S'!A:J,5,0),IF(D664="SINAPI-I",VLOOKUP(B664,'20-A.SINAPI-I'!A:G,6,0),IF(D664="COMPOSIÇÕES",VLOOKUP(B664,'11.COMPOSIÇÕES GERAIS'!B:I,7,0),0))),"Em Elaboração")</f>
        <v>0</v>
      </c>
      <c r="I664" s="259">
        <f>IFERROR(IF(D664="SINAPI-S",VLOOKUP(B664,'20-B.SINAPI-S'!A:J,6,0),IF(D664="SINAPI-I",VLOOKUP(B664,'20-A.SINAPI-I'!A:G,7,0),IF(D664="COMPOSIÇÕES",VLOOKUP(B664,'11.COMPOSIÇÕES GERAIS'!B:I,8,0),VLOOKUP(B664,'12.COT.MERCADO'!A:I,8,0)))),"Em Elaboração")</f>
        <v>3.09</v>
      </c>
      <c r="J664" s="259">
        <f t="shared" si="134"/>
        <v>0</v>
      </c>
      <c r="K664" s="259">
        <f t="shared" si="135"/>
        <v>3.619423868</v>
      </c>
      <c r="L664" s="259">
        <f t="shared" si="136"/>
        <v>3.619423868</v>
      </c>
      <c r="M664" s="259">
        <f t="shared" si="137"/>
        <v>0</v>
      </c>
      <c r="N664" s="259">
        <f t="shared" si="138"/>
        <v>72.38847736</v>
      </c>
      <c r="O664" s="259">
        <f t="shared" si="139"/>
        <v>72.38847736</v>
      </c>
      <c r="P664" s="586">
        <f t="shared" si="3"/>
        <v>0.000394611021</v>
      </c>
    </row>
    <row r="665">
      <c r="A665" s="253" t="s">
        <v>1333</v>
      </c>
      <c r="B665" s="254" t="s">
        <v>1334</v>
      </c>
      <c r="C665" s="255" t="str">
        <f t="shared" si="133"/>
        <v>PRÓPRIO</v>
      </c>
      <c r="D665" s="256" t="s">
        <v>110</v>
      </c>
      <c r="E665" s="257" t="str">
        <f>IFERROR(IF(D665="SINAPI-S",VLOOKUP(B665,'20-B.SINAPI-S'!A:J,2,0),IF(D665="SINAPI-I",VLOOKUP(B665,'20-A.SINAPI-I'!A:G,2,0),IF(D665="COMPOSIÇÕES",VLOOKUP(B665,'11.COMPOSIÇÕES GERAIS'!B:I,2,0),VLOOKUP(B665,'12.COT.MERCADO'!A:I,2,0)))),"Em Elaboração")</f>
        <v>Duto flexível aluminizado 200mm com 10 metros para exaustão. REF: SICFLUX OU SIMILAR</v>
      </c>
      <c r="F665" s="258" t="str">
        <f>IFERROR(IF(D665="SINAPI-S",VLOOKUP(B665,'20-B.SINAPI-S'!A:J,3,0),IF(D665="SINAPI-I",VLOOKUP(B665,'20-A.SINAPI-I'!A:G,3,0),IF(D665="COMPOSIÇÕES",VLOOKUP(B665,'11.COMPOSIÇÕES GERAIS'!B:I,3,0),VLOOKUP(B665,'12.COT.MERCADO'!A:I,7,0)))),"Em Elaboração")</f>
        <v>UN </v>
      </c>
      <c r="G665" s="254">
        <v>2.0</v>
      </c>
      <c r="H665" s="259">
        <f>IFERROR(IF(D665="SINAPI-S",VLOOKUP(B665,'20-B.SINAPI-S'!A:J,5,0),IF(D665="SINAPI-I",VLOOKUP(B665,'20-A.SINAPI-I'!A:G,6,0),IF(D665="COMPOSIÇÕES",VLOOKUP(B665,'11.COMPOSIÇÕES GERAIS'!B:I,7,0),0))),"Em Elaboração")</f>
        <v>0</v>
      </c>
      <c r="I665" s="259">
        <f>IFERROR(IF(D665="SINAPI-S",VLOOKUP(B665,'20-B.SINAPI-S'!A:J,6,0),IF(D665="SINAPI-I",VLOOKUP(B665,'20-A.SINAPI-I'!A:G,7,0),IF(D665="COMPOSIÇÕES",VLOOKUP(B665,'11.COMPOSIÇÕES GERAIS'!B:I,8,0),VLOOKUP(B665,'12.COT.MERCADO'!A:I,8,0)))),"Em Elaboração")</f>
        <v>255</v>
      </c>
      <c r="J665" s="259">
        <f t="shared" si="134"/>
        <v>0</v>
      </c>
      <c r="K665" s="259">
        <f t="shared" si="135"/>
        <v>298.6903192</v>
      </c>
      <c r="L665" s="259">
        <f t="shared" si="136"/>
        <v>298.6903192</v>
      </c>
      <c r="M665" s="259">
        <f t="shared" si="137"/>
        <v>0</v>
      </c>
      <c r="N665" s="259">
        <f t="shared" si="138"/>
        <v>597.3806384</v>
      </c>
      <c r="O665" s="259">
        <f t="shared" si="139"/>
        <v>597.3806384</v>
      </c>
      <c r="P665" s="586">
        <f t="shared" si="3"/>
        <v>0.003256498717</v>
      </c>
    </row>
    <row r="666">
      <c r="A666" s="253" t="s">
        <v>1335</v>
      </c>
      <c r="B666" s="254" t="s">
        <v>1336</v>
      </c>
      <c r="C666" s="255" t="str">
        <f t="shared" si="133"/>
        <v>PRÓPRIO</v>
      </c>
      <c r="D666" s="256" t="s">
        <v>110</v>
      </c>
      <c r="E666" s="257" t="str">
        <f>IFERROR(IF(D666="SINAPI-S",VLOOKUP(B666,'20-B.SINAPI-S'!A:J,2,0),IF(D666="SINAPI-I",VLOOKUP(B666,'20-A.SINAPI-I'!A:G,2,0),IF(D666="COMPOSIÇÕES",VLOOKUP(B666,'11.COMPOSIÇÕES GERAIS'!B:I,2,0),VLOOKUP(B666,'12.COT.MERCADO'!A:I,2,0)))),"Em Elaboração")</f>
        <v>FITA ALUMíNIO ALUMINIZADA REFRIGERAÇÃO AR CONDICIONADO 48MM X 50M. REF: VIX ou similar</v>
      </c>
      <c r="F666" s="258" t="str">
        <f>IFERROR(IF(D666="SINAPI-S",VLOOKUP(B666,'20-B.SINAPI-S'!A:J,3,0),IF(D666="SINAPI-I",VLOOKUP(B666,'20-A.SINAPI-I'!A:G,3,0),IF(D666="COMPOSIÇÕES",VLOOKUP(B666,'11.COMPOSIÇÕES GERAIS'!B:I,3,0),VLOOKUP(B666,'12.COT.MERCADO'!A:I,7,0)))),"Em Elaboração")</f>
        <v>UN </v>
      </c>
      <c r="G666" s="254">
        <v>10.0</v>
      </c>
      <c r="H666" s="259">
        <f>IFERROR(IF(D666="SINAPI-S",VLOOKUP(B666,'20-B.SINAPI-S'!A:J,5,0),IF(D666="SINAPI-I",VLOOKUP(B666,'20-A.SINAPI-I'!A:G,6,0),IF(D666="COMPOSIÇÕES",VLOOKUP(B666,'11.COMPOSIÇÕES GERAIS'!B:I,7,0),0))),"Em Elaboração")</f>
        <v>0</v>
      </c>
      <c r="I666" s="259">
        <f>IFERROR(IF(D666="SINAPI-S",VLOOKUP(B666,'20-B.SINAPI-S'!A:J,6,0),IF(D666="SINAPI-I",VLOOKUP(B666,'20-A.SINAPI-I'!A:G,7,0),IF(D666="COMPOSIÇÕES",VLOOKUP(B666,'11.COMPOSIÇÕES GERAIS'!B:I,8,0),VLOOKUP(B666,'12.COT.MERCADO'!A:I,8,0)))),"Em Elaboração")</f>
        <v>6.11</v>
      </c>
      <c r="J666" s="259">
        <f t="shared" si="134"/>
        <v>0</v>
      </c>
      <c r="K666" s="259">
        <f t="shared" si="135"/>
        <v>7.156854315</v>
      </c>
      <c r="L666" s="259">
        <f t="shared" si="136"/>
        <v>7.156854315</v>
      </c>
      <c r="M666" s="259">
        <f t="shared" si="137"/>
        <v>0</v>
      </c>
      <c r="N666" s="259">
        <f t="shared" si="138"/>
        <v>71.56854315</v>
      </c>
      <c r="O666" s="259">
        <f t="shared" si="139"/>
        <v>71.56854315</v>
      </c>
      <c r="P666" s="586">
        <f t="shared" si="3"/>
        <v>0.0003901413169</v>
      </c>
    </row>
    <row r="667">
      <c r="A667" s="261" t="s">
        <v>1337</v>
      </c>
      <c r="B667" s="262" t="s">
        <v>1338</v>
      </c>
      <c r="C667" s="44"/>
      <c r="D667" s="44"/>
      <c r="E667" s="44"/>
      <c r="F667" s="44"/>
      <c r="G667" s="44"/>
      <c r="H667" s="44"/>
      <c r="I667" s="44"/>
      <c r="J667" s="44"/>
      <c r="K667" s="44"/>
      <c r="L667" s="44"/>
      <c r="M667" s="263">
        <f t="shared" ref="M667:O667" si="140">SUM(M668:M676)</f>
        <v>0</v>
      </c>
      <c r="N667" s="263">
        <f t="shared" si="140"/>
        <v>355.6874601</v>
      </c>
      <c r="O667" s="263">
        <f t="shared" si="140"/>
        <v>355.6874601</v>
      </c>
      <c r="P667" s="593">
        <f t="shared" si="3"/>
        <v>0.001938957648</v>
      </c>
    </row>
    <row r="668">
      <c r="A668" s="253" t="s">
        <v>1339</v>
      </c>
      <c r="B668" s="254" t="s">
        <v>1340</v>
      </c>
      <c r="C668" s="255" t="str">
        <f t="shared" ref="C668:C676" si="141">IF(OR(D668="SINAPI-S",D668="SINAPI-I"),"SINAPI","PRÓPRIO")</f>
        <v>PRÓPRIO</v>
      </c>
      <c r="D668" s="256" t="s">
        <v>110</v>
      </c>
      <c r="E668" s="257" t="str">
        <f>IFERROR(IF(D668="SINAPI-S",VLOOKUP(B668,'20-B.SINAPI-S'!A:J,2,0),IF(D668="SINAPI-I",VLOOKUP(B668,'20-A.SINAPI-I'!A:G,2,0),IF(D668="COMPOSIÇÕES",VLOOKUP(B668,'11.COMPOSIÇÕES GERAIS'!B:I,2,0),VLOOKUP(B668,'12.COT.MERCADO'!A:I,2,0)))),"Em Elaboração")</f>
        <v>Capacitor Partida 2,0 μF 380 V TML. REF.: VIX OU SIMILAR</v>
      </c>
      <c r="F668" s="258" t="str">
        <f>IFERROR(IF(D668="SINAPI-S",VLOOKUP(B668,'20-B.SINAPI-S'!A:J,3,0),IF(D668="SINAPI-I",VLOOKUP(B668,'20-A.SINAPI-I'!A:G,3,0),IF(D668="COMPOSIÇÕES",VLOOKUP(B668,'11.COMPOSIÇÕES GERAIS'!B:I,3,0),VLOOKUP(B668,'12.COT.MERCADO'!A:I,7,0)))),"Em Elaboração")</f>
        <v>UN </v>
      </c>
      <c r="G668" s="254">
        <v>4.0</v>
      </c>
      <c r="H668" s="259">
        <f>IFERROR(IF(D668="SINAPI-S",VLOOKUP(B668,'20-B.SINAPI-S'!A:J,5,0),IF(D668="SINAPI-I",VLOOKUP(B668,'20-A.SINAPI-I'!A:G,6,0),IF(D668="COMPOSIÇÕES",VLOOKUP(B668,'11.COMPOSIÇÕES GERAIS'!B:I,7,0),0))),"Em Elaboração")</f>
        <v>0</v>
      </c>
      <c r="I668" s="259">
        <f>IFERROR(IF(D668="SINAPI-S",VLOOKUP(B668,'20-B.SINAPI-S'!A:J,6,0),IF(D668="SINAPI-I",VLOOKUP(B668,'20-A.SINAPI-I'!A:G,7,0),IF(D668="COMPOSIÇÕES",VLOOKUP(B668,'11.COMPOSIÇÕES GERAIS'!B:I,8,0),VLOOKUP(B668,'12.COT.MERCADO'!A:I,8,0)))),"Em Elaboração")</f>
        <v>10.15</v>
      </c>
      <c r="J668" s="259">
        <f t="shared" ref="J668:J676" si="142">H668*(1+$J$5)</f>
        <v>0</v>
      </c>
      <c r="K668" s="259">
        <f t="shared" ref="K668:K676" si="143">I668*(1+$J$8)</f>
        <v>11.88904604</v>
      </c>
      <c r="L668" s="259">
        <f t="shared" ref="L668:L676" si="144">SUM(J668:K668)</f>
        <v>11.88904604</v>
      </c>
      <c r="M668" s="259">
        <f t="shared" ref="M668:M676" si="145">J668*G668</f>
        <v>0</v>
      </c>
      <c r="N668" s="259">
        <f t="shared" ref="N668:N676" si="146">K668*G668</f>
        <v>47.55618416</v>
      </c>
      <c r="O668" s="259">
        <f t="shared" ref="O668:O676" si="147">SUM(M668:N668)</f>
        <v>47.55618416</v>
      </c>
      <c r="P668" s="586">
        <f t="shared" si="3"/>
        <v>0.0002592428391</v>
      </c>
    </row>
    <row r="669">
      <c r="A669" s="253" t="s">
        <v>1341</v>
      </c>
      <c r="B669" s="254" t="s">
        <v>1342</v>
      </c>
      <c r="C669" s="255" t="str">
        <f t="shared" si="141"/>
        <v>PRÓPRIO</v>
      </c>
      <c r="D669" s="256" t="s">
        <v>110</v>
      </c>
      <c r="E669" s="257" t="str">
        <f>IFERROR(IF(D669="SINAPI-S",VLOOKUP(B669,'20-B.SINAPI-S'!A:J,2,0),IF(D669="SINAPI-I",VLOOKUP(B669,'20-A.SINAPI-I'!A:G,2,0),IF(D669="COMPOSIÇÕES",VLOOKUP(B669,'11.COMPOSIÇÕES GERAIS'!B:I,2,0),VLOOKUP(B669,'12.COT.MERCADO'!A:I,2,0)))),"Em Elaboração")</f>
        <v>Capacitor Partida 3,0 μF  380V. REF.: VIX OU SIMILAR</v>
      </c>
      <c r="F669" s="258" t="str">
        <f>IFERROR(IF(D669="SINAPI-S",VLOOKUP(B669,'20-B.SINAPI-S'!A:J,3,0),IF(D669="SINAPI-I",VLOOKUP(B669,'20-A.SINAPI-I'!A:G,3,0),IF(D669="COMPOSIÇÕES",VLOOKUP(B669,'11.COMPOSIÇÕES GERAIS'!B:I,3,0),VLOOKUP(B669,'12.COT.MERCADO'!A:I,7,0)))),"Em Elaboração")</f>
        <v>UN </v>
      </c>
      <c r="G669" s="254">
        <v>4.0</v>
      </c>
      <c r="H669" s="259">
        <f>IFERROR(IF(D669="SINAPI-S",VLOOKUP(B669,'20-B.SINAPI-S'!A:J,5,0),IF(D669="SINAPI-I",VLOOKUP(B669,'20-A.SINAPI-I'!A:G,6,0),IF(D669="COMPOSIÇÕES",VLOOKUP(B669,'11.COMPOSIÇÕES GERAIS'!B:I,7,0),0))),"Em Elaboração")</f>
        <v>0</v>
      </c>
      <c r="I669" s="259">
        <f>IFERROR(IF(D669="SINAPI-S",VLOOKUP(B669,'20-B.SINAPI-S'!A:J,6,0),IF(D669="SINAPI-I",VLOOKUP(B669,'20-A.SINAPI-I'!A:G,7,0),IF(D669="COMPOSIÇÕES",VLOOKUP(B669,'11.COMPOSIÇÕES GERAIS'!B:I,8,0),VLOOKUP(B669,'12.COT.MERCADO'!A:I,8,0)))),"Em Elaboração")</f>
        <v>7</v>
      </c>
      <c r="J669" s="259">
        <f t="shared" si="142"/>
        <v>0</v>
      </c>
      <c r="K669" s="259">
        <f t="shared" si="143"/>
        <v>8.199342096</v>
      </c>
      <c r="L669" s="259">
        <f t="shared" si="144"/>
        <v>8.199342096</v>
      </c>
      <c r="M669" s="259">
        <f t="shared" si="145"/>
        <v>0</v>
      </c>
      <c r="N669" s="259">
        <f t="shared" si="146"/>
        <v>32.79736838</v>
      </c>
      <c r="O669" s="259">
        <f t="shared" si="147"/>
        <v>32.79736838</v>
      </c>
      <c r="P669" s="586">
        <f t="shared" si="3"/>
        <v>0.0001787881649</v>
      </c>
    </row>
    <row r="670">
      <c r="A670" s="253" t="s">
        <v>1343</v>
      </c>
      <c r="B670" s="254" t="s">
        <v>1344</v>
      </c>
      <c r="C670" s="255" t="str">
        <f t="shared" si="141"/>
        <v>PRÓPRIO</v>
      </c>
      <c r="D670" s="256" t="s">
        <v>110</v>
      </c>
      <c r="E670" s="257" t="str">
        <f>IFERROR(IF(D670="SINAPI-S",VLOOKUP(B670,'20-B.SINAPI-S'!A:J,2,0),IF(D670="SINAPI-I",VLOOKUP(B670,'20-A.SINAPI-I'!A:G,2,0),IF(D670="COMPOSIÇÕES",VLOOKUP(B670,'11.COMPOSIÇÕES GERAIS'!B:I,2,0),VLOOKUP(B670,'12.COT.MERCADO'!A:I,2,0)))),"Em Elaboração")</f>
        <v>Capacitor Partida 6,0 μF  380V TML. REF.: VIX OU SIMILAR</v>
      </c>
      <c r="F670" s="258" t="str">
        <f>IFERROR(IF(D670="SINAPI-S",VLOOKUP(B670,'20-B.SINAPI-S'!A:J,3,0),IF(D670="SINAPI-I",VLOOKUP(B670,'20-A.SINAPI-I'!A:G,3,0),IF(D670="COMPOSIÇÕES",VLOOKUP(B670,'11.COMPOSIÇÕES GERAIS'!B:I,3,0),VLOOKUP(B670,'12.COT.MERCADO'!A:I,7,0)))),"Em Elaboração")</f>
        <v>UN </v>
      </c>
      <c r="G670" s="254">
        <v>4.0</v>
      </c>
      <c r="H670" s="259">
        <f>IFERROR(IF(D670="SINAPI-S",VLOOKUP(B670,'20-B.SINAPI-S'!A:J,5,0),IF(D670="SINAPI-I",VLOOKUP(B670,'20-A.SINAPI-I'!A:G,6,0),IF(D670="COMPOSIÇÕES",VLOOKUP(B670,'11.COMPOSIÇÕES GERAIS'!B:I,7,0),0))),"Em Elaboração")</f>
        <v>0</v>
      </c>
      <c r="I670" s="259">
        <f>IFERROR(IF(D670="SINAPI-S",VLOOKUP(B670,'20-B.SINAPI-S'!A:J,6,0),IF(D670="SINAPI-I",VLOOKUP(B670,'20-A.SINAPI-I'!A:G,7,0),IF(D670="COMPOSIÇÕES",VLOOKUP(B670,'11.COMPOSIÇÕES GERAIS'!B:I,8,0),VLOOKUP(B670,'12.COT.MERCADO'!A:I,8,0)))),"Em Elaboração")</f>
        <v>7.58</v>
      </c>
      <c r="J670" s="259">
        <f t="shared" si="142"/>
        <v>0</v>
      </c>
      <c r="K670" s="259">
        <f t="shared" si="143"/>
        <v>8.878716155</v>
      </c>
      <c r="L670" s="259">
        <f t="shared" si="144"/>
        <v>8.878716155</v>
      </c>
      <c r="M670" s="259">
        <f t="shared" si="145"/>
        <v>0</v>
      </c>
      <c r="N670" s="259">
        <f t="shared" si="146"/>
        <v>35.51486462</v>
      </c>
      <c r="O670" s="259">
        <f t="shared" si="147"/>
        <v>35.51486462</v>
      </c>
      <c r="P670" s="586">
        <f t="shared" si="3"/>
        <v>0.0001936020414</v>
      </c>
    </row>
    <row r="671">
      <c r="A671" s="253" t="s">
        <v>1345</v>
      </c>
      <c r="B671" s="254" t="s">
        <v>1346</v>
      </c>
      <c r="C671" s="255" t="str">
        <f t="shared" si="141"/>
        <v>PRÓPRIO</v>
      </c>
      <c r="D671" s="256" t="s">
        <v>110</v>
      </c>
      <c r="E671" s="257" t="str">
        <f>IFERROR(IF(D671="SINAPI-S",VLOOKUP(B671,'20-B.SINAPI-S'!A:J,2,0),IF(D671="SINAPI-I",VLOOKUP(B671,'20-A.SINAPI-I'!A:G,2,0),IF(D671="COMPOSIÇÕES",VLOOKUP(B671,'11.COMPOSIÇÕES GERAIS'!B:I,2,0),VLOOKUP(B671,'12.COT.MERCADO'!A:I,2,0)))),"Em Elaboração")</f>
        <v>Capacitor Partida 20 μF  380V - TML. REF.: VIX OU SIMILAR</v>
      </c>
      <c r="F671" s="258" t="str">
        <f>IFERROR(IF(D671="SINAPI-S",VLOOKUP(B671,'20-B.SINAPI-S'!A:J,3,0),IF(D671="SINAPI-I",VLOOKUP(B671,'20-A.SINAPI-I'!A:G,3,0),IF(D671="COMPOSIÇÕES",VLOOKUP(B671,'11.COMPOSIÇÕES GERAIS'!B:I,3,0),VLOOKUP(B671,'12.COT.MERCADO'!A:I,7,0)))),"Em Elaboração")</f>
        <v>UN </v>
      </c>
      <c r="G671" s="254">
        <v>2.0</v>
      </c>
      <c r="H671" s="259">
        <f>IFERROR(IF(D671="SINAPI-S",VLOOKUP(B671,'20-B.SINAPI-S'!A:J,5,0),IF(D671="SINAPI-I",VLOOKUP(B671,'20-A.SINAPI-I'!A:G,6,0),IF(D671="COMPOSIÇÕES",VLOOKUP(B671,'11.COMPOSIÇÕES GERAIS'!B:I,7,0),0))),"Em Elaboração")</f>
        <v>0</v>
      </c>
      <c r="I671" s="259">
        <f>IFERROR(IF(D671="SINAPI-S",VLOOKUP(B671,'20-B.SINAPI-S'!A:J,6,0),IF(D671="SINAPI-I",VLOOKUP(B671,'20-A.SINAPI-I'!A:G,7,0),IF(D671="COMPOSIÇÕES",VLOOKUP(B671,'11.COMPOSIÇÕES GERAIS'!B:I,8,0),VLOOKUP(B671,'12.COT.MERCADO'!A:I,8,0)))),"Em Elaboração")</f>
        <v>9.36</v>
      </c>
      <c r="J671" s="259">
        <f t="shared" si="142"/>
        <v>0</v>
      </c>
      <c r="K671" s="259">
        <f t="shared" si="143"/>
        <v>10.96369172</v>
      </c>
      <c r="L671" s="259">
        <f t="shared" si="144"/>
        <v>10.96369172</v>
      </c>
      <c r="M671" s="259">
        <f t="shared" si="145"/>
        <v>0</v>
      </c>
      <c r="N671" s="259">
        <f t="shared" si="146"/>
        <v>21.92738343</v>
      </c>
      <c r="O671" s="259">
        <f t="shared" si="147"/>
        <v>21.92738343</v>
      </c>
      <c r="P671" s="586">
        <f t="shared" si="3"/>
        <v>0.0001195326588</v>
      </c>
    </row>
    <row r="672">
      <c r="A672" s="253" t="s">
        <v>1347</v>
      </c>
      <c r="B672" s="254" t="s">
        <v>1348</v>
      </c>
      <c r="C672" s="255" t="str">
        <f t="shared" si="141"/>
        <v>PRÓPRIO</v>
      </c>
      <c r="D672" s="256" t="s">
        <v>110</v>
      </c>
      <c r="E672" s="257" t="str">
        <f>IFERROR(IF(D672="SINAPI-S",VLOOKUP(B672,'20-B.SINAPI-S'!A:J,2,0),IF(D672="SINAPI-I",VLOOKUP(B672,'20-A.SINAPI-I'!A:G,2,0),IF(D672="COMPOSIÇÕES",VLOOKUP(B672,'11.COMPOSIÇÕES GERAIS'!B:I,2,0),VLOOKUP(B672,'12.COT.MERCADO'!A:I,2,0)))),"Em Elaboração")</f>
        <v>Capacitor Partida 25 μF  380/400V TML. REF.: VIX OU SIMILAR</v>
      </c>
      <c r="F672" s="258" t="str">
        <f>IFERROR(IF(D672="SINAPI-S",VLOOKUP(B672,'20-B.SINAPI-S'!A:J,3,0),IF(D672="SINAPI-I",VLOOKUP(B672,'20-A.SINAPI-I'!A:G,3,0),IF(D672="COMPOSIÇÕES",VLOOKUP(B672,'11.COMPOSIÇÕES GERAIS'!B:I,3,0),VLOOKUP(B672,'12.COT.MERCADO'!A:I,7,0)))),"Em Elaboração")</f>
        <v>UN </v>
      </c>
      <c r="G672" s="254">
        <v>2.0</v>
      </c>
      <c r="H672" s="259">
        <f>IFERROR(IF(D672="SINAPI-S",VLOOKUP(B672,'20-B.SINAPI-S'!A:J,5,0),IF(D672="SINAPI-I",VLOOKUP(B672,'20-A.SINAPI-I'!A:G,6,0),IF(D672="COMPOSIÇÕES",VLOOKUP(B672,'11.COMPOSIÇÕES GERAIS'!B:I,7,0),0))),"Em Elaboração")</f>
        <v>0</v>
      </c>
      <c r="I672" s="259">
        <f>IFERROR(IF(D672="SINAPI-S",VLOOKUP(B672,'20-B.SINAPI-S'!A:J,6,0),IF(D672="SINAPI-I",VLOOKUP(B672,'20-A.SINAPI-I'!A:G,7,0),IF(D672="COMPOSIÇÕES",VLOOKUP(B672,'11.COMPOSIÇÕES GERAIS'!B:I,8,0),VLOOKUP(B672,'12.COT.MERCADO'!A:I,8,0)))),"Em Elaboração")</f>
        <v>12.59</v>
      </c>
      <c r="J672" s="259">
        <f t="shared" si="142"/>
        <v>0</v>
      </c>
      <c r="K672" s="259">
        <f t="shared" si="143"/>
        <v>14.74710243</v>
      </c>
      <c r="L672" s="259">
        <f t="shared" si="144"/>
        <v>14.74710243</v>
      </c>
      <c r="M672" s="259">
        <f t="shared" si="145"/>
        <v>0</v>
      </c>
      <c r="N672" s="259">
        <f t="shared" si="146"/>
        <v>29.49420485</v>
      </c>
      <c r="O672" s="259">
        <f t="shared" si="147"/>
        <v>29.49420485</v>
      </c>
      <c r="P672" s="586">
        <f t="shared" si="3"/>
        <v>0.0001607816425</v>
      </c>
    </row>
    <row r="673">
      <c r="A673" s="253" t="s">
        <v>1349</v>
      </c>
      <c r="B673" s="254" t="s">
        <v>1350</v>
      </c>
      <c r="C673" s="255" t="str">
        <f t="shared" si="141"/>
        <v>PRÓPRIO</v>
      </c>
      <c r="D673" s="256" t="s">
        <v>110</v>
      </c>
      <c r="E673" s="257" t="str">
        <f>IFERROR(IF(D673="SINAPI-S",VLOOKUP(B673,'20-B.SINAPI-S'!A:J,2,0),IF(D673="SINAPI-I",VLOOKUP(B673,'20-A.SINAPI-I'!A:G,2,0),IF(D673="COMPOSIÇÕES",VLOOKUP(B673,'11.COMPOSIÇÕES GERAIS'!B:I,2,0),VLOOKUP(B673,'12.COT.MERCADO'!A:I,2,0)))),"Em Elaboração")</f>
        <v>Capacitor Partida 30 μF  380V TML. REF.: VIX OU SIMILAR</v>
      </c>
      <c r="F673" s="258" t="str">
        <f>IFERROR(IF(D673="SINAPI-S",VLOOKUP(B673,'20-B.SINAPI-S'!A:J,3,0),IF(D673="SINAPI-I",VLOOKUP(B673,'20-A.SINAPI-I'!A:G,3,0),IF(D673="COMPOSIÇÕES",VLOOKUP(B673,'11.COMPOSIÇÕES GERAIS'!B:I,3,0),VLOOKUP(B673,'12.COT.MERCADO'!A:I,7,0)))),"Em Elaboração")</f>
        <v>UN </v>
      </c>
      <c r="G673" s="254">
        <v>2.0</v>
      </c>
      <c r="H673" s="259">
        <f>IFERROR(IF(D673="SINAPI-S",VLOOKUP(B673,'20-B.SINAPI-S'!A:J,5,0),IF(D673="SINAPI-I",VLOOKUP(B673,'20-A.SINAPI-I'!A:G,6,0),IF(D673="COMPOSIÇÕES",VLOOKUP(B673,'11.COMPOSIÇÕES GERAIS'!B:I,7,0),0))),"Em Elaboração")</f>
        <v>0</v>
      </c>
      <c r="I673" s="259">
        <f>IFERROR(IF(D673="SINAPI-S",VLOOKUP(B673,'20-B.SINAPI-S'!A:J,6,0),IF(D673="SINAPI-I",VLOOKUP(B673,'20-A.SINAPI-I'!A:G,7,0),IF(D673="COMPOSIÇÕES",VLOOKUP(B673,'11.COMPOSIÇÕES GERAIS'!B:I,8,0),VLOOKUP(B673,'12.COT.MERCADO'!A:I,8,0)))),"Em Elaboração")</f>
        <v>16.75</v>
      </c>
      <c r="J673" s="259">
        <f t="shared" si="142"/>
        <v>0</v>
      </c>
      <c r="K673" s="259">
        <f t="shared" si="143"/>
        <v>19.6198543</v>
      </c>
      <c r="L673" s="259">
        <f t="shared" si="144"/>
        <v>19.6198543</v>
      </c>
      <c r="M673" s="259">
        <f t="shared" si="145"/>
        <v>0</v>
      </c>
      <c r="N673" s="259">
        <f t="shared" si="146"/>
        <v>39.2397086</v>
      </c>
      <c r="O673" s="259">
        <f t="shared" si="147"/>
        <v>39.2397086</v>
      </c>
      <c r="P673" s="586">
        <f t="shared" si="3"/>
        <v>0.0002139072687</v>
      </c>
    </row>
    <row r="674">
      <c r="A674" s="253" t="s">
        <v>1351</v>
      </c>
      <c r="B674" s="254" t="s">
        <v>1352</v>
      </c>
      <c r="C674" s="255" t="str">
        <f t="shared" si="141"/>
        <v>PRÓPRIO</v>
      </c>
      <c r="D674" s="256" t="s">
        <v>110</v>
      </c>
      <c r="E674" s="257" t="str">
        <f>IFERROR(IF(D674="SINAPI-S",VLOOKUP(B674,'20-B.SINAPI-S'!A:J,2,0),IF(D674="SINAPI-I",VLOOKUP(B674,'20-A.SINAPI-I'!A:G,2,0),IF(D674="COMPOSIÇÕES",VLOOKUP(B674,'11.COMPOSIÇÕES GERAIS'!B:I,2,0),VLOOKUP(B674,'12.COT.MERCADO'!A:I,2,0)))),"Em Elaboração")</f>
        <v>Capacitor Partida 35 μF  380V TML. REF.: VIX OU SIMILAR</v>
      </c>
      <c r="F674" s="258" t="str">
        <f>IFERROR(IF(D674="SINAPI-S",VLOOKUP(B674,'20-B.SINAPI-S'!A:J,3,0),IF(D674="SINAPI-I",VLOOKUP(B674,'20-A.SINAPI-I'!A:G,3,0),IF(D674="COMPOSIÇÕES",VLOOKUP(B674,'11.COMPOSIÇÕES GERAIS'!B:I,3,0),VLOOKUP(B674,'12.COT.MERCADO'!A:I,7,0)))),"Em Elaboração")</f>
        <v>UN </v>
      </c>
      <c r="G674" s="254">
        <v>2.0</v>
      </c>
      <c r="H674" s="259">
        <f>IFERROR(IF(D674="SINAPI-S",VLOOKUP(B674,'20-B.SINAPI-S'!A:J,5,0),IF(D674="SINAPI-I",VLOOKUP(B674,'20-A.SINAPI-I'!A:G,6,0),IF(D674="COMPOSIÇÕES",VLOOKUP(B674,'11.COMPOSIÇÕES GERAIS'!B:I,7,0),0))),"Em Elaboração")</f>
        <v>0</v>
      </c>
      <c r="I674" s="259">
        <f>IFERROR(IF(D674="SINAPI-S",VLOOKUP(B674,'20-B.SINAPI-S'!A:J,6,0),IF(D674="SINAPI-I",VLOOKUP(B674,'20-A.SINAPI-I'!A:G,7,0),IF(D674="COMPOSIÇÕES",VLOOKUP(B674,'11.COMPOSIÇÕES GERAIS'!B:I,8,0),VLOOKUP(B674,'12.COT.MERCADO'!A:I,8,0)))),"Em Elaboração")</f>
        <v>32.75</v>
      </c>
      <c r="J674" s="259">
        <f t="shared" si="142"/>
        <v>0</v>
      </c>
      <c r="K674" s="259">
        <f t="shared" si="143"/>
        <v>38.36120766</v>
      </c>
      <c r="L674" s="259">
        <f t="shared" si="144"/>
        <v>38.36120766</v>
      </c>
      <c r="M674" s="259">
        <f t="shared" si="145"/>
        <v>0</v>
      </c>
      <c r="N674" s="259">
        <f t="shared" si="146"/>
        <v>76.72241533</v>
      </c>
      <c r="O674" s="259">
        <f t="shared" si="147"/>
        <v>76.72241533</v>
      </c>
      <c r="P674" s="586">
        <f t="shared" si="3"/>
        <v>0.0004182366</v>
      </c>
    </row>
    <row r="675">
      <c r="A675" s="253" t="s">
        <v>1353</v>
      </c>
      <c r="B675" s="254" t="s">
        <v>1354</v>
      </c>
      <c r="C675" s="255" t="str">
        <f t="shared" si="141"/>
        <v>PRÓPRIO</v>
      </c>
      <c r="D675" s="256" t="s">
        <v>110</v>
      </c>
      <c r="E675" s="257" t="str">
        <f>IFERROR(IF(D675="SINAPI-S",VLOOKUP(B675,'20-B.SINAPI-S'!A:J,2,0),IF(D675="SINAPI-I",VLOOKUP(B675,'20-A.SINAPI-I'!A:G,2,0),IF(D675="COMPOSIÇÕES",VLOOKUP(B675,'11.COMPOSIÇÕES GERAIS'!B:I,2,0),VLOOKUP(B675,'12.COT.MERCADO'!A:I,2,0)))),"Em Elaboração")</f>
        <v>Capacitor Partida 40 μF  380V TML. REF.: VIX OU SIMILAR</v>
      </c>
      <c r="F675" s="258" t="str">
        <f>IFERROR(IF(D675="SINAPI-S",VLOOKUP(B675,'20-B.SINAPI-S'!A:J,3,0),IF(D675="SINAPI-I",VLOOKUP(B675,'20-A.SINAPI-I'!A:G,3,0),IF(D675="COMPOSIÇÕES",VLOOKUP(B675,'11.COMPOSIÇÕES GERAIS'!B:I,3,0),VLOOKUP(B675,'12.COT.MERCADO'!A:I,7,0)))),"Em Elaboração")</f>
        <v>UN </v>
      </c>
      <c r="G675" s="254">
        <v>2.0</v>
      </c>
      <c r="H675" s="259">
        <f>IFERROR(IF(D675="SINAPI-S",VLOOKUP(B675,'20-B.SINAPI-S'!A:J,5,0),IF(D675="SINAPI-I",VLOOKUP(B675,'20-A.SINAPI-I'!A:G,6,0),IF(D675="COMPOSIÇÕES",VLOOKUP(B675,'11.COMPOSIÇÕES GERAIS'!B:I,7,0),0))),"Em Elaboração")</f>
        <v>0</v>
      </c>
      <c r="I675" s="259">
        <f>IFERROR(IF(D675="SINAPI-S",VLOOKUP(B675,'20-B.SINAPI-S'!A:J,6,0),IF(D675="SINAPI-I",VLOOKUP(B675,'20-A.SINAPI-I'!A:G,7,0),IF(D675="COMPOSIÇÕES",VLOOKUP(B675,'11.COMPOSIÇÕES GERAIS'!B:I,8,0),VLOOKUP(B675,'12.COT.MERCADO'!A:I,8,0)))),"Em Elaboração")</f>
        <v>14.22</v>
      </c>
      <c r="J675" s="259">
        <f t="shared" si="142"/>
        <v>0</v>
      </c>
      <c r="K675" s="259">
        <f t="shared" si="143"/>
        <v>16.6563778</v>
      </c>
      <c r="L675" s="259">
        <f t="shared" si="144"/>
        <v>16.6563778</v>
      </c>
      <c r="M675" s="259">
        <f t="shared" si="145"/>
        <v>0</v>
      </c>
      <c r="N675" s="259">
        <f t="shared" si="146"/>
        <v>33.3127556</v>
      </c>
      <c r="O675" s="259">
        <f t="shared" si="147"/>
        <v>33.3127556</v>
      </c>
      <c r="P675" s="586">
        <f t="shared" si="3"/>
        <v>0.0001815976932</v>
      </c>
    </row>
    <row r="676">
      <c r="A676" s="253" t="s">
        <v>1355</v>
      </c>
      <c r="B676" s="254" t="s">
        <v>1356</v>
      </c>
      <c r="C676" s="255" t="str">
        <f t="shared" si="141"/>
        <v>PRÓPRIO</v>
      </c>
      <c r="D676" s="256" t="s">
        <v>110</v>
      </c>
      <c r="E676" s="257" t="str">
        <f>IFERROR(IF(D676="SINAPI-S",VLOOKUP(B676,'20-B.SINAPI-S'!A:J,2,0),IF(D676="SINAPI-I",VLOOKUP(B676,'20-A.SINAPI-I'!A:G,2,0),IF(D676="COMPOSIÇÕES",VLOOKUP(B676,'11.COMPOSIÇÕES GERAIS'!B:I,2,0),VLOOKUP(B676,'12.COT.MERCADO'!A:I,2,0)))),"Em Elaboração")</f>
        <v>Capacitor Partida 45 μF  380V TML. REF.: VIX OU SIMILAR</v>
      </c>
      <c r="F676" s="258" t="str">
        <f>IFERROR(IF(D676="SINAPI-S",VLOOKUP(B676,'20-B.SINAPI-S'!A:J,3,0),IF(D676="SINAPI-I",VLOOKUP(B676,'20-A.SINAPI-I'!A:G,3,0),IF(D676="COMPOSIÇÕES",VLOOKUP(B676,'11.COMPOSIÇÕES GERAIS'!B:I,3,0),VLOOKUP(B676,'12.COT.MERCADO'!A:I,7,0)))),"Em Elaboração")</f>
        <v>UN </v>
      </c>
      <c r="G676" s="254">
        <v>2.0</v>
      </c>
      <c r="H676" s="259">
        <f>IFERROR(IF(D676="SINAPI-S",VLOOKUP(B676,'20-B.SINAPI-S'!A:J,5,0),IF(D676="SINAPI-I",VLOOKUP(B676,'20-A.SINAPI-I'!A:G,6,0),IF(D676="COMPOSIÇÕES",VLOOKUP(B676,'11.COMPOSIÇÕES GERAIS'!B:I,7,0),0))),"Em Elaboração")</f>
        <v>0</v>
      </c>
      <c r="I676" s="259">
        <f>IFERROR(IF(D676="SINAPI-S",VLOOKUP(B676,'20-B.SINAPI-S'!A:J,6,0),IF(D676="SINAPI-I",VLOOKUP(B676,'20-A.SINAPI-I'!A:G,7,0),IF(D676="COMPOSIÇÕES",VLOOKUP(B676,'11.COMPOSIÇÕES GERAIS'!B:I,8,0),VLOOKUP(B676,'12.COT.MERCADO'!A:I,8,0)))),"Em Elaboração")</f>
        <v>16.7</v>
      </c>
      <c r="J676" s="259">
        <f t="shared" si="142"/>
        <v>0</v>
      </c>
      <c r="K676" s="259">
        <f t="shared" si="143"/>
        <v>19.56128757</v>
      </c>
      <c r="L676" s="259">
        <f t="shared" si="144"/>
        <v>19.56128757</v>
      </c>
      <c r="M676" s="259">
        <f t="shared" si="145"/>
        <v>0</v>
      </c>
      <c r="N676" s="259">
        <f t="shared" si="146"/>
        <v>39.12257514</v>
      </c>
      <c r="O676" s="259">
        <f t="shared" si="147"/>
        <v>39.12257514</v>
      </c>
      <c r="P676" s="586">
        <f t="shared" si="3"/>
        <v>0.0002132687395</v>
      </c>
    </row>
    <row r="677">
      <c r="A677" s="261" t="s">
        <v>1357</v>
      </c>
      <c r="B677" s="262" t="s">
        <v>1358</v>
      </c>
      <c r="C677" s="44"/>
      <c r="D677" s="44"/>
      <c r="E677" s="44"/>
      <c r="F677" s="44"/>
      <c r="G677" s="44"/>
      <c r="H677" s="44"/>
      <c r="I677" s="44"/>
      <c r="J677" s="44"/>
      <c r="K677" s="44"/>
      <c r="L677" s="44"/>
      <c r="M677" s="263">
        <f t="shared" ref="M677:O677" si="148">SUM(M678:M684)</f>
        <v>0</v>
      </c>
      <c r="N677" s="263">
        <f t="shared" si="148"/>
        <v>893.4237415</v>
      </c>
      <c r="O677" s="263">
        <f t="shared" si="148"/>
        <v>893.4237415</v>
      </c>
      <c r="P677" s="593">
        <f t="shared" si="3"/>
        <v>0.004870317317</v>
      </c>
    </row>
    <row r="678">
      <c r="A678" s="253" t="s">
        <v>1359</v>
      </c>
      <c r="B678" s="254">
        <v>34653.0</v>
      </c>
      <c r="C678" s="255" t="str">
        <f t="shared" ref="C678:C684" si="149">IF(OR(D678="SINAPI-S",D678="SINAPI-I"),"SINAPI","PRÓPRIO")</f>
        <v>SINAPI</v>
      </c>
      <c r="D678" s="256" t="s">
        <v>286</v>
      </c>
      <c r="E678" s="257" t="str">
        <f>IFERROR(IF(D678="SINAPI-S",VLOOKUP(B678,'20-B.SINAPI-S'!A:J,2,0),IF(D678="SINAPI-I",VLOOKUP(B678,'20-A.SINAPI-I'!A:G,2,0),IF(D678="COMPOSIÇÕES",VLOOKUP(B678,'11.COMPOSIÇÕES GERAIS'!B:I,2,0),VLOOKUP(B678,'12.COT.MERCADO'!A:I,2,0)))),"Em Elaboração")</f>
        <v>DISJUNTOR TIPO DIN/IEC, MONOPOLAR DE 6  ATE  32A</v>
      </c>
      <c r="F678" s="258" t="str">
        <f>IFERROR(IF(D678="SINAPI-S",VLOOKUP(B678,'20-B.SINAPI-S'!A:J,3,0),IF(D678="SINAPI-I",VLOOKUP(B678,'20-A.SINAPI-I'!A:G,3,0),IF(D678="COMPOSIÇÕES",VLOOKUP(B678,'11.COMPOSIÇÕES GERAIS'!B:I,3,0),VLOOKUP(B678,'12.COT.MERCADO'!A:I,7,0)))),"Em Elaboração")</f>
        <v>UN</v>
      </c>
      <c r="G678" s="254">
        <v>8.0</v>
      </c>
      <c r="H678" s="259">
        <f>IFERROR(IF(D678="SINAPI-S",VLOOKUP(B678,'20-B.SINAPI-S'!A:J,5,0),IF(D678="SINAPI-I",VLOOKUP(B678,'20-A.SINAPI-I'!A:G,6,0),IF(D678="COMPOSIÇÕES",VLOOKUP(B678,'11.COMPOSIÇÕES GERAIS'!B:I,7,0),0))),"Em Elaboração")</f>
        <v>0</v>
      </c>
      <c r="I678" s="259">
        <f>IFERROR(IF(D678="SINAPI-S",VLOOKUP(B678,'20-B.SINAPI-S'!A:J,6,0),IF(D678="SINAPI-I",VLOOKUP(B678,'20-A.SINAPI-I'!A:G,7,0),IF(D678="COMPOSIÇÕES",VLOOKUP(B678,'11.COMPOSIÇÕES GERAIS'!B:I,8,0),VLOOKUP(B678,'12.COT.MERCADO'!A:I,8,0)))),"Em Elaboração")</f>
        <v>9.19</v>
      </c>
      <c r="J678" s="259">
        <f t="shared" ref="J678:J684" si="150">H678*(1+$J$5)</f>
        <v>0</v>
      </c>
      <c r="K678" s="259">
        <f t="shared" ref="K678:K684" si="151">I678*(1+$J$8)</f>
        <v>10.76456484</v>
      </c>
      <c r="L678" s="259">
        <f t="shared" ref="L678:L684" si="152">SUM(J678:K678)</f>
        <v>10.76456484</v>
      </c>
      <c r="M678" s="259">
        <f t="shared" ref="M678:M684" si="153">J678*G678</f>
        <v>0</v>
      </c>
      <c r="N678" s="259">
        <f t="shared" ref="N678:N684" si="154">K678*G678</f>
        <v>86.1165187</v>
      </c>
      <c r="O678" s="259">
        <f t="shared" ref="O678:O684" si="155">SUM(M678:N678)</f>
        <v>86.1165187</v>
      </c>
      <c r="P678" s="586">
        <f t="shared" si="3"/>
        <v>0.0004694466386</v>
      </c>
    </row>
    <row r="679">
      <c r="A679" s="253" t="s">
        <v>1360</v>
      </c>
      <c r="B679" s="254">
        <v>20111.0</v>
      </c>
      <c r="C679" s="255" t="str">
        <f t="shared" si="149"/>
        <v>SINAPI</v>
      </c>
      <c r="D679" s="256" t="s">
        <v>286</v>
      </c>
      <c r="E679" s="257" t="str">
        <f>IFERROR(IF(D679="SINAPI-S",VLOOKUP(B679,'20-B.SINAPI-S'!A:J,2,0),IF(D679="SINAPI-I",VLOOKUP(B679,'20-A.SINAPI-I'!A:G,2,0),IF(D679="COMPOSIÇÕES",VLOOKUP(B679,'11.COMPOSIÇÕES GERAIS'!B:I,2,0),VLOOKUP(B679,'12.COT.MERCADO'!A:I,2,0)))),"Em Elaboração")</f>
        <v>FITA ISOLANTE ADESIVA ANTICHAMA, USO ATE 750 V, EM ROLO DE 19 MM X 20 M</v>
      </c>
      <c r="F679" s="258" t="str">
        <f>IFERROR(IF(D679="SINAPI-S",VLOOKUP(B679,'20-B.SINAPI-S'!A:J,3,0),IF(D679="SINAPI-I",VLOOKUP(B679,'20-A.SINAPI-I'!A:G,3,0),IF(D679="COMPOSIÇÕES",VLOOKUP(B679,'11.COMPOSIÇÕES GERAIS'!B:I,3,0),VLOOKUP(B679,'12.COT.MERCADO'!A:I,7,0)))),"Em Elaboração")</f>
        <v>UN</v>
      </c>
      <c r="G679" s="254">
        <v>2.0</v>
      </c>
      <c r="H679" s="259">
        <f>IFERROR(IF(D679="SINAPI-S",VLOOKUP(B679,'20-B.SINAPI-S'!A:J,5,0),IF(D679="SINAPI-I",VLOOKUP(B679,'20-A.SINAPI-I'!A:G,6,0),IF(D679="COMPOSIÇÕES",VLOOKUP(B679,'11.COMPOSIÇÕES GERAIS'!B:I,7,0),0))),"Em Elaboração")</f>
        <v>0</v>
      </c>
      <c r="I679" s="259">
        <f>IFERROR(IF(D679="SINAPI-S",VLOOKUP(B679,'20-B.SINAPI-S'!A:J,6,0),IF(D679="SINAPI-I",VLOOKUP(B679,'20-A.SINAPI-I'!A:G,7,0),IF(D679="COMPOSIÇÕES",VLOOKUP(B679,'11.COMPOSIÇÕES GERAIS'!B:I,8,0),VLOOKUP(B679,'12.COT.MERCADO'!A:I,8,0)))),"Em Elaboração")</f>
        <v>12.9</v>
      </c>
      <c r="J679" s="259">
        <f t="shared" si="150"/>
        <v>0</v>
      </c>
      <c r="K679" s="259">
        <f t="shared" si="151"/>
        <v>15.11021615</v>
      </c>
      <c r="L679" s="259">
        <f t="shared" si="152"/>
        <v>15.11021615</v>
      </c>
      <c r="M679" s="259">
        <f t="shared" si="153"/>
        <v>0</v>
      </c>
      <c r="N679" s="259">
        <f t="shared" si="154"/>
        <v>30.2204323</v>
      </c>
      <c r="O679" s="259">
        <f t="shared" si="155"/>
        <v>30.2204323</v>
      </c>
      <c r="P679" s="586">
        <f t="shared" si="3"/>
        <v>0.0001647405233</v>
      </c>
    </row>
    <row r="680">
      <c r="A680" s="253" t="s">
        <v>1361</v>
      </c>
      <c r="B680" s="254" t="s">
        <v>1362</v>
      </c>
      <c r="C680" s="255" t="str">
        <f t="shared" si="149"/>
        <v>PRÓPRIO</v>
      </c>
      <c r="D680" s="256" t="s">
        <v>110</v>
      </c>
      <c r="E680" s="257" t="str">
        <f>IFERROR(IF(D680="SINAPI-S",VLOOKUP(B680,'20-B.SINAPI-S'!A:J,2,0),IF(D680="SINAPI-I",VLOOKUP(B680,'20-A.SINAPI-I'!A:G,2,0),IF(D680="COMPOSIÇÕES",VLOOKUP(B680,'11.COMPOSIÇÕES GERAIS'!B:I,2,0),VLOOKUP(B680,'12.COT.MERCADO'!A:I,2,0)))),"Em Elaboração")</f>
        <v>Cabo de cobre PP Cordplast 3 x 1,5 mm2, 450/750v</v>
      </c>
      <c r="F680" s="258" t="str">
        <f>IFERROR(IF(D680="SINAPI-S",VLOOKUP(B680,'20-B.SINAPI-S'!A:J,3,0),IF(D680="SINAPI-I",VLOOKUP(B680,'20-A.SINAPI-I'!A:G,3,0),IF(D680="COMPOSIÇÕES",VLOOKUP(B680,'11.COMPOSIÇÕES GERAIS'!B:I,3,0),VLOOKUP(B680,'12.COT.MERCADO'!A:I,7,0)))),"Em Elaboração")</f>
        <v>M</v>
      </c>
      <c r="G680" s="254">
        <v>30.0</v>
      </c>
      <c r="H680" s="259">
        <f>IFERROR(IF(D680="SINAPI-S",VLOOKUP(B680,'20-B.SINAPI-S'!A:J,5,0),IF(D680="SINAPI-I",VLOOKUP(B680,'20-A.SINAPI-I'!A:G,6,0),IF(D680="COMPOSIÇÕES",VLOOKUP(B680,'11.COMPOSIÇÕES GERAIS'!B:I,7,0),0))),"Em Elaboração")</f>
        <v>0</v>
      </c>
      <c r="I680" s="259">
        <f>IFERROR(IF(D680="SINAPI-S",VLOOKUP(B680,'20-B.SINAPI-S'!A:J,6,0),IF(D680="SINAPI-I",VLOOKUP(B680,'20-A.SINAPI-I'!A:G,7,0),IF(D680="COMPOSIÇÕES",VLOOKUP(B680,'11.COMPOSIÇÕES GERAIS'!B:I,8,0),VLOOKUP(B680,'12.COT.MERCADO'!A:I,8,0)))),"Em Elaboração")</f>
        <v>4.49</v>
      </c>
      <c r="J680" s="259">
        <f t="shared" si="150"/>
        <v>0</v>
      </c>
      <c r="K680" s="259">
        <f t="shared" si="151"/>
        <v>5.259292287</v>
      </c>
      <c r="L680" s="259">
        <f t="shared" si="152"/>
        <v>5.259292287</v>
      </c>
      <c r="M680" s="259">
        <f t="shared" si="153"/>
        <v>0</v>
      </c>
      <c r="N680" s="259">
        <f t="shared" si="154"/>
        <v>157.7787686</v>
      </c>
      <c r="O680" s="259">
        <f t="shared" si="155"/>
        <v>157.7787686</v>
      </c>
      <c r="P680" s="586">
        <f t="shared" si="3"/>
        <v>0.0008600987788</v>
      </c>
    </row>
    <row r="681">
      <c r="A681" s="253" t="s">
        <v>1363</v>
      </c>
      <c r="B681" s="254" t="s">
        <v>1364</v>
      </c>
      <c r="C681" s="255" t="str">
        <f t="shared" si="149"/>
        <v>PRÓPRIO</v>
      </c>
      <c r="D681" s="256" t="s">
        <v>110</v>
      </c>
      <c r="E681" s="257" t="str">
        <f>IFERROR(IF(D681="SINAPI-S",VLOOKUP(B681,'20-B.SINAPI-S'!A:J,2,0),IF(D681="SINAPI-I",VLOOKUP(B681,'20-A.SINAPI-I'!A:G,2,0),IF(D681="COMPOSIÇÕES",VLOOKUP(B681,'11.COMPOSIÇÕES GERAIS'!B:I,2,0),VLOOKUP(B681,'12.COT.MERCADO'!A:I,2,0)))),"Em Elaboração")</f>
        <v>Relé de falta de fase 127-220V, ref. 3UGO2 40-OA507</v>
      </c>
      <c r="F681" s="258" t="str">
        <f>IFERROR(IF(D681="SINAPI-S",VLOOKUP(B681,'20-B.SINAPI-S'!A:J,3,0),IF(D681="SINAPI-I",VLOOKUP(B681,'20-A.SINAPI-I'!A:G,3,0),IF(D681="COMPOSIÇÕES",VLOOKUP(B681,'11.COMPOSIÇÕES GERAIS'!B:I,3,0),VLOOKUP(B681,'12.COT.MERCADO'!A:I,7,0)))),"Em Elaboração")</f>
        <v>UN </v>
      </c>
      <c r="G681" s="254">
        <v>2.0</v>
      </c>
      <c r="H681" s="259">
        <f>IFERROR(IF(D681="SINAPI-S",VLOOKUP(B681,'20-B.SINAPI-S'!A:J,5,0),IF(D681="SINAPI-I",VLOOKUP(B681,'20-A.SINAPI-I'!A:G,6,0),IF(D681="COMPOSIÇÕES",VLOOKUP(B681,'11.COMPOSIÇÕES GERAIS'!B:I,7,0),0))),"Em Elaboração")</f>
        <v>0</v>
      </c>
      <c r="I681" s="259">
        <f>IFERROR(IF(D681="SINAPI-S",VLOOKUP(B681,'20-B.SINAPI-S'!A:J,6,0),IF(D681="SINAPI-I",VLOOKUP(B681,'20-A.SINAPI-I'!A:G,7,0),IF(D681="COMPOSIÇÕES",VLOOKUP(B681,'11.COMPOSIÇÕES GERAIS'!B:I,8,0),VLOOKUP(B681,'12.COT.MERCADO'!A:I,8,0)))),"Em Elaboração")</f>
        <v>172.8</v>
      </c>
      <c r="J681" s="259">
        <f t="shared" si="150"/>
        <v>0</v>
      </c>
      <c r="K681" s="259">
        <f t="shared" si="151"/>
        <v>202.4066163</v>
      </c>
      <c r="L681" s="259">
        <f t="shared" si="152"/>
        <v>202.4066163</v>
      </c>
      <c r="M681" s="259">
        <f t="shared" si="153"/>
        <v>0</v>
      </c>
      <c r="N681" s="259">
        <f t="shared" si="154"/>
        <v>404.8132326</v>
      </c>
      <c r="O681" s="259">
        <f t="shared" si="155"/>
        <v>404.8132326</v>
      </c>
      <c r="P681" s="586">
        <f t="shared" si="3"/>
        <v>0.002206756778</v>
      </c>
    </row>
    <row r="682">
      <c r="A682" s="253" t="s">
        <v>1365</v>
      </c>
      <c r="B682" s="254" t="s">
        <v>1366</v>
      </c>
      <c r="C682" s="255" t="str">
        <f t="shared" si="149"/>
        <v>PRÓPRIO</v>
      </c>
      <c r="D682" s="256" t="s">
        <v>110</v>
      </c>
      <c r="E682" s="257" t="str">
        <f>IFERROR(IF(D682="SINAPI-S",VLOOKUP(B682,'20-B.SINAPI-S'!A:J,2,0),IF(D682="SINAPI-I",VLOOKUP(B682,'20-A.SINAPI-I'!A:G,2,0),IF(D682="COMPOSIÇÕES",VLOOKUP(B682,'11.COMPOSIÇÕES GERAIS'!B:I,2,0),VLOOKUP(B682,'12.COT.MERCADO'!A:I,2,0)))),"Em Elaboração")</f>
        <v>Plugue para tomada, tipo macho, 2P+T 10A</v>
      </c>
      <c r="F682" s="258" t="str">
        <f>IFERROR(IF(D682="SINAPI-S",VLOOKUP(B682,'20-B.SINAPI-S'!A:J,3,0),IF(D682="SINAPI-I",VLOOKUP(B682,'20-A.SINAPI-I'!A:G,3,0),IF(D682="COMPOSIÇÕES",VLOOKUP(B682,'11.COMPOSIÇÕES GERAIS'!B:I,3,0),VLOOKUP(B682,'12.COT.MERCADO'!A:I,7,0)))),"Em Elaboração")</f>
        <v>UN </v>
      </c>
      <c r="G682" s="254">
        <v>8.0</v>
      </c>
      <c r="H682" s="259">
        <f>IFERROR(IF(D682="SINAPI-S",VLOOKUP(B682,'20-B.SINAPI-S'!A:J,5,0),IF(D682="SINAPI-I",VLOOKUP(B682,'20-A.SINAPI-I'!A:G,6,0),IF(D682="COMPOSIÇÕES",VLOOKUP(B682,'11.COMPOSIÇÕES GERAIS'!B:I,7,0),0))),"Em Elaboração")</f>
        <v>0</v>
      </c>
      <c r="I682" s="259">
        <f>IFERROR(IF(D682="SINAPI-S",VLOOKUP(B682,'20-B.SINAPI-S'!A:J,6,0),IF(D682="SINAPI-I",VLOOKUP(B682,'20-A.SINAPI-I'!A:G,7,0),IF(D682="COMPOSIÇÕES",VLOOKUP(B682,'11.COMPOSIÇÕES GERAIS'!B:I,8,0),VLOOKUP(B682,'12.COT.MERCADO'!A:I,8,0)))),"Em Elaboração")</f>
        <v>5.19</v>
      </c>
      <c r="J682" s="259">
        <f t="shared" si="150"/>
        <v>0</v>
      </c>
      <c r="K682" s="259">
        <f t="shared" si="151"/>
        <v>6.079226497</v>
      </c>
      <c r="L682" s="259">
        <f t="shared" si="152"/>
        <v>6.079226497</v>
      </c>
      <c r="M682" s="259">
        <f t="shared" si="153"/>
        <v>0</v>
      </c>
      <c r="N682" s="259">
        <f t="shared" si="154"/>
        <v>48.63381197</v>
      </c>
      <c r="O682" s="259">
        <f t="shared" si="155"/>
        <v>48.63381197</v>
      </c>
      <c r="P682" s="586">
        <f t="shared" si="3"/>
        <v>0.0002651173073</v>
      </c>
    </row>
    <row r="683">
      <c r="A683" s="253" t="s">
        <v>1367</v>
      </c>
      <c r="B683" s="254">
        <v>12147.0</v>
      </c>
      <c r="C683" s="255" t="str">
        <f t="shared" si="149"/>
        <v>SINAPI</v>
      </c>
      <c r="D683" s="256" t="s">
        <v>286</v>
      </c>
      <c r="E683" s="257" t="str">
        <f>IFERROR(IF(D683="SINAPI-S",VLOOKUP(B683,'20-B.SINAPI-S'!A:J,2,0),IF(D683="SINAPI-I",VLOOKUP(B683,'20-A.SINAPI-I'!A:G,2,0),IF(D683="COMPOSIÇÕES",VLOOKUP(B683,'11.COMPOSIÇÕES GERAIS'!B:I,2,0),VLOOKUP(B683,'12.COT.MERCADO'!A:I,2,0)))),"Em Elaboração")</f>
        <v>TOMADA 2P+T 10A, 250V, CONJUNTO MONTADO PARA SOBREPOR 4" X 2" (CAIXA + MODULO)</v>
      </c>
      <c r="F683" s="258" t="str">
        <f>IFERROR(IF(D683="SINAPI-S",VLOOKUP(B683,'20-B.SINAPI-S'!A:J,3,0),IF(D683="SINAPI-I",VLOOKUP(B683,'20-A.SINAPI-I'!A:G,3,0),IF(D683="COMPOSIÇÕES",VLOOKUP(B683,'11.COMPOSIÇÕES GERAIS'!B:I,3,0),VLOOKUP(B683,'12.COT.MERCADO'!A:I,7,0)))),"Em Elaboração")</f>
        <v>UN</v>
      </c>
      <c r="G683" s="254">
        <v>8.0</v>
      </c>
      <c r="H683" s="259">
        <f>IFERROR(IF(D683="SINAPI-S",VLOOKUP(B683,'20-B.SINAPI-S'!A:J,5,0),IF(D683="SINAPI-I",VLOOKUP(B683,'20-A.SINAPI-I'!A:G,6,0),IF(D683="COMPOSIÇÕES",VLOOKUP(B683,'11.COMPOSIÇÕES GERAIS'!B:I,7,0),0))),"Em Elaboração")</f>
        <v>0</v>
      </c>
      <c r="I683" s="259">
        <f>IFERROR(IF(D683="SINAPI-S",VLOOKUP(B683,'20-B.SINAPI-S'!A:J,6,0),IF(D683="SINAPI-I",VLOOKUP(B683,'20-A.SINAPI-I'!A:G,7,0),IF(D683="COMPOSIÇÕES",VLOOKUP(B683,'11.COMPOSIÇÕES GERAIS'!B:I,8,0),VLOOKUP(B683,'12.COT.MERCADO'!A:I,8,0)))),"Em Elaboração")</f>
        <v>15.09</v>
      </c>
      <c r="J683" s="259">
        <f t="shared" si="150"/>
        <v>0</v>
      </c>
      <c r="K683" s="259">
        <f t="shared" si="151"/>
        <v>17.67543889</v>
      </c>
      <c r="L683" s="259">
        <f t="shared" si="152"/>
        <v>17.67543889</v>
      </c>
      <c r="M683" s="259">
        <f t="shared" si="153"/>
        <v>0</v>
      </c>
      <c r="N683" s="259">
        <f t="shared" si="154"/>
        <v>141.4035111</v>
      </c>
      <c r="O683" s="259">
        <f t="shared" si="155"/>
        <v>141.4035111</v>
      </c>
      <c r="P683" s="586">
        <f t="shared" si="3"/>
        <v>0.0007708324022</v>
      </c>
    </row>
    <row r="684">
      <c r="A684" s="253" t="s">
        <v>1368</v>
      </c>
      <c r="B684" s="254">
        <v>38091.0</v>
      </c>
      <c r="C684" s="255" t="str">
        <f t="shared" si="149"/>
        <v>SINAPI</v>
      </c>
      <c r="D684" s="256" t="s">
        <v>286</v>
      </c>
      <c r="E684" s="257" t="str">
        <f>IFERROR(IF(D684="SINAPI-S",VLOOKUP(B684,'20-B.SINAPI-S'!A:J,2,0),IF(D684="SINAPI-I",VLOOKUP(B684,'20-A.SINAPI-I'!A:G,2,0),IF(D684="COMPOSIÇÕES",VLOOKUP(B684,'11.COMPOSIÇÕES GERAIS'!B:I,2,0),VLOOKUP(B684,'12.COT.MERCADO'!A:I,2,0)))),"Em Elaboração")</f>
        <v>ESPELHO / PLACA CEGA 4" X 2", PARA INSTALACAO DE TOMADAS E INTERRUPTORES</v>
      </c>
      <c r="F684" s="258" t="str">
        <f>IFERROR(IF(D684="SINAPI-S",VLOOKUP(B684,'20-B.SINAPI-S'!A:J,3,0),IF(D684="SINAPI-I",VLOOKUP(B684,'20-A.SINAPI-I'!A:G,3,0),IF(D684="COMPOSIÇÕES",VLOOKUP(B684,'11.COMPOSIÇÕES GERAIS'!B:I,3,0),VLOOKUP(B684,'12.COT.MERCADO'!A:I,7,0)))),"Em Elaboração")</f>
        <v>UN</v>
      </c>
      <c r="G684" s="254">
        <v>8.0</v>
      </c>
      <c r="H684" s="259">
        <f>IFERROR(IF(D684="SINAPI-S",VLOOKUP(B684,'20-B.SINAPI-S'!A:J,5,0),IF(D684="SINAPI-I",VLOOKUP(B684,'20-A.SINAPI-I'!A:G,6,0),IF(D684="COMPOSIÇÕES",VLOOKUP(B684,'11.COMPOSIÇÕES GERAIS'!B:I,7,0),0))),"Em Elaboração")</f>
        <v>0</v>
      </c>
      <c r="I684" s="259">
        <f>IFERROR(IF(D684="SINAPI-S",VLOOKUP(B684,'20-B.SINAPI-S'!A:J,6,0),IF(D684="SINAPI-I",VLOOKUP(B684,'20-A.SINAPI-I'!A:G,7,0),IF(D684="COMPOSIÇÕES",VLOOKUP(B684,'11.COMPOSIÇÕES GERAIS'!B:I,8,0),VLOOKUP(B684,'12.COT.MERCADO'!A:I,8,0)))),"Em Elaboração")</f>
        <v>2.61</v>
      </c>
      <c r="J684" s="259">
        <f t="shared" si="150"/>
        <v>0</v>
      </c>
      <c r="K684" s="259">
        <f t="shared" si="151"/>
        <v>3.057183267</v>
      </c>
      <c r="L684" s="259">
        <f t="shared" si="152"/>
        <v>3.057183267</v>
      </c>
      <c r="M684" s="259">
        <f t="shared" si="153"/>
        <v>0</v>
      </c>
      <c r="N684" s="259">
        <f t="shared" si="154"/>
        <v>24.45746614</v>
      </c>
      <c r="O684" s="259">
        <f t="shared" si="155"/>
        <v>24.45746614</v>
      </c>
      <c r="P684" s="586">
        <f t="shared" si="3"/>
        <v>0.0001333248887</v>
      </c>
    </row>
    <row r="685" ht="20.25" customHeight="1">
      <c r="A685" s="261" t="s">
        <v>1369</v>
      </c>
      <c r="B685" s="262" t="s">
        <v>1370</v>
      </c>
      <c r="C685" s="44"/>
      <c r="D685" s="44"/>
      <c r="E685" s="44"/>
      <c r="F685" s="44"/>
      <c r="G685" s="44"/>
      <c r="H685" s="44"/>
      <c r="I685" s="44"/>
      <c r="J685" s="44"/>
      <c r="K685" s="44"/>
      <c r="L685" s="44"/>
      <c r="M685" s="263">
        <f t="shared" ref="M685:O685" si="156">SUM(M686:M690)</f>
        <v>0</v>
      </c>
      <c r="N685" s="263">
        <f t="shared" si="156"/>
        <v>623.5482531</v>
      </c>
      <c r="O685" s="263">
        <f t="shared" si="156"/>
        <v>623.5482531</v>
      </c>
      <c r="P685" s="593">
        <f t="shared" si="3"/>
        <v>0.003399146132</v>
      </c>
    </row>
    <row r="686">
      <c r="A686" s="253" t="s">
        <v>1371</v>
      </c>
      <c r="B686" s="254">
        <v>4229.0</v>
      </c>
      <c r="C686" s="255" t="str">
        <f t="shared" ref="C686:C690" si="157">IF(OR(D686="SINAPI-S",D686="SINAPI-I"),"SINAPI","PRÓPRIO")</f>
        <v>SINAPI</v>
      </c>
      <c r="D686" s="256" t="s">
        <v>286</v>
      </c>
      <c r="E686" s="257" t="str">
        <f>IFERROR(IF(D686="SINAPI-S",VLOOKUP(B686,'20-B.SINAPI-S'!A:J,2,0),IF(D686="SINAPI-I",VLOOKUP(B686,'20-A.SINAPI-I'!A:G,2,0),IF(D686="COMPOSIÇÕES",VLOOKUP(B686,'11.COMPOSIÇÕES GERAIS'!B:I,2,0),VLOOKUP(B686,'12.COT.MERCADO'!A:I,2,0)))),"Em Elaboração")</f>
        <v>GRAXA LUBRIFICANTE</v>
      </c>
      <c r="F686" s="258" t="str">
        <f>IFERROR(IF(D686="SINAPI-S",VLOOKUP(B686,'20-B.SINAPI-S'!A:J,3,0),IF(D686="SINAPI-I",VLOOKUP(B686,'20-A.SINAPI-I'!A:G,3,0),IF(D686="COMPOSIÇÕES",VLOOKUP(B686,'11.COMPOSIÇÕES GERAIS'!B:I,3,0),VLOOKUP(B686,'12.COT.MERCADO'!A:I,7,0)))),"Em Elaboração")</f>
        <v>KG</v>
      </c>
      <c r="G686" s="254">
        <v>4.0</v>
      </c>
      <c r="H686" s="259">
        <f>IFERROR(IF(D686="SINAPI-S",VLOOKUP(B686,'20-B.SINAPI-S'!A:J,5,0),IF(D686="SINAPI-I",VLOOKUP(B686,'20-A.SINAPI-I'!A:G,6,0),IF(D686="COMPOSIÇÕES",VLOOKUP(B686,'11.COMPOSIÇÕES GERAIS'!B:I,7,0),0))),"Em Elaboração")</f>
        <v>0</v>
      </c>
      <c r="I686" s="259">
        <f>IFERROR(IF(D686="SINAPI-S",VLOOKUP(B686,'20-B.SINAPI-S'!A:J,6,0),IF(D686="SINAPI-I",VLOOKUP(B686,'20-A.SINAPI-I'!A:G,7,0),IF(D686="COMPOSIÇÕES",VLOOKUP(B686,'11.COMPOSIÇÕES GERAIS'!B:I,8,0),VLOOKUP(B686,'12.COT.MERCADO'!A:I,8,0)))),"Em Elaboração")</f>
        <v>32.85</v>
      </c>
      <c r="J686" s="259">
        <f t="shared" ref="J686:J690" si="158">H686*(1+$J$5)</f>
        <v>0</v>
      </c>
      <c r="K686" s="259">
        <f t="shared" ref="K686:K690" si="159">I686*(1+$J$8)</f>
        <v>38.47834112</v>
      </c>
      <c r="L686" s="259">
        <f t="shared" ref="L686:L690" si="160">SUM(J686:K686)</f>
        <v>38.47834112</v>
      </c>
      <c r="M686" s="259">
        <f t="shared" ref="M686:M690" si="161">J686*G686</f>
        <v>0</v>
      </c>
      <c r="N686" s="259">
        <f t="shared" ref="N686:N690" si="162">K686*G686</f>
        <v>153.9133645</v>
      </c>
      <c r="O686" s="259">
        <f t="shared" ref="O686:O690" si="163">SUM(M686:N686)</f>
        <v>153.9133645</v>
      </c>
      <c r="P686" s="586">
        <f t="shared" si="3"/>
        <v>0.0008390273166</v>
      </c>
    </row>
    <row r="687">
      <c r="A687" s="253" t="s">
        <v>1372</v>
      </c>
      <c r="B687" s="254" t="s">
        <v>1373</v>
      </c>
      <c r="C687" s="255" t="str">
        <f t="shared" si="157"/>
        <v>PRÓPRIO</v>
      </c>
      <c r="D687" s="256" t="s">
        <v>110</v>
      </c>
      <c r="E687" s="257" t="str">
        <f>IFERROR(IF(D687="SINAPI-S",VLOOKUP(B687,'20-B.SINAPI-S'!A:J,2,0),IF(D687="SINAPI-I",VLOOKUP(B687,'20-A.SINAPI-I'!A:G,2,0),IF(D687="COMPOSIÇÕES",VLOOKUP(B687,'11.COMPOSIÇÕES GERAIS'!B:I,2,0),VLOOKUP(B687,'12.COT.MERCADO'!A:I,2,0)))),"Em Elaboração")</f>
        <v>Lubrificante Spray - 200g/300 ml. REF: VONDER ou similar</v>
      </c>
      <c r="F687" s="258" t="str">
        <f>IFERROR(IF(D687="SINAPI-S",VLOOKUP(B687,'20-B.SINAPI-S'!A:J,3,0),IF(D687="SINAPI-I",VLOOKUP(B687,'20-A.SINAPI-I'!A:G,3,0),IF(D687="COMPOSIÇÕES",VLOOKUP(B687,'11.COMPOSIÇÕES GERAIS'!B:I,3,0),VLOOKUP(B687,'12.COT.MERCADO'!A:I,7,0)))),"Em Elaboração")</f>
        <v>UN </v>
      </c>
      <c r="G687" s="254">
        <v>5.0</v>
      </c>
      <c r="H687" s="259">
        <f>IFERROR(IF(D687="SINAPI-S",VLOOKUP(B687,'20-B.SINAPI-S'!A:J,5,0),IF(D687="SINAPI-I",VLOOKUP(B687,'20-A.SINAPI-I'!A:G,6,0),IF(D687="COMPOSIÇÕES",VLOOKUP(B687,'11.COMPOSIÇÕES GERAIS'!B:I,7,0),0))),"Em Elaboração")</f>
        <v>0</v>
      </c>
      <c r="I687" s="259">
        <f>IFERROR(IF(D687="SINAPI-S",VLOOKUP(B687,'20-B.SINAPI-S'!A:J,6,0),IF(D687="SINAPI-I",VLOOKUP(B687,'20-A.SINAPI-I'!A:G,7,0),IF(D687="COMPOSIÇÕES",VLOOKUP(B687,'11.COMPOSIÇÕES GERAIS'!B:I,8,0),VLOOKUP(B687,'12.COT.MERCADO'!A:I,8,0)))),"Em Elaboração")</f>
        <v>16.56</v>
      </c>
      <c r="J687" s="259">
        <f t="shared" si="158"/>
        <v>0</v>
      </c>
      <c r="K687" s="259">
        <f t="shared" si="159"/>
        <v>19.39730073</v>
      </c>
      <c r="L687" s="259">
        <f t="shared" si="160"/>
        <v>19.39730073</v>
      </c>
      <c r="M687" s="259">
        <f t="shared" si="161"/>
        <v>0</v>
      </c>
      <c r="N687" s="259">
        <f t="shared" si="162"/>
        <v>96.98650365</v>
      </c>
      <c r="O687" s="259">
        <f t="shared" si="163"/>
        <v>96.98650365</v>
      </c>
      <c r="P687" s="586">
        <f t="shared" si="3"/>
        <v>0.0005287021447</v>
      </c>
    </row>
    <row r="688">
      <c r="A688" s="253" t="s">
        <v>1374</v>
      </c>
      <c r="B688" s="254" t="s">
        <v>1375</v>
      </c>
      <c r="C688" s="255" t="str">
        <f t="shared" si="157"/>
        <v>PRÓPRIO</v>
      </c>
      <c r="D688" s="256" t="s">
        <v>110</v>
      </c>
      <c r="E688" s="257" t="str">
        <f>IFERROR(IF(D688="SINAPI-S",VLOOKUP(B688,'20-B.SINAPI-S'!A:J,2,0),IF(D688="SINAPI-I",VLOOKUP(B688,'20-A.SINAPI-I'!A:G,2,0),IF(D688="COMPOSIÇÕES",VLOOKUP(B688,'11.COMPOSIÇÕES GERAIS'!B:I,2,0),VLOOKUP(B688,'12.COT.MERCADO'!A:I,2,0)))),"Em Elaboração")</f>
        <v>Desingripante Spray 300 ml. REF: White Lub Super ORBI-03 ou similar</v>
      </c>
      <c r="F688" s="258" t="str">
        <f>IFERROR(IF(D688="SINAPI-S",VLOOKUP(B688,'20-B.SINAPI-S'!A:J,3,0),IF(D688="SINAPI-I",VLOOKUP(B688,'20-A.SINAPI-I'!A:G,3,0),IF(D688="COMPOSIÇÕES",VLOOKUP(B688,'11.COMPOSIÇÕES GERAIS'!B:I,3,0),VLOOKUP(B688,'12.COT.MERCADO'!A:I,7,0)))),"Em Elaboração")</f>
        <v>UN </v>
      </c>
      <c r="G688" s="254">
        <v>3.0</v>
      </c>
      <c r="H688" s="259">
        <f>IFERROR(IF(D688="SINAPI-S",VLOOKUP(B688,'20-B.SINAPI-S'!A:J,5,0),IF(D688="SINAPI-I",VLOOKUP(B688,'20-A.SINAPI-I'!A:G,6,0),IF(D688="COMPOSIÇÕES",VLOOKUP(B688,'11.COMPOSIÇÕES GERAIS'!B:I,7,0),0))),"Em Elaboração")</f>
        <v>0</v>
      </c>
      <c r="I688" s="259">
        <f>IFERROR(IF(D688="SINAPI-S",VLOOKUP(B688,'20-B.SINAPI-S'!A:J,6,0),IF(D688="SINAPI-I",VLOOKUP(B688,'20-A.SINAPI-I'!A:G,7,0),IF(D688="COMPOSIÇÕES",VLOOKUP(B688,'11.COMPOSIÇÕES GERAIS'!B:I,8,0),VLOOKUP(B688,'12.COT.MERCADO'!A:I,8,0)))),"Em Elaboração")</f>
        <v>12.23</v>
      </c>
      <c r="J688" s="259">
        <f t="shared" si="158"/>
        <v>0</v>
      </c>
      <c r="K688" s="259">
        <f t="shared" si="159"/>
        <v>14.32542198</v>
      </c>
      <c r="L688" s="259">
        <f t="shared" si="160"/>
        <v>14.32542198</v>
      </c>
      <c r="M688" s="259">
        <f t="shared" si="161"/>
        <v>0</v>
      </c>
      <c r="N688" s="259">
        <f t="shared" si="162"/>
        <v>42.97626593</v>
      </c>
      <c r="O688" s="259">
        <f t="shared" si="163"/>
        <v>42.97626593</v>
      </c>
      <c r="P688" s="586">
        <f t="shared" si="3"/>
        <v>0.0002342763489</v>
      </c>
    </row>
    <row r="689">
      <c r="A689" s="253" t="s">
        <v>1376</v>
      </c>
      <c r="B689" s="254" t="s">
        <v>1377</v>
      </c>
      <c r="C689" s="255" t="str">
        <f t="shared" si="157"/>
        <v>PRÓPRIO</v>
      </c>
      <c r="D689" s="256" t="s">
        <v>110</v>
      </c>
      <c r="E689" s="257" t="str">
        <f>IFERROR(IF(D689="SINAPI-S",VLOOKUP(B689,'20-B.SINAPI-S'!A:J,2,0),IF(D689="SINAPI-I",VLOOKUP(B689,'20-A.SINAPI-I'!A:G,2,0),IF(D689="COMPOSIÇÕES",VLOOKUP(B689,'11.COMPOSIÇÕES GERAIS'!B:I,2,0),VLOOKUP(B689,'12.COT.MERCADO'!A:I,2,0)))),"Em Elaboração")</f>
        <v>Adesivo Bond em Bisnarga 3g. REF: Scoth Bond ou similar</v>
      </c>
      <c r="F689" s="258" t="str">
        <f>IFERROR(IF(D689="SINAPI-S",VLOOKUP(B689,'20-B.SINAPI-S'!A:J,3,0),IF(D689="SINAPI-I",VLOOKUP(B689,'20-A.SINAPI-I'!A:G,3,0),IF(D689="COMPOSIÇÕES",VLOOKUP(B689,'11.COMPOSIÇÕES GERAIS'!B:I,3,0),VLOOKUP(B689,'12.COT.MERCADO'!A:I,7,0)))),"Em Elaboração")</f>
        <v>UN </v>
      </c>
      <c r="G689" s="254">
        <v>1.0</v>
      </c>
      <c r="H689" s="259">
        <f>IFERROR(IF(D689="SINAPI-S",VLOOKUP(B689,'20-B.SINAPI-S'!A:J,5,0),IF(D689="SINAPI-I",VLOOKUP(B689,'20-A.SINAPI-I'!A:G,6,0),IF(D689="COMPOSIÇÕES",VLOOKUP(B689,'11.COMPOSIÇÕES GERAIS'!B:I,7,0),0))),"Em Elaboração")</f>
        <v>0</v>
      </c>
      <c r="I689" s="259">
        <f>IFERROR(IF(D689="SINAPI-S",VLOOKUP(B689,'20-B.SINAPI-S'!A:J,6,0),IF(D689="SINAPI-I",VLOOKUP(B689,'20-A.SINAPI-I'!A:G,7,0),IF(D689="COMPOSIÇÕES",VLOOKUP(B689,'11.COMPOSIÇÕES GERAIS'!B:I,8,0),VLOOKUP(B689,'12.COT.MERCADO'!A:I,8,0)))),"Em Elaboração")</f>
        <v>6.9</v>
      </c>
      <c r="J689" s="259">
        <f t="shared" si="158"/>
        <v>0</v>
      </c>
      <c r="K689" s="259">
        <f t="shared" si="159"/>
        <v>8.082208637</v>
      </c>
      <c r="L689" s="259">
        <f t="shared" si="160"/>
        <v>8.082208637</v>
      </c>
      <c r="M689" s="259">
        <f t="shared" si="161"/>
        <v>0</v>
      </c>
      <c r="N689" s="259">
        <f t="shared" si="162"/>
        <v>8.082208637</v>
      </c>
      <c r="O689" s="259">
        <f t="shared" si="163"/>
        <v>8.082208637</v>
      </c>
      <c r="P689" s="586">
        <f t="shared" si="3"/>
        <v>0.00004405851206</v>
      </c>
    </row>
    <row r="690">
      <c r="A690" s="253" t="s">
        <v>1378</v>
      </c>
      <c r="B690" s="254" t="s">
        <v>1379</v>
      </c>
      <c r="C690" s="255" t="str">
        <f t="shared" si="157"/>
        <v>PRÓPRIO</v>
      </c>
      <c r="D690" s="256" t="s">
        <v>110</v>
      </c>
      <c r="E690" s="257" t="str">
        <f>IFERROR(IF(D690="SINAPI-S",VLOOKUP(B690,'20-B.SINAPI-S'!A:J,2,0),IF(D690="SINAPI-I",VLOOKUP(B690,'20-A.SINAPI-I'!A:G,2,0),IF(D690="COMPOSIÇÕES",VLOOKUP(B690,'11.COMPOSIÇÕES GERAIS'!B:I,2,0),VLOOKUP(B690,'12.COT.MERCADO'!A:I,2,0)))),"Em Elaboração")</f>
        <v>Graxa Especial Para Lubrificação - 10KG. REF: Unigrax Ca-2 10kg Ingrax ou similar</v>
      </c>
      <c r="F690" s="258" t="str">
        <f>IFERROR(IF(D690="SINAPI-S",VLOOKUP(B690,'20-B.SINAPI-S'!A:J,3,0),IF(D690="SINAPI-I",VLOOKUP(B690,'20-A.SINAPI-I'!A:G,3,0),IF(D690="COMPOSIÇÕES",VLOOKUP(B690,'11.COMPOSIÇÕES GERAIS'!B:I,3,0),VLOOKUP(B690,'12.COT.MERCADO'!A:I,7,0)))),"Em Elaboração")</f>
        <v>UN </v>
      </c>
      <c r="G690" s="254">
        <v>1.0</v>
      </c>
      <c r="H690" s="259">
        <f>IFERROR(IF(D690="SINAPI-S",VLOOKUP(B690,'20-B.SINAPI-S'!A:J,5,0),IF(D690="SINAPI-I",VLOOKUP(B690,'20-A.SINAPI-I'!A:G,6,0),IF(D690="COMPOSIÇÕES",VLOOKUP(B690,'11.COMPOSIÇÕES GERAIS'!B:I,7,0),0))),"Em Elaboração")</f>
        <v>0</v>
      </c>
      <c r="I690" s="259">
        <f>IFERROR(IF(D690="SINAPI-S",VLOOKUP(B690,'20-B.SINAPI-S'!A:J,6,0),IF(D690="SINAPI-I",VLOOKUP(B690,'20-A.SINAPI-I'!A:G,7,0),IF(D690="COMPOSIÇÕES",VLOOKUP(B690,'11.COMPOSIÇÕES GERAIS'!B:I,8,0),VLOOKUP(B690,'12.COT.MERCADO'!A:I,8,0)))),"Em Elaboração")</f>
        <v>274.55</v>
      </c>
      <c r="J690" s="259">
        <f t="shared" si="158"/>
        <v>0</v>
      </c>
      <c r="K690" s="259">
        <f t="shared" si="159"/>
        <v>321.5899103</v>
      </c>
      <c r="L690" s="259">
        <f t="shared" si="160"/>
        <v>321.5899103</v>
      </c>
      <c r="M690" s="259">
        <f t="shared" si="161"/>
        <v>0</v>
      </c>
      <c r="N690" s="259">
        <f t="shared" si="162"/>
        <v>321.5899103</v>
      </c>
      <c r="O690" s="259">
        <f t="shared" si="163"/>
        <v>321.5899103</v>
      </c>
      <c r="P690" s="586">
        <f t="shared" si="3"/>
        <v>0.001753081809</v>
      </c>
    </row>
    <row r="691" ht="20.25" customHeight="1">
      <c r="A691" s="265" t="s">
        <v>1380</v>
      </c>
      <c r="B691" s="266" t="s">
        <v>1381</v>
      </c>
      <c r="C691" s="44"/>
      <c r="D691" s="44"/>
      <c r="E691" s="44"/>
      <c r="F691" s="44"/>
      <c r="G691" s="44"/>
      <c r="H691" s="44"/>
      <c r="I691" s="44"/>
      <c r="J691" s="44"/>
      <c r="K691" s="44"/>
      <c r="L691" s="44"/>
      <c r="M691" s="267">
        <f t="shared" ref="M691:O691" si="164">SUM(M692:M705)</f>
        <v>0</v>
      </c>
      <c r="N691" s="267">
        <f t="shared" si="164"/>
        <v>7337.954355</v>
      </c>
      <c r="O691" s="267">
        <f t="shared" si="164"/>
        <v>7337.954355</v>
      </c>
      <c r="P691" s="593">
        <f t="shared" si="3"/>
        <v>0.04000136163</v>
      </c>
    </row>
    <row r="692">
      <c r="A692" s="253" t="s">
        <v>1382</v>
      </c>
      <c r="B692" s="254">
        <v>34616.0</v>
      </c>
      <c r="C692" s="255" t="str">
        <f t="shared" ref="C692:C705" si="165">IF(OR(D692="SINAPI-S",D692="SINAPI-I"),"SINAPI","PRÓPRIO")</f>
        <v>SINAPI</v>
      </c>
      <c r="D692" s="256" t="s">
        <v>286</v>
      </c>
      <c r="E692" s="257" t="str">
        <f>IFERROR(IF(D692="SINAPI-S",VLOOKUP(B692,'20-B.SINAPI-S'!A:J,2,0),IF(D692="SINAPI-I",VLOOKUP(B692,'20-A.SINAPI-I'!A:G,2,0),IF(D692="COMPOSIÇÕES",VLOOKUP(B692,'11.COMPOSIÇÕES GERAIS'!B:I,2,0),VLOOKUP(B692,'12.COT.MERCADO'!A:I,2,0)))),"Em Elaboração")</f>
        <v>DISJUNTOR TIPO DIN/IEC, BIPOLAR DE 6 ATE 32A</v>
      </c>
      <c r="F692" s="258" t="str">
        <f>IFERROR(IF(D692="SINAPI-S",VLOOKUP(B692,'20-B.SINAPI-S'!A:J,3,0),IF(D692="SINAPI-I",VLOOKUP(B692,'20-A.SINAPI-I'!A:G,3,0),IF(D692="COMPOSIÇÕES",VLOOKUP(B692,'11.COMPOSIÇÕES GERAIS'!B:I,3,0),VLOOKUP(B692,'12.COT.MERCADO'!A:I,7,0)))),"Em Elaboração")</f>
        <v>UN</v>
      </c>
      <c r="G692" s="254">
        <v>1.0</v>
      </c>
      <c r="H692" s="259">
        <f>IFERROR(IF(D692="SINAPI-S",VLOOKUP(B692,'20-B.SINAPI-S'!A:J,5,0),IF(D692="SINAPI-I",VLOOKUP(B692,'20-A.SINAPI-I'!A:G,6,0),IF(D692="COMPOSIÇÕES",VLOOKUP(B692,'11.COMPOSIÇÕES GERAIS'!B:I,7,0),0))),"Em Elaboração")</f>
        <v>0</v>
      </c>
      <c r="I692" s="259">
        <f>IFERROR(IF(D692="SINAPI-S",VLOOKUP(B692,'20-B.SINAPI-S'!A:J,6,0),IF(D692="SINAPI-I",VLOOKUP(B692,'20-A.SINAPI-I'!A:G,7,0),IF(D692="COMPOSIÇÕES",VLOOKUP(B692,'11.COMPOSIÇÕES GERAIS'!B:I,8,0),VLOOKUP(B692,'12.COT.MERCADO'!A:I,8,0)))),"Em Elaboração")</f>
        <v>52.67</v>
      </c>
      <c r="J692" s="259">
        <f t="shared" ref="J692:J705" si="166">H692*(1+$J$5)</f>
        <v>0</v>
      </c>
      <c r="K692" s="259">
        <f t="shared" ref="K692:K705" si="167">I692*(1+$J$8)</f>
        <v>61.6941926</v>
      </c>
      <c r="L692" s="259">
        <f t="shared" ref="L692:L705" si="168">SUM(J692:K692)</f>
        <v>61.6941926</v>
      </c>
      <c r="M692" s="259">
        <f t="shared" ref="M692:M705" si="169">J692*G692</f>
        <v>0</v>
      </c>
      <c r="N692" s="259">
        <f t="shared" ref="N692:N705" si="170">K692*G692</f>
        <v>61.6941926</v>
      </c>
      <c r="O692" s="259">
        <f t="shared" ref="O692:O705" si="171">SUM(M692:N692)</f>
        <v>61.6941926</v>
      </c>
      <c r="P692" s="586">
        <f t="shared" si="3"/>
        <v>0.0003363133087</v>
      </c>
    </row>
    <row r="693">
      <c r="A693" s="253" t="s">
        <v>1383</v>
      </c>
      <c r="B693" s="254">
        <v>34709.0</v>
      </c>
      <c r="C693" s="255" t="str">
        <f t="shared" si="165"/>
        <v>SINAPI</v>
      </c>
      <c r="D693" s="256" t="s">
        <v>286</v>
      </c>
      <c r="E693" s="257" t="str">
        <f>IFERROR(IF(D693="SINAPI-S",VLOOKUP(B693,'20-B.SINAPI-S'!A:J,2,0),IF(D693="SINAPI-I",VLOOKUP(B693,'20-A.SINAPI-I'!A:G,2,0),IF(D693="COMPOSIÇÕES",VLOOKUP(B693,'11.COMPOSIÇÕES GERAIS'!B:I,2,0),VLOOKUP(B693,'12.COT.MERCADO'!A:I,2,0)))),"Em Elaboração")</f>
        <v>DISJUNTOR TIPO DIN/IEC, TRIPOLAR DE 10 ATE 50A</v>
      </c>
      <c r="F693" s="258" t="str">
        <f>IFERROR(IF(D693="SINAPI-S",VLOOKUP(B693,'20-B.SINAPI-S'!A:J,3,0),IF(D693="SINAPI-I",VLOOKUP(B693,'20-A.SINAPI-I'!A:G,3,0),IF(D693="COMPOSIÇÕES",VLOOKUP(B693,'11.COMPOSIÇÕES GERAIS'!B:I,3,0),VLOOKUP(B693,'12.COT.MERCADO'!A:I,7,0)))),"Em Elaboração")</f>
        <v>UN</v>
      </c>
      <c r="G693" s="254">
        <v>1.0</v>
      </c>
      <c r="H693" s="259">
        <f>IFERROR(IF(D693="SINAPI-S",VLOOKUP(B693,'20-B.SINAPI-S'!A:J,5,0),IF(D693="SINAPI-I",VLOOKUP(B693,'20-A.SINAPI-I'!A:G,6,0),IF(D693="COMPOSIÇÕES",VLOOKUP(B693,'11.COMPOSIÇÕES GERAIS'!B:I,7,0),0))),"Em Elaboração")</f>
        <v>0</v>
      </c>
      <c r="I693" s="259">
        <f>IFERROR(IF(D693="SINAPI-S",VLOOKUP(B693,'20-B.SINAPI-S'!A:J,6,0),IF(D693="SINAPI-I",VLOOKUP(B693,'20-A.SINAPI-I'!A:G,7,0),IF(D693="COMPOSIÇÕES",VLOOKUP(B693,'11.COMPOSIÇÕES GERAIS'!B:I,8,0),VLOOKUP(B693,'12.COT.MERCADO'!A:I,8,0)))),"Em Elaboração")</f>
        <v>64.53</v>
      </c>
      <c r="J693" s="259">
        <f t="shared" si="166"/>
        <v>0</v>
      </c>
      <c r="K693" s="259">
        <f t="shared" si="167"/>
        <v>75.58622078</v>
      </c>
      <c r="L693" s="259">
        <f t="shared" si="168"/>
        <v>75.58622078</v>
      </c>
      <c r="M693" s="259">
        <f t="shared" si="169"/>
        <v>0</v>
      </c>
      <c r="N693" s="259">
        <f t="shared" si="170"/>
        <v>75.58622078</v>
      </c>
      <c r="O693" s="259">
        <f t="shared" si="171"/>
        <v>75.58622078</v>
      </c>
      <c r="P693" s="586">
        <f t="shared" si="3"/>
        <v>0.0004120428671</v>
      </c>
    </row>
    <row r="694">
      <c r="A694" s="253" t="s">
        <v>1384</v>
      </c>
      <c r="B694" s="254">
        <v>1570.0</v>
      </c>
      <c r="C694" s="255" t="str">
        <f t="shared" si="165"/>
        <v>SINAPI</v>
      </c>
      <c r="D694" s="256" t="s">
        <v>286</v>
      </c>
      <c r="E694" s="257" t="str">
        <f>IFERROR(IF(D694="SINAPI-S",VLOOKUP(B694,'20-B.SINAPI-S'!A:J,2,0),IF(D694="SINAPI-I",VLOOKUP(B694,'20-A.SINAPI-I'!A:G,2,0),IF(D694="COMPOSIÇÕES",VLOOKUP(B694,'11.COMPOSIÇÕES GERAIS'!B:I,2,0),VLOOKUP(B694,'12.COT.MERCADO'!A:I,2,0)))),"Em Elaboração")</f>
        <v>TERMINAL A COMPRESSAO EM COBRE ESTANHADO PARA CABO 2,5 MM2, 1 FURO E 1 COMPRESSAO, PARA PARAFUSO DE FIXACAO M5</v>
      </c>
      <c r="F694" s="258" t="str">
        <f>IFERROR(IF(D694="SINAPI-S",VLOOKUP(B694,'20-B.SINAPI-S'!A:J,3,0),IF(D694="SINAPI-I",VLOOKUP(B694,'20-A.SINAPI-I'!A:G,3,0),IF(D694="COMPOSIÇÕES",VLOOKUP(B694,'11.COMPOSIÇÕES GERAIS'!B:I,3,0),VLOOKUP(B694,'12.COT.MERCADO'!A:I,7,0)))),"Em Elaboração")</f>
        <v>UN</v>
      </c>
      <c r="G694" s="254">
        <v>50.0</v>
      </c>
      <c r="H694" s="259">
        <f>IFERROR(IF(D694="SINAPI-S",VLOOKUP(B694,'20-B.SINAPI-S'!A:J,5,0),IF(D694="SINAPI-I",VLOOKUP(B694,'20-A.SINAPI-I'!A:G,6,0),IF(D694="COMPOSIÇÕES",VLOOKUP(B694,'11.COMPOSIÇÕES GERAIS'!B:I,7,0),0))),"Em Elaboração")</f>
        <v>0</v>
      </c>
      <c r="I694" s="259">
        <f>IFERROR(IF(D694="SINAPI-S",VLOOKUP(B694,'20-B.SINAPI-S'!A:J,6,0),IF(D694="SINAPI-I",VLOOKUP(B694,'20-A.SINAPI-I'!A:G,7,0),IF(D694="COMPOSIÇÕES",VLOOKUP(B694,'11.COMPOSIÇÕES GERAIS'!B:I,8,0),VLOOKUP(B694,'12.COT.MERCADO'!A:I,8,0)))),"Em Elaboração")</f>
        <v>0.99</v>
      </c>
      <c r="J694" s="259">
        <f t="shared" si="166"/>
        <v>0</v>
      </c>
      <c r="K694" s="259">
        <f t="shared" si="167"/>
        <v>1.159621239</v>
      </c>
      <c r="L694" s="259">
        <f t="shared" si="168"/>
        <v>1.159621239</v>
      </c>
      <c r="M694" s="259">
        <f t="shared" si="169"/>
        <v>0</v>
      </c>
      <c r="N694" s="259">
        <f t="shared" si="170"/>
        <v>57.98106196</v>
      </c>
      <c r="O694" s="259">
        <f t="shared" si="171"/>
        <v>57.98106196</v>
      </c>
      <c r="P694" s="586">
        <f t="shared" si="3"/>
        <v>0.0003160719343</v>
      </c>
    </row>
    <row r="695">
      <c r="A695" s="253" t="s">
        <v>1385</v>
      </c>
      <c r="B695" s="254">
        <v>1571.0</v>
      </c>
      <c r="C695" s="255" t="str">
        <f t="shared" si="165"/>
        <v>SINAPI</v>
      </c>
      <c r="D695" s="256" t="s">
        <v>286</v>
      </c>
      <c r="E695" s="257" t="str">
        <f>IFERROR(IF(D695="SINAPI-S",VLOOKUP(B695,'20-B.SINAPI-S'!A:J,2,0),IF(D695="SINAPI-I",VLOOKUP(B695,'20-A.SINAPI-I'!A:G,2,0),IF(D695="COMPOSIÇÕES",VLOOKUP(B695,'11.COMPOSIÇÕES GERAIS'!B:I,2,0),VLOOKUP(B695,'12.COT.MERCADO'!A:I,2,0)))),"Em Elaboração")</f>
        <v>TERMINAL A COMPRESSAO EM COBRE ESTANHADO PARA CABO 4 MM2, 1 FURO E 1 COMPRESSAO, PARA PARAFUSO DE FIXACAO M5</v>
      </c>
      <c r="F695" s="258" t="str">
        <f>IFERROR(IF(D695="SINAPI-S",VLOOKUP(B695,'20-B.SINAPI-S'!A:J,3,0),IF(D695="SINAPI-I",VLOOKUP(B695,'20-A.SINAPI-I'!A:G,3,0),IF(D695="COMPOSIÇÕES",VLOOKUP(B695,'11.COMPOSIÇÕES GERAIS'!B:I,3,0),VLOOKUP(B695,'12.COT.MERCADO'!A:I,7,0)))),"Em Elaboração")</f>
        <v>UN</v>
      </c>
      <c r="G695" s="254">
        <v>50.0</v>
      </c>
      <c r="H695" s="259">
        <f>IFERROR(IF(D695="SINAPI-S",VLOOKUP(B695,'20-B.SINAPI-S'!A:J,5,0),IF(D695="SINAPI-I",VLOOKUP(B695,'20-A.SINAPI-I'!A:G,6,0),IF(D695="COMPOSIÇÕES",VLOOKUP(B695,'11.COMPOSIÇÕES GERAIS'!B:I,7,0),0))),"Em Elaboração")</f>
        <v>0</v>
      </c>
      <c r="I695" s="259">
        <f>IFERROR(IF(D695="SINAPI-S",VLOOKUP(B695,'20-B.SINAPI-S'!A:J,6,0),IF(D695="SINAPI-I",VLOOKUP(B695,'20-A.SINAPI-I'!A:G,7,0),IF(D695="COMPOSIÇÕES",VLOOKUP(B695,'11.COMPOSIÇÕES GERAIS'!B:I,8,0),VLOOKUP(B695,'12.COT.MERCADO'!A:I,8,0)))),"Em Elaboração")</f>
        <v>1.29</v>
      </c>
      <c r="J695" s="259">
        <f t="shared" si="166"/>
        <v>0</v>
      </c>
      <c r="K695" s="259">
        <f t="shared" si="167"/>
        <v>1.511021615</v>
      </c>
      <c r="L695" s="259">
        <f t="shared" si="168"/>
        <v>1.511021615</v>
      </c>
      <c r="M695" s="259">
        <f t="shared" si="169"/>
        <v>0</v>
      </c>
      <c r="N695" s="259">
        <f t="shared" si="170"/>
        <v>75.55108074</v>
      </c>
      <c r="O695" s="259">
        <f t="shared" si="171"/>
        <v>75.55108074</v>
      </c>
      <c r="P695" s="586">
        <f t="shared" si="3"/>
        <v>0.0004118513084</v>
      </c>
    </row>
    <row r="696">
      <c r="A696" s="253" t="s">
        <v>1386</v>
      </c>
      <c r="B696" s="254">
        <v>1578.0</v>
      </c>
      <c r="C696" s="255" t="str">
        <f t="shared" si="165"/>
        <v>SINAPI</v>
      </c>
      <c r="D696" s="256" t="s">
        <v>286</v>
      </c>
      <c r="E696" s="257" t="str">
        <f>IFERROR(IF(D696="SINAPI-S",VLOOKUP(B696,'20-B.SINAPI-S'!A:J,2,0),IF(D696="SINAPI-I",VLOOKUP(B696,'20-A.SINAPI-I'!A:G,2,0),IF(D696="COMPOSIÇÕES",VLOOKUP(B696,'11.COMPOSIÇÕES GERAIS'!B:I,2,0),VLOOKUP(B696,'12.COT.MERCADO'!A:I,2,0)))),"Em Elaboração")</f>
        <v>TERMINAL A COMPRESSAO EM COBRE ESTANHADO PARA CABO 50 MM2, 1 FURO E 1 COMPRESSAO, PARA PARAFUSO DE FIXACAO M8</v>
      </c>
      <c r="F696" s="258" t="str">
        <f>IFERROR(IF(D696="SINAPI-S",VLOOKUP(B696,'20-B.SINAPI-S'!A:J,3,0),IF(D696="SINAPI-I",VLOOKUP(B696,'20-A.SINAPI-I'!A:G,3,0),IF(D696="COMPOSIÇÕES",VLOOKUP(B696,'11.COMPOSIÇÕES GERAIS'!B:I,3,0),VLOOKUP(B696,'12.COT.MERCADO'!A:I,7,0)))),"Em Elaboração")</f>
        <v>UN</v>
      </c>
      <c r="G696" s="254">
        <v>15.0</v>
      </c>
      <c r="H696" s="259">
        <f>IFERROR(IF(D696="SINAPI-S",VLOOKUP(B696,'20-B.SINAPI-S'!A:J,5,0),IF(D696="SINAPI-I",VLOOKUP(B696,'20-A.SINAPI-I'!A:G,6,0),IF(D696="COMPOSIÇÕES",VLOOKUP(B696,'11.COMPOSIÇÕES GERAIS'!B:I,7,0),0))),"Em Elaboração")</f>
        <v>0</v>
      </c>
      <c r="I696" s="259">
        <f>IFERROR(IF(D696="SINAPI-S",VLOOKUP(B696,'20-B.SINAPI-S'!A:J,6,0),IF(D696="SINAPI-I",VLOOKUP(B696,'20-A.SINAPI-I'!A:G,7,0),IF(D696="COMPOSIÇÕES",VLOOKUP(B696,'11.COMPOSIÇÕES GERAIS'!B:I,8,0),VLOOKUP(B696,'12.COT.MERCADO'!A:I,8,0)))),"Em Elaboração")</f>
        <v>5.34</v>
      </c>
      <c r="J696" s="259">
        <f t="shared" si="166"/>
        <v>0</v>
      </c>
      <c r="K696" s="259">
        <f t="shared" si="167"/>
        <v>6.254926685</v>
      </c>
      <c r="L696" s="259">
        <f t="shared" si="168"/>
        <v>6.254926685</v>
      </c>
      <c r="M696" s="259">
        <f t="shared" si="169"/>
        <v>0</v>
      </c>
      <c r="N696" s="259">
        <f t="shared" si="170"/>
        <v>93.82390027</v>
      </c>
      <c r="O696" s="259">
        <f t="shared" si="171"/>
        <v>93.82390027</v>
      </c>
      <c r="P696" s="586">
        <f t="shared" si="3"/>
        <v>0.0005114618573</v>
      </c>
    </row>
    <row r="697">
      <c r="A697" s="253" t="s">
        <v>1387</v>
      </c>
      <c r="B697" s="254">
        <v>1579.0</v>
      </c>
      <c r="C697" s="255" t="str">
        <f t="shared" si="165"/>
        <v>SINAPI</v>
      </c>
      <c r="D697" s="256" t="s">
        <v>286</v>
      </c>
      <c r="E697" s="257" t="str">
        <f>IFERROR(IF(D697="SINAPI-S",VLOOKUP(B697,'20-B.SINAPI-S'!A:J,2,0),IF(D697="SINAPI-I",VLOOKUP(B697,'20-A.SINAPI-I'!A:G,2,0),IF(D697="COMPOSIÇÕES",VLOOKUP(B697,'11.COMPOSIÇÕES GERAIS'!B:I,2,0),VLOOKUP(B697,'12.COT.MERCADO'!A:I,2,0)))),"Em Elaboração")</f>
        <v>TERMINAL A COMPRESSAO EM COBRE ESTANHADO PARA CABO 70 MM2, 1 FURO E 1 COMPRESSAO, PARA PARAFUSO DE FIXACAO M10</v>
      </c>
      <c r="F697" s="258" t="str">
        <f>IFERROR(IF(D697="SINAPI-S",VLOOKUP(B697,'20-B.SINAPI-S'!A:J,3,0),IF(D697="SINAPI-I",VLOOKUP(B697,'20-A.SINAPI-I'!A:G,3,0),IF(D697="COMPOSIÇÕES",VLOOKUP(B697,'11.COMPOSIÇÕES GERAIS'!B:I,3,0),VLOOKUP(B697,'12.COT.MERCADO'!A:I,7,0)))),"Em Elaboração")</f>
        <v>UN</v>
      </c>
      <c r="G697" s="254">
        <v>15.0</v>
      </c>
      <c r="H697" s="259">
        <f>IFERROR(IF(D697="SINAPI-S",VLOOKUP(B697,'20-B.SINAPI-S'!A:J,5,0),IF(D697="SINAPI-I",VLOOKUP(B697,'20-A.SINAPI-I'!A:G,6,0),IF(D697="COMPOSIÇÕES",VLOOKUP(B697,'11.COMPOSIÇÕES GERAIS'!B:I,7,0),0))),"Em Elaboração")</f>
        <v>0</v>
      </c>
      <c r="I697" s="259">
        <f>IFERROR(IF(D697="SINAPI-S",VLOOKUP(B697,'20-B.SINAPI-S'!A:J,6,0),IF(D697="SINAPI-I",VLOOKUP(B697,'20-A.SINAPI-I'!A:G,7,0),IF(D697="COMPOSIÇÕES",VLOOKUP(B697,'11.COMPOSIÇÕES GERAIS'!B:I,8,0),VLOOKUP(B697,'12.COT.MERCADO'!A:I,8,0)))),"Em Elaboração")</f>
        <v>6.65</v>
      </c>
      <c r="J697" s="259">
        <f t="shared" si="166"/>
        <v>0</v>
      </c>
      <c r="K697" s="259">
        <f t="shared" si="167"/>
        <v>7.789374991</v>
      </c>
      <c r="L697" s="259">
        <f t="shared" si="168"/>
        <v>7.789374991</v>
      </c>
      <c r="M697" s="259">
        <f t="shared" si="169"/>
        <v>0</v>
      </c>
      <c r="N697" s="259">
        <f t="shared" si="170"/>
        <v>116.8406249</v>
      </c>
      <c r="O697" s="259">
        <f t="shared" si="171"/>
        <v>116.8406249</v>
      </c>
      <c r="P697" s="586">
        <f t="shared" si="3"/>
        <v>0.0006369328373</v>
      </c>
    </row>
    <row r="698">
      <c r="A698" s="253" t="s">
        <v>1388</v>
      </c>
      <c r="B698" s="254">
        <v>1580.0</v>
      </c>
      <c r="C698" s="255" t="str">
        <f t="shared" si="165"/>
        <v>SINAPI</v>
      </c>
      <c r="D698" s="256" t="s">
        <v>286</v>
      </c>
      <c r="E698" s="257" t="str">
        <f>IFERROR(IF(D698="SINAPI-S",VLOOKUP(B698,'20-B.SINAPI-S'!A:J,2,0),IF(D698="SINAPI-I",VLOOKUP(B698,'20-A.SINAPI-I'!A:G,2,0),IF(D698="COMPOSIÇÕES",VLOOKUP(B698,'11.COMPOSIÇÕES GERAIS'!B:I,2,0),VLOOKUP(B698,'12.COT.MERCADO'!A:I,2,0)))),"Em Elaboração")</f>
        <v>TERMINAL A COMPRESSAO EM COBRE ESTANHADO PARA CABO 95 MM2, 1 FURO E 1 COMPRESSAO, PARA PARAFUSO DE FIXACAO M12</v>
      </c>
      <c r="F698" s="258" t="str">
        <f>IFERROR(IF(D698="SINAPI-S",VLOOKUP(B698,'20-B.SINAPI-S'!A:J,3,0),IF(D698="SINAPI-I",VLOOKUP(B698,'20-A.SINAPI-I'!A:G,3,0),IF(D698="COMPOSIÇÕES",VLOOKUP(B698,'11.COMPOSIÇÕES GERAIS'!B:I,3,0),VLOOKUP(B698,'12.COT.MERCADO'!A:I,7,0)))),"Em Elaboração")</f>
        <v>UN</v>
      </c>
      <c r="G698" s="254">
        <v>15.0</v>
      </c>
      <c r="H698" s="259">
        <f>IFERROR(IF(D698="SINAPI-S",VLOOKUP(B698,'20-B.SINAPI-S'!A:J,5,0),IF(D698="SINAPI-I",VLOOKUP(B698,'20-A.SINAPI-I'!A:G,6,0),IF(D698="COMPOSIÇÕES",VLOOKUP(B698,'11.COMPOSIÇÕES GERAIS'!B:I,7,0),0))),"Em Elaboração")</f>
        <v>0</v>
      </c>
      <c r="I698" s="259">
        <f>IFERROR(IF(D698="SINAPI-S",VLOOKUP(B698,'20-B.SINAPI-S'!A:J,6,0),IF(D698="SINAPI-I",VLOOKUP(B698,'20-A.SINAPI-I'!A:G,7,0),IF(D698="COMPOSIÇÕES",VLOOKUP(B698,'11.COMPOSIÇÕES GERAIS'!B:I,8,0),VLOOKUP(B698,'12.COT.MERCADO'!A:I,8,0)))),"Em Elaboração")</f>
        <v>8.19</v>
      </c>
      <c r="J698" s="259">
        <f t="shared" si="166"/>
        <v>0</v>
      </c>
      <c r="K698" s="259">
        <f t="shared" si="167"/>
        <v>9.593230252</v>
      </c>
      <c r="L698" s="259">
        <f t="shared" si="168"/>
        <v>9.593230252</v>
      </c>
      <c r="M698" s="259">
        <f t="shared" si="169"/>
        <v>0</v>
      </c>
      <c r="N698" s="259">
        <f t="shared" si="170"/>
        <v>143.8984538</v>
      </c>
      <c r="O698" s="259">
        <f t="shared" si="171"/>
        <v>143.8984538</v>
      </c>
      <c r="P698" s="586">
        <f t="shared" si="3"/>
        <v>0.0007844330734</v>
      </c>
    </row>
    <row r="699">
      <c r="A699" s="253" t="s">
        <v>1389</v>
      </c>
      <c r="B699" s="254">
        <v>11953.0</v>
      </c>
      <c r="C699" s="255" t="str">
        <f t="shared" si="165"/>
        <v>SINAPI</v>
      </c>
      <c r="D699" s="256" t="s">
        <v>286</v>
      </c>
      <c r="E699" s="257" t="str">
        <f>IFERROR(IF(D699="SINAPI-S",VLOOKUP(B699,'20-B.SINAPI-S'!A:J,2,0),IF(D699="SINAPI-I",VLOOKUP(B699,'20-A.SINAPI-I'!A:G,2,0),IF(D699="COMPOSIÇÕES",VLOOKUP(B699,'11.COMPOSIÇÕES GERAIS'!B:I,2,0),VLOOKUP(B699,'12.COT.MERCADO'!A:I,2,0)))),"Em Elaboração")</f>
        <v>PARAFUSO FRANCES ZINCADO, DIAMETRO 1/2'', COMPRIMENTO 2'', COM PORCA E ARRUELA</v>
      </c>
      <c r="F699" s="258" t="str">
        <f>IFERROR(IF(D699="SINAPI-S",VLOOKUP(B699,'20-B.SINAPI-S'!A:J,3,0),IF(D699="SINAPI-I",VLOOKUP(B699,'20-A.SINAPI-I'!A:G,3,0),IF(D699="COMPOSIÇÕES",VLOOKUP(B699,'11.COMPOSIÇÕES GERAIS'!B:I,3,0),VLOOKUP(B699,'12.COT.MERCADO'!A:I,7,0)))),"Em Elaboração")</f>
        <v>UN</v>
      </c>
      <c r="G699" s="254">
        <v>15.0</v>
      </c>
      <c r="H699" s="259">
        <f>IFERROR(IF(D699="SINAPI-S",VLOOKUP(B699,'20-B.SINAPI-S'!A:J,5,0),IF(D699="SINAPI-I",VLOOKUP(B699,'20-A.SINAPI-I'!A:G,6,0),IF(D699="COMPOSIÇÕES",VLOOKUP(B699,'11.COMPOSIÇÕES GERAIS'!B:I,7,0),0))),"Em Elaboração")</f>
        <v>0</v>
      </c>
      <c r="I699" s="259">
        <f>IFERROR(IF(D699="SINAPI-S",VLOOKUP(B699,'20-B.SINAPI-S'!A:J,6,0),IF(D699="SINAPI-I",VLOOKUP(B699,'20-A.SINAPI-I'!A:G,7,0),IF(D699="COMPOSIÇÕES",VLOOKUP(B699,'11.COMPOSIÇÕES GERAIS'!B:I,8,0),VLOOKUP(B699,'12.COT.MERCADO'!A:I,8,0)))),"Em Elaboração")</f>
        <v>3.61</v>
      </c>
      <c r="J699" s="259">
        <f t="shared" si="166"/>
        <v>0</v>
      </c>
      <c r="K699" s="259">
        <f t="shared" si="167"/>
        <v>4.228517852</v>
      </c>
      <c r="L699" s="259">
        <f t="shared" si="168"/>
        <v>4.228517852</v>
      </c>
      <c r="M699" s="259">
        <f t="shared" si="169"/>
        <v>0</v>
      </c>
      <c r="N699" s="259">
        <f t="shared" si="170"/>
        <v>63.42776779</v>
      </c>
      <c r="O699" s="259">
        <f t="shared" si="171"/>
        <v>63.42776779</v>
      </c>
      <c r="P699" s="586">
        <f t="shared" si="3"/>
        <v>0.0003457635403</v>
      </c>
    </row>
    <row r="700">
      <c r="A700" s="253" t="s">
        <v>1390</v>
      </c>
      <c r="B700" s="254">
        <v>21127.0</v>
      </c>
      <c r="C700" s="255" t="str">
        <f t="shared" si="165"/>
        <v>SINAPI</v>
      </c>
      <c r="D700" s="256" t="s">
        <v>286</v>
      </c>
      <c r="E700" s="257" t="str">
        <f>IFERROR(IF(D700="SINAPI-S",VLOOKUP(B700,'20-B.SINAPI-S'!A:J,2,0),IF(D700="SINAPI-I",VLOOKUP(B700,'20-A.SINAPI-I'!A:G,2,0),IF(D700="COMPOSIÇÕES",VLOOKUP(B700,'11.COMPOSIÇÕES GERAIS'!B:I,2,0),VLOOKUP(B700,'12.COT.MERCADO'!A:I,2,0)))),"Em Elaboração")</f>
        <v>FITA ISOLANTE ADESIVA ANTICHAMA, USO ATE 750 V, EM ROLO DE 19 MM X 5 M</v>
      </c>
      <c r="F700" s="258" t="str">
        <f>IFERROR(IF(D700="SINAPI-S",VLOOKUP(B700,'20-B.SINAPI-S'!A:J,3,0),IF(D700="SINAPI-I",VLOOKUP(B700,'20-A.SINAPI-I'!A:G,3,0),IF(D700="COMPOSIÇÕES",VLOOKUP(B700,'11.COMPOSIÇÕES GERAIS'!B:I,3,0),VLOOKUP(B700,'12.COT.MERCADO'!A:I,7,0)))),"Em Elaboração")</f>
        <v>UN</v>
      </c>
      <c r="G700" s="254">
        <v>5.0</v>
      </c>
      <c r="H700" s="259">
        <f>IFERROR(IF(D700="SINAPI-S",VLOOKUP(B700,'20-B.SINAPI-S'!A:J,5,0),IF(D700="SINAPI-I",VLOOKUP(B700,'20-A.SINAPI-I'!A:G,6,0),IF(D700="COMPOSIÇÕES",VLOOKUP(B700,'11.COMPOSIÇÕES GERAIS'!B:I,7,0),0))),"Em Elaboração")</f>
        <v>0</v>
      </c>
      <c r="I700" s="259">
        <f>IFERROR(IF(D700="SINAPI-S",VLOOKUP(B700,'20-B.SINAPI-S'!A:J,6,0),IF(D700="SINAPI-I",VLOOKUP(B700,'20-A.SINAPI-I'!A:G,7,0),IF(D700="COMPOSIÇÕES",VLOOKUP(B700,'11.COMPOSIÇÕES GERAIS'!B:I,8,0),VLOOKUP(B700,'12.COT.MERCADO'!A:I,8,0)))),"Em Elaboração")</f>
        <v>4.87</v>
      </c>
      <c r="J700" s="259">
        <f t="shared" si="166"/>
        <v>0</v>
      </c>
      <c r="K700" s="259">
        <f t="shared" si="167"/>
        <v>5.70439943</v>
      </c>
      <c r="L700" s="259">
        <f t="shared" si="168"/>
        <v>5.70439943</v>
      </c>
      <c r="M700" s="259">
        <f t="shared" si="169"/>
        <v>0</v>
      </c>
      <c r="N700" s="259">
        <f t="shared" si="170"/>
        <v>28.52199715</v>
      </c>
      <c r="O700" s="259">
        <f t="shared" si="171"/>
        <v>28.52199715</v>
      </c>
      <c r="P700" s="586">
        <f t="shared" si="3"/>
        <v>0.0001554818505</v>
      </c>
    </row>
    <row r="701">
      <c r="A701" s="253" t="s">
        <v>1391</v>
      </c>
      <c r="B701" s="254">
        <v>11953.0</v>
      </c>
      <c r="C701" s="255" t="str">
        <f t="shared" si="165"/>
        <v>SINAPI</v>
      </c>
      <c r="D701" s="256" t="s">
        <v>286</v>
      </c>
      <c r="E701" s="257" t="str">
        <f>IFERROR(IF(D701="SINAPI-S",VLOOKUP(B701,'20-B.SINAPI-S'!A:J,2,0),IF(D701="SINAPI-I",VLOOKUP(B701,'20-A.SINAPI-I'!A:G,2,0),IF(D701="COMPOSIÇÕES",VLOOKUP(B701,'11.COMPOSIÇÕES GERAIS'!B:I,2,0),VLOOKUP(B701,'12.COT.MERCADO'!A:I,2,0)))),"Em Elaboração")</f>
        <v>PARAFUSO FRANCES ZINCADO, DIAMETRO 1/2'', COMPRIMENTO 2'', COM PORCA E ARRUELA</v>
      </c>
      <c r="F701" s="258" t="str">
        <f>IFERROR(IF(D701="SINAPI-S",VLOOKUP(B701,'20-B.SINAPI-S'!A:J,3,0),IF(D701="SINAPI-I",VLOOKUP(B701,'20-A.SINAPI-I'!A:G,3,0),IF(D701="COMPOSIÇÕES",VLOOKUP(B701,'11.COMPOSIÇÕES GERAIS'!B:I,3,0),VLOOKUP(B701,'12.COT.MERCADO'!A:I,7,0)))),"Em Elaboração")</f>
        <v>UN</v>
      </c>
      <c r="G701" s="254">
        <v>1.0</v>
      </c>
      <c r="H701" s="259">
        <f>IFERROR(IF(D701="SINAPI-S",VLOOKUP(B701,'20-B.SINAPI-S'!A:J,5,0),IF(D701="SINAPI-I",VLOOKUP(B701,'20-A.SINAPI-I'!A:G,6,0),IF(D701="COMPOSIÇÕES",VLOOKUP(B701,'11.COMPOSIÇÕES GERAIS'!B:I,7,0),0))),"Em Elaboração")</f>
        <v>0</v>
      </c>
      <c r="I701" s="259">
        <f>IFERROR(IF(D701="SINAPI-S",VLOOKUP(B701,'20-B.SINAPI-S'!A:J,6,0),IF(D701="SINAPI-I",VLOOKUP(B701,'20-A.SINAPI-I'!A:G,7,0),IF(D701="COMPOSIÇÕES",VLOOKUP(B701,'11.COMPOSIÇÕES GERAIS'!B:I,8,0),VLOOKUP(B701,'12.COT.MERCADO'!A:I,8,0)))),"Em Elaboração")</f>
        <v>3.61</v>
      </c>
      <c r="J701" s="259">
        <f t="shared" si="166"/>
        <v>0</v>
      </c>
      <c r="K701" s="259">
        <f t="shared" si="167"/>
        <v>4.228517852</v>
      </c>
      <c r="L701" s="259">
        <f t="shared" si="168"/>
        <v>4.228517852</v>
      </c>
      <c r="M701" s="259">
        <f t="shared" si="169"/>
        <v>0</v>
      </c>
      <c r="N701" s="259">
        <f t="shared" si="170"/>
        <v>4.228517852</v>
      </c>
      <c r="O701" s="259">
        <f t="shared" si="171"/>
        <v>4.228517852</v>
      </c>
      <c r="P701" s="586">
        <f t="shared" si="3"/>
        <v>0.00002305090268</v>
      </c>
    </row>
    <row r="702">
      <c r="A702" s="253" t="s">
        <v>1392</v>
      </c>
      <c r="B702" s="254">
        <v>4227.0</v>
      </c>
      <c r="C702" s="255" t="str">
        <f t="shared" si="165"/>
        <v>SINAPI</v>
      </c>
      <c r="D702" s="256" t="s">
        <v>286</v>
      </c>
      <c r="E702" s="257" t="str">
        <f>IFERROR(IF(D702="SINAPI-S",VLOOKUP(B702,'20-B.SINAPI-S'!A:J,2,0),IF(D702="SINAPI-I",VLOOKUP(B702,'20-A.SINAPI-I'!A:G,2,0),IF(D702="COMPOSIÇÕES",VLOOKUP(B702,'11.COMPOSIÇÕES GERAIS'!B:I,2,0),VLOOKUP(B702,'12.COT.MERCADO'!A:I,2,0)))),"Em Elaboração")</f>
        <v>OLEO LUBRIFICANTE PARA MOTORES DE EQUIPAMENTOS PESADOS (CAMINHOES, TRATORES, RETROS E ETC)</v>
      </c>
      <c r="F702" s="258" t="str">
        <f>IFERROR(IF(D702="SINAPI-S",VLOOKUP(B702,'20-B.SINAPI-S'!A:J,3,0),IF(D702="SINAPI-I",VLOOKUP(B702,'20-A.SINAPI-I'!A:G,3,0),IF(D702="COMPOSIÇÕES",VLOOKUP(B702,'11.COMPOSIÇÕES GERAIS'!B:I,3,0),VLOOKUP(B702,'12.COT.MERCADO'!A:I,7,0)))),"Em Elaboração")</f>
        <v>L</v>
      </c>
      <c r="G702" s="254">
        <v>20.0</v>
      </c>
      <c r="H702" s="259">
        <f>IFERROR(IF(D702="SINAPI-S",VLOOKUP(B702,'20-B.SINAPI-S'!A:J,5,0),IF(D702="SINAPI-I",VLOOKUP(B702,'20-A.SINAPI-I'!A:G,6,0),IF(D702="COMPOSIÇÕES",VLOOKUP(B702,'11.COMPOSIÇÕES GERAIS'!B:I,7,0),0))),"Em Elaboração")</f>
        <v>0</v>
      </c>
      <c r="I702" s="259">
        <f>IFERROR(IF(D702="SINAPI-S",VLOOKUP(B702,'20-B.SINAPI-S'!A:J,6,0),IF(D702="SINAPI-I",VLOOKUP(B702,'20-A.SINAPI-I'!A:G,7,0),IF(D702="COMPOSIÇÕES",VLOOKUP(B702,'11.COMPOSIÇÕES GERAIS'!B:I,8,0),VLOOKUP(B702,'12.COT.MERCADO'!A:I,8,0)))),"Em Elaboração")</f>
        <v>22.38</v>
      </c>
      <c r="J702" s="259">
        <f t="shared" si="166"/>
        <v>0</v>
      </c>
      <c r="K702" s="259">
        <f t="shared" si="167"/>
        <v>26.21446802</v>
      </c>
      <c r="L702" s="259">
        <f t="shared" si="168"/>
        <v>26.21446802</v>
      </c>
      <c r="M702" s="259">
        <f t="shared" si="169"/>
        <v>0</v>
      </c>
      <c r="N702" s="259">
        <f t="shared" si="170"/>
        <v>524.2893603</v>
      </c>
      <c r="O702" s="259">
        <f t="shared" si="171"/>
        <v>524.2893603</v>
      </c>
      <c r="P702" s="586">
        <f t="shared" si="3"/>
        <v>0.002858056521</v>
      </c>
    </row>
    <row r="703">
      <c r="A703" s="253" t="s">
        <v>1393</v>
      </c>
      <c r="B703" s="254">
        <v>1022.0</v>
      </c>
      <c r="C703" s="255" t="str">
        <f t="shared" si="165"/>
        <v>SINAPI</v>
      </c>
      <c r="D703" s="256" t="s">
        <v>286</v>
      </c>
      <c r="E703" s="257" t="str">
        <f>IFERROR(IF(D703="SINAPI-S",VLOOKUP(B703,'20-B.SINAPI-S'!A:J,2,0),IF(D703="SINAPI-I",VLOOKUP(B703,'20-A.SINAPI-I'!A:G,2,0),IF(D703="COMPOSIÇÕES",VLOOKUP(B703,'11.COMPOSIÇÕES GERAIS'!B:I,2,0),VLOOKUP(B703,'12.COT.MERCADO'!A:I,2,0)))),"Em Elaboração")</f>
        <v>CABO DE COBRE, FLEXIVEL, CLASSE 4 OU 5, ISOLACAO EM PVC/A, ANTICHAMA BWF-B, COBERTURA PVC-ST1, ANTICHAMA BWF-B, 1 CONDUTOR, 0,6/1 KV, SECAO NOMINAL 2,5 MM2</v>
      </c>
      <c r="F703" s="258" t="str">
        <f>IFERROR(IF(D703="SINAPI-S",VLOOKUP(B703,'20-B.SINAPI-S'!A:J,3,0),IF(D703="SINAPI-I",VLOOKUP(B703,'20-A.SINAPI-I'!A:G,3,0),IF(D703="COMPOSIÇÕES",VLOOKUP(B703,'11.COMPOSIÇÕES GERAIS'!B:I,3,0),VLOOKUP(B703,'12.COT.MERCADO'!A:I,7,0)))),"Em Elaboração")</f>
        <v>M</v>
      </c>
      <c r="G703" s="254">
        <v>100.0</v>
      </c>
      <c r="H703" s="259">
        <f>IFERROR(IF(D703="SINAPI-S",VLOOKUP(B703,'20-B.SINAPI-S'!A:J,5,0),IF(D703="SINAPI-I",VLOOKUP(B703,'20-A.SINAPI-I'!A:G,6,0),IF(D703="COMPOSIÇÕES",VLOOKUP(B703,'11.COMPOSIÇÕES GERAIS'!B:I,7,0),0))),"Em Elaboração")</f>
        <v>0</v>
      </c>
      <c r="I703" s="259">
        <f>IFERROR(IF(D703="SINAPI-S",VLOOKUP(B703,'20-B.SINAPI-S'!A:J,6,0),IF(D703="SINAPI-I",VLOOKUP(B703,'20-A.SINAPI-I'!A:G,7,0),IF(D703="COMPOSIÇÕES",VLOOKUP(B703,'11.COMPOSIÇÕES GERAIS'!B:I,8,0),VLOOKUP(B703,'12.COT.MERCADO'!A:I,8,0)))),"Em Elaboração")</f>
        <v>2.57</v>
      </c>
      <c r="J703" s="259">
        <f t="shared" si="166"/>
        <v>0</v>
      </c>
      <c r="K703" s="259">
        <f t="shared" si="167"/>
        <v>3.010329884</v>
      </c>
      <c r="L703" s="259">
        <f t="shared" si="168"/>
        <v>3.010329884</v>
      </c>
      <c r="M703" s="259">
        <f t="shared" si="169"/>
        <v>0</v>
      </c>
      <c r="N703" s="259">
        <f t="shared" si="170"/>
        <v>301.0329884</v>
      </c>
      <c r="O703" s="259">
        <f t="shared" si="171"/>
        <v>301.0329884</v>
      </c>
      <c r="P703" s="586">
        <f t="shared" si="3"/>
        <v>0.001641019942</v>
      </c>
    </row>
    <row r="704">
      <c r="A704" s="253" t="s">
        <v>1394</v>
      </c>
      <c r="B704" s="254">
        <v>1021.0</v>
      </c>
      <c r="C704" s="255" t="str">
        <f t="shared" si="165"/>
        <v>SINAPI</v>
      </c>
      <c r="D704" s="256" t="s">
        <v>286</v>
      </c>
      <c r="E704" s="257" t="str">
        <f>IFERROR(IF(D704="SINAPI-S",VLOOKUP(B704,'20-B.SINAPI-S'!A:J,2,0),IF(D704="SINAPI-I",VLOOKUP(B704,'20-A.SINAPI-I'!A:G,2,0),IF(D704="COMPOSIÇÕES",VLOOKUP(B704,'11.COMPOSIÇÕES GERAIS'!B:I,2,0),VLOOKUP(B704,'12.COT.MERCADO'!A:I,2,0)))),"Em Elaboração")</f>
        <v>CABO DE COBRE, FLEXIVEL, CLASSE 4 OU 5, ISOLACAO EM PVC/A, ANTICHAMA BWF-B, COBERTURA PVC-ST1, ANTICHAMA BWF-B, 1 CONDUTOR, 0,6/1 KV, SECAO NOMINAL 4 MM2</v>
      </c>
      <c r="F704" s="258" t="str">
        <f>IFERROR(IF(D704="SINAPI-S",VLOOKUP(B704,'20-B.SINAPI-S'!A:J,3,0),IF(D704="SINAPI-I",VLOOKUP(B704,'20-A.SINAPI-I'!A:G,3,0),IF(D704="COMPOSIÇÕES",VLOOKUP(B704,'11.COMPOSIÇÕES GERAIS'!B:I,3,0),VLOOKUP(B704,'12.COT.MERCADO'!A:I,7,0)))),"Em Elaboração")</f>
        <v>M</v>
      </c>
      <c r="G704" s="254">
        <v>100.0</v>
      </c>
      <c r="H704" s="259">
        <f>IFERROR(IF(D704="SINAPI-S",VLOOKUP(B704,'20-B.SINAPI-S'!A:J,5,0),IF(D704="SINAPI-I",VLOOKUP(B704,'20-A.SINAPI-I'!A:G,6,0),IF(D704="COMPOSIÇÕES",VLOOKUP(B704,'11.COMPOSIÇÕES GERAIS'!B:I,7,0),0))),"Em Elaboração")</f>
        <v>0</v>
      </c>
      <c r="I704" s="259">
        <f>IFERROR(IF(D704="SINAPI-S",VLOOKUP(B704,'20-B.SINAPI-S'!A:J,6,0),IF(D704="SINAPI-I",VLOOKUP(B704,'20-A.SINAPI-I'!A:G,7,0),IF(D704="COMPOSIÇÕES",VLOOKUP(B704,'11.COMPOSIÇÕES GERAIS'!B:I,8,0),VLOOKUP(B704,'12.COT.MERCADO'!A:I,8,0)))),"Em Elaboração")</f>
        <v>3.94</v>
      </c>
      <c r="J704" s="259">
        <f t="shared" si="166"/>
        <v>0</v>
      </c>
      <c r="K704" s="259">
        <f t="shared" si="167"/>
        <v>4.615058265</v>
      </c>
      <c r="L704" s="259">
        <f t="shared" si="168"/>
        <v>4.615058265</v>
      </c>
      <c r="M704" s="259">
        <f t="shared" si="169"/>
        <v>0</v>
      </c>
      <c r="N704" s="259">
        <f t="shared" si="170"/>
        <v>461.5058265</v>
      </c>
      <c r="O704" s="259">
        <f t="shared" si="171"/>
        <v>461.5058265</v>
      </c>
      <c r="P704" s="586">
        <f t="shared" si="3"/>
        <v>0.002515804891</v>
      </c>
    </row>
    <row r="705">
      <c r="A705" s="253" t="s">
        <v>1395</v>
      </c>
      <c r="B705" s="254">
        <v>4221.0</v>
      </c>
      <c r="C705" s="255" t="str">
        <f t="shared" si="165"/>
        <v>SINAPI</v>
      </c>
      <c r="D705" s="256" t="s">
        <v>286</v>
      </c>
      <c r="E705" s="257" t="str">
        <f>IFERROR(IF(D705="SINAPI-S",VLOOKUP(B705,'20-B.SINAPI-S'!A:J,2,0),IF(D705="SINAPI-I",VLOOKUP(B705,'20-A.SINAPI-I'!A:G,2,0),IF(D705="COMPOSIÇÕES",VLOOKUP(B705,'11.COMPOSIÇÕES GERAIS'!B:I,2,0),VLOOKUP(B705,'12.COT.MERCADO'!A:I,2,0)))),"Em Elaboração")</f>
        <v>OLEO DIESEL COMBUSTIVEL COMUM</v>
      </c>
      <c r="F705" s="258" t="str">
        <f>IFERROR(IF(D705="SINAPI-S",VLOOKUP(B705,'20-B.SINAPI-S'!A:J,3,0),IF(D705="SINAPI-I",VLOOKUP(B705,'20-A.SINAPI-I'!A:G,3,0),IF(D705="COMPOSIÇÕES",VLOOKUP(B705,'11.COMPOSIÇÕES GERAIS'!B:I,3,0),VLOOKUP(B705,'12.COT.MERCADO'!A:I,7,0)))),"Em Elaboração")</f>
        <v>L</v>
      </c>
      <c r="G705" s="254">
        <v>1000.0</v>
      </c>
      <c r="H705" s="259">
        <f>IFERROR(IF(D705="SINAPI-S",VLOOKUP(B705,'20-B.SINAPI-S'!A:J,5,0),IF(D705="SINAPI-I",VLOOKUP(B705,'20-A.SINAPI-I'!A:G,6,0),IF(D705="COMPOSIÇÕES",VLOOKUP(B705,'11.COMPOSIÇÕES GERAIS'!B:I,7,0),0))),"Em Elaboração")</f>
        <v>0</v>
      </c>
      <c r="I705" s="259">
        <f>IFERROR(IF(D705="SINAPI-S",VLOOKUP(B705,'20-B.SINAPI-S'!A:J,6,0),IF(D705="SINAPI-I",VLOOKUP(B705,'20-A.SINAPI-I'!A:G,7,0),IF(D705="COMPOSIÇÕES",VLOOKUP(B705,'11.COMPOSIÇÕES GERAIS'!B:I,8,0),VLOOKUP(B705,'12.COT.MERCADO'!A:I,8,0)))),"Em Elaboração")</f>
        <v>4.55</v>
      </c>
      <c r="J705" s="259">
        <f t="shared" si="166"/>
        <v>0</v>
      </c>
      <c r="K705" s="259">
        <f t="shared" si="167"/>
        <v>5.329572362</v>
      </c>
      <c r="L705" s="259">
        <f t="shared" si="168"/>
        <v>5.329572362</v>
      </c>
      <c r="M705" s="259">
        <f t="shared" si="169"/>
        <v>0</v>
      </c>
      <c r="N705" s="259">
        <f t="shared" si="170"/>
        <v>5329.572362</v>
      </c>
      <c r="O705" s="259">
        <f t="shared" si="171"/>
        <v>5329.572362</v>
      </c>
      <c r="P705" s="586">
        <f t="shared" si="3"/>
        <v>0.02905307679</v>
      </c>
    </row>
    <row r="706">
      <c r="A706" s="269"/>
      <c r="B706" s="270"/>
      <c r="L706" s="271" t="s">
        <v>1396</v>
      </c>
      <c r="M706" s="272">
        <f t="shared" ref="M706:O706" si="172">SUM(M11)</f>
        <v>0</v>
      </c>
      <c r="N706" s="272">
        <f t="shared" si="172"/>
        <v>183442.6144</v>
      </c>
      <c r="O706" s="272">
        <f t="shared" si="172"/>
        <v>183442.6144</v>
      </c>
    </row>
    <row r="707">
      <c r="A707" s="269"/>
      <c r="B707" s="270"/>
      <c r="M707" s="273">
        <f t="shared" ref="M707:N707" si="173">M706/$O706</f>
        <v>0</v>
      </c>
      <c r="N707" s="273">
        <f t="shared" si="173"/>
        <v>1</v>
      </c>
    </row>
    <row r="708">
      <c r="A708" s="269"/>
      <c r="B708" s="270"/>
      <c r="M708" s="274"/>
      <c r="N708" s="274"/>
      <c r="O708" s="275"/>
      <c r="P708" s="275"/>
    </row>
    <row r="709">
      <c r="A709" s="269"/>
      <c r="B709" s="270"/>
      <c r="L709" s="276"/>
      <c r="M709" s="277" t="s">
        <v>1397</v>
      </c>
      <c r="N709" s="27"/>
      <c r="O709" s="278">
        <f>SUMPRODUCT(H11:H705,G11:G705)+SUMPRODUCT(I11:I705,G11:G705)</f>
        <v>156609.9189</v>
      </c>
      <c r="P709" s="27"/>
    </row>
    <row r="710">
      <c r="A710" s="269"/>
      <c r="B710" s="270"/>
      <c r="L710" s="280"/>
      <c r="M710" s="281" t="s">
        <v>1398</v>
      </c>
      <c r="N710" s="50"/>
      <c r="O710" s="282">
        <f>O711-O709</f>
        <v>26832.69548</v>
      </c>
      <c r="P710" s="50"/>
    </row>
    <row r="711">
      <c r="A711" s="269"/>
      <c r="B711" s="270"/>
      <c r="L711" s="280"/>
      <c r="M711" s="281" t="s">
        <v>1399</v>
      </c>
      <c r="N711" s="50"/>
      <c r="O711" s="283">
        <f>SUM(O11)</f>
        <v>183442.6144</v>
      </c>
      <c r="P711" s="50"/>
    </row>
    <row r="712">
      <c r="A712" s="269"/>
      <c r="B712" s="270"/>
    </row>
  </sheetData>
  <mergeCells count="48">
    <mergeCell ref="M711:N711"/>
    <mergeCell ref="O711:P711"/>
    <mergeCell ref="B677:L677"/>
    <mergeCell ref="B685:L685"/>
    <mergeCell ref="B691:L691"/>
    <mergeCell ref="M709:N709"/>
    <mergeCell ref="O709:P709"/>
    <mergeCell ref="M710:N710"/>
    <mergeCell ref="O710:P710"/>
    <mergeCell ref="A1:C1"/>
    <mergeCell ref="E1:L1"/>
    <mergeCell ref="M1:N1"/>
    <mergeCell ref="O1:P1"/>
    <mergeCell ref="F3:H3"/>
    <mergeCell ref="J3:O3"/>
    <mergeCell ref="F4:H5"/>
    <mergeCell ref="F9:F10"/>
    <mergeCell ref="G9:G10"/>
    <mergeCell ref="H9:I9"/>
    <mergeCell ref="J9:L9"/>
    <mergeCell ref="J7:O7"/>
    <mergeCell ref="J8:O8"/>
    <mergeCell ref="A9:A10"/>
    <mergeCell ref="B9:B10"/>
    <mergeCell ref="C9:C10"/>
    <mergeCell ref="D9:D10"/>
    <mergeCell ref="M9:O9"/>
    <mergeCell ref="E9:E10"/>
    <mergeCell ref="B11:L11"/>
    <mergeCell ref="B12:L12"/>
    <mergeCell ref="B152:L152"/>
    <mergeCell ref="B451:L451"/>
    <mergeCell ref="B489:L489"/>
    <mergeCell ref="B498:L498"/>
    <mergeCell ref="B499:L499"/>
    <mergeCell ref="B528:L528"/>
    <mergeCell ref="B541:L541"/>
    <mergeCell ref="B545:L545"/>
    <mergeCell ref="B548:L548"/>
    <mergeCell ref="B556:L556"/>
    <mergeCell ref="B569:L569"/>
    <mergeCell ref="B572:L572"/>
    <mergeCell ref="B585:L585"/>
    <mergeCell ref="B623:L623"/>
    <mergeCell ref="B642:L642"/>
    <mergeCell ref="B648:L648"/>
    <mergeCell ref="B654:L654"/>
    <mergeCell ref="B667:L667"/>
  </mergeCells>
  <dataValidations>
    <dataValidation type="list" allowBlank="1" showErrorMessage="1" sqref="D13:D151 D153:D450 D452:D488 D490:D497 D500:D527 D529:D540 D542:D544 D546:D547 D549:D555 D557:D568 D570:D571 D573:D584 D586:D622 D624:D641 D643:D647 D649:D653 D655:D666 D668:D676 D678:D684 D686:D690 D692:D705">
      <formula1>"SINAPI-S,SINAPI-I,COMPOSIÇÕES,COT.MERCADO"</formula1>
    </dataValidation>
  </dataValidations>
  <hyperlinks>
    <hyperlink display="SUMÁRIO" location="'QUADRO RESUMO'!B16:D17" ref="O1"/>
  </hyperlinks>
  <printOptions/>
  <pageMargins bottom="0.75" footer="0.0" header="0.0" left="0.25" right="0.25" top="0.75"/>
  <pageSetup fitToHeight="0" paperSize="9"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2CC"/>
    <pageSetUpPr/>
  </sheetPr>
  <sheetViews>
    <sheetView showGridLines="0" workbookViewId="0"/>
  </sheetViews>
  <sheetFormatPr customHeight="1" defaultColWidth="14.43" defaultRowHeight="15.0"/>
  <cols>
    <col customWidth="1" min="1" max="1" width="10.43"/>
    <col customWidth="1" min="2" max="2" width="13.57"/>
    <col customWidth="1" min="3" max="3" width="17.86"/>
    <col customWidth="1" min="4" max="4" width="20.57"/>
    <col customWidth="1" min="5" max="5" width="49.43"/>
    <col customWidth="1" min="6" max="6" width="8.71"/>
    <col customWidth="1" min="7" max="7" width="12.43"/>
    <col customWidth="1" min="8" max="8" width="20.71"/>
  </cols>
  <sheetData>
    <row r="1" ht="52.5" customHeight="1">
      <c r="A1" s="487" t="s">
        <v>1712</v>
      </c>
      <c r="B1" s="36"/>
      <c r="C1" s="594"/>
      <c r="D1" s="595" t="s">
        <v>1713</v>
      </c>
      <c r="E1" s="546"/>
      <c r="F1" s="287" t="s">
        <v>29</v>
      </c>
      <c r="G1" s="44"/>
    </row>
    <row r="2" ht="18.0" customHeight="1">
      <c r="A2" s="596" t="s">
        <v>29</v>
      </c>
      <c r="B2" s="597" t="s">
        <v>1714</v>
      </c>
      <c r="C2" s="598"/>
      <c r="D2" s="598"/>
      <c r="E2" s="599"/>
      <c r="F2" s="600" t="s">
        <v>57</v>
      </c>
      <c r="G2" s="495"/>
    </row>
    <row r="3" ht="31.5" customHeight="1">
      <c r="A3" s="601" t="s">
        <v>1715</v>
      </c>
      <c r="B3" s="44"/>
      <c r="C3" s="44"/>
      <c r="D3" s="44"/>
      <c r="E3" s="320"/>
      <c r="F3" s="602" t="s">
        <v>1716</v>
      </c>
      <c r="G3" s="320"/>
    </row>
    <row r="4" ht="14.25" customHeight="1">
      <c r="A4" s="603" t="s">
        <v>79</v>
      </c>
      <c r="B4" s="604" t="s">
        <v>1717</v>
      </c>
      <c r="C4" s="604" t="s">
        <v>1718</v>
      </c>
      <c r="D4" s="603" t="s">
        <v>1719</v>
      </c>
      <c r="E4" s="605" t="s">
        <v>8</v>
      </c>
      <c r="F4" s="606" t="s">
        <v>1720</v>
      </c>
      <c r="G4" s="606" t="s">
        <v>1721</v>
      </c>
    </row>
    <row r="5" ht="57.0" customHeight="1">
      <c r="A5" s="607">
        <v>1.0</v>
      </c>
      <c r="B5" s="607">
        <v>40864.0</v>
      </c>
      <c r="C5" s="607" t="str">
        <f>IF($D5="COMP. UNIT.","PRÓPRIO",IF(OR(D5="SINAPI-S",D5="SINAPI-I"),"SINAPI",IF($D5="OUTRAS BASES",VLOOKUP($B5,#REF!,2,0),IF($D5="COT. DE MERC.","COT. DE MERCADO","ERRO"))))</f>
        <v>SINAPI</v>
      </c>
      <c r="D5" s="607" t="s">
        <v>286</v>
      </c>
      <c r="E5" s="608" t="str">
        <f>IF($D5="SINAPI-I",VLOOKUP($B5,'20-A.SINAPI-I'!$A:$D,2,0),IF($D5="SINAPI-S",VLOOKUP($B5,#REF!,2,0),IF($D5="OUTRAS BASES",VLOOKUP($B5,#REF!,4,0),IF($D5="COT. DE MERC.",VLOOKUP($B5,'12.COT.MERCADO'!$A:$I,2,0),VLOOKUP($B5,'10. COMPOSIÇÕES ESPECIALIZADOS '!$A:$J,4,0)))))</f>
        <v>SEGURO - MENSALISTA (COLETADO CAIXA - ENCARGOS COMPLEMENTARES)</v>
      </c>
      <c r="F5" s="607" t="str">
        <f>IF($D5="SINAPI-I",VLOOKUP($B5,'20-A.SINAPI-I'!$A:$D,3,0),IF($D5="SINAPI-S",VLOOKUP($B5,#REF!,3,0),IF($D5="OUTRAS BASES",VLOOKUP($B5,#REF!,5,0),IF($D5="COT. DE MERC.",VLOOKUP($B5,'12.COT.MERCADO'!$A:$I,7,0),VLOOKUP($B5,'10. COMPOSIÇÕES ESPECIALIZADOS '!$A:$J,5,0)))))</f>
        <v>MES</v>
      </c>
      <c r="G5" s="609">
        <f>IF($D5="SINAPI-I",VLOOKUP($B5,'20-A.SINAPI-I'!$A:$D,4,0),IF($D5="SINAPI-S",VLOOKUP($B5,#REF!,4,0),IF($D5="OUTRAS BASES",VLOOKUP($B5,#REF!,6,0),IF($D5="COT. DE MERC.",VLOOKUP($B5,'12.COT.MERCADO'!$A:$I,8,0),VLOOKUP($B5,'10. COMPOSIÇÕES ESPECIALIZADOS '!$A:$J,9,0)))))/2</f>
        <v>6.445</v>
      </c>
      <c r="H5" s="610" t="s">
        <v>1722</v>
      </c>
    </row>
    <row r="6" ht="32.25" customHeight="1">
      <c r="A6" s="607">
        <v>2.0</v>
      </c>
      <c r="B6" s="607"/>
      <c r="C6" s="611" t="s">
        <v>1723</v>
      </c>
      <c r="D6" s="611" t="s">
        <v>1724</v>
      </c>
      <c r="E6" s="612" t="s">
        <v>1725</v>
      </c>
      <c r="F6" s="611" t="s">
        <v>95</v>
      </c>
      <c r="G6" s="613">
        <v>560.0</v>
      </c>
    </row>
    <row r="7" ht="14.25" customHeight="1">
      <c r="E7" s="614" t="s">
        <v>1726</v>
      </c>
    </row>
    <row r="8" ht="14.25" customHeight="1"/>
  </sheetData>
  <mergeCells count="6">
    <mergeCell ref="A1:B1"/>
    <mergeCell ref="D1:E1"/>
    <mergeCell ref="F1:G1"/>
    <mergeCell ref="F2:G2"/>
    <mergeCell ref="A3:E3"/>
    <mergeCell ref="F3:G3"/>
  </mergeCells>
  <dataValidations>
    <dataValidation type="list" allowBlank="1" showErrorMessage="1" sqref="D5">
      <formula1>"SINAPI-I,SINAPI-S,COT.MERCADO,Comp.Clima,Comp.Eventual"</formula1>
    </dataValidation>
  </dataValidations>
  <hyperlinks>
    <hyperlink display="SUMÁRIO" location="'QUADRO RESUMO'!B16:D17" ref="F1"/>
    <hyperlink display="SUMÁRIO" location="null!A2:C2" ref="A2"/>
    <hyperlink r:id="rId1" ref="E7"/>
  </hyperlinks>
  <printOptions/>
  <pageMargins bottom="0.75" footer="0.0" header="0.0" left="0.25" right="0.25" top="0.75"/>
  <pageSetup paperSize="9" scale="71"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6B26B"/>
    <pageSetUpPr fitToPage="1"/>
  </sheetPr>
  <sheetViews>
    <sheetView showGridLines="0" workbookViewId="0"/>
  </sheetViews>
  <sheetFormatPr customHeight="1" defaultColWidth="14.43" defaultRowHeight="15.0"/>
  <cols>
    <col customWidth="1" min="1" max="1" width="19.57"/>
    <col customWidth="1" min="2" max="2" width="11.86"/>
    <col customWidth="1" min="3" max="3" width="104.86"/>
    <col customWidth="1" min="4" max="4" width="4.86"/>
    <col customWidth="1" min="5" max="5" width="8.71"/>
    <col customWidth="1" min="6" max="6" width="15.29"/>
    <col customWidth="1" min="7" max="7" width="9.43"/>
    <col customWidth="1" min="8" max="8" width="8.71"/>
    <col customWidth="1" min="9" max="9" width="11.43"/>
    <col customWidth="1" min="10" max="10" width="9.43"/>
  </cols>
  <sheetData>
    <row r="1" ht="53.25" customHeight="1">
      <c r="A1" s="487" t="s">
        <v>1727</v>
      </c>
      <c r="B1" s="36"/>
      <c r="C1" s="615" t="s">
        <v>39</v>
      </c>
      <c r="D1" s="44"/>
      <c r="E1" s="44"/>
      <c r="F1" s="488"/>
      <c r="G1" s="488"/>
      <c r="H1" s="488"/>
      <c r="I1" s="287" t="s">
        <v>29</v>
      </c>
      <c r="J1" s="44"/>
    </row>
    <row r="2" ht="27.75" customHeight="1">
      <c r="A2" s="616" t="s">
        <v>1728</v>
      </c>
      <c r="B2" s="44"/>
      <c r="C2" s="44"/>
      <c r="D2" s="44"/>
      <c r="E2" s="44"/>
      <c r="F2" s="44"/>
      <c r="G2" s="44"/>
      <c r="H2" s="44"/>
      <c r="I2" s="44"/>
      <c r="J2" s="320"/>
    </row>
    <row r="3" ht="26.25" customHeight="1">
      <c r="A3" s="617" t="s">
        <v>1729</v>
      </c>
      <c r="B3" s="618" t="s">
        <v>524</v>
      </c>
      <c r="C3" s="619" t="s">
        <v>1730</v>
      </c>
      <c r="D3" s="618" t="s">
        <v>1731</v>
      </c>
      <c r="E3" s="618"/>
      <c r="F3" s="618"/>
      <c r="G3" s="618"/>
      <c r="H3" s="620">
        <f t="shared" ref="H3:J3" si="1">SUM(H5:H16)</f>
        <v>4.90609</v>
      </c>
      <c r="I3" s="620">
        <f t="shared" si="1"/>
        <v>94.88794</v>
      </c>
      <c r="J3" s="621">
        <f t="shared" si="1"/>
        <v>99.79403</v>
      </c>
    </row>
    <row r="4">
      <c r="A4" s="622" t="s">
        <v>1732</v>
      </c>
      <c r="B4" s="622" t="s">
        <v>80</v>
      </c>
      <c r="C4" s="623" t="s">
        <v>8</v>
      </c>
      <c r="D4" s="624" t="s">
        <v>1733</v>
      </c>
      <c r="E4" s="624" t="s">
        <v>1734</v>
      </c>
      <c r="F4" s="624" t="s">
        <v>1735</v>
      </c>
      <c r="G4" s="624" t="s">
        <v>1736</v>
      </c>
      <c r="H4" s="624" t="s">
        <v>1737</v>
      </c>
      <c r="I4" s="624" t="s">
        <v>1738</v>
      </c>
      <c r="J4" s="624" t="s">
        <v>14</v>
      </c>
    </row>
    <row r="5">
      <c r="A5" s="625" t="s">
        <v>218</v>
      </c>
      <c r="B5" s="626">
        <v>88316.0</v>
      </c>
      <c r="C5" s="627" t="str">
        <f>IF(A5="SINAPI-S",VLOOKUP(B5,'20-B.SINAPI-S'!A:J,2,0),IF(A5="SINAPI-I",VLOOKUP(B5,'20-A.SINAPI-I'!A:E,2,0),VLOOKUP(B5,'12.COT.MERCADO'!A:H,2,0)))</f>
        <v>SERVENTE COM ENCARGOS COMPLEMENTARES</v>
      </c>
      <c r="D5" s="628" t="str">
        <f>IF(A5="SINAPI-S",VLOOKUP(B5,'20-B.SINAPI-S'!A:J,3,0),IF(A5="SINAPI-I",VLOOKUP(B5,'20-A.SINAPI-I'!A:E,3,0),VLOOKUP(B5,'12.COT.MERCADO'!A:H,7,0)))</f>
        <v>H</v>
      </c>
      <c r="E5" s="629">
        <f>IF(A5="SINAPI-S",VLOOKUP(B5,'20-B.SINAPI-S'!A:J,5,0),IF(A5="SINAPI-I",VLOOKUP(B5,'20-A.SINAPI-I'!A:G,6,0),0))</f>
        <v>17.42</v>
      </c>
      <c r="F5" s="629">
        <f>IF(A5="SINAPI-S",VLOOKUP(B5,'20-B.SINAPI-S'!A:J,6,0),IF(A5="SINAPI-I",VLOOKUP(B5,'20-A.SINAPI-I'!A:G,7,0),VLOOKUP(B5,'12.COT.MERCADO'!A:H,8,0)))</f>
        <v>7.7</v>
      </c>
      <c r="G5" s="630">
        <f t="shared" ref="G5:G6" si="2">0.057+0.052</f>
        <v>0.109</v>
      </c>
      <c r="H5" s="629">
        <f t="shared" ref="H5:H16" si="3">E5*G5</f>
        <v>1.89878</v>
      </c>
      <c r="I5" s="629">
        <f t="shared" ref="I5:I16" si="4">F5*G5</f>
        <v>0.8393</v>
      </c>
      <c r="J5" s="629">
        <f t="shared" ref="J5:J16" si="5">I5+H5</f>
        <v>2.73808</v>
      </c>
    </row>
    <row r="6">
      <c r="A6" s="630" t="s">
        <v>218</v>
      </c>
      <c r="B6" s="630">
        <v>100308.0</v>
      </c>
      <c r="C6" s="627" t="str">
        <f>IF(A6="SINAPI-S",VLOOKUP(B6,'20-B.SINAPI-S'!A:J,2,0),IF(A6="SINAPI-I",VLOOKUP(B6,'20-A.SINAPI-I'!A:E,2,0),VLOOKUP(B6,'12.COT.MERCADO'!A:H,2,0)))</f>
        <v>MECÂNICO DE REFRIGERAÇÃO COM ENCARGOS COMPLEMENTARES</v>
      </c>
      <c r="D6" s="628" t="str">
        <f>IF(A6="SINAPI-S",VLOOKUP(B6,'20-B.SINAPI-S'!A:J,3,0),IF(A6="SINAPI-I",VLOOKUP(B6,'20-A.SINAPI-I'!A:E,3,0),VLOOKUP(B6,'12.COT.MERCADO'!A:H,7,0)))</f>
        <v>H</v>
      </c>
      <c r="E6" s="629">
        <f>IF(A6="SINAPI-S",VLOOKUP(B6,'20-B.SINAPI-S'!A:J,5,0),IF(A6="SINAPI-I",VLOOKUP(B6,'20-A.SINAPI-I'!A:G,6,0),0))</f>
        <v>27.59</v>
      </c>
      <c r="F6" s="629">
        <f>IF(A6="SINAPI-S",VLOOKUP(B6,'20-B.SINAPI-S'!A:J,6,0),IF(A6="SINAPI-I",VLOOKUP(B6,'20-A.SINAPI-I'!A:G,7,0),VLOOKUP(B6,'12.COT.MERCADO'!A:H,8,0)))</f>
        <v>7.86</v>
      </c>
      <c r="G6" s="630">
        <f t="shared" si="2"/>
        <v>0.109</v>
      </c>
      <c r="H6" s="629">
        <f t="shared" si="3"/>
        <v>3.00731</v>
      </c>
      <c r="I6" s="629">
        <f t="shared" si="4"/>
        <v>0.85674</v>
      </c>
      <c r="J6" s="629">
        <f t="shared" si="5"/>
        <v>3.86405</v>
      </c>
    </row>
    <row r="7">
      <c r="A7" s="630" t="s">
        <v>286</v>
      </c>
      <c r="B7" s="631">
        <v>4376.0</v>
      </c>
      <c r="C7" s="627" t="str">
        <f>IF(A7="SINAPI-S",VLOOKUP(B7,'20-B.SINAPI-S'!A:J,2,0),IF(A7="SINAPI-I",VLOOKUP(B7,'20-A.SINAPI-I'!A:E,2,0),VLOOKUP(B7,'12.COT.MERCADO'!A:H,2,0)))</f>
        <v>BUCHA DE NYLON SEM ABA S8</v>
      </c>
      <c r="D7" s="626" t="str">
        <f>IF(A7="SINAPI-S",VLOOKUP(B7,'20-B.SINAPI-S'!A:J,3,0),IF(A7="SINAPI-I",VLOOKUP(B7,'20-A.SINAPI-I'!A:E,3,0),VLOOKUP(B7,'12.COT.MERCADO'!A:H,7,0)))</f>
        <v>UN</v>
      </c>
      <c r="E7" s="629">
        <f>IF(A7="SINAPI-S",VLOOKUP(B7,'20-B.SINAPI-S'!A:J,5,0),IF(A7="SINAPI-I",VLOOKUP(B7,'20-A.SINAPI-I'!A:G,6,0),0))</f>
        <v>0</v>
      </c>
      <c r="F7" s="629">
        <f>IF(A7="SINAPI-S",VLOOKUP(B7,'20-B.SINAPI-S'!A:J,6,0),IF(A7="SINAPI-I",VLOOKUP(B7,'20-A.SINAPI-I'!A:G,7,0),VLOOKUP(B7,'12.COT.MERCADO'!A:H,8,0)))</f>
        <v>0.23</v>
      </c>
      <c r="G7" s="630">
        <v>2.0</v>
      </c>
      <c r="H7" s="629">
        <f t="shared" si="3"/>
        <v>0</v>
      </c>
      <c r="I7" s="629">
        <f t="shared" si="4"/>
        <v>0.46</v>
      </c>
      <c r="J7" s="629">
        <f t="shared" si="5"/>
        <v>0.46</v>
      </c>
    </row>
    <row r="8">
      <c r="A8" s="630" t="s">
        <v>286</v>
      </c>
      <c r="B8" s="631">
        <v>39662.0</v>
      </c>
      <c r="C8" s="627" t="str">
        <f>IF(A8="SINAPI-S",VLOOKUP(B8,'20-B.SINAPI-S'!A:J,2,0),IF(A8="SINAPI-I",VLOOKUP(B8,'20-A.SINAPI-I'!A:E,2,0),VLOOKUP(B8,'12.COT.MERCADO'!A:H,2,0)))</f>
        <v>TUBO DE COBRE FLEXIVEL, D = 1/4 ", E = 0,79 MM, PARA AR-CONDICIONADO/ INSTALACOES GAS RESIDENCIAIS E COMERCIAIS</v>
      </c>
      <c r="D8" s="626" t="str">
        <f>IF(A8="SINAPI-S",VLOOKUP(B8,'20-B.SINAPI-S'!A:J,3,0),IF(A8="SINAPI-I",VLOOKUP(B8,'20-A.SINAPI-I'!A:E,3,0),VLOOKUP(B8,'12.COT.MERCADO'!A:H,7,0)))</f>
        <v>M</v>
      </c>
      <c r="E8" s="629">
        <f>IF(A8="SINAPI-S",VLOOKUP(B8,'20-B.SINAPI-S'!A:J,5,0),IF(A8="SINAPI-I",VLOOKUP(B8,'20-A.SINAPI-I'!A:G,6,0),0))</f>
        <v>0</v>
      </c>
      <c r="F8" s="629">
        <f>IF(A8="SINAPI-S",VLOOKUP(B8,'20-B.SINAPI-S'!A:J,6,0),IF(A8="SINAPI-I",VLOOKUP(B8,'20-A.SINAPI-I'!A:G,7,0),VLOOKUP(B8,'12.COT.MERCADO'!A:H,8,0)))</f>
        <v>19.02</v>
      </c>
      <c r="G8" s="630">
        <v>1.05</v>
      </c>
      <c r="H8" s="629">
        <f t="shared" si="3"/>
        <v>0</v>
      </c>
      <c r="I8" s="629">
        <f t="shared" si="4"/>
        <v>19.971</v>
      </c>
      <c r="J8" s="629">
        <f t="shared" si="5"/>
        <v>19.971</v>
      </c>
    </row>
    <row r="9">
      <c r="A9" s="630" t="s">
        <v>286</v>
      </c>
      <c r="B9" s="631">
        <v>39664.0</v>
      </c>
      <c r="C9" s="627" t="str">
        <f>IF(A9="SINAPI-S",VLOOKUP(B9,'20-B.SINAPI-S'!A:J,2,0),IF(A9="SINAPI-I",VLOOKUP(B9,'20-A.SINAPI-I'!A:E,2,0),VLOOKUP(B9,'12.COT.MERCADO'!A:H,2,0)))</f>
        <v>TUBO DE COBRE FLEXIVEL, D = 3/8 ", E = 0,79 MM, PARA AR-CONDICIONADO/ INSTALACOES GAS RESIDENCIAIS E COMERCIAIS</v>
      </c>
      <c r="D9" s="626" t="str">
        <f>IF(A9="SINAPI-S",VLOOKUP(B9,'20-B.SINAPI-S'!A:J,3,0),IF(A9="SINAPI-I",VLOOKUP(B9,'20-A.SINAPI-I'!A:E,3,0),VLOOKUP(B9,'12.COT.MERCADO'!A:H,7,0)))</f>
        <v>M</v>
      </c>
      <c r="E9" s="629">
        <f>IF(A9="SINAPI-S",VLOOKUP(B9,'20-B.SINAPI-S'!A:J,5,0),IF(A9="SINAPI-I",VLOOKUP(B9,'20-A.SINAPI-I'!A:G,6,0),0))</f>
        <v>0</v>
      </c>
      <c r="F9" s="629">
        <f>IF(A9="SINAPI-S",VLOOKUP(B9,'20-B.SINAPI-S'!A:J,6,0),IF(A9="SINAPI-I",VLOOKUP(B9,'20-A.SINAPI-I'!A:G,7,0),VLOOKUP(B9,'12.COT.MERCADO'!A:H,8,0)))</f>
        <v>29.27</v>
      </c>
      <c r="G9" s="630">
        <v>1.05</v>
      </c>
      <c r="H9" s="629">
        <f t="shared" si="3"/>
        <v>0</v>
      </c>
      <c r="I9" s="629">
        <f t="shared" si="4"/>
        <v>30.7335</v>
      </c>
      <c r="J9" s="629">
        <f t="shared" si="5"/>
        <v>30.7335</v>
      </c>
    </row>
    <row r="10">
      <c r="A10" s="630" t="s">
        <v>286</v>
      </c>
      <c r="B10" s="631">
        <v>39738.0</v>
      </c>
      <c r="C10" s="627" t="str">
        <f>IF(A10="SINAPI-S",VLOOKUP(B10,'20-B.SINAPI-S'!A:J,2,0),IF(A10="SINAPI-I",VLOOKUP(B10,'20-A.SINAPI-I'!A:E,2,0),VLOOKUP(B10,'12.COT.MERCADO'!A:H,2,0)))</f>
        <v>TUBO DE BORRACHA ELASTOMERICA FLEXIVEL, PRETA, PARA ISOLAMENTO TERMICO DE TUBULACAO, DN 1/4" (6 MM), E= 9 MM, COEFICIENTE DE CONDUTIVIDADE TERMICA 0,036W/mK, VAPOR DE AGUA MAIOR OU IGUAL A 10.000</v>
      </c>
      <c r="D10" s="626" t="str">
        <f>IF(A10="SINAPI-S",VLOOKUP(B10,'20-B.SINAPI-S'!A:J,3,0),IF(A10="SINAPI-I",VLOOKUP(B10,'20-A.SINAPI-I'!A:E,3,0),VLOOKUP(B10,'12.COT.MERCADO'!A:H,7,0)))</f>
        <v>M</v>
      </c>
      <c r="E10" s="629">
        <f>IF(A10="SINAPI-S",VLOOKUP(B10,'20-B.SINAPI-S'!A:J,5,0),IF(A10="SINAPI-I",VLOOKUP(B10,'20-A.SINAPI-I'!A:G,6,0),0))</f>
        <v>0</v>
      </c>
      <c r="F10" s="629">
        <f>IF(A10="SINAPI-S",VLOOKUP(B10,'20-B.SINAPI-S'!A:J,6,0),IF(A10="SINAPI-I",VLOOKUP(B10,'20-A.SINAPI-I'!A:G,7,0),VLOOKUP(B10,'12.COT.MERCADO'!A:H,8,0)))</f>
        <v>5.13</v>
      </c>
      <c r="G10" s="630">
        <v>1.05</v>
      </c>
      <c r="H10" s="629">
        <f t="shared" si="3"/>
        <v>0</v>
      </c>
      <c r="I10" s="629">
        <f t="shared" si="4"/>
        <v>5.3865</v>
      </c>
      <c r="J10" s="629">
        <f t="shared" si="5"/>
        <v>5.3865</v>
      </c>
    </row>
    <row r="11">
      <c r="A11" s="630" t="s">
        <v>286</v>
      </c>
      <c r="B11" s="631">
        <v>39741.0</v>
      </c>
      <c r="C11" s="627" t="str">
        <f>IF(A11="SINAPI-S",VLOOKUP(B11,'20-B.SINAPI-S'!A:J,2,0),IF(A11="SINAPI-I",VLOOKUP(B11,'20-A.SINAPI-I'!A:E,2,0),VLOOKUP(B11,'12.COT.MERCADO'!A:H,2,0)))</f>
        <v>TUBO DE BORRACHA ELASTOMERICA FLEXIVEL, PRETA, PARA ISOLAMENTO TERMICO DE TUBULACAO, DN 3/8" (10 MM), E= 19 MM, COEFICIENTE DE CONDUTIVIDADE TERMICA 0,036W/mK, VAPOR DE AGUA MAIOR OU IGUAL A 10.000</v>
      </c>
      <c r="D11" s="626" t="str">
        <f>IF(A11="SINAPI-S",VLOOKUP(B11,'20-B.SINAPI-S'!A:J,3,0),IF(A11="SINAPI-I",VLOOKUP(B11,'20-A.SINAPI-I'!A:E,3,0),VLOOKUP(B11,'12.COT.MERCADO'!A:H,7,0)))</f>
        <v>M</v>
      </c>
      <c r="E11" s="629">
        <f>IF(A11="SINAPI-S",VLOOKUP(B11,'20-B.SINAPI-S'!A:J,5,0),IF(A11="SINAPI-I",VLOOKUP(B11,'20-A.SINAPI-I'!A:G,6,0),0))</f>
        <v>0</v>
      </c>
      <c r="F11" s="629">
        <f>IF(A11="SINAPI-S",VLOOKUP(B11,'20-B.SINAPI-S'!A:J,6,0),IF(A11="SINAPI-I",VLOOKUP(B11,'20-A.SINAPI-I'!A:G,7,0),VLOOKUP(B11,'12.COT.MERCADO'!A:H,8,0)))</f>
        <v>12.91</v>
      </c>
      <c r="G11" s="630">
        <v>1.05</v>
      </c>
      <c r="H11" s="629">
        <f t="shared" si="3"/>
        <v>0</v>
      </c>
      <c r="I11" s="629">
        <f t="shared" si="4"/>
        <v>13.5555</v>
      </c>
      <c r="J11" s="629">
        <f t="shared" si="5"/>
        <v>13.5555</v>
      </c>
    </row>
    <row r="12">
      <c r="A12" s="625" t="s">
        <v>110</v>
      </c>
      <c r="B12" s="632" t="s">
        <v>1739</v>
      </c>
      <c r="C12" s="633" t="str">
        <f>IF(A12="SINAPI-S",VLOOKUP(B12,'20-B.SINAPI-S'!A:J,2,0),IF(A12="SINAPI-I",VLOOKUP(B12,'20-A.SINAPI-I'!A:E,2,0),VLOOKUP(B12,'12.COT.MERCADO'!A:H,2,0)))</f>
        <v>Fita isolante de alta fusão 19 mm x 10 m </v>
      </c>
      <c r="D12" s="626" t="str">
        <f>IF(A12="SINAPI-S",VLOOKUP(B12,'20-B.SINAPI-S'!A:J,3,0),IF(A12="SINAPI-I",VLOOKUP(B12,'20-A.SINAPI-I'!A:E,3,0),VLOOKUP(B12,'12.COT.MERCADO'!A:H,7,0)))</f>
        <v>UN </v>
      </c>
      <c r="E12" s="629">
        <f>IF(A12="SINAPI-S",VLOOKUP(B12,'20-B.SINAPI-S'!A:J,5,0),IF(A12="SINAPI-I",VLOOKUP(B12,'20-A.SINAPI-I'!A:G,6,0),0))</f>
        <v>0</v>
      </c>
      <c r="F12" s="634">
        <f>IF(A12="SINAPI-S",VLOOKUP(B12,'20-B.SINAPI-S'!A:J,6,0),IF(A12="SINAPI-I",VLOOKUP(B12,'20-A.SINAPI-I'!A:G,7,0),VLOOKUP(B12,'12.COT.MERCADO'!A:H,8,0)))</f>
        <v>31.92</v>
      </c>
      <c r="G12" s="630">
        <v>0.12</v>
      </c>
      <c r="H12" s="629">
        <f t="shared" si="3"/>
        <v>0</v>
      </c>
      <c r="I12" s="629">
        <f t="shared" si="4"/>
        <v>3.8304</v>
      </c>
      <c r="J12" s="629">
        <f t="shared" si="5"/>
        <v>3.8304</v>
      </c>
    </row>
    <row r="13">
      <c r="A13" s="625" t="s">
        <v>110</v>
      </c>
      <c r="B13" s="632" t="s">
        <v>1740</v>
      </c>
      <c r="C13" s="633" t="str">
        <f>IF(A13="SINAPI-S",VLOOKUP(B13,'20-B.SINAPI-S'!A:J,2,0),IF(A13="SINAPI-I",VLOOKUP(B13,'20-A.SINAPI-I'!A:E,2,0),VLOOKUP(B13,'12.COT.MERCADO'!A:H,2,0)))</f>
        <v>Cabo de cobre PP Cordplast 3 x 2,5 mm2, 450/750v</v>
      </c>
      <c r="D13" s="626" t="str">
        <f>IF(A13="SINAPI-S",VLOOKUP(B13,'20-B.SINAPI-S'!A:J,3,0),IF(A13="SINAPI-I",VLOOKUP(B13,'20-A.SINAPI-I'!A:E,3,0),VLOOKUP(B13,'12.COT.MERCADO'!A:H,7,0)))</f>
        <v>M</v>
      </c>
      <c r="E13" s="629">
        <f>IF(A13="SINAPI-S",VLOOKUP(B13,'20-B.SINAPI-S'!A:J,5,0),IF(A13="SINAPI-I",VLOOKUP(B13,'20-A.SINAPI-I'!A:G,6,0),0))</f>
        <v>0</v>
      </c>
      <c r="F13" s="634">
        <f>IF(A13="SINAPI-S",VLOOKUP(B13,'20-B.SINAPI-S'!A:J,6,0),IF(A13="SINAPI-I",VLOOKUP(B13,'20-A.SINAPI-I'!A:G,7,0),VLOOKUP(B13,'12.COT.MERCADO'!A:H,8,0)))</f>
        <v>8.9</v>
      </c>
      <c r="G13" s="630">
        <v>1.05</v>
      </c>
      <c r="H13" s="629">
        <f t="shared" si="3"/>
        <v>0</v>
      </c>
      <c r="I13" s="629">
        <f t="shared" si="4"/>
        <v>9.345</v>
      </c>
      <c r="J13" s="629">
        <f t="shared" si="5"/>
        <v>9.345</v>
      </c>
    </row>
    <row r="14">
      <c r="A14" s="625" t="s">
        <v>110</v>
      </c>
      <c r="B14" s="632" t="s">
        <v>1741</v>
      </c>
      <c r="C14" s="633" t="str">
        <f>IF(A14="SINAPI-S",VLOOKUP(B14,'20-B.SINAPI-S'!A:J,2,0),IF(A14="SINAPI-I",VLOOKUP(B14,'20-A.SINAPI-I'!A:E,2,0),VLOOKUP(B14,'12.COT.MERCADO'!A:H,2,0)))</f>
        <v>Fita em aço 1/2" Fusimec ou similar</v>
      </c>
      <c r="D14" s="626" t="str">
        <f>IF(A14="SINAPI-S",VLOOKUP(B14,'20-B.SINAPI-S'!A:J,3,0),IF(A14="SINAPI-I",VLOOKUP(B14,'20-A.SINAPI-I'!A:E,3,0),VLOOKUP(B14,'12.COT.MERCADO'!A:H,7,0)))</f>
        <v>M</v>
      </c>
      <c r="E14" s="629">
        <f>IF(A14="SINAPI-S",VLOOKUP(B14,'20-B.SINAPI-S'!A:J,5,0),IF(A14="SINAPI-I",VLOOKUP(B14,'20-A.SINAPI-I'!A:G,6,0),0))</f>
        <v>0</v>
      </c>
      <c r="F14" s="634">
        <f>IF(A14="SINAPI-S",VLOOKUP(B14,'20-B.SINAPI-S'!A:J,6,0),IF(A14="SINAPI-I",VLOOKUP(B14,'20-A.SINAPI-I'!A:G,7,0),VLOOKUP(B14,'12.COT.MERCADO'!A:H,8,0)))</f>
        <v>2.65</v>
      </c>
      <c r="G14" s="630">
        <v>3.0</v>
      </c>
      <c r="H14" s="629">
        <f t="shared" si="3"/>
        <v>0</v>
      </c>
      <c r="I14" s="629">
        <f t="shared" si="4"/>
        <v>7.95</v>
      </c>
      <c r="J14" s="629">
        <f t="shared" si="5"/>
        <v>7.95</v>
      </c>
    </row>
    <row r="15">
      <c r="A15" s="625" t="s">
        <v>110</v>
      </c>
      <c r="B15" s="632" t="s">
        <v>1742</v>
      </c>
      <c r="C15" s="633" t="str">
        <f>IF(A15="SINAPI-S",VLOOKUP(B15,'20-B.SINAPI-S'!A:J,2,0),IF(A15="SINAPI-I",VLOOKUP(B15,'20-A.SINAPI-I'!A:E,2,0),VLOOKUP(B15,'12.COT.MERCADO'!A:H,2,0)))</f>
        <v>Parafuso de ferro zincado c/rosca 3/8 " x 1 1/2" </v>
      </c>
      <c r="D15" s="626" t="str">
        <f>IF(A15="SINAPI-S",VLOOKUP(B15,'20-B.SINAPI-S'!A:J,3,0),IF(A15="SINAPI-I",VLOOKUP(B15,'20-A.SINAPI-I'!A:E,3,0),VLOOKUP(B15,'12.COT.MERCADO'!A:H,7,0)))</f>
        <v>UN </v>
      </c>
      <c r="E15" s="629">
        <f>IF(A15="SINAPI-S",VLOOKUP(B15,'20-B.SINAPI-S'!A:J,5,0),IF(A15="SINAPI-I",VLOOKUP(B15,'20-A.SINAPI-I'!A:G,6,0),0))</f>
        <v>0</v>
      </c>
      <c r="F15" s="634">
        <f>IF(A15="SINAPI-S",VLOOKUP(B15,'20-B.SINAPI-S'!A:J,6,0),IF(A15="SINAPI-I",VLOOKUP(B15,'20-A.SINAPI-I'!A:G,7,0),VLOOKUP(B15,'12.COT.MERCADO'!A:H,8,0)))</f>
        <v>0.89</v>
      </c>
      <c r="G15" s="630">
        <v>2.0</v>
      </c>
      <c r="H15" s="629">
        <f t="shared" si="3"/>
        <v>0</v>
      </c>
      <c r="I15" s="629">
        <f t="shared" si="4"/>
        <v>1.78</v>
      </c>
      <c r="J15" s="629">
        <f t="shared" si="5"/>
        <v>1.78</v>
      </c>
    </row>
    <row r="16">
      <c r="A16" s="625" t="s">
        <v>110</v>
      </c>
      <c r="B16" s="632" t="s">
        <v>1160</v>
      </c>
      <c r="C16" s="633" t="str">
        <f>IF(A16="SINAPI-S",VLOOKUP(B16,'20-B.SINAPI-S'!A:J,2,0),IF(A16="SINAPI-I",VLOOKUP(B16,'20-A.SINAPI-I'!A:E,2,0),VLOOKUP(B16,'12.COT.MERCADO'!A:H,2,0)))</f>
        <v>Arruela lisa de aço galvanizada de Ø 1/4"</v>
      </c>
      <c r="D16" s="626" t="str">
        <f>IF(A16="SINAPI-S",VLOOKUP(B16,'20-B.SINAPI-S'!A:J,3,0),IF(A16="SINAPI-I",VLOOKUP(B16,'20-A.SINAPI-I'!A:E,3,0),VLOOKUP(B16,'12.COT.MERCADO'!A:H,7,0)))</f>
        <v>UN </v>
      </c>
      <c r="E16" s="629">
        <f>IF(A16="SINAPI-S",VLOOKUP(B16,'20-B.SINAPI-S'!A:J,5,0),IF(A16="SINAPI-I",VLOOKUP(B16,'20-A.SINAPI-I'!A:G,6,0),0))</f>
        <v>0</v>
      </c>
      <c r="F16" s="634">
        <f>IF(A16="SINAPI-S",VLOOKUP(B16,'20-B.SINAPI-S'!A:J,6,0),IF(A16="SINAPI-I",VLOOKUP(B16,'20-A.SINAPI-I'!A:G,7,0),VLOOKUP(B16,'12.COT.MERCADO'!A:H,8,0)))</f>
        <v>0.09</v>
      </c>
      <c r="G16" s="630">
        <v>2.0</v>
      </c>
      <c r="H16" s="629">
        <f t="shared" si="3"/>
        <v>0</v>
      </c>
      <c r="I16" s="629">
        <f t="shared" si="4"/>
        <v>0.18</v>
      </c>
      <c r="J16" s="629">
        <f t="shared" si="5"/>
        <v>0.18</v>
      </c>
    </row>
    <row r="17">
      <c r="A17" s="624" t="s">
        <v>1632</v>
      </c>
      <c r="B17" s="635" t="s">
        <v>1743</v>
      </c>
    </row>
    <row r="18">
      <c r="A18" s="631"/>
      <c r="B18" s="631"/>
      <c r="C18" s="636"/>
      <c r="D18" s="631"/>
      <c r="E18" s="631"/>
      <c r="F18" s="631"/>
      <c r="G18" s="631"/>
      <c r="H18" s="631"/>
      <c r="I18" s="631"/>
      <c r="J18" s="631"/>
    </row>
    <row r="19">
      <c r="A19" s="617" t="s">
        <v>1729</v>
      </c>
      <c r="B19" s="618" t="s">
        <v>526</v>
      </c>
      <c r="C19" s="619" t="s">
        <v>1744</v>
      </c>
      <c r="D19" s="618" t="s">
        <v>1731</v>
      </c>
      <c r="E19" s="618"/>
      <c r="F19" s="618"/>
      <c r="G19" s="618"/>
      <c r="H19" s="620">
        <f t="shared" ref="H19:J19" si="6">SUM(H21:H32)</f>
        <v>4.90609</v>
      </c>
      <c r="I19" s="620">
        <f t="shared" si="6"/>
        <v>107.18344</v>
      </c>
      <c r="J19" s="621">
        <f t="shared" si="6"/>
        <v>112.08953</v>
      </c>
    </row>
    <row r="20">
      <c r="A20" s="622" t="s">
        <v>1732</v>
      </c>
      <c r="B20" s="622" t="s">
        <v>80</v>
      </c>
      <c r="C20" s="623" t="s">
        <v>8</v>
      </c>
      <c r="D20" s="624" t="s">
        <v>1733</v>
      </c>
      <c r="E20" s="624" t="s">
        <v>1734</v>
      </c>
      <c r="F20" s="624" t="s">
        <v>1735</v>
      </c>
      <c r="G20" s="624" t="s">
        <v>1736</v>
      </c>
      <c r="H20" s="624" t="s">
        <v>1737</v>
      </c>
      <c r="I20" s="624" t="s">
        <v>1738</v>
      </c>
      <c r="J20" s="624" t="s">
        <v>14</v>
      </c>
    </row>
    <row r="21">
      <c r="A21" s="630" t="s">
        <v>218</v>
      </c>
      <c r="B21" s="631">
        <v>88316.0</v>
      </c>
      <c r="C21" s="627" t="str">
        <f>IF(A21="SINAPI-S",VLOOKUP(B21,'20-B.SINAPI-S'!A:J,2,0),IF(A21="SINAPI-I",VLOOKUP(B21,'20-A.SINAPI-I'!A:E,2,0),VLOOKUP(B21,'12.COT.MERCADO'!A:H,2,0)))</f>
        <v>SERVENTE COM ENCARGOS COMPLEMENTARES</v>
      </c>
      <c r="D21" s="628" t="str">
        <f>IF(A21="SINAPI-S",VLOOKUP(B21,'20-B.SINAPI-S'!A:J,3,0),IF(A21="SINAPI-I",VLOOKUP(B21,'20-A.SINAPI-I'!A:E,3,0),VLOOKUP(B21,'12.COT.MERCADO'!A:H,7,0)))</f>
        <v>H</v>
      </c>
      <c r="E21" s="629">
        <f>IF(A21="SINAPI-S",VLOOKUP(B21,'20-B.SINAPI-S'!A:J,5,0),IF(A21="SINAPI-I",VLOOKUP(B21,'20-A.SINAPI-I'!A:G,6,0),0))</f>
        <v>17.42</v>
      </c>
      <c r="F21" s="629">
        <f>IF(A21="SINAPI-S",VLOOKUP(B21,'20-B.SINAPI-S'!A:J,6,0),IF(A21="SINAPI-I",VLOOKUP(B21,'20-A.SINAPI-I'!A:G,7,0),VLOOKUP(B21,'12.COT.MERCADO'!A:H,8,0)))</f>
        <v>7.7</v>
      </c>
      <c r="G21" s="630">
        <f t="shared" ref="G21:G22" si="7">0.057+0.052</f>
        <v>0.109</v>
      </c>
      <c r="H21" s="629">
        <f t="shared" ref="H21:H32" si="8">E21*G21</f>
        <v>1.89878</v>
      </c>
      <c r="I21" s="629">
        <f t="shared" ref="I21:I32" si="9">F21*G21</f>
        <v>0.8393</v>
      </c>
      <c r="J21" s="629">
        <f t="shared" ref="J21:J32" si="10">I21+H21</f>
        <v>2.73808</v>
      </c>
    </row>
    <row r="22">
      <c r="A22" s="630" t="s">
        <v>218</v>
      </c>
      <c r="B22" s="630">
        <v>100308.0</v>
      </c>
      <c r="C22" s="627" t="str">
        <f>IF(A22="SINAPI-S",VLOOKUP(B22,'20-B.SINAPI-S'!A:J,2,0),IF(A22="SINAPI-I",VLOOKUP(B22,'20-A.SINAPI-I'!A:E,2,0),VLOOKUP(B22,'12.COT.MERCADO'!A:H,2,0)))</f>
        <v>MECÂNICO DE REFRIGERAÇÃO COM ENCARGOS COMPLEMENTARES</v>
      </c>
      <c r="D22" s="628" t="str">
        <f>IF(A22="SINAPI-S",VLOOKUP(B22,'20-B.SINAPI-S'!A:J,3,0),IF(A22="SINAPI-I",VLOOKUP(B22,'20-A.SINAPI-I'!A:E,3,0),VLOOKUP(B22,'12.COT.MERCADO'!A:H,7,0)))</f>
        <v>H</v>
      </c>
      <c r="E22" s="629">
        <f>IF(A22="SINAPI-S",VLOOKUP(B22,'20-B.SINAPI-S'!A:J,5,0),IF(A22="SINAPI-I",VLOOKUP(B22,'20-A.SINAPI-I'!A:G,6,0),0))</f>
        <v>27.59</v>
      </c>
      <c r="F22" s="629">
        <f>IF(A22="SINAPI-S",VLOOKUP(B22,'20-B.SINAPI-S'!A:J,6,0),IF(A22="SINAPI-I",VLOOKUP(B22,'20-A.SINAPI-I'!A:G,7,0),VLOOKUP(B22,'12.COT.MERCADO'!A:H,8,0)))</f>
        <v>7.86</v>
      </c>
      <c r="G22" s="630">
        <f t="shared" si="7"/>
        <v>0.109</v>
      </c>
      <c r="H22" s="629">
        <f t="shared" si="8"/>
        <v>3.00731</v>
      </c>
      <c r="I22" s="629">
        <f t="shared" si="9"/>
        <v>0.85674</v>
      </c>
      <c r="J22" s="629">
        <f t="shared" si="10"/>
        <v>3.86405</v>
      </c>
    </row>
    <row r="23">
      <c r="A23" s="630" t="s">
        <v>286</v>
      </c>
      <c r="B23" s="631">
        <v>4376.0</v>
      </c>
      <c r="C23" s="627" t="str">
        <f>IF(A23="SINAPI-S",VLOOKUP(B23,'20-B.SINAPI-S'!A:J,2,0),IF(A23="SINAPI-I",VLOOKUP(B23,'20-A.SINAPI-I'!A:E,2,0),VLOOKUP(B23,'12.COT.MERCADO'!A:H,2,0)))</f>
        <v>BUCHA DE NYLON SEM ABA S8</v>
      </c>
      <c r="D23" s="626" t="str">
        <f>IF(A23="SINAPI-S",VLOOKUP(B23,'20-B.SINAPI-S'!A:J,3,0),IF(A23="SINAPI-I",VLOOKUP(B23,'20-A.SINAPI-I'!A:E,3,0),VLOOKUP(B23,'12.COT.MERCADO'!A:H,7,0)))</f>
        <v>UN</v>
      </c>
      <c r="E23" s="629">
        <f>IF(A23="SINAPI-S",VLOOKUP(B23,'20-B.SINAPI-S'!A:J,5,0),IF(A23="SINAPI-I",VLOOKUP(B23,'20-A.SINAPI-I'!A:G,6,0),0))</f>
        <v>0</v>
      </c>
      <c r="F23" s="629">
        <f>IF(A23="SINAPI-S",VLOOKUP(B23,'20-B.SINAPI-S'!A:J,6,0),IF(A23="SINAPI-I",VLOOKUP(B23,'20-A.SINAPI-I'!A:G,7,0),VLOOKUP(B23,'12.COT.MERCADO'!A:H,8,0)))</f>
        <v>0.23</v>
      </c>
      <c r="G23" s="630">
        <v>2.0</v>
      </c>
      <c r="H23" s="629">
        <f t="shared" si="8"/>
        <v>0</v>
      </c>
      <c r="I23" s="629">
        <f t="shared" si="9"/>
        <v>0.46</v>
      </c>
      <c r="J23" s="629">
        <f t="shared" si="10"/>
        <v>0.46</v>
      </c>
    </row>
    <row r="24">
      <c r="A24" s="630" t="s">
        <v>286</v>
      </c>
      <c r="B24" s="631">
        <v>39662.0</v>
      </c>
      <c r="C24" s="627" t="str">
        <f>IF(A24="SINAPI-S",VLOOKUP(B24,'20-B.SINAPI-S'!A:J,2,0),IF(A24="SINAPI-I",VLOOKUP(B24,'20-A.SINAPI-I'!A:E,2,0),VLOOKUP(B24,'12.COT.MERCADO'!A:H,2,0)))</f>
        <v>TUBO DE COBRE FLEXIVEL, D = 1/4 ", E = 0,79 MM, PARA AR-CONDICIONADO/ INSTALACOES GAS RESIDENCIAIS E COMERCIAIS</v>
      </c>
      <c r="D24" s="626" t="str">
        <f>IF(A24="SINAPI-S",VLOOKUP(B24,'20-B.SINAPI-S'!A:J,3,0),IF(A24="SINAPI-I",VLOOKUP(B24,'20-A.SINAPI-I'!A:E,3,0),VLOOKUP(B24,'12.COT.MERCADO'!A:H,7,0)))</f>
        <v>M</v>
      </c>
      <c r="E24" s="629">
        <f>IF(A24="SINAPI-S",VLOOKUP(B24,'20-B.SINAPI-S'!A:J,5,0),IF(A24="SINAPI-I",VLOOKUP(B24,'20-A.SINAPI-I'!A:G,6,0),0))</f>
        <v>0</v>
      </c>
      <c r="F24" s="629">
        <f>IF(A24="SINAPI-S",VLOOKUP(B24,'20-B.SINAPI-S'!A:J,6,0),IF(A24="SINAPI-I",VLOOKUP(B24,'20-A.SINAPI-I'!A:G,7,0),VLOOKUP(B24,'12.COT.MERCADO'!A:H,8,0)))</f>
        <v>19.02</v>
      </c>
      <c r="G24" s="630">
        <v>1.05</v>
      </c>
      <c r="H24" s="629">
        <f t="shared" si="8"/>
        <v>0</v>
      </c>
      <c r="I24" s="629">
        <f t="shared" si="9"/>
        <v>19.971</v>
      </c>
      <c r="J24" s="629">
        <f t="shared" si="10"/>
        <v>19.971</v>
      </c>
    </row>
    <row r="25">
      <c r="A25" s="630" t="s">
        <v>286</v>
      </c>
      <c r="B25" s="631">
        <v>39660.0</v>
      </c>
      <c r="C25" s="627" t="str">
        <f>IF(A25="SINAPI-S",VLOOKUP(B25,'20-B.SINAPI-S'!A:J,2,0),IF(A25="SINAPI-I",VLOOKUP(B25,'20-A.SINAPI-I'!A:E,2,0),VLOOKUP(B25,'12.COT.MERCADO'!A:H,2,0)))</f>
        <v>TUBO DE COBRE FLEXIVEL, D = 1/2 ", E = 0,79 MM, PARA AR-CONDICIONADO/ INSTALACOES GAS RESIDENCIAIS E COMERCIAIS</v>
      </c>
      <c r="D25" s="626" t="str">
        <f>IF(A25="SINAPI-S",VLOOKUP(B25,'20-B.SINAPI-S'!A:J,3,0),IF(A25="SINAPI-I",VLOOKUP(B25,'20-A.SINAPI-I'!A:E,3,0),VLOOKUP(B25,'12.COT.MERCADO'!A:H,7,0)))</f>
        <v>M</v>
      </c>
      <c r="E25" s="629">
        <f>IF(A25="SINAPI-S",VLOOKUP(B25,'20-B.SINAPI-S'!A:J,5,0),IF(A25="SINAPI-I",VLOOKUP(B25,'20-A.SINAPI-I'!A:G,6,0),0))</f>
        <v>0</v>
      </c>
      <c r="F25" s="629">
        <f>IF(A25="SINAPI-S",VLOOKUP(B25,'20-B.SINAPI-S'!A:J,6,0),IF(A25="SINAPI-I",VLOOKUP(B25,'20-A.SINAPI-I'!A:G,7,0),VLOOKUP(B25,'12.COT.MERCADO'!A:H,8,0)))</f>
        <v>39.7</v>
      </c>
      <c r="G25" s="630">
        <v>1.05</v>
      </c>
      <c r="H25" s="629">
        <f t="shared" si="8"/>
        <v>0</v>
      </c>
      <c r="I25" s="629">
        <f t="shared" si="9"/>
        <v>41.685</v>
      </c>
      <c r="J25" s="629">
        <f t="shared" si="10"/>
        <v>41.685</v>
      </c>
    </row>
    <row r="26">
      <c r="A26" s="630" t="s">
        <v>286</v>
      </c>
      <c r="B26" s="631">
        <v>39738.0</v>
      </c>
      <c r="C26" s="627" t="str">
        <f>IF(A26="SINAPI-S",VLOOKUP(B26,'20-B.SINAPI-S'!A:J,2,0),IF(A26="SINAPI-I",VLOOKUP(B26,'20-A.SINAPI-I'!A:E,2,0),VLOOKUP(B26,'12.COT.MERCADO'!A:H,2,0)))</f>
        <v>TUBO DE BORRACHA ELASTOMERICA FLEXIVEL, PRETA, PARA ISOLAMENTO TERMICO DE TUBULACAO, DN 1/4" (6 MM), E= 9 MM, COEFICIENTE DE CONDUTIVIDADE TERMICA 0,036W/mK, VAPOR DE AGUA MAIOR OU IGUAL A 10.000</v>
      </c>
      <c r="D26" s="626" t="str">
        <f>IF(A26="SINAPI-S",VLOOKUP(B26,'20-B.SINAPI-S'!A:J,3,0),IF(A26="SINAPI-I",VLOOKUP(B26,'20-A.SINAPI-I'!A:E,3,0),VLOOKUP(B26,'12.COT.MERCADO'!A:H,7,0)))</f>
        <v>M</v>
      </c>
      <c r="E26" s="629">
        <f>IF(A26="SINAPI-S",VLOOKUP(B26,'20-B.SINAPI-S'!A:J,5,0),IF(A26="SINAPI-I",VLOOKUP(B26,'20-A.SINAPI-I'!A:G,6,0),0))</f>
        <v>0</v>
      </c>
      <c r="F26" s="629">
        <f>IF(A26="SINAPI-S",VLOOKUP(B26,'20-B.SINAPI-S'!A:J,6,0),IF(A26="SINAPI-I",VLOOKUP(B26,'20-A.SINAPI-I'!A:G,7,0),VLOOKUP(B26,'12.COT.MERCADO'!A:H,8,0)))</f>
        <v>5.13</v>
      </c>
      <c r="G26" s="630">
        <v>1.05</v>
      </c>
      <c r="H26" s="629">
        <f t="shared" si="8"/>
        <v>0</v>
      </c>
      <c r="I26" s="629">
        <f t="shared" si="9"/>
        <v>5.3865</v>
      </c>
      <c r="J26" s="629">
        <f t="shared" si="10"/>
        <v>5.3865</v>
      </c>
    </row>
    <row r="27">
      <c r="A27" s="630" t="s">
        <v>286</v>
      </c>
      <c r="B27" s="631">
        <v>39737.0</v>
      </c>
      <c r="C27" s="627" t="str">
        <f>IF(A27="SINAPI-S",VLOOKUP(B27,'20-B.SINAPI-S'!A:J,2,0),IF(A27="SINAPI-I",VLOOKUP(B27,'20-A.SINAPI-I'!A:E,2,0),VLOOKUP(B27,'12.COT.MERCADO'!A:H,2,0)))</f>
        <v>TUBO DE BORRACHA ELASTOMERICA FLEXIVEL, PRETA, PARA ISOLAMENTO TERMICO DE TUBULACAO, DN 1/2" (12 MM), E= 19 MM, COEFICIENTE DE CONDUTIVIDADE TERMICA 0,036W/mK, VAPOR DE AGUA MAIOR OU IGUAL A 10.000</v>
      </c>
      <c r="D27" s="626" t="str">
        <f>IF(A27="SINAPI-S",VLOOKUP(B27,'20-B.SINAPI-S'!A:J,3,0),IF(A27="SINAPI-I",VLOOKUP(B27,'20-A.SINAPI-I'!A:E,3,0),VLOOKUP(B27,'12.COT.MERCADO'!A:H,7,0)))</f>
        <v>M</v>
      </c>
      <c r="E27" s="629">
        <f>IF(A27="SINAPI-S",VLOOKUP(B27,'20-B.SINAPI-S'!A:J,5,0),IF(A27="SINAPI-I",VLOOKUP(B27,'20-A.SINAPI-I'!A:G,6,0),0))</f>
        <v>0</v>
      </c>
      <c r="F27" s="629">
        <f>IF(A27="SINAPI-S",VLOOKUP(B27,'20-B.SINAPI-S'!A:J,6,0),IF(A27="SINAPI-I",VLOOKUP(B27,'20-A.SINAPI-I'!A:G,7,0),VLOOKUP(B27,'12.COT.MERCADO'!A:H,8,0)))</f>
        <v>14.19</v>
      </c>
      <c r="G27" s="630">
        <v>1.05</v>
      </c>
      <c r="H27" s="629">
        <f t="shared" si="8"/>
        <v>0</v>
      </c>
      <c r="I27" s="629">
        <f t="shared" si="9"/>
        <v>14.8995</v>
      </c>
      <c r="J27" s="629">
        <f t="shared" si="10"/>
        <v>14.8995</v>
      </c>
    </row>
    <row r="28">
      <c r="A28" s="625" t="s">
        <v>110</v>
      </c>
      <c r="B28" s="632" t="s">
        <v>1739</v>
      </c>
      <c r="C28" s="633" t="str">
        <f>IF(A28="SINAPI-S",VLOOKUP(B28,'20-B.SINAPI-S'!A:J,2,0),IF(A28="SINAPI-I",VLOOKUP(B28,'20-A.SINAPI-I'!A:E,2,0),VLOOKUP(B28,'12.COT.MERCADO'!A:H,2,0)))</f>
        <v>Fita isolante de alta fusão 19 mm x 10 m </v>
      </c>
      <c r="D28" s="626" t="str">
        <f>IF(A28="SINAPI-S",VLOOKUP(B28,'20-B.SINAPI-S'!A:J,3,0),IF(A28="SINAPI-I",VLOOKUP(B28,'20-A.SINAPI-I'!A:E,3,0),VLOOKUP(B28,'12.COT.MERCADO'!A:H,7,0)))</f>
        <v>UN </v>
      </c>
      <c r="E28" s="629">
        <f>IF(A28="SINAPI-S",VLOOKUP(B28,'20-B.SINAPI-S'!A:J,5,0),IF(A28="SINAPI-I",VLOOKUP(B28,'20-A.SINAPI-I'!A:G,6,0),0))</f>
        <v>0</v>
      </c>
      <c r="F28" s="634">
        <f>IF(A28="SINAPI-S",VLOOKUP(B28,'20-B.SINAPI-S'!A:J,6,0),IF(A28="SINAPI-I",VLOOKUP(B28,'20-A.SINAPI-I'!A:G,7,0),VLOOKUP(B28,'12.COT.MERCADO'!A:H,8,0)))</f>
        <v>31.92</v>
      </c>
      <c r="G28" s="630">
        <v>0.12</v>
      </c>
      <c r="H28" s="629">
        <f t="shared" si="8"/>
        <v>0</v>
      </c>
      <c r="I28" s="629">
        <f t="shared" si="9"/>
        <v>3.8304</v>
      </c>
      <c r="J28" s="629">
        <f t="shared" si="10"/>
        <v>3.8304</v>
      </c>
    </row>
    <row r="29">
      <c r="A29" s="625" t="s">
        <v>110</v>
      </c>
      <c r="B29" s="632" t="s">
        <v>1740</v>
      </c>
      <c r="C29" s="633" t="str">
        <f>IF(A29="SINAPI-S",VLOOKUP(B29,'20-B.SINAPI-S'!A:J,2,0),IF(A29="SINAPI-I",VLOOKUP(B29,'20-A.SINAPI-I'!A:E,2,0),VLOOKUP(B29,'12.COT.MERCADO'!A:H,2,0)))</f>
        <v>Cabo de cobre PP Cordplast 3 x 2,5 mm2, 450/750v</v>
      </c>
      <c r="D29" s="626" t="str">
        <f>IF(A29="SINAPI-S",VLOOKUP(B29,'20-B.SINAPI-S'!A:J,3,0),IF(A29="SINAPI-I",VLOOKUP(B29,'20-A.SINAPI-I'!A:E,3,0),VLOOKUP(B29,'12.COT.MERCADO'!A:H,7,0)))</f>
        <v>M</v>
      </c>
      <c r="E29" s="629">
        <f>IF(A29="SINAPI-S",VLOOKUP(B29,'20-B.SINAPI-S'!A:J,5,0),IF(A29="SINAPI-I",VLOOKUP(B29,'20-A.SINAPI-I'!A:G,6,0),0))</f>
        <v>0</v>
      </c>
      <c r="F29" s="634">
        <f>IF(A29="SINAPI-S",VLOOKUP(B29,'20-B.SINAPI-S'!A:J,6,0),IF(A29="SINAPI-I",VLOOKUP(B29,'20-A.SINAPI-I'!A:G,7,0),VLOOKUP(B29,'12.COT.MERCADO'!A:H,8,0)))</f>
        <v>8.9</v>
      </c>
      <c r="G29" s="630">
        <v>1.05</v>
      </c>
      <c r="H29" s="629">
        <f t="shared" si="8"/>
        <v>0</v>
      </c>
      <c r="I29" s="629">
        <f t="shared" si="9"/>
        <v>9.345</v>
      </c>
      <c r="J29" s="629">
        <f t="shared" si="10"/>
        <v>9.345</v>
      </c>
    </row>
    <row r="30">
      <c r="A30" s="625" t="s">
        <v>110</v>
      </c>
      <c r="B30" s="632" t="s">
        <v>1741</v>
      </c>
      <c r="C30" s="633" t="str">
        <f>IF(A30="SINAPI-S",VLOOKUP(B30,'20-B.SINAPI-S'!A:J,2,0),IF(A30="SINAPI-I",VLOOKUP(B30,'20-A.SINAPI-I'!A:E,2,0),VLOOKUP(B30,'12.COT.MERCADO'!A:H,2,0)))</f>
        <v>Fita em aço 1/2" Fusimec ou similar</v>
      </c>
      <c r="D30" s="626" t="str">
        <f>IF(A30="SINAPI-S",VLOOKUP(B30,'20-B.SINAPI-S'!A:J,3,0),IF(A30="SINAPI-I",VLOOKUP(B30,'20-A.SINAPI-I'!A:E,3,0),VLOOKUP(B30,'12.COT.MERCADO'!A:H,7,0)))</f>
        <v>M</v>
      </c>
      <c r="E30" s="629">
        <f>IF(A30="SINAPI-S",VLOOKUP(B30,'20-B.SINAPI-S'!A:J,5,0),IF(A30="SINAPI-I",VLOOKUP(B30,'20-A.SINAPI-I'!A:G,6,0),0))</f>
        <v>0</v>
      </c>
      <c r="F30" s="634">
        <f>IF(A30="SINAPI-S",VLOOKUP(B30,'20-B.SINAPI-S'!A:J,6,0),IF(A30="SINAPI-I",VLOOKUP(B30,'20-A.SINAPI-I'!A:G,7,0),VLOOKUP(B30,'12.COT.MERCADO'!A:H,8,0)))</f>
        <v>2.65</v>
      </c>
      <c r="G30" s="630">
        <v>3.0</v>
      </c>
      <c r="H30" s="629">
        <f t="shared" si="8"/>
        <v>0</v>
      </c>
      <c r="I30" s="629">
        <f t="shared" si="9"/>
        <v>7.95</v>
      </c>
      <c r="J30" s="629">
        <f t="shared" si="10"/>
        <v>7.95</v>
      </c>
    </row>
    <row r="31">
      <c r="A31" s="625" t="s">
        <v>110</v>
      </c>
      <c r="B31" s="632" t="s">
        <v>1742</v>
      </c>
      <c r="C31" s="633" t="str">
        <f>IF(A31="SINAPI-S",VLOOKUP(B31,'20-B.SINAPI-S'!A:J,2,0),IF(A31="SINAPI-I",VLOOKUP(B31,'20-A.SINAPI-I'!A:E,2,0),VLOOKUP(B31,'12.COT.MERCADO'!A:H,2,0)))</f>
        <v>Parafuso de ferro zincado c/rosca 3/8 " x 1 1/2" </v>
      </c>
      <c r="D31" s="626" t="str">
        <f>IF(A31="SINAPI-S",VLOOKUP(B31,'20-B.SINAPI-S'!A:J,3,0),IF(A31="SINAPI-I",VLOOKUP(B31,'20-A.SINAPI-I'!A:E,3,0),VLOOKUP(B31,'12.COT.MERCADO'!A:H,7,0)))</f>
        <v>UN </v>
      </c>
      <c r="E31" s="629">
        <f>IF(A31="SINAPI-S",VLOOKUP(B31,'20-B.SINAPI-S'!A:J,5,0),IF(A31="SINAPI-I",VLOOKUP(B31,'20-A.SINAPI-I'!A:G,6,0),0))</f>
        <v>0</v>
      </c>
      <c r="F31" s="634">
        <f>IF(A31="SINAPI-S",VLOOKUP(B31,'20-B.SINAPI-S'!A:J,6,0),IF(A31="SINAPI-I",VLOOKUP(B31,'20-A.SINAPI-I'!A:G,7,0),VLOOKUP(B31,'12.COT.MERCADO'!A:H,8,0)))</f>
        <v>0.89</v>
      </c>
      <c r="G31" s="630">
        <v>2.0</v>
      </c>
      <c r="H31" s="629">
        <f t="shared" si="8"/>
        <v>0</v>
      </c>
      <c r="I31" s="629">
        <f t="shared" si="9"/>
        <v>1.78</v>
      </c>
      <c r="J31" s="629">
        <f t="shared" si="10"/>
        <v>1.78</v>
      </c>
    </row>
    <row r="32">
      <c r="A32" s="625" t="s">
        <v>110</v>
      </c>
      <c r="B32" s="632" t="s">
        <v>1160</v>
      </c>
      <c r="C32" s="633" t="str">
        <f>IF(A32="SINAPI-S",VLOOKUP(B32,'20-B.SINAPI-S'!A:J,2,0),IF(A32="SINAPI-I",VLOOKUP(B32,'20-A.SINAPI-I'!A:E,2,0),VLOOKUP(B32,'12.COT.MERCADO'!A:H,2,0)))</f>
        <v>Arruela lisa de aço galvanizada de Ø 1/4"</v>
      </c>
      <c r="D32" s="626" t="str">
        <f>IF(A32="SINAPI-S",VLOOKUP(B32,'20-B.SINAPI-S'!A:J,3,0),IF(A32="SINAPI-I",VLOOKUP(B32,'20-A.SINAPI-I'!A:E,3,0),VLOOKUP(B32,'12.COT.MERCADO'!A:H,7,0)))</f>
        <v>UN </v>
      </c>
      <c r="E32" s="629">
        <f>IF(A32="SINAPI-S",VLOOKUP(B32,'20-B.SINAPI-S'!A:J,5,0),IF(A32="SINAPI-I",VLOOKUP(B32,'20-A.SINAPI-I'!A:G,6,0),0))</f>
        <v>0</v>
      </c>
      <c r="F32" s="634">
        <f>IF(A32="SINAPI-S",VLOOKUP(B32,'20-B.SINAPI-S'!A:J,6,0),IF(A32="SINAPI-I",VLOOKUP(B32,'20-A.SINAPI-I'!A:G,7,0),VLOOKUP(B32,'12.COT.MERCADO'!A:H,8,0)))</f>
        <v>0.09</v>
      </c>
      <c r="G32" s="630">
        <v>2.0</v>
      </c>
      <c r="H32" s="629">
        <f t="shared" si="8"/>
        <v>0</v>
      </c>
      <c r="I32" s="629">
        <f t="shared" si="9"/>
        <v>0.18</v>
      </c>
      <c r="J32" s="629">
        <f t="shared" si="10"/>
        <v>0.18</v>
      </c>
    </row>
    <row r="33">
      <c r="A33" s="624" t="s">
        <v>1632</v>
      </c>
      <c r="B33" s="637" t="s">
        <v>1745</v>
      </c>
    </row>
    <row r="34">
      <c r="A34" s="631"/>
      <c r="B34" s="631"/>
      <c r="C34" s="636"/>
      <c r="D34" s="631"/>
      <c r="E34" s="631"/>
      <c r="F34" s="631"/>
      <c r="G34" s="631"/>
      <c r="H34" s="631"/>
      <c r="I34" s="631"/>
      <c r="J34" s="631"/>
    </row>
    <row r="35">
      <c r="A35" s="617" t="s">
        <v>1729</v>
      </c>
      <c r="B35" s="618" t="s">
        <v>528</v>
      </c>
      <c r="C35" s="619" t="s">
        <v>1746</v>
      </c>
      <c r="D35" s="618" t="s">
        <v>1731</v>
      </c>
      <c r="E35" s="618"/>
      <c r="F35" s="618"/>
      <c r="G35" s="618"/>
      <c r="H35" s="620">
        <f t="shared" ref="H35:J35" si="11">SUM(H37:H48)</f>
        <v>5.22116</v>
      </c>
      <c r="I35" s="620">
        <f t="shared" si="11"/>
        <v>120.36486</v>
      </c>
      <c r="J35" s="621">
        <f t="shared" si="11"/>
        <v>125.58602</v>
      </c>
    </row>
    <row r="36">
      <c r="A36" s="622" t="s">
        <v>1732</v>
      </c>
      <c r="B36" s="622" t="s">
        <v>80</v>
      </c>
      <c r="C36" s="623" t="s">
        <v>8</v>
      </c>
      <c r="D36" s="624" t="s">
        <v>1733</v>
      </c>
      <c r="E36" s="624" t="s">
        <v>1734</v>
      </c>
      <c r="F36" s="624" t="s">
        <v>1735</v>
      </c>
      <c r="G36" s="624" t="s">
        <v>1736</v>
      </c>
      <c r="H36" s="624" t="s">
        <v>1737</v>
      </c>
      <c r="I36" s="624" t="s">
        <v>1738</v>
      </c>
      <c r="J36" s="624" t="s">
        <v>14</v>
      </c>
    </row>
    <row r="37">
      <c r="A37" s="630" t="s">
        <v>218</v>
      </c>
      <c r="B37" s="631">
        <v>88316.0</v>
      </c>
      <c r="C37" s="627" t="str">
        <f>IF(A37="SINAPI-S",VLOOKUP(B37,'20-B.SINAPI-S'!A:J,2,0),IF(A37="SINAPI-I",VLOOKUP(B37,'20-A.SINAPI-I'!A:E,2,0),VLOOKUP(B37,'12.COT.MERCADO'!A:H,2,0)))</f>
        <v>SERVENTE COM ENCARGOS COMPLEMENTARES</v>
      </c>
      <c r="D37" s="628" t="str">
        <f>IF(A37="SINAPI-S",VLOOKUP(B37,'20-B.SINAPI-S'!A:J,3,0),IF(A37="SINAPI-I",VLOOKUP(B37,'20-A.SINAPI-I'!A:E,3,0),VLOOKUP(B37,'12.COT.MERCADO'!A:H,7,0)))</f>
        <v>H</v>
      </c>
      <c r="E37" s="629">
        <f>IF(A37="SINAPI-S",VLOOKUP(B37,'20-B.SINAPI-S'!A:J,5,0),IF(A37="SINAPI-I",VLOOKUP(B37,'20-A.SINAPI-I'!A:G,6,0),0))</f>
        <v>17.42</v>
      </c>
      <c r="F37" s="629">
        <f>IF(A37="SINAPI-S",VLOOKUP(B37,'20-B.SINAPI-S'!A:J,6,0),IF(A37="SINAPI-I",VLOOKUP(B37,'20-A.SINAPI-I'!A:G,7,0),VLOOKUP(B37,'12.COT.MERCADO'!A:H,8,0)))</f>
        <v>7.7</v>
      </c>
      <c r="G37" s="630">
        <f t="shared" ref="G37:G38" si="12">0.064+0.052</f>
        <v>0.116</v>
      </c>
      <c r="H37" s="629">
        <f t="shared" ref="H37:H48" si="13">E37*G37</f>
        <v>2.02072</v>
      </c>
      <c r="I37" s="629">
        <f t="shared" ref="I37:I48" si="14">F37*G37</f>
        <v>0.8932</v>
      </c>
      <c r="J37" s="629">
        <f t="shared" ref="J37:J48" si="15">I37+H37</f>
        <v>2.91392</v>
      </c>
    </row>
    <row r="38">
      <c r="A38" s="630" t="s">
        <v>218</v>
      </c>
      <c r="B38" s="630">
        <v>100308.0</v>
      </c>
      <c r="C38" s="627" t="str">
        <f>IF(A38="SINAPI-S",VLOOKUP(B38,'20-B.SINAPI-S'!A:J,2,0),IF(A38="SINAPI-I",VLOOKUP(B38,'20-A.SINAPI-I'!A:E,2,0),VLOOKUP(B38,'12.COT.MERCADO'!A:H,2,0)))</f>
        <v>MECÂNICO DE REFRIGERAÇÃO COM ENCARGOS COMPLEMENTARES</v>
      </c>
      <c r="D38" s="628" t="str">
        <f>IF(A38="SINAPI-S",VLOOKUP(B38,'20-B.SINAPI-S'!A:J,3,0),IF(A38="SINAPI-I",VLOOKUP(B38,'20-A.SINAPI-I'!A:E,3,0),VLOOKUP(B38,'12.COT.MERCADO'!A:H,7,0)))</f>
        <v>H</v>
      </c>
      <c r="E38" s="629">
        <f>IF(A38="SINAPI-S",VLOOKUP(B38,'20-B.SINAPI-S'!A:J,5,0),IF(A38="SINAPI-I",VLOOKUP(B38,'20-A.SINAPI-I'!A:G,6,0),0))</f>
        <v>27.59</v>
      </c>
      <c r="F38" s="629">
        <f>IF(A38="SINAPI-S",VLOOKUP(B38,'20-B.SINAPI-S'!A:J,6,0),IF(A38="SINAPI-I",VLOOKUP(B38,'20-A.SINAPI-I'!A:G,7,0),VLOOKUP(B38,'12.COT.MERCADO'!A:H,8,0)))</f>
        <v>7.86</v>
      </c>
      <c r="G38" s="630">
        <f t="shared" si="12"/>
        <v>0.116</v>
      </c>
      <c r="H38" s="629">
        <f t="shared" si="13"/>
        <v>3.20044</v>
      </c>
      <c r="I38" s="629">
        <f t="shared" si="14"/>
        <v>0.91176</v>
      </c>
      <c r="J38" s="629">
        <f t="shared" si="15"/>
        <v>4.1122</v>
      </c>
    </row>
    <row r="39">
      <c r="A39" s="630" t="s">
        <v>286</v>
      </c>
      <c r="B39" s="631">
        <v>4376.0</v>
      </c>
      <c r="C39" s="627" t="str">
        <f>IF(A39="SINAPI-S",VLOOKUP(B39,'20-B.SINAPI-S'!A:J,2,0),IF(A39="SINAPI-I",VLOOKUP(B39,'20-A.SINAPI-I'!A:E,2,0),VLOOKUP(B39,'12.COT.MERCADO'!A:H,2,0)))</f>
        <v>BUCHA DE NYLON SEM ABA S8</v>
      </c>
      <c r="D39" s="626" t="str">
        <f>IF(A39="SINAPI-S",VLOOKUP(B39,'20-B.SINAPI-S'!A:J,3,0),IF(A39="SINAPI-I",VLOOKUP(B39,'20-A.SINAPI-I'!A:E,3,0),VLOOKUP(B39,'12.COT.MERCADO'!A:H,7,0)))</f>
        <v>UN</v>
      </c>
      <c r="E39" s="629">
        <f>IF(A39="SINAPI-S",VLOOKUP(B39,'20-B.SINAPI-S'!A:J,5,0),IF(A39="SINAPI-I",VLOOKUP(B39,'20-A.SINAPI-I'!A:G,6,0),0))</f>
        <v>0</v>
      </c>
      <c r="F39" s="629">
        <f>IF(A39="SINAPI-S",VLOOKUP(B39,'20-B.SINAPI-S'!A:J,6,0),IF(A39="SINAPI-I",VLOOKUP(B39,'20-A.SINAPI-I'!A:G,7,0),VLOOKUP(B39,'12.COT.MERCADO'!A:H,8,0)))</f>
        <v>0.23</v>
      </c>
      <c r="G39" s="630">
        <v>2.0</v>
      </c>
      <c r="H39" s="629">
        <f t="shared" si="13"/>
        <v>0</v>
      </c>
      <c r="I39" s="629">
        <f t="shared" si="14"/>
        <v>0.46</v>
      </c>
      <c r="J39" s="629">
        <f t="shared" si="15"/>
        <v>0.46</v>
      </c>
    </row>
    <row r="40">
      <c r="A40" s="630" t="s">
        <v>286</v>
      </c>
      <c r="B40" s="631">
        <v>39662.0</v>
      </c>
      <c r="C40" s="627" t="str">
        <f>IF(A40="SINAPI-S",VLOOKUP(B40,'20-B.SINAPI-S'!A:J,2,0),IF(A40="SINAPI-I",VLOOKUP(B40,'20-A.SINAPI-I'!A:E,2,0),VLOOKUP(B40,'12.COT.MERCADO'!A:H,2,0)))</f>
        <v>TUBO DE COBRE FLEXIVEL, D = 1/4 ", E = 0,79 MM, PARA AR-CONDICIONADO/ INSTALACOES GAS RESIDENCIAIS E COMERCIAIS</v>
      </c>
      <c r="D40" s="626" t="str">
        <f>IF(A40="SINAPI-S",VLOOKUP(B40,'20-B.SINAPI-S'!A:J,3,0),IF(A40="SINAPI-I",VLOOKUP(B40,'20-A.SINAPI-I'!A:E,3,0),VLOOKUP(B40,'12.COT.MERCADO'!A:H,7,0)))</f>
        <v>M</v>
      </c>
      <c r="E40" s="629">
        <f>IF(A40="SINAPI-S",VLOOKUP(B40,'20-B.SINAPI-S'!A:J,5,0),IF(A40="SINAPI-I",VLOOKUP(B40,'20-A.SINAPI-I'!A:G,6,0),0))</f>
        <v>0</v>
      </c>
      <c r="F40" s="629">
        <f>IF(A40="SINAPI-S",VLOOKUP(B40,'20-B.SINAPI-S'!A:J,6,0),IF(A40="SINAPI-I",VLOOKUP(B40,'20-A.SINAPI-I'!A:G,7,0),VLOOKUP(B40,'12.COT.MERCADO'!A:H,8,0)))</f>
        <v>19.02</v>
      </c>
      <c r="G40" s="630">
        <v>1.05</v>
      </c>
      <c r="H40" s="629">
        <f t="shared" si="13"/>
        <v>0</v>
      </c>
      <c r="I40" s="629">
        <f t="shared" si="14"/>
        <v>19.971</v>
      </c>
      <c r="J40" s="629">
        <f t="shared" si="15"/>
        <v>19.971</v>
      </c>
    </row>
    <row r="41">
      <c r="A41" s="630" t="s">
        <v>286</v>
      </c>
      <c r="B41" s="631">
        <v>39665.0</v>
      </c>
      <c r="C41" s="627" t="str">
        <f>IF(A41="SINAPI-S",VLOOKUP(B41,'20-B.SINAPI-S'!A:J,2,0),IF(A41="SINAPI-I",VLOOKUP(B41,'20-A.SINAPI-I'!A:E,2,0),VLOOKUP(B41,'12.COT.MERCADO'!A:H,2,0)))</f>
        <v>TUBO DE COBRE FLEXIVEL, D = 5/8 ", E = 0,79 MM, PARA AR-CONDICIONADO/ INSTALACOES GAS RESIDENCIAIS E COMERCIAIS</v>
      </c>
      <c r="D41" s="626" t="str">
        <f>IF(A41="SINAPI-S",VLOOKUP(B41,'20-B.SINAPI-S'!A:J,3,0),IF(A41="SINAPI-I",VLOOKUP(B41,'20-A.SINAPI-I'!A:E,3,0),VLOOKUP(B41,'12.COT.MERCADO'!A:H,7,0)))</f>
        <v>M</v>
      </c>
      <c r="E41" s="629">
        <f>IF(A41="SINAPI-S",VLOOKUP(B41,'20-B.SINAPI-S'!A:J,5,0),IF(A41="SINAPI-I",VLOOKUP(B41,'20-A.SINAPI-I'!A:G,6,0),0))</f>
        <v>0</v>
      </c>
      <c r="F41" s="629">
        <f>IF(A41="SINAPI-S",VLOOKUP(B41,'20-B.SINAPI-S'!A:J,6,0),IF(A41="SINAPI-I",VLOOKUP(B41,'20-A.SINAPI-I'!A:G,7,0),VLOOKUP(B41,'12.COT.MERCADO'!A:H,8,0)))</f>
        <v>49.38</v>
      </c>
      <c r="G41" s="630">
        <v>1.05</v>
      </c>
      <c r="H41" s="629">
        <f t="shared" si="13"/>
        <v>0</v>
      </c>
      <c r="I41" s="629">
        <f t="shared" si="14"/>
        <v>51.849</v>
      </c>
      <c r="J41" s="629">
        <f t="shared" si="15"/>
        <v>51.849</v>
      </c>
    </row>
    <row r="42">
      <c r="A42" s="630" t="s">
        <v>286</v>
      </c>
      <c r="B42" s="631">
        <v>39738.0</v>
      </c>
      <c r="C42" s="627" t="str">
        <f>IF(A42="SINAPI-S",VLOOKUP(B42,'20-B.SINAPI-S'!A:J,2,0),IF(A42="SINAPI-I",VLOOKUP(B42,'20-A.SINAPI-I'!A:E,2,0),VLOOKUP(B42,'12.COT.MERCADO'!A:H,2,0)))</f>
        <v>TUBO DE BORRACHA ELASTOMERICA FLEXIVEL, PRETA, PARA ISOLAMENTO TERMICO DE TUBULACAO, DN 1/4" (6 MM), E= 9 MM, COEFICIENTE DE CONDUTIVIDADE TERMICA 0,036W/mK, VAPOR DE AGUA MAIOR OU IGUAL A 10.000</v>
      </c>
      <c r="D42" s="626" t="str">
        <f>IF(A42="SINAPI-S",VLOOKUP(B42,'20-B.SINAPI-S'!A:J,3,0),IF(A42="SINAPI-I",VLOOKUP(B42,'20-A.SINAPI-I'!A:E,3,0),VLOOKUP(B42,'12.COT.MERCADO'!A:H,7,0)))</f>
        <v>M</v>
      </c>
      <c r="E42" s="629">
        <f>IF(A42="SINAPI-S",VLOOKUP(B42,'20-B.SINAPI-S'!A:J,5,0),IF(A42="SINAPI-I",VLOOKUP(B42,'20-A.SINAPI-I'!A:G,6,0),0))</f>
        <v>0</v>
      </c>
      <c r="F42" s="629">
        <f>IF(A42="SINAPI-S",VLOOKUP(B42,'20-B.SINAPI-S'!A:J,6,0),IF(A42="SINAPI-I",VLOOKUP(B42,'20-A.SINAPI-I'!A:G,7,0),VLOOKUP(B42,'12.COT.MERCADO'!A:H,8,0)))</f>
        <v>5.13</v>
      </c>
      <c r="G42" s="630">
        <v>1.05</v>
      </c>
      <c r="H42" s="629">
        <f t="shared" si="13"/>
        <v>0</v>
      </c>
      <c r="I42" s="629">
        <f t="shared" si="14"/>
        <v>5.3865</v>
      </c>
      <c r="J42" s="629">
        <f t="shared" si="15"/>
        <v>5.3865</v>
      </c>
    </row>
    <row r="43">
      <c r="A43" s="630" t="s">
        <v>286</v>
      </c>
      <c r="B43" s="631">
        <v>39853.0</v>
      </c>
      <c r="C43" s="627" t="str">
        <f>IF(A43="SINAPI-S",VLOOKUP(B43,'20-B.SINAPI-S'!A:J,2,0),IF(A43="SINAPI-I",VLOOKUP(B43,'20-A.SINAPI-I'!A:E,2,0),VLOOKUP(B43,'12.COT.MERCADO'!A:H,2,0)))</f>
        <v>TUBO DE BORRACHA ELASTOMERICA FLEXIVEL, PRETA, PARA ISOLAMENTO TERMICO DE TUBULACAO, DN 5/8" (15 MM), E= 19 MM, COEFICIENTE DE CONDUTIVIDADE TERMICA 0,036W/MK, VAPOR DE AGUA MAIOR OU IGUAL A 10.000</v>
      </c>
      <c r="D43" s="626" t="str">
        <f>IF(A43="SINAPI-S",VLOOKUP(B43,'20-B.SINAPI-S'!A:J,3,0),IF(A43="SINAPI-I",VLOOKUP(B43,'20-A.SINAPI-I'!A:E,3,0),VLOOKUP(B43,'12.COT.MERCADO'!A:H,7,0)))</f>
        <v>M</v>
      </c>
      <c r="E43" s="629">
        <f>IF(A43="SINAPI-S",VLOOKUP(B43,'20-B.SINAPI-S'!A:J,5,0),IF(A43="SINAPI-I",VLOOKUP(B43,'20-A.SINAPI-I'!A:G,6,0),0))</f>
        <v>0</v>
      </c>
      <c r="F43" s="629">
        <f>IF(A43="SINAPI-S",VLOOKUP(B43,'20-B.SINAPI-S'!A:J,6,0),IF(A43="SINAPI-I",VLOOKUP(B43,'20-A.SINAPI-I'!A:G,7,0),VLOOKUP(B43,'12.COT.MERCADO'!A:H,8,0)))</f>
        <v>16.96</v>
      </c>
      <c r="G43" s="630">
        <v>1.05</v>
      </c>
      <c r="H43" s="629">
        <f t="shared" si="13"/>
        <v>0</v>
      </c>
      <c r="I43" s="629">
        <f t="shared" si="14"/>
        <v>17.808</v>
      </c>
      <c r="J43" s="629">
        <f t="shared" si="15"/>
        <v>17.808</v>
      </c>
    </row>
    <row r="44">
      <c r="A44" s="625" t="s">
        <v>110</v>
      </c>
      <c r="B44" s="632" t="s">
        <v>1739</v>
      </c>
      <c r="C44" s="633" t="str">
        <f>IF(A44="SINAPI-S",VLOOKUP(B44,'20-B.SINAPI-S'!A:J,2,0),IF(A44="SINAPI-I",VLOOKUP(B44,'20-A.SINAPI-I'!A:E,2,0),VLOOKUP(B44,'12.COT.MERCADO'!A:H,2,0)))</f>
        <v>Fita isolante de alta fusão 19 mm x 10 m </v>
      </c>
      <c r="D44" s="626" t="str">
        <f>IF(A44="SINAPI-S",VLOOKUP(B44,'20-B.SINAPI-S'!A:J,3,0),IF(A44="SINAPI-I",VLOOKUP(B44,'20-A.SINAPI-I'!A:E,3,0),VLOOKUP(B44,'12.COT.MERCADO'!A:H,7,0)))</f>
        <v>UN </v>
      </c>
      <c r="E44" s="629">
        <f>IF(A44="SINAPI-S",VLOOKUP(B44,'20-B.SINAPI-S'!A:J,5,0),IF(A44="SINAPI-I",VLOOKUP(B44,'20-A.SINAPI-I'!A:G,6,0),0))</f>
        <v>0</v>
      </c>
      <c r="F44" s="634">
        <f>IF(A44="SINAPI-S",VLOOKUP(B44,'20-B.SINAPI-S'!A:J,6,0),IF(A44="SINAPI-I",VLOOKUP(B44,'20-A.SINAPI-I'!A:G,7,0),VLOOKUP(B44,'12.COT.MERCADO'!A:H,8,0)))</f>
        <v>31.92</v>
      </c>
      <c r="G44" s="630">
        <v>0.12</v>
      </c>
      <c r="H44" s="629">
        <f t="shared" si="13"/>
        <v>0</v>
      </c>
      <c r="I44" s="629">
        <f t="shared" si="14"/>
        <v>3.8304</v>
      </c>
      <c r="J44" s="629">
        <f t="shared" si="15"/>
        <v>3.8304</v>
      </c>
    </row>
    <row r="45">
      <c r="A45" s="625" t="s">
        <v>110</v>
      </c>
      <c r="B45" s="632" t="s">
        <v>1740</v>
      </c>
      <c r="C45" s="633" t="str">
        <f>IF(A45="SINAPI-S",VLOOKUP(B45,'20-B.SINAPI-S'!A:J,2,0),IF(A45="SINAPI-I",VLOOKUP(B45,'20-A.SINAPI-I'!A:E,2,0),VLOOKUP(B45,'12.COT.MERCADO'!A:H,2,0)))</f>
        <v>Cabo de cobre PP Cordplast 3 x 2,5 mm2, 450/750v</v>
      </c>
      <c r="D45" s="626" t="str">
        <f>IF(A45="SINAPI-S",VLOOKUP(B45,'20-B.SINAPI-S'!A:J,3,0),IF(A45="SINAPI-I",VLOOKUP(B45,'20-A.SINAPI-I'!A:E,3,0),VLOOKUP(B45,'12.COT.MERCADO'!A:H,7,0)))</f>
        <v>M</v>
      </c>
      <c r="E45" s="629">
        <f>IF(A45="SINAPI-S",VLOOKUP(B45,'20-B.SINAPI-S'!A:J,5,0),IF(A45="SINAPI-I",VLOOKUP(B45,'20-A.SINAPI-I'!A:G,6,0),0))</f>
        <v>0</v>
      </c>
      <c r="F45" s="634">
        <f>IF(A45="SINAPI-S",VLOOKUP(B45,'20-B.SINAPI-S'!A:J,6,0),IF(A45="SINAPI-I",VLOOKUP(B45,'20-A.SINAPI-I'!A:G,7,0),VLOOKUP(B45,'12.COT.MERCADO'!A:H,8,0)))</f>
        <v>8.9</v>
      </c>
      <c r="G45" s="630">
        <v>1.05</v>
      </c>
      <c r="H45" s="629">
        <f t="shared" si="13"/>
        <v>0</v>
      </c>
      <c r="I45" s="629">
        <f t="shared" si="14"/>
        <v>9.345</v>
      </c>
      <c r="J45" s="629">
        <f t="shared" si="15"/>
        <v>9.345</v>
      </c>
    </row>
    <row r="46">
      <c r="A46" s="625" t="s">
        <v>110</v>
      </c>
      <c r="B46" s="632" t="s">
        <v>1741</v>
      </c>
      <c r="C46" s="633" t="str">
        <f>IF(A46="SINAPI-S",VLOOKUP(B46,'20-B.SINAPI-S'!A:J,2,0),IF(A46="SINAPI-I",VLOOKUP(B46,'20-A.SINAPI-I'!A:E,2,0),VLOOKUP(B46,'12.COT.MERCADO'!A:H,2,0)))</f>
        <v>Fita em aço 1/2" Fusimec ou similar</v>
      </c>
      <c r="D46" s="626" t="str">
        <f>IF(A46="SINAPI-S",VLOOKUP(B46,'20-B.SINAPI-S'!A:J,3,0),IF(A46="SINAPI-I",VLOOKUP(B46,'20-A.SINAPI-I'!A:E,3,0),VLOOKUP(B46,'12.COT.MERCADO'!A:H,7,0)))</f>
        <v>M</v>
      </c>
      <c r="E46" s="629">
        <f>IF(A46="SINAPI-S",VLOOKUP(B46,'20-B.SINAPI-S'!A:J,5,0),IF(A46="SINAPI-I",VLOOKUP(B46,'20-A.SINAPI-I'!A:G,6,0),0))</f>
        <v>0</v>
      </c>
      <c r="F46" s="634">
        <f>IF(A46="SINAPI-S",VLOOKUP(B46,'20-B.SINAPI-S'!A:J,6,0),IF(A46="SINAPI-I",VLOOKUP(B46,'20-A.SINAPI-I'!A:G,7,0),VLOOKUP(B46,'12.COT.MERCADO'!A:H,8,0)))</f>
        <v>2.65</v>
      </c>
      <c r="G46" s="630">
        <v>3.0</v>
      </c>
      <c r="H46" s="629">
        <f t="shared" si="13"/>
        <v>0</v>
      </c>
      <c r="I46" s="629">
        <f t="shared" si="14"/>
        <v>7.95</v>
      </c>
      <c r="J46" s="629">
        <f t="shared" si="15"/>
        <v>7.95</v>
      </c>
    </row>
    <row r="47">
      <c r="A47" s="625" t="s">
        <v>110</v>
      </c>
      <c r="B47" s="632" t="s">
        <v>1742</v>
      </c>
      <c r="C47" s="633" t="str">
        <f>IF(A47="SINAPI-S",VLOOKUP(B47,'20-B.SINAPI-S'!A:J,2,0),IF(A47="SINAPI-I",VLOOKUP(B47,'20-A.SINAPI-I'!A:E,2,0),VLOOKUP(B47,'12.COT.MERCADO'!A:H,2,0)))</f>
        <v>Parafuso de ferro zincado c/rosca 3/8 " x 1 1/2" </v>
      </c>
      <c r="D47" s="626" t="str">
        <f>IF(A47="SINAPI-S",VLOOKUP(B47,'20-B.SINAPI-S'!A:J,3,0),IF(A47="SINAPI-I",VLOOKUP(B47,'20-A.SINAPI-I'!A:E,3,0),VLOOKUP(B47,'12.COT.MERCADO'!A:H,7,0)))</f>
        <v>UN </v>
      </c>
      <c r="E47" s="629">
        <f>IF(A47="SINAPI-S",VLOOKUP(B47,'20-B.SINAPI-S'!A:J,5,0),IF(A47="SINAPI-I",VLOOKUP(B47,'20-A.SINAPI-I'!A:G,6,0),0))</f>
        <v>0</v>
      </c>
      <c r="F47" s="634">
        <f>IF(A47="SINAPI-S",VLOOKUP(B47,'20-B.SINAPI-S'!A:J,6,0),IF(A47="SINAPI-I",VLOOKUP(B47,'20-A.SINAPI-I'!A:G,7,0),VLOOKUP(B47,'12.COT.MERCADO'!A:H,8,0)))</f>
        <v>0.89</v>
      </c>
      <c r="G47" s="630">
        <v>2.0</v>
      </c>
      <c r="H47" s="629">
        <f t="shared" si="13"/>
        <v>0</v>
      </c>
      <c r="I47" s="629">
        <f t="shared" si="14"/>
        <v>1.78</v>
      </c>
      <c r="J47" s="629">
        <f t="shared" si="15"/>
        <v>1.78</v>
      </c>
    </row>
    <row r="48">
      <c r="A48" s="625" t="s">
        <v>110</v>
      </c>
      <c r="B48" s="632" t="s">
        <v>1160</v>
      </c>
      <c r="C48" s="633" t="str">
        <f>IF(A48="SINAPI-S",VLOOKUP(B48,'20-B.SINAPI-S'!A:J,2,0),IF(A48="SINAPI-I",VLOOKUP(B48,'20-A.SINAPI-I'!A:E,2,0),VLOOKUP(B48,'12.COT.MERCADO'!A:H,2,0)))</f>
        <v>Arruela lisa de aço galvanizada de Ø 1/4"</v>
      </c>
      <c r="D48" s="626" t="str">
        <f>IF(A48="SINAPI-S",VLOOKUP(B48,'20-B.SINAPI-S'!A:J,3,0),IF(A48="SINAPI-I",VLOOKUP(B48,'20-A.SINAPI-I'!A:E,3,0),VLOOKUP(B48,'12.COT.MERCADO'!A:H,7,0)))</f>
        <v>UN </v>
      </c>
      <c r="E48" s="629">
        <f>IF(A48="SINAPI-S",VLOOKUP(B48,'20-B.SINAPI-S'!A:J,5,0),IF(A48="SINAPI-I",VLOOKUP(B48,'20-A.SINAPI-I'!A:G,6,0),0))</f>
        <v>0</v>
      </c>
      <c r="F48" s="634">
        <f>IF(A48="SINAPI-S",VLOOKUP(B48,'20-B.SINAPI-S'!A:J,6,0),IF(A48="SINAPI-I",VLOOKUP(B48,'20-A.SINAPI-I'!A:G,7,0),VLOOKUP(B48,'12.COT.MERCADO'!A:H,8,0)))</f>
        <v>0.09</v>
      </c>
      <c r="G48" s="630">
        <v>2.0</v>
      </c>
      <c r="H48" s="629">
        <f t="shared" si="13"/>
        <v>0</v>
      </c>
      <c r="I48" s="629">
        <f t="shared" si="14"/>
        <v>0.18</v>
      </c>
      <c r="J48" s="629">
        <f t="shared" si="15"/>
        <v>0.18</v>
      </c>
    </row>
    <row r="49">
      <c r="A49" s="624" t="s">
        <v>1632</v>
      </c>
      <c r="B49" s="637" t="s">
        <v>1747</v>
      </c>
    </row>
    <row r="50">
      <c r="A50" s="631"/>
      <c r="B50" s="631"/>
      <c r="C50" s="636"/>
      <c r="D50" s="631"/>
      <c r="E50" s="631"/>
      <c r="F50" s="631"/>
      <c r="G50" s="631"/>
      <c r="H50" s="631"/>
      <c r="I50" s="631"/>
      <c r="J50" s="631"/>
    </row>
    <row r="51">
      <c r="A51" s="617" t="s">
        <v>1729</v>
      </c>
      <c r="B51" s="618" t="s">
        <v>530</v>
      </c>
      <c r="C51" s="619" t="s">
        <v>1748</v>
      </c>
      <c r="D51" s="618" t="s">
        <v>1731</v>
      </c>
      <c r="E51" s="618"/>
      <c r="F51" s="618"/>
      <c r="G51" s="618"/>
      <c r="H51" s="620">
        <f t="shared" ref="H51:J51" si="16">SUM(H53:H64)</f>
        <v>5.22116</v>
      </c>
      <c r="I51" s="620">
        <f t="shared" si="16"/>
        <v>120.36486</v>
      </c>
      <c r="J51" s="621">
        <f t="shared" si="16"/>
        <v>125.58602</v>
      </c>
    </row>
    <row r="52">
      <c r="A52" s="622" t="s">
        <v>1732</v>
      </c>
      <c r="B52" s="622" t="s">
        <v>80</v>
      </c>
      <c r="C52" s="623" t="s">
        <v>8</v>
      </c>
      <c r="D52" s="624" t="s">
        <v>1733</v>
      </c>
      <c r="E52" s="624" t="s">
        <v>1734</v>
      </c>
      <c r="F52" s="624" t="s">
        <v>1735</v>
      </c>
      <c r="G52" s="624" t="s">
        <v>1736</v>
      </c>
      <c r="H52" s="624" t="s">
        <v>1737</v>
      </c>
      <c r="I52" s="624" t="s">
        <v>1738</v>
      </c>
      <c r="J52" s="624" t="s">
        <v>14</v>
      </c>
    </row>
    <row r="53">
      <c r="A53" s="630" t="s">
        <v>218</v>
      </c>
      <c r="B53" s="631">
        <v>88316.0</v>
      </c>
      <c r="C53" s="627" t="str">
        <f>IF(A53="SINAPI-S",VLOOKUP(B53,'20-B.SINAPI-S'!A:J,2,0),IF(A53="SINAPI-I",VLOOKUP(B53,'20-A.SINAPI-I'!A:E,2,0),VLOOKUP(B53,'12.COT.MERCADO'!A:H,2,0)))</f>
        <v>SERVENTE COM ENCARGOS COMPLEMENTARES</v>
      </c>
      <c r="D53" s="628" t="str">
        <f>IF(A53="SINAPI-S",VLOOKUP(B53,'20-B.SINAPI-S'!A:J,3,0),IF(A53="SINAPI-I",VLOOKUP(B53,'20-A.SINAPI-I'!A:E,3,0),VLOOKUP(B53,'12.COT.MERCADO'!A:H,7,0)))</f>
        <v>H</v>
      </c>
      <c r="E53" s="629">
        <f>IF(A53="SINAPI-S",VLOOKUP(B53,'20-B.SINAPI-S'!A:J,5,0),IF(A53="SINAPI-I",VLOOKUP(B53,'20-A.SINAPI-I'!A:G,6,0),0))</f>
        <v>17.42</v>
      </c>
      <c r="F53" s="629">
        <f>IF(A53="SINAPI-S",VLOOKUP(B53,'20-B.SINAPI-S'!A:J,6,0),IF(A53="SINAPI-I",VLOOKUP(B53,'20-A.SINAPI-I'!A:G,7,0),VLOOKUP(B53,'12.COT.MERCADO'!A:H,8,0)))</f>
        <v>7.7</v>
      </c>
      <c r="G53" s="630">
        <f t="shared" ref="G53:G54" si="17">0.064+0.052</f>
        <v>0.116</v>
      </c>
      <c r="H53" s="629">
        <f t="shared" ref="H53:H64" si="18">E53*G53</f>
        <v>2.02072</v>
      </c>
      <c r="I53" s="629">
        <f t="shared" ref="I53:I64" si="19">F53*G53</f>
        <v>0.8932</v>
      </c>
      <c r="J53" s="629">
        <f t="shared" ref="J53:J64" si="20">I53+H53</f>
        <v>2.91392</v>
      </c>
    </row>
    <row r="54">
      <c r="A54" s="630" t="s">
        <v>218</v>
      </c>
      <c r="B54" s="630">
        <v>100308.0</v>
      </c>
      <c r="C54" s="627" t="str">
        <f>IF(A54="SINAPI-S",VLOOKUP(B54,'20-B.SINAPI-S'!A:J,2,0),IF(A54="SINAPI-I",VLOOKUP(B54,'20-A.SINAPI-I'!A:E,2,0),VLOOKUP(B54,'12.COT.MERCADO'!A:H,2,0)))</f>
        <v>MECÂNICO DE REFRIGERAÇÃO COM ENCARGOS COMPLEMENTARES</v>
      </c>
      <c r="D54" s="628" t="str">
        <f>IF(A54="SINAPI-S",VLOOKUP(B54,'20-B.SINAPI-S'!A:J,3,0),IF(A54="SINAPI-I",VLOOKUP(B54,'20-A.SINAPI-I'!A:E,3,0),VLOOKUP(B54,'12.COT.MERCADO'!A:H,7,0)))</f>
        <v>H</v>
      </c>
      <c r="E54" s="629">
        <f>IF(A54="SINAPI-S",VLOOKUP(B54,'20-B.SINAPI-S'!A:J,5,0),IF(A54="SINAPI-I",VLOOKUP(B54,'20-A.SINAPI-I'!A:G,6,0),0))</f>
        <v>27.59</v>
      </c>
      <c r="F54" s="629">
        <f>IF(A54="SINAPI-S",VLOOKUP(B54,'20-B.SINAPI-S'!A:J,6,0),IF(A54="SINAPI-I",VLOOKUP(B54,'20-A.SINAPI-I'!A:G,7,0),VLOOKUP(B54,'12.COT.MERCADO'!A:H,8,0)))</f>
        <v>7.86</v>
      </c>
      <c r="G54" s="630">
        <f t="shared" si="17"/>
        <v>0.116</v>
      </c>
      <c r="H54" s="629">
        <f t="shared" si="18"/>
        <v>3.20044</v>
      </c>
      <c r="I54" s="629">
        <f t="shared" si="19"/>
        <v>0.91176</v>
      </c>
      <c r="J54" s="629">
        <f t="shared" si="20"/>
        <v>4.1122</v>
      </c>
    </row>
    <row r="55">
      <c r="A55" s="630" t="s">
        <v>286</v>
      </c>
      <c r="B55" s="631">
        <v>4376.0</v>
      </c>
      <c r="C55" s="627" t="str">
        <f>IF(A55="SINAPI-S",VLOOKUP(B55,'20-B.SINAPI-S'!A:J,2,0),IF(A55="SINAPI-I",VLOOKUP(B55,'20-A.SINAPI-I'!A:E,2,0),VLOOKUP(B55,'12.COT.MERCADO'!A:H,2,0)))</f>
        <v>BUCHA DE NYLON SEM ABA S8</v>
      </c>
      <c r="D55" s="626" t="str">
        <f>IF(A55="SINAPI-S",VLOOKUP(B55,'20-B.SINAPI-S'!A:J,3,0),IF(A55="SINAPI-I",VLOOKUP(B55,'20-A.SINAPI-I'!A:E,3,0),VLOOKUP(B55,'12.COT.MERCADO'!A:H,7,0)))</f>
        <v>UN</v>
      </c>
      <c r="E55" s="629">
        <f>IF(A55="SINAPI-S",VLOOKUP(B55,'20-B.SINAPI-S'!A:J,5,0),IF(A55="SINAPI-I",VLOOKUP(B55,'20-A.SINAPI-I'!A:G,6,0),0))</f>
        <v>0</v>
      </c>
      <c r="F55" s="629">
        <f>IF(A55="SINAPI-S",VLOOKUP(B55,'20-B.SINAPI-S'!A:J,6,0),IF(A55="SINAPI-I",VLOOKUP(B55,'20-A.SINAPI-I'!A:G,7,0),VLOOKUP(B55,'12.COT.MERCADO'!A:H,8,0)))</f>
        <v>0.23</v>
      </c>
      <c r="G55" s="630">
        <v>2.0</v>
      </c>
      <c r="H55" s="629">
        <f t="shared" si="18"/>
        <v>0</v>
      </c>
      <c r="I55" s="629">
        <f t="shared" si="19"/>
        <v>0.46</v>
      </c>
      <c r="J55" s="629">
        <f t="shared" si="20"/>
        <v>0.46</v>
      </c>
    </row>
    <row r="56">
      <c r="A56" s="630" t="s">
        <v>286</v>
      </c>
      <c r="B56" s="631">
        <v>39662.0</v>
      </c>
      <c r="C56" s="627" t="str">
        <f>IF(A56="SINAPI-S",VLOOKUP(B56,'20-B.SINAPI-S'!A:J,2,0),IF(A56="SINAPI-I",VLOOKUP(B56,'20-A.SINAPI-I'!A:E,2,0),VLOOKUP(B56,'12.COT.MERCADO'!A:H,2,0)))</f>
        <v>TUBO DE COBRE FLEXIVEL, D = 1/4 ", E = 0,79 MM, PARA AR-CONDICIONADO/ INSTALACOES GAS RESIDENCIAIS E COMERCIAIS</v>
      </c>
      <c r="D56" s="626" t="str">
        <f>IF(A56="SINAPI-S",VLOOKUP(B56,'20-B.SINAPI-S'!A:J,3,0),IF(A56="SINAPI-I",VLOOKUP(B56,'20-A.SINAPI-I'!A:E,3,0),VLOOKUP(B56,'12.COT.MERCADO'!A:H,7,0)))</f>
        <v>M</v>
      </c>
      <c r="E56" s="629">
        <f>IF(A56="SINAPI-S",VLOOKUP(B56,'20-B.SINAPI-S'!A:J,5,0),IF(A56="SINAPI-I",VLOOKUP(B56,'20-A.SINAPI-I'!A:G,6,0),0))</f>
        <v>0</v>
      </c>
      <c r="F56" s="629">
        <f>IF(A56="SINAPI-S",VLOOKUP(B56,'20-B.SINAPI-S'!A:J,6,0),IF(A56="SINAPI-I",VLOOKUP(B56,'20-A.SINAPI-I'!A:G,7,0),VLOOKUP(B56,'12.COT.MERCADO'!A:H,8,0)))</f>
        <v>19.02</v>
      </c>
      <c r="G56" s="630">
        <v>1.05</v>
      </c>
      <c r="H56" s="629">
        <f t="shared" si="18"/>
        <v>0</v>
      </c>
      <c r="I56" s="629">
        <f t="shared" si="19"/>
        <v>19.971</v>
      </c>
      <c r="J56" s="629">
        <f t="shared" si="20"/>
        <v>19.971</v>
      </c>
    </row>
    <row r="57">
      <c r="A57" s="630" t="s">
        <v>286</v>
      </c>
      <c r="B57" s="631">
        <v>39665.0</v>
      </c>
      <c r="C57" s="627" t="str">
        <f>IF(A57="SINAPI-S",VLOOKUP(B57,'20-B.SINAPI-S'!A:J,2,0),IF(A57="SINAPI-I",VLOOKUP(B57,'20-A.SINAPI-I'!A:E,2,0),VLOOKUP(B57,'12.COT.MERCADO'!A:H,2,0)))</f>
        <v>TUBO DE COBRE FLEXIVEL, D = 5/8 ", E = 0,79 MM, PARA AR-CONDICIONADO/ INSTALACOES GAS RESIDENCIAIS E COMERCIAIS</v>
      </c>
      <c r="D57" s="626" t="str">
        <f>IF(A57="SINAPI-S",VLOOKUP(B57,'20-B.SINAPI-S'!A:J,3,0),IF(A57="SINAPI-I",VLOOKUP(B57,'20-A.SINAPI-I'!A:E,3,0),VLOOKUP(B57,'12.COT.MERCADO'!A:H,7,0)))</f>
        <v>M</v>
      </c>
      <c r="E57" s="629">
        <f>IF(A57="SINAPI-S",VLOOKUP(B57,'20-B.SINAPI-S'!A:J,5,0),IF(A57="SINAPI-I",VLOOKUP(B57,'20-A.SINAPI-I'!A:G,6,0),0))</f>
        <v>0</v>
      </c>
      <c r="F57" s="629">
        <f>IF(A57="SINAPI-S",VLOOKUP(B57,'20-B.SINAPI-S'!A:J,6,0),IF(A57="SINAPI-I",VLOOKUP(B57,'20-A.SINAPI-I'!A:G,7,0),VLOOKUP(B57,'12.COT.MERCADO'!A:H,8,0)))</f>
        <v>49.38</v>
      </c>
      <c r="G57" s="630">
        <v>1.05</v>
      </c>
      <c r="H57" s="629">
        <f t="shared" si="18"/>
        <v>0</v>
      </c>
      <c r="I57" s="629">
        <f t="shared" si="19"/>
        <v>51.849</v>
      </c>
      <c r="J57" s="629">
        <f t="shared" si="20"/>
        <v>51.849</v>
      </c>
    </row>
    <row r="58">
      <c r="A58" s="630" t="s">
        <v>286</v>
      </c>
      <c r="B58" s="631">
        <v>39738.0</v>
      </c>
      <c r="C58" s="627" t="str">
        <f>IF(A58="SINAPI-S",VLOOKUP(B58,'20-B.SINAPI-S'!A:J,2,0),IF(A58="SINAPI-I",VLOOKUP(B58,'20-A.SINAPI-I'!A:E,2,0),VLOOKUP(B58,'12.COT.MERCADO'!A:H,2,0)))</f>
        <v>TUBO DE BORRACHA ELASTOMERICA FLEXIVEL, PRETA, PARA ISOLAMENTO TERMICO DE TUBULACAO, DN 1/4" (6 MM), E= 9 MM, COEFICIENTE DE CONDUTIVIDADE TERMICA 0,036W/mK, VAPOR DE AGUA MAIOR OU IGUAL A 10.000</v>
      </c>
      <c r="D58" s="626" t="str">
        <f>IF(A58="SINAPI-S",VLOOKUP(B58,'20-B.SINAPI-S'!A:J,3,0),IF(A58="SINAPI-I",VLOOKUP(B58,'20-A.SINAPI-I'!A:E,3,0),VLOOKUP(B58,'12.COT.MERCADO'!A:H,7,0)))</f>
        <v>M</v>
      </c>
      <c r="E58" s="629">
        <f>IF(A58="SINAPI-S",VLOOKUP(B58,'20-B.SINAPI-S'!A:J,5,0),IF(A58="SINAPI-I",VLOOKUP(B58,'20-A.SINAPI-I'!A:G,6,0),0))</f>
        <v>0</v>
      </c>
      <c r="F58" s="629">
        <f>IF(A58="SINAPI-S",VLOOKUP(B58,'20-B.SINAPI-S'!A:J,6,0),IF(A58="SINAPI-I",VLOOKUP(B58,'20-A.SINAPI-I'!A:G,7,0),VLOOKUP(B58,'12.COT.MERCADO'!A:H,8,0)))</f>
        <v>5.13</v>
      </c>
      <c r="G58" s="630">
        <v>1.05</v>
      </c>
      <c r="H58" s="629">
        <f t="shared" si="18"/>
        <v>0</v>
      </c>
      <c r="I58" s="629">
        <f t="shared" si="19"/>
        <v>5.3865</v>
      </c>
      <c r="J58" s="629">
        <f t="shared" si="20"/>
        <v>5.3865</v>
      </c>
    </row>
    <row r="59">
      <c r="A59" s="630" t="s">
        <v>286</v>
      </c>
      <c r="B59" s="631">
        <v>39853.0</v>
      </c>
      <c r="C59" s="627" t="str">
        <f>IF(A59="SINAPI-S",VLOOKUP(B59,'20-B.SINAPI-S'!A:J,2,0),IF(A59="SINAPI-I",VLOOKUP(B59,'20-A.SINAPI-I'!A:E,2,0),VLOOKUP(B59,'12.COT.MERCADO'!A:H,2,0)))</f>
        <v>TUBO DE BORRACHA ELASTOMERICA FLEXIVEL, PRETA, PARA ISOLAMENTO TERMICO DE TUBULACAO, DN 5/8" (15 MM), E= 19 MM, COEFICIENTE DE CONDUTIVIDADE TERMICA 0,036W/MK, VAPOR DE AGUA MAIOR OU IGUAL A 10.000</v>
      </c>
      <c r="D59" s="626" t="str">
        <f>IF(A59="SINAPI-S",VLOOKUP(B59,'20-B.SINAPI-S'!A:J,3,0),IF(A59="SINAPI-I",VLOOKUP(B59,'20-A.SINAPI-I'!A:E,3,0),VLOOKUP(B59,'12.COT.MERCADO'!A:H,7,0)))</f>
        <v>M</v>
      </c>
      <c r="E59" s="629">
        <f>IF(A59="SINAPI-S",VLOOKUP(B59,'20-B.SINAPI-S'!A:J,5,0),IF(A59="SINAPI-I",VLOOKUP(B59,'20-A.SINAPI-I'!A:G,6,0),0))</f>
        <v>0</v>
      </c>
      <c r="F59" s="629">
        <f>IF(A59="SINAPI-S",VLOOKUP(B59,'20-B.SINAPI-S'!A:J,6,0),IF(A59="SINAPI-I",VLOOKUP(B59,'20-A.SINAPI-I'!A:G,7,0),VLOOKUP(B59,'12.COT.MERCADO'!A:H,8,0)))</f>
        <v>16.96</v>
      </c>
      <c r="G59" s="630">
        <v>1.05</v>
      </c>
      <c r="H59" s="629">
        <f t="shared" si="18"/>
        <v>0</v>
      </c>
      <c r="I59" s="629">
        <f t="shared" si="19"/>
        <v>17.808</v>
      </c>
      <c r="J59" s="629">
        <f t="shared" si="20"/>
        <v>17.808</v>
      </c>
    </row>
    <row r="60">
      <c r="A60" s="625" t="s">
        <v>110</v>
      </c>
      <c r="B60" s="632" t="s">
        <v>1739</v>
      </c>
      <c r="C60" s="633" t="str">
        <f>IF(A60="SINAPI-S",VLOOKUP(B60,'20-B.SINAPI-S'!A:J,2,0),IF(A60="SINAPI-I",VLOOKUP(B60,'20-A.SINAPI-I'!A:E,2,0),VLOOKUP(B60,'12.COT.MERCADO'!A:H,2,0)))</f>
        <v>Fita isolante de alta fusão 19 mm x 10 m </v>
      </c>
      <c r="D60" s="626" t="str">
        <f>IF(A60="SINAPI-S",VLOOKUP(B60,'20-B.SINAPI-S'!A:J,3,0),IF(A60="SINAPI-I",VLOOKUP(B60,'20-A.SINAPI-I'!A:E,3,0),VLOOKUP(B60,'12.COT.MERCADO'!A:H,7,0)))</f>
        <v>UN </v>
      </c>
      <c r="E60" s="629">
        <f>IF(A60="SINAPI-S",VLOOKUP(B60,'20-B.SINAPI-S'!A:J,5,0),IF(A60="SINAPI-I",VLOOKUP(B60,'20-A.SINAPI-I'!A:G,6,0),0))</f>
        <v>0</v>
      </c>
      <c r="F60" s="634">
        <f>IF(A60="SINAPI-S",VLOOKUP(B60,'20-B.SINAPI-S'!A:J,6,0),IF(A60="SINAPI-I",VLOOKUP(B60,'20-A.SINAPI-I'!A:G,7,0),VLOOKUP(B60,'12.COT.MERCADO'!A:H,8,0)))</f>
        <v>31.92</v>
      </c>
      <c r="G60" s="630">
        <v>0.12</v>
      </c>
      <c r="H60" s="629">
        <f t="shared" si="18"/>
        <v>0</v>
      </c>
      <c r="I60" s="629">
        <f t="shared" si="19"/>
        <v>3.8304</v>
      </c>
      <c r="J60" s="629">
        <f t="shared" si="20"/>
        <v>3.8304</v>
      </c>
    </row>
    <row r="61">
      <c r="A61" s="625" t="s">
        <v>110</v>
      </c>
      <c r="B61" s="632" t="s">
        <v>1740</v>
      </c>
      <c r="C61" s="633" t="str">
        <f>IF(A61="SINAPI-S",VLOOKUP(B61,'20-B.SINAPI-S'!A:J,2,0),IF(A61="SINAPI-I",VLOOKUP(B61,'20-A.SINAPI-I'!A:E,2,0),VLOOKUP(B61,'12.COT.MERCADO'!A:H,2,0)))</f>
        <v>Cabo de cobre PP Cordplast 3 x 2,5 mm2, 450/750v</v>
      </c>
      <c r="D61" s="626" t="str">
        <f>IF(A61="SINAPI-S",VLOOKUP(B61,'20-B.SINAPI-S'!A:J,3,0),IF(A61="SINAPI-I",VLOOKUP(B61,'20-A.SINAPI-I'!A:E,3,0),VLOOKUP(B61,'12.COT.MERCADO'!A:H,7,0)))</f>
        <v>M</v>
      </c>
      <c r="E61" s="629">
        <f>IF(A61="SINAPI-S",VLOOKUP(B61,'20-B.SINAPI-S'!A:J,5,0),IF(A61="SINAPI-I",VLOOKUP(B61,'20-A.SINAPI-I'!A:G,6,0),0))</f>
        <v>0</v>
      </c>
      <c r="F61" s="634">
        <f>IF(A61="SINAPI-S",VLOOKUP(B61,'20-B.SINAPI-S'!A:J,6,0),IF(A61="SINAPI-I",VLOOKUP(B61,'20-A.SINAPI-I'!A:G,7,0),VLOOKUP(B61,'12.COT.MERCADO'!A:H,8,0)))</f>
        <v>8.9</v>
      </c>
      <c r="G61" s="630">
        <v>1.05</v>
      </c>
      <c r="H61" s="629">
        <f t="shared" si="18"/>
        <v>0</v>
      </c>
      <c r="I61" s="629">
        <f t="shared" si="19"/>
        <v>9.345</v>
      </c>
      <c r="J61" s="629">
        <f t="shared" si="20"/>
        <v>9.345</v>
      </c>
    </row>
    <row r="62">
      <c r="A62" s="625" t="s">
        <v>110</v>
      </c>
      <c r="B62" s="632" t="s">
        <v>1741</v>
      </c>
      <c r="C62" s="633" t="str">
        <f>IF(A62="SINAPI-S",VLOOKUP(B62,'20-B.SINAPI-S'!A:J,2,0),IF(A62="SINAPI-I",VLOOKUP(B62,'20-A.SINAPI-I'!A:E,2,0),VLOOKUP(B62,'12.COT.MERCADO'!A:H,2,0)))</f>
        <v>Fita em aço 1/2" Fusimec ou similar</v>
      </c>
      <c r="D62" s="626" t="str">
        <f>IF(A62="SINAPI-S",VLOOKUP(B62,'20-B.SINAPI-S'!A:J,3,0),IF(A62="SINAPI-I",VLOOKUP(B62,'20-A.SINAPI-I'!A:E,3,0),VLOOKUP(B62,'12.COT.MERCADO'!A:H,7,0)))</f>
        <v>M</v>
      </c>
      <c r="E62" s="629">
        <f>IF(A62="SINAPI-S",VLOOKUP(B62,'20-B.SINAPI-S'!A:J,5,0),IF(A62="SINAPI-I",VLOOKUP(B62,'20-A.SINAPI-I'!A:G,6,0),0))</f>
        <v>0</v>
      </c>
      <c r="F62" s="634">
        <f>IF(A62="SINAPI-S",VLOOKUP(B62,'20-B.SINAPI-S'!A:J,6,0),IF(A62="SINAPI-I",VLOOKUP(B62,'20-A.SINAPI-I'!A:G,7,0),VLOOKUP(B62,'12.COT.MERCADO'!A:H,8,0)))</f>
        <v>2.65</v>
      </c>
      <c r="G62" s="630">
        <v>3.0</v>
      </c>
      <c r="H62" s="629">
        <f t="shared" si="18"/>
        <v>0</v>
      </c>
      <c r="I62" s="629">
        <f t="shared" si="19"/>
        <v>7.95</v>
      </c>
      <c r="J62" s="629">
        <f t="shared" si="20"/>
        <v>7.95</v>
      </c>
    </row>
    <row r="63">
      <c r="A63" s="625" t="s">
        <v>110</v>
      </c>
      <c r="B63" s="632" t="s">
        <v>1742</v>
      </c>
      <c r="C63" s="633" t="str">
        <f>IF(A63="SINAPI-S",VLOOKUP(B63,'20-B.SINAPI-S'!A:J,2,0),IF(A63="SINAPI-I",VLOOKUP(B63,'20-A.SINAPI-I'!A:E,2,0),VLOOKUP(B63,'12.COT.MERCADO'!A:H,2,0)))</f>
        <v>Parafuso de ferro zincado c/rosca 3/8 " x 1 1/2" </v>
      </c>
      <c r="D63" s="626" t="str">
        <f>IF(A63="SINAPI-S",VLOOKUP(B63,'20-B.SINAPI-S'!A:J,3,0),IF(A63="SINAPI-I",VLOOKUP(B63,'20-A.SINAPI-I'!A:E,3,0),VLOOKUP(B63,'12.COT.MERCADO'!A:H,7,0)))</f>
        <v>UN </v>
      </c>
      <c r="E63" s="629">
        <f>IF(A63="SINAPI-S",VLOOKUP(B63,'20-B.SINAPI-S'!A:J,5,0),IF(A63="SINAPI-I",VLOOKUP(B63,'20-A.SINAPI-I'!A:G,6,0),0))</f>
        <v>0</v>
      </c>
      <c r="F63" s="634">
        <f>IF(A63="SINAPI-S",VLOOKUP(B63,'20-B.SINAPI-S'!A:J,6,0),IF(A63="SINAPI-I",VLOOKUP(B63,'20-A.SINAPI-I'!A:G,7,0),VLOOKUP(B63,'12.COT.MERCADO'!A:H,8,0)))</f>
        <v>0.89</v>
      </c>
      <c r="G63" s="630">
        <v>2.0</v>
      </c>
      <c r="H63" s="629">
        <f t="shared" si="18"/>
        <v>0</v>
      </c>
      <c r="I63" s="629">
        <f t="shared" si="19"/>
        <v>1.78</v>
      </c>
      <c r="J63" s="629">
        <f t="shared" si="20"/>
        <v>1.78</v>
      </c>
    </row>
    <row r="64">
      <c r="A64" s="625" t="s">
        <v>110</v>
      </c>
      <c r="B64" s="632" t="s">
        <v>1160</v>
      </c>
      <c r="C64" s="633" t="str">
        <f>IF(A64="SINAPI-S",VLOOKUP(B64,'20-B.SINAPI-S'!A:J,2,0),IF(A64="SINAPI-I",VLOOKUP(B64,'20-A.SINAPI-I'!A:E,2,0),VLOOKUP(B64,'12.COT.MERCADO'!A:H,2,0)))</f>
        <v>Arruela lisa de aço galvanizada de Ø 1/4"</v>
      </c>
      <c r="D64" s="626" t="str">
        <f>IF(A64="SINAPI-S",VLOOKUP(B64,'20-B.SINAPI-S'!A:J,3,0),IF(A64="SINAPI-I",VLOOKUP(B64,'20-A.SINAPI-I'!A:E,3,0),VLOOKUP(B64,'12.COT.MERCADO'!A:H,7,0)))</f>
        <v>UN </v>
      </c>
      <c r="E64" s="629">
        <f>IF(A64="SINAPI-S",VLOOKUP(B64,'20-B.SINAPI-S'!A:J,5,0),IF(A64="SINAPI-I",VLOOKUP(B64,'20-A.SINAPI-I'!A:G,6,0),0))</f>
        <v>0</v>
      </c>
      <c r="F64" s="634">
        <f>IF(A64="SINAPI-S",VLOOKUP(B64,'20-B.SINAPI-S'!A:J,6,0),IF(A64="SINAPI-I",VLOOKUP(B64,'20-A.SINAPI-I'!A:G,7,0),VLOOKUP(B64,'12.COT.MERCADO'!A:H,8,0)))</f>
        <v>0.09</v>
      </c>
      <c r="G64" s="630">
        <v>2.0</v>
      </c>
      <c r="H64" s="629">
        <f t="shared" si="18"/>
        <v>0</v>
      </c>
      <c r="I64" s="629">
        <f t="shared" si="19"/>
        <v>0.18</v>
      </c>
      <c r="J64" s="629">
        <f t="shared" si="20"/>
        <v>0.18</v>
      </c>
    </row>
    <row r="65">
      <c r="A65" s="624" t="s">
        <v>1632</v>
      </c>
      <c r="B65" s="638" t="s">
        <v>1749</v>
      </c>
    </row>
    <row r="66">
      <c r="A66" s="631"/>
      <c r="B66" s="631"/>
      <c r="C66" s="636"/>
      <c r="D66" s="631"/>
      <c r="E66" s="631"/>
      <c r="F66" s="631"/>
      <c r="G66" s="631"/>
      <c r="H66" s="631"/>
      <c r="I66" s="631"/>
      <c r="J66" s="631"/>
    </row>
    <row r="67">
      <c r="A67" s="617" t="s">
        <v>1729</v>
      </c>
      <c r="B67" s="618" t="s">
        <v>532</v>
      </c>
      <c r="C67" s="619" t="s">
        <v>1750</v>
      </c>
      <c r="D67" s="618" t="s">
        <v>1731</v>
      </c>
      <c r="E67" s="618"/>
      <c r="F67" s="618"/>
      <c r="G67" s="618"/>
      <c r="H67" s="620">
        <f t="shared" ref="H67:J67" si="21">SUM(H69:H80)</f>
        <v>5.44621</v>
      </c>
      <c r="I67" s="620">
        <f t="shared" si="21"/>
        <v>139.37416</v>
      </c>
      <c r="J67" s="621">
        <f t="shared" si="21"/>
        <v>144.82037</v>
      </c>
    </row>
    <row r="68">
      <c r="A68" s="622" t="s">
        <v>1732</v>
      </c>
      <c r="B68" s="622" t="s">
        <v>80</v>
      </c>
      <c r="C68" s="623" t="s">
        <v>8</v>
      </c>
      <c r="D68" s="624" t="s">
        <v>1733</v>
      </c>
      <c r="E68" s="624" t="s">
        <v>1734</v>
      </c>
      <c r="F68" s="624" t="s">
        <v>1735</v>
      </c>
      <c r="G68" s="624" t="s">
        <v>1736</v>
      </c>
      <c r="H68" s="624" t="s">
        <v>1737</v>
      </c>
      <c r="I68" s="624" t="s">
        <v>1738</v>
      </c>
      <c r="J68" s="624" t="s">
        <v>14</v>
      </c>
    </row>
    <row r="69">
      <c r="A69" s="630" t="s">
        <v>218</v>
      </c>
      <c r="B69" s="631">
        <v>88316.0</v>
      </c>
      <c r="C69" s="627" t="str">
        <f>IF(A69="SINAPI-S",VLOOKUP(B69,'20-B.SINAPI-S'!A:J,2,0),IF(A69="SINAPI-I",VLOOKUP(B69,'20-A.SINAPI-I'!A:E,2,0),VLOOKUP(B69,'12.COT.MERCADO'!A:H,2,0)))</f>
        <v>SERVENTE COM ENCARGOS COMPLEMENTARES</v>
      </c>
      <c r="D69" s="628" t="str">
        <f>IF(A69="SINAPI-S",VLOOKUP(B69,'20-B.SINAPI-S'!A:J,3,0),IF(A69="SINAPI-I",VLOOKUP(B69,'20-A.SINAPI-I'!A:E,3,0),VLOOKUP(B69,'12.COT.MERCADO'!A:H,7,0)))</f>
        <v>H</v>
      </c>
      <c r="E69" s="629">
        <f>IF(A69="SINAPI-S",VLOOKUP(B69,'20-B.SINAPI-S'!A:J,5,0),IF(A69="SINAPI-I",VLOOKUP(B69,'20-A.SINAPI-I'!A:G,6,0),0))</f>
        <v>17.42</v>
      </c>
      <c r="F69" s="629">
        <f>IF(A69="SINAPI-S",VLOOKUP(B69,'20-B.SINAPI-S'!A:J,6,0),IF(A69="SINAPI-I",VLOOKUP(B69,'20-A.SINAPI-I'!A:G,7,0),VLOOKUP(B69,'12.COT.MERCADO'!A:H,8,0)))</f>
        <v>7.7</v>
      </c>
      <c r="G69" s="630">
        <f t="shared" ref="G69:G70" si="22">0.064+0.057</f>
        <v>0.121</v>
      </c>
      <c r="H69" s="629">
        <f t="shared" ref="H69:H80" si="23">E69*G69</f>
        <v>2.10782</v>
      </c>
      <c r="I69" s="629">
        <f t="shared" ref="I69:I80" si="24">F69*G69</f>
        <v>0.9317</v>
      </c>
      <c r="J69" s="629">
        <f t="shared" ref="J69:J80" si="25">I69+H69</f>
        <v>3.03952</v>
      </c>
    </row>
    <row r="70">
      <c r="A70" s="630" t="s">
        <v>218</v>
      </c>
      <c r="B70" s="630">
        <v>100308.0</v>
      </c>
      <c r="C70" s="627" t="str">
        <f>IF(A70="SINAPI-S",VLOOKUP(B70,'20-B.SINAPI-S'!A:J,2,0),IF(A70="SINAPI-I",VLOOKUP(B70,'20-A.SINAPI-I'!A:E,2,0),VLOOKUP(B70,'12.COT.MERCADO'!A:H,2,0)))</f>
        <v>MECÂNICO DE REFRIGERAÇÃO COM ENCARGOS COMPLEMENTARES</v>
      </c>
      <c r="D70" s="628" t="str">
        <f>IF(A70="SINAPI-S",VLOOKUP(B70,'20-B.SINAPI-S'!A:J,3,0),IF(A70="SINAPI-I",VLOOKUP(B70,'20-A.SINAPI-I'!A:E,3,0),VLOOKUP(B70,'12.COT.MERCADO'!A:H,7,0)))</f>
        <v>H</v>
      </c>
      <c r="E70" s="629">
        <f>IF(A70="SINAPI-S",VLOOKUP(B70,'20-B.SINAPI-S'!A:J,5,0),IF(A70="SINAPI-I",VLOOKUP(B70,'20-A.SINAPI-I'!A:G,6,0),0))</f>
        <v>27.59</v>
      </c>
      <c r="F70" s="629">
        <f>IF(A70="SINAPI-S",VLOOKUP(B70,'20-B.SINAPI-S'!A:J,6,0),IF(A70="SINAPI-I",VLOOKUP(B70,'20-A.SINAPI-I'!A:G,7,0),VLOOKUP(B70,'12.COT.MERCADO'!A:H,8,0)))</f>
        <v>7.86</v>
      </c>
      <c r="G70" s="630">
        <f t="shared" si="22"/>
        <v>0.121</v>
      </c>
      <c r="H70" s="629">
        <f t="shared" si="23"/>
        <v>3.33839</v>
      </c>
      <c r="I70" s="629">
        <f t="shared" si="24"/>
        <v>0.95106</v>
      </c>
      <c r="J70" s="629">
        <f t="shared" si="25"/>
        <v>4.28945</v>
      </c>
    </row>
    <row r="71">
      <c r="A71" s="630" t="s">
        <v>286</v>
      </c>
      <c r="B71" s="631">
        <v>4376.0</v>
      </c>
      <c r="C71" s="627" t="str">
        <f>IF(A71="SINAPI-S",VLOOKUP(B71,'20-B.SINAPI-S'!A:J,2,0),IF(A71="SINAPI-I",VLOOKUP(B71,'20-A.SINAPI-I'!A:E,2,0),VLOOKUP(B71,'12.COT.MERCADO'!A:H,2,0)))</f>
        <v>BUCHA DE NYLON SEM ABA S8</v>
      </c>
      <c r="D71" s="626" t="str">
        <f>IF(A71="SINAPI-S",VLOOKUP(B71,'20-B.SINAPI-S'!A:J,3,0),IF(A71="SINAPI-I",VLOOKUP(B71,'20-A.SINAPI-I'!A:E,3,0),VLOOKUP(B71,'12.COT.MERCADO'!A:H,7,0)))</f>
        <v>UN</v>
      </c>
      <c r="E71" s="629">
        <f>IF(A71="SINAPI-S",VLOOKUP(B71,'20-B.SINAPI-S'!A:J,5,0),IF(A71="SINAPI-I",VLOOKUP(B71,'20-A.SINAPI-I'!A:G,6,0),0))</f>
        <v>0</v>
      </c>
      <c r="F71" s="629">
        <f>IF(A71="SINAPI-S",VLOOKUP(B71,'20-B.SINAPI-S'!A:J,6,0),IF(A71="SINAPI-I",VLOOKUP(B71,'20-A.SINAPI-I'!A:G,7,0),VLOOKUP(B71,'12.COT.MERCADO'!A:H,8,0)))</f>
        <v>0.23</v>
      </c>
      <c r="G71" s="630">
        <v>2.0</v>
      </c>
      <c r="H71" s="629">
        <f t="shared" si="23"/>
        <v>0</v>
      </c>
      <c r="I71" s="629">
        <f t="shared" si="24"/>
        <v>0.46</v>
      </c>
      <c r="J71" s="629">
        <f t="shared" si="25"/>
        <v>0.46</v>
      </c>
    </row>
    <row r="72">
      <c r="A72" s="630" t="s">
        <v>286</v>
      </c>
      <c r="B72" s="631">
        <v>39664.0</v>
      </c>
      <c r="C72" s="627" t="str">
        <f>IF(A72="SINAPI-S",VLOOKUP(B72,'20-B.SINAPI-S'!A:J,2,0),IF(A72="SINAPI-I",VLOOKUP(B72,'20-A.SINAPI-I'!A:E,2,0),VLOOKUP(B72,'12.COT.MERCADO'!A:H,2,0)))</f>
        <v>TUBO DE COBRE FLEXIVEL, D = 3/8 ", E = 0,79 MM, PARA AR-CONDICIONADO/ INSTALACOES GAS RESIDENCIAIS E COMERCIAIS</v>
      </c>
      <c r="D72" s="626" t="str">
        <f>IF(A72="SINAPI-S",VLOOKUP(B72,'20-B.SINAPI-S'!A:J,3,0),IF(A72="SINAPI-I",VLOOKUP(B72,'20-A.SINAPI-I'!A:E,3,0),VLOOKUP(B72,'12.COT.MERCADO'!A:H,7,0)))</f>
        <v>M</v>
      </c>
      <c r="E72" s="629">
        <f>IF(A72="SINAPI-S",VLOOKUP(B72,'20-B.SINAPI-S'!A:J,5,0),IF(A72="SINAPI-I",VLOOKUP(B72,'20-A.SINAPI-I'!A:G,6,0),0))</f>
        <v>0</v>
      </c>
      <c r="F72" s="629">
        <f>IF(A72="SINAPI-S",VLOOKUP(B72,'20-B.SINAPI-S'!A:J,6,0),IF(A72="SINAPI-I",VLOOKUP(B72,'20-A.SINAPI-I'!A:G,7,0),VLOOKUP(B72,'12.COT.MERCADO'!A:H,8,0)))</f>
        <v>29.27</v>
      </c>
      <c r="G72" s="630">
        <v>1.05</v>
      </c>
      <c r="H72" s="629">
        <f t="shared" si="23"/>
        <v>0</v>
      </c>
      <c r="I72" s="629">
        <f t="shared" si="24"/>
        <v>30.7335</v>
      </c>
      <c r="J72" s="629">
        <f t="shared" si="25"/>
        <v>30.7335</v>
      </c>
    </row>
    <row r="73">
      <c r="A73" s="630" t="s">
        <v>286</v>
      </c>
      <c r="B73" s="631">
        <v>39665.0</v>
      </c>
      <c r="C73" s="627" t="str">
        <f>IF(A73="SINAPI-S",VLOOKUP(B73,'20-B.SINAPI-S'!A:J,2,0),IF(A73="SINAPI-I",VLOOKUP(B73,'20-A.SINAPI-I'!A:E,2,0),VLOOKUP(B73,'12.COT.MERCADO'!A:H,2,0)))</f>
        <v>TUBO DE COBRE FLEXIVEL, D = 5/8 ", E = 0,79 MM, PARA AR-CONDICIONADO/ INSTALACOES GAS RESIDENCIAIS E COMERCIAIS</v>
      </c>
      <c r="D73" s="626" t="str">
        <f>IF(A73="SINAPI-S",VLOOKUP(B73,'20-B.SINAPI-S'!A:J,3,0),IF(A73="SINAPI-I",VLOOKUP(B73,'20-A.SINAPI-I'!A:E,3,0),VLOOKUP(B73,'12.COT.MERCADO'!A:H,7,0)))</f>
        <v>M</v>
      </c>
      <c r="E73" s="629">
        <f>IF(A73="SINAPI-S",VLOOKUP(B73,'20-B.SINAPI-S'!A:J,5,0),IF(A73="SINAPI-I",VLOOKUP(B73,'20-A.SINAPI-I'!A:G,6,0),0))</f>
        <v>0</v>
      </c>
      <c r="F73" s="629">
        <f>IF(A73="SINAPI-S",VLOOKUP(B73,'20-B.SINAPI-S'!A:J,6,0),IF(A73="SINAPI-I",VLOOKUP(B73,'20-A.SINAPI-I'!A:G,7,0),VLOOKUP(B73,'12.COT.MERCADO'!A:H,8,0)))</f>
        <v>49.38</v>
      </c>
      <c r="G73" s="630">
        <v>1.05</v>
      </c>
      <c r="H73" s="629">
        <f t="shared" si="23"/>
        <v>0</v>
      </c>
      <c r="I73" s="629">
        <f t="shared" si="24"/>
        <v>51.849</v>
      </c>
      <c r="J73" s="629">
        <f t="shared" si="25"/>
        <v>51.849</v>
      </c>
    </row>
    <row r="74">
      <c r="A74" s="630" t="s">
        <v>286</v>
      </c>
      <c r="B74" s="631">
        <v>39741.0</v>
      </c>
      <c r="C74" s="627" t="str">
        <f>IF(A74="SINAPI-S",VLOOKUP(B74,'20-B.SINAPI-S'!A:J,2,0),IF(A74="SINAPI-I",VLOOKUP(B74,'20-A.SINAPI-I'!A:E,2,0),VLOOKUP(B74,'12.COT.MERCADO'!A:H,2,0)))</f>
        <v>TUBO DE BORRACHA ELASTOMERICA FLEXIVEL, PRETA, PARA ISOLAMENTO TERMICO DE TUBULACAO, DN 3/8" (10 MM), E= 19 MM, COEFICIENTE DE CONDUTIVIDADE TERMICA 0,036W/mK, VAPOR DE AGUA MAIOR OU IGUAL A 10.000</v>
      </c>
      <c r="D74" s="626" t="str">
        <f>IF(A74="SINAPI-S",VLOOKUP(B74,'20-B.SINAPI-S'!A:J,3,0),IF(A74="SINAPI-I",VLOOKUP(B74,'20-A.SINAPI-I'!A:E,3,0),VLOOKUP(B74,'12.COT.MERCADO'!A:H,7,0)))</f>
        <v>M</v>
      </c>
      <c r="E74" s="629">
        <f>IF(A74="SINAPI-S",VLOOKUP(B74,'20-B.SINAPI-S'!A:J,5,0),IF(A74="SINAPI-I",VLOOKUP(B74,'20-A.SINAPI-I'!A:G,6,0),0))</f>
        <v>0</v>
      </c>
      <c r="F74" s="629">
        <f>IF(A74="SINAPI-S",VLOOKUP(B74,'20-B.SINAPI-S'!A:J,6,0),IF(A74="SINAPI-I",VLOOKUP(B74,'20-A.SINAPI-I'!A:G,7,0),VLOOKUP(B74,'12.COT.MERCADO'!A:H,8,0)))</f>
        <v>12.91</v>
      </c>
      <c r="G74" s="630">
        <v>1.05</v>
      </c>
      <c r="H74" s="629">
        <f t="shared" si="23"/>
        <v>0</v>
      </c>
      <c r="I74" s="629">
        <f t="shared" si="24"/>
        <v>13.5555</v>
      </c>
      <c r="J74" s="629">
        <f t="shared" si="25"/>
        <v>13.5555</v>
      </c>
    </row>
    <row r="75">
      <c r="A75" s="630" t="s">
        <v>286</v>
      </c>
      <c r="B75" s="631">
        <v>39853.0</v>
      </c>
      <c r="C75" s="627" t="str">
        <f>IF(A75="SINAPI-S",VLOOKUP(B75,'20-B.SINAPI-S'!A:J,2,0),IF(A75="SINAPI-I",VLOOKUP(B75,'20-A.SINAPI-I'!A:E,2,0),VLOOKUP(B75,'12.COT.MERCADO'!A:H,2,0)))</f>
        <v>TUBO DE BORRACHA ELASTOMERICA FLEXIVEL, PRETA, PARA ISOLAMENTO TERMICO DE TUBULACAO, DN 5/8" (15 MM), E= 19 MM, COEFICIENTE DE CONDUTIVIDADE TERMICA 0,036W/MK, VAPOR DE AGUA MAIOR OU IGUAL A 10.000</v>
      </c>
      <c r="D75" s="626" t="str">
        <f>IF(A75="SINAPI-S",VLOOKUP(B75,'20-B.SINAPI-S'!A:J,3,0),IF(A75="SINAPI-I",VLOOKUP(B75,'20-A.SINAPI-I'!A:E,3,0),VLOOKUP(B75,'12.COT.MERCADO'!A:H,7,0)))</f>
        <v>M</v>
      </c>
      <c r="E75" s="629">
        <f>IF(A75="SINAPI-S",VLOOKUP(B75,'20-B.SINAPI-S'!A:J,5,0),IF(A75="SINAPI-I",VLOOKUP(B75,'20-A.SINAPI-I'!A:G,6,0),0))</f>
        <v>0</v>
      </c>
      <c r="F75" s="629">
        <f>IF(A75="SINAPI-S",VLOOKUP(B75,'20-B.SINAPI-S'!A:J,6,0),IF(A75="SINAPI-I",VLOOKUP(B75,'20-A.SINAPI-I'!A:G,7,0),VLOOKUP(B75,'12.COT.MERCADO'!A:H,8,0)))</f>
        <v>16.96</v>
      </c>
      <c r="G75" s="630">
        <v>1.05</v>
      </c>
      <c r="H75" s="629">
        <f t="shared" si="23"/>
        <v>0</v>
      </c>
      <c r="I75" s="629">
        <f t="shared" si="24"/>
        <v>17.808</v>
      </c>
      <c r="J75" s="629">
        <f t="shared" si="25"/>
        <v>17.808</v>
      </c>
    </row>
    <row r="76">
      <c r="A76" s="625" t="s">
        <v>110</v>
      </c>
      <c r="B76" s="632" t="s">
        <v>1739</v>
      </c>
      <c r="C76" s="633" t="str">
        <f>IF(A76="SINAPI-S",VLOOKUP(B76,'20-B.SINAPI-S'!A:J,2,0),IF(A76="SINAPI-I",VLOOKUP(B76,'20-A.SINAPI-I'!A:E,2,0),VLOOKUP(B76,'12.COT.MERCADO'!A:H,2,0)))</f>
        <v>Fita isolante de alta fusão 19 mm x 10 m </v>
      </c>
      <c r="D76" s="626" t="str">
        <f>IF(A76="SINAPI-S",VLOOKUP(B76,'20-B.SINAPI-S'!A:J,3,0),IF(A76="SINAPI-I",VLOOKUP(B76,'20-A.SINAPI-I'!A:E,3,0),VLOOKUP(B76,'12.COT.MERCADO'!A:H,7,0)))</f>
        <v>UN </v>
      </c>
      <c r="E76" s="629">
        <f>IF(A76="SINAPI-S",VLOOKUP(B76,'20-B.SINAPI-S'!A:J,5,0),IF(A76="SINAPI-I",VLOOKUP(B76,'20-A.SINAPI-I'!A:G,6,0),0))</f>
        <v>0</v>
      </c>
      <c r="F76" s="634">
        <f>IF(A76="SINAPI-S",VLOOKUP(B76,'20-B.SINAPI-S'!A:J,6,0),IF(A76="SINAPI-I",VLOOKUP(B76,'20-A.SINAPI-I'!A:G,7,0),VLOOKUP(B76,'12.COT.MERCADO'!A:H,8,0)))</f>
        <v>31.92</v>
      </c>
      <c r="G76" s="630">
        <v>0.12</v>
      </c>
      <c r="H76" s="629">
        <f t="shared" si="23"/>
        <v>0</v>
      </c>
      <c r="I76" s="629">
        <f t="shared" si="24"/>
        <v>3.8304</v>
      </c>
      <c r="J76" s="629">
        <f t="shared" si="25"/>
        <v>3.8304</v>
      </c>
    </row>
    <row r="77">
      <c r="A77" s="625" t="s">
        <v>110</v>
      </c>
      <c r="B77" s="632" t="s">
        <v>1740</v>
      </c>
      <c r="C77" s="633" t="str">
        <f>IF(A77="SINAPI-S",VLOOKUP(B77,'20-B.SINAPI-S'!A:J,2,0),IF(A77="SINAPI-I",VLOOKUP(B77,'20-A.SINAPI-I'!A:E,2,0),VLOOKUP(B77,'12.COT.MERCADO'!A:H,2,0)))</f>
        <v>Cabo de cobre PP Cordplast 3 x 2,5 mm2, 450/750v</v>
      </c>
      <c r="D77" s="626" t="str">
        <f>IF(A77="SINAPI-S",VLOOKUP(B77,'20-B.SINAPI-S'!A:J,3,0),IF(A77="SINAPI-I",VLOOKUP(B77,'20-A.SINAPI-I'!A:E,3,0),VLOOKUP(B77,'12.COT.MERCADO'!A:H,7,0)))</f>
        <v>M</v>
      </c>
      <c r="E77" s="629">
        <f>IF(A77="SINAPI-S",VLOOKUP(B77,'20-B.SINAPI-S'!A:J,5,0),IF(A77="SINAPI-I",VLOOKUP(B77,'20-A.SINAPI-I'!A:G,6,0),0))</f>
        <v>0</v>
      </c>
      <c r="F77" s="634">
        <f>IF(A77="SINAPI-S",VLOOKUP(B77,'20-B.SINAPI-S'!A:J,6,0),IF(A77="SINAPI-I",VLOOKUP(B77,'20-A.SINAPI-I'!A:G,7,0),VLOOKUP(B77,'12.COT.MERCADO'!A:H,8,0)))</f>
        <v>8.9</v>
      </c>
      <c r="G77" s="630">
        <v>1.05</v>
      </c>
      <c r="H77" s="629">
        <f t="shared" si="23"/>
        <v>0</v>
      </c>
      <c r="I77" s="629">
        <f t="shared" si="24"/>
        <v>9.345</v>
      </c>
      <c r="J77" s="629">
        <f t="shared" si="25"/>
        <v>9.345</v>
      </c>
    </row>
    <row r="78">
      <c r="A78" s="625" t="s">
        <v>110</v>
      </c>
      <c r="B78" s="632" t="s">
        <v>1741</v>
      </c>
      <c r="C78" s="633" t="str">
        <f>IF(A78="SINAPI-S",VLOOKUP(B78,'20-B.SINAPI-S'!A:J,2,0),IF(A78="SINAPI-I",VLOOKUP(B78,'20-A.SINAPI-I'!A:E,2,0),VLOOKUP(B78,'12.COT.MERCADO'!A:H,2,0)))</f>
        <v>Fita em aço 1/2" Fusimec ou similar</v>
      </c>
      <c r="D78" s="626" t="str">
        <f>IF(A78="SINAPI-S",VLOOKUP(B78,'20-B.SINAPI-S'!A:J,3,0),IF(A78="SINAPI-I",VLOOKUP(B78,'20-A.SINAPI-I'!A:E,3,0),VLOOKUP(B78,'12.COT.MERCADO'!A:H,7,0)))</f>
        <v>M</v>
      </c>
      <c r="E78" s="629">
        <f>IF(A78="SINAPI-S",VLOOKUP(B78,'20-B.SINAPI-S'!A:J,5,0),IF(A78="SINAPI-I",VLOOKUP(B78,'20-A.SINAPI-I'!A:G,6,0),0))</f>
        <v>0</v>
      </c>
      <c r="F78" s="634">
        <f>IF(A78="SINAPI-S",VLOOKUP(B78,'20-B.SINAPI-S'!A:J,6,0),IF(A78="SINAPI-I",VLOOKUP(B78,'20-A.SINAPI-I'!A:G,7,0),VLOOKUP(B78,'12.COT.MERCADO'!A:H,8,0)))</f>
        <v>2.65</v>
      </c>
      <c r="G78" s="630">
        <v>3.0</v>
      </c>
      <c r="H78" s="629">
        <f t="shared" si="23"/>
        <v>0</v>
      </c>
      <c r="I78" s="629">
        <f t="shared" si="24"/>
        <v>7.95</v>
      </c>
      <c r="J78" s="629">
        <f t="shared" si="25"/>
        <v>7.95</v>
      </c>
    </row>
    <row r="79">
      <c r="A79" s="625" t="s">
        <v>110</v>
      </c>
      <c r="B79" s="632" t="s">
        <v>1742</v>
      </c>
      <c r="C79" s="633" t="str">
        <f>IF(A79="SINAPI-S",VLOOKUP(B79,'20-B.SINAPI-S'!A:J,2,0),IF(A79="SINAPI-I",VLOOKUP(B79,'20-A.SINAPI-I'!A:E,2,0),VLOOKUP(B79,'12.COT.MERCADO'!A:H,2,0)))</f>
        <v>Parafuso de ferro zincado c/rosca 3/8 " x 1 1/2" </v>
      </c>
      <c r="D79" s="626" t="str">
        <f>IF(A79="SINAPI-S",VLOOKUP(B79,'20-B.SINAPI-S'!A:J,3,0),IF(A79="SINAPI-I",VLOOKUP(B79,'20-A.SINAPI-I'!A:E,3,0),VLOOKUP(B79,'12.COT.MERCADO'!A:H,7,0)))</f>
        <v>UN </v>
      </c>
      <c r="E79" s="629">
        <f>IF(A79="SINAPI-S",VLOOKUP(B79,'20-B.SINAPI-S'!A:J,5,0),IF(A79="SINAPI-I",VLOOKUP(B79,'20-A.SINAPI-I'!A:G,6,0),0))</f>
        <v>0</v>
      </c>
      <c r="F79" s="634">
        <f>IF(A79="SINAPI-S",VLOOKUP(B79,'20-B.SINAPI-S'!A:J,6,0),IF(A79="SINAPI-I",VLOOKUP(B79,'20-A.SINAPI-I'!A:G,7,0),VLOOKUP(B79,'12.COT.MERCADO'!A:H,8,0)))</f>
        <v>0.89</v>
      </c>
      <c r="G79" s="630">
        <v>2.0</v>
      </c>
      <c r="H79" s="629">
        <f t="shared" si="23"/>
        <v>0</v>
      </c>
      <c r="I79" s="629">
        <f t="shared" si="24"/>
        <v>1.78</v>
      </c>
      <c r="J79" s="629">
        <f t="shared" si="25"/>
        <v>1.78</v>
      </c>
    </row>
    <row r="80">
      <c r="A80" s="625" t="s">
        <v>110</v>
      </c>
      <c r="B80" s="632" t="s">
        <v>1160</v>
      </c>
      <c r="C80" s="633" t="str">
        <f>IF(A80="SINAPI-S",VLOOKUP(B80,'20-B.SINAPI-S'!A:J,2,0),IF(A80="SINAPI-I",VLOOKUP(B80,'20-A.SINAPI-I'!A:E,2,0),VLOOKUP(B80,'12.COT.MERCADO'!A:H,2,0)))</f>
        <v>Arruela lisa de aço galvanizada de Ø 1/4"</v>
      </c>
      <c r="D80" s="626" t="str">
        <f>IF(A80="SINAPI-S",VLOOKUP(B80,'20-B.SINAPI-S'!A:J,3,0),IF(A80="SINAPI-I",VLOOKUP(B80,'20-A.SINAPI-I'!A:E,3,0),VLOOKUP(B80,'12.COT.MERCADO'!A:H,7,0)))</f>
        <v>UN </v>
      </c>
      <c r="E80" s="629">
        <f>IF(A80="SINAPI-S",VLOOKUP(B80,'20-B.SINAPI-S'!A:J,5,0),IF(A80="SINAPI-I",VLOOKUP(B80,'20-A.SINAPI-I'!A:G,6,0),0))</f>
        <v>0</v>
      </c>
      <c r="F80" s="634">
        <f>IF(A80="SINAPI-S",VLOOKUP(B80,'20-B.SINAPI-S'!A:J,6,0),IF(A80="SINAPI-I",VLOOKUP(B80,'20-A.SINAPI-I'!A:G,7,0),VLOOKUP(B80,'12.COT.MERCADO'!A:H,8,0)))</f>
        <v>0.09</v>
      </c>
      <c r="G80" s="630">
        <v>2.0</v>
      </c>
      <c r="H80" s="629">
        <f t="shared" si="23"/>
        <v>0</v>
      </c>
      <c r="I80" s="629">
        <f t="shared" si="24"/>
        <v>0.18</v>
      </c>
      <c r="J80" s="629">
        <f t="shared" si="25"/>
        <v>0.18</v>
      </c>
    </row>
    <row r="81">
      <c r="A81" s="624" t="s">
        <v>1632</v>
      </c>
      <c r="B81" s="639" t="s">
        <v>1751</v>
      </c>
    </row>
    <row r="82">
      <c r="A82" s="631"/>
      <c r="B82" s="631"/>
      <c r="C82" s="636"/>
      <c r="D82" s="631"/>
      <c r="E82" s="631"/>
      <c r="F82" s="631"/>
      <c r="G82" s="631"/>
      <c r="H82" s="631"/>
      <c r="I82" s="631"/>
      <c r="J82" s="631"/>
    </row>
    <row r="83">
      <c r="A83" s="617" t="s">
        <v>1729</v>
      </c>
      <c r="B83" s="618" t="s">
        <v>534</v>
      </c>
      <c r="C83" s="619" t="s">
        <v>1752</v>
      </c>
      <c r="D83" s="618" t="s">
        <v>1731</v>
      </c>
      <c r="E83" s="618"/>
      <c r="F83" s="618"/>
      <c r="G83" s="618"/>
      <c r="H83" s="620">
        <f t="shared" ref="H83:J83" si="26">SUM(H85:H96)</f>
        <v>5.44621</v>
      </c>
      <c r="I83" s="620">
        <f t="shared" si="26"/>
        <v>206.00716</v>
      </c>
      <c r="J83" s="621">
        <f t="shared" si="26"/>
        <v>211.45337</v>
      </c>
    </row>
    <row r="84">
      <c r="A84" s="622" t="s">
        <v>1732</v>
      </c>
      <c r="B84" s="622" t="s">
        <v>80</v>
      </c>
      <c r="C84" s="623" t="s">
        <v>8</v>
      </c>
      <c r="D84" s="624" t="s">
        <v>1733</v>
      </c>
      <c r="E84" s="624" t="s">
        <v>1734</v>
      </c>
      <c r="F84" s="624" t="s">
        <v>1735</v>
      </c>
      <c r="G84" s="624" t="s">
        <v>1736</v>
      </c>
      <c r="H84" s="624" t="s">
        <v>1737</v>
      </c>
      <c r="I84" s="624" t="s">
        <v>1738</v>
      </c>
      <c r="J84" s="624" t="s">
        <v>14</v>
      </c>
    </row>
    <row r="85">
      <c r="A85" s="630" t="s">
        <v>218</v>
      </c>
      <c r="B85" s="631">
        <v>88316.0</v>
      </c>
      <c r="C85" s="627" t="str">
        <f>IF(A85="SINAPI-S",VLOOKUP(B85,'20-B.SINAPI-S'!A:J,2,0),IF(A85="SINAPI-I",VLOOKUP(B85,'20-A.SINAPI-I'!A:E,2,0),VLOOKUP(B85,'12.COT.MERCADO'!A:H,2,0)))</f>
        <v>SERVENTE COM ENCARGOS COMPLEMENTARES</v>
      </c>
      <c r="D85" s="628" t="str">
        <f>IF(A85="SINAPI-S",VLOOKUP(B85,'20-B.SINAPI-S'!A:J,3,0),IF(A85="SINAPI-I",VLOOKUP(B85,'20-A.SINAPI-I'!A:E,3,0),VLOOKUP(B85,'12.COT.MERCADO'!A:H,7,0)))</f>
        <v>H</v>
      </c>
      <c r="E85" s="629">
        <f>IF(A85="SINAPI-S",VLOOKUP(B85,'20-B.SINAPI-S'!A:J,5,0),IF(A85="SINAPI-I",VLOOKUP(B85,'20-A.SINAPI-I'!A:G,6,0),0))</f>
        <v>17.42</v>
      </c>
      <c r="F85" s="629">
        <f>IF(A85="SINAPI-S",VLOOKUP(B85,'20-B.SINAPI-S'!A:J,6,0),IF(A85="SINAPI-I",VLOOKUP(B85,'20-A.SINAPI-I'!A:G,7,0),VLOOKUP(B85,'12.COT.MERCADO'!A:H,8,0)))</f>
        <v>7.7</v>
      </c>
      <c r="G85" s="630">
        <f t="shared" ref="G85:G86" si="27">0.064+0.057</f>
        <v>0.121</v>
      </c>
      <c r="H85" s="629">
        <f t="shared" ref="H85:H96" si="28">E85*G85</f>
        <v>2.10782</v>
      </c>
      <c r="I85" s="629">
        <f t="shared" ref="I85:I96" si="29">F85*G85</f>
        <v>0.9317</v>
      </c>
      <c r="J85" s="629">
        <f t="shared" ref="J85:J96" si="30">I85+H85</f>
        <v>3.03952</v>
      </c>
    </row>
    <row r="86">
      <c r="A86" s="630" t="s">
        <v>218</v>
      </c>
      <c r="B86" s="630">
        <v>100308.0</v>
      </c>
      <c r="C86" s="627" t="str">
        <f>IF(A86="SINAPI-S",VLOOKUP(B86,'20-B.SINAPI-S'!A:J,2,0),IF(A86="SINAPI-I",VLOOKUP(B86,'20-A.SINAPI-I'!A:E,2,0),VLOOKUP(B86,'12.COT.MERCADO'!A:H,2,0)))</f>
        <v>MECÂNICO DE REFRIGERAÇÃO COM ENCARGOS COMPLEMENTARES</v>
      </c>
      <c r="D86" s="628" t="str">
        <f>IF(A86="SINAPI-S",VLOOKUP(B86,'20-B.SINAPI-S'!A:J,3,0),IF(A86="SINAPI-I",VLOOKUP(B86,'20-A.SINAPI-I'!A:E,3,0),VLOOKUP(B86,'12.COT.MERCADO'!A:H,7,0)))</f>
        <v>H</v>
      </c>
      <c r="E86" s="629">
        <f>IF(A86="SINAPI-S",VLOOKUP(B86,'20-B.SINAPI-S'!A:J,5,0),IF(A86="SINAPI-I",VLOOKUP(B86,'20-A.SINAPI-I'!A:G,6,0),0))</f>
        <v>27.59</v>
      </c>
      <c r="F86" s="629">
        <f>IF(A86="SINAPI-S",VLOOKUP(B86,'20-B.SINAPI-S'!A:J,6,0),IF(A86="SINAPI-I",VLOOKUP(B86,'20-A.SINAPI-I'!A:G,7,0),VLOOKUP(B86,'12.COT.MERCADO'!A:H,8,0)))</f>
        <v>7.86</v>
      </c>
      <c r="G86" s="630">
        <f t="shared" si="27"/>
        <v>0.121</v>
      </c>
      <c r="H86" s="629">
        <f t="shared" si="28"/>
        <v>3.33839</v>
      </c>
      <c r="I86" s="629">
        <f t="shared" si="29"/>
        <v>0.95106</v>
      </c>
      <c r="J86" s="629">
        <f t="shared" si="30"/>
        <v>4.28945</v>
      </c>
    </row>
    <row r="87">
      <c r="A87" s="630" t="s">
        <v>286</v>
      </c>
      <c r="B87" s="631">
        <v>4376.0</v>
      </c>
      <c r="C87" s="627" t="str">
        <f>IF(A87="SINAPI-S",VLOOKUP(B87,'20-B.SINAPI-S'!A:J,2,0),IF(A87="SINAPI-I",VLOOKUP(B87,'20-A.SINAPI-I'!A:E,2,0),VLOOKUP(B87,'12.COT.MERCADO'!A:H,2,0)))</f>
        <v>BUCHA DE NYLON SEM ABA S8</v>
      </c>
      <c r="D87" s="626" t="str">
        <f>IF(A87="SINAPI-S",VLOOKUP(B87,'20-B.SINAPI-S'!A:J,3,0),IF(A87="SINAPI-I",VLOOKUP(B87,'20-A.SINAPI-I'!A:E,3,0),VLOOKUP(B87,'12.COT.MERCADO'!A:H,7,0)))</f>
        <v>UN</v>
      </c>
      <c r="E87" s="629">
        <f>IF(A87="SINAPI-S",VLOOKUP(B87,'20-B.SINAPI-S'!A:J,5,0),IF(A87="SINAPI-I",VLOOKUP(B87,'20-A.SINAPI-I'!A:G,6,0),0))</f>
        <v>0</v>
      </c>
      <c r="F87" s="629">
        <f>IF(A87="SINAPI-S",VLOOKUP(B87,'20-B.SINAPI-S'!A:J,6,0),IF(A87="SINAPI-I",VLOOKUP(B87,'20-A.SINAPI-I'!A:G,7,0),VLOOKUP(B87,'12.COT.MERCADO'!A:H,8,0)))</f>
        <v>0.23</v>
      </c>
      <c r="G87" s="630">
        <v>2.0</v>
      </c>
      <c r="H87" s="629">
        <f t="shared" si="28"/>
        <v>0</v>
      </c>
      <c r="I87" s="629">
        <f t="shared" si="29"/>
        <v>0.46</v>
      </c>
      <c r="J87" s="629">
        <f t="shared" si="30"/>
        <v>0.46</v>
      </c>
    </row>
    <row r="88">
      <c r="A88" s="630" t="s">
        <v>286</v>
      </c>
      <c r="B88" s="631">
        <v>39664.0</v>
      </c>
      <c r="C88" s="627" t="str">
        <f>IF(A88="SINAPI-S",VLOOKUP(B88,'20-B.SINAPI-S'!A:J,2,0),IF(A88="SINAPI-I",VLOOKUP(B88,'20-A.SINAPI-I'!A:E,2,0),VLOOKUP(B88,'12.COT.MERCADO'!A:H,2,0)))</f>
        <v>TUBO DE COBRE FLEXIVEL, D = 3/8 ", E = 0,79 MM, PARA AR-CONDICIONADO/ INSTALACOES GAS RESIDENCIAIS E COMERCIAIS</v>
      </c>
      <c r="D88" s="626" t="str">
        <f>IF(A88="SINAPI-S",VLOOKUP(B88,'20-B.SINAPI-S'!A:J,3,0),IF(A88="SINAPI-I",VLOOKUP(B88,'20-A.SINAPI-I'!A:E,3,0),VLOOKUP(B88,'12.COT.MERCADO'!A:H,7,0)))</f>
        <v>M</v>
      </c>
      <c r="E88" s="629">
        <f>IF(A88="SINAPI-S",VLOOKUP(B88,'20-B.SINAPI-S'!A:J,5,0),IF(A88="SINAPI-I",VLOOKUP(B88,'20-A.SINAPI-I'!A:G,6,0),0))</f>
        <v>0</v>
      </c>
      <c r="F88" s="629">
        <f>IF(A88="SINAPI-S",VLOOKUP(B88,'20-B.SINAPI-S'!A:J,6,0),IF(A88="SINAPI-I",VLOOKUP(B88,'20-A.SINAPI-I'!A:G,7,0),VLOOKUP(B88,'12.COT.MERCADO'!A:H,8,0)))</f>
        <v>29.27</v>
      </c>
      <c r="G88" s="630">
        <v>1.05</v>
      </c>
      <c r="H88" s="629">
        <f t="shared" si="28"/>
        <v>0</v>
      </c>
      <c r="I88" s="629">
        <f t="shared" si="29"/>
        <v>30.7335</v>
      </c>
      <c r="J88" s="629">
        <f t="shared" si="30"/>
        <v>30.7335</v>
      </c>
    </row>
    <row r="89">
      <c r="A89" s="630" t="s">
        <v>286</v>
      </c>
      <c r="B89" s="631">
        <v>39666.0</v>
      </c>
      <c r="C89" s="627" t="str">
        <f>IF(A89="SINAPI-S",VLOOKUP(B89,'20-B.SINAPI-S'!A:J,2,0),IF(A89="SINAPI-I",VLOOKUP(B89,'20-A.SINAPI-I'!A:E,2,0),VLOOKUP(B89,'12.COT.MERCADO'!A:H,2,0)))</f>
        <v>TUBO DE COBRE FLEXIVEL, D = 3/4 ", E = 0,79 MM, PARA AR-CONDICIONADO/ INSTALACOES GAS RESIDENCIAIS E COMERCIAIS</v>
      </c>
      <c r="D89" s="626" t="str">
        <f>IF(A89="SINAPI-S",VLOOKUP(B89,'20-B.SINAPI-S'!A:J,3,0),IF(A89="SINAPI-I",VLOOKUP(B89,'20-A.SINAPI-I'!A:E,3,0),VLOOKUP(B89,'12.COT.MERCADO'!A:H,7,0)))</f>
        <v>M</v>
      </c>
      <c r="E89" s="629">
        <f>IF(A89="SINAPI-S",VLOOKUP(B89,'20-B.SINAPI-S'!A:J,5,0),IF(A89="SINAPI-I",VLOOKUP(B89,'20-A.SINAPI-I'!A:G,6,0),0))</f>
        <v>0</v>
      </c>
      <c r="F89" s="629">
        <f>IF(A89="SINAPI-S",VLOOKUP(B89,'20-B.SINAPI-S'!A:J,6,0),IF(A89="SINAPI-I",VLOOKUP(B89,'20-A.SINAPI-I'!A:G,7,0),VLOOKUP(B89,'12.COT.MERCADO'!A:H,8,0)))</f>
        <v>59.72</v>
      </c>
      <c r="G89" s="630">
        <v>1.05</v>
      </c>
      <c r="H89" s="629">
        <f t="shared" si="28"/>
        <v>0</v>
      </c>
      <c r="I89" s="629">
        <f t="shared" si="29"/>
        <v>62.706</v>
      </c>
      <c r="J89" s="629">
        <f t="shared" si="30"/>
        <v>62.706</v>
      </c>
    </row>
    <row r="90">
      <c r="A90" s="630" t="s">
        <v>286</v>
      </c>
      <c r="B90" s="631">
        <v>39741.0</v>
      </c>
      <c r="C90" s="627" t="str">
        <f>IF(A90="SINAPI-S",VLOOKUP(B90,'20-B.SINAPI-S'!A:J,2,0),IF(A90="SINAPI-I",VLOOKUP(B90,'20-A.SINAPI-I'!A:E,2,0),VLOOKUP(B90,'12.COT.MERCADO'!A:H,2,0)))</f>
        <v>TUBO DE BORRACHA ELASTOMERICA FLEXIVEL, PRETA, PARA ISOLAMENTO TERMICO DE TUBULACAO, DN 3/8" (10 MM), E= 19 MM, COEFICIENTE DE CONDUTIVIDADE TERMICA 0,036W/mK, VAPOR DE AGUA MAIOR OU IGUAL A 10.000</v>
      </c>
      <c r="D90" s="626" t="str">
        <f>IF(A90="SINAPI-S",VLOOKUP(B90,'20-B.SINAPI-S'!A:J,3,0),IF(A90="SINAPI-I",VLOOKUP(B90,'20-A.SINAPI-I'!A:E,3,0),VLOOKUP(B90,'12.COT.MERCADO'!A:H,7,0)))</f>
        <v>M</v>
      </c>
      <c r="E90" s="629">
        <f>IF(A90="SINAPI-S",VLOOKUP(B90,'20-B.SINAPI-S'!A:J,5,0),IF(A90="SINAPI-I",VLOOKUP(B90,'20-A.SINAPI-I'!A:G,6,0),0))</f>
        <v>0</v>
      </c>
      <c r="F90" s="629">
        <f>IF(A90="SINAPI-S",VLOOKUP(B90,'20-B.SINAPI-S'!A:J,6,0),IF(A90="SINAPI-I",VLOOKUP(B90,'20-A.SINAPI-I'!A:G,7,0),VLOOKUP(B90,'12.COT.MERCADO'!A:H,8,0)))</f>
        <v>12.91</v>
      </c>
      <c r="G90" s="630">
        <v>1.05</v>
      </c>
      <c r="H90" s="629">
        <f t="shared" si="28"/>
        <v>0</v>
      </c>
      <c r="I90" s="629">
        <f t="shared" si="29"/>
        <v>13.5555</v>
      </c>
      <c r="J90" s="629">
        <f t="shared" si="30"/>
        <v>13.5555</v>
      </c>
    </row>
    <row r="91">
      <c r="A91" s="630" t="s">
        <v>286</v>
      </c>
      <c r="B91" s="631">
        <v>39740.0</v>
      </c>
      <c r="C91" s="627" t="str">
        <f>IF(A91="SINAPI-S",VLOOKUP(B91,'20-B.SINAPI-S'!A:J,2,0),IF(A91="SINAPI-I",VLOOKUP(B91,'20-A.SINAPI-I'!A:E,2,0),VLOOKUP(B91,'12.COT.MERCADO'!A:H,2,0)))</f>
        <v>TUBO DE BORRACHA ELASTOMERICA FLEXIVEL, PRETA, PARA ISOLAMENTO TERMICO DE TUBULACAO, DN 3/4" (18 MM), E= 32 MM, COEFICIENTE DE CONDUTIVIDADE TERMICA 0,036W/mK, VAPOR DE AGUA MAIOR OU IGUAL A 10.000</v>
      </c>
      <c r="D91" s="626" t="str">
        <f>IF(A91="SINAPI-S",VLOOKUP(B91,'20-B.SINAPI-S'!A:J,3,0),IF(A91="SINAPI-I",VLOOKUP(B91,'20-A.SINAPI-I'!A:E,3,0),VLOOKUP(B91,'12.COT.MERCADO'!A:H,7,0)))</f>
        <v>M</v>
      </c>
      <c r="E91" s="629">
        <f>IF(A91="SINAPI-S",VLOOKUP(B91,'20-B.SINAPI-S'!A:J,5,0),IF(A91="SINAPI-I",VLOOKUP(B91,'20-A.SINAPI-I'!A:G,6,0),0))</f>
        <v>0</v>
      </c>
      <c r="F91" s="629">
        <f>IF(A91="SINAPI-S",VLOOKUP(B91,'20-B.SINAPI-S'!A:J,6,0),IF(A91="SINAPI-I",VLOOKUP(B91,'20-A.SINAPI-I'!A:G,7,0),VLOOKUP(B91,'12.COT.MERCADO'!A:H,8,0)))</f>
        <v>70.08</v>
      </c>
      <c r="G91" s="630">
        <v>1.05</v>
      </c>
      <c r="H91" s="629">
        <f t="shared" si="28"/>
        <v>0</v>
      </c>
      <c r="I91" s="629">
        <f t="shared" si="29"/>
        <v>73.584</v>
      </c>
      <c r="J91" s="629">
        <f t="shared" si="30"/>
        <v>73.584</v>
      </c>
    </row>
    <row r="92">
      <c r="A92" s="625" t="s">
        <v>110</v>
      </c>
      <c r="B92" s="632" t="s">
        <v>1739</v>
      </c>
      <c r="C92" s="633" t="str">
        <f>IF(A92="SINAPI-S",VLOOKUP(B92,'20-B.SINAPI-S'!A:J,2,0),IF(A92="SINAPI-I",VLOOKUP(B92,'20-A.SINAPI-I'!A:E,2,0),VLOOKUP(B92,'12.COT.MERCADO'!A:H,2,0)))</f>
        <v>Fita isolante de alta fusão 19 mm x 10 m </v>
      </c>
      <c r="D92" s="626" t="str">
        <f>IF(A92="SINAPI-S",VLOOKUP(B92,'20-B.SINAPI-S'!A:J,3,0),IF(A92="SINAPI-I",VLOOKUP(B92,'20-A.SINAPI-I'!A:E,3,0),VLOOKUP(B92,'12.COT.MERCADO'!A:H,7,0)))</f>
        <v>UN </v>
      </c>
      <c r="E92" s="629">
        <f>IF(A92="SINAPI-S",VLOOKUP(B92,'20-B.SINAPI-S'!A:J,5,0),IF(A92="SINAPI-I",VLOOKUP(B92,'20-A.SINAPI-I'!A:G,6,0),0))</f>
        <v>0</v>
      </c>
      <c r="F92" s="634">
        <f>IF(A92="SINAPI-S",VLOOKUP(B92,'20-B.SINAPI-S'!A:J,6,0),IF(A92="SINAPI-I",VLOOKUP(B92,'20-A.SINAPI-I'!A:G,7,0),VLOOKUP(B92,'12.COT.MERCADO'!A:H,8,0)))</f>
        <v>31.92</v>
      </c>
      <c r="G92" s="630">
        <v>0.12</v>
      </c>
      <c r="H92" s="629">
        <f t="shared" si="28"/>
        <v>0</v>
      </c>
      <c r="I92" s="629">
        <f t="shared" si="29"/>
        <v>3.8304</v>
      </c>
      <c r="J92" s="629">
        <f t="shared" si="30"/>
        <v>3.8304</v>
      </c>
    </row>
    <row r="93">
      <c r="A93" s="625" t="s">
        <v>110</v>
      </c>
      <c r="B93" s="632" t="s">
        <v>1740</v>
      </c>
      <c r="C93" s="633" t="str">
        <f>IF(A93="SINAPI-S",VLOOKUP(B93,'20-B.SINAPI-S'!A:J,2,0),IF(A93="SINAPI-I",VLOOKUP(B93,'20-A.SINAPI-I'!A:E,2,0),VLOOKUP(B93,'12.COT.MERCADO'!A:H,2,0)))</f>
        <v>Cabo de cobre PP Cordplast 3 x 2,5 mm2, 450/750v</v>
      </c>
      <c r="D93" s="626" t="str">
        <f>IF(A93="SINAPI-S",VLOOKUP(B93,'20-B.SINAPI-S'!A:J,3,0),IF(A93="SINAPI-I",VLOOKUP(B93,'20-A.SINAPI-I'!A:E,3,0),VLOOKUP(B93,'12.COT.MERCADO'!A:H,7,0)))</f>
        <v>M</v>
      </c>
      <c r="E93" s="629">
        <f>IF(A93="SINAPI-S",VLOOKUP(B93,'20-B.SINAPI-S'!A:J,5,0),IF(A93="SINAPI-I",VLOOKUP(B93,'20-A.SINAPI-I'!A:G,6,0),0))</f>
        <v>0</v>
      </c>
      <c r="F93" s="634">
        <f>IF(A93="SINAPI-S",VLOOKUP(B93,'20-B.SINAPI-S'!A:J,6,0),IF(A93="SINAPI-I",VLOOKUP(B93,'20-A.SINAPI-I'!A:G,7,0),VLOOKUP(B93,'12.COT.MERCADO'!A:H,8,0)))</f>
        <v>8.9</v>
      </c>
      <c r="G93" s="630">
        <v>1.05</v>
      </c>
      <c r="H93" s="629">
        <f t="shared" si="28"/>
        <v>0</v>
      </c>
      <c r="I93" s="629">
        <f t="shared" si="29"/>
        <v>9.345</v>
      </c>
      <c r="J93" s="629">
        <f t="shared" si="30"/>
        <v>9.345</v>
      </c>
    </row>
    <row r="94">
      <c r="A94" s="625" t="s">
        <v>110</v>
      </c>
      <c r="B94" s="632" t="s">
        <v>1741</v>
      </c>
      <c r="C94" s="633" t="str">
        <f>IF(A94="SINAPI-S",VLOOKUP(B94,'20-B.SINAPI-S'!A:J,2,0),IF(A94="SINAPI-I",VLOOKUP(B94,'20-A.SINAPI-I'!A:E,2,0),VLOOKUP(B94,'12.COT.MERCADO'!A:H,2,0)))</f>
        <v>Fita em aço 1/2" Fusimec ou similar</v>
      </c>
      <c r="D94" s="626" t="str">
        <f>IF(A94="SINAPI-S",VLOOKUP(B94,'20-B.SINAPI-S'!A:J,3,0),IF(A94="SINAPI-I",VLOOKUP(B94,'20-A.SINAPI-I'!A:E,3,0),VLOOKUP(B94,'12.COT.MERCADO'!A:H,7,0)))</f>
        <v>M</v>
      </c>
      <c r="E94" s="629">
        <f>IF(A94="SINAPI-S",VLOOKUP(B94,'20-B.SINAPI-S'!A:J,5,0),IF(A94="SINAPI-I",VLOOKUP(B94,'20-A.SINAPI-I'!A:G,6,0),0))</f>
        <v>0</v>
      </c>
      <c r="F94" s="634">
        <f>IF(A94="SINAPI-S",VLOOKUP(B94,'20-B.SINAPI-S'!A:J,6,0),IF(A94="SINAPI-I",VLOOKUP(B94,'20-A.SINAPI-I'!A:G,7,0),VLOOKUP(B94,'12.COT.MERCADO'!A:H,8,0)))</f>
        <v>2.65</v>
      </c>
      <c r="G94" s="630">
        <v>3.0</v>
      </c>
      <c r="H94" s="629">
        <f t="shared" si="28"/>
        <v>0</v>
      </c>
      <c r="I94" s="629">
        <f t="shared" si="29"/>
        <v>7.95</v>
      </c>
      <c r="J94" s="629">
        <f t="shared" si="30"/>
        <v>7.95</v>
      </c>
    </row>
    <row r="95">
      <c r="A95" s="625" t="s">
        <v>110</v>
      </c>
      <c r="B95" s="632" t="s">
        <v>1742</v>
      </c>
      <c r="C95" s="633" t="str">
        <f>IF(A95="SINAPI-S",VLOOKUP(B95,'20-B.SINAPI-S'!A:J,2,0),IF(A95="SINAPI-I",VLOOKUP(B95,'20-A.SINAPI-I'!A:E,2,0),VLOOKUP(B95,'12.COT.MERCADO'!A:H,2,0)))</f>
        <v>Parafuso de ferro zincado c/rosca 3/8 " x 1 1/2" </v>
      </c>
      <c r="D95" s="626" t="str">
        <f>IF(A95="SINAPI-S",VLOOKUP(B95,'20-B.SINAPI-S'!A:J,3,0),IF(A95="SINAPI-I",VLOOKUP(B95,'20-A.SINAPI-I'!A:E,3,0),VLOOKUP(B95,'12.COT.MERCADO'!A:H,7,0)))</f>
        <v>UN </v>
      </c>
      <c r="E95" s="629">
        <f>IF(A95="SINAPI-S",VLOOKUP(B95,'20-B.SINAPI-S'!A:J,5,0),IF(A95="SINAPI-I",VLOOKUP(B95,'20-A.SINAPI-I'!A:G,6,0),0))</f>
        <v>0</v>
      </c>
      <c r="F95" s="634">
        <f>IF(A95="SINAPI-S",VLOOKUP(B95,'20-B.SINAPI-S'!A:J,6,0),IF(A95="SINAPI-I",VLOOKUP(B95,'20-A.SINAPI-I'!A:G,7,0),VLOOKUP(B95,'12.COT.MERCADO'!A:H,8,0)))</f>
        <v>0.89</v>
      </c>
      <c r="G95" s="630">
        <v>2.0</v>
      </c>
      <c r="H95" s="629">
        <f t="shared" si="28"/>
        <v>0</v>
      </c>
      <c r="I95" s="629">
        <f t="shared" si="29"/>
        <v>1.78</v>
      </c>
      <c r="J95" s="629">
        <f t="shared" si="30"/>
        <v>1.78</v>
      </c>
    </row>
    <row r="96">
      <c r="A96" s="625" t="s">
        <v>110</v>
      </c>
      <c r="B96" s="632" t="s">
        <v>1160</v>
      </c>
      <c r="C96" s="633" t="str">
        <f>IF(A96="SINAPI-S",VLOOKUP(B96,'20-B.SINAPI-S'!A:J,2,0),IF(A96="SINAPI-I",VLOOKUP(B96,'20-A.SINAPI-I'!A:E,2,0),VLOOKUP(B96,'12.COT.MERCADO'!A:H,2,0)))</f>
        <v>Arruela lisa de aço galvanizada de Ø 1/4"</v>
      </c>
      <c r="D96" s="626" t="str">
        <f>IF(A96="SINAPI-S",VLOOKUP(B96,'20-B.SINAPI-S'!A:J,3,0),IF(A96="SINAPI-I",VLOOKUP(B96,'20-A.SINAPI-I'!A:E,3,0),VLOOKUP(B96,'12.COT.MERCADO'!A:H,7,0)))</f>
        <v>UN </v>
      </c>
      <c r="E96" s="629">
        <f>IF(A96="SINAPI-S",VLOOKUP(B96,'20-B.SINAPI-S'!A:J,5,0),IF(A96="SINAPI-I",VLOOKUP(B96,'20-A.SINAPI-I'!A:G,6,0),0))</f>
        <v>0</v>
      </c>
      <c r="F96" s="634">
        <f>IF(A96="SINAPI-S",VLOOKUP(B96,'20-B.SINAPI-S'!A:J,6,0),IF(A96="SINAPI-I",VLOOKUP(B96,'20-A.SINAPI-I'!A:G,7,0),VLOOKUP(B96,'12.COT.MERCADO'!A:H,8,0)))</f>
        <v>0.09</v>
      </c>
      <c r="G96" s="630">
        <v>2.0</v>
      </c>
      <c r="H96" s="629">
        <f t="shared" si="28"/>
        <v>0</v>
      </c>
      <c r="I96" s="629">
        <f t="shared" si="29"/>
        <v>0.18</v>
      </c>
      <c r="J96" s="629">
        <f t="shared" si="30"/>
        <v>0.18</v>
      </c>
    </row>
    <row r="97">
      <c r="A97" s="624" t="s">
        <v>1632</v>
      </c>
      <c r="B97" s="637" t="s">
        <v>1753</v>
      </c>
    </row>
    <row r="98">
      <c r="A98" s="630"/>
      <c r="B98" s="640"/>
      <c r="C98" s="640"/>
      <c r="D98" s="640"/>
      <c r="E98" s="640"/>
      <c r="F98" s="640"/>
      <c r="G98" s="640"/>
      <c r="H98" s="640"/>
      <c r="I98" s="640"/>
      <c r="J98" s="640"/>
    </row>
    <row r="99">
      <c r="A99" s="617" t="s">
        <v>1729</v>
      </c>
      <c r="B99" s="618" t="s">
        <v>536</v>
      </c>
      <c r="C99" s="619" t="s">
        <v>1754</v>
      </c>
      <c r="D99" s="618" t="s">
        <v>1731</v>
      </c>
      <c r="E99" s="618"/>
      <c r="F99" s="618"/>
      <c r="G99" s="618"/>
      <c r="H99" s="620">
        <f t="shared" ref="H99:J99" si="31">SUM(H101:H112)</f>
        <v>5.44621</v>
      </c>
      <c r="I99" s="620">
        <f t="shared" si="31"/>
        <v>206.00716</v>
      </c>
      <c r="J99" s="621">
        <f t="shared" si="31"/>
        <v>211.45337</v>
      </c>
    </row>
    <row r="100">
      <c r="A100" s="622" t="s">
        <v>1732</v>
      </c>
      <c r="B100" s="622" t="s">
        <v>80</v>
      </c>
      <c r="C100" s="623" t="s">
        <v>8</v>
      </c>
      <c r="D100" s="624" t="s">
        <v>1733</v>
      </c>
      <c r="E100" s="624" t="s">
        <v>1734</v>
      </c>
      <c r="F100" s="624" t="s">
        <v>1735</v>
      </c>
      <c r="G100" s="624" t="s">
        <v>1736</v>
      </c>
      <c r="H100" s="624" t="s">
        <v>1737</v>
      </c>
      <c r="I100" s="624" t="s">
        <v>1738</v>
      </c>
      <c r="J100" s="624" t="s">
        <v>14</v>
      </c>
    </row>
    <row r="101">
      <c r="A101" s="630" t="s">
        <v>218</v>
      </c>
      <c r="B101" s="631">
        <v>88316.0</v>
      </c>
      <c r="C101" s="627" t="str">
        <f>IF(A101="SINAPI-S",VLOOKUP(B101,'20-B.SINAPI-S'!A:J,2,0),IF(A101="SINAPI-I",VLOOKUP(B101,'20-A.SINAPI-I'!A:E,2,0),VLOOKUP(B101,'12.COT.MERCADO'!A:H,2,0)))</f>
        <v>SERVENTE COM ENCARGOS COMPLEMENTARES</v>
      </c>
      <c r="D101" s="628" t="str">
        <f>IF(A101="SINAPI-S",VLOOKUP(B101,'20-B.SINAPI-S'!A:J,3,0),IF(A101="SINAPI-I",VLOOKUP(B101,'20-A.SINAPI-I'!A:E,3,0),VLOOKUP(B101,'12.COT.MERCADO'!A:H,7,0)))</f>
        <v>H</v>
      </c>
      <c r="E101" s="629">
        <f>IF(A101="SINAPI-S",VLOOKUP(B101,'20-B.SINAPI-S'!A:J,5,0),IF(A101="SINAPI-I",VLOOKUP(B101,'20-A.SINAPI-I'!A:G,6,0),0))</f>
        <v>17.42</v>
      </c>
      <c r="F101" s="629">
        <f>IF(A101="SINAPI-S",VLOOKUP(B101,'20-B.SINAPI-S'!A:J,6,0),IF(A101="SINAPI-I",VLOOKUP(B101,'20-A.SINAPI-I'!A:G,7,0),VLOOKUP(B101,'12.COT.MERCADO'!A:H,8,0)))</f>
        <v>7.7</v>
      </c>
      <c r="G101" s="630">
        <f t="shared" ref="G101:G102" si="32">0.064+0.057</f>
        <v>0.121</v>
      </c>
      <c r="H101" s="629">
        <f t="shared" ref="H101:H112" si="33">E101*G101</f>
        <v>2.10782</v>
      </c>
      <c r="I101" s="629">
        <f t="shared" ref="I101:I112" si="34">F101*G101</f>
        <v>0.9317</v>
      </c>
      <c r="J101" s="629">
        <f t="shared" ref="J101:J112" si="35">I101+H101</f>
        <v>3.03952</v>
      </c>
    </row>
    <row r="102">
      <c r="A102" s="630" t="s">
        <v>218</v>
      </c>
      <c r="B102" s="630">
        <v>100308.0</v>
      </c>
      <c r="C102" s="627" t="str">
        <f>IF(A102="SINAPI-S",VLOOKUP(B102,'20-B.SINAPI-S'!A:J,2,0),IF(A102="SINAPI-I",VLOOKUP(B102,'20-A.SINAPI-I'!A:E,2,0),VLOOKUP(B102,'12.COT.MERCADO'!A:H,2,0)))</f>
        <v>MECÂNICO DE REFRIGERAÇÃO COM ENCARGOS COMPLEMENTARES</v>
      </c>
      <c r="D102" s="628" t="str">
        <f>IF(A102="SINAPI-S",VLOOKUP(B102,'20-B.SINAPI-S'!A:J,3,0),IF(A102="SINAPI-I",VLOOKUP(B102,'20-A.SINAPI-I'!A:E,3,0),VLOOKUP(B102,'12.COT.MERCADO'!A:H,7,0)))</f>
        <v>H</v>
      </c>
      <c r="E102" s="629">
        <f>IF(A102="SINAPI-S",VLOOKUP(B102,'20-B.SINAPI-S'!A:J,5,0),IF(A102="SINAPI-I",VLOOKUP(B102,'20-A.SINAPI-I'!A:G,6,0),0))</f>
        <v>27.59</v>
      </c>
      <c r="F102" s="629">
        <f>IF(A102="SINAPI-S",VLOOKUP(B102,'20-B.SINAPI-S'!A:J,6,0),IF(A102="SINAPI-I",VLOOKUP(B102,'20-A.SINAPI-I'!A:G,7,0),VLOOKUP(B102,'12.COT.MERCADO'!A:H,8,0)))</f>
        <v>7.86</v>
      </c>
      <c r="G102" s="630">
        <f t="shared" si="32"/>
        <v>0.121</v>
      </c>
      <c r="H102" s="629">
        <f t="shared" si="33"/>
        <v>3.33839</v>
      </c>
      <c r="I102" s="629">
        <f t="shared" si="34"/>
        <v>0.95106</v>
      </c>
      <c r="J102" s="629">
        <f t="shared" si="35"/>
        <v>4.28945</v>
      </c>
    </row>
    <row r="103">
      <c r="A103" s="630" t="s">
        <v>286</v>
      </c>
      <c r="B103" s="631">
        <v>4376.0</v>
      </c>
      <c r="C103" s="627" t="str">
        <f>IF(A103="SINAPI-S",VLOOKUP(B103,'20-B.SINAPI-S'!A:J,2,0),IF(A103="SINAPI-I",VLOOKUP(B103,'20-A.SINAPI-I'!A:E,2,0),VLOOKUP(B103,'12.COT.MERCADO'!A:H,2,0)))</f>
        <v>BUCHA DE NYLON SEM ABA S8</v>
      </c>
      <c r="D103" s="626" t="str">
        <f>IF(A103="SINAPI-S",VLOOKUP(B103,'20-B.SINAPI-S'!A:J,3,0),IF(A103="SINAPI-I",VLOOKUP(B103,'20-A.SINAPI-I'!A:E,3,0),VLOOKUP(B103,'12.COT.MERCADO'!A:H,7,0)))</f>
        <v>UN</v>
      </c>
      <c r="E103" s="629">
        <f>IF(A103="SINAPI-S",VLOOKUP(B103,'20-B.SINAPI-S'!A:J,5,0),IF(A103="SINAPI-I",VLOOKUP(B103,'20-A.SINAPI-I'!A:G,6,0),0))</f>
        <v>0</v>
      </c>
      <c r="F103" s="629">
        <f>IF(A103="SINAPI-S",VLOOKUP(B103,'20-B.SINAPI-S'!A:J,6,0),IF(A103="SINAPI-I",VLOOKUP(B103,'20-A.SINAPI-I'!A:G,7,0),VLOOKUP(B103,'12.COT.MERCADO'!A:H,8,0)))</f>
        <v>0.23</v>
      </c>
      <c r="G103" s="630">
        <v>2.0</v>
      </c>
      <c r="H103" s="629">
        <f t="shared" si="33"/>
        <v>0</v>
      </c>
      <c r="I103" s="629">
        <f t="shared" si="34"/>
        <v>0.46</v>
      </c>
      <c r="J103" s="629">
        <f t="shared" si="35"/>
        <v>0.46</v>
      </c>
    </row>
    <row r="104">
      <c r="A104" s="630" t="s">
        <v>286</v>
      </c>
      <c r="B104" s="631">
        <v>39664.0</v>
      </c>
      <c r="C104" s="627" t="str">
        <f>IF(A104="SINAPI-S",VLOOKUP(B104,'20-B.SINAPI-S'!A:J,2,0),IF(A104="SINAPI-I",VLOOKUP(B104,'20-A.SINAPI-I'!A:E,2,0),VLOOKUP(B104,'12.COT.MERCADO'!A:H,2,0)))</f>
        <v>TUBO DE COBRE FLEXIVEL, D = 3/8 ", E = 0,79 MM, PARA AR-CONDICIONADO/ INSTALACOES GAS RESIDENCIAIS E COMERCIAIS</v>
      </c>
      <c r="D104" s="626" t="str">
        <f>IF(A104="SINAPI-S",VLOOKUP(B104,'20-B.SINAPI-S'!A:J,3,0),IF(A104="SINAPI-I",VLOOKUP(B104,'20-A.SINAPI-I'!A:E,3,0),VLOOKUP(B104,'12.COT.MERCADO'!A:H,7,0)))</f>
        <v>M</v>
      </c>
      <c r="E104" s="629">
        <f>IF(A104="SINAPI-S",VLOOKUP(B104,'20-B.SINAPI-S'!A:J,5,0),IF(A104="SINAPI-I",VLOOKUP(B104,'20-A.SINAPI-I'!A:G,6,0),0))</f>
        <v>0</v>
      </c>
      <c r="F104" s="629">
        <f>IF(A104="SINAPI-S",VLOOKUP(B104,'20-B.SINAPI-S'!A:J,6,0),IF(A104="SINAPI-I",VLOOKUP(B104,'20-A.SINAPI-I'!A:G,7,0),VLOOKUP(B104,'12.COT.MERCADO'!A:H,8,0)))</f>
        <v>29.27</v>
      </c>
      <c r="G104" s="630">
        <v>1.05</v>
      </c>
      <c r="H104" s="629">
        <f t="shared" si="33"/>
        <v>0</v>
      </c>
      <c r="I104" s="629">
        <f t="shared" si="34"/>
        <v>30.7335</v>
      </c>
      <c r="J104" s="629">
        <f t="shared" si="35"/>
        <v>30.7335</v>
      </c>
    </row>
    <row r="105">
      <c r="A105" s="630" t="s">
        <v>286</v>
      </c>
      <c r="B105" s="631">
        <v>39666.0</v>
      </c>
      <c r="C105" s="627" t="str">
        <f>IF(A105="SINAPI-S",VLOOKUP(B105,'20-B.SINAPI-S'!A:J,2,0),IF(A105="SINAPI-I",VLOOKUP(B105,'20-A.SINAPI-I'!A:E,2,0),VLOOKUP(B105,'12.COT.MERCADO'!A:H,2,0)))</f>
        <v>TUBO DE COBRE FLEXIVEL, D = 3/4 ", E = 0,79 MM, PARA AR-CONDICIONADO/ INSTALACOES GAS RESIDENCIAIS E COMERCIAIS</v>
      </c>
      <c r="D105" s="626" t="str">
        <f>IF(A105="SINAPI-S",VLOOKUP(B105,'20-B.SINAPI-S'!A:J,3,0),IF(A105="SINAPI-I",VLOOKUP(B105,'20-A.SINAPI-I'!A:E,3,0),VLOOKUP(B105,'12.COT.MERCADO'!A:H,7,0)))</f>
        <v>M</v>
      </c>
      <c r="E105" s="629">
        <f>IF(A105="SINAPI-S",VLOOKUP(B105,'20-B.SINAPI-S'!A:J,5,0),IF(A105="SINAPI-I",VLOOKUP(B105,'20-A.SINAPI-I'!A:G,6,0),0))</f>
        <v>0</v>
      </c>
      <c r="F105" s="629">
        <f>IF(A105="SINAPI-S",VLOOKUP(B105,'20-B.SINAPI-S'!A:J,6,0),IF(A105="SINAPI-I",VLOOKUP(B105,'20-A.SINAPI-I'!A:G,7,0),VLOOKUP(B105,'12.COT.MERCADO'!A:H,8,0)))</f>
        <v>59.72</v>
      </c>
      <c r="G105" s="630">
        <v>1.05</v>
      </c>
      <c r="H105" s="629">
        <f t="shared" si="33"/>
        <v>0</v>
      </c>
      <c r="I105" s="629">
        <f t="shared" si="34"/>
        <v>62.706</v>
      </c>
      <c r="J105" s="629">
        <f t="shared" si="35"/>
        <v>62.706</v>
      </c>
    </row>
    <row r="106">
      <c r="A106" s="630" t="s">
        <v>286</v>
      </c>
      <c r="B106" s="631">
        <v>39741.0</v>
      </c>
      <c r="C106" s="627" t="str">
        <f>IF(A106="SINAPI-S",VLOOKUP(B106,'20-B.SINAPI-S'!A:J,2,0),IF(A106="SINAPI-I",VLOOKUP(B106,'20-A.SINAPI-I'!A:E,2,0),VLOOKUP(B106,'12.COT.MERCADO'!A:H,2,0)))</f>
        <v>TUBO DE BORRACHA ELASTOMERICA FLEXIVEL, PRETA, PARA ISOLAMENTO TERMICO DE TUBULACAO, DN 3/8" (10 MM), E= 19 MM, COEFICIENTE DE CONDUTIVIDADE TERMICA 0,036W/mK, VAPOR DE AGUA MAIOR OU IGUAL A 10.000</v>
      </c>
      <c r="D106" s="626" t="str">
        <f>IF(A106="SINAPI-S",VLOOKUP(B106,'20-B.SINAPI-S'!A:J,3,0),IF(A106="SINAPI-I",VLOOKUP(B106,'20-A.SINAPI-I'!A:E,3,0),VLOOKUP(B106,'12.COT.MERCADO'!A:H,7,0)))</f>
        <v>M</v>
      </c>
      <c r="E106" s="629">
        <f>IF(A106="SINAPI-S",VLOOKUP(B106,'20-B.SINAPI-S'!A:J,5,0),IF(A106="SINAPI-I",VLOOKUP(B106,'20-A.SINAPI-I'!A:G,6,0),0))</f>
        <v>0</v>
      </c>
      <c r="F106" s="629">
        <f>IF(A106="SINAPI-S",VLOOKUP(B106,'20-B.SINAPI-S'!A:J,6,0),IF(A106="SINAPI-I",VLOOKUP(B106,'20-A.SINAPI-I'!A:G,7,0),VLOOKUP(B106,'12.COT.MERCADO'!A:H,8,0)))</f>
        <v>12.91</v>
      </c>
      <c r="G106" s="630">
        <v>1.05</v>
      </c>
      <c r="H106" s="629">
        <f t="shared" si="33"/>
        <v>0</v>
      </c>
      <c r="I106" s="629">
        <f t="shared" si="34"/>
        <v>13.5555</v>
      </c>
      <c r="J106" s="629">
        <f t="shared" si="35"/>
        <v>13.5555</v>
      </c>
    </row>
    <row r="107">
      <c r="A107" s="630" t="s">
        <v>286</v>
      </c>
      <c r="B107" s="631">
        <v>39740.0</v>
      </c>
      <c r="C107" s="627" t="str">
        <f>IF(A107="SINAPI-S",VLOOKUP(B107,'20-B.SINAPI-S'!A:J,2,0),IF(A107="SINAPI-I",VLOOKUP(B107,'20-A.SINAPI-I'!A:E,2,0),VLOOKUP(B107,'12.COT.MERCADO'!A:H,2,0)))</f>
        <v>TUBO DE BORRACHA ELASTOMERICA FLEXIVEL, PRETA, PARA ISOLAMENTO TERMICO DE TUBULACAO, DN 3/4" (18 MM), E= 32 MM, COEFICIENTE DE CONDUTIVIDADE TERMICA 0,036W/mK, VAPOR DE AGUA MAIOR OU IGUAL A 10.000</v>
      </c>
      <c r="D107" s="626" t="str">
        <f>IF(A107="SINAPI-S",VLOOKUP(B107,'20-B.SINAPI-S'!A:J,3,0),IF(A107="SINAPI-I",VLOOKUP(B107,'20-A.SINAPI-I'!A:E,3,0),VLOOKUP(B107,'12.COT.MERCADO'!A:H,7,0)))</f>
        <v>M</v>
      </c>
      <c r="E107" s="629">
        <f>IF(A107="SINAPI-S",VLOOKUP(B107,'20-B.SINAPI-S'!A:J,5,0),IF(A107="SINAPI-I",VLOOKUP(B107,'20-A.SINAPI-I'!A:G,6,0),0))</f>
        <v>0</v>
      </c>
      <c r="F107" s="629">
        <f>IF(A107="SINAPI-S",VLOOKUP(B107,'20-B.SINAPI-S'!A:J,6,0),IF(A107="SINAPI-I",VLOOKUP(B107,'20-A.SINAPI-I'!A:G,7,0),VLOOKUP(B107,'12.COT.MERCADO'!A:H,8,0)))</f>
        <v>70.08</v>
      </c>
      <c r="G107" s="630">
        <v>1.05</v>
      </c>
      <c r="H107" s="629">
        <f t="shared" si="33"/>
        <v>0</v>
      </c>
      <c r="I107" s="629">
        <f t="shared" si="34"/>
        <v>73.584</v>
      </c>
      <c r="J107" s="629">
        <f t="shared" si="35"/>
        <v>73.584</v>
      </c>
    </row>
    <row r="108">
      <c r="A108" s="625" t="s">
        <v>110</v>
      </c>
      <c r="B108" s="632" t="s">
        <v>1739</v>
      </c>
      <c r="C108" s="633" t="str">
        <f>IF(A108="SINAPI-S",VLOOKUP(B108,'20-B.SINAPI-S'!A:J,2,0),IF(A108="SINAPI-I",VLOOKUP(B108,'20-A.SINAPI-I'!A:E,2,0),VLOOKUP(B108,'12.COT.MERCADO'!A:H,2,0)))</f>
        <v>Fita isolante de alta fusão 19 mm x 10 m </v>
      </c>
      <c r="D108" s="626" t="str">
        <f>IF(A108="SINAPI-S",VLOOKUP(B108,'20-B.SINAPI-S'!A:J,3,0),IF(A108="SINAPI-I",VLOOKUP(B108,'20-A.SINAPI-I'!A:E,3,0),VLOOKUP(B108,'12.COT.MERCADO'!A:H,7,0)))</f>
        <v>UN </v>
      </c>
      <c r="E108" s="629">
        <f>IF(A108="SINAPI-S",VLOOKUP(B108,'20-B.SINAPI-S'!A:J,5,0),IF(A108="SINAPI-I",VLOOKUP(B108,'20-A.SINAPI-I'!A:G,6,0),0))</f>
        <v>0</v>
      </c>
      <c r="F108" s="634">
        <f>IF(A108="SINAPI-S",VLOOKUP(B108,'20-B.SINAPI-S'!A:J,6,0),IF(A108="SINAPI-I",VLOOKUP(B108,'20-A.SINAPI-I'!A:G,7,0),VLOOKUP(B108,'12.COT.MERCADO'!A:H,8,0)))</f>
        <v>31.92</v>
      </c>
      <c r="G108" s="630">
        <v>0.12</v>
      </c>
      <c r="H108" s="629">
        <f t="shared" si="33"/>
        <v>0</v>
      </c>
      <c r="I108" s="629">
        <f t="shared" si="34"/>
        <v>3.8304</v>
      </c>
      <c r="J108" s="629">
        <f t="shared" si="35"/>
        <v>3.8304</v>
      </c>
    </row>
    <row r="109">
      <c r="A109" s="625" t="s">
        <v>110</v>
      </c>
      <c r="B109" s="632" t="s">
        <v>1740</v>
      </c>
      <c r="C109" s="633" t="str">
        <f>IF(A109="SINAPI-S",VLOOKUP(B109,'20-B.SINAPI-S'!A:J,2,0),IF(A109="SINAPI-I",VLOOKUP(B109,'20-A.SINAPI-I'!A:E,2,0),VLOOKUP(B109,'12.COT.MERCADO'!A:H,2,0)))</f>
        <v>Cabo de cobre PP Cordplast 3 x 2,5 mm2, 450/750v</v>
      </c>
      <c r="D109" s="626" t="str">
        <f>IF(A109="SINAPI-S",VLOOKUP(B109,'20-B.SINAPI-S'!A:J,3,0),IF(A109="SINAPI-I",VLOOKUP(B109,'20-A.SINAPI-I'!A:E,3,0),VLOOKUP(B109,'12.COT.MERCADO'!A:H,7,0)))</f>
        <v>M</v>
      </c>
      <c r="E109" s="629">
        <f>IF(A109="SINAPI-S",VLOOKUP(B109,'20-B.SINAPI-S'!A:J,5,0),IF(A109="SINAPI-I",VLOOKUP(B109,'20-A.SINAPI-I'!A:G,6,0),0))</f>
        <v>0</v>
      </c>
      <c r="F109" s="634">
        <f>IF(A109="SINAPI-S",VLOOKUP(B109,'20-B.SINAPI-S'!A:J,6,0),IF(A109="SINAPI-I",VLOOKUP(B109,'20-A.SINAPI-I'!A:G,7,0),VLOOKUP(B109,'12.COT.MERCADO'!A:H,8,0)))</f>
        <v>8.9</v>
      </c>
      <c r="G109" s="630">
        <v>1.05</v>
      </c>
      <c r="H109" s="629">
        <f t="shared" si="33"/>
        <v>0</v>
      </c>
      <c r="I109" s="629">
        <f t="shared" si="34"/>
        <v>9.345</v>
      </c>
      <c r="J109" s="629">
        <f t="shared" si="35"/>
        <v>9.345</v>
      </c>
    </row>
    <row r="110">
      <c r="A110" s="625" t="s">
        <v>110</v>
      </c>
      <c r="B110" s="632" t="s">
        <v>1741</v>
      </c>
      <c r="C110" s="633" t="str">
        <f>IF(A110="SINAPI-S",VLOOKUP(B110,'20-B.SINAPI-S'!A:J,2,0),IF(A110="SINAPI-I",VLOOKUP(B110,'20-A.SINAPI-I'!A:E,2,0),VLOOKUP(B110,'12.COT.MERCADO'!A:H,2,0)))</f>
        <v>Fita em aço 1/2" Fusimec ou similar</v>
      </c>
      <c r="D110" s="626" t="str">
        <f>IF(A110="SINAPI-S",VLOOKUP(B110,'20-B.SINAPI-S'!A:J,3,0),IF(A110="SINAPI-I",VLOOKUP(B110,'20-A.SINAPI-I'!A:E,3,0),VLOOKUP(B110,'12.COT.MERCADO'!A:H,7,0)))</f>
        <v>M</v>
      </c>
      <c r="E110" s="629">
        <f>IF(A110="SINAPI-S",VLOOKUP(B110,'20-B.SINAPI-S'!A:J,5,0),IF(A110="SINAPI-I",VLOOKUP(B110,'20-A.SINAPI-I'!A:G,6,0),0))</f>
        <v>0</v>
      </c>
      <c r="F110" s="634">
        <f>IF(A110="SINAPI-S",VLOOKUP(B110,'20-B.SINAPI-S'!A:J,6,0),IF(A110="SINAPI-I",VLOOKUP(B110,'20-A.SINAPI-I'!A:G,7,0),VLOOKUP(B110,'12.COT.MERCADO'!A:H,8,0)))</f>
        <v>2.65</v>
      </c>
      <c r="G110" s="630">
        <v>3.0</v>
      </c>
      <c r="H110" s="629">
        <f t="shared" si="33"/>
        <v>0</v>
      </c>
      <c r="I110" s="629">
        <f t="shared" si="34"/>
        <v>7.95</v>
      </c>
      <c r="J110" s="629">
        <f t="shared" si="35"/>
        <v>7.95</v>
      </c>
    </row>
    <row r="111">
      <c r="A111" s="625" t="s">
        <v>110</v>
      </c>
      <c r="B111" s="632" t="s">
        <v>1742</v>
      </c>
      <c r="C111" s="633" t="str">
        <f>IF(A111="SINAPI-S",VLOOKUP(B111,'20-B.SINAPI-S'!A:J,2,0),IF(A111="SINAPI-I",VLOOKUP(B111,'20-A.SINAPI-I'!A:E,2,0),VLOOKUP(B111,'12.COT.MERCADO'!A:H,2,0)))</f>
        <v>Parafuso de ferro zincado c/rosca 3/8 " x 1 1/2" </v>
      </c>
      <c r="D111" s="626" t="str">
        <f>IF(A111="SINAPI-S",VLOOKUP(B111,'20-B.SINAPI-S'!A:J,3,0),IF(A111="SINAPI-I",VLOOKUP(B111,'20-A.SINAPI-I'!A:E,3,0),VLOOKUP(B111,'12.COT.MERCADO'!A:H,7,0)))</f>
        <v>UN </v>
      </c>
      <c r="E111" s="629">
        <f>IF(A111="SINAPI-S",VLOOKUP(B111,'20-B.SINAPI-S'!A:J,5,0),IF(A111="SINAPI-I",VLOOKUP(B111,'20-A.SINAPI-I'!A:G,6,0),0))</f>
        <v>0</v>
      </c>
      <c r="F111" s="634">
        <f>IF(A111="SINAPI-S",VLOOKUP(B111,'20-B.SINAPI-S'!A:J,6,0),IF(A111="SINAPI-I",VLOOKUP(B111,'20-A.SINAPI-I'!A:G,7,0),VLOOKUP(B111,'12.COT.MERCADO'!A:H,8,0)))</f>
        <v>0.89</v>
      </c>
      <c r="G111" s="630">
        <v>2.0</v>
      </c>
      <c r="H111" s="629">
        <f t="shared" si="33"/>
        <v>0</v>
      </c>
      <c r="I111" s="629">
        <f t="shared" si="34"/>
        <v>1.78</v>
      </c>
      <c r="J111" s="629">
        <f t="shared" si="35"/>
        <v>1.78</v>
      </c>
    </row>
    <row r="112">
      <c r="A112" s="625" t="s">
        <v>110</v>
      </c>
      <c r="B112" s="632" t="s">
        <v>1160</v>
      </c>
      <c r="C112" s="633" t="str">
        <f>IF(A112="SINAPI-S",VLOOKUP(B112,'20-B.SINAPI-S'!A:J,2,0),IF(A112="SINAPI-I",VLOOKUP(B112,'20-A.SINAPI-I'!A:E,2,0),VLOOKUP(B112,'12.COT.MERCADO'!A:H,2,0)))</f>
        <v>Arruela lisa de aço galvanizada de Ø 1/4"</v>
      </c>
      <c r="D112" s="626" t="str">
        <f>IF(A112="SINAPI-S",VLOOKUP(B112,'20-B.SINAPI-S'!A:J,3,0),IF(A112="SINAPI-I",VLOOKUP(B112,'20-A.SINAPI-I'!A:E,3,0),VLOOKUP(B112,'12.COT.MERCADO'!A:H,7,0)))</f>
        <v>UN </v>
      </c>
      <c r="E112" s="629">
        <f>IF(A112="SINAPI-S",VLOOKUP(B112,'20-B.SINAPI-S'!A:J,5,0),IF(A112="SINAPI-I",VLOOKUP(B112,'20-A.SINAPI-I'!A:G,6,0),0))</f>
        <v>0</v>
      </c>
      <c r="F112" s="634">
        <f>IF(A112="SINAPI-S",VLOOKUP(B112,'20-B.SINAPI-S'!A:J,6,0),IF(A112="SINAPI-I",VLOOKUP(B112,'20-A.SINAPI-I'!A:G,7,0),VLOOKUP(B112,'12.COT.MERCADO'!A:H,8,0)))</f>
        <v>0.09</v>
      </c>
      <c r="G112" s="630">
        <v>2.0</v>
      </c>
      <c r="H112" s="629">
        <f t="shared" si="33"/>
        <v>0</v>
      </c>
      <c r="I112" s="629">
        <f t="shared" si="34"/>
        <v>0.18</v>
      </c>
      <c r="J112" s="629">
        <f t="shared" si="35"/>
        <v>0.18</v>
      </c>
    </row>
    <row r="113">
      <c r="A113" s="624" t="s">
        <v>1632</v>
      </c>
      <c r="B113" s="641" t="s">
        <v>1755</v>
      </c>
    </row>
    <row r="114">
      <c r="A114" s="630"/>
      <c r="B114" s="640"/>
      <c r="C114" s="640"/>
      <c r="D114" s="640"/>
      <c r="E114" s="640"/>
      <c r="F114" s="640"/>
      <c r="G114" s="640"/>
      <c r="H114" s="640"/>
      <c r="I114" s="640"/>
      <c r="J114" s="640"/>
    </row>
    <row r="115">
      <c r="A115" s="630"/>
      <c r="B115" s="640"/>
      <c r="C115" s="640"/>
      <c r="D115" s="640"/>
      <c r="E115" s="640"/>
      <c r="F115" s="640"/>
      <c r="G115" s="640"/>
      <c r="H115" s="640"/>
      <c r="I115" s="640"/>
      <c r="J115" s="640"/>
    </row>
    <row r="116">
      <c r="A116" s="617" t="s">
        <v>1729</v>
      </c>
      <c r="B116" s="642" t="s">
        <v>538</v>
      </c>
      <c r="C116" s="619" t="s">
        <v>1756</v>
      </c>
      <c r="D116" s="618" t="s">
        <v>1757</v>
      </c>
      <c r="E116" s="618"/>
      <c r="F116" s="618"/>
      <c r="G116" s="618"/>
      <c r="H116" s="620">
        <f t="shared" ref="H116:J116" si="36">SUM(H118)</f>
        <v>0</v>
      </c>
      <c r="I116" s="620">
        <f t="shared" si="36"/>
        <v>699</v>
      </c>
      <c r="J116" s="621">
        <f t="shared" si="36"/>
        <v>699</v>
      </c>
    </row>
    <row r="117">
      <c r="A117" s="622" t="s">
        <v>1732</v>
      </c>
      <c r="B117" s="622" t="s">
        <v>80</v>
      </c>
      <c r="C117" s="623" t="s">
        <v>8</v>
      </c>
      <c r="D117" s="624" t="s">
        <v>1733</v>
      </c>
      <c r="E117" s="624" t="s">
        <v>1734</v>
      </c>
      <c r="F117" s="624" t="s">
        <v>1735</v>
      </c>
      <c r="G117" s="624" t="s">
        <v>1736</v>
      </c>
      <c r="H117" s="624" t="s">
        <v>1737</v>
      </c>
      <c r="I117" s="624" t="s">
        <v>1738</v>
      </c>
      <c r="J117" s="624" t="s">
        <v>14</v>
      </c>
    </row>
    <row r="118">
      <c r="A118" s="625" t="s">
        <v>110</v>
      </c>
      <c r="B118" s="625" t="s">
        <v>1758</v>
      </c>
      <c r="C118" s="633" t="str">
        <f>IF(A118="SINAPI-S",VLOOKUP(B118,'20-B.SINAPI-S'!A:J,2,0),IF(A118="SINAPI-I",VLOOKUP(B118,'20-A.SINAPI-I'!A:E,2,0),VLOOKUP(B118,'12.COT.MERCADO'!A:H,2,0)))</f>
        <v>Instalação de condicionador de ar tipo split high wall, 9000 btus - contempla a mão de obra, suporte e tubulação até 3,0m</v>
      </c>
      <c r="D118" s="626" t="str">
        <f>IF(A118="SINAPI-S",VLOOKUP(B118,'20-B.SINAPI-S'!A:J,3,0),IF(A118="SINAPI-I",VLOOKUP(B118,'20-A.SINAPI-I'!A:E,3,0),VLOOKUP(B118,'12.COT.MERCADO'!A:H,7,0)))</f>
        <v>UN </v>
      </c>
      <c r="E118" s="629">
        <f>IF(A118="SINAPI-S",VLOOKUP(B118,'20-B.SINAPI-S'!A:J,5,0),IF(A118="SINAPI-I",VLOOKUP(B118,'20-A.SINAPI-I'!A:G,6,0),0))</f>
        <v>0</v>
      </c>
      <c r="F118" s="634">
        <f>IF(A118="SINAPI-S",VLOOKUP(B118,'20-B.SINAPI-S'!A:J,6,0),IF(A118="SINAPI-I",VLOOKUP(B118,'20-A.SINAPI-I'!A:G,7,0),VLOOKUP(B118,'12.COT.MERCADO'!A:H,8,0)))</f>
        <v>699</v>
      </c>
      <c r="G118" s="630">
        <v>1.0</v>
      </c>
      <c r="H118" s="629">
        <f>E118*G118</f>
        <v>0</v>
      </c>
      <c r="I118" s="629">
        <f>F118*G118</f>
        <v>699</v>
      </c>
      <c r="J118" s="629">
        <f>I118+H118</f>
        <v>699</v>
      </c>
    </row>
    <row r="119">
      <c r="A119" s="624" t="s">
        <v>1632</v>
      </c>
      <c r="B119" s="643" t="s">
        <v>1759</v>
      </c>
    </row>
    <row r="120">
      <c r="A120" s="631"/>
      <c r="B120" s="631"/>
      <c r="C120" s="636"/>
      <c r="D120" s="631"/>
      <c r="E120" s="631"/>
      <c r="F120" s="631"/>
      <c r="G120" s="631"/>
      <c r="H120" s="631"/>
      <c r="I120" s="631"/>
      <c r="J120" s="631"/>
    </row>
    <row r="121">
      <c r="A121" s="617" t="s">
        <v>1729</v>
      </c>
      <c r="B121" s="642" t="s">
        <v>540</v>
      </c>
      <c r="C121" s="619" t="s">
        <v>1760</v>
      </c>
      <c r="D121" s="618" t="s">
        <v>1757</v>
      </c>
      <c r="E121" s="618"/>
      <c r="F121" s="618"/>
      <c r="G121" s="618"/>
      <c r="H121" s="620">
        <f t="shared" ref="H121:J121" si="37">SUM(H123)</f>
        <v>0</v>
      </c>
      <c r="I121" s="620">
        <f t="shared" si="37"/>
        <v>921</v>
      </c>
      <c r="J121" s="621">
        <f t="shared" si="37"/>
        <v>921</v>
      </c>
    </row>
    <row r="122">
      <c r="A122" s="622" t="s">
        <v>1732</v>
      </c>
      <c r="B122" s="622" t="s">
        <v>80</v>
      </c>
      <c r="C122" s="623" t="s">
        <v>8</v>
      </c>
      <c r="D122" s="624" t="s">
        <v>1733</v>
      </c>
      <c r="E122" s="624" t="s">
        <v>1734</v>
      </c>
      <c r="F122" s="624" t="s">
        <v>1735</v>
      </c>
      <c r="G122" s="624" t="s">
        <v>1736</v>
      </c>
      <c r="H122" s="624" t="s">
        <v>1737</v>
      </c>
      <c r="I122" s="624" t="s">
        <v>1738</v>
      </c>
      <c r="J122" s="624" t="s">
        <v>14</v>
      </c>
    </row>
    <row r="123">
      <c r="A123" s="625" t="s">
        <v>110</v>
      </c>
      <c r="B123" s="632" t="s">
        <v>1761</v>
      </c>
      <c r="C123" s="633" t="str">
        <f>IF(A123="SINAPI-S",VLOOKUP(B123,'20-B.SINAPI-S'!A:J,2,0),IF(A123="SINAPI-I",VLOOKUP(B123,'20-A.SINAPI-I'!A:E,2,0),VLOOKUP(B123,'12.COT.MERCADO'!A:H,2,0)))</f>
        <v>Instalação de condicionador de ar tipo split high wall, 24000 btus - contempla a mão de obra, suporte e tubulação até 3,0m</v>
      </c>
      <c r="D123" s="626" t="str">
        <f>IF(A123="SINAPI-S",VLOOKUP(B123,'20-B.SINAPI-S'!A:J,3,0),IF(A123="SINAPI-I",VLOOKUP(B123,'20-A.SINAPI-I'!A:E,3,0),VLOOKUP(B123,'12.COT.MERCADO'!A:H,7,0)))</f>
        <v>UN </v>
      </c>
      <c r="E123" s="629">
        <f>IF(A123="SINAPI-S",VLOOKUP(B123,'20-B.SINAPI-S'!A:J,5,0),IF(A123="SINAPI-I",VLOOKUP(B123,'20-A.SINAPI-I'!A:G,6,0),0))</f>
        <v>0</v>
      </c>
      <c r="F123" s="634">
        <f>IF(A123="SINAPI-S",VLOOKUP(B123,'20-B.SINAPI-S'!A:J,6,0),IF(A123="SINAPI-I",VLOOKUP(B123,'20-A.SINAPI-I'!A:G,7,0),VLOOKUP(B123,'12.COT.MERCADO'!A:H,8,0)))</f>
        <v>921</v>
      </c>
      <c r="G123" s="630">
        <v>1.0</v>
      </c>
      <c r="H123" s="629">
        <f>E123*G123</f>
        <v>0</v>
      </c>
      <c r="I123" s="629">
        <f>F123*G123</f>
        <v>921</v>
      </c>
      <c r="J123" s="629">
        <f>I123+H123</f>
        <v>921</v>
      </c>
    </row>
    <row r="124">
      <c r="A124" s="624" t="s">
        <v>1632</v>
      </c>
      <c r="B124" s="643" t="s">
        <v>1762</v>
      </c>
    </row>
    <row r="125">
      <c r="A125" s="631"/>
      <c r="B125" s="631"/>
      <c r="C125" s="636"/>
      <c r="D125" s="631"/>
      <c r="E125" s="631"/>
      <c r="F125" s="631"/>
      <c r="G125" s="631"/>
      <c r="H125" s="631"/>
      <c r="I125" s="631"/>
      <c r="J125" s="631"/>
    </row>
    <row r="126">
      <c r="A126" s="617" t="s">
        <v>1729</v>
      </c>
      <c r="B126" s="642" t="s">
        <v>542</v>
      </c>
      <c r="C126" s="619" t="s">
        <v>1763</v>
      </c>
      <c r="D126" s="618" t="s">
        <v>1757</v>
      </c>
      <c r="E126" s="618"/>
      <c r="F126" s="618"/>
      <c r="G126" s="618"/>
      <c r="H126" s="620">
        <f t="shared" ref="H126:J126" si="38">SUM(H128)</f>
        <v>0</v>
      </c>
      <c r="I126" s="620">
        <f t="shared" si="38"/>
        <v>1999</v>
      </c>
      <c r="J126" s="621">
        <f t="shared" si="38"/>
        <v>1999</v>
      </c>
    </row>
    <row r="127">
      <c r="A127" s="622" t="s">
        <v>1732</v>
      </c>
      <c r="B127" s="622" t="s">
        <v>80</v>
      </c>
      <c r="C127" s="623" t="s">
        <v>8</v>
      </c>
      <c r="D127" s="624" t="s">
        <v>1733</v>
      </c>
      <c r="E127" s="624" t="s">
        <v>1734</v>
      </c>
      <c r="F127" s="624" t="s">
        <v>1735</v>
      </c>
      <c r="G127" s="624" t="s">
        <v>1736</v>
      </c>
      <c r="H127" s="624" t="s">
        <v>1737</v>
      </c>
      <c r="I127" s="624" t="s">
        <v>1738</v>
      </c>
      <c r="J127" s="624" t="s">
        <v>14</v>
      </c>
    </row>
    <row r="128">
      <c r="A128" s="625" t="s">
        <v>110</v>
      </c>
      <c r="B128" s="632" t="s">
        <v>1764</v>
      </c>
      <c r="C128" s="633" t="str">
        <f>IF(A128="SINAPI-S",VLOOKUP(B128,'20-B.SINAPI-S'!A:J,2,0),IF(A128="SINAPI-I",VLOOKUP(B128,'20-A.SINAPI-I'!A:E,2,0),VLOOKUP(B128,'12.COT.MERCADO'!A:H,2,0)))</f>
        <v>Instalação de condicionador de ar tipo split, 36000 btus - contempla a mão de obra, suporte e tubulação até 3,0m</v>
      </c>
      <c r="D128" s="626" t="str">
        <f>IF(A128="SINAPI-S",VLOOKUP(B128,'20-B.SINAPI-S'!A:J,3,0),IF(A128="SINAPI-I",VLOOKUP(B128,'20-A.SINAPI-I'!A:E,3,0),VLOOKUP(B128,'12.COT.MERCADO'!A:H,7,0)))</f>
        <v>UN </v>
      </c>
      <c r="E128" s="629">
        <f>IF(A128="SINAPI-S",VLOOKUP(B128,'20-B.SINAPI-S'!A:J,5,0),IF(A128="SINAPI-I",VLOOKUP(B128,'20-A.SINAPI-I'!A:G,6,0),0))</f>
        <v>0</v>
      </c>
      <c r="F128" s="634">
        <f>IF(A128="SINAPI-S",VLOOKUP(B128,'20-B.SINAPI-S'!A:J,6,0),IF(A128="SINAPI-I",VLOOKUP(B128,'20-A.SINAPI-I'!A:G,7,0),VLOOKUP(B128,'12.COT.MERCADO'!A:H,8,0)))</f>
        <v>1999</v>
      </c>
      <c r="G128" s="630">
        <v>1.0</v>
      </c>
      <c r="H128" s="629">
        <f>E128*G128</f>
        <v>0</v>
      </c>
      <c r="I128" s="629">
        <f>F128*G128</f>
        <v>1999</v>
      </c>
      <c r="J128" s="629">
        <f>I128+H128</f>
        <v>1999</v>
      </c>
    </row>
    <row r="129">
      <c r="A129" s="624" t="s">
        <v>1632</v>
      </c>
      <c r="B129" s="644" t="s">
        <v>1765</v>
      </c>
    </row>
    <row r="130">
      <c r="A130" s="631"/>
      <c r="B130" s="631"/>
      <c r="C130" s="636"/>
      <c r="D130" s="631"/>
      <c r="E130" s="631"/>
      <c r="F130" s="631"/>
      <c r="G130" s="631"/>
      <c r="H130" s="631"/>
      <c r="I130" s="631"/>
      <c r="J130" s="631"/>
    </row>
    <row r="131">
      <c r="A131" s="617" t="s">
        <v>1729</v>
      </c>
      <c r="B131" s="642" t="s">
        <v>1766</v>
      </c>
      <c r="C131" s="619" t="s">
        <v>1767</v>
      </c>
      <c r="D131" s="618" t="s">
        <v>1757</v>
      </c>
      <c r="E131" s="618"/>
      <c r="F131" s="618"/>
      <c r="G131" s="618"/>
      <c r="H131" s="620">
        <f t="shared" ref="H131:J131" si="39">SUM(H133)</f>
        <v>0</v>
      </c>
      <c r="I131" s="620">
        <f t="shared" si="39"/>
        <v>1999</v>
      </c>
      <c r="J131" s="621">
        <f t="shared" si="39"/>
        <v>1999</v>
      </c>
    </row>
    <row r="132">
      <c r="A132" s="622" t="s">
        <v>1732</v>
      </c>
      <c r="B132" s="622" t="s">
        <v>80</v>
      </c>
      <c r="C132" s="623" t="s">
        <v>8</v>
      </c>
      <c r="D132" s="624" t="s">
        <v>1733</v>
      </c>
      <c r="E132" s="624" t="s">
        <v>1734</v>
      </c>
      <c r="F132" s="624" t="s">
        <v>1735</v>
      </c>
      <c r="G132" s="624" t="s">
        <v>1736</v>
      </c>
      <c r="H132" s="624" t="s">
        <v>1737</v>
      </c>
      <c r="I132" s="624" t="s">
        <v>1738</v>
      </c>
      <c r="J132" s="624" t="s">
        <v>14</v>
      </c>
    </row>
    <row r="133">
      <c r="A133" s="625" t="s">
        <v>110</v>
      </c>
      <c r="B133" s="632" t="s">
        <v>1764</v>
      </c>
      <c r="C133" s="633" t="str">
        <f>IF(A133="SINAPI-S",VLOOKUP(B133,'20-B.SINAPI-S'!A:J,2,0),IF(A133="SINAPI-I",VLOOKUP(B133,'20-A.SINAPI-I'!A:E,2,0),VLOOKUP(B133,'12.COT.MERCADO'!A:H,2,0)))</f>
        <v>Instalação de condicionador de ar tipo split, 36000 btus - contempla a mão de obra, suporte e tubulação até 3,0m</v>
      </c>
      <c r="D133" s="626" t="str">
        <f>IF(A133="SINAPI-S",VLOOKUP(B133,'20-B.SINAPI-S'!A:J,3,0),IF(A133="SINAPI-I",VLOOKUP(B133,'20-A.SINAPI-I'!A:E,3,0),VLOOKUP(B133,'12.COT.MERCADO'!A:H,7,0)))</f>
        <v>UN </v>
      </c>
      <c r="E133" s="629">
        <f>IF(A133="SINAPI-S",VLOOKUP(B133,'20-B.SINAPI-S'!A:J,5,0),IF(A133="SINAPI-I",VLOOKUP(B133,'20-A.SINAPI-I'!A:G,6,0),0))</f>
        <v>0</v>
      </c>
      <c r="F133" s="634">
        <f>IF(A133="SINAPI-S",VLOOKUP(B133,'20-B.SINAPI-S'!A:J,6,0),IF(A133="SINAPI-I",VLOOKUP(B133,'20-A.SINAPI-I'!A:G,7,0),VLOOKUP(B133,'12.COT.MERCADO'!A:H,8,0)))</f>
        <v>1999</v>
      </c>
      <c r="G133" s="630">
        <v>1.0</v>
      </c>
      <c r="H133" s="629">
        <f>E133*G133</f>
        <v>0</v>
      </c>
      <c r="I133" s="629">
        <f>F133*G133</f>
        <v>1999</v>
      </c>
      <c r="J133" s="629">
        <f>I133+H133</f>
        <v>1999</v>
      </c>
    </row>
    <row r="134">
      <c r="A134" s="624" t="s">
        <v>1632</v>
      </c>
      <c r="B134" s="643" t="s">
        <v>1768</v>
      </c>
    </row>
    <row r="135">
      <c r="A135" s="631"/>
      <c r="B135" s="631"/>
      <c r="C135" s="636"/>
      <c r="D135" s="631"/>
      <c r="E135" s="631"/>
      <c r="F135" s="631"/>
      <c r="G135" s="631"/>
      <c r="H135" s="631"/>
      <c r="I135" s="631"/>
      <c r="J135" s="631"/>
    </row>
    <row r="136">
      <c r="A136" s="617" t="s">
        <v>1729</v>
      </c>
      <c r="B136" s="642" t="s">
        <v>544</v>
      </c>
      <c r="C136" s="645" t="s">
        <v>1769</v>
      </c>
      <c r="D136" s="618" t="s">
        <v>1757</v>
      </c>
      <c r="E136" s="618"/>
      <c r="F136" s="618"/>
      <c r="G136" s="618"/>
      <c r="H136" s="620">
        <f t="shared" ref="H136:J136" si="40">SUM(H138)</f>
        <v>0</v>
      </c>
      <c r="I136" s="620">
        <f t="shared" si="40"/>
        <v>1499</v>
      </c>
      <c r="J136" s="621">
        <f t="shared" si="40"/>
        <v>1499</v>
      </c>
    </row>
    <row r="137">
      <c r="A137" s="622" t="s">
        <v>1732</v>
      </c>
      <c r="B137" s="622" t="s">
        <v>80</v>
      </c>
      <c r="C137" s="623" t="s">
        <v>8</v>
      </c>
      <c r="D137" s="624" t="s">
        <v>1733</v>
      </c>
      <c r="E137" s="624" t="s">
        <v>1734</v>
      </c>
      <c r="F137" s="624" t="s">
        <v>1735</v>
      </c>
      <c r="G137" s="624" t="s">
        <v>1736</v>
      </c>
      <c r="H137" s="624" t="s">
        <v>1737</v>
      </c>
      <c r="I137" s="624" t="s">
        <v>1738</v>
      </c>
      <c r="J137" s="624" t="s">
        <v>14</v>
      </c>
    </row>
    <row r="138">
      <c r="A138" s="625" t="s">
        <v>110</v>
      </c>
      <c r="B138" s="632" t="s">
        <v>1770</v>
      </c>
      <c r="C138" s="633" t="str">
        <f>IF(A138="SINAPI-S",VLOOKUP(B138,'20-B.SINAPI-S'!A:J,2,0),IF(A138="SINAPI-I",VLOOKUP(B138,'20-A.SINAPI-I'!A:E,2,0),VLOOKUP(B138,'12.COT.MERCADO'!A:H,2,0)))</f>
        <v>Instalação de condicionador de ar tipo split piso-teto, 24000 btus - contempla a mão de obra, suporte e tubulação até 3,0m</v>
      </c>
      <c r="D138" s="626" t="str">
        <f>IF(A138="SINAPI-S",VLOOKUP(B138,'20-B.SINAPI-S'!A:J,3,0),IF(A138="SINAPI-I",VLOOKUP(B138,'20-A.SINAPI-I'!A:E,3,0),VLOOKUP(B138,'12.COT.MERCADO'!A:H,7,0)))</f>
        <v>UN </v>
      </c>
      <c r="E138" s="629">
        <f>IF(A138="SINAPI-S",VLOOKUP(B138,'20-B.SINAPI-S'!A:J,5,0),IF(A138="SINAPI-I",VLOOKUP(B138,'20-A.SINAPI-I'!A:G,6,0),0))</f>
        <v>0</v>
      </c>
      <c r="F138" s="634">
        <f>IF(A138="SINAPI-S",VLOOKUP(B138,'20-B.SINAPI-S'!A:J,6,0),IF(A138="SINAPI-I",VLOOKUP(B138,'20-A.SINAPI-I'!A:G,7,0),VLOOKUP(B138,'12.COT.MERCADO'!A:H,8,0)))</f>
        <v>1499</v>
      </c>
      <c r="G138" s="630">
        <v>1.0</v>
      </c>
      <c r="H138" s="629">
        <f>E138*G138</f>
        <v>0</v>
      </c>
      <c r="I138" s="629">
        <f>F138*G138</f>
        <v>1499</v>
      </c>
      <c r="J138" s="629">
        <f>I138+H138</f>
        <v>1499</v>
      </c>
    </row>
    <row r="139">
      <c r="A139" s="624" t="s">
        <v>1632</v>
      </c>
      <c r="B139" s="644" t="s">
        <v>1771</v>
      </c>
    </row>
    <row r="140">
      <c r="A140" s="631"/>
      <c r="B140" s="631"/>
      <c r="C140" s="636"/>
      <c r="D140" s="631"/>
      <c r="E140" s="631"/>
      <c r="F140" s="631"/>
      <c r="G140" s="631"/>
      <c r="H140" s="631"/>
      <c r="I140" s="631"/>
      <c r="J140" s="631"/>
    </row>
    <row r="141">
      <c r="A141" s="617" t="s">
        <v>1729</v>
      </c>
      <c r="B141" s="642" t="s">
        <v>546</v>
      </c>
      <c r="C141" s="619" t="s">
        <v>1772</v>
      </c>
      <c r="D141" s="618" t="s">
        <v>1757</v>
      </c>
      <c r="E141" s="618"/>
      <c r="F141" s="618"/>
      <c r="G141" s="618"/>
      <c r="H141" s="620">
        <f t="shared" ref="H141:J141" si="41">SUM(H143)</f>
        <v>0</v>
      </c>
      <c r="I141" s="620">
        <f t="shared" si="41"/>
        <v>1499</v>
      </c>
      <c r="J141" s="621">
        <f t="shared" si="41"/>
        <v>1499</v>
      </c>
    </row>
    <row r="142">
      <c r="A142" s="622" t="s">
        <v>1732</v>
      </c>
      <c r="B142" s="622" t="s">
        <v>80</v>
      </c>
      <c r="C142" s="623" t="s">
        <v>8</v>
      </c>
      <c r="D142" s="624" t="s">
        <v>1733</v>
      </c>
      <c r="E142" s="624" t="s">
        <v>1734</v>
      </c>
      <c r="F142" s="624" t="s">
        <v>1735</v>
      </c>
      <c r="G142" s="624" t="s">
        <v>1736</v>
      </c>
      <c r="H142" s="624" t="s">
        <v>1737</v>
      </c>
      <c r="I142" s="624" t="s">
        <v>1738</v>
      </c>
      <c r="J142" s="624" t="s">
        <v>14</v>
      </c>
    </row>
    <row r="143">
      <c r="A143" s="625" t="s">
        <v>110</v>
      </c>
      <c r="B143" s="632" t="s">
        <v>1773</v>
      </c>
      <c r="C143" s="633" t="str">
        <f>IF(A143="SINAPI-S",VLOOKUP(B143,'20-B.SINAPI-S'!A:J,2,0),IF(A143="SINAPI-I",VLOOKUP(B143,'20-A.SINAPI-I'!A:E,2,0),VLOOKUP(B143,'12.COT.MERCADO'!A:H,2,0)))</f>
        <v>Instalação de condicionador de ar tipo split piso-teto, 30000 btus - contempla a mão de obra, suporte e tubulação até 3,0m</v>
      </c>
      <c r="D143" s="626" t="str">
        <f>IF(A143="SINAPI-S",VLOOKUP(B143,'20-B.SINAPI-S'!A:J,3,0),IF(A143="SINAPI-I",VLOOKUP(B143,'20-A.SINAPI-I'!A:E,3,0),VLOOKUP(B143,'12.COT.MERCADO'!A:H,7,0)))</f>
        <v>UN </v>
      </c>
      <c r="E143" s="629">
        <f>IF(A143="SINAPI-S",VLOOKUP(B143,'20-B.SINAPI-S'!A:J,5,0),IF(A143="SINAPI-I",VLOOKUP(B143,'20-A.SINAPI-I'!A:G,6,0),0))</f>
        <v>0</v>
      </c>
      <c r="F143" s="634">
        <f>IF(A143="SINAPI-S",VLOOKUP(B143,'20-B.SINAPI-S'!A:J,6,0),IF(A143="SINAPI-I",VLOOKUP(B143,'20-A.SINAPI-I'!A:G,7,0),VLOOKUP(B143,'12.COT.MERCADO'!A:H,8,0)))</f>
        <v>1499</v>
      </c>
      <c r="G143" s="630">
        <v>1.0</v>
      </c>
      <c r="H143" s="629">
        <f>E143*G143</f>
        <v>0</v>
      </c>
      <c r="I143" s="629">
        <f>F143*G143</f>
        <v>1499</v>
      </c>
      <c r="J143" s="629">
        <f>I143+H143</f>
        <v>1499</v>
      </c>
    </row>
    <row r="144">
      <c r="A144" s="624" t="s">
        <v>1632</v>
      </c>
      <c r="B144" s="644" t="s">
        <v>1774</v>
      </c>
    </row>
    <row r="145">
      <c r="A145" s="631"/>
      <c r="B145" s="631"/>
      <c r="C145" s="636"/>
      <c r="D145" s="631"/>
      <c r="E145" s="631"/>
      <c r="F145" s="631"/>
      <c r="G145" s="631"/>
      <c r="H145" s="631"/>
      <c r="I145" s="631"/>
      <c r="J145" s="631"/>
    </row>
    <row r="146">
      <c r="A146" s="617" t="s">
        <v>1729</v>
      </c>
      <c r="B146" s="642" t="s">
        <v>548</v>
      </c>
      <c r="C146" s="619" t="s">
        <v>1775</v>
      </c>
      <c r="D146" s="618" t="s">
        <v>1757</v>
      </c>
      <c r="E146" s="618"/>
      <c r="F146" s="618"/>
      <c r="G146" s="618"/>
      <c r="H146" s="620">
        <f t="shared" ref="H146:J146" si="42">SUM(H148)</f>
        <v>0</v>
      </c>
      <c r="I146" s="620">
        <f t="shared" si="42"/>
        <v>1606</v>
      </c>
      <c r="J146" s="621">
        <f t="shared" si="42"/>
        <v>1606</v>
      </c>
    </row>
    <row r="147">
      <c r="A147" s="622" t="s">
        <v>1732</v>
      </c>
      <c r="B147" s="622" t="s">
        <v>80</v>
      </c>
      <c r="C147" s="623" t="s">
        <v>8</v>
      </c>
      <c r="D147" s="624" t="s">
        <v>1733</v>
      </c>
      <c r="E147" s="624" t="s">
        <v>1734</v>
      </c>
      <c r="F147" s="624" t="s">
        <v>1735</v>
      </c>
      <c r="G147" s="624" t="s">
        <v>1736</v>
      </c>
      <c r="H147" s="624" t="s">
        <v>1737</v>
      </c>
      <c r="I147" s="624" t="s">
        <v>1738</v>
      </c>
      <c r="J147" s="624" t="s">
        <v>14</v>
      </c>
    </row>
    <row r="148">
      <c r="A148" s="625" t="s">
        <v>110</v>
      </c>
      <c r="B148" s="632" t="s">
        <v>1776</v>
      </c>
      <c r="C148" s="633" t="str">
        <f>IF(A148="SINAPI-S",VLOOKUP(B148,'20-B.SINAPI-S'!A:J,2,0),IF(A148="SINAPI-I",VLOOKUP(B148,'20-A.SINAPI-I'!A:E,2,0),VLOOKUP(B148,'12.COT.MERCADO'!A:H,2,0)))</f>
        <v>Instalação de condicionador de ar tipo split piso-teto, 36000 btus- contempla a mão de obra, suporte e tubulação até 3,0m</v>
      </c>
      <c r="D148" s="626" t="str">
        <f>IF(A148="SINAPI-S",VLOOKUP(B148,'20-B.SINAPI-S'!A:J,3,0),IF(A148="SINAPI-I",VLOOKUP(B148,'20-A.SINAPI-I'!A:E,3,0),VLOOKUP(B148,'12.COT.MERCADO'!A:H,7,0)))</f>
        <v>UN </v>
      </c>
      <c r="E148" s="629">
        <f>IF(A148="SINAPI-S",VLOOKUP(B148,'20-B.SINAPI-S'!A:J,5,0),IF(A148="SINAPI-I",VLOOKUP(B148,'20-A.SINAPI-I'!A:G,6,0),0))</f>
        <v>0</v>
      </c>
      <c r="F148" s="634">
        <f>IF(A148="SINAPI-S",VLOOKUP(B148,'20-B.SINAPI-S'!A:J,6,0),IF(A148="SINAPI-I",VLOOKUP(B148,'20-A.SINAPI-I'!A:G,7,0),VLOOKUP(B148,'12.COT.MERCADO'!A:H,8,0)))</f>
        <v>1606</v>
      </c>
      <c r="G148" s="630">
        <v>1.0</v>
      </c>
      <c r="H148" s="629">
        <f>E148*G148</f>
        <v>0</v>
      </c>
      <c r="I148" s="629">
        <f>F148*G148</f>
        <v>1606</v>
      </c>
      <c r="J148" s="629">
        <f>I148+H148</f>
        <v>1606</v>
      </c>
    </row>
    <row r="149">
      <c r="A149" s="624" t="s">
        <v>1632</v>
      </c>
      <c r="B149" s="643" t="s">
        <v>1777</v>
      </c>
    </row>
    <row r="150">
      <c r="A150" s="631"/>
      <c r="B150" s="631"/>
      <c r="C150" s="636"/>
      <c r="D150" s="631"/>
      <c r="E150" s="631"/>
      <c r="F150" s="631"/>
      <c r="G150" s="631"/>
      <c r="H150" s="631"/>
      <c r="I150" s="631"/>
      <c r="J150" s="631"/>
    </row>
    <row r="151">
      <c r="A151" s="617" t="s">
        <v>1729</v>
      </c>
      <c r="B151" s="642" t="s">
        <v>550</v>
      </c>
      <c r="C151" s="619" t="s">
        <v>1778</v>
      </c>
      <c r="D151" s="618" t="s">
        <v>1757</v>
      </c>
      <c r="E151" s="618"/>
      <c r="F151" s="618"/>
      <c r="G151" s="618"/>
      <c r="H151" s="620">
        <f t="shared" ref="H151:J151" si="43">SUM(H153)</f>
        <v>0</v>
      </c>
      <c r="I151" s="620">
        <f t="shared" si="43"/>
        <v>2099</v>
      </c>
      <c r="J151" s="621">
        <f t="shared" si="43"/>
        <v>2099</v>
      </c>
    </row>
    <row r="152">
      <c r="A152" s="622" t="s">
        <v>1732</v>
      </c>
      <c r="B152" s="622" t="s">
        <v>80</v>
      </c>
      <c r="C152" s="623" t="s">
        <v>8</v>
      </c>
      <c r="D152" s="624" t="s">
        <v>1733</v>
      </c>
      <c r="E152" s="624" t="s">
        <v>1734</v>
      </c>
      <c r="F152" s="624" t="s">
        <v>1735</v>
      </c>
      <c r="G152" s="624" t="s">
        <v>1736</v>
      </c>
      <c r="H152" s="624" t="s">
        <v>1737</v>
      </c>
      <c r="I152" s="624" t="s">
        <v>1738</v>
      </c>
      <c r="J152" s="624" t="s">
        <v>14</v>
      </c>
    </row>
    <row r="153">
      <c r="A153" s="625" t="s">
        <v>110</v>
      </c>
      <c r="B153" s="632" t="s">
        <v>1779</v>
      </c>
      <c r="C153" s="633" t="str">
        <f>IF(A153="SINAPI-S",VLOOKUP(B153,'20-B.SINAPI-S'!A:J,2,0),IF(A153="SINAPI-I",VLOOKUP(B153,'20-A.SINAPI-I'!A:E,2,0),VLOOKUP(B153,'12.COT.MERCADO'!A:H,2,0)))</f>
        <v>Instalação de condicionador de ar tipo split piso-teto, 48000 btus - contempla a mão de obra, suporte e tubulação até 3,0m</v>
      </c>
      <c r="D153" s="626" t="str">
        <f>IF(A153="SINAPI-S",VLOOKUP(B153,'20-B.SINAPI-S'!A:J,3,0),IF(A153="SINAPI-I",VLOOKUP(B153,'20-A.SINAPI-I'!A:E,3,0),VLOOKUP(B153,'12.COT.MERCADO'!A:H,7,0)))</f>
        <v>UN </v>
      </c>
      <c r="E153" s="629">
        <f>IF(A153="SINAPI-S",VLOOKUP(B153,'20-B.SINAPI-S'!A:J,5,0),IF(A153="SINAPI-I",VLOOKUP(B153,'20-A.SINAPI-I'!A:G,6,0),0))</f>
        <v>0</v>
      </c>
      <c r="F153" s="634">
        <f>IF(A153="SINAPI-S",VLOOKUP(B153,'20-B.SINAPI-S'!A:J,6,0),IF(A153="SINAPI-I",VLOOKUP(B153,'20-A.SINAPI-I'!A:G,7,0),VLOOKUP(B153,'12.COT.MERCADO'!A:H,8,0)))</f>
        <v>2099</v>
      </c>
      <c r="G153" s="630">
        <v>1.0</v>
      </c>
      <c r="H153" s="629">
        <f>E153*G153</f>
        <v>0</v>
      </c>
      <c r="I153" s="629">
        <f>F153*G153</f>
        <v>2099</v>
      </c>
      <c r="J153" s="629">
        <f>I153+H153</f>
        <v>2099</v>
      </c>
    </row>
    <row r="154">
      <c r="A154" s="646"/>
    </row>
    <row r="155">
      <c r="A155" s="631"/>
      <c r="B155" s="631"/>
      <c r="C155" s="636"/>
      <c r="D155" s="631"/>
      <c r="E155" s="631"/>
      <c r="F155" s="631"/>
      <c r="G155" s="631"/>
      <c r="H155" s="631"/>
      <c r="I155" s="631"/>
      <c r="J155" s="631"/>
    </row>
    <row r="156">
      <c r="A156" s="617" t="s">
        <v>1729</v>
      </c>
      <c r="B156" s="642" t="s">
        <v>552</v>
      </c>
      <c r="C156" s="619" t="s">
        <v>1780</v>
      </c>
      <c r="D156" s="618" t="s">
        <v>1757</v>
      </c>
      <c r="E156" s="618"/>
      <c r="F156" s="618"/>
      <c r="G156" s="618"/>
      <c r="H156" s="620">
        <f t="shared" ref="H156:J156" si="44">SUM(H158)</f>
        <v>0</v>
      </c>
      <c r="I156" s="620">
        <f t="shared" si="44"/>
        <v>2099</v>
      </c>
      <c r="J156" s="621">
        <f t="shared" si="44"/>
        <v>2099</v>
      </c>
    </row>
    <row r="157">
      <c r="A157" s="622" t="s">
        <v>1732</v>
      </c>
      <c r="B157" s="622" t="s">
        <v>80</v>
      </c>
      <c r="C157" s="623" t="s">
        <v>8</v>
      </c>
      <c r="D157" s="624" t="s">
        <v>1733</v>
      </c>
      <c r="E157" s="624" t="s">
        <v>1734</v>
      </c>
      <c r="F157" s="624" t="s">
        <v>1735</v>
      </c>
      <c r="G157" s="624" t="s">
        <v>1736</v>
      </c>
      <c r="H157" s="624" t="s">
        <v>1737</v>
      </c>
      <c r="I157" s="624" t="s">
        <v>1738</v>
      </c>
      <c r="J157" s="624" t="s">
        <v>14</v>
      </c>
    </row>
    <row r="158">
      <c r="A158" s="625" t="s">
        <v>110</v>
      </c>
      <c r="B158" s="632" t="s">
        <v>1781</v>
      </c>
      <c r="C158" s="633" t="str">
        <f>IF(A158="SINAPI-S",VLOOKUP(B158,'20-B.SINAPI-S'!A:J,2,0),IF(A158="SINAPI-I",VLOOKUP(B158,'20-A.SINAPI-I'!A:E,2,0),VLOOKUP(B158,'12.COT.MERCADO'!A:H,2,0)))</f>
        <v>Instalação de condicionador de ar tipo split piso-teto,60000 btus - contempla a mão de obra, suporte e tubulação até 3,0m</v>
      </c>
      <c r="D158" s="626" t="str">
        <f>IF(A158="SINAPI-S",VLOOKUP(B158,'20-B.SINAPI-S'!A:J,3,0),IF(A158="SINAPI-I",VLOOKUP(B158,'20-A.SINAPI-I'!A:E,3,0),VLOOKUP(B158,'12.COT.MERCADO'!A:H,7,0)))</f>
        <v>UN </v>
      </c>
      <c r="E158" s="629">
        <f>IF(A158="SINAPI-S",VLOOKUP(B158,'20-B.SINAPI-S'!A:J,5,0),IF(A158="SINAPI-I",VLOOKUP(B158,'20-A.SINAPI-I'!A:G,6,0),0))</f>
        <v>0</v>
      </c>
      <c r="F158" s="634">
        <f>IF(A158="SINAPI-S",VLOOKUP(B158,'20-B.SINAPI-S'!A:J,6,0),IF(A158="SINAPI-I",VLOOKUP(B158,'20-A.SINAPI-I'!A:G,7,0),VLOOKUP(B158,'12.COT.MERCADO'!A:H,8,0)))</f>
        <v>2099</v>
      </c>
      <c r="G158" s="630">
        <v>1.0</v>
      </c>
      <c r="H158" s="629">
        <f>E158*G158</f>
        <v>0</v>
      </c>
      <c r="I158" s="629">
        <f>F158*G158</f>
        <v>2099</v>
      </c>
      <c r="J158" s="629">
        <f>I158+H158</f>
        <v>2099</v>
      </c>
    </row>
    <row r="159">
      <c r="A159" s="624" t="s">
        <v>1632</v>
      </c>
      <c r="B159" s="643" t="s">
        <v>1782</v>
      </c>
    </row>
    <row r="160">
      <c r="A160" s="631"/>
      <c r="B160" s="631"/>
      <c r="C160" s="636"/>
      <c r="D160" s="631"/>
      <c r="E160" s="631"/>
      <c r="F160" s="631"/>
      <c r="G160" s="631"/>
      <c r="H160" s="631"/>
      <c r="I160" s="631"/>
      <c r="J160" s="631"/>
    </row>
  </sheetData>
  <mergeCells count="20">
    <mergeCell ref="A1:B1"/>
    <mergeCell ref="C1:E1"/>
    <mergeCell ref="I1:J1"/>
    <mergeCell ref="A2:J2"/>
    <mergeCell ref="B17:J17"/>
    <mergeCell ref="B33:J33"/>
    <mergeCell ref="B49:J49"/>
    <mergeCell ref="B134:J134"/>
    <mergeCell ref="B139:J139"/>
    <mergeCell ref="B144:J144"/>
    <mergeCell ref="B149:J149"/>
    <mergeCell ref="A154:J154"/>
    <mergeCell ref="B159:J159"/>
    <mergeCell ref="B65:J65"/>
    <mergeCell ref="B81:J81"/>
    <mergeCell ref="B97:J97"/>
    <mergeCell ref="B113:J113"/>
    <mergeCell ref="B119:J119"/>
    <mergeCell ref="B124:J124"/>
    <mergeCell ref="B129:J129"/>
  </mergeCells>
  <dataValidations>
    <dataValidation type="list" allowBlank="1" showErrorMessage="1" sqref="A5:A16 A21:A32 A37:A48 A53:A64 A69:A80 A85:A96 A101:A112 A118 A123 A128 A133 A138 A143 A148 A153 A158">
      <formula1>"SINAPI-I,SINAPI-S,COT.MERCADO,Comp.Clima,Comp.Eventual"</formula1>
    </dataValidation>
  </dataValidations>
  <hyperlinks>
    <hyperlink display="SUMÁRIO" location="'QUADRO RESUMO'!B16:D17" ref="I1"/>
  </hyperlinks>
  <printOptions/>
  <pageMargins bottom="0.75" footer="0.0" header="0.0" left="0.25" right="0.25" top="0.75"/>
  <pageSetup fitToHeight="0" paperSize="9"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6B26B"/>
    <outlinePr summaryBelow="0" summaryRight="0"/>
    <pageSetUpPr fitToPage="1"/>
  </sheetPr>
  <sheetViews>
    <sheetView showGridLines="0" workbookViewId="0"/>
  </sheetViews>
  <sheetFormatPr customHeight="1" defaultColWidth="14.43" defaultRowHeight="15.0"/>
  <cols>
    <col customWidth="1" min="1" max="1" width="14.71"/>
    <col customWidth="1" min="2" max="2" width="13.0"/>
    <col customWidth="1" min="3" max="3" width="89.29"/>
    <col customWidth="1" min="4" max="4" width="7.43"/>
    <col customWidth="1" min="5" max="5" width="9.43"/>
    <col customWidth="1" min="6" max="6" width="11.57"/>
    <col customWidth="1" min="7" max="7" width="6.0"/>
    <col customWidth="1" min="8" max="8" width="9.43"/>
    <col customWidth="1" min="9" max="10" width="11.29"/>
  </cols>
  <sheetData>
    <row r="1" ht="54.75" customHeight="1">
      <c r="A1" s="487" t="s">
        <v>1783</v>
      </c>
      <c r="B1" s="36"/>
      <c r="C1" s="615" t="s">
        <v>40</v>
      </c>
      <c r="D1" s="44"/>
      <c r="E1" s="44"/>
      <c r="F1" s="44"/>
      <c r="G1" s="488"/>
      <c r="H1" s="488"/>
      <c r="I1" s="287" t="s">
        <v>29</v>
      </c>
      <c r="J1" s="44"/>
    </row>
    <row r="2" ht="21.0" customHeight="1">
      <c r="A2" s="647" t="s">
        <v>1728</v>
      </c>
      <c r="B2" s="36"/>
      <c r="C2" s="36"/>
      <c r="D2" s="36"/>
      <c r="E2" s="36"/>
      <c r="F2" s="36"/>
      <c r="G2" s="36"/>
      <c r="H2" s="36"/>
      <c r="I2" s="36"/>
      <c r="J2" s="36"/>
    </row>
    <row r="3">
      <c r="A3" s="648"/>
      <c r="B3" s="649"/>
      <c r="C3" s="650"/>
      <c r="D3" s="649"/>
      <c r="E3" s="651"/>
      <c r="F3" s="651"/>
      <c r="G3" s="651"/>
      <c r="H3" s="652"/>
      <c r="I3" s="652"/>
      <c r="J3" s="652"/>
    </row>
    <row r="4">
      <c r="A4" s="653" t="s">
        <v>1784</v>
      </c>
      <c r="B4" s="36"/>
      <c r="C4" s="36"/>
      <c r="D4" s="36"/>
      <c r="E4" s="36"/>
      <c r="F4" s="36"/>
      <c r="G4" s="36"/>
      <c r="H4" s="36"/>
      <c r="I4" s="36"/>
      <c r="J4" s="189"/>
    </row>
    <row r="5">
      <c r="A5" s="648"/>
      <c r="B5" s="649"/>
      <c r="C5" s="650"/>
      <c r="D5" s="649"/>
      <c r="E5" s="651"/>
      <c r="F5" s="651"/>
      <c r="G5" s="651"/>
      <c r="H5" s="652"/>
      <c r="I5" s="652"/>
      <c r="J5" s="652"/>
    </row>
    <row r="6">
      <c r="A6" s="654" t="s">
        <v>1785</v>
      </c>
      <c r="B6" s="655" t="s">
        <v>1786</v>
      </c>
      <c r="C6" s="656" t="s">
        <v>1787</v>
      </c>
      <c r="D6" s="655" t="s">
        <v>1788</v>
      </c>
      <c r="E6" s="657"/>
      <c r="F6" s="657"/>
      <c r="G6" s="657"/>
      <c r="H6" s="658">
        <f t="shared" ref="H6:J6" si="1">SUM(H8:H10)</f>
        <v>62.72</v>
      </c>
      <c r="I6" s="658">
        <f t="shared" si="1"/>
        <v>197.26</v>
      </c>
      <c r="J6" s="659">
        <f t="shared" si="1"/>
        <v>259.98</v>
      </c>
    </row>
    <row r="7">
      <c r="A7" s="622" t="s">
        <v>1732</v>
      </c>
      <c r="B7" s="622" t="s">
        <v>80</v>
      </c>
      <c r="C7" s="623" t="s">
        <v>8</v>
      </c>
      <c r="D7" s="622" t="s">
        <v>83</v>
      </c>
      <c r="E7" s="624" t="s">
        <v>1734</v>
      </c>
      <c r="F7" s="624" t="s">
        <v>1735</v>
      </c>
      <c r="G7" s="624" t="s">
        <v>1736</v>
      </c>
      <c r="H7" s="624" t="s">
        <v>1737</v>
      </c>
      <c r="I7" s="624" t="s">
        <v>1738</v>
      </c>
      <c r="J7" s="624" t="s">
        <v>14</v>
      </c>
    </row>
    <row r="8">
      <c r="A8" s="625" t="s">
        <v>218</v>
      </c>
      <c r="B8" s="626">
        <v>88266.0</v>
      </c>
      <c r="C8" s="627" t="str">
        <f>IF(A8="SINAPI-S",VLOOKUP(B8,'20-B.SINAPI-S'!A:J,2,0),IF(A8="SINAPI-I",VLOOKUP(B8,'20-A.SINAPI-I'!A:E,2,0),VLOOKUP(B8,'12.COT.MERCADO'!A:H,2,0)))</f>
        <v>ELETROTÉCNICO COM ENCARGOS COMPLEMENTARES</v>
      </c>
      <c r="D8" s="628" t="str">
        <f>IF(A8="SINAPI-S",VLOOKUP(B8,'20-B.SINAPI-S'!A:J,3,0),IF(A8="SINAPI-I",VLOOKUP(B8,'20-A.SINAPI-I'!A:E,3,0),VLOOKUP(B8,'12.COT.MERCADO'!A:H,7,0)))</f>
        <v>H</v>
      </c>
      <c r="E8" s="629">
        <f>IF(A8="SINAPI-S",VLOOKUP(B8,'20-B.SINAPI-S'!A:J,5,0),IF(A8="SINAPI-I",VLOOKUP(B8,'20-A.SINAPI-I'!A:G,6,0),0))</f>
        <v>31.36</v>
      </c>
      <c r="F8" s="629">
        <f>IF(A8="SINAPI-S",VLOOKUP(B8,'20-B.SINAPI-S'!A:J,6,0),IF(A8="SINAPI-I",VLOOKUP(B8,'20-A.SINAPI-I'!A:G,7,0),VLOOKUP(B8,'12.COT.MERCADO'!A:H,8,0)))</f>
        <v>7.86</v>
      </c>
      <c r="G8" s="626">
        <v>2.0</v>
      </c>
      <c r="H8" s="629">
        <f t="shared" ref="H8:H10" si="2">E8*G8</f>
        <v>62.72</v>
      </c>
      <c r="I8" s="629">
        <f t="shared" ref="I8:I10" si="3">F8*G8</f>
        <v>15.72</v>
      </c>
      <c r="J8" s="629">
        <f t="shared" ref="J8:J10" si="4">I8+H8</f>
        <v>78.44</v>
      </c>
    </row>
    <row r="9">
      <c r="A9" s="625" t="s">
        <v>286</v>
      </c>
      <c r="B9" s="626">
        <v>7584.0</v>
      </c>
      <c r="C9" s="627" t="str">
        <f>IF(A9="SINAPI-S",VLOOKUP(B9,'20-B.SINAPI-S'!A:J,2,0),IF(A9="SINAPI-I",VLOOKUP(B9,'20-A.SINAPI-I'!A:E,2,0),VLOOKUP(B9,'12.COT.MERCADO'!A:H,2,0)))</f>
        <v>BUCHA DE NYLON SEM ABA S12, COM PARAFUSO DE 5/16" X 80 MM EM ACO ZINCADO COM ROSCA SOBERBA E CABECA SEXTAVADA</v>
      </c>
      <c r="D9" s="626" t="str">
        <f>IF(A9="SINAPI-S",VLOOKUP(B9,'20-B.SINAPI-S'!A:J,3,0),IF(A9="SINAPI-I",VLOOKUP(B9,'20-A.SINAPI-I'!A:E,3,0),VLOOKUP(B9,'12.COT.MERCADO'!A:H,7,0)))</f>
        <v>UN</v>
      </c>
      <c r="E9" s="629">
        <f>IF(A9="SINAPI-S",VLOOKUP(B9,'20-B.SINAPI-S'!A:J,5,0),IF(A9="SINAPI-I",VLOOKUP(B9,'20-A.SINAPI-I'!A:G,6,0),0))</f>
        <v>0</v>
      </c>
      <c r="F9" s="629">
        <f>IF(A9="SINAPI-S",VLOOKUP(B9,'20-B.SINAPI-S'!A:J,6,0),IF(A9="SINAPI-I",VLOOKUP(B9,'20-A.SINAPI-I'!A:G,7,0),VLOOKUP(B9,'12.COT.MERCADO'!A:H,8,0)))</f>
        <v>1.12</v>
      </c>
      <c r="G9" s="625">
        <v>4.0</v>
      </c>
      <c r="H9" s="629">
        <f t="shared" si="2"/>
        <v>0</v>
      </c>
      <c r="I9" s="629">
        <f t="shared" si="3"/>
        <v>4.48</v>
      </c>
      <c r="J9" s="629">
        <f t="shared" si="4"/>
        <v>4.48</v>
      </c>
    </row>
    <row r="10">
      <c r="A10" s="625" t="s">
        <v>110</v>
      </c>
      <c r="B10" s="626" t="s">
        <v>1789</v>
      </c>
      <c r="C10" s="660" t="str">
        <f>IF(A10="SINAPI-S",VLOOKUP(B10,'20-B.SINAPI-S'!A:J,2,0),IF(A10="SINAPI-I",VLOOKUP(B10,'20-A.SINAPI-I'!A:E,2,0),VLOOKUP(B10,'12.COT.MERCADO'!A:H,2,0)))</f>
        <v>Suporte de parede fixo para TV e Monitor Sumay Sm- Spf3280 de 32 à 80 Polegadas</v>
      </c>
      <c r="D10" s="626" t="str">
        <f>IF(A10="SINAPI-S",VLOOKUP(B10,'20-B.SINAPI-S'!A:J,3,0),IF(A10="SINAPI-I",VLOOKUP(B10,'20-A.SINAPI-I'!A:E,3,0),VLOOKUP(B10,'12.COT.MERCADO'!A:H,7,0)))</f>
        <v>UN</v>
      </c>
      <c r="E10" s="629">
        <f>IF(A10="SINAPI-S",VLOOKUP(B10,'20-B.SINAPI-S'!A:J,5,0),IF(A10="SINAPI-I",VLOOKUP(B10,'20-A.SINAPI-I'!A:G,6,0),0))</f>
        <v>0</v>
      </c>
      <c r="F10" s="634">
        <f>IF(A10="SINAPI-S",VLOOKUP(B10,'20-B.SINAPI-S'!A:J,6,0),IF(A10="SINAPI-I",VLOOKUP(B10,'20-A.SINAPI-I'!A:G,7,0),VLOOKUP(B10,'12.COT.MERCADO'!A:H,8,0)))</f>
        <v>177.06</v>
      </c>
      <c r="G10" s="625">
        <v>1.0</v>
      </c>
      <c r="H10" s="629">
        <f t="shared" si="2"/>
        <v>0</v>
      </c>
      <c r="I10" s="629">
        <f t="shared" si="3"/>
        <v>177.06</v>
      </c>
      <c r="J10" s="629">
        <f t="shared" si="4"/>
        <v>177.06</v>
      </c>
    </row>
    <row r="11">
      <c r="A11" s="622" t="s">
        <v>1632</v>
      </c>
      <c r="B11" s="633" t="s">
        <v>1790</v>
      </c>
      <c r="J11" s="633"/>
    </row>
    <row r="12">
      <c r="A12" s="661"/>
      <c r="B12" s="662"/>
      <c r="C12" s="662"/>
      <c r="D12" s="626"/>
      <c r="E12" s="661"/>
      <c r="F12" s="661"/>
      <c r="G12" s="661"/>
      <c r="H12" s="661"/>
      <c r="I12" s="661"/>
      <c r="J12" s="661"/>
    </row>
    <row r="13">
      <c r="A13" s="654" t="s">
        <v>1785</v>
      </c>
      <c r="B13" s="655" t="s">
        <v>1791</v>
      </c>
      <c r="C13" s="656" t="s">
        <v>1792</v>
      </c>
      <c r="D13" s="655" t="s">
        <v>1788</v>
      </c>
      <c r="E13" s="657"/>
      <c r="F13" s="657"/>
      <c r="G13" s="657"/>
      <c r="H13" s="658">
        <f t="shared" ref="H13:J13" si="5">SUM(H15:H20)</f>
        <v>252.625</v>
      </c>
      <c r="I13" s="658">
        <f t="shared" si="5"/>
        <v>528.2825</v>
      </c>
      <c r="J13" s="659">
        <f t="shared" si="5"/>
        <v>780.9075</v>
      </c>
    </row>
    <row r="14">
      <c r="A14" s="622" t="s">
        <v>1732</v>
      </c>
      <c r="B14" s="622" t="s">
        <v>80</v>
      </c>
      <c r="C14" s="623" t="s">
        <v>8</v>
      </c>
      <c r="D14" s="622" t="s">
        <v>83</v>
      </c>
      <c r="E14" s="624" t="s">
        <v>1734</v>
      </c>
      <c r="F14" s="624" t="s">
        <v>1735</v>
      </c>
      <c r="G14" s="624" t="s">
        <v>1736</v>
      </c>
      <c r="H14" s="624" t="s">
        <v>1737</v>
      </c>
      <c r="I14" s="624" t="s">
        <v>1738</v>
      </c>
      <c r="J14" s="624" t="s">
        <v>14</v>
      </c>
    </row>
    <row r="15">
      <c r="A15" s="625" t="s">
        <v>218</v>
      </c>
      <c r="B15" s="626">
        <v>88316.0</v>
      </c>
      <c r="C15" s="627" t="str">
        <f>IF(A15="SINAPI-S",VLOOKUP(B15,'20-B.SINAPI-S'!A:J,2,0),IF(A15="SINAPI-I",VLOOKUP(B15,'20-A.SINAPI-I'!A:E,2,0),VLOOKUP(B15,'12.COT.MERCADO'!A:H,2,0)))</f>
        <v>SERVENTE COM ENCARGOS COMPLEMENTARES</v>
      </c>
      <c r="D15" s="628" t="str">
        <f>IF(A15="SINAPI-S",VLOOKUP(B15,'20-B.SINAPI-S'!A:J,3,0),IF(A15="SINAPI-I",VLOOKUP(B15,'20-A.SINAPI-I'!A:E,3,0),VLOOKUP(B15,'12.COT.MERCADO'!A:H,7,0)))</f>
        <v>H</v>
      </c>
      <c r="E15" s="629">
        <f>IF(A15="SINAPI-S",VLOOKUP(B15,'20-B.SINAPI-S'!A:J,5,0),IF(A15="SINAPI-I",VLOOKUP(B15,'20-A.SINAPI-I'!A:G,6,0),0))</f>
        <v>17.42</v>
      </c>
      <c r="F15" s="629">
        <f>IF(A15="SINAPI-S",VLOOKUP(B15,'20-B.SINAPI-S'!A:J,6,0),IF(A15="SINAPI-I",VLOOKUP(B15,'20-A.SINAPI-I'!A:G,7,0),VLOOKUP(B15,'12.COT.MERCADO'!A:H,8,0)))</f>
        <v>7.7</v>
      </c>
      <c r="G15" s="626">
        <f t="shared" ref="G15:G16" si="6">0.065*50</f>
        <v>3.25</v>
      </c>
      <c r="H15" s="629">
        <f t="shared" ref="H15:H20" si="7">E15*G15</f>
        <v>56.615</v>
      </c>
      <c r="I15" s="629">
        <f t="shared" ref="I15:I20" si="8">F15*G15</f>
        <v>25.025</v>
      </c>
      <c r="J15" s="629">
        <f t="shared" ref="J15:J20" si="9">I15+H15</f>
        <v>81.64</v>
      </c>
    </row>
    <row r="16">
      <c r="A16" s="625" t="s">
        <v>218</v>
      </c>
      <c r="B16" s="626">
        <v>88309.0</v>
      </c>
      <c r="C16" s="627" t="str">
        <f>IF(A16="SINAPI-S",VLOOKUP(B16,'20-B.SINAPI-S'!A:J,2,0),IF(A16="SINAPI-I",VLOOKUP(B16,'20-A.SINAPI-I'!A:E,2,0),VLOOKUP(B16,'12.COT.MERCADO'!A:H,2,0)))</f>
        <v>PEDREIRO COM ENCARGOS COMPLEMENTARES</v>
      </c>
      <c r="D16" s="628" t="str">
        <f>IF(A16="SINAPI-S",VLOOKUP(B16,'20-B.SINAPI-S'!A:J,3,0),IF(A16="SINAPI-I",VLOOKUP(B16,'20-A.SINAPI-I'!A:E,3,0),VLOOKUP(B16,'12.COT.MERCADO'!A:H,7,0)))</f>
        <v>H</v>
      </c>
      <c r="E16" s="629">
        <f>IF(A16="SINAPI-S",VLOOKUP(B16,'20-B.SINAPI-S'!A:J,5,0),IF(A16="SINAPI-I",VLOOKUP(B16,'20-A.SINAPI-I'!A:G,6,0),0))</f>
        <v>24.68</v>
      </c>
      <c r="F16" s="629">
        <f>IF(A16="SINAPI-S",VLOOKUP(B16,'20-B.SINAPI-S'!A:J,6,0),IF(A16="SINAPI-I",VLOOKUP(B16,'20-A.SINAPI-I'!A:G,7,0),VLOOKUP(B16,'12.COT.MERCADO'!A:H,8,0)))</f>
        <v>7.87</v>
      </c>
      <c r="G16" s="626">
        <f t="shared" si="6"/>
        <v>3.25</v>
      </c>
      <c r="H16" s="629">
        <f t="shared" si="7"/>
        <v>80.21</v>
      </c>
      <c r="I16" s="629">
        <f t="shared" si="8"/>
        <v>25.5775</v>
      </c>
      <c r="J16" s="629">
        <f t="shared" si="9"/>
        <v>105.7875</v>
      </c>
    </row>
    <row r="17">
      <c r="A17" s="625" t="s">
        <v>110</v>
      </c>
      <c r="B17" s="626" t="s">
        <v>1793</v>
      </c>
      <c r="C17" s="660" t="str">
        <f>IF(A17="SINAPI-S",VLOOKUP(B17,'20-B.SINAPI-S'!A:J,2,0),IF(A17="SINAPI-I",VLOOKUP(B17,'20-A.SINAPI-I'!A:E,2,0),VLOOKUP(B17,'12.COT.MERCADO'!A:H,2,0)))</f>
        <v>CABO DE AÇO 1/8 REVESTIDO COM PVC - 50M</v>
      </c>
      <c r="D17" s="626" t="str">
        <f>IF(A17="SINAPI-S",VLOOKUP(B17,'20-B.SINAPI-S'!A:J,3,0),IF(A17="SINAPI-I",VLOOKUP(B17,'20-A.SINAPI-I'!A:E,3,0),VLOOKUP(B17,'12.COT.MERCADO'!A:H,7,0)))</f>
        <v>UN</v>
      </c>
      <c r="E17" s="629">
        <f>IF(A17="SINAPI-S",VLOOKUP(B17,'20-B.SINAPI-S'!A:J,5,0),IF(A17="SINAPI-I",VLOOKUP(B17,'20-A.SINAPI-I'!A:G,6,0),0))</f>
        <v>0</v>
      </c>
      <c r="F17" s="634">
        <f>IF(A17="SINAPI-S",VLOOKUP(B17,'20-B.SINAPI-S'!A:J,6,0),IF(A17="SINAPI-I",VLOOKUP(B17,'20-A.SINAPI-I'!A:G,7,0),VLOOKUP(B17,'12.COT.MERCADO'!A:H,8,0)))</f>
        <v>268.43</v>
      </c>
      <c r="G17" s="626">
        <v>1.0</v>
      </c>
      <c r="H17" s="629">
        <f t="shared" si="7"/>
        <v>0</v>
      </c>
      <c r="I17" s="629">
        <f t="shared" si="8"/>
        <v>268.43</v>
      </c>
      <c r="J17" s="629">
        <f t="shared" si="9"/>
        <v>268.43</v>
      </c>
    </row>
    <row r="18">
      <c r="A18" s="625" t="s">
        <v>286</v>
      </c>
      <c r="B18" s="626">
        <v>1564.0</v>
      </c>
      <c r="C18" s="627" t="str">
        <f>IF(A18="SINAPI-S",VLOOKUP(B18,'20-B.SINAPI-S'!A:J,2,0),IF(A18="SINAPI-I",VLOOKUP(B18,'20-A.SINAPI-I'!A:E,2,0),VLOOKUP(B18,'12.COT.MERCADO'!A:H,2,0)))</f>
        <v>GRAMPO PARALELO METALICO PARA CABO DE 6 A 50 MM2, COM 2 PARAFUSOS</v>
      </c>
      <c r="D18" s="626" t="str">
        <f>IF(A18="SINAPI-S",VLOOKUP(B18,'20-B.SINAPI-S'!A:J,3,0),IF(A18="SINAPI-I",VLOOKUP(B18,'20-A.SINAPI-I'!A:E,3,0),VLOOKUP(B18,'12.COT.MERCADO'!A:H,7,0)))</f>
        <v>UN</v>
      </c>
      <c r="E18" s="629">
        <f>IF(A18="SINAPI-S",VLOOKUP(B18,'20-B.SINAPI-S'!A:J,5,0),IF(A18="SINAPI-I",VLOOKUP(B18,'20-A.SINAPI-I'!A:G,6,0),0))</f>
        <v>0</v>
      </c>
      <c r="F18" s="629">
        <f>IF(A18="SINAPI-S",VLOOKUP(B18,'20-B.SINAPI-S'!A:J,6,0),IF(A18="SINAPI-I",VLOOKUP(B18,'20-A.SINAPI-I'!A:G,7,0),VLOOKUP(B18,'12.COT.MERCADO'!A:H,8,0)))</f>
        <v>12.31</v>
      </c>
      <c r="G18" s="626">
        <v>3.0</v>
      </c>
      <c r="H18" s="629">
        <f t="shared" si="7"/>
        <v>0</v>
      </c>
      <c r="I18" s="629">
        <f t="shared" si="8"/>
        <v>36.93</v>
      </c>
      <c r="J18" s="629">
        <f t="shared" si="9"/>
        <v>36.93</v>
      </c>
    </row>
    <row r="19">
      <c r="A19" s="625" t="s">
        <v>286</v>
      </c>
      <c r="B19" s="626">
        <v>20193.0</v>
      </c>
      <c r="C19" s="627" t="str">
        <f>IF(A19="SINAPI-S",VLOOKUP(B19,'20-B.SINAPI-S'!A:J,2,0),IF(A19="SINAPI-I",VLOOKUP(B19,'20-A.SINAPI-I'!A:E,2,0),VLOOKUP(B19,'12.COT.MERCADO'!A:H,2,0)))</f>
        <v>LOCACAO DE ANDAIME METALICO TIPO FACHADEIRO, PECAS COM APROXIMADAMENTE 1,20 M DE LARGURA E 2,0 M DE ALTURA, INCLUINDO DIAGONAIS EM X, BARRAS DE LIGACAO, SAPATAS E DEMAIS ITENS NECESSARIOS A MONTAGEM (NAO INCLUI INSTALACAO)</v>
      </c>
      <c r="D19" s="626" t="str">
        <f>IF(A19="SINAPI-S",VLOOKUP(B19,'20-B.SINAPI-S'!A:J,3,0),IF(A19="SINAPI-I",VLOOKUP(B19,'20-A.SINAPI-I'!A:E,3,0),VLOOKUP(B19,'12.COT.MERCADO'!A:H,7,0)))</f>
        <v>M2XMES</v>
      </c>
      <c r="E19" s="629">
        <f>IF(A19="SINAPI-S",VLOOKUP(B19,'20-B.SINAPI-S'!A:J,5,0),IF(A19="SINAPI-I",VLOOKUP(B19,'20-A.SINAPI-I'!A:G,6,0),0))</f>
        <v>0</v>
      </c>
      <c r="F19" s="629">
        <f>IF(A19="SINAPI-S",VLOOKUP(B19,'20-B.SINAPI-S'!A:J,6,0),IF(A19="SINAPI-I",VLOOKUP(B19,'20-A.SINAPI-I'!A:G,7,0),VLOOKUP(B19,'12.COT.MERCADO'!A:H,8,0)))</f>
        <v>15</v>
      </c>
      <c r="G19" s="626">
        <v>8.96</v>
      </c>
      <c r="H19" s="629">
        <f t="shared" si="7"/>
        <v>0</v>
      </c>
      <c r="I19" s="629">
        <f t="shared" si="8"/>
        <v>134.4</v>
      </c>
      <c r="J19" s="629">
        <f t="shared" si="9"/>
        <v>134.4</v>
      </c>
    </row>
    <row r="20">
      <c r="A20" s="625" t="s">
        <v>218</v>
      </c>
      <c r="B20" s="626">
        <v>97063.0</v>
      </c>
      <c r="C20" s="627" t="str">
        <f>IF(A20="SINAPI-S",VLOOKUP(B20,'20-B.SINAPI-S'!A:J,2,0),IF(A20="SINAPI-I",VLOOKUP(B20,'20-A.SINAPI-I'!A:E,2,0),VLOOKUP(B20,'12.COT.MERCADO'!A:H,2,0)))</f>
        <v>MONTAGEM E DESMONTAGEM DE ANDAIME MODULAR FACHADEIRO, COM PISO METÁLICO, PARA EDIFICAÇÕES COM MÚLTIPLOS PAVIMENTOS (EXCLUSIVE ANDAIME E LIMPEZA). AF_11/2017</v>
      </c>
      <c r="D20" s="628" t="str">
        <f>IF(A20="SINAPI-S",VLOOKUP(B20,'20-B.SINAPI-S'!A:J,3,0),IF(A20="SINAPI-I",VLOOKUP(B20,'20-A.SINAPI-I'!A:E,3,0),VLOOKUP(B20,'12.COT.MERCADO'!A:H,7,0)))</f>
        <v>M2</v>
      </c>
      <c r="E20" s="629">
        <f>IF(A20="SINAPI-S",VLOOKUP(B20,'20-B.SINAPI-S'!A:J,5,0),IF(A20="SINAPI-I",VLOOKUP(B20,'20-A.SINAPI-I'!A:G,6,0),0))</f>
        <v>9.65</v>
      </c>
      <c r="F20" s="629">
        <f>IF(A20="SINAPI-S",VLOOKUP(B20,'20-B.SINAPI-S'!A:J,6,0),IF(A20="SINAPI-I",VLOOKUP(B20,'20-A.SINAPI-I'!A:G,7,0),VLOOKUP(B20,'12.COT.MERCADO'!A:H,8,0)))</f>
        <v>3.16</v>
      </c>
      <c r="G20" s="626">
        <v>12.0</v>
      </c>
      <c r="H20" s="629">
        <f t="shared" si="7"/>
        <v>115.8</v>
      </c>
      <c r="I20" s="629">
        <f t="shared" si="8"/>
        <v>37.92</v>
      </c>
      <c r="J20" s="629">
        <f t="shared" si="9"/>
        <v>153.72</v>
      </c>
    </row>
    <row r="21">
      <c r="A21" s="622" t="s">
        <v>1632</v>
      </c>
      <c r="B21" s="633" t="s">
        <v>1794</v>
      </c>
      <c r="J21" s="633"/>
    </row>
    <row r="22">
      <c r="A22" s="661"/>
      <c r="B22" s="662"/>
      <c r="C22" s="662"/>
      <c r="D22" s="626"/>
      <c r="E22" s="661"/>
      <c r="F22" s="661"/>
      <c r="G22" s="661"/>
      <c r="H22" s="661"/>
      <c r="I22" s="661"/>
      <c r="J22" s="661"/>
    </row>
    <row r="23">
      <c r="A23" s="654" t="s">
        <v>1785</v>
      </c>
      <c r="B23" s="655" t="s">
        <v>1795</v>
      </c>
      <c r="C23" s="656" t="s">
        <v>1796</v>
      </c>
      <c r="D23" s="655" t="s">
        <v>1788</v>
      </c>
      <c r="E23" s="657"/>
      <c r="F23" s="657"/>
      <c r="G23" s="657"/>
      <c r="H23" s="663">
        <f t="shared" ref="H23:J23" si="10">SUM(H25:H27)</f>
        <v>44.29</v>
      </c>
      <c r="I23" s="663">
        <f t="shared" si="10"/>
        <v>231.52</v>
      </c>
      <c r="J23" s="664">
        <f t="shared" si="10"/>
        <v>275.81</v>
      </c>
    </row>
    <row r="24">
      <c r="A24" s="622" t="s">
        <v>1732</v>
      </c>
      <c r="B24" s="622" t="s">
        <v>80</v>
      </c>
      <c r="C24" s="623" t="s">
        <v>8</v>
      </c>
      <c r="D24" s="622" t="s">
        <v>83</v>
      </c>
      <c r="E24" s="624" t="s">
        <v>1734</v>
      </c>
      <c r="F24" s="624" t="s">
        <v>1735</v>
      </c>
      <c r="G24" s="624" t="s">
        <v>1736</v>
      </c>
      <c r="H24" s="624" t="s">
        <v>1737</v>
      </c>
      <c r="I24" s="624" t="s">
        <v>1738</v>
      </c>
      <c r="J24" s="624" t="s">
        <v>14</v>
      </c>
    </row>
    <row r="25">
      <c r="A25" s="625" t="s">
        <v>218</v>
      </c>
      <c r="B25" s="626">
        <v>88264.0</v>
      </c>
      <c r="C25" s="627" t="str">
        <f>IF(A25="SINAPI-S",VLOOKUP(B25,'20-B.SINAPI-S'!A:J,2,0),IF(A25="SINAPI-I",VLOOKUP(B25,'20-A.SINAPI-I'!A:E,2,0),VLOOKUP(B25,'12.COT.MERCADO'!A:H,2,0)))</f>
        <v>ELETRICISTA COM ENCARGOS COMPLEMENTARES</v>
      </c>
      <c r="D25" s="628" t="str">
        <f>IF(A25="SINAPI-S",VLOOKUP(B25,'20-B.SINAPI-S'!A:J,3,0),IF(A25="SINAPI-I",VLOOKUP(B25,'20-A.SINAPI-I'!A:E,3,0),VLOOKUP(B25,'12.COT.MERCADO'!A:H,7,0)))</f>
        <v>H</v>
      </c>
      <c r="E25" s="629">
        <f>IF(A25="SINAPI-S",VLOOKUP(B25,'20-B.SINAPI-S'!A:J,5,0),IF(A25="SINAPI-I",VLOOKUP(B25,'20-A.SINAPI-I'!A:G,6,0),0))</f>
        <v>25.09</v>
      </c>
      <c r="F25" s="629">
        <f>IF(A25="SINAPI-S",VLOOKUP(B25,'20-B.SINAPI-S'!A:J,6,0),IF(A25="SINAPI-I",VLOOKUP(B25,'20-A.SINAPI-I'!A:G,7,0),VLOOKUP(B25,'12.COT.MERCADO'!A:H,8,0)))</f>
        <v>7.86</v>
      </c>
      <c r="G25" s="625">
        <v>1.0</v>
      </c>
      <c r="H25" s="629">
        <f t="shared" ref="H25:H27" si="11">E25*G25</f>
        <v>25.09</v>
      </c>
      <c r="I25" s="629">
        <f t="shared" ref="I25:I27" si="12">F25*G25</f>
        <v>7.86</v>
      </c>
      <c r="J25" s="629">
        <f t="shared" ref="J25:J27" si="13">I25+H25</f>
        <v>32.95</v>
      </c>
    </row>
    <row r="26">
      <c r="A26" s="625" t="s">
        <v>218</v>
      </c>
      <c r="B26" s="626">
        <v>88247.0</v>
      </c>
      <c r="C26" s="627" t="str">
        <f>IF(A26="SINAPI-S",VLOOKUP(B26,'20-B.SINAPI-S'!A:J,2,0),IF(A26="SINAPI-I",VLOOKUP(B26,'20-A.SINAPI-I'!A:E,2,0),VLOOKUP(B26,'12.COT.MERCADO'!A:H,2,0)))</f>
        <v>AUXILIAR DE ELETRICISTA COM ENCARGOS COMPLEMENTARES</v>
      </c>
      <c r="D26" s="628" t="str">
        <f>IF(A26="SINAPI-S",VLOOKUP(B26,'20-B.SINAPI-S'!A:J,3,0),IF(A26="SINAPI-I",VLOOKUP(B26,'20-A.SINAPI-I'!A:E,3,0),VLOOKUP(B26,'12.COT.MERCADO'!A:H,7,0)))</f>
        <v>H</v>
      </c>
      <c r="E26" s="629">
        <f>IF(A26="SINAPI-S",VLOOKUP(B26,'20-B.SINAPI-S'!A:J,5,0),IF(A26="SINAPI-I",VLOOKUP(B26,'20-A.SINAPI-I'!A:G,6,0),0))</f>
        <v>19.2</v>
      </c>
      <c r="F26" s="629">
        <f>IF(A26="SINAPI-S",VLOOKUP(B26,'20-B.SINAPI-S'!A:J,6,0),IF(A26="SINAPI-I",VLOOKUP(B26,'20-A.SINAPI-I'!A:G,7,0),VLOOKUP(B26,'12.COT.MERCADO'!A:H,8,0)))</f>
        <v>7.86</v>
      </c>
      <c r="G26" s="625">
        <v>1.0</v>
      </c>
      <c r="H26" s="629">
        <f t="shared" si="11"/>
        <v>19.2</v>
      </c>
      <c r="I26" s="629">
        <f t="shared" si="12"/>
        <v>7.86</v>
      </c>
      <c r="J26" s="629">
        <f t="shared" si="13"/>
        <v>27.06</v>
      </c>
    </row>
    <row r="27">
      <c r="A27" s="625" t="s">
        <v>110</v>
      </c>
      <c r="B27" s="626" t="s">
        <v>1797</v>
      </c>
      <c r="C27" s="660" t="str">
        <f>IF(A27="SINAPI-S",VLOOKUP(B27,'20-B.SINAPI-S'!A:J,2,0),IF(A27="SINAPI-I",VLOOKUP(B27,'20-A.SINAPI-I'!A:E,2,0),VLOOKUP(B27,'12.COT.MERCADO'!A:H,2,0)))</f>
        <v>VENTILADOR DE PAREDE 50CM COM 6 PÁS, 200W BIVOLT</v>
      </c>
      <c r="D27" s="626" t="str">
        <f>IF(A27="SINAPI-S",VLOOKUP(B27,'20-B.SINAPI-S'!A:J,3,0),IF(A27="SINAPI-I",VLOOKUP(B27,'20-A.SINAPI-I'!A:E,3,0),VLOOKUP(B27,'12.COT.MERCADO'!A:H,7,0)))</f>
        <v>UN</v>
      </c>
      <c r="E27" s="629">
        <f>IF(A27="SINAPI-S",VLOOKUP(B27,'20-B.SINAPI-S'!A:J,5,0),IF(A27="SINAPI-I",VLOOKUP(B27,'20-A.SINAPI-I'!A:G,6,0),0))</f>
        <v>0</v>
      </c>
      <c r="F27" s="634">
        <f>IF(A27="SINAPI-S",VLOOKUP(B27,'20-B.SINAPI-S'!A:J,6,0),IF(A27="SINAPI-I",VLOOKUP(B27,'20-A.SINAPI-I'!A:G,7,0),VLOOKUP(B27,'12.COT.MERCADO'!A:H,8,0)))</f>
        <v>215.8</v>
      </c>
      <c r="G27" s="626">
        <v>1.0</v>
      </c>
      <c r="H27" s="629">
        <f t="shared" si="11"/>
        <v>0</v>
      </c>
      <c r="I27" s="629">
        <f t="shared" si="12"/>
        <v>215.8</v>
      </c>
      <c r="J27" s="629">
        <f t="shared" si="13"/>
        <v>215.8</v>
      </c>
    </row>
    <row r="28">
      <c r="A28" s="622" t="s">
        <v>1632</v>
      </c>
      <c r="B28" s="665" t="s">
        <v>1798</v>
      </c>
      <c r="J28" s="633"/>
    </row>
    <row r="29">
      <c r="A29" s="661"/>
      <c r="B29" s="662"/>
      <c r="C29" s="662"/>
      <c r="D29" s="626"/>
      <c r="E29" s="661"/>
      <c r="F29" s="661"/>
      <c r="G29" s="661"/>
      <c r="H29" s="661"/>
      <c r="I29" s="661"/>
      <c r="J29" s="661"/>
    </row>
    <row r="30">
      <c r="A30" s="654" t="s">
        <v>1785</v>
      </c>
      <c r="B30" s="655" t="s">
        <v>1799</v>
      </c>
      <c r="C30" s="656" t="s">
        <v>1800</v>
      </c>
      <c r="D30" s="655" t="s">
        <v>1788</v>
      </c>
      <c r="E30" s="657"/>
      <c r="F30" s="657"/>
      <c r="G30" s="657"/>
      <c r="H30" s="663">
        <f t="shared" ref="H30:J30" si="14">SUM(H32:H34)</f>
        <v>4.98273</v>
      </c>
      <c r="I30" s="663">
        <f t="shared" si="14"/>
        <v>47.27397</v>
      </c>
      <c r="J30" s="664">
        <f t="shared" si="14"/>
        <v>52.2567</v>
      </c>
    </row>
    <row r="31">
      <c r="A31" s="622" t="s">
        <v>1732</v>
      </c>
      <c r="B31" s="622" t="s">
        <v>80</v>
      </c>
      <c r="C31" s="623" t="s">
        <v>8</v>
      </c>
      <c r="D31" s="622" t="s">
        <v>83</v>
      </c>
      <c r="E31" s="624" t="s">
        <v>1734</v>
      </c>
      <c r="F31" s="624" t="s">
        <v>1735</v>
      </c>
      <c r="G31" s="624" t="s">
        <v>1736</v>
      </c>
      <c r="H31" s="624" t="s">
        <v>1737</v>
      </c>
      <c r="I31" s="624" t="s">
        <v>1738</v>
      </c>
      <c r="J31" s="624" t="s">
        <v>14</v>
      </c>
    </row>
    <row r="32">
      <c r="A32" s="625" t="s">
        <v>218</v>
      </c>
      <c r="B32" s="625">
        <v>88261.0</v>
      </c>
      <c r="C32" s="627" t="str">
        <f>IF(A32="SINAPI-S",VLOOKUP(B32,'20-B.SINAPI-S'!A:J,2,0),IF(A32="SINAPI-I",VLOOKUP(B32,'20-A.SINAPI-I'!A:E,2,0),VLOOKUP(B32,'12.COT.MERCADO'!A:H,2,0)))</f>
        <v>CARPINTEIRO DE ESQUADRIA COM ENCARGOS COMPLEMENTARES</v>
      </c>
      <c r="D32" s="628" t="str">
        <f>IF(A32="SINAPI-S",VLOOKUP(B32,'20-B.SINAPI-S'!A:J,3,0),IF(A32="SINAPI-I",VLOOKUP(B32,'20-A.SINAPI-I'!A:E,3,0),VLOOKUP(B32,'12.COT.MERCADO'!A:H,7,0)))</f>
        <v>H</v>
      </c>
      <c r="E32" s="629">
        <f>IF(A32="SINAPI-S",VLOOKUP(B32,'20-B.SINAPI-S'!A:J,5,0),IF(A32="SINAPI-I",VLOOKUP(B32,'20-A.SINAPI-I'!A:G,6,0),0))</f>
        <v>23.09</v>
      </c>
      <c r="F32" s="629">
        <f>IF(A32="SINAPI-S",VLOOKUP(B32,'20-B.SINAPI-S'!A:J,6,0),IF(A32="SINAPI-I",VLOOKUP(B32,'20-A.SINAPI-I'!A:G,7,0),VLOOKUP(B32,'12.COT.MERCADO'!A:H,8,0)))</f>
        <v>7.69</v>
      </c>
      <c r="G32" s="666">
        <v>0.123</v>
      </c>
      <c r="H32" s="629">
        <f t="shared" ref="H32:H34" si="15">E32*G32</f>
        <v>2.84007</v>
      </c>
      <c r="I32" s="629">
        <f t="shared" ref="I32:I34" si="16">F32*G32</f>
        <v>0.94587</v>
      </c>
      <c r="J32" s="629">
        <f t="shared" ref="J32:J34" si="17">I32+H32</f>
        <v>3.78594</v>
      </c>
    </row>
    <row r="33">
      <c r="A33" s="625" t="s">
        <v>218</v>
      </c>
      <c r="B33" s="626">
        <v>88316.0</v>
      </c>
      <c r="C33" s="627" t="str">
        <f>IF(A33="SINAPI-S",VLOOKUP(B33,'20-B.SINAPI-S'!A:J,2,0),IF(A33="SINAPI-I",VLOOKUP(B33,'20-A.SINAPI-I'!A:E,2,0),VLOOKUP(B33,'12.COT.MERCADO'!A:H,2,0)))</f>
        <v>SERVENTE COM ENCARGOS COMPLEMENTARES</v>
      </c>
      <c r="D33" s="628" t="str">
        <f>IF(A33="SINAPI-S",VLOOKUP(B33,'20-B.SINAPI-S'!A:J,3,0),IF(A33="SINAPI-I",VLOOKUP(B33,'20-A.SINAPI-I'!A:E,3,0),VLOOKUP(B33,'12.COT.MERCADO'!A:H,7,0)))</f>
        <v>H</v>
      </c>
      <c r="E33" s="629">
        <f>IF(A33="SINAPI-S",VLOOKUP(B33,'20-B.SINAPI-S'!A:J,5,0),IF(A33="SINAPI-I",VLOOKUP(B33,'20-A.SINAPI-I'!A:G,6,0),0))</f>
        <v>17.42</v>
      </c>
      <c r="F33" s="629">
        <f>IF(A33="SINAPI-S",VLOOKUP(B33,'20-B.SINAPI-S'!A:J,6,0),IF(A33="SINAPI-I",VLOOKUP(B33,'20-A.SINAPI-I'!A:G,7,0),VLOOKUP(B33,'12.COT.MERCADO'!A:H,8,0)))</f>
        <v>7.7</v>
      </c>
      <c r="G33" s="625">
        <v>0.123</v>
      </c>
      <c r="H33" s="629">
        <f t="shared" si="15"/>
        <v>2.14266</v>
      </c>
      <c r="I33" s="629">
        <f t="shared" si="16"/>
        <v>0.9471</v>
      </c>
      <c r="J33" s="629">
        <f t="shared" si="17"/>
        <v>3.08976</v>
      </c>
    </row>
    <row r="34">
      <c r="A34" s="625" t="s">
        <v>286</v>
      </c>
      <c r="B34" s="626">
        <v>39515.0</v>
      </c>
      <c r="C34" s="627" t="str">
        <f>IF(A34="SINAPI-S",VLOOKUP(B34,'20-B.SINAPI-S'!A:J,2,0),IF(A34="SINAPI-I",VLOOKUP(B34,'20-A.SINAPI-I'!A:E,2,0),VLOOKUP(B34,'12.COT.MERCADO'!A:H,2,0)))</f>
        <v>PLACA DE FIBRA MINERAL PARA FORRO, DE 1250 X 625 MM, E = 15 MM, BORDA RETA, COM PINTURA ANTIMOFO (NAO INCLUI PERFIS)</v>
      </c>
      <c r="D34" s="626" t="str">
        <f>IF(A34="SINAPI-S",VLOOKUP(B34,'20-B.SINAPI-S'!A:J,3,0),IF(A34="SINAPI-I",VLOOKUP(B34,'20-A.SINAPI-I'!A:E,3,0),VLOOKUP(B34,'12.COT.MERCADO'!A:H,7,0)))</f>
        <v>UN</v>
      </c>
      <c r="E34" s="629">
        <f>IF(A34="SINAPI-S",VLOOKUP(B34,'20-B.SINAPI-S'!A:J,5,0),IF(A34="SINAPI-I",VLOOKUP(B34,'20-A.SINAPI-I'!A:G,6,0),0))</f>
        <v>0</v>
      </c>
      <c r="F34" s="629">
        <f>IF(A34="SINAPI-S",VLOOKUP(B34,'20-B.SINAPI-S'!A:J,6,0),IF(A34="SINAPI-I",VLOOKUP(B34,'20-A.SINAPI-I'!A:G,7,0),VLOOKUP(B34,'12.COT.MERCADO'!A:H,8,0)))</f>
        <v>43.22</v>
      </c>
      <c r="G34" s="625">
        <v>1.05</v>
      </c>
      <c r="H34" s="629">
        <f t="shared" si="15"/>
        <v>0</v>
      </c>
      <c r="I34" s="629">
        <f t="shared" si="16"/>
        <v>45.381</v>
      </c>
      <c r="J34" s="629">
        <f t="shared" si="17"/>
        <v>45.381</v>
      </c>
    </row>
    <row r="35">
      <c r="A35" s="622" t="s">
        <v>1632</v>
      </c>
      <c r="B35" s="665" t="s">
        <v>1801</v>
      </c>
      <c r="J35" s="633"/>
    </row>
    <row r="36">
      <c r="A36" s="661"/>
      <c r="B36" s="662"/>
      <c r="C36" s="662"/>
      <c r="D36" s="626"/>
      <c r="E36" s="661"/>
      <c r="F36" s="661"/>
      <c r="G36" s="661"/>
      <c r="H36" s="661"/>
      <c r="I36" s="661"/>
      <c r="J36" s="661"/>
    </row>
    <row r="37">
      <c r="A37" s="654" t="s">
        <v>1785</v>
      </c>
      <c r="B37" s="655" t="s">
        <v>1802</v>
      </c>
      <c r="C37" s="656" t="s">
        <v>1803</v>
      </c>
      <c r="D37" s="655" t="s">
        <v>1788</v>
      </c>
      <c r="E37" s="657"/>
      <c r="F37" s="657"/>
      <c r="G37" s="657"/>
      <c r="H37" s="663">
        <f t="shared" ref="H37:J37" si="18">SUM(H39:H41)</f>
        <v>22.145</v>
      </c>
      <c r="I37" s="663">
        <f t="shared" si="18"/>
        <v>483.72</v>
      </c>
      <c r="J37" s="664">
        <f t="shared" si="18"/>
        <v>505.865</v>
      </c>
    </row>
    <row r="38">
      <c r="A38" s="622" t="s">
        <v>1732</v>
      </c>
      <c r="B38" s="622" t="s">
        <v>80</v>
      </c>
      <c r="C38" s="623" t="s">
        <v>8</v>
      </c>
      <c r="D38" s="622" t="s">
        <v>83</v>
      </c>
      <c r="E38" s="624" t="s">
        <v>1734</v>
      </c>
      <c r="F38" s="624" t="s">
        <v>1735</v>
      </c>
      <c r="G38" s="624" t="s">
        <v>1736</v>
      </c>
      <c r="H38" s="624" t="s">
        <v>1737</v>
      </c>
      <c r="I38" s="624" t="s">
        <v>1738</v>
      </c>
      <c r="J38" s="624" t="s">
        <v>14</v>
      </c>
    </row>
    <row r="39">
      <c r="A39" s="625" t="s">
        <v>218</v>
      </c>
      <c r="B39" s="626">
        <v>88264.0</v>
      </c>
      <c r="C39" s="627" t="str">
        <f>IF(A39="SINAPI-S",VLOOKUP(B39,'20-B.SINAPI-S'!A:J,2,0),IF(A39="SINAPI-I",VLOOKUP(B39,'20-A.SINAPI-I'!A:E,2,0),VLOOKUP(B39,'12.COT.MERCADO'!A:H,2,0)))</f>
        <v>ELETRICISTA COM ENCARGOS COMPLEMENTARES</v>
      </c>
      <c r="D39" s="628" t="str">
        <f>IF(A39="SINAPI-S",VLOOKUP(B39,'20-B.SINAPI-S'!A:J,3,0),IF(A39="SINAPI-I",VLOOKUP(B39,'20-A.SINAPI-I'!A:E,3,0),VLOOKUP(B39,'12.COT.MERCADO'!A:H,7,0)))</f>
        <v>H</v>
      </c>
      <c r="E39" s="629">
        <f>IF(A39="SINAPI-S",VLOOKUP(B39,'20-B.SINAPI-S'!A:J,5,0),IF(A39="SINAPI-I",VLOOKUP(B39,'20-A.SINAPI-I'!A:G,6,0),0))</f>
        <v>25.09</v>
      </c>
      <c r="F39" s="629">
        <f>IF(A39="SINAPI-S",VLOOKUP(B39,'20-B.SINAPI-S'!A:J,6,0),IF(A39="SINAPI-I",VLOOKUP(B39,'20-A.SINAPI-I'!A:G,7,0),VLOOKUP(B39,'12.COT.MERCADO'!A:H,8,0)))</f>
        <v>7.86</v>
      </c>
      <c r="G39" s="626">
        <v>0.5</v>
      </c>
      <c r="H39" s="629">
        <f t="shared" ref="H39:H41" si="19">E39*G39</f>
        <v>12.545</v>
      </c>
      <c r="I39" s="629">
        <f t="shared" ref="I39:I41" si="20">F39*G39</f>
        <v>3.93</v>
      </c>
      <c r="J39" s="629">
        <f t="shared" ref="J39:J41" si="21">I39+H39</f>
        <v>16.475</v>
      </c>
    </row>
    <row r="40">
      <c r="A40" s="625" t="s">
        <v>218</v>
      </c>
      <c r="B40" s="626">
        <v>88247.0</v>
      </c>
      <c r="C40" s="627" t="str">
        <f>IF(A40="SINAPI-S",VLOOKUP(B40,'20-B.SINAPI-S'!A:J,2,0),IF(A40="SINAPI-I",VLOOKUP(B40,'20-A.SINAPI-I'!A:E,2,0),VLOOKUP(B40,'12.COT.MERCADO'!A:H,2,0)))</f>
        <v>AUXILIAR DE ELETRICISTA COM ENCARGOS COMPLEMENTARES</v>
      </c>
      <c r="D40" s="628" t="str">
        <f>IF(A40="SINAPI-S",VLOOKUP(B40,'20-B.SINAPI-S'!A:J,3,0),IF(A40="SINAPI-I",VLOOKUP(B40,'20-A.SINAPI-I'!A:E,3,0),VLOOKUP(B40,'12.COT.MERCADO'!A:H,7,0)))</f>
        <v>H</v>
      </c>
      <c r="E40" s="629">
        <f>IF(A40="SINAPI-S",VLOOKUP(B40,'20-B.SINAPI-S'!A:J,5,0),IF(A40="SINAPI-I",VLOOKUP(B40,'20-A.SINAPI-I'!A:G,6,0),0))</f>
        <v>19.2</v>
      </c>
      <c r="F40" s="629">
        <f>IF(A40="SINAPI-S",VLOOKUP(B40,'20-B.SINAPI-S'!A:J,6,0),IF(A40="SINAPI-I",VLOOKUP(B40,'20-A.SINAPI-I'!A:G,7,0),VLOOKUP(B40,'12.COT.MERCADO'!A:H,8,0)))</f>
        <v>7.86</v>
      </c>
      <c r="G40" s="626">
        <v>0.5</v>
      </c>
      <c r="H40" s="629">
        <f t="shared" si="19"/>
        <v>9.6</v>
      </c>
      <c r="I40" s="629">
        <f t="shared" si="20"/>
        <v>3.93</v>
      </c>
      <c r="J40" s="629">
        <f t="shared" si="21"/>
        <v>13.53</v>
      </c>
    </row>
    <row r="41">
      <c r="A41" s="625" t="s">
        <v>110</v>
      </c>
      <c r="B41" s="626" t="s">
        <v>1804</v>
      </c>
      <c r="C41" s="660" t="str">
        <f>IF(A41="SINAPI-S",VLOOKUP(B41,'20-B.SINAPI-S'!A:J,2,0),IF(A41="SINAPI-I",VLOOKUP(B41,'20-A.SINAPI-I'!A:E,2,0),VLOOKUP(B41,'12.COT.MERCADO'!A:H,2,0)))</f>
        <v>BATERIA SELADA 12V 60AH. REF M60GD DA MOURA OU SIMILAR</v>
      </c>
      <c r="D41" s="626" t="str">
        <f>IF(A41="SINAPI-S",VLOOKUP(B41,'20-B.SINAPI-S'!A:J,3,0),IF(A41="SINAPI-I",VLOOKUP(B41,'20-A.SINAPI-I'!A:E,3,0),VLOOKUP(B41,'12.COT.MERCADO'!A:H,7,0)))</f>
        <v>UN</v>
      </c>
      <c r="E41" s="629">
        <f>IF(A41="SINAPI-S",VLOOKUP(B41,'20-B.SINAPI-S'!A:J,5,0),IF(A41="SINAPI-I",VLOOKUP(B41,'20-A.SINAPI-I'!A:G,6,0),0))</f>
        <v>0</v>
      </c>
      <c r="F41" s="634">
        <f>IF(A41="SINAPI-S",VLOOKUP(B41,'20-B.SINAPI-S'!A:J,6,0),IF(A41="SINAPI-I",VLOOKUP(B41,'20-A.SINAPI-I'!A:G,7,0),VLOOKUP(B41,'12.COT.MERCADO'!A:H,8,0)))</f>
        <v>475.86</v>
      </c>
      <c r="G41" s="626">
        <v>1.0</v>
      </c>
      <c r="H41" s="629">
        <f t="shared" si="19"/>
        <v>0</v>
      </c>
      <c r="I41" s="629">
        <f t="shared" si="20"/>
        <v>475.86</v>
      </c>
      <c r="J41" s="629">
        <f t="shared" si="21"/>
        <v>475.86</v>
      </c>
    </row>
    <row r="42">
      <c r="A42" s="622" t="s">
        <v>1632</v>
      </c>
      <c r="B42" s="633" t="s">
        <v>1805</v>
      </c>
      <c r="J42" s="633"/>
    </row>
    <row r="43">
      <c r="A43" s="661"/>
      <c r="B43" s="662"/>
      <c r="C43" s="662"/>
      <c r="D43" s="626"/>
      <c r="E43" s="661"/>
      <c r="F43" s="661"/>
      <c r="G43" s="661"/>
      <c r="H43" s="661"/>
      <c r="I43" s="661"/>
      <c r="J43" s="661"/>
    </row>
    <row r="44">
      <c r="A44" s="654" t="s">
        <v>1785</v>
      </c>
      <c r="B44" s="655" t="s">
        <v>1806</v>
      </c>
      <c r="C44" s="656" t="s">
        <v>1807</v>
      </c>
      <c r="D44" s="655" t="s">
        <v>1788</v>
      </c>
      <c r="E44" s="657"/>
      <c r="F44" s="657"/>
      <c r="G44" s="657"/>
      <c r="H44" s="663">
        <f t="shared" ref="H44:J44" si="22">SUM(H46:H48)</f>
        <v>18.305</v>
      </c>
      <c r="I44" s="663">
        <f t="shared" si="22"/>
        <v>45.478</v>
      </c>
      <c r="J44" s="664">
        <f t="shared" si="22"/>
        <v>63.783</v>
      </c>
    </row>
    <row r="45">
      <c r="A45" s="622" t="s">
        <v>1732</v>
      </c>
      <c r="B45" s="622" t="s">
        <v>80</v>
      </c>
      <c r="C45" s="623" t="s">
        <v>8</v>
      </c>
      <c r="D45" s="622" t="s">
        <v>83</v>
      </c>
      <c r="E45" s="624" t="s">
        <v>1734</v>
      </c>
      <c r="F45" s="624" t="s">
        <v>1735</v>
      </c>
      <c r="G45" s="624" t="s">
        <v>1736</v>
      </c>
      <c r="H45" s="624" t="s">
        <v>1737</v>
      </c>
      <c r="I45" s="624" t="s">
        <v>1738</v>
      </c>
      <c r="J45" s="624" t="s">
        <v>14</v>
      </c>
    </row>
    <row r="46">
      <c r="A46" s="625" t="s">
        <v>218</v>
      </c>
      <c r="B46" s="626">
        <v>88264.0</v>
      </c>
      <c r="C46" s="627" t="str">
        <f>IF(A46="SINAPI-S",VLOOKUP(B46,'20-B.SINAPI-S'!A:J,2,0),IF(A46="SINAPI-I",VLOOKUP(B46,'20-A.SINAPI-I'!A:E,2,0),VLOOKUP(B46,'12.COT.MERCADO'!A:H,2,0)))</f>
        <v>ELETRICISTA COM ENCARGOS COMPLEMENTARES</v>
      </c>
      <c r="D46" s="628" t="str">
        <f>IF(A46="SINAPI-S",VLOOKUP(B46,'20-B.SINAPI-S'!A:J,3,0),IF(A46="SINAPI-I",VLOOKUP(B46,'20-A.SINAPI-I'!A:E,3,0),VLOOKUP(B46,'12.COT.MERCADO'!A:H,7,0)))</f>
        <v>H</v>
      </c>
      <c r="E46" s="629">
        <f>IF(A46="SINAPI-S",VLOOKUP(B46,'20-B.SINAPI-S'!A:J,5,0),IF(A46="SINAPI-I",VLOOKUP(B46,'20-A.SINAPI-I'!A:G,6,0),0))</f>
        <v>25.09</v>
      </c>
      <c r="F46" s="629">
        <f>IF(A46="SINAPI-S",VLOOKUP(B46,'20-B.SINAPI-S'!A:J,6,0),IF(A46="SINAPI-I",VLOOKUP(B46,'20-A.SINAPI-I'!A:G,7,0),VLOOKUP(B46,'12.COT.MERCADO'!A:H,8,0)))</f>
        <v>7.86</v>
      </c>
      <c r="G46" s="626">
        <v>0.5</v>
      </c>
      <c r="H46" s="629">
        <f t="shared" ref="H46:H48" si="23">E46*G46</f>
        <v>12.545</v>
      </c>
      <c r="I46" s="629">
        <f t="shared" ref="I46:I48" si="24">F46*G46</f>
        <v>3.93</v>
      </c>
      <c r="J46" s="629">
        <f t="shared" ref="J46:J48" si="25">I46+H46</f>
        <v>16.475</v>
      </c>
    </row>
    <row r="47">
      <c r="A47" s="625" t="s">
        <v>218</v>
      </c>
      <c r="B47" s="626">
        <v>88247.0</v>
      </c>
      <c r="C47" s="627" t="str">
        <f>IF(A47="SINAPI-S",VLOOKUP(B47,'20-B.SINAPI-S'!A:J,2,0),IF(A47="SINAPI-I",VLOOKUP(B47,'20-A.SINAPI-I'!A:E,2,0),VLOOKUP(B47,'12.COT.MERCADO'!A:H,2,0)))</f>
        <v>AUXILIAR DE ELETRICISTA COM ENCARGOS COMPLEMENTARES</v>
      </c>
      <c r="D47" s="628" t="str">
        <f>IF(A47="SINAPI-S",VLOOKUP(B47,'20-B.SINAPI-S'!A:J,3,0),IF(A47="SINAPI-I",VLOOKUP(B47,'20-A.SINAPI-I'!A:E,3,0),VLOOKUP(B47,'12.COT.MERCADO'!A:H,7,0)))</f>
        <v>H</v>
      </c>
      <c r="E47" s="629">
        <f>IF(A47="SINAPI-S",VLOOKUP(B47,'20-B.SINAPI-S'!A:J,5,0),IF(A47="SINAPI-I",VLOOKUP(B47,'20-A.SINAPI-I'!A:G,6,0),0))</f>
        <v>19.2</v>
      </c>
      <c r="F47" s="629">
        <f>IF(A47="SINAPI-S",VLOOKUP(B47,'20-B.SINAPI-S'!A:J,6,0),IF(A47="SINAPI-I",VLOOKUP(B47,'20-A.SINAPI-I'!A:G,7,0),VLOOKUP(B47,'12.COT.MERCADO'!A:H,8,0)))</f>
        <v>7.86</v>
      </c>
      <c r="G47" s="626">
        <v>0.3</v>
      </c>
      <c r="H47" s="629">
        <f t="shared" si="23"/>
        <v>5.76</v>
      </c>
      <c r="I47" s="629">
        <f t="shared" si="24"/>
        <v>2.358</v>
      </c>
      <c r="J47" s="629">
        <f t="shared" si="25"/>
        <v>8.118</v>
      </c>
    </row>
    <row r="48">
      <c r="A48" s="625" t="s">
        <v>286</v>
      </c>
      <c r="B48" s="667">
        <v>39390.0</v>
      </c>
      <c r="C48" s="627" t="str">
        <f>IF(A48="SINAPI-S",VLOOKUP(B48,'20-B.SINAPI-S'!A:J,2,0),IF(A48="SINAPI-I",VLOOKUP(B48,'20-A.SINAPI-I'!A:E,2,0),VLOOKUP(B48,'12.COT.MERCADO'!A:H,2,0)))</f>
        <v>LUMINARIA LED REFLETOR RETANGULAR BIVOLT, LUZ BRANCA, 30 W</v>
      </c>
      <c r="D48" s="626" t="str">
        <f>IF(A48="SINAPI-S",VLOOKUP(B48,'20-B.SINAPI-S'!A:J,3,0),IF(A48="SINAPI-I",VLOOKUP(B48,'20-A.SINAPI-I'!A:E,3,0),VLOOKUP(B48,'12.COT.MERCADO'!A:H,7,0)))</f>
        <v>UN</v>
      </c>
      <c r="E48" s="629">
        <f>IF(A48="SINAPI-S",VLOOKUP(B48,'20-B.SINAPI-S'!A:J,5,0),IF(A48="SINAPI-I",VLOOKUP(B48,'20-A.SINAPI-I'!A:G,6,0),0))</f>
        <v>0</v>
      </c>
      <c r="F48" s="629">
        <f>IF(A48="SINAPI-S",VLOOKUP(B48,'20-B.SINAPI-S'!A:J,6,0),IF(A48="SINAPI-I",VLOOKUP(B48,'20-A.SINAPI-I'!A:G,7,0),VLOOKUP(B48,'12.COT.MERCADO'!A:H,8,0)))</f>
        <v>39.19</v>
      </c>
      <c r="G48" s="626">
        <v>1.0</v>
      </c>
      <c r="H48" s="629">
        <f t="shared" si="23"/>
        <v>0</v>
      </c>
      <c r="I48" s="629">
        <f t="shared" si="24"/>
        <v>39.19</v>
      </c>
      <c r="J48" s="629">
        <f t="shared" si="25"/>
        <v>39.19</v>
      </c>
    </row>
    <row r="49">
      <c r="A49" s="622" t="s">
        <v>1632</v>
      </c>
      <c r="B49" s="633" t="s">
        <v>1808</v>
      </c>
      <c r="J49" s="633"/>
    </row>
    <row r="50">
      <c r="A50" s="661"/>
      <c r="B50" s="662"/>
      <c r="C50" s="662"/>
      <c r="D50" s="626"/>
      <c r="E50" s="661"/>
      <c r="F50" s="661"/>
      <c r="G50" s="661"/>
      <c r="H50" s="661"/>
      <c r="I50" s="661"/>
      <c r="J50" s="661"/>
    </row>
    <row r="51">
      <c r="A51" s="654" t="s">
        <v>1785</v>
      </c>
      <c r="B51" s="655" t="s">
        <v>1809</v>
      </c>
      <c r="C51" s="645" t="s">
        <v>1810</v>
      </c>
      <c r="D51" s="655" t="s">
        <v>1788</v>
      </c>
      <c r="E51" s="657"/>
      <c r="F51" s="657"/>
      <c r="G51" s="657"/>
      <c r="H51" s="663">
        <f t="shared" ref="H51:J51" si="26">SUM(H53:H54)</f>
        <v>67.891718</v>
      </c>
      <c r="I51" s="663">
        <f t="shared" si="26"/>
        <v>24.91129</v>
      </c>
      <c r="J51" s="664">
        <f t="shared" si="26"/>
        <v>92.803008</v>
      </c>
    </row>
    <row r="52">
      <c r="A52" s="622" t="s">
        <v>1732</v>
      </c>
      <c r="B52" s="622" t="s">
        <v>80</v>
      </c>
      <c r="C52" s="623" t="s">
        <v>8</v>
      </c>
      <c r="D52" s="622" t="s">
        <v>83</v>
      </c>
      <c r="E52" s="624" t="s">
        <v>1734</v>
      </c>
      <c r="F52" s="624" t="s">
        <v>1735</v>
      </c>
      <c r="G52" s="624" t="s">
        <v>1736</v>
      </c>
      <c r="H52" s="624" t="s">
        <v>1737</v>
      </c>
      <c r="I52" s="624" t="s">
        <v>1738</v>
      </c>
      <c r="J52" s="624" t="s">
        <v>14</v>
      </c>
    </row>
    <row r="53">
      <c r="A53" s="625" t="s">
        <v>218</v>
      </c>
      <c r="B53" s="626">
        <v>88316.0</v>
      </c>
      <c r="C53" s="627" t="str">
        <f>IF(A53="SINAPI-S",VLOOKUP(B53,'20-B.SINAPI-S'!A:J,2,0),IF(A53="SINAPI-I",VLOOKUP(B53,'20-A.SINAPI-I'!A:E,2,0),VLOOKUP(B53,'12.COT.MERCADO'!A:H,2,0)))</f>
        <v>SERVENTE COM ENCARGOS COMPLEMENTARES</v>
      </c>
      <c r="D53" s="628" t="str">
        <f>IF(A53="SINAPI-S",VLOOKUP(B53,'20-B.SINAPI-S'!A:J,3,0),IF(A53="SINAPI-I",VLOOKUP(B53,'20-A.SINAPI-I'!A:E,3,0),VLOOKUP(B53,'12.COT.MERCADO'!A:H,7,0)))</f>
        <v>H</v>
      </c>
      <c r="E53" s="629">
        <f>IF(A53="SINAPI-S",VLOOKUP(B53,'20-B.SINAPI-S'!A:J,5,0),IF(A53="SINAPI-I",VLOOKUP(B53,'20-A.SINAPI-I'!A:G,6,0),0))</f>
        <v>17.42</v>
      </c>
      <c r="F53" s="629">
        <f>IF(A53="SINAPI-S",VLOOKUP(B53,'20-B.SINAPI-S'!A:J,6,0),IF(A53="SINAPI-I",VLOOKUP(B53,'20-A.SINAPI-I'!A:G,7,0),VLOOKUP(B53,'12.COT.MERCADO'!A:H,8,0)))</f>
        <v>7.7</v>
      </c>
      <c r="G53" s="626">
        <f>1.25+0.3179+1.5*0.25</f>
        <v>1.9429</v>
      </c>
      <c r="H53" s="629">
        <f t="shared" ref="H53:H54" si="27">E53*G53</f>
        <v>33.845318</v>
      </c>
      <c r="I53" s="629">
        <f t="shared" ref="I53:I54" si="28">F53*G53</f>
        <v>14.96033</v>
      </c>
      <c r="J53" s="629">
        <f t="shared" ref="J53:J54" si="29">I53+H53</f>
        <v>48.805648</v>
      </c>
    </row>
    <row r="54">
      <c r="A54" s="625" t="s">
        <v>218</v>
      </c>
      <c r="B54" s="626">
        <v>88267.0</v>
      </c>
      <c r="C54" s="627" t="str">
        <f>IF(A54="SINAPI-S",VLOOKUP(B54,'20-B.SINAPI-S'!A:J,2,0),IF(A54="SINAPI-I",VLOOKUP(B54,'20-A.SINAPI-I'!A:E,2,0),VLOOKUP(B54,'12.COT.MERCADO'!A:H,2,0)))</f>
        <v>ENCANADOR OU BOMBEIRO HIDRÁULICO COM ENCARGOS COMPLEMENTARES</v>
      </c>
      <c r="D54" s="628" t="str">
        <f>IF(A54="SINAPI-S",VLOOKUP(B54,'20-B.SINAPI-S'!A:J,3,0),IF(A54="SINAPI-I",VLOOKUP(B54,'20-A.SINAPI-I'!A:E,3,0),VLOOKUP(B54,'12.COT.MERCADO'!A:H,7,0)))</f>
        <v>H</v>
      </c>
      <c r="E54" s="629">
        <f>IF(A54="SINAPI-S",VLOOKUP(B54,'20-B.SINAPI-S'!A:J,5,0),IF(A54="SINAPI-I",VLOOKUP(B54,'20-A.SINAPI-I'!A:G,6,0),0))</f>
        <v>24.6</v>
      </c>
      <c r="F54" s="629">
        <f>IF(A54="SINAPI-S",VLOOKUP(B54,'20-B.SINAPI-S'!A:J,6,0),IF(A54="SINAPI-I",VLOOKUP(B54,'20-A.SINAPI-I'!A:G,7,0),VLOOKUP(B54,'12.COT.MERCADO'!A:H,8,0)))</f>
        <v>7.19</v>
      </c>
      <c r="G54" s="626">
        <f>1.009+1.5*0.25</f>
        <v>1.384</v>
      </c>
      <c r="H54" s="629">
        <f t="shared" si="27"/>
        <v>34.0464</v>
      </c>
      <c r="I54" s="629">
        <f t="shared" si="28"/>
        <v>9.95096</v>
      </c>
      <c r="J54" s="629">
        <f t="shared" si="29"/>
        <v>43.99736</v>
      </c>
    </row>
    <row r="55">
      <c r="A55" s="622" t="s">
        <v>1632</v>
      </c>
      <c r="B55" s="633" t="s">
        <v>1811</v>
      </c>
      <c r="J55" s="633"/>
    </row>
    <row r="56">
      <c r="A56" s="661"/>
      <c r="B56" s="662"/>
      <c r="C56" s="662"/>
      <c r="D56" s="626"/>
      <c r="E56" s="661"/>
      <c r="F56" s="661"/>
      <c r="G56" s="661"/>
      <c r="H56" s="661"/>
      <c r="I56" s="661"/>
      <c r="J56" s="661"/>
    </row>
    <row r="57">
      <c r="A57" s="654" t="s">
        <v>1785</v>
      </c>
      <c r="B57" s="655" t="s">
        <v>1812</v>
      </c>
      <c r="C57" s="656" t="s">
        <v>1813</v>
      </c>
      <c r="D57" s="655" t="s">
        <v>1814</v>
      </c>
      <c r="E57" s="657"/>
      <c r="F57" s="657"/>
      <c r="G57" s="657"/>
      <c r="H57" s="663">
        <f t="shared" ref="H57:J57" si="30">SUM(H59:H60)</f>
        <v>47.963</v>
      </c>
      <c r="I57" s="663">
        <f t="shared" si="30"/>
        <v>16.923</v>
      </c>
      <c r="J57" s="664">
        <f t="shared" si="30"/>
        <v>64.886</v>
      </c>
    </row>
    <row r="58">
      <c r="A58" s="622" t="s">
        <v>1732</v>
      </c>
      <c r="B58" s="622" t="s">
        <v>80</v>
      </c>
      <c r="C58" s="623" t="s">
        <v>8</v>
      </c>
      <c r="D58" s="622" t="s">
        <v>83</v>
      </c>
      <c r="E58" s="624" t="s">
        <v>1734</v>
      </c>
      <c r="F58" s="624" t="s">
        <v>1735</v>
      </c>
      <c r="G58" s="624" t="s">
        <v>1736</v>
      </c>
      <c r="H58" s="624" t="s">
        <v>1737</v>
      </c>
      <c r="I58" s="624" t="s">
        <v>1738</v>
      </c>
      <c r="J58" s="624" t="s">
        <v>14</v>
      </c>
    </row>
    <row r="59">
      <c r="A59" s="625" t="s">
        <v>218</v>
      </c>
      <c r="B59" s="626">
        <v>88261.0</v>
      </c>
      <c r="C59" s="627" t="str">
        <f>IF(A59="SINAPI-S",VLOOKUP(B59,'20-B.SINAPI-S'!A:J,2,0),IF(A59="SINAPI-I",VLOOKUP(B59,'20-A.SINAPI-I'!A:E,2,0),VLOOKUP(B59,'12.COT.MERCADO'!A:H,2,0)))</f>
        <v>CARPINTEIRO DE ESQUADRIA COM ENCARGOS COMPLEMENTARES</v>
      </c>
      <c r="D59" s="628" t="str">
        <f>IF(A59="SINAPI-S",VLOOKUP(B59,'20-B.SINAPI-S'!A:J,3,0),IF(A59="SINAPI-I",VLOOKUP(B59,'20-A.SINAPI-I'!A:E,3,0),VLOOKUP(B59,'12.COT.MERCADO'!A:H,7,0)))</f>
        <v>H</v>
      </c>
      <c r="E59" s="629">
        <f>IF(A59="SINAPI-S",VLOOKUP(B59,'20-B.SINAPI-S'!A:J,5,0),IF(A59="SINAPI-I",VLOOKUP(B59,'20-A.SINAPI-I'!A:G,6,0),0))</f>
        <v>23.09</v>
      </c>
      <c r="F59" s="629">
        <f>IF(A59="SINAPI-S",VLOOKUP(B59,'20-B.SINAPI-S'!A:J,6,0),IF(A59="SINAPI-I",VLOOKUP(B59,'20-A.SINAPI-I'!A:G,7,0),VLOOKUP(B59,'12.COT.MERCADO'!A:H,8,0)))</f>
        <v>7.69</v>
      </c>
      <c r="G59" s="626">
        <f>1.2+0.5</f>
        <v>1.7</v>
      </c>
      <c r="H59" s="629">
        <f t="shared" ref="H59:H60" si="31">E59*G59</f>
        <v>39.253</v>
      </c>
      <c r="I59" s="629">
        <f t="shared" ref="I59:I60" si="32">F59*G59</f>
        <v>13.073</v>
      </c>
      <c r="J59" s="629">
        <f t="shared" ref="J59:J60" si="33">I59+H59</f>
        <v>52.326</v>
      </c>
    </row>
    <row r="60">
      <c r="A60" s="625" t="s">
        <v>218</v>
      </c>
      <c r="B60" s="626">
        <v>88316.0</v>
      </c>
      <c r="C60" s="627" t="str">
        <f>IF(A60="SINAPI-S",VLOOKUP(B60,'20-B.SINAPI-S'!A:J,2,0),IF(A60="SINAPI-I",VLOOKUP(B60,'20-A.SINAPI-I'!A:E,2,0),VLOOKUP(B60,'12.COT.MERCADO'!A:H,2,0)))</f>
        <v>SERVENTE COM ENCARGOS COMPLEMENTARES</v>
      </c>
      <c r="D60" s="628" t="str">
        <f>IF(A60="SINAPI-S",VLOOKUP(B60,'20-B.SINAPI-S'!A:J,3,0),IF(A60="SINAPI-I",VLOOKUP(B60,'20-A.SINAPI-I'!A:E,3,0),VLOOKUP(B60,'12.COT.MERCADO'!A:H,7,0)))</f>
        <v>H</v>
      </c>
      <c r="E60" s="629">
        <f>IF(A60="SINAPI-S",VLOOKUP(B60,'20-B.SINAPI-S'!A:J,5,0),IF(A60="SINAPI-I",VLOOKUP(B60,'20-A.SINAPI-I'!A:G,6,0),0))</f>
        <v>17.42</v>
      </c>
      <c r="F60" s="629">
        <f>IF(A60="SINAPI-S",VLOOKUP(B60,'20-B.SINAPI-S'!A:J,6,0),IF(A60="SINAPI-I",VLOOKUP(B60,'20-A.SINAPI-I'!A:G,7,0),VLOOKUP(B60,'12.COT.MERCADO'!A:H,8,0)))</f>
        <v>7.7</v>
      </c>
      <c r="G60" s="626">
        <v>0.5</v>
      </c>
      <c r="H60" s="629">
        <f t="shared" si="31"/>
        <v>8.71</v>
      </c>
      <c r="I60" s="629">
        <f t="shared" si="32"/>
        <v>3.85</v>
      </c>
      <c r="J60" s="629">
        <f t="shared" si="33"/>
        <v>12.56</v>
      </c>
    </row>
    <row r="61">
      <c r="A61" s="622" t="s">
        <v>1632</v>
      </c>
      <c r="B61" s="633" t="s">
        <v>1815</v>
      </c>
      <c r="J61" s="633"/>
    </row>
    <row r="62">
      <c r="A62" s="661"/>
      <c r="B62" s="662"/>
      <c r="C62" s="662"/>
      <c r="D62" s="626"/>
      <c r="E62" s="661"/>
      <c r="F62" s="661"/>
      <c r="G62" s="661"/>
      <c r="H62" s="661"/>
      <c r="I62" s="661"/>
      <c r="J62" s="661"/>
    </row>
    <row r="63">
      <c r="A63" s="654" t="s">
        <v>1785</v>
      </c>
      <c r="B63" s="655" t="s">
        <v>1816</v>
      </c>
      <c r="C63" s="656" t="s">
        <v>1817</v>
      </c>
      <c r="D63" s="655" t="s">
        <v>1788</v>
      </c>
      <c r="E63" s="657"/>
      <c r="F63" s="657"/>
      <c r="G63" s="657"/>
      <c r="H63" s="663">
        <f t="shared" ref="H63:J63" si="34">SUM(H65:H67)</f>
        <v>8.394</v>
      </c>
      <c r="I63" s="663">
        <f t="shared" si="34"/>
        <v>13.148</v>
      </c>
      <c r="J63" s="664">
        <f t="shared" si="34"/>
        <v>21.542</v>
      </c>
    </row>
    <row r="64">
      <c r="A64" s="622" t="s">
        <v>1732</v>
      </c>
      <c r="B64" s="622" t="s">
        <v>80</v>
      </c>
      <c r="C64" s="623" t="s">
        <v>8</v>
      </c>
      <c r="D64" s="622" t="s">
        <v>83</v>
      </c>
      <c r="E64" s="624" t="s">
        <v>1734</v>
      </c>
      <c r="F64" s="624" t="s">
        <v>1735</v>
      </c>
      <c r="G64" s="624" t="s">
        <v>1736</v>
      </c>
      <c r="H64" s="624" t="s">
        <v>1737</v>
      </c>
      <c r="I64" s="624" t="s">
        <v>1738</v>
      </c>
      <c r="J64" s="624" t="s">
        <v>14</v>
      </c>
    </row>
    <row r="65">
      <c r="A65" s="625" t="s">
        <v>218</v>
      </c>
      <c r="B65" s="626">
        <v>88309.0</v>
      </c>
      <c r="C65" s="627" t="str">
        <f>IF(A65="SINAPI-S",VLOOKUP(B65,'20-B.SINAPI-S'!A:J,2,0),IF(A65="SINAPI-I",VLOOKUP(B65,'20-A.SINAPI-I'!A:E,2,0),VLOOKUP(B65,'12.COT.MERCADO'!A:H,2,0)))</f>
        <v>PEDREIRO COM ENCARGOS COMPLEMENTARES</v>
      </c>
      <c r="D65" s="628" t="str">
        <f>IF(A65="SINAPI-S",VLOOKUP(B65,'20-B.SINAPI-S'!A:J,3,0),IF(A65="SINAPI-I",VLOOKUP(B65,'20-A.SINAPI-I'!A:E,3,0),VLOOKUP(B65,'12.COT.MERCADO'!A:H,7,0)))</f>
        <v>H</v>
      </c>
      <c r="E65" s="629">
        <f>IF(A65="SINAPI-S",VLOOKUP(B65,'20-B.SINAPI-S'!A:J,5,0),IF(A65="SINAPI-I",VLOOKUP(B65,'20-A.SINAPI-I'!A:G,6,0),0))</f>
        <v>24.68</v>
      </c>
      <c r="F65" s="629">
        <f>IF(A65="SINAPI-S",VLOOKUP(B65,'20-B.SINAPI-S'!A:J,6,0),IF(A65="SINAPI-I",VLOOKUP(B65,'20-A.SINAPI-I'!A:G,7,0),VLOOKUP(B65,'12.COT.MERCADO'!A:H,8,0)))</f>
        <v>7.87</v>
      </c>
      <c r="G65" s="626">
        <v>0.2</v>
      </c>
      <c r="H65" s="629">
        <f t="shared" ref="H65:H67" si="35">E65*G65</f>
        <v>4.936</v>
      </c>
      <c r="I65" s="629">
        <f t="shared" ref="I65:I67" si="36">F65*G65</f>
        <v>1.574</v>
      </c>
      <c r="J65" s="629">
        <f t="shared" ref="J65:J67" si="37">I65+H65</f>
        <v>6.51</v>
      </c>
    </row>
    <row r="66">
      <c r="A66" s="625" t="s">
        <v>218</v>
      </c>
      <c r="B66" s="626">
        <v>88242.0</v>
      </c>
      <c r="C66" s="627" t="str">
        <f>IF(A66="SINAPI-S",VLOOKUP(B66,'20-B.SINAPI-S'!A:J,2,0),IF(A66="SINAPI-I",VLOOKUP(B66,'20-A.SINAPI-I'!A:E,2,0),VLOOKUP(B66,'12.COT.MERCADO'!A:H,2,0)))</f>
        <v>AJUDANTE DE PEDREIRO COM ENCARGOS COMPLEMENTARES</v>
      </c>
      <c r="D66" s="628" t="str">
        <f>IF(A66="SINAPI-S",VLOOKUP(B66,'20-B.SINAPI-S'!A:J,3,0),IF(A66="SINAPI-I",VLOOKUP(B66,'20-A.SINAPI-I'!A:E,3,0),VLOOKUP(B66,'12.COT.MERCADO'!A:H,7,0)))</f>
        <v>H</v>
      </c>
      <c r="E66" s="629">
        <f>IF(A66="SINAPI-S",VLOOKUP(B66,'20-B.SINAPI-S'!A:J,5,0),IF(A66="SINAPI-I",VLOOKUP(B66,'20-A.SINAPI-I'!A:G,6,0),0))</f>
        <v>17.29</v>
      </c>
      <c r="F66" s="629">
        <f>IF(A66="SINAPI-S",VLOOKUP(B66,'20-B.SINAPI-S'!A:J,6,0),IF(A66="SINAPI-I",VLOOKUP(B66,'20-A.SINAPI-I'!A:G,7,0),VLOOKUP(B66,'12.COT.MERCADO'!A:H,8,0)))</f>
        <v>7.87</v>
      </c>
      <c r="G66" s="626">
        <v>0.2</v>
      </c>
      <c r="H66" s="629">
        <f t="shared" si="35"/>
        <v>3.458</v>
      </c>
      <c r="I66" s="629">
        <f t="shared" si="36"/>
        <v>1.574</v>
      </c>
      <c r="J66" s="629">
        <f t="shared" si="37"/>
        <v>5.032</v>
      </c>
    </row>
    <row r="67">
      <c r="A67" s="625" t="s">
        <v>286</v>
      </c>
      <c r="B67" s="667">
        <v>37539.0</v>
      </c>
      <c r="C67" s="627" t="str">
        <f>IF(A67="SINAPI-S",VLOOKUP(B67,'20-B.SINAPI-S'!H:J,2,0),IF(A67="SINAPI-I",VLOOKUP(B67,'20-A.SINAPI-I'!A:E,2,0),VLOOKUP(B67,'12.COT.MERCADO'!A:H,2,0)))</f>
        <v>PLACA DE SINALIZACAO DE SEGURANCA CONTRA INCENDIO, FOTOLUMINESCENTE, RETANGULAR, *13 X 26* CM, EM PVC *2* MM ANTI-CHAMAS (SIMBOLOS, CORES E PICTOGRAMAS CONFORME NBR 16820)</v>
      </c>
      <c r="D67" s="626" t="str">
        <f>IF(A67="SINAPI-S",VLOOKUP(B67,'20-B.SINAPI-S'!H:J,3,0),IF(A67="SINAPI-I",VLOOKUP(B67,'20-A.SINAPI-I'!A:E,3,0),VLOOKUP(B67,'12.COT.MERCADO'!A:H,7,0)))</f>
        <v>UN</v>
      </c>
      <c r="E67" s="629">
        <f>IF(A67="SINAPI-S",VLOOKUP(B67,'20-B.SINAPI-S'!A:J,5,0),IF(A67="SINAPI-I",VLOOKUP(B67,'20-A.SINAPI-I'!A:G,6,0),0))</f>
        <v>0</v>
      </c>
      <c r="F67" s="629">
        <f>IF(A67="SINAPI-S",VLOOKUP(B67,'20-B.SINAPI-S'!A:J,6,0),IF(A67="SINAPI-I",VLOOKUP(B67,'20-A.SINAPI-I'!A:G,7,0),VLOOKUP(B67,'12.COT.MERCADO'!A:H,8,0)))</f>
        <v>10</v>
      </c>
      <c r="G67" s="626">
        <v>1.0</v>
      </c>
      <c r="H67" s="629">
        <f t="shared" si="35"/>
        <v>0</v>
      </c>
      <c r="I67" s="629">
        <f t="shared" si="36"/>
        <v>10</v>
      </c>
      <c r="J67" s="629">
        <f t="shared" si="37"/>
        <v>10</v>
      </c>
    </row>
    <row r="68">
      <c r="A68" s="622" t="s">
        <v>1632</v>
      </c>
      <c r="B68" s="633" t="s">
        <v>1818</v>
      </c>
      <c r="J68" s="633"/>
    </row>
    <row r="69">
      <c r="A69" s="661"/>
      <c r="B69" s="662"/>
      <c r="C69" s="662"/>
      <c r="D69" s="626"/>
      <c r="E69" s="661"/>
      <c r="F69" s="661"/>
      <c r="G69" s="661"/>
      <c r="H69" s="661"/>
      <c r="I69" s="661"/>
      <c r="J69" s="661"/>
    </row>
    <row r="70">
      <c r="A70" s="654" t="s">
        <v>1785</v>
      </c>
      <c r="B70" s="655" t="s">
        <v>1819</v>
      </c>
      <c r="C70" s="645" t="s">
        <v>1820</v>
      </c>
      <c r="D70" s="655" t="s">
        <v>1788</v>
      </c>
      <c r="E70" s="657"/>
      <c r="F70" s="657"/>
      <c r="G70" s="657"/>
      <c r="H70" s="663">
        <f t="shared" ref="H70:J70" si="38">SUM(H72:H73)</f>
        <v>28.225</v>
      </c>
      <c r="I70" s="663">
        <f t="shared" si="38"/>
        <v>7.86</v>
      </c>
      <c r="J70" s="664">
        <f t="shared" si="38"/>
        <v>36.085</v>
      </c>
    </row>
    <row r="71">
      <c r="A71" s="622" t="s">
        <v>1732</v>
      </c>
      <c r="B71" s="622" t="s">
        <v>80</v>
      </c>
      <c r="C71" s="623" t="s">
        <v>8</v>
      </c>
      <c r="D71" s="622" t="s">
        <v>83</v>
      </c>
      <c r="E71" s="624" t="s">
        <v>1734</v>
      </c>
      <c r="F71" s="624" t="s">
        <v>1735</v>
      </c>
      <c r="G71" s="624" t="s">
        <v>1736</v>
      </c>
      <c r="H71" s="624" t="s">
        <v>1737</v>
      </c>
      <c r="I71" s="624" t="s">
        <v>1738</v>
      </c>
      <c r="J71" s="624" t="s">
        <v>14</v>
      </c>
    </row>
    <row r="72">
      <c r="A72" s="625" t="s">
        <v>218</v>
      </c>
      <c r="B72" s="626">
        <v>88264.0</v>
      </c>
      <c r="C72" s="627" t="str">
        <f>IF(A72="SINAPI-S",VLOOKUP(B72,'20-B.SINAPI-S'!A:J,2,0),IF(A72="SINAPI-I",VLOOKUP(B72,'20-A.SINAPI-I'!A:E,2,0),VLOOKUP(B72,'12.COT.MERCADO'!A:H,2,0)))</f>
        <v>ELETRICISTA COM ENCARGOS COMPLEMENTARES</v>
      </c>
      <c r="D72" s="628" t="str">
        <f>IF(A72="SINAPI-S",VLOOKUP(B72,'20-B.SINAPI-S'!A:J,3,0),IF(A72="SINAPI-I",VLOOKUP(B72,'20-A.SINAPI-I'!A:E,3,0),VLOOKUP(B72,'12.COT.MERCADO'!A:H,7,0)))</f>
        <v>H</v>
      </c>
      <c r="E72" s="629">
        <f>IF(A72="SINAPI-S",VLOOKUP(B72,'20-B.SINAPI-S'!A:J,5,0),IF(A72="SINAPI-I",VLOOKUP(B72,'20-A.SINAPI-I'!A:G,6,0),0))</f>
        <v>25.09</v>
      </c>
      <c r="F72" s="629">
        <f>IF(A72="SINAPI-S",VLOOKUP(B72,'20-B.SINAPI-S'!A:J,6,0),IF(A72="SINAPI-I",VLOOKUP(B72,'20-A.SINAPI-I'!A:G,7,0),VLOOKUP(B72,'12.COT.MERCADO'!A:H,8,0)))</f>
        <v>7.86</v>
      </c>
      <c r="G72" s="626">
        <v>0.5</v>
      </c>
      <c r="H72" s="629">
        <f t="shared" ref="H72:H73" si="39">E72*G72</f>
        <v>12.545</v>
      </c>
      <c r="I72" s="629">
        <f t="shared" ref="I72:I73" si="40">F72*G72</f>
        <v>3.93</v>
      </c>
      <c r="J72" s="629">
        <f t="shared" ref="J72:J73" si="41">I72+H72</f>
        <v>16.475</v>
      </c>
    </row>
    <row r="73">
      <c r="A73" s="625" t="s">
        <v>218</v>
      </c>
      <c r="B73" s="626">
        <v>88266.0</v>
      </c>
      <c r="C73" s="627" t="str">
        <f>IF(A73="SINAPI-S",VLOOKUP(B73,'20-B.SINAPI-S'!A:J,2,0),IF(A73="SINAPI-I",VLOOKUP(B73,'20-A.SINAPI-I'!A:E,2,0),VLOOKUP(B73,'12.COT.MERCADO'!A:H,2,0)))</f>
        <v>ELETROTÉCNICO COM ENCARGOS COMPLEMENTARES</v>
      </c>
      <c r="D73" s="628" t="str">
        <f>IF(A73="SINAPI-S",VLOOKUP(B73,'20-B.SINAPI-S'!A:J,3,0),IF(A73="SINAPI-I",VLOOKUP(B73,'20-A.SINAPI-I'!A:E,3,0),VLOOKUP(B73,'12.COT.MERCADO'!A:H,7,0)))</f>
        <v>H</v>
      </c>
      <c r="E73" s="629">
        <f>IF(A73="SINAPI-S",VLOOKUP(B73,'20-B.SINAPI-S'!A:J,5,0),IF(A73="SINAPI-I",VLOOKUP(B73,'20-A.SINAPI-I'!A:G,6,0),0))</f>
        <v>31.36</v>
      </c>
      <c r="F73" s="629">
        <f>IF(A73="SINAPI-S",VLOOKUP(B73,'20-B.SINAPI-S'!A:J,6,0),IF(A73="SINAPI-I",VLOOKUP(B73,'20-A.SINAPI-I'!A:G,7,0),VLOOKUP(B73,'12.COT.MERCADO'!A:H,8,0)))</f>
        <v>7.86</v>
      </c>
      <c r="G73" s="626">
        <v>0.5</v>
      </c>
      <c r="H73" s="629">
        <f t="shared" si="39"/>
        <v>15.68</v>
      </c>
      <c r="I73" s="629">
        <f t="shared" si="40"/>
        <v>3.93</v>
      </c>
      <c r="J73" s="629">
        <f t="shared" si="41"/>
        <v>19.61</v>
      </c>
    </row>
    <row r="74">
      <c r="A74" s="622" t="s">
        <v>1632</v>
      </c>
      <c r="B74" s="633" t="s">
        <v>1821</v>
      </c>
      <c r="J74" s="633"/>
    </row>
    <row r="75">
      <c r="A75" s="661"/>
      <c r="B75" s="662"/>
      <c r="C75" s="662"/>
      <c r="D75" s="626"/>
      <c r="E75" s="661"/>
      <c r="F75" s="661"/>
      <c r="G75" s="661"/>
      <c r="H75" s="661"/>
      <c r="I75" s="661"/>
      <c r="J75" s="661"/>
    </row>
    <row r="76">
      <c r="A76" s="654" t="s">
        <v>1785</v>
      </c>
      <c r="B76" s="655" t="s">
        <v>1822</v>
      </c>
      <c r="C76" s="656" t="s">
        <v>1823</v>
      </c>
      <c r="D76" s="655" t="s">
        <v>1788</v>
      </c>
      <c r="E76" s="657"/>
      <c r="F76" s="657"/>
      <c r="G76" s="657"/>
      <c r="H76" s="663">
        <f t="shared" ref="H76:J76" si="42">SUM(H78:H79)</f>
        <v>28.225</v>
      </c>
      <c r="I76" s="663">
        <f t="shared" si="42"/>
        <v>7.86</v>
      </c>
      <c r="J76" s="664">
        <f t="shared" si="42"/>
        <v>36.085</v>
      </c>
    </row>
    <row r="77">
      <c r="A77" s="622" t="s">
        <v>1732</v>
      </c>
      <c r="B77" s="622" t="s">
        <v>80</v>
      </c>
      <c r="C77" s="623" t="s">
        <v>8</v>
      </c>
      <c r="D77" s="622" t="s">
        <v>83</v>
      </c>
      <c r="E77" s="624" t="s">
        <v>1734</v>
      </c>
      <c r="F77" s="624" t="s">
        <v>1735</v>
      </c>
      <c r="G77" s="624" t="s">
        <v>1736</v>
      </c>
      <c r="H77" s="624" t="s">
        <v>1737</v>
      </c>
      <c r="I77" s="624" t="s">
        <v>1738</v>
      </c>
      <c r="J77" s="624" t="s">
        <v>14</v>
      </c>
    </row>
    <row r="78">
      <c r="A78" s="625" t="s">
        <v>218</v>
      </c>
      <c r="B78" s="626">
        <v>88266.0</v>
      </c>
      <c r="C78" s="627" t="str">
        <f>IF(A78="SINAPI-S",VLOOKUP(B78,'20-B.SINAPI-S'!A:J,2,0),IF(A78="SINAPI-I",VLOOKUP(B78,'20-A.SINAPI-I'!A:E,2,0),VLOOKUP(B78,'12.COT.MERCADO'!A:H,2,0)))</f>
        <v>ELETROTÉCNICO COM ENCARGOS COMPLEMENTARES</v>
      </c>
      <c r="D78" s="628" t="str">
        <f>IF(A78="SINAPI-S",VLOOKUP(B78,'20-B.SINAPI-S'!A:J,3,0),IF(A78="SINAPI-I",VLOOKUP(B78,'20-A.SINAPI-I'!A:E,3,0),VLOOKUP(B78,'12.COT.MERCADO'!A:H,7,0)))</f>
        <v>H</v>
      </c>
      <c r="E78" s="629">
        <f>IF(A78="SINAPI-S",VLOOKUP(B78,'20-B.SINAPI-S'!A:J,5,0),IF(A78="SINAPI-I",VLOOKUP(B78,'20-A.SINAPI-I'!A:G,6,0),0))</f>
        <v>31.36</v>
      </c>
      <c r="F78" s="629">
        <f>IF(A78="SINAPI-S",VLOOKUP(B78,'20-B.SINAPI-S'!A:J,6,0),IF(A78="SINAPI-I",VLOOKUP(B78,'20-A.SINAPI-I'!A:G,7,0),VLOOKUP(B78,'12.COT.MERCADO'!A:H,8,0)))</f>
        <v>7.86</v>
      </c>
      <c r="G78" s="626">
        <v>0.5</v>
      </c>
      <c r="H78" s="629">
        <f t="shared" ref="H78:H79" si="43">E78*G78</f>
        <v>15.68</v>
      </c>
      <c r="I78" s="629">
        <f t="shared" ref="I78:I79" si="44">F78*G78</f>
        <v>3.93</v>
      </c>
      <c r="J78" s="629">
        <f t="shared" ref="J78:J79" si="45">I78+H78</f>
        <v>19.61</v>
      </c>
    </row>
    <row r="79">
      <c r="A79" s="625" t="s">
        <v>218</v>
      </c>
      <c r="B79" s="626">
        <v>88264.0</v>
      </c>
      <c r="C79" s="627" t="str">
        <f>IF(A79="SINAPI-S",VLOOKUP(B79,'20-B.SINAPI-S'!A:J,2,0),IF(A79="SINAPI-I",VLOOKUP(B79,'20-A.SINAPI-I'!A:E,2,0),VLOOKUP(B79,'12.COT.MERCADO'!A:H,2,0)))</f>
        <v>ELETRICISTA COM ENCARGOS COMPLEMENTARES</v>
      </c>
      <c r="D79" s="628" t="str">
        <f>IF(A79="SINAPI-S",VLOOKUP(B79,'20-B.SINAPI-S'!A:J,3,0),IF(A79="SINAPI-I",VLOOKUP(B79,'20-A.SINAPI-I'!A:E,3,0),VLOOKUP(B79,'12.COT.MERCADO'!A:H,7,0)))</f>
        <v>H</v>
      </c>
      <c r="E79" s="629">
        <f>IF(A79="SINAPI-S",VLOOKUP(B79,'20-B.SINAPI-S'!A:J,5,0),IF(A79="SINAPI-I",VLOOKUP(B79,'20-A.SINAPI-I'!A:G,6,0),0))</f>
        <v>25.09</v>
      </c>
      <c r="F79" s="629">
        <f>IF(A79="SINAPI-S",VLOOKUP(B79,'20-B.SINAPI-S'!A:J,6,0),IF(A79="SINAPI-I",VLOOKUP(B79,'20-A.SINAPI-I'!A:G,7,0),VLOOKUP(B79,'12.COT.MERCADO'!A:H,8,0)))</f>
        <v>7.86</v>
      </c>
      <c r="G79" s="626">
        <v>0.5</v>
      </c>
      <c r="H79" s="629">
        <f t="shared" si="43"/>
        <v>12.545</v>
      </c>
      <c r="I79" s="629">
        <f t="shared" si="44"/>
        <v>3.93</v>
      </c>
      <c r="J79" s="629">
        <f t="shared" si="45"/>
        <v>16.475</v>
      </c>
    </row>
    <row r="80">
      <c r="A80" s="622" t="s">
        <v>1632</v>
      </c>
      <c r="B80" s="633" t="s">
        <v>1821</v>
      </c>
      <c r="J80" s="633"/>
    </row>
    <row r="81">
      <c r="A81" s="661"/>
      <c r="B81" s="662"/>
      <c r="C81" s="662"/>
      <c r="D81" s="626"/>
      <c r="E81" s="661"/>
      <c r="F81" s="661"/>
      <c r="G81" s="661"/>
      <c r="H81" s="661"/>
      <c r="I81" s="661"/>
      <c r="J81" s="661"/>
    </row>
    <row r="82">
      <c r="A82" s="654" t="s">
        <v>1785</v>
      </c>
      <c r="B82" s="655" t="s">
        <v>1824</v>
      </c>
      <c r="C82" s="656" t="s">
        <v>1825</v>
      </c>
      <c r="D82" s="655" t="s">
        <v>1788</v>
      </c>
      <c r="E82" s="657"/>
      <c r="F82" s="657"/>
      <c r="G82" s="657"/>
      <c r="H82" s="663">
        <f t="shared" ref="H82:J82" si="46">SUM(H84)</f>
        <v>9.6</v>
      </c>
      <c r="I82" s="663">
        <f t="shared" si="46"/>
        <v>3.93</v>
      </c>
      <c r="J82" s="664">
        <f t="shared" si="46"/>
        <v>13.53</v>
      </c>
    </row>
    <row r="83">
      <c r="A83" s="622" t="s">
        <v>1732</v>
      </c>
      <c r="B83" s="622" t="s">
        <v>80</v>
      </c>
      <c r="C83" s="623" t="s">
        <v>8</v>
      </c>
      <c r="D83" s="622" t="s">
        <v>83</v>
      </c>
      <c r="E83" s="624" t="s">
        <v>1734</v>
      </c>
      <c r="F83" s="624" t="s">
        <v>1735</v>
      </c>
      <c r="G83" s="624" t="s">
        <v>1736</v>
      </c>
      <c r="H83" s="624" t="s">
        <v>1737</v>
      </c>
      <c r="I83" s="624" t="s">
        <v>1738</v>
      </c>
      <c r="J83" s="624" t="s">
        <v>14</v>
      </c>
    </row>
    <row r="84">
      <c r="A84" s="625" t="s">
        <v>218</v>
      </c>
      <c r="B84" s="626">
        <v>88247.0</v>
      </c>
      <c r="C84" s="627" t="str">
        <f>IF(A84="SINAPI-S",VLOOKUP(B84,'20-B.SINAPI-S'!A:J,2,0),IF(A84="SINAPI-I",VLOOKUP(B84,'20-A.SINAPI-I'!A:E,2,0),VLOOKUP(B84,'12.COT.MERCADO'!A:H,2,0)))</f>
        <v>AUXILIAR DE ELETRICISTA COM ENCARGOS COMPLEMENTARES</v>
      </c>
      <c r="D84" s="628" t="str">
        <f>IF(A84="SINAPI-S",VLOOKUP(B84,'20-B.SINAPI-S'!A:J,3,0),IF(A84="SINAPI-I",VLOOKUP(B84,'20-A.SINAPI-I'!A:E,3,0),VLOOKUP(B84,'12.COT.MERCADO'!A:H,7,0)))</f>
        <v>H</v>
      </c>
      <c r="E84" s="629">
        <f>IF(A84="SINAPI-S",VLOOKUP(B84,'20-B.SINAPI-S'!A:J,5,0),IF(A84="SINAPI-I",VLOOKUP(B84,'20-A.SINAPI-I'!A:G,6,0),0))</f>
        <v>19.2</v>
      </c>
      <c r="F84" s="629">
        <f>IF(A84="SINAPI-S",VLOOKUP(B84,'20-B.SINAPI-S'!A:J,6,0),IF(A84="SINAPI-I",VLOOKUP(B84,'20-A.SINAPI-I'!A:G,7,0),VLOOKUP(B84,'12.COT.MERCADO'!A:H,8,0)))</f>
        <v>7.86</v>
      </c>
      <c r="G84" s="626">
        <v>0.5</v>
      </c>
      <c r="H84" s="629">
        <f>E84*G84</f>
        <v>9.6</v>
      </c>
      <c r="I84" s="629">
        <f>F84*G84</f>
        <v>3.93</v>
      </c>
      <c r="J84" s="629">
        <f>I84+H84</f>
        <v>13.53</v>
      </c>
    </row>
    <row r="85">
      <c r="A85" s="622" t="s">
        <v>1632</v>
      </c>
      <c r="B85" s="633" t="s">
        <v>1826</v>
      </c>
      <c r="J85" s="633"/>
    </row>
    <row r="86">
      <c r="A86" s="661"/>
      <c r="B86" s="662"/>
      <c r="C86" s="662"/>
      <c r="D86" s="626"/>
      <c r="E86" s="661"/>
      <c r="F86" s="661"/>
      <c r="G86" s="661"/>
      <c r="H86" s="661"/>
      <c r="I86" s="661"/>
      <c r="J86" s="661"/>
    </row>
    <row r="87">
      <c r="A87" s="654" t="s">
        <v>1785</v>
      </c>
      <c r="B87" s="655" t="s">
        <v>1827</v>
      </c>
      <c r="C87" s="656" t="s">
        <v>1828</v>
      </c>
      <c r="D87" s="655" t="s">
        <v>1814</v>
      </c>
      <c r="E87" s="657"/>
      <c r="F87" s="657"/>
      <c r="G87" s="657"/>
      <c r="H87" s="663">
        <f t="shared" ref="H87:J87" si="47">SUM(H89)</f>
        <v>0</v>
      </c>
      <c r="I87" s="663">
        <f t="shared" si="47"/>
        <v>170</v>
      </c>
      <c r="J87" s="664">
        <f t="shared" si="47"/>
        <v>170</v>
      </c>
    </row>
    <row r="88">
      <c r="A88" s="622" t="s">
        <v>1732</v>
      </c>
      <c r="B88" s="622" t="s">
        <v>80</v>
      </c>
      <c r="C88" s="623" t="s">
        <v>8</v>
      </c>
      <c r="D88" s="622" t="s">
        <v>83</v>
      </c>
      <c r="E88" s="624" t="s">
        <v>1734</v>
      </c>
      <c r="F88" s="624" t="s">
        <v>1735</v>
      </c>
      <c r="G88" s="624" t="s">
        <v>1736</v>
      </c>
      <c r="H88" s="624" t="s">
        <v>1737</v>
      </c>
      <c r="I88" s="624" t="s">
        <v>1738</v>
      </c>
      <c r="J88" s="624" t="s">
        <v>14</v>
      </c>
    </row>
    <row r="89">
      <c r="A89" s="625" t="s">
        <v>110</v>
      </c>
      <c r="B89" s="626" t="s">
        <v>1829</v>
      </c>
      <c r="C89" s="660" t="str">
        <f>IF(A89="SINAPI-S",VLOOKUP(B89,'20-B.SINAPI-S'!A:J,2,0),IF(A89="SINAPI-I",VLOOKUP(B89,'20-A.SINAPI-I'!A:E,2,0),VLOOKUP(B89,'12.COT.MERCADO'!A:H,2,0)))</f>
        <v>PERSIANA VERTICAL EM PVC BRANCO 9CM SEM BANDÔ - FORNECIMENTO E INSTALAÇÃO</v>
      </c>
      <c r="D89" s="626" t="str">
        <f>IF(A89="SINAPI-S",VLOOKUP(B89,'20-B.SINAPI-S'!A:J,3,0),IF(A89="SINAPI-I",VLOOKUP(B89,'20-A.SINAPI-I'!A:E,3,0),VLOOKUP(B89,'12.COT.MERCADO'!A:H,7,0)))</f>
        <v>M2</v>
      </c>
      <c r="E89" s="629">
        <f>IF(A89="SINAPI-S",VLOOKUP(B89,'20-B.SINAPI-S'!A:J,5,0),IF(A89="SINAPI-I",VLOOKUP(B89,'20-A.SINAPI-I'!A:G,6,0),0))</f>
        <v>0</v>
      </c>
      <c r="F89" s="634">
        <f>IF(A89="SINAPI-S",VLOOKUP(B89,'20-B.SINAPI-S'!A:J,6,0),IF(A89="SINAPI-I",VLOOKUP(B89,'20-A.SINAPI-I'!A:G,7,0),VLOOKUP(B89,'12.COT.MERCADO'!A:H,8,0)))</f>
        <v>170</v>
      </c>
      <c r="G89" s="626">
        <v>1.0</v>
      </c>
      <c r="H89" s="629">
        <f>E89*G89</f>
        <v>0</v>
      </c>
      <c r="I89" s="629">
        <f>F89*G89</f>
        <v>170</v>
      </c>
      <c r="J89" s="629">
        <f>I89+H89</f>
        <v>170</v>
      </c>
    </row>
    <row r="90">
      <c r="A90" s="622" t="s">
        <v>1632</v>
      </c>
      <c r="B90" s="662"/>
      <c r="J90" s="662"/>
    </row>
    <row r="91">
      <c r="A91" s="661"/>
      <c r="B91" s="662"/>
      <c r="C91" s="662"/>
      <c r="D91" s="626"/>
      <c r="E91" s="661"/>
      <c r="F91" s="661"/>
      <c r="G91" s="661"/>
      <c r="H91" s="661"/>
      <c r="I91" s="661"/>
      <c r="J91" s="661"/>
    </row>
    <row r="92">
      <c r="A92" s="654" t="s">
        <v>1785</v>
      </c>
      <c r="B92" s="655" t="s">
        <v>1830</v>
      </c>
      <c r="C92" s="645" t="s">
        <v>1831</v>
      </c>
      <c r="D92" s="655" t="s">
        <v>1788</v>
      </c>
      <c r="E92" s="657"/>
      <c r="F92" s="657"/>
      <c r="G92" s="657"/>
      <c r="H92" s="663">
        <f t="shared" ref="H92:J92" si="48">SUM(H94:H97)</f>
        <v>15.5015</v>
      </c>
      <c r="I92" s="663">
        <f t="shared" si="48"/>
        <v>40.842</v>
      </c>
      <c r="J92" s="664">
        <f t="shared" si="48"/>
        <v>56.3435</v>
      </c>
    </row>
    <row r="93">
      <c r="A93" s="622" t="s">
        <v>1732</v>
      </c>
      <c r="B93" s="622" t="s">
        <v>80</v>
      </c>
      <c r="C93" s="623" t="s">
        <v>8</v>
      </c>
      <c r="D93" s="622" t="s">
        <v>83</v>
      </c>
      <c r="E93" s="624" t="s">
        <v>1734</v>
      </c>
      <c r="F93" s="624" t="s">
        <v>1735</v>
      </c>
      <c r="G93" s="624" t="s">
        <v>1736</v>
      </c>
      <c r="H93" s="624" t="s">
        <v>1737</v>
      </c>
      <c r="I93" s="624" t="s">
        <v>1738</v>
      </c>
      <c r="J93" s="624" t="s">
        <v>14</v>
      </c>
    </row>
    <row r="94">
      <c r="A94" s="625" t="s">
        <v>218</v>
      </c>
      <c r="B94" s="626">
        <v>88264.0</v>
      </c>
      <c r="C94" s="627" t="str">
        <f>IF(A94="SINAPI-S",VLOOKUP(B94,'20-B.SINAPI-S'!A:J,2,0),IF(A94="SINAPI-I",VLOOKUP(B94,'20-A.SINAPI-I'!A:E,2,0),VLOOKUP(B94,'12.COT.MERCADO'!A:H,2,0)))</f>
        <v>ELETRICISTA COM ENCARGOS COMPLEMENTARES</v>
      </c>
      <c r="D94" s="628" t="str">
        <f>IF(A94="SINAPI-S",VLOOKUP(B94,'20-B.SINAPI-S'!A:J,3,0),IF(A94="SINAPI-I",VLOOKUP(B94,'20-A.SINAPI-I'!A:E,3,0),VLOOKUP(B94,'12.COT.MERCADO'!A:H,7,0)))</f>
        <v>H</v>
      </c>
      <c r="E94" s="629">
        <f>IF(A94="SINAPI-S",VLOOKUP(B94,'20-B.SINAPI-S'!A:J,5,0),IF(A94="SINAPI-I",VLOOKUP(B94,'20-A.SINAPI-I'!A:G,6,0),0))</f>
        <v>25.09</v>
      </c>
      <c r="F94" s="629">
        <f>IF(A94="SINAPI-S",VLOOKUP(B94,'20-B.SINAPI-S'!A:J,6,0),IF(A94="SINAPI-I",VLOOKUP(B94,'20-A.SINAPI-I'!A:G,7,0),VLOOKUP(B94,'12.COT.MERCADO'!A:H,8,0)))</f>
        <v>7.86</v>
      </c>
      <c r="G94" s="626">
        <f t="shared" ref="G94:G95" si="49">1.5*0.1+0.2</f>
        <v>0.35</v>
      </c>
      <c r="H94" s="629">
        <f t="shared" ref="H94:H97" si="50">E94*G94</f>
        <v>8.7815</v>
      </c>
      <c r="I94" s="629">
        <f t="shared" ref="I94:I97" si="51">F94*G94</f>
        <v>2.751</v>
      </c>
      <c r="J94" s="629">
        <f t="shared" ref="J94:J97" si="52">I94+H94</f>
        <v>11.5325</v>
      </c>
    </row>
    <row r="95">
      <c r="A95" s="625" t="s">
        <v>218</v>
      </c>
      <c r="B95" s="626">
        <v>88247.0</v>
      </c>
      <c r="C95" s="627" t="str">
        <f>IF(A95="SINAPI-S",VLOOKUP(B95,'20-B.SINAPI-S'!A:J,2,0),IF(A95="SINAPI-I",VLOOKUP(B95,'20-A.SINAPI-I'!A:E,2,0),VLOOKUP(B95,'12.COT.MERCADO'!A:H,2,0)))</f>
        <v>AUXILIAR DE ELETRICISTA COM ENCARGOS COMPLEMENTARES</v>
      </c>
      <c r="D95" s="628" t="str">
        <f>IF(A95="SINAPI-S",VLOOKUP(B95,'20-B.SINAPI-S'!A:J,3,0),IF(A95="SINAPI-I",VLOOKUP(B95,'20-A.SINAPI-I'!A:E,3,0),VLOOKUP(B95,'12.COT.MERCADO'!A:H,7,0)))</f>
        <v>H</v>
      </c>
      <c r="E95" s="629">
        <f>IF(A95="SINAPI-S",VLOOKUP(B95,'20-B.SINAPI-S'!A:J,5,0),IF(A95="SINAPI-I",VLOOKUP(B95,'20-A.SINAPI-I'!A:G,6,0),0))</f>
        <v>19.2</v>
      </c>
      <c r="F95" s="629">
        <f>IF(A95="SINAPI-S",VLOOKUP(B95,'20-B.SINAPI-S'!A:J,6,0),IF(A95="SINAPI-I",VLOOKUP(B95,'20-A.SINAPI-I'!A:G,7,0),VLOOKUP(B95,'12.COT.MERCADO'!A:H,8,0)))</f>
        <v>7.86</v>
      </c>
      <c r="G95" s="626">
        <f t="shared" si="49"/>
        <v>0.35</v>
      </c>
      <c r="H95" s="629">
        <f t="shared" si="50"/>
        <v>6.72</v>
      </c>
      <c r="I95" s="629">
        <f t="shared" si="51"/>
        <v>2.751</v>
      </c>
      <c r="J95" s="629">
        <f t="shared" si="52"/>
        <v>9.471</v>
      </c>
    </row>
    <row r="96">
      <c r="A96" s="625" t="s">
        <v>110</v>
      </c>
      <c r="B96" s="625" t="s">
        <v>1740</v>
      </c>
      <c r="C96" s="633" t="str">
        <f>IF(A96="SINAPI-S",VLOOKUP(B96,'20-B.SINAPI-S'!A:J,2,0),IF(A96="SINAPI-I",VLOOKUP(B96,'20-A.SINAPI-I'!A:E,2,0),VLOOKUP(B96,'12.COT.MERCADO'!A:H,2,0)))</f>
        <v>Cabo de cobre PP Cordplast 3 x 2,5 mm2, 450/750v</v>
      </c>
      <c r="D96" s="626" t="str">
        <f>IF(A96="SINAPI-S",VLOOKUP(B96,'20-B.SINAPI-S'!A:J,3,0),IF(A96="SINAPI-I",VLOOKUP(B96,'20-A.SINAPI-I'!A:E,3,0),VLOOKUP(B96,'12.COT.MERCADO'!A:H,7,0)))</f>
        <v>M</v>
      </c>
      <c r="E96" s="629">
        <f>IF(A96="SINAPI-S",VLOOKUP(B96,'20-B.SINAPI-S'!A:J,5,0),IF(A96="SINAPI-I",VLOOKUP(B96,'20-A.SINAPI-I'!A:G,6,0),0))</f>
        <v>0</v>
      </c>
      <c r="F96" s="634">
        <f>IF(A96="SINAPI-S",VLOOKUP(B96,'20-B.SINAPI-S'!A:J,6,0),IF(A96="SINAPI-I",VLOOKUP(B96,'20-A.SINAPI-I'!A:G,7,0),VLOOKUP(B96,'12.COT.MERCADO'!A:H,8,0)))</f>
        <v>8.9</v>
      </c>
      <c r="G96" s="626">
        <v>1.5</v>
      </c>
      <c r="H96" s="629">
        <f t="shared" si="50"/>
        <v>0</v>
      </c>
      <c r="I96" s="629">
        <f t="shared" si="51"/>
        <v>13.35</v>
      </c>
      <c r="J96" s="629">
        <f t="shared" si="52"/>
        <v>13.35</v>
      </c>
    </row>
    <row r="97">
      <c r="A97" s="625" t="s">
        <v>110</v>
      </c>
      <c r="B97" s="626" t="s">
        <v>1832</v>
      </c>
      <c r="C97" s="660" t="str">
        <f>IF(A97="SINAPI-S",VLOOKUP(B97,'20-B.SINAPI-S'!A:J,2,0),IF(A97="SINAPI-I",VLOOKUP(B97,'20-A.SINAPI-I'!A:E,2,0),VLOOKUP(B97,'12.COT.MERCADO'!A:H,2,0)))</f>
        <v>CONJUNTO PLUGUE MACHO E FÊMEA 2P+T 20A </v>
      </c>
      <c r="D97" s="626" t="str">
        <f>IF(A97="SINAPI-S",VLOOKUP(B97,'20-B.SINAPI-S'!A:J,3,0),IF(A97="SINAPI-I",VLOOKUP(B97,'20-A.SINAPI-I'!A:E,3,0),VLOOKUP(B97,'12.COT.MERCADO'!A:H,7,0)))</f>
        <v>UN</v>
      </c>
      <c r="E97" s="629">
        <f>IF(A97="SINAPI-S",VLOOKUP(B97,'20-B.SINAPI-S'!A:J,5,0),IF(A97="SINAPI-I",VLOOKUP(B97,'20-A.SINAPI-I'!A:G,6,0),0))</f>
        <v>0</v>
      </c>
      <c r="F97" s="634">
        <f>IF(A97="SINAPI-S",VLOOKUP(B97,'20-B.SINAPI-S'!A:J,6,0),IF(A97="SINAPI-I",VLOOKUP(B97,'20-A.SINAPI-I'!A:G,7,0),VLOOKUP(B97,'12.COT.MERCADO'!A:H,8,0)))</f>
        <v>21.99</v>
      </c>
      <c r="G97" s="626">
        <v>1.0</v>
      </c>
      <c r="H97" s="629">
        <f t="shared" si="50"/>
        <v>0</v>
      </c>
      <c r="I97" s="629">
        <f t="shared" si="51"/>
        <v>21.99</v>
      </c>
      <c r="J97" s="629">
        <f t="shared" si="52"/>
        <v>21.99</v>
      </c>
    </row>
    <row r="98">
      <c r="A98" s="622" t="s">
        <v>1632</v>
      </c>
      <c r="B98" s="633" t="s">
        <v>1833</v>
      </c>
      <c r="J98" s="633"/>
    </row>
    <row r="99">
      <c r="A99" s="661"/>
      <c r="B99" s="662"/>
      <c r="C99" s="662"/>
      <c r="D99" s="626"/>
      <c r="E99" s="661"/>
      <c r="F99" s="661"/>
      <c r="G99" s="661"/>
      <c r="H99" s="661"/>
      <c r="I99" s="661"/>
      <c r="J99" s="661"/>
    </row>
    <row r="100">
      <c r="A100" s="654" t="s">
        <v>1785</v>
      </c>
      <c r="B100" s="655" t="s">
        <v>1834</v>
      </c>
      <c r="C100" s="656" t="s">
        <v>1835</v>
      </c>
      <c r="D100" s="655" t="s">
        <v>1731</v>
      </c>
      <c r="E100" s="657"/>
      <c r="F100" s="657"/>
      <c r="G100" s="657"/>
      <c r="H100" s="663">
        <f t="shared" ref="H100:J100" si="53">SUM(H102:H103)</f>
        <v>1.16714</v>
      </c>
      <c r="I100" s="663">
        <f t="shared" si="53"/>
        <v>0.9589</v>
      </c>
      <c r="J100" s="664">
        <f t="shared" si="53"/>
        <v>2.12604</v>
      </c>
    </row>
    <row r="101">
      <c r="A101" s="622" t="s">
        <v>1732</v>
      </c>
      <c r="B101" s="622" t="s">
        <v>80</v>
      </c>
      <c r="C101" s="623" t="s">
        <v>8</v>
      </c>
      <c r="D101" s="622" t="s">
        <v>83</v>
      </c>
      <c r="E101" s="624" t="s">
        <v>1734</v>
      </c>
      <c r="F101" s="624" t="s">
        <v>1735</v>
      </c>
      <c r="G101" s="624" t="s">
        <v>1736</v>
      </c>
      <c r="H101" s="624" t="s">
        <v>1737</v>
      </c>
      <c r="I101" s="624" t="s">
        <v>1738</v>
      </c>
      <c r="J101" s="624" t="s">
        <v>14</v>
      </c>
    </row>
    <row r="102">
      <c r="A102" s="625" t="s">
        <v>218</v>
      </c>
      <c r="B102" s="626">
        <v>88316.0</v>
      </c>
      <c r="C102" s="627" t="str">
        <f>IF(A102="SINAPI-S",VLOOKUP(B102,'20-B.SINAPI-S'!A:J,2,0),IF(A102="SINAPI-I",VLOOKUP(B102,'20-A.SINAPI-I'!A:E,2,0),VLOOKUP(B102,'12.COT.MERCADO'!A:H,2,0)))</f>
        <v>SERVENTE COM ENCARGOS COMPLEMENTARES</v>
      </c>
      <c r="D102" s="628" t="str">
        <f>IF(A102="SINAPI-S",VLOOKUP(B102,'20-B.SINAPI-S'!A:J,3,0),IF(A102="SINAPI-I",VLOOKUP(B102,'20-A.SINAPI-I'!A:E,3,0),VLOOKUP(B102,'12.COT.MERCADO'!A:H,7,0)))</f>
        <v>H</v>
      </c>
      <c r="E102" s="629">
        <f>IF(A102="SINAPI-S",VLOOKUP(B102,'20-B.SINAPI-S'!A:J,5,0),IF(A102="SINAPI-I",VLOOKUP(B102,'20-A.SINAPI-I'!A:G,6,0),0))</f>
        <v>17.42</v>
      </c>
      <c r="F102" s="629">
        <f>IF(A102="SINAPI-S",VLOOKUP(B102,'20-B.SINAPI-S'!A:J,6,0),IF(A102="SINAPI-I",VLOOKUP(B102,'20-A.SINAPI-I'!A:G,7,0),VLOOKUP(B102,'12.COT.MERCADO'!A:H,8,0)))</f>
        <v>7.7</v>
      </c>
      <c r="G102" s="626">
        <v>0.067</v>
      </c>
      <c r="H102" s="629">
        <f t="shared" ref="H102:H103" si="54">E102*G102</f>
        <v>1.16714</v>
      </c>
      <c r="I102" s="629">
        <f t="shared" ref="I102:I103" si="55">F102*G102</f>
        <v>0.5159</v>
      </c>
      <c r="J102" s="629">
        <f t="shared" ref="J102:J103" si="56">I102+H102</f>
        <v>1.68304</v>
      </c>
    </row>
    <row r="103">
      <c r="A103" s="625" t="s">
        <v>286</v>
      </c>
      <c r="B103" s="626">
        <v>39961.0</v>
      </c>
      <c r="C103" s="627" t="str">
        <f>IF(A103="SINAPI-S",VLOOKUP(B103,'20-B.SINAPI-S'!A:J,2,0),IF(A103="SINAPI-I",VLOOKUP(B103,'20-A.SINAPI-I'!A:E,2,0),VLOOKUP(B103,'12.COT.MERCADO'!A:H,2,0)))</f>
        <v>SILICONE ACETICO USO GERAL INCOLOR 280 G</v>
      </c>
      <c r="D103" s="626" t="str">
        <f>IF(A103="SINAPI-S",VLOOKUP(B103,'20-B.SINAPI-S'!A:J,3,0),IF(A103="SINAPI-I",VLOOKUP(B103,'20-A.SINAPI-I'!A:E,3,0),VLOOKUP(B103,'12.COT.MERCADO'!A:H,7,0)))</f>
        <v>UN</v>
      </c>
      <c r="E103" s="629">
        <f>IF(A103="SINAPI-S",VLOOKUP(B103,'20-B.SINAPI-S'!A:J,5,0),IF(A103="SINAPI-I",VLOOKUP(B103,'20-A.SINAPI-I'!A:G,6,0),0))</f>
        <v>0</v>
      </c>
      <c r="F103" s="629">
        <f>IF(A103="SINAPI-S",VLOOKUP(B103,'20-B.SINAPI-S'!A:J,6,0),IF(A103="SINAPI-I",VLOOKUP(B103,'20-A.SINAPI-I'!A:G,7,0),VLOOKUP(B103,'12.COT.MERCADO'!A:H,8,0)))</f>
        <v>22.15</v>
      </c>
      <c r="G103" s="626">
        <v>0.02</v>
      </c>
      <c r="H103" s="629">
        <f t="shared" si="54"/>
        <v>0</v>
      </c>
      <c r="I103" s="629">
        <f t="shared" si="55"/>
        <v>0.443</v>
      </c>
      <c r="J103" s="629">
        <f t="shared" si="56"/>
        <v>0.443</v>
      </c>
    </row>
    <row r="104">
      <c r="A104" s="622" t="s">
        <v>1632</v>
      </c>
      <c r="B104" s="633" t="s">
        <v>1836</v>
      </c>
      <c r="J104" s="633"/>
    </row>
    <row r="105">
      <c r="A105" s="661"/>
      <c r="B105" s="662"/>
      <c r="C105" s="662"/>
      <c r="D105" s="626"/>
      <c r="E105" s="661"/>
      <c r="F105" s="661"/>
      <c r="G105" s="661"/>
      <c r="H105" s="661"/>
      <c r="I105" s="661"/>
      <c r="J105" s="661"/>
    </row>
    <row r="106">
      <c r="A106" s="654" t="s">
        <v>1785</v>
      </c>
      <c r="B106" s="655" t="s">
        <v>1837</v>
      </c>
      <c r="C106" s="656" t="s">
        <v>1838</v>
      </c>
      <c r="D106" s="655" t="s">
        <v>1788</v>
      </c>
      <c r="E106" s="657"/>
      <c r="F106" s="657"/>
      <c r="G106" s="657"/>
      <c r="H106" s="663">
        <f t="shared" ref="H106:J106" si="57">SUM(H108:H110)</f>
        <v>66.435</v>
      </c>
      <c r="I106" s="663">
        <f t="shared" si="57"/>
        <v>34.13625</v>
      </c>
      <c r="J106" s="664">
        <f t="shared" si="57"/>
        <v>100.57125</v>
      </c>
    </row>
    <row r="107">
      <c r="A107" s="622" t="s">
        <v>1732</v>
      </c>
      <c r="B107" s="622" t="s">
        <v>80</v>
      </c>
      <c r="C107" s="623" t="s">
        <v>8</v>
      </c>
      <c r="D107" s="622" t="s">
        <v>83</v>
      </c>
      <c r="E107" s="624" t="s">
        <v>1734</v>
      </c>
      <c r="F107" s="624" t="s">
        <v>1735</v>
      </c>
      <c r="G107" s="624" t="s">
        <v>1736</v>
      </c>
      <c r="H107" s="624" t="s">
        <v>1737</v>
      </c>
      <c r="I107" s="624" t="s">
        <v>1738</v>
      </c>
      <c r="J107" s="624" t="s">
        <v>14</v>
      </c>
    </row>
    <row r="108">
      <c r="A108" s="625" t="s">
        <v>218</v>
      </c>
      <c r="B108" s="626">
        <v>88264.0</v>
      </c>
      <c r="C108" s="627" t="str">
        <f>IF(A108="SINAPI-S",VLOOKUP(B108,'20-B.SINAPI-S'!A:J,2,0),IF(A108="SINAPI-I",VLOOKUP(B108,'20-A.SINAPI-I'!A:E,2,0),VLOOKUP(B108,'12.COT.MERCADO'!A:H,2,0)))</f>
        <v>ELETRICISTA COM ENCARGOS COMPLEMENTARES</v>
      </c>
      <c r="D108" s="628" t="str">
        <f>IF(A108="SINAPI-S",VLOOKUP(B108,'20-B.SINAPI-S'!A:J,3,0),IF(A108="SINAPI-I",VLOOKUP(B108,'20-A.SINAPI-I'!A:E,3,0),VLOOKUP(B108,'12.COT.MERCADO'!A:H,7,0)))</f>
        <v>H</v>
      </c>
      <c r="E108" s="629">
        <f>IF(A108="SINAPI-S",VLOOKUP(B108,'20-B.SINAPI-S'!A:J,5,0),IF(A108="SINAPI-I",VLOOKUP(B108,'20-A.SINAPI-I'!A:G,6,0),0))</f>
        <v>25.09</v>
      </c>
      <c r="F108" s="629">
        <f>IF(A108="SINAPI-S",VLOOKUP(B108,'20-B.SINAPI-S'!A:J,6,0),IF(A108="SINAPI-I",VLOOKUP(B108,'20-A.SINAPI-I'!A:G,7,0),VLOOKUP(B108,'12.COT.MERCADO'!A:H,8,0)))</f>
        <v>7.86</v>
      </c>
      <c r="G108" s="626">
        <v>1.5</v>
      </c>
      <c r="H108" s="629">
        <f t="shared" ref="H108:H110" si="58">E108*G108</f>
        <v>37.635</v>
      </c>
      <c r="I108" s="629">
        <f t="shared" ref="I108:I110" si="59">F108*G108</f>
        <v>11.79</v>
      </c>
      <c r="J108" s="629">
        <f t="shared" ref="J108:J110" si="60">I108+H108</f>
        <v>49.425</v>
      </c>
    </row>
    <row r="109">
      <c r="A109" s="625" t="s">
        <v>218</v>
      </c>
      <c r="B109" s="626">
        <v>88247.0</v>
      </c>
      <c r="C109" s="627" t="str">
        <f>IF(A109="SINAPI-S",VLOOKUP(B109,'20-B.SINAPI-S'!A:J,2,0),IF(A109="SINAPI-I",VLOOKUP(B109,'20-A.SINAPI-I'!A:E,2,0),VLOOKUP(B109,'12.COT.MERCADO'!A:H,2,0)))</f>
        <v>AUXILIAR DE ELETRICISTA COM ENCARGOS COMPLEMENTARES</v>
      </c>
      <c r="D109" s="628" t="str">
        <f>IF(A109="SINAPI-S",VLOOKUP(B109,'20-B.SINAPI-S'!A:J,3,0),IF(A109="SINAPI-I",VLOOKUP(B109,'20-A.SINAPI-I'!A:E,3,0),VLOOKUP(B109,'12.COT.MERCADO'!A:H,7,0)))</f>
        <v>H</v>
      </c>
      <c r="E109" s="629">
        <f>IF(A109="SINAPI-S",VLOOKUP(B109,'20-B.SINAPI-S'!A:J,5,0),IF(A109="SINAPI-I",VLOOKUP(B109,'20-A.SINAPI-I'!A:G,6,0),0))</f>
        <v>19.2</v>
      </c>
      <c r="F109" s="629">
        <f>IF(A109="SINAPI-S",VLOOKUP(B109,'20-B.SINAPI-S'!A:J,6,0),IF(A109="SINAPI-I",VLOOKUP(B109,'20-A.SINAPI-I'!A:G,7,0),VLOOKUP(B109,'12.COT.MERCADO'!A:H,8,0)))</f>
        <v>7.86</v>
      </c>
      <c r="G109" s="626">
        <v>1.5</v>
      </c>
      <c r="H109" s="629">
        <f t="shared" si="58"/>
        <v>28.8</v>
      </c>
      <c r="I109" s="629">
        <f t="shared" si="59"/>
        <v>11.79</v>
      </c>
      <c r="J109" s="629">
        <f t="shared" si="60"/>
        <v>40.59</v>
      </c>
    </row>
    <row r="110">
      <c r="A110" s="625" t="s">
        <v>286</v>
      </c>
      <c r="B110" s="626">
        <v>4222.0</v>
      </c>
      <c r="C110" s="627" t="str">
        <f>IF(A110="SINAPI-S",VLOOKUP(B110,'20-B.SINAPI-S'!A:J,2,0),IF(A110="SINAPI-I",VLOOKUP(B110,'20-A.SINAPI-I'!A:E,2,0),VLOOKUP(B110,'12.COT.MERCADO'!A:H,2,0)))</f>
        <v>GASOLINA COMUM</v>
      </c>
      <c r="D110" s="626" t="str">
        <f>IF(A110="SINAPI-S",VLOOKUP(B110,'20-B.SINAPI-S'!A:J,3,0),IF(A110="SINAPI-I",VLOOKUP(B110,'20-A.SINAPI-I'!A:E,3,0),VLOOKUP(B110,'12.COT.MERCADO'!A:H,7,0)))</f>
        <v>L</v>
      </c>
      <c r="E110" s="629">
        <f>IF(A110="SINAPI-S",VLOOKUP(B110,'20-B.SINAPI-S'!A:J,5,0),IF(A110="SINAPI-I",VLOOKUP(B110,'20-A.SINAPI-I'!A:G,6,0),0))</f>
        <v>0</v>
      </c>
      <c r="F110" s="629">
        <f>IF(A110="SINAPI-S",VLOOKUP(B110,'20-B.SINAPI-S'!A:J,6,0),IF(A110="SINAPI-I",VLOOKUP(B110,'20-A.SINAPI-I'!A:G,7,0),VLOOKUP(B110,'12.COT.MERCADO'!A:H,8,0)))</f>
        <v>5.63</v>
      </c>
      <c r="G110" s="626">
        <f>15/8</f>
        <v>1.875</v>
      </c>
      <c r="H110" s="629">
        <f t="shared" si="58"/>
        <v>0</v>
      </c>
      <c r="I110" s="629">
        <f t="shared" si="59"/>
        <v>10.55625</v>
      </c>
      <c r="J110" s="629">
        <f t="shared" si="60"/>
        <v>10.55625</v>
      </c>
    </row>
    <row r="111">
      <c r="A111" s="622" t="s">
        <v>1632</v>
      </c>
      <c r="B111" s="633" t="s">
        <v>1839</v>
      </c>
      <c r="J111" s="633"/>
    </row>
    <row r="112">
      <c r="A112" s="661"/>
      <c r="B112" s="662"/>
      <c r="C112" s="662"/>
      <c r="D112" s="626"/>
      <c r="E112" s="661"/>
      <c r="F112" s="661"/>
      <c r="G112" s="661"/>
      <c r="H112" s="661"/>
      <c r="I112" s="661"/>
      <c r="J112" s="661"/>
    </row>
    <row r="113">
      <c r="A113" s="654" t="s">
        <v>1785</v>
      </c>
      <c r="B113" s="655" t="s">
        <v>1840</v>
      </c>
      <c r="C113" s="656" t="s">
        <v>1841</v>
      </c>
      <c r="D113" s="655" t="s">
        <v>1788</v>
      </c>
      <c r="E113" s="657"/>
      <c r="F113" s="657"/>
      <c r="G113" s="657"/>
      <c r="H113" s="663">
        <f t="shared" ref="H113:J113" si="61">SUM(H115:H117)</f>
        <v>66.435</v>
      </c>
      <c r="I113" s="663">
        <f t="shared" si="61"/>
        <v>529.16</v>
      </c>
      <c r="J113" s="664">
        <f t="shared" si="61"/>
        <v>595.595</v>
      </c>
    </row>
    <row r="114">
      <c r="A114" s="622" t="s">
        <v>1732</v>
      </c>
      <c r="B114" s="622" t="s">
        <v>80</v>
      </c>
      <c r="C114" s="623" t="s">
        <v>8</v>
      </c>
      <c r="D114" s="622" t="s">
        <v>83</v>
      </c>
      <c r="E114" s="624" t="s">
        <v>1734</v>
      </c>
      <c r="F114" s="624" t="s">
        <v>1735</v>
      </c>
      <c r="G114" s="624" t="s">
        <v>1736</v>
      </c>
      <c r="H114" s="624" t="s">
        <v>1737</v>
      </c>
      <c r="I114" s="624" t="s">
        <v>1738</v>
      </c>
      <c r="J114" s="624" t="s">
        <v>14</v>
      </c>
    </row>
    <row r="115">
      <c r="A115" s="625" t="s">
        <v>218</v>
      </c>
      <c r="B115" s="626">
        <v>88264.0</v>
      </c>
      <c r="C115" s="627" t="str">
        <f>IF(A115="SINAPI-S",VLOOKUP(B115,'20-B.SINAPI-S'!A:J,2,0),IF(A115="SINAPI-I",VLOOKUP(B115,'20-A.SINAPI-I'!A:E,2,0),VLOOKUP(B115,'12.COT.MERCADO'!A:H,2,0)))</f>
        <v>ELETRICISTA COM ENCARGOS COMPLEMENTARES</v>
      </c>
      <c r="D115" s="628" t="str">
        <f>IF(A115="SINAPI-S",VLOOKUP(B115,'20-B.SINAPI-S'!A:J,3,0),IF(A115="SINAPI-I",VLOOKUP(B115,'20-A.SINAPI-I'!A:E,3,0),VLOOKUP(B115,'12.COT.MERCADO'!A:H,7,0)))</f>
        <v>H</v>
      </c>
      <c r="E115" s="629">
        <f>IF(A115="SINAPI-S",VLOOKUP(B115,'20-B.SINAPI-S'!A:J,5,0),IF(A115="SINAPI-I",VLOOKUP(B115,'20-A.SINAPI-I'!A:G,6,0),0))</f>
        <v>25.09</v>
      </c>
      <c r="F115" s="629">
        <f>IF(A115="SINAPI-S",VLOOKUP(B115,'20-B.SINAPI-S'!A:J,6,0),IF(A115="SINAPI-I",VLOOKUP(B115,'20-A.SINAPI-I'!A:G,7,0),VLOOKUP(B115,'12.COT.MERCADO'!A:H,8,0)))</f>
        <v>7.86</v>
      </c>
      <c r="G115" s="626">
        <v>1.5</v>
      </c>
      <c r="H115" s="629">
        <f t="shared" ref="H115:H117" si="62">E115*G115</f>
        <v>37.635</v>
      </c>
      <c r="I115" s="629">
        <f t="shared" ref="I115:I117" si="63">F115*G115</f>
        <v>11.79</v>
      </c>
      <c r="J115" s="629">
        <f t="shared" ref="J115:J117" si="64">I115+H115</f>
        <v>49.425</v>
      </c>
    </row>
    <row r="116">
      <c r="A116" s="625" t="s">
        <v>218</v>
      </c>
      <c r="B116" s="626">
        <v>88247.0</v>
      </c>
      <c r="C116" s="627" t="str">
        <f>IF(A116="SINAPI-S",VLOOKUP(B116,'20-B.SINAPI-S'!A:J,2,0),IF(A116="SINAPI-I",VLOOKUP(B116,'20-A.SINAPI-I'!A:E,2,0),VLOOKUP(B116,'12.COT.MERCADO'!A:H,2,0)))</f>
        <v>AUXILIAR DE ELETRICISTA COM ENCARGOS COMPLEMENTARES</v>
      </c>
      <c r="D116" s="628" t="str">
        <f>IF(A116="SINAPI-S",VLOOKUP(B116,'20-B.SINAPI-S'!A:J,3,0),IF(A116="SINAPI-I",VLOOKUP(B116,'20-A.SINAPI-I'!A:E,3,0),VLOOKUP(B116,'12.COT.MERCADO'!A:H,7,0)))</f>
        <v>H</v>
      </c>
      <c r="E116" s="629">
        <f>IF(A116="SINAPI-S",VLOOKUP(B116,'20-B.SINAPI-S'!A:J,5,0),IF(A116="SINAPI-I",VLOOKUP(B116,'20-A.SINAPI-I'!A:G,6,0),0))</f>
        <v>19.2</v>
      </c>
      <c r="F116" s="629">
        <f>IF(A116="SINAPI-S",VLOOKUP(B116,'20-B.SINAPI-S'!A:J,6,0),IF(A116="SINAPI-I",VLOOKUP(B116,'20-A.SINAPI-I'!A:G,7,0),VLOOKUP(B116,'12.COT.MERCADO'!A:H,8,0)))</f>
        <v>7.86</v>
      </c>
      <c r="G116" s="626">
        <v>1.5</v>
      </c>
      <c r="H116" s="629">
        <f t="shared" si="62"/>
        <v>28.8</v>
      </c>
      <c r="I116" s="629">
        <f t="shared" si="63"/>
        <v>11.79</v>
      </c>
      <c r="J116" s="629">
        <f t="shared" si="64"/>
        <v>40.59</v>
      </c>
    </row>
    <row r="117">
      <c r="A117" s="625" t="s">
        <v>110</v>
      </c>
      <c r="B117" s="626" t="s">
        <v>1842</v>
      </c>
      <c r="C117" s="660" t="str">
        <f>IF(A117="SINAPI-S",VLOOKUP(B117,'20-B.SINAPI-S'!A:J,2,0),IF(A117="SINAPI-I",VLOOKUP(B117,'20-A.SINAPI-I'!A:E,2,0),VLOOKUP(B117,'12.COT.MERCADO'!A:H,2,0)))</f>
        <v>KIT MOTOR PPA 1/4HP, 500KG, DESLIZANTE, INCLUÍNDO 2 CONTROLE E 5M DE CREMALHEIRA</v>
      </c>
      <c r="D117" s="626" t="str">
        <f>IF(A117="SINAPI-S",VLOOKUP(B117,'20-B.SINAPI-S'!A:J,3,0),IF(A117="SINAPI-I",VLOOKUP(B117,'20-A.SINAPI-I'!A:E,3,0),VLOOKUP(B117,'12.COT.MERCADO'!A:H,7,0)))</f>
        <v>UN</v>
      </c>
      <c r="E117" s="629">
        <f>IF(A117="SINAPI-S",VLOOKUP(B117,'20-B.SINAPI-S'!A:J,5,0),IF(A117="SINAPI-I",VLOOKUP(B117,'20-A.SINAPI-I'!A:G,6,0),0))</f>
        <v>0</v>
      </c>
      <c r="F117" s="634">
        <f>IF(A117="SINAPI-S",VLOOKUP(B117,'20-B.SINAPI-S'!A:J,6,0),IF(A117="SINAPI-I",VLOOKUP(B117,'20-A.SINAPI-I'!A:G,7,0),VLOOKUP(B117,'12.COT.MERCADO'!A:H,8,0)))</f>
        <v>505.58</v>
      </c>
      <c r="G117" s="626">
        <v>1.0</v>
      </c>
      <c r="H117" s="629">
        <f t="shared" si="62"/>
        <v>0</v>
      </c>
      <c r="I117" s="629">
        <f t="shared" si="63"/>
        <v>505.58</v>
      </c>
      <c r="J117" s="629">
        <f t="shared" si="64"/>
        <v>505.58</v>
      </c>
    </row>
    <row r="118">
      <c r="A118" s="622" t="s">
        <v>1632</v>
      </c>
      <c r="B118" s="633" t="s">
        <v>1843</v>
      </c>
      <c r="J118" s="633"/>
    </row>
    <row r="119">
      <c r="A119" s="661"/>
      <c r="B119" s="662"/>
      <c r="C119" s="662"/>
      <c r="D119" s="626"/>
      <c r="E119" s="661"/>
      <c r="F119" s="661"/>
      <c r="G119" s="661"/>
      <c r="H119" s="661"/>
      <c r="I119" s="661"/>
      <c r="J119" s="661"/>
    </row>
    <row r="120">
      <c r="A120" s="654" t="s">
        <v>1785</v>
      </c>
      <c r="B120" s="655" t="s">
        <v>1844</v>
      </c>
      <c r="C120" s="656" t="s">
        <v>1845</v>
      </c>
      <c r="D120" s="655" t="s">
        <v>1788</v>
      </c>
      <c r="E120" s="657"/>
      <c r="F120" s="657"/>
      <c r="G120" s="657"/>
      <c r="H120" s="663">
        <f t="shared" ref="H120:J120" si="65">SUM(H122:H124)</f>
        <v>13.287</v>
      </c>
      <c r="I120" s="663">
        <f t="shared" si="65"/>
        <v>71.126</v>
      </c>
      <c r="J120" s="664">
        <f t="shared" si="65"/>
        <v>84.413</v>
      </c>
    </row>
    <row r="121">
      <c r="A121" s="622" t="s">
        <v>1732</v>
      </c>
      <c r="B121" s="622" t="s">
        <v>80</v>
      </c>
      <c r="C121" s="623" t="s">
        <v>8</v>
      </c>
      <c r="D121" s="622" t="s">
        <v>83</v>
      </c>
      <c r="E121" s="624" t="s">
        <v>1734</v>
      </c>
      <c r="F121" s="624" t="s">
        <v>1735</v>
      </c>
      <c r="G121" s="624" t="s">
        <v>1736</v>
      </c>
      <c r="H121" s="624" t="s">
        <v>1737</v>
      </c>
      <c r="I121" s="624" t="s">
        <v>1738</v>
      </c>
      <c r="J121" s="624" t="s">
        <v>14</v>
      </c>
    </row>
    <row r="122">
      <c r="A122" s="625" t="s">
        <v>218</v>
      </c>
      <c r="B122" s="626">
        <v>88264.0</v>
      </c>
      <c r="C122" s="627" t="str">
        <f>IF(A122="SINAPI-S",VLOOKUP(B122,'20-B.SINAPI-S'!A:J,2,0),IF(A122="SINAPI-I",VLOOKUP(B122,'20-A.SINAPI-I'!A:E,2,0),VLOOKUP(B122,'12.COT.MERCADO'!A:H,2,0)))</f>
        <v>ELETRICISTA COM ENCARGOS COMPLEMENTARES</v>
      </c>
      <c r="D122" s="628" t="str">
        <f>IF(A122="SINAPI-S",VLOOKUP(B122,'20-B.SINAPI-S'!A:J,3,0),IF(A122="SINAPI-I",VLOOKUP(B122,'20-A.SINAPI-I'!A:E,3,0),VLOOKUP(B122,'12.COT.MERCADO'!A:H,7,0)))</f>
        <v>H</v>
      </c>
      <c r="E122" s="629">
        <f>IF(A122="SINAPI-S",VLOOKUP(B122,'20-B.SINAPI-S'!A:J,5,0),IF(A122="SINAPI-I",VLOOKUP(B122,'20-A.SINAPI-I'!A:G,6,0),0))</f>
        <v>25.09</v>
      </c>
      <c r="F122" s="629">
        <f>IF(A122="SINAPI-S",VLOOKUP(B122,'20-B.SINAPI-S'!A:J,6,0),IF(A122="SINAPI-I",VLOOKUP(B122,'20-A.SINAPI-I'!A:G,7,0),VLOOKUP(B122,'12.COT.MERCADO'!A:H,8,0)))</f>
        <v>7.86</v>
      </c>
      <c r="G122" s="626">
        <v>0.3</v>
      </c>
      <c r="H122" s="629">
        <f t="shared" ref="H122:H124" si="66">E122*G122</f>
        <v>7.527</v>
      </c>
      <c r="I122" s="629">
        <f t="shared" ref="I122:I124" si="67">F122*G122</f>
        <v>2.358</v>
      </c>
      <c r="J122" s="629">
        <f t="shared" ref="J122:J124" si="68">I122+H122</f>
        <v>9.885</v>
      </c>
    </row>
    <row r="123">
      <c r="A123" s="625" t="s">
        <v>218</v>
      </c>
      <c r="B123" s="626">
        <v>88247.0</v>
      </c>
      <c r="C123" s="627" t="str">
        <f>IF(A123="SINAPI-S",VLOOKUP(B123,'20-B.SINAPI-S'!A:J,2,0),IF(A123="SINAPI-I",VLOOKUP(B123,'20-A.SINAPI-I'!A:E,2,0),VLOOKUP(B123,'12.COT.MERCADO'!A:H,2,0)))</f>
        <v>AUXILIAR DE ELETRICISTA COM ENCARGOS COMPLEMENTARES</v>
      </c>
      <c r="D123" s="628" t="str">
        <f>IF(A123="SINAPI-S",VLOOKUP(B123,'20-B.SINAPI-S'!A:J,3,0),IF(A123="SINAPI-I",VLOOKUP(B123,'20-A.SINAPI-I'!A:E,3,0),VLOOKUP(B123,'12.COT.MERCADO'!A:H,7,0)))</f>
        <v>H</v>
      </c>
      <c r="E123" s="629">
        <f>IF(A123="SINAPI-S",VLOOKUP(B123,'20-B.SINAPI-S'!A:J,5,0),IF(A123="SINAPI-I",VLOOKUP(B123,'20-A.SINAPI-I'!A:G,6,0),0))</f>
        <v>19.2</v>
      </c>
      <c r="F123" s="629">
        <f>IF(A123="SINAPI-S",VLOOKUP(B123,'20-B.SINAPI-S'!A:J,6,0),IF(A123="SINAPI-I",VLOOKUP(B123,'20-A.SINAPI-I'!A:G,7,0),VLOOKUP(B123,'12.COT.MERCADO'!A:H,8,0)))</f>
        <v>7.86</v>
      </c>
      <c r="G123" s="626">
        <v>0.3</v>
      </c>
      <c r="H123" s="629">
        <f t="shared" si="66"/>
        <v>5.76</v>
      </c>
      <c r="I123" s="629">
        <f t="shared" si="67"/>
        <v>2.358</v>
      </c>
      <c r="J123" s="629">
        <f t="shared" si="68"/>
        <v>8.118</v>
      </c>
    </row>
    <row r="124">
      <c r="A124" s="625" t="s">
        <v>110</v>
      </c>
      <c r="B124" s="626" t="s">
        <v>1846</v>
      </c>
      <c r="C124" s="660" t="str">
        <f>IF(A124="SINAPI-S",VLOOKUP(B124,'20-B.SINAPI-S'!A:J,2,0),IF(A124="SINAPI-I",VLOOKUP(B124,'20-A.SINAPI-I'!A:E,2,0),VLOOKUP(B124,'12.COT.MERCADO'!A:H,2,0)))</f>
        <v>Placa Central De Comando Universal X2 Full ST IPEC Para Automatizadores</v>
      </c>
      <c r="D124" s="626" t="str">
        <f>IF(A124="SINAPI-S",VLOOKUP(B124,'20-B.SINAPI-S'!A:J,3,0),IF(A124="SINAPI-I",VLOOKUP(B124,'20-A.SINAPI-I'!A:E,3,0),VLOOKUP(B124,'12.COT.MERCADO'!A:H,7,0)))</f>
        <v>UN</v>
      </c>
      <c r="E124" s="629">
        <f>IF(A124="SINAPI-S",VLOOKUP(B124,'20-B.SINAPI-S'!A:J,5,0),IF(A124="SINAPI-I",VLOOKUP(B124,'20-A.SINAPI-I'!A:G,6,0),0))</f>
        <v>0</v>
      </c>
      <c r="F124" s="634">
        <f>IF(A124="SINAPI-S",VLOOKUP(B124,'20-B.SINAPI-S'!A:J,6,0),IF(A124="SINAPI-I",VLOOKUP(B124,'20-A.SINAPI-I'!A:G,7,0),VLOOKUP(B124,'12.COT.MERCADO'!A:H,8,0)))</f>
        <v>66.41</v>
      </c>
      <c r="G124" s="626">
        <v>1.0</v>
      </c>
      <c r="H124" s="629">
        <f t="shared" si="66"/>
        <v>0</v>
      </c>
      <c r="I124" s="629">
        <f t="shared" si="67"/>
        <v>66.41</v>
      </c>
      <c r="J124" s="629">
        <f t="shared" si="68"/>
        <v>66.41</v>
      </c>
    </row>
    <row r="125">
      <c r="A125" s="622" t="s">
        <v>1632</v>
      </c>
      <c r="B125" s="633" t="s">
        <v>1847</v>
      </c>
      <c r="J125" s="633"/>
    </row>
    <row r="126">
      <c r="A126" s="661"/>
      <c r="B126" s="662"/>
      <c r="C126" s="662"/>
      <c r="D126" s="626"/>
      <c r="E126" s="661"/>
      <c r="F126" s="661"/>
      <c r="G126" s="661"/>
      <c r="H126" s="661"/>
      <c r="I126" s="661"/>
      <c r="J126" s="661"/>
    </row>
    <row r="127">
      <c r="A127" s="654" t="s">
        <v>1785</v>
      </c>
      <c r="B127" s="655" t="s">
        <v>1848</v>
      </c>
      <c r="C127" s="656" t="s">
        <v>1849</v>
      </c>
      <c r="D127" s="655" t="s">
        <v>1788</v>
      </c>
      <c r="E127" s="657"/>
      <c r="F127" s="657"/>
      <c r="G127" s="657"/>
      <c r="H127" s="663">
        <f t="shared" ref="H127:J127" si="69">SUM(H129)</f>
        <v>10.452</v>
      </c>
      <c r="I127" s="663">
        <f t="shared" si="69"/>
        <v>4.62</v>
      </c>
      <c r="J127" s="664">
        <f t="shared" si="69"/>
        <v>15.072</v>
      </c>
    </row>
    <row r="128">
      <c r="A128" s="622" t="s">
        <v>1732</v>
      </c>
      <c r="B128" s="622" t="s">
        <v>80</v>
      </c>
      <c r="C128" s="623" t="s">
        <v>8</v>
      </c>
      <c r="D128" s="622" t="s">
        <v>83</v>
      </c>
      <c r="E128" s="624" t="s">
        <v>1734</v>
      </c>
      <c r="F128" s="624" t="s">
        <v>1735</v>
      </c>
      <c r="G128" s="624" t="s">
        <v>1736</v>
      </c>
      <c r="H128" s="624" t="s">
        <v>1737</v>
      </c>
      <c r="I128" s="624" t="s">
        <v>1738</v>
      </c>
      <c r="J128" s="624" t="s">
        <v>14</v>
      </c>
    </row>
    <row r="129">
      <c r="A129" s="625" t="s">
        <v>218</v>
      </c>
      <c r="B129" s="626">
        <v>88316.0</v>
      </c>
      <c r="C129" s="627" t="str">
        <f>IF(A129="SINAPI-S",VLOOKUP(B129,'20-B.SINAPI-S'!A:J,2,0),IF(A129="SINAPI-I",VLOOKUP(B129,'20-A.SINAPI-I'!A:E,2,0),VLOOKUP(B129,'12.COT.MERCADO'!A:H,2,0)))</f>
        <v>SERVENTE COM ENCARGOS COMPLEMENTARES</v>
      </c>
      <c r="D129" s="628" t="str">
        <f>IF(A129="SINAPI-S",VLOOKUP(B129,'20-B.SINAPI-S'!A:J,3,0),IF(A129="SINAPI-I",VLOOKUP(B129,'20-A.SINAPI-I'!A:E,3,0),VLOOKUP(B129,'12.COT.MERCADO'!A:H,7,0)))</f>
        <v>H</v>
      </c>
      <c r="E129" s="629">
        <f>IF(A129="SINAPI-S",VLOOKUP(B129,'20-B.SINAPI-S'!A:J,5,0),IF(A129="SINAPI-I",VLOOKUP(B129,'20-A.SINAPI-I'!A:G,6,0),0))</f>
        <v>17.42</v>
      </c>
      <c r="F129" s="629">
        <f>IF(A129="SINAPI-S",VLOOKUP(B129,'20-B.SINAPI-S'!A:J,6,0),IF(A129="SINAPI-I",VLOOKUP(B129,'20-A.SINAPI-I'!A:G,7,0),VLOOKUP(B129,'12.COT.MERCADO'!A:H,8,0)))</f>
        <v>7.7</v>
      </c>
      <c r="G129" s="626">
        <v>0.6</v>
      </c>
      <c r="H129" s="629">
        <f>E129*G129</f>
        <v>10.452</v>
      </c>
      <c r="I129" s="629">
        <f>F129*G129</f>
        <v>4.62</v>
      </c>
      <c r="J129" s="629">
        <f>I129+H129</f>
        <v>15.072</v>
      </c>
    </row>
    <row r="130">
      <c r="A130" s="622" t="s">
        <v>1632</v>
      </c>
      <c r="B130" s="633" t="s">
        <v>1850</v>
      </c>
      <c r="J130" s="633"/>
    </row>
    <row r="131">
      <c r="A131" s="661"/>
      <c r="B131" s="662"/>
      <c r="C131" s="662"/>
      <c r="D131" s="626"/>
      <c r="E131" s="661"/>
      <c r="F131" s="661"/>
      <c r="G131" s="661"/>
      <c r="H131" s="661"/>
      <c r="I131" s="661"/>
      <c r="J131" s="661"/>
    </row>
    <row r="132">
      <c r="A132" s="654" t="s">
        <v>1785</v>
      </c>
      <c r="B132" s="655" t="s">
        <v>1851</v>
      </c>
      <c r="C132" s="656" t="s">
        <v>1852</v>
      </c>
      <c r="D132" s="655" t="s">
        <v>1788</v>
      </c>
      <c r="E132" s="657"/>
      <c r="F132" s="657"/>
      <c r="G132" s="657"/>
      <c r="H132" s="663">
        <f t="shared" ref="H132:J132" si="70">SUM(H134:H135)</f>
        <v>265.74</v>
      </c>
      <c r="I132" s="663">
        <f t="shared" si="70"/>
        <v>94.32</v>
      </c>
      <c r="J132" s="664">
        <f t="shared" si="70"/>
        <v>360.06</v>
      </c>
    </row>
    <row r="133">
      <c r="A133" s="622" t="s">
        <v>1732</v>
      </c>
      <c r="B133" s="622" t="s">
        <v>80</v>
      </c>
      <c r="C133" s="623" t="s">
        <v>8</v>
      </c>
      <c r="D133" s="622" t="s">
        <v>83</v>
      </c>
      <c r="E133" s="624" t="s">
        <v>1734</v>
      </c>
      <c r="F133" s="624" t="s">
        <v>1735</v>
      </c>
      <c r="G133" s="624" t="s">
        <v>1736</v>
      </c>
      <c r="H133" s="624" t="s">
        <v>1737</v>
      </c>
      <c r="I133" s="624" t="s">
        <v>1738</v>
      </c>
      <c r="J133" s="624" t="s">
        <v>14</v>
      </c>
    </row>
    <row r="134">
      <c r="A134" s="625" t="s">
        <v>218</v>
      </c>
      <c r="B134" s="626">
        <v>88264.0</v>
      </c>
      <c r="C134" s="627" t="str">
        <f>IF(A134="SINAPI-S",VLOOKUP(B134,'20-B.SINAPI-S'!A:J,2,0),IF(A134="SINAPI-I",VLOOKUP(B134,'20-A.SINAPI-I'!A:E,2,0),VLOOKUP(B134,'12.COT.MERCADO'!A:H,2,0)))</f>
        <v>ELETRICISTA COM ENCARGOS COMPLEMENTARES</v>
      </c>
      <c r="D134" s="628" t="str">
        <f>IF(A134="SINAPI-S",VLOOKUP(B134,'20-B.SINAPI-S'!A:J,3,0),IF(A134="SINAPI-I",VLOOKUP(B134,'20-A.SINAPI-I'!A:E,3,0),VLOOKUP(B134,'12.COT.MERCADO'!A:H,7,0)))</f>
        <v>H</v>
      </c>
      <c r="E134" s="629">
        <f>IF(A134="SINAPI-S",VLOOKUP(B134,'20-B.SINAPI-S'!A:J,5,0),IF(A134="SINAPI-I",VLOOKUP(B134,'20-A.SINAPI-I'!A:G,6,0),0))</f>
        <v>25.09</v>
      </c>
      <c r="F134" s="629">
        <f>IF(A134="SINAPI-S",VLOOKUP(B134,'20-B.SINAPI-S'!A:J,6,0),IF(A134="SINAPI-I",VLOOKUP(B134,'20-A.SINAPI-I'!A:G,7,0),VLOOKUP(B134,'12.COT.MERCADO'!A:H,8,0)))</f>
        <v>7.86</v>
      </c>
      <c r="G134" s="626">
        <v>6.0</v>
      </c>
      <c r="H134" s="629">
        <f t="shared" ref="H134:H135" si="71">E134*G134</f>
        <v>150.54</v>
      </c>
      <c r="I134" s="629">
        <f t="shared" ref="I134:I135" si="72">F134*G134</f>
        <v>47.16</v>
      </c>
      <c r="J134" s="629">
        <f t="shared" ref="J134:J135" si="73">I134+H134</f>
        <v>197.7</v>
      </c>
    </row>
    <row r="135">
      <c r="A135" s="625" t="s">
        <v>218</v>
      </c>
      <c r="B135" s="626">
        <v>88247.0</v>
      </c>
      <c r="C135" s="627" t="str">
        <f>IF(A135="SINAPI-S",VLOOKUP(B135,'20-B.SINAPI-S'!A:J,2,0),IF(A135="SINAPI-I",VLOOKUP(B135,'20-A.SINAPI-I'!A:E,2,0),VLOOKUP(B135,'12.COT.MERCADO'!A:H,2,0)))</f>
        <v>AUXILIAR DE ELETRICISTA COM ENCARGOS COMPLEMENTARES</v>
      </c>
      <c r="D135" s="628" t="str">
        <f>IF(A135="SINAPI-S",VLOOKUP(B135,'20-B.SINAPI-S'!A:J,3,0),IF(A135="SINAPI-I",VLOOKUP(B135,'20-A.SINAPI-I'!A:E,3,0),VLOOKUP(B135,'12.COT.MERCADO'!A:H,7,0)))</f>
        <v>H</v>
      </c>
      <c r="E135" s="629">
        <f>IF(A135="SINAPI-S",VLOOKUP(B135,'20-B.SINAPI-S'!A:J,5,0),IF(A135="SINAPI-I",VLOOKUP(B135,'20-A.SINAPI-I'!A:G,6,0),0))</f>
        <v>19.2</v>
      </c>
      <c r="F135" s="629">
        <f>IF(A135="SINAPI-S",VLOOKUP(B135,'20-B.SINAPI-S'!A:J,6,0),IF(A135="SINAPI-I",VLOOKUP(B135,'20-A.SINAPI-I'!A:G,7,0),VLOOKUP(B135,'12.COT.MERCADO'!A:H,8,0)))</f>
        <v>7.86</v>
      </c>
      <c r="G135" s="626">
        <v>6.0</v>
      </c>
      <c r="H135" s="629">
        <f t="shared" si="71"/>
        <v>115.2</v>
      </c>
      <c r="I135" s="629">
        <f t="shared" si="72"/>
        <v>47.16</v>
      </c>
      <c r="J135" s="629">
        <f t="shared" si="73"/>
        <v>162.36</v>
      </c>
    </row>
    <row r="136">
      <c r="A136" s="622" t="s">
        <v>1632</v>
      </c>
      <c r="B136" s="633" t="s">
        <v>1853</v>
      </c>
      <c r="J136" s="633"/>
    </row>
    <row r="137">
      <c r="A137" s="661"/>
      <c r="B137" s="662"/>
      <c r="C137" s="662"/>
      <c r="D137" s="626"/>
      <c r="E137" s="661"/>
      <c r="F137" s="661"/>
      <c r="G137" s="661"/>
      <c r="H137" s="661"/>
      <c r="I137" s="661"/>
      <c r="J137" s="661"/>
    </row>
    <row r="138">
      <c r="A138" s="654" t="s">
        <v>1785</v>
      </c>
      <c r="B138" s="655" t="s">
        <v>1854</v>
      </c>
      <c r="C138" s="656" t="s">
        <v>1855</v>
      </c>
      <c r="D138" s="655" t="s">
        <v>1788</v>
      </c>
      <c r="E138" s="657"/>
      <c r="F138" s="657"/>
      <c r="G138" s="657"/>
      <c r="H138" s="663">
        <f t="shared" ref="H138:J138" si="74">SUM(H140:H143)</f>
        <v>84.04</v>
      </c>
      <c r="I138" s="663">
        <f t="shared" si="74"/>
        <v>48.963668</v>
      </c>
      <c r="J138" s="664">
        <f t="shared" si="74"/>
        <v>133.003668</v>
      </c>
    </row>
    <row r="139">
      <c r="A139" s="622" t="s">
        <v>1732</v>
      </c>
      <c r="B139" s="622" t="s">
        <v>80</v>
      </c>
      <c r="C139" s="623" t="s">
        <v>8</v>
      </c>
      <c r="D139" s="622" t="s">
        <v>83</v>
      </c>
      <c r="E139" s="624" t="s">
        <v>1734</v>
      </c>
      <c r="F139" s="624" t="s">
        <v>1735</v>
      </c>
      <c r="G139" s="624" t="s">
        <v>1736</v>
      </c>
      <c r="H139" s="624" t="s">
        <v>1737</v>
      </c>
      <c r="I139" s="624" t="s">
        <v>1738</v>
      </c>
      <c r="J139" s="624" t="s">
        <v>14</v>
      </c>
    </row>
    <row r="140">
      <c r="A140" s="625" t="s">
        <v>218</v>
      </c>
      <c r="B140" s="626">
        <v>88267.0</v>
      </c>
      <c r="C140" s="627" t="str">
        <f>IF(A140="SINAPI-S",VLOOKUP(B140,'20-B.SINAPI-S'!A:J,2,0),IF(A140="SINAPI-I",VLOOKUP(B140,'20-A.SINAPI-I'!A:E,2,0),VLOOKUP(B140,'12.COT.MERCADO'!A:H,2,0)))</f>
        <v>ENCANADOR OU BOMBEIRO HIDRÁULICO COM ENCARGOS COMPLEMENTARES</v>
      </c>
      <c r="D140" s="628" t="str">
        <f>IF(A140="SINAPI-S",VLOOKUP(B140,'20-B.SINAPI-S'!A:J,3,0),IF(A140="SINAPI-I",VLOOKUP(B140,'20-A.SINAPI-I'!A:E,3,0),VLOOKUP(B140,'12.COT.MERCADO'!A:H,7,0)))</f>
        <v>H</v>
      </c>
      <c r="E140" s="629">
        <f>IF(A140="SINAPI-S",VLOOKUP(B140,'20-B.SINAPI-S'!A:J,5,0),IF(A140="SINAPI-I",VLOOKUP(B140,'20-A.SINAPI-I'!A:G,6,0),0))</f>
        <v>24.6</v>
      </c>
      <c r="F140" s="629">
        <f>IF(A140="SINAPI-S",VLOOKUP(B140,'20-B.SINAPI-S'!A:J,6,0),IF(A140="SINAPI-I",VLOOKUP(B140,'20-A.SINAPI-I'!A:G,7,0),VLOOKUP(B140,'12.COT.MERCADO'!A:H,8,0)))</f>
        <v>7.19</v>
      </c>
      <c r="G140" s="626">
        <v>2.0</v>
      </c>
      <c r="H140" s="629">
        <f t="shared" ref="H140:H143" si="75">E140*G140</f>
        <v>49.2</v>
      </c>
      <c r="I140" s="629">
        <f t="shared" ref="I140:I143" si="76">F140*G140</f>
        <v>14.38</v>
      </c>
      <c r="J140" s="629">
        <f t="shared" ref="J140:J143" si="77">I140+H140</f>
        <v>63.58</v>
      </c>
    </row>
    <row r="141">
      <c r="A141" s="625" t="s">
        <v>218</v>
      </c>
      <c r="B141" s="626">
        <v>88316.0</v>
      </c>
      <c r="C141" s="627" t="str">
        <f>IF(A141="SINAPI-S",VLOOKUP(B141,'20-B.SINAPI-S'!A:J,2,0),IF(A141="SINAPI-I",VLOOKUP(B141,'20-A.SINAPI-I'!A:E,2,0),VLOOKUP(B141,'12.COT.MERCADO'!A:H,2,0)))</f>
        <v>SERVENTE COM ENCARGOS COMPLEMENTARES</v>
      </c>
      <c r="D141" s="628" t="str">
        <f>IF(A141="SINAPI-S",VLOOKUP(B141,'20-B.SINAPI-S'!A:J,3,0),IF(A141="SINAPI-I",VLOOKUP(B141,'20-A.SINAPI-I'!A:E,3,0),VLOOKUP(B141,'12.COT.MERCADO'!A:H,7,0)))</f>
        <v>H</v>
      </c>
      <c r="E141" s="629">
        <f>IF(A141="SINAPI-S",VLOOKUP(B141,'20-B.SINAPI-S'!A:J,5,0),IF(A141="SINAPI-I",VLOOKUP(B141,'20-A.SINAPI-I'!A:G,6,0),0))</f>
        <v>17.42</v>
      </c>
      <c r="F141" s="629">
        <f>IF(A141="SINAPI-S",VLOOKUP(B141,'20-B.SINAPI-S'!A:J,6,0),IF(A141="SINAPI-I",VLOOKUP(B141,'20-A.SINAPI-I'!A:G,7,0),VLOOKUP(B141,'12.COT.MERCADO'!A:H,8,0)))</f>
        <v>7.7</v>
      </c>
      <c r="G141" s="626">
        <v>2.0</v>
      </c>
      <c r="H141" s="629">
        <f t="shared" si="75"/>
        <v>34.84</v>
      </c>
      <c r="I141" s="629">
        <f t="shared" si="76"/>
        <v>15.4</v>
      </c>
      <c r="J141" s="629">
        <f t="shared" si="77"/>
        <v>50.24</v>
      </c>
    </row>
    <row r="142">
      <c r="A142" s="625" t="s">
        <v>286</v>
      </c>
      <c r="B142" s="626">
        <v>6138.0</v>
      </c>
      <c r="C142" s="627" t="str">
        <f>IF(A142="SINAPI-S",VLOOKUP(B142,'20-B.SINAPI-S'!A:J,2,0),IF(A142="SINAPI-I",VLOOKUP(B142,'20-A.SINAPI-I'!A:E,2,0),VLOOKUP(B142,'12.COT.MERCADO'!A:H,2,0)))</f>
        <v>ANEL DE VEDACAO, PVC FLEXIVEL, 100 MM, PARA SAIDA DE BACIA / VASO SANITARIO</v>
      </c>
      <c r="D142" s="626" t="str">
        <f>IF(A142="SINAPI-S",VLOOKUP(B142,'20-B.SINAPI-S'!A:J,3,0),IF(A142="SINAPI-I",VLOOKUP(B142,'20-A.SINAPI-I'!A:E,3,0),VLOOKUP(B142,'12.COT.MERCADO'!A:H,7,0)))</f>
        <v>UN</v>
      </c>
      <c r="E142" s="629">
        <f>IF(A142="SINAPI-S",VLOOKUP(B142,'20-B.SINAPI-S'!A:J,5,0),IF(A142="SINAPI-I",VLOOKUP(B142,'20-A.SINAPI-I'!A:G,6,0),0))</f>
        <v>0</v>
      </c>
      <c r="F142" s="629">
        <f>IF(A142="SINAPI-S",VLOOKUP(B142,'20-B.SINAPI-S'!A:J,6,0),IF(A142="SINAPI-I",VLOOKUP(B142,'20-A.SINAPI-I'!A:G,7,0),VLOOKUP(B142,'12.COT.MERCADO'!A:H,8,0)))</f>
        <v>11.23</v>
      </c>
      <c r="G142" s="626">
        <v>1.0</v>
      </c>
      <c r="H142" s="629">
        <f t="shared" si="75"/>
        <v>0</v>
      </c>
      <c r="I142" s="629">
        <f t="shared" si="76"/>
        <v>11.23</v>
      </c>
      <c r="J142" s="629">
        <f t="shared" si="77"/>
        <v>11.23</v>
      </c>
    </row>
    <row r="143">
      <c r="A143" s="625" t="s">
        <v>286</v>
      </c>
      <c r="B143" s="626">
        <v>37329.0</v>
      </c>
      <c r="C143" s="627" t="str">
        <f>IF(A143="SINAPI-S",VLOOKUP(B143,'20-B.SINAPI-S'!A:J,2,0),IF(A143="SINAPI-I",VLOOKUP(B143,'20-A.SINAPI-I'!A:E,2,0),VLOOKUP(B143,'12.COT.MERCADO'!A:H,2,0)))</f>
        <v>REJUNTE EPOXI, QUALQUER COR</v>
      </c>
      <c r="D143" s="626" t="str">
        <f>IF(A143="SINAPI-S",VLOOKUP(B143,'20-B.SINAPI-S'!A:J,3,0),IF(A143="SINAPI-I",VLOOKUP(B143,'20-A.SINAPI-I'!A:E,3,0),VLOOKUP(B143,'12.COT.MERCADO'!A:H,7,0)))</f>
        <v>KG</v>
      </c>
      <c r="E143" s="629">
        <f>IF(A143="SINAPI-S",VLOOKUP(B143,'20-B.SINAPI-S'!A:J,5,0),IF(A143="SINAPI-I",VLOOKUP(B143,'20-A.SINAPI-I'!A:G,6,0),0))</f>
        <v>0</v>
      </c>
      <c r="F143" s="629">
        <f>IF(A143="SINAPI-S",VLOOKUP(B143,'20-B.SINAPI-S'!A:J,6,0),IF(A143="SINAPI-I",VLOOKUP(B143,'20-A.SINAPI-I'!A:G,7,0),VLOOKUP(B143,'12.COT.MERCADO'!A:H,8,0)))</f>
        <v>90.28</v>
      </c>
      <c r="G143" s="626">
        <v>0.0881</v>
      </c>
      <c r="H143" s="629">
        <f t="shared" si="75"/>
        <v>0</v>
      </c>
      <c r="I143" s="629">
        <f t="shared" si="76"/>
        <v>7.953668</v>
      </c>
      <c r="J143" s="629">
        <f t="shared" si="77"/>
        <v>7.953668</v>
      </c>
    </row>
    <row r="144">
      <c r="A144" s="622" t="s">
        <v>1632</v>
      </c>
      <c r="B144" s="633" t="s">
        <v>1856</v>
      </c>
      <c r="J144" s="633"/>
    </row>
    <row r="145">
      <c r="A145" s="661"/>
      <c r="B145" s="662"/>
      <c r="C145" s="662"/>
      <c r="D145" s="626"/>
      <c r="E145" s="661"/>
      <c r="F145" s="661"/>
      <c r="G145" s="661"/>
      <c r="H145" s="661"/>
      <c r="I145" s="661"/>
      <c r="J145" s="661"/>
    </row>
    <row r="146">
      <c r="A146" s="654" t="s">
        <v>1785</v>
      </c>
      <c r="B146" s="655" t="s">
        <v>1857</v>
      </c>
      <c r="C146" s="656" t="s">
        <v>1858</v>
      </c>
      <c r="D146" s="655" t="s">
        <v>1788</v>
      </c>
      <c r="E146" s="657"/>
      <c r="F146" s="657"/>
      <c r="G146" s="657"/>
      <c r="H146" s="663">
        <f t="shared" ref="H146:J146" si="78">SUM(H148:H149)</f>
        <v>14.1125</v>
      </c>
      <c r="I146" s="663">
        <f t="shared" si="78"/>
        <v>3.93</v>
      </c>
      <c r="J146" s="664">
        <f t="shared" si="78"/>
        <v>18.0425</v>
      </c>
    </row>
    <row r="147">
      <c r="A147" s="622" t="s">
        <v>1732</v>
      </c>
      <c r="B147" s="622" t="s">
        <v>80</v>
      </c>
      <c r="C147" s="623" t="s">
        <v>8</v>
      </c>
      <c r="D147" s="622" t="s">
        <v>83</v>
      </c>
      <c r="E147" s="624" t="s">
        <v>1734</v>
      </c>
      <c r="F147" s="624" t="s">
        <v>1735</v>
      </c>
      <c r="G147" s="624" t="s">
        <v>1736</v>
      </c>
      <c r="H147" s="624" t="s">
        <v>1737</v>
      </c>
      <c r="I147" s="624" t="s">
        <v>1738</v>
      </c>
      <c r="J147" s="624" t="s">
        <v>14</v>
      </c>
    </row>
    <row r="148">
      <c r="A148" s="625" t="s">
        <v>218</v>
      </c>
      <c r="B148" s="626">
        <v>88264.0</v>
      </c>
      <c r="C148" s="627" t="str">
        <f>IF(A148="SINAPI-S",VLOOKUP(B148,'20-B.SINAPI-S'!A:J,2,0),IF(A148="SINAPI-I",VLOOKUP(B148,'20-A.SINAPI-I'!A:E,2,0),VLOOKUP(B148,'12.COT.MERCADO'!A:H,2,0)))</f>
        <v>ELETRICISTA COM ENCARGOS COMPLEMENTARES</v>
      </c>
      <c r="D148" s="628" t="str">
        <f>IF(A148="SINAPI-S",VLOOKUP(B148,'20-B.SINAPI-S'!A:J,3,0),IF(A148="SINAPI-I",VLOOKUP(B148,'20-A.SINAPI-I'!A:E,3,0),VLOOKUP(B148,'12.COT.MERCADO'!A:H,7,0)))</f>
        <v>H</v>
      </c>
      <c r="E148" s="629">
        <f>IF(A148="SINAPI-S",VLOOKUP(B148,'20-B.SINAPI-S'!A:J,5,0),IF(A148="SINAPI-I",VLOOKUP(B148,'20-A.SINAPI-I'!A:G,6,0),0))</f>
        <v>25.09</v>
      </c>
      <c r="F148" s="629">
        <f>IF(A148="SINAPI-S",VLOOKUP(B148,'20-B.SINAPI-S'!A:J,6,0),IF(A148="SINAPI-I",VLOOKUP(B148,'20-A.SINAPI-I'!A:G,7,0),VLOOKUP(B148,'12.COT.MERCADO'!A:H,8,0)))</f>
        <v>7.86</v>
      </c>
      <c r="G148" s="626">
        <v>0.25</v>
      </c>
      <c r="H148" s="629">
        <f t="shared" ref="H148:H149" si="79">E148*G148</f>
        <v>6.2725</v>
      </c>
      <c r="I148" s="629">
        <f t="shared" ref="I148:I149" si="80">F148*G148</f>
        <v>1.965</v>
      </c>
      <c r="J148" s="629">
        <f t="shared" ref="J148:J149" si="81">I148+H148</f>
        <v>8.2375</v>
      </c>
    </row>
    <row r="149">
      <c r="A149" s="625" t="s">
        <v>218</v>
      </c>
      <c r="B149" s="626">
        <v>88266.0</v>
      </c>
      <c r="C149" s="627" t="str">
        <f>IF(A149="SINAPI-S",VLOOKUP(B149,'20-B.SINAPI-S'!A:J,2,0),IF(A149="SINAPI-I",VLOOKUP(B149,'20-A.SINAPI-I'!A:E,2,0),VLOOKUP(B149,'12.COT.MERCADO'!A:H,2,0)))</f>
        <v>ELETROTÉCNICO COM ENCARGOS COMPLEMENTARES</v>
      </c>
      <c r="D149" s="628" t="str">
        <f>IF(A149="SINAPI-S",VLOOKUP(B149,'20-B.SINAPI-S'!A:J,3,0),IF(A149="SINAPI-I",VLOOKUP(B149,'20-A.SINAPI-I'!A:E,3,0),VLOOKUP(B149,'12.COT.MERCADO'!A:H,7,0)))</f>
        <v>H</v>
      </c>
      <c r="E149" s="629">
        <f>IF(A149="SINAPI-S",VLOOKUP(B149,'20-B.SINAPI-S'!A:J,5,0),IF(A149="SINAPI-I",VLOOKUP(B149,'20-A.SINAPI-I'!A:G,6,0),0))</f>
        <v>31.36</v>
      </c>
      <c r="F149" s="629">
        <f>IF(A149="SINAPI-S",VLOOKUP(B149,'20-B.SINAPI-S'!A:J,6,0),IF(A149="SINAPI-I",VLOOKUP(B149,'20-A.SINAPI-I'!A:G,7,0),VLOOKUP(B149,'12.COT.MERCADO'!A:H,8,0)))</f>
        <v>7.86</v>
      </c>
      <c r="G149" s="626">
        <v>0.25</v>
      </c>
      <c r="H149" s="629">
        <f t="shared" si="79"/>
        <v>7.84</v>
      </c>
      <c r="I149" s="629">
        <f t="shared" si="80"/>
        <v>1.965</v>
      </c>
      <c r="J149" s="629">
        <f t="shared" si="81"/>
        <v>9.805</v>
      </c>
    </row>
    <row r="150">
      <c r="A150" s="622" t="s">
        <v>1632</v>
      </c>
      <c r="B150" s="633" t="s">
        <v>1859</v>
      </c>
      <c r="J150" s="633"/>
    </row>
    <row r="151">
      <c r="A151" s="661"/>
      <c r="B151" s="662"/>
      <c r="C151" s="662"/>
      <c r="D151" s="626"/>
      <c r="E151" s="661"/>
      <c r="F151" s="661"/>
      <c r="G151" s="661"/>
      <c r="H151" s="661"/>
      <c r="I151" s="661"/>
      <c r="J151" s="661"/>
    </row>
    <row r="152">
      <c r="A152" s="654" t="s">
        <v>1785</v>
      </c>
      <c r="B152" s="655" t="s">
        <v>1860</v>
      </c>
      <c r="C152" s="656" t="s">
        <v>1861</v>
      </c>
      <c r="D152" s="655" t="s">
        <v>1788</v>
      </c>
      <c r="E152" s="657"/>
      <c r="F152" s="657"/>
      <c r="G152" s="657"/>
      <c r="H152" s="663">
        <f t="shared" ref="H152:J152" si="82">SUM(H154:H155)</f>
        <v>91.87668</v>
      </c>
      <c r="I152" s="663">
        <f t="shared" si="82"/>
        <v>34.90452</v>
      </c>
      <c r="J152" s="664">
        <f t="shared" si="82"/>
        <v>126.7812</v>
      </c>
    </row>
    <row r="153">
      <c r="A153" s="622" t="s">
        <v>1732</v>
      </c>
      <c r="B153" s="622" t="s">
        <v>80</v>
      </c>
      <c r="C153" s="623" t="s">
        <v>8</v>
      </c>
      <c r="D153" s="622" t="s">
        <v>83</v>
      </c>
      <c r="E153" s="624" t="s">
        <v>1734</v>
      </c>
      <c r="F153" s="624" t="s">
        <v>1735</v>
      </c>
      <c r="G153" s="624" t="s">
        <v>1736</v>
      </c>
      <c r="H153" s="624" t="s">
        <v>1737</v>
      </c>
      <c r="I153" s="624" t="s">
        <v>1738</v>
      </c>
      <c r="J153" s="624" t="s">
        <v>14</v>
      </c>
    </row>
    <row r="154">
      <c r="A154" s="625" t="s">
        <v>218</v>
      </c>
      <c r="B154" s="626">
        <v>88261.0</v>
      </c>
      <c r="C154" s="627" t="str">
        <f>IF(A154="SINAPI-S",VLOOKUP(B154,'20-B.SINAPI-S'!A:J,2,0),IF(A154="SINAPI-I",VLOOKUP(B154,'20-A.SINAPI-I'!A:E,2,0),VLOOKUP(B154,'12.COT.MERCADO'!A:H,2,0)))</f>
        <v>CARPINTEIRO DE ESQUADRIA COM ENCARGOS COMPLEMENTARES</v>
      </c>
      <c r="D154" s="628" t="str">
        <f>IF(A154="SINAPI-S",VLOOKUP(B154,'20-B.SINAPI-S'!A:J,3,0),IF(A154="SINAPI-I",VLOOKUP(B154,'20-A.SINAPI-I'!A:E,3,0),VLOOKUP(B154,'12.COT.MERCADO'!A:H,7,0)))</f>
        <v>H</v>
      </c>
      <c r="E154" s="629">
        <f>IF(A154="SINAPI-S",VLOOKUP(B154,'20-B.SINAPI-S'!A:J,5,0),IF(A154="SINAPI-I",VLOOKUP(B154,'20-A.SINAPI-I'!A:G,6,0),0))</f>
        <v>23.09</v>
      </c>
      <c r="F154" s="629">
        <f>IF(A154="SINAPI-S",VLOOKUP(B154,'20-B.SINAPI-S'!A:J,6,0),IF(A154="SINAPI-I",VLOOKUP(B154,'20-A.SINAPI-I'!A:G,7,0),VLOOKUP(B154,'12.COT.MERCADO'!A:H,8,0)))</f>
        <v>7.69</v>
      </c>
      <c r="G154" s="626">
        <f t="shared" ref="G154:G155" si="83">(0.2+0.4)*2*0.9*2.1</f>
        <v>2.268</v>
      </c>
      <c r="H154" s="629">
        <f t="shared" ref="H154:H155" si="84">E154*G154</f>
        <v>52.36812</v>
      </c>
      <c r="I154" s="629">
        <f t="shared" ref="I154:I155" si="85">F154*G154</f>
        <v>17.44092</v>
      </c>
      <c r="J154" s="629">
        <f t="shared" ref="J154:J155" si="86">I154+H154</f>
        <v>69.80904</v>
      </c>
    </row>
    <row r="155">
      <c r="A155" s="625" t="s">
        <v>218</v>
      </c>
      <c r="B155" s="626">
        <v>88316.0</v>
      </c>
      <c r="C155" s="627" t="str">
        <f>IF(A155="SINAPI-S",VLOOKUP(B155,'20-B.SINAPI-S'!A:J,2,0),IF(A155="SINAPI-I",VLOOKUP(B155,'20-A.SINAPI-I'!A:E,2,0),VLOOKUP(B155,'12.COT.MERCADO'!A:H,2,0)))</f>
        <v>SERVENTE COM ENCARGOS COMPLEMENTARES</v>
      </c>
      <c r="D155" s="628" t="str">
        <f>IF(A155="SINAPI-S",VLOOKUP(B155,'20-B.SINAPI-S'!A:J,3,0),IF(A155="SINAPI-I",VLOOKUP(B155,'20-A.SINAPI-I'!A:E,3,0),VLOOKUP(B155,'12.COT.MERCADO'!A:H,7,0)))</f>
        <v>H</v>
      </c>
      <c r="E155" s="629">
        <f>IF(A155="SINAPI-S",VLOOKUP(B155,'20-B.SINAPI-S'!A:J,5,0),IF(A155="SINAPI-I",VLOOKUP(B155,'20-A.SINAPI-I'!A:G,6,0),0))</f>
        <v>17.42</v>
      </c>
      <c r="F155" s="629">
        <f>IF(A155="SINAPI-S",VLOOKUP(B155,'20-B.SINAPI-S'!A:J,6,0),IF(A155="SINAPI-I",VLOOKUP(B155,'20-A.SINAPI-I'!A:G,7,0),VLOOKUP(B155,'12.COT.MERCADO'!A:H,8,0)))</f>
        <v>7.7</v>
      </c>
      <c r="G155" s="626">
        <f t="shared" si="83"/>
        <v>2.268</v>
      </c>
      <c r="H155" s="629">
        <f t="shared" si="84"/>
        <v>39.50856</v>
      </c>
      <c r="I155" s="629">
        <f t="shared" si="85"/>
        <v>17.4636</v>
      </c>
      <c r="J155" s="629">
        <f t="shared" si="86"/>
        <v>56.97216</v>
      </c>
    </row>
    <row r="156">
      <c r="A156" s="622" t="s">
        <v>1632</v>
      </c>
      <c r="B156" s="633" t="s">
        <v>1862</v>
      </c>
      <c r="J156" s="633"/>
    </row>
    <row r="157">
      <c r="A157" s="661"/>
      <c r="B157" s="662"/>
      <c r="C157" s="662"/>
      <c r="D157" s="626"/>
      <c r="E157" s="661"/>
      <c r="F157" s="661"/>
      <c r="G157" s="661"/>
      <c r="H157" s="661"/>
      <c r="I157" s="661"/>
      <c r="J157" s="661"/>
    </row>
    <row r="158">
      <c r="A158" s="654" t="s">
        <v>1785</v>
      </c>
      <c r="B158" s="655" t="s">
        <v>1863</v>
      </c>
      <c r="C158" s="656" t="s">
        <v>1864</v>
      </c>
      <c r="D158" s="655" t="s">
        <v>1788</v>
      </c>
      <c r="E158" s="657"/>
      <c r="F158" s="657"/>
      <c r="G158" s="657"/>
      <c r="H158" s="663">
        <f t="shared" ref="H158:J158" si="87">SUM(H160:H161)</f>
        <v>23.155886</v>
      </c>
      <c r="I158" s="663">
        <f t="shared" si="87"/>
        <v>7.668854</v>
      </c>
      <c r="J158" s="664">
        <f t="shared" si="87"/>
        <v>30.82474</v>
      </c>
    </row>
    <row r="159">
      <c r="A159" s="622" t="s">
        <v>1732</v>
      </c>
      <c r="B159" s="622" t="s">
        <v>80</v>
      </c>
      <c r="C159" s="623" t="s">
        <v>8</v>
      </c>
      <c r="D159" s="622" t="s">
        <v>83</v>
      </c>
      <c r="E159" s="624" t="s">
        <v>1734</v>
      </c>
      <c r="F159" s="624" t="s">
        <v>1735</v>
      </c>
      <c r="G159" s="624" t="s">
        <v>1736</v>
      </c>
      <c r="H159" s="624" t="s">
        <v>1737</v>
      </c>
      <c r="I159" s="624" t="s">
        <v>1738</v>
      </c>
      <c r="J159" s="624" t="s">
        <v>14</v>
      </c>
    </row>
    <row r="160">
      <c r="A160" s="625" t="s">
        <v>218</v>
      </c>
      <c r="B160" s="626">
        <v>88267.0</v>
      </c>
      <c r="C160" s="627" t="str">
        <f>IF(A160="SINAPI-S",VLOOKUP(B160,'20-B.SINAPI-S'!A:J,2,0),IF(A160="SINAPI-I",VLOOKUP(B160,'20-A.SINAPI-I'!A:E,2,0),VLOOKUP(B160,'12.COT.MERCADO'!A:H,2,0)))</f>
        <v>ENCANADOR OU BOMBEIRO HIDRÁULICO COM ENCARGOS COMPLEMENTARES</v>
      </c>
      <c r="D160" s="628" t="str">
        <f>IF(A160="SINAPI-S",VLOOKUP(B160,'20-B.SINAPI-S'!A:J,3,0),IF(A160="SINAPI-I",VLOOKUP(B160,'20-A.SINAPI-I'!A:E,3,0),VLOOKUP(B160,'12.COT.MERCADO'!A:H,7,0)))</f>
        <v>H</v>
      </c>
      <c r="E160" s="629">
        <f>IF(A160="SINAPI-S",VLOOKUP(B160,'20-B.SINAPI-S'!A:J,5,0),IF(A160="SINAPI-I",VLOOKUP(B160,'20-A.SINAPI-I'!A:G,6,0),0))</f>
        <v>24.6</v>
      </c>
      <c r="F160" s="629">
        <f>IF(A160="SINAPI-S",VLOOKUP(B160,'20-B.SINAPI-S'!A:J,6,0),IF(A160="SINAPI-I",VLOOKUP(B160,'20-A.SINAPI-I'!A:G,7,0),VLOOKUP(B160,'12.COT.MERCADO'!A:H,8,0)))</f>
        <v>7.19</v>
      </c>
      <c r="G160" s="626">
        <v>0.5333</v>
      </c>
      <c r="H160" s="629">
        <f t="shared" ref="H160:H161" si="88">E160*G160</f>
        <v>13.11918</v>
      </c>
      <c r="I160" s="629">
        <f t="shared" ref="I160:I161" si="89">F160*G160</f>
        <v>3.834427</v>
      </c>
      <c r="J160" s="629">
        <f t="shared" ref="J160:J161" si="90">I160+H160</f>
        <v>16.953607</v>
      </c>
    </row>
    <row r="161">
      <c r="A161" s="625" t="s">
        <v>218</v>
      </c>
      <c r="B161" s="626">
        <v>88248.0</v>
      </c>
      <c r="C161" s="627" t="str">
        <f>IF(A161="SINAPI-S",VLOOKUP(B161,'20-B.SINAPI-S'!A:J,2,0),IF(A161="SINAPI-I",VLOOKUP(B161,'20-A.SINAPI-I'!A:E,2,0),VLOOKUP(B161,'12.COT.MERCADO'!A:H,2,0)))</f>
        <v>AUXILIAR DE ENCANADOR OU BOMBEIRO HIDRÁULICO COM ENCARGOS COMPLEMENTARES</v>
      </c>
      <c r="D161" s="628" t="str">
        <f>IF(A161="SINAPI-S",VLOOKUP(B161,'20-B.SINAPI-S'!A:J,3,0),IF(A161="SINAPI-I",VLOOKUP(B161,'20-A.SINAPI-I'!A:E,3,0),VLOOKUP(B161,'12.COT.MERCADO'!A:H,7,0)))</f>
        <v>H</v>
      </c>
      <c r="E161" s="629">
        <f>IF(A161="SINAPI-S",VLOOKUP(B161,'20-B.SINAPI-S'!A:J,5,0),IF(A161="SINAPI-I",VLOOKUP(B161,'20-A.SINAPI-I'!A:G,6,0),0))</f>
        <v>18.82</v>
      </c>
      <c r="F161" s="629">
        <f>IF(A161="SINAPI-S",VLOOKUP(B161,'20-B.SINAPI-S'!A:J,6,0),IF(A161="SINAPI-I",VLOOKUP(B161,'20-A.SINAPI-I'!A:G,7,0),VLOOKUP(B161,'12.COT.MERCADO'!A:H,8,0)))</f>
        <v>7.19</v>
      </c>
      <c r="G161" s="626">
        <v>0.5333</v>
      </c>
      <c r="H161" s="629">
        <f t="shared" si="88"/>
        <v>10.036706</v>
      </c>
      <c r="I161" s="629">
        <f t="shared" si="89"/>
        <v>3.834427</v>
      </c>
      <c r="J161" s="629">
        <f t="shared" si="90"/>
        <v>13.871133</v>
      </c>
    </row>
    <row r="162">
      <c r="A162" s="622" t="s">
        <v>1632</v>
      </c>
      <c r="B162" s="633" t="s">
        <v>1865</v>
      </c>
      <c r="J162" s="633"/>
    </row>
    <row r="163">
      <c r="A163" s="661"/>
      <c r="B163" s="662"/>
      <c r="C163" s="662"/>
      <c r="D163" s="626"/>
      <c r="E163" s="661"/>
      <c r="F163" s="661"/>
      <c r="G163" s="661"/>
      <c r="H163" s="661"/>
      <c r="I163" s="661"/>
      <c r="J163" s="661"/>
    </row>
    <row r="164">
      <c r="A164" s="654" t="s">
        <v>1785</v>
      </c>
      <c r="B164" s="655" t="s">
        <v>1866</v>
      </c>
      <c r="C164" s="656" t="s">
        <v>1867</v>
      </c>
      <c r="D164" s="655" t="s">
        <v>1731</v>
      </c>
      <c r="E164" s="657"/>
      <c r="F164" s="657"/>
      <c r="G164" s="657"/>
      <c r="H164" s="663">
        <f t="shared" ref="H164:J164" si="91">SUM(H166:H168)</f>
        <v>15.5015</v>
      </c>
      <c r="I164" s="663">
        <f t="shared" si="91"/>
        <v>11.627</v>
      </c>
      <c r="J164" s="664">
        <f t="shared" si="91"/>
        <v>27.1285</v>
      </c>
    </row>
    <row r="165">
      <c r="A165" s="622" t="s">
        <v>1732</v>
      </c>
      <c r="B165" s="622" t="s">
        <v>80</v>
      </c>
      <c r="C165" s="623" t="s">
        <v>8</v>
      </c>
      <c r="D165" s="622" t="s">
        <v>83</v>
      </c>
      <c r="E165" s="624" t="s">
        <v>1734</v>
      </c>
      <c r="F165" s="624" t="s">
        <v>1735</v>
      </c>
      <c r="G165" s="624" t="s">
        <v>1736</v>
      </c>
      <c r="H165" s="624" t="s">
        <v>1737</v>
      </c>
      <c r="I165" s="624" t="s">
        <v>1738</v>
      </c>
      <c r="J165" s="624" t="s">
        <v>14</v>
      </c>
    </row>
    <row r="166">
      <c r="A166" s="625" t="s">
        <v>218</v>
      </c>
      <c r="B166" s="626">
        <v>88264.0</v>
      </c>
      <c r="C166" s="627" t="str">
        <f>IF(A166="SINAPI-S",VLOOKUP(B166,'20-B.SINAPI-S'!A:J,2,0),IF(A166="SINAPI-I",VLOOKUP(B166,'20-A.SINAPI-I'!A:E,2,0),VLOOKUP(B166,'12.COT.MERCADO'!A:H,2,0)))</f>
        <v>ELETRICISTA COM ENCARGOS COMPLEMENTARES</v>
      </c>
      <c r="D166" s="628" t="str">
        <f>IF(A166="SINAPI-S",VLOOKUP(B166,'20-B.SINAPI-S'!A:J,3,0),IF(A166="SINAPI-I",VLOOKUP(B166,'20-A.SINAPI-I'!A:E,3,0),VLOOKUP(B166,'12.COT.MERCADO'!A:H,7,0)))</f>
        <v>H</v>
      </c>
      <c r="E166" s="629">
        <f>IF(A166="SINAPI-S",VLOOKUP(B166,'20-B.SINAPI-S'!A:J,5,0),IF(A166="SINAPI-I",VLOOKUP(B166,'20-A.SINAPI-I'!A:G,6,0),0))</f>
        <v>25.09</v>
      </c>
      <c r="F166" s="629">
        <f>IF(A166="SINAPI-S",VLOOKUP(B166,'20-B.SINAPI-S'!A:J,6,0),IF(A166="SINAPI-I",VLOOKUP(B166,'20-A.SINAPI-I'!A:G,7,0),VLOOKUP(B166,'12.COT.MERCADO'!A:H,8,0)))</f>
        <v>7.86</v>
      </c>
      <c r="G166" s="626">
        <v>0.35</v>
      </c>
      <c r="H166" s="629">
        <f t="shared" ref="H166:H168" si="92">E166*G166</f>
        <v>8.7815</v>
      </c>
      <c r="I166" s="629">
        <f t="shared" ref="I166:I168" si="93">F166*G166</f>
        <v>2.751</v>
      </c>
      <c r="J166" s="629">
        <f t="shared" ref="J166:J168" si="94">I166+H166</f>
        <v>11.5325</v>
      </c>
    </row>
    <row r="167">
      <c r="A167" s="625" t="s">
        <v>218</v>
      </c>
      <c r="B167" s="626">
        <v>88247.0</v>
      </c>
      <c r="C167" s="627" t="str">
        <f>IF(A167="SINAPI-S",VLOOKUP(B167,'20-B.SINAPI-S'!A:J,2,0),IF(A167="SINAPI-I",VLOOKUP(B167,'20-A.SINAPI-I'!A:E,2,0),VLOOKUP(B167,'12.COT.MERCADO'!A:H,2,0)))</f>
        <v>AUXILIAR DE ELETRICISTA COM ENCARGOS COMPLEMENTARES</v>
      </c>
      <c r="D167" s="628" t="str">
        <f>IF(A167="SINAPI-S",VLOOKUP(B167,'20-B.SINAPI-S'!A:J,3,0),IF(A167="SINAPI-I",VLOOKUP(B167,'20-A.SINAPI-I'!A:E,3,0),VLOOKUP(B167,'12.COT.MERCADO'!A:H,7,0)))</f>
        <v>H</v>
      </c>
      <c r="E167" s="629">
        <f>IF(A167="SINAPI-S",VLOOKUP(B167,'20-B.SINAPI-S'!A:J,5,0),IF(A167="SINAPI-I",VLOOKUP(B167,'20-A.SINAPI-I'!A:G,6,0),0))</f>
        <v>19.2</v>
      </c>
      <c r="F167" s="629">
        <f>IF(A167="SINAPI-S",VLOOKUP(B167,'20-B.SINAPI-S'!A:J,6,0),IF(A167="SINAPI-I",VLOOKUP(B167,'20-A.SINAPI-I'!A:G,7,0),VLOOKUP(B167,'12.COT.MERCADO'!A:H,8,0)))</f>
        <v>7.86</v>
      </c>
      <c r="G167" s="626">
        <v>0.35</v>
      </c>
      <c r="H167" s="629">
        <f t="shared" si="92"/>
        <v>6.72</v>
      </c>
      <c r="I167" s="629">
        <f t="shared" si="93"/>
        <v>2.751</v>
      </c>
      <c r="J167" s="629">
        <f t="shared" si="94"/>
        <v>9.471</v>
      </c>
    </row>
    <row r="168">
      <c r="A168" s="625" t="s">
        <v>110</v>
      </c>
      <c r="B168" s="626" t="s">
        <v>1868</v>
      </c>
      <c r="C168" s="660" t="str">
        <f>IF(A168="SINAPI-S",VLOOKUP(B168,'20-B.SINAPI-S'!H:J,2,0),IF(A168="SINAPI-I",VLOOKUP(B168,'20-A.SINAPI-I'!A:E,2,0),VLOOKUP(B168,'12.COT.MERCADO'!A:H,2,0)))</f>
        <v>CANALETA EM PVC (LARGURA: 20MM / ALUTRA: 10MM / COMPRIMENTO: 2M) COM FITA DUPLA FACE</v>
      </c>
      <c r="D168" s="626" t="str">
        <f>IF(A168="SINAPI-S",VLOOKUP(B168,'20-B.SINAPI-S'!H:J,3,0),IF(A168="SINAPI-I",VLOOKUP(B168,'20-A.SINAPI-I'!A:E,3,0),VLOOKUP(B168,'12.COT.MERCADO'!A:H,7,0)))</f>
        <v>UN</v>
      </c>
      <c r="E168" s="629">
        <f>IF(A168="SINAPI-S",VLOOKUP(B168,'20-B.SINAPI-S'!A:J,5,0),IF(A168="SINAPI-I",VLOOKUP(B168,'20-A.SINAPI-I'!A:G,6,0),0))</f>
        <v>0</v>
      </c>
      <c r="F168" s="634">
        <f>IF(A168="SINAPI-S",VLOOKUP(B168,'20-B.SINAPI-S'!A:J,6,0),IF(A168="SINAPI-I",VLOOKUP(B168,'20-A.SINAPI-I'!A:G,7,0),VLOOKUP(B168,'12.COT.MERCADO'!A:H,8,0)))</f>
        <v>12.25</v>
      </c>
      <c r="G168" s="626">
        <f>1/2</f>
        <v>0.5</v>
      </c>
      <c r="H168" s="629">
        <f t="shared" si="92"/>
        <v>0</v>
      </c>
      <c r="I168" s="629">
        <f t="shared" si="93"/>
        <v>6.125</v>
      </c>
      <c r="J168" s="629">
        <f t="shared" si="94"/>
        <v>6.125</v>
      </c>
    </row>
    <row r="169">
      <c r="A169" s="622" t="s">
        <v>1632</v>
      </c>
      <c r="B169" s="633" t="s">
        <v>1869</v>
      </c>
      <c r="J169" s="633"/>
    </row>
    <row r="170">
      <c r="A170" s="661"/>
      <c r="B170" s="662"/>
      <c r="C170" s="662"/>
      <c r="D170" s="626"/>
      <c r="E170" s="661"/>
      <c r="F170" s="661"/>
      <c r="G170" s="661"/>
      <c r="H170" s="661"/>
      <c r="I170" s="661"/>
      <c r="J170" s="661"/>
    </row>
    <row r="171">
      <c r="A171" s="654" t="s">
        <v>1785</v>
      </c>
      <c r="B171" s="655" t="s">
        <v>1870</v>
      </c>
      <c r="C171" s="656" t="s">
        <v>1871</v>
      </c>
      <c r="D171" s="655" t="s">
        <v>1788</v>
      </c>
      <c r="E171" s="657"/>
      <c r="F171" s="657"/>
      <c r="G171" s="657"/>
      <c r="H171" s="663">
        <f t="shared" ref="H171:J171" si="95">SUM(H173:H175)</f>
        <v>66.435</v>
      </c>
      <c r="I171" s="663">
        <f t="shared" si="95"/>
        <v>1376.42</v>
      </c>
      <c r="J171" s="664">
        <f t="shared" si="95"/>
        <v>1442.855</v>
      </c>
    </row>
    <row r="172">
      <c r="A172" s="622" t="s">
        <v>1732</v>
      </c>
      <c r="B172" s="622" t="s">
        <v>80</v>
      </c>
      <c r="C172" s="623" t="s">
        <v>8</v>
      </c>
      <c r="D172" s="622" t="s">
        <v>83</v>
      </c>
      <c r="E172" s="624" t="s">
        <v>1734</v>
      </c>
      <c r="F172" s="624" t="s">
        <v>1735</v>
      </c>
      <c r="G172" s="624" t="s">
        <v>1736</v>
      </c>
      <c r="H172" s="624" t="s">
        <v>1737</v>
      </c>
      <c r="I172" s="624" t="s">
        <v>1738</v>
      </c>
      <c r="J172" s="624" t="s">
        <v>14</v>
      </c>
    </row>
    <row r="173">
      <c r="A173" s="625" t="s">
        <v>218</v>
      </c>
      <c r="B173" s="626">
        <v>88264.0</v>
      </c>
      <c r="C173" s="627" t="str">
        <f>IF(A173="SINAPI-S",VLOOKUP(B173,'20-B.SINAPI-S'!A:J,2,0),IF(A173="SINAPI-I",VLOOKUP(B173,'20-A.SINAPI-I'!A:E,2,0),VLOOKUP(B173,'12.COT.MERCADO'!A:H,2,0)))</f>
        <v>ELETRICISTA COM ENCARGOS COMPLEMENTARES</v>
      </c>
      <c r="D173" s="628" t="str">
        <f>IF(A173="SINAPI-S",VLOOKUP(B173,'20-B.SINAPI-S'!A:J,3,0),IF(A173="SINAPI-I",VLOOKUP(B173,'20-A.SINAPI-I'!A:E,3,0),VLOOKUP(B173,'12.COT.MERCADO'!A:H,7,0)))</f>
        <v>H</v>
      </c>
      <c r="E173" s="629">
        <f>IF(A173="SINAPI-S",VLOOKUP(B173,'20-B.SINAPI-S'!A:J,5,0),IF(A173="SINAPI-I",VLOOKUP(B173,'20-A.SINAPI-I'!A:G,6,0),0))</f>
        <v>25.09</v>
      </c>
      <c r="F173" s="629">
        <f>IF(A173="SINAPI-S",VLOOKUP(B173,'20-B.SINAPI-S'!A:J,6,0),IF(A173="SINAPI-I",VLOOKUP(B173,'20-A.SINAPI-I'!A:G,7,0),VLOOKUP(B173,'12.COT.MERCADO'!A:H,8,0)))</f>
        <v>7.86</v>
      </c>
      <c r="G173" s="626">
        <v>1.5</v>
      </c>
      <c r="H173" s="629">
        <f t="shared" ref="H173:H175" si="96">E173*G173</f>
        <v>37.635</v>
      </c>
      <c r="I173" s="629">
        <f t="shared" ref="I173:I175" si="97">F173*G173</f>
        <v>11.79</v>
      </c>
      <c r="J173" s="629">
        <f t="shared" ref="J173:J175" si="98">I173+H173</f>
        <v>49.425</v>
      </c>
    </row>
    <row r="174">
      <c r="A174" s="625" t="s">
        <v>218</v>
      </c>
      <c r="B174" s="626">
        <v>88247.0</v>
      </c>
      <c r="C174" s="627" t="str">
        <f>IF(A174="SINAPI-S",VLOOKUP(B174,'20-B.SINAPI-S'!A:J,2,0),IF(A174="SINAPI-I",VLOOKUP(B174,'20-A.SINAPI-I'!A:E,2,0),VLOOKUP(B174,'12.COT.MERCADO'!A:H,2,0)))</f>
        <v>AUXILIAR DE ELETRICISTA COM ENCARGOS COMPLEMENTARES</v>
      </c>
      <c r="D174" s="628" t="str">
        <f>IF(A174="SINAPI-S",VLOOKUP(B174,'20-B.SINAPI-S'!A:J,3,0),IF(A174="SINAPI-I",VLOOKUP(B174,'20-A.SINAPI-I'!A:E,3,0),VLOOKUP(B174,'12.COT.MERCADO'!A:H,7,0)))</f>
        <v>H</v>
      </c>
      <c r="E174" s="629">
        <f>IF(A174="SINAPI-S",VLOOKUP(B174,'20-B.SINAPI-S'!A:J,5,0),IF(A174="SINAPI-I",VLOOKUP(B174,'20-A.SINAPI-I'!A:G,6,0),0))</f>
        <v>19.2</v>
      </c>
      <c r="F174" s="629">
        <f>IF(A174="SINAPI-S",VLOOKUP(B174,'20-B.SINAPI-S'!A:J,6,0),IF(A174="SINAPI-I",VLOOKUP(B174,'20-A.SINAPI-I'!A:G,7,0),VLOOKUP(B174,'12.COT.MERCADO'!A:H,8,0)))</f>
        <v>7.86</v>
      </c>
      <c r="G174" s="626">
        <v>1.5</v>
      </c>
      <c r="H174" s="629">
        <f t="shared" si="96"/>
        <v>28.8</v>
      </c>
      <c r="I174" s="629">
        <f t="shared" si="97"/>
        <v>11.79</v>
      </c>
      <c r="J174" s="629">
        <f t="shared" si="98"/>
        <v>40.59</v>
      </c>
    </row>
    <row r="175">
      <c r="A175" s="625" t="s">
        <v>110</v>
      </c>
      <c r="B175" s="626" t="s">
        <v>1872</v>
      </c>
      <c r="C175" s="660" t="str">
        <f>IF(A175="SINAPI-S",VLOOKUP(B175,'20-B.SINAPI-S'!A:J,2,0),IF(A175="SINAPI-I",VLOOKUP(B175,'20-A.SINAPI-I'!A:E,2,0),VLOOKUP(B175,'12.COT.MERCADO'!A:H,2,0)))</f>
        <v>FECHADURA ELETRÔNICA DIGITAL INTELBRAS FR 320</v>
      </c>
      <c r="D175" s="626" t="str">
        <f>IF(A175="SINAPI-S",VLOOKUP(B175,'20-B.SINAPI-S'!A:J,3,0),IF(A175="SINAPI-I",VLOOKUP(B175,'20-A.SINAPI-I'!A:E,3,0),VLOOKUP(B175,'12.COT.MERCADO'!A:H,7,0)))</f>
        <v>UN</v>
      </c>
      <c r="E175" s="629">
        <f>IF(A175="SINAPI-S",VLOOKUP(B175,'20-B.SINAPI-S'!A:J,5,0),IF(A175="SINAPI-I",VLOOKUP(B175,'20-A.SINAPI-I'!A:G,6,0),0))</f>
        <v>0</v>
      </c>
      <c r="F175" s="634">
        <f>IF(A175="SINAPI-S",VLOOKUP(B175,'20-B.SINAPI-S'!A:J,6,0),IF(A175="SINAPI-I",VLOOKUP(B175,'20-A.SINAPI-I'!A:G,7,0),VLOOKUP(B175,'12.COT.MERCADO'!A:H,8,0)))</f>
        <v>1352.84</v>
      </c>
      <c r="G175" s="626">
        <v>1.0</v>
      </c>
      <c r="H175" s="629">
        <f t="shared" si="96"/>
        <v>0</v>
      </c>
      <c r="I175" s="629">
        <f t="shared" si="97"/>
        <v>1352.84</v>
      </c>
      <c r="J175" s="629">
        <f t="shared" si="98"/>
        <v>1352.84</v>
      </c>
    </row>
    <row r="176">
      <c r="A176" s="622" t="s">
        <v>1632</v>
      </c>
      <c r="B176" s="633" t="s">
        <v>1873</v>
      </c>
      <c r="J176" s="633"/>
    </row>
    <row r="177">
      <c r="A177" s="661"/>
      <c r="B177" s="662"/>
      <c r="C177" s="662"/>
      <c r="D177" s="626"/>
      <c r="E177" s="661"/>
      <c r="F177" s="661"/>
      <c r="G177" s="661"/>
      <c r="H177" s="661"/>
      <c r="I177" s="661"/>
      <c r="J177" s="661"/>
    </row>
    <row r="178">
      <c r="A178" s="654" t="s">
        <v>1785</v>
      </c>
      <c r="B178" s="655" t="s">
        <v>1874</v>
      </c>
      <c r="C178" s="656" t="s">
        <v>1875</v>
      </c>
      <c r="D178" s="655" t="s">
        <v>1788</v>
      </c>
      <c r="E178" s="657"/>
      <c r="F178" s="657"/>
      <c r="G178" s="657"/>
      <c r="H178" s="663">
        <f t="shared" ref="H178:J178" si="99">SUM(H180:H182)</f>
        <v>8.858</v>
      </c>
      <c r="I178" s="663">
        <f t="shared" si="99"/>
        <v>12.134</v>
      </c>
      <c r="J178" s="664">
        <f t="shared" si="99"/>
        <v>20.992</v>
      </c>
    </row>
    <row r="179">
      <c r="A179" s="622" t="s">
        <v>1732</v>
      </c>
      <c r="B179" s="622" t="s">
        <v>80</v>
      </c>
      <c r="C179" s="623" t="s">
        <v>8</v>
      </c>
      <c r="D179" s="622" t="s">
        <v>83</v>
      </c>
      <c r="E179" s="624" t="s">
        <v>1734</v>
      </c>
      <c r="F179" s="624" t="s">
        <v>1735</v>
      </c>
      <c r="G179" s="624" t="s">
        <v>1736</v>
      </c>
      <c r="H179" s="624" t="s">
        <v>1737</v>
      </c>
      <c r="I179" s="624" t="s">
        <v>1738</v>
      </c>
      <c r="J179" s="624" t="s">
        <v>14</v>
      </c>
    </row>
    <row r="180">
      <c r="A180" s="625" t="s">
        <v>218</v>
      </c>
      <c r="B180" s="626">
        <v>88264.0</v>
      </c>
      <c r="C180" s="627" t="str">
        <f>IF(A180="SINAPI-S",VLOOKUP(B180,'20-B.SINAPI-S'!A:J,2,0),IF(A180="SINAPI-I",VLOOKUP(B180,'20-A.SINAPI-I'!A:E,2,0),VLOOKUP(B180,'12.COT.MERCADO'!A:H,2,0)))</f>
        <v>ELETRICISTA COM ENCARGOS COMPLEMENTARES</v>
      </c>
      <c r="D180" s="628" t="str">
        <f>IF(A180="SINAPI-S",VLOOKUP(B180,'20-B.SINAPI-S'!A:J,3,0),IF(A180="SINAPI-I",VLOOKUP(B180,'20-A.SINAPI-I'!A:E,3,0),VLOOKUP(B180,'12.COT.MERCADO'!A:H,7,0)))</f>
        <v>H</v>
      </c>
      <c r="E180" s="629">
        <f>IF(A180="SINAPI-S",VLOOKUP(B180,'20-B.SINAPI-S'!A:J,5,0),IF(A180="SINAPI-I",VLOOKUP(B180,'20-A.SINAPI-I'!A:G,6,0),0))</f>
        <v>25.09</v>
      </c>
      <c r="F180" s="629">
        <f>IF(A180="SINAPI-S",VLOOKUP(B180,'20-B.SINAPI-S'!A:J,6,0),IF(A180="SINAPI-I",VLOOKUP(B180,'20-A.SINAPI-I'!A:G,7,0),VLOOKUP(B180,'12.COT.MERCADO'!A:H,8,0)))</f>
        <v>7.86</v>
      </c>
      <c r="G180" s="626">
        <v>0.2</v>
      </c>
      <c r="H180" s="629">
        <f t="shared" ref="H180:H182" si="100">E180*G180</f>
        <v>5.018</v>
      </c>
      <c r="I180" s="629">
        <f t="shared" ref="I180:I182" si="101">F180*G180</f>
        <v>1.572</v>
      </c>
      <c r="J180" s="629">
        <f t="shared" ref="J180:J182" si="102">I180+H180</f>
        <v>6.59</v>
      </c>
    </row>
    <row r="181">
      <c r="A181" s="625" t="s">
        <v>218</v>
      </c>
      <c r="B181" s="626">
        <v>88247.0</v>
      </c>
      <c r="C181" s="627" t="str">
        <f>IF(A181="SINAPI-S",VLOOKUP(B181,'20-B.SINAPI-S'!A:J,2,0),IF(A181="SINAPI-I",VLOOKUP(B181,'20-A.SINAPI-I'!A:E,2,0),VLOOKUP(B181,'12.COT.MERCADO'!A:H,2,0)))</f>
        <v>AUXILIAR DE ELETRICISTA COM ENCARGOS COMPLEMENTARES</v>
      </c>
      <c r="D181" s="628" t="str">
        <f>IF(A181="SINAPI-S",VLOOKUP(B181,'20-B.SINAPI-S'!A:J,3,0),IF(A181="SINAPI-I",VLOOKUP(B181,'20-A.SINAPI-I'!A:E,3,0),VLOOKUP(B181,'12.COT.MERCADO'!A:H,7,0)))</f>
        <v>H</v>
      </c>
      <c r="E181" s="629">
        <f>IF(A181="SINAPI-S",VLOOKUP(B181,'20-B.SINAPI-S'!A:J,5,0),IF(A181="SINAPI-I",VLOOKUP(B181,'20-A.SINAPI-I'!A:G,6,0),0))</f>
        <v>19.2</v>
      </c>
      <c r="F181" s="629">
        <f>IF(A181="SINAPI-S",VLOOKUP(B181,'20-B.SINAPI-S'!A:J,6,0),IF(A181="SINAPI-I",VLOOKUP(B181,'20-A.SINAPI-I'!A:G,7,0),VLOOKUP(B181,'12.COT.MERCADO'!A:H,8,0)))</f>
        <v>7.86</v>
      </c>
      <c r="G181" s="626">
        <v>0.2</v>
      </c>
      <c r="H181" s="629">
        <f t="shared" si="100"/>
        <v>3.84</v>
      </c>
      <c r="I181" s="629">
        <f t="shared" si="101"/>
        <v>1.572</v>
      </c>
      <c r="J181" s="629">
        <f t="shared" si="102"/>
        <v>5.412</v>
      </c>
    </row>
    <row r="182">
      <c r="A182" s="625" t="s">
        <v>110</v>
      </c>
      <c r="B182" s="626" t="s">
        <v>1876</v>
      </c>
      <c r="C182" s="660" t="str">
        <f>IF(A182="SINAPI-S",VLOOKUP(B182,'20-B.SINAPI-S'!A:J,2,0),IF(A182="SINAPI-I",VLOOKUP(B182,'20-A.SINAPI-I'!A:E,2,0),VLOOKUP(B182,'12.COT.MERCADO'!A:H,2,0)))</f>
        <v>PLUGUE MACHO 2P+T 250V 20A</v>
      </c>
      <c r="D182" s="626" t="str">
        <f>IF(A182="SINAPI-S",VLOOKUP(B182,'20-B.SINAPI-S'!A:J,3,0),IF(A182="SINAPI-I",VLOOKUP(B182,'20-A.SINAPI-I'!A:E,3,0),VLOOKUP(B182,'12.COT.MERCADO'!A:H,7,0)))</f>
        <v>UN</v>
      </c>
      <c r="E182" s="629">
        <f>IF(A182="SINAPI-S",VLOOKUP(B182,'20-B.SINAPI-S'!A:J,5,0),IF(A182="SINAPI-I",VLOOKUP(B182,'20-A.SINAPI-I'!A:G,6,0),0))</f>
        <v>0</v>
      </c>
      <c r="F182" s="634">
        <f>IF(A182="SINAPI-S",VLOOKUP(B182,'20-B.SINAPI-S'!A:J,6,0),IF(A182="SINAPI-I",VLOOKUP(B182,'20-A.SINAPI-I'!A:G,7,0),VLOOKUP(B182,'12.COT.MERCADO'!A:H,8,0)))</f>
        <v>8.99</v>
      </c>
      <c r="G182" s="626">
        <v>1.0</v>
      </c>
      <c r="H182" s="629">
        <f t="shared" si="100"/>
        <v>0</v>
      </c>
      <c r="I182" s="629">
        <f t="shared" si="101"/>
        <v>8.99</v>
      </c>
      <c r="J182" s="629">
        <f t="shared" si="102"/>
        <v>8.99</v>
      </c>
    </row>
    <row r="183">
      <c r="A183" s="622" t="s">
        <v>1632</v>
      </c>
      <c r="B183" s="633" t="s">
        <v>1877</v>
      </c>
      <c r="J183" s="633"/>
    </row>
    <row r="184">
      <c r="A184" s="661"/>
      <c r="B184" s="662"/>
      <c r="C184" s="662"/>
      <c r="D184" s="626"/>
      <c r="E184" s="661"/>
      <c r="F184" s="661"/>
      <c r="G184" s="661"/>
      <c r="H184" s="661"/>
      <c r="I184" s="661"/>
      <c r="J184" s="661"/>
    </row>
    <row r="185">
      <c r="A185" s="654" t="s">
        <v>1785</v>
      </c>
      <c r="B185" s="655" t="s">
        <v>1878</v>
      </c>
      <c r="C185" s="656" t="s">
        <v>1879</v>
      </c>
      <c r="D185" s="655" t="s">
        <v>1880</v>
      </c>
      <c r="E185" s="657"/>
      <c r="F185" s="657"/>
      <c r="G185" s="657"/>
      <c r="H185" s="663">
        <f t="shared" ref="H185:J185" si="103">SUM(H187)</f>
        <v>0</v>
      </c>
      <c r="I185" s="663">
        <f t="shared" si="103"/>
        <v>1364.44</v>
      </c>
      <c r="J185" s="664">
        <f t="shared" si="103"/>
        <v>1364.44</v>
      </c>
    </row>
    <row r="186">
      <c r="A186" s="622" t="s">
        <v>1732</v>
      </c>
      <c r="B186" s="622" t="s">
        <v>80</v>
      </c>
      <c r="C186" s="623" t="s">
        <v>8</v>
      </c>
      <c r="D186" s="622" t="s">
        <v>83</v>
      </c>
      <c r="E186" s="624" t="s">
        <v>1734</v>
      </c>
      <c r="F186" s="624" t="s">
        <v>1735</v>
      </c>
      <c r="G186" s="624" t="s">
        <v>1736</v>
      </c>
      <c r="H186" s="624" t="s">
        <v>1737</v>
      </c>
      <c r="I186" s="624" t="s">
        <v>1738</v>
      </c>
      <c r="J186" s="624" t="s">
        <v>14</v>
      </c>
    </row>
    <row r="187">
      <c r="A187" s="625" t="s">
        <v>110</v>
      </c>
      <c r="B187" s="626" t="s">
        <v>1881</v>
      </c>
      <c r="C187" s="660" t="str">
        <f>IF(A187="SINAPI-S",VLOOKUP(B187,'20-B.SINAPI-S'!A:J,2,0),IF(A187="SINAPI-I",VLOOKUP(B187,'20-A.SINAPI-I'!A:E,2,0),VLOOKUP(B187,'12.COT.MERCADO'!A:H,2,0)))</f>
        <v>SERVIÇO DE LIMPEZA DE FOSSA SÉPTICA OU SUMIDOURO  - VIAGEM 7M3</v>
      </c>
      <c r="D187" s="626" t="str">
        <f>IF(A187="SINAPI-S",VLOOKUP(B187,'20-B.SINAPI-S'!A:J,3,0),IF(A187="SINAPI-I",VLOOKUP(B187,'20-A.SINAPI-I'!A:E,3,0),VLOOKUP(B187,'12.COT.MERCADO'!A:H,7,0)))</f>
        <v>VG</v>
      </c>
      <c r="E187" s="629">
        <f>IF(A187="SINAPI-S",VLOOKUP(B187,'20-B.SINAPI-S'!A:J,5,0),IF(A187="SINAPI-I",VLOOKUP(B187,'20-A.SINAPI-I'!A:G,6,0),0))</f>
        <v>0</v>
      </c>
      <c r="F187" s="634">
        <f>IF(A187="SINAPI-S",VLOOKUP(B187,'20-B.SINAPI-S'!A:J,6,0),IF(A187="SINAPI-I",VLOOKUP(B187,'20-A.SINAPI-I'!A:G,7,0),VLOOKUP(B187,'12.COT.MERCADO'!A:H,8,0)))</f>
        <v>1364.44</v>
      </c>
      <c r="G187" s="626">
        <v>1.0</v>
      </c>
      <c r="H187" s="629">
        <f>E187*G187</f>
        <v>0</v>
      </c>
      <c r="I187" s="629">
        <f>F187*G187</f>
        <v>1364.44</v>
      </c>
      <c r="J187" s="629">
        <f>I187+H187</f>
        <v>1364.44</v>
      </c>
    </row>
    <row r="188">
      <c r="A188" s="622" t="s">
        <v>1632</v>
      </c>
      <c r="B188" s="662"/>
      <c r="J188" s="662"/>
    </row>
    <row r="189">
      <c r="A189" s="661"/>
      <c r="B189" s="662"/>
      <c r="C189" s="662"/>
      <c r="D189" s="626"/>
      <c r="E189" s="661"/>
      <c r="F189" s="661"/>
      <c r="G189" s="661"/>
      <c r="H189" s="661"/>
      <c r="I189" s="661"/>
      <c r="J189" s="661"/>
    </row>
    <row r="190">
      <c r="A190" s="654" t="s">
        <v>1785</v>
      </c>
      <c r="B190" s="655" t="s">
        <v>1882</v>
      </c>
      <c r="C190" s="656" t="s">
        <v>1883</v>
      </c>
      <c r="D190" s="655" t="s">
        <v>1788</v>
      </c>
      <c r="E190" s="657"/>
      <c r="F190" s="657"/>
      <c r="G190" s="657"/>
      <c r="H190" s="663">
        <f t="shared" ref="H190:J190" si="104">SUM(H192:H202)</f>
        <v>8.372</v>
      </c>
      <c r="I190" s="663">
        <f t="shared" si="104"/>
        <v>27.01081</v>
      </c>
      <c r="J190" s="664">
        <f t="shared" si="104"/>
        <v>35.38281</v>
      </c>
    </row>
    <row r="191">
      <c r="A191" s="622" t="s">
        <v>1732</v>
      </c>
      <c r="B191" s="622" t="s">
        <v>80</v>
      </c>
      <c r="C191" s="623" t="s">
        <v>8</v>
      </c>
      <c r="D191" s="622" t="s">
        <v>83</v>
      </c>
      <c r="E191" s="624" t="s">
        <v>1734</v>
      </c>
      <c r="F191" s="624" t="s">
        <v>1735</v>
      </c>
      <c r="G191" s="624" t="s">
        <v>1736</v>
      </c>
      <c r="H191" s="624" t="s">
        <v>1737</v>
      </c>
      <c r="I191" s="624" t="s">
        <v>1738</v>
      </c>
      <c r="J191" s="624" t="s">
        <v>14</v>
      </c>
    </row>
    <row r="192">
      <c r="A192" s="625" t="s">
        <v>218</v>
      </c>
      <c r="B192" s="625">
        <v>88245.0</v>
      </c>
      <c r="C192" s="627" t="str">
        <f>IF(A192="SINAPI-S",VLOOKUP(B192,'20-B.SINAPI-S'!A:J,2,0),IF(A192="SINAPI-I",VLOOKUP(B192,'20-A.SINAPI-I'!A:E,2,0),VLOOKUP(B192,'12.COT.MERCADO'!A:H,2,0)))</f>
        <v>ARMADOR COM ENCARGOS COMPLEMENTARES</v>
      </c>
      <c r="D192" s="628" t="str">
        <f>IF(A192="SINAPI-S",VLOOKUP(B192,'20-B.SINAPI-S'!A:J,3,0),IF(A192="SINAPI-I",VLOOKUP(B192,'20-A.SINAPI-I'!A:E,3,0),VLOOKUP(B192,'12.COT.MERCADO'!A:H,7,0)))</f>
        <v>H</v>
      </c>
      <c r="E192" s="629">
        <f>IF(A192="SINAPI-S",VLOOKUP(B192,'20-B.SINAPI-S'!A:J,5,0),IF(A192="SINAPI-I",VLOOKUP(B192,'20-A.SINAPI-I'!A:G,6,0),0))</f>
        <v>24.44</v>
      </c>
      <c r="F192" s="629">
        <f>IF(A192="SINAPI-S",VLOOKUP(B192,'20-B.SINAPI-S'!A:J,6,0),IF(A192="SINAPI-I",VLOOKUP(B192,'20-A.SINAPI-I'!A:G,7,0),VLOOKUP(B192,'12.COT.MERCADO'!A:H,8,0)))</f>
        <v>7.87</v>
      </c>
      <c r="G192" s="625">
        <v>0.1</v>
      </c>
      <c r="H192" s="629">
        <f t="shared" ref="H192:H202" si="105">E192*G192</f>
        <v>2.444</v>
      </c>
      <c r="I192" s="629">
        <f t="shared" ref="I192:I202" si="106">F192*G192</f>
        <v>0.787</v>
      </c>
      <c r="J192" s="629">
        <f t="shared" ref="J192:J202" si="107">I192+H192</f>
        <v>3.231</v>
      </c>
    </row>
    <row r="193">
      <c r="A193" s="625" t="s">
        <v>218</v>
      </c>
      <c r="B193" s="625">
        <v>88262.0</v>
      </c>
      <c r="C193" s="627" t="str">
        <f>IF(A193="SINAPI-S",VLOOKUP(B193,'20-B.SINAPI-S'!A:J,2,0),IF(A193="SINAPI-I",VLOOKUP(B193,'20-A.SINAPI-I'!A:E,2,0),VLOOKUP(B193,'12.COT.MERCADO'!A:H,2,0)))</f>
        <v>CARPINTEIRO DE FORMAS COM ENCARGOS COMPLEMENTARES</v>
      </c>
      <c r="D193" s="628" t="str">
        <f>IF(A193="SINAPI-S",VLOOKUP(B193,'20-B.SINAPI-S'!A:J,3,0),IF(A193="SINAPI-I",VLOOKUP(B193,'20-A.SINAPI-I'!A:E,3,0),VLOOKUP(B193,'12.COT.MERCADO'!A:H,7,0)))</f>
        <v>H</v>
      </c>
      <c r="E193" s="629">
        <f>IF(A193="SINAPI-S",VLOOKUP(B193,'20-B.SINAPI-S'!A:J,5,0),IF(A193="SINAPI-I",VLOOKUP(B193,'20-A.SINAPI-I'!A:G,6,0),0))</f>
        <v>24.44</v>
      </c>
      <c r="F193" s="629">
        <f>IF(A193="SINAPI-S",VLOOKUP(B193,'20-B.SINAPI-S'!A:J,6,0),IF(A193="SINAPI-I",VLOOKUP(B193,'20-A.SINAPI-I'!A:G,7,0),VLOOKUP(B193,'12.COT.MERCADO'!A:H,8,0)))</f>
        <v>7.69</v>
      </c>
      <c r="G193" s="625">
        <v>0.1</v>
      </c>
      <c r="H193" s="629">
        <f t="shared" si="105"/>
        <v>2.444</v>
      </c>
      <c r="I193" s="629">
        <f t="shared" si="106"/>
        <v>0.769</v>
      </c>
      <c r="J193" s="629">
        <f t="shared" si="107"/>
        <v>3.213</v>
      </c>
    </row>
    <row r="194">
      <c r="A194" s="625" t="s">
        <v>218</v>
      </c>
      <c r="B194" s="625">
        <v>88316.0</v>
      </c>
      <c r="C194" s="627" t="str">
        <f>IF(A194="SINAPI-S",VLOOKUP(B194,'20-B.SINAPI-S'!A:J,2,0),IF(A194="SINAPI-I",VLOOKUP(B194,'20-A.SINAPI-I'!A:E,2,0),VLOOKUP(B194,'12.COT.MERCADO'!A:H,2,0)))</f>
        <v>SERVENTE COM ENCARGOS COMPLEMENTARES</v>
      </c>
      <c r="D194" s="628" t="str">
        <f>IF(A194="SINAPI-S",VLOOKUP(B194,'20-B.SINAPI-S'!A:J,3,0),IF(A194="SINAPI-I",VLOOKUP(B194,'20-A.SINAPI-I'!A:E,3,0),VLOOKUP(B194,'12.COT.MERCADO'!A:H,7,0)))</f>
        <v>H</v>
      </c>
      <c r="E194" s="629">
        <f>IF(A194="SINAPI-S",VLOOKUP(B194,'20-B.SINAPI-S'!A:J,5,0),IF(A194="SINAPI-I",VLOOKUP(B194,'20-A.SINAPI-I'!A:G,6,0),0))</f>
        <v>17.42</v>
      </c>
      <c r="F194" s="629">
        <f>IF(A194="SINAPI-S",VLOOKUP(B194,'20-B.SINAPI-S'!A:J,6,0),IF(A194="SINAPI-I",VLOOKUP(B194,'20-A.SINAPI-I'!A:G,7,0),VLOOKUP(B194,'12.COT.MERCADO'!A:H,8,0)))</f>
        <v>7.7</v>
      </c>
      <c r="G194" s="625">
        <v>0.2</v>
      </c>
      <c r="H194" s="629">
        <f t="shared" si="105"/>
        <v>3.484</v>
      </c>
      <c r="I194" s="629">
        <f t="shared" si="106"/>
        <v>1.54</v>
      </c>
      <c r="J194" s="629">
        <f t="shared" si="107"/>
        <v>5.024</v>
      </c>
    </row>
    <row r="195">
      <c r="A195" s="625" t="s">
        <v>218</v>
      </c>
      <c r="B195" s="625">
        <v>88830.0</v>
      </c>
      <c r="C195" s="627" t="str">
        <f>IF(A195="SINAPI-S",VLOOKUP(B195,'20-B.SINAPI-S'!A:J,2,0),IF(A195="SINAPI-I",VLOOKUP(B195,'20-A.SINAPI-I'!A:E,2,0),VLOOKUP(B195,'12.COT.MERCADO'!A:H,2,0)))</f>
        <v>BETONEIRA CAPACIDADE NOMINAL DE 400 L, CAPACIDADE DE MISTURA 280 L, MOTOR ELÉTRICO TRIFÁSICO POTÊNCIA DE 2 CV, SEM CARREGADOR - CHP DIURNO. AF_05/2023</v>
      </c>
      <c r="D195" s="628" t="str">
        <f>IF(A195="SINAPI-S",VLOOKUP(B195,'20-B.SINAPI-S'!A:J,3,0),IF(A195="SINAPI-I",VLOOKUP(B195,'20-A.SINAPI-I'!A:E,3,0),VLOOKUP(B195,'12.COT.MERCADO'!A:H,7,0)))</f>
        <v>CHP</v>
      </c>
      <c r="E195" s="629">
        <f>IF(A195="SINAPI-S",VLOOKUP(B195,'20-B.SINAPI-S'!A:J,5,0),IF(A195="SINAPI-I",VLOOKUP(B195,'20-A.SINAPI-I'!A:G,6,0),0))</f>
        <v>0</v>
      </c>
      <c r="F195" s="629">
        <f>IF(A195="SINAPI-S",VLOOKUP(B195,'20-B.SINAPI-S'!A:J,6,0),IF(A195="SINAPI-I",VLOOKUP(B195,'20-A.SINAPI-I'!A:G,7,0),VLOOKUP(B195,'12.COT.MERCADO'!A:H,8,0)))</f>
        <v>1.45</v>
      </c>
      <c r="G195" s="625">
        <v>0.014</v>
      </c>
      <c r="H195" s="629">
        <f t="shared" si="105"/>
        <v>0</v>
      </c>
      <c r="I195" s="629">
        <f t="shared" si="106"/>
        <v>0.0203</v>
      </c>
      <c r="J195" s="629">
        <f t="shared" si="107"/>
        <v>0.0203</v>
      </c>
    </row>
    <row r="196">
      <c r="A196" s="625" t="s">
        <v>286</v>
      </c>
      <c r="B196" s="625">
        <v>370.0</v>
      </c>
      <c r="C196" s="627" t="str">
        <f>IF(A196="SINAPI-S",VLOOKUP(B196,'20-B.SINAPI-S'!A:J,2,0),IF(A196="SINAPI-I",VLOOKUP(B196,'20-A.SINAPI-I'!A:E,2,0),VLOOKUP(B196,'12.COT.MERCADO'!A:H,2,0)))</f>
        <v>AREIA MEDIA - POSTO JAZIDA/FORNECEDOR (RETIRADO NA JAZIDA, SEM TRANSPORTE)</v>
      </c>
      <c r="D196" s="626" t="str">
        <f>IF(A196="SINAPI-S",VLOOKUP(B196,'20-B.SINAPI-S'!A:J,3,0),IF(A196="SINAPI-I",VLOOKUP(B196,'20-A.SINAPI-I'!A:E,3,0),VLOOKUP(B196,'12.COT.MERCADO'!A:H,7,0)))</f>
        <v>M3</v>
      </c>
      <c r="E196" s="629">
        <f>IF(A196="SINAPI-S",VLOOKUP(B196,'20-B.SINAPI-S'!A:J,5,0),IF(A196="SINAPI-I",VLOOKUP(B196,'20-A.SINAPI-I'!A:G,6,0),0))</f>
        <v>0</v>
      </c>
      <c r="F196" s="629">
        <f>IF(A196="SINAPI-S",VLOOKUP(B196,'20-B.SINAPI-S'!A:J,6,0),IF(A196="SINAPI-I",VLOOKUP(B196,'20-A.SINAPI-I'!A:G,7,0),VLOOKUP(B196,'12.COT.MERCADO'!A:H,8,0)))</f>
        <v>109.41</v>
      </c>
      <c r="G196" s="625">
        <v>0.016</v>
      </c>
      <c r="H196" s="629">
        <f t="shared" si="105"/>
        <v>0</v>
      </c>
      <c r="I196" s="629">
        <f t="shared" si="106"/>
        <v>1.75056</v>
      </c>
      <c r="J196" s="629">
        <f t="shared" si="107"/>
        <v>1.75056</v>
      </c>
    </row>
    <row r="197">
      <c r="A197" s="625" t="s">
        <v>286</v>
      </c>
      <c r="B197" s="625">
        <v>1379.0</v>
      </c>
      <c r="C197" s="627" t="str">
        <f>IF(A197="SINAPI-S",VLOOKUP(B197,'20-B.SINAPI-S'!A:J,2,0),IF(A197="SINAPI-I",VLOOKUP(B197,'20-A.SINAPI-I'!A:E,2,0),VLOOKUP(B197,'12.COT.MERCADO'!A:H,2,0)))</f>
        <v>CIMENTO PORTLAND COMPOSTO CP II-32</v>
      </c>
      <c r="D197" s="626" t="str">
        <f>IF(A197="SINAPI-S",VLOOKUP(B197,'20-B.SINAPI-S'!A:J,3,0),IF(A197="SINAPI-I",VLOOKUP(B197,'20-A.SINAPI-I'!A:E,3,0),VLOOKUP(B197,'12.COT.MERCADO'!A:H,7,0)))</f>
        <v>KG</v>
      </c>
      <c r="E197" s="629">
        <f>IF(A197="SINAPI-S",VLOOKUP(B197,'20-B.SINAPI-S'!A:J,5,0),IF(A197="SINAPI-I",VLOOKUP(B197,'20-A.SINAPI-I'!A:G,6,0),0))</f>
        <v>0</v>
      </c>
      <c r="F197" s="629">
        <f>IF(A197="SINAPI-S",VLOOKUP(B197,'20-B.SINAPI-S'!A:J,6,0),IF(A197="SINAPI-I",VLOOKUP(B197,'20-A.SINAPI-I'!A:G,7,0),VLOOKUP(B197,'12.COT.MERCADO'!A:H,8,0)))</f>
        <v>0.7</v>
      </c>
      <c r="G197" s="625">
        <v>5.54</v>
      </c>
      <c r="H197" s="629">
        <f t="shared" si="105"/>
        <v>0</v>
      </c>
      <c r="I197" s="629">
        <f t="shared" si="106"/>
        <v>3.878</v>
      </c>
      <c r="J197" s="629">
        <f t="shared" si="107"/>
        <v>3.878</v>
      </c>
    </row>
    <row r="198">
      <c r="A198" s="625" t="s">
        <v>286</v>
      </c>
      <c r="B198" s="625">
        <v>4512.0</v>
      </c>
      <c r="C198" s="627" t="str">
        <f>IF(A198="SINAPI-S",VLOOKUP(B198,'20-B.SINAPI-S'!A:J,2,0),IF(A198="SINAPI-I",VLOOKUP(B198,'20-A.SINAPI-I'!A:E,2,0),VLOOKUP(B198,'12.COT.MERCADO'!A:H,2,0)))</f>
        <v>SARRAFO *2,5 X 5* CM EM PINUS, MISTA OU EQUIVALENTE DA REGIAO - BRUTA</v>
      </c>
      <c r="D198" s="626" t="str">
        <f>IF(A198="SINAPI-S",VLOOKUP(B198,'20-B.SINAPI-S'!A:J,3,0),IF(A198="SINAPI-I",VLOOKUP(B198,'20-A.SINAPI-I'!A:E,3,0),VLOOKUP(B198,'12.COT.MERCADO'!A:H,7,0)))</f>
        <v>M</v>
      </c>
      <c r="E198" s="629">
        <f>IF(A198="SINAPI-S",VLOOKUP(B198,'20-B.SINAPI-S'!A:J,5,0),IF(A198="SINAPI-I",VLOOKUP(B198,'20-A.SINAPI-I'!A:G,6,0),0))</f>
        <v>0</v>
      </c>
      <c r="F198" s="629">
        <f>IF(A198="SINAPI-S",VLOOKUP(B198,'20-B.SINAPI-S'!A:J,6,0),IF(A198="SINAPI-I",VLOOKUP(B198,'20-A.SINAPI-I'!A:G,7,0),VLOOKUP(B198,'12.COT.MERCADO'!A:H,8,0)))</f>
        <v>1.68</v>
      </c>
      <c r="G198" s="625">
        <v>2.5</v>
      </c>
      <c r="H198" s="629">
        <f t="shared" si="105"/>
        <v>0</v>
      </c>
      <c r="I198" s="629">
        <f t="shared" si="106"/>
        <v>4.2</v>
      </c>
      <c r="J198" s="629">
        <f t="shared" si="107"/>
        <v>4.2</v>
      </c>
    </row>
    <row r="199">
      <c r="A199" s="625" t="s">
        <v>286</v>
      </c>
      <c r="B199" s="625">
        <v>4718.0</v>
      </c>
      <c r="C199" s="627" t="str">
        <f>IF(A199="SINAPI-S",VLOOKUP(B199,'20-B.SINAPI-S'!A:J,2,0),IF(A199="SINAPI-I",VLOOKUP(B199,'20-A.SINAPI-I'!A:E,2,0),VLOOKUP(B199,'12.COT.MERCADO'!A:H,2,0)))</f>
        <v>PEDRA BRITADA N. 2 (19 A 38 MM) POSTO PEDREIRA/FORNECEDOR, SEM FRETE</v>
      </c>
      <c r="D199" s="626" t="str">
        <f>IF(A199="SINAPI-S",VLOOKUP(B199,'20-B.SINAPI-S'!A:J,3,0),IF(A199="SINAPI-I",VLOOKUP(B199,'20-A.SINAPI-I'!A:E,3,0),VLOOKUP(B199,'12.COT.MERCADO'!A:H,7,0)))</f>
        <v>M3</v>
      </c>
      <c r="E199" s="629">
        <f>IF(A199="SINAPI-S",VLOOKUP(B199,'20-B.SINAPI-S'!A:J,5,0),IF(A199="SINAPI-I",VLOOKUP(B199,'20-A.SINAPI-I'!A:G,6,0),0))</f>
        <v>0</v>
      </c>
      <c r="F199" s="629">
        <f>IF(A199="SINAPI-S",VLOOKUP(B199,'20-B.SINAPI-S'!A:J,6,0),IF(A199="SINAPI-I",VLOOKUP(B199,'20-A.SINAPI-I'!A:G,7,0),VLOOKUP(B199,'12.COT.MERCADO'!A:H,8,0)))</f>
        <v>66</v>
      </c>
      <c r="G199" s="625">
        <v>0.015</v>
      </c>
      <c r="H199" s="629">
        <f t="shared" si="105"/>
        <v>0</v>
      </c>
      <c r="I199" s="629">
        <f t="shared" si="106"/>
        <v>0.99</v>
      </c>
      <c r="J199" s="629">
        <f t="shared" si="107"/>
        <v>0.99</v>
      </c>
    </row>
    <row r="200">
      <c r="A200" s="625" t="s">
        <v>286</v>
      </c>
      <c r="B200" s="625">
        <v>5069.0</v>
      </c>
      <c r="C200" s="627" t="str">
        <f>IF(A200="SINAPI-S",VLOOKUP(B200,'20-B.SINAPI-S'!A:J,2,0),IF(A200="SINAPI-I",VLOOKUP(B200,'20-A.SINAPI-I'!A:E,2,0),VLOOKUP(B200,'12.COT.MERCADO'!A:H,2,0)))</f>
        <v>PREGO DE ACO POLIDO COM CABECA 17 X 27 (2 1/2 X 11)</v>
      </c>
      <c r="D200" s="626" t="str">
        <f>IF(A200="SINAPI-S",VLOOKUP(B200,'20-B.SINAPI-S'!A:J,3,0),IF(A200="SINAPI-I",VLOOKUP(B200,'20-A.SINAPI-I'!A:E,3,0),VLOOKUP(B200,'12.COT.MERCADO'!A:H,7,0)))</f>
        <v>KG</v>
      </c>
      <c r="E200" s="629">
        <f>IF(A200="SINAPI-S",VLOOKUP(B200,'20-B.SINAPI-S'!A:J,5,0),IF(A200="SINAPI-I",VLOOKUP(B200,'20-A.SINAPI-I'!A:G,6,0),0))</f>
        <v>0</v>
      </c>
      <c r="F200" s="629">
        <f>IF(A200="SINAPI-S",VLOOKUP(B200,'20-B.SINAPI-S'!A:J,6,0),IF(A200="SINAPI-I",VLOOKUP(B200,'20-A.SINAPI-I'!A:G,7,0),VLOOKUP(B200,'12.COT.MERCADO'!A:H,8,0)))</f>
        <v>16.59</v>
      </c>
      <c r="G200" s="625">
        <v>0.08</v>
      </c>
      <c r="H200" s="629">
        <f t="shared" si="105"/>
        <v>0</v>
      </c>
      <c r="I200" s="629">
        <f t="shared" si="106"/>
        <v>1.3272</v>
      </c>
      <c r="J200" s="629">
        <f t="shared" si="107"/>
        <v>1.3272</v>
      </c>
    </row>
    <row r="201">
      <c r="A201" s="625" t="s">
        <v>286</v>
      </c>
      <c r="B201" s="625">
        <v>43059.0</v>
      </c>
      <c r="C201" s="627" t="str">
        <f>IF(A201="SINAPI-S",VLOOKUP(B201,'20-B.SINAPI-S'!A:J,2,0),IF(A201="SINAPI-I",VLOOKUP(B201,'20-A.SINAPI-I'!A:E,2,0),VLOOKUP(B201,'12.COT.MERCADO'!A:H,2,0)))</f>
        <v>ACO CA-60, 4,2 MM, OU 5,0 MM, OU 6,0 MM, OU 7,0 MM, VERGALHAO</v>
      </c>
      <c r="D201" s="626" t="str">
        <f>IF(A201="SINAPI-S",VLOOKUP(B201,'20-B.SINAPI-S'!A:J,3,0),IF(A201="SINAPI-I",VLOOKUP(B201,'20-A.SINAPI-I'!A:E,3,0),VLOOKUP(B201,'12.COT.MERCADO'!A:H,7,0)))</f>
        <v>KG</v>
      </c>
      <c r="E201" s="629">
        <f>IF(A201="SINAPI-S",VLOOKUP(B201,'20-B.SINAPI-S'!A:J,5,0),IF(A201="SINAPI-I",VLOOKUP(B201,'20-A.SINAPI-I'!A:G,6,0),0))</f>
        <v>0</v>
      </c>
      <c r="F201" s="629">
        <f>IF(A201="SINAPI-S",VLOOKUP(B201,'20-B.SINAPI-S'!A:J,6,0),IF(A201="SINAPI-I",VLOOKUP(B201,'20-A.SINAPI-I'!A:G,7,0),VLOOKUP(B201,'12.COT.MERCADO'!A:H,8,0)))</f>
        <v>7.6</v>
      </c>
      <c r="G201" s="625">
        <v>1.44</v>
      </c>
      <c r="H201" s="629">
        <f t="shared" si="105"/>
        <v>0</v>
      </c>
      <c r="I201" s="629">
        <f t="shared" si="106"/>
        <v>10.944</v>
      </c>
      <c r="J201" s="629">
        <f t="shared" si="107"/>
        <v>10.944</v>
      </c>
    </row>
    <row r="202">
      <c r="A202" s="625" t="s">
        <v>286</v>
      </c>
      <c r="B202" s="625">
        <v>43132.0</v>
      </c>
      <c r="C202" s="627" t="str">
        <f>IF(A202="SINAPI-S",VLOOKUP(B202,'20-B.SINAPI-S'!A:J,2,0),IF(A202="SINAPI-I",VLOOKUP(B202,'20-A.SINAPI-I'!A:E,2,0),VLOOKUP(B202,'12.COT.MERCADO'!A:H,2,0)))</f>
        <v>ARAME RECOZIDO 16 BWG, D = 1,65 MM (0,016 KG/M) OU 18 BWG, D = 1,25 MM (0,01 KG/M)</v>
      </c>
      <c r="D202" s="626" t="str">
        <f>IF(A202="SINAPI-S",VLOOKUP(B202,'20-B.SINAPI-S'!A:J,3,0),IF(A202="SINAPI-I",VLOOKUP(B202,'20-A.SINAPI-I'!A:E,3,0),VLOOKUP(B202,'12.COT.MERCADO'!A:H,7,0)))</f>
        <v>KG</v>
      </c>
      <c r="E202" s="629">
        <f>IF(A202="SINAPI-S",VLOOKUP(B202,'20-B.SINAPI-S'!A:J,5,0),IF(A202="SINAPI-I",VLOOKUP(B202,'20-A.SINAPI-I'!A:G,6,0),0))</f>
        <v>0</v>
      </c>
      <c r="F202" s="629">
        <f>IF(A202="SINAPI-S",VLOOKUP(B202,'20-B.SINAPI-S'!A:J,6,0),IF(A202="SINAPI-I",VLOOKUP(B202,'20-A.SINAPI-I'!A:G,7,0),VLOOKUP(B202,'12.COT.MERCADO'!A:H,8,0)))</f>
        <v>27.75</v>
      </c>
      <c r="G202" s="625">
        <v>0.029</v>
      </c>
      <c r="H202" s="629">
        <f t="shared" si="105"/>
        <v>0</v>
      </c>
      <c r="I202" s="629">
        <f t="shared" si="106"/>
        <v>0.80475</v>
      </c>
      <c r="J202" s="629">
        <f t="shared" si="107"/>
        <v>0.80475</v>
      </c>
    </row>
    <row r="203">
      <c r="A203" s="622" t="s">
        <v>1632</v>
      </c>
      <c r="B203" s="665" t="s">
        <v>1884</v>
      </c>
      <c r="J203" s="633"/>
    </row>
    <row r="204">
      <c r="A204" s="661"/>
      <c r="B204" s="662"/>
      <c r="C204" s="662"/>
      <c r="D204" s="626"/>
      <c r="E204" s="661"/>
      <c r="F204" s="661"/>
      <c r="G204" s="661"/>
      <c r="H204" s="661"/>
      <c r="I204" s="661"/>
      <c r="J204" s="661"/>
    </row>
    <row r="205">
      <c r="A205" s="654" t="s">
        <v>1785</v>
      </c>
      <c r="B205" s="655" t="s">
        <v>1885</v>
      </c>
      <c r="C205" s="656" t="s">
        <v>1886</v>
      </c>
      <c r="D205" s="655" t="s">
        <v>1788</v>
      </c>
      <c r="E205" s="657"/>
      <c r="F205" s="657"/>
      <c r="G205" s="657"/>
      <c r="H205" s="663">
        <f t="shared" ref="H205:J205" si="108">SUM(H207:H211)</f>
        <v>15.46264</v>
      </c>
      <c r="I205" s="663">
        <f t="shared" si="108"/>
        <v>211.51668</v>
      </c>
      <c r="J205" s="664">
        <f t="shared" si="108"/>
        <v>226.97932</v>
      </c>
    </row>
    <row r="206">
      <c r="A206" s="622" t="s">
        <v>1732</v>
      </c>
      <c r="B206" s="622" t="s">
        <v>80</v>
      </c>
      <c r="C206" s="623" t="s">
        <v>8</v>
      </c>
      <c r="D206" s="622" t="s">
        <v>83</v>
      </c>
      <c r="E206" s="624" t="s">
        <v>1734</v>
      </c>
      <c r="F206" s="624" t="s">
        <v>1735</v>
      </c>
      <c r="G206" s="624" t="s">
        <v>1736</v>
      </c>
      <c r="H206" s="624" t="s">
        <v>1737</v>
      </c>
      <c r="I206" s="624" t="s">
        <v>1738</v>
      </c>
      <c r="J206" s="624" t="s">
        <v>14</v>
      </c>
    </row>
    <row r="207">
      <c r="A207" s="625" t="s">
        <v>218</v>
      </c>
      <c r="B207" s="626">
        <v>88309.0</v>
      </c>
      <c r="C207" s="627" t="str">
        <f>IF(A207="SINAPI-S",VLOOKUP(B207,'20-B.SINAPI-S'!A:J,2,0),IF(A207="SINAPI-I",VLOOKUP(B207,'20-A.SINAPI-I'!A:E,2,0),VLOOKUP(B207,'12.COT.MERCADO'!A:H,2,0)))</f>
        <v>PEDREIRO COM ENCARGOS COMPLEMENTARES</v>
      </c>
      <c r="D207" s="628" t="str">
        <f>IF(A207="SINAPI-S",VLOOKUP(B207,'20-B.SINAPI-S'!A:J,3,0),IF(A207="SINAPI-I",VLOOKUP(B207,'20-A.SINAPI-I'!A:E,3,0),VLOOKUP(B207,'12.COT.MERCADO'!A:H,7,0)))</f>
        <v>H</v>
      </c>
      <c r="E207" s="629">
        <f>IF(A207="SINAPI-S",VLOOKUP(B207,'20-B.SINAPI-S'!A:J,5,0),IF(A207="SINAPI-I",VLOOKUP(B207,'20-A.SINAPI-I'!A:G,6,0),0))</f>
        <v>24.68</v>
      </c>
      <c r="F207" s="629">
        <f>IF(A207="SINAPI-S",VLOOKUP(B207,'20-B.SINAPI-S'!A:J,6,0),IF(A207="SINAPI-I",VLOOKUP(B207,'20-A.SINAPI-I'!A:G,7,0),VLOOKUP(B207,'12.COT.MERCADO'!A:H,8,0)))</f>
        <v>7.87</v>
      </c>
      <c r="G207" s="626">
        <v>0.3</v>
      </c>
      <c r="H207" s="629">
        <f t="shared" ref="H207:H211" si="109">E207*G207</f>
        <v>7.404</v>
      </c>
      <c r="I207" s="629">
        <f t="shared" ref="I207:I211" si="110">F207*G207</f>
        <v>2.361</v>
      </c>
      <c r="J207" s="629">
        <f t="shared" ref="J207:J211" si="111">I207+H207</f>
        <v>9.765</v>
      </c>
    </row>
    <row r="208">
      <c r="A208" s="625" t="s">
        <v>218</v>
      </c>
      <c r="B208" s="626">
        <v>88316.0</v>
      </c>
      <c r="C208" s="627" t="str">
        <f>IF(A208="SINAPI-S",VLOOKUP(B208,'20-B.SINAPI-S'!A:J,2,0),IF(A208="SINAPI-I",VLOOKUP(B208,'20-A.SINAPI-I'!A:E,2,0),VLOOKUP(B208,'12.COT.MERCADO'!A:H,2,0)))</f>
        <v>SERVENTE COM ENCARGOS COMPLEMENTARES</v>
      </c>
      <c r="D208" s="628" t="str">
        <f>IF(A208="SINAPI-S",VLOOKUP(B208,'20-B.SINAPI-S'!A:J,3,0),IF(A208="SINAPI-I",VLOOKUP(B208,'20-A.SINAPI-I'!A:E,3,0),VLOOKUP(B208,'12.COT.MERCADO'!A:H,7,0)))</f>
        <v>H</v>
      </c>
      <c r="E208" s="629">
        <f>IF(A208="SINAPI-S",VLOOKUP(B208,'20-B.SINAPI-S'!A:J,5,0),IF(A208="SINAPI-I",VLOOKUP(B208,'20-A.SINAPI-I'!A:G,6,0),0))</f>
        <v>17.42</v>
      </c>
      <c r="F208" s="629">
        <f>IF(A208="SINAPI-S",VLOOKUP(B208,'20-B.SINAPI-S'!A:J,6,0),IF(A208="SINAPI-I",VLOOKUP(B208,'20-A.SINAPI-I'!A:G,7,0),VLOOKUP(B208,'12.COT.MERCADO'!A:H,8,0)))</f>
        <v>7.7</v>
      </c>
      <c r="G208" s="626">
        <v>0.3</v>
      </c>
      <c r="H208" s="629">
        <f t="shared" si="109"/>
        <v>5.226</v>
      </c>
      <c r="I208" s="629">
        <f t="shared" si="110"/>
        <v>2.31</v>
      </c>
      <c r="J208" s="629">
        <f t="shared" si="111"/>
        <v>7.536</v>
      </c>
    </row>
    <row r="209">
      <c r="A209" s="625" t="s">
        <v>218</v>
      </c>
      <c r="B209" s="626">
        <v>93358.0</v>
      </c>
      <c r="C209" s="627" t="str">
        <f>IF(A209="SINAPI-S",VLOOKUP(B209,'20-B.SINAPI-S'!A:J,2,0),IF(A209="SINAPI-I",VLOOKUP(B209,'20-A.SINAPI-I'!A:E,2,0),VLOOKUP(B209,'12.COT.MERCADO'!A:H,2,0)))</f>
        <v>ESCAVAÇÃO MANUAL DE VALA COM PROFUNDIDADE MENOR OU IGUAL A 1,30 M. AF_02/2021</v>
      </c>
      <c r="D209" s="628" t="str">
        <f>IF(A209="SINAPI-S",VLOOKUP(B209,'20-B.SINAPI-S'!A:J,3,0),IF(A209="SINAPI-I",VLOOKUP(B209,'20-A.SINAPI-I'!A:E,3,0),VLOOKUP(B209,'12.COT.MERCADO'!A:H,7,0)))</f>
        <v>M3</v>
      </c>
      <c r="E209" s="629">
        <f>IF(A209="SINAPI-S",VLOOKUP(B209,'20-B.SINAPI-S'!A:J,5,0),IF(A209="SINAPI-I",VLOOKUP(B209,'20-A.SINAPI-I'!A:G,6,0),0))</f>
        <v>68.93</v>
      </c>
      <c r="F209" s="629">
        <f>IF(A209="SINAPI-S",VLOOKUP(B209,'20-B.SINAPI-S'!A:J,6,0),IF(A209="SINAPI-I",VLOOKUP(B209,'20-A.SINAPI-I'!A:G,7,0),VLOOKUP(B209,'12.COT.MERCADO'!A:H,8,0)))</f>
        <v>30.44</v>
      </c>
      <c r="G209" s="626">
        <v>0.016</v>
      </c>
      <c r="H209" s="629">
        <f t="shared" si="109"/>
        <v>1.10288</v>
      </c>
      <c r="I209" s="629">
        <f t="shared" si="110"/>
        <v>0.48704</v>
      </c>
      <c r="J209" s="629">
        <f t="shared" si="111"/>
        <v>1.58992</v>
      </c>
    </row>
    <row r="210">
      <c r="A210" s="625" t="s">
        <v>218</v>
      </c>
      <c r="B210" s="626">
        <v>94975.0</v>
      </c>
      <c r="C210" s="627" t="str">
        <f>IF(A210="SINAPI-S",VLOOKUP(B210,'20-B.SINAPI-S'!A:J,2,0),IF(A210="SINAPI-I",VLOOKUP(B210,'20-A.SINAPI-I'!A:E,2,0),VLOOKUP(B210,'12.COT.MERCADO'!A:H,2,0)))</f>
        <v>CONCRETO FCK = 15MPA, TRAÇO 1:3,4:3,5 (EM MASSA SECA DE CIMENTO/ AREIA MÉDIA/ BRITA 1) - PREPARO MANUAL. AF_05/2021</v>
      </c>
      <c r="D210" s="628" t="str">
        <f>IF(A210="SINAPI-S",VLOOKUP(B210,'20-B.SINAPI-S'!A:J,3,0),IF(A210="SINAPI-I",VLOOKUP(B210,'20-A.SINAPI-I'!A:E,3,0),VLOOKUP(B210,'12.COT.MERCADO'!A:H,7,0)))</f>
        <v>M3</v>
      </c>
      <c r="E210" s="629">
        <f>IF(A210="SINAPI-S",VLOOKUP(B210,'20-B.SINAPI-S'!A:J,5,0),IF(A210="SINAPI-I",VLOOKUP(B210,'20-A.SINAPI-I'!A:G,6,0),0))</f>
        <v>108.11</v>
      </c>
      <c r="F210" s="629">
        <f>IF(A210="SINAPI-S",VLOOKUP(B210,'20-B.SINAPI-S'!A:J,6,0),IF(A210="SINAPI-I",VLOOKUP(B210,'20-A.SINAPI-I'!A:G,7,0),VLOOKUP(B210,'12.COT.MERCADO'!A:H,8,0)))</f>
        <v>370.54</v>
      </c>
      <c r="G210" s="626">
        <v>0.016</v>
      </c>
      <c r="H210" s="629">
        <f t="shared" si="109"/>
        <v>1.72976</v>
      </c>
      <c r="I210" s="629">
        <f t="shared" si="110"/>
        <v>5.92864</v>
      </c>
      <c r="J210" s="629">
        <f t="shared" si="111"/>
        <v>7.6584</v>
      </c>
    </row>
    <row r="211">
      <c r="A211" s="625" t="s">
        <v>110</v>
      </c>
      <c r="B211" s="626" t="s">
        <v>1887</v>
      </c>
      <c r="C211" s="660" t="str">
        <f>IF(A211="SINAPI-S",VLOOKUP(B211,'20-B.SINAPI-S'!A:J,2,0),IF(A211="SINAPI-I",VLOOKUP(B211,'20-A.SINAPI-I'!A:E,2,0),VLOOKUP(B211,'12.COT.MERCADO'!A:H,2,0)))</f>
        <v>LIXEIXA INDIVIDUAL, EM PLÁSTIVO POLIPROPILENO (PP) COM PROTEÇÃO UV, PARA COLETA SELETIVA 50L COM POSTE </v>
      </c>
      <c r="D211" s="626" t="str">
        <f>IF(A211="SINAPI-S",VLOOKUP(B211,'20-B.SINAPI-S'!A:J,3,0),IF(A211="SINAPI-I",VLOOKUP(B211,'20-A.SINAPI-I'!A:E,3,0),VLOOKUP(B211,'12.COT.MERCADO'!A:H,7,0)))</f>
        <v>UN</v>
      </c>
      <c r="E211" s="629">
        <f>IF(A211="SINAPI-S",VLOOKUP(B211,'20-B.SINAPI-S'!A:J,5,0),IF(A211="SINAPI-I",VLOOKUP(B211,'20-A.SINAPI-I'!A:G,6,0),0))</f>
        <v>0</v>
      </c>
      <c r="F211" s="634">
        <f>IF(A211="SINAPI-S",VLOOKUP(B211,'20-B.SINAPI-S'!A:J,6,0),IF(A211="SINAPI-I",VLOOKUP(B211,'20-A.SINAPI-I'!A:G,7,0),VLOOKUP(B211,'12.COT.MERCADO'!A:H,8,0)))</f>
        <v>200.43</v>
      </c>
      <c r="G211" s="626">
        <v>1.0</v>
      </c>
      <c r="H211" s="629">
        <f t="shared" si="109"/>
        <v>0</v>
      </c>
      <c r="I211" s="629">
        <f t="shared" si="110"/>
        <v>200.43</v>
      </c>
      <c r="J211" s="629">
        <f t="shared" si="111"/>
        <v>200.43</v>
      </c>
    </row>
    <row r="212">
      <c r="A212" s="622" t="s">
        <v>1632</v>
      </c>
      <c r="B212" s="633" t="s">
        <v>1888</v>
      </c>
      <c r="J212" s="633"/>
    </row>
    <row r="213">
      <c r="A213" s="661"/>
      <c r="B213" s="662"/>
      <c r="C213" s="662"/>
      <c r="D213" s="626"/>
      <c r="E213" s="661"/>
      <c r="F213" s="661"/>
      <c r="G213" s="661"/>
      <c r="H213" s="661"/>
      <c r="I213" s="661"/>
      <c r="J213" s="661"/>
    </row>
    <row r="214">
      <c r="A214" s="654" t="s">
        <v>1785</v>
      </c>
      <c r="B214" s="655" t="s">
        <v>1889</v>
      </c>
      <c r="C214" s="656" t="s">
        <v>1890</v>
      </c>
      <c r="D214" s="655" t="s">
        <v>1788</v>
      </c>
      <c r="E214" s="657"/>
      <c r="F214" s="657"/>
      <c r="G214" s="657"/>
      <c r="H214" s="663">
        <f t="shared" ref="H214:J214" si="112">SUM(H216:H218)</f>
        <v>34.736</v>
      </c>
      <c r="I214" s="663">
        <f t="shared" si="112"/>
        <v>85.614</v>
      </c>
      <c r="J214" s="664">
        <f t="shared" si="112"/>
        <v>120.35</v>
      </c>
    </row>
    <row r="215">
      <c r="A215" s="622" t="s">
        <v>1732</v>
      </c>
      <c r="B215" s="622" t="s">
        <v>80</v>
      </c>
      <c r="C215" s="623" t="s">
        <v>8</v>
      </c>
      <c r="D215" s="622" t="s">
        <v>83</v>
      </c>
      <c r="E215" s="624" t="s">
        <v>1734</v>
      </c>
      <c r="F215" s="624" t="s">
        <v>1735</v>
      </c>
      <c r="G215" s="624" t="s">
        <v>1736</v>
      </c>
      <c r="H215" s="624" t="s">
        <v>1737</v>
      </c>
      <c r="I215" s="624" t="s">
        <v>1738</v>
      </c>
      <c r="J215" s="624" t="s">
        <v>14</v>
      </c>
    </row>
    <row r="216">
      <c r="A216" s="625" t="s">
        <v>218</v>
      </c>
      <c r="B216" s="626">
        <v>88267.0</v>
      </c>
      <c r="C216" s="627" t="str">
        <f>IF(A216="SINAPI-S",VLOOKUP(B216,'20-B.SINAPI-S'!A:J,2,0),IF(A216="SINAPI-I",VLOOKUP(B216,'20-A.SINAPI-I'!A:E,2,0),VLOOKUP(B216,'12.COT.MERCADO'!A:H,2,0)))</f>
        <v>ENCANADOR OU BOMBEIRO HIDRÁULICO COM ENCARGOS COMPLEMENTARES</v>
      </c>
      <c r="D216" s="628" t="str">
        <f>IF(A216="SINAPI-S",VLOOKUP(B216,'20-B.SINAPI-S'!A:J,3,0),IF(A216="SINAPI-I",VLOOKUP(B216,'20-A.SINAPI-I'!A:E,3,0),VLOOKUP(B216,'12.COT.MERCADO'!A:H,7,0)))</f>
        <v>H</v>
      </c>
      <c r="E216" s="629">
        <f>IF(A216="SINAPI-S",VLOOKUP(B216,'20-B.SINAPI-S'!A:J,5,0),IF(A216="SINAPI-I",VLOOKUP(B216,'20-A.SINAPI-I'!A:G,6,0),0))</f>
        <v>24.6</v>
      </c>
      <c r="F216" s="629">
        <f>IF(A216="SINAPI-S",VLOOKUP(B216,'20-B.SINAPI-S'!A:J,6,0),IF(A216="SINAPI-I",VLOOKUP(B216,'20-A.SINAPI-I'!A:G,7,0),VLOOKUP(B216,'12.COT.MERCADO'!A:H,8,0)))</f>
        <v>7.19</v>
      </c>
      <c r="G216" s="626">
        <v>0.8</v>
      </c>
      <c r="H216" s="629">
        <f t="shared" ref="H216:H218" si="113">E216*G216</f>
        <v>19.68</v>
      </c>
      <c r="I216" s="629">
        <f t="shared" ref="I216:I218" si="114">F216*G216</f>
        <v>5.752</v>
      </c>
      <c r="J216" s="629">
        <f t="shared" ref="J216:J218" si="115">I216+H216</f>
        <v>25.432</v>
      </c>
    </row>
    <row r="217">
      <c r="A217" s="625" t="s">
        <v>218</v>
      </c>
      <c r="B217" s="626">
        <v>88248.0</v>
      </c>
      <c r="C217" s="627" t="str">
        <f>IF(A217="SINAPI-S",VLOOKUP(B217,'20-B.SINAPI-S'!A:J,2,0),IF(A217="SINAPI-I",VLOOKUP(B217,'20-A.SINAPI-I'!A:E,2,0),VLOOKUP(B217,'12.COT.MERCADO'!A:H,2,0)))</f>
        <v>AUXILIAR DE ENCANADOR OU BOMBEIRO HIDRÁULICO COM ENCARGOS COMPLEMENTARES</v>
      </c>
      <c r="D217" s="628" t="str">
        <f>IF(A217="SINAPI-S",VLOOKUP(B217,'20-B.SINAPI-S'!A:J,3,0),IF(A217="SINAPI-I",VLOOKUP(B217,'20-A.SINAPI-I'!A:E,3,0),VLOOKUP(B217,'12.COT.MERCADO'!A:H,7,0)))</f>
        <v>H</v>
      </c>
      <c r="E217" s="629">
        <f>IF(A217="SINAPI-S",VLOOKUP(B217,'20-B.SINAPI-S'!A:J,5,0),IF(A217="SINAPI-I",VLOOKUP(B217,'20-A.SINAPI-I'!A:G,6,0),0))</f>
        <v>18.82</v>
      </c>
      <c r="F217" s="629">
        <f>IF(A217="SINAPI-S",VLOOKUP(B217,'20-B.SINAPI-S'!A:J,6,0),IF(A217="SINAPI-I",VLOOKUP(B217,'20-A.SINAPI-I'!A:G,7,0),VLOOKUP(B217,'12.COT.MERCADO'!A:H,8,0)))</f>
        <v>7.19</v>
      </c>
      <c r="G217" s="626">
        <v>0.8</v>
      </c>
      <c r="H217" s="629">
        <f t="shared" si="113"/>
        <v>15.056</v>
      </c>
      <c r="I217" s="629">
        <f t="shared" si="114"/>
        <v>5.752</v>
      </c>
      <c r="J217" s="629">
        <f t="shared" si="115"/>
        <v>20.808</v>
      </c>
    </row>
    <row r="218">
      <c r="A218" s="625" t="s">
        <v>110</v>
      </c>
      <c r="B218" s="626" t="s">
        <v>1891</v>
      </c>
      <c r="C218" s="660" t="str">
        <f>IF(A218="SINAPI-S",VLOOKUP(B218,'20-B.SINAPI-S'!A:J,2,0),IF(A218="SINAPI-I",VLOOKUP(B218,'20-A.SINAPI-I'!A:E,2,0),VLOOKUP(B218,'12.COT.MERCADO'!A:H,2,0)))</f>
        <v>REPARO PARA VÁLVULA DE DESCARGA, COMPLETO</v>
      </c>
      <c r="D218" s="626" t="str">
        <f>IF(A218="SINAPI-S",VLOOKUP(B218,'20-B.SINAPI-S'!A:J,3,0),IF(A218="SINAPI-I",VLOOKUP(B218,'20-A.SINAPI-I'!A:E,3,0),VLOOKUP(B218,'12.COT.MERCADO'!A:H,7,0)))</f>
        <v>UN</v>
      </c>
      <c r="E218" s="629">
        <f>IF(A218="SINAPI-S",VLOOKUP(B218,'20-B.SINAPI-S'!A:J,5,0),IF(A218="SINAPI-I",VLOOKUP(B218,'20-A.SINAPI-I'!A:G,6,0),0))</f>
        <v>0</v>
      </c>
      <c r="F218" s="634">
        <f>IF(A218="SINAPI-S",VLOOKUP(B218,'20-B.SINAPI-S'!A:J,6,0),IF(A218="SINAPI-I",VLOOKUP(B218,'20-A.SINAPI-I'!A:G,7,0),VLOOKUP(B218,'12.COT.MERCADO'!A:H,8,0)))</f>
        <v>74.11</v>
      </c>
      <c r="G218" s="626">
        <v>1.0</v>
      </c>
      <c r="H218" s="629">
        <f t="shared" si="113"/>
        <v>0</v>
      </c>
      <c r="I218" s="629">
        <f t="shared" si="114"/>
        <v>74.11</v>
      </c>
      <c r="J218" s="629">
        <f t="shared" si="115"/>
        <v>74.11</v>
      </c>
    </row>
    <row r="219">
      <c r="A219" s="622" t="s">
        <v>1632</v>
      </c>
      <c r="B219" s="633" t="s">
        <v>1892</v>
      </c>
      <c r="J219" s="633"/>
    </row>
    <row r="220">
      <c r="A220" s="661"/>
      <c r="B220" s="662"/>
      <c r="C220" s="662"/>
      <c r="D220" s="626"/>
      <c r="E220" s="661"/>
      <c r="F220" s="661"/>
      <c r="G220" s="661"/>
      <c r="H220" s="661"/>
      <c r="I220" s="661"/>
      <c r="J220" s="661"/>
    </row>
    <row r="221">
      <c r="A221" s="654" t="s">
        <v>1785</v>
      </c>
      <c r="B221" s="655" t="s">
        <v>1893</v>
      </c>
      <c r="C221" s="656" t="s">
        <v>1894</v>
      </c>
      <c r="D221" s="655" t="s">
        <v>1731</v>
      </c>
      <c r="E221" s="657"/>
      <c r="F221" s="657"/>
      <c r="G221" s="657"/>
      <c r="H221" s="663">
        <f t="shared" ref="H221:J221" si="116">SUM(H223)</f>
        <v>0</v>
      </c>
      <c r="I221" s="663">
        <f t="shared" si="116"/>
        <v>799.28</v>
      </c>
      <c r="J221" s="664">
        <f t="shared" si="116"/>
        <v>799.28</v>
      </c>
    </row>
    <row r="222">
      <c r="A222" s="622" t="s">
        <v>1732</v>
      </c>
      <c r="B222" s="622" t="s">
        <v>80</v>
      </c>
      <c r="C222" s="623" t="s">
        <v>8</v>
      </c>
      <c r="D222" s="622" t="s">
        <v>83</v>
      </c>
      <c r="E222" s="624" t="s">
        <v>1734</v>
      </c>
      <c r="F222" s="624" t="s">
        <v>1735</v>
      </c>
      <c r="G222" s="624" t="s">
        <v>1736</v>
      </c>
      <c r="H222" s="624" t="s">
        <v>1737</v>
      </c>
      <c r="I222" s="624" t="s">
        <v>1738</v>
      </c>
      <c r="J222" s="624" t="s">
        <v>14</v>
      </c>
    </row>
    <row r="223">
      <c r="A223" s="625" t="s">
        <v>110</v>
      </c>
      <c r="B223" s="626" t="s">
        <v>1895</v>
      </c>
      <c r="C223" s="660" t="str">
        <f>IF(A223="SINAPI-S",VLOOKUP(B223,'20-B.SINAPI-S'!A:J,2,0),IF(A223="SINAPI-I",VLOOKUP(B223,'20-A.SINAPI-I'!A:E,2,0),VLOOKUP(B223,'12.COT.MERCADO'!A:H,2,0)))</f>
        <v>ESCADA DE MARINHEIRO EM AÇO GALVANIZADO</v>
      </c>
      <c r="D223" s="626" t="str">
        <f>IF(A223="SINAPI-S",VLOOKUP(B223,'20-B.SINAPI-S'!A:J,3,0),IF(A223="SINAPI-I",VLOOKUP(B223,'20-A.SINAPI-I'!A:E,3,0),VLOOKUP(B223,'12.COT.MERCADO'!A:H,7,0)))</f>
        <v>M</v>
      </c>
      <c r="E223" s="629">
        <f>IF(A223="SINAPI-S",VLOOKUP(B223,'20-B.SINAPI-S'!A:J,5,0),IF(A223="SINAPI-I",VLOOKUP(B223,'20-A.SINAPI-I'!A:G,6,0),0))</f>
        <v>0</v>
      </c>
      <c r="F223" s="634">
        <f>IF(A223="SINAPI-S",VLOOKUP(B223,'20-B.SINAPI-S'!A:J,6,0),IF(A223="SINAPI-I",VLOOKUP(B223,'20-A.SINAPI-I'!A:G,7,0),VLOOKUP(B223,'12.COT.MERCADO'!A:H,8,0)))</f>
        <v>799.28</v>
      </c>
      <c r="G223" s="626">
        <v>1.0</v>
      </c>
      <c r="H223" s="629">
        <f>E223*G223</f>
        <v>0</v>
      </c>
      <c r="I223" s="629">
        <f>F223*G223</f>
        <v>799.28</v>
      </c>
      <c r="J223" s="629">
        <f>I223+H223</f>
        <v>799.28</v>
      </c>
    </row>
    <row r="224">
      <c r="A224" s="622" t="s">
        <v>1632</v>
      </c>
      <c r="B224" s="633"/>
      <c r="J224" s="633"/>
    </row>
    <row r="225">
      <c r="A225" s="661"/>
      <c r="B225" s="662"/>
      <c r="C225" s="662"/>
      <c r="D225" s="626"/>
      <c r="E225" s="661"/>
      <c r="F225" s="661"/>
      <c r="G225" s="661"/>
      <c r="H225" s="661"/>
      <c r="I225" s="661"/>
      <c r="J225" s="661"/>
    </row>
    <row r="226">
      <c r="A226" s="654" t="s">
        <v>1785</v>
      </c>
      <c r="B226" s="655" t="s">
        <v>1896</v>
      </c>
      <c r="C226" s="656" t="s">
        <v>1897</v>
      </c>
      <c r="D226" s="655" t="s">
        <v>1788</v>
      </c>
      <c r="E226" s="657"/>
      <c r="F226" s="657"/>
      <c r="G226" s="657"/>
      <c r="H226" s="663">
        <f t="shared" ref="H226:J226" si="117">SUM(H228:H230)</f>
        <v>44.29</v>
      </c>
      <c r="I226" s="663">
        <f t="shared" si="117"/>
        <v>219.93</v>
      </c>
      <c r="J226" s="664">
        <f t="shared" si="117"/>
        <v>264.22</v>
      </c>
    </row>
    <row r="227">
      <c r="A227" s="622" t="s">
        <v>1732</v>
      </c>
      <c r="B227" s="622" t="s">
        <v>80</v>
      </c>
      <c r="C227" s="623" t="s">
        <v>8</v>
      </c>
      <c r="D227" s="622" t="s">
        <v>83</v>
      </c>
      <c r="E227" s="624" t="s">
        <v>1734</v>
      </c>
      <c r="F227" s="624" t="s">
        <v>1735</v>
      </c>
      <c r="G227" s="624" t="s">
        <v>1736</v>
      </c>
      <c r="H227" s="624" t="s">
        <v>1737</v>
      </c>
      <c r="I227" s="624" t="s">
        <v>1738</v>
      </c>
      <c r="J227" s="624" t="s">
        <v>14</v>
      </c>
    </row>
    <row r="228">
      <c r="A228" s="625" t="s">
        <v>218</v>
      </c>
      <c r="B228" s="626">
        <v>88264.0</v>
      </c>
      <c r="C228" s="627" t="str">
        <f>IF(A228="SINAPI-S",VLOOKUP(B228,'20-B.SINAPI-S'!A:J,2,0),IF(A228="SINAPI-I",VLOOKUP(B228,'20-A.SINAPI-I'!A:E,2,0),VLOOKUP(B228,'12.COT.MERCADO'!A:H,2,0)))</f>
        <v>ELETRICISTA COM ENCARGOS COMPLEMENTARES</v>
      </c>
      <c r="D228" s="628" t="str">
        <f>IF(A228="SINAPI-S",VLOOKUP(B228,'20-B.SINAPI-S'!A:J,3,0),IF(A228="SINAPI-I",VLOOKUP(B228,'20-A.SINAPI-I'!A:E,3,0),VLOOKUP(B228,'12.COT.MERCADO'!A:H,7,0)))</f>
        <v>H</v>
      </c>
      <c r="E228" s="629">
        <f>IF(A228="SINAPI-S",VLOOKUP(B228,'20-B.SINAPI-S'!A:J,5,0),IF(A228="SINAPI-I",VLOOKUP(B228,'20-A.SINAPI-I'!A:G,6,0),0))</f>
        <v>25.09</v>
      </c>
      <c r="F228" s="629">
        <f>IF(A228="SINAPI-S",VLOOKUP(B228,'20-B.SINAPI-S'!A:J,6,0),IF(A228="SINAPI-I",VLOOKUP(B228,'20-A.SINAPI-I'!A:G,7,0),VLOOKUP(B228,'12.COT.MERCADO'!A:H,8,0)))</f>
        <v>7.86</v>
      </c>
      <c r="G228" s="626">
        <v>1.0</v>
      </c>
      <c r="H228" s="629">
        <f t="shared" ref="H228:H230" si="118">E228*G228</f>
        <v>25.09</v>
      </c>
      <c r="I228" s="629">
        <f t="shared" ref="I228:I230" si="119">F228*G228</f>
        <v>7.86</v>
      </c>
      <c r="J228" s="629">
        <f t="shared" ref="J228:J230" si="120">I228+H228</f>
        <v>32.95</v>
      </c>
    </row>
    <row r="229">
      <c r="A229" s="625" t="s">
        <v>218</v>
      </c>
      <c r="B229" s="626">
        <v>88247.0</v>
      </c>
      <c r="C229" s="627" t="str">
        <f>IF(A229="SINAPI-S",VLOOKUP(B229,'20-B.SINAPI-S'!A:J,2,0),IF(A229="SINAPI-I",VLOOKUP(B229,'20-A.SINAPI-I'!A:E,2,0),VLOOKUP(B229,'12.COT.MERCADO'!A:H,2,0)))</f>
        <v>AUXILIAR DE ELETRICISTA COM ENCARGOS COMPLEMENTARES</v>
      </c>
      <c r="D229" s="628" t="str">
        <f>IF(A229="SINAPI-S",VLOOKUP(B229,'20-B.SINAPI-S'!A:J,3,0),IF(A229="SINAPI-I",VLOOKUP(B229,'20-A.SINAPI-I'!A:E,3,0),VLOOKUP(B229,'12.COT.MERCADO'!A:H,7,0)))</f>
        <v>H</v>
      </c>
      <c r="E229" s="629">
        <f>IF(A229="SINAPI-S",VLOOKUP(B229,'20-B.SINAPI-S'!A:J,5,0),IF(A229="SINAPI-I",VLOOKUP(B229,'20-A.SINAPI-I'!A:G,6,0),0))</f>
        <v>19.2</v>
      </c>
      <c r="F229" s="629">
        <f>IF(A229="SINAPI-S",VLOOKUP(B229,'20-B.SINAPI-S'!A:J,6,0),IF(A229="SINAPI-I",VLOOKUP(B229,'20-A.SINAPI-I'!A:G,7,0),VLOOKUP(B229,'12.COT.MERCADO'!A:H,8,0)))</f>
        <v>7.86</v>
      </c>
      <c r="G229" s="626">
        <v>1.0</v>
      </c>
      <c r="H229" s="629">
        <f t="shared" si="118"/>
        <v>19.2</v>
      </c>
      <c r="I229" s="629">
        <f t="shared" si="119"/>
        <v>7.86</v>
      </c>
      <c r="J229" s="629">
        <f t="shared" si="120"/>
        <v>27.06</v>
      </c>
    </row>
    <row r="230">
      <c r="A230" s="625" t="s">
        <v>110</v>
      </c>
      <c r="B230" s="626" t="s">
        <v>1898</v>
      </c>
      <c r="C230" s="660" t="str">
        <f>IF(A230="SINAPI-S",VLOOKUP(B230,'20-B.SINAPI-S'!A:J,2,0),IF(A230="SINAPI-I",VLOOKUP(B230,'20-A.SINAPI-I'!A:E,2,0),VLOOKUP(B230,'12.COT.MERCADO'!A:H,2,0)))</f>
        <v>Kit Porteiro Eletrônico Residencial IPR 8010 Intelbras</v>
      </c>
      <c r="D230" s="626" t="str">
        <f>IF(A230="SINAPI-S",VLOOKUP(B230,'20-B.SINAPI-S'!A:J,3,0),IF(A230="SINAPI-I",VLOOKUP(B230,'20-A.SINAPI-I'!A:E,3,0),VLOOKUP(B230,'12.COT.MERCADO'!A:H,7,0)))</f>
        <v>UN</v>
      </c>
      <c r="E230" s="629">
        <f>IF(A230="SINAPI-S",VLOOKUP(B230,'20-B.SINAPI-S'!A:J,5,0),IF(A230="SINAPI-I",VLOOKUP(B230,'20-A.SINAPI-I'!A:G,6,0),0))</f>
        <v>0</v>
      </c>
      <c r="F230" s="634">
        <f>IF(A230="SINAPI-S",VLOOKUP(B230,'20-B.SINAPI-S'!A:J,6,0),IF(A230="SINAPI-I",VLOOKUP(B230,'20-A.SINAPI-I'!A:G,7,0),VLOOKUP(B230,'12.COT.MERCADO'!A:H,8,0)))</f>
        <v>204.21</v>
      </c>
      <c r="G230" s="626">
        <v>1.0</v>
      </c>
      <c r="H230" s="629">
        <f t="shared" si="118"/>
        <v>0</v>
      </c>
      <c r="I230" s="629">
        <f t="shared" si="119"/>
        <v>204.21</v>
      </c>
      <c r="J230" s="629">
        <f t="shared" si="120"/>
        <v>204.21</v>
      </c>
    </row>
    <row r="231">
      <c r="A231" s="622" t="s">
        <v>1632</v>
      </c>
      <c r="B231" s="633" t="s">
        <v>1899</v>
      </c>
      <c r="J231" s="633"/>
    </row>
    <row r="232">
      <c r="A232" s="661"/>
      <c r="B232" s="662"/>
      <c r="C232" s="662"/>
      <c r="D232" s="626"/>
      <c r="E232" s="661"/>
      <c r="F232" s="661"/>
      <c r="G232" s="661"/>
      <c r="H232" s="661"/>
      <c r="I232" s="661"/>
      <c r="J232" s="661"/>
    </row>
    <row r="233">
      <c r="A233" s="654" t="s">
        <v>1785</v>
      </c>
      <c r="B233" s="655" t="s">
        <v>1900</v>
      </c>
      <c r="C233" s="656" t="s">
        <v>1901</v>
      </c>
      <c r="D233" s="655" t="s">
        <v>1731</v>
      </c>
      <c r="E233" s="657"/>
      <c r="F233" s="657"/>
      <c r="G233" s="657"/>
      <c r="H233" s="663">
        <f t="shared" ref="H233:J233" si="121">SUM(H235:H238)</f>
        <v>126.3</v>
      </c>
      <c r="I233" s="663">
        <f t="shared" si="121"/>
        <v>236.164</v>
      </c>
      <c r="J233" s="664">
        <f t="shared" si="121"/>
        <v>362.464</v>
      </c>
    </row>
    <row r="234">
      <c r="A234" s="622" t="s">
        <v>1732</v>
      </c>
      <c r="B234" s="622" t="s">
        <v>80</v>
      </c>
      <c r="C234" s="623" t="s">
        <v>8</v>
      </c>
      <c r="D234" s="622" t="s">
        <v>83</v>
      </c>
      <c r="E234" s="624" t="s">
        <v>1734</v>
      </c>
      <c r="F234" s="624" t="s">
        <v>1735</v>
      </c>
      <c r="G234" s="624" t="s">
        <v>1736</v>
      </c>
      <c r="H234" s="624" t="s">
        <v>1737</v>
      </c>
      <c r="I234" s="624" t="s">
        <v>1738</v>
      </c>
      <c r="J234" s="624" t="s">
        <v>14</v>
      </c>
    </row>
    <row r="235">
      <c r="A235" s="625" t="s">
        <v>218</v>
      </c>
      <c r="B235" s="626">
        <v>88309.0</v>
      </c>
      <c r="C235" s="627" t="str">
        <f>IF(A235="SINAPI-S",VLOOKUP(B235,'20-B.SINAPI-S'!A:J,2,0),IF(A235="SINAPI-I",VLOOKUP(B235,'20-A.SINAPI-I'!A:E,2,0),VLOOKUP(B235,'12.COT.MERCADO'!A:H,2,0)))</f>
        <v>PEDREIRO COM ENCARGOS COMPLEMENTARES</v>
      </c>
      <c r="D235" s="628" t="str">
        <f>IF(A235="SINAPI-S",VLOOKUP(B235,'20-B.SINAPI-S'!A:J,3,0),IF(A235="SINAPI-I",VLOOKUP(B235,'20-A.SINAPI-I'!A:E,3,0),VLOOKUP(B235,'12.COT.MERCADO'!A:H,7,0)))</f>
        <v>H</v>
      </c>
      <c r="E235" s="629">
        <f>IF(A235="SINAPI-S",VLOOKUP(B235,'20-B.SINAPI-S'!A:J,5,0),IF(A235="SINAPI-I",VLOOKUP(B235,'20-A.SINAPI-I'!A:G,6,0),0))</f>
        <v>24.68</v>
      </c>
      <c r="F235" s="629">
        <f>IF(A235="SINAPI-S",VLOOKUP(B235,'20-B.SINAPI-S'!A:J,6,0),IF(A235="SINAPI-I",VLOOKUP(B235,'20-A.SINAPI-I'!A:G,7,0),VLOOKUP(B235,'12.COT.MERCADO'!A:H,8,0)))</f>
        <v>7.87</v>
      </c>
      <c r="G235" s="626">
        <v>3.0</v>
      </c>
      <c r="H235" s="629">
        <f t="shared" ref="H235:H238" si="122">E235*G235</f>
        <v>74.04</v>
      </c>
      <c r="I235" s="629">
        <f t="shared" ref="I235:I238" si="123">F235*G235</f>
        <v>23.61</v>
      </c>
      <c r="J235" s="629">
        <f t="shared" ref="J235:J238" si="124">I235+H235</f>
        <v>97.65</v>
      </c>
    </row>
    <row r="236">
      <c r="A236" s="625" t="s">
        <v>218</v>
      </c>
      <c r="B236" s="626">
        <v>88316.0</v>
      </c>
      <c r="C236" s="627" t="str">
        <f>IF(A236="SINAPI-S",VLOOKUP(B236,'20-B.SINAPI-S'!A:J,2,0),IF(A236="SINAPI-I",VLOOKUP(B236,'20-A.SINAPI-I'!A:E,2,0),VLOOKUP(B236,'12.COT.MERCADO'!A:H,2,0)))</f>
        <v>SERVENTE COM ENCARGOS COMPLEMENTARES</v>
      </c>
      <c r="D236" s="628" t="str">
        <f>IF(A236="SINAPI-S",VLOOKUP(B236,'20-B.SINAPI-S'!A:J,3,0),IF(A236="SINAPI-I",VLOOKUP(B236,'20-A.SINAPI-I'!A:E,3,0),VLOOKUP(B236,'12.COT.MERCADO'!A:H,7,0)))</f>
        <v>H</v>
      </c>
      <c r="E236" s="629">
        <f>IF(A236="SINAPI-S",VLOOKUP(B236,'20-B.SINAPI-S'!A:J,5,0),IF(A236="SINAPI-I",VLOOKUP(B236,'20-A.SINAPI-I'!A:G,6,0),0))</f>
        <v>17.42</v>
      </c>
      <c r="F236" s="629">
        <f>IF(A236="SINAPI-S",VLOOKUP(B236,'20-B.SINAPI-S'!A:J,6,0),IF(A236="SINAPI-I",VLOOKUP(B236,'20-A.SINAPI-I'!A:G,7,0),VLOOKUP(B236,'12.COT.MERCADO'!A:H,8,0)))</f>
        <v>7.7</v>
      </c>
      <c r="G236" s="626">
        <v>3.0</v>
      </c>
      <c r="H236" s="629">
        <f t="shared" si="122"/>
        <v>52.26</v>
      </c>
      <c r="I236" s="629">
        <f t="shared" si="123"/>
        <v>23.1</v>
      </c>
      <c r="J236" s="629">
        <f t="shared" si="124"/>
        <v>75.36</v>
      </c>
    </row>
    <row r="237">
      <c r="A237" s="625" t="s">
        <v>286</v>
      </c>
      <c r="B237" s="626">
        <v>157.0</v>
      </c>
      <c r="C237" s="627" t="str">
        <f>IF(A237="SINAPI-S",VLOOKUP(B237,'20-B.SINAPI-S'!A:J,2,0),IF(A237="SINAPI-I",VLOOKUP(B237,'20-A.SINAPI-I'!A:E,2,0),VLOOKUP(B237,'12.COT.MERCADO'!A:H,2,0)))</f>
        <v>ADESIVO ESTRUTURAL A BASE DE RESINA EPOXI PARA INJECAO EM TRINCAS, BICOMPONENTE, BAIXA VISCOSIDADE</v>
      </c>
      <c r="D237" s="626" t="str">
        <f>IF(A237="SINAPI-S",VLOOKUP(B237,'20-B.SINAPI-S'!A:J,3,0),IF(A237="SINAPI-I",VLOOKUP(B237,'20-A.SINAPI-I'!A:E,3,0),VLOOKUP(B237,'12.COT.MERCADO'!A:H,7,0)))</f>
        <v>KG</v>
      </c>
      <c r="E237" s="629">
        <f>IF(A237="SINAPI-S",VLOOKUP(B237,'20-B.SINAPI-S'!A:J,5,0),IF(A237="SINAPI-I",VLOOKUP(B237,'20-A.SINAPI-I'!A:G,6,0),0))</f>
        <v>0</v>
      </c>
      <c r="F237" s="629">
        <f>IF(A237="SINAPI-S",VLOOKUP(B237,'20-B.SINAPI-S'!A:J,6,0),IF(A237="SINAPI-I",VLOOKUP(B237,'20-A.SINAPI-I'!A:G,7,0),VLOOKUP(B237,'12.COT.MERCADO'!A:H,8,0)))</f>
        <v>145.5</v>
      </c>
      <c r="G237" s="626">
        <v>1.06</v>
      </c>
      <c r="H237" s="629">
        <f t="shared" si="122"/>
        <v>0</v>
      </c>
      <c r="I237" s="629">
        <f t="shared" si="123"/>
        <v>154.23</v>
      </c>
      <c r="J237" s="629">
        <f t="shared" si="124"/>
        <v>154.23</v>
      </c>
    </row>
    <row r="238">
      <c r="A238" s="625" t="s">
        <v>286</v>
      </c>
      <c r="B238" s="626">
        <v>156.0</v>
      </c>
      <c r="C238" s="627" t="str">
        <f>IF(A238="SINAPI-S",VLOOKUP(B238,'20-B.SINAPI-S'!A:J,2,0),IF(A238="SINAPI-I",VLOOKUP(B238,'20-A.SINAPI-I'!A:E,2,0),VLOOKUP(B238,'12.COT.MERCADO'!A:H,2,0)))</f>
        <v>ADESIVO ESTRUTURAL A BASE DE RESINA EPOXI, BICOMPONENTE, FLUIDO</v>
      </c>
      <c r="D238" s="626" t="str">
        <f>IF(A238="SINAPI-S",VLOOKUP(B238,'20-B.SINAPI-S'!A:J,3,0),IF(A238="SINAPI-I",VLOOKUP(B238,'20-A.SINAPI-I'!A:E,3,0),VLOOKUP(B238,'12.COT.MERCADO'!A:H,7,0)))</f>
        <v>KG</v>
      </c>
      <c r="E238" s="629">
        <f>IF(A238="SINAPI-S",VLOOKUP(B238,'20-B.SINAPI-S'!A:J,5,0),IF(A238="SINAPI-I",VLOOKUP(B238,'20-A.SINAPI-I'!A:G,6,0),0))</f>
        <v>0</v>
      </c>
      <c r="F238" s="629">
        <f>IF(A238="SINAPI-S",VLOOKUP(B238,'20-B.SINAPI-S'!A:J,6,0),IF(A238="SINAPI-I",VLOOKUP(B238,'20-A.SINAPI-I'!A:G,7,0),VLOOKUP(B238,'12.COT.MERCADO'!A:H,8,0)))</f>
        <v>51.8</v>
      </c>
      <c r="G238" s="626">
        <v>0.68</v>
      </c>
      <c r="H238" s="629">
        <f t="shared" si="122"/>
        <v>0</v>
      </c>
      <c r="I238" s="629">
        <f t="shared" si="123"/>
        <v>35.224</v>
      </c>
      <c r="J238" s="629">
        <f t="shared" si="124"/>
        <v>35.224</v>
      </c>
    </row>
    <row r="239">
      <c r="A239" s="622" t="s">
        <v>1632</v>
      </c>
      <c r="B239" s="633" t="s">
        <v>1902</v>
      </c>
      <c r="J239" s="633"/>
    </row>
    <row r="240">
      <c r="A240" s="661"/>
      <c r="B240" s="662"/>
      <c r="C240" s="662"/>
      <c r="D240" s="626"/>
      <c r="E240" s="661"/>
      <c r="F240" s="661"/>
      <c r="G240" s="661"/>
      <c r="H240" s="661"/>
      <c r="I240" s="661"/>
      <c r="J240" s="661"/>
    </row>
    <row r="241">
      <c r="A241" s="654" t="s">
        <v>1785</v>
      </c>
      <c r="B241" s="655" t="s">
        <v>1903</v>
      </c>
      <c r="C241" s="656" t="s">
        <v>1904</v>
      </c>
      <c r="D241" s="668" t="s">
        <v>1788</v>
      </c>
      <c r="E241" s="657"/>
      <c r="F241" s="657"/>
      <c r="G241" s="657"/>
      <c r="H241" s="663">
        <f t="shared" ref="H241:J241" si="125">SUM(H243:H248)</f>
        <v>679.194</v>
      </c>
      <c r="I241" s="663">
        <f t="shared" si="125"/>
        <v>246.40171</v>
      </c>
      <c r="J241" s="664">
        <f t="shared" si="125"/>
        <v>925.59571</v>
      </c>
    </row>
    <row r="242">
      <c r="A242" s="622" t="s">
        <v>1732</v>
      </c>
      <c r="B242" s="622" t="s">
        <v>80</v>
      </c>
      <c r="C242" s="623" t="s">
        <v>8</v>
      </c>
      <c r="D242" s="622" t="s">
        <v>83</v>
      </c>
      <c r="E242" s="624" t="s">
        <v>1734</v>
      </c>
      <c r="F242" s="624" t="s">
        <v>1735</v>
      </c>
      <c r="G242" s="624" t="s">
        <v>1736</v>
      </c>
      <c r="H242" s="624" t="s">
        <v>1737</v>
      </c>
      <c r="I242" s="624" t="s">
        <v>1738</v>
      </c>
      <c r="J242" s="624" t="s">
        <v>14</v>
      </c>
    </row>
    <row r="243">
      <c r="A243" s="625" t="s">
        <v>218</v>
      </c>
      <c r="B243" s="626">
        <v>88309.0</v>
      </c>
      <c r="C243" s="627" t="str">
        <f>IF(A243="SINAPI-S",VLOOKUP(B243,'20-B.SINAPI-S'!A:J,2,0),IF(A243="SINAPI-I",VLOOKUP(B243,'20-A.SINAPI-I'!A:E,2,0),VLOOKUP(B243,'12.COT.MERCADO'!A:H,2,0)))</f>
        <v>PEDREIRO COM ENCARGOS COMPLEMENTARES</v>
      </c>
      <c r="D243" s="628" t="str">
        <f>IF(A243="SINAPI-S",VLOOKUP(B243,'20-B.SINAPI-S'!A:J,3,0),IF(A243="SINAPI-I",VLOOKUP(B243,'20-A.SINAPI-I'!A:E,3,0),VLOOKUP(B243,'12.COT.MERCADO'!A:H,7,0)))</f>
        <v>H</v>
      </c>
      <c r="E243" s="629">
        <f>IF(A243="SINAPI-S",VLOOKUP(B243,'20-B.SINAPI-S'!A:J,5,0),IF(A243="SINAPI-I",VLOOKUP(B243,'20-A.SINAPI-I'!A:G,6,0),0))</f>
        <v>24.68</v>
      </c>
      <c r="F243" s="629">
        <f>IF(A243="SINAPI-S",VLOOKUP(B243,'20-B.SINAPI-S'!A:J,6,0),IF(A243="SINAPI-I",VLOOKUP(B243,'20-A.SINAPI-I'!A:G,7,0),VLOOKUP(B243,'12.COT.MERCADO'!A:H,8,0)))</f>
        <v>7.87</v>
      </c>
      <c r="G243" s="626">
        <v>10.9</v>
      </c>
      <c r="H243" s="629">
        <f t="shared" ref="H243:H248" si="126">E243*G243</f>
        <v>269.012</v>
      </c>
      <c r="I243" s="629">
        <f t="shared" ref="I243:I248" si="127">F243*G243</f>
        <v>85.783</v>
      </c>
      <c r="J243" s="629">
        <f t="shared" ref="J243:J248" si="128">I243+H243</f>
        <v>354.795</v>
      </c>
    </row>
    <row r="244">
      <c r="A244" s="625" t="s">
        <v>218</v>
      </c>
      <c r="B244" s="626">
        <v>88316.0</v>
      </c>
      <c r="C244" s="627" t="str">
        <f>IF(A244="SINAPI-S",VLOOKUP(B244,'20-B.SINAPI-S'!A:J,2,0),IF(A244="SINAPI-I",VLOOKUP(B244,'20-A.SINAPI-I'!A:E,2,0),VLOOKUP(B244,'12.COT.MERCADO'!A:H,2,0)))</f>
        <v>SERVENTE COM ENCARGOS COMPLEMENTARES</v>
      </c>
      <c r="D244" s="628" t="str">
        <f>IF(A244="SINAPI-S",VLOOKUP(B244,'20-B.SINAPI-S'!A:J,3,0),IF(A244="SINAPI-I",VLOOKUP(B244,'20-A.SINAPI-I'!A:E,3,0),VLOOKUP(B244,'12.COT.MERCADO'!A:H,7,0)))</f>
        <v>H</v>
      </c>
      <c r="E244" s="629">
        <f>IF(A244="SINAPI-S",VLOOKUP(B244,'20-B.SINAPI-S'!A:J,5,0),IF(A244="SINAPI-I",VLOOKUP(B244,'20-A.SINAPI-I'!A:G,6,0),0))</f>
        <v>17.42</v>
      </c>
      <c r="F244" s="629">
        <f>IF(A244="SINAPI-S",VLOOKUP(B244,'20-B.SINAPI-S'!A:J,6,0),IF(A244="SINAPI-I",VLOOKUP(B244,'20-A.SINAPI-I'!A:G,7,0),VLOOKUP(B244,'12.COT.MERCADO'!A:H,8,0)))</f>
        <v>7.7</v>
      </c>
      <c r="G244" s="626">
        <v>10.9</v>
      </c>
      <c r="H244" s="629">
        <f t="shared" si="126"/>
        <v>189.878</v>
      </c>
      <c r="I244" s="629">
        <f t="shared" si="127"/>
        <v>83.93</v>
      </c>
      <c r="J244" s="629">
        <f t="shared" si="128"/>
        <v>273.808</v>
      </c>
    </row>
    <row r="245">
      <c r="A245" s="625" t="s">
        <v>218</v>
      </c>
      <c r="B245" s="626">
        <v>88306.0</v>
      </c>
      <c r="C245" s="627" t="str">
        <f>IF(A245="SINAPI-S",VLOOKUP(B245,'20-B.SINAPI-S'!A:J,2,0),IF(A245="SINAPI-I",VLOOKUP(B245,'20-A.SINAPI-I'!A:E,2,0),VLOOKUP(B245,'12.COT.MERCADO'!A:H,2,0)))</f>
        <v>OPERADOR JATO DE AREIA OU JATISTA COM ENCARGOS COMPLEMENTARES</v>
      </c>
      <c r="D245" s="628" t="str">
        <f>IF(A245="SINAPI-S",VLOOKUP(B245,'20-B.SINAPI-S'!A:J,3,0),IF(A245="SINAPI-I",VLOOKUP(B245,'20-A.SINAPI-I'!A:E,3,0),VLOOKUP(B245,'12.COT.MERCADO'!A:H,7,0)))</f>
        <v>H</v>
      </c>
      <c r="E245" s="629">
        <f>IF(A245="SINAPI-S",VLOOKUP(B245,'20-B.SINAPI-S'!A:J,5,0),IF(A245="SINAPI-I",VLOOKUP(B245,'20-A.SINAPI-I'!A:G,6,0),0))</f>
        <v>22.48</v>
      </c>
      <c r="F245" s="629">
        <f>IF(A245="SINAPI-S",VLOOKUP(B245,'20-B.SINAPI-S'!A:J,6,0),IF(A245="SINAPI-I",VLOOKUP(B245,'20-A.SINAPI-I'!A:G,7,0),VLOOKUP(B245,'12.COT.MERCADO'!A:H,8,0)))</f>
        <v>6.69</v>
      </c>
      <c r="G245" s="626">
        <v>9.8</v>
      </c>
      <c r="H245" s="629">
        <f t="shared" si="126"/>
        <v>220.304</v>
      </c>
      <c r="I245" s="629">
        <f t="shared" si="127"/>
        <v>65.562</v>
      </c>
      <c r="J245" s="629">
        <f t="shared" si="128"/>
        <v>285.866</v>
      </c>
    </row>
    <row r="246">
      <c r="A246" s="625" t="s">
        <v>218</v>
      </c>
      <c r="B246" s="626">
        <v>90651.0</v>
      </c>
      <c r="C246" s="627" t="str">
        <f>IF(A246="SINAPI-S",VLOOKUP(B246,'20-B.SINAPI-S'!A:J,2,0),IF(A246="SINAPI-I",VLOOKUP(B246,'20-A.SINAPI-I'!A:E,2,0),VLOOKUP(B246,'12.COT.MERCADO'!A:H,2,0)))</f>
        <v>BOMBA CENTRÍFUGA MONOESTÁGIO COM MOTOR ELÉTRICO MONOFÁSICO, POTÊNCIA 15 HP, DIÂMETRO DO ROTOR 173 MM, HM/Q = 30 MCA / 90 M3/H A 45 MCA / 55 M3/H - CHI DIURNO. AF_06/2015</v>
      </c>
      <c r="D246" s="628" t="str">
        <f>IF(A246="SINAPI-S",VLOOKUP(B246,'20-B.SINAPI-S'!A:J,3,0),IF(A246="SINAPI-I",VLOOKUP(B246,'20-A.SINAPI-I'!A:E,3,0),VLOOKUP(B246,'12.COT.MERCADO'!A:H,7,0)))</f>
        <v>CHI</v>
      </c>
      <c r="E246" s="629">
        <f>IF(A246="SINAPI-S",VLOOKUP(B246,'20-B.SINAPI-S'!A:J,5,0),IF(A246="SINAPI-I",VLOOKUP(B246,'20-A.SINAPI-I'!A:G,6,0),0))</f>
        <v>0</v>
      </c>
      <c r="F246" s="629">
        <f>IF(A246="SINAPI-S",VLOOKUP(B246,'20-B.SINAPI-S'!A:J,6,0),IF(A246="SINAPI-I",VLOOKUP(B246,'20-A.SINAPI-I'!A:G,7,0),VLOOKUP(B246,'12.COT.MERCADO'!A:H,8,0)))</f>
        <v>0.91</v>
      </c>
      <c r="G246" s="626">
        <v>10.9</v>
      </c>
      <c r="H246" s="629">
        <f t="shared" si="126"/>
        <v>0</v>
      </c>
      <c r="I246" s="629">
        <f t="shared" si="127"/>
        <v>9.919</v>
      </c>
      <c r="J246" s="629">
        <f t="shared" si="128"/>
        <v>9.919</v>
      </c>
    </row>
    <row r="247">
      <c r="A247" s="625" t="s">
        <v>218</v>
      </c>
      <c r="B247" s="626">
        <v>90650.0</v>
      </c>
      <c r="C247" s="627" t="str">
        <f>IF(A247="SINAPI-S",VLOOKUP(B247,'20-B.SINAPI-S'!A:J,2,0),IF(A247="SINAPI-I",VLOOKUP(B247,'20-A.SINAPI-I'!A:E,2,0),VLOOKUP(B247,'12.COT.MERCADO'!A:H,2,0)))</f>
        <v>BOMBA CENTRÍFUGA MONOESTÁGIO COM MOTOR ELÉTRICO MONOFÁSICO, POTÊNCIA 15 HP, DIÂMETRO DO ROTOR 173 MM, HM/Q = 30 MCA / 90 M3/H A 45 MCA / 55 M3/H - CHP DIURNO. AF_06/2015</v>
      </c>
      <c r="D247" s="628" t="str">
        <f>IF(A247="SINAPI-S",VLOOKUP(B247,'20-B.SINAPI-S'!A:J,3,0),IF(A247="SINAPI-I",VLOOKUP(B247,'20-A.SINAPI-I'!A:E,3,0),VLOOKUP(B247,'12.COT.MERCADO'!A:H,7,0)))</f>
        <v>CHP</v>
      </c>
      <c r="E247" s="629">
        <f>IF(A247="SINAPI-S",VLOOKUP(B247,'20-B.SINAPI-S'!A:J,5,0),IF(A247="SINAPI-I",VLOOKUP(B247,'20-A.SINAPI-I'!A:G,6,0),0))</f>
        <v>0</v>
      </c>
      <c r="F247" s="629">
        <f>IF(A247="SINAPI-S",VLOOKUP(B247,'20-B.SINAPI-S'!A:J,6,0),IF(A247="SINAPI-I",VLOOKUP(B247,'20-A.SINAPI-I'!A:G,7,0),VLOOKUP(B247,'12.COT.MERCADO'!A:H,8,0)))</f>
        <v>7.98</v>
      </c>
      <c r="G247" s="626">
        <v>0.037</v>
      </c>
      <c r="H247" s="629">
        <f t="shared" si="126"/>
        <v>0</v>
      </c>
      <c r="I247" s="629">
        <f t="shared" si="127"/>
        <v>0.29526</v>
      </c>
      <c r="J247" s="629">
        <f t="shared" si="128"/>
        <v>0.29526</v>
      </c>
    </row>
    <row r="248">
      <c r="A248" s="625" t="s">
        <v>110</v>
      </c>
      <c r="B248" s="626" t="s">
        <v>1905</v>
      </c>
      <c r="C248" s="660" t="str">
        <f>IF(A248="SINAPI-S",VLOOKUP(B248,'20-B.SINAPI-S'!A:J,2,0),IF(A248="SINAPI-I",VLOOKUP(B248,'20-A.SINAPI-I'!A:E,2,0),VLOOKUP(B248,'12.COT.MERCADO'!A:H,2,0)))</f>
        <v>ÁGUA SANITÁRIA 5L</v>
      </c>
      <c r="D248" s="626" t="str">
        <f>IF(A248="SINAPI-S",VLOOKUP(B248,'20-B.SINAPI-S'!A:J,3,0),IF(A248="SINAPI-I",VLOOKUP(B248,'20-A.SINAPI-I'!A:E,3,0),VLOOKUP(B248,'12.COT.MERCADO'!A:H,7,0)))</f>
        <v>UN</v>
      </c>
      <c r="E248" s="629">
        <f>IF(A248="SINAPI-S",VLOOKUP(B248,'20-B.SINAPI-S'!A:J,5,0),IF(A248="SINAPI-I",VLOOKUP(B248,'20-A.SINAPI-I'!A:G,6,0),0))</f>
        <v>0</v>
      </c>
      <c r="F248" s="634">
        <f>IF(A248="SINAPI-S",VLOOKUP(B248,'20-B.SINAPI-S'!A:J,6,0),IF(A248="SINAPI-I",VLOOKUP(B248,'20-A.SINAPI-I'!A:G,7,0),VLOOKUP(B248,'12.COT.MERCADO'!A:H,8,0)))</f>
        <v>16.59</v>
      </c>
      <c r="G248" s="626">
        <v>0.055</v>
      </c>
      <c r="H248" s="629">
        <f t="shared" si="126"/>
        <v>0</v>
      </c>
      <c r="I248" s="629">
        <f t="shared" si="127"/>
        <v>0.91245</v>
      </c>
      <c r="J248" s="629">
        <f t="shared" si="128"/>
        <v>0.91245</v>
      </c>
    </row>
    <row r="249">
      <c r="A249" s="622" t="s">
        <v>1632</v>
      </c>
      <c r="B249" s="633" t="s">
        <v>1902</v>
      </c>
      <c r="J249" s="633"/>
    </row>
    <row r="250">
      <c r="A250" s="661"/>
      <c r="B250" s="662"/>
      <c r="C250" s="662"/>
      <c r="D250" s="626"/>
      <c r="E250" s="661"/>
      <c r="F250" s="661"/>
      <c r="G250" s="661"/>
      <c r="H250" s="661"/>
      <c r="I250" s="661"/>
      <c r="J250" s="661"/>
    </row>
    <row r="251">
      <c r="A251" s="654" t="s">
        <v>1785</v>
      </c>
      <c r="B251" s="655" t="s">
        <v>1906</v>
      </c>
      <c r="C251" s="645" t="s">
        <v>1907</v>
      </c>
      <c r="D251" s="655" t="s">
        <v>1788</v>
      </c>
      <c r="E251" s="657"/>
      <c r="F251" s="657"/>
      <c r="G251" s="657"/>
      <c r="H251" s="663">
        <f t="shared" ref="H251:J251" si="129">SUM(H253:H254)</f>
        <v>22.0374</v>
      </c>
      <c r="I251" s="663">
        <f t="shared" si="129"/>
        <v>7.7352</v>
      </c>
      <c r="J251" s="664">
        <f t="shared" si="129"/>
        <v>29.7726</v>
      </c>
    </row>
    <row r="252">
      <c r="A252" s="622" t="s">
        <v>1732</v>
      </c>
      <c r="B252" s="622" t="s">
        <v>80</v>
      </c>
      <c r="C252" s="623" t="s">
        <v>8</v>
      </c>
      <c r="D252" s="622" t="s">
        <v>83</v>
      </c>
      <c r="E252" s="624" t="s">
        <v>1734</v>
      </c>
      <c r="F252" s="624" t="s">
        <v>1735</v>
      </c>
      <c r="G252" s="624" t="s">
        <v>1736</v>
      </c>
      <c r="H252" s="624" t="s">
        <v>1737</v>
      </c>
      <c r="I252" s="624" t="s">
        <v>1738</v>
      </c>
      <c r="J252" s="624" t="s">
        <v>14</v>
      </c>
    </row>
    <row r="253">
      <c r="A253" s="625" t="s">
        <v>218</v>
      </c>
      <c r="B253" s="626">
        <v>88309.0</v>
      </c>
      <c r="C253" s="627" t="str">
        <f>IF(A253="SINAPI-S",VLOOKUP(B253,'20-B.SINAPI-S'!A:J,2,0),IF(A253="SINAPI-I",VLOOKUP(B253,'20-A.SINAPI-I'!A:E,2,0),VLOOKUP(B253,'12.COT.MERCADO'!A:H,2,0)))</f>
        <v>PEDREIRO COM ENCARGOS COMPLEMENTARES</v>
      </c>
      <c r="D253" s="628" t="str">
        <f>IF(A253="SINAPI-S",VLOOKUP(B253,'20-B.SINAPI-S'!A:J,3,0),IF(A253="SINAPI-I",VLOOKUP(B253,'20-A.SINAPI-I'!A:E,3,0),VLOOKUP(B253,'12.COT.MERCADO'!A:H,7,0)))</f>
        <v>H</v>
      </c>
      <c r="E253" s="629">
        <f>IF(A253="SINAPI-S",VLOOKUP(B253,'20-B.SINAPI-S'!A:J,5,0),IF(A253="SINAPI-I",VLOOKUP(B253,'20-A.SINAPI-I'!A:G,6,0),0))</f>
        <v>24.68</v>
      </c>
      <c r="F253" s="629">
        <f>IF(A253="SINAPI-S",VLOOKUP(B253,'20-B.SINAPI-S'!A:J,6,0),IF(A253="SINAPI-I",VLOOKUP(B253,'20-A.SINAPI-I'!A:G,7,0),VLOOKUP(B253,'12.COT.MERCADO'!A:H,8,0)))</f>
        <v>7.87</v>
      </c>
      <c r="G253" s="626">
        <v>0.66</v>
      </c>
      <c r="H253" s="629">
        <f t="shared" ref="H253:H254" si="130">E253*G253</f>
        <v>16.2888</v>
      </c>
      <c r="I253" s="629">
        <f t="shared" ref="I253:I254" si="131">F253*G253</f>
        <v>5.1942</v>
      </c>
      <c r="J253" s="629">
        <f t="shared" ref="J253:J254" si="132">I253+H253</f>
        <v>21.483</v>
      </c>
    </row>
    <row r="254">
      <c r="A254" s="625" t="s">
        <v>218</v>
      </c>
      <c r="B254" s="626">
        <v>88316.0</v>
      </c>
      <c r="C254" s="627" t="str">
        <f>IF(A254="SINAPI-S",VLOOKUP(B254,'20-B.SINAPI-S'!A:J,2,0),IF(A254="SINAPI-I",VLOOKUP(B254,'20-A.SINAPI-I'!A:E,2,0),VLOOKUP(B254,'12.COT.MERCADO'!A:H,2,0)))</f>
        <v>SERVENTE COM ENCARGOS COMPLEMENTARES</v>
      </c>
      <c r="D254" s="628" t="str">
        <f>IF(A254="SINAPI-S",VLOOKUP(B254,'20-B.SINAPI-S'!A:J,3,0),IF(A254="SINAPI-I",VLOOKUP(B254,'20-A.SINAPI-I'!A:E,3,0),VLOOKUP(B254,'12.COT.MERCADO'!A:H,7,0)))</f>
        <v>H</v>
      </c>
      <c r="E254" s="629">
        <f>IF(A254="SINAPI-S",VLOOKUP(B254,'20-B.SINAPI-S'!A:J,5,0),IF(A254="SINAPI-I",VLOOKUP(B254,'20-A.SINAPI-I'!A:G,6,0),0))</f>
        <v>17.42</v>
      </c>
      <c r="F254" s="629">
        <f>IF(A254="SINAPI-S",VLOOKUP(B254,'20-B.SINAPI-S'!A:J,6,0),IF(A254="SINAPI-I",VLOOKUP(B254,'20-A.SINAPI-I'!A:G,7,0),VLOOKUP(B254,'12.COT.MERCADO'!A:H,8,0)))</f>
        <v>7.7</v>
      </c>
      <c r="G254" s="626">
        <v>0.33</v>
      </c>
      <c r="H254" s="629">
        <f t="shared" si="130"/>
        <v>5.7486</v>
      </c>
      <c r="I254" s="629">
        <f t="shared" si="131"/>
        <v>2.541</v>
      </c>
      <c r="J254" s="629">
        <f t="shared" si="132"/>
        <v>8.2896</v>
      </c>
    </row>
    <row r="255">
      <c r="A255" s="622" t="s">
        <v>1632</v>
      </c>
      <c r="B255" s="633" t="s">
        <v>1908</v>
      </c>
      <c r="J255" s="633"/>
    </row>
    <row r="256">
      <c r="A256" s="661"/>
      <c r="B256" s="662"/>
      <c r="C256" s="662"/>
      <c r="D256" s="626"/>
      <c r="E256" s="661"/>
      <c r="F256" s="661"/>
      <c r="G256" s="661"/>
      <c r="H256" s="661"/>
      <c r="I256" s="661"/>
      <c r="J256" s="661"/>
    </row>
    <row r="257">
      <c r="A257" s="654" t="s">
        <v>1785</v>
      </c>
      <c r="B257" s="655" t="s">
        <v>1909</v>
      </c>
      <c r="C257" s="656" t="s">
        <v>1910</v>
      </c>
      <c r="D257" s="655" t="s">
        <v>1788</v>
      </c>
      <c r="E257" s="657"/>
      <c r="F257" s="657"/>
      <c r="G257" s="657"/>
      <c r="H257" s="663">
        <f t="shared" ref="H257:J257" si="133">SUM(H259:H260)</f>
        <v>1.742</v>
      </c>
      <c r="I257" s="663">
        <f t="shared" si="133"/>
        <v>1.068935</v>
      </c>
      <c r="J257" s="664">
        <f t="shared" si="133"/>
        <v>2.810935</v>
      </c>
    </row>
    <row r="258">
      <c r="A258" s="622" t="s">
        <v>1732</v>
      </c>
      <c r="B258" s="622" t="s">
        <v>80</v>
      </c>
      <c r="C258" s="623" t="s">
        <v>8</v>
      </c>
      <c r="D258" s="622" t="s">
        <v>83</v>
      </c>
      <c r="E258" s="624" t="s">
        <v>1734</v>
      </c>
      <c r="F258" s="624" t="s">
        <v>1735</v>
      </c>
      <c r="G258" s="624" t="s">
        <v>1736</v>
      </c>
      <c r="H258" s="624" t="s">
        <v>1737</v>
      </c>
      <c r="I258" s="624" t="s">
        <v>1738</v>
      </c>
      <c r="J258" s="624" t="s">
        <v>14</v>
      </c>
    </row>
    <row r="259">
      <c r="A259" s="625" t="s">
        <v>286</v>
      </c>
      <c r="B259" s="626">
        <v>4229.0</v>
      </c>
      <c r="C259" s="627" t="str">
        <f>IF(A259="SINAPI-S",VLOOKUP(B259,'20-B.SINAPI-S'!A:J,2,0),IF(A259="SINAPI-I",VLOOKUP(B259,'20-A.SINAPI-I'!A:E,2,0),VLOOKUP(B259,'12.COT.MERCADO'!A:H,2,0)))</f>
        <v>GRAXA LUBRIFICANTE</v>
      </c>
      <c r="D259" s="626" t="str">
        <f>IF(A259="SINAPI-S",VLOOKUP(B259,'20-B.SINAPI-S'!A:J,3,0),IF(A259="SINAPI-I",VLOOKUP(B259,'20-A.SINAPI-I'!A:E,3,0),VLOOKUP(B259,'12.COT.MERCADO'!A:H,7,0)))</f>
        <v>KG</v>
      </c>
      <c r="E259" s="629">
        <f>IF(A259="SINAPI-S",VLOOKUP(B259,'20-B.SINAPI-S'!A:J,5,0),IF(A259="SINAPI-I",VLOOKUP(B259,'20-A.SINAPI-I'!A:G,6,0),0))</f>
        <v>0</v>
      </c>
      <c r="F259" s="629">
        <f>IF(A259="SINAPI-S",VLOOKUP(B259,'20-B.SINAPI-S'!A:J,6,0),IF(A259="SINAPI-I",VLOOKUP(B259,'20-A.SINAPI-I'!A:G,7,0),VLOOKUP(B259,'12.COT.MERCADO'!A:H,8,0)))</f>
        <v>32.85</v>
      </c>
      <c r="G259" s="626">
        <v>0.0091</v>
      </c>
      <c r="H259" s="629">
        <f t="shared" ref="H259:H260" si="134">E259*G259</f>
        <v>0</v>
      </c>
      <c r="I259" s="629">
        <f t="shared" ref="I259:I260" si="135">F259*G259</f>
        <v>0.298935</v>
      </c>
      <c r="J259" s="629">
        <f t="shared" ref="J259:J260" si="136">I259+H259</f>
        <v>0.298935</v>
      </c>
    </row>
    <row r="260">
      <c r="A260" s="625" t="s">
        <v>218</v>
      </c>
      <c r="B260" s="626">
        <v>88316.0</v>
      </c>
      <c r="C260" s="627" t="str">
        <f>IF(A260="SINAPI-S",VLOOKUP(B260,'20-B.SINAPI-S'!A:J,2,0),IF(A260="SINAPI-I",VLOOKUP(B260,'20-A.SINAPI-I'!A:E,2,0),VLOOKUP(B260,'12.COT.MERCADO'!A:H,2,0)))</f>
        <v>SERVENTE COM ENCARGOS COMPLEMENTARES</v>
      </c>
      <c r="D260" s="628" t="str">
        <f>IF(A260="SINAPI-S",VLOOKUP(B260,'20-B.SINAPI-S'!A:J,3,0),IF(A260="SINAPI-I",VLOOKUP(B260,'20-A.SINAPI-I'!A:E,3,0),VLOOKUP(B260,'12.COT.MERCADO'!A:H,7,0)))</f>
        <v>H</v>
      </c>
      <c r="E260" s="629">
        <f>IF(A260="SINAPI-S",VLOOKUP(B260,'20-B.SINAPI-S'!A:J,5,0),IF(A260="SINAPI-I",VLOOKUP(B260,'20-A.SINAPI-I'!A:G,6,0),0))</f>
        <v>17.42</v>
      </c>
      <c r="F260" s="629">
        <f>IF(A260="SINAPI-S",VLOOKUP(B260,'20-B.SINAPI-S'!A:J,6,0),IF(A260="SINAPI-I",VLOOKUP(B260,'20-A.SINAPI-I'!A:G,7,0),VLOOKUP(B260,'12.COT.MERCADO'!A:H,8,0)))</f>
        <v>7.7</v>
      </c>
      <c r="G260" s="626">
        <v>0.1</v>
      </c>
      <c r="H260" s="629">
        <f t="shared" si="134"/>
        <v>1.742</v>
      </c>
      <c r="I260" s="629">
        <f t="shared" si="135"/>
        <v>0.77</v>
      </c>
      <c r="J260" s="629">
        <f t="shared" si="136"/>
        <v>2.512</v>
      </c>
    </row>
    <row r="261">
      <c r="A261" s="622" t="s">
        <v>1632</v>
      </c>
      <c r="B261" s="633" t="s">
        <v>1911</v>
      </c>
      <c r="J261" s="633"/>
    </row>
    <row r="262">
      <c r="A262" s="661"/>
      <c r="B262" s="662"/>
      <c r="C262" s="662"/>
      <c r="D262" s="626"/>
      <c r="E262" s="661"/>
      <c r="F262" s="661"/>
      <c r="G262" s="661"/>
      <c r="H262" s="661"/>
      <c r="I262" s="661"/>
      <c r="J262" s="661"/>
    </row>
    <row r="263">
      <c r="A263" s="654" t="s">
        <v>1785</v>
      </c>
      <c r="B263" s="655" t="s">
        <v>1912</v>
      </c>
      <c r="C263" s="656" t="s">
        <v>1913</v>
      </c>
      <c r="D263" s="655" t="s">
        <v>1788</v>
      </c>
      <c r="E263" s="657"/>
      <c r="F263" s="657"/>
      <c r="G263" s="657"/>
      <c r="H263" s="663">
        <f t="shared" ref="H263:J263" si="137">SUM(H265:H267)</f>
        <v>18.305</v>
      </c>
      <c r="I263" s="663">
        <f t="shared" si="137"/>
        <v>290.338</v>
      </c>
      <c r="J263" s="664">
        <f t="shared" si="137"/>
        <v>308.643</v>
      </c>
    </row>
    <row r="264">
      <c r="A264" s="622" t="s">
        <v>1732</v>
      </c>
      <c r="B264" s="622" t="s">
        <v>80</v>
      </c>
      <c r="C264" s="623" t="s">
        <v>8</v>
      </c>
      <c r="D264" s="622" t="s">
        <v>83</v>
      </c>
      <c r="E264" s="624" t="s">
        <v>1734</v>
      </c>
      <c r="F264" s="624" t="s">
        <v>1735</v>
      </c>
      <c r="G264" s="624" t="s">
        <v>1736</v>
      </c>
      <c r="H264" s="624" t="s">
        <v>1737</v>
      </c>
      <c r="I264" s="624" t="s">
        <v>1738</v>
      </c>
      <c r="J264" s="624" t="s">
        <v>14</v>
      </c>
    </row>
    <row r="265">
      <c r="A265" s="625" t="s">
        <v>218</v>
      </c>
      <c r="B265" s="626">
        <v>88264.0</v>
      </c>
      <c r="C265" s="627" t="str">
        <f>IF(A265="SINAPI-S",VLOOKUP(B265,'20-B.SINAPI-S'!A:J,2,0),IF(A265="SINAPI-I",VLOOKUP(B265,'20-A.SINAPI-I'!A:E,2,0),VLOOKUP(B265,'12.COT.MERCADO'!A:H,2,0)))</f>
        <v>ELETRICISTA COM ENCARGOS COMPLEMENTARES</v>
      </c>
      <c r="D265" s="628" t="str">
        <f>IF(A265="SINAPI-S",VLOOKUP(B265,'20-B.SINAPI-S'!A:J,3,0),IF(A265="SINAPI-I",VLOOKUP(B265,'20-A.SINAPI-I'!A:E,3,0),VLOOKUP(B265,'12.COT.MERCADO'!A:H,7,0)))</f>
        <v>H</v>
      </c>
      <c r="E265" s="629">
        <f>IF(A265="SINAPI-S",VLOOKUP(B265,'20-B.SINAPI-S'!A:J,5,0),IF(A265="SINAPI-I",VLOOKUP(B265,'20-A.SINAPI-I'!A:G,6,0),0))</f>
        <v>25.09</v>
      </c>
      <c r="F265" s="629">
        <f>IF(A265="SINAPI-S",VLOOKUP(B265,'20-B.SINAPI-S'!A:J,6,0),IF(A265="SINAPI-I",VLOOKUP(B265,'20-A.SINAPI-I'!A:G,7,0),VLOOKUP(B265,'12.COT.MERCADO'!A:H,8,0)))</f>
        <v>7.86</v>
      </c>
      <c r="G265" s="626">
        <v>0.5</v>
      </c>
      <c r="H265" s="629">
        <f t="shared" ref="H265:H267" si="138">E265*G265</f>
        <v>12.545</v>
      </c>
      <c r="I265" s="629">
        <f t="shared" ref="I265:I267" si="139">F265*G265</f>
        <v>3.93</v>
      </c>
      <c r="J265" s="629">
        <f t="shared" ref="J265:J267" si="140">I265+H265</f>
        <v>16.475</v>
      </c>
    </row>
    <row r="266">
      <c r="A266" s="625" t="s">
        <v>218</v>
      </c>
      <c r="B266" s="626">
        <v>88247.0</v>
      </c>
      <c r="C266" s="627" t="str">
        <f>IF(A266="SINAPI-S",VLOOKUP(B266,'20-B.SINAPI-S'!A:J,2,0),IF(A266="SINAPI-I",VLOOKUP(B266,'20-A.SINAPI-I'!A:E,2,0),VLOOKUP(B266,'12.COT.MERCADO'!A:H,2,0)))</f>
        <v>AUXILIAR DE ELETRICISTA COM ENCARGOS COMPLEMENTARES</v>
      </c>
      <c r="D266" s="628" t="str">
        <f>IF(A266="SINAPI-S",VLOOKUP(B266,'20-B.SINAPI-S'!A:J,3,0),IF(A266="SINAPI-I",VLOOKUP(B266,'20-A.SINAPI-I'!A:E,3,0),VLOOKUP(B266,'12.COT.MERCADO'!A:H,7,0)))</f>
        <v>H</v>
      </c>
      <c r="E266" s="629">
        <f>IF(A266="SINAPI-S",VLOOKUP(B266,'20-B.SINAPI-S'!A:J,5,0),IF(A266="SINAPI-I",VLOOKUP(B266,'20-A.SINAPI-I'!A:G,6,0),0))</f>
        <v>19.2</v>
      </c>
      <c r="F266" s="629">
        <f>IF(A266="SINAPI-S",VLOOKUP(B266,'20-B.SINAPI-S'!A:J,6,0),IF(A266="SINAPI-I",VLOOKUP(B266,'20-A.SINAPI-I'!A:G,7,0),VLOOKUP(B266,'12.COT.MERCADO'!A:H,8,0)))</f>
        <v>7.86</v>
      </c>
      <c r="G266" s="626">
        <v>0.3</v>
      </c>
      <c r="H266" s="629">
        <f t="shared" si="138"/>
        <v>5.76</v>
      </c>
      <c r="I266" s="629">
        <f t="shared" si="139"/>
        <v>2.358</v>
      </c>
      <c r="J266" s="629">
        <f t="shared" si="140"/>
        <v>8.118</v>
      </c>
    </row>
    <row r="267">
      <c r="A267" s="625" t="s">
        <v>110</v>
      </c>
      <c r="B267" s="667" t="s">
        <v>1914</v>
      </c>
      <c r="C267" s="660" t="str">
        <f>IF(A267="SINAPI-S",VLOOKUP(B267,'20-B.SINAPI-S'!A:J,2,0),IF(A267="SINAPI-I",VLOOKUP(B267,'20-A.SINAPI-I'!A:E,2,0),VLOOKUP(B267,'12.COT.MERCADO'!A:H,2,0)))</f>
        <v>REFLETOR HOLOFOTE DE LED 400W BRANCO FRIO IP67</v>
      </c>
      <c r="D267" s="626" t="str">
        <f>IF(A267="SINAPI-S",VLOOKUP(B267,'20-B.SINAPI-S'!A:J,3,0),IF(A267="SINAPI-I",VLOOKUP(B267,'20-A.SINAPI-I'!A:E,3,0),VLOOKUP(B267,'12.COT.MERCADO'!A:H,7,0)))</f>
        <v>UN</v>
      </c>
      <c r="E267" s="629">
        <f>IF(A267="SINAPI-S",VLOOKUP(B267,'20-B.SINAPI-S'!A:J,5,0),IF(A267="SINAPI-I",VLOOKUP(B267,'20-A.SINAPI-I'!A:G,6,0),0))</f>
        <v>0</v>
      </c>
      <c r="F267" s="634">
        <f>IF(A267="SINAPI-S",VLOOKUP(B267,'20-B.SINAPI-S'!A:J,6,0),IF(A267="SINAPI-I",VLOOKUP(B267,'20-A.SINAPI-I'!A:G,7,0),VLOOKUP(B267,'12.COT.MERCADO'!A:H,8,0)))</f>
        <v>284.05</v>
      </c>
      <c r="G267" s="626">
        <v>1.0</v>
      </c>
      <c r="H267" s="629">
        <f t="shared" si="138"/>
        <v>0</v>
      </c>
      <c r="I267" s="629">
        <f t="shared" si="139"/>
        <v>284.05</v>
      </c>
      <c r="J267" s="629">
        <f t="shared" si="140"/>
        <v>284.05</v>
      </c>
    </row>
    <row r="268">
      <c r="A268" s="622" t="s">
        <v>1632</v>
      </c>
      <c r="B268" s="633" t="s">
        <v>1915</v>
      </c>
      <c r="J268" s="633"/>
    </row>
    <row r="269">
      <c r="A269" s="661"/>
      <c r="B269" s="662"/>
      <c r="C269" s="662"/>
      <c r="D269" s="626"/>
      <c r="E269" s="661"/>
      <c r="F269" s="661"/>
      <c r="G269" s="661"/>
      <c r="H269" s="661"/>
      <c r="I269" s="661"/>
      <c r="J269" s="661"/>
    </row>
    <row r="270">
      <c r="A270" s="654" t="s">
        <v>1785</v>
      </c>
      <c r="B270" s="655" t="s">
        <v>1916</v>
      </c>
      <c r="C270" s="656" t="s">
        <v>1917</v>
      </c>
      <c r="D270" s="655" t="s">
        <v>1814</v>
      </c>
      <c r="E270" s="657"/>
      <c r="F270" s="657"/>
      <c r="G270" s="657"/>
      <c r="H270" s="663">
        <f t="shared" ref="H270:J270" si="141">SUM(H272)</f>
        <v>0</v>
      </c>
      <c r="I270" s="663">
        <f t="shared" si="141"/>
        <v>394.73</v>
      </c>
      <c r="J270" s="664">
        <f t="shared" si="141"/>
        <v>394.73</v>
      </c>
    </row>
    <row r="271">
      <c r="A271" s="622" t="s">
        <v>1732</v>
      </c>
      <c r="B271" s="622" t="s">
        <v>80</v>
      </c>
      <c r="C271" s="623" t="s">
        <v>8</v>
      </c>
      <c r="D271" s="622" t="s">
        <v>83</v>
      </c>
      <c r="E271" s="624" t="s">
        <v>1734</v>
      </c>
      <c r="F271" s="624" t="s">
        <v>1735</v>
      </c>
      <c r="G271" s="624" t="s">
        <v>1736</v>
      </c>
      <c r="H271" s="624" t="s">
        <v>1737</v>
      </c>
      <c r="I271" s="624" t="s">
        <v>1738</v>
      </c>
      <c r="J271" s="624" t="s">
        <v>14</v>
      </c>
    </row>
    <row r="272">
      <c r="A272" s="625" t="s">
        <v>110</v>
      </c>
      <c r="B272" s="626" t="s">
        <v>1918</v>
      </c>
      <c r="C272" s="660" t="str">
        <f>IF(A272="SINAPI-S",VLOOKUP(B272,'20-B.SINAPI-S'!A:J,2,0),IF(A272="SINAPI-I",VLOOKUP(B272,'20-A.SINAPI-I'!A:E,2,0),VLOOKUP(B272,'12.COT.MERCADO'!A:H,2,0)))</f>
        <v>BOX PARA BANHEIRO EM ALUMÍNIO E VIDRO TEMPERADO 8MM DE CORRER OU ABRIR, INCLUSIVE FERRAGENS - FORNECIMENTO E INSTALÇÃO</v>
      </c>
      <c r="D272" s="626" t="str">
        <f>IF(A272="SINAPI-S",VLOOKUP(B272,'20-B.SINAPI-S'!A:J,3,0),IF(A272="SINAPI-I",VLOOKUP(B272,'20-A.SINAPI-I'!A:E,3,0),VLOOKUP(B272,'12.COT.MERCADO'!A:H,7,0)))</f>
        <v>M2</v>
      </c>
      <c r="E272" s="629">
        <f>IF(A272="SINAPI-S",VLOOKUP(B272,'20-B.SINAPI-S'!A:J,5,0),IF(A272="SINAPI-I",VLOOKUP(B272,'20-A.SINAPI-I'!A:G,6,0),0))</f>
        <v>0</v>
      </c>
      <c r="F272" s="634">
        <f>IF(A272="SINAPI-S",VLOOKUP(B272,'20-B.SINAPI-S'!A:J,6,0),IF(A272="SINAPI-I",VLOOKUP(B272,'20-A.SINAPI-I'!A:G,7,0),VLOOKUP(B272,'12.COT.MERCADO'!A:H,8,0)))</f>
        <v>394.73</v>
      </c>
      <c r="G272" s="626">
        <v>1.0</v>
      </c>
      <c r="H272" s="629">
        <f>E272*G272</f>
        <v>0</v>
      </c>
      <c r="I272" s="629">
        <f>F272*G272</f>
        <v>394.73</v>
      </c>
      <c r="J272" s="629">
        <f>I272+H272</f>
        <v>394.73</v>
      </c>
    </row>
    <row r="273">
      <c r="A273" s="622" t="s">
        <v>1632</v>
      </c>
      <c r="B273" s="662"/>
      <c r="J273" s="662"/>
    </row>
    <row r="274">
      <c r="A274" s="661"/>
      <c r="B274" s="662"/>
      <c r="C274" s="662"/>
      <c r="D274" s="626"/>
      <c r="E274" s="661"/>
      <c r="F274" s="661"/>
      <c r="G274" s="661"/>
      <c r="H274" s="661"/>
      <c r="I274" s="661"/>
      <c r="J274" s="661"/>
    </row>
    <row r="275">
      <c r="A275" s="654" t="s">
        <v>1785</v>
      </c>
      <c r="B275" s="655" t="s">
        <v>1919</v>
      </c>
      <c r="C275" s="656" t="s">
        <v>1920</v>
      </c>
      <c r="D275" s="655" t="s">
        <v>1788</v>
      </c>
      <c r="E275" s="657"/>
      <c r="F275" s="657"/>
      <c r="G275" s="657"/>
      <c r="H275" s="663">
        <f t="shared" ref="H275:J275" si="142">SUM(H277)</f>
        <v>0</v>
      </c>
      <c r="I275" s="663">
        <f t="shared" si="142"/>
        <v>1500</v>
      </c>
      <c r="J275" s="664">
        <f t="shared" si="142"/>
        <v>1500</v>
      </c>
    </row>
    <row r="276">
      <c r="A276" s="622" t="s">
        <v>1732</v>
      </c>
      <c r="B276" s="622" t="s">
        <v>80</v>
      </c>
      <c r="C276" s="623" t="s">
        <v>8</v>
      </c>
      <c r="D276" s="622" t="s">
        <v>83</v>
      </c>
      <c r="E276" s="624" t="s">
        <v>1734</v>
      </c>
      <c r="F276" s="624" t="s">
        <v>1735</v>
      </c>
      <c r="G276" s="624" t="s">
        <v>1736</v>
      </c>
      <c r="H276" s="624" t="s">
        <v>1737</v>
      </c>
      <c r="I276" s="624" t="s">
        <v>1738</v>
      </c>
      <c r="J276" s="624" t="s">
        <v>14</v>
      </c>
    </row>
    <row r="277">
      <c r="A277" s="625" t="s">
        <v>110</v>
      </c>
      <c r="B277" s="626" t="s">
        <v>1921</v>
      </c>
      <c r="C277" s="660" t="str">
        <f>IF(A277="SINAPI-S",VLOOKUP(B277,'20-B.SINAPI-S'!A:J,2,0),IF(A277="SINAPI-I",VLOOKUP(B277,'20-A.SINAPI-I'!A:E,2,0),VLOOKUP(B277,'12.COT.MERCADO'!A:H,2,0)))</f>
        <v>LAUDO TECNICO SPDA CONFORME NBR 5419, INCLUSIVE EMISSÃO DE ART</v>
      </c>
      <c r="D277" s="626" t="str">
        <f>IF(A277="SINAPI-S",VLOOKUP(B277,'20-B.SINAPI-S'!A:J,3,0),IF(A277="SINAPI-I",VLOOKUP(B277,'20-A.SINAPI-I'!A:E,3,0),VLOOKUP(B277,'12.COT.MERCADO'!A:H,7,0)))</f>
        <v>UN</v>
      </c>
      <c r="E277" s="629">
        <f>IF(A277="SINAPI-S",VLOOKUP(B277,'20-B.SINAPI-S'!A:J,5,0),IF(A277="SINAPI-I",VLOOKUP(B277,'20-A.SINAPI-I'!A:G,6,0),0))</f>
        <v>0</v>
      </c>
      <c r="F277" s="634">
        <f>IF(A277="SINAPI-S",VLOOKUP(B277,'20-B.SINAPI-S'!A:J,6,0),IF(A277="SINAPI-I",VLOOKUP(B277,'20-A.SINAPI-I'!A:G,7,0),VLOOKUP(B277,'12.COT.MERCADO'!A:H,8,0)))</f>
        <v>1500</v>
      </c>
      <c r="G277" s="626">
        <v>1.0</v>
      </c>
      <c r="H277" s="629">
        <f>E277*G277</f>
        <v>0</v>
      </c>
      <c r="I277" s="629">
        <f>F277*G277</f>
        <v>1500</v>
      </c>
      <c r="J277" s="629">
        <f>I277+H277</f>
        <v>1500</v>
      </c>
    </row>
    <row r="278">
      <c r="A278" s="622" t="s">
        <v>1632</v>
      </c>
      <c r="B278" s="662"/>
      <c r="J278" s="662"/>
    </row>
    <row r="279">
      <c r="A279" s="661"/>
      <c r="B279" s="662"/>
      <c r="C279" s="662"/>
      <c r="D279" s="626"/>
      <c r="E279" s="661"/>
      <c r="F279" s="661"/>
      <c r="G279" s="661"/>
      <c r="H279" s="661"/>
      <c r="I279" s="661"/>
      <c r="J279" s="661"/>
    </row>
    <row r="280">
      <c r="A280" s="654" t="s">
        <v>1785</v>
      </c>
      <c r="B280" s="655" t="s">
        <v>1922</v>
      </c>
      <c r="C280" s="656" t="s">
        <v>1923</v>
      </c>
      <c r="D280" s="655" t="s">
        <v>1788</v>
      </c>
      <c r="E280" s="657"/>
      <c r="F280" s="657"/>
      <c r="G280" s="657"/>
      <c r="H280" s="663">
        <f t="shared" ref="H280:J280" si="143">SUM(H282:H285)</f>
        <v>19.46</v>
      </c>
      <c r="I280" s="663">
        <f t="shared" si="143"/>
        <v>176.56</v>
      </c>
      <c r="J280" s="664">
        <f t="shared" si="143"/>
        <v>196.02</v>
      </c>
    </row>
    <row r="281">
      <c r="A281" s="622" t="s">
        <v>1732</v>
      </c>
      <c r="B281" s="622" t="s">
        <v>80</v>
      </c>
      <c r="C281" s="623" t="s">
        <v>8</v>
      </c>
      <c r="D281" s="622" t="s">
        <v>83</v>
      </c>
      <c r="E281" s="624" t="s">
        <v>1734</v>
      </c>
      <c r="F281" s="624" t="s">
        <v>1735</v>
      </c>
      <c r="G281" s="624" t="s">
        <v>1736</v>
      </c>
      <c r="H281" s="624" t="s">
        <v>1737</v>
      </c>
      <c r="I281" s="624" t="s">
        <v>1738</v>
      </c>
      <c r="J281" s="624" t="s">
        <v>14</v>
      </c>
    </row>
    <row r="282">
      <c r="A282" s="625" t="s">
        <v>218</v>
      </c>
      <c r="B282" s="626">
        <v>96985.0</v>
      </c>
      <c r="C282" s="627" t="str">
        <f>IF(A282="SINAPI-S",VLOOKUP(B282,'20-B.SINAPI-S'!A:J,2,0),IF(A282="SINAPI-I",VLOOKUP(B282,'20-A.SINAPI-I'!A:E,2,0),VLOOKUP(B282,'12.COT.MERCADO'!A:H,2,0)))</f>
        <v>HASTE DE ATERRAMENTO 5/8  PARA SPDA - FORNECIMENTO E INSTALAÇÃO. AF_12/2017</v>
      </c>
      <c r="D282" s="628" t="str">
        <f>IF(A282="SINAPI-S",VLOOKUP(B282,'20-B.SINAPI-S'!A:J,3,0),IF(A282="SINAPI-I",VLOOKUP(B282,'20-A.SINAPI-I'!A:E,3,0),VLOOKUP(B282,'12.COT.MERCADO'!A:H,7,0)))</f>
        <v>UN</v>
      </c>
      <c r="E282" s="629">
        <f>IF(A282="SINAPI-S",VLOOKUP(B282,'20-B.SINAPI-S'!A:J,5,0),IF(A282="SINAPI-I",VLOOKUP(B282,'20-A.SINAPI-I'!A:G,6,0),0))</f>
        <v>11.2</v>
      </c>
      <c r="F282" s="629">
        <f>IF(A282="SINAPI-S",VLOOKUP(B282,'20-B.SINAPI-S'!A:J,6,0),IF(A282="SINAPI-I",VLOOKUP(B282,'20-A.SINAPI-I'!A:G,7,0),VLOOKUP(B282,'12.COT.MERCADO'!A:H,8,0)))</f>
        <v>67.24</v>
      </c>
      <c r="G282" s="626">
        <v>1.0</v>
      </c>
      <c r="H282" s="629">
        <f t="shared" ref="H282:H285" si="144">E282*G282</f>
        <v>11.2</v>
      </c>
      <c r="I282" s="629">
        <f t="shared" ref="I282:I285" si="145">F282*G282</f>
        <v>67.24</v>
      </c>
      <c r="J282" s="629">
        <f t="shared" ref="J282:J285" si="146">I282+H282</f>
        <v>78.44</v>
      </c>
    </row>
    <row r="283">
      <c r="A283" s="625" t="s">
        <v>218</v>
      </c>
      <c r="B283" s="626">
        <v>96977.0</v>
      </c>
      <c r="C283" s="627" t="str">
        <f>IF(A283="SINAPI-S",VLOOKUP(B283,'20-B.SINAPI-S'!A:J,2,0),IF(A283="SINAPI-I",VLOOKUP(B283,'20-A.SINAPI-I'!A:E,2,0),VLOOKUP(B283,'12.COT.MERCADO'!A:H,2,0)))</f>
        <v>CORDOALHA DE COBRE NU 50 MM², ENTERRADA, SEM ISOLADOR - FORNECIMENTO E INSTALAÇÃO. AF_12/2017</v>
      </c>
      <c r="D283" s="628" t="str">
        <f>IF(A283="SINAPI-S",VLOOKUP(B283,'20-B.SINAPI-S'!A:J,3,0),IF(A283="SINAPI-I",VLOOKUP(B283,'20-A.SINAPI-I'!A:E,3,0),VLOOKUP(B283,'12.COT.MERCADO'!A:H,7,0)))</f>
        <v>M</v>
      </c>
      <c r="E283" s="629">
        <f>IF(A283="SINAPI-S",VLOOKUP(B283,'20-B.SINAPI-S'!A:J,5,0),IF(A283="SINAPI-I",VLOOKUP(B283,'20-A.SINAPI-I'!A:G,6,0),0))</f>
        <v>1.48</v>
      </c>
      <c r="F283" s="629">
        <f>IF(A283="SINAPI-S",VLOOKUP(B283,'20-B.SINAPI-S'!A:J,6,0),IF(A283="SINAPI-I",VLOOKUP(B283,'20-A.SINAPI-I'!A:G,7,0),VLOOKUP(B283,'12.COT.MERCADO'!A:H,8,0)))</f>
        <v>56.66</v>
      </c>
      <c r="G283" s="626">
        <v>1.0</v>
      </c>
      <c r="H283" s="629">
        <f t="shared" si="144"/>
        <v>1.48</v>
      </c>
      <c r="I283" s="629">
        <f t="shared" si="145"/>
        <v>56.66</v>
      </c>
      <c r="J283" s="629">
        <f t="shared" si="146"/>
        <v>58.14</v>
      </c>
    </row>
    <row r="284">
      <c r="A284" s="625" t="s">
        <v>218</v>
      </c>
      <c r="B284" s="626">
        <v>98111.0</v>
      </c>
      <c r="C284" s="627" t="str">
        <f>IF(A284="SINAPI-S",VLOOKUP(B284,'20-B.SINAPI-S'!A:J,2,0),IF(A284="SINAPI-I",VLOOKUP(B284,'20-A.SINAPI-I'!A:E,2,0),VLOOKUP(B284,'12.COT.MERCADO'!A:H,2,0)))</f>
        <v>CAIXA DE INSPEÇÃO PARA ATERRAMENTO, CIRCULAR, EM POLIETILENO, DIÂMETRO INTERNO = 0,3 M. AF_12/2020</v>
      </c>
      <c r="D284" s="628" t="str">
        <f>IF(A284="SINAPI-S",VLOOKUP(B284,'20-B.SINAPI-S'!A:J,3,0),IF(A284="SINAPI-I",VLOOKUP(B284,'20-A.SINAPI-I'!A:E,3,0),VLOOKUP(B284,'12.COT.MERCADO'!A:H,7,0)))</f>
        <v>UN</v>
      </c>
      <c r="E284" s="629">
        <f>IF(A284="SINAPI-S",VLOOKUP(B284,'20-B.SINAPI-S'!A:J,5,0),IF(A284="SINAPI-I",VLOOKUP(B284,'20-A.SINAPI-I'!A:G,6,0),0))</f>
        <v>6.78</v>
      </c>
      <c r="F284" s="629">
        <f>IF(A284="SINAPI-S",VLOOKUP(B284,'20-B.SINAPI-S'!A:J,6,0),IF(A284="SINAPI-I",VLOOKUP(B284,'20-A.SINAPI-I'!A:G,7,0),VLOOKUP(B284,'12.COT.MERCADO'!A:H,8,0)))</f>
        <v>46.66</v>
      </c>
      <c r="G284" s="626">
        <v>1.0</v>
      </c>
      <c r="H284" s="629">
        <f t="shared" si="144"/>
        <v>6.78</v>
      </c>
      <c r="I284" s="629">
        <f t="shared" si="145"/>
        <v>46.66</v>
      </c>
      <c r="J284" s="629">
        <f t="shared" si="146"/>
        <v>53.44</v>
      </c>
    </row>
    <row r="285">
      <c r="A285" s="625" t="s">
        <v>286</v>
      </c>
      <c r="B285" s="626">
        <v>425.0</v>
      </c>
      <c r="C285" s="627" t="str">
        <f>IF(A285="SINAPI-S",VLOOKUP(B285,'20-B.SINAPI-S'!A:J,2,0),IF(A285="SINAPI-I",VLOOKUP(B285,'20-A.SINAPI-I'!A:E,2,0),VLOOKUP(B285,'12.COT.MERCADO'!A:H,2,0)))</f>
        <v>GRAMPO METALICO TIPO OLHAL PARA HASTE DE ATERRAMENTO DE 5/8'', CONDUTOR DE *10* A 50 MM2</v>
      </c>
      <c r="D285" s="626" t="str">
        <f>IF(A285="SINAPI-S",VLOOKUP(B285,'20-B.SINAPI-S'!A:J,3,0),IF(A285="SINAPI-I",VLOOKUP(B285,'20-A.SINAPI-I'!A:E,3,0),VLOOKUP(B285,'12.COT.MERCADO'!A:H,7,0)))</f>
        <v>UN</v>
      </c>
      <c r="E285" s="629">
        <f>IF(A285="SINAPI-S",VLOOKUP(B285,'20-B.SINAPI-S'!A:J,5,0),IF(A285="SINAPI-I",VLOOKUP(B285,'20-A.SINAPI-I'!A:G,6,0),0))</f>
        <v>0</v>
      </c>
      <c r="F285" s="629">
        <f>IF(A285="SINAPI-S",VLOOKUP(B285,'20-B.SINAPI-S'!A:J,6,0),IF(A285="SINAPI-I",VLOOKUP(B285,'20-A.SINAPI-I'!A:G,7,0),VLOOKUP(B285,'12.COT.MERCADO'!A:H,8,0)))</f>
        <v>6</v>
      </c>
      <c r="G285" s="626">
        <v>1.0</v>
      </c>
      <c r="H285" s="629">
        <f t="shared" si="144"/>
        <v>0</v>
      </c>
      <c r="I285" s="629">
        <f t="shared" si="145"/>
        <v>6</v>
      </c>
      <c r="J285" s="629">
        <f t="shared" si="146"/>
        <v>6</v>
      </c>
    </row>
    <row r="286">
      <c r="A286" s="622" t="s">
        <v>1632</v>
      </c>
      <c r="B286" s="633" t="s">
        <v>1915</v>
      </c>
      <c r="J286" s="633"/>
    </row>
    <row r="287">
      <c r="A287" s="661"/>
      <c r="B287" s="662"/>
      <c r="C287" s="662"/>
      <c r="D287" s="626"/>
      <c r="E287" s="661"/>
      <c r="F287" s="661"/>
      <c r="G287" s="661"/>
      <c r="H287" s="661"/>
      <c r="I287" s="661"/>
      <c r="J287" s="661"/>
    </row>
    <row r="288">
      <c r="A288" s="654" t="s">
        <v>1785</v>
      </c>
      <c r="B288" s="655" t="s">
        <v>1924</v>
      </c>
      <c r="C288" s="656" t="s">
        <v>1925</v>
      </c>
      <c r="D288" s="655" t="s">
        <v>1731</v>
      </c>
      <c r="E288" s="657"/>
      <c r="F288" s="657"/>
      <c r="G288" s="657"/>
      <c r="H288" s="663">
        <f t="shared" ref="H288:J288" si="147">SUM(H290)</f>
        <v>17.42</v>
      </c>
      <c r="I288" s="663">
        <f t="shared" si="147"/>
        <v>7.7</v>
      </c>
      <c r="J288" s="664">
        <f t="shared" si="147"/>
        <v>25.12</v>
      </c>
    </row>
    <row r="289">
      <c r="A289" s="622" t="s">
        <v>1732</v>
      </c>
      <c r="B289" s="622" t="s">
        <v>80</v>
      </c>
      <c r="C289" s="623" t="s">
        <v>8</v>
      </c>
      <c r="D289" s="622" t="s">
        <v>83</v>
      </c>
      <c r="E289" s="624" t="s">
        <v>1734</v>
      </c>
      <c r="F289" s="624" t="s">
        <v>1735</v>
      </c>
      <c r="G289" s="624" t="s">
        <v>1736</v>
      </c>
      <c r="H289" s="624" t="s">
        <v>1737</v>
      </c>
      <c r="I289" s="624" t="s">
        <v>1738</v>
      </c>
      <c r="J289" s="624" t="s">
        <v>14</v>
      </c>
    </row>
    <row r="290">
      <c r="A290" s="625" t="s">
        <v>218</v>
      </c>
      <c r="B290" s="626">
        <v>88316.0</v>
      </c>
      <c r="C290" s="627" t="str">
        <f>IF(A290="SINAPI-S",VLOOKUP(B290,'20-B.SINAPI-S'!A:J,2,0),IF(A290="SINAPI-I",VLOOKUP(B290,'20-A.SINAPI-I'!A:E,2,0),VLOOKUP(B290,'12.COT.MERCADO'!A:H,2,0)))</f>
        <v>SERVENTE COM ENCARGOS COMPLEMENTARES</v>
      </c>
      <c r="D290" s="628" t="str">
        <f>IF(A290="SINAPI-S",VLOOKUP(B290,'20-B.SINAPI-S'!A:J,3,0),IF(A290="SINAPI-I",VLOOKUP(B290,'20-A.SINAPI-I'!A:E,3,0),VLOOKUP(B290,'12.COT.MERCADO'!A:H,7,0)))</f>
        <v>H</v>
      </c>
      <c r="E290" s="629">
        <f>IF(A290="SINAPI-S",VLOOKUP(B290,'20-B.SINAPI-S'!A:J,5,0),IF(A290="SINAPI-I",VLOOKUP(B290,'20-A.SINAPI-I'!A:G,6,0),0))</f>
        <v>17.42</v>
      </c>
      <c r="F290" s="629">
        <f>IF(A290="SINAPI-S",VLOOKUP(B290,'20-B.SINAPI-S'!A:J,6,0),IF(A290="SINAPI-I",VLOOKUP(B290,'20-A.SINAPI-I'!A:G,7,0),VLOOKUP(B290,'12.COT.MERCADO'!A:H,8,0)))</f>
        <v>7.7</v>
      </c>
      <c r="G290" s="626">
        <v>1.0</v>
      </c>
      <c r="H290" s="629">
        <f>E290*G290</f>
        <v>17.42</v>
      </c>
      <c r="I290" s="629">
        <f>F290*G290</f>
        <v>7.7</v>
      </c>
      <c r="J290" s="629">
        <f>I290+H290</f>
        <v>25.12</v>
      </c>
    </row>
    <row r="291">
      <c r="A291" s="622" t="s">
        <v>1632</v>
      </c>
      <c r="B291" s="633" t="s">
        <v>1926</v>
      </c>
      <c r="J291" s="633"/>
    </row>
    <row r="292">
      <c r="A292" s="661"/>
      <c r="B292" s="662"/>
      <c r="C292" s="662"/>
      <c r="D292" s="626"/>
      <c r="E292" s="661"/>
      <c r="F292" s="661"/>
      <c r="G292" s="661"/>
      <c r="H292" s="661"/>
      <c r="I292" s="661"/>
      <c r="J292" s="661"/>
    </row>
    <row r="293">
      <c r="A293" s="654" t="s">
        <v>1785</v>
      </c>
      <c r="B293" s="655" t="s">
        <v>1927</v>
      </c>
      <c r="C293" s="645" t="s">
        <v>1928</v>
      </c>
      <c r="D293" s="655" t="s">
        <v>1788</v>
      </c>
      <c r="E293" s="657"/>
      <c r="F293" s="657"/>
      <c r="G293" s="657"/>
      <c r="H293" s="663">
        <f t="shared" ref="H293:J293" si="148">SUM(H295:H296)</f>
        <v>2.0904</v>
      </c>
      <c r="I293" s="663">
        <f t="shared" si="148"/>
        <v>52.824</v>
      </c>
      <c r="J293" s="664">
        <f t="shared" si="148"/>
        <v>54.9144</v>
      </c>
    </row>
    <row r="294">
      <c r="A294" s="622" t="s">
        <v>1732</v>
      </c>
      <c r="B294" s="622" t="s">
        <v>80</v>
      </c>
      <c r="C294" s="623" t="s">
        <v>8</v>
      </c>
      <c r="D294" s="622" t="s">
        <v>83</v>
      </c>
      <c r="E294" s="624" t="s">
        <v>1734</v>
      </c>
      <c r="F294" s="624" t="s">
        <v>1735</v>
      </c>
      <c r="G294" s="624" t="s">
        <v>1736</v>
      </c>
      <c r="H294" s="624" t="s">
        <v>1737</v>
      </c>
      <c r="I294" s="624" t="s">
        <v>1738</v>
      </c>
      <c r="J294" s="624" t="s">
        <v>14</v>
      </c>
    </row>
    <row r="295">
      <c r="A295" s="625" t="s">
        <v>218</v>
      </c>
      <c r="B295" s="626">
        <v>88316.0</v>
      </c>
      <c r="C295" s="627" t="str">
        <f>IF(A295="SINAPI-S",VLOOKUP(B295,'20-B.SINAPI-S'!A:J,2,0),IF(A295="SINAPI-I",VLOOKUP(B295,'20-A.SINAPI-I'!A:E,2,0),VLOOKUP(B295,'12.COT.MERCADO'!A:H,2,0)))</f>
        <v>SERVENTE COM ENCARGOS COMPLEMENTARES</v>
      </c>
      <c r="D295" s="628" t="str">
        <f>IF(A295="SINAPI-S",VLOOKUP(B295,'20-B.SINAPI-S'!A:J,3,0),IF(A295="SINAPI-I",VLOOKUP(B295,'20-A.SINAPI-I'!A:E,3,0),VLOOKUP(B295,'12.COT.MERCADO'!A:H,7,0)))</f>
        <v>H</v>
      </c>
      <c r="E295" s="629">
        <f>IF(A295="SINAPI-S",VLOOKUP(B295,'20-B.SINAPI-S'!A:J,5,0),IF(A295="SINAPI-I",VLOOKUP(B295,'20-A.SINAPI-I'!A:G,6,0),0))</f>
        <v>17.42</v>
      </c>
      <c r="F295" s="629">
        <f>IF(A295="SINAPI-S",VLOOKUP(B295,'20-B.SINAPI-S'!A:J,6,0),IF(A295="SINAPI-I",VLOOKUP(B295,'20-A.SINAPI-I'!A:G,7,0),VLOOKUP(B295,'12.COT.MERCADO'!A:H,8,0)))</f>
        <v>7.7</v>
      </c>
      <c r="G295" s="626">
        <v>0.12</v>
      </c>
      <c r="H295" s="629">
        <f t="shared" ref="H295:H296" si="149">E295*G295</f>
        <v>2.0904</v>
      </c>
      <c r="I295" s="629">
        <f t="shared" ref="I295:I296" si="150">F295*G295</f>
        <v>0.924</v>
      </c>
      <c r="J295" s="629">
        <f t="shared" ref="J295:J296" si="151">I295+H295</f>
        <v>3.0144</v>
      </c>
    </row>
    <row r="296">
      <c r="A296" s="625" t="s">
        <v>110</v>
      </c>
      <c r="B296" s="626" t="s">
        <v>1929</v>
      </c>
      <c r="C296" s="660" t="str">
        <f>IF(A296="SINAPI-S",VLOOKUP(B296,'20-B.SINAPI-S'!A:J,2,0),IF(A296="SINAPI-I",VLOOKUP(B296,'20-A.SINAPI-I'!A:E,2,0),VLOOKUP(B296,'12.COT.MERCADO'!A:H,2,0)))</f>
        <v>MANGUEIRA ESPIRAL 8X5,5MM 7M ESPU 700 COM ENGATE RÁPIDO</v>
      </c>
      <c r="D296" s="626" t="str">
        <f>IF(A296="SINAPI-S",VLOOKUP(B296,'20-B.SINAPI-S'!A:J,3,0),IF(A296="SINAPI-I",VLOOKUP(B296,'20-A.SINAPI-I'!A:E,3,0),VLOOKUP(B296,'12.COT.MERCADO'!A:H,7,0)))</f>
        <v>UN</v>
      </c>
      <c r="E296" s="629">
        <f>IF(A296="SINAPI-S",VLOOKUP(B296,'20-B.SINAPI-S'!A:J,5,0),IF(A296="SINAPI-I",VLOOKUP(B296,'20-A.SINAPI-I'!A:G,6,0),0))</f>
        <v>0</v>
      </c>
      <c r="F296" s="634">
        <f>IF(A296="SINAPI-S",VLOOKUP(B296,'20-B.SINAPI-S'!A:J,6,0),IF(A296="SINAPI-I",VLOOKUP(B296,'20-A.SINAPI-I'!A:G,7,0),VLOOKUP(B296,'12.COT.MERCADO'!A:H,8,0)))</f>
        <v>51.9</v>
      </c>
      <c r="G296" s="626">
        <v>1.0</v>
      </c>
      <c r="H296" s="629">
        <f t="shared" si="149"/>
        <v>0</v>
      </c>
      <c r="I296" s="629">
        <f t="shared" si="150"/>
        <v>51.9</v>
      </c>
      <c r="J296" s="629">
        <f t="shared" si="151"/>
        <v>51.9</v>
      </c>
    </row>
    <row r="297">
      <c r="A297" s="622" t="s">
        <v>1632</v>
      </c>
      <c r="B297" s="633" t="s">
        <v>1930</v>
      </c>
      <c r="J297" s="633"/>
    </row>
    <row r="298">
      <c r="A298" s="661"/>
      <c r="B298" s="662"/>
      <c r="C298" s="662"/>
      <c r="D298" s="626"/>
      <c r="E298" s="661"/>
      <c r="F298" s="661"/>
      <c r="G298" s="661"/>
      <c r="H298" s="661"/>
      <c r="I298" s="661"/>
      <c r="J298" s="661"/>
    </row>
    <row r="299">
      <c r="A299" s="654" t="s">
        <v>1785</v>
      </c>
      <c r="B299" s="655" t="s">
        <v>1931</v>
      </c>
      <c r="C299" s="656" t="s">
        <v>1932</v>
      </c>
      <c r="D299" s="655" t="s">
        <v>1788</v>
      </c>
      <c r="E299" s="657"/>
      <c r="F299" s="657"/>
      <c r="G299" s="657"/>
      <c r="H299" s="663">
        <f t="shared" ref="H299:J299" si="152">SUM(H301:H303)</f>
        <v>44.29</v>
      </c>
      <c r="I299" s="663">
        <f t="shared" si="152"/>
        <v>1106.34</v>
      </c>
      <c r="J299" s="664">
        <f t="shared" si="152"/>
        <v>1150.63</v>
      </c>
    </row>
    <row r="300">
      <c r="A300" s="622" t="s">
        <v>1732</v>
      </c>
      <c r="B300" s="622" t="s">
        <v>80</v>
      </c>
      <c r="C300" s="623" t="s">
        <v>8</v>
      </c>
      <c r="D300" s="622" t="s">
        <v>83</v>
      </c>
      <c r="E300" s="624" t="s">
        <v>1734</v>
      </c>
      <c r="F300" s="624" t="s">
        <v>1735</v>
      </c>
      <c r="G300" s="624" t="s">
        <v>1736</v>
      </c>
      <c r="H300" s="624" t="s">
        <v>1737</v>
      </c>
      <c r="I300" s="624" t="s">
        <v>1738</v>
      </c>
      <c r="J300" s="624" t="s">
        <v>14</v>
      </c>
    </row>
    <row r="301">
      <c r="A301" s="625" t="s">
        <v>218</v>
      </c>
      <c r="B301" s="626">
        <v>88264.0</v>
      </c>
      <c r="C301" s="627" t="str">
        <f>IF(A301="SINAPI-S",VLOOKUP(B301,'20-B.SINAPI-S'!A:J,2,0),IF(A301="SINAPI-I",VLOOKUP(B301,'20-A.SINAPI-I'!A:E,2,0),VLOOKUP(B301,'12.COT.MERCADO'!A:H,2,0)))</f>
        <v>ELETRICISTA COM ENCARGOS COMPLEMENTARES</v>
      </c>
      <c r="D301" s="628" t="str">
        <f>IF(A301="SINAPI-S",VLOOKUP(B301,'20-B.SINAPI-S'!A:J,3,0),IF(A301="SINAPI-I",VLOOKUP(B301,'20-A.SINAPI-I'!A:E,3,0),VLOOKUP(B301,'12.COT.MERCADO'!A:H,7,0)))</f>
        <v>H</v>
      </c>
      <c r="E301" s="629">
        <f>IF(A301="SINAPI-S",VLOOKUP(B301,'20-B.SINAPI-S'!A:J,5,0),IF(A301="SINAPI-I",VLOOKUP(B301,'20-A.SINAPI-I'!A:G,6,0),0))</f>
        <v>25.09</v>
      </c>
      <c r="F301" s="629">
        <f>IF(A301="SINAPI-S",VLOOKUP(B301,'20-B.SINAPI-S'!A:J,6,0),IF(A301="SINAPI-I",VLOOKUP(B301,'20-A.SINAPI-I'!A:G,7,0),VLOOKUP(B301,'12.COT.MERCADO'!A:H,8,0)))</f>
        <v>7.86</v>
      </c>
      <c r="G301" s="626">
        <v>1.0</v>
      </c>
      <c r="H301" s="629">
        <f t="shared" ref="H301:H303" si="153">E301*G301</f>
        <v>25.09</v>
      </c>
      <c r="I301" s="629">
        <f t="shared" ref="I301:I303" si="154">F301*G301</f>
        <v>7.86</v>
      </c>
      <c r="J301" s="629">
        <f t="shared" ref="J301:J303" si="155">I301+H301</f>
        <v>32.95</v>
      </c>
    </row>
    <row r="302">
      <c r="A302" s="625" t="s">
        <v>218</v>
      </c>
      <c r="B302" s="626">
        <v>88247.0</v>
      </c>
      <c r="C302" s="627" t="str">
        <f>IF(A302="SINAPI-S",VLOOKUP(B302,'20-B.SINAPI-S'!A:J,2,0),IF(A302="SINAPI-I",VLOOKUP(B302,'20-A.SINAPI-I'!A:E,2,0),VLOOKUP(B302,'12.COT.MERCADO'!A:H,2,0)))</f>
        <v>AUXILIAR DE ELETRICISTA COM ENCARGOS COMPLEMENTARES</v>
      </c>
      <c r="D302" s="628" t="str">
        <f>IF(A302="SINAPI-S",VLOOKUP(B302,'20-B.SINAPI-S'!A:J,3,0),IF(A302="SINAPI-I",VLOOKUP(B302,'20-A.SINAPI-I'!A:E,3,0),VLOOKUP(B302,'12.COT.MERCADO'!A:H,7,0)))</f>
        <v>H</v>
      </c>
      <c r="E302" s="629">
        <f>IF(A302="SINAPI-S",VLOOKUP(B302,'20-B.SINAPI-S'!A:J,5,0),IF(A302="SINAPI-I",VLOOKUP(B302,'20-A.SINAPI-I'!A:G,6,0),0))</f>
        <v>19.2</v>
      </c>
      <c r="F302" s="629">
        <f>IF(A302="SINAPI-S",VLOOKUP(B302,'20-B.SINAPI-S'!A:J,6,0),IF(A302="SINAPI-I",VLOOKUP(B302,'20-A.SINAPI-I'!A:G,7,0),VLOOKUP(B302,'12.COT.MERCADO'!A:H,8,0)))</f>
        <v>7.86</v>
      </c>
      <c r="G302" s="626">
        <v>1.0</v>
      </c>
      <c r="H302" s="629">
        <f t="shared" si="153"/>
        <v>19.2</v>
      </c>
      <c r="I302" s="629">
        <f t="shared" si="154"/>
        <v>7.86</v>
      </c>
      <c r="J302" s="629">
        <f t="shared" si="155"/>
        <v>27.06</v>
      </c>
    </row>
    <row r="303">
      <c r="A303" s="625" t="s">
        <v>110</v>
      </c>
      <c r="B303" s="626" t="s">
        <v>1933</v>
      </c>
      <c r="C303" s="660" t="str">
        <f>IF(A303="SINAPI-S",VLOOKUP(B303,'20-B.SINAPI-S'!A:J,2,0),IF(A303="SINAPI-I",VLOOKUP(B303,'20-A.SINAPI-I'!A:E,2,0),VLOOKUP(B303,'12.COT.MERCADO'!A:H,2,0)))</f>
        <v>CALIBRADOR ELETRÔNICO PARA PNEUS, BIVOLT, BLINDADO. REF. STOKAIR-M2000 OU SIMILAR</v>
      </c>
      <c r="D303" s="626" t="str">
        <f>IF(A303="SINAPI-S",VLOOKUP(B303,'20-B.SINAPI-S'!A:J,3,0),IF(A303="SINAPI-I",VLOOKUP(B303,'20-A.SINAPI-I'!A:E,3,0),VLOOKUP(B303,'12.COT.MERCADO'!A:H,7,0)))</f>
        <v>UN</v>
      </c>
      <c r="E303" s="629">
        <f>IF(A303="SINAPI-S",VLOOKUP(B303,'20-B.SINAPI-S'!A:J,5,0),IF(A303="SINAPI-I",VLOOKUP(B303,'20-A.SINAPI-I'!A:G,6,0),0))</f>
        <v>0</v>
      </c>
      <c r="F303" s="634">
        <f>IF(A303="SINAPI-S",VLOOKUP(B303,'20-B.SINAPI-S'!A:J,6,0),IF(A303="SINAPI-I",VLOOKUP(B303,'20-A.SINAPI-I'!A:G,7,0),VLOOKUP(B303,'12.COT.MERCADO'!A:H,8,0)))</f>
        <v>1090.62</v>
      </c>
      <c r="G303" s="626">
        <v>1.0</v>
      </c>
      <c r="H303" s="629">
        <f t="shared" si="153"/>
        <v>0</v>
      </c>
      <c r="I303" s="629">
        <f t="shared" si="154"/>
        <v>1090.62</v>
      </c>
      <c r="J303" s="629">
        <f t="shared" si="155"/>
        <v>1090.62</v>
      </c>
    </row>
    <row r="304">
      <c r="A304" s="622" t="s">
        <v>1632</v>
      </c>
      <c r="B304" s="633" t="s">
        <v>1934</v>
      </c>
      <c r="J304" s="633"/>
    </row>
    <row r="305">
      <c r="A305" s="661"/>
      <c r="B305" s="662"/>
      <c r="C305" s="662"/>
      <c r="D305" s="626"/>
      <c r="E305" s="661"/>
      <c r="F305" s="661"/>
      <c r="G305" s="661"/>
      <c r="H305" s="661"/>
      <c r="I305" s="661"/>
      <c r="J305" s="661"/>
    </row>
    <row r="306">
      <c r="A306" s="654" t="s">
        <v>1785</v>
      </c>
      <c r="B306" s="655" t="s">
        <v>1935</v>
      </c>
      <c r="C306" s="656" t="s">
        <v>1936</v>
      </c>
      <c r="D306" s="655" t="s">
        <v>1788</v>
      </c>
      <c r="E306" s="657"/>
      <c r="F306" s="657"/>
      <c r="G306" s="657"/>
      <c r="H306" s="663">
        <f t="shared" ref="H306:J306" si="156">SUM(H308:H310)</f>
        <v>62.79</v>
      </c>
      <c r="I306" s="663">
        <f t="shared" si="156"/>
        <v>102.985</v>
      </c>
      <c r="J306" s="664">
        <f t="shared" si="156"/>
        <v>165.775</v>
      </c>
    </row>
    <row r="307">
      <c r="A307" s="622" t="s">
        <v>1732</v>
      </c>
      <c r="B307" s="622" t="s">
        <v>80</v>
      </c>
      <c r="C307" s="623" t="s">
        <v>8</v>
      </c>
      <c r="D307" s="622" t="s">
        <v>83</v>
      </c>
      <c r="E307" s="624" t="s">
        <v>1734</v>
      </c>
      <c r="F307" s="624" t="s">
        <v>1735</v>
      </c>
      <c r="G307" s="624" t="s">
        <v>1736</v>
      </c>
      <c r="H307" s="624" t="s">
        <v>1737</v>
      </c>
      <c r="I307" s="624" t="s">
        <v>1738</v>
      </c>
      <c r="J307" s="624" t="s">
        <v>14</v>
      </c>
    </row>
    <row r="308">
      <c r="A308" s="625" t="s">
        <v>218</v>
      </c>
      <c r="B308" s="626">
        <v>88262.0</v>
      </c>
      <c r="C308" s="627" t="str">
        <f>IF(A308="SINAPI-S",VLOOKUP(B308,'20-B.SINAPI-S'!A:J,2,0),IF(A308="SINAPI-I",VLOOKUP(B308,'20-A.SINAPI-I'!A:E,2,0),VLOOKUP(B308,'12.COT.MERCADO'!A:H,2,0)))</f>
        <v>CARPINTEIRO DE FORMAS COM ENCARGOS COMPLEMENTARES</v>
      </c>
      <c r="D308" s="628" t="str">
        <f>IF(A308="SINAPI-S",VLOOKUP(B308,'20-B.SINAPI-S'!A:J,3,0),IF(A308="SINAPI-I",VLOOKUP(B308,'20-A.SINAPI-I'!A:E,3,0),VLOOKUP(B308,'12.COT.MERCADO'!A:H,7,0)))</f>
        <v>H</v>
      </c>
      <c r="E308" s="629">
        <f>IF(A308="SINAPI-S",VLOOKUP(B308,'20-B.SINAPI-S'!A:J,5,0),IF(A308="SINAPI-I",VLOOKUP(B308,'20-A.SINAPI-I'!A:G,6,0),0))</f>
        <v>24.44</v>
      </c>
      <c r="F308" s="629">
        <f>IF(A308="SINAPI-S",VLOOKUP(B308,'20-B.SINAPI-S'!A:J,6,0),IF(A308="SINAPI-I",VLOOKUP(B308,'20-A.SINAPI-I'!A:G,7,0),VLOOKUP(B308,'12.COT.MERCADO'!A:H,8,0)))</f>
        <v>7.69</v>
      </c>
      <c r="G308" s="626">
        <v>1.5</v>
      </c>
      <c r="H308" s="629">
        <f t="shared" ref="H308:H310" si="157">E308*G308</f>
        <v>36.66</v>
      </c>
      <c r="I308" s="629">
        <f t="shared" ref="I308:I310" si="158">F308*G308</f>
        <v>11.535</v>
      </c>
      <c r="J308" s="629">
        <f t="shared" ref="J308:J310" si="159">I308+H308</f>
        <v>48.195</v>
      </c>
    </row>
    <row r="309">
      <c r="A309" s="625" t="s">
        <v>218</v>
      </c>
      <c r="B309" s="626">
        <v>88316.0</v>
      </c>
      <c r="C309" s="627" t="str">
        <f>IF(A309="SINAPI-S",VLOOKUP(B309,'20-B.SINAPI-S'!A:J,2,0),IF(A309="SINAPI-I",VLOOKUP(B309,'20-A.SINAPI-I'!A:E,2,0),VLOOKUP(B309,'12.COT.MERCADO'!A:H,2,0)))</f>
        <v>SERVENTE COM ENCARGOS COMPLEMENTARES</v>
      </c>
      <c r="D309" s="628" t="str">
        <f>IF(A309="SINAPI-S",VLOOKUP(B309,'20-B.SINAPI-S'!A:J,3,0),IF(A309="SINAPI-I",VLOOKUP(B309,'20-A.SINAPI-I'!A:E,3,0),VLOOKUP(B309,'12.COT.MERCADO'!A:H,7,0)))</f>
        <v>H</v>
      </c>
      <c r="E309" s="629">
        <f>IF(A309="SINAPI-S",VLOOKUP(B309,'20-B.SINAPI-S'!A:J,5,0),IF(A309="SINAPI-I",VLOOKUP(B309,'20-A.SINAPI-I'!A:G,6,0),0))</f>
        <v>17.42</v>
      </c>
      <c r="F309" s="629">
        <f>IF(A309="SINAPI-S",VLOOKUP(B309,'20-B.SINAPI-S'!A:J,6,0),IF(A309="SINAPI-I",VLOOKUP(B309,'20-A.SINAPI-I'!A:G,7,0),VLOOKUP(B309,'12.COT.MERCADO'!A:H,8,0)))</f>
        <v>7.7</v>
      </c>
      <c r="G309" s="626">
        <v>1.5</v>
      </c>
      <c r="H309" s="629">
        <f t="shared" si="157"/>
        <v>26.13</v>
      </c>
      <c r="I309" s="629">
        <f t="shared" si="158"/>
        <v>11.55</v>
      </c>
      <c r="J309" s="629">
        <f t="shared" si="159"/>
        <v>37.68</v>
      </c>
    </row>
    <row r="310">
      <c r="A310" s="625" t="s">
        <v>110</v>
      </c>
      <c r="B310" s="626" t="s">
        <v>1937</v>
      </c>
      <c r="C310" s="660" t="str">
        <f>IF(A310="SINAPI-S",VLOOKUP(B310,'20-B.SINAPI-S'!A:J,2,0),IF(A310="SINAPI-I",VLOOKUP(B310,'20-A.SINAPI-I'!A:E,2,0),VLOOKUP(B310,'12.COT.MERCADO'!A:H,2,0)))</f>
        <v>FECHADURA DE SOBREPOR PAR APORTA CORTA FOGO (SEM CHAVE)</v>
      </c>
      <c r="D310" s="626" t="str">
        <f>IF(A310="SINAPI-S",VLOOKUP(B310,'20-B.SINAPI-S'!A:J,3,0),IF(A310="SINAPI-I",VLOOKUP(B310,'20-A.SINAPI-I'!A:E,3,0),VLOOKUP(B310,'12.COT.MERCADO'!A:H,7,0)))</f>
        <v>UN</v>
      </c>
      <c r="E310" s="629">
        <f>IF(A310="SINAPI-S",VLOOKUP(B310,'20-B.SINAPI-S'!A:J,5,0),IF(A310="SINAPI-I",VLOOKUP(B310,'20-A.SINAPI-I'!A:G,6,0),0))</f>
        <v>0</v>
      </c>
      <c r="F310" s="634">
        <f>IF(A310="SINAPI-S",VLOOKUP(B310,'20-B.SINAPI-S'!A:J,6,0),IF(A310="SINAPI-I",VLOOKUP(B310,'20-A.SINAPI-I'!A:G,7,0),VLOOKUP(B310,'12.COT.MERCADO'!A:H,8,0)))</f>
        <v>79.9</v>
      </c>
      <c r="G310" s="626">
        <v>1.0</v>
      </c>
      <c r="H310" s="629">
        <f t="shared" si="157"/>
        <v>0</v>
      </c>
      <c r="I310" s="629">
        <f t="shared" si="158"/>
        <v>79.9</v>
      </c>
      <c r="J310" s="629">
        <f t="shared" si="159"/>
        <v>79.9</v>
      </c>
    </row>
    <row r="311">
      <c r="A311" s="622" t="s">
        <v>1632</v>
      </c>
      <c r="B311" s="633" t="s">
        <v>1938</v>
      </c>
      <c r="J311" s="633"/>
    </row>
    <row r="312">
      <c r="A312" s="661"/>
      <c r="B312" s="662"/>
      <c r="C312" s="662"/>
      <c r="D312" s="626"/>
      <c r="E312" s="661"/>
      <c r="F312" s="661"/>
      <c r="G312" s="661"/>
      <c r="H312" s="661"/>
      <c r="I312" s="661"/>
      <c r="J312" s="661"/>
    </row>
    <row r="313">
      <c r="A313" s="654" t="s">
        <v>1785</v>
      </c>
      <c r="B313" s="655" t="s">
        <v>1939</v>
      </c>
      <c r="C313" s="656" t="s">
        <v>1940</v>
      </c>
      <c r="D313" s="655" t="s">
        <v>1788</v>
      </c>
      <c r="E313" s="657"/>
      <c r="F313" s="657"/>
      <c r="G313" s="657"/>
      <c r="H313" s="663">
        <f t="shared" ref="H313:J313" si="160">SUM(H315:H317)</f>
        <v>13.287</v>
      </c>
      <c r="I313" s="663">
        <f t="shared" si="160"/>
        <v>38.246</v>
      </c>
      <c r="J313" s="664">
        <f t="shared" si="160"/>
        <v>51.533</v>
      </c>
    </row>
    <row r="314">
      <c r="A314" s="622" t="s">
        <v>1732</v>
      </c>
      <c r="B314" s="622" t="s">
        <v>80</v>
      </c>
      <c r="C314" s="623" t="s">
        <v>8</v>
      </c>
      <c r="D314" s="622" t="s">
        <v>83</v>
      </c>
      <c r="E314" s="624" t="s">
        <v>1734</v>
      </c>
      <c r="F314" s="624" t="s">
        <v>1735</v>
      </c>
      <c r="G314" s="624" t="s">
        <v>1736</v>
      </c>
      <c r="H314" s="624" t="s">
        <v>1737</v>
      </c>
      <c r="I314" s="624" t="s">
        <v>1738</v>
      </c>
      <c r="J314" s="624" t="s">
        <v>14</v>
      </c>
    </row>
    <row r="315">
      <c r="A315" s="625" t="s">
        <v>218</v>
      </c>
      <c r="B315" s="626">
        <v>88264.0</v>
      </c>
      <c r="C315" s="627" t="str">
        <f>IF(A315="SINAPI-S",VLOOKUP(B315,'20-B.SINAPI-S'!A:J,2,0),IF(A315="SINAPI-I",VLOOKUP(B315,'20-A.SINAPI-I'!A:E,2,0),VLOOKUP(B315,'12.COT.MERCADO'!A:H,2,0)))</f>
        <v>ELETRICISTA COM ENCARGOS COMPLEMENTARES</v>
      </c>
      <c r="D315" s="628" t="str">
        <f>IF(A315="SINAPI-S",VLOOKUP(B315,'20-B.SINAPI-S'!A:J,3,0),IF(A315="SINAPI-I",VLOOKUP(B315,'20-A.SINAPI-I'!A:E,3,0),VLOOKUP(B315,'12.COT.MERCADO'!A:H,7,0)))</f>
        <v>H</v>
      </c>
      <c r="E315" s="629">
        <f>IF(A315="SINAPI-S",VLOOKUP(B315,'20-B.SINAPI-S'!A:J,5,0),IF(A315="SINAPI-I",VLOOKUP(B315,'20-A.SINAPI-I'!A:G,6,0),0))</f>
        <v>25.09</v>
      </c>
      <c r="F315" s="629">
        <f>IF(A315="SINAPI-S",VLOOKUP(B315,'20-B.SINAPI-S'!A:J,6,0),IF(A315="SINAPI-I",VLOOKUP(B315,'20-A.SINAPI-I'!A:G,7,0),VLOOKUP(B315,'12.COT.MERCADO'!A:H,8,0)))</f>
        <v>7.86</v>
      </c>
      <c r="G315" s="626">
        <v>0.3</v>
      </c>
      <c r="H315" s="629">
        <f t="shared" ref="H315:H317" si="161">E315*G315</f>
        <v>7.527</v>
      </c>
      <c r="I315" s="629">
        <f t="shared" ref="I315:I317" si="162">F315*G315</f>
        <v>2.358</v>
      </c>
      <c r="J315" s="629">
        <f t="shared" ref="J315:J317" si="163">I315+H315</f>
        <v>9.885</v>
      </c>
    </row>
    <row r="316">
      <c r="A316" s="625" t="s">
        <v>218</v>
      </c>
      <c r="B316" s="626">
        <v>88247.0</v>
      </c>
      <c r="C316" s="627" t="str">
        <f>IF(A316="SINAPI-S",VLOOKUP(B316,'20-B.SINAPI-S'!A:J,2,0),IF(A316="SINAPI-I",VLOOKUP(B316,'20-A.SINAPI-I'!A:E,2,0),VLOOKUP(B316,'12.COT.MERCADO'!A:H,2,0)))</f>
        <v>AUXILIAR DE ELETRICISTA COM ENCARGOS COMPLEMENTARES</v>
      </c>
      <c r="D316" s="628" t="str">
        <f>IF(A316="SINAPI-S",VLOOKUP(B316,'20-B.SINAPI-S'!A:J,3,0),IF(A316="SINAPI-I",VLOOKUP(B316,'20-A.SINAPI-I'!A:E,3,0),VLOOKUP(B316,'12.COT.MERCADO'!A:H,7,0)))</f>
        <v>H</v>
      </c>
      <c r="E316" s="629">
        <f>IF(A316="SINAPI-S",VLOOKUP(B316,'20-B.SINAPI-S'!A:J,5,0),IF(A316="SINAPI-I",VLOOKUP(B316,'20-A.SINAPI-I'!A:G,6,0),0))</f>
        <v>19.2</v>
      </c>
      <c r="F316" s="629">
        <f>IF(A316="SINAPI-S",VLOOKUP(B316,'20-B.SINAPI-S'!A:J,6,0),IF(A316="SINAPI-I",VLOOKUP(B316,'20-A.SINAPI-I'!A:G,7,0),VLOOKUP(B316,'12.COT.MERCADO'!A:H,8,0)))</f>
        <v>7.86</v>
      </c>
      <c r="G316" s="626">
        <v>0.3</v>
      </c>
      <c r="H316" s="629">
        <f t="shared" si="161"/>
        <v>5.76</v>
      </c>
      <c r="I316" s="629">
        <f t="shared" si="162"/>
        <v>2.358</v>
      </c>
      <c r="J316" s="629">
        <f t="shared" si="163"/>
        <v>8.118</v>
      </c>
    </row>
    <row r="317">
      <c r="A317" s="625" t="s">
        <v>110</v>
      </c>
      <c r="B317" s="626" t="s">
        <v>1941</v>
      </c>
      <c r="C317" s="660" t="str">
        <f>IF(A317="SINAPI-S",VLOOKUP(B317,'20-B.SINAPI-S'!A:J,2,0),IF(A317="SINAPI-I",VLOOKUP(B317,'20-A.SINAPI-I'!A:E,2,0),VLOOKUP(B317,'12.COT.MERCADO'!A:H,2,0)))</f>
        <v>BOTOEIRA COM RETENÇÃO PARA QUADRO/PAINEL. REF. CEW-BEGM-0100000 DA WEB,  LAY5-BS54 DA JNG, METALTEX, MARGIRIUS OU EQUIVALENTE</v>
      </c>
      <c r="D317" s="626" t="str">
        <f>IF(A317="SINAPI-S",VLOOKUP(B317,'20-B.SINAPI-S'!A:J,3,0),IF(A317="SINAPI-I",VLOOKUP(B317,'20-A.SINAPI-I'!A:E,3,0),VLOOKUP(B317,'12.COT.MERCADO'!A:H,7,0)))</f>
        <v>UN</v>
      </c>
      <c r="E317" s="629">
        <f>IF(A317="SINAPI-S",VLOOKUP(B317,'20-B.SINAPI-S'!A:J,5,0),IF(A317="SINAPI-I",VLOOKUP(B317,'20-A.SINAPI-I'!A:G,6,0),0))</f>
        <v>0</v>
      </c>
      <c r="F317" s="634">
        <f>IF(A317="SINAPI-S",VLOOKUP(B317,'20-B.SINAPI-S'!A:J,6,0),IF(A317="SINAPI-I",VLOOKUP(B317,'20-A.SINAPI-I'!A:G,7,0),VLOOKUP(B317,'12.COT.MERCADO'!A:H,8,0)))</f>
        <v>33.53</v>
      </c>
      <c r="G317" s="626">
        <v>1.0</v>
      </c>
      <c r="H317" s="629">
        <f t="shared" si="161"/>
        <v>0</v>
      </c>
      <c r="I317" s="629">
        <f t="shared" si="162"/>
        <v>33.53</v>
      </c>
      <c r="J317" s="629">
        <f t="shared" si="163"/>
        <v>33.53</v>
      </c>
    </row>
    <row r="318">
      <c r="A318" s="622" t="s">
        <v>1632</v>
      </c>
      <c r="B318" s="633" t="s">
        <v>1942</v>
      </c>
      <c r="J318" s="633"/>
    </row>
    <row r="319">
      <c r="A319" s="661"/>
      <c r="B319" s="662"/>
      <c r="C319" s="662"/>
      <c r="D319" s="626"/>
      <c r="E319" s="661"/>
      <c r="F319" s="661"/>
      <c r="G319" s="661"/>
      <c r="H319" s="661"/>
      <c r="I319" s="661"/>
      <c r="J319" s="661"/>
    </row>
    <row r="320">
      <c r="A320" s="654" t="s">
        <v>1785</v>
      </c>
      <c r="B320" s="655" t="s">
        <v>1943</v>
      </c>
      <c r="C320" s="656" t="s">
        <v>1944</v>
      </c>
      <c r="D320" s="655" t="s">
        <v>1788</v>
      </c>
      <c r="E320" s="657"/>
      <c r="F320" s="657"/>
      <c r="G320" s="657"/>
      <c r="H320" s="663">
        <f t="shared" ref="H320:J320" si="164">SUM(H322:H324)</f>
        <v>12.3</v>
      </c>
      <c r="I320" s="663">
        <f t="shared" si="164"/>
        <v>120.264</v>
      </c>
      <c r="J320" s="664">
        <f t="shared" si="164"/>
        <v>132.564</v>
      </c>
    </row>
    <row r="321">
      <c r="A321" s="622" t="s">
        <v>1732</v>
      </c>
      <c r="B321" s="622" t="s">
        <v>80</v>
      </c>
      <c r="C321" s="623" t="s">
        <v>8</v>
      </c>
      <c r="D321" s="622" t="s">
        <v>83</v>
      </c>
      <c r="E321" s="624" t="s">
        <v>1734</v>
      </c>
      <c r="F321" s="624" t="s">
        <v>1735</v>
      </c>
      <c r="G321" s="624" t="s">
        <v>1736</v>
      </c>
      <c r="H321" s="624" t="s">
        <v>1737</v>
      </c>
      <c r="I321" s="624" t="s">
        <v>1738</v>
      </c>
      <c r="J321" s="624" t="s">
        <v>14</v>
      </c>
    </row>
    <row r="322">
      <c r="A322" s="625" t="s">
        <v>218</v>
      </c>
      <c r="B322" s="626">
        <v>88267.0</v>
      </c>
      <c r="C322" s="627" t="str">
        <f>IF(A322="SINAPI-S",VLOOKUP(B322,'20-B.SINAPI-S'!A:J,2,0),IF(A322="SINAPI-I",VLOOKUP(B322,'20-A.SINAPI-I'!A:E,2,0),VLOOKUP(B322,'12.COT.MERCADO'!A:H,2,0)))</f>
        <v>ENCANADOR OU BOMBEIRO HIDRÁULICO COM ENCARGOS COMPLEMENTARES</v>
      </c>
      <c r="D322" s="628" t="str">
        <f>IF(A322="SINAPI-S",VLOOKUP(B322,'20-B.SINAPI-S'!A:J,3,0),IF(A322="SINAPI-I",VLOOKUP(B322,'20-A.SINAPI-I'!A:E,3,0),VLOOKUP(B322,'12.COT.MERCADO'!A:H,7,0)))</f>
        <v>H</v>
      </c>
      <c r="E322" s="629">
        <f>IF(A322="SINAPI-S",VLOOKUP(B322,'20-B.SINAPI-S'!A:J,5,0),IF(A322="SINAPI-I",VLOOKUP(B322,'20-A.SINAPI-I'!A:G,6,0),0))</f>
        <v>24.6</v>
      </c>
      <c r="F322" s="629">
        <f>IF(A322="SINAPI-S",VLOOKUP(B322,'20-B.SINAPI-S'!A:J,6,0),IF(A322="SINAPI-I",VLOOKUP(B322,'20-A.SINAPI-I'!A:G,7,0),VLOOKUP(B322,'12.COT.MERCADO'!A:H,8,0)))</f>
        <v>7.19</v>
      </c>
      <c r="G322" s="626">
        <v>0.5</v>
      </c>
      <c r="H322" s="629">
        <f t="shared" ref="H322:H324" si="165">E322*G322</f>
        <v>12.3</v>
      </c>
      <c r="I322" s="629">
        <f t="shared" ref="I322:I324" si="166">F322*G322</f>
        <v>3.595</v>
      </c>
      <c r="J322" s="629">
        <f t="shared" ref="J322:J324" si="167">I322+H322</f>
        <v>15.895</v>
      </c>
    </row>
    <row r="323">
      <c r="A323" s="625" t="s">
        <v>286</v>
      </c>
      <c r="B323" s="626">
        <v>3146.0</v>
      </c>
      <c r="C323" s="627" t="str">
        <f>IF(A323="SINAPI-S",VLOOKUP(B323,'20-B.SINAPI-S'!A:J,2,0),IF(A323="SINAPI-I",VLOOKUP(B323,'20-A.SINAPI-I'!A:E,2,0),VLOOKUP(B323,'12.COT.MERCADO'!A:H,2,0)))</f>
        <v>FITA VEDA ROSCA EM ROLOS DE 18 MM X 10 M (L X C)</v>
      </c>
      <c r="D323" s="626" t="str">
        <f>IF(A323="SINAPI-S",VLOOKUP(B323,'20-B.SINAPI-S'!A:J,3,0),IF(A323="SINAPI-I",VLOOKUP(B323,'20-A.SINAPI-I'!A:E,3,0),VLOOKUP(B323,'12.COT.MERCADO'!A:H,7,0)))</f>
        <v>UN</v>
      </c>
      <c r="E323" s="629">
        <f>IF(A323="SINAPI-S",VLOOKUP(B323,'20-B.SINAPI-S'!A:J,5,0),IF(A323="SINAPI-I",VLOOKUP(B323,'20-A.SINAPI-I'!A:G,6,0),0))</f>
        <v>0</v>
      </c>
      <c r="F323" s="629">
        <f>IF(A323="SINAPI-S",VLOOKUP(B323,'20-B.SINAPI-S'!A:J,6,0),IF(A323="SINAPI-I",VLOOKUP(B323,'20-A.SINAPI-I'!A:G,7,0),VLOOKUP(B323,'12.COT.MERCADO'!A:H,8,0)))</f>
        <v>4.5</v>
      </c>
      <c r="G323" s="626">
        <f>0.42/10</f>
        <v>0.042</v>
      </c>
      <c r="H323" s="629">
        <f t="shared" si="165"/>
        <v>0</v>
      </c>
      <c r="I323" s="629">
        <f t="shared" si="166"/>
        <v>0.189</v>
      </c>
      <c r="J323" s="629">
        <f t="shared" si="167"/>
        <v>0.189</v>
      </c>
    </row>
    <row r="324">
      <c r="A324" s="625" t="s">
        <v>286</v>
      </c>
      <c r="B324" s="626">
        <v>1370.0</v>
      </c>
      <c r="C324" s="627" t="str">
        <f>IF(A324="SINAPI-S",VLOOKUP(B324,'20-B.SINAPI-S'!A:J,2,0),IF(A324="SINAPI-I",VLOOKUP(B324,'20-A.SINAPI-I'!A:E,2,0),VLOOKUP(B324,'12.COT.MERCADO'!A:H,2,0)))</f>
        <v>DUCHA HIGIENICA PLASTICA COM REGISTRO METALICO 1/2 "</v>
      </c>
      <c r="D324" s="626" t="str">
        <f>IF(A324="SINAPI-S",VLOOKUP(B324,'20-B.SINAPI-S'!A:J,3,0),IF(A324="SINAPI-I",VLOOKUP(B324,'20-A.SINAPI-I'!A:E,3,0),VLOOKUP(B324,'12.COT.MERCADO'!A:H,7,0)))</f>
        <v>UN</v>
      </c>
      <c r="E324" s="629">
        <f>IF(A324="SINAPI-S",VLOOKUP(B324,'20-B.SINAPI-S'!A:J,5,0),IF(A324="SINAPI-I",VLOOKUP(B324,'20-A.SINAPI-I'!A:G,6,0),0))</f>
        <v>0</v>
      </c>
      <c r="F324" s="629">
        <f>IF(A324="SINAPI-S",VLOOKUP(B324,'20-B.SINAPI-S'!A:J,6,0),IF(A324="SINAPI-I",VLOOKUP(B324,'20-A.SINAPI-I'!A:G,7,0),VLOOKUP(B324,'12.COT.MERCADO'!A:H,8,0)))</f>
        <v>116.48</v>
      </c>
      <c r="G324" s="626">
        <v>1.0</v>
      </c>
      <c r="H324" s="629">
        <f t="shared" si="165"/>
        <v>0</v>
      </c>
      <c r="I324" s="629">
        <f t="shared" si="166"/>
        <v>116.48</v>
      </c>
      <c r="J324" s="629">
        <f t="shared" si="167"/>
        <v>116.48</v>
      </c>
    </row>
    <row r="325">
      <c r="A325" s="622" t="s">
        <v>1632</v>
      </c>
      <c r="B325" s="633" t="s">
        <v>1942</v>
      </c>
      <c r="J325" s="633"/>
    </row>
    <row r="326">
      <c r="A326" s="661"/>
      <c r="B326" s="662"/>
      <c r="C326" s="662"/>
      <c r="D326" s="626"/>
      <c r="E326" s="661"/>
      <c r="F326" s="661"/>
      <c r="G326" s="661"/>
      <c r="H326" s="661"/>
      <c r="I326" s="661"/>
      <c r="J326" s="661"/>
    </row>
    <row r="327">
      <c r="A327" s="654" t="s">
        <v>1785</v>
      </c>
      <c r="B327" s="655" t="s">
        <v>1945</v>
      </c>
      <c r="C327" s="656" t="s">
        <v>1946</v>
      </c>
      <c r="D327" s="655" t="s">
        <v>1788</v>
      </c>
      <c r="E327" s="657"/>
      <c r="F327" s="657"/>
      <c r="G327" s="657"/>
      <c r="H327" s="663">
        <f t="shared" ref="H327:J327" si="168">SUM(H329:H331)</f>
        <v>63.15</v>
      </c>
      <c r="I327" s="663">
        <f t="shared" si="168"/>
        <v>33.91125</v>
      </c>
      <c r="J327" s="664">
        <f t="shared" si="168"/>
        <v>97.06125</v>
      </c>
    </row>
    <row r="328">
      <c r="A328" s="622" t="s">
        <v>1732</v>
      </c>
      <c r="B328" s="622" t="s">
        <v>80</v>
      </c>
      <c r="C328" s="623" t="s">
        <v>8</v>
      </c>
      <c r="D328" s="622" t="s">
        <v>83</v>
      </c>
      <c r="E328" s="624" t="s">
        <v>1734</v>
      </c>
      <c r="F328" s="624" t="s">
        <v>1735</v>
      </c>
      <c r="G328" s="624" t="s">
        <v>1736</v>
      </c>
      <c r="H328" s="624" t="s">
        <v>1737</v>
      </c>
      <c r="I328" s="624" t="s">
        <v>1738</v>
      </c>
      <c r="J328" s="624" t="s">
        <v>14</v>
      </c>
    </row>
    <row r="329">
      <c r="A329" s="625" t="s">
        <v>218</v>
      </c>
      <c r="B329" s="626">
        <v>88309.0</v>
      </c>
      <c r="C329" s="627" t="str">
        <f>IF(A329="SINAPI-S",VLOOKUP(B329,'20-B.SINAPI-S'!A:J,2,0),IF(A329="SINAPI-I",VLOOKUP(B329,'20-A.SINAPI-I'!A:E,2,0),VLOOKUP(B329,'12.COT.MERCADO'!A:H,2,0)))</f>
        <v>PEDREIRO COM ENCARGOS COMPLEMENTARES</v>
      </c>
      <c r="D329" s="628" t="str">
        <f>IF(A329="SINAPI-S",VLOOKUP(B329,'20-B.SINAPI-S'!A:J,3,0),IF(A329="SINAPI-I",VLOOKUP(B329,'20-A.SINAPI-I'!A:E,3,0),VLOOKUP(B329,'12.COT.MERCADO'!A:H,7,0)))</f>
        <v>H</v>
      </c>
      <c r="E329" s="629">
        <f>IF(A329="SINAPI-S",VLOOKUP(B329,'20-B.SINAPI-S'!A:J,5,0),IF(A329="SINAPI-I",VLOOKUP(B329,'20-A.SINAPI-I'!A:G,6,0),0))</f>
        <v>24.68</v>
      </c>
      <c r="F329" s="629">
        <f>IF(A329="SINAPI-S",VLOOKUP(B329,'20-B.SINAPI-S'!A:J,6,0),IF(A329="SINAPI-I",VLOOKUP(B329,'20-A.SINAPI-I'!A:G,7,0),VLOOKUP(B329,'12.COT.MERCADO'!A:H,8,0)))</f>
        <v>7.87</v>
      </c>
      <c r="G329" s="626">
        <v>1.5</v>
      </c>
      <c r="H329" s="629">
        <f t="shared" ref="H329:H331" si="169">E329*G329</f>
        <v>37.02</v>
      </c>
      <c r="I329" s="629">
        <f t="shared" ref="I329:I331" si="170">F329*G329</f>
        <v>11.805</v>
      </c>
      <c r="J329" s="629">
        <f t="shared" ref="J329:J331" si="171">I329+H329</f>
        <v>48.825</v>
      </c>
    </row>
    <row r="330">
      <c r="A330" s="625" t="s">
        <v>218</v>
      </c>
      <c r="B330" s="626">
        <v>88316.0</v>
      </c>
      <c r="C330" s="627" t="str">
        <f>IF(A330="SINAPI-S",VLOOKUP(B330,'20-B.SINAPI-S'!A:J,2,0),IF(A330="SINAPI-I",VLOOKUP(B330,'20-A.SINAPI-I'!A:E,2,0),VLOOKUP(B330,'12.COT.MERCADO'!A:H,2,0)))</f>
        <v>SERVENTE COM ENCARGOS COMPLEMENTARES</v>
      </c>
      <c r="D330" s="628" t="str">
        <f>IF(A330="SINAPI-S",VLOOKUP(B330,'20-B.SINAPI-S'!A:J,3,0),IF(A330="SINAPI-I",VLOOKUP(B330,'20-A.SINAPI-I'!A:E,3,0),VLOOKUP(B330,'12.COT.MERCADO'!A:H,7,0)))</f>
        <v>H</v>
      </c>
      <c r="E330" s="629">
        <f>IF(A330="SINAPI-S",VLOOKUP(B330,'20-B.SINAPI-S'!A:J,5,0),IF(A330="SINAPI-I",VLOOKUP(B330,'20-A.SINAPI-I'!A:G,6,0),0))</f>
        <v>17.42</v>
      </c>
      <c r="F330" s="629">
        <f>IF(A330="SINAPI-S",VLOOKUP(B330,'20-B.SINAPI-S'!A:J,6,0),IF(A330="SINAPI-I",VLOOKUP(B330,'20-A.SINAPI-I'!A:G,7,0),VLOOKUP(B330,'12.COT.MERCADO'!A:H,8,0)))</f>
        <v>7.7</v>
      </c>
      <c r="G330" s="626">
        <v>1.5</v>
      </c>
      <c r="H330" s="629">
        <f t="shared" si="169"/>
        <v>26.13</v>
      </c>
      <c r="I330" s="629">
        <f t="shared" si="170"/>
        <v>11.55</v>
      </c>
      <c r="J330" s="629">
        <f t="shared" si="171"/>
        <v>37.68</v>
      </c>
    </row>
    <row r="331">
      <c r="A331" s="625" t="s">
        <v>286</v>
      </c>
      <c r="B331" s="626">
        <v>4222.0</v>
      </c>
      <c r="C331" s="627" t="str">
        <f>IF(A331="SINAPI-S",VLOOKUP(B331,'20-B.SINAPI-S'!A:J,2,0),IF(A331="SINAPI-I",VLOOKUP(B331,'20-A.SINAPI-I'!A:E,2,0),VLOOKUP(B331,'12.COT.MERCADO'!A:H,2,0)))</f>
        <v>GASOLINA COMUM</v>
      </c>
      <c r="D331" s="626" t="str">
        <f>IF(A331="SINAPI-S",VLOOKUP(B331,'20-B.SINAPI-S'!A:J,3,0),IF(A331="SINAPI-I",VLOOKUP(B331,'20-A.SINAPI-I'!A:E,3,0),VLOOKUP(B331,'12.COT.MERCADO'!A:H,7,0)))</f>
        <v>L</v>
      </c>
      <c r="E331" s="629">
        <f>IF(A331="SINAPI-S",VLOOKUP(B331,'20-B.SINAPI-S'!A:J,5,0),IF(A331="SINAPI-I",VLOOKUP(B331,'20-A.SINAPI-I'!A:G,6,0),0))</f>
        <v>0</v>
      </c>
      <c r="F331" s="629">
        <f>IF(A331="SINAPI-S",VLOOKUP(B331,'20-B.SINAPI-S'!A:J,6,0),IF(A331="SINAPI-I",VLOOKUP(B331,'20-A.SINAPI-I'!A:G,7,0),VLOOKUP(B331,'12.COT.MERCADO'!A:H,8,0)))</f>
        <v>5.63</v>
      </c>
      <c r="G331" s="626">
        <f>15/8</f>
        <v>1.875</v>
      </c>
      <c r="H331" s="629">
        <f t="shared" si="169"/>
        <v>0</v>
      </c>
      <c r="I331" s="629">
        <f t="shared" si="170"/>
        <v>10.55625</v>
      </c>
      <c r="J331" s="629">
        <f t="shared" si="171"/>
        <v>10.55625</v>
      </c>
    </row>
    <row r="332">
      <c r="A332" s="622" t="s">
        <v>1632</v>
      </c>
      <c r="B332" s="633" t="s">
        <v>1839</v>
      </c>
      <c r="J332" s="633"/>
    </row>
    <row r="333">
      <c r="A333" s="661"/>
      <c r="B333" s="662"/>
      <c r="C333" s="662"/>
      <c r="D333" s="626"/>
      <c r="E333" s="661"/>
      <c r="F333" s="661"/>
      <c r="G333" s="661"/>
      <c r="H333" s="661"/>
      <c r="I333" s="661"/>
      <c r="J333" s="661"/>
    </row>
    <row r="334">
      <c r="A334" s="654" t="s">
        <v>1785</v>
      </c>
      <c r="B334" s="655" t="s">
        <v>1947</v>
      </c>
      <c r="C334" s="656" t="s">
        <v>1948</v>
      </c>
      <c r="D334" s="655" t="s">
        <v>1788</v>
      </c>
      <c r="E334" s="657"/>
      <c r="F334" s="657"/>
      <c r="G334" s="657"/>
      <c r="H334" s="663">
        <f t="shared" ref="H334:J334" si="172">SUM(H336:H338)</f>
        <v>65.13</v>
      </c>
      <c r="I334" s="663">
        <f t="shared" si="172"/>
        <v>32.12625</v>
      </c>
      <c r="J334" s="664">
        <f t="shared" si="172"/>
        <v>97.25625</v>
      </c>
    </row>
    <row r="335">
      <c r="A335" s="622" t="s">
        <v>1732</v>
      </c>
      <c r="B335" s="622" t="s">
        <v>80</v>
      </c>
      <c r="C335" s="623" t="s">
        <v>8</v>
      </c>
      <c r="D335" s="622" t="s">
        <v>83</v>
      </c>
      <c r="E335" s="624" t="s">
        <v>1734</v>
      </c>
      <c r="F335" s="624" t="s">
        <v>1735</v>
      </c>
      <c r="G335" s="624" t="s">
        <v>1736</v>
      </c>
      <c r="H335" s="624" t="s">
        <v>1737</v>
      </c>
      <c r="I335" s="624" t="s">
        <v>1738</v>
      </c>
      <c r="J335" s="624" t="s">
        <v>14</v>
      </c>
    </row>
    <row r="336">
      <c r="A336" s="625" t="s">
        <v>218</v>
      </c>
      <c r="B336" s="626">
        <v>88267.0</v>
      </c>
      <c r="C336" s="627" t="str">
        <f>IF(A336="SINAPI-S",VLOOKUP(B336,'20-B.SINAPI-S'!A:J,2,0),IF(A336="SINAPI-I",VLOOKUP(B336,'20-A.SINAPI-I'!A:E,2,0),VLOOKUP(B336,'12.COT.MERCADO'!A:H,2,0)))</f>
        <v>ENCANADOR OU BOMBEIRO HIDRÁULICO COM ENCARGOS COMPLEMENTARES</v>
      </c>
      <c r="D336" s="628" t="str">
        <f>IF(A336="SINAPI-S",VLOOKUP(B336,'20-B.SINAPI-S'!A:J,3,0),IF(A336="SINAPI-I",VLOOKUP(B336,'20-A.SINAPI-I'!A:E,3,0),VLOOKUP(B336,'12.COT.MERCADO'!A:H,7,0)))</f>
        <v>H</v>
      </c>
      <c r="E336" s="629">
        <f>IF(A336="SINAPI-S",VLOOKUP(B336,'20-B.SINAPI-S'!A:J,5,0),IF(A336="SINAPI-I",VLOOKUP(B336,'20-A.SINAPI-I'!A:G,6,0),0))</f>
        <v>24.6</v>
      </c>
      <c r="F336" s="629">
        <f>IF(A336="SINAPI-S",VLOOKUP(B336,'20-B.SINAPI-S'!A:J,6,0),IF(A336="SINAPI-I",VLOOKUP(B336,'20-A.SINAPI-I'!A:G,7,0),VLOOKUP(B336,'12.COT.MERCADO'!A:H,8,0)))</f>
        <v>7.19</v>
      </c>
      <c r="G336" s="626">
        <v>1.5</v>
      </c>
      <c r="H336" s="629">
        <f t="shared" ref="H336:H338" si="173">E336*G336</f>
        <v>36.9</v>
      </c>
      <c r="I336" s="629">
        <f t="shared" ref="I336:I338" si="174">F336*G336</f>
        <v>10.785</v>
      </c>
      <c r="J336" s="629">
        <f t="shared" ref="J336:J338" si="175">I336+H336</f>
        <v>47.685</v>
      </c>
    </row>
    <row r="337">
      <c r="A337" s="625" t="s">
        <v>218</v>
      </c>
      <c r="B337" s="626">
        <v>88248.0</v>
      </c>
      <c r="C337" s="627" t="str">
        <f>IF(A337="SINAPI-S",VLOOKUP(B337,'20-B.SINAPI-S'!A:J,2,0),IF(A337="SINAPI-I",VLOOKUP(B337,'20-A.SINAPI-I'!A:E,2,0),VLOOKUP(B337,'12.COT.MERCADO'!A:H,2,0)))</f>
        <v>AUXILIAR DE ENCANADOR OU BOMBEIRO HIDRÁULICO COM ENCARGOS COMPLEMENTARES</v>
      </c>
      <c r="D337" s="628" t="str">
        <f>IF(A337="SINAPI-S",VLOOKUP(B337,'20-B.SINAPI-S'!A:J,3,0),IF(A337="SINAPI-I",VLOOKUP(B337,'20-A.SINAPI-I'!A:E,3,0),VLOOKUP(B337,'12.COT.MERCADO'!A:H,7,0)))</f>
        <v>H</v>
      </c>
      <c r="E337" s="629">
        <f>IF(A337="SINAPI-S",VLOOKUP(B337,'20-B.SINAPI-S'!A:J,5,0),IF(A337="SINAPI-I",VLOOKUP(B337,'20-A.SINAPI-I'!A:G,6,0),0))</f>
        <v>18.82</v>
      </c>
      <c r="F337" s="629">
        <f>IF(A337="SINAPI-S",VLOOKUP(B337,'20-B.SINAPI-S'!A:J,6,0),IF(A337="SINAPI-I",VLOOKUP(B337,'20-A.SINAPI-I'!A:G,7,0),VLOOKUP(B337,'12.COT.MERCADO'!A:H,8,0)))</f>
        <v>7.19</v>
      </c>
      <c r="G337" s="626">
        <v>1.5</v>
      </c>
      <c r="H337" s="629">
        <f t="shared" si="173"/>
        <v>28.23</v>
      </c>
      <c r="I337" s="629">
        <f t="shared" si="174"/>
        <v>10.785</v>
      </c>
      <c r="J337" s="629">
        <f t="shared" si="175"/>
        <v>39.015</v>
      </c>
    </row>
    <row r="338">
      <c r="A338" s="625" t="s">
        <v>286</v>
      </c>
      <c r="B338" s="626">
        <v>4222.0</v>
      </c>
      <c r="C338" s="627" t="str">
        <f>IF(A338="SINAPI-S",VLOOKUP(B338,'20-B.SINAPI-S'!A:J,2,0),IF(A338="SINAPI-I",VLOOKUP(B338,'20-A.SINAPI-I'!A:E,2,0),VLOOKUP(B338,'12.COT.MERCADO'!A:H,2,0)))</f>
        <v>GASOLINA COMUM</v>
      </c>
      <c r="D338" s="626" t="str">
        <f>IF(A338="SINAPI-S",VLOOKUP(B338,'20-B.SINAPI-S'!A:J,3,0),IF(A338="SINAPI-I",VLOOKUP(B338,'20-A.SINAPI-I'!A:E,3,0),VLOOKUP(B338,'12.COT.MERCADO'!A:H,7,0)))</f>
        <v>L</v>
      </c>
      <c r="E338" s="629">
        <f>IF(A338="SINAPI-S",VLOOKUP(B338,'20-B.SINAPI-S'!A:J,5,0),IF(A338="SINAPI-I",VLOOKUP(B338,'20-A.SINAPI-I'!A:G,6,0),0))</f>
        <v>0</v>
      </c>
      <c r="F338" s="629">
        <f>IF(A338="SINAPI-S",VLOOKUP(B338,'20-B.SINAPI-S'!A:J,6,0),IF(A338="SINAPI-I",VLOOKUP(B338,'20-A.SINAPI-I'!A:G,7,0),VLOOKUP(B338,'12.COT.MERCADO'!A:H,8,0)))</f>
        <v>5.63</v>
      </c>
      <c r="G338" s="626">
        <f>15/8</f>
        <v>1.875</v>
      </c>
      <c r="H338" s="629">
        <f t="shared" si="173"/>
        <v>0</v>
      </c>
      <c r="I338" s="629">
        <f t="shared" si="174"/>
        <v>10.55625</v>
      </c>
      <c r="J338" s="629">
        <f t="shared" si="175"/>
        <v>10.55625</v>
      </c>
    </row>
    <row r="339">
      <c r="A339" s="622" t="s">
        <v>1632</v>
      </c>
      <c r="B339" s="633" t="s">
        <v>1839</v>
      </c>
      <c r="J339" s="633"/>
    </row>
    <row r="340">
      <c r="A340" s="661"/>
      <c r="B340" s="662"/>
      <c r="C340" s="662"/>
      <c r="D340" s="626"/>
      <c r="E340" s="661"/>
      <c r="F340" s="661"/>
      <c r="G340" s="661"/>
      <c r="H340" s="661"/>
      <c r="I340" s="661"/>
      <c r="J340" s="661"/>
    </row>
    <row r="341">
      <c r="A341" s="654" t="s">
        <v>1785</v>
      </c>
      <c r="B341" s="668" t="s">
        <v>1949</v>
      </c>
      <c r="C341" s="645" t="s">
        <v>1950</v>
      </c>
      <c r="D341" s="668" t="s">
        <v>1814</v>
      </c>
      <c r="E341" s="657"/>
      <c r="F341" s="657"/>
      <c r="G341" s="657"/>
      <c r="H341" s="663">
        <f t="shared" ref="H341:J341" si="176">SUM(H343:H344)</f>
        <v>21.6</v>
      </c>
      <c r="I341" s="663">
        <f t="shared" si="176"/>
        <v>7.69</v>
      </c>
      <c r="J341" s="664">
        <f t="shared" si="176"/>
        <v>29.29</v>
      </c>
    </row>
    <row r="342">
      <c r="A342" s="622" t="s">
        <v>1732</v>
      </c>
      <c r="B342" s="622" t="s">
        <v>80</v>
      </c>
      <c r="C342" s="623" t="s">
        <v>8</v>
      </c>
      <c r="D342" s="622" t="s">
        <v>83</v>
      </c>
      <c r="E342" s="624" t="s">
        <v>1734</v>
      </c>
      <c r="F342" s="624" t="s">
        <v>1735</v>
      </c>
      <c r="G342" s="624" t="s">
        <v>1736</v>
      </c>
      <c r="H342" s="624" t="s">
        <v>1737</v>
      </c>
      <c r="I342" s="624" t="s">
        <v>1738</v>
      </c>
      <c r="J342" s="624" t="s">
        <v>14</v>
      </c>
    </row>
    <row r="343">
      <c r="A343" s="625" t="s">
        <v>218</v>
      </c>
      <c r="B343" s="625">
        <v>88262.0</v>
      </c>
      <c r="C343" s="627" t="str">
        <f>IF(A343="SINAPI-S",VLOOKUP(B343,'20-B.SINAPI-S'!A:J,2,0),IF(A343="SINAPI-I",VLOOKUP(B343,'20-A.SINAPI-I'!A:E,2,0),VLOOKUP(B343,'12.COT.MERCADO'!A:H,2,0)))</f>
        <v>CARPINTEIRO DE FORMAS COM ENCARGOS COMPLEMENTARES</v>
      </c>
      <c r="D343" s="628" t="str">
        <f>IF(A343="SINAPI-S",VLOOKUP(B343,'20-B.SINAPI-S'!A:J,3,0),IF(A343="SINAPI-I",VLOOKUP(B343,'20-A.SINAPI-I'!A:E,3,0),VLOOKUP(B343,'12.COT.MERCADO'!A:H,7,0)))</f>
        <v>H</v>
      </c>
      <c r="E343" s="629">
        <f>IF(A343="SINAPI-S",VLOOKUP(B343,'20-B.SINAPI-S'!A:J,5,0),IF(A343="SINAPI-I",VLOOKUP(B343,'20-A.SINAPI-I'!A:G,6,0),0))</f>
        <v>24.44</v>
      </c>
      <c r="F343" s="629">
        <f>IF(A343="SINAPI-S",VLOOKUP(B343,'20-B.SINAPI-S'!A:J,6,0),IF(A343="SINAPI-I",VLOOKUP(B343,'20-A.SINAPI-I'!A:G,7,0),VLOOKUP(B343,'12.COT.MERCADO'!A:H,8,0)))</f>
        <v>7.69</v>
      </c>
      <c r="G343" s="625">
        <v>0.5</v>
      </c>
      <c r="H343" s="629">
        <f t="shared" ref="H343:H344" si="177">E343*G343</f>
        <v>12.22</v>
      </c>
      <c r="I343" s="629">
        <f t="shared" ref="I343:I344" si="178">F343*G343</f>
        <v>3.845</v>
      </c>
      <c r="J343" s="629">
        <f t="shared" ref="J343:J344" si="179">I343+H343</f>
        <v>16.065</v>
      </c>
    </row>
    <row r="344">
      <c r="A344" s="625" t="s">
        <v>218</v>
      </c>
      <c r="B344" s="625">
        <v>88239.0</v>
      </c>
      <c r="C344" s="627" t="str">
        <f>IF(A344="SINAPI-S",VLOOKUP(B344,'20-B.SINAPI-S'!A:J,2,0),IF(A344="SINAPI-I",VLOOKUP(B344,'20-A.SINAPI-I'!A:E,2,0),VLOOKUP(B344,'12.COT.MERCADO'!A:H,2,0)))</f>
        <v>AJUDANTE DE CARPINTEIRO COM ENCARGOS COMPLEMENTARES</v>
      </c>
      <c r="D344" s="628" t="str">
        <f>IF(A344="SINAPI-S",VLOOKUP(B344,'20-B.SINAPI-S'!A:J,3,0),IF(A344="SINAPI-I",VLOOKUP(B344,'20-A.SINAPI-I'!A:E,3,0),VLOOKUP(B344,'12.COT.MERCADO'!A:H,7,0)))</f>
        <v>H</v>
      </c>
      <c r="E344" s="629">
        <f>IF(A344="SINAPI-S",VLOOKUP(B344,'20-B.SINAPI-S'!A:J,5,0),IF(A344="SINAPI-I",VLOOKUP(B344,'20-A.SINAPI-I'!A:G,6,0),0))</f>
        <v>18.76</v>
      </c>
      <c r="F344" s="629">
        <f>IF(A344="SINAPI-S",VLOOKUP(B344,'20-B.SINAPI-S'!A:J,6,0),IF(A344="SINAPI-I",VLOOKUP(B344,'20-A.SINAPI-I'!A:G,7,0),VLOOKUP(B344,'12.COT.MERCADO'!A:H,8,0)))</f>
        <v>7.69</v>
      </c>
      <c r="G344" s="625">
        <v>0.5</v>
      </c>
      <c r="H344" s="629">
        <f t="shared" si="177"/>
        <v>9.38</v>
      </c>
      <c r="I344" s="629">
        <f t="shared" si="178"/>
        <v>3.845</v>
      </c>
      <c r="J344" s="629">
        <f t="shared" si="179"/>
        <v>13.225</v>
      </c>
    </row>
    <row r="345">
      <c r="A345" s="622" t="s">
        <v>1632</v>
      </c>
      <c r="B345" s="665" t="s">
        <v>1951</v>
      </c>
      <c r="J345" s="665"/>
    </row>
    <row r="346">
      <c r="A346" s="661"/>
      <c r="B346" s="662"/>
      <c r="C346" s="662"/>
      <c r="D346" s="626"/>
      <c r="E346" s="661"/>
      <c r="F346" s="661"/>
      <c r="G346" s="661"/>
      <c r="H346" s="661"/>
      <c r="I346" s="661"/>
      <c r="J346" s="661"/>
    </row>
    <row r="347">
      <c r="A347" s="654" t="s">
        <v>1785</v>
      </c>
      <c r="B347" s="668" t="s">
        <v>1952</v>
      </c>
      <c r="C347" s="645" t="s">
        <v>1953</v>
      </c>
      <c r="D347" s="668" t="s">
        <v>1814</v>
      </c>
      <c r="E347" s="657"/>
      <c r="F347" s="657"/>
      <c r="G347" s="657"/>
      <c r="H347" s="663">
        <f t="shared" ref="H347:J347" si="180">SUM(H349:H352)</f>
        <v>34.56</v>
      </c>
      <c r="I347" s="663">
        <f t="shared" si="180"/>
        <v>103.788</v>
      </c>
      <c r="J347" s="664">
        <f t="shared" si="180"/>
        <v>138.348</v>
      </c>
    </row>
    <row r="348">
      <c r="A348" s="622" t="s">
        <v>1732</v>
      </c>
      <c r="B348" s="622" t="s">
        <v>80</v>
      </c>
      <c r="C348" s="623" t="s">
        <v>8</v>
      </c>
      <c r="D348" s="622" t="s">
        <v>83</v>
      </c>
      <c r="E348" s="624" t="s">
        <v>1734</v>
      </c>
      <c r="F348" s="624" t="s">
        <v>1735</v>
      </c>
      <c r="G348" s="624" t="s">
        <v>1736</v>
      </c>
      <c r="H348" s="624" t="s">
        <v>1737</v>
      </c>
      <c r="I348" s="624" t="s">
        <v>1738</v>
      </c>
      <c r="J348" s="624" t="s">
        <v>14</v>
      </c>
    </row>
    <row r="349">
      <c r="A349" s="625" t="s">
        <v>218</v>
      </c>
      <c r="B349" s="625">
        <v>88262.0</v>
      </c>
      <c r="C349" s="627" t="str">
        <f>IF(A349="SINAPI-S",VLOOKUP(B349,'20-B.SINAPI-S'!A:J,2,0),IF(A349="SINAPI-I",VLOOKUP(B349,'20-A.SINAPI-I'!A:E,2,0),VLOOKUP(B349,'12.COT.MERCADO'!A:H,2,0)))</f>
        <v>CARPINTEIRO DE FORMAS COM ENCARGOS COMPLEMENTARES</v>
      </c>
      <c r="D349" s="628" t="str">
        <f>IF(A349="SINAPI-S",VLOOKUP(B349,'20-B.SINAPI-S'!A:J,3,0),IF(A349="SINAPI-I",VLOOKUP(B349,'20-A.SINAPI-I'!A:E,3,0),VLOOKUP(B349,'12.COT.MERCADO'!A:H,7,0)))</f>
        <v>H</v>
      </c>
      <c r="E349" s="629">
        <f>IF(A349="SINAPI-S",VLOOKUP(B349,'20-B.SINAPI-S'!A:J,5,0),IF(A349="SINAPI-I",VLOOKUP(B349,'20-A.SINAPI-I'!A:G,6,0),0))</f>
        <v>24.44</v>
      </c>
      <c r="F349" s="629">
        <f>IF(A349="SINAPI-S",VLOOKUP(B349,'20-B.SINAPI-S'!A:J,6,0),IF(A349="SINAPI-I",VLOOKUP(B349,'20-A.SINAPI-I'!A:G,7,0),VLOOKUP(B349,'12.COT.MERCADO'!A:H,8,0)))</f>
        <v>7.69</v>
      </c>
      <c r="G349" s="625">
        <v>0.8</v>
      </c>
      <c r="H349" s="629">
        <f t="shared" ref="H349:H352" si="181">E349*G349</f>
        <v>19.552</v>
      </c>
      <c r="I349" s="629">
        <f t="shared" ref="I349:I352" si="182">F349*G349</f>
        <v>6.152</v>
      </c>
      <c r="J349" s="629">
        <f t="shared" ref="J349:J352" si="183">I349+H349</f>
        <v>25.704</v>
      </c>
    </row>
    <row r="350">
      <c r="A350" s="625" t="s">
        <v>218</v>
      </c>
      <c r="B350" s="625">
        <v>88239.0</v>
      </c>
      <c r="C350" s="627" t="str">
        <f>IF(A350="SINAPI-S",VLOOKUP(B350,'20-B.SINAPI-S'!A:J,2,0),IF(A350="SINAPI-I",VLOOKUP(B350,'20-A.SINAPI-I'!A:E,2,0),VLOOKUP(B350,'12.COT.MERCADO'!A:H,2,0)))</f>
        <v>AJUDANTE DE CARPINTEIRO COM ENCARGOS COMPLEMENTARES</v>
      </c>
      <c r="D350" s="628" t="str">
        <f>IF(A350="SINAPI-S",VLOOKUP(B350,'20-B.SINAPI-S'!A:J,3,0),IF(A350="SINAPI-I",VLOOKUP(B350,'20-A.SINAPI-I'!A:E,3,0),VLOOKUP(B350,'12.COT.MERCADO'!A:H,7,0)))</f>
        <v>H</v>
      </c>
      <c r="E350" s="629">
        <f>IF(A350="SINAPI-S",VLOOKUP(B350,'20-B.SINAPI-S'!A:J,5,0),IF(A350="SINAPI-I",VLOOKUP(B350,'20-A.SINAPI-I'!A:G,6,0),0))</f>
        <v>18.76</v>
      </c>
      <c r="F350" s="629">
        <f>IF(A350="SINAPI-S",VLOOKUP(B350,'20-B.SINAPI-S'!A:J,6,0),IF(A350="SINAPI-I",VLOOKUP(B350,'20-A.SINAPI-I'!A:G,7,0),VLOOKUP(B350,'12.COT.MERCADO'!A:H,8,0)))</f>
        <v>7.69</v>
      </c>
      <c r="G350" s="625">
        <v>0.8</v>
      </c>
      <c r="H350" s="629">
        <f t="shared" si="181"/>
        <v>15.008</v>
      </c>
      <c r="I350" s="629">
        <f t="shared" si="182"/>
        <v>6.152</v>
      </c>
      <c r="J350" s="629">
        <f t="shared" si="183"/>
        <v>21.16</v>
      </c>
    </row>
    <row r="351">
      <c r="A351" s="625" t="s">
        <v>286</v>
      </c>
      <c r="B351" s="625">
        <v>1340.0</v>
      </c>
      <c r="C351" s="627" t="str">
        <f>IF(A351="SINAPI-S",VLOOKUP(B351,'20-B.SINAPI-S'!A:J,2,0),IF(A351="SINAPI-I",VLOOKUP(B351,'20-A.SINAPI-I'!A:E,2,0),VLOOKUP(B351,'12.COT.MERCADO'!A:H,2,0)))</f>
        <v>CHAPA DE LAMINADO MELAMINICO, LISO FOSCO, DE *1,25 X 3,08* M, E = 0,8 MM</v>
      </c>
      <c r="D351" s="626" t="str">
        <f>IF(A351="SINAPI-S",VLOOKUP(B351,'20-B.SINAPI-S'!A:J,3,0),IF(A351="SINAPI-I",VLOOKUP(B351,'20-A.SINAPI-I'!A:E,3,0),VLOOKUP(B351,'12.COT.MERCADO'!A:H,7,0)))</f>
        <v>M2</v>
      </c>
      <c r="E351" s="629">
        <f>IF(A351="SINAPI-S",VLOOKUP(B351,'20-B.SINAPI-S'!A:J,5,0),IF(A351="SINAPI-I",VLOOKUP(B351,'20-A.SINAPI-I'!A:G,6,0),0))</f>
        <v>0</v>
      </c>
      <c r="F351" s="629">
        <f>IF(A351="SINAPI-S",VLOOKUP(B351,'20-B.SINAPI-S'!A:J,6,0),IF(A351="SINAPI-I",VLOOKUP(B351,'20-A.SINAPI-I'!A:G,7,0),VLOOKUP(B351,'12.COT.MERCADO'!A:H,8,0)))</f>
        <v>71.84</v>
      </c>
      <c r="G351" s="625">
        <v>1.1</v>
      </c>
      <c r="H351" s="629">
        <f t="shared" si="181"/>
        <v>0</v>
      </c>
      <c r="I351" s="629">
        <f t="shared" si="182"/>
        <v>79.024</v>
      </c>
      <c r="J351" s="629">
        <f t="shared" si="183"/>
        <v>79.024</v>
      </c>
    </row>
    <row r="352">
      <c r="A352" s="625" t="s">
        <v>286</v>
      </c>
      <c r="B352" s="625">
        <v>1339.0</v>
      </c>
      <c r="C352" s="627" t="str">
        <f>IF(A352="SINAPI-S",VLOOKUP(B352,'20-B.SINAPI-S'!A:J,2,0),IF(A352="SINAPI-I",VLOOKUP(B352,'20-A.SINAPI-I'!A:E,2,0),VLOOKUP(B352,'12.COT.MERCADO'!A:H,2,0)))</f>
        <v>COLA A BASE DE RESINA SINTETICA PARA CHAPA DE LAMINADO MELAMINICO</v>
      </c>
      <c r="D352" s="626" t="str">
        <f>IF(A352="SINAPI-S",VLOOKUP(B352,'20-B.SINAPI-S'!A:J,3,0),IF(A352="SINAPI-I",VLOOKUP(B352,'20-A.SINAPI-I'!A:E,3,0),VLOOKUP(B352,'12.COT.MERCADO'!A:H,7,0)))</f>
        <v>KG</v>
      </c>
      <c r="E352" s="629">
        <f>IF(A352="SINAPI-S",VLOOKUP(B352,'20-B.SINAPI-S'!A:J,5,0),IF(A352="SINAPI-I",VLOOKUP(B352,'20-A.SINAPI-I'!A:G,6,0),0))</f>
        <v>0</v>
      </c>
      <c r="F352" s="629">
        <f>IF(A352="SINAPI-S",VLOOKUP(B352,'20-B.SINAPI-S'!A:J,6,0),IF(A352="SINAPI-I",VLOOKUP(B352,'20-A.SINAPI-I'!A:G,7,0),VLOOKUP(B352,'12.COT.MERCADO'!A:H,8,0)))</f>
        <v>62.3</v>
      </c>
      <c r="G352" s="625">
        <v>0.2</v>
      </c>
      <c r="H352" s="629">
        <f t="shared" si="181"/>
        <v>0</v>
      </c>
      <c r="I352" s="629">
        <f t="shared" si="182"/>
        <v>12.46</v>
      </c>
      <c r="J352" s="629">
        <f t="shared" si="183"/>
        <v>12.46</v>
      </c>
    </row>
    <row r="353">
      <c r="A353" s="622" t="s">
        <v>1632</v>
      </c>
      <c r="B353" s="665" t="s">
        <v>1954</v>
      </c>
      <c r="J353" s="665"/>
    </row>
    <row r="354">
      <c r="A354" s="661"/>
      <c r="B354" s="662"/>
      <c r="C354" s="662"/>
      <c r="D354" s="626"/>
      <c r="E354" s="661"/>
      <c r="F354" s="661"/>
      <c r="G354" s="661"/>
      <c r="H354" s="661"/>
      <c r="I354" s="661"/>
      <c r="J354" s="661"/>
    </row>
    <row r="355">
      <c r="A355" s="654" t="s">
        <v>1785</v>
      </c>
      <c r="B355" s="668" t="s">
        <v>1955</v>
      </c>
      <c r="C355" s="645" t="s">
        <v>1956</v>
      </c>
      <c r="D355" s="668" t="s">
        <v>1788</v>
      </c>
      <c r="E355" s="657"/>
      <c r="F355" s="657"/>
      <c r="G355" s="657"/>
      <c r="H355" s="663">
        <f t="shared" ref="H355:J355" si="184">SUM(H357)</f>
        <v>0</v>
      </c>
      <c r="I355" s="663">
        <f t="shared" si="184"/>
        <v>364.96</v>
      </c>
      <c r="J355" s="664">
        <f t="shared" si="184"/>
        <v>364.96</v>
      </c>
    </row>
    <row r="356">
      <c r="A356" s="622" t="s">
        <v>1732</v>
      </c>
      <c r="B356" s="622" t="s">
        <v>80</v>
      </c>
      <c r="C356" s="623" t="s">
        <v>8</v>
      </c>
      <c r="D356" s="622" t="s">
        <v>83</v>
      </c>
      <c r="E356" s="624" t="s">
        <v>1734</v>
      </c>
      <c r="F356" s="624" t="s">
        <v>1735</v>
      </c>
      <c r="G356" s="624" t="s">
        <v>1736</v>
      </c>
      <c r="H356" s="624" t="s">
        <v>1737</v>
      </c>
      <c r="I356" s="624" t="s">
        <v>1738</v>
      </c>
      <c r="J356" s="624" t="s">
        <v>14</v>
      </c>
    </row>
    <row r="357">
      <c r="A357" s="625" t="s">
        <v>110</v>
      </c>
      <c r="B357" s="625" t="s">
        <v>1957</v>
      </c>
      <c r="C357" s="633" t="str">
        <f>IF(A357="SINAPI-S",VLOOKUP(B357,'20-B.SINAPI-S'!A:J,2,0),IF(A357="SINAPI-I",VLOOKUP(B357,'20-A.SINAPI-I'!A:E,2,0),VLOOKUP(B357,'12.COT.MERCADO'!A:H,2,0)))</f>
        <v>LOCAÇÃO DE CAÇAMBA ESTACIONÁRIA DE ENTULHO, CAPACIDADE DE 4M³, RESÍDUOS CLASSE A, 7 DIAS</v>
      </c>
      <c r="D357" s="626" t="str">
        <f>IF(A357="SINAPI-S",VLOOKUP(B357,'20-B.SINAPI-S'!A:J,3,0),IF(A357="SINAPI-I",VLOOKUP(B357,'20-A.SINAPI-I'!A:E,3,0),VLOOKUP(B357,'12.COT.MERCADO'!A:H,7,0)))</f>
        <v>UN</v>
      </c>
      <c r="E357" s="629">
        <f>IF(A357="SINAPI-S",VLOOKUP(B357,'20-B.SINAPI-S'!A:J,5,0),IF(A357="SINAPI-I",VLOOKUP(B357,'20-A.SINAPI-I'!A:G,6,0),0))</f>
        <v>0</v>
      </c>
      <c r="F357" s="634">
        <f>IF(A357="SINAPI-S",VLOOKUP(B357,'20-B.SINAPI-S'!A:J,6,0),IF(A357="SINAPI-I",VLOOKUP(B357,'20-A.SINAPI-I'!A:G,7,0),VLOOKUP(B357,'12.COT.MERCADO'!A:H,8,0)))</f>
        <v>364.96</v>
      </c>
      <c r="G357" s="625">
        <v>1.0</v>
      </c>
      <c r="H357" s="629">
        <f>E357*G357</f>
        <v>0</v>
      </c>
      <c r="I357" s="629">
        <f>F357*G357</f>
        <v>364.96</v>
      </c>
      <c r="J357" s="629">
        <f>I357+H357</f>
        <v>364.96</v>
      </c>
    </row>
    <row r="358">
      <c r="A358" s="622" t="s">
        <v>1632</v>
      </c>
      <c r="B358" s="665"/>
      <c r="J358" s="665"/>
    </row>
    <row r="359">
      <c r="A359" s="622"/>
      <c r="B359" s="665"/>
      <c r="C359" s="665"/>
      <c r="D359" s="625"/>
      <c r="E359" s="625"/>
      <c r="F359" s="625"/>
      <c r="G359" s="625"/>
      <c r="H359" s="625"/>
      <c r="I359" s="625"/>
      <c r="J359" s="625"/>
    </row>
    <row r="360">
      <c r="A360" s="654" t="s">
        <v>1785</v>
      </c>
      <c r="B360" s="668" t="s">
        <v>1958</v>
      </c>
      <c r="C360" s="645" t="s">
        <v>1959</v>
      </c>
      <c r="D360" s="668" t="s">
        <v>1788</v>
      </c>
      <c r="E360" s="657"/>
      <c r="F360" s="657"/>
      <c r="G360" s="657"/>
      <c r="H360" s="663">
        <f t="shared" ref="H360:J360" si="185">SUM(H362:H364)</f>
        <v>8.858</v>
      </c>
      <c r="I360" s="663">
        <f t="shared" si="185"/>
        <v>34.644</v>
      </c>
      <c r="J360" s="664">
        <f t="shared" si="185"/>
        <v>43.502</v>
      </c>
    </row>
    <row r="361">
      <c r="A361" s="622" t="s">
        <v>1732</v>
      </c>
      <c r="B361" s="622" t="s">
        <v>80</v>
      </c>
      <c r="C361" s="623" t="s">
        <v>8</v>
      </c>
      <c r="D361" s="622" t="s">
        <v>83</v>
      </c>
      <c r="E361" s="624" t="s">
        <v>1734</v>
      </c>
      <c r="F361" s="624" t="s">
        <v>1735</v>
      </c>
      <c r="G361" s="624" t="s">
        <v>1736</v>
      </c>
      <c r="H361" s="624" t="s">
        <v>1737</v>
      </c>
      <c r="I361" s="624" t="s">
        <v>1738</v>
      </c>
      <c r="J361" s="624" t="s">
        <v>14</v>
      </c>
    </row>
    <row r="362">
      <c r="A362" s="625" t="s">
        <v>218</v>
      </c>
      <c r="B362" s="626">
        <v>88264.0</v>
      </c>
      <c r="C362" s="627" t="str">
        <f>IF(A362="SINAPI-S",VLOOKUP(B362,'20-B.SINAPI-S'!A:J,2,0),IF(A362="SINAPI-I",VLOOKUP(B362,'20-A.SINAPI-I'!A:E,2,0),VLOOKUP(B362,'12.COT.MERCADO'!A:H,2,0)))</f>
        <v>ELETRICISTA COM ENCARGOS COMPLEMENTARES</v>
      </c>
      <c r="D362" s="628" t="str">
        <f>IF(A362="SINAPI-S",VLOOKUP(B362,'20-B.SINAPI-S'!A:J,3,0),IF(A362="SINAPI-I",VLOOKUP(B362,'20-A.SINAPI-I'!A:E,3,0),VLOOKUP(B362,'12.COT.MERCADO'!A:H,7,0)))</f>
        <v>H</v>
      </c>
      <c r="E362" s="629">
        <f>IF(A362="SINAPI-S",VLOOKUP(B362,'20-B.SINAPI-S'!A:J,5,0),IF(A362="SINAPI-I",VLOOKUP(B362,'20-A.SINAPI-I'!A:G,6,0),0))</f>
        <v>25.09</v>
      </c>
      <c r="F362" s="629">
        <f>IF(A362="SINAPI-S",VLOOKUP(B362,'20-B.SINAPI-S'!A:J,6,0),IF(A362="SINAPI-I",VLOOKUP(B362,'20-A.SINAPI-I'!A:G,7,0),VLOOKUP(B362,'12.COT.MERCADO'!A:H,8,0)))</f>
        <v>7.86</v>
      </c>
      <c r="G362" s="625">
        <v>0.2</v>
      </c>
      <c r="H362" s="629">
        <f t="shared" ref="H362:H364" si="186">E362*G362</f>
        <v>5.018</v>
      </c>
      <c r="I362" s="629">
        <f t="shared" ref="I362:I364" si="187">F362*G362</f>
        <v>1.572</v>
      </c>
      <c r="J362" s="629">
        <f t="shared" ref="J362:J364" si="188">I362+H362</f>
        <v>6.59</v>
      </c>
    </row>
    <row r="363">
      <c r="A363" s="625" t="s">
        <v>218</v>
      </c>
      <c r="B363" s="626">
        <v>88247.0</v>
      </c>
      <c r="C363" s="627" t="str">
        <f>IF(A363="SINAPI-S",VLOOKUP(B363,'20-B.SINAPI-S'!A:J,2,0),IF(A363="SINAPI-I",VLOOKUP(B363,'20-A.SINAPI-I'!A:E,2,0),VLOOKUP(B363,'12.COT.MERCADO'!A:H,2,0)))</f>
        <v>AUXILIAR DE ELETRICISTA COM ENCARGOS COMPLEMENTARES</v>
      </c>
      <c r="D363" s="628" t="str">
        <f>IF(A363="SINAPI-S",VLOOKUP(B363,'20-B.SINAPI-S'!A:J,3,0),IF(A363="SINAPI-I",VLOOKUP(B363,'20-A.SINAPI-I'!A:E,3,0),VLOOKUP(B363,'12.COT.MERCADO'!A:H,7,0)))</f>
        <v>H</v>
      </c>
      <c r="E363" s="629">
        <f>IF(A363="SINAPI-S",VLOOKUP(B363,'20-B.SINAPI-S'!A:J,5,0),IF(A363="SINAPI-I",VLOOKUP(B363,'20-A.SINAPI-I'!A:G,6,0),0))</f>
        <v>19.2</v>
      </c>
      <c r="F363" s="629">
        <f>IF(A363="SINAPI-S",VLOOKUP(B363,'20-B.SINAPI-S'!A:J,6,0),IF(A363="SINAPI-I",VLOOKUP(B363,'20-A.SINAPI-I'!A:G,7,0),VLOOKUP(B363,'12.COT.MERCADO'!A:H,8,0)))</f>
        <v>7.86</v>
      </c>
      <c r="G363" s="625">
        <v>0.2</v>
      </c>
      <c r="H363" s="629">
        <f t="shared" si="186"/>
        <v>3.84</v>
      </c>
      <c r="I363" s="629">
        <f t="shared" si="187"/>
        <v>1.572</v>
      </c>
      <c r="J363" s="629">
        <f t="shared" si="188"/>
        <v>5.412</v>
      </c>
    </row>
    <row r="364">
      <c r="A364" s="625" t="s">
        <v>110</v>
      </c>
      <c r="B364" s="625" t="s">
        <v>1960</v>
      </c>
      <c r="C364" s="633" t="str">
        <f>IF(A364="SINAPI-S",VLOOKUP(B364,'20-B.SINAPI-S'!A:J,2,0),IF(A364="SINAPI-I",VLOOKUP(B364,'20-A.SINAPI-I'!A:E,2,0),VLOOKUP(B364,'12.COT.MERCADO'!A:H,2,0)))</f>
        <v>FUSÍVEL NH 00 6A A 125A</v>
      </c>
      <c r="D364" s="626" t="str">
        <f>IF(A364="SINAPI-S",VLOOKUP(B364,'20-B.SINAPI-S'!A:J,3,0),IF(A364="SINAPI-I",VLOOKUP(B364,'20-A.SINAPI-I'!A:E,3,0),VLOOKUP(B364,'12.COT.MERCADO'!A:H,7,0)))</f>
        <v>UN</v>
      </c>
      <c r="E364" s="629">
        <f>IF(A364="SINAPI-S",VLOOKUP(B364,'20-B.SINAPI-S'!A:J,5,0),IF(A364="SINAPI-I",VLOOKUP(B364,'20-A.SINAPI-I'!A:G,6,0),0))</f>
        <v>0</v>
      </c>
      <c r="F364" s="634">
        <f>IF(A364="SINAPI-S",VLOOKUP(B364,'20-B.SINAPI-S'!A:J,6,0),IF(A364="SINAPI-I",VLOOKUP(B364,'20-A.SINAPI-I'!A:G,7,0),VLOOKUP(B364,'12.COT.MERCADO'!A:H,8,0)))</f>
        <v>31.5</v>
      </c>
      <c r="G364" s="625">
        <v>1.0</v>
      </c>
      <c r="H364" s="629">
        <f t="shared" si="186"/>
        <v>0</v>
      </c>
      <c r="I364" s="629">
        <f t="shared" si="187"/>
        <v>31.5</v>
      </c>
      <c r="J364" s="629">
        <f t="shared" si="188"/>
        <v>31.5</v>
      </c>
    </row>
    <row r="365">
      <c r="A365" s="622" t="s">
        <v>1632</v>
      </c>
      <c r="B365" s="665" t="s">
        <v>1961</v>
      </c>
      <c r="J365" s="665"/>
    </row>
    <row r="366">
      <c r="A366" s="622"/>
      <c r="B366" s="665"/>
      <c r="C366" s="665"/>
      <c r="D366" s="625"/>
      <c r="E366" s="625"/>
      <c r="F366" s="625"/>
      <c r="G366" s="625"/>
      <c r="H366" s="625"/>
      <c r="I366" s="625"/>
      <c r="J366" s="625"/>
    </row>
    <row r="367">
      <c r="A367" s="654" t="s">
        <v>1785</v>
      </c>
      <c r="B367" s="668" t="s">
        <v>1962</v>
      </c>
      <c r="C367" s="645" t="s">
        <v>1963</v>
      </c>
      <c r="D367" s="668" t="s">
        <v>1788</v>
      </c>
      <c r="E367" s="657"/>
      <c r="F367" s="657"/>
      <c r="G367" s="657"/>
      <c r="H367" s="663">
        <f t="shared" ref="H367:J367" si="189">SUM(H369:H371)</f>
        <v>6.6435</v>
      </c>
      <c r="I367" s="663">
        <f t="shared" si="189"/>
        <v>13.608</v>
      </c>
      <c r="J367" s="664">
        <f t="shared" si="189"/>
        <v>20.2515</v>
      </c>
    </row>
    <row r="368">
      <c r="A368" s="622" t="s">
        <v>1732</v>
      </c>
      <c r="B368" s="622" t="s">
        <v>80</v>
      </c>
      <c r="C368" s="623" t="s">
        <v>8</v>
      </c>
      <c r="D368" s="622" t="s">
        <v>83</v>
      </c>
      <c r="E368" s="624" t="s">
        <v>1734</v>
      </c>
      <c r="F368" s="624" t="s">
        <v>1735</v>
      </c>
      <c r="G368" s="624" t="s">
        <v>1736</v>
      </c>
      <c r="H368" s="624" t="s">
        <v>1737</v>
      </c>
      <c r="I368" s="624" t="s">
        <v>1738</v>
      </c>
      <c r="J368" s="624" t="s">
        <v>14</v>
      </c>
    </row>
    <row r="369">
      <c r="A369" s="625" t="s">
        <v>218</v>
      </c>
      <c r="B369" s="626">
        <v>88264.0</v>
      </c>
      <c r="C369" s="627" t="str">
        <f>IF(A369="SINAPI-S",VLOOKUP(B369,'20-B.SINAPI-S'!A:J,2,0),IF(A369="SINAPI-I",VLOOKUP(B369,'20-A.SINAPI-I'!A:E,2,0),VLOOKUP(B369,'12.COT.MERCADO'!A:H,2,0)))</f>
        <v>ELETRICISTA COM ENCARGOS COMPLEMENTARES</v>
      </c>
      <c r="D369" s="628" t="str">
        <f>IF(A369="SINAPI-S",VLOOKUP(B369,'20-B.SINAPI-S'!A:J,3,0),IF(A369="SINAPI-I",VLOOKUP(B369,'20-A.SINAPI-I'!A:E,3,0),VLOOKUP(B369,'12.COT.MERCADO'!A:H,7,0)))</f>
        <v>H</v>
      </c>
      <c r="E369" s="629">
        <f>IF(A369="SINAPI-S",VLOOKUP(B369,'20-B.SINAPI-S'!A:J,5,0),IF(A369="SINAPI-I",VLOOKUP(B369,'20-A.SINAPI-I'!A:G,6,0),0))</f>
        <v>25.09</v>
      </c>
      <c r="F369" s="629">
        <f>IF(A369="SINAPI-S",VLOOKUP(B369,'20-B.SINAPI-S'!A:J,6,0),IF(A369="SINAPI-I",VLOOKUP(B369,'20-A.SINAPI-I'!A:G,7,0),VLOOKUP(B369,'12.COT.MERCADO'!A:H,8,0)))</f>
        <v>7.86</v>
      </c>
      <c r="G369" s="625">
        <v>0.15</v>
      </c>
      <c r="H369" s="629">
        <f t="shared" ref="H369:H371" si="190">E369*G369</f>
        <v>3.7635</v>
      </c>
      <c r="I369" s="629">
        <f t="shared" ref="I369:I371" si="191">F369*G369</f>
        <v>1.179</v>
      </c>
      <c r="J369" s="629">
        <f t="shared" ref="J369:J371" si="192">I369+H369</f>
        <v>4.9425</v>
      </c>
    </row>
    <row r="370">
      <c r="A370" s="625" t="s">
        <v>218</v>
      </c>
      <c r="B370" s="626">
        <v>88247.0</v>
      </c>
      <c r="C370" s="627" t="str">
        <f>IF(A370="SINAPI-S",VLOOKUP(B370,'20-B.SINAPI-S'!A:J,2,0),IF(A370="SINAPI-I",VLOOKUP(B370,'20-A.SINAPI-I'!A:E,2,0),VLOOKUP(B370,'12.COT.MERCADO'!A:H,2,0)))</f>
        <v>AUXILIAR DE ELETRICISTA COM ENCARGOS COMPLEMENTARES</v>
      </c>
      <c r="D370" s="628" t="str">
        <f>IF(A370="SINAPI-S",VLOOKUP(B370,'20-B.SINAPI-S'!A:J,3,0),IF(A370="SINAPI-I",VLOOKUP(B370,'20-A.SINAPI-I'!A:E,3,0),VLOOKUP(B370,'12.COT.MERCADO'!A:H,7,0)))</f>
        <v>H</v>
      </c>
      <c r="E370" s="629">
        <f>IF(A370="SINAPI-S",VLOOKUP(B370,'20-B.SINAPI-S'!A:J,5,0),IF(A370="SINAPI-I",VLOOKUP(B370,'20-A.SINAPI-I'!A:G,6,0),0))</f>
        <v>19.2</v>
      </c>
      <c r="F370" s="629">
        <f>IF(A370="SINAPI-S",VLOOKUP(B370,'20-B.SINAPI-S'!A:J,6,0),IF(A370="SINAPI-I",VLOOKUP(B370,'20-A.SINAPI-I'!A:G,7,0),VLOOKUP(B370,'12.COT.MERCADO'!A:H,8,0)))</f>
        <v>7.86</v>
      </c>
      <c r="G370" s="625">
        <v>0.15</v>
      </c>
      <c r="H370" s="629">
        <f t="shared" si="190"/>
        <v>2.88</v>
      </c>
      <c r="I370" s="629">
        <f t="shared" si="191"/>
        <v>1.179</v>
      </c>
      <c r="J370" s="629">
        <f t="shared" si="192"/>
        <v>4.059</v>
      </c>
    </row>
    <row r="371">
      <c r="A371" s="625" t="s">
        <v>110</v>
      </c>
      <c r="B371" s="625" t="s">
        <v>1964</v>
      </c>
      <c r="C371" s="633" t="str">
        <f>IF(A371="SINAPI-S",VLOOKUP(B371,'20-B.SINAPI-S'!A:J,2,0),IF(A371="SINAPI-I",VLOOKUP(B371,'20-A.SINAPI-I'!A:E,2,0),VLOOKUP(B371,'12.COT.MERCADO'!A:H,2,0)))</f>
        <v>ADAPTADOR SOQUETE EM PORCELANA E40 PARA E27</v>
      </c>
      <c r="D371" s="626" t="str">
        <f>IF(A371="SINAPI-S",VLOOKUP(B371,'20-B.SINAPI-S'!A:J,3,0),IF(A371="SINAPI-I",VLOOKUP(B371,'20-A.SINAPI-I'!A:E,3,0),VLOOKUP(B371,'12.COT.MERCADO'!A:H,7,0)))</f>
        <v>UN</v>
      </c>
      <c r="E371" s="629">
        <f>IF(A371="SINAPI-S",VLOOKUP(B371,'20-B.SINAPI-S'!A:J,5,0),IF(A371="SINAPI-I",VLOOKUP(B371,'20-A.SINAPI-I'!A:G,6,0),0))</f>
        <v>0</v>
      </c>
      <c r="F371" s="634">
        <f>IF(A371="SINAPI-S",VLOOKUP(B371,'20-B.SINAPI-S'!A:J,6,0),IF(A371="SINAPI-I",VLOOKUP(B371,'20-A.SINAPI-I'!A:G,7,0),VLOOKUP(B371,'12.COT.MERCADO'!A:H,8,0)))</f>
        <v>11.25</v>
      </c>
      <c r="G371" s="625">
        <v>1.0</v>
      </c>
      <c r="H371" s="629">
        <f t="shared" si="190"/>
        <v>0</v>
      </c>
      <c r="I371" s="629">
        <f t="shared" si="191"/>
        <v>11.25</v>
      </c>
      <c r="J371" s="629">
        <f t="shared" si="192"/>
        <v>11.25</v>
      </c>
    </row>
    <row r="372">
      <c r="A372" s="622" t="s">
        <v>1632</v>
      </c>
      <c r="B372" s="665" t="s">
        <v>1965</v>
      </c>
      <c r="J372" s="665"/>
    </row>
    <row r="373">
      <c r="A373" s="622"/>
      <c r="B373" s="665"/>
      <c r="C373" s="665"/>
      <c r="D373" s="625"/>
      <c r="E373" s="625"/>
      <c r="F373" s="625"/>
      <c r="G373" s="625"/>
      <c r="H373" s="625"/>
      <c r="I373" s="625"/>
      <c r="J373" s="625"/>
    </row>
    <row r="374">
      <c r="A374" s="654" t="s">
        <v>1785</v>
      </c>
      <c r="B374" s="668" t="s">
        <v>1966</v>
      </c>
      <c r="C374" s="645" t="s">
        <v>1967</v>
      </c>
      <c r="D374" s="668" t="s">
        <v>1788</v>
      </c>
      <c r="E374" s="657"/>
      <c r="F374" s="657"/>
      <c r="G374" s="657"/>
      <c r="H374" s="663">
        <f t="shared" ref="H374:J374" si="193">SUM(H376:H378)</f>
        <v>17.256</v>
      </c>
      <c r="I374" s="663">
        <f t="shared" si="193"/>
        <v>185.046</v>
      </c>
      <c r="J374" s="664">
        <f t="shared" si="193"/>
        <v>202.302</v>
      </c>
    </row>
    <row r="375">
      <c r="A375" s="622" t="s">
        <v>1732</v>
      </c>
      <c r="B375" s="622" t="s">
        <v>80</v>
      </c>
      <c r="C375" s="623" t="s">
        <v>8</v>
      </c>
      <c r="D375" s="622" t="s">
        <v>83</v>
      </c>
      <c r="E375" s="624" t="s">
        <v>1734</v>
      </c>
      <c r="F375" s="624" t="s">
        <v>1735</v>
      </c>
      <c r="G375" s="624" t="s">
        <v>1736</v>
      </c>
      <c r="H375" s="624" t="s">
        <v>1737</v>
      </c>
      <c r="I375" s="624" t="s">
        <v>1738</v>
      </c>
      <c r="J375" s="624" t="s">
        <v>14</v>
      </c>
    </row>
    <row r="376">
      <c r="A376" s="625" t="s">
        <v>218</v>
      </c>
      <c r="B376" s="625">
        <v>88315.0</v>
      </c>
      <c r="C376" s="627" t="str">
        <f>IF(A376="SINAPI-S",VLOOKUP(B376,'20-B.SINAPI-S'!A:J,2,0),IF(A376="SINAPI-I",VLOOKUP(B376,'20-A.SINAPI-I'!A:E,2,0),VLOOKUP(B376,'12.COT.MERCADO'!A:H,2,0)))</f>
        <v>SERRALHEIRO COM ENCARGOS COMPLEMENTARES</v>
      </c>
      <c r="D376" s="628" t="str">
        <f>IF(A376="SINAPI-S",VLOOKUP(B376,'20-B.SINAPI-S'!A:J,3,0),IF(A376="SINAPI-I",VLOOKUP(B376,'20-A.SINAPI-I'!A:E,3,0),VLOOKUP(B376,'12.COT.MERCADO'!A:H,7,0)))</f>
        <v>H</v>
      </c>
      <c r="E376" s="629">
        <f>IF(A376="SINAPI-S",VLOOKUP(B376,'20-B.SINAPI-S'!A:J,5,0),IF(A376="SINAPI-I",VLOOKUP(B376,'20-A.SINAPI-I'!A:G,6,0),0))</f>
        <v>24.44</v>
      </c>
      <c r="F376" s="629">
        <f>IF(A376="SINAPI-S",VLOOKUP(B376,'20-B.SINAPI-S'!A:J,6,0),IF(A376="SINAPI-I",VLOOKUP(B376,'20-A.SINAPI-I'!A:G,7,0),VLOOKUP(B376,'12.COT.MERCADO'!A:H,8,0)))</f>
        <v>7.87</v>
      </c>
      <c r="G376" s="625">
        <v>0.4</v>
      </c>
      <c r="H376" s="629">
        <f t="shared" ref="H376:H378" si="194">E376*G376</f>
        <v>9.776</v>
      </c>
      <c r="I376" s="629">
        <f t="shared" ref="I376:I378" si="195">F376*G376</f>
        <v>3.148</v>
      </c>
      <c r="J376" s="629">
        <f t="shared" ref="J376:J378" si="196">I376+H376</f>
        <v>12.924</v>
      </c>
    </row>
    <row r="377">
      <c r="A377" s="625" t="s">
        <v>218</v>
      </c>
      <c r="B377" s="625">
        <v>88251.0</v>
      </c>
      <c r="C377" s="627" t="str">
        <f>IF(A377="SINAPI-S",VLOOKUP(B377,'20-B.SINAPI-S'!A:J,2,0),IF(A377="SINAPI-I",VLOOKUP(B377,'20-A.SINAPI-I'!A:E,2,0),VLOOKUP(B377,'12.COT.MERCADO'!A:H,2,0)))</f>
        <v>AUXILIAR DE SERRALHEIRO COM ENCARGOS COMPLEMENTARES</v>
      </c>
      <c r="D377" s="628" t="str">
        <f>IF(A377="SINAPI-S",VLOOKUP(B377,'20-B.SINAPI-S'!A:J,3,0),IF(A377="SINAPI-I",VLOOKUP(B377,'20-A.SINAPI-I'!A:E,3,0),VLOOKUP(B377,'12.COT.MERCADO'!A:H,7,0)))</f>
        <v>H</v>
      </c>
      <c r="E377" s="629">
        <f>IF(A377="SINAPI-S",VLOOKUP(B377,'20-B.SINAPI-S'!A:J,5,0),IF(A377="SINAPI-I",VLOOKUP(B377,'20-A.SINAPI-I'!A:G,6,0),0))</f>
        <v>18.7</v>
      </c>
      <c r="F377" s="629">
        <f>IF(A377="SINAPI-S",VLOOKUP(B377,'20-B.SINAPI-S'!A:J,6,0),IF(A377="SINAPI-I",VLOOKUP(B377,'20-A.SINAPI-I'!A:G,7,0),VLOOKUP(B377,'12.COT.MERCADO'!A:H,8,0)))</f>
        <v>7.87</v>
      </c>
      <c r="G377" s="625">
        <v>0.4</v>
      </c>
      <c r="H377" s="629">
        <f t="shared" si="194"/>
        <v>7.48</v>
      </c>
      <c r="I377" s="629">
        <f t="shared" si="195"/>
        <v>3.148</v>
      </c>
      <c r="J377" s="629">
        <f t="shared" si="196"/>
        <v>10.628</v>
      </c>
    </row>
    <row r="378">
      <c r="A378" s="625" t="s">
        <v>286</v>
      </c>
      <c r="B378" s="625">
        <v>11560.0</v>
      </c>
      <c r="C378" s="627" t="str">
        <f>IF(A378="SINAPI-S",VLOOKUP(B378,'20-B.SINAPI-S'!A:J,2,0),IF(A378="SINAPI-I",VLOOKUP(B378,'20-A.SINAPI-I'!A:E,2,0),VLOOKUP(B378,'12.COT.MERCADO'!A:H,2,0)))</f>
        <v>MOLA HIDRAULICA AEREA, PARA PORTAS DE ATE 950 MM E PESO DE ATE 65 KG, COM CORPO EM ALUMINIO E BRACO EM ACO, SEM BRACO DE PARADA</v>
      </c>
      <c r="D378" s="626" t="str">
        <f>IF(A378="SINAPI-S",VLOOKUP(B378,'20-B.SINAPI-S'!A:J,3,0),IF(A378="SINAPI-I",VLOOKUP(B378,'20-A.SINAPI-I'!A:E,3,0),VLOOKUP(B378,'12.COT.MERCADO'!A:H,7,0)))</f>
        <v>UN</v>
      </c>
      <c r="E378" s="629">
        <f>IF(A378="SINAPI-S",VLOOKUP(B378,'20-B.SINAPI-S'!A:J,5,0),IF(A378="SINAPI-I",VLOOKUP(B378,'20-A.SINAPI-I'!A:G,6,0),0))</f>
        <v>0</v>
      </c>
      <c r="F378" s="629">
        <f>IF(A378="SINAPI-S",VLOOKUP(B378,'20-B.SINAPI-S'!A:J,6,0),IF(A378="SINAPI-I",VLOOKUP(B378,'20-A.SINAPI-I'!A:G,7,0),VLOOKUP(B378,'12.COT.MERCADO'!A:H,8,0)))</f>
        <v>178.75</v>
      </c>
      <c r="G378" s="625">
        <v>1.0</v>
      </c>
      <c r="H378" s="629">
        <f t="shared" si="194"/>
        <v>0</v>
      </c>
      <c r="I378" s="629">
        <f t="shared" si="195"/>
        <v>178.75</v>
      </c>
      <c r="J378" s="629">
        <f t="shared" si="196"/>
        <v>178.75</v>
      </c>
    </row>
    <row r="379">
      <c r="A379" s="622" t="s">
        <v>1632</v>
      </c>
      <c r="B379" s="665" t="s">
        <v>1968</v>
      </c>
      <c r="J379" s="665"/>
    </row>
    <row r="380">
      <c r="A380" s="622"/>
      <c r="B380" s="665"/>
      <c r="C380" s="665"/>
      <c r="D380" s="625"/>
      <c r="E380" s="625"/>
      <c r="F380" s="625"/>
      <c r="G380" s="625"/>
      <c r="H380" s="625"/>
      <c r="I380" s="625"/>
      <c r="J380" s="625"/>
    </row>
    <row r="381">
      <c r="A381" s="654" t="s">
        <v>1785</v>
      </c>
      <c r="B381" s="668" t="s">
        <v>1969</v>
      </c>
      <c r="C381" s="645" t="s">
        <v>1970</v>
      </c>
      <c r="D381" s="668" t="s">
        <v>1788</v>
      </c>
      <c r="E381" s="657"/>
      <c r="F381" s="657"/>
      <c r="G381" s="657"/>
      <c r="H381" s="663">
        <f t="shared" ref="H381:J381" si="197">SUM(H383:H385)</f>
        <v>6.324612</v>
      </c>
      <c r="I381" s="663">
        <f t="shared" si="197"/>
        <v>44.754816</v>
      </c>
      <c r="J381" s="664">
        <f t="shared" si="197"/>
        <v>51.079428</v>
      </c>
    </row>
    <row r="382">
      <c r="A382" s="622" t="s">
        <v>1732</v>
      </c>
      <c r="B382" s="622" t="s">
        <v>80</v>
      </c>
      <c r="C382" s="623" t="s">
        <v>8</v>
      </c>
      <c r="D382" s="622" t="s">
        <v>83</v>
      </c>
      <c r="E382" s="624" t="s">
        <v>1734</v>
      </c>
      <c r="F382" s="624" t="s">
        <v>1735</v>
      </c>
      <c r="G382" s="624" t="s">
        <v>1736</v>
      </c>
      <c r="H382" s="624" t="s">
        <v>1737</v>
      </c>
      <c r="I382" s="624" t="s">
        <v>1738</v>
      </c>
      <c r="J382" s="624" t="s">
        <v>14</v>
      </c>
    </row>
    <row r="383">
      <c r="A383" s="625" t="s">
        <v>218</v>
      </c>
      <c r="B383" s="626">
        <v>88264.0</v>
      </c>
      <c r="C383" s="627" t="str">
        <f>IF(A383="SINAPI-S",VLOOKUP(B383,'20-B.SINAPI-S'!A:J,2,0),IF(A383="SINAPI-I",VLOOKUP(B383,'20-A.SINAPI-I'!A:E,2,0),VLOOKUP(B383,'12.COT.MERCADO'!A:H,2,0)))</f>
        <v>ELETRICISTA COM ENCARGOS COMPLEMENTARES</v>
      </c>
      <c r="D383" s="628" t="str">
        <f>IF(A383="SINAPI-S",VLOOKUP(B383,'20-B.SINAPI-S'!A:J,3,0),IF(A383="SINAPI-I",VLOOKUP(B383,'20-A.SINAPI-I'!A:E,3,0),VLOOKUP(B383,'12.COT.MERCADO'!A:H,7,0)))</f>
        <v>H</v>
      </c>
      <c r="E383" s="629">
        <f>IF(A383="SINAPI-S",VLOOKUP(B383,'20-B.SINAPI-S'!A:J,5,0),IF(A383="SINAPI-I",VLOOKUP(B383,'20-A.SINAPI-I'!A:G,6,0),0))</f>
        <v>25.09</v>
      </c>
      <c r="F383" s="629">
        <f>IF(A383="SINAPI-S",VLOOKUP(B383,'20-B.SINAPI-S'!A:J,6,0),IF(A383="SINAPI-I",VLOOKUP(B383,'20-A.SINAPI-I'!A:G,7,0),VLOOKUP(B383,'12.COT.MERCADO'!A:H,8,0)))</f>
        <v>7.86</v>
      </c>
      <c r="G383" s="625">
        <v>0.1428</v>
      </c>
      <c r="H383" s="629">
        <f t="shared" ref="H383:H385" si="198">E383*G383</f>
        <v>3.582852</v>
      </c>
      <c r="I383" s="629">
        <f t="shared" ref="I383:I385" si="199">F383*G383</f>
        <v>1.122408</v>
      </c>
      <c r="J383" s="629">
        <f t="shared" ref="J383:J385" si="200">I383+H383</f>
        <v>4.70526</v>
      </c>
    </row>
    <row r="384">
      <c r="A384" s="625" t="s">
        <v>218</v>
      </c>
      <c r="B384" s="626">
        <v>88247.0</v>
      </c>
      <c r="C384" s="627" t="str">
        <f>IF(A384="SINAPI-S",VLOOKUP(B384,'20-B.SINAPI-S'!A:J,2,0),IF(A384="SINAPI-I",VLOOKUP(B384,'20-A.SINAPI-I'!A:E,2,0),VLOOKUP(B384,'12.COT.MERCADO'!A:H,2,0)))</f>
        <v>AUXILIAR DE ELETRICISTA COM ENCARGOS COMPLEMENTARES</v>
      </c>
      <c r="D384" s="628" t="str">
        <f>IF(A384="SINAPI-S",VLOOKUP(B384,'20-B.SINAPI-S'!A:J,3,0),IF(A384="SINAPI-I",VLOOKUP(B384,'20-A.SINAPI-I'!A:E,3,0),VLOOKUP(B384,'12.COT.MERCADO'!A:H,7,0)))</f>
        <v>H</v>
      </c>
      <c r="E384" s="629">
        <f>IF(A384="SINAPI-S",VLOOKUP(B384,'20-B.SINAPI-S'!A:J,5,0),IF(A384="SINAPI-I",VLOOKUP(B384,'20-A.SINAPI-I'!A:G,6,0),0))</f>
        <v>19.2</v>
      </c>
      <c r="F384" s="629">
        <f>IF(A384="SINAPI-S",VLOOKUP(B384,'20-B.SINAPI-S'!A:J,6,0),IF(A384="SINAPI-I",VLOOKUP(B384,'20-A.SINAPI-I'!A:G,7,0),VLOOKUP(B384,'12.COT.MERCADO'!A:H,8,0)))</f>
        <v>7.86</v>
      </c>
      <c r="G384" s="625">
        <v>0.1428</v>
      </c>
      <c r="H384" s="629">
        <f t="shared" si="198"/>
        <v>2.74176</v>
      </c>
      <c r="I384" s="629">
        <f t="shared" si="199"/>
        <v>1.122408</v>
      </c>
      <c r="J384" s="629">
        <f t="shared" si="200"/>
        <v>3.864168</v>
      </c>
    </row>
    <row r="385">
      <c r="A385" s="625" t="s">
        <v>110</v>
      </c>
      <c r="B385" s="625" t="s">
        <v>1971</v>
      </c>
      <c r="C385" s="633" t="str">
        <f>IF(A385="SINAPI-S",VLOOKUP(B385,'20-B.SINAPI-S'!A:J,2,0),IF(A385="SINAPI-I",VLOOKUP(B385,'20-A.SINAPI-I'!A:E,2,0),VLOOKUP(B385,'12.COT.MERCADO'!A:H,2,0)))</f>
        <v>BOBINA PARA CONTATOR CWM9 A CWM25, 380V</v>
      </c>
      <c r="D385" s="626" t="str">
        <f>IF(A385="SINAPI-S",VLOOKUP(B385,'20-B.SINAPI-S'!A:J,3,0),IF(A385="SINAPI-I",VLOOKUP(B385,'20-A.SINAPI-I'!A:E,3,0),VLOOKUP(B385,'12.COT.MERCADO'!A:H,7,0)))</f>
        <v>UN</v>
      </c>
      <c r="E385" s="629">
        <f>IF(A385="SINAPI-S",VLOOKUP(B385,'20-B.SINAPI-S'!A:J,5,0),IF(A385="SINAPI-I",VLOOKUP(B385,'20-A.SINAPI-I'!A:G,6,0),0))</f>
        <v>0</v>
      </c>
      <c r="F385" s="634">
        <f>IF(A385="SINAPI-S",VLOOKUP(B385,'20-B.SINAPI-S'!A:J,6,0),IF(A385="SINAPI-I",VLOOKUP(B385,'20-A.SINAPI-I'!A:G,7,0),VLOOKUP(B385,'12.COT.MERCADO'!A:H,8,0)))</f>
        <v>42.51</v>
      </c>
      <c r="G385" s="625">
        <v>1.0</v>
      </c>
      <c r="H385" s="629">
        <f t="shared" si="198"/>
        <v>0</v>
      </c>
      <c r="I385" s="629">
        <f t="shared" si="199"/>
        <v>42.51</v>
      </c>
      <c r="J385" s="629">
        <f t="shared" si="200"/>
        <v>42.51</v>
      </c>
    </row>
    <row r="386">
      <c r="A386" s="622" t="s">
        <v>1632</v>
      </c>
      <c r="B386" s="665" t="s">
        <v>1972</v>
      </c>
      <c r="J386" s="665"/>
    </row>
    <row r="387">
      <c r="A387" s="622"/>
      <c r="B387" s="665"/>
      <c r="C387" s="665"/>
      <c r="D387" s="625"/>
      <c r="E387" s="625"/>
      <c r="F387" s="625"/>
      <c r="G387" s="625"/>
      <c r="H387" s="625"/>
      <c r="I387" s="625"/>
      <c r="J387" s="625"/>
    </row>
    <row r="388">
      <c r="A388" s="654" t="s">
        <v>1785</v>
      </c>
      <c r="B388" s="668" t="s">
        <v>1973</v>
      </c>
      <c r="C388" s="645" t="s">
        <v>1974</v>
      </c>
      <c r="D388" s="668" t="s">
        <v>1731</v>
      </c>
      <c r="E388" s="657"/>
      <c r="F388" s="657"/>
      <c r="G388" s="657"/>
      <c r="H388" s="663">
        <f t="shared" ref="H388:J388" si="201">SUM(H390:H392)</f>
        <v>5.3148</v>
      </c>
      <c r="I388" s="663">
        <f t="shared" si="201"/>
        <v>10.9644</v>
      </c>
      <c r="J388" s="664">
        <f t="shared" si="201"/>
        <v>16.2792</v>
      </c>
    </row>
    <row r="389">
      <c r="A389" s="622" t="s">
        <v>1732</v>
      </c>
      <c r="B389" s="622" t="s">
        <v>80</v>
      </c>
      <c r="C389" s="623" t="s">
        <v>8</v>
      </c>
      <c r="D389" s="622" t="s">
        <v>83</v>
      </c>
      <c r="E389" s="624" t="s">
        <v>1734</v>
      </c>
      <c r="F389" s="624" t="s">
        <v>1735</v>
      </c>
      <c r="G389" s="624" t="s">
        <v>1736</v>
      </c>
      <c r="H389" s="624" t="s">
        <v>1737</v>
      </c>
      <c r="I389" s="624" t="s">
        <v>1738</v>
      </c>
      <c r="J389" s="624" t="s">
        <v>14</v>
      </c>
    </row>
    <row r="390">
      <c r="A390" s="625" t="s">
        <v>218</v>
      </c>
      <c r="B390" s="626">
        <v>88264.0</v>
      </c>
      <c r="C390" s="627" t="str">
        <f>IF(A390="SINAPI-S",VLOOKUP(B390,'20-B.SINAPI-S'!A:J,2,0),IF(A390="SINAPI-I",VLOOKUP(B390,'20-A.SINAPI-I'!A:E,2,0),VLOOKUP(B390,'12.COT.MERCADO'!A:H,2,0)))</f>
        <v>ELETRICISTA COM ENCARGOS COMPLEMENTARES</v>
      </c>
      <c r="D390" s="628" t="str">
        <f>IF(A390="SINAPI-S",VLOOKUP(B390,'20-B.SINAPI-S'!A:J,3,0),IF(A390="SINAPI-I",VLOOKUP(B390,'20-A.SINAPI-I'!A:E,3,0),VLOOKUP(B390,'12.COT.MERCADO'!A:H,7,0)))</f>
        <v>H</v>
      </c>
      <c r="E390" s="629">
        <f>IF(A390="SINAPI-S",VLOOKUP(B390,'20-B.SINAPI-S'!A:J,5,0),IF(A390="SINAPI-I",VLOOKUP(B390,'20-A.SINAPI-I'!A:G,6,0),0))</f>
        <v>25.09</v>
      </c>
      <c r="F390" s="629">
        <f>IF(A390="SINAPI-S",VLOOKUP(B390,'20-B.SINAPI-S'!A:J,6,0),IF(A390="SINAPI-I",VLOOKUP(B390,'20-A.SINAPI-I'!A:G,7,0),VLOOKUP(B390,'12.COT.MERCADO'!A:H,8,0)))</f>
        <v>7.86</v>
      </c>
      <c r="G390" s="625">
        <v>0.12</v>
      </c>
      <c r="H390" s="629">
        <f t="shared" ref="H390:H392" si="202">E390*G390</f>
        <v>3.0108</v>
      </c>
      <c r="I390" s="629">
        <f t="shared" ref="I390:I392" si="203">F390*G390</f>
        <v>0.9432</v>
      </c>
      <c r="J390" s="629">
        <f t="shared" ref="J390:J392" si="204">I390+H390</f>
        <v>3.954</v>
      </c>
    </row>
    <row r="391">
      <c r="A391" s="625" t="s">
        <v>218</v>
      </c>
      <c r="B391" s="626">
        <v>88247.0</v>
      </c>
      <c r="C391" s="627" t="str">
        <f>IF(A391="SINAPI-S",VLOOKUP(B391,'20-B.SINAPI-S'!A:J,2,0),IF(A391="SINAPI-I",VLOOKUP(B391,'20-A.SINAPI-I'!A:E,2,0),VLOOKUP(B391,'12.COT.MERCADO'!A:H,2,0)))</f>
        <v>AUXILIAR DE ELETRICISTA COM ENCARGOS COMPLEMENTARES</v>
      </c>
      <c r="D391" s="628" t="str">
        <f>IF(A391="SINAPI-S",VLOOKUP(B391,'20-B.SINAPI-S'!A:J,3,0),IF(A391="SINAPI-I",VLOOKUP(B391,'20-A.SINAPI-I'!A:E,3,0),VLOOKUP(B391,'12.COT.MERCADO'!A:H,7,0)))</f>
        <v>H</v>
      </c>
      <c r="E391" s="629">
        <f>IF(A391="SINAPI-S",VLOOKUP(B391,'20-B.SINAPI-S'!A:J,5,0),IF(A391="SINAPI-I",VLOOKUP(B391,'20-A.SINAPI-I'!A:G,6,0),0))</f>
        <v>19.2</v>
      </c>
      <c r="F391" s="629">
        <f>IF(A391="SINAPI-S",VLOOKUP(B391,'20-B.SINAPI-S'!A:J,6,0),IF(A391="SINAPI-I",VLOOKUP(B391,'20-A.SINAPI-I'!A:G,7,0),VLOOKUP(B391,'12.COT.MERCADO'!A:H,8,0)))</f>
        <v>7.86</v>
      </c>
      <c r="G391" s="625">
        <v>0.12</v>
      </c>
      <c r="H391" s="629">
        <f t="shared" si="202"/>
        <v>2.304</v>
      </c>
      <c r="I391" s="629">
        <f t="shared" si="203"/>
        <v>0.9432</v>
      </c>
      <c r="J391" s="629">
        <f t="shared" si="204"/>
        <v>3.2472</v>
      </c>
    </row>
    <row r="392">
      <c r="A392" s="625" t="s">
        <v>110</v>
      </c>
      <c r="B392" s="625" t="s">
        <v>1740</v>
      </c>
      <c r="C392" s="633" t="str">
        <f>IF(A392="SINAPI-S",VLOOKUP(B392,'20-B.SINAPI-S'!A:J,2,0),IF(A392="SINAPI-I",VLOOKUP(B392,'20-A.SINAPI-I'!A:E,2,0),VLOOKUP(B392,'12.COT.MERCADO'!A:H,2,0)))</f>
        <v>Cabo de cobre PP Cordplast 3 x 2,5 mm2, 450/750v</v>
      </c>
      <c r="D392" s="626" t="str">
        <f>IF(A392="SINAPI-S",VLOOKUP(B392,'20-B.SINAPI-S'!A:J,3,0),IF(A392="SINAPI-I",VLOOKUP(B392,'20-A.SINAPI-I'!A:E,3,0),VLOOKUP(B392,'12.COT.MERCADO'!A:H,7,0)))</f>
        <v>M</v>
      </c>
      <c r="E392" s="629">
        <f>IF(A392="SINAPI-S",VLOOKUP(B392,'20-B.SINAPI-S'!A:J,5,0),IF(A392="SINAPI-I",VLOOKUP(B392,'20-A.SINAPI-I'!A:G,6,0),0))</f>
        <v>0</v>
      </c>
      <c r="F392" s="634">
        <f>IF(A392="SINAPI-S",VLOOKUP(B392,'20-B.SINAPI-S'!A:J,6,0),IF(A392="SINAPI-I",VLOOKUP(B392,'20-A.SINAPI-I'!A:G,7,0),VLOOKUP(B392,'12.COT.MERCADO'!A:H,8,0)))</f>
        <v>8.9</v>
      </c>
      <c r="G392" s="625">
        <v>1.02</v>
      </c>
      <c r="H392" s="629">
        <f t="shared" si="202"/>
        <v>0</v>
      </c>
      <c r="I392" s="629">
        <f t="shared" si="203"/>
        <v>9.078</v>
      </c>
      <c r="J392" s="629">
        <f t="shared" si="204"/>
        <v>9.078</v>
      </c>
    </row>
    <row r="393">
      <c r="A393" s="622" t="s">
        <v>1632</v>
      </c>
      <c r="B393" s="665" t="s">
        <v>1975</v>
      </c>
      <c r="J393" s="665"/>
    </row>
    <row r="394">
      <c r="A394" s="622"/>
      <c r="B394" s="665"/>
      <c r="C394" s="665"/>
      <c r="D394" s="625"/>
      <c r="E394" s="625"/>
      <c r="F394" s="625"/>
      <c r="G394" s="625"/>
      <c r="H394" s="625"/>
      <c r="I394" s="625"/>
      <c r="J394" s="625"/>
    </row>
    <row r="395">
      <c r="A395" s="654" t="s">
        <v>1785</v>
      </c>
      <c r="B395" s="668" t="s">
        <v>1976</v>
      </c>
      <c r="C395" s="645" t="s">
        <v>1977</v>
      </c>
      <c r="D395" s="668" t="s">
        <v>1788</v>
      </c>
      <c r="E395" s="657"/>
      <c r="F395" s="657"/>
      <c r="G395" s="657"/>
      <c r="H395" s="663">
        <f t="shared" ref="H395:J395" si="205">SUM(H397:H399)</f>
        <v>7.383143</v>
      </c>
      <c r="I395" s="663">
        <f t="shared" si="205"/>
        <v>5.360524</v>
      </c>
      <c r="J395" s="664">
        <f t="shared" si="205"/>
        <v>12.743667</v>
      </c>
    </row>
    <row r="396">
      <c r="A396" s="622" t="s">
        <v>1732</v>
      </c>
      <c r="B396" s="622" t="s">
        <v>80</v>
      </c>
      <c r="C396" s="623" t="s">
        <v>8</v>
      </c>
      <c r="D396" s="622" t="s">
        <v>83</v>
      </c>
      <c r="E396" s="624" t="s">
        <v>1734</v>
      </c>
      <c r="F396" s="624" t="s">
        <v>1735</v>
      </c>
      <c r="G396" s="624" t="s">
        <v>1736</v>
      </c>
      <c r="H396" s="624" t="s">
        <v>1737</v>
      </c>
      <c r="I396" s="624" t="s">
        <v>1738</v>
      </c>
      <c r="J396" s="624" t="s">
        <v>14</v>
      </c>
    </row>
    <row r="397">
      <c r="A397" s="625" t="s">
        <v>218</v>
      </c>
      <c r="B397" s="626">
        <v>88264.0</v>
      </c>
      <c r="C397" s="627" t="str">
        <f>IF(A397="SINAPI-S",VLOOKUP(B397,'20-B.SINAPI-S'!A:J,2,0),IF(A397="SINAPI-I",VLOOKUP(B397,'20-A.SINAPI-I'!A:E,2,0),VLOOKUP(B397,'12.COT.MERCADO'!A:H,2,0)))</f>
        <v>ELETRICISTA COM ENCARGOS COMPLEMENTARES</v>
      </c>
      <c r="D397" s="628" t="str">
        <f>IF(A397="SINAPI-S",VLOOKUP(B397,'20-B.SINAPI-S'!A:J,3,0),IF(A397="SINAPI-I",VLOOKUP(B397,'20-A.SINAPI-I'!A:E,3,0),VLOOKUP(B397,'12.COT.MERCADO'!A:H,7,0)))</f>
        <v>H</v>
      </c>
      <c r="E397" s="629">
        <f>IF(A397="SINAPI-S",VLOOKUP(B397,'20-B.SINAPI-S'!A:J,5,0),IF(A397="SINAPI-I",VLOOKUP(B397,'20-A.SINAPI-I'!A:G,6,0),0))</f>
        <v>25.09</v>
      </c>
      <c r="F397" s="629">
        <f>IF(A397="SINAPI-S",VLOOKUP(B397,'20-B.SINAPI-S'!A:J,6,0),IF(A397="SINAPI-I",VLOOKUP(B397,'20-A.SINAPI-I'!A:G,7,0),VLOOKUP(B397,'12.COT.MERCADO'!A:H,8,0)))</f>
        <v>7.86</v>
      </c>
      <c r="G397" s="625">
        <v>0.1667</v>
      </c>
      <c r="H397" s="629">
        <f t="shared" ref="H397:H399" si="206">E397*G397</f>
        <v>4.182503</v>
      </c>
      <c r="I397" s="629">
        <f t="shared" ref="I397:I399" si="207">F397*G397</f>
        <v>1.310262</v>
      </c>
      <c r="J397" s="629">
        <f t="shared" ref="J397:J399" si="208">I397+H397</f>
        <v>5.492765</v>
      </c>
    </row>
    <row r="398">
      <c r="A398" s="625" t="s">
        <v>218</v>
      </c>
      <c r="B398" s="626">
        <v>88247.0</v>
      </c>
      <c r="C398" s="627" t="str">
        <f>IF(A398="SINAPI-S",VLOOKUP(B398,'20-B.SINAPI-S'!A:J,2,0),IF(A398="SINAPI-I",VLOOKUP(B398,'20-A.SINAPI-I'!A:E,2,0),VLOOKUP(B398,'12.COT.MERCADO'!A:H,2,0)))</f>
        <v>AUXILIAR DE ELETRICISTA COM ENCARGOS COMPLEMENTARES</v>
      </c>
      <c r="D398" s="628" t="str">
        <f>IF(A398="SINAPI-S",VLOOKUP(B398,'20-B.SINAPI-S'!A:J,3,0),IF(A398="SINAPI-I",VLOOKUP(B398,'20-A.SINAPI-I'!A:E,3,0),VLOOKUP(B398,'12.COT.MERCADO'!A:H,7,0)))</f>
        <v>H</v>
      </c>
      <c r="E398" s="629">
        <f>IF(A398="SINAPI-S",VLOOKUP(B398,'20-B.SINAPI-S'!A:J,5,0),IF(A398="SINAPI-I",VLOOKUP(B398,'20-A.SINAPI-I'!A:G,6,0),0))</f>
        <v>19.2</v>
      </c>
      <c r="F398" s="629">
        <f>IF(A398="SINAPI-S",VLOOKUP(B398,'20-B.SINAPI-S'!A:J,6,0),IF(A398="SINAPI-I",VLOOKUP(B398,'20-A.SINAPI-I'!A:G,7,0),VLOOKUP(B398,'12.COT.MERCADO'!A:H,8,0)))</f>
        <v>7.86</v>
      </c>
      <c r="G398" s="625">
        <v>0.1667</v>
      </c>
      <c r="H398" s="629">
        <f t="shared" si="206"/>
        <v>3.20064</v>
      </c>
      <c r="I398" s="629">
        <f t="shared" si="207"/>
        <v>1.310262</v>
      </c>
      <c r="J398" s="629">
        <f t="shared" si="208"/>
        <v>4.510902</v>
      </c>
    </row>
    <row r="399">
      <c r="A399" s="625" t="s">
        <v>110</v>
      </c>
      <c r="B399" s="625" t="s">
        <v>1978</v>
      </c>
      <c r="C399" s="633" t="str">
        <f>IF(A399="SINAPI-S",VLOOKUP(B399,'20-B.SINAPI-S'!A:J,2,0),IF(A399="SINAPI-I",VLOOKUP(B399,'20-A.SINAPI-I'!A:E,2,0),VLOOKUP(B399,'12.COT.MERCADO'!A:H,2,0)))</f>
        <v>CONECTOR DE EMENDA DE CABOS 3 VIAS. REF. WAGO 221-413 OU SIMILAR</v>
      </c>
      <c r="D399" s="626" t="str">
        <f>IF(A399="SINAPI-S",VLOOKUP(B399,'20-B.SINAPI-S'!A:J,3,0),IF(A399="SINAPI-I",VLOOKUP(B399,'20-A.SINAPI-I'!A:E,3,0),VLOOKUP(B399,'12.COT.MERCADO'!A:H,7,0)))</f>
        <v>UN</v>
      </c>
      <c r="E399" s="629">
        <f>IF(A399="SINAPI-S",VLOOKUP(B399,'20-B.SINAPI-S'!A:J,5,0),IF(A399="SINAPI-I",VLOOKUP(B399,'20-A.SINAPI-I'!A:G,6,0),0))</f>
        <v>0</v>
      </c>
      <c r="F399" s="634">
        <f>IF(A399="SINAPI-S",VLOOKUP(B399,'20-B.SINAPI-S'!A:J,6,0),IF(A399="SINAPI-I",VLOOKUP(B399,'20-A.SINAPI-I'!A:G,7,0),VLOOKUP(B399,'12.COT.MERCADO'!A:H,8,0)))</f>
        <v>2.74</v>
      </c>
      <c r="G399" s="625">
        <v>1.0</v>
      </c>
      <c r="H399" s="629">
        <f t="shared" si="206"/>
        <v>0</v>
      </c>
      <c r="I399" s="629">
        <f t="shared" si="207"/>
        <v>2.74</v>
      </c>
      <c r="J399" s="629">
        <f t="shared" si="208"/>
        <v>2.74</v>
      </c>
    </row>
    <row r="400">
      <c r="A400" s="622" t="s">
        <v>1632</v>
      </c>
      <c r="B400" s="665" t="s">
        <v>1979</v>
      </c>
      <c r="J400" s="665"/>
    </row>
    <row r="401">
      <c r="A401" s="622"/>
      <c r="B401" s="665"/>
      <c r="C401" s="665"/>
      <c r="D401" s="625"/>
      <c r="E401" s="625"/>
      <c r="F401" s="625"/>
      <c r="G401" s="625"/>
      <c r="H401" s="625"/>
      <c r="I401" s="625"/>
      <c r="J401" s="625"/>
    </row>
    <row r="402">
      <c r="A402" s="654" t="s">
        <v>1785</v>
      </c>
      <c r="B402" s="668" t="s">
        <v>1980</v>
      </c>
      <c r="C402" s="645" t="s">
        <v>1981</v>
      </c>
      <c r="D402" s="655" t="s">
        <v>1731</v>
      </c>
      <c r="E402" s="657"/>
      <c r="F402" s="657"/>
      <c r="G402" s="657"/>
      <c r="H402" s="663">
        <f t="shared" ref="H402:J402" si="209">SUM(H404:H406)</f>
        <v>15.5015</v>
      </c>
      <c r="I402" s="663">
        <f t="shared" si="209"/>
        <v>93.121</v>
      </c>
      <c r="J402" s="664">
        <f t="shared" si="209"/>
        <v>108.6225</v>
      </c>
    </row>
    <row r="403">
      <c r="A403" s="622" t="s">
        <v>1732</v>
      </c>
      <c r="B403" s="622" t="s">
        <v>80</v>
      </c>
      <c r="C403" s="623" t="s">
        <v>8</v>
      </c>
      <c r="D403" s="622" t="s">
        <v>83</v>
      </c>
      <c r="E403" s="624" t="s">
        <v>1734</v>
      </c>
      <c r="F403" s="624" t="s">
        <v>1735</v>
      </c>
      <c r="G403" s="624" t="s">
        <v>1736</v>
      </c>
      <c r="H403" s="624" t="s">
        <v>1737</v>
      </c>
      <c r="I403" s="624" t="s">
        <v>1738</v>
      </c>
      <c r="J403" s="624" t="s">
        <v>14</v>
      </c>
    </row>
    <row r="404">
      <c r="A404" s="625" t="s">
        <v>218</v>
      </c>
      <c r="B404" s="626">
        <v>88264.0</v>
      </c>
      <c r="C404" s="627" t="str">
        <f>IF(A404="SINAPI-S",VLOOKUP(B404,'20-B.SINAPI-S'!A:J,2,0),IF(A404="SINAPI-I",VLOOKUP(B404,'20-A.SINAPI-I'!A:E,2,0),VLOOKUP(B404,'12.COT.MERCADO'!A:H,2,0)))</f>
        <v>ELETRICISTA COM ENCARGOS COMPLEMENTARES</v>
      </c>
      <c r="D404" s="628" t="str">
        <f>IF(A404="SINAPI-S",VLOOKUP(B404,'20-B.SINAPI-S'!A:J,3,0),IF(A404="SINAPI-I",VLOOKUP(B404,'20-A.SINAPI-I'!A:E,3,0),VLOOKUP(B404,'12.COT.MERCADO'!A:H,7,0)))</f>
        <v>H</v>
      </c>
      <c r="E404" s="629">
        <f>IF(A404="SINAPI-S",VLOOKUP(B404,'20-B.SINAPI-S'!A:J,5,0),IF(A404="SINAPI-I",VLOOKUP(B404,'20-A.SINAPI-I'!A:G,6,0),0))</f>
        <v>25.09</v>
      </c>
      <c r="F404" s="629">
        <f>IF(A404="SINAPI-S",VLOOKUP(B404,'20-B.SINAPI-S'!A:J,6,0),IF(A404="SINAPI-I",VLOOKUP(B404,'20-A.SINAPI-I'!A:G,7,0),VLOOKUP(B404,'12.COT.MERCADO'!A:H,8,0)))</f>
        <v>7.86</v>
      </c>
      <c r="G404" s="626">
        <v>0.35</v>
      </c>
      <c r="H404" s="629">
        <f t="shared" ref="H404:H406" si="210">E404*G404</f>
        <v>8.7815</v>
      </c>
      <c r="I404" s="629">
        <f t="shared" ref="I404:I406" si="211">F404*G404</f>
        <v>2.751</v>
      </c>
      <c r="J404" s="629">
        <f t="shared" ref="J404:J406" si="212">I404+H404</f>
        <v>11.5325</v>
      </c>
    </row>
    <row r="405">
      <c r="A405" s="625" t="s">
        <v>218</v>
      </c>
      <c r="B405" s="626">
        <v>88247.0</v>
      </c>
      <c r="C405" s="627" t="str">
        <f>IF(A405="SINAPI-S",VLOOKUP(B405,'20-B.SINAPI-S'!A:J,2,0),IF(A405="SINAPI-I",VLOOKUP(B405,'20-A.SINAPI-I'!A:E,2,0),VLOOKUP(B405,'12.COT.MERCADO'!A:H,2,0)))</f>
        <v>AUXILIAR DE ELETRICISTA COM ENCARGOS COMPLEMENTARES</v>
      </c>
      <c r="D405" s="628" t="str">
        <f>IF(A405="SINAPI-S",VLOOKUP(B405,'20-B.SINAPI-S'!A:J,3,0),IF(A405="SINAPI-I",VLOOKUP(B405,'20-A.SINAPI-I'!A:E,3,0),VLOOKUP(B405,'12.COT.MERCADO'!A:H,7,0)))</f>
        <v>H</v>
      </c>
      <c r="E405" s="629">
        <f>IF(A405="SINAPI-S",VLOOKUP(B405,'20-B.SINAPI-S'!A:J,5,0),IF(A405="SINAPI-I",VLOOKUP(B405,'20-A.SINAPI-I'!A:G,6,0),0))</f>
        <v>19.2</v>
      </c>
      <c r="F405" s="629">
        <f>IF(A405="SINAPI-S",VLOOKUP(B405,'20-B.SINAPI-S'!A:J,6,0),IF(A405="SINAPI-I",VLOOKUP(B405,'20-A.SINAPI-I'!A:G,7,0),VLOOKUP(B405,'12.COT.MERCADO'!A:H,8,0)))</f>
        <v>7.86</v>
      </c>
      <c r="G405" s="626">
        <v>0.35</v>
      </c>
      <c r="H405" s="629">
        <f t="shared" si="210"/>
        <v>6.72</v>
      </c>
      <c r="I405" s="629">
        <f t="shared" si="211"/>
        <v>2.751</v>
      </c>
      <c r="J405" s="629">
        <f t="shared" si="212"/>
        <v>9.471</v>
      </c>
    </row>
    <row r="406">
      <c r="A406" s="625" t="s">
        <v>110</v>
      </c>
      <c r="B406" s="625" t="s">
        <v>1982</v>
      </c>
      <c r="C406" s="633" t="str">
        <f>IF(A406="SINAPI-S",VLOOKUP(B406,'20-B.SINAPI-S'!A:J,2,0),IF(A406="SINAPI-I",VLOOKUP(B406,'20-A.SINAPI-I'!A:E,2,0),VLOOKUP(B406,'12.COT.MERCADO'!A:H,2,0)))</f>
        <v>CANALETA DUTO SLIM PISO ALUMÍNIO 1,5M COM TAMPA BRANCA</v>
      </c>
      <c r="D406" s="626" t="str">
        <f>IF(A406="SINAPI-S",VLOOKUP(B406,'20-B.SINAPI-S'!A:J,3,0),IF(A406="SINAPI-I",VLOOKUP(B406,'20-A.SINAPI-I'!A:E,3,0),VLOOKUP(B406,'12.COT.MERCADO'!A:H,7,0)))</f>
        <v>UN</v>
      </c>
      <c r="E406" s="629">
        <f>IF(A406="SINAPI-S",VLOOKUP(B406,'20-B.SINAPI-S'!A:J,5,0),IF(A406="SINAPI-I",VLOOKUP(B406,'20-A.SINAPI-I'!A:G,6,0),0))</f>
        <v>0</v>
      </c>
      <c r="F406" s="634">
        <f>IF(A406="SINAPI-S",VLOOKUP(B406,'20-B.SINAPI-S'!A:J,6,0),IF(A406="SINAPI-I",VLOOKUP(B406,'20-A.SINAPI-I'!A:G,7,0),VLOOKUP(B406,'12.COT.MERCADO'!A:H,8,0)))</f>
        <v>125.17</v>
      </c>
      <c r="G406" s="626">
        <f>1.05/1.5</f>
        <v>0.7</v>
      </c>
      <c r="H406" s="629">
        <f t="shared" si="210"/>
        <v>0</v>
      </c>
      <c r="I406" s="629">
        <f t="shared" si="211"/>
        <v>87.619</v>
      </c>
      <c r="J406" s="629">
        <f t="shared" si="212"/>
        <v>87.619</v>
      </c>
    </row>
    <row r="407">
      <c r="A407" s="622" t="s">
        <v>1632</v>
      </c>
      <c r="B407" s="633" t="s">
        <v>1869</v>
      </c>
      <c r="J407" s="633"/>
    </row>
    <row r="408">
      <c r="A408" s="661"/>
      <c r="B408" s="662"/>
      <c r="C408" s="662"/>
      <c r="D408" s="626"/>
      <c r="E408" s="661"/>
      <c r="F408" s="661"/>
      <c r="G408" s="661"/>
      <c r="H408" s="661"/>
      <c r="I408" s="661"/>
      <c r="J408" s="661"/>
    </row>
    <row r="409">
      <c r="A409" s="654" t="s">
        <v>1785</v>
      </c>
      <c r="B409" s="668" t="s">
        <v>1983</v>
      </c>
      <c r="C409" s="645" t="s">
        <v>1984</v>
      </c>
      <c r="D409" s="668" t="s">
        <v>1788</v>
      </c>
      <c r="E409" s="657"/>
      <c r="F409" s="657"/>
      <c r="G409" s="657"/>
      <c r="H409" s="663">
        <f t="shared" ref="H409:J409" si="213">SUM(H411:H413)</f>
        <v>43.42</v>
      </c>
      <c r="I409" s="663">
        <f t="shared" si="213"/>
        <v>145.94</v>
      </c>
      <c r="J409" s="664">
        <f t="shared" si="213"/>
        <v>189.36</v>
      </c>
    </row>
    <row r="410">
      <c r="A410" s="622" t="s">
        <v>1732</v>
      </c>
      <c r="B410" s="622" t="s">
        <v>80</v>
      </c>
      <c r="C410" s="623" t="s">
        <v>8</v>
      </c>
      <c r="D410" s="622" t="s">
        <v>83</v>
      </c>
      <c r="E410" s="624" t="s">
        <v>1734</v>
      </c>
      <c r="F410" s="624" t="s">
        <v>1735</v>
      </c>
      <c r="G410" s="624" t="s">
        <v>1736</v>
      </c>
      <c r="H410" s="624" t="s">
        <v>1737</v>
      </c>
      <c r="I410" s="624" t="s">
        <v>1738</v>
      </c>
      <c r="J410" s="624" t="s">
        <v>14</v>
      </c>
    </row>
    <row r="411">
      <c r="A411" s="625" t="s">
        <v>218</v>
      </c>
      <c r="B411" s="626">
        <v>88267.0</v>
      </c>
      <c r="C411" s="627" t="str">
        <f>IF(A411="SINAPI-S",VLOOKUP(B411,'20-B.SINAPI-S'!A:J,2,0),IF(A411="SINAPI-I",VLOOKUP(B411,'20-A.SINAPI-I'!A:E,2,0),VLOOKUP(B411,'12.COT.MERCADO'!A:H,2,0)))</f>
        <v>ENCANADOR OU BOMBEIRO HIDRÁULICO COM ENCARGOS COMPLEMENTARES</v>
      </c>
      <c r="D411" s="628" t="str">
        <f>IF(A411="SINAPI-S",VLOOKUP(B411,'20-B.SINAPI-S'!A:J,3,0),IF(A411="SINAPI-I",VLOOKUP(B411,'20-A.SINAPI-I'!A:E,3,0),VLOOKUP(B411,'12.COT.MERCADO'!A:H,7,0)))</f>
        <v>H</v>
      </c>
      <c r="E411" s="629">
        <f>IF(A411="SINAPI-S",VLOOKUP(B411,'20-B.SINAPI-S'!A:J,5,0),IF(A411="SINAPI-I",VLOOKUP(B411,'20-A.SINAPI-I'!A:G,6,0),0))</f>
        <v>24.6</v>
      </c>
      <c r="F411" s="629">
        <f>IF(A411="SINAPI-S",VLOOKUP(B411,'20-B.SINAPI-S'!A:J,6,0),IF(A411="SINAPI-I",VLOOKUP(B411,'20-A.SINAPI-I'!A:G,7,0),VLOOKUP(B411,'12.COT.MERCADO'!A:H,8,0)))</f>
        <v>7.19</v>
      </c>
      <c r="G411" s="625">
        <v>1.0</v>
      </c>
      <c r="H411" s="629">
        <f t="shared" ref="H411:H413" si="214">E411*G411</f>
        <v>24.6</v>
      </c>
      <c r="I411" s="629">
        <f t="shared" ref="I411:I413" si="215">F411*G411</f>
        <v>7.19</v>
      </c>
      <c r="J411" s="629">
        <f t="shared" ref="J411:J413" si="216">I411+H411</f>
        <v>31.79</v>
      </c>
    </row>
    <row r="412">
      <c r="A412" s="625" t="s">
        <v>218</v>
      </c>
      <c r="B412" s="626">
        <v>88248.0</v>
      </c>
      <c r="C412" s="627" t="str">
        <f>IF(A412="SINAPI-S",VLOOKUP(B412,'20-B.SINAPI-S'!A:J,2,0),IF(A412="SINAPI-I",VLOOKUP(B412,'20-A.SINAPI-I'!A:E,2,0),VLOOKUP(B412,'12.COT.MERCADO'!A:H,2,0)))</f>
        <v>AUXILIAR DE ENCANADOR OU BOMBEIRO HIDRÁULICO COM ENCARGOS COMPLEMENTARES</v>
      </c>
      <c r="D412" s="628" t="str">
        <f>IF(A412="SINAPI-S",VLOOKUP(B412,'20-B.SINAPI-S'!A:J,3,0),IF(A412="SINAPI-I",VLOOKUP(B412,'20-A.SINAPI-I'!A:E,3,0),VLOOKUP(B412,'12.COT.MERCADO'!A:H,7,0)))</f>
        <v>H</v>
      </c>
      <c r="E412" s="629">
        <f>IF(A412="SINAPI-S",VLOOKUP(B412,'20-B.SINAPI-S'!A:J,5,0),IF(A412="SINAPI-I",VLOOKUP(B412,'20-A.SINAPI-I'!A:G,6,0),0))</f>
        <v>18.82</v>
      </c>
      <c r="F412" s="629">
        <f>IF(A412="SINAPI-S",VLOOKUP(B412,'20-B.SINAPI-S'!A:J,6,0),IF(A412="SINAPI-I",VLOOKUP(B412,'20-A.SINAPI-I'!A:G,7,0),VLOOKUP(B412,'12.COT.MERCADO'!A:H,8,0)))</f>
        <v>7.19</v>
      </c>
      <c r="G412" s="625">
        <v>1.0</v>
      </c>
      <c r="H412" s="629">
        <f t="shared" si="214"/>
        <v>18.82</v>
      </c>
      <c r="I412" s="629">
        <f t="shared" si="215"/>
        <v>7.19</v>
      </c>
      <c r="J412" s="629">
        <f t="shared" si="216"/>
        <v>26.01</v>
      </c>
    </row>
    <row r="413">
      <c r="A413" s="625" t="s">
        <v>110</v>
      </c>
      <c r="B413" s="625" t="s">
        <v>1985</v>
      </c>
      <c r="C413" s="633" t="str">
        <f>IF(A413="SINAPI-S",VLOOKUP(B413,'20-B.SINAPI-S'!A:J,2,0),IF(A413="SINAPI-I",VLOOKUP(B413,'20-A.SINAPI-I'!A:E,2,0),VLOOKUP(B413,'12.COT.MERCADO'!A:H,2,0)))</f>
        <v>KIT COMPLETO UNIVERSAL PARA REPARO EM CAIXA ACOPLADA</v>
      </c>
      <c r="D413" s="626" t="str">
        <f>IF(A413="SINAPI-S",VLOOKUP(B413,'20-B.SINAPI-S'!A:J,3,0),IF(A413="SINAPI-I",VLOOKUP(B413,'20-A.SINAPI-I'!A:E,3,0),VLOOKUP(B413,'12.COT.MERCADO'!A:H,7,0)))</f>
        <v>CJ</v>
      </c>
      <c r="E413" s="629">
        <f>IF(A413="SINAPI-S",VLOOKUP(B413,'20-B.SINAPI-S'!A:J,5,0),IF(A413="SINAPI-I",VLOOKUP(B413,'20-A.SINAPI-I'!A:G,6,0),0))</f>
        <v>0</v>
      </c>
      <c r="F413" s="634">
        <f>IF(A413="SINAPI-S",VLOOKUP(B413,'20-B.SINAPI-S'!A:J,6,0),IF(A413="SINAPI-I",VLOOKUP(B413,'20-A.SINAPI-I'!A:G,7,0),VLOOKUP(B413,'12.COT.MERCADO'!A:H,8,0)))</f>
        <v>131.56</v>
      </c>
      <c r="G413" s="625">
        <v>1.0</v>
      </c>
      <c r="H413" s="629">
        <f t="shared" si="214"/>
        <v>0</v>
      </c>
      <c r="I413" s="629">
        <f t="shared" si="215"/>
        <v>131.56</v>
      </c>
      <c r="J413" s="629">
        <f t="shared" si="216"/>
        <v>131.56</v>
      </c>
    </row>
    <row r="414">
      <c r="A414" s="622" t="s">
        <v>1632</v>
      </c>
      <c r="B414" s="665" t="s">
        <v>1986</v>
      </c>
      <c r="J414" s="665"/>
    </row>
    <row r="415">
      <c r="A415" s="622"/>
      <c r="B415" s="665"/>
      <c r="C415" s="665"/>
      <c r="D415" s="625"/>
      <c r="E415" s="625"/>
      <c r="F415" s="625"/>
      <c r="G415" s="625"/>
      <c r="H415" s="625"/>
      <c r="I415" s="625"/>
      <c r="J415" s="625"/>
    </row>
    <row r="416">
      <c r="A416" s="654" t="s">
        <v>1785</v>
      </c>
      <c r="B416" s="668" t="s">
        <v>1987</v>
      </c>
      <c r="C416" s="645" t="s">
        <v>1988</v>
      </c>
      <c r="D416" s="669" t="s">
        <v>1731</v>
      </c>
      <c r="E416" s="670"/>
      <c r="F416" s="670"/>
      <c r="G416" s="670"/>
      <c r="H416" s="663">
        <f t="shared" ref="H416:J416" si="217">SUM(H418:H422)</f>
        <v>10.54912</v>
      </c>
      <c r="I416" s="663">
        <f t="shared" si="217"/>
        <v>16.76027</v>
      </c>
      <c r="J416" s="664">
        <f t="shared" si="217"/>
        <v>27.30939</v>
      </c>
    </row>
    <row r="417">
      <c r="A417" s="622" t="s">
        <v>1732</v>
      </c>
      <c r="B417" s="622" t="s">
        <v>80</v>
      </c>
      <c r="C417" s="623" t="s">
        <v>8</v>
      </c>
      <c r="D417" s="622" t="s">
        <v>83</v>
      </c>
      <c r="E417" s="624" t="s">
        <v>1734</v>
      </c>
      <c r="F417" s="624" t="s">
        <v>1735</v>
      </c>
      <c r="G417" s="624" t="s">
        <v>1736</v>
      </c>
      <c r="H417" s="624" t="s">
        <v>1737</v>
      </c>
      <c r="I417" s="624" t="s">
        <v>1738</v>
      </c>
      <c r="J417" s="624" t="s">
        <v>14</v>
      </c>
    </row>
    <row r="418">
      <c r="A418" s="293" t="s">
        <v>218</v>
      </c>
      <c r="B418" s="626">
        <v>88264.0</v>
      </c>
      <c r="C418" s="627" t="str">
        <f>IF(A418="SINAPI-S",VLOOKUP(B418,'20-B.SINAPI-S'!A:J,2,0),IF(A418="SINAPI-I",VLOOKUP(B418,'20-A.SINAPI-I'!A:E,2,0),VLOOKUP(B418,'12.COT.MERCADO'!A:H,2,0)))</f>
        <v>ELETRICISTA COM ENCARGOS COMPLEMENTARES</v>
      </c>
      <c r="D418" s="628" t="str">
        <f>IF(A418="SINAPI-S",VLOOKUP(B418,'20-B.SINAPI-S'!A:J,3,0),IF(A418="SINAPI-I",VLOOKUP(B418,'20-A.SINAPI-I'!A:E,3,0),VLOOKUP(B418,'12.COT.MERCADO'!A:H,7,0)))</f>
        <v>H</v>
      </c>
      <c r="E418" s="629">
        <f>IF(A418="SINAPI-S",VLOOKUP(B418,'20-B.SINAPI-S'!A:J,5,0),IF(A418="SINAPI-I",VLOOKUP(B418,'20-A.SINAPI-I'!A:G,6,0),0))</f>
        <v>25.09</v>
      </c>
      <c r="F418" s="629">
        <f>IF(A418="SINAPI-S",VLOOKUP(B418,'20-B.SINAPI-S'!A:J,6,0),IF(A418="SINAPI-I",VLOOKUP(B418,'20-A.SINAPI-I'!A:G,7,0),VLOOKUP(B418,'12.COT.MERCADO'!A:H,8,0)))</f>
        <v>7.86</v>
      </c>
      <c r="G418" s="625">
        <v>0.16</v>
      </c>
      <c r="H418" s="629">
        <f t="shared" ref="H418:H422" si="218">E418*G418</f>
        <v>4.0144</v>
      </c>
      <c r="I418" s="629">
        <f t="shared" ref="I418:I422" si="219">F418*G418</f>
        <v>1.2576</v>
      </c>
      <c r="J418" s="629">
        <f t="shared" ref="J418:J422" si="220">I418+H418</f>
        <v>5.272</v>
      </c>
    </row>
    <row r="419">
      <c r="A419" s="293" t="s">
        <v>218</v>
      </c>
      <c r="B419" s="626">
        <v>88247.0</v>
      </c>
      <c r="C419" s="627" t="str">
        <f>IF(A419="SINAPI-S",VLOOKUP(B419,'20-B.SINAPI-S'!A:J,2,0),IF(A419="SINAPI-I",VLOOKUP(B419,'20-A.SINAPI-I'!A:E,2,0),VLOOKUP(B419,'12.COT.MERCADO'!A:H,2,0)))</f>
        <v>AUXILIAR DE ELETRICISTA COM ENCARGOS COMPLEMENTARES</v>
      </c>
      <c r="D419" s="628" t="str">
        <f>IF(A419="SINAPI-S",VLOOKUP(B419,'20-B.SINAPI-S'!A:J,3,0),IF(A419="SINAPI-I",VLOOKUP(B419,'20-A.SINAPI-I'!A:E,3,0),VLOOKUP(B419,'12.COT.MERCADO'!A:H,7,0)))</f>
        <v>H</v>
      </c>
      <c r="E419" s="629">
        <f>IF(A419="SINAPI-S",VLOOKUP(B419,'20-B.SINAPI-S'!A:J,5,0),IF(A419="SINAPI-I",VLOOKUP(B419,'20-A.SINAPI-I'!A:G,6,0),0))</f>
        <v>19.2</v>
      </c>
      <c r="F419" s="629">
        <f>IF(A419="SINAPI-S",VLOOKUP(B419,'20-B.SINAPI-S'!A:J,6,0),IF(A419="SINAPI-I",VLOOKUP(B419,'20-A.SINAPI-I'!A:G,7,0),VLOOKUP(B419,'12.COT.MERCADO'!A:H,8,0)))</f>
        <v>7.86</v>
      </c>
      <c r="G419" s="625">
        <v>0.32</v>
      </c>
      <c r="H419" s="629">
        <f t="shared" si="218"/>
        <v>6.144</v>
      </c>
      <c r="I419" s="629">
        <f t="shared" si="219"/>
        <v>2.5152</v>
      </c>
      <c r="J419" s="629">
        <f t="shared" si="220"/>
        <v>8.6592</v>
      </c>
    </row>
    <row r="420">
      <c r="A420" s="293" t="s">
        <v>218</v>
      </c>
      <c r="B420" s="625">
        <v>97622.0</v>
      </c>
      <c r="C420" s="627" t="str">
        <f>IF(A420="SINAPI-S",VLOOKUP(B420,'20-B.SINAPI-S'!A:J,2,0),IF(A420="SINAPI-I",VLOOKUP(B420,'20-A.SINAPI-I'!A:E,2,0),VLOOKUP(B420,'12.COT.MERCADO'!A:H,2,0)))</f>
        <v>DEMOLIÇÃO DE ALVENARIA DE BLOCO FURADO, DE FORMA MANUAL, SEM REAPROVEITAMENTO. AF_12/2017</v>
      </c>
      <c r="D420" s="628" t="str">
        <f>IF(A420="SINAPI-S",VLOOKUP(B420,'20-B.SINAPI-S'!A:J,3,0),IF(A420="SINAPI-I",VLOOKUP(B420,'20-A.SINAPI-I'!A:E,3,0),VLOOKUP(B420,'12.COT.MERCADO'!A:H,7,0)))</f>
        <v>M3</v>
      </c>
      <c r="E420" s="629">
        <f>IF(A420="SINAPI-S",VLOOKUP(B420,'20-B.SINAPI-S'!A:J,5,0),IF(A420="SINAPI-I",VLOOKUP(B420,'20-A.SINAPI-I'!A:G,6,0),0))</f>
        <v>46.08</v>
      </c>
      <c r="F420" s="629">
        <f>IF(A420="SINAPI-S",VLOOKUP(B420,'20-B.SINAPI-S'!A:J,6,0),IF(A420="SINAPI-I",VLOOKUP(B420,'20-A.SINAPI-I'!A:G,7,0),VLOOKUP(B420,'12.COT.MERCADO'!A:H,8,0)))</f>
        <v>19.63</v>
      </c>
      <c r="G420" s="625">
        <v>0.002</v>
      </c>
      <c r="H420" s="629">
        <f t="shared" si="218"/>
        <v>0.09216</v>
      </c>
      <c r="I420" s="629">
        <f t="shared" si="219"/>
        <v>0.03926</v>
      </c>
      <c r="J420" s="629">
        <f t="shared" si="220"/>
        <v>0.13142</v>
      </c>
    </row>
    <row r="421">
      <c r="A421" s="293" t="s">
        <v>218</v>
      </c>
      <c r="B421" s="625">
        <v>88629.0</v>
      </c>
      <c r="C421" s="627" t="str">
        <f>IF(A421="SINAPI-S",VLOOKUP(B421,'20-B.SINAPI-S'!A:J,2,0),IF(A421="SINAPI-I",VLOOKUP(B421,'20-A.SINAPI-I'!A:E,2,0),VLOOKUP(B421,'12.COT.MERCADO'!A:H,2,0)))</f>
        <v>ARGAMASSA TRAÇO 1:3 (EM VOLUME DE CIMENTO E AREIA MÉDIA ÚMIDA), PREPARO MANUAL. AF_08/2019</v>
      </c>
      <c r="D421" s="628" t="str">
        <f>IF(A421="SINAPI-S",VLOOKUP(B421,'20-B.SINAPI-S'!A:J,3,0),IF(A421="SINAPI-I",VLOOKUP(B421,'20-A.SINAPI-I'!A:E,3,0),VLOOKUP(B421,'12.COT.MERCADO'!A:H,7,0)))</f>
        <v>M3</v>
      </c>
      <c r="E421" s="629">
        <f>IF(A421="SINAPI-S",VLOOKUP(B421,'20-B.SINAPI-S'!A:J,5,0),IF(A421="SINAPI-I",VLOOKUP(B421,'20-A.SINAPI-I'!A:G,6,0),0))</f>
        <v>149.28</v>
      </c>
      <c r="F421" s="629">
        <f>IF(A421="SINAPI-S",VLOOKUP(B421,'20-B.SINAPI-S'!A:J,6,0),IF(A421="SINAPI-I",VLOOKUP(B421,'20-A.SINAPI-I'!A:G,7,0),VLOOKUP(B421,'12.COT.MERCADO'!A:H,8,0)))</f>
        <v>521.13</v>
      </c>
      <c r="G421" s="625">
        <v>0.002</v>
      </c>
      <c r="H421" s="629">
        <f t="shared" si="218"/>
        <v>0.29856</v>
      </c>
      <c r="I421" s="629">
        <f t="shared" si="219"/>
        <v>1.04226</v>
      </c>
      <c r="J421" s="629">
        <f t="shared" si="220"/>
        <v>1.34082</v>
      </c>
    </row>
    <row r="422">
      <c r="A422" s="293" t="s">
        <v>110</v>
      </c>
      <c r="B422" s="625" t="s">
        <v>1989</v>
      </c>
      <c r="C422" s="633" t="str">
        <f>IF(A422="SINAPI-S",VLOOKUP(B422,'20-B.SINAPI-S'!A:J,2,0),IF(A422="SINAPI-I",VLOOKUP(B422,'20-A.SINAPI-I'!A:E,2,0),VLOOKUP(B422,'12.COT.MERCADO'!A:H,2,0)))</f>
        <v>KIT CERCA ELÉTRICA INDUSTRIAL, COMPRIMENTO TOTAL PARA 100 METROS, HASTES BIG 1 METRO, C/ CENTRAL DE CHOQUE 12.000 VOLTS COMPLETO. REF.: INTELBRAS IND-100ELC OU SIMILAR</v>
      </c>
      <c r="D422" s="626" t="str">
        <f>IF(A422="SINAPI-S",VLOOKUP(B422,'20-B.SINAPI-S'!A:J,3,0),IF(A422="SINAPI-I",VLOOKUP(B422,'20-A.SINAPI-I'!A:E,3,0),VLOOKUP(B422,'12.COT.MERCADO'!A:H,7,0)))</f>
        <v>CJ</v>
      </c>
      <c r="E422" s="629">
        <f>IF(A422="SINAPI-S",VLOOKUP(B422,'20-B.SINAPI-S'!A:J,5,0),IF(A422="SINAPI-I",VLOOKUP(B422,'20-A.SINAPI-I'!A:G,6,0),0))</f>
        <v>0</v>
      </c>
      <c r="F422" s="634">
        <f>IF(A422="SINAPI-S",VLOOKUP(B422,'20-B.SINAPI-S'!A:J,6,0),IF(A422="SINAPI-I",VLOOKUP(B422,'20-A.SINAPI-I'!A:G,7,0),VLOOKUP(B422,'12.COT.MERCADO'!A:H,8,0)))</f>
        <v>1133.9</v>
      </c>
      <c r="G422" s="671">
        <f>1.05/100</f>
        <v>0.0105</v>
      </c>
      <c r="H422" s="629">
        <f t="shared" si="218"/>
        <v>0</v>
      </c>
      <c r="I422" s="629">
        <f t="shared" si="219"/>
        <v>11.90595</v>
      </c>
      <c r="J422" s="629">
        <f t="shared" si="220"/>
        <v>11.90595</v>
      </c>
    </row>
    <row r="423">
      <c r="A423" s="622" t="s">
        <v>1632</v>
      </c>
      <c r="B423" s="665" t="s">
        <v>1990</v>
      </c>
      <c r="J423" s="665"/>
    </row>
    <row r="424">
      <c r="A424" s="622"/>
      <c r="B424" s="665"/>
      <c r="C424" s="665"/>
      <c r="D424" s="625"/>
      <c r="E424" s="625"/>
      <c r="F424" s="625"/>
      <c r="G424" s="625"/>
      <c r="H424" s="625"/>
      <c r="I424" s="625"/>
      <c r="J424" s="625"/>
    </row>
    <row r="425">
      <c r="A425" s="654" t="s">
        <v>1785</v>
      </c>
      <c r="B425" s="668" t="s">
        <v>1991</v>
      </c>
      <c r="C425" s="645" t="s">
        <v>1992</v>
      </c>
      <c r="D425" s="668" t="s">
        <v>1731</v>
      </c>
      <c r="E425" s="657"/>
      <c r="F425" s="657"/>
      <c r="G425" s="657"/>
      <c r="H425" s="663">
        <f t="shared" ref="H425:J425" si="221">SUM(H427:H429)</f>
        <v>5.7577</v>
      </c>
      <c r="I425" s="663">
        <f t="shared" si="221"/>
        <v>17.0172</v>
      </c>
      <c r="J425" s="664">
        <f t="shared" si="221"/>
        <v>22.7749</v>
      </c>
    </row>
    <row r="426">
      <c r="A426" s="622" t="s">
        <v>1732</v>
      </c>
      <c r="B426" s="622" t="s">
        <v>80</v>
      </c>
      <c r="C426" s="623" t="s">
        <v>8</v>
      </c>
      <c r="D426" s="622" t="s">
        <v>83</v>
      </c>
      <c r="E426" s="624" t="s">
        <v>1734</v>
      </c>
      <c r="F426" s="624" t="s">
        <v>1735</v>
      </c>
      <c r="G426" s="624" t="s">
        <v>1736</v>
      </c>
      <c r="H426" s="624" t="s">
        <v>1737</v>
      </c>
      <c r="I426" s="624" t="s">
        <v>1738</v>
      </c>
      <c r="J426" s="624" t="s">
        <v>14</v>
      </c>
    </row>
    <row r="427">
      <c r="A427" s="625" t="s">
        <v>218</v>
      </c>
      <c r="B427" s="626">
        <v>88264.0</v>
      </c>
      <c r="C427" s="627" t="str">
        <f>IF(A427="SINAPI-S",VLOOKUP(B427,'20-B.SINAPI-S'!A:J,2,0),IF(A427="SINAPI-I",VLOOKUP(B427,'20-A.SINAPI-I'!A:E,2,0),VLOOKUP(B427,'12.COT.MERCADO'!A:H,2,0)))</f>
        <v>ELETRICISTA COM ENCARGOS COMPLEMENTARES</v>
      </c>
      <c r="D427" s="628" t="str">
        <f>IF(A427="SINAPI-S",VLOOKUP(B427,'20-B.SINAPI-S'!A:J,3,0),IF(A427="SINAPI-I",VLOOKUP(B427,'20-A.SINAPI-I'!A:E,3,0),VLOOKUP(B427,'12.COT.MERCADO'!A:H,7,0)))</f>
        <v>H</v>
      </c>
      <c r="E427" s="629">
        <f>IF(A427="SINAPI-S",VLOOKUP(B427,'20-B.SINAPI-S'!A:J,5,0),IF(A427="SINAPI-I",VLOOKUP(B427,'20-A.SINAPI-I'!A:G,6,0),0))</f>
        <v>25.09</v>
      </c>
      <c r="F427" s="629">
        <f>IF(A427="SINAPI-S",VLOOKUP(B427,'20-B.SINAPI-S'!A:J,6,0),IF(A427="SINAPI-I",VLOOKUP(B427,'20-A.SINAPI-I'!A:G,7,0),VLOOKUP(B427,'12.COT.MERCADO'!A:H,8,0)))</f>
        <v>7.86</v>
      </c>
      <c r="G427" s="625">
        <v>0.13</v>
      </c>
      <c r="H427" s="629">
        <f t="shared" ref="H427:H429" si="222">E427*G427</f>
        <v>3.2617</v>
      </c>
      <c r="I427" s="629">
        <f t="shared" ref="I427:I429" si="223">F427*G427</f>
        <v>1.0218</v>
      </c>
      <c r="J427" s="629">
        <f t="shared" ref="J427:J429" si="224">I427+H427</f>
        <v>4.2835</v>
      </c>
    </row>
    <row r="428">
      <c r="A428" s="625" t="s">
        <v>218</v>
      </c>
      <c r="B428" s="626">
        <v>88247.0</v>
      </c>
      <c r="C428" s="627" t="str">
        <f>IF(A428="SINAPI-S",VLOOKUP(B428,'20-B.SINAPI-S'!A:J,2,0),IF(A428="SINAPI-I",VLOOKUP(B428,'20-A.SINAPI-I'!A:E,2,0),VLOOKUP(B428,'12.COT.MERCADO'!A:H,2,0)))</f>
        <v>AUXILIAR DE ELETRICISTA COM ENCARGOS COMPLEMENTARES</v>
      </c>
      <c r="D428" s="628" t="str">
        <f>IF(A428="SINAPI-S",VLOOKUP(B428,'20-B.SINAPI-S'!A:J,3,0),IF(A428="SINAPI-I",VLOOKUP(B428,'20-A.SINAPI-I'!A:E,3,0),VLOOKUP(B428,'12.COT.MERCADO'!A:H,7,0)))</f>
        <v>H</v>
      </c>
      <c r="E428" s="629">
        <f>IF(A428="SINAPI-S",VLOOKUP(B428,'20-B.SINAPI-S'!A:J,5,0),IF(A428="SINAPI-I",VLOOKUP(B428,'20-A.SINAPI-I'!A:G,6,0),0))</f>
        <v>19.2</v>
      </c>
      <c r="F428" s="629">
        <f>IF(A428="SINAPI-S",VLOOKUP(B428,'20-B.SINAPI-S'!A:J,6,0),IF(A428="SINAPI-I",VLOOKUP(B428,'20-A.SINAPI-I'!A:G,7,0),VLOOKUP(B428,'12.COT.MERCADO'!A:H,8,0)))</f>
        <v>7.86</v>
      </c>
      <c r="G428" s="625">
        <v>0.13</v>
      </c>
      <c r="H428" s="629">
        <f t="shared" si="222"/>
        <v>2.496</v>
      </c>
      <c r="I428" s="629">
        <f t="shared" si="223"/>
        <v>1.0218</v>
      </c>
      <c r="J428" s="629">
        <f t="shared" si="224"/>
        <v>3.5178</v>
      </c>
    </row>
    <row r="429">
      <c r="A429" s="625" t="s">
        <v>110</v>
      </c>
      <c r="B429" s="625" t="s">
        <v>1993</v>
      </c>
      <c r="C429" s="633" t="str">
        <f>IF(A429="SINAPI-S",VLOOKUP(B429,'20-B.SINAPI-S'!A:J,2,0),IF(A429="SINAPI-I",VLOOKUP(B429,'20-A.SINAPI-I'!A:E,2,0),VLOOKUP(B429,'12.COT.MERCADO'!A:H,2,0)))</f>
        <v>Cabo de cobre PP Cordplast 3 x 4.0 mm2, 450/750v</v>
      </c>
      <c r="D429" s="626" t="str">
        <f>IF(A429="SINAPI-S",VLOOKUP(B429,'20-B.SINAPI-S'!A:J,3,0),IF(A429="SINAPI-I",VLOOKUP(B429,'20-A.SINAPI-I'!A:E,3,0),VLOOKUP(B429,'12.COT.MERCADO'!A:H,7,0)))</f>
        <v>M</v>
      </c>
      <c r="E429" s="629">
        <f>IF(A429="SINAPI-S",VLOOKUP(B429,'20-B.SINAPI-S'!A:J,5,0),IF(A429="SINAPI-I",VLOOKUP(B429,'20-A.SINAPI-I'!A:G,6,0),0))</f>
        <v>0</v>
      </c>
      <c r="F429" s="634">
        <f>IF(A429="SINAPI-S",VLOOKUP(B429,'20-B.SINAPI-S'!A:J,6,0),IF(A429="SINAPI-I",VLOOKUP(B429,'20-A.SINAPI-I'!A:G,7,0),VLOOKUP(B429,'12.COT.MERCADO'!A:H,8,0)))</f>
        <v>14.68</v>
      </c>
      <c r="G429" s="625">
        <v>1.02</v>
      </c>
      <c r="H429" s="629">
        <f t="shared" si="222"/>
        <v>0</v>
      </c>
      <c r="I429" s="629">
        <f t="shared" si="223"/>
        <v>14.9736</v>
      </c>
      <c r="J429" s="629">
        <f t="shared" si="224"/>
        <v>14.9736</v>
      </c>
    </row>
    <row r="430">
      <c r="A430" s="622" t="s">
        <v>1632</v>
      </c>
      <c r="B430" s="665" t="s">
        <v>1994</v>
      </c>
      <c r="J430" s="665"/>
    </row>
    <row r="431">
      <c r="A431" s="622"/>
      <c r="B431" s="665"/>
      <c r="C431" s="665"/>
      <c r="D431" s="625"/>
      <c r="E431" s="625"/>
      <c r="F431" s="625"/>
      <c r="G431" s="625"/>
      <c r="H431" s="625"/>
      <c r="I431" s="625"/>
      <c r="J431" s="625"/>
    </row>
    <row r="432">
      <c r="A432" s="654" t="s">
        <v>1785</v>
      </c>
      <c r="B432" s="668" t="s">
        <v>1995</v>
      </c>
      <c r="C432" s="645" t="s">
        <v>1996</v>
      </c>
      <c r="D432" s="668" t="s">
        <v>1788</v>
      </c>
      <c r="E432" s="657"/>
      <c r="F432" s="657"/>
      <c r="G432" s="657"/>
      <c r="H432" s="663">
        <f t="shared" ref="H432:J432" si="225">SUM(H434:H435)</f>
        <v>2.613</v>
      </c>
      <c r="I432" s="663">
        <f t="shared" si="225"/>
        <v>7.055</v>
      </c>
      <c r="J432" s="664">
        <f t="shared" si="225"/>
        <v>9.668</v>
      </c>
    </row>
    <row r="433">
      <c r="A433" s="622" t="s">
        <v>1732</v>
      </c>
      <c r="B433" s="622" t="s">
        <v>80</v>
      </c>
      <c r="C433" s="623" t="s">
        <v>8</v>
      </c>
      <c r="D433" s="622" t="s">
        <v>83</v>
      </c>
      <c r="E433" s="624" t="s">
        <v>1734</v>
      </c>
      <c r="F433" s="624" t="s">
        <v>1735</v>
      </c>
      <c r="G433" s="624" t="s">
        <v>1736</v>
      </c>
      <c r="H433" s="624" t="s">
        <v>1737</v>
      </c>
      <c r="I433" s="624" t="s">
        <v>1738</v>
      </c>
      <c r="J433" s="624" t="s">
        <v>14</v>
      </c>
    </row>
    <row r="434">
      <c r="A434" s="625" t="s">
        <v>218</v>
      </c>
      <c r="B434" s="625">
        <v>88316.0</v>
      </c>
      <c r="C434" s="627" t="str">
        <f>IF(A434="SINAPI-S",VLOOKUP(B434,'20-B.SINAPI-S'!A:J,2,0),IF(A434="SINAPI-I",VLOOKUP(B434,'20-A.SINAPI-I'!A:E,2,0),VLOOKUP(B434,'12.COT.MERCADO'!A:H,2,0)))</f>
        <v>SERVENTE COM ENCARGOS COMPLEMENTARES</v>
      </c>
      <c r="D434" s="628" t="str">
        <f>IF(A434="SINAPI-S",VLOOKUP(B434,'20-B.SINAPI-S'!A:J,3,0),IF(A434="SINAPI-I",VLOOKUP(B434,'20-A.SINAPI-I'!A:E,3,0),VLOOKUP(B434,'12.COT.MERCADO'!A:H,7,0)))</f>
        <v>H</v>
      </c>
      <c r="E434" s="629">
        <f>IF(A434="SINAPI-S",VLOOKUP(B434,'20-B.SINAPI-S'!A:J,5,0),IF(A434="SINAPI-I",VLOOKUP(B434,'20-A.SINAPI-I'!A:G,6,0),0))</f>
        <v>17.42</v>
      </c>
      <c r="F434" s="629">
        <f>IF(A434="SINAPI-S",VLOOKUP(B434,'20-B.SINAPI-S'!A:J,6,0),IF(A434="SINAPI-I",VLOOKUP(B434,'20-A.SINAPI-I'!A:G,7,0),VLOOKUP(B434,'12.COT.MERCADO'!A:H,8,0)))</f>
        <v>7.7</v>
      </c>
      <c r="G434" s="625">
        <v>0.15</v>
      </c>
      <c r="H434" s="629">
        <f t="shared" ref="H434:H435" si="226">E434*G434</f>
        <v>2.613</v>
      </c>
      <c r="I434" s="629">
        <f t="shared" ref="I434:I435" si="227">F434*G434</f>
        <v>1.155</v>
      </c>
      <c r="J434" s="629">
        <f t="shared" ref="J434:J435" si="228">I434+H434</f>
        <v>3.768</v>
      </c>
    </row>
    <row r="435">
      <c r="A435" s="625" t="s">
        <v>110</v>
      </c>
      <c r="B435" s="625" t="s">
        <v>1997</v>
      </c>
      <c r="C435" s="633" t="str">
        <f>IF(A435="SINAPI-S",VLOOKUP(B435,'20-B.SINAPI-S'!A:J,2,0),IF(A435="SINAPI-I",VLOOKUP(B435,'20-A.SINAPI-I'!A:E,2,0),VLOOKUP(B435,'12.COT.MERCADO'!A:H,2,0)))</f>
        <v>GRELHA REDONDA BRANCA PARA RALO DIÂMETRO DE 100MM</v>
      </c>
      <c r="D435" s="626" t="str">
        <f>IF(A435="SINAPI-S",VLOOKUP(B435,'20-B.SINAPI-S'!A:J,3,0),IF(A435="SINAPI-I",VLOOKUP(B435,'20-A.SINAPI-I'!A:E,3,0),VLOOKUP(B435,'12.COT.MERCADO'!A:H,7,0)))</f>
        <v>UN</v>
      </c>
      <c r="E435" s="629">
        <f>IF(A435="SINAPI-S",VLOOKUP(B435,'20-B.SINAPI-S'!A:J,5,0),IF(A435="SINAPI-I",VLOOKUP(B435,'20-A.SINAPI-I'!A:G,6,0),0))</f>
        <v>0</v>
      </c>
      <c r="F435" s="634">
        <f>IF(A435="SINAPI-S",VLOOKUP(B435,'20-B.SINAPI-S'!A:J,6,0),IF(A435="SINAPI-I",VLOOKUP(B435,'20-A.SINAPI-I'!A:G,7,0),VLOOKUP(B435,'12.COT.MERCADO'!A:H,8,0)))</f>
        <v>5.9</v>
      </c>
      <c r="G435" s="625">
        <v>1.0</v>
      </c>
      <c r="H435" s="629">
        <f t="shared" si="226"/>
        <v>0</v>
      </c>
      <c r="I435" s="629">
        <f t="shared" si="227"/>
        <v>5.9</v>
      </c>
      <c r="J435" s="629">
        <f t="shared" si="228"/>
        <v>5.9</v>
      </c>
    </row>
    <row r="436">
      <c r="A436" s="622" t="s">
        <v>1632</v>
      </c>
      <c r="B436" s="665" t="s">
        <v>1998</v>
      </c>
      <c r="J436" s="665"/>
    </row>
    <row r="437">
      <c r="A437" s="622"/>
      <c r="B437" s="665"/>
      <c r="C437" s="665"/>
      <c r="D437" s="625"/>
      <c r="E437" s="625"/>
      <c r="F437" s="625"/>
      <c r="G437" s="625"/>
      <c r="H437" s="625"/>
      <c r="I437" s="625"/>
      <c r="J437" s="625"/>
    </row>
    <row r="438">
      <c r="A438" s="654" t="s">
        <v>1785</v>
      </c>
      <c r="B438" s="668" t="s">
        <v>1999</v>
      </c>
      <c r="C438" s="645" t="s">
        <v>2000</v>
      </c>
      <c r="D438" s="668" t="s">
        <v>1788</v>
      </c>
      <c r="E438" s="657"/>
      <c r="F438" s="657"/>
      <c r="G438" s="657"/>
      <c r="H438" s="663">
        <f t="shared" ref="H438:J438" si="229">SUM(H440:H442)</f>
        <v>13.287</v>
      </c>
      <c r="I438" s="663">
        <f t="shared" si="229"/>
        <v>23.716</v>
      </c>
      <c r="J438" s="664">
        <f t="shared" si="229"/>
        <v>37.003</v>
      </c>
    </row>
    <row r="439">
      <c r="A439" s="622" t="s">
        <v>1732</v>
      </c>
      <c r="B439" s="622" t="s">
        <v>80</v>
      </c>
      <c r="C439" s="623" t="s">
        <v>8</v>
      </c>
      <c r="D439" s="622" t="s">
        <v>83</v>
      </c>
      <c r="E439" s="624" t="s">
        <v>1734</v>
      </c>
      <c r="F439" s="624" t="s">
        <v>1735</v>
      </c>
      <c r="G439" s="624" t="s">
        <v>1736</v>
      </c>
      <c r="H439" s="624" t="s">
        <v>1737</v>
      </c>
      <c r="I439" s="624" t="s">
        <v>1738</v>
      </c>
      <c r="J439" s="624" t="s">
        <v>14</v>
      </c>
    </row>
    <row r="440">
      <c r="A440" s="625" t="s">
        <v>218</v>
      </c>
      <c r="B440" s="626">
        <v>88264.0</v>
      </c>
      <c r="C440" s="627" t="str">
        <f>IF(A440="SINAPI-S",VLOOKUP(B440,'20-B.SINAPI-S'!A:J,2,0),IF(A440="SINAPI-I",VLOOKUP(B440,'20-A.SINAPI-I'!A:E,2,0),VLOOKUP(B440,'12.COT.MERCADO'!A:H,2,0)))</f>
        <v>ELETRICISTA COM ENCARGOS COMPLEMENTARES</v>
      </c>
      <c r="D440" s="628" t="str">
        <f>IF(A440="SINAPI-S",VLOOKUP(B440,'20-B.SINAPI-S'!A:J,3,0),IF(A440="SINAPI-I",VLOOKUP(B440,'20-A.SINAPI-I'!A:E,3,0),VLOOKUP(B440,'12.COT.MERCADO'!A:H,7,0)))</f>
        <v>H</v>
      </c>
      <c r="E440" s="629">
        <f>IF(A440="SINAPI-S",VLOOKUP(B440,'20-B.SINAPI-S'!A:J,5,0),IF(A440="SINAPI-I",VLOOKUP(B440,'20-A.SINAPI-I'!A:G,6,0),0))</f>
        <v>25.09</v>
      </c>
      <c r="F440" s="629">
        <f>IF(A440="SINAPI-S",VLOOKUP(B440,'20-B.SINAPI-S'!A:J,6,0),IF(A440="SINAPI-I",VLOOKUP(B440,'20-A.SINAPI-I'!A:G,7,0),VLOOKUP(B440,'12.COT.MERCADO'!A:H,8,0)))</f>
        <v>7.86</v>
      </c>
      <c r="G440" s="625">
        <v>0.3</v>
      </c>
      <c r="H440" s="629">
        <f t="shared" ref="H440:H442" si="230">E440*G440</f>
        <v>7.527</v>
      </c>
      <c r="I440" s="629">
        <f t="shared" ref="I440:I442" si="231">F440*G440</f>
        <v>2.358</v>
      </c>
      <c r="J440" s="629">
        <f t="shared" ref="J440:J442" si="232">I440+H440</f>
        <v>9.885</v>
      </c>
    </row>
    <row r="441">
      <c r="A441" s="625" t="s">
        <v>218</v>
      </c>
      <c r="B441" s="626">
        <v>88247.0</v>
      </c>
      <c r="C441" s="627" t="str">
        <f>IF(A441="SINAPI-S",VLOOKUP(B441,'20-B.SINAPI-S'!A:J,2,0),IF(A441="SINAPI-I",VLOOKUP(B441,'20-A.SINAPI-I'!A:E,2,0),VLOOKUP(B441,'12.COT.MERCADO'!A:H,2,0)))</f>
        <v>AUXILIAR DE ELETRICISTA COM ENCARGOS COMPLEMENTARES</v>
      </c>
      <c r="D441" s="628" t="str">
        <f>IF(A441="SINAPI-S",VLOOKUP(B441,'20-B.SINAPI-S'!A:J,3,0),IF(A441="SINAPI-I",VLOOKUP(B441,'20-A.SINAPI-I'!A:E,3,0),VLOOKUP(B441,'12.COT.MERCADO'!A:H,7,0)))</f>
        <v>H</v>
      </c>
      <c r="E441" s="629">
        <f>IF(A441="SINAPI-S",VLOOKUP(B441,'20-B.SINAPI-S'!A:J,5,0),IF(A441="SINAPI-I",VLOOKUP(B441,'20-A.SINAPI-I'!A:G,6,0),0))</f>
        <v>19.2</v>
      </c>
      <c r="F441" s="629">
        <f>IF(A441="SINAPI-S",VLOOKUP(B441,'20-B.SINAPI-S'!A:J,6,0),IF(A441="SINAPI-I",VLOOKUP(B441,'20-A.SINAPI-I'!A:G,7,0),VLOOKUP(B441,'12.COT.MERCADO'!A:H,8,0)))</f>
        <v>7.86</v>
      </c>
      <c r="G441" s="625">
        <v>0.3</v>
      </c>
      <c r="H441" s="629">
        <f t="shared" si="230"/>
        <v>5.76</v>
      </c>
      <c r="I441" s="629">
        <f t="shared" si="231"/>
        <v>2.358</v>
      </c>
      <c r="J441" s="629">
        <f t="shared" si="232"/>
        <v>8.118</v>
      </c>
    </row>
    <row r="442">
      <c r="A442" s="625" t="s">
        <v>110</v>
      </c>
      <c r="B442" s="625" t="s">
        <v>2001</v>
      </c>
      <c r="C442" s="633" t="str">
        <f>IF(A442="SINAPI-S",VLOOKUP(B442,'20-B.SINAPI-S'!A:J,2,0),IF(A442="SINAPI-I",VLOOKUP(B442,'20-A.SINAPI-I'!A:E,2,0),VLOOKUP(B442,'12.COT.MERCADO'!A:H,2,0)))</f>
        <v>CAIXA PLÁSTICA BRANCA PARA BOTÕES SINALEIROS COM UM FURO 22MM. REF. </v>
      </c>
      <c r="D442" s="626" t="str">
        <f>IF(A442="SINAPI-S",VLOOKUP(B442,'20-B.SINAPI-S'!A:J,3,0),IF(A442="SINAPI-I",VLOOKUP(B442,'20-A.SINAPI-I'!A:E,3,0),VLOOKUP(B442,'12.COT.MERCADO'!A:H,7,0)))</f>
        <v>UN</v>
      </c>
      <c r="E442" s="629">
        <f>IF(A442="SINAPI-S",VLOOKUP(B442,'20-B.SINAPI-S'!A:J,5,0),IF(A442="SINAPI-I",VLOOKUP(B442,'20-A.SINAPI-I'!A:G,6,0),0))</f>
        <v>0</v>
      </c>
      <c r="F442" s="634">
        <f>IF(A442="SINAPI-S",VLOOKUP(B442,'20-B.SINAPI-S'!A:J,6,0),IF(A442="SINAPI-I",VLOOKUP(B442,'20-A.SINAPI-I'!A:G,7,0),VLOOKUP(B442,'12.COT.MERCADO'!A:H,8,0)))</f>
        <v>19</v>
      </c>
      <c r="G442" s="625">
        <v>1.0</v>
      </c>
      <c r="H442" s="629">
        <f t="shared" si="230"/>
        <v>0</v>
      </c>
      <c r="I442" s="629">
        <f t="shared" si="231"/>
        <v>19</v>
      </c>
      <c r="J442" s="629">
        <f t="shared" si="232"/>
        <v>19</v>
      </c>
    </row>
    <row r="443">
      <c r="A443" s="622" t="s">
        <v>1632</v>
      </c>
      <c r="B443" s="665" t="s">
        <v>1994</v>
      </c>
      <c r="J443" s="665"/>
    </row>
    <row r="444">
      <c r="A444" s="622"/>
      <c r="B444" s="665"/>
      <c r="C444" s="665"/>
      <c r="D444" s="625"/>
      <c r="E444" s="625"/>
      <c r="F444" s="625"/>
      <c r="G444" s="625"/>
      <c r="H444" s="625"/>
      <c r="I444" s="625"/>
      <c r="J444" s="625"/>
    </row>
    <row r="445">
      <c r="A445" s="654" t="s">
        <v>1785</v>
      </c>
      <c r="B445" s="668" t="s">
        <v>2002</v>
      </c>
      <c r="C445" s="645" t="s">
        <v>2003</v>
      </c>
      <c r="D445" s="668" t="s">
        <v>1788</v>
      </c>
      <c r="E445" s="657"/>
      <c r="F445" s="657"/>
      <c r="G445" s="657"/>
      <c r="H445" s="663">
        <f t="shared" ref="H445:J445" si="233">SUM(H447:H449)</f>
        <v>31.003</v>
      </c>
      <c r="I445" s="663">
        <f t="shared" si="233"/>
        <v>21.904</v>
      </c>
      <c r="J445" s="664">
        <f t="shared" si="233"/>
        <v>52.907</v>
      </c>
    </row>
    <row r="446">
      <c r="A446" s="622" t="s">
        <v>1732</v>
      </c>
      <c r="B446" s="622" t="s">
        <v>80</v>
      </c>
      <c r="C446" s="623" t="s">
        <v>8</v>
      </c>
      <c r="D446" s="622" t="s">
        <v>83</v>
      </c>
      <c r="E446" s="624" t="s">
        <v>1734</v>
      </c>
      <c r="F446" s="624" t="s">
        <v>1735</v>
      </c>
      <c r="G446" s="624" t="s">
        <v>1736</v>
      </c>
      <c r="H446" s="624" t="s">
        <v>1737</v>
      </c>
      <c r="I446" s="624" t="s">
        <v>1738</v>
      </c>
      <c r="J446" s="624" t="s">
        <v>14</v>
      </c>
    </row>
    <row r="447">
      <c r="A447" s="625" t="s">
        <v>218</v>
      </c>
      <c r="B447" s="626">
        <v>88264.0</v>
      </c>
      <c r="C447" s="627" t="str">
        <f>IF(A447="SINAPI-S",VLOOKUP(B447,'20-B.SINAPI-S'!A:J,2,0),IF(A447="SINAPI-I",VLOOKUP(B447,'20-A.SINAPI-I'!A:E,2,0),VLOOKUP(B447,'12.COT.MERCADO'!A:H,2,0)))</f>
        <v>ELETRICISTA COM ENCARGOS COMPLEMENTARES</v>
      </c>
      <c r="D447" s="628" t="str">
        <f>IF(A447="SINAPI-S",VLOOKUP(B447,'20-B.SINAPI-S'!A:J,3,0),IF(A447="SINAPI-I",VLOOKUP(B447,'20-A.SINAPI-I'!A:E,3,0),VLOOKUP(B447,'12.COT.MERCADO'!A:H,7,0)))</f>
        <v>H</v>
      </c>
      <c r="E447" s="629">
        <f>IF(A447="SINAPI-S",VLOOKUP(B447,'20-B.SINAPI-S'!A:J,5,0),IF(A447="SINAPI-I",VLOOKUP(B447,'20-A.SINAPI-I'!A:G,6,0),0))</f>
        <v>25.09</v>
      </c>
      <c r="F447" s="629">
        <f>IF(A447="SINAPI-S",VLOOKUP(B447,'20-B.SINAPI-S'!A:J,6,0),IF(A447="SINAPI-I",VLOOKUP(B447,'20-A.SINAPI-I'!A:G,7,0),VLOOKUP(B447,'12.COT.MERCADO'!A:H,8,0)))</f>
        <v>7.86</v>
      </c>
      <c r="G447" s="625">
        <v>0.7</v>
      </c>
      <c r="H447" s="629">
        <f t="shared" ref="H447:H449" si="234">E447*G447</f>
        <v>17.563</v>
      </c>
      <c r="I447" s="629">
        <f t="shared" ref="I447:I449" si="235">F447*G447</f>
        <v>5.502</v>
      </c>
      <c r="J447" s="629">
        <f t="shared" ref="J447:J449" si="236">I447+H447</f>
        <v>23.065</v>
      </c>
    </row>
    <row r="448">
      <c r="A448" s="625" t="s">
        <v>218</v>
      </c>
      <c r="B448" s="626">
        <v>88247.0</v>
      </c>
      <c r="C448" s="627" t="str">
        <f>IF(A448="SINAPI-S",VLOOKUP(B448,'20-B.SINAPI-S'!A:J,2,0),IF(A448="SINAPI-I",VLOOKUP(B448,'20-A.SINAPI-I'!A:E,2,0),VLOOKUP(B448,'12.COT.MERCADO'!A:H,2,0)))</f>
        <v>AUXILIAR DE ELETRICISTA COM ENCARGOS COMPLEMENTARES</v>
      </c>
      <c r="D448" s="628" t="str">
        <f>IF(A448="SINAPI-S",VLOOKUP(B448,'20-B.SINAPI-S'!A:J,3,0),IF(A448="SINAPI-I",VLOOKUP(B448,'20-A.SINAPI-I'!A:E,3,0),VLOOKUP(B448,'12.COT.MERCADO'!A:H,7,0)))</f>
        <v>H</v>
      </c>
      <c r="E448" s="629">
        <f>IF(A448="SINAPI-S",VLOOKUP(B448,'20-B.SINAPI-S'!A:J,5,0),IF(A448="SINAPI-I",VLOOKUP(B448,'20-A.SINAPI-I'!A:G,6,0),0))</f>
        <v>19.2</v>
      </c>
      <c r="F448" s="629">
        <f>IF(A448="SINAPI-S",VLOOKUP(B448,'20-B.SINAPI-S'!A:J,6,0),IF(A448="SINAPI-I",VLOOKUP(B448,'20-A.SINAPI-I'!A:G,7,0),VLOOKUP(B448,'12.COT.MERCADO'!A:H,8,0)))</f>
        <v>7.86</v>
      </c>
      <c r="G448" s="625">
        <v>0.7</v>
      </c>
      <c r="H448" s="629">
        <f t="shared" si="234"/>
        <v>13.44</v>
      </c>
      <c r="I448" s="629">
        <f t="shared" si="235"/>
        <v>5.502</v>
      </c>
      <c r="J448" s="629">
        <f t="shared" si="236"/>
        <v>18.942</v>
      </c>
    </row>
    <row r="449">
      <c r="A449" s="625" t="s">
        <v>110</v>
      </c>
      <c r="B449" s="625" t="s">
        <v>2004</v>
      </c>
      <c r="C449" s="633" t="str">
        <f>IF(A449="SINAPI-S",VLOOKUP(B449,'20-B.SINAPI-S'!A:J,2,0),IF(A449="SINAPI-I",VLOOKUP(B449,'20-A.SINAPI-I'!A:E,2,0),VLOOKUP(B449,'12.COT.MERCADO'!A:H,2,0)))</f>
        <v>TOMADA 2P + T, ABNT, DE SOBREPOR, 20A, SISTEMA X</v>
      </c>
      <c r="D449" s="626" t="str">
        <f>IF(A449="SINAPI-S",VLOOKUP(B449,'20-B.SINAPI-S'!A:J,3,0),IF(A449="SINAPI-I",VLOOKUP(B449,'20-A.SINAPI-I'!A:E,3,0),VLOOKUP(B449,'12.COT.MERCADO'!A:H,7,0)))</f>
        <v>UN</v>
      </c>
      <c r="E449" s="629">
        <f>IF(A449="SINAPI-S",VLOOKUP(B449,'20-B.SINAPI-S'!A:J,5,0),IF(A449="SINAPI-I",VLOOKUP(B449,'20-A.SINAPI-I'!A:G,6,0),0))</f>
        <v>0</v>
      </c>
      <c r="F449" s="634">
        <f>IF(A449="SINAPI-S",VLOOKUP(B449,'20-B.SINAPI-S'!A:J,6,0),IF(A449="SINAPI-I",VLOOKUP(B449,'20-A.SINAPI-I'!A:G,7,0),VLOOKUP(B449,'12.COT.MERCADO'!A:H,8,0)))</f>
        <v>10.9</v>
      </c>
      <c r="G449" s="625">
        <v>1.0</v>
      </c>
      <c r="H449" s="629">
        <f t="shared" si="234"/>
        <v>0</v>
      </c>
      <c r="I449" s="629">
        <f t="shared" si="235"/>
        <v>10.9</v>
      </c>
      <c r="J449" s="629">
        <f t="shared" si="236"/>
        <v>10.9</v>
      </c>
    </row>
    <row r="450">
      <c r="A450" s="622" t="s">
        <v>1632</v>
      </c>
      <c r="B450" s="665" t="s">
        <v>2005</v>
      </c>
      <c r="J450" s="665"/>
    </row>
    <row r="451">
      <c r="A451" s="622"/>
      <c r="B451" s="665"/>
      <c r="C451" s="665"/>
      <c r="D451" s="625"/>
      <c r="E451" s="625"/>
      <c r="F451" s="625"/>
      <c r="G451" s="625"/>
      <c r="H451" s="625"/>
      <c r="I451" s="625"/>
      <c r="J451" s="625"/>
    </row>
    <row r="452">
      <c r="A452" s="654" t="s">
        <v>1785</v>
      </c>
      <c r="B452" s="668" t="s">
        <v>2006</v>
      </c>
      <c r="C452" s="645" t="s">
        <v>2007</v>
      </c>
      <c r="D452" s="668" t="s">
        <v>1788</v>
      </c>
      <c r="E452" s="657"/>
      <c r="F452" s="657"/>
      <c r="G452" s="657"/>
      <c r="H452" s="663">
        <f t="shared" ref="H452:J452" si="237">SUM(H454:H456)</f>
        <v>67.29</v>
      </c>
      <c r="I452" s="663">
        <f t="shared" si="237"/>
        <v>242.48</v>
      </c>
      <c r="J452" s="664">
        <f t="shared" si="237"/>
        <v>309.77</v>
      </c>
    </row>
    <row r="453">
      <c r="A453" s="622" t="s">
        <v>1732</v>
      </c>
      <c r="B453" s="622" t="s">
        <v>80</v>
      </c>
      <c r="C453" s="623" t="s">
        <v>8</v>
      </c>
      <c r="D453" s="622" t="s">
        <v>83</v>
      </c>
      <c r="E453" s="624" t="s">
        <v>1734</v>
      </c>
      <c r="F453" s="624" t="s">
        <v>1735</v>
      </c>
      <c r="G453" s="624" t="s">
        <v>1736</v>
      </c>
      <c r="H453" s="624" t="s">
        <v>1737</v>
      </c>
      <c r="I453" s="624" t="s">
        <v>1738</v>
      </c>
      <c r="J453" s="624" t="s">
        <v>14</v>
      </c>
    </row>
    <row r="454">
      <c r="A454" s="625" t="s">
        <v>218</v>
      </c>
      <c r="B454" s="625">
        <v>100307.0</v>
      </c>
      <c r="C454" s="627" t="str">
        <f>IF(A454="SINAPI-S",VLOOKUP(B454,'20-B.SINAPI-S'!A:J,2,0),IF(A454="SINAPI-I",VLOOKUP(B454,'20-A.SINAPI-I'!A:E,2,0),VLOOKUP(B454,'12.COT.MERCADO'!A:H,2,0)))</f>
        <v>MONTADOR DE ELETROELETRÔNICOS COM ENCARGOS COMPLEMENTARES</v>
      </c>
      <c r="D454" s="628" t="str">
        <f>IF(A454="SINAPI-S",VLOOKUP(B454,'20-B.SINAPI-S'!A:J,3,0),IF(A454="SINAPI-I",VLOOKUP(B454,'20-A.SINAPI-I'!A:E,3,0),VLOOKUP(B454,'12.COT.MERCADO'!A:H,7,0)))</f>
        <v>H</v>
      </c>
      <c r="E454" s="629">
        <f>IF(A454="SINAPI-S",VLOOKUP(B454,'20-B.SINAPI-S'!A:J,5,0),IF(A454="SINAPI-I",VLOOKUP(B454,'20-A.SINAPI-I'!A:G,6,0),0))</f>
        <v>21.1</v>
      </c>
      <c r="F454" s="629">
        <f>IF(A454="SINAPI-S",VLOOKUP(B454,'20-B.SINAPI-S'!A:J,6,0),IF(A454="SINAPI-I",VLOOKUP(B454,'20-A.SINAPI-I'!A:G,7,0),VLOOKUP(B454,'12.COT.MERCADO'!A:H,8,0)))</f>
        <v>7.86</v>
      </c>
      <c r="G454" s="625">
        <v>2.0</v>
      </c>
      <c r="H454" s="629">
        <f t="shared" ref="H454:H456" si="238">E454*G454</f>
        <v>42.2</v>
      </c>
      <c r="I454" s="629">
        <f t="shared" ref="I454:I456" si="239">F454*G454</f>
        <v>15.72</v>
      </c>
      <c r="J454" s="629">
        <f t="shared" ref="J454:J456" si="240">I454+H454</f>
        <v>57.92</v>
      </c>
    </row>
    <row r="455">
      <c r="A455" s="625" t="s">
        <v>218</v>
      </c>
      <c r="B455" s="626">
        <v>88264.0</v>
      </c>
      <c r="C455" s="627" t="str">
        <f>IF(A455="SINAPI-S",VLOOKUP(B455,'20-B.SINAPI-S'!A:J,2,0),IF(A455="SINAPI-I",VLOOKUP(B455,'20-A.SINAPI-I'!A:E,2,0),VLOOKUP(B455,'12.COT.MERCADO'!A:H,2,0)))</f>
        <v>ELETRICISTA COM ENCARGOS COMPLEMENTARES</v>
      </c>
      <c r="D455" s="628" t="str">
        <f>IF(A455="SINAPI-S",VLOOKUP(B455,'20-B.SINAPI-S'!A:J,3,0),IF(A455="SINAPI-I",VLOOKUP(B455,'20-A.SINAPI-I'!A:E,3,0),VLOOKUP(B455,'12.COT.MERCADO'!A:H,7,0)))</f>
        <v>H</v>
      </c>
      <c r="E455" s="629">
        <f>IF(A455="SINAPI-S",VLOOKUP(B455,'20-B.SINAPI-S'!A:J,5,0),IF(A455="SINAPI-I",VLOOKUP(B455,'20-A.SINAPI-I'!A:G,6,0),0))</f>
        <v>25.09</v>
      </c>
      <c r="F455" s="629">
        <f>IF(A455="SINAPI-S",VLOOKUP(B455,'20-B.SINAPI-S'!A:J,6,0),IF(A455="SINAPI-I",VLOOKUP(B455,'20-A.SINAPI-I'!A:G,7,0),VLOOKUP(B455,'12.COT.MERCADO'!A:H,8,0)))</f>
        <v>7.86</v>
      </c>
      <c r="G455" s="625">
        <v>1.0</v>
      </c>
      <c r="H455" s="629">
        <f t="shared" si="238"/>
        <v>25.09</v>
      </c>
      <c r="I455" s="629">
        <f t="shared" si="239"/>
        <v>7.86</v>
      </c>
      <c r="J455" s="629">
        <f t="shared" si="240"/>
        <v>32.95</v>
      </c>
    </row>
    <row r="456">
      <c r="A456" s="625" t="s">
        <v>110</v>
      </c>
      <c r="B456" s="625" t="s">
        <v>2008</v>
      </c>
      <c r="C456" s="633" t="str">
        <f>IF(A456="SINAPI-S",VLOOKUP(B456,'20-B.SINAPI-S'!A:J,2,0),IF(A456="SINAPI-I",VLOOKUP(B456,'20-A.SINAPI-I'!A:E,2,0),VLOOKUP(B456,'12.COT.MERCADO'!A:H,2,0)))</f>
        <v>TECLADO CONTROLOADOR DE ACESSO ID TOUCH PROXIMIDADE 125KHZ E SENHA. REF. CONTROL ID </v>
      </c>
      <c r="D456" s="626" t="str">
        <f>IF(A456="SINAPI-S",VLOOKUP(B456,'20-B.SINAPI-S'!A:J,3,0),IF(A456="SINAPI-I",VLOOKUP(B456,'20-A.SINAPI-I'!A:E,3,0),VLOOKUP(B456,'12.COT.MERCADO'!A:H,7,0)))</f>
        <v>UN</v>
      </c>
      <c r="E456" s="629">
        <f>IF(A456="SINAPI-S",VLOOKUP(B456,'20-B.SINAPI-S'!A:J,5,0),IF(A456="SINAPI-I",VLOOKUP(B456,'20-A.SINAPI-I'!A:G,6,0),0))</f>
        <v>0</v>
      </c>
      <c r="F456" s="634">
        <f>IF(A456="SINAPI-S",VLOOKUP(B456,'20-B.SINAPI-S'!A:J,6,0),IF(A456="SINAPI-I",VLOOKUP(B456,'20-A.SINAPI-I'!A:G,7,0),VLOOKUP(B456,'12.COT.MERCADO'!A:H,8,0)))</f>
        <v>218.9</v>
      </c>
      <c r="G456" s="625">
        <v>1.0</v>
      </c>
      <c r="H456" s="629">
        <f t="shared" si="238"/>
        <v>0</v>
      </c>
      <c r="I456" s="629">
        <f t="shared" si="239"/>
        <v>218.9</v>
      </c>
      <c r="J456" s="629">
        <f t="shared" si="240"/>
        <v>218.9</v>
      </c>
    </row>
    <row r="457">
      <c r="A457" s="622" t="s">
        <v>1632</v>
      </c>
      <c r="B457" s="665" t="s">
        <v>2009</v>
      </c>
      <c r="J457" s="665"/>
    </row>
    <row r="458">
      <c r="A458" s="622"/>
      <c r="B458" s="665"/>
      <c r="C458" s="665"/>
      <c r="D458" s="625"/>
      <c r="E458" s="625"/>
      <c r="F458" s="625"/>
      <c r="G458" s="625"/>
      <c r="H458" s="625"/>
      <c r="I458" s="625"/>
      <c r="J458" s="625"/>
    </row>
    <row r="459">
      <c r="A459" s="654" t="s">
        <v>1785</v>
      </c>
      <c r="B459" s="668" t="s">
        <v>2010</v>
      </c>
      <c r="C459" s="645" t="s">
        <v>2011</v>
      </c>
      <c r="D459" s="668" t="s">
        <v>1788</v>
      </c>
      <c r="E459" s="657"/>
      <c r="F459" s="657"/>
      <c r="G459" s="657"/>
      <c r="H459" s="663">
        <f t="shared" ref="H459:J459" si="241">SUM(H461:H463)</f>
        <v>18.305</v>
      </c>
      <c r="I459" s="663">
        <f t="shared" si="241"/>
        <v>49.618</v>
      </c>
      <c r="J459" s="664">
        <f t="shared" si="241"/>
        <v>67.923</v>
      </c>
    </row>
    <row r="460">
      <c r="A460" s="622" t="s">
        <v>1732</v>
      </c>
      <c r="B460" s="622" t="s">
        <v>80</v>
      </c>
      <c r="C460" s="623" t="s">
        <v>8</v>
      </c>
      <c r="D460" s="622" t="s">
        <v>83</v>
      </c>
      <c r="E460" s="624" t="s">
        <v>1734</v>
      </c>
      <c r="F460" s="624" t="s">
        <v>1735</v>
      </c>
      <c r="G460" s="624" t="s">
        <v>1736</v>
      </c>
      <c r="H460" s="624" t="s">
        <v>1737</v>
      </c>
      <c r="I460" s="624" t="s">
        <v>1738</v>
      </c>
      <c r="J460" s="624" t="s">
        <v>14</v>
      </c>
    </row>
    <row r="461">
      <c r="A461" s="625" t="s">
        <v>218</v>
      </c>
      <c r="B461" s="626">
        <v>88264.0</v>
      </c>
      <c r="C461" s="627" t="str">
        <f>IF(A461="SINAPI-S",VLOOKUP(B461,'20-B.SINAPI-S'!A:J,2,0),IF(A461="SINAPI-I",VLOOKUP(B461,'20-A.SINAPI-I'!A:E,2,0),VLOOKUP(B461,'12.COT.MERCADO'!A:H,2,0)))</f>
        <v>ELETRICISTA COM ENCARGOS COMPLEMENTARES</v>
      </c>
      <c r="D461" s="628" t="str">
        <f>IF(A461="SINAPI-S",VLOOKUP(B461,'20-B.SINAPI-S'!A:J,3,0),IF(A461="SINAPI-I",VLOOKUP(B461,'20-A.SINAPI-I'!A:E,3,0),VLOOKUP(B461,'12.COT.MERCADO'!A:H,7,0)))</f>
        <v>H</v>
      </c>
      <c r="E461" s="629">
        <f>IF(A461="SINAPI-S",VLOOKUP(B461,'20-B.SINAPI-S'!A:J,5,0),IF(A461="SINAPI-I",VLOOKUP(B461,'20-A.SINAPI-I'!A:G,6,0),0))</f>
        <v>25.09</v>
      </c>
      <c r="F461" s="629">
        <f>IF(A461="SINAPI-S",VLOOKUP(B461,'20-B.SINAPI-S'!A:J,6,0),IF(A461="SINAPI-I",VLOOKUP(B461,'20-A.SINAPI-I'!A:G,7,0),VLOOKUP(B461,'12.COT.MERCADO'!A:H,8,0)))</f>
        <v>7.86</v>
      </c>
      <c r="G461" s="625">
        <v>0.5</v>
      </c>
      <c r="H461" s="629">
        <f t="shared" ref="H461:H463" si="242">E461*G461</f>
        <v>12.545</v>
      </c>
      <c r="I461" s="629">
        <f t="shared" ref="I461:I463" si="243">F461*G461</f>
        <v>3.93</v>
      </c>
      <c r="J461" s="629">
        <f t="shared" ref="J461:J463" si="244">I461+H461</f>
        <v>16.475</v>
      </c>
    </row>
    <row r="462">
      <c r="A462" s="625" t="s">
        <v>218</v>
      </c>
      <c r="B462" s="626">
        <v>88247.0</v>
      </c>
      <c r="C462" s="627" t="str">
        <f>IF(A462="SINAPI-S",VLOOKUP(B462,'20-B.SINAPI-S'!A:J,2,0),IF(A462="SINAPI-I",VLOOKUP(B462,'20-A.SINAPI-I'!A:E,2,0),VLOOKUP(B462,'12.COT.MERCADO'!A:H,2,0)))</f>
        <v>AUXILIAR DE ELETRICISTA COM ENCARGOS COMPLEMENTARES</v>
      </c>
      <c r="D462" s="628" t="str">
        <f>IF(A462="SINAPI-S",VLOOKUP(B462,'20-B.SINAPI-S'!A:J,3,0),IF(A462="SINAPI-I",VLOOKUP(B462,'20-A.SINAPI-I'!A:E,3,0),VLOOKUP(B462,'12.COT.MERCADO'!A:H,7,0)))</f>
        <v>H</v>
      </c>
      <c r="E462" s="629">
        <f>IF(A462="SINAPI-S",VLOOKUP(B462,'20-B.SINAPI-S'!A:J,5,0),IF(A462="SINAPI-I",VLOOKUP(B462,'20-A.SINAPI-I'!A:G,6,0),0))</f>
        <v>19.2</v>
      </c>
      <c r="F462" s="629">
        <f>IF(A462="SINAPI-S",VLOOKUP(B462,'20-B.SINAPI-S'!A:J,6,0),IF(A462="SINAPI-I",VLOOKUP(B462,'20-A.SINAPI-I'!A:G,7,0),VLOOKUP(B462,'12.COT.MERCADO'!A:H,8,0)))</f>
        <v>7.86</v>
      </c>
      <c r="G462" s="625">
        <v>0.3</v>
      </c>
      <c r="H462" s="629">
        <f t="shared" si="242"/>
        <v>5.76</v>
      </c>
      <c r="I462" s="629">
        <f t="shared" si="243"/>
        <v>2.358</v>
      </c>
      <c r="J462" s="629">
        <f t="shared" si="244"/>
        <v>8.118</v>
      </c>
    </row>
    <row r="463">
      <c r="A463" s="625" t="s">
        <v>110</v>
      </c>
      <c r="B463" s="625" t="s">
        <v>2012</v>
      </c>
      <c r="C463" s="633" t="str">
        <f>IF(A463="SINAPI-S",VLOOKUP(B463,'20-B.SINAPI-S'!A:J,2,0),IF(A463="SINAPI-I",VLOOKUP(B463,'20-A.SINAPI-I'!A:E,2,0),VLOOKUP(B463,'12.COT.MERCADO'!A:H,2,0)))</f>
        <v>LÂMPADA LED BULBO E27, 60W DE POTÊNCIA, BRANCO FRIO</v>
      </c>
      <c r="D463" s="626" t="str">
        <f>IF(A463="SINAPI-S",VLOOKUP(B463,'20-B.SINAPI-S'!A:J,3,0),IF(A463="SINAPI-I",VLOOKUP(B463,'20-A.SINAPI-I'!A:E,3,0),VLOOKUP(B463,'12.COT.MERCADO'!A:H,7,0)))</f>
        <v>UN</v>
      </c>
      <c r="E463" s="629">
        <f>IF(A463="SINAPI-S",VLOOKUP(B463,'20-B.SINAPI-S'!A:J,5,0),IF(A463="SINAPI-I",VLOOKUP(B463,'20-A.SINAPI-I'!A:G,6,0),0))</f>
        <v>0</v>
      </c>
      <c r="F463" s="634">
        <f>IF(A463="SINAPI-S",VLOOKUP(B463,'20-B.SINAPI-S'!A:J,6,0),IF(A463="SINAPI-I",VLOOKUP(B463,'20-A.SINAPI-I'!A:G,7,0),VLOOKUP(B463,'12.COT.MERCADO'!A:H,8,0)))</f>
        <v>43.33</v>
      </c>
      <c r="G463" s="625">
        <v>1.0</v>
      </c>
      <c r="H463" s="629">
        <f t="shared" si="242"/>
        <v>0</v>
      </c>
      <c r="I463" s="629">
        <f t="shared" si="243"/>
        <v>43.33</v>
      </c>
      <c r="J463" s="629">
        <f t="shared" si="244"/>
        <v>43.33</v>
      </c>
    </row>
    <row r="464">
      <c r="A464" s="622" t="s">
        <v>1632</v>
      </c>
      <c r="B464" s="665" t="s">
        <v>2013</v>
      </c>
      <c r="J464" s="665"/>
    </row>
    <row r="465">
      <c r="A465" s="622"/>
      <c r="B465" s="665"/>
      <c r="C465" s="665"/>
      <c r="D465" s="625"/>
      <c r="E465" s="625"/>
      <c r="F465" s="625"/>
      <c r="G465" s="625"/>
      <c r="H465" s="625"/>
      <c r="I465" s="625"/>
      <c r="J465" s="625"/>
    </row>
    <row r="466">
      <c r="A466" s="654" t="s">
        <v>1785</v>
      </c>
      <c r="B466" s="668" t="s">
        <v>2014</v>
      </c>
      <c r="C466" s="645" t="s">
        <v>2015</v>
      </c>
      <c r="D466" s="668" t="s">
        <v>1788</v>
      </c>
      <c r="E466" s="657"/>
      <c r="F466" s="657"/>
      <c r="G466" s="657"/>
      <c r="H466" s="663">
        <f t="shared" ref="H466:J466" si="245">SUM(H468:H470)</f>
        <v>39.861</v>
      </c>
      <c r="I466" s="663">
        <f t="shared" si="245"/>
        <v>122.978</v>
      </c>
      <c r="J466" s="664">
        <f t="shared" si="245"/>
        <v>162.839</v>
      </c>
    </row>
    <row r="467">
      <c r="A467" s="622" t="s">
        <v>1732</v>
      </c>
      <c r="B467" s="622" t="s">
        <v>80</v>
      </c>
      <c r="C467" s="623" t="s">
        <v>8</v>
      </c>
      <c r="D467" s="622" t="s">
        <v>83</v>
      </c>
      <c r="E467" s="624" t="s">
        <v>1734</v>
      </c>
      <c r="F467" s="624" t="s">
        <v>1735</v>
      </c>
      <c r="G467" s="624" t="s">
        <v>1736</v>
      </c>
      <c r="H467" s="624" t="s">
        <v>1737</v>
      </c>
      <c r="I467" s="624" t="s">
        <v>1738</v>
      </c>
      <c r="J467" s="624" t="s">
        <v>14</v>
      </c>
    </row>
    <row r="468">
      <c r="A468" s="625" t="s">
        <v>218</v>
      </c>
      <c r="B468" s="626">
        <v>88264.0</v>
      </c>
      <c r="C468" s="627" t="str">
        <f>IF(A468="SINAPI-S",VLOOKUP(B468,'20-B.SINAPI-S'!A:J,2,0),IF(A468="SINAPI-I",VLOOKUP(B468,'20-A.SINAPI-I'!A:E,2,0),VLOOKUP(B468,'12.COT.MERCADO'!A:H,2,0)))</f>
        <v>ELETRICISTA COM ENCARGOS COMPLEMENTARES</v>
      </c>
      <c r="D468" s="628" t="str">
        <f>IF(A468="SINAPI-S",VLOOKUP(B468,'20-B.SINAPI-S'!A:J,3,0),IF(A468="SINAPI-I",VLOOKUP(B468,'20-A.SINAPI-I'!A:E,3,0),VLOOKUP(B468,'12.COT.MERCADO'!A:H,7,0)))</f>
        <v>H</v>
      </c>
      <c r="E468" s="629">
        <f>IF(A468="SINAPI-S",VLOOKUP(B468,'20-B.SINAPI-S'!A:J,5,0),IF(A468="SINAPI-I",VLOOKUP(B468,'20-A.SINAPI-I'!A:G,6,0),0))</f>
        <v>25.09</v>
      </c>
      <c r="F468" s="629">
        <f>IF(A468="SINAPI-S",VLOOKUP(B468,'20-B.SINAPI-S'!A:J,6,0),IF(A468="SINAPI-I",VLOOKUP(B468,'20-A.SINAPI-I'!A:G,7,0),VLOOKUP(B468,'12.COT.MERCADO'!A:H,8,0)))</f>
        <v>7.86</v>
      </c>
      <c r="G468" s="625">
        <v>0.9</v>
      </c>
      <c r="H468" s="629">
        <f t="shared" ref="H468:H470" si="246">E468*G468</f>
        <v>22.581</v>
      </c>
      <c r="I468" s="629">
        <f t="shared" ref="I468:I470" si="247">F468*G468</f>
        <v>7.074</v>
      </c>
      <c r="J468" s="629">
        <f t="shared" ref="J468:J470" si="248">I468+H468</f>
        <v>29.655</v>
      </c>
    </row>
    <row r="469">
      <c r="A469" s="625" t="s">
        <v>218</v>
      </c>
      <c r="B469" s="626">
        <v>88247.0</v>
      </c>
      <c r="C469" s="627" t="str">
        <f>IF(A469="SINAPI-S",VLOOKUP(B469,'20-B.SINAPI-S'!A:J,2,0),IF(A469="SINAPI-I",VLOOKUP(B469,'20-A.SINAPI-I'!A:E,2,0),VLOOKUP(B469,'12.COT.MERCADO'!A:H,2,0)))</f>
        <v>AUXILIAR DE ELETRICISTA COM ENCARGOS COMPLEMENTARES</v>
      </c>
      <c r="D469" s="628" t="str">
        <f>IF(A469="SINAPI-S",VLOOKUP(B469,'20-B.SINAPI-S'!A:J,3,0),IF(A469="SINAPI-I",VLOOKUP(B469,'20-A.SINAPI-I'!A:E,3,0),VLOOKUP(B469,'12.COT.MERCADO'!A:H,7,0)))</f>
        <v>H</v>
      </c>
      <c r="E469" s="629">
        <f>IF(A469="SINAPI-S",VLOOKUP(B469,'20-B.SINAPI-S'!A:J,5,0),IF(A469="SINAPI-I",VLOOKUP(B469,'20-A.SINAPI-I'!A:G,6,0),0))</f>
        <v>19.2</v>
      </c>
      <c r="F469" s="629">
        <f>IF(A469="SINAPI-S",VLOOKUP(B469,'20-B.SINAPI-S'!A:J,6,0),IF(A469="SINAPI-I",VLOOKUP(B469,'20-A.SINAPI-I'!A:G,7,0),VLOOKUP(B469,'12.COT.MERCADO'!A:H,8,0)))</f>
        <v>7.86</v>
      </c>
      <c r="G469" s="625">
        <v>0.9</v>
      </c>
      <c r="H469" s="629">
        <f t="shared" si="246"/>
        <v>17.28</v>
      </c>
      <c r="I469" s="629">
        <f t="shared" si="247"/>
        <v>7.074</v>
      </c>
      <c r="J469" s="629">
        <f t="shared" si="248"/>
        <v>24.354</v>
      </c>
    </row>
    <row r="470">
      <c r="A470" s="625" t="s">
        <v>286</v>
      </c>
      <c r="B470" s="625">
        <v>12359.0</v>
      </c>
      <c r="C470" s="627" t="str">
        <f>IF(A470="SINAPI-S",VLOOKUP(B470,'20-B.SINAPI-S'!A:J,2,0),IF(A470="SINAPI-I",VLOOKUP(B470,'20-A.SINAPI-I'!A:E,2,0),VLOOKUP(B470,'12.COT.MERCADO'!A:H,2,0)))</f>
        <v>RELE TERMICO BIMETAL PARA USO EM MOTORES TRIFASICOS, TENSAO 380 V, POTENCIA ATE 15 CV, CORRENTE NOMINAL MAXIMA 22 A</v>
      </c>
      <c r="D470" s="626" t="str">
        <f>IF(A470="SINAPI-S",VLOOKUP(B470,'20-B.SINAPI-S'!A:J,3,0),IF(A470="SINAPI-I",VLOOKUP(B470,'20-A.SINAPI-I'!A:E,3,0),VLOOKUP(B470,'12.COT.MERCADO'!A:H,7,0)))</f>
        <v>UN</v>
      </c>
      <c r="E470" s="629">
        <f>IF(A470="SINAPI-S",VLOOKUP(B470,'20-B.SINAPI-S'!A:J,5,0),IF(A470="SINAPI-I",VLOOKUP(B470,'20-A.SINAPI-I'!A:G,6,0),0))</f>
        <v>0</v>
      </c>
      <c r="F470" s="629">
        <f>IF(A470="SINAPI-S",VLOOKUP(B470,'20-B.SINAPI-S'!A:J,6,0),IF(A470="SINAPI-I",VLOOKUP(B470,'20-A.SINAPI-I'!A:G,7,0),VLOOKUP(B470,'12.COT.MERCADO'!A:H,8,0)))</f>
        <v>108.83</v>
      </c>
      <c r="G470" s="625">
        <v>1.0</v>
      </c>
      <c r="H470" s="629">
        <f t="shared" si="246"/>
        <v>0</v>
      </c>
      <c r="I470" s="629">
        <f t="shared" si="247"/>
        <v>108.83</v>
      </c>
      <c r="J470" s="629">
        <f t="shared" si="248"/>
        <v>108.83</v>
      </c>
    </row>
    <row r="471">
      <c r="A471" s="622" t="s">
        <v>1632</v>
      </c>
      <c r="B471" s="665" t="s">
        <v>2016</v>
      </c>
      <c r="J471" s="665"/>
    </row>
    <row r="472">
      <c r="A472" s="622"/>
      <c r="B472" s="665"/>
      <c r="C472" s="665"/>
      <c r="D472" s="625"/>
      <c r="E472" s="625"/>
      <c r="F472" s="625"/>
      <c r="G472" s="625"/>
      <c r="H472" s="625"/>
      <c r="I472" s="625"/>
      <c r="J472" s="625"/>
    </row>
    <row r="473">
      <c r="A473" s="654" t="s">
        <v>1785</v>
      </c>
      <c r="B473" s="668" t="s">
        <v>2017</v>
      </c>
      <c r="C473" s="645" t="s">
        <v>2018</v>
      </c>
      <c r="D473" s="668" t="s">
        <v>1788</v>
      </c>
      <c r="E473" s="657"/>
      <c r="F473" s="657"/>
      <c r="G473" s="657"/>
      <c r="H473" s="663">
        <f t="shared" ref="H473:J473" si="249">SUM(H475:H477)</f>
        <v>18.305</v>
      </c>
      <c r="I473" s="663">
        <f t="shared" si="249"/>
        <v>50.288</v>
      </c>
      <c r="J473" s="664">
        <f t="shared" si="249"/>
        <v>68.593</v>
      </c>
    </row>
    <row r="474">
      <c r="A474" s="622" t="s">
        <v>1732</v>
      </c>
      <c r="B474" s="622" t="s">
        <v>80</v>
      </c>
      <c r="C474" s="623" t="s">
        <v>8</v>
      </c>
      <c r="D474" s="622" t="s">
        <v>83</v>
      </c>
      <c r="E474" s="624" t="s">
        <v>1734</v>
      </c>
      <c r="F474" s="624" t="s">
        <v>1735</v>
      </c>
      <c r="G474" s="624" t="s">
        <v>1736</v>
      </c>
      <c r="H474" s="624" t="s">
        <v>1737</v>
      </c>
      <c r="I474" s="624" t="s">
        <v>1738</v>
      </c>
      <c r="J474" s="624" t="s">
        <v>14</v>
      </c>
    </row>
    <row r="475">
      <c r="A475" s="625" t="s">
        <v>218</v>
      </c>
      <c r="B475" s="626">
        <v>88264.0</v>
      </c>
      <c r="C475" s="627" t="str">
        <f>IF(A475="SINAPI-S",VLOOKUP(B475,'20-B.SINAPI-S'!A:J,2,0),IF(A475="SINAPI-I",VLOOKUP(B475,'20-A.SINAPI-I'!A:E,2,0),VLOOKUP(B475,'12.COT.MERCADO'!A:H,2,0)))</f>
        <v>ELETRICISTA COM ENCARGOS COMPLEMENTARES</v>
      </c>
      <c r="D475" s="628" t="str">
        <f>IF(A475="SINAPI-S",VLOOKUP(B475,'20-B.SINAPI-S'!A:J,3,0),IF(A475="SINAPI-I",VLOOKUP(B475,'20-A.SINAPI-I'!A:E,3,0),VLOOKUP(B475,'12.COT.MERCADO'!A:H,7,0)))</f>
        <v>H</v>
      </c>
      <c r="E475" s="629">
        <f>IF(A475="SINAPI-S",VLOOKUP(B475,'20-B.SINAPI-S'!A:J,5,0),IF(A475="SINAPI-I",VLOOKUP(B475,'20-A.SINAPI-I'!A:G,6,0),0))</f>
        <v>25.09</v>
      </c>
      <c r="F475" s="629">
        <f>IF(A475="SINAPI-S",VLOOKUP(B475,'20-B.SINAPI-S'!A:J,6,0),IF(A475="SINAPI-I",VLOOKUP(B475,'20-A.SINAPI-I'!A:G,7,0),VLOOKUP(B475,'12.COT.MERCADO'!A:H,8,0)))</f>
        <v>7.86</v>
      </c>
      <c r="G475" s="625">
        <v>0.5</v>
      </c>
      <c r="H475" s="629">
        <f t="shared" ref="H475:H477" si="250">E475*G475</f>
        <v>12.545</v>
      </c>
      <c r="I475" s="629">
        <f t="shared" ref="I475:I477" si="251">F475*G475</f>
        <v>3.93</v>
      </c>
      <c r="J475" s="629">
        <f t="shared" ref="J475:J477" si="252">I475+H475</f>
        <v>16.475</v>
      </c>
    </row>
    <row r="476">
      <c r="A476" s="625" t="s">
        <v>218</v>
      </c>
      <c r="B476" s="626">
        <v>88247.0</v>
      </c>
      <c r="C476" s="627" t="str">
        <f>IF(A476="SINAPI-S",VLOOKUP(B476,'20-B.SINAPI-S'!A:J,2,0),IF(A476="SINAPI-I",VLOOKUP(B476,'20-A.SINAPI-I'!A:E,2,0),VLOOKUP(B476,'12.COT.MERCADO'!A:H,2,0)))</f>
        <v>AUXILIAR DE ELETRICISTA COM ENCARGOS COMPLEMENTARES</v>
      </c>
      <c r="D476" s="628" t="str">
        <f>IF(A476="SINAPI-S",VLOOKUP(B476,'20-B.SINAPI-S'!A:J,3,0),IF(A476="SINAPI-I",VLOOKUP(B476,'20-A.SINAPI-I'!A:E,3,0),VLOOKUP(B476,'12.COT.MERCADO'!A:H,7,0)))</f>
        <v>H</v>
      </c>
      <c r="E476" s="629">
        <f>IF(A476="SINAPI-S",VLOOKUP(B476,'20-B.SINAPI-S'!A:J,5,0),IF(A476="SINAPI-I",VLOOKUP(B476,'20-A.SINAPI-I'!A:G,6,0),0))</f>
        <v>19.2</v>
      </c>
      <c r="F476" s="629">
        <f>IF(A476="SINAPI-S",VLOOKUP(B476,'20-B.SINAPI-S'!A:J,6,0),IF(A476="SINAPI-I",VLOOKUP(B476,'20-A.SINAPI-I'!A:G,7,0),VLOOKUP(B476,'12.COT.MERCADO'!A:H,8,0)))</f>
        <v>7.86</v>
      </c>
      <c r="G476" s="625">
        <v>0.3</v>
      </c>
      <c r="H476" s="629">
        <f t="shared" si="250"/>
        <v>5.76</v>
      </c>
      <c r="I476" s="629">
        <f t="shared" si="251"/>
        <v>2.358</v>
      </c>
      <c r="J476" s="629">
        <f t="shared" si="252"/>
        <v>8.118</v>
      </c>
    </row>
    <row r="477">
      <c r="A477" s="625" t="s">
        <v>286</v>
      </c>
      <c r="B477" s="625">
        <v>39391.0</v>
      </c>
      <c r="C477" s="627" t="str">
        <f>IF(A477="SINAPI-S",VLOOKUP(B477,'20-B.SINAPI-S'!A:J,2,0),IF(A477="SINAPI-I",VLOOKUP(B477,'20-A.SINAPI-I'!A:E,2,0),VLOOKUP(B477,'12.COT.MERCADO'!A:H,2,0)))</f>
        <v>LUMINARIA LED REFLETOR RETANGULAR BIVOLT, LUZ BRANCA, 50 W</v>
      </c>
      <c r="D477" s="626" t="str">
        <f>IF(A477="SINAPI-S",VLOOKUP(B477,'20-B.SINAPI-S'!A:J,3,0),IF(A477="SINAPI-I",VLOOKUP(B477,'20-A.SINAPI-I'!A:E,3,0),VLOOKUP(B477,'12.COT.MERCADO'!A:H,7,0)))</f>
        <v>UN</v>
      </c>
      <c r="E477" s="629">
        <f>IF(A477="SINAPI-S",VLOOKUP(B477,'20-B.SINAPI-S'!A:J,5,0),IF(A477="SINAPI-I",VLOOKUP(B477,'20-A.SINAPI-I'!A:G,6,0),0))</f>
        <v>0</v>
      </c>
      <c r="F477" s="629">
        <f>IF(A477="SINAPI-S",VLOOKUP(B477,'20-B.SINAPI-S'!A:J,6,0),IF(A477="SINAPI-I",VLOOKUP(B477,'20-A.SINAPI-I'!A:G,7,0),VLOOKUP(B477,'12.COT.MERCADO'!A:H,8,0)))</f>
        <v>44</v>
      </c>
      <c r="G477" s="625">
        <v>1.0</v>
      </c>
      <c r="H477" s="629">
        <f t="shared" si="250"/>
        <v>0</v>
      </c>
      <c r="I477" s="629">
        <f t="shared" si="251"/>
        <v>44</v>
      </c>
      <c r="J477" s="629">
        <f t="shared" si="252"/>
        <v>44</v>
      </c>
    </row>
    <row r="478">
      <c r="A478" s="622" t="s">
        <v>1632</v>
      </c>
      <c r="B478" s="665" t="s">
        <v>2019</v>
      </c>
      <c r="J478" s="665"/>
    </row>
    <row r="479">
      <c r="A479" s="622"/>
      <c r="B479" s="665"/>
      <c r="C479" s="665"/>
      <c r="D479" s="625"/>
      <c r="E479" s="625"/>
      <c r="F479" s="625"/>
      <c r="G479" s="625"/>
      <c r="H479" s="625"/>
      <c r="I479" s="625"/>
      <c r="J479" s="625"/>
    </row>
    <row r="480">
      <c r="A480" s="654" t="s">
        <v>1785</v>
      </c>
      <c r="B480" s="668" t="s">
        <v>2020</v>
      </c>
      <c r="C480" s="645" t="s">
        <v>2021</v>
      </c>
      <c r="D480" s="668" t="s">
        <v>1788</v>
      </c>
      <c r="E480" s="657"/>
      <c r="F480" s="657"/>
      <c r="G480" s="657"/>
      <c r="H480" s="663">
        <f t="shared" ref="H480:J480" si="253">SUM(H482:H484)</f>
        <v>13.287</v>
      </c>
      <c r="I480" s="663">
        <f t="shared" si="253"/>
        <v>73.466</v>
      </c>
      <c r="J480" s="664">
        <f t="shared" si="253"/>
        <v>86.753</v>
      </c>
    </row>
    <row r="481">
      <c r="A481" s="622" t="s">
        <v>1732</v>
      </c>
      <c r="B481" s="622" t="s">
        <v>80</v>
      </c>
      <c r="C481" s="623" t="s">
        <v>8</v>
      </c>
      <c r="D481" s="622" t="s">
        <v>83</v>
      </c>
      <c r="E481" s="624" t="s">
        <v>1734</v>
      </c>
      <c r="F481" s="624" t="s">
        <v>1735</v>
      </c>
      <c r="G481" s="624" t="s">
        <v>1736</v>
      </c>
      <c r="H481" s="624" t="s">
        <v>1737</v>
      </c>
      <c r="I481" s="624" t="s">
        <v>1738</v>
      </c>
      <c r="J481" s="624" t="s">
        <v>14</v>
      </c>
    </row>
    <row r="482">
      <c r="A482" s="625" t="s">
        <v>218</v>
      </c>
      <c r="B482" s="626">
        <v>88264.0</v>
      </c>
      <c r="C482" s="627" t="str">
        <f>IF(A482="SINAPI-S",VLOOKUP(B482,'20-B.SINAPI-S'!A:J,2,0),IF(A482="SINAPI-I",VLOOKUP(B482,'20-A.SINAPI-I'!A:E,2,0),VLOOKUP(B482,'12.COT.MERCADO'!A:H,2,0)))</f>
        <v>ELETRICISTA COM ENCARGOS COMPLEMENTARES</v>
      </c>
      <c r="D482" s="628" t="str">
        <f>IF(A482="SINAPI-S",VLOOKUP(B482,'20-B.SINAPI-S'!A:J,3,0),IF(A482="SINAPI-I",VLOOKUP(B482,'20-A.SINAPI-I'!A:E,3,0),VLOOKUP(B482,'12.COT.MERCADO'!A:H,7,0)))</f>
        <v>H</v>
      </c>
      <c r="E482" s="629">
        <f>IF(A482="SINAPI-S",VLOOKUP(B482,'20-B.SINAPI-S'!A:J,5,0),IF(A482="SINAPI-I",VLOOKUP(B482,'20-A.SINAPI-I'!A:G,6,0),0))</f>
        <v>25.09</v>
      </c>
      <c r="F482" s="629">
        <f>IF(A482="SINAPI-S",VLOOKUP(B482,'20-B.SINAPI-S'!A:J,6,0),IF(A482="SINAPI-I",VLOOKUP(B482,'20-A.SINAPI-I'!A:G,7,0),VLOOKUP(B482,'12.COT.MERCADO'!A:H,8,0)))</f>
        <v>7.86</v>
      </c>
      <c r="G482" s="625">
        <v>0.3</v>
      </c>
      <c r="H482" s="629">
        <f t="shared" ref="H482:H484" si="254">E482*G482</f>
        <v>7.527</v>
      </c>
      <c r="I482" s="629">
        <f t="shared" ref="I482:I484" si="255">F482*G482</f>
        <v>2.358</v>
      </c>
      <c r="J482" s="629">
        <f t="shared" ref="J482:J484" si="256">I482+H482</f>
        <v>9.885</v>
      </c>
    </row>
    <row r="483">
      <c r="A483" s="625" t="s">
        <v>218</v>
      </c>
      <c r="B483" s="626">
        <v>88247.0</v>
      </c>
      <c r="C483" s="627" t="str">
        <f>IF(A483="SINAPI-S",VLOOKUP(B483,'20-B.SINAPI-S'!A:J,2,0),IF(A483="SINAPI-I",VLOOKUP(B483,'20-A.SINAPI-I'!A:E,2,0),VLOOKUP(B483,'12.COT.MERCADO'!A:H,2,0)))</f>
        <v>AUXILIAR DE ELETRICISTA COM ENCARGOS COMPLEMENTARES</v>
      </c>
      <c r="D483" s="628" t="str">
        <f>IF(A483="SINAPI-S",VLOOKUP(B483,'20-B.SINAPI-S'!A:J,3,0),IF(A483="SINAPI-I",VLOOKUP(B483,'20-A.SINAPI-I'!A:E,3,0),VLOOKUP(B483,'12.COT.MERCADO'!A:H,7,0)))</f>
        <v>H</v>
      </c>
      <c r="E483" s="629">
        <f>IF(A483="SINAPI-S",VLOOKUP(B483,'20-B.SINAPI-S'!A:J,5,0),IF(A483="SINAPI-I",VLOOKUP(B483,'20-A.SINAPI-I'!A:G,6,0),0))</f>
        <v>19.2</v>
      </c>
      <c r="F483" s="629">
        <f>IF(A483="SINAPI-S",VLOOKUP(B483,'20-B.SINAPI-S'!A:J,6,0),IF(A483="SINAPI-I",VLOOKUP(B483,'20-A.SINAPI-I'!A:G,7,0),VLOOKUP(B483,'12.COT.MERCADO'!A:H,8,0)))</f>
        <v>7.86</v>
      </c>
      <c r="G483" s="625">
        <v>0.3</v>
      </c>
      <c r="H483" s="629">
        <f t="shared" si="254"/>
        <v>5.76</v>
      </c>
      <c r="I483" s="629">
        <f t="shared" si="255"/>
        <v>2.358</v>
      </c>
      <c r="J483" s="629">
        <f t="shared" si="256"/>
        <v>8.118</v>
      </c>
    </row>
    <row r="484">
      <c r="A484" s="625" t="s">
        <v>286</v>
      </c>
      <c r="B484" s="625">
        <v>39465.0</v>
      </c>
      <c r="C484" s="627" t="str">
        <f>IF(A484="SINAPI-S",VLOOKUP(B484,'20-B.SINAPI-S'!A:J,2,0),IF(A484="SINAPI-I",VLOOKUP(B484,'20-A.SINAPI-I'!A:E,2,0),VLOOKUP(B484,'12.COT.MERCADO'!A:H,2,0)))</f>
        <v>DISPOSITIVO DPS CLASSE II, 1 POLO, TENSAO MAXIMA DE 175 V, CORRENTE MAXIMA DE *20* KA (TIPO AC)</v>
      </c>
      <c r="D484" s="626" t="str">
        <f>IF(A484="SINAPI-S",VLOOKUP(B484,'20-B.SINAPI-S'!A:J,3,0),IF(A484="SINAPI-I",VLOOKUP(B484,'20-A.SINAPI-I'!A:E,3,0),VLOOKUP(B484,'12.COT.MERCADO'!A:H,7,0)))</f>
        <v>UN</v>
      </c>
      <c r="E484" s="629">
        <f>IF(A484="SINAPI-S",VLOOKUP(B484,'20-B.SINAPI-S'!A:J,5,0),IF(A484="SINAPI-I",VLOOKUP(B484,'20-A.SINAPI-I'!A:G,6,0),0))</f>
        <v>0</v>
      </c>
      <c r="F484" s="629">
        <f>IF(A484="SINAPI-S",VLOOKUP(B484,'20-B.SINAPI-S'!A:J,6,0),IF(A484="SINAPI-I",VLOOKUP(B484,'20-A.SINAPI-I'!A:G,7,0),VLOOKUP(B484,'12.COT.MERCADO'!A:H,8,0)))</f>
        <v>68.75</v>
      </c>
      <c r="G484" s="625">
        <v>1.0</v>
      </c>
      <c r="H484" s="629">
        <f t="shared" si="254"/>
        <v>0</v>
      </c>
      <c r="I484" s="629">
        <f t="shared" si="255"/>
        <v>68.75</v>
      </c>
      <c r="J484" s="629">
        <f t="shared" si="256"/>
        <v>68.75</v>
      </c>
    </row>
    <row r="485">
      <c r="A485" s="622" t="s">
        <v>1632</v>
      </c>
      <c r="B485" s="665" t="s">
        <v>2022</v>
      </c>
      <c r="J485" s="665"/>
    </row>
    <row r="486">
      <c r="A486" s="622"/>
      <c r="B486" s="665"/>
      <c r="C486" s="665"/>
      <c r="D486" s="625"/>
      <c r="E486" s="625"/>
      <c r="F486" s="625"/>
      <c r="G486" s="625"/>
      <c r="H486" s="625"/>
      <c r="I486" s="625"/>
      <c r="J486" s="625"/>
    </row>
    <row r="487">
      <c r="A487" s="654" t="s">
        <v>1785</v>
      </c>
      <c r="B487" s="668" t="s">
        <v>2023</v>
      </c>
      <c r="C487" s="645" t="s">
        <v>2024</v>
      </c>
      <c r="D487" s="668" t="s">
        <v>1788</v>
      </c>
      <c r="E487" s="657"/>
      <c r="F487" s="657"/>
      <c r="G487" s="657"/>
      <c r="H487" s="663">
        <f t="shared" ref="H487:J487" si="257">SUM(H489:H491)</f>
        <v>13.876</v>
      </c>
      <c r="I487" s="663">
        <f t="shared" si="257"/>
        <v>13.736</v>
      </c>
      <c r="J487" s="664">
        <f t="shared" si="257"/>
        <v>27.612</v>
      </c>
    </row>
    <row r="488">
      <c r="A488" s="622" t="s">
        <v>1732</v>
      </c>
      <c r="B488" s="622" t="s">
        <v>80</v>
      </c>
      <c r="C488" s="623" t="s">
        <v>8</v>
      </c>
      <c r="D488" s="622" t="s">
        <v>83</v>
      </c>
      <c r="E488" s="624" t="s">
        <v>1734</v>
      </c>
      <c r="F488" s="624" t="s">
        <v>1735</v>
      </c>
      <c r="G488" s="624" t="s">
        <v>1736</v>
      </c>
      <c r="H488" s="624" t="s">
        <v>1737</v>
      </c>
      <c r="I488" s="624" t="s">
        <v>1738</v>
      </c>
      <c r="J488" s="624" t="s">
        <v>14</v>
      </c>
    </row>
    <row r="489">
      <c r="A489" s="625" t="s">
        <v>218</v>
      </c>
      <c r="B489" s="626">
        <v>88264.0</v>
      </c>
      <c r="C489" s="627" t="str">
        <f>IF(A489="SINAPI-S",VLOOKUP(B489,'20-B.SINAPI-S'!A:J,2,0),IF(A489="SINAPI-I",VLOOKUP(B489,'20-A.SINAPI-I'!A:E,2,0),VLOOKUP(B489,'12.COT.MERCADO'!A:H,2,0)))</f>
        <v>ELETRICISTA COM ENCARGOS COMPLEMENTARES</v>
      </c>
      <c r="D489" s="628" t="str">
        <f>IF(A489="SINAPI-S",VLOOKUP(B489,'20-B.SINAPI-S'!A:J,3,0),IF(A489="SINAPI-I",VLOOKUP(B489,'20-A.SINAPI-I'!A:E,3,0),VLOOKUP(B489,'12.COT.MERCADO'!A:H,7,0)))</f>
        <v>H</v>
      </c>
      <c r="E489" s="629">
        <f>IF(A489="SINAPI-S",VLOOKUP(B489,'20-B.SINAPI-S'!A:J,5,0),IF(A489="SINAPI-I",VLOOKUP(B489,'20-A.SINAPI-I'!A:G,6,0),0))</f>
        <v>25.09</v>
      </c>
      <c r="F489" s="629">
        <f>IF(A489="SINAPI-S",VLOOKUP(B489,'20-B.SINAPI-S'!A:J,6,0),IF(A489="SINAPI-I",VLOOKUP(B489,'20-A.SINAPI-I'!A:G,7,0),VLOOKUP(B489,'12.COT.MERCADO'!A:H,8,0)))</f>
        <v>7.86</v>
      </c>
      <c r="G489" s="625">
        <v>0.4</v>
      </c>
      <c r="H489" s="629">
        <f t="shared" ref="H489:H491" si="258">E489*G489</f>
        <v>10.036</v>
      </c>
      <c r="I489" s="629">
        <f t="shared" ref="I489:I491" si="259">F489*G489</f>
        <v>3.144</v>
      </c>
      <c r="J489" s="629">
        <f t="shared" ref="J489:J491" si="260">I489+H489</f>
        <v>13.18</v>
      </c>
    </row>
    <row r="490">
      <c r="A490" s="625" t="s">
        <v>218</v>
      </c>
      <c r="B490" s="626">
        <v>88247.0</v>
      </c>
      <c r="C490" s="627" t="str">
        <f>IF(A490="SINAPI-S",VLOOKUP(B490,'20-B.SINAPI-S'!A:J,2,0),IF(A490="SINAPI-I",VLOOKUP(B490,'20-A.SINAPI-I'!A:E,2,0),VLOOKUP(B490,'12.COT.MERCADO'!A:H,2,0)))</f>
        <v>AUXILIAR DE ELETRICISTA COM ENCARGOS COMPLEMENTARES</v>
      </c>
      <c r="D490" s="628" t="str">
        <f>IF(A490="SINAPI-S",VLOOKUP(B490,'20-B.SINAPI-S'!A:J,3,0),IF(A490="SINAPI-I",VLOOKUP(B490,'20-A.SINAPI-I'!A:E,3,0),VLOOKUP(B490,'12.COT.MERCADO'!A:H,7,0)))</f>
        <v>H</v>
      </c>
      <c r="E490" s="629">
        <f>IF(A490="SINAPI-S",VLOOKUP(B490,'20-B.SINAPI-S'!A:J,5,0),IF(A490="SINAPI-I",VLOOKUP(B490,'20-A.SINAPI-I'!A:G,6,0),0))</f>
        <v>19.2</v>
      </c>
      <c r="F490" s="629">
        <f>IF(A490="SINAPI-S",VLOOKUP(B490,'20-B.SINAPI-S'!A:J,6,0),IF(A490="SINAPI-I",VLOOKUP(B490,'20-A.SINAPI-I'!A:G,7,0),VLOOKUP(B490,'12.COT.MERCADO'!A:H,8,0)))</f>
        <v>7.86</v>
      </c>
      <c r="G490" s="625">
        <v>0.2</v>
      </c>
      <c r="H490" s="629">
        <f t="shared" si="258"/>
        <v>3.84</v>
      </c>
      <c r="I490" s="629">
        <f t="shared" si="259"/>
        <v>1.572</v>
      </c>
      <c r="J490" s="629">
        <f t="shared" si="260"/>
        <v>5.412</v>
      </c>
    </row>
    <row r="491">
      <c r="A491" s="625" t="s">
        <v>110</v>
      </c>
      <c r="B491" s="625" t="s">
        <v>2025</v>
      </c>
      <c r="C491" s="633" t="str">
        <f>IF(A491="SINAPI-S",VLOOKUP(B491,'20-B.SINAPI-S'!A:J,2,0),IF(A491="SINAPI-I",VLOOKUP(B491,'20-A.SINAPI-I'!A:E,2,0),VLOOKUP(B491,'12.COT.MERCADO'!A:H,2,0)))</f>
        <v>CONECTOR DE DERIVAÇÃO PERFURANTE 10 A 95MM²</v>
      </c>
      <c r="D491" s="626" t="str">
        <f>IF(A491="SINAPI-S",VLOOKUP(B491,'20-B.SINAPI-S'!A:J,3,0),IF(A491="SINAPI-I",VLOOKUP(B491,'20-A.SINAPI-I'!A:E,3,0),VLOOKUP(B491,'12.COT.MERCADO'!A:H,7,0)))</f>
        <v>UN</v>
      </c>
      <c r="E491" s="629">
        <f>IF(A491="SINAPI-S",VLOOKUP(B491,'20-B.SINAPI-S'!A:J,5,0),IF(A491="SINAPI-I",VLOOKUP(B491,'20-A.SINAPI-I'!A:G,6,0),0))</f>
        <v>0</v>
      </c>
      <c r="F491" s="634">
        <f>IF(A491="SINAPI-S",VLOOKUP(B491,'20-B.SINAPI-S'!A:J,6,0),IF(A491="SINAPI-I",VLOOKUP(B491,'20-A.SINAPI-I'!A:G,7,0),VLOOKUP(B491,'12.COT.MERCADO'!A:H,8,0)))</f>
        <v>9.02</v>
      </c>
      <c r="G491" s="625">
        <v>1.0</v>
      </c>
      <c r="H491" s="629">
        <f t="shared" si="258"/>
        <v>0</v>
      </c>
      <c r="I491" s="629">
        <f t="shared" si="259"/>
        <v>9.02</v>
      </c>
      <c r="J491" s="629">
        <f t="shared" si="260"/>
        <v>9.02</v>
      </c>
    </row>
    <row r="492">
      <c r="A492" s="622" t="s">
        <v>1632</v>
      </c>
      <c r="B492" s="665" t="s">
        <v>2026</v>
      </c>
      <c r="J492" s="665"/>
    </row>
    <row r="493">
      <c r="A493" s="622"/>
      <c r="B493" s="665"/>
      <c r="C493" s="665"/>
      <c r="D493" s="625"/>
      <c r="E493" s="625"/>
      <c r="F493" s="625"/>
      <c r="G493" s="625"/>
      <c r="H493" s="625"/>
      <c r="I493" s="625"/>
      <c r="J493" s="625"/>
    </row>
    <row r="494">
      <c r="A494" s="654" t="s">
        <v>1785</v>
      </c>
      <c r="B494" s="668" t="s">
        <v>2027</v>
      </c>
      <c r="C494" s="645" t="s">
        <v>2028</v>
      </c>
      <c r="D494" s="668" t="s">
        <v>1788</v>
      </c>
      <c r="E494" s="657"/>
      <c r="F494" s="657"/>
      <c r="G494" s="657"/>
      <c r="H494" s="663">
        <f t="shared" ref="H494:J494" si="261">SUM(H496:H498)</f>
        <v>44.29</v>
      </c>
      <c r="I494" s="663">
        <f t="shared" si="261"/>
        <v>75.52</v>
      </c>
      <c r="J494" s="664">
        <f t="shared" si="261"/>
        <v>119.81</v>
      </c>
    </row>
    <row r="495">
      <c r="A495" s="622" t="s">
        <v>1732</v>
      </c>
      <c r="B495" s="622" t="s">
        <v>80</v>
      </c>
      <c r="C495" s="623" t="s">
        <v>8</v>
      </c>
      <c r="D495" s="622" t="s">
        <v>83</v>
      </c>
      <c r="E495" s="624" t="s">
        <v>1734</v>
      </c>
      <c r="F495" s="624" t="s">
        <v>1735</v>
      </c>
      <c r="G495" s="624" t="s">
        <v>1736</v>
      </c>
      <c r="H495" s="624" t="s">
        <v>1737</v>
      </c>
      <c r="I495" s="624" t="s">
        <v>1738</v>
      </c>
      <c r="J495" s="624" t="s">
        <v>14</v>
      </c>
    </row>
    <row r="496">
      <c r="A496" s="625" t="s">
        <v>218</v>
      </c>
      <c r="B496" s="626">
        <v>88264.0</v>
      </c>
      <c r="C496" s="627" t="str">
        <f>IF(A496="SINAPI-S",VLOOKUP(B496,'20-B.SINAPI-S'!A:J,2,0),IF(A496="SINAPI-I",VLOOKUP(B496,'20-A.SINAPI-I'!A:E,2,0),VLOOKUP(B496,'12.COT.MERCADO'!A:H,2,0)))</f>
        <v>ELETRICISTA COM ENCARGOS COMPLEMENTARES</v>
      </c>
      <c r="D496" s="628" t="str">
        <f>IF(A496="SINAPI-S",VLOOKUP(B496,'20-B.SINAPI-S'!A:J,3,0),IF(A496="SINAPI-I",VLOOKUP(B496,'20-A.SINAPI-I'!A:E,3,0),VLOOKUP(B496,'12.COT.MERCADO'!A:H,7,0)))</f>
        <v>H</v>
      </c>
      <c r="E496" s="629">
        <f>IF(A496="SINAPI-S",VLOOKUP(B496,'20-B.SINAPI-S'!A:J,5,0),IF(A496="SINAPI-I",VLOOKUP(B496,'20-A.SINAPI-I'!A:G,6,0),0))</f>
        <v>25.09</v>
      </c>
      <c r="F496" s="629">
        <f>IF(A496="SINAPI-S",VLOOKUP(B496,'20-B.SINAPI-S'!A:J,6,0),IF(A496="SINAPI-I",VLOOKUP(B496,'20-A.SINAPI-I'!A:G,7,0),VLOOKUP(B496,'12.COT.MERCADO'!A:H,8,0)))</f>
        <v>7.86</v>
      </c>
      <c r="G496" s="625">
        <v>1.0</v>
      </c>
      <c r="H496" s="629">
        <f t="shared" ref="H496:H498" si="262">E496*G496</f>
        <v>25.09</v>
      </c>
      <c r="I496" s="629">
        <f t="shared" ref="I496:I498" si="263">F496*G496</f>
        <v>7.86</v>
      </c>
      <c r="J496" s="629">
        <f t="shared" ref="J496:J498" si="264">I496+H496</f>
        <v>32.95</v>
      </c>
    </row>
    <row r="497">
      <c r="A497" s="625" t="s">
        <v>218</v>
      </c>
      <c r="B497" s="626">
        <v>88247.0</v>
      </c>
      <c r="C497" s="627" t="str">
        <f>IF(A497="SINAPI-S",VLOOKUP(B497,'20-B.SINAPI-S'!A:J,2,0),IF(A497="SINAPI-I",VLOOKUP(B497,'20-A.SINAPI-I'!A:E,2,0),VLOOKUP(B497,'12.COT.MERCADO'!A:H,2,0)))</f>
        <v>AUXILIAR DE ELETRICISTA COM ENCARGOS COMPLEMENTARES</v>
      </c>
      <c r="D497" s="628" t="str">
        <f>IF(A497="SINAPI-S",VLOOKUP(B497,'20-B.SINAPI-S'!A:J,3,0),IF(A497="SINAPI-I",VLOOKUP(B497,'20-A.SINAPI-I'!A:E,3,0),VLOOKUP(B497,'12.COT.MERCADO'!A:H,7,0)))</f>
        <v>H</v>
      </c>
      <c r="E497" s="629">
        <f>IF(A497="SINAPI-S",VLOOKUP(B497,'20-B.SINAPI-S'!A:J,5,0),IF(A497="SINAPI-I",VLOOKUP(B497,'20-A.SINAPI-I'!A:G,6,0),0))</f>
        <v>19.2</v>
      </c>
      <c r="F497" s="629">
        <f>IF(A497="SINAPI-S",VLOOKUP(B497,'20-B.SINAPI-S'!A:J,6,0),IF(A497="SINAPI-I",VLOOKUP(B497,'20-A.SINAPI-I'!A:G,7,0),VLOOKUP(B497,'12.COT.MERCADO'!A:H,8,0)))</f>
        <v>7.86</v>
      </c>
      <c r="G497" s="625">
        <v>1.0</v>
      </c>
      <c r="H497" s="629">
        <f t="shared" si="262"/>
        <v>19.2</v>
      </c>
      <c r="I497" s="629">
        <f t="shared" si="263"/>
        <v>7.86</v>
      </c>
      <c r="J497" s="629">
        <f t="shared" si="264"/>
        <v>27.06</v>
      </c>
    </row>
    <row r="498">
      <c r="A498" s="625" t="s">
        <v>110</v>
      </c>
      <c r="B498" s="625" t="s">
        <v>2029</v>
      </c>
      <c r="C498" s="633" t="str">
        <f>IF(A498="SINAPI-S",VLOOKUP(B498,'20-B.SINAPI-S'!A:J,2,0),IF(A498="SINAPI-I",VLOOKUP(B498,'20-A.SINAPI-I'!A:E,2,0),VLOOKUP(B498,'12.COT.MERCADO'!A:H,2,0)))</f>
        <v>KIT DE PROTECAO ARSTOP PARA AR CONDICIONADO, TOMADA PADRAO 2P+T 20 A, COM DISJUNTOR BIPOLAR DIN 20A</v>
      </c>
      <c r="D498" s="626" t="str">
        <f>IF(A498="SINAPI-S",VLOOKUP(B498,'20-B.SINAPI-S'!A:J,3,0),IF(A498="SINAPI-I",VLOOKUP(B498,'20-A.SINAPI-I'!A:E,3,0),VLOOKUP(B498,'12.COT.MERCADO'!A:H,7,0)))</f>
        <v>UN</v>
      </c>
      <c r="E498" s="629">
        <f>IF(A498="SINAPI-S",VLOOKUP(B498,'20-B.SINAPI-S'!A:J,5,0),IF(A498="SINAPI-I",VLOOKUP(B498,'20-A.SINAPI-I'!A:G,6,0),0))</f>
        <v>0</v>
      </c>
      <c r="F498" s="634">
        <f>IF(A498="SINAPI-S",VLOOKUP(B498,'20-B.SINAPI-S'!A:J,6,0),IF(A498="SINAPI-I",VLOOKUP(B498,'20-A.SINAPI-I'!A:G,7,0),VLOOKUP(B498,'12.COT.MERCADO'!A:H,8,0)))</f>
        <v>59.8</v>
      </c>
      <c r="G498" s="625">
        <v>1.0</v>
      </c>
      <c r="H498" s="629">
        <f t="shared" si="262"/>
        <v>0</v>
      </c>
      <c r="I498" s="629">
        <f t="shared" si="263"/>
        <v>59.8</v>
      </c>
      <c r="J498" s="629">
        <f t="shared" si="264"/>
        <v>59.8</v>
      </c>
    </row>
    <row r="499">
      <c r="A499" s="622" t="s">
        <v>1632</v>
      </c>
      <c r="B499" s="665" t="s">
        <v>2030</v>
      </c>
      <c r="J499" s="665"/>
    </row>
    <row r="500">
      <c r="A500" s="622"/>
      <c r="B500" s="665"/>
      <c r="C500" s="665"/>
      <c r="D500" s="625"/>
      <c r="E500" s="625"/>
      <c r="F500" s="625"/>
      <c r="G500" s="625"/>
      <c r="H500" s="625"/>
      <c r="I500" s="625"/>
      <c r="J500" s="625"/>
    </row>
    <row r="501">
      <c r="A501" s="654" t="s">
        <v>1785</v>
      </c>
      <c r="B501" s="668" t="s">
        <v>2031</v>
      </c>
      <c r="C501" s="645" t="s">
        <v>2032</v>
      </c>
      <c r="D501" s="668" t="s">
        <v>2033</v>
      </c>
      <c r="E501" s="657"/>
      <c r="F501" s="657"/>
      <c r="G501" s="657"/>
      <c r="H501" s="663">
        <f t="shared" ref="H501:J501" si="265">SUM(H503:H505)</f>
        <v>14.735</v>
      </c>
      <c r="I501" s="663">
        <f t="shared" si="265"/>
        <v>62.4295</v>
      </c>
      <c r="J501" s="664">
        <f t="shared" si="265"/>
        <v>77.1645</v>
      </c>
    </row>
    <row r="502">
      <c r="A502" s="622" t="s">
        <v>1732</v>
      </c>
      <c r="B502" s="622" t="s">
        <v>80</v>
      </c>
      <c r="C502" s="623" t="s">
        <v>8</v>
      </c>
      <c r="D502" s="622" t="s">
        <v>83</v>
      </c>
      <c r="E502" s="624" t="s">
        <v>1734</v>
      </c>
      <c r="F502" s="624" t="s">
        <v>1735</v>
      </c>
      <c r="G502" s="624" t="s">
        <v>1736</v>
      </c>
      <c r="H502" s="624" t="s">
        <v>1737</v>
      </c>
      <c r="I502" s="624" t="s">
        <v>1738</v>
      </c>
      <c r="J502" s="624" t="s">
        <v>14</v>
      </c>
    </row>
    <row r="503">
      <c r="A503" s="625" t="s">
        <v>218</v>
      </c>
      <c r="B503" s="625">
        <v>88309.0</v>
      </c>
      <c r="C503" s="627" t="str">
        <f>IF(A503="SINAPI-S",VLOOKUP(B503,'20-B.SINAPI-S'!A:J,2,0),IF(A503="SINAPI-I",VLOOKUP(B503,'20-A.SINAPI-I'!A:E,2,0),VLOOKUP(B503,'12.COT.MERCADO'!A:H,2,0)))</f>
        <v>PEDREIRO COM ENCARGOS COMPLEMENTARES</v>
      </c>
      <c r="D503" s="628" t="str">
        <f>IF(A503="SINAPI-S",VLOOKUP(B503,'20-B.SINAPI-S'!A:J,3,0),IF(A503="SINAPI-I",VLOOKUP(B503,'20-A.SINAPI-I'!A:E,3,0),VLOOKUP(B503,'12.COT.MERCADO'!A:H,7,0)))</f>
        <v>H</v>
      </c>
      <c r="E503" s="629">
        <f>IF(A503="SINAPI-S",VLOOKUP(B503,'20-B.SINAPI-S'!A:J,5,0),IF(A503="SINAPI-I",VLOOKUP(B503,'20-A.SINAPI-I'!A:G,6,0),0))</f>
        <v>24.68</v>
      </c>
      <c r="F503" s="629">
        <f>IF(A503="SINAPI-S",VLOOKUP(B503,'20-B.SINAPI-S'!A:J,6,0),IF(A503="SINAPI-I",VLOOKUP(B503,'20-A.SINAPI-I'!A:G,7,0),VLOOKUP(B503,'12.COT.MERCADO'!A:H,8,0)))</f>
        <v>7.87</v>
      </c>
      <c r="G503" s="625">
        <v>0.35</v>
      </c>
      <c r="H503" s="629">
        <f t="shared" ref="H503:H505" si="266">E503*G503</f>
        <v>8.638</v>
      </c>
      <c r="I503" s="629">
        <f t="shared" ref="I503:I505" si="267">F503*G503</f>
        <v>2.7545</v>
      </c>
      <c r="J503" s="629">
        <f t="shared" ref="J503:J505" si="268">I503+H503</f>
        <v>11.3925</v>
      </c>
    </row>
    <row r="504">
      <c r="A504" s="625" t="s">
        <v>218</v>
      </c>
      <c r="B504" s="625">
        <v>88316.0</v>
      </c>
      <c r="C504" s="627" t="str">
        <f>IF(A504="SINAPI-S",VLOOKUP(B504,'20-B.SINAPI-S'!A:J,2,0),IF(A504="SINAPI-I",VLOOKUP(B504,'20-A.SINAPI-I'!A:E,2,0),VLOOKUP(B504,'12.COT.MERCADO'!A:H,2,0)))</f>
        <v>SERVENTE COM ENCARGOS COMPLEMENTARES</v>
      </c>
      <c r="D504" s="628" t="str">
        <f>IF(A504="SINAPI-S",VLOOKUP(B504,'20-B.SINAPI-S'!A:J,3,0),IF(A504="SINAPI-I",VLOOKUP(B504,'20-A.SINAPI-I'!A:E,3,0),VLOOKUP(B504,'12.COT.MERCADO'!A:H,7,0)))</f>
        <v>H</v>
      </c>
      <c r="E504" s="629">
        <f>IF(A504="SINAPI-S",VLOOKUP(B504,'20-B.SINAPI-S'!A:J,5,0),IF(A504="SINAPI-I",VLOOKUP(B504,'20-A.SINAPI-I'!A:G,6,0),0))</f>
        <v>17.42</v>
      </c>
      <c r="F504" s="629">
        <f>IF(A504="SINAPI-S",VLOOKUP(B504,'20-B.SINAPI-S'!A:J,6,0),IF(A504="SINAPI-I",VLOOKUP(B504,'20-A.SINAPI-I'!A:G,7,0),VLOOKUP(B504,'12.COT.MERCADO'!A:H,8,0)))</f>
        <v>7.7</v>
      </c>
      <c r="G504" s="625">
        <v>0.35</v>
      </c>
      <c r="H504" s="629">
        <f t="shared" si="266"/>
        <v>6.097</v>
      </c>
      <c r="I504" s="629">
        <f t="shared" si="267"/>
        <v>2.695</v>
      </c>
      <c r="J504" s="629">
        <f t="shared" si="268"/>
        <v>8.792</v>
      </c>
    </row>
    <row r="505">
      <c r="A505" s="625" t="s">
        <v>286</v>
      </c>
      <c r="B505" s="625">
        <v>156.0</v>
      </c>
      <c r="C505" s="627" t="str">
        <f>IF(A505="SINAPI-S",VLOOKUP(B505,'20-B.SINAPI-S'!A:J,2,0),IF(A505="SINAPI-I",VLOOKUP(B505,'20-A.SINAPI-I'!A:E,2,0),VLOOKUP(B505,'12.COT.MERCADO'!A:H,2,0)))</f>
        <v>ADESIVO ESTRUTURAL A BASE DE RESINA EPOXI, BICOMPONENTE, FLUIDO</v>
      </c>
      <c r="D505" s="626" t="str">
        <f>IF(A505="SINAPI-S",VLOOKUP(B505,'20-B.SINAPI-S'!A:J,3,0),IF(A505="SINAPI-I",VLOOKUP(B505,'20-A.SINAPI-I'!A:E,3,0),VLOOKUP(B505,'12.COT.MERCADO'!A:H,7,0)))</f>
        <v>KG</v>
      </c>
      <c r="E505" s="629">
        <f>IF(A505="SINAPI-S",VLOOKUP(B505,'20-B.SINAPI-S'!A:J,5,0),IF(A505="SINAPI-I",VLOOKUP(B505,'20-A.SINAPI-I'!A:G,6,0),0))</f>
        <v>0</v>
      </c>
      <c r="F505" s="629">
        <f>IF(A505="SINAPI-S",VLOOKUP(B505,'20-B.SINAPI-S'!A:J,6,0),IF(A505="SINAPI-I",VLOOKUP(B505,'20-A.SINAPI-I'!A:G,7,0),VLOOKUP(B505,'12.COT.MERCADO'!A:H,8,0)))</f>
        <v>51.8</v>
      </c>
      <c r="G505" s="625">
        <v>1.1</v>
      </c>
      <c r="H505" s="629">
        <f t="shared" si="266"/>
        <v>0</v>
      </c>
      <c r="I505" s="629">
        <f t="shared" si="267"/>
        <v>56.98</v>
      </c>
      <c r="J505" s="629">
        <f t="shared" si="268"/>
        <v>56.98</v>
      </c>
    </row>
    <row r="506">
      <c r="A506" s="622" t="s">
        <v>1632</v>
      </c>
      <c r="B506" s="665" t="s">
        <v>2034</v>
      </c>
      <c r="J506" s="665"/>
    </row>
    <row r="507">
      <c r="A507" s="622"/>
      <c r="B507" s="665"/>
      <c r="C507" s="665"/>
      <c r="D507" s="625"/>
      <c r="E507" s="625"/>
      <c r="F507" s="625"/>
      <c r="G507" s="625"/>
      <c r="H507" s="625"/>
      <c r="I507" s="625"/>
      <c r="J507" s="625"/>
    </row>
    <row r="508">
      <c r="A508" s="654" t="s">
        <v>1785</v>
      </c>
      <c r="B508" s="668" t="s">
        <v>2035</v>
      </c>
      <c r="C508" s="645" t="s">
        <v>2036</v>
      </c>
      <c r="D508" s="668" t="s">
        <v>2033</v>
      </c>
      <c r="E508" s="657"/>
      <c r="F508" s="657"/>
      <c r="G508" s="657"/>
      <c r="H508" s="663">
        <f t="shared" ref="H508:J508" si="269">SUM(H510:H512)</f>
        <v>55.3625</v>
      </c>
      <c r="I508" s="663">
        <f t="shared" si="269"/>
        <v>395.08</v>
      </c>
      <c r="J508" s="664">
        <f t="shared" si="269"/>
        <v>450.4425</v>
      </c>
    </row>
    <row r="509">
      <c r="A509" s="622" t="s">
        <v>1732</v>
      </c>
      <c r="B509" s="622" t="s">
        <v>80</v>
      </c>
      <c r="C509" s="623" t="s">
        <v>8</v>
      </c>
      <c r="D509" s="622" t="s">
        <v>83</v>
      </c>
      <c r="E509" s="624" t="s">
        <v>1734</v>
      </c>
      <c r="F509" s="624" t="s">
        <v>1735</v>
      </c>
      <c r="G509" s="624" t="s">
        <v>1736</v>
      </c>
      <c r="H509" s="624" t="s">
        <v>1737</v>
      </c>
      <c r="I509" s="624" t="s">
        <v>1738</v>
      </c>
      <c r="J509" s="624" t="s">
        <v>14</v>
      </c>
    </row>
    <row r="510">
      <c r="A510" s="625" t="s">
        <v>218</v>
      </c>
      <c r="B510" s="626">
        <v>88264.0</v>
      </c>
      <c r="C510" s="627" t="str">
        <f>IF(A510="SINAPI-S",VLOOKUP(B510,'20-B.SINAPI-S'!A:J,2,0),IF(A510="SINAPI-I",VLOOKUP(B510,'20-A.SINAPI-I'!A:E,2,0),VLOOKUP(B510,'12.COT.MERCADO'!A:H,2,0)))</f>
        <v>ELETRICISTA COM ENCARGOS COMPLEMENTARES</v>
      </c>
      <c r="D510" s="628" t="str">
        <f>IF(A510="SINAPI-S",VLOOKUP(B510,'20-B.SINAPI-S'!A:J,3,0),IF(A510="SINAPI-I",VLOOKUP(B510,'20-A.SINAPI-I'!A:E,3,0),VLOOKUP(B510,'12.COT.MERCADO'!A:H,7,0)))</f>
        <v>H</v>
      </c>
      <c r="E510" s="629">
        <f>IF(A510="SINAPI-S",VLOOKUP(B510,'20-B.SINAPI-S'!A:J,5,0),IF(A510="SINAPI-I",VLOOKUP(B510,'20-A.SINAPI-I'!A:G,6,0),0))</f>
        <v>25.09</v>
      </c>
      <c r="F510" s="629">
        <f>IF(A510="SINAPI-S",VLOOKUP(B510,'20-B.SINAPI-S'!A:J,6,0),IF(A510="SINAPI-I",VLOOKUP(B510,'20-A.SINAPI-I'!A:G,7,0),VLOOKUP(B510,'12.COT.MERCADO'!A:H,8,0)))</f>
        <v>7.86</v>
      </c>
      <c r="G510" s="625">
        <v>1.25</v>
      </c>
      <c r="H510" s="629">
        <f t="shared" ref="H510:H512" si="270">E510*G510</f>
        <v>31.3625</v>
      </c>
      <c r="I510" s="629">
        <f t="shared" ref="I510:I512" si="271">F510*G510</f>
        <v>9.825</v>
      </c>
      <c r="J510" s="629">
        <f t="shared" ref="J510:J512" si="272">I510+H510</f>
        <v>41.1875</v>
      </c>
    </row>
    <row r="511">
      <c r="A511" s="625" t="s">
        <v>218</v>
      </c>
      <c r="B511" s="626">
        <v>88247.0</v>
      </c>
      <c r="C511" s="627" t="str">
        <f>IF(A511="SINAPI-S",VLOOKUP(B511,'20-B.SINAPI-S'!A:J,2,0),IF(A511="SINAPI-I",VLOOKUP(B511,'20-A.SINAPI-I'!A:E,2,0),VLOOKUP(B511,'12.COT.MERCADO'!A:H,2,0)))</f>
        <v>AUXILIAR DE ELETRICISTA COM ENCARGOS COMPLEMENTARES</v>
      </c>
      <c r="D511" s="628" t="str">
        <f>IF(A511="SINAPI-S",VLOOKUP(B511,'20-B.SINAPI-S'!A:J,3,0),IF(A511="SINAPI-I",VLOOKUP(B511,'20-A.SINAPI-I'!A:E,3,0),VLOOKUP(B511,'12.COT.MERCADO'!A:H,7,0)))</f>
        <v>H</v>
      </c>
      <c r="E511" s="629">
        <f>IF(A511="SINAPI-S",VLOOKUP(B511,'20-B.SINAPI-S'!A:J,5,0),IF(A511="SINAPI-I",VLOOKUP(B511,'20-A.SINAPI-I'!A:G,6,0),0))</f>
        <v>19.2</v>
      </c>
      <c r="F511" s="629">
        <f>IF(A511="SINAPI-S",VLOOKUP(B511,'20-B.SINAPI-S'!A:J,6,0),IF(A511="SINAPI-I",VLOOKUP(B511,'20-A.SINAPI-I'!A:G,7,0),VLOOKUP(B511,'12.COT.MERCADO'!A:H,8,0)))</f>
        <v>7.86</v>
      </c>
      <c r="G511" s="625">
        <v>1.25</v>
      </c>
      <c r="H511" s="629">
        <f t="shared" si="270"/>
        <v>24</v>
      </c>
      <c r="I511" s="629">
        <f t="shared" si="271"/>
        <v>9.825</v>
      </c>
      <c r="J511" s="629">
        <f t="shared" si="272"/>
        <v>33.825</v>
      </c>
    </row>
    <row r="512">
      <c r="A512" s="625" t="s">
        <v>110</v>
      </c>
      <c r="B512" s="625" t="s">
        <v>2037</v>
      </c>
      <c r="C512" s="633" t="str">
        <f>IF(A512="SINAPI-S",VLOOKUP(B512,'20-B.SINAPI-S'!A:J,2,0),IF(A512="SINAPI-I",VLOOKUP(B512,'20-A.SINAPI-I'!A:E,2,0),VLOOKUP(B512,'12.COT.MERCADO'!A:H,2,0)))</f>
        <v>QUADRO DE COMANDO DE PVC TIPO CC PLAST 30X20X17CM COM TAMPA TRANSPARENTE. REF. CEMAR</v>
      </c>
      <c r="D512" s="626" t="str">
        <f>IF(A512="SINAPI-S",VLOOKUP(B512,'20-B.SINAPI-S'!A:J,3,0),IF(A512="SINAPI-I",VLOOKUP(B512,'20-A.SINAPI-I'!A:E,3,0),VLOOKUP(B512,'12.COT.MERCADO'!A:H,7,0)))</f>
        <v>UN</v>
      </c>
      <c r="E512" s="629">
        <f>IF(A512="SINAPI-S",VLOOKUP(B512,'20-B.SINAPI-S'!A:J,5,0),IF(A512="SINAPI-I",VLOOKUP(B512,'20-A.SINAPI-I'!A:G,6,0),0))</f>
        <v>0</v>
      </c>
      <c r="F512" s="634">
        <f>IF(A512="SINAPI-S",VLOOKUP(B512,'20-B.SINAPI-S'!A:J,6,0),IF(A512="SINAPI-I",VLOOKUP(B512,'20-A.SINAPI-I'!A:G,7,0),VLOOKUP(B512,'12.COT.MERCADO'!A:H,8,0)))</f>
        <v>375.43</v>
      </c>
      <c r="G512" s="625">
        <v>1.0</v>
      </c>
      <c r="H512" s="629">
        <f t="shared" si="270"/>
        <v>0</v>
      </c>
      <c r="I512" s="629">
        <f t="shared" si="271"/>
        <v>375.43</v>
      </c>
      <c r="J512" s="629">
        <f t="shared" si="272"/>
        <v>375.43</v>
      </c>
    </row>
    <row r="513">
      <c r="A513" s="622" t="s">
        <v>1632</v>
      </c>
      <c r="B513" s="665" t="s">
        <v>2038</v>
      </c>
      <c r="J513" s="665"/>
    </row>
    <row r="514">
      <c r="A514" s="672"/>
      <c r="B514" s="673"/>
      <c r="C514" s="674"/>
      <c r="D514" s="673"/>
      <c r="E514" s="673"/>
      <c r="F514" s="673"/>
      <c r="G514" s="673"/>
      <c r="H514" s="675"/>
      <c r="I514" s="675"/>
      <c r="J514" s="676"/>
    </row>
    <row r="515">
      <c r="A515" s="653" t="s">
        <v>2039</v>
      </c>
      <c r="B515" s="36"/>
      <c r="C515" s="36"/>
      <c r="D515" s="36"/>
      <c r="E515" s="36"/>
      <c r="F515" s="36"/>
      <c r="G515" s="36"/>
      <c r="H515" s="36"/>
      <c r="I515" s="36"/>
      <c r="J515" s="189"/>
    </row>
    <row r="516">
      <c r="A516" s="672"/>
      <c r="B516" s="673"/>
      <c r="C516" s="674"/>
      <c r="D516" s="673"/>
      <c r="E516" s="673"/>
      <c r="F516" s="673"/>
      <c r="G516" s="673"/>
      <c r="H516" s="675"/>
      <c r="I516" s="675"/>
      <c r="J516" s="676"/>
    </row>
    <row r="517">
      <c r="A517" s="677" t="s">
        <v>1729</v>
      </c>
      <c r="B517" s="678" t="s">
        <v>524</v>
      </c>
      <c r="C517" s="679" t="s">
        <v>1730</v>
      </c>
      <c r="D517" s="678" t="s">
        <v>1731</v>
      </c>
      <c r="E517" s="678"/>
      <c r="F517" s="678"/>
      <c r="G517" s="678"/>
      <c r="H517" s="680">
        <f t="shared" ref="H517:J517" si="273">SUM(H519:H530)</f>
        <v>4.90609</v>
      </c>
      <c r="I517" s="680">
        <f t="shared" si="273"/>
        <v>94.88794</v>
      </c>
      <c r="J517" s="681">
        <f t="shared" si="273"/>
        <v>99.79403</v>
      </c>
    </row>
    <row r="518">
      <c r="A518" s="682" t="s">
        <v>1732</v>
      </c>
      <c r="B518" s="683" t="s">
        <v>80</v>
      </c>
      <c r="C518" s="684" t="s">
        <v>8</v>
      </c>
      <c r="D518" s="683" t="s">
        <v>1733</v>
      </c>
      <c r="E518" s="683" t="s">
        <v>1734</v>
      </c>
      <c r="F518" s="683" t="s">
        <v>1735</v>
      </c>
      <c r="G518" s="683" t="s">
        <v>1736</v>
      </c>
      <c r="H518" s="683" t="s">
        <v>1737</v>
      </c>
      <c r="I518" s="683" t="s">
        <v>1738</v>
      </c>
      <c r="J518" s="683" t="s">
        <v>14</v>
      </c>
    </row>
    <row r="519">
      <c r="A519" s="457" t="s">
        <v>218</v>
      </c>
      <c r="B519" s="685">
        <v>88316.0</v>
      </c>
      <c r="C519" s="686" t="str">
        <f>IF(A519="SINAPI-S",VLOOKUP(B519,'20-B.SINAPI-S'!A:J,2,0),IF(A519="SINAPI-I",VLOOKUP(B519,'20-A.SINAPI-I'!A:E,2,0),VLOOKUP(B519,'12.COT.MERCADO'!A:H,2,0)))</f>
        <v>SERVENTE COM ENCARGOS COMPLEMENTARES</v>
      </c>
      <c r="D519" s="687" t="str">
        <f>IF(A519="SINAPI-S",VLOOKUP(B519,'20-B.SINAPI-S'!A:J,3,0),IF(A519="SINAPI-I",VLOOKUP(B519,'20-A.SINAPI-I'!A:E,3,0),VLOOKUP(B519,'12.COT.MERCADO'!A:H,7,0)))</f>
        <v>H</v>
      </c>
      <c r="E519" s="688">
        <f>IF(A519="SINAPI-S",VLOOKUP(B519,'20-B.SINAPI-S'!A:J,5,0),IF(A519="SINAPI-I",VLOOKUP(B519,'20-A.SINAPI-I'!A:G,6,0),0))</f>
        <v>17.42</v>
      </c>
      <c r="F519" s="688">
        <f>IF(A519="SINAPI-S",VLOOKUP(B519,'20-B.SINAPI-S'!A:J,6,0),IF(A519="SINAPI-I",VLOOKUP(B519,'20-A.SINAPI-I'!A:G,7,0),VLOOKUP(B519,'12.COT.MERCADO'!A:H,8,0)))</f>
        <v>7.7</v>
      </c>
      <c r="G519" s="685">
        <f t="shared" ref="G519:G520" si="274">0.057+0.052</f>
        <v>0.109</v>
      </c>
      <c r="H519" s="688">
        <f t="shared" ref="H519:H530" si="275">E519*G519</f>
        <v>1.89878</v>
      </c>
      <c r="I519" s="688">
        <f t="shared" ref="I519:I530" si="276">F519*G519</f>
        <v>0.8393</v>
      </c>
      <c r="J519" s="688">
        <f t="shared" ref="J519:J530" si="277">I519+H519</f>
        <v>2.73808</v>
      </c>
    </row>
    <row r="520">
      <c r="A520" s="457" t="s">
        <v>218</v>
      </c>
      <c r="B520" s="685">
        <v>100308.0</v>
      </c>
      <c r="C520" s="686" t="str">
        <f>IF(A520="SINAPI-S",VLOOKUP(B520,'20-B.SINAPI-S'!A:J,2,0),IF(A520="SINAPI-I",VLOOKUP(B520,'20-A.SINAPI-I'!A:E,2,0),VLOOKUP(B520,'12.COT.MERCADO'!A:H,2,0)))</f>
        <v>MECÂNICO DE REFRIGERAÇÃO COM ENCARGOS COMPLEMENTARES</v>
      </c>
      <c r="D520" s="687" t="str">
        <f>IF(A520="SINAPI-S",VLOOKUP(B520,'20-B.SINAPI-S'!A:J,3,0),IF(A520="SINAPI-I",VLOOKUP(B520,'20-A.SINAPI-I'!A:E,3,0),VLOOKUP(B520,'12.COT.MERCADO'!A:H,7,0)))</f>
        <v>H</v>
      </c>
      <c r="E520" s="688">
        <f>IF(A520="SINAPI-S",VLOOKUP(B520,'20-B.SINAPI-S'!A:J,5,0),IF(A520="SINAPI-I",VLOOKUP(B520,'20-A.SINAPI-I'!A:G,6,0),0))</f>
        <v>27.59</v>
      </c>
      <c r="F520" s="688">
        <f>IF(A520="SINAPI-S",VLOOKUP(B520,'20-B.SINAPI-S'!A:J,6,0),IF(A520="SINAPI-I",VLOOKUP(B520,'20-A.SINAPI-I'!A:G,7,0),VLOOKUP(B520,'12.COT.MERCADO'!A:H,8,0)))</f>
        <v>7.86</v>
      </c>
      <c r="G520" s="685">
        <f t="shared" si="274"/>
        <v>0.109</v>
      </c>
      <c r="H520" s="688">
        <f t="shared" si="275"/>
        <v>3.00731</v>
      </c>
      <c r="I520" s="688">
        <f t="shared" si="276"/>
        <v>0.85674</v>
      </c>
      <c r="J520" s="688">
        <f t="shared" si="277"/>
        <v>3.86405</v>
      </c>
    </row>
    <row r="521">
      <c r="A521" s="457" t="s">
        <v>286</v>
      </c>
      <c r="B521" s="689">
        <v>4376.0</v>
      </c>
      <c r="C521" s="686" t="str">
        <f>IF(A521="SINAPI-S",VLOOKUP(B521,'20-B.SINAPI-S'!A:J,2,0),IF(A521="SINAPI-I",VLOOKUP(B521,'20-A.SINAPI-I'!A:E,2,0),VLOOKUP(B521,'12.COT.MERCADO'!A:H,2,0)))</f>
        <v>BUCHA DE NYLON SEM ABA S8</v>
      </c>
      <c r="D521" s="685" t="str">
        <f>IF(A521="SINAPI-S",VLOOKUP(B521,'20-B.SINAPI-S'!A:J,3,0),IF(A521="SINAPI-I",VLOOKUP(B521,'20-A.SINAPI-I'!A:E,3,0),VLOOKUP(B521,'12.COT.MERCADO'!A:H,7,0)))</f>
        <v>UN</v>
      </c>
      <c r="E521" s="688">
        <f>IF(A521="SINAPI-S",VLOOKUP(B521,'20-B.SINAPI-S'!A:J,5,0),IF(A521="SINAPI-I",VLOOKUP(B521,'20-A.SINAPI-I'!A:G,6,0),0))</f>
        <v>0</v>
      </c>
      <c r="F521" s="688">
        <f>IF(A521="SINAPI-S",VLOOKUP(B521,'20-B.SINAPI-S'!A:J,6,0),IF(A521="SINAPI-I",VLOOKUP(B521,'20-A.SINAPI-I'!A:G,7,0),VLOOKUP(B521,'12.COT.MERCADO'!A:H,8,0)))</f>
        <v>0.23</v>
      </c>
      <c r="G521" s="685">
        <v>2.0</v>
      </c>
      <c r="H521" s="688">
        <f t="shared" si="275"/>
        <v>0</v>
      </c>
      <c r="I521" s="688">
        <f t="shared" si="276"/>
        <v>0.46</v>
      </c>
      <c r="J521" s="688">
        <f t="shared" si="277"/>
        <v>0.46</v>
      </c>
    </row>
    <row r="522">
      <c r="A522" s="457" t="s">
        <v>286</v>
      </c>
      <c r="B522" s="689">
        <v>39662.0</v>
      </c>
      <c r="C522" s="686" t="str">
        <f>IF(A522="SINAPI-S",VLOOKUP(B522,'20-B.SINAPI-S'!A:J,2,0),IF(A522="SINAPI-I",VLOOKUP(B522,'20-A.SINAPI-I'!A:E,2,0),VLOOKUP(B522,'12.COT.MERCADO'!A:H,2,0)))</f>
        <v>TUBO DE COBRE FLEXIVEL, D = 1/4 ", E = 0,79 MM, PARA AR-CONDICIONADO/ INSTALACOES GAS RESIDENCIAIS E COMERCIAIS</v>
      </c>
      <c r="D522" s="685" t="str">
        <f>IF(A522="SINAPI-S",VLOOKUP(B522,'20-B.SINAPI-S'!A:J,3,0),IF(A522="SINAPI-I",VLOOKUP(B522,'20-A.SINAPI-I'!A:E,3,0),VLOOKUP(B522,'12.COT.MERCADO'!A:H,7,0)))</f>
        <v>M</v>
      </c>
      <c r="E522" s="688">
        <f>IF(A522="SINAPI-S",VLOOKUP(B522,'20-B.SINAPI-S'!A:J,5,0),IF(A522="SINAPI-I",VLOOKUP(B522,'20-A.SINAPI-I'!A:G,6,0),0))</f>
        <v>0</v>
      </c>
      <c r="F522" s="688">
        <f>IF(A522="SINAPI-S",VLOOKUP(B522,'20-B.SINAPI-S'!A:J,6,0),IF(A522="SINAPI-I",VLOOKUP(B522,'20-A.SINAPI-I'!A:G,7,0),VLOOKUP(B522,'12.COT.MERCADO'!A:H,8,0)))</f>
        <v>19.02</v>
      </c>
      <c r="G522" s="685">
        <v>1.05</v>
      </c>
      <c r="H522" s="688">
        <f t="shared" si="275"/>
        <v>0</v>
      </c>
      <c r="I522" s="688">
        <f t="shared" si="276"/>
        <v>19.971</v>
      </c>
      <c r="J522" s="688">
        <f t="shared" si="277"/>
        <v>19.971</v>
      </c>
    </row>
    <row r="523">
      <c r="A523" s="457" t="s">
        <v>286</v>
      </c>
      <c r="B523" s="689">
        <v>39664.0</v>
      </c>
      <c r="C523" s="686" t="str">
        <f>IF(A523="SINAPI-S",VLOOKUP(B523,'20-B.SINAPI-S'!A:J,2,0),IF(A523="SINAPI-I",VLOOKUP(B523,'20-A.SINAPI-I'!A:E,2,0),VLOOKUP(B523,'12.COT.MERCADO'!A:H,2,0)))</f>
        <v>TUBO DE COBRE FLEXIVEL, D = 3/8 ", E = 0,79 MM, PARA AR-CONDICIONADO/ INSTALACOES GAS RESIDENCIAIS E COMERCIAIS</v>
      </c>
      <c r="D523" s="685" t="str">
        <f>IF(A523="SINAPI-S",VLOOKUP(B523,'20-B.SINAPI-S'!A:J,3,0),IF(A523="SINAPI-I",VLOOKUP(B523,'20-A.SINAPI-I'!A:E,3,0),VLOOKUP(B523,'12.COT.MERCADO'!A:H,7,0)))</f>
        <v>M</v>
      </c>
      <c r="E523" s="688">
        <f>IF(A523="SINAPI-S",VLOOKUP(B523,'20-B.SINAPI-S'!A:J,5,0),IF(A523="SINAPI-I",VLOOKUP(B523,'20-A.SINAPI-I'!A:G,6,0),0))</f>
        <v>0</v>
      </c>
      <c r="F523" s="688">
        <f>IF(A523="SINAPI-S",VLOOKUP(B523,'20-B.SINAPI-S'!A:J,6,0),IF(A523="SINAPI-I",VLOOKUP(B523,'20-A.SINAPI-I'!A:G,7,0),VLOOKUP(B523,'12.COT.MERCADO'!A:H,8,0)))</f>
        <v>29.27</v>
      </c>
      <c r="G523" s="685">
        <v>1.05</v>
      </c>
      <c r="H523" s="688">
        <f t="shared" si="275"/>
        <v>0</v>
      </c>
      <c r="I523" s="688">
        <f t="shared" si="276"/>
        <v>30.7335</v>
      </c>
      <c r="J523" s="688">
        <f t="shared" si="277"/>
        <v>30.7335</v>
      </c>
    </row>
    <row r="524">
      <c r="A524" s="457" t="s">
        <v>286</v>
      </c>
      <c r="B524" s="689">
        <v>39738.0</v>
      </c>
      <c r="C524" s="686" t="str">
        <f>IF(A524="SINAPI-S",VLOOKUP(B524,'20-B.SINAPI-S'!A:J,2,0),IF(A524="SINAPI-I",VLOOKUP(B524,'20-A.SINAPI-I'!A:E,2,0),VLOOKUP(B524,'12.COT.MERCADO'!A:H,2,0)))</f>
        <v>TUBO DE BORRACHA ELASTOMERICA FLEXIVEL, PRETA, PARA ISOLAMENTO TERMICO DE TUBULACAO, DN 1/4" (6 MM), E= 9 MM, COEFICIENTE DE CONDUTIVIDADE TERMICA 0,036W/mK, VAPOR DE AGUA MAIOR OU IGUAL A 10.000</v>
      </c>
      <c r="D524" s="685" t="str">
        <f>IF(A524="SINAPI-S",VLOOKUP(B524,'20-B.SINAPI-S'!A:J,3,0),IF(A524="SINAPI-I",VLOOKUP(B524,'20-A.SINAPI-I'!A:E,3,0),VLOOKUP(B524,'12.COT.MERCADO'!A:H,7,0)))</f>
        <v>M</v>
      </c>
      <c r="E524" s="688">
        <f>IF(A524="SINAPI-S",VLOOKUP(B524,'20-B.SINAPI-S'!A:J,5,0),IF(A524="SINAPI-I",VLOOKUP(B524,'20-A.SINAPI-I'!A:G,6,0),0))</f>
        <v>0</v>
      </c>
      <c r="F524" s="688">
        <f>IF(A524="SINAPI-S",VLOOKUP(B524,'20-B.SINAPI-S'!A:J,6,0),IF(A524="SINAPI-I",VLOOKUP(B524,'20-A.SINAPI-I'!A:G,7,0),VLOOKUP(B524,'12.COT.MERCADO'!A:H,8,0)))</f>
        <v>5.13</v>
      </c>
      <c r="G524" s="685">
        <v>1.05</v>
      </c>
      <c r="H524" s="688">
        <f t="shared" si="275"/>
        <v>0</v>
      </c>
      <c r="I524" s="688">
        <f t="shared" si="276"/>
        <v>5.3865</v>
      </c>
      <c r="J524" s="688">
        <f t="shared" si="277"/>
        <v>5.3865</v>
      </c>
    </row>
    <row r="525">
      <c r="A525" s="457" t="s">
        <v>286</v>
      </c>
      <c r="B525" s="689">
        <v>39741.0</v>
      </c>
      <c r="C525" s="686" t="str">
        <f>IF(A525="SINAPI-S",VLOOKUP(B525,'20-B.SINAPI-S'!A:J,2,0),IF(A525="SINAPI-I",VLOOKUP(B525,'20-A.SINAPI-I'!A:E,2,0),VLOOKUP(B525,'12.COT.MERCADO'!A:H,2,0)))</f>
        <v>TUBO DE BORRACHA ELASTOMERICA FLEXIVEL, PRETA, PARA ISOLAMENTO TERMICO DE TUBULACAO, DN 3/8" (10 MM), E= 19 MM, COEFICIENTE DE CONDUTIVIDADE TERMICA 0,036W/mK, VAPOR DE AGUA MAIOR OU IGUAL A 10.000</v>
      </c>
      <c r="D525" s="685" t="str">
        <f>IF(A525="SINAPI-S",VLOOKUP(B525,'20-B.SINAPI-S'!A:J,3,0),IF(A525="SINAPI-I",VLOOKUP(B525,'20-A.SINAPI-I'!A:E,3,0),VLOOKUP(B525,'12.COT.MERCADO'!A:H,7,0)))</f>
        <v>M</v>
      </c>
      <c r="E525" s="688">
        <f>IF(A525="SINAPI-S",VLOOKUP(B525,'20-B.SINAPI-S'!A:J,5,0),IF(A525="SINAPI-I",VLOOKUP(B525,'20-A.SINAPI-I'!A:G,6,0),0))</f>
        <v>0</v>
      </c>
      <c r="F525" s="688">
        <f>IF(A525="SINAPI-S",VLOOKUP(B525,'20-B.SINAPI-S'!A:J,6,0),IF(A525="SINAPI-I",VLOOKUP(B525,'20-A.SINAPI-I'!A:G,7,0),VLOOKUP(B525,'12.COT.MERCADO'!A:H,8,0)))</f>
        <v>12.91</v>
      </c>
      <c r="G525" s="685">
        <v>1.05</v>
      </c>
      <c r="H525" s="688">
        <f t="shared" si="275"/>
        <v>0</v>
      </c>
      <c r="I525" s="688">
        <f t="shared" si="276"/>
        <v>13.5555</v>
      </c>
      <c r="J525" s="688">
        <f t="shared" si="277"/>
        <v>13.5555</v>
      </c>
    </row>
    <row r="526">
      <c r="A526" s="457" t="s">
        <v>110</v>
      </c>
      <c r="B526" s="689" t="s">
        <v>1739</v>
      </c>
      <c r="C526" s="690" t="str">
        <f>IF(A526="SINAPI-S",VLOOKUP(B526,'20-B.SINAPI-S'!A:J,2,0),IF(A526="SINAPI-I",VLOOKUP(B526,'20-A.SINAPI-I'!A:E,2,0),VLOOKUP(B526,'12.COT.MERCADO'!A:H,2,0)))</f>
        <v>Fita isolante de alta fusão 19 mm x 10 m </v>
      </c>
      <c r="D526" s="685" t="str">
        <f>IF(A526="SINAPI-S",VLOOKUP(B526,'20-B.SINAPI-S'!A:J,3,0),IF(A526="SINAPI-I",VLOOKUP(B526,'20-A.SINAPI-I'!A:E,3,0),VLOOKUP(B526,'12.COT.MERCADO'!A:H,7,0)))</f>
        <v>UN </v>
      </c>
      <c r="E526" s="688">
        <f>IF(A526="SINAPI-S",VLOOKUP(B526,'20-B.SINAPI-S'!A:J,5,0),IF(A526="SINAPI-I",VLOOKUP(B526,'20-A.SINAPI-I'!A:G,6,0),0))</f>
        <v>0</v>
      </c>
      <c r="F526" s="691">
        <f>IF(A526="SINAPI-S",VLOOKUP(B526,'20-B.SINAPI-S'!A:J,6,0),IF(A526="SINAPI-I",VLOOKUP(B526,'20-A.SINAPI-I'!A:G,7,0),VLOOKUP(B526,'12.COT.MERCADO'!A:H,8,0)))</f>
        <v>31.92</v>
      </c>
      <c r="G526" s="685">
        <v>0.12</v>
      </c>
      <c r="H526" s="688">
        <f t="shared" si="275"/>
        <v>0</v>
      </c>
      <c r="I526" s="688">
        <f t="shared" si="276"/>
        <v>3.8304</v>
      </c>
      <c r="J526" s="688">
        <f t="shared" si="277"/>
        <v>3.8304</v>
      </c>
    </row>
    <row r="527">
      <c r="A527" s="457" t="s">
        <v>110</v>
      </c>
      <c r="B527" s="689" t="s">
        <v>1740</v>
      </c>
      <c r="C527" s="690" t="str">
        <f>IF(A527="SINAPI-S",VLOOKUP(B527,'20-B.SINAPI-S'!A:J,2,0),IF(A527="SINAPI-I",VLOOKUP(B527,'20-A.SINAPI-I'!A:E,2,0),VLOOKUP(B527,'12.COT.MERCADO'!A:H,2,0)))</f>
        <v>Cabo de cobre PP Cordplast 3 x 2,5 mm2, 450/750v</v>
      </c>
      <c r="D527" s="685" t="str">
        <f>IF(A527="SINAPI-S",VLOOKUP(B527,'20-B.SINAPI-S'!A:J,3,0),IF(A527="SINAPI-I",VLOOKUP(B527,'20-A.SINAPI-I'!A:E,3,0),VLOOKUP(B527,'12.COT.MERCADO'!A:H,7,0)))</f>
        <v>M</v>
      </c>
      <c r="E527" s="688">
        <f>IF(A527="SINAPI-S",VLOOKUP(B527,'20-B.SINAPI-S'!A:J,5,0),IF(A527="SINAPI-I",VLOOKUP(B527,'20-A.SINAPI-I'!A:G,6,0),0))</f>
        <v>0</v>
      </c>
      <c r="F527" s="691">
        <f>IF(A527="SINAPI-S",VLOOKUP(B527,'20-B.SINAPI-S'!A:J,6,0),IF(A527="SINAPI-I",VLOOKUP(B527,'20-A.SINAPI-I'!A:G,7,0),VLOOKUP(B527,'12.COT.MERCADO'!A:H,8,0)))</f>
        <v>8.9</v>
      </c>
      <c r="G527" s="685">
        <v>1.05</v>
      </c>
      <c r="H527" s="688">
        <f t="shared" si="275"/>
        <v>0</v>
      </c>
      <c r="I527" s="688">
        <f t="shared" si="276"/>
        <v>9.345</v>
      </c>
      <c r="J527" s="688">
        <f t="shared" si="277"/>
        <v>9.345</v>
      </c>
    </row>
    <row r="528">
      <c r="A528" s="457" t="s">
        <v>110</v>
      </c>
      <c r="B528" s="689" t="s">
        <v>1741</v>
      </c>
      <c r="C528" s="690" t="str">
        <f>IF(A528="SINAPI-S",VLOOKUP(B528,'20-B.SINAPI-S'!A:J,2,0),IF(A528="SINAPI-I",VLOOKUP(B528,'20-A.SINAPI-I'!A:E,2,0),VLOOKUP(B528,'12.COT.MERCADO'!A:H,2,0)))</f>
        <v>Fita em aço 1/2" Fusimec ou similar</v>
      </c>
      <c r="D528" s="685" t="str">
        <f>IF(A528="SINAPI-S",VLOOKUP(B528,'20-B.SINAPI-S'!A:J,3,0),IF(A528="SINAPI-I",VLOOKUP(B528,'20-A.SINAPI-I'!A:E,3,0),VLOOKUP(B528,'12.COT.MERCADO'!A:H,7,0)))</f>
        <v>M</v>
      </c>
      <c r="E528" s="688">
        <f>IF(A528="SINAPI-S",VLOOKUP(B528,'20-B.SINAPI-S'!A:J,5,0),IF(A528="SINAPI-I",VLOOKUP(B528,'20-A.SINAPI-I'!A:G,6,0),0))</f>
        <v>0</v>
      </c>
      <c r="F528" s="691">
        <f>IF(A528="SINAPI-S",VLOOKUP(B528,'20-B.SINAPI-S'!A:J,6,0),IF(A528="SINAPI-I",VLOOKUP(B528,'20-A.SINAPI-I'!A:G,7,0),VLOOKUP(B528,'12.COT.MERCADO'!A:H,8,0)))</f>
        <v>2.65</v>
      </c>
      <c r="G528" s="685">
        <v>3.0</v>
      </c>
      <c r="H528" s="688">
        <f t="shared" si="275"/>
        <v>0</v>
      </c>
      <c r="I528" s="688">
        <f t="shared" si="276"/>
        <v>7.95</v>
      </c>
      <c r="J528" s="688">
        <f t="shared" si="277"/>
        <v>7.95</v>
      </c>
    </row>
    <row r="529">
      <c r="A529" s="457" t="s">
        <v>110</v>
      </c>
      <c r="B529" s="689" t="s">
        <v>1742</v>
      </c>
      <c r="C529" s="690" t="str">
        <f>IF(A529="SINAPI-S",VLOOKUP(B529,'20-B.SINAPI-S'!A:J,2,0),IF(A529="SINAPI-I",VLOOKUP(B529,'20-A.SINAPI-I'!A:E,2,0),VLOOKUP(B529,'12.COT.MERCADO'!A:H,2,0)))</f>
        <v>Parafuso de ferro zincado c/rosca 3/8 " x 1 1/2" </v>
      </c>
      <c r="D529" s="685" t="str">
        <f>IF(A529="SINAPI-S",VLOOKUP(B529,'20-B.SINAPI-S'!A:J,3,0),IF(A529="SINAPI-I",VLOOKUP(B529,'20-A.SINAPI-I'!A:E,3,0),VLOOKUP(B529,'12.COT.MERCADO'!A:H,7,0)))</f>
        <v>UN </v>
      </c>
      <c r="E529" s="688">
        <f>IF(A529="SINAPI-S",VLOOKUP(B529,'20-B.SINAPI-S'!A:J,5,0),IF(A529="SINAPI-I",VLOOKUP(B529,'20-A.SINAPI-I'!A:G,6,0),0))</f>
        <v>0</v>
      </c>
      <c r="F529" s="691">
        <f>IF(A529="SINAPI-S",VLOOKUP(B529,'20-B.SINAPI-S'!A:J,6,0),IF(A529="SINAPI-I",VLOOKUP(B529,'20-A.SINAPI-I'!A:G,7,0),VLOOKUP(B529,'12.COT.MERCADO'!A:H,8,0)))</f>
        <v>0.89</v>
      </c>
      <c r="G529" s="685">
        <v>2.0</v>
      </c>
      <c r="H529" s="688">
        <f t="shared" si="275"/>
        <v>0</v>
      </c>
      <c r="I529" s="688">
        <f t="shared" si="276"/>
        <v>1.78</v>
      </c>
      <c r="J529" s="688">
        <f t="shared" si="277"/>
        <v>1.78</v>
      </c>
    </row>
    <row r="530">
      <c r="A530" s="457" t="s">
        <v>110</v>
      </c>
      <c r="B530" s="689" t="s">
        <v>1160</v>
      </c>
      <c r="C530" s="690" t="str">
        <f>IF(A530="SINAPI-S",VLOOKUP(B530,'20-B.SINAPI-S'!A:J,2,0),IF(A530="SINAPI-I",VLOOKUP(B530,'20-A.SINAPI-I'!A:E,2,0),VLOOKUP(B530,'12.COT.MERCADO'!A:H,2,0)))</f>
        <v>Arruela lisa de aço galvanizada de Ø 1/4"</v>
      </c>
      <c r="D530" s="685" t="str">
        <f>IF(A530="SINAPI-S",VLOOKUP(B530,'20-B.SINAPI-S'!A:J,3,0),IF(A530="SINAPI-I",VLOOKUP(B530,'20-A.SINAPI-I'!A:E,3,0),VLOOKUP(B530,'12.COT.MERCADO'!A:H,7,0)))</f>
        <v>UN </v>
      </c>
      <c r="E530" s="688">
        <f>IF(A530="SINAPI-S",VLOOKUP(B530,'20-B.SINAPI-S'!A:J,5,0),IF(A530="SINAPI-I",VLOOKUP(B530,'20-A.SINAPI-I'!A:G,6,0),0))</f>
        <v>0</v>
      </c>
      <c r="F530" s="691">
        <f>IF(A530="SINAPI-S",VLOOKUP(B530,'20-B.SINAPI-S'!A:J,6,0),IF(A530="SINAPI-I",VLOOKUP(B530,'20-A.SINAPI-I'!A:G,7,0),VLOOKUP(B530,'12.COT.MERCADO'!A:H,8,0)))</f>
        <v>0.09</v>
      </c>
      <c r="G530" s="685">
        <v>2.0</v>
      </c>
      <c r="H530" s="688">
        <f t="shared" si="275"/>
        <v>0</v>
      </c>
      <c r="I530" s="688">
        <f t="shared" si="276"/>
        <v>0.18</v>
      </c>
      <c r="J530" s="688">
        <f t="shared" si="277"/>
        <v>0.18</v>
      </c>
    </row>
    <row r="531">
      <c r="A531" s="682" t="s">
        <v>1632</v>
      </c>
      <c r="B531" s="690" t="s">
        <v>1743</v>
      </c>
    </row>
    <row r="532">
      <c r="A532" s="692"/>
      <c r="B532" s="693"/>
      <c r="C532" s="694"/>
      <c r="D532" s="693"/>
      <c r="E532" s="693"/>
      <c r="F532" s="693"/>
      <c r="G532" s="693"/>
      <c r="H532" s="693"/>
      <c r="I532" s="693"/>
      <c r="J532" s="693"/>
    </row>
    <row r="533">
      <c r="A533" s="677" t="s">
        <v>1729</v>
      </c>
      <c r="B533" s="678" t="s">
        <v>526</v>
      </c>
      <c r="C533" s="679" t="s">
        <v>1744</v>
      </c>
      <c r="D533" s="678" t="s">
        <v>1731</v>
      </c>
      <c r="E533" s="678"/>
      <c r="F533" s="678"/>
      <c r="G533" s="678"/>
      <c r="H533" s="680">
        <f t="shared" ref="H533:J533" si="278">SUM(H535:H546)</f>
        <v>4.90609</v>
      </c>
      <c r="I533" s="680">
        <f t="shared" si="278"/>
        <v>107.18344</v>
      </c>
      <c r="J533" s="681">
        <f t="shared" si="278"/>
        <v>112.08953</v>
      </c>
    </row>
    <row r="534">
      <c r="A534" s="682" t="s">
        <v>1732</v>
      </c>
      <c r="B534" s="683" t="s">
        <v>80</v>
      </c>
      <c r="C534" s="684" t="s">
        <v>8</v>
      </c>
      <c r="D534" s="683" t="s">
        <v>1733</v>
      </c>
      <c r="E534" s="683" t="s">
        <v>1734</v>
      </c>
      <c r="F534" s="683" t="s">
        <v>1735</v>
      </c>
      <c r="G534" s="683" t="s">
        <v>1736</v>
      </c>
      <c r="H534" s="683" t="s">
        <v>1737</v>
      </c>
      <c r="I534" s="683" t="s">
        <v>1738</v>
      </c>
      <c r="J534" s="683" t="s">
        <v>14</v>
      </c>
    </row>
    <row r="535">
      <c r="A535" s="457" t="s">
        <v>218</v>
      </c>
      <c r="B535" s="689">
        <v>88316.0</v>
      </c>
      <c r="C535" s="686" t="str">
        <f>IF(A535="SINAPI-S",VLOOKUP(B535,'20-B.SINAPI-S'!A:J,2,0),IF(A535="SINAPI-I",VLOOKUP(B535,'20-A.SINAPI-I'!A:E,2,0),VLOOKUP(B535,'12.COT.MERCADO'!A:H,2,0)))</f>
        <v>SERVENTE COM ENCARGOS COMPLEMENTARES</v>
      </c>
      <c r="D535" s="687" t="str">
        <f>IF(A535="SINAPI-S",VLOOKUP(B535,'20-B.SINAPI-S'!A:J,3,0),IF(A535="SINAPI-I",VLOOKUP(B535,'20-A.SINAPI-I'!A:E,3,0),VLOOKUP(B535,'12.COT.MERCADO'!A:H,7,0)))</f>
        <v>H</v>
      </c>
      <c r="E535" s="688">
        <f>IF(A535="SINAPI-S",VLOOKUP(B535,'20-B.SINAPI-S'!A:J,5,0),IF(A535="SINAPI-I",VLOOKUP(B535,'20-A.SINAPI-I'!A:G,6,0),0))</f>
        <v>17.42</v>
      </c>
      <c r="F535" s="688">
        <f>IF(A535="SINAPI-S",VLOOKUP(B535,'20-B.SINAPI-S'!A:J,6,0),IF(A535="SINAPI-I",VLOOKUP(B535,'20-A.SINAPI-I'!A:G,7,0),VLOOKUP(B535,'12.COT.MERCADO'!A:H,8,0)))</f>
        <v>7.7</v>
      </c>
      <c r="G535" s="685">
        <f t="shared" ref="G535:G536" si="279">0.057+0.052</f>
        <v>0.109</v>
      </c>
      <c r="H535" s="688">
        <f t="shared" ref="H535:H546" si="280">E535*G535</f>
        <v>1.89878</v>
      </c>
      <c r="I535" s="688">
        <f t="shared" ref="I535:I546" si="281">F535*G535</f>
        <v>0.8393</v>
      </c>
      <c r="J535" s="688">
        <f t="shared" ref="J535:J546" si="282">I535+H535</f>
        <v>2.73808</v>
      </c>
    </row>
    <row r="536">
      <c r="A536" s="457" t="s">
        <v>218</v>
      </c>
      <c r="B536" s="685">
        <v>100308.0</v>
      </c>
      <c r="C536" s="686" t="str">
        <f>IF(A536="SINAPI-S",VLOOKUP(B536,'20-B.SINAPI-S'!A:J,2,0),IF(A536="SINAPI-I",VLOOKUP(B536,'20-A.SINAPI-I'!A:E,2,0),VLOOKUP(B536,'12.COT.MERCADO'!A:H,2,0)))</f>
        <v>MECÂNICO DE REFRIGERAÇÃO COM ENCARGOS COMPLEMENTARES</v>
      </c>
      <c r="D536" s="687" t="str">
        <f>IF(A536="SINAPI-S",VLOOKUP(B536,'20-B.SINAPI-S'!A:J,3,0),IF(A536="SINAPI-I",VLOOKUP(B536,'20-A.SINAPI-I'!A:E,3,0),VLOOKUP(B536,'12.COT.MERCADO'!A:H,7,0)))</f>
        <v>H</v>
      </c>
      <c r="E536" s="688">
        <f>IF(A536="SINAPI-S",VLOOKUP(B536,'20-B.SINAPI-S'!A:J,5,0),IF(A536="SINAPI-I",VLOOKUP(B536,'20-A.SINAPI-I'!A:G,6,0),0))</f>
        <v>27.59</v>
      </c>
      <c r="F536" s="688">
        <f>IF(A536="SINAPI-S",VLOOKUP(B536,'20-B.SINAPI-S'!A:J,6,0),IF(A536="SINAPI-I",VLOOKUP(B536,'20-A.SINAPI-I'!A:G,7,0),VLOOKUP(B536,'12.COT.MERCADO'!A:H,8,0)))</f>
        <v>7.86</v>
      </c>
      <c r="G536" s="685">
        <f t="shared" si="279"/>
        <v>0.109</v>
      </c>
      <c r="H536" s="688">
        <f t="shared" si="280"/>
        <v>3.00731</v>
      </c>
      <c r="I536" s="688">
        <f t="shared" si="281"/>
        <v>0.85674</v>
      </c>
      <c r="J536" s="688">
        <f t="shared" si="282"/>
        <v>3.86405</v>
      </c>
    </row>
    <row r="537">
      <c r="A537" s="457" t="s">
        <v>286</v>
      </c>
      <c r="B537" s="689">
        <v>4376.0</v>
      </c>
      <c r="C537" s="686" t="str">
        <f>IF(A537="SINAPI-S",VLOOKUP(B537,'20-B.SINAPI-S'!A:J,2,0),IF(A537="SINAPI-I",VLOOKUP(B537,'20-A.SINAPI-I'!A:E,2,0),VLOOKUP(B537,'12.COT.MERCADO'!A:H,2,0)))</f>
        <v>BUCHA DE NYLON SEM ABA S8</v>
      </c>
      <c r="D537" s="685" t="str">
        <f>IF(A537="SINAPI-S",VLOOKUP(B537,'20-B.SINAPI-S'!A:J,3,0),IF(A537="SINAPI-I",VLOOKUP(B537,'20-A.SINAPI-I'!A:E,3,0),VLOOKUP(B537,'12.COT.MERCADO'!A:H,7,0)))</f>
        <v>UN</v>
      </c>
      <c r="E537" s="688">
        <f>IF(A537="SINAPI-S",VLOOKUP(B537,'20-B.SINAPI-S'!A:J,5,0),IF(A537="SINAPI-I",VLOOKUP(B537,'20-A.SINAPI-I'!A:G,6,0),0))</f>
        <v>0</v>
      </c>
      <c r="F537" s="688">
        <f>IF(A537="SINAPI-S",VLOOKUP(B537,'20-B.SINAPI-S'!A:J,6,0),IF(A537="SINAPI-I",VLOOKUP(B537,'20-A.SINAPI-I'!A:G,7,0),VLOOKUP(B537,'12.COT.MERCADO'!A:H,8,0)))</f>
        <v>0.23</v>
      </c>
      <c r="G537" s="685">
        <v>2.0</v>
      </c>
      <c r="H537" s="688">
        <f t="shared" si="280"/>
        <v>0</v>
      </c>
      <c r="I537" s="688">
        <f t="shared" si="281"/>
        <v>0.46</v>
      </c>
      <c r="J537" s="688">
        <f t="shared" si="282"/>
        <v>0.46</v>
      </c>
    </row>
    <row r="538">
      <c r="A538" s="457" t="s">
        <v>286</v>
      </c>
      <c r="B538" s="689">
        <v>39662.0</v>
      </c>
      <c r="C538" s="686" t="str">
        <f>IF(A538="SINAPI-S",VLOOKUP(B538,'20-B.SINAPI-S'!A:J,2,0),IF(A538="SINAPI-I",VLOOKUP(B538,'20-A.SINAPI-I'!A:E,2,0),VLOOKUP(B538,'12.COT.MERCADO'!A:H,2,0)))</f>
        <v>TUBO DE COBRE FLEXIVEL, D = 1/4 ", E = 0,79 MM, PARA AR-CONDICIONADO/ INSTALACOES GAS RESIDENCIAIS E COMERCIAIS</v>
      </c>
      <c r="D538" s="685" t="str">
        <f>IF(A538="SINAPI-S",VLOOKUP(B538,'20-B.SINAPI-S'!A:J,3,0),IF(A538="SINAPI-I",VLOOKUP(B538,'20-A.SINAPI-I'!A:E,3,0),VLOOKUP(B538,'12.COT.MERCADO'!A:H,7,0)))</f>
        <v>M</v>
      </c>
      <c r="E538" s="688">
        <f>IF(A538="SINAPI-S",VLOOKUP(B538,'20-B.SINAPI-S'!A:J,5,0),IF(A538="SINAPI-I",VLOOKUP(B538,'20-A.SINAPI-I'!A:G,6,0),0))</f>
        <v>0</v>
      </c>
      <c r="F538" s="688">
        <f>IF(A538="SINAPI-S",VLOOKUP(B538,'20-B.SINAPI-S'!A:J,6,0),IF(A538="SINAPI-I",VLOOKUP(B538,'20-A.SINAPI-I'!A:G,7,0),VLOOKUP(B538,'12.COT.MERCADO'!A:H,8,0)))</f>
        <v>19.02</v>
      </c>
      <c r="G538" s="685">
        <v>1.05</v>
      </c>
      <c r="H538" s="688">
        <f t="shared" si="280"/>
        <v>0</v>
      </c>
      <c r="I538" s="688">
        <f t="shared" si="281"/>
        <v>19.971</v>
      </c>
      <c r="J538" s="688">
        <f t="shared" si="282"/>
        <v>19.971</v>
      </c>
    </row>
    <row r="539">
      <c r="A539" s="457" t="s">
        <v>286</v>
      </c>
      <c r="B539" s="689">
        <v>39660.0</v>
      </c>
      <c r="C539" s="686" t="str">
        <f>IF(A539="SINAPI-S",VLOOKUP(B539,'20-B.SINAPI-S'!A:J,2,0),IF(A539="SINAPI-I",VLOOKUP(B539,'20-A.SINAPI-I'!A:E,2,0),VLOOKUP(B539,'12.COT.MERCADO'!A:H,2,0)))</f>
        <v>TUBO DE COBRE FLEXIVEL, D = 1/2 ", E = 0,79 MM, PARA AR-CONDICIONADO/ INSTALACOES GAS RESIDENCIAIS E COMERCIAIS</v>
      </c>
      <c r="D539" s="685" t="str">
        <f>IF(A539="SINAPI-S",VLOOKUP(B539,'20-B.SINAPI-S'!A:J,3,0),IF(A539="SINAPI-I",VLOOKUP(B539,'20-A.SINAPI-I'!A:E,3,0),VLOOKUP(B539,'12.COT.MERCADO'!A:H,7,0)))</f>
        <v>M</v>
      </c>
      <c r="E539" s="688">
        <f>IF(A539="SINAPI-S",VLOOKUP(B539,'20-B.SINAPI-S'!A:J,5,0),IF(A539="SINAPI-I",VLOOKUP(B539,'20-A.SINAPI-I'!A:G,6,0),0))</f>
        <v>0</v>
      </c>
      <c r="F539" s="688">
        <f>IF(A539="SINAPI-S",VLOOKUP(B539,'20-B.SINAPI-S'!A:J,6,0),IF(A539="SINAPI-I",VLOOKUP(B539,'20-A.SINAPI-I'!A:G,7,0),VLOOKUP(B539,'12.COT.MERCADO'!A:H,8,0)))</f>
        <v>39.7</v>
      </c>
      <c r="G539" s="685">
        <v>1.05</v>
      </c>
      <c r="H539" s="688">
        <f t="shared" si="280"/>
        <v>0</v>
      </c>
      <c r="I539" s="688">
        <f t="shared" si="281"/>
        <v>41.685</v>
      </c>
      <c r="J539" s="688">
        <f t="shared" si="282"/>
        <v>41.685</v>
      </c>
    </row>
    <row r="540">
      <c r="A540" s="457" t="s">
        <v>286</v>
      </c>
      <c r="B540" s="689">
        <v>39738.0</v>
      </c>
      <c r="C540" s="686" t="str">
        <f>IF(A540="SINAPI-S",VLOOKUP(B540,'20-B.SINAPI-S'!A:J,2,0),IF(A540="SINAPI-I",VLOOKUP(B540,'20-A.SINAPI-I'!A:E,2,0),VLOOKUP(B540,'12.COT.MERCADO'!A:H,2,0)))</f>
        <v>TUBO DE BORRACHA ELASTOMERICA FLEXIVEL, PRETA, PARA ISOLAMENTO TERMICO DE TUBULACAO, DN 1/4" (6 MM), E= 9 MM, COEFICIENTE DE CONDUTIVIDADE TERMICA 0,036W/mK, VAPOR DE AGUA MAIOR OU IGUAL A 10.000</v>
      </c>
      <c r="D540" s="685" t="str">
        <f>IF(A540="SINAPI-S",VLOOKUP(B540,'20-B.SINAPI-S'!A:J,3,0),IF(A540="SINAPI-I",VLOOKUP(B540,'20-A.SINAPI-I'!A:E,3,0),VLOOKUP(B540,'12.COT.MERCADO'!A:H,7,0)))</f>
        <v>M</v>
      </c>
      <c r="E540" s="688">
        <f>IF(A540="SINAPI-S",VLOOKUP(B540,'20-B.SINAPI-S'!A:J,5,0),IF(A540="SINAPI-I",VLOOKUP(B540,'20-A.SINAPI-I'!A:G,6,0),0))</f>
        <v>0</v>
      </c>
      <c r="F540" s="688">
        <f>IF(A540="SINAPI-S",VLOOKUP(B540,'20-B.SINAPI-S'!A:J,6,0),IF(A540="SINAPI-I",VLOOKUP(B540,'20-A.SINAPI-I'!A:G,7,0),VLOOKUP(B540,'12.COT.MERCADO'!A:H,8,0)))</f>
        <v>5.13</v>
      </c>
      <c r="G540" s="685">
        <v>1.05</v>
      </c>
      <c r="H540" s="688">
        <f t="shared" si="280"/>
        <v>0</v>
      </c>
      <c r="I540" s="688">
        <f t="shared" si="281"/>
        <v>5.3865</v>
      </c>
      <c r="J540" s="688">
        <f t="shared" si="282"/>
        <v>5.3865</v>
      </c>
    </row>
    <row r="541">
      <c r="A541" s="457" t="s">
        <v>286</v>
      </c>
      <c r="B541" s="689">
        <v>39737.0</v>
      </c>
      <c r="C541" s="686" t="str">
        <f>IF(A541="SINAPI-S",VLOOKUP(B541,'20-B.SINAPI-S'!A:J,2,0),IF(A541="SINAPI-I",VLOOKUP(B541,'20-A.SINAPI-I'!A:E,2,0),VLOOKUP(B541,'12.COT.MERCADO'!A:H,2,0)))</f>
        <v>TUBO DE BORRACHA ELASTOMERICA FLEXIVEL, PRETA, PARA ISOLAMENTO TERMICO DE TUBULACAO, DN 1/2" (12 MM), E= 19 MM, COEFICIENTE DE CONDUTIVIDADE TERMICA 0,036W/mK, VAPOR DE AGUA MAIOR OU IGUAL A 10.000</v>
      </c>
      <c r="D541" s="685" t="str">
        <f>IF(A541="SINAPI-S",VLOOKUP(B541,'20-B.SINAPI-S'!A:J,3,0),IF(A541="SINAPI-I",VLOOKUP(B541,'20-A.SINAPI-I'!A:E,3,0),VLOOKUP(B541,'12.COT.MERCADO'!A:H,7,0)))</f>
        <v>M</v>
      </c>
      <c r="E541" s="688">
        <f>IF(A541="SINAPI-S",VLOOKUP(B541,'20-B.SINAPI-S'!A:J,5,0),IF(A541="SINAPI-I",VLOOKUP(B541,'20-A.SINAPI-I'!A:G,6,0),0))</f>
        <v>0</v>
      </c>
      <c r="F541" s="688">
        <f>IF(A541="SINAPI-S",VLOOKUP(B541,'20-B.SINAPI-S'!A:J,6,0),IF(A541="SINAPI-I",VLOOKUP(B541,'20-A.SINAPI-I'!A:G,7,0),VLOOKUP(B541,'12.COT.MERCADO'!A:H,8,0)))</f>
        <v>14.19</v>
      </c>
      <c r="G541" s="685">
        <v>1.05</v>
      </c>
      <c r="H541" s="688">
        <f t="shared" si="280"/>
        <v>0</v>
      </c>
      <c r="I541" s="688">
        <f t="shared" si="281"/>
        <v>14.8995</v>
      </c>
      <c r="J541" s="688">
        <f t="shared" si="282"/>
        <v>14.8995</v>
      </c>
    </row>
    <row r="542">
      <c r="A542" s="457" t="s">
        <v>110</v>
      </c>
      <c r="B542" s="689" t="s">
        <v>1739</v>
      </c>
      <c r="C542" s="690" t="str">
        <f>IF(A542="SINAPI-S",VLOOKUP(B542,'20-B.SINAPI-S'!A:J,2,0),IF(A542="SINAPI-I",VLOOKUP(B542,'20-A.SINAPI-I'!A:E,2,0),VLOOKUP(B542,'12.COT.MERCADO'!A:H,2,0)))</f>
        <v>Fita isolante de alta fusão 19 mm x 10 m </v>
      </c>
      <c r="D542" s="685" t="str">
        <f>IF(A542="SINAPI-S",VLOOKUP(B542,'20-B.SINAPI-S'!A:J,3,0),IF(A542="SINAPI-I",VLOOKUP(B542,'20-A.SINAPI-I'!A:E,3,0),VLOOKUP(B542,'12.COT.MERCADO'!A:H,7,0)))</f>
        <v>UN </v>
      </c>
      <c r="E542" s="688">
        <f>IF(A542="SINAPI-S",VLOOKUP(B542,'20-B.SINAPI-S'!A:J,5,0),IF(A542="SINAPI-I",VLOOKUP(B542,'20-A.SINAPI-I'!A:G,6,0),0))</f>
        <v>0</v>
      </c>
      <c r="F542" s="691">
        <f>IF(A542="SINAPI-S",VLOOKUP(B542,'20-B.SINAPI-S'!A:J,6,0),IF(A542="SINAPI-I",VLOOKUP(B542,'20-A.SINAPI-I'!A:G,7,0),VLOOKUP(B542,'12.COT.MERCADO'!A:H,8,0)))</f>
        <v>31.92</v>
      </c>
      <c r="G542" s="685">
        <v>0.12</v>
      </c>
      <c r="H542" s="688">
        <f t="shared" si="280"/>
        <v>0</v>
      </c>
      <c r="I542" s="688">
        <f t="shared" si="281"/>
        <v>3.8304</v>
      </c>
      <c r="J542" s="688">
        <f t="shared" si="282"/>
        <v>3.8304</v>
      </c>
    </row>
    <row r="543">
      <c r="A543" s="457" t="s">
        <v>110</v>
      </c>
      <c r="B543" s="689" t="s">
        <v>1740</v>
      </c>
      <c r="C543" s="690" t="str">
        <f>IF(A543="SINAPI-S",VLOOKUP(B543,'20-B.SINAPI-S'!A:J,2,0),IF(A543="SINAPI-I",VLOOKUP(B543,'20-A.SINAPI-I'!A:E,2,0),VLOOKUP(B543,'12.COT.MERCADO'!A:H,2,0)))</f>
        <v>Cabo de cobre PP Cordplast 3 x 2,5 mm2, 450/750v</v>
      </c>
      <c r="D543" s="685" t="str">
        <f>IF(A543="SINAPI-S",VLOOKUP(B543,'20-B.SINAPI-S'!A:J,3,0),IF(A543="SINAPI-I",VLOOKUP(B543,'20-A.SINAPI-I'!A:E,3,0),VLOOKUP(B543,'12.COT.MERCADO'!A:H,7,0)))</f>
        <v>M</v>
      </c>
      <c r="E543" s="688">
        <f>IF(A543="SINAPI-S",VLOOKUP(B543,'20-B.SINAPI-S'!A:J,5,0),IF(A543="SINAPI-I",VLOOKUP(B543,'20-A.SINAPI-I'!A:G,6,0),0))</f>
        <v>0</v>
      </c>
      <c r="F543" s="691">
        <f>IF(A543="SINAPI-S",VLOOKUP(B543,'20-B.SINAPI-S'!A:J,6,0),IF(A543="SINAPI-I",VLOOKUP(B543,'20-A.SINAPI-I'!A:G,7,0),VLOOKUP(B543,'12.COT.MERCADO'!A:H,8,0)))</f>
        <v>8.9</v>
      </c>
      <c r="G543" s="685">
        <v>1.05</v>
      </c>
      <c r="H543" s="688">
        <f t="shared" si="280"/>
        <v>0</v>
      </c>
      <c r="I543" s="688">
        <f t="shared" si="281"/>
        <v>9.345</v>
      </c>
      <c r="J543" s="688">
        <f t="shared" si="282"/>
        <v>9.345</v>
      </c>
    </row>
    <row r="544">
      <c r="A544" s="457" t="s">
        <v>110</v>
      </c>
      <c r="B544" s="689" t="s">
        <v>1741</v>
      </c>
      <c r="C544" s="690" t="str">
        <f>IF(A544="SINAPI-S",VLOOKUP(B544,'20-B.SINAPI-S'!A:J,2,0),IF(A544="SINAPI-I",VLOOKUP(B544,'20-A.SINAPI-I'!A:E,2,0),VLOOKUP(B544,'12.COT.MERCADO'!A:H,2,0)))</f>
        <v>Fita em aço 1/2" Fusimec ou similar</v>
      </c>
      <c r="D544" s="685" t="str">
        <f>IF(A544="SINAPI-S",VLOOKUP(B544,'20-B.SINAPI-S'!A:J,3,0),IF(A544="SINAPI-I",VLOOKUP(B544,'20-A.SINAPI-I'!A:E,3,0),VLOOKUP(B544,'12.COT.MERCADO'!A:H,7,0)))</f>
        <v>M</v>
      </c>
      <c r="E544" s="688">
        <f>IF(A544="SINAPI-S",VLOOKUP(B544,'20-B.SINAPI-S'!A:J,5,0),IF(A544="SINAPI-I",VLOOKUP(B544,'20-A.SINAPI-I'!A:G,6,0),0))</f>
        <v>0</v>
      </c>
      <c r="F544" s="691">
        <f>IF(A544="SINAPI-S",VLOOKUP(B544,'20-B.SINAPI-S'!A:J,6,0),IF(A544="SINAPI-I",VLOOKUP(B544,'20-A.SINAPI-I'!A:G,7,0),VLOOKUP(B544,'12.COT.MERCADO'!A:H,8,0)))</f>
        <v>2.65</v>
      </c>
      <c r="G544" s="685">
        <v>3.0</v>
      </c>
      <c r="H544" s="688">
        <f t="shared" si="280"/>
        <v>0</v>
      </c>
      <c r="I544" s="688">
        <f t="shared" si="281"/>
        <v>7.95</v>
      </c>
      <c r="J544" s="688">
        <f t="shared" si="282"/>
        <v>7.95</v>
      </c>
    </row>
    <row r="545">
      <c r="A545" s="457" t="s">
        <v>110</v>
      </c>
      <c r="B545" s="689" t="s">
        <v>1742</v>
      </c>
      <c r="C545" s="690" t="str">
        <f>IF(A545="SINAPI-S",VLOOKUP(B545,'20-B.SINAPI-S'!A:J,2,0),IF(A545="SINAPI-I",VLOOKUP(B545,'20-A.SINAPI-I'!A:E,2,0),VLOOKUP(B545,'12.COT.MERCADO'!A:H,2,0)))</f>
        <v>Parafuso de ferro zincado c/rosca 3/8 " x 1 1/2" </v>
      </c>
      <c r="D545" s="685" t="str">
        <f>IF(A545="SINAPI-S",VLOOKUP(B545,'20-B.SINAPI-S'!A:J,3,0),IF(A545="SINAPI-I",VLOOKUP(B545,'20-A.SINAPI-I'!A:E,3,0),VLOOKUP(B545,'12.COT.MERCADO'!A:H,7,0)))</f>
        <v>UN </v>
      </c>
      <c r="E545" s="688">
        <f>IF(A545="SINAPI-S",VLOOKUP(B545,'20-B.SINAPI-S'!A:J,5,0),IF(A545="SINAPI-I",VLOOKUP(B545,'20-A.SINAPI-I'!A:G,6,0),0))</f>
        <v>0</v>
      </c>
      <c r="F545" s="691">
        <f>IF(A545="SINAPI-S",VLOOKUP(B545,'20-B.SINAPI-S'!A:J,6,0),IF(A545="SINAPI-I",VLOOKUP(B545,'20-A.SINAPI-I'!A:G,7,0),VLOOKUP(B545,'12.COT.MERCADO'!A:H,8,0)))</f>
        <v>0.89</v>
      </c>
      <c r="G545" s="685">
        <v>2.0</v>
      </c>
      <c r="H545" s="688">
        <f t="shared" si="280"/>
        <v>0</v>
      </c>
      <c r="I545" s="688">
        <f t="shared" si="281"/>
        <v>1.78</v>
      </c>
      <c r="J545" s="688">
        <f t="shared" si="282"/>
        <v>1.78</v>
      </c>
    </row>
    <row r="546">
      <c r="A546" s="457" t="s">
        <v>110</v>
      </c>
      <c r="B546" s="689" t="s">
        <v>1160</v>
      </c>
      <c r="C546" s="690" t="str">
        <f>IF(A546="SINAPI-S",VLOOKUP(B546,'20-B.SINAPI-S'!A:J,2,0),IF(A546="SINAPI-I",VLOOKUP(B546,'20-A.SINAPI-I'!A:E,2,0),VLOOKUP(B546,'12.COT.MERCADO'!A:H,2,0)))</f>
        <v>Arruela lisa de aço galvanizada de Ø 1/4"</v>
      </c>
      <c r="D546" s="685" t="str">
        <f>IF(A546="SINAPI-S",VLOOKUP(B546,'20-B.SINAPI-S'!A:J,3,0),IF(A546="SINAPI-I",VLOOKUP(B546,'20-A.SINAPI-I'!A:E,3,0),VLOOKUP(B546,'12.COT.MERCADO'!A:H,7,0)))</f>
        <v>UN </v>
      </c>
      <c r="E546" s="688">
        <f>IF(A546="SINAPI-S",VLOOKUP(B546,'20-B.SINAPI-S'!A:J,5,0),IF(A546="SINAPI-I",VLOOKUP(B546,'20-A.SINAPI-I'!A:G,6,0),0))</f>
        <v>0</v>
      </c>
      <c r="F546" s="691">
        <f>IF(A546="SINAPI-S",VLOOKUP(B546,'20-B.SINAPI-S'!A:J,6,0),IF(A546="SINAPI-I",VLOOKUP(B546,'20-A.SINAPI-I'!A:G,7,0),VLOOKUP(B546,'12.COT.MERCADO'!A:H,8,0)))</f>
        <v>0.09</v>
      </c>
      <c r="G546" s="685">
        <v>2.0</v>
      </c>
      <c r="H546" s="688">
        <f t="shared" si="280"/>
        <v>0</v>
      </c>
      <c r="I546" s="688">
        <f t="shared" si="281"/>
        <v>0.18</v>
      </c>
      <c r="J546" s="688">
        <f t="shared" si="282"/>
        <v>0.18</v>
      </c>
    </row>
    <row r="547">
      <c r="A547" s="682" t="s">
        <v>1632</v>
      </c>
      <c r="B547" s="695" t="s">
        <v>2040</v>
      </c>
    </row>
    <row r="548">
      <c r="A548" s="692"/>
      <c r="B548" s="693"/>
      <c r="C548" s="694"/>
      <c r="D548" s="693"/>
      <c r="E548" s="693"/>
      <c r="F548" s="693"/>
      <c r="G548" s="693"/>
      <c r="H548" s="693"/>
      <c r="I548" s="693"/>
      <c r="J548" s="693"/>
    </row>
    <row r="549">
      <c r="A549" s="677" t="s">
        <v>1729</v>
      </c>
      <c r="B549" s="678" t="s">
        <v>528</v>
      </c>
      <c r="C549" s="679" t="s">
        <v>1746</v>
      </c>
      <c r="D549" s="678" t="s">
        <v>1731</v>
      </c>
      <c r="E549" s="678"/>
      <c r="F549" s="678"/>
      <c r="G549" s="678"/>
      <c r="H549" s="680">
        <f t="shared" ref="H549:J549" si="283">SUM(H551:H562)</f>
        <v>5.22116</v>
      </c>
      <c r="I549" s="680">
        <f t="shared" si="283"/>
        <v>120.36486</v>
      </c>
      <c r="J549" s="681">
        <f t="shared" si="283"/>
        <v>125.58602</v>
      </c>
    </row>
    <row r="550">
      <c r="A550" s="682" t="s">
        <v>1732</v>
      </c>
      <c r="B550" s="683" t="s">
        <v>80</v>
      </c>
      <c r="C550" s="684" t="s">
        <v>8</v>
      </c>
      <c r="D550" s="683" t="s">
        <v>1733</v>
      </c>
      <c r="E550" s="683" t="s">
        <v>1734</v>
      </c>
      <c r="F550" s="683" t="s">
        <v>1735</v>
      </c>
      <c r="G550" s="683" t="s">
        <v>1736</v>
      </c>
      <c r="H550" s="683" t="s">
        <v>1737</v>
      </c>
      <c r="I550" s="683" t="s">
        <v>1738</v>
      </c>
      <c r="J550" s="683" t="s">
        <v>14</v>
      </c>
    </row>
    <row r="551">
      <c r="A551" s="457" t="s">
        <v>218</v>
      </c>
      <c r="B551" s="689">
        <v>88316.0</v>
      </c>
      <c r="C551" s="686" t="str">
        <f>IF(A551="SINAPI-S",VLOOKUP(B551,'20-B.SINAPI-S'!A:J,2,0),IF(A551="SINAPI-I",VLOOKUP(B551,'20-A.SINAPI-I'!A:E,2,0),VLOOKUP(B551,'12.COT.MERCADO'!A:H,2,0)))</f>
        <v>SERVENTE COM ENCARGOS COMPLEMENTARES</v>
      </c>
      <c r="D551" s="687" t="str">
        <f>IF(A551="SINAPI-S",VLOOKUP(B551,'20-B.SINAPI-S'!A:J,3,0),IF(A551="SINAPI-I",VLOOKUP(B551,'20-A.SINAPI-I'!A:E,3,0),VLOOKUP(B551,'12.COT.MERCADO'!A:H,7,0)))</f>
        <v>H</v>
      </c>
      <c r="E551" s="688">
        <f>IF(A551="SINAPI-S",VLOOKUP(B551,'20-B.SINAPI-S'!A:J,5,0),IF(A551="SINAPI-I",VLOOKUP(B551,'20-A.SINAPI-I'!A:G,6,0),0))</f>
        <v>17.42</v>
      </c>
      <c r="F551" s="688">
        <f>IF(A551="SINAPI-S",VLOOKUP(B551,'20-B.SINAPI-S'!A:J,6,0),IF(A551="SINAPI-I",VLOOKUP(B551,'20-A.SINAPI-I'!A:G,7,0),VLOOKUP(B551,'12.COT.MERCADO'!A:H,8,0)))</f>
        <v>7.7</v>
      </c>
      <c r="G551" s="685">
        <f t="shared" ref="G551:G552" si="284">0.064+0.052</f>
        <v>0.116</v>
      </c>
      <c r="H551" s="688">
        <f t="shared" ref="H551:H562" si="285">E551*G551</f>
        <v>2.02072</v>
      </c>
      <c r="I551" s="688">
        <f t="shared" ref="I551:I562" si="286">F551*G551</f>
        <v>0.8932</v>
      </c>
      <c r="J551" s="688">
        <f t="shared" ref="J551:J562" si="287">I551+H551</f>
        <v>2.91392</v>
      </c>
    </row>
    <row r="552">
      <c r="A552" s="457" t="s">
        <v>218</v>
      </c>
      <c r="B552" s="685">
        <v>100308.0</v>
      </c>
      <c r="C552" s="686" t="str">
        <f>IF(A552="SINAPI-S",VLOOKUP(B552,'20-B.SINAPI-S'!A:J,2,0),IF(A552="SINAPI-I",VLOOKUP(B552,'20-A.SINAPI-I'!A:E,2,0),VLOOKUP(B552,'12.COT.MERCADO'!A:H,2,0)))</f>
        <v>MECÂNICO DE REFRIGERAÇÃO COM ENCARGOS COMPLEMENTARES</v>
      </c>
      <c r="D552" s="687" t="str">
        <f>IF(A552="SINAPI-S",VLOOKUP(B552,'20-B.SINAPI-S'!A:J,3,0),IF(A552="SINAPI-I",VLOOKUP(B552,'20-A.SINAPI-I'!A:E,3,0),VLOOKUP(B552,'12.COT.MERCADO'!A:H,7,0)))</f>
        <v>H</v>
      </c>
      <c r="E552" s="688">
        <f>IF(A552="SINAPI-S",VLOOKUP(B552,'20-B.SINAPI-S'!A:J,5,0),IF(A552="SINAPI-I",VLOOKUP(B552,'20-A.SINAPI-I'!A:G,6,0),0))</f>
        <v>27.59</v>
      </c>
      <c r="F552" s="688">
        <f>IF(A552="SINAPI-S",VLOOKUP(B552,'20-B.SINAPI-S'!A:J,6,0),IF(A552="SINAPI-I",VLOOKUP(B552,'20-A.SINAPI-I'!A:G,7,0),VLOOKUP(B552,'12.COT.MERCADO'!A:H,8,0)))</f>
        <v>7.86</v>
      </c>
      <c r="G552" s="685">
        <f t="shared" si="284"/>
        <v>0.116</v>
      </c>
      <c r="H552" s="688">
        <f t="shared" si="285"/>
        <v>3.20044</v>
      </c>
      <c r="I552" s="688">
        <f t="shared" si="286"/>
        <v>0.91176</v>
      </c>
      <c r="J552" s="688">
        <f t="shared" si="287"/>
        <v>4.1122</v>
      </c>
    </row>
    <row r="553">
      <c r="A553" s="457" t="s">
        <v>286</v>
      </c>
      <c r="B553" s="689">
        <v>4376.0</v>
      </c>
      <c r="C553" s="686" t="str">
        <f>IF(A553="SINAPI-S",VLOOKUP(B553,'20-B.SINAPI-S'!A:J,2,0),IF(A553="SINAPI-I",VLOOKUP(B553,'20-A.SINAPI-I'!A:E,2,0),VLOOKUP(B553,'12.COT.MERCADO'!A:H,2,0)))</f>
        <v>BUCHA DE NYLON SEM ABA S8</v>
      </c>
      <c r="D553" s="685" t="str">
        <f>IF(A553="SINAPI-S",VLOOKUP(B553,'20-B.SINAPI-S'!A:J,3,0),IF(A553="SINAPI-I",VLOOKUP(B553,'20-A.SINAPI-I'!A:E,3,0),VLOOKUP(B553,'12.COT.MERCADO'!A:H,7,0)))</f>
        <v>UN</v>
      </c>
      <c r="E553" s="688">
        <f>IF(A553="SINAPI-S",VLOOKUP(B553,'20-B.SINAPI-S'!A:J,5,0),IF(A553="SINAPI-I",VLOOKUP(B553,'20-A.SINAPI-I'!A:G,6,0),0))</f>
        <v>0</v>
      </c>
      <c r="F553" s="688">
        <f>IF(A553="SINAPI-S",VLOOKUP(B553,'20-B.SINAPI-S'!A:J,6,0),IF(A553="SINAPI-I",VLOOKUP(B553,'20-A.SINAPI-I'!A:G,7,0),VLOOKUP(B553,'12.COT.MERCADO'!A:H,8,0)))</f>
        <v>0.23</v>
      </c>
      <c r="G553" s="685">
        <v>2.0</v>
      </c>
      <c r="H553" s="688">
        <f t="shared" si="285"/>
        <v>0</v>
      </c>
      <c r="I553" s="688">
        <f t="shared" si="286"/>
        <v>0.46</v>
      </c>
      <c r="J553" s="688">
        <f t="shared" si="287"/>
        <v>0.46</v>
      </c>
    </row>
    <row r="554">
      <c r="A554" s="457" t="s">
        <v>286</v>
      </c>
      <c r="B554" s="689">
        <v>39662.0</v>
      </c>
      <c r="C554" s="686" t="str">
        <f>IF(A554="SINAPI-S",VLOOKUP(B554,'20-B.SINAPI-S'!A:J,2,0),IF(A554="SINAPI-I",VLOOKUP(B554,'20-A.SINAPI-I'!A:E,2,0),VLOOKUP(B554,'12.COT.MERCADO'!A:H,2,0)))</f>
        <v>TUBO DE COBRE FLEXIVEL, D = 1/4 ", E = 0,79 MM, PARA AR-CONDICIONADO/ INSTALACOES GAS RESIDENCIAIS E COMERCIAIS</v>
      </c>
      <c r="D554" s="685" t="str">
        <f>IF(A554="SINAPI-S",VLOOKUP(B554,'20-B.SINAPI-S'!A:J,3,0),IF(A554="SINAPI-I",VLOOKUP(B554,'20-A.SINAPI-I'!A:E,3,0),VLOOKUP(B554,'12.COT.MERCADO'!A:H,7,0)))</f>
        <v>M</v>
      </c>
      <c r="E554" s="688">
        <f>IF(A554="SINAPI-S",VLOOKUP(B554,'20-B.SINAPI-S'!A:J,5,0),IF(A554="SINAPI-I",VLOOKUP(B554,'20-A.SINAPI-I'!A:G,6,0),0))</f>
        <v>0</v>
      </c>
      <c r="F554" s="688">
        <f>IF(A554="SINAPI-S",VLOOKUP(B554,'20-B.SINAPI-S'!A:J,6,0),IF(A554="SINAPI-I",VLOOKUP(B554,'20-A.SINAPI-I'!A:G,7,0),VLOOKUP(B554,'12.COT.MERCADO'!A:H,8,0)))</f>
        <v>19.02</v>
      </c>
      <c r="G554" s="685">
        <v>1.05</v>
      </c>
      <c r="H554" s="688">
        <f t="shared" si="285"/>
        <v>0</v>
      </c>
      <c r="I554" s="688">
        <f t="shared" si="286"/>
        <v>19.971</v>
      </c>
      <c r="J554" s="688">
        <f t="shared" si="287"/>
        <v>19.971</v>
      </c>
    </row>
    <row r="555">
      <c r="A555" s="457" t="s">
        <v>286</v>
      </c>
      <c r="B555" s="689">
        <v>39665.0</v>
      </c>
      <c r="C555" s="686" t="str">
        <f>IF(A555="SINAPI-S",VLOOKUP(B555,'20-B.SINAPI-S'!A:J,2,0),IF(A555="SINAPI-I",VLOOKUP(B555,'20-A.SINAPI-I'!A:E,2,0),VLOOKUP(B555,'12.COT.MERCADO'!A:H,2,0)))</f>
        <v>TUBO DE COBRE FLEXIVEL, D = 5/8 ", E = 0,79 MM, PARA AR-CONDICIONADO/ INSTALACOES GAS RESIDENCIAIS E COMERCIAIS</v>
      </c>
      <c r="D555" s="685" t="str">
        <f>IF(A555="SINAPI-S",VLOOKUP(B555,'20-B.SINAPI-S'!A:J,3,0),IF(A555="SINAPI-I",VLOOKUP(B555,'20-A.SINAPI-I'!A:E,3,0),VLOOKUP(B555,'12.COT.MERCADO'!A:H,7,0)))</f>
        <v>M</v>
      </c>
      <c r="E555" s="688">
        <f>IF(A555="SINAPI-S",VLOOKUP(B555,'20-B.SINAPI-S'!A:J,5,0),IF(A555="SINAPI-I",VLOOKUP(B555,'20-A.SINAPI-I'!A:G,6,0),0))</f>
        <v>0</v>
      </c>
      <c r="F555" s="688">
        <f>IF(A555="SINAPI-S",VLOOKUP(B555,'20-B.SINAPI-S'!A:J,6,0),IF(A555="SINAPI-I",VLOOKUP(B555,'20-A.SINAPI-I'!A:G,7,0),VLOOKUP(B555,'12.COT.MERCADO'!A:H,8,0)))</f>
        <v>49.38</v>
      </c>
      <c r="G555" s="685">
        <v>1.05</v>
      </c>
      <c r="H555" s="688">
        <f t="shared" si="285"/>
        <v>0</v>
      </c>
      <c r="I555" s="688">
        <f t="shared" si="286"/>
        <v>51.849</v>
      </c>
      <c r="J555" s="688">
        <f t="shared" si="287"/>
        <v>51.849</v>
      </c>
    </row>
    <row r="556">
      <c r="A556" s="457" t="s">
        <v>286</v>
      </c>
      <c r="B556" s="689">
        <v>39738.0</v>
      </c>
      <c r="C556" s="686" t="str">
        <f>IF(A556="SINAPI-S",VLOOKUP(B556,'20-B.SINAPI-S'!A:J,2,0),IF(A556="SINAPI-I",VLOOKUP(B556,'20-A.SINAPI-I'!A:E,2,0),VLOOKUP(B556,'12.COT.MERCADO'!A:H,2,0)))</f>
        <v>TUBO DE BORRACHA ELASTOMERICA FLEXIVEL, PRETA, PARA ISOLAMENTO TERMICO DE TUBULACAO, DN 1/4" (6 MM), E= 9 MM, COEFICIENTE DE CONDUTIVIDADE TERMICA 0,036W/mK, VAPOR DE AGUA MAIOR OU IGUAL A 10.000</v>
      </c>
      <c r="D556" s="685" t="str">
        <f>IF(A556="SINAPI-S",VLOOKUP(B556,'20-B.SINAPI-S'!A:J,3,0),IF(A556="SINAPI-I",VLOOKUP(B556,'20-A.SINAPI-I'!A:E,3,0),VLOOKUP(B556,'12.COT.MERCADO'!A:H,7,0)))</f>
        <v>M</v>
      </c>
      <c r="E556" s="688">
        <f>IF(A556="SINAPI-S",VLOOKUP(B556,'20-B.SINAPI-S'!A:J,5,0),IF(A556="SINAPI-I",VLOOKUP(B556,'20-A.SINAPI-I'!A:G,6,0),0))</f>
        <v>0</v>
      </c>
      <c r="F556" s="688">
        <f>IF(A556="SINAPI-S",VLOOKUP(B556,'20-B.SINAPI-S'!A:J,6,0),IF(A556="SINAPI-I",VLOOKUP(B556,'20-A.SINAPI-I'!A:G,7,0),VLOOKUP(B556,'12.COT.MERCADO'!A:H,8,0)))</f>
        <v>5.13</v>
      </c>
      <c r="G556" s="685">
        <v>1.05</v>
      </c>
      <c r="H556" s="688">
        <f t="shared" si="285"/>
        <v>0</v>
      </c>
      <c r="I556" s="688">
        <f t="shared" si="286"/>
        <v>5.3865</v>
      </c>
      <c r="J556" s="688">
        <f t="shared" si="287"/>
        <v>5.3865</v>
      </c>
    </row>
    <row r="557">
      <c r="A557" s="457" t="s">
        <v>286</v>
      </c>
      <c r="B557" s="689">
        <v>39853.0</v>
      </c>
      <c r="C557" s="686" t="str">
        <f>IF(A557="SINAPI-S",VLOOKUP(B557,'20-B.SINAPI-S'!A:J,2,0),IF(A557="SINAPI-I",VLOOKUP(B557,'20-A.SINAPI-I'!A:E,2,0),VLOOKUP(B557,'12.COT.MERCADO'!A:H,2,0)))</f>
        <v>TUBO DE BORRACHA ELASTOMERICA FLEXIVEL, PRETA, PARA ISOLAMENTO TERMICO DE TUBULACAO, DN 5/8" (15 MM), E= 19 MM, COEFICIENTE DE CONDUTIVIDADE TERMICA 0,036W/MK, VAPOR DE AGUA MAIOR OU IGUAL A 10.000</v>
      </c>
      <c r="D557" s="685" t="str">
        <f>IF(A557="SINAPI-S",VLOOKUP(B557,'20-B.SINAPI-S'!A:J,3,0),IF(A557="SINAPI-I",VLOOKUP(B557,'20-A.SINAPI-I'!A:E,3,0),VLOOKUP(B557,'12.COT.MERCADO'!A:H,7,0)))</f>
        <v>M</v>
      </c>
      <c r="E557" s="688">
        <f>IF(A557="SINAPI-S",VLOOKUP(B557,'20-B.SINAPI-S'!A:J,5,0),IF(A557="SINAPI-I",VLOOKUP(B557,'20-A.SINAPI-I'!A:G,6,0),0))</f>
        <v>0</v>
      </c>
      <c r="F557" s="688">
        <f>IF(A557="SINAPI-S",VLOOKUP(B557,'20-B.SINAPI-S'!A:J,6,0),IF(A557="SINAPI-I",VLOOKUP(B557,'20-A.SINAPI-I'!A:G,7,0),VLOOKUP(B557,'12.COT.MERCADO'!A:H,8,0)))</f>
        <v>16.96</v>
      </c>
      <c r="G557" s="685">
        <v>1.05</v>
      </c>
      <c r="H557" s="688">
        <f t="shared" si="285"/>
        <v>0</v>
      </c>
      <c r="I557" s="688">
        <f t="shared" si="286"/>
        <v>17.808</v>
      </c>
      <c r="J557" s="688">
        <f t="shared" si="287"/>
        <v>17.808</v>
      </c>
    </row>
    <row r="558">
      <c r="A558" s="457" t="s">
        <v>110</v>
      </c>
      <c r="B558" s="689" t="s">
        <v>1739</v>
      </c>
      <c r="C558" s="690" t="str">
        <f>IF(A558="SINAPI-S",VLOOKUP(B558,'20-B.SINAPI-S'!A:J,2,0),IF(A558="SINAPI-I",VLOOKUP(B558,'20-A.SINAPI-I'!A:E,2,0),VLOOKUP(B558,'12.COT.MERCADO'!A:H,2,0)))</f>
        <v>Fita isolante de alta fusão 19 mm x 10 m </v>
      </c>
      <c r="D558" s="685" t="str">
        <f>IF(A558="SINAPI-S",VLOOKUP(B558,'20-B.SINAPI-S'!A:J,3,0),IF(A558="SINAPI-I",VLOOKUP(B558,'20-A.SINAPI-I'!A:E,3,0),VLOOKUP(B558,'12.COT.MERCADO'!A:H,7,0)))</f>
        <v>UN </v>
      </c>
      <c r="E558" s="688">
        <f>IF(A558="SINAPI-S",VLOOKUP(B558,'20-B.SINAPI-S'!A:J,5,0),IF(A558="SINAPI-I",VLOOKUP(B558,'20-A.SINAPI-I'!A:G,6,0),0))</f>
        <v>0</v>
      </c>
      <c r="F558" s="691">
        <f>IF(A558="SINAPI-S",VLOOKUP(B558,'20-B.SINAPI-S'!A:J,6,0),IF(A558="SINAPI-I",VLOOKUP(B558,'20-A.SINAPI-I'!A:G,7,0),VLOOKUP(B558,'12.COT.MERCADO'!A:H,8,0)))</f>
        <v>31.92</v>
      </c>
      <c r="G558" s="685">
        <v>0.12</v>
      </c>
      <c r="H558" s="688">
        <f t="shared" si="285"/>
        <v>0</v>
      </c>
      <c r="I558" s="688">
        <f t="shared" si="286"/>
        <v>3.8304</v>
      </c>
      <c r="J558" s="688">
        <f t="shared" si="287"/>
        <v>3.8304</v>
      </c>
    </row>
    <row r="559">
      <c r="A559" s="457" t="s">
        <v>110</v>
      </c>
      <c r="B559" s="689" t="s">
        <v>1740</v>
      </c>
      <c r="C559" s="690" t="str">
        <f>IF(A559="SINAPI-S",VLOOKUP(B559,'20-B.SINAPI-S'!A:J,2,0),IF(A559="SINAPI-I",VLOOKUP(B559,'20-A.SINAPI-I'!A:E,2,0),VLOOKUP(B559,'12.COT.MERCADO'!A:H,2,0)))</f>
        <v>Cabo de cobre PP Cordplast 3 x 2,5 mm2, 450/750v</v>
      </c>
      <c r="D559" s="685" t="str">
        <f>IF(A559="SINAPI-S",VLOOKUP(B559,'20-B.SINAPI-S'!A:J,3,0),IF(A559="SINAPI-I",VLOOKUP(B559,'20-A.SINAPI-I'!A:E,3,0),VLOOKUP(B559,'12.COT.MERCADO'!A:H,7,0)))</f>
        <v>M</v>
      </c>
      <c r="E559" s="688">
        <f>IF(A559="SINAPI-S",VLOOKUP(B559,'20-B.SINAPI-S'!A:J,5,0),IF(A559="SINAPI-I",VLOOKUP(B559,'20-A.SINAPI-I'!A:G,6,0),0))</f>
        <v>0</v>
      </c>
      <c r="F559" s="691">
        <f>IF(A559="SINAPI-S",VLOOKUP(B559,'20-B.SINAPI-S'!A:J,6,0),IF(A559="SINAPI-I",VLOOKUP(B559,'20-A.SINAPI-I'!A:G,7,0),VLOOKUP(B559,'12.COT.MERCADO'!A:H,8,0)))</f>
        <v>8.9</v>
      </c>
      <c r="G559" s="685">
        <v>1.05</v>
      </c>
      <c r="H559" s="688">
        <f t="shared" si="285"/>
        <v>0</v>
      </c>
      <c r="I559" s="688">
        <f t="shared" si="286"/>
        <v>9.345</v>
      </c>
      <c r="J559" s="688">
        <f t="shared" si="287"/>
        <v>9.345</v>
      </c>
    </row>
    <row r="560">
      <c r="A560" s="457" t="s">
        <v>110</v>
      </c>
      <c r="B560" s="689" t="s">
        <v>1741</v>
      </c>
      <c r="C560" s="690" t="str">
        <f>IF(A560="SINAPI-S",VLOOKUP(B560,'20-B.SINAPI-S'!A:J,2,0),IF(A560="SINAPI-I",VLOOKUP(B560,'20-A.SINAPI-I'!A:E,2,0),VLOOKUP(B560,'12.COT.MERCADO'!A:H,2,0)))</f>
        <v>Fita em aço 1/2" Fusimec ou similar</v>
      </c>
      <c r="D560" s="685" t="str">
        <f>IF(A560="SINAPI-S",VLOOKUP(B560,'20-B.SINAPI-S'!A:J,3,0),IF(A560="SINAPI-I",VLOOKUP(B560,'20-A.SINAPI-I'!A:E,3,0),VLOOKUP(B560,'12.COT.MERCADO'!A:H,7,0)))</f>
        <v>M</v>
      </c>
      <c r="E560" s="688">
        <f>IF(A560="SINAPI-S",VLOOKUP(B560,'20-B.SINAPI-S'!A:J,5,0),IF(A560="SINAPI-I",VLOOKUP(B560,'20-A.SINAPI-I'!A:G,6,0),0))</f>
        <v>0</v>
      </c>
      <c r="F560" s="691">
        <f>IF(A560="SINAPI-S",VLOOKUP(B560,'20-B.SINAPI-S'!A:J,6,0),IF(A560="SINAPI-I",VLOOKUP(B560,'20-A.SINAPI-I'!A:G,7,0),VLOOKUP(B560,'12.COT.MERCADO'!A:H,8,0)))</f>
        <v>2.65</v>
      </c>
      <c r="G560" s="685">
        <v>3.0</v>
      </c>
      <c r="H560" s="688">
        <f t="shared" si="285"/>
        <v>0</v>
      </c>
      <c r="I560" s="688">
        <f t="shared" si="286"/>
        <v>7.95</v>
      </c>
      <c r="J560" s="688">
        <f t="shared" si="287"/>
        <v>7.95</v>
      </c>
    </row>
    <row r="561">
      <c r="A561" s="457" t="s">
        <v>110</v>
      </c>
      <c r="B561" s="689" t="s">
        <v>1742</v>
      </c>
      <c r="C561" s="690" t="str">
        <f>IF(A561="SINAPI-S",VLOOKUP(B561,'20-B.SINAPI-S'!A:J,2,0),IF(A561="SINAPI-I",VLOOKUP(B561,'20-A.SINAPI-I'!A:E,2,0),VLOOKUP(B561,'12.COT.MERCADO'!A:H,2,0)))</f>
        <v>Parafuso de ferro zincado c/rosca 3/8 " x 1 1/2" </v>
      </c>
      <c r="D561" s="685" t="str">
        <f>IF(A561="SINAPI-S",VLOOKUP(B561,'20-B.SINAPI-S'!A:J,3,0),IF(A561="SINAPI-I",VLOOKUP(B561,'20-A.SINAPI-I'!A:E,3,0),VLOOKUP(B561,'12.COT.MERCADO'!A:H,7,0)))</f>
        <v>UN </v>
      </c>
      <c r="E561" s="688">
        <f>IF(A561="SINAPI-S",VLOOKUP(B561,'20-B.SINAPI-S'!A:J,5,0),IF(A561="SINAPI-I",VLOOKUP(B561,'20-A.SINAPI-I'!A:G,6,0),0))</f>
        <v>0</v>
      </c>
      <c r="F561" s="691">
        <f>IF(A561="SINAPI-S",VLOOKUP(B561,'20-B.SINAPI-S'!A:J,6,0),IF(A561="SINAPI-I",VLOOKUP(B561,'20-A.SINAPI-I'!A:G,7,0),VLOOKUP(B561,'12.COT.MERCADO'!A:H,8,0)))</f>
        <v>0.89</v>
      </c>
      <c r="G561" s="685">
        <v>2.0</v>
      </c>
      <c r="H561" s="688">
        <f t="shared" si="285"/>
        <v>0</v>
      </c>
      <c r="I561" s="688">
        <f t="shared" si="286"/>
        <v>1.78</v>
      </c>
      <c r="J561" s="688">
        <f t="shared" si="287"/>
        <v>1.78</v>
      </c>
    </row>
    <row r="562">
      <c r="A562" s="457" t="s">
        <v>110</v>
      </c>
      <c r="B562" s="689" t="s">
        <v>1160</v>
      </c>
      <c r="C562" s="690" t="str">
        <f>IF(A562="SINAPI-S",VLOOKUP(B562,'20-B.SINAPI-S'!A:J,2,0),IF(A562="SINAPI-I",VLOOKUP(B562,'20-A.SINAPI-I'!A:E,2,0),VLOOKUP(B562,'12.COT.MERCADO'!A:H,2,0)))</f>
        <v>Arruela lisa de aço galvanizada de Ø 1/4"</v>
      </c>
      <c r="D562" s="685" t="str">
        <f>IF(A562="SINAPI-S",VLOOKUP(B562,'20-B.SINAPI-S'!A:J,3,0),IF(A562="SINAPI-I",VLOOKUP(B562,'20-A.SINAPI-I'!A:E,3,0),VLOOKUP(B562,'12.COT.MERCADO'!A:H,7,0)))</f>
        <v>UN </v>
      </c>
      <c r="E562" s="688">
        <f>IF(A562="SINAPI-S",VLOOKUP(B562,'20-B.SINAPI-S'!A:J,5,0),IF(A562="SINAPI-I",VLOOKUP(B562,'20-A.SINAPI-I'!A:G,6,0),0))</f>
        <v>0</v>
      </c>
      <c r="F562" s="691">
        <f>IF(A562="SINAPI-S",VLOOKUP(B562,'20-B.SINAPI-S'!A:J,6,0),IF(A562="SINAPI-I",VLOOKUP(B562,'20-A.SINAPI-I'!A:G,7,0),VLOOKUP(B562,'12.COT.MERCADO'!A:H,8,0)))</f>
        <v>0.09</v>
      </c>
      <c r="G562" s="685">
        <v>2.0</v>
      </c>
      <c r="H562" s="688">
        <f t="shared" si="285"/>
        <v>0</v>
      </c>
      <c r="I562" s="688">
        <f t="shared" si="286"/>
        <v>0.18</v>
      </c>
      <c r="J562" s="688">
        <f t="shared" si="287"/>
        <v>0.18</v>
      </c>
    </row>
    <row r="563">
      <c r="A563" s="682" t="s">
        <v>1632</v>
      </c>
      <c r="B563" s="695" t="s">
        <v>2041</v>
      </c>
    </row>
    <row r="564">
      <c r="A564" s="692"/>
      <c r="B564" s="693"/>
      <c r="C564" s="694"/>
      <c r="D564" s="693"/>
      <c r="E564" s="693"/>
      <c r="F564" s="693"/>
      <c r="G564" s="693"/>
      <c r="H564" s="693"/>
      <c r="I564" s="693"/>
      <c r="J564" s="693"/>
    </row>
    <row r="565">
      <c r="A565" s="677" t="s">
        <v>1729</v>
      </c>
      <c r="B565" s="678" t="s">
        <v>530</v>
      </c>
      <c r="C565" s="679" t="s">
        <v>1748</v>
      </c>
      <c r="D565" s="678" t="s">
        <v>1731</v>
      </c>
      <c r="E565" s="678"/>
      <c r="F565" s="678"/>
      <c r="G565" s="678"/>
      <c r="H565" s="680">
        <f t="shared" ref="H565:J565" si="288">SUM(H567:H578)</f>
        <v>5.22116</v>
      </c>
      <c r="I565" s="680">
        <f t="shared" si="288"/>
        <v>120.36486</v>
      </c>
      <c r="J565" s="681">
        <f t="shared" si="288"/>
        <v>125.58602</v>
      </c>
    </row>
    <row r="566">
      <c r="A566" s="682" t="s">
        <v>1732</v>
      </c>
      <c r="B566" s="683" t="s">
        <v>80</v>
      </c>
      <c r="C566" s="684" t="s">
        <v>8</v>
      </c>
      <c r="D566" s="683" t="s">
        <v>1733</v>
      </c>
      <c r="E566" s="683" t="s">
        <v>1734</v>
      </c>
      <c r="F566" s="683" t="s">
        <v>1735</v>
      </c>
      <c r="G566" s="683" t="s">
        <v>1736</v>
      </c>
      <c r="H566" s="683" t="s">
        <v>1737</v>
      </c>
      <c r="I566" s="683" t="s">
        <v>1738</v>
      </c>
      <c r="J566" s="683" t="s">
        <v>14</v>
      </c>
    </row>
    <row r="567">
      <c r="A567" s="457" t="s">
        <v>218</v>
      </c>
      <c r="B567" s="689">
        <v>88316.0</v>
      </c>
      <c r="C567" s="686" t="str">
        <f>IF(A567="SINAPI-S",VLOOKUP(B567,'20-B.SINAPI-S'!A:J,2,0),IF(A567="SINAPI-I",VLOOKUP(B567,'20-A.SINAPI-I'!A:E,2,0),VLOOKUP(B567,'12.COT.MERCADO'!A:H,2,0)))</f>
        <v>SERVENTE COM ENCARGOS COMPLEMENTARES</v>
      </c>
      <c r="D567" s="687" t="str">
        <f>IF(A567="SINAPI-S",VLOOKUP(B567,'20-B.SINAPI-S'!A:J,3,0),IF(A567="SINAPI-I",VLOOKUP(B567,'20-A.SINAPI-I'!A:E,3,0),VLOOKUP(B567,'12.COT.MERCADO'!A:H,7,0)))</f>
        <v>H</v>
      </c>
      <c r="E567" s="688">
        <f>IF(A567="SINAPI-S",VLOOKUP(B567,'20-B.SINAPI-S'!A:J,5,0),IF(A567="SINAPI-I",VLOOKUP(B567,'20-A.SINAPI-I'!A:G,6,0),0))</f>
        <v>17.42</v>
      </c>
      <c r="F567" s="688">
        <f>IF(A567="SINAPI-S",VLOOKUP(B567,'20-B.SINAPI-S'!A:J,6,0),IF(A567="SINAPI-I",VLOOKUP(B567,'20-A.SINAPI-I'!A:G,7,0),VLOOKUP(B567,'12.COT.MERCADO'!A:H,8,0)))</f>
        <v>7.7</v>
      </c>
      <c r="G567" s="685">
        <f t="shared" ref="G567:G568" si="289">0.064+0.052</f>
        <v>0.116</v>
      </c>
      <c r="H567" s="688">
        <f t="shared" ref="H567:H578" si="290">E567*G567</f>
        <v>2.02072</v>
      </c>
      <c r="I567" s="688">
        <f t="shared" ref="I567:I578" si="291">F567*G567</f>
        <v>0.8932</v>
      </c>
      <c r="J567" s="688">
        <f t="shared" ref="J567:J578" si="292">I567+H567</f>
        <v>2.91392</v>
      </c>
    </row>
    <row r="568">
      <c r="A568" s="457" t="s">
        <v>218</v>
      </c>
      <c r="B568" s="685">
        <v>100308.0</v>
      </c>
      <c r="C568" s="686" t="str">
        <f>IF(A568="SINAPI-S",VLOOKUP(B568,'20-B.SINAPI-S'!A:J,2,0),IF(A568="SINAPI-I",VLOOKUP(B568,'20-A.SINAPI-I'!A:E,2,0),VLOOKUP(B568,'12.COT.MERCADO'!A:H,2,0)))</f>
        <v>MECÂNICO DE REFRIGERAÇÃO COM ENCARGOS COMPLEMENTARES</v>
      </c>
      <c r="D568" s="687" t="str">
        <f>IF(A568="SINAPI-S",VLOOKUP(B568,'20-B.SINAPI-S'!A:J,3,0),IF(A568="SINAPI-I",VLOOKUP(B568,'20-A.SINAPI-I'!A:E,3,0),VLOOKUP(B568,'12.COT.MERCADO'!A:H,7,0)))</f>
        <v>H</v>
      </c>
      <c r="E568" s="688">
        <f>IF(A568="SINAPI-S",VLOOKUP(B568,'20-B.SINAPI-S'!A:J,5,0),IF(A568="SINAPI-I",VLOOKUP(B568,'20-A.SINAPI-I'!A:G,6,0),0))</f>
        <v>27.59</v>
      </c>
      <c r="F568" s="688">
        <f>IF(A568="SINAPI-S",VLOOKUP(B568,'20-B.SINAPI-S'!A:J,6,0),IF(A568="SINAPI-I",VLOOKUP(B568,'20-A.SINAPI-I'!A:G,7,0),VLOOKUP(B568,'12.COT.MERCADO'!A:H,8,0)))</f>
        <v>7.86</v>
      </c>
      <c r="G568" s="685">
        <f t="shared" si="289"/>
        <v>0.116</v>
      </c>
      <c r="H568" s="688">
        <f t="shared" si="290"/>
        <v>3.20044</v>
      </c>
      <c r="I568" s="688">
        <f t="shared" si="291"/>
        <v>0.91176</v>
      </c>
      <c r="J568" s="688">
        <f t="shared" si="292"/>
        <v>4.1122</v>
      </c>
    </row>
    <row r="569">
      <c r="A569" s="457" t="s">
        <v>286</v>
      </c>
      <c r="B569" s="689">
        <v>4376.0</v>
      </c>
      <c r="C569" s="686" t="str">
        <f>IF(A569="SINAPI-S",VLOOKUP(B569,'20-B.SINAPI-S'!A:J,2,0),IF(A569="SINAPI-I",VLOOKUP(B569,'20-A.SINAPI-I'!A:E,2,0),VLOOKUP(B569,'12.COT.MERCADO'!A:H,2,0)))</f>
        <v>BUCHA DE NYLON SEM ABA S8</v>
      </c>
      <c r="D569" s="685" t="str">
        <f>IF(A569="SINAPI-S",VLOOKUP(B569,'20-B.SINAPI-S'!A:J,3,0),IF(A569="SINAPI-I",VLOOKUP(B569,'20-A.SINAPI-I'!A:E,3,0),VLOOKUP(B569,'12.COT.MERCADO'!A:H,7,0)))</f>
        <v>UN</v>
      </c>
      <c r="E569" s="688">
        <f>IF(A569="SINAPI-S",VLOOKUP(B569,'20-B.SINAPI-S'!A:J,5,0),IF(A569="SINAPI-I",VLOOKUP(B569,'20-A.SINAPI-I'!A:G,6,0),0))</f>
        <v>0</v>
      </c>
      <c r="F569" s="688">
        <f>IF(A569="SINAPI-S",VLOOKUP(B569,'20-B.SINAPI-S'!A:J,6,0),IF(A569="SINAPI-I",VLOOKUP(B569,'20-A.SINAPI-I'!A:G,7,0),VLOOKUP(B569,'12.COT.MERCADO'!A:H,8,0)))</f>
        <v>0.23</v>
      </c>
      <c r="G569" s="685">
        <v>2.0</v>
      </c>
      <c r="H569" s="688">
        <f t="shared" si="290"/>
        <v>0</v>
      </c>
      <c r="I569" s="688">
        <f t="shared" si="291"/>
        <v>0.46</v>
      </c>
      <c r="J569" s="688">
        <f t="shared" si="292"/>
        <v>0.46</v>
      </c>
    </row>
    <row r="570">
      <c r="A570" s="457" t="s">
        <v>286</v>
      </c>
      <c r="B570" s="689">
        <v>39662.0</v>
      </c>
      <c r="C570" s="686" t="str">
        <f>IF(A570="SINAPI-S",VLOOKUP(B570,'20-B.SINAPI-S'!A:J,2,0),IF(A570="SINAPI-I",VLOOKUP(B570,'20-A.SINAPI-I'!A:E,2,0),VLOOKUP(B570,'12.COT.MERCADO'!A:H,2,0)))</f>
        <v>TUBO DE COBRE FLEXIVEL, D = 1/4 ", E = 0,79 MM, PARA AR-CONDICIONADO/ INSTALACOES GAS RESIDENCIAIS E COMERCIAIS</v>
      </c>
      <c r="D570" s="685" t="str">
        <f>IF(A570="SINAPI-S",VLOOKUP(B570,'20-B.SINAPI-S'!A:J,3,0),IF(A570="SINAPI-I",VLOOKUP(B570,'20-A.SINAPI-I'!A:E,3,0),VLOOKUP(B570,'12.COT.MERCADO'!A:H,7,0)))</f>
        <v>M</v>
      </c>
      <c r="E570" s="688">
        <f>IF(A570="SINAPI-S",VLOOKUP(B570,'20-B.SINAPI-S'!A:J,5,0),IF(A570="SINAPI-I",VLOOKUP(B570,'20-A.SINAPI-I'!A:G,6,0),0))</f>
        <v>0</v>
      </c>
      <c r="F570" s="688">
        <f>IF(A570="SINAPI-S",VLOOKUP(B570,'20-B.SINAPI-S'!A:J,6,0),IF(A570="SINAPI-I",VLOOKUP(B570,'20-A.SINAPI-I'!A:G,7,0),VLOOKUP(B570,'12.COT.MERCADO'!A:H,8,0)))</f>
        <v>19.02</v>
      </c>
      <c r="G570" s="685">
        <v>1.05</v>
      </c>
      <c r="H570" s="688">
        <f t="shared" si="290"/>
        <v>0</v>
      </c>
      <c r="I570" s="688">
        <f t="shared" si="291"/>
        <v>19.971</v>
      </c>
      <c r="J570" s="688">
        <f t="shared" si="292"/>
        <v>19.971</v>
      </c>
    </row>
    <row r="571">
      <c r="A571" s="457" t="s">
        <v>286</v>
      </c>
      <c r="B571" s="689">
        <v>39665.0</v>
      </c>
      <c r="C571" s="686" t="str">
        <f>IF(A571="SINAPI-S",VLOOKUP(B571,'20-B.SINAPI-S'!A:J,2,0),IF(A571="SINAPI-I",VLOOKUP(B571,'20-A.SINAPI-I'!A:E,2,0),VLOOKUP(B571,'12.COT.MERCADO'!A:H,2,0)))</f>
        <v>TUBO DE COBRE FLEXIVEL, D = 5/8 ", E = 0,79 MM, PARA AR-CONDICIONADO/ INSTALACOES GAS RESIDENCIAIS E COMERCIAIS</v>
      </c>
      <c r="D571" s="685" t="str">
        <f>IF(A571="SINAPI-S",VLOOKUP(B571,'20-B.SINAPI-S'!A:J,3,0),IF(A571="SINAPI-I",VLOOKUP(B571,'20-A.SINAPI-I'!A:E,3,0),VLOOKUP(B571,'12.COT.MERCADO'!A:H,7,0)))</f>
        <v>M</v>
      </c>
      <c r="E571" s="688">
        <f>IF(A571="SINAPI-S",VLOOKUP(B571,'20-B.SINAPI-S'!A:J,5,0),IF(A571="SINAPI-I",VLOOKUP(B571,'20-A.SINAPI-I'!A:G,6,0),0))</f>
        <v>0</v>
      </c>
      <c r="F571" s="688">
        <f>IF(A571="SINAPI-S",VLOOKUP(B571,'20-B.SINAPI-S'!A:J,6,0),IF(A571="SINAPI-I",VLOOKUP(B571,'20-A.SINAPI-I'!A:G,7,0),VLOOKUP(B571,'12.COT.MERCADO'!A:H,8,0)))</f>
        <v>49.38</v>
      </c>
      <c r="G571" s="685">
        <v>1.05</v>
      </c>
      <c r="H571" s="688">
        <f t="shared" si="290"/>
        <v>0</v>
      </c>
      <c r="I571" s="688">
        <f t="shared" si="291"/>
        <v>51.849</v>
      </c>
      <c r="J571" s="688">
        <f t="shared" si="292"/>
        <v>51.849</v>
      </c>
    </row>
    <row r="572">
      <c r="A572" s="457" t="s">
        <v>286</v>
      </c>
      <c r="B572" s="689">
        <v>39738.0</v>
      </c>
      <c r="C572" s="686" t="str">
        <f>IF(A572="SINAPI-S",VLOOKUP(B572,'20-B.SINAPI-S'!A:J,2,0),IF(A572="SINAPI-I",VLOOKUP(B572,'20-A.SINAPI-I'!A:E,2,0),VLOOKUP(B572,'12.COT.MERCADO'!A:H,2,0)))</f>
        <v>TUBO DE BORRACHA ELASTOMERICA FLEXIVEL, PRETA, PARA ISOLAMENTO TERMICO DE TUBULACAO, DN 1/4" (6 MM), E= 9 MM, COEFICIENTE DE CONDUTIVIDADE TERMICA 0,036W/mK, VAPOR DE AGUA MAIOR OU IGUAL A 10.000</v>
      </c>
      <c r="D572" s="685" t="str">
        <f>IF(A572="SINAPI-S",VLOOKUP(B572,'20-B.SINAPI-S'!A:J,3,0),IF(A572="SINAPI-I",VLOOKUP(B572,'20-A.SINAPI-I'!A:E,3,0),VLOOKUP(B572,'12.COT.MERCADO'!A:H,7,0)))</f>
        <v>M</v>
      </c>
      <c r="E572" s="688">
        <f>IF(A572="SINAPI-S",VLOOKUP(B572,'20-B.SINAPI-S'!A:J,5,0),IF(A572="SINAPI-I",VLOOKUP(B572,'20-A.SINAPI-I'!A:G,6,0),0))</f>
        <v>0</v>
      </c>
      <c r="F572" s="688">
        <f>IF(A572="SINAPI-S",VLOOKUP(B572,'20-B.SINAPI-S'!A:J,6,0),IF(A572="SINAPI-I",VLOOKUP(B572,'20-A.SINAPI-I'!A:G,7,0),VLOOKUP(B572,'12.COT.MERCADO'!A:H,8,0)))</f>
        <v>5.13</v>
      </c>
      <c r="G572" s="685">
        <v>1.05</v>
      </c>
      <c r="H572" s="688">
        <f t="shared" si="290"/>
        <v>0</v>
      </c>
      <c r="I572" s="688">
        <f t="shared" si="291"/>
        <v>5.3865</v>
      </c>
      <c r="J572" s="688">
        <f t="shared" si="292"/>
        <v>5.3865</v>
      </c>
    </row>
    <row r="573">
      <c r="A573" s="457" t="s">
        <v>286</v>
      </c>
      <c r="B573" s="689">
        <v>39853.0</v>
      </c>
      <c r="C573" s="686" t="str">
        <f>IF(A573="SINAPI-S",VLOOKUP(B573,'20-B.SINAPI-S'!A:J,2,0),IF(A573="SINAPI-I",VLOOKUP(B573,'20-A.SINAPI-I'!A:E,2,0),VLOOKUP(B573,'12.COT.MERCADO'!A:H,2,0)))</f>
        <v>TUBO DE BORRACHA ELASTOMERICA FLEXIVEL, PRETA, PARA ISOLAMENTO TERMICO DE TUBULACAO, DN 5/8" (15 MM), E= 19 MM, COEFICIENTE DE CONDUTIVIDADE TERMICA 0,036W/MK, VAPOR DE AGUA MAIOR OU IGUAL A 10.000</v>
      </c>
      <c r="D573" s="685" t="str">
        <f>IF(A573="SINAPI-S",VLOOKUP(B573,'20-B.SINAPI-S'!A:J,3,0),IF(A573="SINAPI-I",VLOOKUP(B573,'20-A.SINAPI-I'!A:E,3,0),VLOOKUP(B573,'12.COT.MERCADO'!A:H,7,0)))</f>
        <v>M</v>
      </c>
      <c r="E573" s="688">
        <f>IF(A573="SINAPI-S",VLOOKUP(B573,'20-B.SINAPI-S'!A:J,5,0),IF(A573="SINAPI-I",VLOOKUP(B573,'20-A.SINAPI-I'!A:G,6,0),0))</f>
        <v>0</v>
      </c>
      <c r="F573" s="688">
        <f>IF(A573="SINAPI-S",VLOOKUP(B573,'20-B.SINAPI-S'!A:J,6,0),IF(A573="SINAPI-I",VLOOKUP(B573,'20-A.SINAPI-I'!A:G,7,0),VLOOKUP(B573,'12.COT.MERCADO'!A:H,8,0)))</f>
        <v>16.96</v>
      </c>
      <c r="G573" s="685">
        <v>1.05</v>
      </c>
      <c r="H573" s="688">
        <f t="shared" si="290"/>
        <v>0</v>
      </c>
      <c r="I573" s="688">
        <f t="shared" si="291"/>
        <v>17.808</v>
      </c>
      <c r="J573" s="688">
        <f t="shared" si="292"/>
        <v>17.808</v>
      </c>
    </row>
    <row r="574">
      <c r="A574" s="457" t="s">
        <v>110</v>
      </c>
      <c r="B574" s="689" t="s">
        <v>1739</v>
      </c>
      <c r="C574" s="690" t="str">
        <f>IF(A574="SINAPI-S",VLOOKUP(B574,'20-B.SINAPI-S'!A:J,2,0),IF(A574="SINAPI-I",VLOOKUP(B574,'20-A.SINAPI-I'!A:E,2,0),VLOOKUP(B574,'12.COT.MERCADO'!A:H,2,0)))</f>
        <v>Fita isolante de alta fusão 19 mm x 10 m </v>
      </c>
      <c r="D574" s="685" t="str">
        <f>IF(A574="SINAPI-S",VLOOKUP(B574,'20-B.SINAPI-S'!A:J,3,0),IF(A574="SINAPI-I",VLOOKUP(B574,'20-A.SINAPI-I'!A:E,3,0),VLOOKUP(B574,'12.COT.MERCADO'!A:H,7,0)))</f>
        <v>UN </v>
      </c>
      <c r="E574" s="688">
        <f>IF(A574="SINAPI-S",VLOOKUP(B574,'20-B.SINAPI-S'!A:J,5,0),IF(A574="SINAPI-I",VLOOKUP(B574,'20-A.SINAPI-I'!A:G,6,0),0))</f>
        <v>0</v>
      </c>
      <c r="F574" s="691">
        <f>IF(A574="SINAPI-S",VLOOKUP(B574,'20-B.SINAPI-S'!A:J,6,0),IF(A574="SINAPI-I",VLOOKUP(B574,'20-A.SINAPI-I'!A:G,7,0),VLOOKUP(B574,'12.COT.MERCADO'!A:H,8,0)))</f>
        <v>31.92</v>
      </c>
      <c r="G574" s="685">
        <v>0.12</v>
      </c>
      <c r="H574" s="688">
        <f t="shared" si="290"/>
        <v>0</v>
      </c>
      <c r="I574" s="688">
        <f t="shared" si="291"/>
        <v>3.8304</v>
      </c>
      <c r="J574" s="688">
        <f t="shared" si="292"/>
        <v>3.8304</v>
      </c>
    </row>
    <row r="575">
      <c r="A575" s="457" t="s">
        <v>110</v>
      </c>
      <c r="B575" s="689" t="s">
        <v>1740</v>
      </c>
      <c r="C575" s="690" t="str">
        <f>IF(A575="SINAPI-S",VLOOKUP(B575,'20-B.SINAPI-S'!A:J,2,0),IF(A575="SINAPI-I",VLOOKUP(B575,'20-A.SINAPI-I'!A:E,2,0),VLOOKUP(B575,'12.COT.MERCADO'!A:H,2,0)))</f>
        <v>Cabo de cobre PP Cordplast 3 x 2,5 mm2, 450/750v</v>
      </c>
      <c r="D575" s="685" t="str">
        <f>IF(A575="SINAPI-S",VLOOKUP(B575,'20-B.SINAPI-S'!A:J,3,0),IF(A575="SINAPI-I",VLOOKUP(B575,'20-A.SINAPI-I'!A:E,3,0),VLOOKUP(B575,'12.COT.MERCADO'!A:H,7,0)))</f>
        <v>M</v>
      </c>
      <c r="E575" s="688">
        <f>IF(A575="SINAPI-S",VLOOKUP(B575,'20-B.SINAPI-S'!A:J,5,0),IF(A575="SINAPI-I",VLOOKUP(B575,'20-A.SINAPI-I'!A:G,6,0),0))</f>
        <v>0</v>
      </c>
      <c r="F575" s="691">
        <f>IF(A575="SINAPI-S",VLOOKUP(B575,'20-B.SINAPI-S'!A:J,6,0),IF(A575="SINAPI-I",VLOOKUP(B575,'20-A.SINAPI-I'!A:G,7,0),VLOOKUP(B575,'12.COT.MERCADO'!A:H,8,0)))</f>
        <v>8.9</v>
      </c>
      <c r="G575" s="685">
        <v>1.05</v>
      </c>
      <c r="H575" s="688">
        <f t="shared" si="290"/>
        <v>0</v>
      </c>
      <c r="I575" s="688">
        <f t="shared" si="291"/>
        <v>9.345</v>
      </c>
      <c r="J575" s="688">
        <f t="shared" si="292"/>
        <v>9.345</v>
      </c>
    </row>
    <row r="576">
      <c r="A576" s="457" t="s">
        <v>110</v>
      </c>
      <c r="B576" s="689" t="s">
        <v>1741</v>
      </c>
      <c r="C576" s="690" t="str">
        <f>IF(A576="SINAPI-S",VLOOKUP(B576,'20-B.SINAPI-S'!A:J,2,0),IF(A576="SINAPI-I",VLOOKUP(B576,'20-A.SINAPI-I'!A:E,2,0),VLOOKUP(B576,'12.COT.MERCADO'!A:H,2,0)))</f>
        <v>Fita em aço 1/2" Fusimec ou similar</v>
      </c>
      <c r="D576" s="685" t="str">
        <f>IF(A576="SINAPI-S",VLOOKUP(B576,'20-B.SINAPI-S'!A:J,3,0),IF(A576="SINAPI-I",VLOOKUP(B576,'20-A.SINAPI-I'!A:E,3,0),VLOOKUP(B576,'12.COT.MERCADO'!A:H,7,0)))</f>
        <v>M</v>
      </c>
      <c r="E576" s="688">
        <f>IF(A576="SINAPI-S",VLOOKUP(B576,'20-B.SINAPI-S'!A:J,5,0),IF(A576="SINAPI-I",VLOOKUP(B576,'20-A.SINAPI-I'!A:G,6,0),0))</f>
        <v>0</v>
      </c>
      <c r="F576" s="691">
        <f>IF(A576="SINAPI-S",VLOOKUP(B576,'20-B.SINAPI-S'!A:J,6,0),IF(A576="SINAPI-I",VLOOKUP(B576,'20-A.SINAPI-I'!A:G,7,0),VLOOKUP(B576,'12.COT.MERCADO'!A:H,8,0)))</f>
        <v>2.65</v>
      </c>
      <c r="G576" s="685">
        <v>3.0</v>
      </c>
      <c r="H576" s="688">
        <f t="shared" si="290"/>
        <v>0</v>
      </c>
      <c r="I576" s="688">
        <f t="shared" si="291"/>
        <v>7.95</v>
      </c>
      <c r="J576" s="688">
        <f t="shared" si="292"/>
        <v>7.95</v>
      </c>
    </row>
    <row r="577">
      <c r="A577" s="457" t="s">
        <v>110</v>
      </c>
      <c r="B577" s="689" t="s">
        <v>1742</v>
      </c>
      <c r="C577" s="690" t="str">
        <f>IF(A577="SINAPI-S",VLOOKUP(B577,'20-B.SINAPI-S'!A:J,2,0),IF(A577="SINAPI-I",VLOOKUP(B577,'20-A.SINAPI-I'!A:E,2,0),VLOOKUP(B577,'12.COT.MERCADO'!A:H,2,0)))</f>
        <v>Parafuso de ferro zincado c/rosca 3/8 " x 1 1/2" </v>
      </c>
      <c r="D577" s="685" t="str">
        <f>IF(A577="SINAPI-S",VLOOKUP(B577,'20-B.SINAPI-S'!A:J,3,0),IF(A577="SINAPI-I",VLOOKUP(B577,'20-A.SINAPI-I'!A:E,3,0),VLOOKUP(B577,'12.COT.MERCADO'!A:H,7,0)))</f>
        <v>UN </v>
      </c>
      <c r="E577" s="688">
        <f>IF(A577="SINAPI-S",VLOOKUP(B577,'20-B.SINAPI-S'!A:J,5,0),IF(A577="SINAPI-I",VLOOKUP(B577,'20-A.SINAPI-I'!A:G,6,0),0))</f>
        <v>0</v>
      </c>
      <c r="F577" s="691">
        <f>IF(A577="SINAPI-S",VLOOKUP(B577,'20-B.SINAPI-S'!A:J,6,0),IF(A577="SINAPI-I",VLOOKUP(B577,'20-A.SINAPI-I'!A:G,7,0),VLOOKUP(B577,'12.COT.MERCADO'!A:H,8,0)))</f>
        <v>0.89</v>
      </c>
      <c r="G577" s="685">
        <v>2.0</v>
      </c>
      <c r="H577" s="688">
        <f t="shared" si="290"/>
        <v>0</v>
      </c>
      <c r="I577" s="688">
        <f t="shared" si="291"/>
        <v>1.78</v>
      </c>
      <c r="J577" s="688">
        <f t="shared" si="292"/>
        <v>1.78</v>
      </c>
    </row>
    <row r="578">
      <c r="A578" s="457" t="s">
        <v>110</v>
      </c>
      <c r="B578" s="689" t="s">
        <v>1160</v>
      </c>
      <c r="C578" s="690" t="str">
        <f>IF(A578="SINAPI-S",VLOOKUP(B578,'20-B.SINAPI-S'!A:J,2,0),IF(A578="SINAPI-I",VLOOKUP(B578,'20-A.SINAPI-I'!A:E,2,0),VLOOKUP(B578,'12.COT.MERCADO'!A:H,2,0)))</f>
        <v>Arruela lisa de aço galvanizada de Ø 1/4"</v>
      </c>
      <c r="D578" s="685" t="str">
        <f>IF(A578="SINAPI-S",VLOOKUP(B578,'20-B.SINAPI-S'!A:J,3,0),IF(A578="SINAPI-I",VLOOKUP(B578,'20-A.SINAPI-I'!A:E,3,0),VLOOKUP(B578,'12.COT.MERCADO'!A:H,7,0)))</f>
        <v>UN </v>
      </c>
      <c r="E578" s="688">
        <f>IF(A578="SINAPI-S",VLOOKUP(B578,'20-B.SINAPI-S'!A:J,5,0),IF(A578="SINAPI-I",VLOOKUP(B578,'20-A.SINAPI-I'!A:G,6,0),0))</f>
        <v>0</v>
      </c>
      <c r="F578" s="691">
        <f>IF(A578="SINAPI-S",VLOOKUP(B578,'20-B.SINAPI-S'!A:J,6,0),IF(A578="SINAPI-I",VLOOKUP(B578,'20-A.SINAPI-I'!A:G,7,0),VLOOKUP(B578,'12.COT.MERCADO'!A:H,8,0)))</f>
        <v>0.09</v>
      </c>
      <c r="G578" s="685">
        <v>2.0</v>
      </c>
      <c r="H578" s="688">
        <f t="shared" si="290"/>
        <v>0</v>
      </c>
      <c r="I578" s="688">
        <f t="shared" si="291"/>
        <v>0.18</v>
      </c>
      <c r="J578" s="688">
        <f t="shared" si="292"/>
        <v>0.18</v>
      </c>
    </row>
    <row r="579">
      <c r="A579" s="682" t="s">
        <v>1632</v>
      </c>
      <c r="B579" s="696" t="s">
        <v>2042</v>
      </c>
    </row>
    <row r="580">
      <c r="A580" s="692"/>
      <c r="B580" s="693"/>
      <c r="C580" s="694"/>
      <c r="D580" s="693"/>
      <c r="E580" s="693"/>
      <c r="F580" s="693"/>
      <c r="G580" s="693"/>
      <c r="H580" s="693"/>
      <c r="I580" s="693"/>
      <c r="J580" s="693"/>
    </row>
    <row r="581">
      <c r="A581" s="677" t="s">
        <v>1729</v>
      </c>
      <c r="B581" s="678" t="s">
        <v>532</v>
      </c>
      <c r="C581" s="679" t="s">
        <v>1750</v>
      </c>
      <c r="D581" s="678" t="s">
        <v>1731</v>
      </c>
      <c r="E581" s="678"/>
      <c r="F581" s="678"/>
      <c r="G581" s="678"/>
      <c r="H581" s="680">
        <f t="shared" ref="H581:J581" si="293">SUM(H583:H594)</f>
        <v>5.44621</v>
      </c>
      <c r="I581" s="680">
        <f t="shared" si="293"/>
        <v>139.37416</v>
      </c>
      <c r="J581" s="681">
        <f t="shared" si="293"/>
        <v>144.82037</v>
      </c>
    </row>
    <row r="582">
      <c r="A582" s="682" t="s">
        <v>1732</v>
      </c>
      <c r="B582" s="683" t="s">
        <v>80</v>
      </c>
      <c r="C582" s="684" t="s">
        <v>8</v>
      </c>
      <c r="D582" s="683" t="s">
        <v>1733</v>
      </c>
      <c r="E582" s="683" t="s">
        <v>1734</v>
      </c>
      <c r="F582" s="683" t="s">
        <v>1735</v>
      </c>
      <c r="G582" s="683" t="s">
        <v>1736</v>
      </c>
      <c r="H582" s="683" t="s">
        <v>1737</v>
      </c>
      <c r="I582" s="683" t="s">
        <v>1738</v>
      </c>
      <c r="J582" s="683" t="s">
        <v>14</v>
      </c>
    </row>
    <row r="583">
      <c r="A583" s="457" t="s">
        <v>218</v>
      </c>
      <c r="B583" s="689">
        <v>88316.0</v>
      </c>
      <c r="C583" s="686" t="str">
        <f>IF(A583="SINAPI-S",VLOOKUP(B583,'20-B.SINAPI-S'!A:J,2,0),IF(A583="SINAPI-I",VLOOKUP(B583,'20-A.SINAPI-I'!A:E,2,0),VLOOKUP(B583,'12.COT.MERCADO'!A:H,2,0)))</f>
        <v>SERVENTE COM ENCARGOS COMPLEMENTARES</v>
      </c>
      <c r="D583" s="687" t="str">
        <f>IF(A583="SINAPI-S",VLOOKUP(B583,'20-B.SINAPI-S'!A:J,3,0),IF(A583="SINAPI-I",VLOOKUP(B583,'20-A.SINAPI-I'!A:E,3,0),VLOOKUP(B583,'12.COT.MERCADO'!A:H,7,0)))</f>
        <v>H</v>
      </c>
      <c r="E583" s="688">
        <f>IF(A583="SINAPI-S",VLOOKUP(B583,'20-B.SINAPI-S'!A:J,5,0),IF(A583="SINAPI-I",VLOOKUP(B583,'20-A.SINAPI-I'!A:G,6,0),0))</f>
        <v>17.42</v>
      </c>
      <c r="F583" s="688">
        <f>IF(A583="SINAPI-S",VLOOKUP(B583,'20-B.SINAPI-S'!A:J,6,0),IF(A583="SINAPI-I",VLOOKUP(B583,'20-A.SINAPI-I'!A:G,7,0),VLOOKUP(B583,'12.COT.MERCADO'!A:H,8,0)))</f>
        <v>7.7</v>
      </c>
      <c r="G583" s="685">
        <f t="shared" ref="G583:G584" si="294">0.064+0.057</f>
        <v>0.121</v>
      </c>
      <c r="H583" s="688">
        <f t="shared" ref="H583:H594" si="295">E583*G583</f>
        <v>2.10782</v>
      </c>
      <c r="I583" s="688">
        <f t="shared" ref="I583:I594" si="296">F583*G583</f>
        <v>0.9317</v>
      </c>
      <c r="J583" s="688">
        <f t="shared" ref="J583:J594" si="297">I583+H583</f>
        <v>3.03952</v>
      </c>
    </row>
    <row r="584">
      <c r="A584" s="457" t="s">
        <v>218</v>
      </c>
      <c r="B584" s="685">
        <v>100308.0</v>
      </c>
      <c r="C584" s="686" t="str">
        <f>IF(A584="SINAPI-S",VLOOKUP(B584,'20-B.SINAPI-S'!A:J,2,0),IF(A584="SINAPI-I",VLOOKUP(B584,'20-A.SINAPI-I'!A:E,2,0),VLOOKUP(B584,'12.COT.MERCADO'!A:H,2,0)))</f>
        <v>MECÂNICO DE REFRIGERAÇÃO COM ENCARGOS COMPLEMENTARES</v>
      </c>
      <c r="D584" s="687" t="str">
        <f>IF(A584="SINAPI-S",VLOOKUP(B584,'20-B.SINAPI-S'!A:J,3,0),IF(A584="SINAPI-I",VLOOKUP(B584,'20-A.SINAPI-I'!A:E,3,0),VLOOKUP(B584,'12.COT.MERCADO'!A:H,7,0)))</f>
        <v>H</v>
      </c>
      <c r="E584" s="688">
        <f>IF(A584="SINAPI-S",VLOOKUP(B584,'20-B.SINAPI-S'!A:J,5,0),IF(A584="SINAPI-I",VLOOKUP(B584,'20-A.SINAPI-I'!A:G,6,0),0))</f>
        <v>27.59</v>
      </c>
      <c r="F584" s="688">
        <f>IF(A584="SINAPI-S",VLOOKUP(B584,'20-B.SINAPI-S'!A:J,6,0),IF(A584="SINAPI-I",VLOOKUP(B584,'20-A.SINAPI-I'!A:G,7,0),VLOOKUP(B584,'12.COT.MERCADO'!A:H,8,0)))</f>
        <v>7.86</v>
      </c>
      <c r="G584" s="685">
        <f t="shared" si="294"/>
        <v>0.121</v>
      </c>
      <c r="H584" s="688">
        <f t="shared" si="295"/>
        <v>3.33839</v>
      </c>
      <c r="I584" s="688">
        <f t="shared" si="296"/>
        <v>0.95106</v>
      </c>
      <c r="J584" s="688">
        <f t="shared" si="297"/>
        <v>4.28945</v>
      </c>
    </row>
    <row r="585">
      <c r="A585" s="457" t="s">
        <v>286</v>
      </c>
      <c r="B585" s="689">
        <v>4376.0</v>
      </c>
      <c r="C585" s="686" t="str">
        <f>IF(A585="SINAPI-S",VLOOKUP(B585,'20-B.SINAPI-S'!A:J,2,0),IF(A585="SINAPI-I",VLOOKUP(B585,'20-A.SINAPI-I'!A:E,2,0),VLOOKUP(B585,'12.COT.MERCADO'!A:H,2,0)))</f>
        <v>BUCHA DE NYLON SEM ABA S8</v>
      </c>
      <c r="D585" s="685" t="str">
        <f>IF(A585="SINAPI-S",VLOOKUP(B585,'20-B.SINAPI-S'!A:J,3,0),IF(A585="SINAPI-I",VLOOKUP(B585,'20-A.SINAPI-I'!A:E,3,0),VLOOKUP(B585,'12.COT.MERCADO'!A:H,7,0)))</f>
        <v>UN</v>
      </c>
      <c r="E585" s="688">
        <f>IF(A585="SINAPI-S",VLOOKUP(B585,'20-B.SINAPI-S'!A:J,5,0),IF(A585="SINAPI-I",VLOOKUP(B585,'20-A.SINAPI-I'!A:G,6,0),0))</f>
        <v>0</v>
      </c>
      <c r="F585" s="688">
        <f>IF(A585="SINAPI-S",VLOOKUP(B585,'20-B.SINAPI-S'!A:J,6,0),IF(A585="SINAPI-I",VLOOKUP(B585,'20-A.SINAPI-I'!A:G,7,0),VLOOKUP(B585,'12.COT.MERCADO'!A:H,8,0)))</f>
        <v>0.23</v>
      </c>
      <c r="G585" s="685">
        <v>2.0</v>
      </c>
      <c r="H585" s="688">
        <f t="shared" si="295"/>
        <v>0</v>
      </c>
      <c r="I585" s="688">
        <f t="shared" si="296"/>
        <v>0.46</v>
      </c>
      <c r="J585" s="688">
        <f t="shared" si="297"/>
        <v>0.46</v>
      </c>
    </row>
    <row r="586">
      <c r="A586" s="457" t="s">
        <v>286</v>
      </c>
      <c r="B586" s="689">
        <v>39664.0</v>
      </c>
      <c r="C586" s="686" t="str">
        <f>IF(A586="SINAPI-S",VLOOKUP(B586,'20-B.SINAPI-S'!A:J,2,0),IF(A586="SINAPI-I",VLOOKUP(B586,'20-A.SINAPI-I'!A:E,2,0),VLOOKUP(B586,'12.COT.MERCADO'!A:H,2,0)))</f>
        <v>TUBO DE COBRE FLEXIVEL, D = 3/8 ", E = 0,79 MM, PARA AR-CONDICIONADO/ INSTALACOES GAS RESIDENCIAIS E COMERCIAIS</v>
      </c>
      <c r="D586" s="685" t="str">
        <f>IF(A586="SINAPI-S",VLOOKUP(B586,'20-B.SINAPI-S'!A:J,3,0),IF(A586="SINAPI-I",VLOOKUP(B586,'20-A.SINAPI-I'!A:E,3,0),VLOOKUP(B586,'12.COT.MERCADO'!A:H,7,0)))</f>
        <v>M</v>
      </c>
      <c r="E586" s="688">
        <f>IF(A586="SINAPI-S",VLOOKUP(B586,'20-B.SINAPI-S'!A:J,5,0),IF(A586="SINAPI-I",VLOOKUP(B586,'20-A.SINAPI-I'!A:G,6,0),0))</f>
        <v>0</v>
      </c>
      <c r="F586" s="688">
        <f>IF(A586="SINAPI-S",VLOOKUP(B586,'20-B.SINAPI-S'!A:J,6,0),IF(A586="SINAPI-I",VLOOKUP(B586,'20-A.SINAPI-I'!A:G,7,0),VLOOKUP(B586,'12.COT.MERCADO'!A:H,8,0)))</f>
        <v>29.27</v>
      </c>
      <c r="G586" s="685">
        <v>1.05</v>
      </c>
      <c r="H586" s="688">
        <f t="shared" si="295"/>
        <v>0</v>
      </c>
      <c r="I586" s="688">
        <f t="shared" si="296"/>
        <v>30.7335</v>
      </c>
      <c r="J586" s="688">
        <f t="shared" si="297"/>
        <v>30.7335</v>
      </c>
    </row>
    <row r="587">
      <c r="A587" s="457" t="s">
        <v>286</v>
      </c>
      <c r="B587" s="689">
        <v>39665.0</v>
      </c>
      <c r="C587" s="686" t="str">
        <f>IF(A587="SINAPI-S",VLOOKUP(B587,'20-B.SINAPI-S'!A:J,2,0),IF(A587="SINAPI-I",VLOOKUP(B587,'20-A.SINAPI-I'!A:E,2,0),VLOOKUP(B587,'12.COT.MERCADO'!A:H,2,0)))</f>
        <v>TUBO DE COBRE FLEXIVEL, D = 5/8 ", E = 0,79 MM, PARA AR-CONDICIONADO/ INSTALACOES GAS RESIDENCIAIS E COMERCIAIS</v>
      </c>
      <c r="D587" s="685" t="str">
        <f>IF(A587="SINAPI-S",VLOOKUP(B587,'20-B.SINAPI-S'!A:J,3,0),IF(A587="SINAPI-I",VLOOKUP(B587,'20-A.SINAPI-I'!A:E,3,0),VLOOKUP(B587,'12.COT.MERCADO'!A:H,7,0)))</f>
        <v>M</v>
      </c>
      <c r="E587" s="688">
        <f>IF(A587="SINAPI-S",VLOOKUP(B587,'20-B.SINAPI-S'!A:J,5,0),IF(A587="SINAPI-I",VLOOKUP(B587,'20-A.SINAPI-I'!A:G,6,0),0))</f>
        <v>0</v>
      </c>
      <c r="F587" s="688">
        <f>IF(A587="SINAPI-S",VLOOKUP(B587,'20-B.SINAPI-S'!A:J,6,0),IF(A587="SINAPI-I",VLOOKUP(B587,'20-A.SINAPI-I'!A:G,7,0),VLOOKUP(B587,'12.COT.MERCADO'!A:H,8,0)))</f>
        <v>49.38</v>
      </c>
      <c r="G587" s="685">
        <v>1.05</v>
      </c>
      <c r="H587" s="688">
        <f t="shared" si="295"/>
        <v>0</v>
      </c>
      <c r="I587" s="688">
        <f t="shared" si="296"/>
        <v>51.849</v>
      </c>
      <c r="J587" s="688">
        <f t="shared" si="297"/>
        <v>51.849</v>
      </c>
    </row>
    <row r="588">
      <c r="A588" s="457" t="s">
        <v>286</v>
      </c>
      <c r="B588" s="689">
        <v>39741.0</v>
      </c>
      <c r="C588" s="686" t="str">
        <f>IF(A588="SINAPI-S",VLOOKUP(B588,'20-B.SINAPI-S'!A:J,2,0),IF(A588="SINAPI-I",VLOOKUP(B588,'20-A.SINAPI-I'!A:E,2,0),VLOOKUP(B588,'12.COT.MERCADO'!A:H,2,0)))</f>
        <v>TUBO DE BORRACHA ELASTOMERICA FLEXIVEL, PRETA, PARA ISOLAMENTO TERMICO DE TUBULACAO, DN 3/8" (10 MM), E= 19 MM, COEFICIENTE DE CONDUTIVIDADE TERMICA 0,036W/mK, VAPOR DE AGUA MAIOR OU IGUAL A 10.000</v>
      </c>
      <c r="D588" s="685" t="str">
        <f>IF(A588="SINAPI-S",VLOOKUP(B588,'20-B.SINAPI-S'!A:J,3,0),IF(A588="SINAPI-I",VLOOKUP(B588,'20-A.SINAPI-I'!A:E,3,0),VLOOKUP(B588,'12.COT.MERCADO'!A:H,7,0)))</f>
        <v>M</v>
      </c>
      <c r="E588" s="688">
        <f>IF(A588="SINAPI-S",VLOOKUP(B588,'20-B.SINAPI-S'!A:J,5,0),IF(A588="SINAPI-I",VLOOKUP(B588,'20-A.SINAPI-I'!A:G,6,0),0))</f>
        <v>0</v>
      </c>
      <c r="F588" s="688">
        <f>IF(A588="SINAPI-S",VLOOKUP(B588,'20-B.SINAPI-S'!A:J,6,0),IF(A588="SINAPI-I",VLOOKUP(B588,'20-A.SINAPI-I'!A:G,7,0),VLOOKUP(B588,'12.COT.MERCADO'!A:H,8,0)))</f>
        <v>12.91</v>
      </c>
      <c r="G588" s="685">
        <v>1.05</v>
      </c>
      <c r="H588" s="688">
        <f t="shared" si="295"/>
        <v>0</v>
      </c>
      <c r="I588" s="688">
        <f t="shared" si="296"/>
        <v>13.5555</v>
      </c>
      <c r="J588" s="688">
        <f t="shared" si="297"/>
        <v>13.5555</v>
      </c>
    </row>
    <row r="589">
      <c r="A589" s="457" t="s">
        <v>286</v>
      </c>
      <c r="B589" s="689">
        <v>39853.0</v>
      </c>
      <c r="C589" s="686" t="str">
        <f>IF(A589="SINAPI-S",VLOOKUP(B589,'20-B.SINAPI-S'!A:J,2,0),IF(A589="SINAPI-I",VLOOKUP(B589,'20-A.SINAPI-I'!A:E,2,0),VLOOKUP(B589,'12.COT.MERCADO'!A:H,2,0)))</f>
        <v>TUBO DE BORRACHA ELASTOMERICA FLEXIVEL, PRETA, PARA ISOLAMENTO TERMICO DE TUBULACAO, DN 5/8" (15 MM), E= 19 MM, COEFICIENTE DE CONDUTIVIDADE TERMICA 0,036W/MK, VAPOR DE AGUA MAIOR OU IGUAL A 10.000</v>
      </c>
      <c r="D589" s="685" t="str">
        <f>IF(A589="SINAPI-S",VLOOKUP(B589,'20-B.SINAPI-S'!A:J,3,0),IF(A589="SINAPI-I",VLOOKUP(B589,'20-A.SINAPI-I'!A:E,3,0),VLOOKUP(B589,'12.COT.MERCADO'!A:H,7,0)))</f>
        <v>M</v>
      </c>
      <c r="E589" s="688">
        <f>IF(A589="SINAPI-S",VLOOKUP(B589,'20-B.SINAPI-S'!A:J,5,0),IF(A589="SINAPI-I",VLOOKUP(B589,'20-A.SINAPI-I'!A:G,6,0),0))</f>
        <v>0</v>
      </c>
      <c r="F589" s="688">
        <f>IF(A589="SINAPI-S",VLOOKUP(B589,'20-B.SINAPI-S'!A:J,6,0),IF(A589="SINAPI-I",VLOOKUP(B589,'20-A.SINAPI-I'!A:G,7,0),VLOOKUP(B589,'12.COT.MERCADO'!A:H,8,0)))</f>
        <v>16.96</v>
      </c>
      <c r="G589" s="685">
        <v>1.05</v>
      </c>
      <c r="H589" s="688">
        <f t="shared" si="295"/>
        <v>0</v>
      </c>
      <c r="I589" s="688">
        <f t="shared" si="296"/>
        <v>17.808</v>
      </c>
      <c r="J589" s="688">
        <f t="shared" si="297"/>
        <v>17.808</v>
      </c>
    </row>
    <row r="590">
      <c r="A590" s="457" t="s">
        <v>110</v>
      </c>
      <c r="B590" s="689" t="s">
        <v>1739</v>
      </c>
      <c r="C590" s="690" t="str">
        <f>IF(A590="SINAPI-S",VLOOKUP(B590,'20-B.SINAPI-S'!A:J,2,0),IF(A590="SINAPI-I",VLOOKUP(B590,'20-A.SINAPI-I'!A:E,2,0),VLOOKUP(B590,'12.COT.MERCADO'!A:H,2,0)))</f>
        <v>Fita isolante de alta fusão 19 mm x 10 m </v>
      </c>
      <c r="D590" s="685" t="str">
        <f>IF(A590="SINAPI-S",VLOOKUP(B590,'20-B.SINAPI-S'!A:J,3,0),IF(A590="SINAPI-I",VLOOKUP(B590,'20-A.SINAPI-I'!A:E,3,0),VLOOKUP(B590,'12.COT.MERCADO'!A:H,7,0)))</f>
        <v>UN </v>
      </c>
      <c r="E590" s="688">
        <f>IF(A590="SINAPI-S",VLOOKUP(B590,'20-B.SINAPI-S'!A:J,5,0),IF(A590="SINAPI-I",VLOOKUP(B590,'20-A.SINAPI-I'!A:G,6,0),0))</f>
        <v>0</v>
      </c>
      <c r="F590" s="691">
        <f>IF(A590="SINAPI-S",VLOOKUP(B590,'20-B.SINAPI-S'!A:J,6,0),IF(A590="SINAPI-I",VLOOKUP(B590,'20-A.SINAPI-I'!A:G,7,0),VLOOKUP(B590,'12.COT.MERCADO'!A:H,8,0)))</f>
        <v>31.92</v>
      </c>
      <c r="G590" s="685">
        <v>0.12</v>
      </c>
      <c r="H590" s="688">
        <f t="shared" si="295"/>
        <v>0</v>
      </c>
      <c r="I590" s="688">
        <f t="shared" si="296"/>
        <v>3.8304</v>
      </c>
      <c r="J590" s="688">
        <f t="shared" si="297"/>
        <v>3.8304</v>
      </c>
    </row>
    <row r="591">
      <c r="A591" s="457" t="s">
        <v>110</v>
      </c>
      <c r="B591" s="689" t="s">
        <v>1740</v>
      </c>
      <c r="C591" s="690" t="str">
        <f>IF(A591="SINAPI-S",VLOOKUP(B591,'20-B.SINAPI-S'!A:J,2,0),IF(A591="SINAPI-I",VLOOKUP(B591,'20-A.SINAPI-I'!A:E,2,0),VLOOKUP(B591,'12.COT.MERCADO'!A:H,2,0)))</f>
        <v>Cabo de cobre PP Cordplast 3 x 2,5 mm2, 450/750v</v>
      </c>
      <c r="D591" s="685" t="str">
        <f>IF(A591="SINAPI-S",VLOOKUP(B591,'20-B.SINAPI-S'!A:J,3,0),IF(A591="SINAPI-I",VLOOKUP(B591,'20-A.SINAPI-I'!A:E,3,0),VLOOKUP(B591,'12.COT.MERCADO'!A:H,7,0)))</f>
        <v>M</v>
      </c>
      <c r="E591" s="688">
        <f>IF(A591="SINAPI-S",VLOOKUP(B591,'20-B.SINAPI-S'!A:J,5,0),IF(A591="SINAPI-I",VLOOKUP(B591,'20-A.SINAPI-I'!A:G,6,0),0))</f>
        <v>0</v>
      </c>
      <c r="F591" s="691">
        <f>IF(A591="SINAPI-S",VLOOKUP(B591,'20-B.SINAPI-S'!A:J,6,0),IF(A591="SINAPI-I",VLOOKUP(B591,'20-A.SINAPI-I'!A:G,7,0),VLOOKUP(B591,'12.COT.MERCADO'!A:H,8,0)))</f>
        <v>8.9</v>
      </c>
      <c r="G591" s="685">
        <v>1.05</v>
      </c>
      <c r="H591" s="688">
        <f t="shared" si="295"/>
        <v>0</v>
      </c>
      <c r="I591" s="688">
        <f t="shared" si="296"/>
        <v>9.345</v>
      </c>
      <c r="J591" s="688">
        <f t="shared" si="297"/>
        <v>9.345</v>
      </c>
    </row>
    <row r="592">
      <c r="A592" s="457" t="s">
        <v>110</v>
      </c>
      <c r="B592" s="689" t="s">
        <v>1741</v>
      </c>
      <c r="C592" s="690" t="str">
        <f>IF(A592="SINAPI-S",VLOOKUP(B592,'20-B.SINAPI-S'!A:J,2,0),IF(A592="SINAPI-I",VLOOKUP(B592,'20-A.SINAPI-I'!A:E,2,0),VLOOKUP(B592,'12.COT.MERCADO'!A:H,2,0)))</f>
        <v>Fita em aço 1/2" Fusimec ou similar</v>
      </c>
      <c r="D592" s="685" t="str">
        <f>IF(A592="SINAPI-S",VLOOKUP(B592,'20-B.SINAPI-S'!A:J,3,0),IF(A592="SINAPI-I",VLOOKUP(B592,'20-A.SINAPI-I'!A:E,3,0),VLOOKUP(B592,'12.COT.MERCADO'!A:H,7,0)))</f>
        <v>M</v>
      </c>
      <c r="E592" s="688">
        <f>IF(A592="SINAPI-S",VLOOKUP(B592,'20-B.SINAPI-S'!A:J,5,0),IF(A592="SINAPI-I",VLOOKUP(B592,'20-A.SINAPI-I'!A:G,6,0),0))</f>
        <v>0</v>
      </c>
      <c r="F592" s="691">
        <f>IF(A592="SINAPI-S",VLOOKUP(B592,'20-B.SINAPI-S'!A:J,6,0),IF(A592="SINAPI-I",VLOOKUP(B592,'20-A.SINAPI-I'!A:G,7,0),VLOOKUP(B592,'12.COT.MERCADO'!A:H,8,0)))</f>
        <v>2.65</v>
      </c>
      <c r="G592" s="685">
        <v>3.0</v>
      </c>
      <c r="H592" s="688">
        <f t="shared" si="295"/>
        <v>0</v>
      </c>
      <c r="I592" s="688">
        <f t="shared" si="296"/>
        <v>7.95</v>
      </c>
      <c r="J592" s="688">
        <f t="shared" si="297"/>
        <v>7.95</v>
      </c>
    </row>
    <row r="593">
      <c r="A593" s="457" t="s">
        <v>110</v>
      </c>
      <c r="B593" s="689" t="s">
        <v>1742</v>
      </c>
      <c r="C593" s="690" t="str">
        <f>IF(A593="SINAPI-S",VLOOKUP(B593,'20-B.SINAPI-S'!A:J,2,0),IF(A593="SINAPI-I",VLOOKUP(B593,'20-A.SINAPI-I'!A:E,2,0),VLOOKUP(B593,'12.COT.MERCADO'!A:H,2,0)))</f>
        <v>Parafuso de ferro zincado c/rosca 3/8 " x 1 1/2" </v>
      </c>
      <c r="D593" s="685" t="str">
        <f>IF(A593="SINAPI-S",VLOOKUP(B593,'20-B.SINAPI-S'!A:J,3,0),IF(A593="SINAPI-I",VLOOKUP(B593,'20-A.SINAPI-I'!A:E,3,0),VLOOKUP(B593,'12.COT.MERCADO'!A:H,7,0)))</f>
        <v>UN </v>
      </c>
      <c r="E593" s="688">
        <f>IF(A593="SINAPI-S",VLOOKUP(B593,'20-B.SINAPI-S'!A:J,5,0),IF(A593="SINAPI-I",VLOOKUP(B593,'20-A.SINAPI-I'!A:G,6,0),0))</f>
        <v>0</v>
      </c>
      <c r="F593" s="691">
        <f>IF(A593="SINAPI-S",VLOOKUP(B593,'20-B.SINAPI-S'!A:J,6,0),IF(A593="SINAPI-I",VLOOKUP(B593,'20-A.SINAPI-I'!A:G,7,0),VLOOKUP(B593,'12.COT.MERCADO'!A:H,8,0)))</f>
        <v>0.89</v>
      </c>
      <c r="G593" s="685">
        <v>2.0</v>
      </c>
      <c r="H593" s="688">
        <f t="shared" si="295"/>
        <v>0</v>
      </c>
      <c r="I593" s="688">
        <f t="shared" si="296"/>
        <v>1.78</v>
      </c>
      <c r="J593" s="688">
        <f t="shared" si="297"/>
        <v>1.78</v>
      </c>
    </row>
    <row r="594">
      <c r="A594" s="457" t="s">
        <v>110</v>
      </c>
      <c r="B594" s="689" t="s">
        <v>1160</v>
      </c>
      <c r="C594" s="690" t="str">
        <f>IF(A594="SINAPI-S",VLOOKUP(B594,'20-B.SINAPI-S'!A:J,2,0),IF(A594="SINAPI-I",VLOOKUP(B594,'20-A.SINAPI-I'!A:E,2,0),VLOOKUP(B594,'12.COT.MERCADO'!A:H,2,0)))</f>
        <v>Arruela lisa de aço galvanizada de Ø 1/4"</v>
      </c>
      <c r="D594" s="685" t="str">
        <f>IF(A594="SINAPI-S",VLOOKUP(B594,'20-B.SINAPI-S'!A:J,3,0),IF(A594="SINAPI-I",VLOOKUP(B594,'20-A.SINAPI-I'!A:E,3,0),VLOOKUP(B594,'12.COT.MERCADO'!A:H,7,0)))</f>
        <v>UN </v>
      </c>
      <c r="E594" s="688">
        <f>IF(A594="SINAPI-S",VLOOKUP(B594,'20-B.SINAPI-S'!A:J,5,0),IF(A594="SINAPI-I",VLOOKUP(B594,'20-A.SINAPI-I'!A:G,6,0),0))</f>
        <v>0</v>
      </c>
      <c r="F594" s="691">
        <f>IF(A594="SINAPI-S",VLOOKUP(B594,'20-B.SINAPI-S'!A:J,6,0),IF(A594="SINAPI-I",VLOOKUP(B594,'20-A.SINAPI-I'!A:G,7,0),VLOOKUP(B594,'12.COT.MERCADO'!A:H,8,0)))</f>
        <v>0.09</v>
      </c>
      <c r="G594" s="685">
        <v>2.0</v>
      </c>
      <c r="H594" s="688">
        <f t="shared" si="295"/>
        <v>0</v>
      </c>
      <c r="I594" s="688">
        <f t="shared" si="296"/>
        <v>0.18</v>
      </c>
      <c r="J594" s="688">
        <f t="shared" si="297"/>
        <v>0.18</v>
      </c>
    </row>
    <row r="595">
      <c r="A595" s="682" t="s">
        <v>1632</v>
      </c>
      <c r="B595" s="697" t="s">
        <v>2043</v>
      </c>
    </row>
    <row r="596">
      <c r="A596" s="692"/>
      <c r="B596" s="693"/>
      <c r="C596" s="694"/>
      <c r="D596" s="693"/>
      <c r="E596" s="693"/>
      <c r="F596" s="693"/>
      <c r="G596" s="693"/>
      <c r="H596" s="693"/>
      <c r="I596" s="693"/>
      <c r="J596" s="693"/>
    </row>
    <row r="597">
      <c r="A597" s="677" t="s">
        <v>1729</v>
      </c>
      <c r="B597" s="678" t="s">
        <v>534</v>
      </c>
      <c r="C597" s="679" t="s">
        <v>1752</v>
      </c>
      <c r="D597" s="678" t="s">
        <v>1731</v>
      </c>
      <c r="E597" s="678"/>
      <c r="F597" s="678"/>
      <c r="G597" s="678"/>
      <c r="H597" s="680">
        <f t="shared" ref="H597:J597" si="298">SUM(H599:H610)</f>
        <v>5.44621</v>
      </c>
      <c r="I597" s="680">
        <f t="shared" si="298"/>
        <v>206.00716</v>
      </c>
      <c r="J597" s="681">
        <f t="shared" si="298"/>
        <v>211.45337</v>
      </c>
    </row>
    <row r="598">
      <c r="A598" s="682" t="s">
        <v>1732</v>
      </c>
      <c r="B598" s="683" t="s">
        <v>80</v>
      </c>
      <c r="C598" s="684" t="s">
        <v>8</v>
      </c>
      <c r="D598" s="683" t="s">
        <v>1733</v>
      </c>
      <c r="E598" s="683" t="s">
        <v>1734</v>
      </c>
      <c r="F598" s="683" t="s">
        <v>1735</v>
      </c>
      <c r="G598" s="683" t="s">
        <v>1736</v>
      </c>
      <c r="H598" s="683" t="s">
        <v>1737</v>
      </c>
      <c r="I598" s="683" t="s">
        <v>1738</v>
      </c>
      <c r="J598" s="683" t="s">
        <v>14</v>
      </c>
    </row>
    <row r="599">
      <c r="A599" s="457" t="s">
        <v>218</v>
      </c>
      <c r="B599" s="689">
        <v>88316.0</v>
      </c>
      <c r="C599" s="686" t="str">
        <f>IF(A599="SINAPI-S",VLOOKUP(B599,'20-B.SINAPI-S'!A:J,2,0),IF(A599="SINAPI-I",VLOOKUP(B599,'20-A.SINAPI-I'!A:E,2,0),VLOOKUP(B599,'12.COT.MERCADO'!A:H,2,0)))</f>
        <v>SERVENTE COM ENCARGOS COMPLEMENTARES</v>
      </c>
      <c r="D599" s="687" t="str">
        <f>IF(A599="SINAPI-S",VLOOKUP(B599,'20-B.SINAPI-S'!A:J,3,0),IF(A599="SINAPI-I",VLOOKUP(B599,'20-A.SINAPI-I'!A:E,3,0),VLOOKUP(B599,'12.COT.MERCADO'!A:H,7,0)))</f>
        <v>H</v>
      </c>
      <c r="E599" s="688">
        <f>IF(A599="SINAPI-S",VLOOKUP(B599,'20-B.SINAPI-S'!A:J,5,0),IF(A599="SINAPI-I",VLOOKUP(B599,'20-A.SINAPI-I'!A:G,6,0),0))</f>
        <v>17.42</v>
      </c>
      <c r="F599" s="688">
        <f>IF(A599="SINAPI-S",VLOOKUP(B599,'20-B.SINAPI-S'!A:J,6,0),IF(A599="SINAPI-I",VLOOKUP(B599,'20-A.SINAPI-I'!A:G,7,0),VLOOKUP(B599,'12.COT.MERCADO'!A:H,8,0)))</f>
        <v>7.7</v>
      </c>
      <c r="G599" s="685">
        <f t="shared" ref="G599:G600" si="299">0.064+0.057</f>
        <v>0.121</v>
      </c>
      <c r="H599" s="688">
        <f t="shared" ref="H599:H610" si="300">E599*G599</f>
        <v>2.10782</v>
      </c>
      <c r="I599" s="688">
        <f t="shared" ref="I599:I610" si="301">F599*G599</f>
        <v>0.9317</v>
      </c>
      <c r="J599" s="688">
        <f t="shared" ref="J599:J610" si="302">I599+H599</f>
        <v>3.03952</v>
      </c>
    </row>
    <row r="600">
      <c r="A600" s="457" t="s">
        <v>218</v>
      </c>
      <c r="B600" s="685">
        <v>100308.0</v>
      </c>
      <c r="C600" s="686" t="str">
        <f>IF(A600="SINAPI-S",VLOOKUP(B600,'20-B.SINAPI-S'!A:J,2,0),IF(A600="SINAPI-I",VLOOKUP(B600,'20-A.SINAPI-I'!A:E,2,0),VLOOKUP(B600,'12.COT.MERCADO'!A:H,2,0)))</f>
        <v>MECÂNICO DE REFRIGERAÇÃO COM ENCARGOS COMPLEMENTARES</v>
      </c>
      <c r="D600" s="687" t="str">
        <f>IF(A600="SINAPI-S",VLOOKUP(B600,'20-B.SINAPI-S'!A:J,3,0),IF(A600="SINAPI-I",VLOOKUP(B600,'20-A.SINAPI-I'!A:E,3,0),VLOOKUP(B600,'12.COT.MERCADO'!A:H,7,0)))</f>
        <v>H</v>
      </c>
      <c r="E600" s="688">
        <f>IF(A600="SINAPI-S",VLOOKUP(B600,'20-B.SINAPI-S'!A:J,5,0),IF(A600="SINAPI-I",VLOOKUP(B600,'20-A.SINAPI-I'!A:G,6,0),0))</f>
        <v>27.59</v>
      </c>
      <c r="F600" s="688">
        <f>IF(A600="SINAPI-S",VLOOKUP(B600,'20-B.SINAPI-S'!A:J,6,0),IF(A600="SINAPI-I",VLOOKUP(B600,'20-A.SINAPI-I'!A:G,7,0),VLOOKUP(B600,'12.COT.MERCADO'!A:H,8,0)))</f>
        <v>7.86</v>
      </c>
      <c r="G600" s="685">
        <f t="shared" si="299"/>
        <v>0.121</v>
      </c>
      <c r="H600" s="688">
        <f t="shared" si="300"/>
        <v>3.33839</v>
      </c>
      <c r="I600" s="688">
        <f t="shared" si="301"/>
        <v>0.95106</v>
      </c>
      <c r="J600" s="688">
        <f t="shared" si="302"/>
        <v>4.28945</v>
      </c>
    </row>
    <row r="601">
      <c r="A601" s="457" t="s">
        <v>286</v>
      </c>
      <c r="B601" s="689">
        <v>4376.0</v>
      </c>
      <c r="C601" s="686" t="str">
        <f>IF(A601="SINAPI-S",VLOOKUP(B601,'20-B.SINAPI-S'!A:J,2,0),IF(A601="SINAPI-I",VLOOKUP(B601,'20-A.SINAPI-I'!A:E,2,0),VLOOKUP(B601,'12.COT.MERCADO'!A:H,2,0)))</f>
        <v>BUCHA DE NYLON SEM ABA S8</v>
      </c>
      <c r="D601" s="685" t="str">
        <f>IF(A601="SINAPI-S",VLOOKUP(B601,'20-B.SINAPI-S'!A:J,3,0),IF(A601="SINAPI-I",VLOOKUP(B601,'20-A.SINAPI-I'!A:E,3,0),VLOOKUP(B601,'12.COT.MERCADO'!A:H,7,0)))</f>
        <v>UN</v>
      </c>
      <c r="E601" s="688">
        <f>IF(A601="SINAPI-S",VLOOKUP(B601,'20-B.SINAPI-S'!A:J,5,0),IF(A601="SINAPI-I",VLOOKUP(B601,'20-A.SINAPI-I'!A:G,6,0),0))</f>
        <v>0</v>
      </c>
      <c r="F601" s="688">
        <f>IF(A601="SINAPI-S",VLOOKUP(B601,'20-B.SINAPI-S'!A:J,6,0),IF(A601="SINAPI-I",VLOOKUP(B601,'20-A.SINAPI-I'!A:G,7,0),VLOOKUP(B601,'12.COT.MERCADO'!A:H,8,0)))</f>
        <v>0.23</v>
      </c>
      <c r="G601" s="685">
        <v>2.0</v>
      </c>
      <c r="H601" s="688">
        <f t="shared" si="300"/>
        <v>0</v>
      </c>
      <c r="I601" s="688">
        <f t="shared" si="301"/>
        <v>0.46</v>
      </c>
      <c r="J601" s="688">
        <f t="shared" si="302"/>
        <v>0.46</v>
      </c>
    </row>
    <row r="602">
      <c r="A602" s="457" t="s">
        <v>286</v>
      </c>
      <c r="B602" s="689">
        <v>39664.0</v>
      </c>
      <c r="C602" s="686" t="str">
        <f>IF(A602="SINAPI-S",VLOOKUP(B602,'20-B.SINAPI-S'!A:J,2,0),IF(A602="SINAPI-I",VLOOKUP(B602,'20-A.SINAPI-I'!A:E,2,0),VLOOKUP(B602,'12.COT.MERCADO'!A:H,2,0)))</f>
        <v>TUBO DE COBRE FLEXIVEL, D = 3/8 ", E = 0,79 MM, PARA AR-CONDICIONADO/ INSTALACOES GAS RESIDENCIAIS E COMERCIAIS</v>
      </c>
      <c r="D602" s="685" t="str">
        <f>IF(A602="SINAPI-S",VLOOKUP(B602,'20-B.SINAPI-S'!A:J,3,0),IF(A602="SINAPI-I",VLOOKUP(B602,'20-A.SINAPI-I'!A:E,3,0),VLOOKUP(B602,'12.COT.MERCADO'!A:H,7,0)))</f>
        <v>M</v>
      </c>
      <c r="E602" s="688">
        <f>IF(A602="SINAPI-S",VLOOKUP(B602,'20-B.SINAPI-S'!A:J,5,0),IF(A602="SINAPI-I",VLOOKUP(B602,'20-A.SINAPI-I'!A:G,6,0),0))</f>
        <v>0</v>
      </c>
      <c r="F602" s="688">
        <f>IF(A602="SINAPI-S",VLOOKUP(B602,'20-B.SINAPI-S'!A:J,6,0),IF(A602="SINAPI-I",VLOOKUP(B602,'20-A.SINAPI-I'!A:G,7,0),VLOOKUP(B602,'12.COT.MERCADO'!A:H,8,0)))</f>
        <v>29.27</v>
      </c>
      <c r="G602" s="685">
        <v>1.05</v>
      </c>
      <c r="H602" s="688">
        <f t="shared" si="300"/>
        <v>0</v>
      </c>
      <c r="I602" s="688">
        <f t="shared" si="301"/>
        <v>30.7335</v>
      </c>
      <c r="J602" s="688">
        <f t="shared" si="302"/>
        <v>30.7335</v>
      </c>
    </row>
    <row r="603">
      <c r="A603" s="457" t="s">
        <v>286</v>
      </c>
      <c r="B603" s="689">
        <v>39666.0</v>
      </c>
      <c r="C603" s="686" t="str">
        <f>IF(A603="SINAPI-S",VLOOKUP(B603,'20-B.SINAPI-S'!A:J,2,0),IF(A603="SINAPI-I",VLOOKUP(B603,'20-A.SINAPI-I'!A:E,2,0),VLOOKUP(B603,'12.COT.MERCADO'!A:H,2,0)))</f>
        <v>TUBO DE COBRE FLEXIVEL, D = 3/4 ", E = 0,79 MM, PARA AR-CONDICIONADO/ INSTALACOES GAS RESIDENCIAIS E COMERCIAIS</v>
      </c>
      <c r="D603" s="685" t="str">
        <f>IF(A603="SINAPI-S",VLOOKUP(B603,'20-B.SINAPI-S'!A:J,3,0),IF(A603="SINAPI-I",VLOOKUP(B603,'20-A.SINAPI-I'!A:E,3,0),VLOOKUP(B603,'12.COT.MERCADO'!A:H,7,0)))</f>
        <v>M</v>
      </c>
      <c r="E603" s="688">
        <f>IF(A603="SINAPI-S",VLOOKUP(B603,'20-B.SINAPI-S'!A:J,5,0),IF(A603="SINAPI-I",VLOOKUP(B603,'20-A.SINAPI-I'!A:G,6,0),0))</f>
        <v>0</v>
      </c>
      <c r="F603" s="688">
        <f>IF(A603="SINAPI-S",VLOOKUP(B603,'20-B.SINAPI-S'!A:J,6,0),IF(A603="SINAPI-I",VLOOKUP(B603,'20-A.SINAPI-I'!A:G,7,0),VLOOKUP(B603,'12.COT.MERCADO'!A:H,8,0)))</f>
        <v>59.72</v>
      </c>
      <c r="G603" s="685">
        <v>1.05</v>
      </c>
      <c r="H603" s="688">
        <f t="shared" si="300"/>
        <v>0</v>
      </c>
      <c r="I603" s="688">
        <f t="shared" si="301"/>
        <v>62.706</v>
      </c>
      <c r="J603" s="688">
        <f t="shared" si="302"/>
        <v>62.706</v>
      </c>
    </row>
    <row r="604">
      <c r="A604" s="457" t="s">
        <v>286</v>
      </c>
      <c r="B604" s="689">
        <v>39741.0</v>
      </c>
      <c r="C604" s="686" t="str">
        <f>IF(A604="SINAPI-S",VLOOKUP(B604,'20-B.SINAPI-S'!A:J,2,0),IF(A604="SINAPI-I",VLOOKUP(B604,'20-A.SINAPI-I'!A:E,2,0),VLOOKUP(B604,'12.COT.MERCADO'!A:H,2,0)))</f>
        <v>TUBO DE BORRACHA ELASTOMERICA FLEXIVEL, PRETA, PARA ISOLAMENTO TERMICO DE TUBULACAO, DN 3/8" (10 MM), E= 19 MM, COEFICIENTE DE CONDUTIVIDADE TERMICA 0,036W/mK, VAPOR DE AGUA MAIOR OU IGUAL A 10.000</v>
      </c>
      <c r="D604" s="685" t="str">
        <f>IF(A604="SINAPI-S",VLOOKUP(B604,'20-B.SINAPI-S'!A:J,3,0),IF(A604="SINAPI-I",VLOOKUP(B604,'20-A.SINAPI-I'!A:E,3,0),VLOOKUP(B604,'12.COT.MERCADO'!A:H,7,0)))</f>
        <v>M</v>
      </c>
      <c r="E604" s="688">
        <f>IF(A604="SINAPI-S",VLOOKUP(B604,'20-B.SINAPI-S'!A:J,5,0),IF(A604="SINAPI-I",VLOOKUP(B604,'20-A.SINAPI-I'!A:G,6,0),0))</f>
        <v>0</v>
      </c>
      <c r="F604" s="688">
        <f>IF(A604="SINAPI-S",VLOOKUP(B604,'20-B.SINAPI-S'!A:J,6,0),IF(A604="SINAPI-I",VLOOKUP(B604,'20-A.SINAPI-I'!A:G,7,0),VLOOKUP(B604,'12.COT.MERCADO'!A:H,8,0)))</f>
        <v>12.91</v>
      </c>
      <c r="G604" s="685">
        <v>1.05</v>
      </c>
      <c r="H604" s="688">
        <f t="shared" si="300"/>
        <v>0</v>
      </c>
      <c r="I604" s="688">
        <f t="shared" si="301"/>
        <v>13.5555</v>
      </c>
      <c r="J604" s="688">
        <f t="shared" si="302"/>
        <v>13.5555</v>
      </c>
    </row>
    <row r="605">
      <c r="A605" s="457" t="s">
        <v>286</v>
      </c>
      <c r="B605" s="689">
        <v>39740.0</v>
      </c>
      <c r="C605" s="686" t="str">
        <f>IF(A605="SINAPI-S",VLOOKUP(B605,'20-B.SINAPI-S'!A:J,2,0),IF(A605="SINAPI-I",VLOOKUP(B605,'20-A.SINAPI-I'!A:E,2,0),VLOOKUP(B605,'12.COT.MERCADO'!A:H,2,0)))</f>
        <v>TUBO DE BORRACHA ELASTOMERICA FLEXIVEL, PRETA, PARA ISOLAMENTO TERMICO DE TUBULACAO, DN 3/4" (18 MM), E= 32 MM, COEFICIENTE DE CONDUTIVIDADE TERMICA 0,036W/mK, VAPOR DE AGUA MAIOR OU IGUAL A 10.000</v>
      </c>
      <c r="D605" s="685" t="str">
        <f>IF(A605="SINAPI-S",VLOOKUP(B605,'20-B.SINAPI-S'!A:J,3,0),IF(A605="SINAPI-I",VLOOKUP(B605,'20-A.SINAPI-I'!A:E,3,0),VLOOKUP(B605,'12.COT.MERCADO'!A:H,7,0)))</f>
        <v>M</v>
      </c>
      <c r="E605" s="688">
        <f>IF(A605="SINAPI-S",VLOOKUP(B605,'20-B.SINAPI-S'!A:J,5,0),IF(A605="SINAPI-I",VLOOKUP(B605,'20-A.SINAPI-I'!A:G,6,0),0))</f>
        <v>0</v>
      </c>
      <c r="F605" s="688">
        <f>IF(A605="SINAPI-S",VLOOKUP(B605,'20-B.SINAPI-S'!A:J,6,0),IF(A605="SINAPI-I",VLOOKUP(B605,'20-A.SINAPI-I'!A:G,7,0),VLOOKUP(B605,'12.COT.MERCADO'!A:H,8,0)))</f>
        <v>70.08</v>
      </c>
      <c r="G605" s="685">
        <v>1.05</v>
      </c>
      <c r="H605" s="688">
        <f t="shared" si="300"/>
        <v>0</v>
      </c>
      <c r="I605" s="688">
        <f t="shared" si="301"/>
        <v>73.584</v>
      </c>
      <c r="J605" s="688">
        <f t="shared" si="302"/>
        <v>73.584</v>
      </c>
    </row>
    <row r="606">
      <c r="A606" s="457" t="s">
        <v>110</v>
      </c>
      <c r="B606" s="689" t="s">
        <v>1739</v>
      </c>
      <c r="C606" s="690" t="str">
        <f>IF(A606="SINAPI-S",VLOOKUP(B606,'20-B.SINAPI-S'!A:J,2,0),IF(A606="SINAPI-I",VLOOKUP(B606,'20-A.SINAPI-I'!A:E,2,0),VLOOKUP(B606,'12.COT.MERCADO'!A:H,2,0)))</f>
        <v>Fita isolante de alta fusão 19 mm x 10 m </v>
      </c>
      <c r="D606" s="685" t="str">
        <f>IF(A606="SINAPI-S",VLOOKUP(B606,'20-B.SINAPI-S'!A:J,3,0),IF(A606="SINAPI-I",VLOOKUP(B606,'20-A.SINAPI-I'!A:E,3,0),VLOOKUP(B606,'12.COT.MERCADO'!A:H,7,0)))</f>
        <v>UN </v>
      </c>
      <c r="E606" s="688">
        <f>IF(A606="SINAPI-S",VLOOKUP(B606,'20-B.SINAPI-S'!A:J,5,0),IF(A606="SINAPI-I",VLOOKUP(B606,'20-A.SINAPI-I'!A:G,6,0),0))</f>
        <v>0</v>
      </c>
      <c r="F606" s="691">
        <f>IF(A606="SINAPI-S",VLOOKUP(B606,'20-B.SINAPI-S'!A:J,6,0),IF(A606="SINAPI-I",VLOOKUP(B606,'20-A.SINAPI-I'!A:G,7,0),VLOOKUP(B606,'12.COT.MERCADO'!A:H,8,0)))</f>
        <v>31.92</v>
      </c>
      <c r="G606" s="685">
        <v>0.12</v>
      </c>
      <c r="H606" s="688">
        <f t="shared" si="300"/>
        <v>0</v>
      </c>
      <c r="I606" s="688">
        <f t="shared" si="301"/>
        <v>3.8304</v>
      </c>
      <c r="J606" s="688">
        <f t="shared" si="302"/>
        <v>3.8304</v>
      </c>
    </row>
    <row r="607">
      <c r="A607" s="457" t="s">
        <v>110</v>
      </c>
      <c r="B607" s="689" t="s">
        <v>1740</v>
      </c>
      <c r="C607" s="690" t="str">
        <f>IF(A607="SINAPI-S",VLOOKUP(B607,'20-B.SINAPI-S'!A:J,2,0),IF(A607="SINAPI-I",VLOOKUP(B607,'20-A.SINAPI-I'!A:E,2,0),VLOOKUP(B607,'12.COT.MERCADO'!A:H,2,0)))</f>
        <v>Cabo de cobre PP Cordplast 3 x 2,5 mm2, 450/750v</v>
      </c>
      <c r="D607" s="685" t="str">
        <f>IF(A607="SINAPI-S",VLOOKUP(B607,'20-B.SINAPI-S'!A:J,3,0),IF(A607="SINAPI-I",VLOOKUP(B607,'20-A.SINAPI-I'!A:E,3,0),VLOOKUP(B607,'12.COT.MERCADO'!A:H,7,0)))</f>
        <v>M</v>
      </c>
      <c r="E607" s="688">
        <f>IF(A607="SINAPI-S",VLOOKUP(B607,'20-B.SINAPI-S'!A:J,5,0),IF(A607="SINAPI-I",VLOOKUP(B607,'20-A.SINAPI-I'!A:G,6,0),0))</f>
        <v>0</v>
      </c>
      <c r="F607" s="691">
        <f>IF(A607="SINAPI-S",VLOOKUP(B607,'20-B.SINAPI-S'!A:J,6,0),IF(A607="SINAPI-I",VLOOKUP(B607,'20-A.SINAPI-I'!A:G,7,0),VLOOKUP(B607,'12.COT.MERCADO'!A:H,8,0)))</f>
        <v>8.9</v>
      </c>
      <c r="G607" s="685">
        <v>1.05</v>
      </c>
      <c r="H607" s="688">
        <f t="shared" si="300"/>
        <v>0</v>
      </c>
      <c r="I607" s="688">
        <f t="shared" si="301"/>
        <v>9.345</v>
      </c>
      <c r="J607" s="688">
        <f t="shared" si="302"/>
        <v>9.345</v>
      </c>
    </row>
    <row r="608">
      <c r="A608" s="457" t="s">
        <v>110</v>
      </c>
      <c r="B608" s="689" t="s">
        <v>1741</v>
      </c>
      <c r="C608" s="690" t="str">
        <f>IF(A608="SINAPI-S",VLOOKUP(B608,'20-B.SINAPI-S'!A:J,2,0),IF(A608="SINAPI-I",VLOOKUP(B608,'20-A.SINAPI-I'!A:E,2,0),VLOOKUP(B608,'12.COT.MERCADO'!A:H,2,0)))</f>
        <v>Fita em aço 1/2" Fusimec ou similar</v>
      </c>
      <c r="D608" s="685" t="str">
        <f>IF(A608="SINAPI-S",VLOOKUP(B608,'20-B.SINAPI-S'!A:J,3,0),IF(A608="SINAPI-I",VLOOKUP(B608,'20-A.SINAPI-I'!A:E,3,0),VLOOKUP(B608,'12.COT.MERCADO'!A:H,7,0)))</f>
        <v>M</v>
      </c>
      <c r="E608" s="688">
        <f>IF(A608="SINAPI-S",VLOOKUP(B608,'20-B.SINAPI-S'!A:J,5,0),IF(A608="SINAPI-I",VLOOKUP(B608,'20-A.SINAPI-I'!A:G,6,0),0))</f>
        <v>0</v>
      </c>
      <c r="F608" s="691">
        <f>IF(A608="SINAPI-S",VLOOKUP(B608,'20-B.SINAPI-S'!A:J,6,0),IF(A608="SINAPI-I",VLOOKUP(B608,'20-A.SINAPI-I'!A:G,7,0),VLOOKUP(B608,'12.COT.MERCADO'!A:H,8,0)))</f>
        <v>2.65</v>
      </c>
      <c r="G608" s="685">
        <v>3.0</v>
      </c>
      <c r="H608" s="688">
        <f t="shared" si="300"/>
        <v>0</v>
      </c>
      <c r="I608" s="688">
        <f t="shared" si="301"/>
        <v>7.95</v>
      </c>
      <c r="J608" s="688">
        <f t="shared" si="302"/>
        <v>7.95</v>
      </c>
    </row>
    <row r="609">
      <c r="A609" s="457" t="s">
        <v>110</v>
      </c>
      <c r="B609" s="689" t="s">
        <v>1742</v>
      </c>
      <c r="C609" s="690" t="str">
        <f>IF(A609="SINAPI-S",VLOOKUP(B609,'20-B.SINAPI-S'!A:J,2,0),IF(A609="SINAPI-I",VLOOKUP(B609,'20-A.SINAPI-I'!A:E,2,0),VLOOKUP(B609,'12.COT.MERCADO'!A:H,2,0)))</f>
        <v>Parafuso de ferro zincado c/rosca 3/8 " x 1 1/2" </v>
      </c>
      <c r="D609" s="685" t="str">
        <f>IF(A609="SINAPI-S",VLOOKUP(B609,'20-B.SINAPI-S'!A:J,3,0),IF(A609="SINAPI-I",VLOOKUP(B609,'20-A.SINAPI-I'!A:E,3,0),VLOOKUP(B609,'12.COT.MERCADO'!A:H,7,0)))</f>
        <v>UN </v>
      </c>
      <c r="E609" s="688">
        <f>IF(A609="SINAPI-S",VLOOKUP(B609,'20-B.SINAPI-S'!A:J,5,0),IF(A609="SINAPI-I",VLOOKUP(B609,'20-A.SINAPI-I'!A:G,6,0),0))</f>
        <v>0</v>
      </c>
      <c r="F609" s="691">
        <f>IF(A609="SINAPI-S",VLOOKUP(B609,'20-B.SINAPI-S'!A:J,6,0),IF(A609="SINAPI-I",VLOOKUP(B609,'20-A.SINAPI-I'!A:G,7,0),VLOOKUP(B609,'12.COT.MERCADO'!A:H,8,0)))</f>
        <v>0.89</v>
      </c>
      <c r="G609" s="685">
        <v>2.0</v>
      </c>
      <c r="H609" s="688">
        <f t="shared" si="300"/>
        <v>0</v>
      </c>
      <c r="I609" s="688">
        <f t="shared" si="301"/>
        <v>1.78</v>
      </c>
      <c r="J609" s="688">
        <f t="shared" si="302"/>
        <v>1.78</v>
      </c>
    </row>
    <row r="610">
      <c r="A610" s="457" t="s">
        <v>110</v>
      </c>
      <c r="B610" s="689" t="s">
        <v>1160</v>
      </c>
      <c r="C610" s="690" t="str">
        <f>IF(A610="SINAPI-S",VLOOKUP(B610,'20-B.SINAPI-S'!A:J,2,0),IF(A610="SINAPI-I",VLOOKUP(B610,'20-A.SINAPI-I'!A:E,2,0),VLOOKUP(B610,'12.COT.MERCADO'!A:H,2,0)))</f>
        <v>Arruela lisa de aço galvanizada de Ø 1/4"</v>
      </c>
      <c r="D610" s="685" t="str">
        <f>IF(A610="SINAPI-S",VLOOKUP(B610,'20-B.SINAPI-S'!A:J,3,0),IF(A610="SINAPI-I",VLOOKUP(B610,'20-A.SINAPI-I'!A:E,3,0),VLOOKUP(B610,'12.COT.MERCADO'!A:H,7,0)))</f>
        <v>UN </v>
      </c>
      <c r="E610" s="688">
        <f>IF(A610="SINAPI-S",VLOOKUP(B610,'20-B.SINAPI-S'!A:J,5,0),IF(A610="SINAPI-I",VLOOKUP(B610,'20-A.SINAPI-I'!A:G,6,0),0))</f>
        <v>0</v>
      </c>
      <c r="F610" s="691">
        <f>IF(A610="SINAPI-S",VLOOKUP(B610,'20-B.SINAPI-S'!A:J,6,0),IF(A610="SINAPI-I",VLOOKUP(B610,'20-A.SINAPI-I'!A:G,7,0),VLOOKUP(B610,'12.COT.MERCADO'!A:H,8,0)))</f>
        <v>0.09</v>
      </c>
      <c r="G610" s="685">
        <v>2.0</v>
      </c>
      <c r="H610" s="688">
        <f t="shared" si="300"/>
        <v>0</v>
      </c>
      <c r="I610" s="688">
        <f t="shared" si="301"/>
        <v>0.18</v>
      </c>
      <c r="J610" s="688">
        <f t="shared" si="302"/>
        <v>0.18</v>
      </c>
    </row>
    <row r="611">
      <c r="A611" s="682" t="s">
        <v>1632</v>
      </c>
      <c r="B611" s="695" t="s">
        <v>2044</v>
      </c>
    </row>
    <row r="612">
      <c r="A612" s="698"/>
      <c r="B612" s="694"/>
      <c r="C612" s="694"/>
      <c r="D612" s="694"/>
      <c r="E612" s="694"/>
      <c r="F612" s="694"/>
      <c r="G612" s="694"/>
      <c r="H612" s="694"/>
      <c r="I612" s="694"/>
      <c r="J612" s="694"/>
    </row>
    <row r="613">
      <c r="A613" s="677" t="s">
        <v>1729</v>
      </c>
      <c r="B613" s="678" t="s">
        <v>536</v>
      </c>
      <c r="C613" s="679" t="s">
        <v>1754</v>
      </c>
      <c r="D613" s="678" t="s">
        <v>1731</v>
      </c>
      <c r="E613" s="678"/>
      <c r="F613" s="678"/>
      <c r="G613" s="678"/>
      <c r="H613" s="680">
        <f t="shared" ref="H613:J613" si="303">SUM(H615:H626)</f>
        <v>5.44621</v>
      </c>
      <c r="I613" s="680">
        <f t="shared" si="303"/>
        <v>206.00716</v>
      </c>
      <c r="J613" s="681">
        <f t="shared" si="303"/>
        <v>211.45337</v>
      </c>
    </row>
    <row r="614">
      <c r="A614" s="682" t="s">
        <v>1732</v>
      </c>
      <c r="B614" s="683" t="s">
        <v>80</v>
      </c>
      <c r="C614" s="684" t="s">
        <v>8</v>
      </c>
      <c r="D614" s="683" t="s">
        <v>1733</v>
      </c>
      <c r="E614" s="683" t="s">
        <v>1734</v>
      </c>
      <c r="F614" s="683" t="s">
        <v>1735</v>
      </c>
      <c r="G614" s="683" t="s">
        <v>1736</v>
      </c>
      <c r="H614" s="683" t="s">
        <v>1737</v>
      </c>
      <c r="I614" s="683" t="s">
        <v>1738</v>
      </c>
      <c r="J614" s="683" t="s">
        <v>14</v>
      </c>
    </row>
    <row r="615">
      <c r="A615" s="457" t="s">
        <v>218</v>
      </c>
      <c r="B615" s="689">
        <v>88316.0</v>
      </c>
      <c r="C615" s="686" t="str">
        <f>IF(A615="SINAPI-S",VLOOKUP(B615,'20-B.SINAPI-S'!A:J,2,0),IF(A615="SINAPI-I",VLOOKUP(B615,'20-A.SINAPI-I'!A:E,2,0),VLOOKUP(B615,'12.COT.MERCADO'!A:H,2,0)))</f>
        <v>SERVENTE COM ENCARGOS COMPLEMENTARES</v>
      </c>
      <c r="D615" s="687" t="str">
        <f>IF(A615="SINAPI-S",VLOOKUP(B615,'20-B.SINAPI-S'!A:J,3,0),IF(A615="SINAPI-I",VLOOKUP(B615,'20-A.SINAPI-I'!A:E,3,0),VLOOKUP(B615,'12.COT.MERCADO'!A:H,7,0)))</f>
        <v>H</v>
      </c>
      <c r="E615" s="688">
        <f>IF(A615="SINAPI-S",VLOOKUP(B615,'20-B.SINAPI-S'!A:J,5,0),IF(A615="SINAPI-I",VLOOKUP(B615,'20-A.SINAPI-I'!A:G,6,0),0))</f>
        <v>17.42</v>
      </c>
      <c r="F615" s="688">
        <f>IF(A615="SINAPI-S",VLOOKUP(B615,'20-B.SINAPI-S'!A:J,6,0),IF(A615="SINAPI-I",VLOOKUP(B615,'20-A.SINAPI-I'!A:G,7,0),VLOOKUP(B615,'12.COT.MERCADO'!A:H,8,0)))</f>
        <v>7.7</v>
      </c>
      <c r="G615" s="685">
        <f t="shared" ref="G615:G616" si="304">0.064+0.057</f>
        <v>0.121</v>
      </c>
      <c r="H615" s="688">
        <f t="shared" ref="H615:H626" si="305">E615*G615</f>
        <v>2.10782</v>
      </c>
      <c r="I615" s="688">
        <f t="shared" ref="I615:I626" si="306">F615*G615</f>
        <v>0.9317</v>
      </c>
      <c r="J615" s="688">
        <f t="shared" ref="J615:J626" si="307">I615+H615</f>
        <v>3.03952</v>
      </c>
    </row>
    <row r="616">
      <c r="A616" s="457" t="s">
        <v>218</v>
      </c>
      <c r="B616" s="685">
        <v>100308.0</v>
      </c>
      <c r="C616" s="686" t="str">
        <f>IF(A616="SINAPI-S",VLOOKUP(B616,'20-B.SINAPI-S'!A:J,2,0),IF(A616="SINAPI-I",VLOOKUP(B616,'20-A.SINAPI-I'!A:E,2,0),VLOOKUP(B616,'12.COT.MERCADO'!A:H,2,0)))</f>
        <v>MECÂNICO DE REFRIGERAÇÃO COM ENCARGOS COMPLEMENTARES</v>
      </c>
      <c r="D616" s="687" t="str">
        <f>IF(A616="SINAPI-S",VLOOKUP(B616,'20-B.SINAPI-S'!A:J,3,0),IF(A616="SINAPI-I",VLOOKUP(B616,'20-A.SINAPI-I'!A:E,3,0),VLOOKUP(B616,'12.COT.MERCADO'!A:H,7,0)))</f>
        <v>H</v>
      </c>
      <c r="E616" s="688">
        <f>IF(A616="SINAPI-S",VLOOKUP(B616,'20-B.SINAPI-S'!A:J,5,0),IF(A616="SINAPI-I",VLOOKUP(B616,'20-A.SINAPI-I'!A:G,6,0),0))</f>
        <v>27.59</v>
      </c>
      <c r="F616" s="688">
        <f>IF(A616="SINAPI-S",VLOOKUP(B616,'20-B.SINAPI-S'!A:J,6,0),IF(A616="SINAPI-I",VLOOKUP(B616,'20-A.SINAPI-I'!A:G,7,0),VLOOKUP(B616,'12.COT.MERCADO'!A:H,8,0)))</f>
        <v>7.86</v>
      </c>
      <c r="G616" s="685">
        <f t="shared" si="304"/>
        <v>0.121</v>
      </c>
      <c r="H616" s="688">
        <f t="shared" si="305"/>
        <v>3.33839</v>
      </c>
      <c r="I616" s="688">
        <f t="shared" si="306"/>
        <v>0.95106</v>
      </c>
      <c r="J616" s="688">
        <f t="shared" si="307"/>
        <v>4.28945</v>
      </c>
    </row>
    <row r="617">
      <c r="A617" s="457" t="s">
        <v>286</v>
      </c>
      <c r="B617" s="689">
        <v>4376.0</v>
      </c>
      <c r="C617" s="686" t="str">
        <f>IF(A617="SINAPI-S",VLOOKUP(B617,'20-B.SINAPI-S'!A:J,2,0),IF(A617="SINAPI-I",VLOOKUP(B617,'20-A.SINAPI-I'!A:E,2,0),VLOOKUP(B617,'12.COT.MERCADO'!A:H,2,0)))</f>
        <v>BUCHA DE NYLON SEM ABA S8</v>
      </c>
      <c r="D617" s="685" t="str">
        <f>IF(A617="SINAPI-S",VLOOKUP(B617,'20-B.SINAPI-S'!A:J,3,0),IF(A617="SINAPI-I",VLOOKUP(B617,'20-A.SINAPI-I'!A:E,3,0),VLOOKUP(B617,'12.COT.MERCADO'!A:H,7,0)))</f>
        <v>UN</v>
      </c>
      <c r="E617" s="688">
        <f>IF(A617="SINAPI-S",VLOOKUP(B617,'20-B.SINAPI-S'!A:J,5,0),IF(A617="SINAPI-I",VLOOKUP(B617,'20-A.SINAPI-I'!A:G,6,0),0))</f>
        <v>0</v>
      </c>
      <c r="F617" s="688">
        <f>IF(A617="SINAPI-S",VLOOKUP(B617,'20-B.SINAPI-S'!A:J,6,0),IF(A617="SINAPI-I",VLOOKUP(B617,'20-A.SINAPI-I'!A:G,7,0),VLOOKUP(B617,'12.COT.MERCADO'!A:H,8,0)))</f>
        <v>0.23</v>
      </c>
      <c r="G617" s="685">
        <v>2.0</v>
      </c>
      <c r="H617" s="688">
        <f t="shared" si="305"/>
        <v>0</v>
      </c>
      <c r="I617" s="688">
        <f t="shared" si="306"/>
        <v>0.46</v>
      </c>
      <c r="J617" s="688">
        <f t="shared" si="307"/>
        <v>0.46</v>
      </c>
    </row>
    <row r="618">
      <c r="A618" s="457" t="s">
        <v>286</v>
      </c>
      <c r="B618" s="689">
        <v>39664.0</v>
      </c>
      <c r="C618" s="686" t="str">
        <f>IF(A618="SINAPI-S",VLOOKUP(B618,'20-B.SINAPI-S'!A:J,2,0),IF(A618="SINAPI-I",VLOOKUP(B618,'20-A.SINAPI-I'!A:E,2,0),VLOOKUP(B618,'12.COT.MERCADO'!A:H,2,0)))</f>
        <v>TUBO DE COBRE FLEXIVEL, D = 3/8 ", E = 0,79 MM, PARA AR-CONDICIONADO/ INSTALACOES GAS RESIDENCIAIS E COMERCIAIS</v>
      </c>
      <c r="D618" s="685" t="str">
        <f>IF(A618="SINAPI-S",VLOOKUP(B618,'20-B.SINAPI-S'!A:J,3,0),IF(A618="SINAPI-I",VLOOKUP(B618,'20-A.SINAPI-I'!A:E,3,0),VLOOKUP(B618,'12.COT.MERCADO'!A:H,7,0)))</f>
        <v>M</v>
      </c>
      <c r="E618" s="688">
        <f>IF(A618="SINAPI-S",VLOOKUP(B618,'20-B.SINAPI-S'!A:J,5,0),IF(A618="SINAPI-I",VLOOKUP(B618,'20-A.SINAPI-I'!A:G,6,0),0))</f>
        <v>0</v>
      </c>
      <c r="F618" s="688">
        <f>IF(A618="SINAPI-S",VLOOKUP(B618,'20-B.SINAPI-S'!A:J,6,0),IF(A618="SINAPI-I",VLOOKUP(B618,'20-A.SINAPI-I'!A:G,7,0),VLOOKUP(B618,'12.COT.MERCADO'!A:H,8,0)))</f>
        <v>29.27</v>
      </c>
      <c r="G618" s="685">
        <v>1.05</v>
      </c>
      <c r="H618" s="688">
        <f t="shared" si="305"/>
        <v>0</v>
      </c>
      <c r="I618" s="688">
        <f t="shared" si="306"/>
        <v>30.7335</v>
      </c>
      <c r="J618" s="688">
        <f t="shared" si="307"/>
        <v>30.7335</v>
      </c>
    </row>
    <row r="619">
      <c r="A619" s="457" t="s">
        <v>286</v>
      </c>
      <c r="B619" s="689">
        <v>39666.0</v>
      </c>
      <c r="C619" s="686" t="str">
        <f>IF(A619="SINAPI-S",VLOOKUP(B619,'20-B.SINAPI-S'!A:J,2,0),IF(A619="SINAPI-I",VLOOKUP(B619,'20-A.SINAPI-I'!A:E,2,0),VLOOKUP(B619,'12.COT.MERCADO'!A:H,2,0)))</f>
        <v>TUBO DE COBRE FLEXIVEL, D = 3/4 ", E = 0,79 MM, PARA AR-CONDICIONADO/ INSTALACOES GAS RESIDENCIAIS E COMERCIAIS</v>
      </c>
      <c r="D619" s="685" t="str">
        <f>IF(A619="SINAPI-S",VLOOKUP(B619,'20-B.SINAPI-S'!A:J,3,0),IF(A619="SINAPI-I",VLOOKUP(B619,'20-A.SINAPI-I'!A:E,3,0),VLOOKUP(B619,'12.COT.MERCADO'!A:H,7,0)))</f>
        <v>M</v>
      </c>
      <c r="E619" s="688">
        <f>IF(A619="SINAPI-S",VLOOKUP(B619,'20-B.SINAPI-S'!A:J,5,0),IF(A619="SINAPI-I",VLOOKUP(B619,'20-A.SINAPI-I'!A:G,6,0),0))</f>
        <v>0</v>
      </c>
      <c r="F619" s="688">
        <f>IF(A619="SINAPI-S",VLOOKUP(B619,'20-B.SINAPI-S'!A:J,6,0),IF(A619="SINAPI-I",VLOOKUP(B619,'20-A.SINAPI-I'!A:G,7,0),VLOOKUP(B619,'12.COT.MERCADO'!A:H,8,0)))</f>
        <v>59.72</v>
      </c>
      <c r="G619" s="685">
        <v>1.05</v>
      </c>
      <c r="H619" s="688">
        <f t="shared" si="305"/>
        <v>0</v>
      </c>
      <c r="I619" s="688">
        <f t="shared" si="306"/>
        <v>62.706</v>
      </c>
      <c r="J619" s="688">
        <f t="shared" si="307"/>
        <v>62.706</v>
      </c>
    </row>
    <row r="620">
      <c r="A620" s="457" t="s">
        <v>286</v>
      </c>
      <c r="B620" s="689">
        <v>39741.0</v>
      </c>
      <c r="C620" s="686" t="str">
        <f>IF(A620="SINAPI-S",VLOOKUP(B620,'20-B.SINAPI-S'!A:J,2,0),IF(A620="SINAPI-I",VLOOKUP(B620,'20-A.SINAPI-I'!A:E,2,0),VLOOKUP(B620,'12.COT.MERCADO'!A:H,2,0)))</f>
        <v>TUBO DE BORRACHA ELASTOMERICA FLEXIVEL, PRETA, PARA ISOLAMENTO TERMICO DE TUBULACAO, DN 3/8" (10 MM), E= 19 MM, COEFICIENTE DE CONDUTIVIDADE TERMICA 0,036W/mK, VAPOR DE AGUA MAIOR OU IGUAL A 10.000</v>
      </c>
      <c r="D620" s="685" t="str">
        <f>IF(A620="SINAPI-S",VLOOKUP(B620,'20-B.SINAPI-S'!A:J,3,0),IF(A620="SINAPI-I",VLOOKUP(B620,'20-A.SINAPI-I'!A:E,3,0),VLOOKUP(B620,'12.COT.MERCADO'!A:H,7,0)))</f>
        <v>M</v>
      </c>
      <c r="E620" s="688">
        <f>IF(A620="SINAPI-S",VLOOKUP(B620,'20-B.SINAPI-S'!A:J,5,0),IF(A620="SINAPI-I",VLOOKUP(B620,'20-A.SINAPI-I'!A:G,6,0),0))</f>
        <v>0</v>
      </c>
      <c r="F620" s="688">
        <f>IF(A620="SINAPI-S",VLOOKUP(B620,'20-B.SINAPI-S'!A:J,6,0),IF(A620="SINAPI-I",VLOOKUP(B620,'20-A.SINAPI-I'!A:G,7,0),VLOOKUP(B620,'12.COT.MERCADO'!A:H,8,0)))</f>
        <v>12.91</v>
      </c>
      <c r="G620" s="685">
        <v>1.05</v>
      </c>
      <c r="H620" s="688">
        <f t="shared" si="305"/>
        <v>0</v>
      </c>
      <c r="I620" s="688">
        <f t="shared" si="306"/>
        <v>13.5555</v>
      </c>
      <c r="J620" s="688">
        <f t="shared" si="307"/>
        <v>13.5555</v>
      </c>
    </row>
    <row r="621">
      <c r="A621" s="457" t="s">
        <v>286</v>
      </c>
      <c r="B621" s="689">
        <v>39740.0</v>
      </c>
      <c r="C621" s="686" t="str">
        <f>IF(A621="SINAPI-S",VLOOKUP(B621,'20-B.SINAPI-S'!A:J,2,0),IF(A621="SINAPI-I",VLOOKUP(B621,'20-A.SINAPI-I'!A:E,2,0),VLOOKUP(B621,'12.COT.MERCADO'!A:H,2,0)))</f>
        <v>TUBO DE BORRACHA ELASTOMERICA FLEXIVEL, PRETA, PARA ISOLAMENTO TERMICO DE TUBULACAO, DN 3/4" (18 MM), E= 32 MM, COEFICIENTE DE CONDUTIVIDADE TERMICA 0,036W/mK, VAPOR DE AGUA MAIOR OU IGUAL A 10.000</v>
      </c>
      <c r="D621" s="685" t="str">
        <f>IF(A621="SINAPI-S",VLOOKUP(B621,'20-B.SINAPI-S'!A:J,3,0),IF(A621="SINAPI-I",VLOOKUP(B621,'20-A.SINAPI-I'!A:E,3,0),VLOOKUP(B621,'12.COT.MERCADO'!A:H,7,0)))</f>
        <v>M</v>
      </c>
      <c r="E621" s="688">
        <f>IF(A621="SINAPI-S",VLOOKUP(B621,'20-B.SINAPI-S'!A:J,5,0),IF(A621="SINAPI-I",VLOOKUP(B621,'20-A.SINAPI-I'!A:G,6,0),0))</f>
        <v>0</v>
      </c>
      <c r="F621" s="688">
        <f>IF(A621="SINAPI-S",VLOOKUP(B621,'20-B.SINAPI-S'!A:J,6,0),IF(A621="SINAPI-I",VLOOKUP(B621,'20-A.SINAPI-I'!A:G,7,0),VLOOKUP(B621,'12.COT.MERCADO'!A:H,8,0)))</f>
        <v>70.08</v>
      </c>
      <c r="G621" s="685">
        <v>1.05</v>
      </c>
      <c r="H621" s="688">
        <f t="shared" si="305"/>
        <v>0</v>
      </c>
      <c r="I621" s="688">
        <f t="shared" si="306"/>
        <v>73.584</v>
      </c>
      <c r="J621" s="688">
        <f t="shared" si="307"/>
        <v>73.584</v>
      </c>
    </row>
    <row r="622">
      <c r="A622" s="457" t="s">
        <v>110</v>
      </c>
      <c r="B622" s="689" t="s">
        <v>1739</v>
      </c>
      <c r="C622" s="690" t="str">
        <f>IF(A622="SINAPI-S",VLOOKUP(B622,'20-B.SINAPI-S'!A:J,2,0),IF(A622="SINAPI-I",VLOOKUP(B622,'20-A.SINAPI-I'!A:E,2,0),VLOOKUP(B622,'12.COT.MERCADO'!A:H,2,0)))</f>
        <v>Fita isolante de alta fusão 19 mm x 10 m </v>
      </c>
      <c r="D622" s="685" t="str">
        <f>IF(A622="SINAPI-S",VLOOKUP(B622,'20-B.SINAPI-S'!A:J,3,0),IF(A622="SINAPI-I",VLOOKUP(B622,'20-A.SINAPI-I'!A:E,3,0),VLOOKUP(B622,'12.COT.MERCADO'!A:H,7,0)))</f>
        <v>UN </v>
      </c>
      <c r="E622" s="688">
        <f>IF(A622="SINAPI-S",VLOOKUP(B622,'20-B.SINAPI-S'!A:J,5,0),IF(A622="SINAPI-I",VLOOKUP(B622,'20-A.SINAPI-I'!A:G,6,0),0))</f>
        <v>0</v>
      </c>
      <c r="F622" s="691">
        <f>IF(A622="SINAPI-S",VLOOKUP(B622,'20-B.SINAPI-S'!A:J,6,0),IF(A622="SINAPI-I",VLOOKUP(B622,'20-A.SINAPI-I'!A:G,7,0),VLOOKUP(B622,'12.COT.MERCADO'!A:H,8,0)))</f>
        <v>31.92</v>
      </c>
      <c r="G622" s="685">
        <v>0.12</v>
      </c>
      <c r="H622" s="688">
        <f t="shared" si="305"/>
        <v>0</v>
      </c>
      <c r="I622" s="688">
        <f t="shared" si="306"/>
        <v>3.8304</v>
      </c>
      <c r="J622" s="688">
        <f t="shared" si="307"/>
        <v>3.8304</v>
      </c>
    </row>
    <row r="623">
      <c r="A623" s="457" t="s">
        <v>110</v>
      </c>
      <c r="B623" s="689" t="s">
        <v>1740</v>
      </c>
      <c r="C623" s="690" t="str">
        <f>IF(A623="SINAPI-S",VLOOKUP(B623,'20-B.SINAPI-S'!A:J,2,0),IF(A623="SINAPI-I",VLOOKUP(B623,'20-A.SINAPI-I'!A:E,2,0),VLOOKUP(B623,'12.COT.MERCADO'!A:H,2,0)))</f>
        <v>Cabo de cobre PP Cordplast 3 x 2,5 mm2, 450/750v</v>
      </c>
      <c r="D623" s="685" t="str">
        <f>IF(A623="SINAPI-S",VLOOKUP(B623,'20-B.SINAPI-S'!A:J,3,0),IF(A623="SINAPI-I",VLOOKUP(B623,'20-A.SINAPI-I'!A:E,3,0),VLOOKUP(B623,'12.COT.MERCADO'!A:H,7,0)))</f>
        <v>M</v>
      </c>
      <c r="E623" s="688">
        <f>IF(A623="SINAPI-S",VLOOKUP(B623,'20-B.SINAPI-S'!A:J,5,0),IF(A623="SINAPI-I",VLOOKUP(B623,'20-A.SINAPI-I'!A:G,6,0),0))</f>
        <v>0</v>
      </c>
      <c r="F623" s="691">
        <f>IF(A623="SINAPI-S",VLOOKUP(B623,'20-B.SINAPI-S'!A:J,6,0),IF(A623="SINAPI-I",VLOOKUP(B623,'20-A.SINAPI-I'!A:G,7,0),VLOOKUP(B623,'12.COT.MERCADO'!A:H,8,0)))</f>
        <v>8.9</v>
      </c>
      <c r="G623" s="685">
        <v>1.05</v>
      </c>
      <c r="H623" s="688">
        <f t="shared" si="305"/>
        <v>0</v>
      </c>
      <c r="I623" s="688">
        <f t="shared" si="306"/>
        <v>9.345</v>
      </c>
      <c r="J623" s="688">
        <f t="shared" si="307"/>
        <v>9.345</v>
      </c>
    </row>
    <row r="624">
      <c r="A624" s="457" t="s">
        <v>110</v>
      </c>
      <c r="B624" s="689" t="s">
        <v>1741</v>
      </c>
      <c r="C624" s="690" t="str">
        <f>IF(A624="SINAPI-S",VLOOKUP(B624,'20-B.SINAPI-S'!A:J,2,0),IF(A624="SINAPI-I",VLOOKUP(B624,'20-A.SINAPI-I'!A:E,2,0),VLOOKUP(B624,'12.COT.MERCADO'!A:H,2,0)))</f>
        <v>Fita em aço 1/2" Fusimec ou similar</v>
      </c>
      <c r="D624" s="685" t="str">
        <f>IF(A624="SINAPI-S",VLOOKUP(B624,'20-B.SINAPI-S'!A:J,3,0),IF(A624="SINAPI-I",VLOOKUP(B624,'20-A.SINAPI-I'!A:E,3,0),VLOOKUP(B624,'12.COT.MERCADO'!A:H,7,0)))</f>
        <v>M</v>
      </c>
      <c r="E624" s="688">
        <f>IF(A624="SINAPI-S",VLOOKUP(B624,'20-B.SINAPI-S'!A:J,5,0),IF(A624="SINAPI-I",VLOOKUP(B624,'20-A.SINAPI-I'!A:G,6,0),0))</f>
        <v>0</v>
      </c>
      <c r="F624" s="691">
        <f>IF(A624="SINAPI-S",VLOOKUP(B624,'20-B.SINAPI-S'!A:J,6,0),IF(A624="SINAPI-I",VLOOKUP(B624,'20-A.SINAPI-I'!A:G,7,0),VLOOKUP(B624,'12.COT.MERCADO'!A:H,8,0)))</f>
        <v>2.65</v>
      </c>
      <c r="G624" s="685">
        <v>3.0</v>
      </c>
      <c r="H624" s="688">
        <f t="shared" si="305"/>
        <v>0</v>
      </c>
      <c r="I624" s="688">
        <f t="shared" si="306"/>
        <v>7.95</v>
      </c>
      <c r="J624" s="688">
        <f t="shared" si="307"/>
        <v>7.95</v>
      </c>
    </row>
    <row r="625">
      <c r="A625" s="457" t="s">
        <v>110</v>
      </c>
      <c r="B625" s="689" t="s">
        <v>1742</v>
      </c>
      <c r="C625" s="690" t="str">
        <f>IF(A625="SINAPI-S",VLOOKUP(B625,'20-B.SINAPI-S'!A:J,2,0),IF(A625="SINAPI-I",VLOOKUP(B625,'20-A.SINAPI-I'!A:E,2,0),VLOOKUP(B625,'12.COT.MERCADO'!A:H,2,0)))</f>
        <v>Parafuso de ferro zincado c/rosca 3/8 " x 1 1/2" </v>
      </c>
      <c r="D625" s="685" t="str">
        <f>IF(A625="SINAPI-S",VLOOKUP(B625,'20-B.SINAPI-S'!A:J,3,0),IF(A625="SINAPI-I",VLOOKUP(B625,'20-A.SINAPI-I'!A:E,3,0),VLOOKUP(B625,'12.COT.MERCADO'!A:H,7,0)))</f>
        <v>UN </v>
      </c>
      <c r="E625" s="688">
        <f>IF(A625="SINAPI-S",VLOOKUP(B625,'20-B.SINAPI-S'!A:J,5,0),IF(A625="SINAPI-I",VLOOKUP(B625,'20-A.SINAPI-I'!A:G,6,0),0))</f>
        <v>0</v>
      </c>
      <c r="F625" s="691">
        <f>IF(A625="SINAPI-S",VLOOKUP(B625,'20-B.SINAPI-S'!A:J,6,0),IF(A625="SINAPI-I",VLOOKUP(B625,'20-A.SINAPI-I'!A:G,7,0),VLOOKUP(B625,'12.COT.MERCADO'!A:H,8,0)))</f>
        <v>0.89</v>
      </c>
      <c r="G625" s="685">
        <v>2.0</v>
      </c>
      <c r="H625" s="688">
        <f t="shared" si="305"/>
        <v>0</v>
      </c>
      <c r="I625" s="688">
        <f t="shared" si="306"/>
        <v>1.78</v>
      </c>
      <c r="J625" s="688">
        <f t="shared" si="307"/>
        <v>1.78</v>
      </c>
    </row>
    <row r="626">
      <c r="A626" s="457" t="s">
        <v>110</v>
      </c>
      <c r="B626" s="689" t="s">
        <v>1160</v>
      </c>
      <c r="C626" s="690" t="str">
        <f>IF(A626="SINAPI-S",VLOOKUP(B626,'20-B.SINAPI-S'!A:J,2,0),IF(A626="SINAPI-I",VLOOKUP(B626,'20-A.SINAPI-I'!A:E,2,0),VLOOKUP(B626,'12.COT.MERCADO'!A:H,2,0)))</f>
        <v>Arruela lisa de aço galvanizada de Ø 1/4"</v>
      </c>
      <c r="D626" s="685" t="str">
        <f>IF(A626="SINAPI-S",VLOOKUP(B626,'20-B.SINAPI-S'!A:J,3,0),IF(A626="SINAPI-I",VLOOKUP(B626,'20-A.SINAPI-I'!A:E,3,0),VLOOKUP(B626,'12.COT.MERCADO'!A:H,7,0)))</f>
        <v>UN </v>
      </c>
      <c r="E626" s="688">
        <f>IF(A626="SINAPI-S",VLOOKUP(B626,'20-B.SINAPI-S'!A:J,5,0),IF(A626="SINAPI-I",VLOOKUP(B626,'20-A.SINAPI-I'!A:G,6,0),0))</f>
        <v>0</v>
      </c>
      <c r="F626" s="691">
        <f>IF(A626="SINAPI-S",VLOOKUP(B626,'20-B.SINAPI-S'!A:J,6,0),IF(A626="SINAPI-I",VLOOKUP(B626,'20-A.SINAPI-I'!A:G,7,0),VLOOKUP(B626,'12.COT.MERCADO'!A:H,8,0)))</f>
        <v>0.09</v>
      </c>
      <c r="G626" s="685">
        <v>2.0</v>
      </c>
      <c r="H626" s="688">
        <f t="shared" si="305"/>
        <v>0</v>
      </c>
      <c r="I626" s="688">
        <f t="shared" si="306"/>
        <v>0.18</v>
      </c>
      <c r="J626" s="688">
        <f t="shared" si="307"/>
        <v>0.18</v>
      </c>
    </row>
    <row r="627">
      <c r="A627" s="682" t="s">
        <v>1632</v>
      </c>
      <c r="B627" s="695" t="s">
        <v>2045</v>
      </c>
    </row>
    <row r="628">
      <c r="A628" s="699"/>
      <c r="B628" s="700"/>
      <c r="C628" s="700"/>
      <c r="D628" s="700"/>
      <c r="E628" s="700"/>
      <c r="F628" s="700"/>
      <c r="G628" s="700"/>
      <c r="H628" s="700"/>
      <c r="I628" s="700"/>
      <c r="J628" s="700"/>
    </row>
    <row r="629">
      <c r="A629" s="698"/>
      <c r="B629" s="694"/>
      <c r="C629" s="694"/>
      <c r="D629" s="694"/>
      <c r="E629" s="694"/>
      <c r="F629" s="694"/>
      <c r="G629" s="694"/>
      <c r="H629" s="694"/>
      <c r="I629" s="694"/>
      <c r="J629" s="694"/>
    </row>
    <row r="630">
      <c r="A630" s="677" t="s">
        <v>1729</v>
      </c>
      <c r="B630" s="678" t="s">
        <v>538</v>
      </c>
      <c r="C630" s="679" t="s">
        <v>1756</v>
      </c>
      <c r="D630" s="678" t="s">
        <v>1757</v>
      </c>
      <c r="E630" s="678"/>
      <c r="F630" s="678"/>
      <c r="G630" s="678"/>
      <c r="H630" s="680">
        <f t="shared" ref="H630:J630" si="308">SUM(H632)</f>
        <v>0</v>
      </c>
      <c r="I630" s="680">
        <f t="shared" si="308"/>
        <v>699</v>
      </c>
      <c r="J630" s="681">
        <f t="shared" si="308"/>
        <v>699</v>
      </c>
    </row>
    <row r="631">
      <c r="A631" s="682" t="s">
        <v>1732</v>
      </c>
      <c r="B631" s="683" t="s">
        <v>80</v>
      </c>
      <c r="C631" s="684" t="s">
        <v>8</v>
      </c>
      <c r="D631" s="683" t="s">
        <v>1733</v>
      </c>
      <c r="E631" s="683" t="s">
        <v>1734</v>
      </c>
      <c r="F631" s="683" t="s">
        <v>1735</v>
      </c>
      <c r="G631" s="683" t="s">
        <v>1736</v>
      </c>
      <c r="H631" s="683" t="s">
        <v>1737</v>
      </c>
      <c r="I631" s="683" t="s">
        <v>1738</v>
      </c>
      <c r="J631" s="683" t="s">
        <v>14</v>
      </c>
    </row>
    <row r="632">
      <c r="A632" s="457" t="s">
        <v>110</v>
      </c>
      <c r="B632" s="685" t="s">
        <v>1758</v>
      </c>
      <c r="C632" s="690" t="str">
        <f>IF(A632="SINAPI-S",VLOOKUP(B632,'20-B.SINAPI-S'!A:J,2,0),IF(A632="SINAPI-I",VLOOKUP(B632,'20-A.SINAPI-I'!A:E,2,0),VLOOKUP(B632,'12.COT.MERCADO'!A:H,2,0)))</f>
        <v>Instalação de condicionador de ar tipo split high wall, 9000 btus - contempla a mão de obra, suporte e tubulação até 3,0m</v>
      </c>
      <c r="D632" s="685" t="str">
        <f>IF(A632="SINAPI-S",VLOOKUP(B632,'20-B.SINAPI-S'!A:J,3,0),IF(A632="SINAPI-I",VLOOKUP(B632,'20-A.SINAPI-I'!A:E,3,0),VLOOKUP(B632,'12.COT.MERCADO'!A:H,7,0)))</f>
        <v>UN </v>
      </c>
      <c r="E632" s="688">
        <f>IF(A632="SINAPI-S",VLOOKUP(B632,'20-B.SINAPI-S'!A:J,5,0),IF(A632="SINAPI-I",VLOOKUP(B632,'20-A.SINAPI-I'!A:G,6,0),0))</f>
        <v>0</v>
      </c>
      <c r="F632" s="691">
        <f>IF(A632="SINAPI-S",VLOOKUP(B632,'20-B.SINAPI-S'!A:J,6,0),IF(A632="SINAPI-I",VLOOKUP(B632,'20-A.SINAPI-I'!A:G,7,0),VLOOKUP(B632,'12.COT.MERCADO'!A:H,8,0)))</f>
        <v>699</v>
      </c>
      <c r="G632" s="685">
        <v>1.0</v>
      </c>
      <c r="H632" s="688">
        <f>E632*G632</f>
        <v>0</v>
      </c>
      <c r="I632" s="688">
        <f>F632*G632</f>
        <v>699</v>
      </c>
      <c r="J632" s="688">
        <f>I632+H632</f>
        <v>699</v>
      </c>
    </row>
    <row r="633">
      <c r="A633" s="682" t="s">
        <v>1632</v>
      </c>
      <c r="B633" s="690" t="s">
        <v>1759</v>
      </c>
    </row>
    <row r="634">
      <c r="A634" s="692"/>
      <c r="B634" s="693"/>
      <c r="C634" s="694"/>
      <c r="D634" s="693"/>
      <c r="E634" s="693"/>
      <c r="F634" s="693"/>
      <c r="G634" s="693"/>
      <c r="H634" s="693"/>
      <c r="I634" s="693"/>
      <c r="J634" s="693"/>
    </row>
    <row r="635">
      <c r="A635" s="677" t="s">
        <v>1729</v>
      </c>
      <c r="B635" s="678" t="s">
        <v>540</v>
      </c>
      <c r="C635" s="679" t="s">
        <v>1760</v>
      </c>
      <c r="D635" s="678" t="s">
        <v>1757</v>
      </c>
      <c r="E635" s="678"/>
      <c r="F635" s="678"/>
      <c r="G635" s="678"/>
      <c r="H635" s="680">
        <f t="shared" ref="H635:J635" si="309">SUM(H637)</f>
        <v>0</v>
      </c>
      <c r="I635" s="680">
        <f t="shared" si="309"/>
        <v>921</v>
      </c>
      <c r="J635" s="681">
        <f t="shared" si="309"/>
        <v>921</v>
      </c>
    </row>
    <row r="636">
      <c r="A636" s="682" t="s">
        <v>1732</v>
      </c>
      <c r="B636" s="683" t="s">
        <v>80</v>
      </c>
      <c r="C636" s="684" t="s">
        <v>8</v>
      </c>
      <c r="D636" s="683" t="s">
        <v>1733</v>
      </c>
      <c r="E636" s="683" t="s">
        <v>1734</v>
      </c>
      <c r="F636" s="683" t="s">
        <v>1735</v>
      </c>
      <c r="G636" s="683" t="s">
        <v>1736</v>
      </c>
      <c r="H636" s="683" t="s">
        <v>1737</v>
      </c>
      <c r="I636" s="683" t="s">
        <v>1738</v>
      </c>
      <c r="J636" s="683" t="s">
        <v>14</v>
      </c>
    </row>
    <row r="637">
      <c r="A637" s="457" t="s">
        <v>110</v>
      </c>
      <c r="B637" s="689" t="s">
        <v>1761</v>
      </c>
      <c r="C637" s="690" t="str">
        <f>IF(A637="SINAPI-S",VLOOKUP(B637,'20-B.SINAPI-S'!A:J,2,0),IF(A637="SINAPI-I",VLOOKUP(B637,'20-A.SINAPI-I'!A:E,2,0),VLOOKUP(B637,'12.COT.MERCADO'!A:H,2,0)))</f>
        <v>Instalação de condicionador de ar tipo split high wall, 24000 btus - contempla a mão de obra, suporte e tubulação até 3,0m</v>
      </c>
      <c r="D637" s="685" t="str">
        <f>IF(A637="SINAPI-S",VLOOKUP(B637,'20-B.SINAPI-S'!A:J,3,0),IF(A637="SINAPI-I",VLOOKUP(B637,'20-A.SINAPI-I'!A:E,3,0),VLOOKUP(B637,'12.COT.MERCADO'!A:H,7,0)))</f>
        <v>UN </v>
      </c>
      <c r="E637" s="688">
        <f>IF(A637="SINAPI-S",VLOOKUP(B637,'20-B.SINAPI-S'!A:J,5,0),IF(A637="SINAPI-I",VLOOKUP(B637,'20-A.SINAPI-I'!A:G,6,0),0))</f>
        <v>0</v>
      </c>
      <c r="F637" s="691">
        <f>IF(A637="SINAPI-S",VLOOKUP(B637,'20-B.SINAPI-S'!A:J,6,0),IF(A637="SINAPI-I",VLOOKUP(B637,'20-A.SINAPI-I'!A:G,7,0),VLOOKUP(B637,'12.COT.MERCADO'!A:H,8,0)))</f>
        <v>921</v>
      </c>
      <c r="G637" s="685">
        <v>1.0</v>
      </c>
      <c r="H637" s="688">
        <f>E637*G637</f>
        <v>0</v>
      </c>
      <c r="I637" s="688">
        <f>F637*G637</f>
        <v>921</v>
      </c>
      <c r="J637" s="688">
        <f>I637+H637</f>
        <v>921</v>
      </c>
    </row>
    <row r="638">
      <c r="A638" s="682" t="s">
        <v>1632</v>
      </c>
      <c r="B638" s="690" t="s">
        <v>1762</v>
      </c>
    </row>
    <row r="639">
      <c r="A639" s="692"/>
      <c r="B639" s="693"/>
      <c r="C639" s="694"/>
      <c r="D639" s="693"/>
      <c r="E639" s="693"/>
      <c r="F639" s="693"/>
      <c r="G639" s="693"/>
      <c r="H639" s="693"/>
      <c r="I639" s="693"/>
      <c r="J639" s="693"/>
    </row>
    <row r="640">
      <c r="A640" s="677" t="s">
        <v>1729</v>
      </c>
      <c r="B640" s="678" t="s">
        <v>542</v>
      </c>
      <c r="C640" s="679" t="s">
        <v>1763</v>
      </c>
      <c r="D640" s="678" t="s">
        <v>1757</v>
      </c>
      <c r="E640" s="678"/>
      <c r="F640" s="678"/>
      <c r="G640" s="678"/>
      <c r="H640" s="680">
        <f t="shared" ref="H640:J640" si="310">SUM(H642)</f>
        <v>0</v>
      </c>
      <c r="I640" s="680">
        <f t="shared" si="310"/>
        <v>1999</v>
      </c>
      <c r="J640" s="681">
        <f t="shared" si="310"/>
        <v>1999</v>
      </c>
    </row>
    <row r="641">
      <c r="A641" s="682" t="s">
        <v>1732</v>
      </c>
      <c r="B641" s="683" t="s">
        <v>80</v>
      </c>
      <c r="C641" s="684" t="s">
        <v>8</v>
      </c>
      <c r="D641" s="683" t="s">
        <v>1733</v>
      </c>
      <c r="E641" s="683" t="s">
        <v>1734</v>
      </c>
      <c r="F641" s="683" t="s">
        <v>1735</v>
      </c>
      <c r="G641" s="683" t="s">
        <v>1736</v>
      </c>
      <c r="H641" s="683" t="s">
        <v>1737</v>
      </c>
      <c r="I641" s="683" t="s">
        <v>1738</v>
      </c>
      <c r="J641" s="683" t="s">
        <v>14</v>
      </c>
    </row>
    <row r="642">
      <c r="A642" s="457" t="s">
        <v>110</v>
      </c>
      <c r="B642" s="689" t="s">
        <v>1764</v>
      </c>
      <c r="C642" s="690" t="str">
        <f>IF(A642="SINAPI-S",VLOOKUP(B642,'20-B.SINAPI-S'!A:J,2,0),IF(A642="SINAPI-I",VLOOKUP(B642,'20-A.SINAPI-I'!A:E,2,0),VLOOKUP(B642,'12.COT.MERCADO'!A:H,2,0)))</f>
        <v>Instalação de condicionador de ar tipo split, 36000 btus - contempla a mão de obra, suporte e tubulação até 3,0m</v>
      </c>
      <c r="D642" s="685" t="str">
        <f>IF(A642="SINAPI-S",VLOOKUP(B642,'20-B.SINAPI-S'!A:J,3,0),IF(A642="SINAPI-I",VLOOKUP(B642,'20-A.SINAPI-I'!A:E,3,0),VLOOKUP(B642,'12.COT.MERCADO'!A:H,7,0)))</f>
        <v>UN </v>
      </c>
      <c r="E642" s="688">
        <f>IF(A642="SINAPI-S",VLOOKUP(B642,'20-B.SINAPI-S'!A:J,5,0),IF(A642="SINAPI-I",VLOOKUP(B642,'20-A.SINAPI-I'!A:G,6,0),0))</f>
        <v>0</v>
      </c>
      <c r="F642" s="691">
        <f>IF(A642="SINAPI-S",VLOOKUP(B642,'20-B.SINAPI-S'!A:J,6,0),IF(A642="SINAPI-I",VLOOKUP(B642,'20-A.SINAPI-I'!A:G,7,0),VLOOKUP(B642,'12.COT.MERCADO'!A:H,8,0)))</f>
        <v>1999</v>
      </c>
      <c r="G642" s="685">
        <v>1.0</v>
      </c>
      <c r="H642" s="688">
        <f>E642*G642</f>
        <v>0</v>
      </c>
      <c r="I642" s="688">
        <f>F642*G642</f>
        <v>1999</v>
      </c>
      <c r="J642" s="688">
        <f>I642+H642</f>
        <v>1999</v>
      </c>
    </row>
    <row r="643">
      <c r="A643" s="682" t="s">
        <v>1632</v>
      </c>
      <c r="B643" s="701" t="s">
        <v>1765</v>
      </c>
    </row>
    <row r="644">
      <c r="A644" s="692"/>
      <c r="B644" s="693"/>
      <c r="C644" s="694"/>
      <c r="D644" s="693"/>
      <c r="E644" s="693"/>
      <c r="F644" s="693"/>
      <c r="G644" s="693"/>
      <c r="H644" s="693"/>
      <c r="I644" s="693"/>
      <c r="J644" s="693"/>
    </row>
    <row r="645">
      <c r="A645" s="677" t="s">
        <v>1729</v>
      </c>
      <c r="B645" s="678" t="s">
        <v>1766</v>
      </c>
      <c r="C645" s="679" t="s">
        <v>1767</v>
      </c>
      <c r="D645" s="678" t="s">
        <v>1757</v>
      </c>
      <c r="E645" s="678"/>
      <c r="F645" s="678"/>
      <c r="G645" s="678"/>
      <c r="H645" s="680">
        <f t="shared" ref="H645:J645" si="311">SUM(H647)</f>
        <v>0</v>
      </c>
      <c r="I645" s="680">
        <f t="shared" si="311"/>
        <v>1999</v>
      </c>
      <c r="J645" s="681">
        <f t="shared" si="311"/>
        <v>1999</v>
      </c>
    </row>
    <row r="646">
      <c r="A646" s="682" t="s">
        <v>1732</v>
      </c>
      <c r="B646" s="683" t="s">
        <v>80</v>
      </c>
      <c r="C646" s="684" t="s">
        <v>8</v>
      </c>
      <c r="D646" s="683" t="s">
        <v>1733</v>
      </c>
      <c r="E646" s="683" t="s">
        <v>1734</v>
      </c>
      <c r="F646" s="683" t="s">
        <v>1735</v>
      </c>
      <c r="G646" s="683" t="s">
        <v>1736</v>
      </c>
      <c r="H646" s="683" t="s">
        <v>1737</v>
      </c>
      <c r="I646" s="683" t="s">
        <v>1738</v>
      </c>
      <c r="J646" s="683" t="s">
        <v>14</v>
      </c>
    </row>
    <row r="647">
      <c r="A647" s="457" t="s">
        <v>110</v>
      </c>
      <c r="B647" s="689" t="s">
        <v>1764</v>
      </c>
      <c r="C647" s="690" t="str">
        <f>IF(A647="SINAPI-S",VLOOKUP(B647,'20-B.SINAPI-S'!A:J,2,0),IF(A647="SINAPI-I",VLOOKUP(B647,'20-A.SINAPI-I'!A:E,2,0),VLOOKUP(B647,'12.COT.MERCADO'!A:H,2,0)))</f>
        <v>Instalação de condicionador de ar tipo split, 36000 btus - contempla a mão de obra, suporte e tubulação até 3,0m</v>
      </c>
      <c r="D647" s="685" t="str">
        <f>IF(A647="SINAPI-S",VLOOKUP(B647,'20-B.SINAPI-S'!A:J,3,0),IF(A647="SINAPI-I",VLOOKUP(B647,'20-A.SINAPI-I'!A:E,3,0),VLOOKUP(B647,'12.COT.MERCADO'!A:H,7,0)))</f>
        <v>UN </v>
      </c>
      <c r="E647" s="688">
        <f>IF(A647="SINAPI-S",VLOOKUP(B647,'20-B.SINAPI-S'!A:J,5,0),IF(A647="SINAPI-I",VLOOKUP(B647,'20-A.SINAPI-I'!A:G,6,0),0))</f>
        <v>0</v>
      </c>
      <c r="F647" s="691">
        <f>IF(A647="SINAPI-S",VLOOKUP(B647,'20-B.SINAPI-S'!A:J,6,0),IF(A647="SINAPI-I",VLOOKUP(B647,'20-A.SINAPI-I'!A:G,7,0),VLOOKUP(B647,'12.COT.MERCADO'!A:H,8,0)))</f>
        <v>1999</v>
      </c>
      <c r="G647" s="685">
        <v>1.0</v>
      </c>
      <c r="H647" s="688">
        <f>E647*G647</f>
        <v>0</v>
      </c>
      <c r="I647" s="688">
        <f>F647*G647</f>
        <v>1999</v>
      </c>
      <c r="J647" s="688">
        <f>I647+H647</f>
        <v>1999</v>
      </c>
    </row>
    <row r="648">
      <c r="A648" s="682" t="s">
        <v>1632</v>
      </c>
      <c r="B648" s="690" t="s">
        <v>1768</v>
      </c>
    </row>
    <row r="649">
      <c r="A649" s="692"/>
      <c r="B649" s="693"/>
      <c r="C649" s="694"/>
      <c r="D649" s="693"/>
      <c r="E649" s="693"/>
      <c r="F649" s="693"/>
      <c r="G649" s="693"/>
      <c r="H649" s="693"/>
      <c r="I649" s="693"/>
      <c r="J649" s="693"/>
    </row>
    <row r="650">
      <c r="A650" s="677" t="s">
        <v>1729</v>
      </c>
      <c r="B650" s="678" t="s">
        <v>544</v>
      </c>
      <c r="C650" s="679" t="s">
        <v>1769</v>
      </c>
      <c r="D650" s="678" t="s">
        <v>1757</v>
      </c>
      <c r="E650" s="678"/>
      <c r="F650" s="678"/>
      <c r="G650" s="678"/>
      <c r="H650" s="680">
        <f t="shared" ref="H650:J650" si="312">SUM(H652)</f>
        <v>0</v>
      </c>
      <c r="I650" s="680">
        <f t="shared" si="312"/>
        <v>1499</v>
      </c>
      <c r="J650" s="681">
        <f t="shared" si="312"/>
        <v>1499</v>
      </c>
    </row>
    <row r="651">
      <c r="A651" s="682" t="s">
        <v>1732</v>
      </c>
      <c r="B651" s="683" t="s">
        <v>80</v>
      </c>
      <c r="C651" s="684" t="s">
        <v>8</v>
      </c>
      <c r="D651" s="683" t="s">
        <v>1733</v>
      </c>
      <c r="E651" s="683" t="s">
        <v>1734</v>
      </c>
      <c r="F651" s="683" t="s">
        <v>1735</v>
      </c>
      <c r="G651" s="683" t="s">
        <v>1736</v>
      </c>
      <c r="H651" s="683" t="s">
        <v>1737</v>
      </c>
      <c r="I651" s="683" t="s">
        <v>1738</v>
      </c>
      <c r="J651" s="683" t="s">
        <v>14</v>
      </c>
    </row>
    <row r="652">
      <c r="A652" s="457" t="s">
        <v>110</v>
      </c>
      <c r="B652" s="689" t="s">
        <v>1770</v>
      </c>
      <c r="C652" s="690" t="str">
        <f>IF(A652="SINAPI-S",VLOOKUP(B652,'20-B.SINAPI-S'!A:J,2,0),IF(A652="SINAPI-I",VLOOKUP(B652,'20-A.SINAPI-I'!A:E,2,0),VLOOKUP(B652,'12.COT.MERCADO'!A:H,2,0)))</f>
        <v>Instalação de condicionador de ar tipo split piso-teto, 24000 btus - contempla a mão de obra, suporte e tubulação até 3,0m</v>
      </c>
      <c r="D652" s="685" t="str">
        <f>IF(A652="SINAPI-S",VLOOKUP(B652,'20-B.SINAPI-S'!A:J,3,0),IF(A652="SINAPI-I",VLOOKUP(B652,'20-A.SINAPI-I'!A:E,3,0),VLOOKUP(B652,'12.COT.MERCADO'!A:H,7,0)))</f>
        <v>UN </v>
      </c>
      <c r="E652" s="688">
        <f>IF(A652="SINAPI-S",VLOOKUP(B652,'20-B.SINAPI-S'!A:J,5,0),IF(A652="SINAPI-I",VLOOKUP(B652,'20-A.SINAPI-I'!A:G,6,0),0))</f>
        <v>0</v>
      </c>
      <c r="F652" s="691">
        <f>IF(A652="SINAPI-S",VLOOKUP(B652,'20-B.SINAPI-S'!A:J,6,0),IF(A652="SINAPI-I",VLOOKUP(B652,'20-A.SINAPI-I'!A:G,7,0),VLOOKUP(B652,'12.COT.MERCADO'!A:H,8,0)))</f>
        <v>1499</v>
      </c>
      <c r="G652" s="685">
        <v>1.0</v>
      </c>
      <c r="H652" s="688">
        <f>E652*G652</f>
        <v>0</v>
      </c>
      <c r="I652" s="688">
        <f>F652*G652</f>
        <v>1499</v>
      </c>
      <c r="J652" s="688">
        <f>I652+H652</f>
        <v>1499</v>
      </c>
    </row>
    <row r="653">
      <c r="A653" s="682" t="s">
        <v>1632</v>
      </c>
      <c r="B653" s="701" t="s">
        <v>1771</v>
      </c>
    </row>
    <row r="654">
      <c r="A654" s="692"/>
      <c r="B654" s="693"/>
      <c r="C654" s="694"/>
      <c r="D654" s="693"/>
      <c r="E654" s="693"/>
      <c r="F654" s="693"/>
      <c r="G654" s="693"/>
      <c r="H654" s="693"/>
      <c r="I654" s="693"/>
      <c r="J654" s="693"/>
    </row>
    <row r="655">
      <c r="A655" s="677" t="s">
        <v>1729</v>
      </c>
      <c r="B655" s="678" t="s">
        <v>546</v>
      </c>
      <c r="C655" s="679" t="s">
        <v>1772</v>
      </c>
      <c r="D655" s="678" t="s">
        <v>1757</v>
      </c>
      <c r="E655" s="678"/>
      <c r="F655" s="678"/>
      <c r="G655" s="678"/>
      <c r="H655" s="680">
        <f t="shared" ref="H655:J655" si="313">SUM(H657)</f>
        <v>0</v>
      </c>
      <c r="I655" s="680">
        <f t="shared" si="313"/>
        <v>1499</v>
      </c>
      <c r="J655" s="681">
        <f t="shared" si="313"/>
        <v>1499</v>
      </c>
    </row>
    <row r="656">
      <c r="A656" s="682" t="s">
        <v>1732</v>
      </c>
      <c r="B656" s="683" t="s">
        <v>80</v>
      </c>
      <c r="C656" s="684" t="s">
        <v>8</v>
      </c>
      <c r="D656" s="683" t="s">
        <v>1733</v>
      </c>
      <c r="E656" s="683" t="s">
        <v>1734</v>
      </c>
      <c r="F656" s="683" t="s">
        <v>1735</v>
      </c>
      <c r="G656" s="683" t="s">
        <v>1736</v>
      </c>
      <c r="H656" s="683" t="s">
        <v>1737</v>
      </c>
      <c r="I656" s="683" t="s">
        <v>1738</v>
      </c>
      <c r="J656" s="683" t="s">
        <v>14</v>
      </c>
    </row>
    <row r="657">
      <c r="A657" s="457" t="s">
        <v>110</v>
      </c>
      <c r="B657" s="689" t="s">
        <v>1773</v>
      </c>
      <c r="C657" s="690" t="str">
        <f>IF(A657="SINAPI-S",VLOOKUP(B657,'20-B.SINAPI-S'!A:J,2,0),IF(A657="SINAPI-I",VLOOKUP(B657,'20-A.SINAPI-I'!A:E,2,0),VLOOKUP(B657,'12.COT.MERCADO'!A:H,2,0)))</f>
        <v>Instalação de condicionador de ar tipo split piso-teto, 30000 btus - contempla a mão de obra, suporte e tubulação até 3,0m</v>
      </c>
      <c r="D657" s="685" t="str">
        <f>IF(A657="SINAPI-S",VLOOKUP(B657,'20-B.SINAPI-S'!A:J,3,0),IF(A657="SINAPI-I",VLOOKUP(B657,'20-A.SINAPI-I'!A:E,3,0),VLOOKUP(B657,'12.COT.MERCADO'!A:H,7,0)))</f>
        <v>UN </v>
      </c>
      <c r="E657" s="688">
        <f>IF(A657="SINAPI-S",VLOOKUP(B657,'20-B.SINAPI-S'!A:J,5,0),IF(A657="SINAPI-I",VLOOKUP(B657,'20-A.SINAPI-I'!A:G,6,0),0))</f>
        <v>0</v>
      </c>
      <c r="F657" s="691">
        <f>IF(A657="SINAPI-S",VLOOKUP(B657,'20-B.SINAPI-S'!A:J,6,0),IF(A657="SINAPI-I",VLOOKUP(B657,'20-A.SINAPI-I'!A:G,7,0),VLOOKUP(B657,'12.COT.MERCADO'!A:H,8,0)))</f>
        <v>1499</v>
      </c>
      <c r="G657" s="685">
        <v>1.0</v>
      </c>
      <c r="H657" s="688">
        <f>E657*G657</f>
        <v>0</v>
      </c>
      <c r="I657" s="688">
        <f>F657*G657</f>
        <v>1499</v>
      </c>
      <c r="J657" s="688">
        <f>I657+H657</f>
        <v>1499</v>
      </c>
    </row>
    <row r="658">
      <c r="A658" s="682" t="s">
        <v>1632</v>
      </c>
      <c r="B658" s="701" t="s">
        <v>1774</v>
      </c>
    </row>
    <row r="659">
      <c r="A659" s="692"/>
      <c r="B659" s="693"/>
      <c r="C659" s="694"/>
      <c r="D659" s="693"/>
      <c r="E659" s="693"/>
      <c r="F659" s="693"/>
      <c r="G659" s="693"/>
      <c r="H659" s="693"/>
      <c r="I659" s="693"/>
      <c r="J659" s="693"/>
    </row>
    <row r="660">
      <c r="A660" s="677" t="s">
        <v>1729</v>
      </c>
      <c r="B660" s="678" t="s">
        <v>548</v>
      </c>
      <c r="C660" s="679" t="s">
        <v>1775</v>
      </c>
      <c r="D660" s="678" t="s">
        <v>1757</v>
      </c>
      <c r="E660" s="678"/>
      <c r="F660" s="678"/>
      <c r="G660" s="678"/>
      <c r="H660" s="680">
        <f t="shared" ref="H660:J660" si="314">SUM(H662)</f>
        <v>0</v>
      </c>
      <c r="I660" s="680">
        <f t="shared" si="314"/>
        <v>1606</v>
      </c>
      <c r="J660" s="681">
        <f t="shared" si="314"/>
        <v>1606</v>
      </c>
    </row>
    <row r="661">
      <c r="A661" s="682" t="s">
        <v>1732</v>
      </c>
      <c r="B661" s="683" t="s">
        <v>80</v>
      </c>
      <c r="C661" s="684" t="s">
        <v>8</v>
      </c>
      <c r="D661" s="683" t="s">
        <v>1733</v>
      </c>
      <c r="E661" s="683" t="s">
        <v>1734</v>
      </c>
      <c r="F661" s="683" t="s">
        <v>1735</v>
      </c>
      <c r="G661" s="683" t="s">
        <v>1736</v>
      </c>
      <c r="H661" s="683" t="s">
        <v>1737</v>
      </c>
      <c r="I661" s="683" t="s">
        <v>1738</v>
      </c>
      <c r="J661" s="683" t="s">
        <v>14</v>
      </c>
    </row>
    <row r="662">
      <c r="A662" s="457" t="s">
        <v>110</v>
      </c>
      <c r="B662" s="689" t="s">
        <v>1776</v>
      </c>
      <c r="C662" s="690" t="str">
        <f>IF(A662="SINAPI-S",VLOOKUP(B662,'20-B.SINAPI-S'!A:J,2,0),IF(A662="SINAPI-I",VLOOKUP(B662,'20-A.SINAPI-I'!A:E,2,0),VLOOKUP(B662,'12.COT.MERCADO'!A:H,2,0)))</f>
        <v>Instalação de condicionador de ar tipo split piso-teto, 36000 btus- contempla a mão de obra, suporte e tubulação até 3,0m</v>
      </c>
      <c r="D662" s="685" t="str">
        <f>IF(A662="SINAPI-S",VLOOKUP(B662,'20-B.SINAPI-S'!A:J,3,0),IF(A662="SINAPI-I",VLOOKUP(B662,'20-A.SINAPI-I'!A:E,3,0),VLOOKUP(B662,'12.COT.MERCADO'!A:H,7,0)))</f>
        <v>UN </v>
      </c>
      <c r="E662" s="688">
        <f>IF(A662="SINAPI-S",VLOOKUP(B662,'20-B.SINAPI-S'!A:J,5,0),IF(A662="SINAPI-I",VLOOKUP(B662,'20-A.SINAPI-I'!A:G,6,0),0))</f>
        <v>0</v>
      </c>
      <c r="F662" s="691">
        <f>IF(A662="SINAPI-S",VLOOKUP(B662,'20-B.SINAPI-S'!A:J,6,0),IF(A662="SINAPI-I",VLOOKUP(B662,'20-A.SINAPI-I'!A:G,7,0),VLOOKUP(B662,'12.COT.MERCADO'!A:H,8,0)))</f>
        <v>1606</v>
      </c>
      <c r="G662" s="685">
        <v>1.0</v>
      </c>
      <c r="H662" s="688">
        <f>E662*G662</f>
        <v>0</v>
      </c>
      <c r="I662" s="688">
        <f>F662*G662</f>
        <v>1606</v>
      </c>
      <c r="J662" s="688">
        <f>I662+H662</f>
        <v>1606</v>
      </c>
    </row>
    <row r="663">
      <c r="A663" s="682" t="s">
        <v>1632</v>
      </c>
      <c r="B663" s="690" t="s">
        <v>1777</v>
      </c>
    </row>
    <row r="664">
      <c r="A664" s="692"/>
      <c r="B664" s="693"/>
      <c r="C664" s="694"/>
      <c r="D664" s="693"/>
      <c r="E664" s="693"/>
      <c r="F664" s="693"/>
      <c r="G664" s="693"/>
      <c r="H664" s="693"/>
      <c r="I664" s="693"/>
      <c r="J664" s="693"/>
    </row>
    <row r="665">
      <c r="A665" s="677" t="s">
        <v>1729</v>
      </c>
      <c r="B665" s="678" t="s">
        <v>550</v>
      </c>
      <c r="C665" s="679" t="s">
        <v>1778</v>
      </c>
      <c r="D665" s="678" t="s">
        <v>1757</v>
      </c>
      <c r="E665" s="678"/>
      <c r="F665" s="678"/>
      <c r="G665" s="678"/>
      <c r="H665" s="680">
        <f t="shared" ref="H665:J665" si="315">SUM(H667)</f>
        <v>0</v>
      </c>
      <c r="I665" s="680">
        <f t="shared" si="315"/>
        <v>2099</v>
      </c>
      <c r="J665" s="681">
        <f t="shared" si="315"/>
        <v>2099</v>
      </c>
    </row>
    <row r="666">
      <c r="A666" s="682" t="s">
        <v>1732</v>
      </c>
      <c r="B666" s="683" t="s">
        <v>80</v>
      </c>
      <c r="C666" s="684" t="s">
        <v>8</v>
      </c>
      <c r="D666" s="683" t="s">
        <v>1733</v>
      </c>
      <c r="E666" s="683" t="s">
        <v>1734</v>
      </c>
      <c r="F666" s="683" t="s">
        <v>1735</v>
      </c>
      <c r="G666" s="683" t="s">
        <v>1736</v>
      </c>
      <c r="H666" s="683" t="s">
        <v>1737</v>
      </c>
      <c r="I666" s="683" t="s">
        <v>1738</v>
      </c>
      <c r="J666" s="683" t="s">
        <v>14</v>
      </c>
    </row>
    <row r="667">
      <c r="A667" s="457" t="s">
        <v>110</v>
      </c>
      <c r="B667" s="689" t="s">
        <v>1779</v>
      </c>
      <c r="C667" s="690" t="str">
        <f>IF(A667="SINAPI-S",VLOOKUP(B667,'20-B.SINAPI-S'!A:J,2,0),IF(A667="SINAPI-I",VLOOKUP(B667,'20-A.SINAPI-I'!A:E,2,0),VLOOKUP(B667,'12.COT.MERCADO'!A:H,2,0)))</f>
        <v>Instalação de condicionador de ar tipo split piso-teto, 48000 btus - contempla a mão de obra, suporte e tubulação até 3,0m</v>
      </c>
      <c r="D667" s="685" t="str">
        <f>IF(A667="SINAPI-S",VLOOKUP(B667,'20-B.SINAPI-S'!A:J,3,0),IF(A667="SINAPI-I",VLOOKUP(B667,'20-A.SINAPI-I'!A:E,3,0),VLOOKUP(B667,'12.COT.MERCADO'!A:H,7,0)))</f>
        <v>UN </v>
      </c>
      <c r="E667" s="688">
        <f>IF(A667="SINAPI-S",VLOOKUP(B667,'20-B.SINAPI-S'!A:J,5,0),IF(A667="SINAPI-I",VLOOKUP(B667,'20-A.SINAPI-I'!A:G,6,0),0))</f>
        <v>0</v>
      </c>
      <c r="F667" s="691">
        <f>IF(A667="SINAPI-S",VLOOKUP(B667,'20-B.SINAPI-S'!A:J,6,0),IF(A667="SINAPI-I",VLOOKUP(B667,'20-A.SINAPI-I'!A:G,7,0),VLOOKUP(B667,'12.COT.MERCADO'!A:H,8,0)))</f>
        <v>2099</v>
      </c>
      <c r="G667" s="685">
        <v>1.0</v>
      </c>
      <c r="H667" s="688">
        <f>E667*G667</f>
        <v>0</v>
      </c>
      <c r="I667" s="688">
        <f>F667*G667</f>
        <v>2099</v>
      </c>
      <c r="J667" s="688">
        <f>I667+H667</f>
        <v>2099</v>
      </c>
    </row>
    <row r="668">
      <c r="A668" s="622"/>
    </row>
    <row r="669">
      <c r="A669" s="692"/>
      <c r="B669" s="693"/>
      <c r="C669" s="694"/>
      <c r="D669" s="693"/>
      <c r="E669" s="693"/>
      <c r="F669" s="693"/>
      <c r="G669" s="693"/>
      <c r="H669" s="693"/>
      <c r="I669" s="693"/>
      <c r="J669" s="693"/>
    </row>
    <row r="670">
      <c r="A670" s="677" t="s">
        <v>1729</v>
      </c>
      <c r="B670" s="678" t="s">
        <v>552</v>
      </c>
      <c r="C670" s="679" t="s">
        <v>1780</v>
      </c>
      <c r="D670" s="678" t="s">
        <v>1757</v>
      </c>
      <c r="E670" s="678"/>
      <c r="F670" s="678"/>
      <c r="G670" s="678"/>
      <c r="H670" s="680">
        <f t="shared" ref="H670:J670" si="316">SUM(H672)</f>
        <v>0</v>
      </c>
      <c r="I670" s="680">
        <f t="shared" si="316"/>
        <v>2099</v>
      </c>
      <c r="J670" s="681">
        <f t="shared" si="316"/>
        <v>2099</v>
      </c>
    </row>
    <row r="671">
      <c r="A671" s="682" t="s">
        <v>1732</v>
      </c>
      <c r="B671" s="683" t="s">
        <v>80</v>
      </c>
      <c r="C671" s="684" t="s">
        <v>8</v>
      </c>
      <c r="D671" s="683" t="s">
        <v>1733</v>
      </c>
      <c r="E671" s="683" t="s">
        <v>1734</v>
      </c>
      <c r="F671" s="683" t="s">
        <v>1735</v>
      </c>
      <c r="G671" s="683" t="s">
        <v>1736</v>
      </c>
      <c r="H671" s="683" t="s">
        <v>1737</v>
      </c>
      <c r="I671" s="683" t="s">
        <v>1738</v>
      </c>
      <c r="J671" s="683" t="s">
        <v>14</v>
      </c>
    </row>
    <row r="672">
      <c r="A672" s="457" t="s">
        <v>110</v>
      </c>
      <c r="B672" s="689" t="s">
        <v>1781</v>
      </c>
      <c r="C672" s="690" t="str">
        <f>IF(A672="SINAPI-S",VLOOKUP(B672,'20-B.SINAPI-S'!A:J,2,0),IF(A672="SINAPI-I",VLOOKUP(B672,'20-A.SINAPI-I'!A:E,2,0),VLOOKUP(B672,'12.COT.MERCADO'!A:H,2,0)))</f>
        <v>Instalação de condicionador de ar tipo split piso-teto,60000 btus - contempla a mão de obra, suporte e tubulação até 3,0m</v>
      </c>
      <c r="D672" s="685" t="str">
        <f>IF(A672="SINAPI-S",VLOOKUP(B672,'20-B.SINAPI-S'!A:J,3,0),IF(A672="SINAPI-I",VLOOKUP(B672,'20-A.SINAPI-I'!A:E,3,0),VLOOKUP(B672,'12.COT.MERCADO'!A:H,7,0)))</f>
        <v>UN </v>
      </c>
      <c r="E672" s="688">
        <f>IF(A672="SINAPI-S",VLOOKUP(B672,'20-B.SINAPI-S'!A:J,5,0),IF(A672="SINAPI-I",VLOOKUP(B672,'20-A.SINAPI-I'!A:G,6,0),0))</f>
        <v>0</v>
      </c>
      <c r="F672" s="691">
        <f>IF(A672="SINAPI-S",VLOOKUP(B672,'20-B.SINAPI-S'!A:J,6,0),IF(A672="SINAPI-I",VLOOKUP(B672,'20-A.SINAPI-I'!A:G,7,0),VLOOKUP(B672,'12.COT.MERCADO'!A:H,8,0)))</f>
        <v>2099</v>
      </c>
      <c r="G672" s="685">
        <v>1.0</v>
      </c>
      <c r="H672" s="688">
        <f>E672*G672</f>
        <v>0</v>
      </c>
      <c r="I672" s="688">
        <f>F672*G672</f>
        <v>2099</v>
      </c>
      <c r="J672" s="688">
        <f>I672+H672</f>
        <v>2099</v>
      </c>
    </row>
    <row r="673">
      <c r="A673" s="682" t="s">
        <v>1632</v>
      </c>
      <c r="B673" s="690" t="s">
        <v>1782</v>
      </c>
    </row>
    <row r="674">
      <c r="A674" s="702"/>
      <c r="B674" s="703"/>
      <c r="C674" s="703"/>
      <c r="D674" s="703"/>
      <c r="E674" s="703"/>
      <c r="F674" s="703"/>
      <c r="G674" s="703"/>
      <c r="H674" s="703"/>
      <c r="I674" s="703"/>
      <c r="J674" s="703"/>
    </row>
    <row r="675">
      <c r="A675" s="702"/>
      <c r="B675" s="703"/>
      <c r="C675" s="703"/>
      <c r="D675" s="703"/>
      <c r="E675" s="703"/>
      <c r="F675" s="703"/>
      <c r="G675" s="703"/>
      <c r="H675" s="703"/>
      <c r="I675" s="703"/>
      <c r="J675" s="703"/>
    </row>
    <row r="676">
      <c r="A676" s="702"/>
      <c r="B676" s="703"/>
      <c r="C676" s="703"/>
      <c r="D676" s="703"/>
      <c r="E676" s="703"/>
      <c r="F676" s="703"/>
      <c r="G676" s="703"/>
      <c r="H676" s="703"/>
      <c r="I676" s="703"/>
      <c r="J676" s="703"/>
    </row>
    <row r="677">
      <c r="A677" s="702"/>
      <c r="B677" s="703"/>
      <c r="C677" s="703"/>
      <c r="D677" s="703"/>
      <c r="E677" s="703"/>
      <c r="F677" s="703"/>
      <c r="G677" s="703"/>
      <c r="H677" s="703"/>
      <c r="I677" s="703"/>
      <c r="J677" s="703"/>
    </row>
    <row r="678">
      <c r="A678" s="702"/>
      <c r="B678" s="703"/>
      <c r="C678" s="703"/>
      <c r="D678" s="703"/>
      <c r="E678" s="703"/>
      <c r="F678" s="703"/>
      <c r="G678" s="703"/>
      <c r="H678" s="703"/>
      <c r="I678" s="703"/>
      <c r="J678" s="703"/>
    </row>
  </sheetData>
  <mergeCells count="96">
    <mergeCell ref="B311:I311"/>
    <mergeCell ref="B318:I318"/>
    <mergeCell ref="B325:I325"/>
    <mergeCell ref="B332:I332"/>
    <mergeCell ref="B339:I339"/>
    <mergeCell ref="B345:I345"/>
    <mergeCell ref="B353:I353"/>
    <mergeCell ref="B358:I358"/>
    <mergeCell ref="B365:I365"/>
    <mergeCell ref="B372:I372"/>
    <mergeCell ref="B379:I379"/>
    <mergeCell ref="B386:I386"/>
    <mergeCell ref="B393:I393"/>
    <mergeCell ref="B400:I400"/>
    <mergeCell ref="B407:I407"/>
    <mergeCell ref="B414:I414"/>
    <mergeCell ref="B423:I423"/>
    <mergeCell ref="B430:I430"/>
    <mergeCell ref="B436:I436"/>
    <mergeCell ref="B443:I443"/>
    <mergeCell ref="B450:I450"/>
    <mergeCell ref="B457:I457"/>
    <mergeCell ref="B464:I464"/>
    <mergeCell ref="B471:I471"/>
    <mergeCell ref="B478:I478"/>
    <mergeCell ref="B485:I485"/>
    <mergeCell ref="B492:I492"/>
    <mergeCell ref="B499:I499"/>
    <mergeCell ref="B506:I506"/>
    <mergeCell ref="B513:I513"/>
    <mergeCell ref="A515:J515"/>
    <mergeCell ref="B531:J531"/>
    <mergeCell ref="B547:J547"/>
    <mergeCell ref="B563:J563"/>
    <mergeCell ref="B579:J579"/>
    <mergeCell ref="B653:J653"/>
    <mergeCell ref="B658:J658"/>
    <mergeCell ref="B663:J663"/>
    <mergeCell ref="A668:J668"/>
    <mergeCell ref="B673:J673"/>
    <mergeCell ref="B595:J595"/>
    <mergeCell ref="B611:J611"/>
    <mergeCell ref="B627:J627"/>
    <mergeCell ref="B633:J633"/>
    <mergeCell ref="B638:J638"/>
    <mergeCell ref="B643:J643"/>
    <mergeCell ref="B648:J648"/>
    <mergeCell ref="A1:B1"/>
    <mergeCell ref="C1:F1"/>
    <mergeCell ref="I1:J1"/>
    <mergeCell ref="A2:J2"/>
    <mergeCell ref="A4:J4"/>
    <mergeCell ref="B11:I11"/>
    <mergeCell ref="B21:I21"/>
    <mergeCell ref="B28:I28"/>
    <mergeCell ref="B35:I35"/>
    <mergeCell ref="B42:I42"/>
    <mergeCell ref="B49:I49"/>
    <mergeCell ref="B55:I55"/>
    <mergeCell ref="B61:I61"/>
    <mergeCell ref="B68:I68"/>
    <mergeCell ref="B74:I74"/>
    <mergeCell ref="B80:I80"/>
    <mergeCell ref="B85:I85"/>
    <mergeCell ref="B90:I90"/>
    <mergeCell ref="B98:I98"/>
    <mergeCell ref="B104:I104"/>
    <mergeCell ref="B111:I111"/>
    <mergeCell ref="B118:I118"/>
    <mergeCell ref="B125:I125"/>
    <mergeCell ref="B130:I130"/>
    <mergeCell ref="B136:I136"/>
    <mergeCell ref="B144:I144"/>
    <mergeCell ref="B150:I150"/>
    <mergeCell ref="B156:I156"/>
    <mergeCell ref="B162:I162"/>
    <mergeCell ref="B169:I169"/>
    <mergeCell ref="B176:I176"/>
    <mergeCell ref="B183:I183"/>
    <mergeCell ref="B188:I188"/>
    <mergeCell ref="B203:I203"/>
    <mergeCell ref="B212:I212"/>
    <mergeCell ref="B219:I219"/>
    <mergeCell ref="B224:I224"/>
    <mergeCell ref="B231:I231"/>
    <mergeCell ref="B239:I239"/>
    <mergeCell ref="B249:I249"/>
    <mergeCell ref="B255:I255"/>
    <mergeCell ref="B261:I261"/>
    <mergeCell ref="B268:I268"/>
    <mergeCell ref="B273:I273"/>
    <mergeCell ref="B278:I278"/>
    <mergeCell ref="B286:I286"/>
    <mergeCell ref="B291:I291"/>
    <mergeCell ref="B297:I297"/>
    <mergeCell ref="B304:I304"/>
  </mergeCells>
  <dataValidations>
    <dataValidation type="list" allowBlank="1" showErrorMessage="1" sqref="A8:A10 A15:A20 A25:A27 A32:A34 A39:A41 A46:A48 A53:A54 A59:A60 A65:A67 A72:A73 A78:A79 A84 A89 A94:A97 A102:A103 A108:A110 A115:A117 A122:A124 A129 A134:A135 A140:A143 A148:A149 A154:A155 A160:A161 A166:A168 A173:A175 A180:A182 A187 A192:A202 A207:A211 A216:A218 A223 A228:A230 A235:A238 A243:A248 A253:A254 A259:A260 A265:A267 A272 A277 A282:A285 A290 A295:A296 A301:A303 A308:A310 A315:A317 A322:A324 A329:A331 A336:A338 A343:A344 A349:A352 A357 A362:A364 A369:A371 A376:A378 A383:A385 A390:A392 A397:A399 A404:A406 A411:A413 A418:A422 A427:A429 A434:A435 A440:A442 A447:A449 A454:A456 A461:A463 A468:A470 A475:A477 A482:A484 A489:A491 A496:A498 A503:A505 A510:A512">
      <formula1>"SINAPI-I,SINAPI-S,COT.MERCADO,Comp.Clima,Comp.Eventual"</formula1>
    </dataValidation>
    <dataValidation type="list" allowBlank="1" showErrorMessage="1" sqref="A519:A530 A535:A546 A551:A562 A567:A578 A583:A594 A599:A610 A615:A626 A632 A637 A642 A647 A652 A657 A662 A667 A672">
      <formula1>"SINAPI-I,SINAPI-S,COT.MERCADO,Comp.Clima,Comp.Eventual"</formula1>
    </dataValidation>
  </dataValidations>
  <hyperlinks>
    <hyperlink display="SUMÁRIO" location="'QUADRO RESUMO'!B16:D17" ref="I1"/>
  </hyperlinks>
  <printOptions/>
  <pageMargins bottom="0.75" footer="0.0" header="0.0" left="0.25" right="0.25" top="0.75"/>
  <pageSetup fitToHeight="0" paperSize="9"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pageSetUpPr fitToPage="1"/>
  </sheetPr>
  <sheetViews>
    <sheetView showGridLines="0" workbookViewId="0"/>
  </sheetViews>
  <sheetFormatPr customHeight="1" defaultColWidth="14.43" defaultRowHeight="15.0"/>
  <cols>
    <col customWidth="1" min="1" max="1" width="16.57"/>
    <col customWidth="1" min="2" max="2" width="12.0"/>
    <col customWidth="1" min="3" max="3" width="22.29"/>
    <col customWidth="1" min="4" max="4" width="18.14"/>
    <col customWidth="1" min="5" max="5" width="9.86"/>
    <col customWidth="1" min="6" max="6" width="47.71"/>
    <col customWidth="1" min="7" max="7" width="8.71"/>
    <col customWidth="1" min="8" max="8" width="14.14"/>
    <col customWidth="1" min="9" max="9" width="49.86"/>
    <col customWidth="1" min="10" max="10" width="7.29"/>
    <col customWidth="1" min="11" max="11" width="5.86"/>
    <col customWidth="1" min="12" max="12" width="8.14"/>
    <col customWidth="1" min="13" max="13" width="2.0"/>
    <col customWidth="1" min="14" max="15" width="16.14"/>
  </cols>
  <sheetData>
    <row r="1" ht="54.0" customHeight="1">
      <c r="A1" s="487" t="s">
        <v>2046</v>
      </c>
      <c r="B1" s="36"/>
      <c r="C1" s="704"/>
      <c r="D1" s="705" t="s">
        <v>41</v>
      </c>
      <c r="E1" s="36"/>
      <c r="F1" s="36"/>
      <c r="G1" s="36"/>
      <c r="H1" s="36"/>
      <c r="I1" s="36"/>
      <c r="J1" s="36"/>
      <c r="K1" s="36"/>
      <c r="L1" s="287" t="s">
        <v>29</v>
      </c>
      <c r="M1" s="44"/>
      <c r="N1" s="44"/>
      <c r="O1" s="706"/>
    </row>
    <row r="2" ht="14.25" customHeight="1">
      <c r="A2" s="707" t="s">
        <v>2047</v>
      </c>
      <c r="B2" s="36"/>
      <c r="C2" s="36"/>
      <c r="D2" s="36"/>
      <c r="E2" s="36"/>
      <c r="F2" s="36"/>
      <c r="G2" s="36"/>
      <c r="H2" s="36"/>
      <c r="I2" s="36"/>
      <c r="J2" s="36"/>
      <c r="K2" s="36"/>
      <c r="L2" s="36"/>
      <c r="M2" s="36"/>
      <c r="N2" s="189"/>
      <c r="O2" s="708"/>
    </row>
    <row r="3" ht="14.25" customHeight="1">
      <c r="A3" s="709" t="s">
        <v>2048</v>
      </c>
      <c r="B3" s="44"/>
      <c r="C3" s="44"/>
      <c r="D3" s="44"/>
      <c r="E3" s="44"/>
      <c r="F3" s="44"/>
      <c r="G3" s="44"/>
      <c r="H3" s="44"/>
      <c r="I3" s="44"/>
      <c r="J3" s="44"/>
      <c r="K3" s="44"/>
      <c r="L3" s="44"/>
      <c r="M3" s="44"/>
      <c r="N3" s="320"/>
      <c r="O3" s="708"/>
    </row>
    <row r="4" ht="14.25" customHeight="1">
      <c r="A4" s="710"/>
      <c r="B4" s="711"/>
      <c r="C4" s="711"/>
      <c r="D4" s="712"/>
      <c r="E4" s="712"/>
      <c r="F4" s="712"/>
      <c r="G4" s="712"/>
      <c r="H4" s="712"/>
      <c r="I4" s="712"/>
      <c r="J4" s="713"/>
      <c r="K4" s="713"/>
      <c r="L4" s="713"/>
      <c r="M4" s="714"/>
      <c r="N4" s="714"/>
      <c r="O4" s="714"/>
    </row>
    <row r="5">
      <c r="A5" s="715" t="s">
        <v>2049</v>
      </c>
      <c r="B5" s="494"/>
      <c r="C5" s="494"/>
      <c r="D5" s="494"/>
      <c r="E5" s="494"/>
      <c r="F5" s="494"/>
      <c r="G5" s="494"/>
      <c r="H5" s="494"/>
      <c r="I5" s="495"/>
      <c r="J5" s="716" t="s">
        <v>2050</v>
      </c>
      <c r="K5" s="44"/>
      <c r="L5" s="44"/>
      <c r="M5" s="44"/>
      <c r="N5" s="320"/>
      <c r="O5" s="714"/>
    </row>
    <row r="6">
      <c r="A6" s="717" t="s">
        <v>2051</v>
      </c>
      <c r="B6" s="718" t="s">
        <v>2052</v>
      </c>
      <c r="C6" s="44"/>
      <c r="D6" s="44"/>
      <c r="E6" s="44"/>
      <c r="F6" s="320"/>
      <c r="G6" s="719" t="s">
        <v>1757</v>
      </c>
      <c r="H6" s="720">
        <f>MEDIAN(H8:H10)</f>
        <v>360.17</v>
      </c>
      <c r="I6" s="721"/>
      <c r="J6" s="722" t="s">
        <v>2053</v>
      </c>
      <c r="K6" s="723" t="s">
        <v>2054</v>
      </c>
      <c r="L6" s="724">
        <f>AVERAGE(H8:H10)</f>
        <v>364.5833333</v>
      </c>
      <c r="M6" s="725"/>
      <c r="N6" s="726" t="s">
        <v>2055</v>
      </c>
      <c r="O6" s="714"/>
    </row>
    <row r="7">
      <c r="A7" s="727" t="s">
        <v>1717</v>
      </c>
      <c r="B7" s="728" t="s">
        <v>2056</v>
      </c>
      <c r="C7" s="728" t="s">
        <v>2057</v>
      </c>
      <c r="D7" s="727" t="s">
        <v>2058</v>
      </c>
      <c r="E7" s="727" t="s">
        <v>2059</v>
      </c>
      <c r="F7" s="729" t="s">
        <v>1537</v>
      </c>
      <c r="G7" s="727" t="s">
        <v>2060</v>
      </c>
      <c r="H7" s="727" t="s">
        <v>2061</v>
      </c>
      <c r="I7" s="730" t="s">
        <v>2062</v>
      </c>
      <c r="J7" s="301"/>
      <c r="K7" s="731" t="s">
        <v>2063</v>
      </c>
      <c r="L7" s="732">
        <f>STDEV(H8:H10)</f>
        <v>11.74905244</v>
      </c>
      <c r="M7" s="733"/>
      <c r="N7" s="189"/>
      <c r="O7" s="454"/>
    </row>
    <row r="8">
      <c r="A8" s="734"/>
      <c r="B8" s="735" t="s">
        <v>2064</v>
      </c>
      <c r="C8" s="735" t="s">
        <v>2065</v>
      </c>
      <c r="D8" s="736" t="s">
        <v>2066</v>
      </c>
      <c r="E8" s="737" t="s">
        <v>2067</v>
      </c>
      <c r="F8" s="738" t="s">
        <v>2068</v>
      </c>
      <c r="G8" s="736" t="s">
        <v>1757</v>
      </c>
      <c r="H8" s="739">
        <v>377.9</v>
      </c>
      <c r="I8" s="740" t="s">
        <v>2069</v>
      </c>
      <c r="J8" s="301"/>
      <c r="K8" s="731" t="s">
        <v>2070</v>
      </c>
      <c r="L8" s="741">
        <f>L7/L6</f>
        <v>0.03222597242</v>
      </c>
      <c r="M8" s="733"/>
      <c r="N8" s="742" t="str">
        <f>IF(L8&lt;25%,"Não","Sim - proceder verificação ao lado")</f>
        <v>Não</v>
      </c>
      <c r="O8" s="743" t="b">
        <v>1</v>
      </c>
    </row>
    <row r="9">
      <c r="A9" s="734"/>
      <c r="B9" s="735" t="s">
        <v>2064</v>
      </c>
      <c r="C9" s="744" t="s">
        <v>2071</v>
      </c>
      <c r="D9" s="736" t="s">
        <v>2072</v>
      </c>
      <c r="E9" s="737" t="s">
        <v>2067</v>
      </c>
      <c r="F9" s="738" t="s">
        <v>2073</v>
      </c>
      <c r="G9" s="736" t="s">
        <v>1757</v>
      </c>
      <c r="H9" s="745">
        <v>355.68</v>
      </c>
      <c r="I9" s="740" t="s">
        <v>2074</v>
      </c>
      <c r="J9" s="301"/>
      <c r="K9" s="731" t="s">
        <v>2075</v>
      </c>
      <c r="L9" s="746">
        <f>L6*1.25</f>
        <v>455.7291667</v>
      </c>
      <c r="M9" s="733"/>
      <c r="N9" s="301"/>
      <c r="O9" s="743" t="b">
        <v>1</v>
      </c>
    </row>
    <row r="10">
      <c r="A10" s="734"/>
      <c r="B10" s="735" t="s">
        <v>2064</v>
      </c>
      <c r="C10" s="747" t="s">
        <v>2076</v>
      </c>
      <c r="D10" s="748" t="s">
        <v>2077</v>
      </c>
      <c r="E10" s="737" t="s">
        <v>2067</v>
      </c>
      <c r="F10" s="738" t="s">
        <v>2078</v>
      </c>
      <c r="G10" s="736" t="s">
        <v>1757</v>
      </c>
      <c r="H10" s="745">
        <v>360.17</v>
      </c>
      <c r="I10" s="740" t="s">
        <v>2079</v>
      </c>
      <c r="J10" s="189"/>
      <c r="K10" s="731" t="s">
        <v>2080</v>
      </c>
      <c r="L10" s="746">
        <f>L6*0.75</f>
        <v>273.4375</v>
      </c>
      <c r="M10" s="733"/>
      <c r="N10" s="189"/>
      <c r="O10" s="743" t="b">
        <v>1</v>
      </c>
    </row>
    <row r="11">
      <c r="A11" s="734"/>
      <c r="B11" s="735"/>
      <c r="C11" s="735"/>
      <c r="D11" s="734"/>
      <c r="E11" s="749"/>
      <c r="F11" s="750"/>
      <c r="G11" s="749"/>
      <c r="H11" s="749"/>
      <c r="I11" s="751"/>
      <c r="J11" s="752"/>
      <c r="K11" s="752"/>
      <c r="L11" s="752"/>
      <c r="M11" s="751"/>
      <c r="N11" s="752"/>
      <c r="O11" s="753"/>
    </row>
    <row r="12">
      <c r="A12" s="754" t="s">
        <v>2081</v>
      </c>
      <c r="B12" s="755" t="s">
        <v>2082</v>
      </c>
      <c r="C12" s="36"/>
      <c r="D12" s="36"/>
      <c r="E12" s="36"/>
      <c r="F12" s="36"/>
      <c r="G12" s="754" t="s">
        <v>1757</v>
      </c>
      <c r="H12" s="756">
        <f>MEDIAN(H14:H16)</f>
        <v>58.5</v>
      </c>
      <c r="I12" s="757"/>
      <c r="J12" s="758" t="s">
        <v>2053</v>
      </c>
      <c r="K12" s="731" t="s">
        <v>2054</v>
      </c>
      <c r="L12" s="759">
        <f>AVERAGE(H14:H16)</f>
        <v>55.46666667</v>
      </c>
      <c r="M12" s="733"/>
      <c r="N12" s="760" t="s">
        <v>2055</v>
      </c>
      <c r="O12" s="454"/>
    </row>
    <row r="13">
      <c r="A13" s="727" t="s">
        <v>1717</v>
      </c>
      <c r="B13" s="728" t="s">
        <v>2056</v>
      </c>
      <c r="C13" s="728" t="s">
        <v>2057</v>
      </c>
      <c r="D13" s="727" t="s">
        <v>2058</v>
      </c>
      <c r="E13" s="727" t="s">
        <v>2059</v>
      </c>
      <c r="F13" s="729" t="s">
        <v>1537</v>
      </c>
      <c r="G13" s="727" t="s">
        <v>2060</v>
      </c>
      <c r="H13" s="727" t="s">
        <v>2061</v>
      </c>
      <c r="I13" s="730" t="s">
        <v>2062</v>
      </c>
      <c r="J13" s="301"/>
      <c r="K13" s="731" t="s">
        <v>2063</v>
      </c>
      <c r="L13" s="732">
        <f>STDEV(H14:H16)</f>
        <v>6.595705674</v>
      </c>
      <c r="M13" s="733"/>
      <c r="N13" s="189"/>
      <c r="O13" s="454"/>
    </row>
    <row r="14">
      <c r="A14" s="734"/>
      <c r="B14" s="735" t="s">
        <v>2064</v>
      </c>
      <c r="C14" s="761" t="s">
        <v>2083</v>
      </c>
      <c r="D14" s="762" t="s">
        <v>2084</v>
      </c>
      <c r="E14" s="763" t="s">
        <v>2085</v>
      </c>
      <c r="F14" s="764" t="s">
        <v>2086</v>
      </c>
      <c r="G14" s="736" t="s">
        <v>1757</v>
      </c>
      <c r="H14" s="745">
        <v>47.9</v>
      </c>
      <c r="I14" s="765" t="s">
        <v>2087</v>
      </c>
      <c r="J14" s="301"/>
      <c r="K14" s="731" t="s">
        <v>2070</v>
      </c>
      <c r="L14" s="741">
        <f>L13/L12</f>
        <v>0.1189129629</v>
      </c>
      <c r="M14" s="733"/>
      <c r="N14" s="742" t="str">
        <f>IF(L14&lt;25%,"Não","Sim - proceder verificação ao lado")</f>
        <v>Não</v>
      </c>
      <c r="O14" s="743" t="b">
        <v>1</v>
      </c>
    </row>
    <row r="15">
      <c r="A15" s="734"/>
      <c r="B15" s="735" t="s">
        <v>2064</v>
      </c>
      <c r="C15" s="744" t="s">
        <v>2088</v>
      </c>
      <c r="D15" s="736" t="s">
        <v>2089</v>
      </c>
      <c r="E15" s="737" t="s">
        <v>2067</v>
      </c>
      <c r="F15" s="738" t="s">
        <v>2090</v>
      </c>
      <c r="G15" s="736" t="s">
        <v>1757</v>
      </c>
      <c r="H15" s="739">
        <v>58.5</v>
      </c>
      <c r="I15" s="740" t="s">
        <v>2091</v>
      </c>
      <c r="J15" s="301"/>
      <c r="K15" s="731" t="s">
        <v>2075</v>
      </c>
      <c r="L15" s="746">
        <f>L12*1.25</f>
        <v>69.33333333</v>
      </c>
      <c r="M15" s="733"/>
      <c r="N15" s="301"/>
      <c r="O15" s="743" t="b">
        <v>1</v>
      </c>
    </row>
    <row r="16">
      <c r="A16" s="734"/>
      <c r="B16" s="735" t="s">
        <v>2064</v>
      </c>
      <c r="C16" s="744" t="s">
        <v>2092</v>
      </c>
      <c r="D16" s="736" t="s">
        <v>2089</v>
      </c>
      <c r="E16" s="737" t="s">
        <v>2067</v>
      </c>
      <c r="F16" s="738" t="s">
        <v>2093</v>
      </c>
      <c r="G16" s="736" t="s">
        <v>1757</v>
      </c>
      <c r="H16" s="739">
        <v>60.0</v>
      </c>
      <c r="I16" s="740" t="s">
        <v>2094</v>
      </c>
      <c r="J16" s="189"/>
      <c r="K16" s="731" t="s">
        <v>2080</v>
      </c>
      <c r="L16" s="746">
        <f>L12*0.75</f>
        <v>41.6</v>
      </c>
      <c r="M16" s="733"/>
      <c r="N16" s="189"/>
      <c r="O16" s="743" t="b">
        <v>1</v>
      </c>
    </row>
    <row r="17">
      <c r="A17" s="734"/>
      <c r="B17" s="735"/>
      <c r="C17" s="735"/>
      <c r="D17" s="734"/>
      <c r="E17" s="749"/>
      <c r="F17" s="750"/>
      <c r="G17" s="749"/>
      <c r="H17" s="749"/>
      <c r="I17" s="751"/>
      <c r="J17" s="752"/>
      <c r="K17" s="752"/>
      <c r="L17" s="752"/>
      <c r="M17" s="751"/>
      <c r="N17" s="752"/>
      <c r="O17" s="753"/>
    </row>
    <row r="18">
      <c r="A18" s="754" t="s">
        <v>2095</v>
      </c>
      <c r="B18" s="755" t="s">
        <v>2096</v>
      </c>
      <c r="C18" s="36"/>
      <c r="D18" s="36"/>
      <c r="E18" s="36"/>
      <c r="F18" s="36"/>
      <c r="G18" s="754" t="s">
        <v>1757</v>
      </c>
      <c r="H18" s="756">
        <f>MEDIAN(H20:H22)</f>
        <v>116.91</v>
      </c>
      <c r="I18" s="757"/>
      <c r="J18" s="758" t="s">
        <v>2053</v>
      </c>
      <c r="K18" s="731" t="s">
        <v>2054</v>
      </c>
      <c r="L18" s="759">
        <f>AVERAGE(H20:H22)</f>
        <v>110.6</v>
      </c>
      <c r="M18" s="733"/>
      <c r="N18" s="760" t="s">
        <v>2055</v>
      </c>
      <c r="O18" s="454"/>
    </row>
    <row r="19">
      <c r="A19" s="727" t="s">
        <v>1717</v>
      </c>
      <c r="B19" s="728" t="s">
        <v>2056</v>
      </c>
      <c r="C19" s="728" t="s">
        <v>2057</v>
      </c>
      <c r="D19" s="727" t="s">
        <v>2058</v>
      </c>
      <c r="E19" s="727" t="s">
        <v>2059</v>
      </c>
      <c r="F19" s="729" t="s">
        <v>1537</v>
      </c>
      <c r="G19" s="727" t="s">
        <v>2060</v>
      </c>
      <c r="H19" s="727" t="s">
        <v>2061</v>
      </c>
      <c r="I19" s="730" t="s">
        <v>2062</v>
      </c>
      <c r="J19" s="301"/>
      <c r="K19" s="731" t="s">
        <v>2063</v>
      </c>
      <c r="L19" s="732">
        <f>STDEV(H20:H22)</f>
        <v>18.29041006</v>
      </c>
      <c r="M19" s="733"/>
      <c r="N19" s="189"/>
      <c r="O19" s="454"/>
    </row>
    <row r="20">
      <c r="A20" s="734"/>
      <c r="B20" s="735" t="s">
        <v>2064</v>
      </c>
      <c r="C20" s="747" t="s">
        <v>2097</v>
      </c>
      <c r="D20" s="748" t="s">
        <v>2098</v>
      </c>
      <c r="E20" s="737" t="s">
        <v>2067</v>
      </c>
      <c r="F20" s="766" t="s">
        <v>2099</v>
      </c>
      <c r="G20" s="736" t="s">
        <v>1757</v>
      </c>
      <c r="H20" s="745">
        <v>116.91</v>
      </c>
      <c r="I20" s="740" t="s">
        <v>2100</v>
      </c>
      <c r="J20" s="301"/>
      <c r="K20" s="731" t="s">
        <v>2070</v>
      </c>
      <c r="L20" s="741">
        <f>L19/L18</f>
        <v>0.1653744128</v>
      </c>
      <c r="M20" s="733"/>
      <c r="N20" s="742" t="str">
        <f>IF(L20&lt;25%,"Não","Sim - proceder verificação ao lado")</f>
        <v>Não</v>
      </c>
      <c r="O20" s="743" t="b">
        <v>1</v>
      </c>
    </row>
    <row r="21">
      <c r="A21" s="734"/>
      <c r="B21" s="735" t="s">
        <v>2064</v>
      </c>
      <c r="C21" s="744" t="s">
        <v>2101</v>
      </c>
      <c r="D21" s="736" t="s">
        <v>2102</v>
      </c>
      <c r="E21" s="737" t="s">
        <v>2067</v>
      </c>
      <c r="F21" s="738" t="s">
        <v>2103</v>
      </c>
      <c r="G21" s="736" t="s">
        <v>1757</v>
      </c>
      <c r="H21" s="739">
        <v>89.99</v>
      </c>
      <c r="I21" s="740" t="s">
        <v>2104</v>
      </c>
      <c r="J21" s="301"/>
      <c r="K21" s="731" t="s">
        <v>2075</v>
      </c>
      <c r="L21" s="746">
        <f>L18*1.25</f>
        <v>138.25</v>
      </c>
      <c r="M21" s="733"/>
      <c r="N21" s="301"/>
      <c r="O21" s="743" t="b">
        <v>1</v>
      </c>
    </row>
    <row r="22">
      <c r="A22" s="734"/>
      <c r="B22" s="735" t="s">
        <v>2064</v>
      </c>
      <c r="C22" s="744" t="s">
        <v>2105</v>
      </c>
      <c r="D22" s="736" t="s">
        <v>2106</v>
      </c>
      <c r="E22" s="737" t="s">
        <v>2067</v>
      </c>
      <c r="F22" s="738" t="s">
        <v>2107</v>
      </c>
      <c r="G22" s="736" t="s">
        <v>1757</v>
      </c>
      <c r="H22" s="739">
        <v>124.9</v>
      </c>
      <c r="I22" s="740" t="s">
        <v>2108</v>
      </c>
      <c r="J22" s="189"/>
      <c r="K22" s="731" t="s">
        <v>2080</v>
      </c>
      <c r="L22" s="746">
        <f>L18*0.75</f>
        <v>82.95</v>
      </c>
      <c r="M22" s="733"/>
      <c r="N22" s="189"/>
      <c r="O22" s="743" t="b">
        <v>1</v>
      </c>
    </row>
    <row r="23">
      <c r="A23" s="734"/>
      <c r="B23" s="735"/>
      <c r="C23" s="735"/>
      <c r="D23" s="734"/>
      <c r="E23" s="749"/>
      <c r="F23" s="750"/>
      <c r="G23" s="749"/>
      <c r="H23" s="749"/>
      <c r="I23" s="751"/>
      <c r="J23" s="752"/>
      <c r="K23" s="752"/>
      <c r="L23" s="752"/>
      <c r="M23" s="751"/>
      <c r="N23" s="752"/>
      <c r="O23" s="753"/>
    </row>
    <row r="24">
      <c r="A24" s="754" t="s">
        <v>2109</v>
      </c>
      <c r="B24" s="755" t="s">
        <v>2110</v>
      </c>
      <c r="C24" s="36"/>
      <c r="D24" s="36"/>
      <c r="E24" s="36"/>
      <c r="F24" s="36"/>
      <c r="G24" s="754" t="s">
        <v>1757</v>
      </c>
      <c r="H24" s="756">
        <f>MEDIAN(H26:H28)</f>
        <v>179.9</v>
      </c>
      <c r="I24" s="757"/>
      <c r="J24" s="758" t="s">
        <v>2053</v>
      </c>
      <c r="K24" s="731" t="s">
        <v>2054</v>
      </c>
      <c r="L24" s="759">
        <f>AVERAGE(H26:H28)</f>
        <v>182.5833333</v>
      </c>
      <c r="M24" s="733"/>
      <c r="N24" s="760" t="s">
        <v>2055</v>
      </c>
      <c r="O24" s="454"/>
    </row>
    <row r="25">
      <c r="A25" s="727" t="s">
        <v>1717</v>
      </c>
      <c r="B25" s="728" t="s">
        <v>2056</v>
      </c>
      <c r="C25" s="728" t="s">
        <v>2057</v>
      </c>
      <c r="D25" s="727" t="s">
        <v>2058</v>
      </c>
      <c r="E25" s="727" t="s">
        <v>2059</v>
      </c>
      <c r="F25" s="729" t="s">
        <v>1537</v>
      </c>
      <c r="G25" s="727" t="s">
        <v>2060</v>
      </c>
      <c r="H25" s="727" t="s">
        <v>2061</v>
      </c>
      <c r="I25" s="730" t="s">
        <v>2062</v>
      </c>
      <c r="J25" s="301"/>
      <c r="K25" s="731" t="s">
        <v>2063</v>
      </c>
      <c r="L25" s="732">
        <f>STDEV(H26:H28)</f>
        <v>9.348434807</v>
      </c>
      <c r="M25" s="733"/>
      <c r="N25" s="189"/>
      <c r="O25" s="454"/>
    </row>
    <row r="26">
      <c r="A26" s="734"/>
      <c r="B26" s="735" t="s">
        <v>2064</v>
      </c>
      <c r="C26" s="767" t="s">
        <v>2111</v>
      </c>
      <c r="D26" s="748" t="s">
        <v>2112</v>
      </c>
      <c r="E26" s="737" t="s">
        <v>2113</v>
      </c>
      <c r="F26" s="764" t="s">
        <v>2114</v>
      </c>
      <c r="G26" s="736" t="s">
        <v>1757</v>
      </c>
      <c r="H26" s="745">
        <v>192.98</v>
      </c>
      <c r="I26" s="768" t="s">
        <v>2115</v>
      </c>
      <c r="J26" s="301"/>
      <c r="K26" s="731" t="s">
        <v>2070</v>
      </c>
      <c r="L26" s="741">
        <f>L25/L24</f>
        <v>0.05120092089</v>
      </c>
      <c r="M26" s="733"/>
      <c r="N26" s="742" t="str">
        <f>IF(L26&lt;25%,"Não","Sim - proceder verificação ao lado")</f>
        <v>Não</v>
      </c>
      <c r="O26" s="743" t="b">
        <v>1</v>
      </c>
    </row>
    <row r="27">
      <c r="A27" s="734"/>
      <c r="B27" s="735" t="s">
        <v>2064</v>
      </c>
      <c r="C27" s="767" t="s">
        <v>2116</v>
      </c>
      <c r="D27" s="736" t="s">
        <v>2117</v>
      </c>
      <c r="E27" s="737" t="s">
        <v>2113</v>
      </c>
      <c r="F27" s="764" t="s">
        <v>2118</v>
      </c>
      <c r="G27" s="736" t="s">
        <v>1757</v>
      </c>
      <c r="H27" s="745">
        <v>174.87</v>
      </c>
      <c r="I27" s="768" t="s">
        <v>2119</v>
      </c>
      <c r="J27" s="301"/>
      <c r="K27" s="731" t="s">
        <v>2075</v>
      </c>
      <c r="L27" s="746">
        <f>L24*1.25</f>
        <v>228.2291667</v>
      </c>
      <c r="M27" s="733"/>
      <c r="N27" s="301"/>
      <c r="O27" s="743" t="b">
        <v>1</v>
      </c>
    </row>
    <row r="28">
      <c r="A28" s="734"/>
      <c r="B28" s="735" t="s">
        <v>2064</v>
      </c>
      <c r="C28" s="744" t="s">
        <v>2120</v>
      </c>
      <c r="D28" s="736" t="s">
        <v>2121</v>
      </c>
      <c r="E28" s="737" t="s">
        <v>2067</v>
      </c>
      <c r="F28" s="738" t="s">
        <v>2122</v>
      </c>
      <c r="G28" s="736" t="s">
        <v>1757</v>
      </c>
      <c r="H28" s="745">
        <v>179.9</v>
      </c>
      <c r="I28" s="740" t="s">
        <v>2123</v>
      </c>
      <c r="J28" s="189"/>
      <c r="K28" s="731" t="s">
        <v>2080</v>
      </c>
      <c r="L28" s="746">
        <f>L24*0.75</f>
        <v>136.9375</v>
      </c>
      <c r="M28" s="733"/>
      <c r="N28" s="189"/>
      <c r="O28" s="743" t="b">
        <v>1</v>
      </c>
    </row>
    <row r="29">
      <c r="A29" s="734"/>
      <c r="B29" s="735"/>
      <c r="C29" s="744"/>
      <c r="D29" s="736"/>
      <c r="E29" s="769"/>
      <c r="F29" s="738"/>
      <c r="G29" s="736"/>
      <c r="H29" s="739"/>
      <c r="I29" s="770"/>
      <c r="J29" s="752"/>
      <c r="K29" s="752"/>
      <c r="L29" s="752"/>
      <c r="M29" s="751"/>
      <c r="N29" s="752"/>
      <c r="O29" s="753"/>
    </row>
    <row r="30">
      <c r="A30" s="754" t="s">
        <v>2124</v>
      </c>
      <c r="B30" s="755" t="s">
        <v>2125</v>
      </c>
      <c r="C30" s="36"/>
      <c r="D30" s="36"/>
      <c r="E30" s="36"/>
      <c r="F30" s="36"/>
      <c r="G30" s="754" t="s">
        <v>1757</v>
      </c>
      <c r="H30" s="756">
        <f>MEDIAN(H32:H34)</f>
        <v>119</v>
      </c>
      <c r="I30" s="757"/>
      <c r="J30" s="758" t="s">
        <v>2053</v>
      </c>
      <c r="K30" s="731" t="s">
        <v>2054</v>
      </c>
      <c r="L30" s="759">
        <f>AVERAGE(H32:H34)</f>
        <v>115.8666667</v>
      </c>
      <c r="M30" s="733"/>
      <c r="N30" s="760" t="s">
        <v>2055</v>
      </c>
      <c r="O30" s="454"/>
    </row>
    <row r="31">
      <c r="A31" s="727" t="s">
        <v>1717</v>
      </c>
      <c r="B31" s="728" t="s">
        <v>2056</v>
      </c>
      <c r="C31" s="728" t="s">
        <v>2057</v>
      </c>
      <c r="D31" s="727" t="s">
        <v>2058</v>
      </c>
      <c r="E31" s="727" t="s">
        <v>2059</v>
      </c>
      <c r="F31" s="729" t="s">
        <v>1537</v>
      </c>
      <c r="G31" s="727" t="s">
        <v>2060</v>
      </c>
      <c r="H31" s="727" t="s">
        <v>2061</v>
      </c>
      <c r="I31" s="730" t="s">
        <v>2062</v>
      </c>
      <c r="J31" s="301"/>
      <c r="K31" s="731" t="s">
        <v>2063</v>
      </c>
      <c r="L31" s="732">
        <f>STDEV(H32:H34)</f>
        <v>18.69794998</v>
      </c>
      <c r="M31" s="733"/>
      <c r="N31" s="189"/>
      <c r="O31" s="454"/>
    </row>
    <row r="32" ht="54.75" customHeight="1">
      <c r="A32" s="734"/>
      <c r="B32" s="735" t="s">
        <v>2064</v>
      </c>
      <c r="C32" s="735" t="s">
        <v>2126</v>
      </c>
      <c r="D32" s="736" t="s">
        <v>2127</v>
      </c>
      <c r="E32" s="737" t="s">
        <v>2067</v>
      </c>
      <c r="F32" s="738" t="s">
        <v>2128</v>
      </c>
      <c r="G32" s="736" t="s">
        <v>1757</v>
      </c>
      <c r="H32" s="745">
        <v>132.8</v>
      </c>
      <c r="I32" s="740" t="s">
        <v>2129</v>
      </c>
      <c r="J32" s="301"/>
      <c r="K32" s="731" t="s">
        <v>2070</v>
      </c>
      <c r="L32" s="741">
        <f>L31/L30</f>
        <v>0.1613747121</v>
      </c>
      <c r="M32" s="733"/>
      <c r="N32" s="742" t="str">
        <f>IF(L32&lt;25%,"Não","Sim - proceder verificação ao lado")</f>
        <v>Não</v>
      </c>
      <c r="O32" s="743" t="b">
        <v>1</v>
      </c>
    </row>
    <row r="33">
      <c r="A33" s="734"/>
      <c r="B33" s="735" t="s">
        <v>2064</v>
      </c>
      <c r="C33" s="744" t="s">
        <v>2130</v>
      </c>
      <c r="D33" s="736" t="s">
        <v>2084</v>
      </c>
      <c r="E33" s="737" t="s">
        <v>2067</v>
      </c>
      <c r="F33" s="738" t="s">
        <v>2131</v>
      </c>
      <c r="G33" s="736" t="s">
        <v>1757</v>
      </c>
      <c r="H33" s="739">
        <v>95.8</v>
      </c>
      <c r="I33" s="740" t="s">
        <v>2132</v>
      </c>
      <c r="J33" s="301"/>
      <c r="K33" s="731" t="s">
        <v>2075</v>
      </c>
      <c r="L33" s="746">
        <f>L30*1.25</f>
        <v>144.8333333</v>
      </c>
      <c r="M33" s="733"/>
      <c r="N33" s="301"/>
      <c r="O33" s="743" t="b">
        <v>1</v>
      </c>
    </row>
    <row r="34">
      <c r="A34" s="734"/>
      <c r="B34" s="735" t="s">
        <v>2064</v>
      </c>
      <c r="C34" s="744" t="s">
        <v>2133</v>
      </c>
      <c r="D34" s="736" t="s">
        <v>2134</v>
      </c>
      <c r="E34" s="737" t="s">
        <v>2067</v>
      </c>
      <c r="F34" s="738" t="s">
        <v>2135</v>
      </c>
      <c r="G34" s="736" t="s">
        <v>1757</v>
      </c>
      <c r="H34" s="739">
        <v>119.0</v>
      </c>
      <c r="I34" s="740" t="s">
        <v>2136</v>
      </c>
      <c r="J34" s="189"/>
      <c r="K34" s="731" t="s">
        <v>2080</v>
      </c>
      <c r="L34" s="746">
        <f>L30*0.75</f>
        <v>86.9</v>
      </c>
      <c r="M34" s="733"/>
      <c r="N34" s="189"/>
      <c r="O34" s="743" t="b">
        <v>1</v>
      </c>
    </row>
    <row r="35">
      <c r="A35" s="734"/>
      <c r="B35" s="735"/>
      <c r="C35" s="744"/>
      <c r="D35" s="736"/>
      <c r="E35" s="769"/>
      <c r="F35" s="738"/>
      <c r="G35" s="736"/>
      <c r="H35" s="739"/>
      <c r="I35" s="770"/>
      <c r="J35" s="752"/>
      <c r="K35" s="752"/>
      <c r="L35" s="752"/>
      <c r="M35" s="751"/>
      <c r="N35" s="752"/>
      <c r="O35" s="753"/>
    </row>
    <row r="36">
      <c r="A36" s="754" t="s">
        <v>2137</v>
      </c>
      <c r="B36" s="755" t="s">
        <v>2138</v>
      </c>
      <c r="C36" s="36"/>
      <c r="D36" s="36"/>
      <c r="E36" s="36"/>
      <c r="F36" s="36"/>
      <c r="G36" s="754" t="s">
        <v>1757</v>
      </c>
      <c r="H36" s="756">
        <f>MEDIAN(H38:H40)</f>
        <v>399.9</v>
      </c>
      <c r="I36" s="757"/>
      <c r="J36" s="758" t="s">
        <v>2053</v>
      </c>
      <c r="K36" s="731" t="s">
        <v>2054</v>
      </c>
      <c r="L36" s="759">
        <f>AVERAGE(H38:H40)</f>
        <v>399.9</v>
      </c>
      <c r="M36" s="733"/>
      <c r="N36" s="760" t="s">
        <v>2055</v>
      </c>
      <c r="O36" s="454"/>
    </row>
    <row r="37">
      <c r="A37" s="727" t="s">
        <v>1717</v>
      </c>
      <c r="B37" s="728" t="s">
        <v>2056</v>
      </c>
      <c r="C37" s="728" t="s">
        <v>2057</v>
      </c>
      <c r="D37" s="727" t="s">
        <v>2058</v>
      </c>
      <c r="E37" s="727" t="s">
        <v>2059</v>
      </c>
      <c r="F37" s="729" t="s">
        <v>1537</v>
      </c>
      <c r="G37" s="727" t="s">
        <v>2060</v>
      </c>
      <c r="H37" s="727" t="s">
        <v>2061</v>
      </c>
      <c r="I37" s="730" t="s">
        <v>2062</v>
      </c>
      <c r="J37" s="301"/>
      <c r="K37" s="731" t="s">
        <v>2063</v>
      </c>
      <c r="L37" s="732">
        <f>STDEV(H38:H40)</f>
        <v>0</v>
      </c>
      <c r="M37" s="733"/>
      <c r="N37" s="189"/>
      <c r="O37" s="454"/>
    </row>
    <row r="38">
      <c r="A38" s="734"/>
      <c r="B38" s="735" t="s">
        <v>2064</v>
      </c>
      <c r="C38" s="747" t="s">
        <v>2139</v>
      </c>
      <c r="D38" s="748" t="s">
        <v>2134</v>
      </c>
      <c r="E38" s="737" t="s">
        <v>2067</v>
      </c>
      <c r="F38" s="738" t="s">
        <v>2140</v>
      </c>
      <c r="G38" s="736" t="s">
        <v>1757</v>
      </c>
      <c r="H38" s="739">
        <v>399.9</v>
      </c>
      <c r="I38" s="740" t="s">
        <v>2141</v>
      </c>
      <c r="J38" s="301"/>
      <c r="K38" s="731" t="s">
        <v>2070</v>
      </c>
      <c r="L38" s="741">
        <f>L37/L36</f>
        <v>0</v>
      </c>
      <c r="M38" s="733"/>
      <c r="N38" s="742" t="str">
        <f>IF(L38&lt;25%,"Não","Sim - proceder verificação ao lado")</f>
        <v>Não</v>
      </c>
      <c r="O38" s="743" t="b">
        <v>1</v>
      </c>
    </row>
    <row r="39">
      <c r="A39" s="734"/>
      <c r="B39" s="735" t="s">
        <v>2064</v>
      </c>
      <c r="C39" s="744" t="s">
        <v>2142</v>
      </c>
      <c r="D39" s="736" t="s">
        <v>2143</v>
      </c>
      <c r="E39" s="737" t="s">
        <v>2067</v>
      </c>
      <c r="F39" s="738" t="s">
        <v>2140</v>
      </c>
      <c r="G39" s="736" t="s">
        <v>1757</v>
      </c>
      <c r="H39" s="739">
        <v>399.9</v>
      </c>
      <c r="I39" s="740" t="s">
        <v>2144</v>
      </c>
      <c r="J39" s="301"/>
      <c r="K39" s="731" t="s">
        <v>2075</v>
      </c>
      <c r="L39" s="746">
        <f>L36*1.25</f>
        <v>499.875</v>
      </c>
      <c r="M39" s="733"/>
      <c r="N39" s="301"/>
      <c r="O39" s="743" t="b">
        <v>1</v>
      </c>
    </row>
    <row r="40">
      <c r="A40" s="734"/>
      <c r="B40" s="735" t="s">
        <v>2064</v>
      </c>
      <c r="C40" s="744" t="s">
        <v>2145</v>
      </c>
      <c r="D40" s="736" t="s">
        <v>2143</v>
      </c>
      <c r="E40" s="737" t="s">
        <v>2067</v>
      </c>
      <c r="F40" s="738" t="s">
        <v>2140</v>
      </c>
      <c r="G40" s="736" t="s">
        <v>1757</v>
      </c>
      <c r="H40" s="739">
        <v>399.9</v>
      </c>
      <c r="I40" s="740" t="s">
        <v>2146</v>
      </c>
      <c r="J40" s="189"/>
      <c r="K40" s="731" t="s">
        <v>2080</v>
      </c>
      <c r="L40" s="746">
        <f>L36*0.75</f>
        <v>299.925</v>
      </c>
      <c r="M40" s="733"/>
      <c r="N40" s="189"/>
      <c r="O40" s="743" t="b">
        <v>1</v>
      </c>
    </row>
    <row r="41">
      <c r="A41" s="734"/>
      <c r="B41" s="735"/>
      <c r="C41" s="735"/>
      <c r="D41" s="734"/>
      <c r="E41" s="749"/>
      <c r="F41" s="750"/>
      <c r="G41" s="749"/>
      <c r="H41" s="749"/>
      <c r="I41" s="751"/>
      <c r="J41" s="753"/>
      <c r="K41" s="753"/>
      <c r="L41" s="753"/>
      <c r="M41" s="771"/>
      <c r="N41" s="753"/>
      <c r="O41" s="753"/>
    </row>
    <row r="42">
      <c r="A42" s="772" t="s">
        <v>2147</v>
      </c>
      <c r="B42" s="44"/>
      <c r="C42" s="44"/>
      <c r="D42" s="44"/>
      <c r="E42" s="44"/>
      <c r="F42" s="44"/>
      <c r="G42" s="44"/>
      <c r="H42" s="44"/>
      <c r="I42" s="44"/>
      <c r="J42" s="713"/>
      <c r="K42" s="713"/>
      <c r="L42" s="713"/>
      <c r="M42" s="714"/>
      <c r="N42" s="714"/>
      <c r="O42" s="714"/>
    </row>
    <row r="43">
      <c r="A43" s="773" t="s">
        <v>1197</v>
      </c>
      <c r="B43" s="718" t="s">
        <v>2148</v>
      </c>
      <c r="C43" s="44"/>
      <c r="D43" s="44"/>
      <c r="E43" s="44"/>
      <c r="F43" s="44"/>
      <c r="G43" s="773" t="s">
        <v>1757</v>
      </c>
      <c r="H43" s="774">
        <f>MEDIAN(H45:H47)</f>
        <v>279.95</v>
      </c>
      <c r="I43" s="721"/>
      <c r="J43" s="722" t="s">
        <v>2053</v>
      </c>
      <c r="K43" s="723" t="s">
        <v>2054</v>
      </c>
      <c r="L43" s="724">
        <f>AVERAGE(H45:H47)</f>
        <v>282.31</v>
      </c>
      <c r="M43" s="725"/>
      <c r="N43" s="726" t="s">
        <v>2055</v>
      </c>
      <c r="O43" s="454"/>
    </row>
    <row r="44">
      <c r="A44" s="727" t="s">
        <v>1717</v>
      </c>
      <c r="B44" s="728" t="s">
        <v>2056</v>
      </c>
      <c r="C44" s="728" t="s">
        <v>2057</v>
      </c>
      <c r="D44" s="727" t="s">
        <v>2058</v>
      </c>
      <c r="E44" s="727" t="s">
        <v>2059</v>
      </c>
      <c r="F44" s="729" t="s">
        <v>1537</v>
      </c>
      <c r="G44" s="727" t="s">
        <v>2060</v>
      </c>
      <c r="H44" s="727" t="s">
        <v>2061</v>
      </c>
      <c r="I44" s="730" t="s">
        <v>2062</v>
      </c>
      <c r="J44" s="301"/>
      <c r="K44" s="731" t="s">
        <v>2063</v>
      </c>
      <c r="L44" s="732">
        <f>STDEV(H45:H47)</f>
        <v>29.77024017</v>
      </c>
      <c r="M44" s="733"/>
      <c r="N44" s="189"/>
      <c r="O44" s="454"/>
    </row>
    <row r="45">
      <c r="A45" s="734"/>
      <c r="B45" s="735" t="s">
        <v>2064</v>
      </c>
      <c r="C45" s="735" t="s">
        <v>2149</v>
      </c>
      <c r="D45" s="734" t="s">
        <v>2150</v>
      </c>
      <c r="E45" s="737" t="s">
        <v>2067</v>
      </c>
      <c r="F45" s="738" t="s">
        <v>2151</v>
      </c>
      <c r="G45" s="736" t="s">
        <v>1757</v>
      </c>
      <c r="H45" s="739">
        <v>313.19</v>
      </c>
      <c r="I45" s="775" t="s">
        <v>2152</v>
      </c>
      <c r="J45" s="301"/>
      <c r="K45" s="731" t="s">
        <v>2070</v>
      </c>
      <c r="L45" s="741">
        <f>L44/L43</f>
        <v>0.1054523048</v>
      </c>
      <c r="M45" s="733"/>
      <c r="N45" s="742" t="str">
        <f>IF(L45&lt;25%,"Não","Sim - proceder verificação ao lado")</f>
        <v>Não</v>
      </c>
      <c r="O45" s="743" t="b">
        <v>1</v>
      </c>
    </row>
    <row r="46">
      <c r="A46" s="734"/>
      <c r="B46" s="735" t="s">
        <v>2064</v>
      </c>
      <c r="C46" s="744" t="s">
        <v>2153</v>
      </c>
      <c r="D46" s="736" t="s">
        <v>2154</v>
      </c>
      <c r="E46" s="737" t="s">
        <v>2067</v>
      </c>
      <c r="F46" s="738" t="s">
        <v>2155</v>
      </c>
      <c r="G46" s="736" t="s">
        <v>1757</v>
      </c>
      <c r="H46" s="739">
        <v>279.95</v>
      </c>
      <c r="I46" s="740" t="s">
        <v>2156</v>
      </c>
      <c r="J46" s="301"/>
      <c r="K46" s="731" t="s">
        <v>2075</v>
      </c>
      <c r="L46" s="746">
        <f>L43*1.25</f>
        <v>352.8875</v>
      </c>
      <c r="M46" s="733"/>
      <c r="N46" s="301"/>
      <c r="O46" s="743" t="b">
        <v>1</v>
      </c>
    </row>
    <row r="47">
      <c r="A47" s="734"/>
      <c r="B47" s="735" t="s">
        <v>2064</v>
      </c>
      <c r="C47" s="744" t="s">
        <v>2157</v>
      </c>
      <c r="D47" s="736" t="s">
        <v>2158</v>
      </c>
      <c r="E47" s="737" t="s">
        <v>2067</v>
      </c>
      <c r="F47" s="738" t="s">
        <v>2151</v>
      </c>
      <c r="G47" s="736" t="s">
        <v>1757</v>
      </c>
      <c r="H47" s="739">
        <v>253.79</v>
      </c>
      <c r="I47" s="740" t="s">
        <v>2159</v>
      </c>
      <c r="J47" s="189"/>
      <c r="K47" s="731" t="s">
        <v>2080</v>
      </c>
      <c r="L47" s="746">
        <f>L43*0.75</f>
        <v>211.7325</v>
      </c>
      <c r="M47" s="733"/>
      <c r="N47" s="189"/>
      <c r="O47" s="743" t="b">
        <v>1</v>
      </c>
    </row>
    <row r="48">
      <c r="A48" s="734"/>
      <c r="B48" s="735"/>
      <c r="C48" s="735"/>
      <c r="D48" s="734"/>
      <c r="E48" s="749"/>
      <c r="F48" s="750"/>
      <c r="G48" s="749"/>
      <c r="H48" s="749"/>
      <c r="I48" s="751"/>
      <c r="J48" s="752"/>
      <c r="K48" s="752"/>
      <c r="L48" s="752"/>
      <c r="M48" s="751"/>
      <c r="N48" s="752"/>
      <c r="O48" s="753"/>
    </row>
    <row r="49">
      <c r="A49" s="754" t="s">
        <v>1199</v>
      </c>
      <c r="B49" s="755" t="s">
        <v>2160</v>
      </c>
      <c r="C49" s="36"/>
      <c r="D49" s="36"/>
      <c r="E49" s="36"/>
      <c r="F49" s="36"/>
      <c r="G49" s="754" t="s">
        <v>1757</v>
      </c>
      <c r="H49" s="756">
        <f>MEDIAN(H51:H53)</f>
        <v>946.5</v>
      </c>
      <c r="I49" s="757"/>
      <c r="J49" s="758" t="s">
        <v>2053</v>
      </c>
      <c r="K49" s="731" t="s">
        <v>2054</v>
      </c>
      <c r="L49" s="759">
        <f>AVERAGE(H51:H53)</f>
        <v>993.8266667</v>
      </c>
      <c r="M49" s="733"/>
      <c r="N49" s="760" t="s">
        <v>2055</v>
      </c>
      <c r="O49" s="454"/>
    </row>
    <row r="50">
      <c r="A50" s="727" t="s">
        <v>1717</v>
      </c>
      <c r="B50" s="728" t="s">
        <v>2056</v>
      </c>
      <c r="C50" s="728" t="s">
        <v>2057</v>
      </c>
      <c r="D50" s="727" t="s">
        <v>2058</v>
      </c>
      <c r="E50" s="727" t="s">
        <v>2059</v>
      </c>
      <c r="F50" s="729" t="s">
        <v>1537</v>
      </c>
      <c r="G50" s="727" t="s">
        <v>2060</v>
      </c>
      <c r="H50" s="727" t="s">
        <v>2061</v>
      </c>
      <c r="I50" s="730" t="s">
        <v>2062</v>
      </c>
      <c r="J50" s="301"/>
      <c r="K50" s="731" t="s">
        <v>2063</v>
      </c>
      <c r="L50" s="732">
        <f>STDEV(H51:H53)</f>
        <v>81.97219122</v>
      </c>
      <c r="M50" s="733"/>
      <c r="N50" s="189"/>
      <c r="O50" s="454"/>
    </row>
    <row r="51">
      <c r="A51" s="734"/>
      <c r="B51" s="735" t="s">
        <v>2064</v>
      </c>
      <c r="C51" s="761" t="s">
        <v>2161</v>
      </c>
      <c r="D51" s="762" t="s">
        <v>2162</v>
      </c>
      <c r="E51" s="763" t="s">
        <v>2113</v>
      </c>
      <c r="F51" s="764" t="s">
        <v>2163</v>
      </c>
      <c r="G51" s="736" t="s">
        <v>1757</v>
      </c>
      <c r="H51" s="745">
        <v>946.5</v>
      </c>
      <c r="I51" s="776" t="s">
        <v>2164</v>
      </c>
      <c r="J51" s="301"/>
      <c r="K51" s="731" t="s">
        <v>2070</v>
      </c>
      <c r="L51" s="741">
        <f>L50/L49</f>
        <v>0.08248137625</v>
      </c>
      <c r="M51" s="733"/>
      <c r="N51" s="742" t="str">
        <f>IF(L51&lt;25%,"Não","Sim - proceder verificação ao lado")</f>
        <v>Não</v>
      </c>
      <c r="O51" s="743" t="b">
        <v>1</v>
      </c>
    </row>
    <row r="52">
      <c r="A52" s="734"/>
      <c r="B52" s="735" t="s">
        <v>2064</v>
      </c>
      <c r="C52" s="767" t="s">
        <v>89</v>
      </c>
      <c r="D52" s="777" t="s">
        <v>2165</v>
      </c>
      <c r="E52" s="763" t="s">
        <v>2113</v>
      </c>
      <c r="F52" s="764" t="s">
        <v>2166</v>
      </c>
      <c r="G52" s="736" t="s">
        <v>1757</v>
      </c>
      <c r="H52" s="745">
        <v>946.5</v>
      </c>
      <c r="I52" s="768" t="s">
        <v>2167</v>
      </c>
      <c r="J52" s="301"/>
      <c r="K52" s="731" t="s">
        <v>2075</v>
      </c>
      <c r="L52" s="746">
        <f>L49*1.25</f>
        <v>1242.283333</v>
      </c>
      <c r="M52" s="733"/>
      <c r="N52" s="301"/>
      <c r="O52" s="743" t="b">
        <v>1</v>
      </c>
    </row>
    <row r="53">
      <c r="A53" s="734"/>
      <c r="B53" s="735" t="s">
        <v>2064</v>
      </c>
      <c r="C53" s="761" t="s">
        <v>2168</v>
      </c>
      <c r="D53" s="762" t="s">
        <v>2169</v>
      </c>
      <c r="E53" s="763" t="s">
        <v>2113</v>
      </c>
      <c r="F53" s="764" t="s">
        <v>2170</v>
      </c>
      <c r="G53" s="736" t="s">
        <v>1757</v>
      </c>
      <c r="H53" s="745">
        <v>1088.48</v>
      </c>
      <c r="I53" s="768" t="s">
        <v>2171</v>
      </c>
      <c r="J53" s="189"/>
      <c r="K53" s="731" t="s">
        <v>2080</v>
      </c>
      <c r="L53" s="746">
        <f>L49*0.75</f>
        <v>745.37</v>
      </c>
      <c r="M53" s="733"/>
      <c r="N53" s="189"/>
      <c r="O53" s="743" t="b">
        <v>1</v>
      </c>
    </row>
    <row r="54">
      <c r="A54" s="734"/>
      <c r="B54" s="735"/>
      <c r="C54" s="735"/>
      <c r="D54" s="734"/>
      <c r="E54" s="749"/>
      <c r="F54" s="750"/>
      <c r="G54" s="749"/>
      <c r="H54" s="749"/>
      <c r="I54" s="751"/>
      <c r="J54" s="752"/>
      <c r="K54" s="752"/>
      <c r="L54" s="752"/>
      <c r="M54" s="751"/>
      <c r="N54" s="752"/>
      <c r="O54" s="753"/>
    </row>
    <row r="55">
      <c r="A55" s="754" t="s">
        <v>1201</v>
      </c>
      <c r="B55" s="755" t="s">
        <v>2172</v>
      </c>
      <c r="C55" s="36"/>
      <c r="D55" s="36"/>
      <c r="E55" s="36"/>
      <c r="F55" s="36"/>
      <c r="G55" s="754" t="s">
        <v>2173</v>
      </c>
      <c r="H55" s="756">
        <f>MEDIAN(H57:H59)</f>
        <v>70</v>
      </c>
      <c r="I55" s="757"/>
      <c r="J55" s="758" t="s">
        <v>2053</v>
      </c>
      <c r="K55" s="731" t="s">
        <v>2054</v>
      </c>
      <c r="L55" s="759">
        <f>AVERAGE(H57:H59)</f>
        <v>71.66666667</v>
      </c>
      <c r="M55" s="733"/>
      <c r="N55" s="760" t="s">
        <v>2055</v>
      </c>
      <c r="O55" s="454"/>
    </row>
    <row r="56">
      <c r="A56" s="727" t="s">
        <v>1717</v>
      </c>
      <c r="B56" s="728" t="s">
        <v>2056</v>
      </c>
      <c r="C56" s="728" t="s">
        <v>2057</v>
      </c>
      <c r="D56" s="727" t="s">
        <v>2058</v>
      </c>
      <c r="E56" s="727" t="s">
        <v>2059</v>
      </c>
      <c r="F56" s="729" t="s">
        <v>1537</v>
      </c>
      <c r="G56" s="727" t="s">
        <v>2060</v>
      </c>
      <c r="H56" s="727" t="s">
        <v>2061</v>
      </c>
      <c r="I56" s="730" t="s">
        <v>2062</v>
      </c>
      <c r="J56" s="301"/>
      <c r="K56" s="731" t="s">
        <v>2063</v>
      </c>
      <c r="L56" s="732">
        <f>STDEV(H57:H59)</f>
        <v>2.886751346</v>
      </c>
      <c r="M56" s="733"/>
      <c r="N56" s="189"/>
      <c r="O56" s="454"/>
    </row>
    <row r="57">
      <c r="A57" s="734"/>
      <c r="B57" s="735" t="s">
        <v>2174</v>
      </c>
      <c r="C57" s="744" t="s">
        <v>2175</v>
      </c>
      <c r="D57" s="736" t="s">
        <v>2176</v>
      </c>
      <c r="E57" s="763" t="s">
        <v>2113</v>
      </c>
      <c r="F57" s="764" t="s">
        <v>2177</v>
      </c>
      <c r="G57" s="736" t="s">
        <v>2178</v>
      </c>
      <c r="H57" s="739">
        <v>75.0</v>
      </c>
      <c r="I57" s="778"/>
      <c r="J57" s="301"/>
      <c r="K57" s="731" t="s">
        <v>2070</v>
      </c>
      <c r="L57" s="741">
        <f>L56/L55</f>
        <v>0.04028025134</v>
      </c>
      <c r="M57" s="733"/>
      <c r="N57" s="742" t="str">
        <f>IF(L57&lt;25%,"Não","Sim - proceder verificação ao lado")</f>
        <v>Não</v>
      </c>
      <c r="O57" s="743" t="b">
        <v>1</v>
      </c>
    </row>
    <row r="58">
      <c r="A58" s="734"/>
      <c r="B58" s="735" t="s">
        <v>2174</v>
      </c>
      <c r="C58" s="744" t="s">
        <v>2179</v>
      </c>
      <c r="D58" s="736" t="s">
        <v>2180</v>
      </c>
      <c r="E58" s="763" t="s">
        <v>2113</v>
      </c>
      <c r="F58" s="764" t="s">
        <v>2177</v>
      </c>
      <c r="G58" s="736" t="s">
        <v>2178</v>
      </c>
      <c r="H58" s="739">
        <v>70.0</v>
      </c>
      <c r="I58" s="778"/>
      <c r="J58" s="301"/>
      <c r="K58" s="731" t="s">
        <v>2075</v>
      </c>
      <c r="L58" s="746">
        <f>L55*1.25</f>
        <v>89.58333333</v>
      </c>
      <c r="M58" s="733"/>
      <c r="N58" s="301"/>
      <c r="O58" s="743" t="b">
        <v>1</v>
      </c>
    </row>
    <row r="59">
      <c r="A59" s="734"/>
      <c r="B59" s="735" t="s">
        <v>2174</v>
      </c>
      <c r="C59" s="744" t="s">
        <v>2181</v>
      </c>
      <c r="D59" s="736" t="s">
        <v>2182</v>
      </c>
      <c r="E59" s="763" t="s">
        <v>2113</v>
      </c>
      <c r="F59" s="764" t="s">
        <v>2177</v>
      </c>
      <c r="G59" s="736" t="s">
        <v>2178</v>
      </c>
      <c r="H59" s="739">
        <v>70.0</v>
      </c>
      <c r="I59" s="778"/>
      <c r="J59" s="189"/>
      <c r="K59" s="731" t="s">
        <v>2080</v>
      </c>
      <c r="L59" s="746">
        <f>L55*0.75</f>
        <v>53.75</v>
      </c>
      <c r="M59" s="733"/>
      <c r="N59" s="189"/>
      <c r="O59" s="743" t="b">
        <v>1</v>
      </c>
    </row>
    <row r="60">
      <c r="A60" s="734"/>
      <c r="B60" s="735"/>
      <c r="C60" s="735"/>
      <c r="D60" s="734"/>
      <c r="E60" s="749"/>
      <c r="F60" s="750"/>
      <c r="G60" s="749"/>
      <c r="H60" s="749"/>
      <c r="I60" s="751"/>
      <c r="J60" s="752"/>
      <c r="K60" s="752"/>
      <c r="L60" s="752"/>
      <c r="M60" s="751"/>
      <c r="N60" s="752"/>
      <c r="O60" s="753"/>
    </row>
    <row r="61">
      <c r="A61" s="754" t="s">
        <v>1203</v>
      </c>
      <c r="B61" s="755" t="s">
        <v>2183</v>
      </c>
      <c r="C61" s="36"/>
      <c r="D61" s="36"/>
      <c r="E61" s="36"/>
      <c r="F61" s="36"/>
      <c r="G61" s="754" t="s">
        <v>1757</v>
      </c>
      <c r="H61" s="756">
        <f>MEDIAN(H63:H65)</f>
        <v>333.75</v>
      </c>
      <c r="I61" s="757"/>
      <c r="J61" s="758" t="s">
        <v>2053</v>
      </c>
      <c r="K61" s="731" t="s">
        <v>2054</v>
      </c>
      <c r="L61" s="759">
        <f>AVERAGE(H63:H65)</f>
        <v>335.37</v>
      </c>
      <c r="M61" s="733"/>
      <c r="N61" s="760" t="s">
        <v>2055</v>
      </c>
      <c r="O61" s="454"/>
    </row>
    <row r="62">
      <c r="A62" s="727" t="s">
        <v>1717</v>
      </c>
      <c r="B62" s="728" t="s">
        <v>2056</v>
      </c>
      <c r="C62" s="728" t="s">
        <v>2057</v>
      </c>
      <c r="D62" s="727" t="s">
        <v>2058</v>
      </c>
      <c r="E62" s="727" t="s">
        <v>2059</v>
      </c>
      <c r="F62" s="729" t="s">
        <v>1537</v>
      </c>
      <c r="G62" s="727" t="s">
        <v>2060</v>
      </c>
      <c r="H62" s="727" t="s">
        <v>2061</v>
      </c>
      <c r="I62" s="730" t="s">
        <v>2062</v>
      </c>
      <c r="J62" s="301"/>
      <c r="K62" s="731" t="s">
        <v>2063</v>
      </c>
      <c r="L62" s="732">
        <f>STDEV(H63:H65)</f>
        <v>19.86959235</v>
      </c>
      <c r="M62" s="733"/>
      <c r="N62" s="189"/>
      <c r="O62" s="454"/>
    </row>
    <row r="63">
      <c r="A63" s="734"/>
      <c r="B63" s="735" t="s">
        <v>2064</v>
      </c>
      <c r="C63" s="735" t="s">
        <v>2184</v>
      </c>
      <c r="D63" s="734" t="s">
        <v>2185</v>
      </c>
      <c r="E63" s="737" t="s">
        <v>2067</v>
      </c>
      <c r="F63" s="764" t="s">
        <v>2186</v>
      </c>
      <c r="G63" s="736" t="s">
        <v>1757</v>
      </c>
      <c r="H63" s="745">
        <v>333.75</v>
      </c>
      <c r="I63" s="740" t="s">
        <v>2187</v>
      </c>
      <c r="J63" s="301"/>
      <c r="K63" s="731" t="s">
        <v>2070</v>
      </c>
      <c r="L63" s="741">
        <f>L62/L61</f>
        <v>0.05924677922</v>
      </c>
      <c r="M63" s="733"/>
      <c r="N63" s="742" t="str">
        <f>IF(L63&lt;25%,"Não","Sim - proceder verificação ao lado")</f>
        <v>Não</v>
      </c>
      <c r="O63" s="743" t="b">
        <v>1</v>
      </c>
    </row>
    <row r="64">
      <c r="A64" s="734"/>
      <c r="B64" s="735" t="s">
        <v>2064</v>
      </c>
      <c r="C64" s="767" t="s">
        <v>2188</v>
      </c>
      <c r="D64" s="736" t="s">
        <v>2189</v>
      </c>
      <c r="E64" s="737" t="s">
        <v>2113</v>
      </c>
      <c r="F64" s="764" t="s">
        <v>2190</v>
      </c>
      <c r="G64" s="736" t="s">
        <v>1757</v>
      </c>
      <c r="H64" s="745">
        <v>356.0</v>
      </c>
      <c r="I64" s="768" t="s">
        <v>2191</v>
      </c>
      <c r="J64" s="301"/>
      <c r="K64" s="731" t="s">
        <v>2075</v>
      </c>
      <c r="L64" s="746">
        <f>L61*1.25</f>
        <v>419.2125</v>
      </c>
      <c r="M64" s="733"/>
      <c r="N64" s="301"/>
      <c r="O64" s="743" t="b">
        <v>1</v>
      </c>
    </row>
    <row r="65">
      <c r="A65" s="734"/>
      <c r="B65" s="735" t="s">
        <v>2064</v>
      </c>
      <c r="C65" s="744" t="s">
        <v>2192</v>
      </c>
      <c r="D65" s="736" t="s">
        <v>2193</v>
      </c>
      <c r="E65" s="737" t="s">
        <v>2067</v>
      </c>
      <c r="F65" s="764" t="s">
        <v>2194</v>
      </c>
      <c r="G65" s="736" t="s">
        <v>1757</v>
      </c>
      <c r="H65" s="745">
        <v>316.36</v>
      </c>
      <c r="I65" s="740" t="s">
        <v>2195</v>
      </c>
      <c r="J65" s="189"/>
      <c r="K65" s="731" t="s">
        <v>2080</v>
      </c>
      <c r="L65" s="746">
        <f>L61*0.75</f>
        <v>251.5275</v>
      </c>
      <c r="M65" s="733"/>
      <c r="N65" s="189"/>
      <c r="O65" s="743" t="b">
        <v>1</v>
      </c>
    </row>
    <row r="66">
      <c r="A66" s="734"/>
      <c r="B66" s="735"/>
      <c r="C66" s="735"/>
      <c r="D66" s="734"/>
      <c r="E66" s="749"/>
      <c r="F66" s="750"/>
      <c r="G66" s="749"/>
      <c r="H66" s="749"/>
      <c r="I66" s="751"/>
      <c r="J66" s="752"/>
      <c r="K66" s="752"/>
      <c r="L66" s="752"/>
      <c r="M66" s="751"/>
      <c r="N66" s="752"/>
      <c r="O66" s="753"/>
    </row>
    <row r="67">
      <c r="A67" s="754" t="s">
        <v>1205</v>
      </c>
      <c r="B67" s="755" t="s">
        <v>2196</v>
      </c>
      <c r="C67" s="36"/>
      <c r="D67" s="36"/>
      <c r="E67" s="36"/>
      <c r="F67" s="36"/>
      <c r="G67" s="754" t="s">
        <v>1731</v>
      </c>
      <c r="H67" s="756">
        <f>MEDIAN(H69:H71)</f>
        <v>15</v>
      </c>
      <c r="I67" s="757"/>
      <c r="J67" s="758" t="s">
        <v>2053</v>
      </c>
      <c r="K67" s="731" t="s">
        <v>2054</v>
      </c>
      <c r="L67" s="759">
        <f>AVERAGE(H69:H71)</f>
        <v>16.36333333</v>
      </c>
      <c r="M67" s="733"/>
      <c r="N67" s="760" t="s">
        <v>2055</v>
      </c>
      <c r="O67" s="454"/>
    </row>
    <row r="68">
      <c r="A68" s="727" t="s">
        <v>1717</v>
      </c>
      <c r="B68" s="728" t="s">
        <v>2056</v>
      </c>
      <c r="C68" s="728" t="s">
        <v>2057</v>
      </c>
      <c r="D68" s="727" t="s">
        <v>2058</v>
      </c>
      <c r="E68" s="727" t="s">
        <v>2059</v>
      </c>
      <c r="F68" s="729" t="s">
        <v>1537</v>
      </c>
      <c r="G68" s="727" t="s">
        <v>2060</v>
      </c>
      <c r="H68" s="727" t="s">
        <v>2061</v>
      </c>
      <c r="I68" s="730" t="s">
        <v>2062</v>
      </c>
      <c r="J68" s="301"/>
      <c r="K68" s="731" t="s">
        <v>2063</v>
      </c>
      <c r="L68" s="732">
        <f>STDEV(H69:H71)</f>
        <v>3.265889363</v>
      </c>
      <c r="M68" s="733"/>
      <c r="N68" s="189"/>
      <c r="O68" s="454"/>
    </row>
    <row r="69">
      <c r="A69" s="734"/>
      <c r="B69" s="735" t="s">
        <v>2064</v>
      </c>
      <c r="C69" s="744" t="s">
        <v>2197</v>
      </c>
      <c r="D69" s="736" t="s">
        <v>2198</v>
      </c>
      <c r="E69" s="737" t="s">
        <v>2067</v>
      </c>
      <c r="F69" s="738" t="s">
        <v>2199</v>
      </c>
      <c r="G69" s="736" t="s">
        <v>1731</v>
      </c>
      <c r="H69" s="745">
        <v>20.09</v>
      </c>
      <c r="I69" s="740" t="s">
        <v>2200</v>
      </c>
      <c r="J69" s="301"/>
      <c r="K69" s="731" t="s">
        <v>2070</v>
      </c>
      <c r="L69" s="741">
        <f>L68/L67</f>
        <v>0.1995858238</v>
      </c>
      <c r="M69" s="733"/>
      <c r="N69" s="742" t="str">
        <f>IF(L69&lt;25%,"Não","Sim - proceder verificação ao lado")</f>
        <v>Não</v>
      </c>
      <c r="O69" s="743" t="b">
        <v>1</v>
      </c>
    </row>
    <row r="70">
      <c r="A70" s="734"/>
      <c r="B70" s="735" t="s">
        <v>2064</v>
      </c>
      <c r="C70" s="744" t="s">
        <v>2149</v>
      </c>
      <c r="D70" s="736" t="s">
        <v>2150</v>
      </c>
      <c r="E70" s="737" t="s">
        <v>2067</v>
      </c>
      <c r="F70" s="738" t="s">
        <v>2201</v>
      </c>
      <c r="G70" s="736" t="s">
        <v>1731</v>
      </c>
      <c r="H70" s="739">
        <v>14.0</v>
      </c>
      <c r="I70" s="740" t="s">
        <v>2202</v>
      </c>
      <c r="J70" s="301"/>
      <c r="K70" s="731" t="s">
        <v>2075</v>
      </c>
      <c r="L70" s="746">
        <f>L67*1.25</f>
        <v>20.45416667</v>
      </c>
      <c r="M70" s="733"/>
      <c r="N70" s="301"/>
      <c r="O70" s="743" t="b">
        <v>1</v>
      </c>
    </row>
    <row r="71">
      <c r="A71" s="734"/>
      <c r="B71" s="735" t="s">
        <v>2064</v>
      </c>
      <c r="C71" s="744" t="s">
        <v>2126</v>
      </c>
      <c r="D71" s="736" t="s">
        <v>2189</v>
      </c>
      <c r="E71" s="737" t="s">
        <v>2067</v>
      </c>
      <c r="F71" s="766" t="s">
        <v>2203</v>
      </c>
      <c r="G71" s="736" t="s">
        <v>1731</v>
      </c>
      <c r="H71" s="739">
        <v>15.0</v>
      </c>
      <c r="I71" s="740" t="s">
        <v>2204</v>
      </c>
      <c r="J71" s="189"/>
      <c r="K71" s="731" t="s">
        <v>2080</v>
      </c>
      <c r="L71" s="746">
        <f>L67*0.75</f>
        <v>12.2725</v>
      </c>
      <c r="M71" s="733"/>
      <c r="N71" s="189"/>
      <c r="O71" s="743" t="b">
        <v>1</v>
      </c>
    </row>
    <row r="72">
      <c r="A72" s="734"/>
      <c r="B72" s="735"/>
      <c r="C72" s="735"/>
      <c r="D72" s="734"/>
      <c r="E72" s="749"/>
      <c r="F72" s="750"/>
      <c r="G72" s="749"/>
      <c r="H72" s="749"/>
      <c r="I72" s="751"/>
      <c r="J72" s="752"/>
      <c r="K72" s="752"/>
      <c r="L72" s="752"/>
      <c r="M72" s="751"/>
      <c r="N72" s="752"/>
      <c r="O72" s="753"/>
    </row>
    <row r="73">
      <c r="A73" s="754" t="s">
        <v>1207</v>
      </c>
      <c r="B73" s="755" t="s">
        <v>2205</v>
      </c>
      <c r="C73" s="36"/>
      <c r="D73" s="36"/>
      <c r="E73" s="36"/>
      <c r="F73" s="36"/>
      <c r="G73" s="754" t="s">
        <v>1731</v>
      </c>
      <c r="H73" s="756">
        <f>MEDIAN(H75:H77)</f>
        <v>12.53</v>
      </c>
      <c r="I73" s="757"/>
      <c r="J73" s="758" t="s">
        <v>2053</v>
      </c>
      <c r="K73" s="731" t="s">
        <v>2054</v>
      </c>
      <c r="L73" s="759">
        <f>AVERAGE(H75:H77)</f>
        <v>12.09333333</v>
      </c>
      <c r="M73" s="733"/>
      <c r="N73" s="760" t="s">
        <v>2055</v>
      </c>
      <c r="O73" s="454"/>
    </row>
    <row r="74">
      <c r="A74" s="727" t="s">
        <v>1717</v>
      </c>
      <c r="B74" s="728" t="s">
        <v>2056</v>
      </c>
      <c r="C74" s="728" t="s">
        <v>2057</v>
      </c>
      <c r="D74" s="727" t="s">
        <v>2058</v>
      </c>
      <c r="E74" s="727" t="s">
        <v>2059</v>
      </c>
      <c r="F74" s="729" t="s">
        <v>1537</v>
      </c>
      <c r="G74" s="727" t="s">
        <v>2060</v>
      </c>
      <c r="H74" s="727" t="s">
        <v>2061</v>
      </c>
      <c r="I74" s="730" t="s">
        <v>2062</v>
      </c>
      <c r="J74" s="301"/>
      <c r="K74" s="731" t="s">
        <v>2063</v>
      </c>
      <c r="L74" s="732">
        <f>STDEV(H75:H77)</f>
        <v>0.7563288526</v>
      </c>
      <c r="M74" s="733"/>
      <c r="N74" s="189"/>
      <c r="O74" s="454"/>
    </row>
    <row r="75">
      <c r="A75" s="734"/>
      <c r="B75" s="735" t="s">
        <v>2064</v>
      </c>
      <c r="C75" s="735" t="s">
        <v>2149</v>
      </c>
      <c r="D75" s="734" t="s">
        <v>2150</v>
      </c>
      <c r="E75" s="737" t="s">
        <v>2067</v>
      </c>
      <c r="F75" s="738" t="s">
        <v>2206</v>
      </c>
      <c r="G75" s="736" t="s">
        <v>1731</v>
      </c>
      <c r="H75" s="745">
        <v>11.22</v>
      </c>
      <c r="I75" s="740" t="s">
        <v>2207</v>
      </c>
      <c r="J75" s="301"/>
      <c r="K75" s="731" t="s">
        <v>2070</v>
      </c>
      <c r="L75" s="741">
        <f>L74/L73</f>
        <v>0.06254097458</v>
      </c>
      <c r="M75" s="733"/>
      <c r="N75" s="742" t="str">
        <f>IF(L75&lt;25%,"Não","Sim - proceder verificação ao lado")</f>
        <v>Não</v>
      </c>
      <c r="O75" s="743" t="b">
        <v>1</v>
      </c>
    </row>
    <row r="76">
      <c r="A76" s="734"/>
      <c r="B76" s="735" t="s">
        <v>2064</v>
      </c>
      <c r="C76" s="744" t="s">
        <v>2142</v>
      </c>
      <c r="D76" s="736" t="s">
        <v>2143</v>
      </c>
      <c r="E76" s="737" t="s">
        <v>2067</v>
      </c>
      <c r="F76" s="738" t="s">
        <v>2206</v>
      </c>
      <c r="G76" s="736" t="s">
        <v>1731</v>
      </c>
      <c r="H76" s="745">
        <v>12.53</v>
      </c>
      <c r="I76" s="740" t="s">
        <v>2208</v>
      </c>
      <c r="J76" s="301"/>
      <c r="K76" s="731" t="s">
        <v>2075</v>
      </c>
      <c r="L76" s="746">
        <f>L73*1.25</f>
        <v>15.11666667</v>
      </c>
      <c r="M76" s="733"/>
      <c r="N76" s="301"/>
      <c r="O76" s="743" t="b">
        <v>1</v>
      </c>
    </row>
    <row r="77">
      <c r="A77" s="734"/>
      <c r="B77" s="735" t="s">
        <v>2064</v>
      </c>
      <c r="C77" s="744" t="s">
        <v>2209</v>
      </c>
      <c r="D77" s="736" t="s">
        <v>2143</v>
      </c>
      <c r="E77" s="737" t="s">
        <v>2067</v>
      </c>
      <c r="F77" s="738" t="s">
        <v>2206</v>
      </c>
      <c r="G77" s="736" t="s">
        <v>1731</v>
      </c>
      <c r="H77" s="745">
        <v>12.53</v>
      </c>
      <c r="I77" s="740" t="s">
        <v>2210</v>
      </c>
      <c r="J77" s="189"/>
      <c r="K77" s="731" t="s">
        <v>2080</v>
      </c>
      <c r="L77" s="746">
        <f>L73*0.75</f>
        <v>9.07</v>
      </c>
      <c r="M77" s="733"/>
      <c r="N77" s="189"/>
      <c r="O77" s="743" t="b">
        <v>1</v>
      </c>
    </row>
    <row r="78">
      <c r="A78" s="734"/>
      <c r="B78" s="735"/>
      <c r="C78" s="735"/>
      <c r="D78" s="734"/>
      <c r="E78" s="749"/>
      <c r="F78" s="750"/>
      <c r="G78" s="749"/>
      <c r="H78" s="749"/>
      <c r="I78" s="751"/>
      <c r="J78" s="752"/>
      <c r="K78" s="752"/>
      <c r="L78" s="752"/>
      <c r="M78" s="751"/>
      <c r="N78" s="752"/>
      <c r="O78" s="753"/>
    </row>
    <row r="79">
      <c r="A79" s="754" t="s">
        <v>1209</v>
      </c>
      <c r="B79" s="755" t="s">
        <v>2211</v>
      </c>
      <c r="C79" s="36"/>
      <c r="D79" s="36"/>
      <c r="E79" s="36"/>
      <c r="F79" s="36"/>
      <c r="G79" s="754" t="s">
        <v>1757</v>
      </c>
      <c r="H79" s="756">
        <f>MEDIAN(H81:H83)</f>
        <v>0.1</v>
      </c>
      <c r="I79" s="757"/>
      <c r="J79" s="758" t="s">
        <v>2053</v>
      </c>
      <c r="K79" s="731" t="s">
        <v>2054</v>
      </c>
      <c r="L79" s="759">
        <f>AVERAGE(H81:H83)</f>
        <v>0.0995</v>
      </c>
      <c r="M79" s="733"/>
      <c r="N79" s="760" t="s">
        <v>2055</v>
      </c>
      <c r="O79" s="454"/>
    </row>
    <row r="80">
      <c r="A80" s="727" t="s">
        <v>1717</v>
      </c>
      <c r="B80" s="728" t="s">
        <v>2056</v>
      </c>
      <c r="C80" s="728" t="s">
        <v>2057</v>
      </c>
      <c r="D80" s="727" t="s">
        <v>2058</v>
      </c>
      <c r="E80" s="727" t="s">
        <v>2059</v>
      </c>
      <c r="F80" s="729" t="s">
        <v>1537</v>
      </c>
      <c r="G80" s="727" t="s">
        <v>2060</v>
      </c>
      <c r="H80" s="727" t="s">
        <v>2061</v>
      </c>
      <c r="I80" s="730" t="s">
        <v>2062</v>
      </c>
      <c r="J80" s="301"/>
      <c r="K80" s="731" t="s">
        <v>2063</v>
      </c>
      <c r="L80" s="732">
        <f>STDEV(H81:H83)</f>
        <v>0.01145818485</v>
      </c>
      <c r="M80" s="733"/>
      <c r="N80" s="189"/>
      <c r="O80" s="454"/>
    </row>
    <row r="81">
      <c r="A81" s="734"/>
      <c r="B81" s="744" t="s">
        <v>2212</v>
      </c>
      <c r="C81" s="767" t="s">
        <v>2213</v>
      </c>
      <c r="D81" s="777" t="s">
        <v>2214</v>
      </c>
      <c r="E81" s="737" t="s">
        <v>2113</v>
      </c>
      <c r="F81" s="764" t="s">
        <v>2215</v>
      </c>
      <c r="G81" s="736" t="s">
        <v>1757</v>
      </c>
      <c r="H81" s="745">
        <v>0.1107</v>
      </c>
      <c r="I81" s="776" t="s">
        <v>2216</v>
      </c>
      <c r="J81" s="301"/>
      <c r="K81" s="731" t="s">
        <v>2070</v>
      </c>
      <c r="L81" s="741">
        <f>L80/L79</f>
        <v>0.1151576367</v>
      </c>
      <c r="M81" s="733"/>
      <c r="N81" s="742" t="str">
        <f>IF(L81&lt;25%,"Não","Sim - proceder verificação ao lado")</f>
        <v>Não</v>
      </c>
      <c r="O81" s="743" t="b">
        <v>1</v>
      </c>
    </row>
    <row r="82">
      <c r="A82" s="734"/>
      <c r="B82" s="744" t="s">
        <v>2212</v>
      </c>
      <c r="C82" s="744" t="s">
        <v>2217</v>
      </c>
      <c r="D82" s="736" t="s">
        <v>2218</v>
      </c>
      <c r="E82" s="737" t="s">
        <v>2113</v>
      </c>
      <c r="F82" s="764" t="s">
        <v>2219</v>
      </c>
      <c r="G82" s="736" t="s">
        <v>1757</v>
      </c>
      <c r="H82" s="739">
        <v>0.1</v>
      </c>
      <c r="I82" s="775" t="s">
        <v>2220</v>
      </c>
      <c r="J82" s="301"/>
      <c r="K82" s="731" t="s">
        <v>2075</v>
      </c>
      <c r="L82" s="746">
        <f>L79*1.25</f>
        <v>0.124375</v>
      </c>
      <c r="M82" s="733"/>
      <c r="N82" s="301"/>
      <c r="O82" s="743" t="b">
        <v>1</v>
      </c>
    </row>
    <row r="83">
      <c r="A83" s="734"/>
      <c r="B83" s="744" t="s">
        <v>2212</v>
      </c>
      <c r="C83" s="767" t="s">
        <v>2221</v>
      </c>
      <c r="D83" s="777" t="s">
        <v>2222</v>
      </c>
      <c r="E83" s="737" t="s">
        <v>2113</v>
      </c>
      <c r="F83" s="764" t="s">
        <v>2223</v>
      </c>
      <c r="G83" s="736" t="s">
        <v>1757</v>
      </c>
      <c r="H83" s="745">
        <v>0.0878</v>
      </c>
      <c r="I83" s="768" t="s">
        <v>2224</v>
      </c>
      <c r="J83" s="189"/>
      <c r="K83" s="731" t="s">
        <v>2080</v>
      </c>
      <c r="L83" s="746">
        <f>L79*0.75</f>
        <v>0.074625</v>
      </c>
      <c r="M83" s="733"/>
      <c r="N83" s="189"/>
      <c r="O83" s="743" t="b">
        <v>1</v>
      </c>
    </row>
    <row r="84">
      <c r="A84" s="734"/>
      <c r="B84" s="735"/>
      <c r="C84" s="735"/>
      <c r="D84" s="734"/>
      <c r="E84" s="749"/>
      <c r="F84" s="750"/>
      <c r="G84" s="749"/>
      <c r="H84" s="749"/>
      <c r="I84" s="751"/>
      <c r="J84" s="752"/>
      <c r="K84" s="752"/>
      <c r="L84" s="752"/>
      <c r="M84" s="751"/>
      <c r="N84" s="752"/>
      <c r="O84" s="753"/>
    </row>
    <row r="85">
      <c r="A85" s="754" t="s">
        <v>1211</v>
      </c>
      <c r="B85" s="755" t="s">
        <v>2225</v>
      </c>
      <c r="C85" s="36"/>
      <c r="D85" s="36"/>
      <c r="E85" s="36"/>
      <c r="F85" s="36"/>
      <c r="G85" s="754" t="s">
        <v>1757</v>
      </c>
      <c r="H85" s="756">
        <f>MEDIAN(H87:H89)</f>
        <v>0.209</v>
      </c>
      <c r="I85" s="757"/>
      <c r="J85" s="758" t="s">
        <v>2053</v>
      </c>
      <c r="K85" s="731" t="s">
        <v>2054</v>
      </c>
      <c r="L85" s="759">
        <f>AVERAGE(H87:H89)</f>
        <v>0.2046</v>
      </c>
      <c r="M85" s="733"/>
      <c r="N85" s="760" t="s">
        <v>2055</v>
      </c>
      <c r="O85" s="454"/>
    </row>
    <row r="86">
      <c r="A86" s="727" t="s">
        <v>1717</v>
      </c>
      <c r="B86" s="728" t="s">
        <v>2056</v>
      </c>
      <c r="C86" s="728" t="s">
        <v>2057</v>
      </c>
      <c r="D86" s="727" t="s">
        <v>2058</v>
      </c>
      <c r="E86" s="727" t="s">
        <v>2059</v>
      </c>
      <c r="F86" s="729" t="s">
        <v>1537</v>
      </c>
      <c r="G86" s="727" t="s">
        <v>2060</v>
      </c>
      <c r="H86" s="727" t="s">
        <v>2061</v>
      </c>
      <c r="I86" s="730" t="s">
        <v>2062</v>
      </c>
      <c r="J86" s="301"/>
      <c r="K86" s="731" t="s">
        <v>2063</v>
      </c>
      <c r="L86" s="732">
        <f>STDEV(H87:H89)</f>
        <v>0.02687154629</v>
      </c>
      <c r="M86" s="733"/>
      <c r="N86" s="189"/>
      <c r="O86" s="454"/>
    </row>
    <row r="87">
      <c r="A87" s="734">
        <v>11072.0</v>
      </c>
      <c r="B87" s="744" t="s">
        <v>2212</v>
      </c>
      <c r="C87" s="767" t="s">
        <v>2226</v>
      </c>
      <c r="D87" s="777" t="s">
        <v>2227</v>
      </c>
      <c r="E87" s="737" t="s">
        <v>2113</v>
      </c>
      <c r="F87" s="764" t="s">
        <v>2228</v>
      </c>
      <c r="G87" s="736" t="s">
        <v>1757</v>
      </c>
      <c r="H87" s="745">
        <v>0.1758</v>
      </c>
      <c r="I87" s="776" t="s">
        <v>2229</v>
      </c>
      <c r="J87" s="301"/>
      <c r="K87" s="731" t="s">
        <v>2070</v>
      </c>
      <c r="L87" s="741">
        <f>L86/L85</f>
        <v>0.1313369809</v>
      </c>
      <c r="M87" s="733"/>
      <c r="N87" s="742" t="str">
        <f>IF(L87&lt;25%,"Não","Sim - proceder verificação ao lado")</f>
        <v>Não</v>
      </c>
      <c r="O87" s="743" t="b">
        <v>1</v>
      </c>
    </row>
    <row r="88">
      <c r="A88" s="736" t="s">
        <v>2230</v>
      </c>
      <c r="B88" s="744" t="s">
        <v>2212</v>
      </c>
      <c r="C88" s="767" t="s">
        <v>2213</v>
      </c>
      <c r="D88" s="777" t="s">
        <v>2214</v>
      </c>
      <c r="E88" s="737" t="s">
        <v>2113</v>
      </c>
      <c r="F88" s="764" t="s">
        <v>2231</v>
      </c>
      <c r="G88" s="736" t="s">
        <v>1757</v>
      </c>
      <c r="H88" s="745">
        <v>0.209</v>
      </c>
      <c r="I88" s="776" t="s">
        <v>2232</v>
      </c>
      <c r="J88" s="301"/>
      <c r="K88" s="731" t="s">
        <v>2075</v>
      </c>
      <c r="L88" s="746">
        <f>L85*1.25</f>
        <v>0.25575</v>
      </c>
      <c r="M88" s="733"/>
      <c r="N88" s="301"/>
      <c r="O88" s="743" t="b">
        <v>1</v>
      </c>
    </row>
    <row r="89">
      <c r="A89" s="736" t="s">
        <v>2230</v>
      </c>
      <c r="B89" s="744" t="s">
        <v>2212</v>
      </c>
      <c r="C89" s="767" t="s">
        <v>2221</v>
      </c>
      <c r="D89" s="777" t="s">
        <v>2222</v>
      </c>
      <c r="E89" s="737" t="s">
        <v>2113</v>
      </c>
      <c r="F89" s="764" t="s">
        <v>2233</v>
      </c>
      <c r="G89" s="736" t="s">
        <v>1757</v>
      </c>
      <c r="H89" s="745">
        <v>0.229</v>
      </c>
      <c r="I89" s="776" t="s">
        <v>2234</v>
      </c>
      <c r="J89" s="189"/>
      <c r="K89" s="731" t="s">
        <v>2080</v>
      </c>
      <c r="L89" s="746">
        <f>L85*0.75</f>
        <v>0.15345</v>
      </c>
      <c r="M89" s="733"/>
      <c r="N89" s="189"/>
      <c r="O89" s="743" t="b">
        <v>1</v>
      </c>
    </row>
    <row r="90">
      <c r="A90" s="734"/>
      <c r="B90" s="735"/>
      <c r="C90" s="735"/>
      <c r="D90" s="734"/>
      <c r="E90" s="749"/>
      <c r="F90" s="750"/>
      <c r="G90" s="749"/>
      <c r="H90" s="749"/>
      <c r="I90" s="751"/>
      <c r="J90" s="752"/>
      <c r="K90" s="752"/>
      <c r="L90" s="752"/>
      <c r="M90" s="751"/>
      <c r="N90" s="752"/>
      <c r="O90" s="753"/>
    </row>
    <row r="91">
      <c r="A91" s="754" t="s">
        <v>1213</v>
      </c>
      <c r="B91" s="755" t="s">
        <v>2235</v>
      </c>
      <c r="C91" s="36"/>
      <c r="D91" s="36"/>
      <c r="E91" s="36"/>
      <c r="F91" s="36"/>
      <c r="G91" s="754" t="s">
        <v>1757</v>
      </c>
      <c r="H91" s="756">
        <f>MEDIAN(H93:H95)</f>
        <v>0.2</v>
      </c>
      <c r="I91" s="757"/>
      <c r="J91" s="758" t="s">
        <v>2053</v>
      </c>
      <c r="K91" s="731" t="s">
        <v>2054</v>
      </c>
      <c r="L91" s="759">
        <f>AVERAGE(H93:H95)</f>
        <v>0.2333333333</v>
      </c>
      <c r="M91" s="733"/>
      <c r="N91" s="760" t="s">
        <v>2055</v>
      </c>
      <c r="O91" s="454"/>
    </row>
    <row r="92">
      <c r="A92" s="727" t="s">
        <v>1717</v>
      </c>
      <c r="B92" s="728" t="s">
        <v>2056</v>
      </c>
      <c r="C92" s="728" t="s">
        <v>2057</v>
      </c>
      <c r="D92" s="727" t="s">
        <v>2058</v>
      </c>
      <c r="E92" s="727" t="s">
        <v>2059</v>
      </c>
      <c r="F92" s="729" t="s">
        <v>1537</v>
      </c>
      <c r="G92" s="727" t="s">
        <v>2060</v>
      </c>
      <c r="H92" s="727" t="s">
        <v>2061</v>
      </c>
      <c r="I92" s="730" t="s">
        <v>2062</v>
      </c>
      <c r="J92" s="301"/>
      <c r="K92" s="731" t="s">
        <v>2063</v>
      </c>
      <c r="L92" s="732">
        <f>STDEV(H93:H95)</f>
        <v>0.05773502692</v>
      </c>
      <c r="M92" s="733"/>
      <c r="N92" s="189"/>
      <c r="O92" s="454"/>
    </row>
    <row r="93">
      <c r="A93" s="734"/>
      <c r="B93" s="744" t="s">
        <v>2212</v>
      </c>
      <c r="C93" s="744" t="s">
        <v>2236</v>
      </c>
      <c r="D93" s="736" t="s">
        <v>2237</v>
      </c>
      <c r="E93" s="737" t="s">
        <v>2067</v>
      </c>
      <c r="F93" s="779" t="s">
        <v>2238</v>
      </c>
      <c r="G93" s="736" t="s">
        <v>1757</v>
      </c>
      <c r="H93" s="745">
        <v>0.2</v>
      </c>
      <c r="I93" s="775" t="s">
        <v>2239</v>
      </c>
      <c r="J93" s="301"/>
      <c r="K93" s="731" t="s">
        <v>2070</v>
      </c>
      <c r="L93" s="741">
        <f>L92/L91</f>
        <v>0.2474358297</v>
      </c>
      <c r="M93" s="733"/>
      <c r="N93" s="742" t="str">
        <f>IF(L93&lt;25%,"Não","Sim - proceder verificação ao lado")</f>
        <v>Não</v>
      </c>
      <c r="O93" s="743" t="b">
        <v>1</v>
      </c>
    </row>
    <row r="94">
      <c r="A94" s="734"/>
      <c r="B94" s="744" t="s">
        <v>2212</v>
      </c>
      <c r="C94" s="744" t="s">
        <v>2240</v>
      </c>
      <c r="D94" s="736" t="s">
        <v>2241</v>
      </c>
      <c r="E94" s="737" t="s">
        <v>2067</v>
      </c>
      <c r="F94" s="779" t="s">
        <v>2242</v>
      </c>
      <c r="G94" s="736" t="s">
        <v>1757</v>
      </c>
      <c r="H94" s="739">
        <v>0.2</v>
      </c>
      <c r="I94" s="780" t="s">
        <v>2243</v>
      </c>
      <c r="J94" s="301"/>
      <c r="K94" s="731" t="s">
        <v>2075</v>
      </c>
      <c r="L94" s="746">
        <f>L91*1.25</f>
        <v>0.2916666667</v>
      </c>
      <c r="M94" s="733"/>
      <c r="N94" s="301"/>
      <c r="O94" s="743" t="b">
        <v>1</v>
      </c>
    </row>
    <row r="95">
      <c r="A95" s="734"/>
      <c r="B95" s="744" t="s">
        <v>2212</v>
      </c>
      <c r="C95" s="744" t="s">
        <v>2244</v>
      </c>
      <c r="D95" s="736" t="s">
        <v>2245</v>
      </c>
      <c r="E95" s="737" t="s">
        <v>2067</v>
      </c>
      <c r="F95" s="779" t="s">
        <v>2246</v>
      </c>
      <c r="G95" s="736" t="s">
        <v>1757</v>
      </c>
      <c r="H95" s="739">
        <v>0.3</v>
      </c>
      <c r="I95" s="775" t="s">
        <v>2247</v>
      </c>
      <c r="J95" s="189"/>
      <c r="K95" s="731" t="s">
        <v>2080</v>
      </c>
      <c r="L95" s="746">
        <f>L91*0.75</f>
        <v>0.175</v>
      </c>
      <c r="M95" s="733"/>
      <c r="N95" s="189"/>
      <c r="O95" s="743" t="b">
        <v>1</v>
      </c>
    </row>
    <row r="96">
      <c r="A96" s="734"/>
      <c r="B96" s="735"/>
      <c r="C96" s="735"/>
      <c r="D96" s="734"/>
      <c r="E96" s="749"/>
      <c r="F96" s="750"/>
      <c r="G96" s="749"/>
      <c r="H96" s="749"/>
      <c r="I96" s="751"/>
      <c r="J96" s="752"/>
      <c r="K96" s="752"/>
      <c r="L96" s="752"/>
      <c r="M96" s="751"/>
      <c r="N96" s="752"/>
      <c r="O96" s="753"/>
    </row>
    <row r="97">
      <c r="A97" s="754" t="s">
        <v>1215</v>
      </c>
      <c r="B97" s="755" t="s">
        <v>2248</v>
      </c>
      <c r="C97" s="36"/>
      <c r="D97" s="36"/>
      <c r="E97" s="36"/>
      <c r="F97" s="36"/>
      <c r="G97" s="754" t="s">
        <v>1757</v>
      </c>
      <c r="H97" s="756">
        <f>MEDIAN(H99:H101)</f>
        <v>20.9</v>
      </c>
      <c r="I97" s="757"/>
      <c r="J97" s="758" t="s">
        <v>2053</v>
      </c>
      <c r="K97" s="731" t="s">
        <v>2054</v>
      </c>
      <c r="L97" s="759">
        <f>AVERAGE(H99:H101)</f>
        <v>20.23</v>
      </c>
      <c r="M97" s="733"/>
      <c r="N97" s="760" t="s">
        <v>2055</v>
      </c>
      <c r="O97" s="454"/>
    </row>
    <row r="98">
      <c r="A98" s="727" t="s">
        <v>1717</v>
      </c>
      <c r="B98" s="728" t="s">
        <v>2056</v>
      </c>
      <c r="C98" s="728" t="s">
        <v>2057</v>
      </c>
      <c r="D98" s="727" t="s">
        <v>2058</v>
      </c>
      <c r="E98" s="727" t="s">
        <v>2059</v>
      </c>
      <c r="F98" s="729" t="s">
        <v>1537</v>
      </c>
      <c r="G98" s="727" t="s">
        <v>2060</v>
      </c>
      <c r="H98" s="727" t="s">
        <v>2061</v>
      </c>
      <c r="I98" s="730" t="s">
        <v>2062</v>
      </c>
      <c r="J98" s="301"/>
      <c r="K98" s="731" t="s">
        <v>2063</v>
      </c>
      <c r="L98" s="732">
        <f>STDEV(H99:H101)</f>
        <v>5.048455209</v>
      </c>
      <c r="M98" s="733"/>
      <c r="N98" s="189"/>
      <c r="O98" s="454"/>
    </row>
    <row r="99">
      <c r="A99" s="734"/>
      <c r="B99" s="735" t="s">
        <v>2064</v>
      </c>
      <c r="C99" s="735" t="s">
        <v>2249</v>
      </c>
      <c r="D99" s="734" t="s">
        <v>2227</v>
      </c>
      <c r="E99" s="737" t="s">
        <v>2067</v>
      </c>
      <c r="F99" s="738" t="s">
        <v>2250</v>
      </c>
      <c r="G99" s="736" t="s">
        <v>1757</v>
      </c>
      <c r="H99" s="745">
        <v>14.88</v>
      </c>
      <c r="I99" s="740" t="s">
        <v>2251</v>
      </c>
      <c r="J99" s="301"/>
      <c r="K99" s="731" t="s">
        <v>2070</v>
      </c>
      <c r="L99" s="741">
        <f>L98/L97</f>
        <v>0.2495529021</v>
      </c>
      <c r="M99" s="733"/>
      <c r="N99" s="742" t="str">
        <f>IF(L99&lt;25%,"Não","Sim - proceder verificação ao lado")</f>
        <v>Não</v>
      </c>
      <c r="O99" s="743" t="b">
        <v>1</v>
      </c>
    </row>
    <row r="100">
      <c r="A100" s="734"/>
      <c r="B100" s="735" t="s">
        <v>2064</v>
      </c>
      <c r="C100" s="744" t="s">
        <v>2126</v>
      </c>
      <c r="D100" s="736" t="s">
        <v>2189</v>
      </c>
      <c r="E100" s="737" t="s">
        <v>2067</v>
      </c>
      <c r="F100" s="738" t="s">
        <v>2252</v>
      </c>
      <c r="G100" s="736" t="s">
        <v>1757</v>
      </c>
      <c r="H100" s="745">
        <v>24.91</v>
      </c>
      <c r="I100" s="740" t="s">
        <v>2253</v>
      </c>
      <c r="J100" s="301"/>
      <c r="K100" s="731" t="s">
        <v>2075</v>
      </c>
      <c r="L100" s="746">
        <f>L97*1.25</f>
        <v>25.2875</v>
      </c>
      <c r="M100" s="733"/>
      <c r="N100" s="301"/>
      <c r="O100" s="743" t="b">
        <v>1</v>
      </c>
    </row>
    <row r="101">
      <c r="A101" s="734"/>
      <c r="B101" s="735" t="s">
        <v>2064</v>
      </c>
      <c r="C101" s="747" t="s">
        <v>2254</v>
      </c>
      <c r="D101" s="748" t="s">
        <v>2255</v>
      </c>
      <c r="E101" s="737" t="s">
        <v>2067</v>
      </c>
      <c r="F101" s="766" t="s">
        <v>2256</v>
      </c>
      <c r="G101" s="736" t="s">
        <v>1757</v>
      </c>
      <c r="H101" s="739">
        <v>20.9</v>
      </c>
      <c r="I101" s="740" t="s">
        <v>2257</v>
      </c>
      <c r="J101" s="189"/>
      <c r="K101" s="731" t="s">
        <v>2080</v>
      </c>
      <c r="L101" s="746">
        <f>L97*0.75</f>
        <v>15.1725</v>
      </c>
      <c r="M101" s="733"/>
      <c r="N101" s="189"/>
      <c r="O101" s="743" t="b">
        <v>1</v>
      </c>
    </row>
    <row r="102">
      <c r="A102" s="734"/>
      <c r="B102" s="735"/>
      <c r="C102" s="735"/>
      <c r="D102" s="734"/>
      <c r="E102" s="749"/>
      <c r="F102" s="750"/>
      <c r="G102" s="749"/>
      <c r="H102" s="749"/>
      <c r="I102" s="751"/>
      <c r="J102" s="752"/>
      <c r="K102" s="752"/>
      <c r="L102" s="752"/>
      <c r="M102" s="751"/>
      <c r="N102" s="752"/>
      <c r="O102" s="753"/>
    </row>
    <row r="103">
      <c r="A103" s="754" t="s">
        <v>1217</v>
      </c>
      <c r="B103" s="755" t="s">
        <v>2258</v>
      </c>
      <c r="C103" s="36"/>
      <c r="D103" s="36"/>
      <c r="E103" s="36"/>
      <c r="F103" s="36"/>
      <c r="G103" s="754" t="s">
        <v>1757</v>
      </c>
      <c r="H103" s="756">
        <f>MEDIAN(H105:H107)</f>
        <v>8.77</v>
      </c>
      <c r="I103" s="757"/>
      <c r="J103" s="758" t="s">
        <v>2053</v>
      </c>
      <c r="K103" s="731" t="s">
        <v>2054</v>
      </c>
      <c r="L103" s="759">
        <f>AVERAGE(H105:H107)</f>
        <v>8.85</v>
      </c>
      <c r="M103" s="733"/>
      <c r="N103" s="760" t="s">
        <v>2055</v>
      </c>
      <c r="O103" s="454"/>
    </row>
    <row r="104">
      <c r="A104" s="727" t="s">
        <v>1717</v>
      </c>
      <c r="B104" s="728" t="s">
        <v>2056</v>
      </c>
      <c r="C104" s="728" t="s">
        <v>2057</v>
      </c>
      <c r="D104" s="727" t="s">
        <v>2058</v>
      </c>
      <c r="E104" s="727" t="s">
        <v>2059</v>
      </c>
      <c r="F104" s="729" t="s">
        <v>1537</v>
      </c>
      <c r="G104" s="727" t="s">
        <v>2060</v>
      </c>
      <c r="H104" s="727" t="s">
        <v>2061</v>
      </c>
      <c r="I104" s="730" t="s">
        <v>2062</v>
      </c>
      <c r="J104" s="301"/>
      <c r="K104" s="731" t="s">
        <v>2063</v>
      </c>
      <c r="L104" s="732">
        <f>STDEV(H105:H107)</f>
        <v>0.5245950819</v>
      </c>
      <c r="M104" s="733"/>
      <c r="N104" s="189"/>
      <c r="O104" s="454"/>
    </row>
    <row r="105">
      <c r="A105" s="734"/>
      <c r="B105" s="735" t="s">
        <v>2064</v>
      </c>
      <c r="C105" s="735" t="s">
        <v>2259</v>
      </c>
      <c r="D105" s="734" t="s">
        <v>2260</v>
      </c>
      <c r="E105" s="737" t="s">
        <v>2067</v>
      </c>
      <c r="F105" s="738" t="s">
        <v>2261</v>
      </c>
      <c r="G105" s="736" t="s">
        <v>1757</v>
      </c>
      <c r="H105" s="745">
        <v>8.77</v>
      </c>
      <c r="I105" s="740" t="s">
        <v>2262</v>
      </c>
      <c r="J105" s="301"/>
      <c r="K105" s="731" t="s">
        <v>2070</v>
      </c>
      <c r="L105" s="741">
        <f>L104/L103</f>
        <v>0.05927628045</v>
      </c>
      <c r="M105" s="733"/>
      <c r="N105" s="742" t="str">
        <f>IF(L105&lt;25%,"Não","Sim - proceder verificação ao lado")</f>
        <v>Não</v>
      </c>
      <c r="O105" s="743" t="b">
        <v>1</v>
      </c>
    </row>
    <row r="106">
      <c r="A106" s="734"/>
      <c r="B106" s="735" t="s">
        <v>2064</v>
      </c>
      <c r="C106" s="744" t="s">
        <v>2263</v>
      </c>
      <c r="D106" s="736" t="s">
        <v>2264</v>
      </c>
      <c r="E106" s="737" t="s">
        <v>2067</v>
      </c>
      <c r="F106" s="738" t="s">
        <v>2265</v>
      </c>
      <c r="G106" s="736" t="s">
        <v>1757</v>
      </c>
      <c r="H106" s="745">
        <v>8.37</v>
      </c>
      <c r="I106" s="740" t="s">
        <v>2266</v>
      </c>
      <c r="J106" s="301"/>
      <c r="K106" s="731" t="s">
        <v>2075</v>
      </c>
      <c r="L106" s="746">
        <f>L103*1.25</f>
        <v>11.0625</v>
      </c>
      <c r="M106" s="733"/>
      <c r="N106" s="301"/>
      <c r="O106" s="743" t="b">
        <v>1</v>
      </c>
    </row>
    <row r="107">
      <c r="A107" s="734"/>
      <c r="B107" s="735" t="s">
        <v>2064</v>
      </c>
      <c r="C107" s="744" t="s">
        <v>2267</v>
      </c>
      <c r="D107" s="736" t="s">
        <v>2268</v>
      </c>
      <c r="E107" s="737" t="s">
        <v>2067</v>
      </c>
      <c r="F107" s="738" t="s">
        <v>2269</v>
      </c>
      <c r="G107" s="736" t="s">
        <v>1757</v>
      </c>
      <c r="H107" s="739">
        <v>9.41</v>
      </c>
      <c r="I107" s="740" t="s">
        <v>2270</v>
      </c>
      <c r="J107" s="189"/>
      <c r="K107" s="731" t="s">
        <v>2080</v>
      </c>
      <c r="L107" s="746">
        <f>L103*0.75</f>
        <v>6.6375</v>
      </c>
      <c r="M107" s="733"/>
      <c r="N107" s="189"/>
      <c r="O107" s="743" t="b">
        <v>1</v>
      </c>
    </row>
    <row r="108">
      <c r="A108" s="734"/>
      <c r="B108" s="735"/>
      <c r="C108" s="735"/>
      <c r="D108" s="734"/>
      <c r="E108" s="749"/>
      <c r="F108" s="750"/>
      <c r="G108" s="749"/>
      <c r="H108" s="749"/>
      <c r="I108" s="751"/>
      <c r="J108" s="752"/>
      <c r="K108" s="752"/>
      <c r="L108" s="752"/>
      <c r="M108" s="751"/>
      <c r="N108" s="752"/>
      <c r="O108" s="753"/>
    </row>
    <row r="109">
      <c r="A109" s="754" t="s">
        <v>1219</v>
      </c>
      <c r="B109" s="755" t="s">
        <v>2271</v>
      </c>
      <c r="C109" s="36"/>
      <c r="D109" s="36"/>
      <c r="E109" s="36"/>
      <c r="F109" s="36"/>
      <c r="G109" s="754" t="s">
        <v>1757</v>
      </c>
      <c r="H109" s="756">
        <f>MEDIAN(H111:H113)</f>
        <v>18</v>
      </c>
      <c r="I109" s="757"/>
      <c r="J109" s="758" t="s">
        <v>2053</v>
      </c>
      <c r="K109" s="731" t="s">
        <v>2054</v>
      </c>
      <c r="L109" s="759">
        <f>AVERAGE(H111:H113)</f>
        <v>20.34</v>
      </c>
      <c r="M109" s="733"/>
      <c r="N109" s="760" t="s">
        <v>2055</v>
      </c>
      <c r="O109" s="454"/>
    </row>
    <row r="110">
      <c r="A110" s="727" t="s">
        <v>1717</v>
      </c>
      <c r="B110" s="728" t="s">
        <v>2056</v>
      </c>
      <c r="C110" s="728" t="s">
        <v>2057</v>
      </c>
      <c r="D110" s="727" t="s">
        <v>2058</v>
      </c>
      <c r="E110" s="727" t="s">
        <v>2059</v>
      </c>
      <c r="F110" s="729" t="s">
        <v>1537</v>
      </c>
      <c r="G110" s="727" t="s">
        <v>2060</v>
      </c>
      <c r="H110" s="727" t="s">
        <v>2061</v>
      </c>
      <c r="I110" s="730" t="s">
        <v>2062</v>
      </c>
      <c r="J110" s="301"/>
      <c r="K110" s="731" t="s">
        <v>2063</v>
      </c>
      <c r="L110" s="732">
        <f>STDEV(H111:H113)</f>
        <v>4.926134387</v>
      </c>
      <c r="M110" s="733"/>
      <c r="N110" s="189"/>
      <c r="O110" s="454"/>
    </row>
    <row r="111">
      <c r="A111" s="734"/>
      <c r="B111" s="735" t="s">
        <v>2064</v>
      </c>
      <c r="C111" s="735" t="s">
        <v>2272</v>
      </c>
      <c r="D111" s="734" t="s">
        <v>2273</v>
      </c>
      <c r="E111" s="737" t="s">
        <v>2067</v>
      </c>
      <c r="F111" s="738" t="s">
        <v>2274</v>
      </c>
      <c r="G111" s="736" t="s">
        <v>1757</v>
      </c>
      <c r="H111" s="745">
        <v>18.0</v>
      </c>
      <c r="I111" s="740" t="s">
        <v>2275</v>
      </c>
      <c r="J111" s="301"/>
      <c r="K111" s="731" t="s">
        <v>2070</v>
      </c>
      <c r="L111" s="741">
        <f>L110/L109</f>
        <v>0.2421894979</v>
      </c>
      <c r="M111" s="733"/>
      <c r="N111" s="742" t="str">
        <f>IF(L111&lt;25%,"Não","Sim - proceder verificação ao lado")</f>
        <v>Não</v>
      </c>
      <c r="O111" s="743" t="b">
        <v>1</v>
      </c>
    </row>
    <row r="112">
      <c r="A112" s="734"/>
      <c r="B112" s="735" t="s">
        <v>2064</v>
      </c>
      <c r="C112" s="744" t="s">
        <v>2276</v>
      </c>
      <c r="D112" s="736" t="s">
        <v>2134</v>
      </c>
      <c r="E112" s="737" t="s">
        <v>2067</v>
      </c>
      <c r="F112" s="738" t="s">
        <v>2277</v>
      </c>
      <c r="G112" s="736" t="s">
        <v>1757</v>
      </c>
      <c r="H112" s="745">
        <v>17.02</v>
      </c>
      <c r="I112" s="740" t="s">
        <v>2278</v>
      </c>
      <c r="J112" s="301"/>
      <c r="K112" s="731" t="s">
        <v>2075</v>
      </c>
      <c r="L112" s="746">
        <f>L109*1.25</f>
        <v>25.425</v>
      </c>
      <c r="M112" s="733"/>
      <c r="N112" s="301"/>
      <c r="O112" s="743" t="b">
        <v>1</v>
      </c>
    </row>
    <row r="113">
      <c r="A113" s="734"/>
      <c r="B113" s="735" t="s">
        <v>2064</v>
      </c>
      <c r="C113" s="744" t="s">
        <v>2126</v>
      </c>
      <c r="D113" s="736" t="s">
        <v>2189</v>
      </c>
      <c r="E113" s="737" t="s">
        <v>2067</v>
      </c>
      <c r="F113" s="738" t="s">
        <v>2274</v>
      </c>
      <c r="G113" s="736" t="s">
        <v>1757</v>
      </c>
      <c r="H113" s="745">
        <v>26.0</v>
      </c>
      <c r="I113" s="740" t="s">
        <v>2279</v>
      </c>
      <c r="J113" s="189"/>
      <c r="K113" s="731" t="s">
        <v>2080</v>
      </c>
      <c r="L113" s="746">
        <f>L109*0.75</f>
        <v>15.255</v>
      </c>
      <c r="M113" s="733"/>
      <c r="N113" s="189"/>
      <c r="O113" s="743" t="b">
        <v>1</v>
      </c>
    </row>
    <row r="114">
      <c r="A114" s="734"/>
      <c r="B114" s="735"/>
      <c r="C114" s="735"/>
      <c r="D114" s="734"/>
      <c r="E114" s="749"/>
      <c r="F114" s="750"/>
      <c r="G114" s="749"/>
      <c r="H114" s="749"/>
      <c r="I114" s="751"/>
      <c r="J114" s="752"/>
      <c r="K114" s="752"/>
      <c r="L114" s="752"/>
      <c r="M114" s="751"/>
      <c r="N114" s="752"/>
      <c r="O114" s="753"/>
    </row>
    <row r="115">
      <c r="A115" s="754" t="s">
        <v>1221</v>
      </c>
      <c r="B115" s="755" t="s">
        <v>2280</v>
      </c>
      <c r="C115" s="36"/>
      <c r="D115" s="36"/>
      <c r="E115" s="36"/>
      <c r="F115" s="36"/>
      <c r="G115" s="754" t="s">
        <v>1757</v>
      </c>
      <c r="H115" s="756">
        <f>MEDIAN(H117:H119)</f>
        <v>28.24</v>
      </c>
      <c r="I115" s="757"/>
      <c r="J115" s="758" t="s">
        <v>2053</v>
      </c>
      <c r="K115" s="731" t="s">
        <v>2054</v>
      </c>
      <c r="L115" s="759">
        <f>AVERAGE(H117:H119)</f>
        <v>27.10666667</v>
      </c>
      <c r="M115" s="733"/>
      <c r="N115" s="760" t="s">
        <v>2055</v>
      </c>
      <c r="O115" s="454"/>
    </row>
    <row r="116">
      <c r="A116" s="727" t="s">
        <v>1717</v>
      </c>
      <c r="B116" s="728" t="s">
        <v>2056</v>
      </c>
      <c r="C116" s="728" t="s">
        <v>2057</v>
      </c>
      <c r="D116" s="727" t="s">
        <v>2058</v>
      </c>
      <c r="E116" s="727" t="s">
        <v>2059</v>
      </c>
      <c r="F116" s="729" t="s">
        <v>1537</v>
      </c>
      <c r="G116" s="727" t="s">
        <v>2060</v>
      </c>
      <c r="H116" s="727" t="s">
        <v>2061</v>
      </c>
      <c r="I116" s="730" t="s">
        <v>2062</v>
      </c>
      <c r="J116" s="301"/>
      <c r="K116" s="731" t="s">
        <v>2063</v>
      </c>
      <c r="L116" s="732">
        <f>STDEV(H117:H119)</f>
        <v>1.962990915</v>
      </c>
      <c r="M116" s="733"/>
      <c r="N116" s="189"/>
      <c r="O116" s="454"/>
    </row>
    <row r="117">
      <c r="A117" s="734"/>
      <c r="B117" s="735" t="s">
        <v>2064</v>
      </c>
      <c r="C117" s="735" t="s">
        <v>2126</v>
      </c>
      <c r="D117" s="734" t="s">
        <v>2281</v>
      </c>
      <c r="E117" s="737" t="s">
        <v>2067</v>
      </c>
      <c r="F117" s="738" t="s">
        <v>2282</v>
      </c>
      <c r="G117" s="736" t="s">
        <v>1757</v>
      </c>
      <c r="H117" s="745">
        <v>24.84</v>
      </c>
      <c r="I117" s="740" t="s">
        <v>2283</v>
      </c>
      <c r="J117" s="301"/>
      <c r="K117" s="731" t="s">
        <v>2070</v>
      </c>
      <c r="L117" s="741">
        <f>L116/L115</f>
        <v>0.0724172743</v>
      </c>
      <c r="M117" s="733"/>
      <c r="N117" s="742" t="str">
        <f>IF(L117&lt;25%,"Não","Sim - proceder verificação ao lado")</f>
        <v>Não</v>
      </c>
      <c r="O117" s="743" t="b">
        <v>1</v>
      </c>
    </row>
    <row r="118">
      <c r="A118" s="734"/>
      <c r="B118" s="735" t="s">
        <v>2064</v>
      </c>
      <c r="C118" s="735" t="s">
        <v>2149</v>
      </c>
      <c r="D118" s="734" t="s">
        <v>2150</v>
      </c>
      <c r="E118" s="737" t="s">
        <v>2067</v>
      </c>
      <c r="F118" s="738" t="s">
        <v>2284</v>
      </c>
      <c r="G118" s="736" t="s">
        <v>1757</v>
      </c>
      <c r="H118" s="739">
        <v>28.24</v>
      </c>
      <c r="I118" s="740" t="s">
        <v>2285</v>
      </c>
      <c r="J118" s="301"/>
      <c r="K118" s="731" t="s">
        <v>2075</v>
      </c>
      <c r="L118" s="746">
        <f>L115*1.25</f>
        <v>33.88333333</v>
      </c>
      <c r="M118" s="733"/>
      <c r="N118" s="301"/>
      <c r="O118" s="743" t="b">
        <v>1</v>
      </c>
    </row>
    <row r="119">
      <c r="A119" s="734"/>
      <c r="B119" s="735" t="s">
        <v>2064</v>
      </c>
      <c r="C119" s="744" t="s">
        <v>2286</v>
      </c>
      <c r="D119" s="736" t="s">
        <v>2150</v>
      </c>
      <c r="E119" s="737" t="s">
        <v>2067</v>
      </c>
      <c r="F119" s="738" t="s">
        <v>2287</v>
      </c>
      <c r="G119" s="736" t="s">
        <v>1757</v>
      </c>
      <c r="H119" s="745">
        <v>28.24</v>
      </c>
      <c r="I119" s="768" t="s">
        <v>2288</v>
      </c>
      <c r="J119" s="189"/>
      <c r="K119" s="731" t="s">
        <v>2080</v>
      </c>
      <c r="L119" s="746">
        <f>L115*0.75</f>
        <v>20.33</v>
      </c>
      <c r="M119" s="733"/>
      <c r="N119" s="189"/>
      <c r="O119" s="743" t="b">
        <v>1</v>
      </c>
    </row>
    <row r="120">
      <c r="A120" s="734"/>
      <c r="B120" s="735"/>
      <c r="C120" s="735"/>
      <c r="D120" s="734"/>
      <c r="E120" s="749"/>
      <c r="F120" s="750"/>
      <c r="G120" s="749"/>
      <c r="H120" s="749"/>
      <c r="I120" s="751"/>
      <c r="J120" s="752"/>
      <c r="K120" s="752"/>
      <c r="L120" s="752"/>
      <c r="M120" s="751"/>
      <c r="N120" s="752"/>
      <c r="O120" s="753"/>
    </row>
    <row r="121">
      <c r="A121" s="754" t="s">
        <v>1223</v>
      </c>
      <c r="B121" s="755" t="s">
        <v>2289</v>
      </c>
      <c r="C121" s="36"/>
      <c r="D121" s="36"/>
      <c r="E121" s="36"/>
      <c r="F121" s="36"/>
      <c r="G121" s="754" t="s">
        <v>1757</v>
      </c>
      <c r="H121" s="756">
        <f>MEDIAN(H123:H125)</f>
        <v>1.2789</v>
      </c>
      <c r="I121" s="757"/>
      <c r="J121" s="758" t="s">
        <v>2053</v>
      </c>
      <c r="K121" s="731" t="s">
        <v>2054</v>
      </c>
      <c r="L121" s="759">
        <f>AVERAGE(H123:H125)</f>
        <v>1.325966667</v>
      </c>
      <c r="M121" s="733"/>
      <c r="N121" s="760" t="s">
        <v>2055</v>
      </c>
      <c r="O121" s="454"/>
    </row>
    <row r="122">
      <c r="A122" s="727" t="s">
        <v>1717</v>
      </c>
      <c r="B122" s="728" t="s">
        <v>2056</v>
      </c>
      <c r="C122" s="728" t="s">
        <v>2057</v>
      </c>
      <c r="D122" s="727" t="s">
        <v>2058</v>
      </c>
      <c r="E122" s="727" t="s">
        <v>2059</v>
      </c>
      <c r="F122" s="729" t="s">
        <v>1537</v>
      </c>
      <c r="G122" s="727" t="s">
        <v>2060</v>
      </c>
      <c r="H122" s="727" t="s">
        <v>2061</v>
      </c>
      <c r="I122" s="730" t="s">
        <v>2062</v>
      </c>
      <c r="J122" s="301"/>
      <c r="K122" s="731" t="s">
        <v>2063</v>
      </c>
      <c r="L122" s="732">
        <f>STDEV(H123:H125)</f>
        <v>0.09023138774</v>
      </c>
      <c r="M122" s="733"/>
      <c r="N122" s="189"/>
      <c r="O122" s="454"/>
    </row>
    <row r="123">
      <c r="A123" s="734"/>
      <c r="B123" s="735" t="s">
        <v>2064</v>
      </c>
      <c r="C123" s="761" t="s">
        <v>2290</v>
      </c>
      <c r="D123" s="762" t="s">
        <v>2291</v>
      </c>
      <c r="E123" s="737" t="s">
        <v>2113</v>
      </c>
      <c r="F123" s="764" t="s">
        <v>2292</v>
      </c>
      <c r="G123" s="736" t="s">
        <v>1757</v>
      </c>
      <c r="H123" s="745">
        <v>1.2789</v>
      </c>
      <c r="I123" s="768" t="s">
        <v>2293</v>
      </c>
      <c r="J123" s="301"/>
      <c r="K123" s="731" t="s">
        <v>2070</v>
      </c>
      <c r="L123" s="741">
        <f>L122/L121</f>
        <v>0.06804951437</v>
      </c>
      <c r="M123" s="733"/>
      <c r="N123" s="742" t="str">
        <f>IF(L123&lt;25%,"Não","Sim - proceder verificação ao lado")</f>
        <v>Não</v>
      </c>
      <c r="O123" s="743" t="b">
        <v>1</v>
      </c>
    </row>
    <row r="124">
      <c r="A124" s="734"/>
      <c r="B124" s="735" t="s">
        <v>2064</v>
      </c>
      <c r="C124" s="767" t="s">
        <v>2294</v>
      </c>
      <c r="D124" s="777" t="s">
        <v>2295</v>
      </c>
      <c r="E124" s="737" t="s">
        <v>2113</v>
      </c>
      <c r="F124" s="764" t="s">
        <v>2296</v>
      </c>
      <c r="G124" s="736" t="s">
        <v>1757</v>
      </c>
      <c r="H124" s="745">
        <v>1.269</v>
      </c>
      <c r="I124" s="768" t="s">
        <v>2297</v>
      </c>
      <c r="J124" s="301"/>
      <c r="K124" s="731" t="s">
        <v>2075</v>
      </c>
      <c r="L124" s="746">
        <f>L121*1.25</f>
        <v>1.657458333</v>
      </c>
      <c r="M124" s="733"/>
      <c r="N124" s="301"/>
      <c r="O124" s="743" t="b">
        <v>1</v>
      </c>
    </row>
    <row r="125">
      <c r="A125" s="734"/>
      <c r="B125" s="735" t="s">
        <v>2064</v>
      </c>
      <c r="C125" s="761" t="s">
        <v>2126</v>
      </c>
      <c r="D125" s="762" t="s">
        <v>2281</v>
      </c>
      <c r="E125" s="737" t="s">
        <v>2113</v>
      </c>
      <c r="F125" s="764" t="s">
        <v>2298</v>
      </c>
      <c r="G125" s="736" t="s">
        <v>1757</v>
      </c>
      <c r="H125" s="745">
        <v>1.43</v>
      </c>
      <c r="I125" s="768" t="s">
        <v>2299</v>
      </c>
      <c r="J125" s="189"/>
      <c r="K125" s="731" t="s">
        <v>2080</v>
      </c>
      <c r="L125" s="746">
        <f>L121*0.75</f>
        <v>0.994475</v>
      </c>
      <c r="M125" s="733"/>
      <c r="N125" s="189"/>
      <c r="O125" s="743" t="b">
        <v>1</v>
      </c>
    </row>
    <row r="126">
      <c r="A126" s="734"/>
      <c r="B126" s="735"/>
      <c r="C126" s="735"/>
      <c r="D126" s="734"/>
      <c r="E126" s="749"/>
      <c r="F126" s="750"/>
      <c r="G126" s="749"/>
      <c r="H126" s="749"/>
      <c r="I126" s="751"/>
      <c r="J126" s="752"/>
      <c r="K126" s="752"/>
      <c r="L126" s="752"/>
      <c r="M126" s="751"/>
      <c r="N126" s="752"/>
      <c r="O126" s="753"/>
    </row>
    <row r="127">
      <c r="A127" s="754" t="s">
        <v>1225</v>
      </c>
      <c r="B127" s="755" t="s">
        <v>2300</v>
      </c>
      <c r="C127" s="36"/>
      <c r="D127" s="36"/>
      <c r="E127" s="36"/>
      <c r="F127" s="36"/>
      <c r="G127" s="754" t="s">
        <v>1757</v>
      </c>
      <c r="H127" s="756">
        <f>MEDIAN(H129:H131)</f>
        <v>1.71</v>
      </c>
      <c r="I127" s="757"/>
      <c r="J127" s="758" t="s">
        <v>2053</v>
      </c>
      <c r="K127" s="731" t="s">
        <v>2054</v>
      </c>
      <c r="L127" s="759">
        <f>AVERAGE(H129:H131)</f>
        <v>1.663333333</v>
      </c>
      <c r="M127" s="733"/>
      <c r="N127" s="760" t="s">
        <v>2055</v>
      </c>
      <c r="O127" s="454"/>
    </row>
    <row r="128">
      <c r="A128" s="727" t="s">
        <v>1717</v>
      </c>
      <c r="B128" s="728" t="s">
        <v>2056</v>
      </c>
      <c r="C128" s="728" t="s">
        <v>2057</v>
      </c>
      <c r="D128" s="727" t="s">
        <v>2058</v>
      </c>
      <c r="E128" s="727" t="s">
        <v>2059</v>
      </c>
      <c r="F128" s="729" t="s">
        <v>1537</v>
      </c>
      <c r="G128" s="727" t="s">
        <v>2060</v>
      </c>
      <c r="H128" s="727" t="s">
        <v>2061</v>
      </c>
      <c r="I128" s="730" t="s">
        <v>2062</v>
      </c>
      <c r="J128" s="301"/>
      <c r="K128" s="731" t="s">
        <v>2063</v>
      </c>
      <c r="L128" s="732">
        <f>STDEV(H129:H131)</f>
        <v>0.2138535324</v>
      </c>
      <c r="M128" s="733"/>
      <c r="N128" s="189"/>
      <c r="O128" s="454"/>
    </row>
    <row r="129">
      <c r="A129" s="734"/>
      <c r="B129" s="735" t="s">
        <v>2064</v>
      </c>
      <c r="C129" s="735" t="s">
        <v>2301</v>
      </c>
      <c r="D129" s="734" t="s">
        <v>2302</v>
      </c>
      <c r="E129" s="737" t="s">
        <v>2067</v>
      </c>
      <c r="F129" s="738" t="s">
        <v>2303</v>
      </c>
      <c r="G129" s="736" t="s">
        <v>1757</v>
      </c>
      <c r="H129" s="745">
        <v>1.71</v>
      </c>
      <c r="I129" s="740" t="s">
        <v>2304</v>
      </c>
      <c r="J129" s="301"/>
      <c r="K129" s="731" t="s">
        <v>2070</v>
      </c>
      <c r="L129" s="741">
        <f>L128/L127</f>
        <v>0.128569258</v>
      </c>
      <c r="M129" s="733"/>
      <c r="N129" s="742" t="str">
        <f>IF(L129&lt;25%,"Não","Sim - proceder verificação ao lado")</f>
        <v>Não</v>
      </c>
      <c r="O129" s="743" t="b">
        <v>1</v>
      </c>
    </row>
    <row r="130">
      <c r="A130" s="734"/>
      <c r="B130" s="735" t="s">
        <v>2064</v>
      </c>
      <c r="C130" s="744" t="s">
        <v>2305</v>
      </c>
      <c r="D130" s="736" t="s">
        <v>2306</v>
      </c>
      <c r="E130" s="737" t="s">
        <v>2067</v>
      </c>
      <c r="F130" s="738" t="s">
        <v>2307</v>
      </c>
      <c r="G130" s="736" t="s">
        <v>1757</v>
      </c>
      <c r="H130" s="745">
        <v>1.43</v>
      </c>
      <c r="I130" s="740" t="s">
        <v>2308</v>
      </c>
      <c r="J130" s="301"/>
      <c r="K130" s="731" t="s">
        <v>2075</v>
      </c>
      <c r="L130" s="746">
        <f>L127*1.25</f>
        <v>2.079166667</v>
      </c>
      <c r="M130" s="733"/>
      <c r="N130" s="301"/>
      <c r="O130" s="743" t="b">
        <v>1</v>
      </c>
    </row>
    <row r="131">
      <c r="A131" s="734"/>
      <c r="B131" s="735" t="s">
        <v>2064</v>
      </c>
      <c r="C131" s="744" t="s">
        <v>2309</v>
      </c>
      <c r="D131" s="736" t="s">
        <v>2310</v>
      </c>
      <c r="E131" s="737" t="s">
        <v>2067</v>
      </c>
      <c r="F131" s="738" t="s">
        <v>2311</v>
      </c>
      <c r="G131" s="736" t="s">
        <v>1757</v>
      </c>
      <c r="H131" s="745">
        <v>1.85</v>
      </c>
      <c r="I131" s="740" t="s">
        <v>2312</v>
      </c>
      <c r="J131" s="189"/>
      <c r="K131" s="731" t="s">
        <v>2080</v>
      </c>
      <c r="L131" s="746">
        <f>L127*0.75</f>
        <v>1.2475</v>
      </c>
      <c r="M131" s="733"/>
      <c r="N131" s="189"/>
      <c r="O131" s="743" t="b">
        <v>1</v>
      </c>
    </row>
    <row r="132">
      <c r="A132" s="734"/>
      <c r="B132" s="735"/>
      <c r="C132" s="735"/>
      <c r="D132" s="734"/>
      <c r="E132" s="749"/>
      <c r="F132" s="750"/>
      <c r="G132" s="749"/>
      <c r="H132" s="749"/>
      <c r="I132" s="751"/>
      <c r="J132" s="752"/>
      <c r="K132" s="752"/>
      <c r="L132" s="752"/>
      <c r="M132" s="751"/>
      <c r="N132" s="752"/>
      <c r="O132" s="753"/>
    </row>
    <row r="133">
      <c r="A133" s="754" t="s">
        <v>1227</v>
      </c>
      <c r="B133" s="755" t="s">
        <v>2313</v>
      </c>
      <c r="C133" s="36"/>
      <c r="D133" s="36"/>
      <c r="E133" s="36"/>
      <c r="F133" s="36"/>
      <c r="G133" s="754" t="s">
        <v>1757</v>
      </c>
      <c r="H133" s="756">
        <f>MEDIAN(H135:H137)</f>
        <v>4.54</v>
      </c>
      <c r="I133" s="757"/>
      <c r="J133" s="758" t="s">
        <v>2053</v>
      </c>
      <c r="K133" s="731" t="s">
        <v>2054</v>
      </c>
      <c r="L133" s="759">
        <f>AVERAGE(H135:H137)</f>
        <v>4.873333333</v>
      </c>
      <c r="M133" s="733"/>
      <c r="N133" s="760" t="s">
        <v>2055</v>
      </c>
      <c r="O133" s="454"/>
    </row>
    <row r="134">
      <c r="A134" s="727" t="s">
        <v>1717</v>
      </c>
      <c r="B134" s="728" t="s">
        <v>2056</v>
      </c>
      <c r="C134" s="728" t="s">
        <v>2057</v>
      </c>
      <c r="D134" s="727" t="s">
        <v>2058</v>
      </c>
      <c r="E134" s="727" t="s">
        <v>2059</v>
      </c>
      <c r="F134" s="729" t="s">
        <v>1537</v>
      </c>
      <c r="G134" s="727" t="s">
        <v>2060</v>
      </c>
      <c r="H134" s="727" t="s">
        <v>2061</v>
      </c>
      <c r="I134" s="730" t="s">
        <v>2062</v>
      </c>
      <c r="J134" s="301"/>
      <c r="K134" s="731" t="s">
        <v>2063</v>
      </c>
      <c r="L134" s="732">
        <f>STDEV(H135:H137)</f>
        <v>1.012044136</v>
      </c>
      <c r="M134" s="733"/>
      <c r="N134" s="189"/>
      <c r="O134" s="454"/>
    </row>
    <row r="135">
      <c r="A135" s="734"/>
      <c r="B135" s="735" t="s">
        <v>2064</v>
      </c>
      <c r="C135" s="735" t="s">
        <v>2314</v>
      </c>
      <c r="D135" s="734" t="s">
        <v>2315</v>
      </c>
      <c r="E135" s="763" t="s">
        <v>2085</v>
      </c>
      <c r="F135" s="764" t="s">
        <v>2316</v>
      </c>
      <c r="G135" s="736" t="s">
        <v>1757</v>
      </c>
      <c r="H135" s="745">
        <v>4.54</v>
      </c>
      <c r="I135" s="768" t="s">
        <v>2317</v>
      </c>
      <c r="J135" s="301"/>
      <c r="K135" s="731" t="s">
        <v>2070</v>
      </c>
      <c r="L135" s="741">
        <f>L134/L133</f>
        <v>0.2076697954</v>
      </c>
      <c r="M135" s="733"/>
      <c r="N135" s="742" t="str">
        <f>IF(L135&lt;25%,"Não","Sim - proceder verificação ao lado")</f>
        <v>Não</v>
      </c>
      <c r="O135" s="743" t="b">
        <v>1</v>
      </c>
    </row>
    <row r="136">
      <c r="A136" s="734"/>
      <c r="B136" s="735" t="s">
        <v>2064</v>
      </c>
      <c r="C136" s="744" t="s">
        <v>2318</v>
      </c>
      <c r="D136" s="736" t="s">
        <v>2319</v>
      </c>
      <c r="E136" s="737" t="s">
        <v>2067</v>
      </c>
      <c r="F136" s="738" t="s">
        <v>2320</v>
      </c>
      <c r="G136" s="736" t="s">
        <v>1757</v>
      </c>
      <c r="H136" s="739">
        <v>6.01</v>
      </c>
      <c r="I136" s="740" t="s">
        <v>2321</v>
      </c>
      <c r="J136" s="301"/>
      <c r="K136" s="731" t="s">
        <v>2075</v>
      </c>
      <c r="L136" s="746">
        <f>L133*1.25</f>
        <v>6.091666667</v>
      </c>
      <c r="M136" s="733"/>
      <c r="N136" s="301"/>
      <c r="O136" s="743" t="b">
        <v>1</v>
      </c>
    </row>
    <row r="137">
      <c r="A137" s="734"/>
      <c r="B137" s="735" t="s">
        <v>2064</v>
      </c>
      <c r="C137" s="744" t="s">
        <v>2322</v>
      </c>
      <c r="D137" s="736" t="s">
        <v>2302</v>
      </c>
      <c r="E137" s="737" t="s">
        <v>2067</v>
      </c>
      <c r="F137" s="738" t="s">
        <v>2323</v>
      </c>
      <c r="G137" s="736" t="s">
        <v>1757</v>
      </c>
      <c r="H137" s="739">
        <v>4.07</v>
      </c>
      <c r="I137" s="740" t="s">
        <v>2324</v>
      </c>
      <c r="J137" s="189"/>
      <c r="K137" s="731" t="s">
        <v>2080</v>
      </c>
      <c r="L137" s="746">
        <f>L133*0.75</f>
        <v>3.655</v>
      </c>
      <c r="M137" s="733"/>
      <c r="N137" s="189"/>
      <c r="O137" s="743" t="b">
        <v>1</v>
      </c>
    </row>
    <row r="138">
      <c r="A138" s="734"/>
      <c r="B138" s="735"/>
      <c r="C138" s="735"/>
      <c r="D138" s="734"/>
      <c r="E138" s="749"/>
      <c r="F138" s="750"/>
      <c r="G138" s="749"/>
      <c r="H138" s="749"/>
      <c r="I138" s="751"/>
      <c r="J138" s="752"/>
      <c r="K138" s="752"/>
      <c r="L138" s="752"/>
      <c r="M138" s="751"/>
      <c r="N138" s="752"/>
      <c r="O138" s="753"/>
    </row>
    <row r="139">
      <c r="A139" s="754" t="s">
        <v>1229</v>
      </c>
      <c r="B139" s="755" t="s">
        <v>2325</v>
      </c>
      <c r="C139" s="36"/>
      <c r="D139" s="36"/>
      <c r="E139" s="36"/>
      <c r="F139" s="36"/>
      <c r="G139" s="754" t="s">
        <v>1757</v>
      </c>
      <c r="H139" s="756">
        <f>MEDIAN(H141:H143)</f>
        <v>2.06</v>
      </c>
      <c r="I139" s="757"/>
      <c r="J139" s="758" t="s">
        <v>2053</v>
      </c>
      <c r="K139" s="731" t="s">
        <v>2054</v>
      </c>
      <c r="L139" s="759">
        <f>AVERAGE(H141:H143)</f>
        <v>1.9</v>
      </c>
      <c r="M139" s="733"/>
      <c r="N139" s="760" t="s">
        <v>2055</v>
      </c>
      <c r="O139" s="454"/>
    </row>
    <row r="140">
      <c r="A140" s="727" t="s">
        <v>1717</v>
      </c>
      <c r="B140" s="728" t="s">
        <v>2056</v>
      </c>
      <c r="C140" s="728" t="s">
        <v>2057</v>
      </c>
      <c r="D140" s="727" t="s">
        <v>2058</v>
      </c>
      <c r="E140" s="727" t="s">
        <v>2059</v>
      </c>
      <c r="F140" s="729" t="s">
        <v>1537</v>
      </c>
      <c r="G140" s="727" t="s">
        <v>2060</v>
      </c>
      <c r="H140" s="727" t="s">
        <v>2061</v>
      </c>
      <c r="I140" s="730" t="s">
        <v>2062</v>
      </c>
      <c r="J140" s="301"/>
      <c r="K140" s="731" t="s">
        <v>2063</v>
      </c>
      <c r="L140" s="732">
        <f>STDEV(H141:H143)</f>
        <v>0.4138840417</v>
      </c>
      <c r="M140" s="733"/>
      <c r="N140" s="189"/>
      <c r="O140" s="454"/>
    </row>
    <row r="141">
      <c r="A141" s="734"/>
      <c r="B141" s="735" t="s">
        <v>2064</v>
      </c>
      <c r="C141" s="735" t="s">
        <v>2326</v>
      </c>
      <c r="D141" s="734" t="s">
        <v>2327</v>
      </c>
      <c r="E141" s="737" t="s">
        <v>2067</v>
      </c>
      <c r="F141" s="738" t="s">
        <v>2328</v>
      </c>
      <c r="G141" s="736" t="s">
        <v>1757</v>
      </c>
      <c r="H141" s="739">
        <v>1.43</v>
      </c>
      <c r="I141" s="740" t="s">
        <v>2329</v>
      </c>
      <c r="J141" s="301"/>
      <c r="K141" s="731" t="s">
        <v>2070</v>
      </c>
      <c r="L141" s="741">
        <f>L140/L139</f>
        <v>0.2178337062</v>
      </c>
      <c r="M141" s="733"/>
      <c r="N141" s="742" t="str">
        <f>IF(L141&lt;25%,"Não","Sim - proceder verificação ao lado")</f>
        <v>Não</v>
      </c>
      <c r="O141" s="743" t="b">
        <v>1</v>
      </c>
    </row>
    <row r="142">
      <c r="A142" s="734"/>
      <c r="B142" s="735" t="s">
        <v>2064</v>
      </c>
      <c r="C142" s="744" t="s">
        <v>2318</v>
      </c>
      <c r="D142" s="736" t="s">
        <v>2319</v>
      </c>
      <c r="E142" s="737" t="s">
        <v>2067</v>
      </c>
      <c r="F142" s="738" t="s">
        <v>2330</v>
      </c>
      <c r="G142" s="736" t="s">
        <v>1757</v>
      </c>
      <c r="H142" s="739">
        <v>2.06</v>
      </c>
      <c r="I142" s="740" t="s">
        <v>2331</v>
      </c>
      <c r="J142" s="301"/>
      <c r="K142" s="731" t="s">
        <v>2075</v>
      </c>
      <c r="L142" s="746">
        <f>L139*1.25</f>
        <v>2.375</v>
      </c>
      <c r="M142" s="733"/>
      <c r="N142" s="301"/>
      <c r="O142" s="743" t="b">
        <v>1</v>
      </c>
    </row>
    <row r="143">
      <c r="A143" s="734"/>
      <c r="B143" s="735" t="s">
        <v>2064</v>
      </c>
      <c r="C143" s="744" t="s">
        <v>2318</v>
      </c>
      <c r="D143" s="736" t="s">
        <v>2319</v>
      </c>
      <c r="E143" s="737" t="s">
        <v>2067</v>
      </c>
      <c r="F143" s="738" t="s">
        <v>2332</v>
      </c>
      <c r="G143" s="736" t="s">
        <v>1757</v>
      </c>
      <c r="H143" s="745">
        <v>2.21</v>
      </c>
      <c r="I143" s="740" t="s">
        <v>2333</v>
      </c>
      <c r="J143" s="189"/>
      <c r="K143" s="731" t="s">
        <v>2080</v>
      </c>
      <c r="L143" s="746">
        <f>L139*0.75</f>
        <v>1.425</v>
      </c>
      <c r="M143" s="733"/>
      <c r="N143" s="189"/>
      <c r="O143" s="743" t="b">
        <v>1</v>
      </c>
    </row>
    <row r="144">
      <c r="A144" s="734"/>
      <c r="B144" s="735"/>
      <c r="C144" s="735"/>
      <c r="D144" s="734"/>
      <c r="E144" s="749"/>
      <c r="F144" s="750"/>
      <c r="G144" s="749"/>
      <c r="H144" s="749"/>
      <c r="I144" s="751"/>
      <c r="J144" s="752"/>
      <c r="K144" s="752"/>
      <c r="L144" s="752"/>
      <c r="M144" s="751"/>
      <c r="N144" s="752"/>
      <c r="O144" s="753"/>
    </row>
    <row r="145">
      <c r="A145" s="754" t="s">
        <v>1231</v>
      </c>
      <c r="B145" s="755" t="s">
        <v>2334</v>
      </c>
      <c r="C145" s="36"/>
      <c r="D145" s="36"/>
      <c r="E145" s="36"/>
      <c r="F145" s="36"/>
      <c r="G145" s="754" t="s">
        <v>1757</v>
      </c>
      <c r="H145" s="756">
        <f>MEDIAN(H147:H149)</f>
        <v>1.14</v>
      </c>
      <c r="I145" s="757"/>
      <c r="J145" s="758" t="s">
        <v>2053</v>
      </c>
      <c r="K145" s="731" t="s">
        <v>2054</v>
      </c>
      <c r="L145" s="759">
        <f>AVERAGE(H147:H149)</f>
        <v>1.11</v>
      </c>
      <c r="M145" s="733"/>
      <c r="N145" s="760" t="s">
        <v>2055</v>
      </c>
      <c r="O145" s="454"/>
    </row>
    <row r="146">
      <c r="A146" s="727" t="s">
        <v>1717</v>
      </c>
      <c r="B146" s="728" t="s">
        <v>2056</v>
      </c>
      <c r="C146" s="728" t="s">
        <v>2057</v>
      </c>
      <c r="D146" s="727" t="s">
        <v>2058</v>
      </c>
      <c r="E146" s="727" t="s">
        <v>2059</v>
      </c>
      <c r="F146" s="729" t="s">
        <v>1537</v>
      </c>
      <c r="G146" s="727" t="s">
        <v>2060</v>
      </c>
      <c r="H146" s="727" t="s">
        <v>2061</v>
      </c>
      <c r="I146" s="730" t="s">
        <v>2062</v>
      </c>
      <c r="J146" s="301"/>
      <c r="K146" s="731" t="s">
        <v>2063</v>
      </c>
      <c r="L146" s="732">
        <f>STDEV(H147:H149)</f>
        <v>0.1374772708</v>
      </c>
      <c r="M146" s="733"/>
      <c r="N146" s="189"/>
      <c r="O146" s="454"/>
    </row>
    <row r="147">
      <c r="A147" s="734"/>
      <c r="B147" s="735" t="s">
        <v>2064</v>
      </c>
      <c r="C147" s="744" t="s">
        <v>2318</v>
      </c>
      <c r="D147" s="736" t="s">
        <v>2319</v>
      </c>
      <c r="E147" s="737" t="s">
        <v>2067</v>
      </c>
      <c r="F147" s="738" t="s">
        <v>2335</v>
      </c>
      <c r="G147" s="736" t="s">
        <v>1757</v>
      </c>
      <c r="H147" s="739">
        <v>1.14</v>
      </c>
      <c r="I147" s="740" t="s">
        <v>2336</v>
      </c>
      <c r="J147" s="301"/>
      <c r="K147" s="731" t="s">
        <v>2070</v>
      </c>
      <c r="L147" s="741">
        <f>L146/L145</f>
        <v>0.1238533972</v>
      </c>
      <c r="M147" s="733"/>
      <c r="N147" s="742" t="str">
        <f>IF(L147&lt;25%,"Não","Sim - proceder verificação ao lado")</f>
        <v>Não</v>
      </c>
      <c r="O147" s="743" t="b">
        <v>1</v>
      </c>
    </row>
    <row r="148">
      <c r="A148" s="734"/>
      <c r="B148" s="735" t="s">
        <v>2064</v>
      </c>
      <c r="C148" s="735" t="s">
        <v>2272</v>
      </c>
      <c r="D148" s="734" t="s">
        <v>2273</v>
      </c>
      <c r="E148" s="737" t="s">
        <v>2067</v>
      </c>
      <c r="F148" s="738" t="s">
        <v>2337</v>
      </c>
      <c r="G148" s="736" t="s">
        <v>1757</v>
      </c>
      <c r="H148" s="745">
        <v>1.23</v>
      </c>
      <c r="I148" s="740" t="s">
        <v>2338</v>
      </c>
      <c r="J148" s="301"/>
      <c r="K148" s="731" t="s">
        <v>2075</v>
      </c>
      <c r="L148" s="746">
        <f>L145*1.25</f>
        <v>1.3875</v>
      </c>
      <c r="M148" s="733"/>
      <c r="N148" s="301"/>
      <c r="O148" s="743" t="b">
        <v>1</v>
      </c>
    </row>
    <row r="149">
      <c r="A149" s="734"/>
      <c r="B149" s="735" t="s">
        <v>2064</v>
      </c>
      <c r="C149" s="735" t="s">
        <v>2314</v>
      </c>
      <c r="D149" s="734" t="s">
        <v>2315</v>
      </c>
      <c r="E149" s="737" t="s">
        <v>2067</v>
      </c>
      <c r="F149" s="766" t="s">
        <v>2339</v>
      </c>
      <c r="G149" s="736" t="s">
        <v>1757</v>
      </c>
      <c r="H149" s="745">
        <v>0.96</v>
      </c>
      <c r="I149" s="740" t="s">
        <v>2340</v>
      </c>
      <c r="J149" s="189"/>
      <c r="K149" s="731" t="s">
        <v>2080</v>
      </c>
      <c r="L149" s="746">
        <f>L145*0.75</f>
        <v>0.8325</v>
      </c>
      <c r="M149" s="733"/>
      <c r="N149" s="189"/>
      <c r="O149" s="743" t="b">
        <v>1</v>
      </c>
    </row>
    <row r="150">
      <c r="A150" s="734"/>
      <c r="B150" s="735"/>
      <c r="C150" s="735"/>
      <c r="D150" s="734"/>
      <c r="E150" s="749"/>
      <c r="F150" s="750"/>
      <c r="G150" s="749"/>
      <c r="H150" s="749"/>
      <c r="I150" s="751"/>
      <c r="J150" s="752"/>
      <c r="K150" s="752"/>
      <c r="L150" s="752"/>
      <c r="M150" s="751"/>
      <c r="N150" s="752"/>
      <c r="O150" s="753"/>
    </row>
    <row r="151">
      <c r="A151" s="754" t="s">
        <v>1233</v>
      </c>
      <c r="B151" s="755" t="s">
        <v>2341</v>
      </c>
      <c r="C151" s="36"/>
      <c r="D151" s="36"/>
      <c r="E151" s="36"/>
      <c r="F151" s="36"/>
      <c r="G151" s="754" t="s">
        <v>1757</v>
      </c>
      <c r="H151" s="756">
        <f>MEDIAN(H153:H155)</f>
        <v>14.42</v>
      </c>
      <c r="I151" s="757"/>
      <c r="J151" s="758" t="s">
        <v>2053</v>
      </c>
      <c r="K151" s="731" t="s">
        <v>2054</v>
      </c>
      <c r="L151" s="759">
        <f>AVERAGE(H153:H155)</f>
        <v>14.00333333</v>
      </c>
      <c r="M151" s="733"/>
      <c r="N151" s="760" t="s">
        <v>2055</v>
      </c>
      <c r="O151" s="454"/>
    </row>
    <row r="152">
      <c r="A152" s="727" t="s">
        <v>1717</v>
      </c>
      <c r="B152" s="728" t="s">
        <v>2056</v>
      </c>
      <c r="C152" s="728" t="s">
        <v>2057</v>
      </c>
      <c r="D152" s="727" t="s">
        <v>2058</v>
      </c>
      <c r="E152" s="727" t="s">
        <v>2059</v>
      </c>
      <c r="F152" s="729" t="s">
        <v>1537</v>
      </c>
      <c r="G152" s="727" t="s">
        <v>2060</v>
      </c>
      <c r="H152" s="727" t="s">
        <v>2061</v>
      </c>
      <c r="I152" s="730" t="s">
        <v>2062</v>
      </c>
      <c r="J152" s="301"/>
      <c r="K152" s="731" t="s">
        <v>2063</v>
      </c>
      <c r="L152" s="732">
        <f>STDEV(H153:H155)</f>
        <v>0.7216878365</v>
      </c>
      <c r="M152" s="733"/>
      <c r="N152" s="189"/>
      <c r="O152" s="454"/>
    </row>
    <row r="153">
      <c r="A153" s="734"/>
      <c r="B153" s="735" t="s">
        <v>2064</v>
      </c>
      <c r="C153" s="735" t="s">
        <v>2342</v>
      </c>
      <c r="D153" s="734" t="s">
        <v>2222</v>
      </c>
      <c r="E153" s="737" t="s">
        <v>2067</v>
      </c>
      <c r="F153" s="738" t="s">
        <v>2343</v>
      </c>
      <c r="G153" s="736" t="s">
        <v>1757</v>
      </c>
      <c r="H153" s="739">
        <v>14.42</v>
      </c>
      <c r="I153" s="740" t="s">
        <v>2344</v>
      </c>
      <c r="J153" s="301"/>
      <c r="K153" s="731" t="s">
        <v>2070</v>
      </c>
      <c r="L153" s="741">
        <f>L152/L151</f>
        <v>0.0515368605</v>
      </c>
      <c r="M153" s="733"/>
      <c r="N153" s="742" t="str">
        <f>IF(L153&lt;25%,"Não","Sim - proceder verificação ao lado")</f>
        <v>Não</v>
      </c>
      <c r="O153" s="743" t="b">
        <v>1</v>
      </c>
    </row>
    <row r="154">
      <c r="A154" s="734"/>
      <c r="B154" s="735" t="s">
        <v>2064</v>
      </c>
      <c r="C154" s="744" t="s">
        <v>2168</v>
      </c>
      <c r="D154" s="736" t="s">
        <v>2169</v>
      </c>
      <c r="E154" s="737" t="s">
        <v>2067</v>
      </c>
      <c r="F154" s="738" t="s">
        <v>2345</v>
      </c>
      <c r="G154" s="736" t="s">
        <v>1757</v>
      </c>
      <c r="H154" s="745">
        <v>13.17</v>
      </c>
      <c r="I154" s="740" t="s">
        <v>2346</v>
      </c>
      <c r="J154" s="301"/>
      <c r="K154" s="731" t="s">
        <v>2075</v>
      </c>
      <c r="L154" s="746">
        <f>L151*1.25</f>
        <v>17.50416667</v>
      </c>
      <c r="M154" s="733"/>
      <c r="N154" s="301"/>
      <c r="O154" s="743" t="b">
        <v>1</v>
      </c>
    </row>
    <row r="155">
      <c r="A155" s="734"/>
      <c r="B155" s="735" t="s">
        <v>2064</v>
      </c>
      <c r="C155" s="747" t="s">
        <v>2342</v>
      </c>
      <c r="D155" s="748" t="s">
        <v>2222</v>
      </c>
      <c r="E155" s="737" t="s">
        <v>2067</v>
      </c>
      <c r="F155" s="766" t="s">
        <v>2347</v>
      </c>
      <c r="G155" s="736" t="s">
        <v>1757</v>
      </c>
      <c r="H155" s="739">
        <v>14.42</v>
      </c>
      <c r="I155" s="740" t="s">
        <v>2348</v>
      </c>
      <c r="J155" s="189"/>
      <c r="K155" s="731" t="s">
        <v>2080</v>
      </c>
      <c r="L155" s="746">
        <f>L151*0.75</f>
        <v>10.5025</v>
      </c>
      <c r="M155" s="733"/>
      <c r="N155" s="189"/>
      <c r="O155" s="743" t="b">
        <v>1</v>
      </c>
    </row>
    <row r="156">
      <c r="A156" s="734"/>
      <c r="B156" s="735"/>
      <c r="C156" s="735"/>
      <c r="D156" s="734"/>
      <c r="E156" s="749"/>
      <c r="F156" s="750"/>
      <c r="G156" s="749"/>
      <c r="H156" s="749"/>
      <c r="I156" s="751"/>
      <c r="J156" s="752"/>
      <c r="K156" s="752"/>
      <c r="L156" s="752"/>
      <c r="M156" s="751"/>
      <c r="N156" s="752"/>
      <c r="O156" s="753"/>
    </row>
    <row r="157">
      <c r="A157" s="754" t="s">
        <v>1235</v>
      </c>
      <c r="B157" s="755" t="s">
        <v>2349</v>
      </c>
      <c r="C157" s="36"/>
      <c r="D157" s="36"/>
      <c r="E157" s="36"/>
      <c r="F157" s="36"/>
      <c r="G157" s="754" t="s">
        <v>1757</v>
      </c>
      <c r="H157" s="756">
        <f>MEDIAN(H159:H161)</f>
        <v>26.32</v>
      </c>
      <c r="I157" s="757"/>
      <c r="J157" s="758" t="s">
        <v>2053</v>
      </c>
      <c r="K157" s="731" t="s">
        <v>2054</v>
      </c>
      <c r="L157" s="759">
        <f>AVERAGE(H159:H161)</f>
        <v>25.20333333</v>
      </c>
      <c r="M157" s="733"/>
      <c r="N157" s="760" t="s">
        <v>2055</v>
      </c>
      <c r="O157" s="454"/>
    </row>
    <row r="158">
      <c r="A158" s="727" t="s">
        <v>1717</v>
      </c>
      <c r="B158" s="728" t="s">
        <v>2056</v>
      </c>
      <c r="C158" s="728" t="s">
        <v>2057</v>
      </c>
      <c r="D158" s="727" t="s">
        <v>2058</v>
      </c>
      <c r="E158" s="727" t="s">
        <v>2059</v>
      </c>
      <c r="F158" s="729" t="s">
        <v>1537</v>
      </c>
      <c r="G158" s="727" t="s">
        <v>2060</v>
      </c>
      <c r="H158" s="727" t="s">
        <v>2061</v>
      </c>
      <c r="I158" s="730" t="s">
        <v>2062</v>
      </c>
      <c r="J158" s="301"/>
      <c r="K158" s="731" t="s">
        <v>2063</v>
      </c>
      <c r="L158" s="732">
        <f>STDEV(H159:H161)</f>
        <v>4.636963805</v>
      </c>
      <c r="M158" s="733"/>
      <c r="N158" s="189"/>
      <c r="O158" s="454"/>
    </row>
    <row r="159">
      <c r="A159" s="734"/>
      <c r="B159" s="735" t="s">
        <v>2064</v>
      </c>
      <c r="C159" s="735" t="s">
        <v>2350</v>
      </c>
      <c r="D159" s="734" t="s">
        <v>2351</v>
      </c>
      <c r="E159" s="737" t="s">
        <v>2067</v>
      </c>
      <c r="F159" s="738" t="s">
        <v>2352</v>
      </c>
      <c r="G159" s="736" t="s">
        <v>1757</v>
      </c>
      <c r="H159" s="745">
        <v>20.11</v>
      </c>
      <c r="I159" s="740" t="s">
        <v>2353</v>
      </c>
      <c r="J159" s="301"/>
      <c r="K159" s="731" t="s">
        <v>2070</v>
      </c>
      <c r="L159" s="741">
        <f>L158/L157</f>
        <v>0.183982164</v>
      </c>
      <c r="M159" s="733"/>
      <c r="N159" s="742" t="str">
        <f>IF(L159&lt;25%,"Não","Sim - proceder verificação ao lado")</f>
        <v>Não</v>
      </c>
      <c r="O159" s="743" t="b">
        <v>1</v>
      </c>
    </row>
    <row r="160">
      <c r="A160" s="734"/>
      <c r="B160" s="735" t="s">
        <v>2064</v>
      </c>
      <c r="C160" s="744" t="s">
        <v>2354</v>
      </c>
      <c r="D160" s="736" t="s">
        <v>2355</v>
      </c>
      <c r="E160" s="737" t="s">
        <v>2067</v>
      </c>
      <c r="F160" s="738" t="s">
        <v>2356</v>
      </c>
      <c r="G160" s="736" t="s">
        <v>1757</v>
      </c>
      <c r="H160" s="745">
        <v>26.32</v>
      </c>
      <c r="I160" s="740" t="s">
        <v>2357</v>
      </c>
      <c r="J160" s="301"/>
      <c r="K160" s="731" t="s">
        <v>2075</v>
      </c>
      <c r="L160" s="746">
        <f>L157*1.25</f>
        <v>31.50416667</v>
      </c>
      <c r="M160" s="733"/>
      <c r="N160" s="301"/>
      <c r="O160" s="743" t="b">
        <v>1</v>
      </c>
    </row>
    <row r="161">
      <c r="A161" s="734"/>
      <c r="B161" s="735" t="s">
        <v>2064</v>
      </c>
      <c r="C161" s="744" t="s">
        <v>2358</v>
      </c>
      <c r="D161" s="736" t="s">
        <v>2359</v>
      </c>
      <c r="E161" s="737" t="s">
        <v>2067</v>
      </c>
      <c r="F161" s="738" t="s">
        <v>2360</v>
      </c>
      <c r="G161" s="736" t="s">
        <v>1757</v>
      </c>
      <c r="H161" s="745">
        <v>29.18</v>
      </c>
      <c r="I161" s="740" t="s">
        <v>2361</v>
      </c>
      <c r="J161" s="189"/>
      <c r="K161" s="731" t="s">
        <v>2080</v>
      </c>
      <c r="L161" s="746">
        <f>L157*0.75</f>
        <v>18.9025</v>
      </c>
      <c r="M161" s="733"/>
      <c r="N161" s="189"/>
      <c r="O161" s="743" t="b">
        <v>1</v>
      </c>
    </row>
    <row r="162">
      <c r="A162" s="734"/>
      <c r="B162" s="735"/>
      <c r="C162" s="735"/>
      <c r="D162" s="734"/>
      <c r="E162" s="749"/>
      <c r="F162" s="750"/>
      <c r="G162" s="749"/>
      <c r="H162" s="749"/>
      <c r="I162" s="751"/>
      <c r="J162" s="752"/>
      <c r="K162" s="752"/>
      <c r="L162" s="752"/>
      <c r="M162" s="751"/>
      <c r="N162" s="752"/>
      <c r="O162" s="753"/>
    </row>
    <row r="163">
      <c r="A163" s="754" t="s">
        <v>1237</v>
      </c>
      <c r="B163" s="755" t="s">
        <v>2362</v>
      </c>
      <c r="C163" s="36"/>
      <c r="D163" s="36"/>
      <c r="E163" s="36"/>
      <c r="F163" s="36"/>
      <c r="G163" s="754" t="s">
        <v>2363</v>
      </c>
      <c r="H163" s="756">
        <f>MEDIAN(H165:H167)</f>
        <v>160.2</v>
      </c>
      <c r="I163" s="757"/>
      <c r="J163" s="758" t="s">
        <v>2053</v>
      </c>
      <c r="K163" s="731" t="s">
        <v>2054</v>
      </c>
      <c r="L163" s="759">
        <f>AVERAGE(H165:H167)</f>
        <v>164.3233333</v>
      </c>
      <c r="M163" s="733"/>
      <c r="N163" s="760" t="s">
        <v>2055</v>
      </c>
      <c r="O163" s="454"/>
    </row>
    <row r="164">
      <c r="A164" s="727" t="s">
        <v>1717</v>
      </c>
      <c r="B164" s="728" t="s">
        <v>2056</v>
      </c>
      <c r="C164" s="728" t="s">
        <v>2057</v>
      </c>
      <c r="D164" s="727" t="s">
        <v>2058</v>
      </c>
      <c r="E164" s="727" t="s">
        <v>2059</v>
      </c>
      <c r="F164" s="729" t="s">
        <v>1537</v>
      </c>
      <c r="G164" s="727" t="s">
        <v>2060</v>
      </c>
      <c r="H164" s="727" t="s">
        <v>2061</v>
      </c>
      <c r="I164" s="730" t="s">
        <v>2062</v>
      </c>
      <c r="J164" s="301"/>
      <c r="K164" s="731" t="s">
        <v>2063</v>
      </c>
      <c r="L164" s="732">
        <f>STDEV(H165:H167)</f>
        <v>21.88824875</v>
      </c>
      <c r="M164" s="733"/>
      <c r="N164" s="189"/>
      <c r="O164" s="454"/>
    </row>
    <row r="165">
      <c r="A165" s="734"/>
      <c r="B165" s="735" t="s">
        <v>2064</v>
      </c>
      <c r="C165" s="761" t="s">
        <v>2364</v>
      </c>
      <c r="D165" s="762" t="s">
        <v>2365</v>
      </c>
      <c r="E165" s="737" t="s">
        <v>2366</v>
      </c>
      <c r="F165" s="764" t="s">
        <v>2367</v>
      </c>
      <c r="G165" s="736" t="s">
        <v>2363</v>
      </c>
      <c r="H165" s="745">
        <v>144.79</v>
      </c>
      <c r="I165" s="768" t="s">
        <v>2368</v>
      </c>
      <c r="J165" s="301"/>
      <c r="K165" s="731" t="s">
        <v>2070</v>
      </c>
      <c r="L165" s="741">
        <f>L164/L163</f>
        <v>0.1332023171</v>
      </c>
      <c r="M165" s="733"/>
      <c r="N165" s="742" t="str">
        <f>IF(L165&lt;25%,"Não","Sim - proceder verificação ao lado")</f>
        <v>Não</v>
      </c>
      <c r="O165" s="743" t="b">
        <v>1</v>
      </c>
    </row>
    <row r="166">
      <c r="A166" s="734"/>
      <c r="B166" s="735" t="s">
        <v>2064</v>
      </c>
      <c r="C166" s="767" t="s">
        <v>2369</v>
      </c>
      <c r="D166" s="777" t="s">
        <v>2365</v>
      </c>
      <c r="E166" s="763" t="s">
        <v>2085</v>
      </c>
      <c r="F166" s="764" t="s">
        <v>2370</v>
      </c>
      <c r="G166" s="736" t="s">
        <v>2363</v>
      </c>
      <c r="H166" s="745">
        <v>160.2</v>
      </c>
      <c r="I166" s="768" t="s">
        <v>2371</v>
      </c>
      <c r="J166" s="301"/>
      <c r="K166" s="731" t="s">
        <v>2075</v>
      </c>
      <c r="L166" s="746">
        <f>L163*1.25</f>
        <v>205.4041667</v>
      </c>
      <c r="M166" s="733"/>
      <c r="N166" s="301"/>
      <c r="O166" s="743" t="b">
        <v>1</v>
      </c>
    </row>
    <row r="167">
      <c r="A167" s="734"/>
      <c r="B167" s="735" t="s">
        <v>2064</v>
      </c>
      <c r="C167" s="747" t="s">
        <v>2372</v>
      </c>
      <c r="D167" s="748" t="s">
        <v>2134</v>
      </c>
      <c r="E167" s="737" t="s">
        <v>2366</v>
      </c>
      <c r="F167" s="764" t="s">
        <v>2373</v>
      </c>
      <c r="G167" s="736" t="s">
        <v>2363</v>
      </c>
      <c r="H167" s="745">
        <v>187.98</v>
      </c>
      <c r="I167" s="768" t="s">
        <v>2374</v>
      </c>
      <c r="J167" s="189"/>
      <c r="K167" s="731" t="s">
        <v>2080</v>
      </c>
      <c r="L167" s="746">
        <f>L163*0.75</f>
        <v>123.2425</v>
      </c>
      <c r="M167" s="733"/>
      <c r="N167" s="189"/>
      <c r="O167" s="743" t="b">
        <v>1</v>
      </c>
    </row>
    <row r="168">
      <c r="A168" s="734"/>
      <c r="B168" s="735"/>
      <c r="C168" s="735"/>
      <c r="D168" s="734"/>
      <c r="E168" s="749"/>
      <c r="F168" s="750"/>
      <c r="G168" s="749"/>
      <c r="H168" s="749"/>
      <c r="I168" s="751"/>
      <c r="J168" s="752"/>
      <c r="K168" s="752"/>
      <c r="L168" s="752"/>
      <c r="M168" s="751"/>
      <c r="N168" s="752"/>
      <c r="O168" s="753"/>
    </row>
    <row r="169">
      <c r="A169" s="754" t="s">
        <v>1239</v>
      </c>
      <c r="B169" s="755" t="s">
        <v>2375</v>
      </c>
      <c r="C169" s="36"/>
      <c r="D169" s="36"/>
      <c r="E169" s="36"/>
      <c r="F169" s="36"/>
      <c r="G169" s="754" t="s">
        <v>2363</v>
      </c>
      <c r="H169" s="756">
        <f>MEDIAN(H171:H173)</f>
        <v>194.75</v>
      </c>
      <c r="I169" s="757"/>
      <c r="J169" s="758" t="s">
        <v>2053</v>
      </c>
      <c r="K169" s="731" t="s">
        <v>2054</v>
      </c>
      <c r="L169" s="759">
        <f>AVERAGE(H171:H173)</f>
        <v>200.86</v>
      </c>
      <c r="M169" s="733"/>
      <c r="N169" s="760" t="s">
        <v>2055</v>
      </c>
      <c r="O169" s="454"/>
    </row>
    <row r="170">
      <c r="A170" s="727" t="s">
        <v>1717</v>
      </c>
      <c r="B170" s="728" t="s">
        <v>2056</v>
      </c>
      <c r="C170" s="728" t="s">
        <v>2057</v>
      </c>
      <c r="D170" s="727" t="s">
        <v>2058</v>
      </c>
      <c r="E170" s="727" t="s">
        <v>2059</v>
      </c>
      <c r="F170" s="729" t="s">
        <v>1537</v>
      </c>
      <c r="G170" s="727" t="s">
        <v>2060</v>
      </c>
      <c r="H170" s="727" t="s">
        <v>2061</v>
      </c>
      <c r="I170" s="730" t="s">
        <v>2062</v>
      </c>
      <c r="J170" s="301"/>
      <c r="K170" s="731" t="s">
        <v>2063</v>
      </c>
      <c r="L170" s="732">
        <f>STDEV(H171:H173)</f>
        <v>24.49339299</v>
      </c>
      <c r="M170" s="733"/>
      <c r="N170" s="189"/>
      <c r="O170" s="454"/>
    </row>
    <row r="171">
      <c r="A171" s="734"/>
      <c r="B171" s="735" t="s">
        <v>2064</v>
      </c>
      <c r="C171" s="735" t="s">
        <v>2376</v>
      </c>
      <c r="D171" s="734" t="s">
        <v>2134</v>
      </c>
      <c r="E171" s="737" t="s">
        <v>2067</v>
      </c>
      <c r="F171" s="738" t="s">
        <v>2377</v>
      </c>
      <c r="G171" s="736" t="s">
        <v>2363</v>
      </c>
      <c r="H171" s="739">
        <v>180.0</v>
      </c>
      <c r="I171" s="740" t="s">
        <v>2378</v>
      </c>
      <c r="J171" s="301"/>
      <c r="K171" s="731" t="s">
        <v>2070</v>
      </c>
      <c r="L171" s="741">
        <f>L170/L169</f>
        <v>0.1219426117</v>
      </c>
      <c r="M171" s="733"/>
      <c r="N171" s="742" t="str">
        <f>IF(L171&lt;25%,"Não","Sim - proceder verificação ao lado")</f>
        <v>Não</v>
      </c>
      <c r="O171" s="743" t="b">
        <v>1</v>
      </c>
    </row>
    <row r="172">
      <c r="A172" s="734"/>
      <c r="B172" s="735" t="s">
        <v>2064</v>
      </c>
      <c r="C172" s="747" t="s">
        <v>2379</v>
      </c>
      <c r="D172" s="748" t="s">
        <v>2380</v>
      </c>
      <c r="E172" s="737" t="s">
        <v>2067</v>
      </c>
      <c r="F172" s="766" t="s">
        <v>2381</v>
      </c>
      <c r="G172" s="736" t="s">
        <v>2363</v>
      </c>
      <c r="H172" s="739">
        <v>194.75</v>
      </c>
      <c r="I172" s="740" t="s">
        <v>2382</v>
      </c>
      <c r="J172" s="301"/>
      <c r="K172" s="731" t="s">
        <v>2075</v>
      </c>
      <c r="L172" s="746">
        <f>L169*1.25</f>
        <v>251.075</v>
      </c>
      <c r="M172" s="733"/>
      <c r="N172" s="301"/>
      <c r="O172" s="743" t="b">
        <v>1</v>
      </c>
    </row>
    <row r="173">
      <c r="A173" s="734"/>
      <c r="B173" s="735" t="s">
        <v>2064</v>
      </c>
      <c r="C173" s="735" t="s">
        <v>2126</v>
      </c>
      <c r="D173" s="734" t="s">
        <v>2281</v>
      </c>
      <c r="E173" s="737" t="s">
        <v>2067</v>
      </c>
      <c r="F173" s="766" t="s">
        <v>2383</v>
      </c>
      <c r="G173" s="736" t="s">
        <v>2363</v>
      </c>
      <c r="H173" s="745">
        <v>227.83</v>
      </c>
      <c r="I173" s="740" t="s">
        <v>2384</v>
      </c>
      <c r="J173" s="189"/>
      <c r="K173" s="731" t="s">
        <v>2080</v>
      </c>
      <c r="L173" s="746">
        <f>L169*0.75</f>
        <v>150.645</v>
      </c>
      <c r="M173" s="733"/>
      <c r="N173" s="189"/>
      <c r="O173" s="743" t="b">
        <v>1</v>
      </c>
    </row>
    <row r="174">
      <c r="A174" s="734"/>
      <c r="B174" s="735"/>
      <c r="C174" s="735"/>
      <c r="D174" s="734"/>
      <c r="E174" s="749"/>
      <c r="F174" s="750"/>
      <c r="G174" s="749"/>
      <c r="H174" s="749"/>
      <c r="I174" s="751"/>
      <c r="J174" s="752"/>
      <c r="K174" s="752"/>
      <c r="L174" s="752"/>
      <c r="M174" s="751"/>
      <c r="N174" s="752"/>
      <c r="O174" s="753"/>
    </row>
    <row r="175">
      <c r="A175" s="754" t="s">
        <v>1241</v>
      </c>
      <c r="B175" s="755" t="s">
        <v>2385</v>
      </c>
      <c r="C175" s="36"/>
      <c r="D175" s="36"/>
      <c r="E175" s="36"/>
      <c r="F175" s="36"/>
      <c r="G175" s="754" t="s">
        <v>2386</v>
      </c>
      <c r="H175" s="756">
        <f>MEDIAN(H177:H179)</f>
        <v>41.23</v>
      </c>
      <c r="I175" s="757"/>
      <c r="J175" s="758" t="s">
        <v>2053</v>
      </c>
      <c r="K175" s="731" t="s">
        <v>2054</v>
      </c>
      <c r="L175" s="759">
        <f>AVERAGE(H177:H179)</f>
        <v>41.78333333</v>
      </c>
      <c r="M175" s="733"/>
      <c r="N175" s="760" t="s">
        <v>2055</v>
      </c>
      <c r="O175" s="454"/>
    </row>
    <row r="176">
      <c r="A176" s="727" t="s">
        <v>1717</v>
      </c>
      <c r="B176" s="728" t="s">
        <v>2056</v>
      </c>
      <c r="C176" s="728" t="s">
        <v>2057</v>
      </c>
      <c r="D176" s="727" t="s">
        <v>2058</v>
      </c>
      <c r="E176" s="727" t="s">
        <v>2059</v>
      </c>
      <c r="F176" s="729" t="s">
        <v>1537</v>
      </c>
      <c r="G176" s="727" t="s">
        <v>2060</v>
      </c>
      <c r="H176" s="727" t="s">
        <v>2061</v>
      </c>
      <c r="I176" s="730" t="s">
        <v>2062</v>
      </c>
      <c r="J176" s="301"/>
      <c r="K176" s="731" t="s">
        <v>2063</v>
      </c>
      <c r="L176" s="732">
        <f>STDEV(H177:H179)</f>
        <v>2.978797296</v>
      </c>
      <c r="M176" s="733"/>
      <c r="N176" s="189"/>
      <c r="O176" s="454"/>
    </row>
    <row r="177">
      <c r="A177" s="734"/>
      <c r="B177" s="735" t="s">
        <v>2064</v>
      </c>
      <c r="C177" s="735" t="s">
        <v>2387</v>
      </c>
      <c r="D177" s="734" t="s">
        <v>2388</v>
      </c>
      <c r="E177" s="737" t="s">
        <v>2067</v>
      </c>
      <c r="F177" s="738" t="s">
        <v>2389</v>
      </c>
      <c r="G177" s="736" t="s">
        <v>2386</v>
      </c>
      <c r="H177" s="739">
        <v>41.23</v>
      </c>
      <c r="I177" s="775" t="s">
        <v>2390</v>
      </c>
      <c r="J177" s="301"/>
      <c r="K177" s="731" t="s">
        <v>2070</v>
      </c>
      <c r="L177" s="741">
        <f>L176/L175</f>
        <v>0.07129151886</v>
      </c>
      <c r="M177" s="733"/>
      <c r="N177" s="742" t="str">
        <f>IF(L177&lt;25%,"Não","Sim - proceder verificação ao lado")</f>
        <v>Não</v>
      </c>
      <c r="O177" s="743" t="b">
        <v>1</v>
      </c>
    </row>
    <row r="178">
      <c r="A178" s="734"/>
      <c r="B178" s="735" t="s">
        <v>2064</v>
      </c>
      <c r="C178" s="767" t="s">
        <v>2276</v>
      </c>
      <c r="D178" s="777" t="s">
        <v>2134</v>
      </c>
      <c r="E178" s="763" t="s">
        <v>2113</v>
      </c>
      <c r="F178" s="764" t="s">
        <v>2391</v>
      </c>
      <c r="G178" s="736" t="s">
        <v>2386</v>
      </c>
      <c r="H178" s="745">
        <v>45.0</v>
      </c>
      <c r="I178" s="768" t="s">
        <v>2392</v>
      </c>
      <c r="J178" s="301"/>
      <c r="K178" s="731" t="s">
        <v>2075</v>
      </c>
      <c r="L178" s="746">
        <f>L175*1.25</f>
        <v>52.22916667</v>
      </c>
      <c r="M178" s="733"/>
      <c r="N178" s="301"/>
      <c r="O178" s="743" t="b">
        <v>1</v>
      </c>
    </row>
    <row r="179">
      <c r="A179" s="734"/>
      <c r="B179" s="735" t="s">
        <v>2064</v>
      </c>
      <c r="C179" s="735" t="s">
        <v>2126</v>
      </c>
      <c r="D179" s="736" t="s">
        <v>2281</v>
      </c>
      <c r="E179" s="737" t="s">
        <v>2067</v>
      </c>
      <c r="F179" s="766" t="s">
        <v>2393</v>
      </c>
      <c r="G179" s="736" t="s">
        <v>2386</v>
      </c>
      <c r="H179" s="745">
        <v>39.12</v>
      </c>
      <c r="I179" s="740" t="s">
        <v>2394</v>
      </c>
      <c r="J179" s="189"/>
      <c r="K179" s="731" t="s">
        <v>2080</v>
      </c>
      <c r="L179" s="746">
        <f>L175*0.75</f>
        <v>31.3375</v>
      </c>
      <c r="M179" s="733"/>
      <c r="N179" s="189"/>
      <c r="O179" s="743" t="b">
        <v>1</v>
      </c>
    </row>
    <row r="180">
      <c r="A180" s="734"/>
      <c r="B180" s="735"/>
      <c r="C180" s="744"/>
      <c r="D180" s="736"/>
      <c r="E180" s="769"/>
      <c r="F180" s="738"/>
      <c r="G180" s="736"/>
      <c r="H180" s="739"/>
      <c r="I180" s="770"/>
      <c r="J180" s="752"/>
      <c r="K180" s="752"/>
      <c r="L180" s="752"/>
      <c r="M180" s="751"/>
      <c r="N180" s="752"/>
      <c r="O180" s="753"/>
    </row>
    <row r="181">
      <c r="A181" s="754" t="s">
        <v>1243</v>
      </c>
      <c r="B181" s="755" t="s">
        <v>2395</v>
      </c>
      <c r="C181" s="36"/>
      <c r="D181" s="36"/>
      <c r="E181" s="36"/>
      <c r="F181" s="36"/>
      <c r="G181" s="754" t="s">
        <v>1757</v>
      </c>
      <c r="H181" s="756">
        <f>MEDIAN(H183:H185)</f>
        <v>49.41</v>
      </c>
      <c r="I181" s="757"/>
      <c r="J181" s="758" t="s">
        <v>2053</v>
      </c>
      <c r="K181" s="731" t="s">
        <v>2054</v>
      </c>
      <c r="L181" s="759">
        <f>AVERAGE(H183:H185)</f>
        <v>47.33666667</v>
      </c>
      <c r="M181" s="733"/>
      <c r="N181" s="760" t="s">
        <v>2055</v>
      </c>
      <c r="O181" s="454"/>
    </row>
    <row r="182">
      <c r="A182" s="727" t="s">
        <v>1717</v>
      </c>
      <c r="B182" s="728" t="s">
        <v>2056</v>
      </c>
      <c r="C182" s="728" t="s">
        <v>2057</v>
      </c>
      <c r="D182" s="727" t="s">
        <v>2058</v>
      </c>
      <c r="E182" s="727" t="s">
        <v>2059</v>
      </c>
      <c r="F182" s="729" t="s">
        <v>1537</v>
      </c>
      <c r="G182" s="727" t="s">
        <v>2060</v>
      </c>
      <c r="H182" s="727" t="s">
        <v>2061</v>
      </c>
      <c r="I182" s="730" t="s">
        <v>2062</v>
      </c>
      <c r="J182" s="301"/>
      <c r="K182" s="731" t="s">
        <v>2063</v>
      </c>
      <c r="L182" s="732">
        <f>STDEV(H183:H185)</f>
        <v>8.883357098</v>
      </c>
      <c r="M182" s="733"/>
      <c r="N182" s="189"/>
      <c r="O182" s="454"/>
    </row>
    <row r="183">
      <c r="A183" s="734"/>
      <c r="B183" s="735" t="s">
        <v>2064</v>
      </c>
      <c r="C183" s="735" t="s">
        <v>2318</v>
      </c>
      <c r="D183" s="734" t="s">
        <v>2319</v>
      </c>
      <c r="E183" s="737" t="s">
        <v>2067</v>
      </c>
      <c r="F183" s="738" t="s">
        <v>2396</v>
      </c>
      <c r="G183" s="736" t="s">
        <v>1757</v>
      </c>
      <c r="H183" s="739">
        <v>37.6</v>
      </c>
      <c r="I183" s="775" t="s">
        <v>2397</v>
      </c>
      <c r="J183" s="301"/>
      <c r="K183" s="731" t="s">
        <v>2070</v>
      </c>
      <c r="L183" s="741">
        <f>L182/L181</f>
        <v>0.1876633427</v>
      </c>
      <c r="M183" s="733"/>
      <c r="N183" s="742" t="str">
        <f>IF(L183&lt;25%,"Não","Sim - proceder verificação ao lado")</f>
        <v>Não</v>
      </c>
      <c r="O183" s="743" t="b">
        <v>1</v>
      </c>
    </row>
    <row r="184">
      <c r="A184" s="734"/>
      <c r="B184" s="735" t="s">
        <v>2064</v>
      </c>
      <c r="C184" s="747" t="s">
        <v>2398</v>
      </c>
      <c r="D184" s="748" t="s">
        <v>2399</v>
      </c>
      <c r="E184" s="737" t="s">
        <v>2067</v>
      </c>
      <c r="F184" s="766" t="s">
        <v>2400</v>
      </c>
      <c r="G184" s="736" t="s">
        <v>1757</v>
      </c>
      <c r="H184" s="739">
        <v>55.0</v>
      </c>
      <c r="I184" s="740" t="s">
        <v>2401</v>
      </c>
      <c r="J184" s="301"/>
      <c r="K184" s="731" t="s">
        <v>2075</v>
      </c>
      <c r="L184" s="746">
        <f>L181*1.25</f>
        <v>59.17083333</v>
      </c>
      <c r="M184" s="733"/>
      <c r="N184" s="301"/>
      <c r="O184" s="743" t="b">
        <v>1</v>
      </c>
    </row>
    <row r="185">
      <c r="A185" s="734"/>
      <c r="B185" s="735" t="s">
        <v>2064</v>
      </c>
      <c r="C185" s="735" t="s">
        <v>2126</v>
      </c>
      <c r="D185" s="736" t="s">
        <v>2281</v>
      </c>
      <c r="E185" s="737" t="s">
        <v>2067</v>
      </c>
      <c r="F185" s="738" t="s">
        <v>2402</v>
      </c>
      <c r="G185" s="736" t="s">
        <v>1757</v>
      </c>
      <c r="H185" s="739">
        <v>49.41</v>
      </c>
      <c r="I185" s="740" t="s">
        <v>2403</v>
      </c>
      <c r="J185" s="189"/>
      <c r="K185" s="731" t="s">
        <v>2080</v>
      </c>
      <c r="L185" s="746">
        <f>L181*0.75</f>
        <v>35.5025</v>
      </c>
      <c r="M185" s="733"/>
      <c r="N185" s="189"/>
      <c r="O185" s="743" t="b">
        <v>1</v>
      </c>
    </row>
    <row r="186">
      <c r="A186" s="734"/>
      <c r="B186" s="735"/>
      <c r="C186" s="735"/>
      <c r="D186" s="736"/>
      <c r="E186" s="769"/>
      <c r="F186" s="738"/>
      <c r="G186" s="736"/>
      <c r="H186" s="739"/>
      <c r="I186" s="770"/>
      <c r="J186" s="752"/>
      <c r="K186" s="752"/>
      <c r="L186" s="752"/>
      <c r="M186" s="751"/>
      <c r="N186" s="752"/>
      <c r="O186" s="753"/>
    </row>
    <row r="187">
      <c r="A187" s="754" t="s">
        <v>1245</v>
      </c>
      <c r="B187" s="755" t="s">
        <v>2404</v>
      </c>
      <c r="C187" s="36"/>
      <c r="D187" s="36"/>
      <c r="E187" s="36"/>
      <c r="F187" s="36"/>
      <c r="G187" s="754" t="s">
        <v>1757</v>
      </c>
      <c r="H187" s="756">
        <f>MEDIAN(H189:H191)</f>
        <v>109</v>
      </c>
      <c r="I187" s="757"/>
      <c r="J187" s="758" t="s">
        <v>2053</v>
      </c>
      <c r="K187" s="731" t="s">
        <v>2054</v>
      </c>
      <c r="L187" s="759">
        <f>AVERAGE(H189:H191)</f>
        <v>105.7</v>
      </c>
      <c r="M187" s="733"/>
      <c r="N187" s="760" t="s">
        <v>2055</v>
      </c>
      <c r="O187" s="454"/>
    </row>
    <row r="188">
      <c r="A188" s="727" t="s">
        <v>1717</v>
      </c>
      <c r="B188" s="728" t="s">
        <v>2056</v>
      </c>
      <c r="C188" s="728" t="s">
        <v>2057</v>
      </c>
      <c r="D188" s="727" t="s">
        <v>2058</v>
      </c>
      <c r="E188" s="727" t="s">
        <v>2059</v>
      </c>
      <c r="F188" s="729" t="s">
        <v>1537</v>
      </c>
      <c r="G188" s="727" t="s">
        <v>2060</v>
      </c>
      <c r="H188" s="727" t="s">
        <v>2061</v>
      </c>
      <c r="I188" s="730" t="s">
        <v>2062</v>
      </c>
      <c r="J188" s="301"/>
      <c r="K188" s="731" t="s">
        <v>2063</v>
      </c>
      <c r="L188" s="732">
        <f>STDEV(H189:H191)</f>
        <v>6.781592733</v>
      </c>
      <c r="M188" s="733"/>
      <c r="N188" s="189"/>
      <c r="O188" s="454"/>
    </row>
    <row r="189">
      <c r="A189" s="734"/>
      <c r="B189" s="735" t="s">
        <v>2064</v>
      </c>
      <c r="C189" s="744" t="s">
        <v>2405</v>
      </c>
      <c r="D189" s="736" t="s">
        <v>2198</v>
      </c>
      <c r="E189" s="737" t="s">
        <v>2067</v>
      </c>
      <c r="F189" s="738" t="s">
        <v>2406</v>
      </c>
      <c r="G189" s="736" t="s">
        <v>1757</v>
      </c>
      <c r="H189" s="745">
        <v>110.2</v>
      </c>
      <c r="I189" s="740" t="s">
        <v>2407</v>
      </c>
      <c r="J189" s="301"/>
      <c r="K189" s="731" t="s">
        <v>2070</v>
      </c>
      <c r="L189" s="741">
        <f>L188/L187</f>
        <v>0.06415887165</v>
      </c>
      <c r="M189" s="733"/>
      <c r="N189" s="742" t="str">
        <f>IF(L189&lt;25%,"Não","Sim - proceder verificação ao lado")</f>
        <v>Não</v>
      </c>
      <c r="O189" s="743" t="b">
        <v>1</v>
      </c>
    </row>
    <row r="190">
      <c r="A190" s="734"/>
      <c r="B190" s="735" t="s">
        <v>2064</v>
      </c>
      <c r="C190" s="744" t="s">
        <v>2408</v>
      </c>
      <c r="D190" s="736" t="s">
        <v>2409</v>
      </c>
      <c r="E190" s="737" t="s">
        <v>2067</v>
      </c>
      <c r="F190" s="738" t="s">
        <v>2410</v>
      </c>
      <c r="G190" s="736" t="s">
        <v>1757</v>
      </c>
      <c r="H190" s="745">
        <v>109.0</v>
      </c>
      <c r="I190" s="740" t="s">
        <v>2411</v>
      </c>
      <c r="J190" s="301"/>
      <c r="K190" s="731" t="s">
        <v>2075</v>
      </c>
      <c r="L190" s="746">
        <f>L187*1.25</f>
        <v>132.125</v>
      </c>
      <c r="M190" s="733"/>
      <c r="N190" s="301"/>
      <c r="O190" s="743" t="b">
        <v>1</v>
      </c>
    </row>
    <row r="191">
      <c r="A191" s="734"/>
      <c r="B191" s="735" t="s">
        <v>2064</v>
      </c>
      <c r="C191" s="744" t="s">
        <v>2412</v>
      </c>
      <c r="D191" s="736" t="s">
        <v>2413</v>
      </c>
      <c r="E191" s="737" t="s">
        <v>2067</v>
      </c>
      <c r="F191" s="738" t="s">
        <v>2414</v>
      </c>
      <c r="G191" s="736" t="s">
        <v>1757</v>
      </c>
      <c r="H191" s="739">
        <v>97.9</v>
      </c>
      <c r="I191" s="775" t="s">
        <v>2415</v>
      </c>
      <c r="J191" s="189"/>
      <c r="K191" s="731" t="s">
        <v>2080</v>
      </c>
      <c r="L191" s="746">
        <f>L187*0.75</f>
        <v>79.275</v>
      </c>
      <c r="M191" s="733"/>
      <c r="N191" s="189"/>
      <c r="O191" s="743" t="b">
        <v>1</v>
      </c>
    </row>
    <row r="192">
      <c r="A192" s="734"/>
      <c r="B192" s="735"/>
      <c r="C192" s="735"/>
      <c r="D192" s="736"/>
      <c r="E192" s="769"/>
      <c r="F192" s="738"/>
      <c r="G192" s="736"/>
      <c r="H192" s="739"/>
      <c r="I192" s="770"/>
      <c r="J192" s="752"/>
      <c r="K192" s="752"/>
      <c r="L192" s="752"/>
      <c r="M192" s="751"/>
      <c r="N192" s="752"/>
      <c r="O192" s="753"/>
    </row>
    <row r="193">
      <c r="A193" s="754" t="s">
        <v>1247</v>
      </c>
      <c r="B193" s="755" t="s">
        <v>2416</v>
      </c>
      <c r="C193" s="36"/>
      <c r="D193" s="36"/>
      <c r="E193" s="36"/>
      <c r="F193" s="36"/>
      <c r="G193" s="754" t="s">
        <v>1757</v>
      </c>
      <c r="H193" s="756">
        <f>MEDIAN(H195:H197)</f>
        <v>83.84</v>
      </c>
      <c r="I193" s="757"/>
      <c r="J193" s="758" t="s">
        <v>2053</v>
      </c>
      <c r="K193" s="731" t="s">
        <v>2054</v>
      </c>
      <c r="L193" s="759">
        <f>AVERAGE(H195:H197)</f>
        <v>87.41333333</v>
      </c>
      <c r="M193" s="733"/>
      <c r="N193" s="760" t="s">
        <v>2055</v>
      </c>
      <c r="O193" s="454"/>
    </row>
    <row r="194">
      <c r="A194" s="727" t="s">
        <v>1717</v>
      </c>
      <c r="B194" s="728" t="s">
        <v>2056</v>
      </c>
      <c r="C194" s="728" t="s">
        <v>2057</v>
      </c>
      <c r="D194" s="727" t="s">
        <v>2058</v>
      </c>
      <c r="E194" s="727" t="s">
        <v>2059</v>
      </c>
      <c r="F194" s="729" t="s">
        <v>1537</v>
      </c>
      <c r="G194" s="727" t="s">
        <v>2060</v>
      </c>
      <c r="H194" s="727" t="s">
        <v>2061</v>
      </c>
      <c r="I194" s="730" t="s">
        <v>2062</v>
      </c>
      <c r="J194" s="301"/>
      <c r="K194" s="731" t="s">
        <v>2063</v>
      </c>
      <c r="L194" s="732">
        <f>STDEV(H195:H197)</f>
        <v>15.42363878</v>
      </c>
      <c r="M194" s="733"/>
      <c r="N194" s="189"/>
      <c r="O194" s="454"/>
    </row>
    <row r="195">
      <c r="A195" s="734"/>
      <c r="B195" s="735" t="s">
        <v>2064</v>
      </c>
      <c r="C195" s="735" t="s">
        <v>2376</v>
      </c>
      <c r="D195" s="734" t="s">
        <v>2134</v>
      </c>
      <c r="E195" s="737" t="s">
        <v>2067</v>
      </c>
      <c r="F195" s="738" t="s">
        <v>2417</v>
      </c>
      <c r="G195" s="736" t="s">
        <v>1757</v>
      </c>
      <c r="H195" s="745">
        <v>83.84</v>
      </c>
      <c r="I195" s="776" t="s">
        <v>2418</v>
      </c>
      <c r="J195" s="301"/>
      <c r="K195" s="731" t="s">
        <v>2070</v>
      </c>
      <c r="L195" s="741">
        <f>L194/L193</f>
        <v>0.176444922</v>
      </c>
      <c r="M195" s="733"/>
      <c r="N195" s="742" t="str">
        <f>IF(L195&lt;25%,"Não","Sim - proceder verificação ao lado")</f>
        <v>Não</v>
      </c>
      <c r="O195" s="743" t="b">
        <v>1</v>
      </c>
    </row>
    <row r="196">
      <c r="A196" s="734"/>
      <c r="B196" s="735" t="s">
        <v>2064</v>
      </c>
      <c r="C196" s="744" t="s">
        <v>2142</v>
      </c>
      <c r="D196" s="736" t="s">
        <v>2143</v>
      </c>
      <c r="E196" s="737" t="s">
        <v>2067</v>
      </c>
      <c r="F196" s="738" t="s">
        <v>2419</v>
      </c>
      <c r="G196" s="736" t="s">
        <v>1757</v>
      </c>
      <c r="H196" s="745">
        <v>74.09</v>
      </c>
      <c r="I196" s="740" t="s">
        <v>2420</v>
      </c>
      <c r="J196" s="301"/>
      <c r="K196" s="731" t="s">
        <v>2075</v>
      </c>
      <c r="L196" s="746">
        <f>L193*1.25</f>
        <v>109.2666667</v>
      </c>
      <c r="M196" s="733"/>
      <c r="N196" s="301"/>
      <c r="O196" s="743" t="b">
        <v>1</v>
      </c>
    </row>
    <row r="197">
      <c r="A197" s="734"/>
      <c r="B197" s="735" t="s">
        <v>2064</v>
      </c>
      <c r="C197" s="744" t="s">
        <v>2421</v>
      </c>
      <c r="D197" s="736" t="s">
        <v>2422</v>
      </c>
      <c r="E197" s="737" t="s">
        <v>2067</v>
      </c>
      <c r="F197" s="738" t="s">
        <v>2423</v>
      </c>
      <c r="G197" s="736" t="s">
        <v>1757</v>
      </c>
      <c r="H197" s="739">
        <v>104.31</v>
      </c>
      <c r="I197" s="740" t="s">
        <v>2424</v>
      </c>
      <c r="J197" s="189"/>
      <c r="K197" s="731" t="s">
        <v>2080</v>
      </c>
      <c r="L197" s="746">
        <f>L193*0.75</f>
        <v>65.56</v>
      </c>
      <c r="M197" s="733"/>
      <c r="N197" s="189"/>
      <c r="O197" s="743" t="b">
        <v>1</v>
      </c>
    </row>
    <row r="198">
      <c r="A198" s="734"/>
      <c r="B198" s="735"/>
      <c r="C198" s="744"/>
      <c r="D198" s="736"/>
      <c r="E198" s="769"/>
      <c r="F198" s="738"/>
      <c r="G198" s="736"/>
      <c r="H198" s="739"/>
      <c r="I198" s="770"/>
      <c r="J198" s="752"/>
      <c r="K198" s="752"/>
      <c r="L198" s="752"/>
      <c r="M198" s="751"/>
      <c r="N198" s="752"/>
      <c r="O198" s="753"/>
    </row>
    <row r="199">
      <c r="A199" s="754" t="s">
        <v>1249</v>
      </c>
      <c r="B199" s="755" t="s">
        <v>2425</v>
      </c>
      <c r="C199" s="36"/>
      <c r="D199" s="36"/>
      <c r="E199" s="36"/>
      <c r="F199" s="36"/>
      <c r="G199" s="754" t="s">
        <v>1757</v>
      </c>
      <c r="H199" s="756">
        <f>MEDIAN(H201:H203)</f>
        <v>6.65</v>
      </c>
      <c r="I199" s="757"/>
      <c r="J199" s="758" t="s">
        <v>2053</v>
      </c>
      <c r="K199" s="731" t="s">
        <v>2054</v>
      </c>
      <c r="L199" s="759">
        <f>AVERAGE(H201:H203)</f>
        <v>6.423333333</v>
      </c>
      <c r="M199" s="733"/>
      <c r="N199" s="760" t="s">
        <v>2055</v>
      </c>
      <c r="O199" s="454"/>
    </row>
    <row r="200">
      <c r="A200" s="727" t="s">
        <v>1717</v>
      </c>
      <c r="B200" s="728" t="s">
        <v>2056</v>
      </c>
      <c r="C200" s="728" t="s">
        <v>2057</v>
      </c>
      <c r="D200" s="727" t="s">
        <v>2058</v>
      </c>
      <c r="E200" s="727" t="s">
        <v>2059</v>
      </c>
      <c r="F200" s="729" t="s">
        <v>1537</v>
      </c>
      <c r="G200" s="727" t="s">
        <v>2060</v>
      </c>
      <c r="H200" s="727" t="s">
        <v>2061</v>
      </c>
      <c r="I200" s="730" t="s">
        <v>2062</v>
      </c>
      <c r="J200" s="301"/>
      <c r="K200" s="731" t="s">
        <v>2063</v>
      </c>
      <c r="L200" s="732">
        <f>STDEV(H201:H203)</f>
        <v>0.7077664398</v>
      </c>
      <c r="M200" s="733"/>
      <c r="N200" s="189"/>
      <c r="O200" s="454"/>
    </row>
    <row r="201">
      <c r="A201" s="734"/>
      <c r="B201" s="735" t="s">
        <v>2064</v>
      </c>
      <c r="C201" s="747" t="s">
        <v>2263</v>
      </c>
      <c r="D201" s="748" t="s">
        <v>2264</v>
      </c>
      <c r="E201" s="737" t="s">
        <v>2067</v>
      </c>
      <c r="F201" s="766" t="s">
        <v>2426</v>
      </c>
      <c r="G201" s="736" t="s">
        <v>1757</v>
      </c>
      <c r="H201" s="745">
        <v>6.65</v>
      </c>
      <c r="I201" s="780" t="s">
        <v>2427</v>
      </c>
      <c r="J201" s="301"/>
      <c r="K201" s="731" t="s">
        <v>2070</v>
      </c>
      <c r="L201" s="741">
        <f>L200/L199</f>
        <v>0.1101867836</v>
      </c>
      <c r="M201" s="733"/>
      <c r="N201" s="742" t="str">
        <f>IF(L201&lt;25%,"Não","Sim - proceder verificação ao lado")</f>
        <v>Não</v>
      </c>
      <c r="O201" s="743" t="b">
        <v>1</v>
      </c>
    </row>
    <row r="202">
      <c r="A202" s="734"/>
      <c r="B202" s="735" t="s">
        <v>2064</v>
      </c>
      <c r="C202" s="744" t="s">
        <v>2290</v>
      </c>
      <c r="D202" s="736" t="s">
        <v>2428</v>
      </c>
      <c r="E202" s="737" t="s">
        <v>2067</v>
      </c>
      <c r="F202" s="738" t="s">
        <v>2429</v>
      </c>
      <c r="G202" s="736" t="s">
        <v>1757</v>
      </c>
      <c r="H202" s="745">
        <v>6.99</v>
      </c>
      <c r="I202" s="740" t="s">
        <v>2430</v>
      </c>
      <c r="J202" s="301"/>
      <c r="K202" s="731" t="s">
        <v>2075</v>
      </c>
      <c r="L202" s="746">
        <f>L199*1.25</f>
        <v>8.029166667</v>
      </c>
      <c r="M202" s="733"/>
      <c r="N202" s="301"/>
      <c r="O202" s="743" t="b">
        <v>1</v>
      </c>
    </row>
    <row r="203">
      <c r="A203" s="734"/>
      <c r="B203" s="735" t="s">
        <v>2064</v>
      </c>
      <c r="C203" s="767" t="s">
        <v>2276</v>
      </c>
      <c r="D203" s="734" t="s">
        <v>2134</v>
      </c>
      <c r="E203" s="763" t="s">
        <v>2113</v>
      </c>
      <c r="F203" s="764" t="s">
        <v>2431</v>
      </c>
      <c r="G203" s="736" t="s">
        <v>1757</v>
      </c>
      <c r="H203" s="745">
        <v>5.63</v>
      </c>
      <c r="I203" s="768" t="s">
        <v>2432</v>
      </c>
      <c r="J203" s="189"/>
      <c r="K203" s="731" t="s">
        <v>2080</v>
      </c>
      <c r="L203" s="746">
        <f>L199*0.75</f>
        <v>4.8175</v>
      </c>
      <c r="M203" s="733"/>
      <c r="N203" s="189"/>
      <c r="O203" s="743" t="b">
        <v>1</v>
      </c>
    </row>
    <row r="204">
      <c r="A204" s="734"/>
      <c r="B204" s="735"/>
      <c r="C204" s="744"/>
      <c r="D204" s="736"/>
      <c r="E204" s="769"/>
      <c r="F204" s="738"/>
      <c r="G204" s="736"/>
      <c r="H204" s="739"/>
      <c r="I204" s="770"/>
      <c r="J204" s="752"/>
      <c r="K204" s="752"/>
      <c r="L204" s="752"/>
      <c r="M204" s="751"/>
      <c r="N204" s="752"/>
    </row>
    <row r="205">
      <c r="A205" s="754" t="s">
        <v>1251</v>
      </c>
      <c r="B205" s="755" t="s">
        <v>2433</v>
      </c>
      <c r="C205" s="36"/>
      <c r="D205" s="36"/>
      <c r="E205" s="36"/>
      <c r="F205" s="36"/>
      <c r="G205" s="754" t="s">
        <v>1757</v>
      </c>
      <c r="H205" s="756">
        <f>MEDIAN(H207:H209)</f>
        <v>240</v>
      </c>
      <c r="I205" s="781"/>
      <c r="J205" s="758" t="s">
        <v>2053</v>
      </c>
      <c r="K205" s="731" t="s">
        <v>2054</v>
      </c>
      <c r="L205" s="759">
        <f>AVERAGE(H207:H209)</f>
        <v>248.4266667</v>
      </c>
      <c r="M205" s="733"/>
      <c r="N205" s="760" t="s">
        <v>2055</v>
      </c>
    </row>
    <row r="206">
      <c r="A206" s="727" t="s">
        <v>1717</v>
      </c>
      <c r="B206" s="728" t="s">
        <v>2056</v>
      </c>
      <c r="C206" s="728" t="s">
        <v>2057</v>
      </c>
      <c r="D206" s="727" t="s">
        <v>2058</v>
      </c>
      <c r="E206" s="727" t="s">
        <v>2059</v>
      </c>
      <c r="F206" s="729" t="s">
        <v>1537</v>
      </c>
      <c r="G206" s="727" t="s">
        <v>2060</v>
      </c>
      <c r="H206" s="727" t="s">
        <v>2061</v>
      </c>
      <c r="I206" s="730" t="s">
        <v>2062</v>
      </c>
      <c r="J206" s="301"/>
      <c r="K206" s="731" t="s">
        <v>2063</v>
      </c>
      <c r="L206" s="732">
        <f>STDEV(H207:H209)</f>
        <v>17.91385311</v>
      </c>
      <c r="M206" s="733"/>
      <c r="N206" s="189"/>
      <c r="O206" s="753"/>
    </row>
    <row r="207">
      <c r="A207" s="734"/>
      <c r="B207" s="735" t="s">
        <v>2064</v>
      </c>
      <c r="C207" s="767" t="s">
        <v>2434</v>
      </c>
      <c r="D207" s="777" t="s">
        <v>2435</v>
      </c>
      <c r="E207" s="763" t="s">
        <v>2113</v>
      </c>
      <c r="F207" s="782" t="s">
        <v>2436</v>
      </c>
      <c r="G207" s="736" t="s">
        <v>1757</v>
      </c>
      <c r="H207" s="745">
        <v>240.0</v>
      </c>
      <c r="I207" s="776" t="s">
        <v>2437</v>
      </c>
      <c r="J207" s="301"/>
      <c r="K207" s="731" t="s">
        <v>2070</v>
      </c>
      <c r="L207" s="741">
        <f>L206/L205</f>
        <v>0.07210921981</v>
      </c>
      <c r="M207" s="733"/>
      <c r="N207" s="742" t="str">
        <f>IF(L207&lt;25%,"Não","Sim - proceder verificação ao lado")</f>
        <v>Não</v>
      </c>
      <c r="O207" s="743" t="b">
        <v>1</v>
      </c>
    </row>
    <row r="208">
      <c r="A208" s="734"/>
      <c r="B208" s="735" t="s">
        <v>2064</v>
      </c>
      <c r="C208" s="735" t="s">
        <v>2126</v>
      </c>
      <c r="D208" s="736" t="s">
        <v>2281</v>
      </c>
      <c r="E208" s="737" t="s">
        <v>2067</v>
      </c>
      <c r="F208" s="783" t="s">
        <v>2436</v>
      </c>
      <c r="G208" s="736" t="s">
        <v>1757</v>
      </c>
      <c r="H208" s="739">
        <v>269.0</v>
      </c>
      <c r="I208" s="740" t="s">
        <v>2438</v>
      </c>
      <c r="J208" s="301"/>
      <c r="K208" s="731" t="s">
        <v>2075</v>
      </c>
      <c r="L208" s="746">
        <f>L205*1.25</f>
        <v>310.5333333</v>
      </c>
      <c r="M208" s="733"/>
      <c r="N208" s="301"/>
      <c r="O208" s="743" t="b">
        <v>1</v>
      </c>
    </row>
    <row r="209">
      <c r="A209" s="734"/>
      <c r="B209" s="735" t="s">
        <v>2064</v>
      </c>
      <c r="C209" s="761" t="s">
        <v>2439</v>
      </c>
      <c r="D209" s="777" t="s">
        <v>2440</v>
      </c>
      <c r="E209" s="763" t="s">
        <v>2085</v>
      </c>
      <c r="F209" s="784" t="s">
        <v>2441</v>
      </c>
      <c r="G209" s="736" t="s">
        <v>1757</v>
      </c>
      <c r="H209" s="745">
        <v>236.28</v>
      </c>
      <c r="I209" s="768" t="s">
        <v>2442</v>
      </c>
      <c r="J209" s="189"/>
      <c r="K209" s="731" t="s">
        <v>2080</v>
      </c>
      <c r="L209" s="746">
        <f>L205*0.75</f>
        <v>186.32</v>
      </c>
      <c r="M209" s="733"/>
      <c r="N209" s="189"/>
      <c r="O209" s="743" t="b">
        <v>1</v>
      </c>
    </row>
    <row r="210">
      <c r="A210" s="734"/>
      <c r="B210" s="735"/>
      <c r="C210" s="744"/>
      <c r="D210" s="736"/>
      <c r="E210" s="769"/>
      <c r="F210" s="738"/>
      <c r="G210" s="736"/>
      <c r="H210" s="739"/>
      <c r="I210" s="770"/>
      <c r="J210" s="752"/>
      <c r="K210" s="752"/>
      <c r="L210" s="752"/>
      <c r="M210" s="751"/>
      <c r="N210" s="752"/>
    </row>
    <row r="211">
      <c r="A211" s="754" t="s">
        <v>1253</v>
      </c>
      <c r="B211" s="755" t="s">
        <v>2443</v>
      </c>
      <c r="C211" s="36"/>
      <c r="D211" s="36"/>
      <c r="E211" s="36"/>
      <c r="F211" s="36"/>
      <c r="G211" s="754" t="s">
        <v>1757</v>
      </c>
      <c r="H211" s="756">
        <f>MEDIAN(H213:H215)</f>
        <v>267.48</v>
      </c>
      <c r="I211" s="757"/>
      <c r="J211" s="758" t="s">
        <v>2053</v>
      </c>
      <c r="K211" s="731" t="s">
        <v>2054</v>
      </c>
      <c r="L211" s="759">
        <f>AVERAGE(H213:H215)</f>
        <v>275.06</v>
      </c>
      <c r="M211" s="733"/>
      <c r="N211" s="760" t="s">
        <v>2055</v>
      </c>
    </row>
    <row r="212">
      <c r="A212" s="727" t="s">
        <v>1717</v>
      </c>
      <c r="B212" s="728" t="s">
        <v>2056</v>
      </c>
      <c r="C212" s="728" t="s">
        <v>2057</v>
      </c>
      <c r="D212" s="727" t="s">
        <v>2058</v>
      </c>
      <c r="E212" s="727" t="s">
        <v>2059</v>
      </c>
      <c r="F212" s="729" t="s">
        <v>1537</v>
      </c>
      <c r="G212" s="727" t="s">
        <v>2060</v>
      </c>
      <c r="H212" s="727" t="s">
        <v>2061</v>
      </c>
      <c r="I212" s="730" t="s">
        <v>2062</v>
      </c>
      <c r="J212" s="301"/>
      <c r="K212" s="731" t="s">
        <v>2063</v>
      </c>
      <c r="L212" s="732">
        <f>STDEV(H213:H215)</f>
        <v>13.12894512</v>
      </c>
      <c r="M212" s="733"/>
      <c r="N212" s="189"/>
      <c r="O212" s="753"/>
    </row>
    <row r="213">
      <c r="A213" s="734"/>
      <c r="B213" s="735" t="s">
        <v>2064</v>
      </c>
      <c r="C213" s="735" t="s">
        <v>2149</v>
      </c>
      <c r="D213" s="734" t="s">
        <v>2150</v>
      </c>
      <c r="E213" s="737" t="s">
        <v>2067</v>
      </c>
      <c r="F213" s="738" t="s">
        <v>2444</v>
      </c>
      <c r="G213" s="736" t="s">
        <v>1757</v>
      </c>
      <c r="H213" s="739">
        <v>267.48</v>
      </c>
      <c r="I213" s="775" t="s">
        <v>2445</v>
      </c>
      <c r="J213" s="301"/>
      <c r="K213" s="731" t="s">
        <v>2070</v>
      </c>
      <c r="L213" s="741">
        <f>L212/L211</f>
        <v>0.04773120454</v>
      </c>
      <c r="M213" s="733"/>
      <c r="N213" s="742" t="str">
        <f>IF(L213&lt;25%,"Não","Sim - proceder verificação ao lado")</f>
        <v>Não</v>
      </c>
      <c r="O213" s="743" t="b">
        <v>1</v>
      </c>
    </row>
    <row r="214">
      <c r="A214" s="734"/>
      <c r="B214" s="735" t="s">
        <v>2064</v>
      </c>
      <c r="C214" s="735" t="s">
        <v>2126</v>
      </c>
      <c r="D214" s="736" t="s">
        <v>2281</v>
      </c>
      <c r="E214" s="737" t="s">
        <v>2067</v>
      </c>
      <c r="F214" s="738" t="s">
        <v>2446</v>
      </c>
      <c r="G214" s="736" t="s">
        <v>1757</v>
      </c>
      <c r="H214" s="745">
        <v>290.22</v>
      </c>
      <c r="I214" s="740" t="s">
        <v>2447</v>
      </c>
      <c r="J214" s="301"/>
      <c r="K214" s="731" t="s">
        <v>2075</v>
      </c>
      <c r="L214" s="746">
        <f>L211*1.25</f>
        <v>343.825</v>
      </c>
      <c r="M214" s="733"/>
      <c r="N214" s="301"/>
      <c r="O214" s="743" t="b">
        <v>1</v>
      </c>
    </row>
    <row r="215">
      <c r="A215" s="734"/>
      <c r="B215" s="735" t="s">
        <v>2064</v>
      </c>
      <c r="C215" s="767" t="s">
        <v>2276</v>
      </c>
      <c r="D215" s="777" t="s">
        <v>2134</v>
      </c>
      <c r="E215" s="763" t="s">
        <v>2085</v>
      </c>
      <c r="F215" s="764" t="s">
        <v>2448</v>
      </c>
      <c r="G215" s="736" t="s">
        <v>1757</v>
      </c>
      <c r="H215" s="745">
        <v>267.48</v>
      </c>
      <c r="I215" s="768" t="s">
        <v>2449</v>
      </c>
      <c r="J215" s="189"/>
      <c r="K215" s="731" t="s">
        <v>2080</v>
      </c>
      <c r="L215" s="746">
        <f>L211*0.75</f>
        <v>206.295</v>
      </c>
      <c r="M215" s="733"/>
      <c r="N215" s="189"/>
      <c r="O215" s="743" t="b">
        <v>1</v>
      </c>
    </row>
    <row r="216">
      <c r="A216" s="734"/>
      <c r="B216" s="735"/>
      <c r="C216" s="744"/>
      <c r="D216" s="736"/>
      <c r="E216" s="769"/>
      <c r="F216" s="738"/>
      <c r="G216" s="736"/>
      <c r="H216" s="739"/>
      <c r="I216" s="770"/>
      <c r="J216" s="752"/>
      <c r="K216" s="752"/>
      <c r="L216" s="752"/>
      <c r="M216" s="751"/>
      <c r="N216" s="752"/>
    </row>
    <row r="217">
      <c r="A217" s="754" t="s">
        <v>1255</v>
      </c>
      <c r="B217" s="755" t="s">
        <v>2450</v>
      </c>
      <c r="C217" s="36"/>
      <c r="D217" s="36"/>
      <c r="E217" s="36"/>
      <c r="F217" s="36"/>
      <c r="G217" s="754" t="s">
        <v>1757</v>
      </c>
      <c r="H217" s="756">
        <f>MEDIAN(H219:H221)</f>
        <v>472.5</v>
      </c>
      <c r="I217" s="757"/>
      <c r="J217" s="758" t="s">
        <v>2053</v>
      </c>
      <c r="K217" s="731" t="s">
        <v>2054</v>
      </c>
      <c r="L217" s="759">
        <f>AVERAGE(H219:H221)</f>
        <v>450.42</v>
      </c>
      <c r="M217" s="733"/>
      <c r="N217" s="760" t="s">
        <v>2055</v>
      </c>
    </row>
    <row r="218">
      <c r="A218" s="727" t="s">
        <v>1717</v>
      </c>
      <c r="B218" s="728" t="s">
        <v>2056</v>
      </c>
      <c r="C218" s="728" t="s">
        <v>2057</v>
      </c>
      <c r="D218" s="727" t="s">
        <v>2058</v>
      </c>
      <c r="E218" s="727" t="s">
        <v>2059</v>
      </c>
      <c r="F218" s="729" t="s">
        <v>1537</v>
      </c>
      <c r="G218" s="727" t="s">
        <v>2060</v>
      </c>
      <c r="H218" s="727" t="s">
        <v>2061</v>
      </c>
      <c r="I218" s="730" t="s">
        <v>2062</v>
      </c>
      <c r="J218" s="301"/>
      <c r="K218" s="731" t="s">
        <v>2063</v>
      </c>
      <c r="L218" s="732">
        <f>STDEV(H219:H221)</f>
        <v>64.28957303</v>
      </c>
      <c r="M218" s="733"/>
      <c r="N218" s="189"/>
      <c r="O218" s="753"/>
    </row>
    <row r="219">
      <c r="A219" s="734"/>
      <c r="B219" s="735" t="s">
        <v>2064</v>
      </c>
      <c r="C219" s="735" t="s">
        <v>2451</v>
      </c>
      <c r="D219" s="734" t="s">
        <v>2452</v>
      </c>
      <c r="E219" s="737" t="s">
        <v>2067</v>
      </c>
      <c r="F219" s="738" t="s">
        <v>2453</v>
      </c>
      <c r="G219" s="736" t="s">
        <v>1757</v>
      </c>
      <c r="H219" s="739">
        <v>500.76</v>
      </c>
      <c r="I219" s="775" t="s">
        <v>2454</v>
      </c>
      <c r="J219" s="301"/>
      <c r="K219" s="731" t="s">
        <v>2070</v>
      </c>
      <c r="L219" s="741">
        <f>L218/L217</f>
        <v>0.1427325008</v>
      </c>
      <c r="M219" s="733"/>
      <c r="N219" s="742" t="str">
        <f>IF(L219&lt;25%,"Não","Sim - proceder verificação ao lado")</f>
        <v>Não</v>
      </c>
      <c r="O219" s="743" t="b">
        <v>1</v>
      </c>
    </row>
    <row r="220">
      <c r="A220" s="734"/>
      <c r="B220" s="735" t="s">
        <v>2064</v>
      </c>
      <c r="C220" s="735" t="s">
        <v>2126</v>
      </c>
      <c r="D220" s="736" t="s">
        <v>2281</v>
      </c>
      <c r="E220" s="737" t="s">
        <v>2067</v>
      </c>
      <c r="F220" s="738" t="s">
        <v>2455</v>
      </c>
      <c r="G220" s="736" t="s">
        <v>1757</v>
      </c>
      <c r="H220" s="739">
        <v>472.5</v>
      </c>
      <c r="I220" s="740" t="s">
        <v>2456</v>
      </c>
      <c r="J220" s="301"/>
      <c r="K220" s="731" t="s">
        <v>2075</v>
      </c>
      <c r="L220" s="746">
        <f>L217*1.25</f>
        <v>563.025</v>
      </c>
      <c r="M220" s="733"/>
      <c r="N220" s="301"/>
      <c r="O220" s="743" t="b">
        <v>1</v>
      </c>
    </row>
    <row r="221">
      <c r="A221" s="734"/>
      <c r="B221" s="735" t="s">
        <v>2064</v>
      </c>
      <c r="C221" s="744" t="s">
        <v>2457</v>
      </c>
      <c r="D221" s="736" t="s">
        <v>2458</v>
      </c>
      <c r="E221" s="737" t="s">
        <v>2067</v>
      </c>
      <c r="F221" s="738" t="s">
        <v>2459</v>
      </c>
      <c r="G221" s="736" t="s">
        <v>1757</v>
      </c>
      <c r="H221" s="739">
        <v>378.0</v>
      </c>
      <c r="I221" s="740" t="s">
        <v>2460</v>
      </c>
      <c r="J221" s="189"/>
      <c r="K221" s="731" t="s">
        <v>2080</v>
      </c>
      <c r="L221" s="746">
        <f>L217*0.75</f>
        <v>337.815</v>
      </c>
      <c r="M221" s="733"/>
      <c r="N221" s="189"/>
      <c r="O221" s="743" t="b">
        <v>1</v>
      </c>
    </row>
    <row r="222">
      <c r="A222" s="734"/>
      <c r="B222" s="735"/>
      <c r="C222" s="744"/>
      <c r="D222" s="736"/>
      <c r="E222" s="769"/>
      <c r="F222" s="738"/>
      <c r="G222" s="736"/>
      <c r="H222" s="739"/>
      <c r="I222" s="770"/>
      <c r="J222" s="752"/>
      <c r="K222" s="752"/>
      <c r="L222" s="752"/>
      <c r="M222" s="751"/>
      <c r="N222" s="752"/>
    </row>
    <row r="223">
      <c r="A223" s="754" t="s">
        <v>1257</v>
      </c>
      <c r="B223" s="755" t="s">
        <v>2461</v>
      </c>
      <c r="C223" s="36"/>
      <c r="D223" s="36"/>
      <c r="E223" s="36"/>
      <c r="F223" s="36"/>
      <c r="G223" s="754" t="s">
        <v>1757</v>
      </c>
      <c r="H223" s="756">
        <f>MEDIAN(H225:H227)</f>
        <v>56.58</v>
      </c>
      <c r="I223" s="757"/>
      <c r="J223" s="758" t="s">
        <v>2053</v>
      </c>
      <c r="K223" s="731" t="s">
        <v>2054</v>
      </c>
      <c r="L223" s="759">
        <f>AVERAGE(H225:H227)</f>
        <v>52.01</v>
      </c>
      <c r="M223" s="733"/>
      <c r="N223" s="760" t="s">
        <v>2055</v>
      </c>
    </row>
    <row r="224">
      <c r="A224" s="727" t="s">
        <v>1717</v>
      </c>
      <c r="B224" s="728" t="s">
        <v>2056</v>
      </c>
      <c r="C224" s="728" t="s">
        <v>2057</v>
      </c>
      <c r="D224" s="727" t="s">
        <v>2058</v>
      </c>
      <c r="E224" s="727" t="s">
        <v>2059</v>
      </c>
      <c r="F224" s="729" t="s">
        <v>1537</v>
      </c>
      <c r="G224" s="727" t="s">
        <v>2060</v>
      </c>
      <c r="H224" s="727" t="s">
        <v>2061</v>
      </c>
      <c r="I224" s="730" t="s">
        <v>2062</v>
      </c>
      <c r="J224" s="301"/>
      <c r="K224" s="731" t="s">
        <v>2063</v>
      </c>
      <c r="L224" s="732">
        <f>STDEV(H225:H227)</f>
        <v>8.019619692</v>
      </c>
      <c r="M224" s="733"/>
      <c r="N224" s="189"/>
      <c r="O224" s="753"/>
    </row>
    <row r="225">
      <c r="A225" s="734"/>
      <c r="B225" s="735" t="s">
        <v>2064</v>
      </c>
      <c r="C225" s="761" t="s">
        <v>2462</v>
      </c>
      <c r="D225" s="762" t="s">
        <v>2463</v>
      </c>
      <c r="E225" s="763" t="s">
        <v>2085</v>
      </c>
      <c r="F225" s="738" t="s">
        <v>2464</v>
      </c>
      <c r="G225" s="736" t="s">
        <v>1757</v>
      </c>
      <c r="H225" s="745">
        <v>56.7</v>
      </c>
      <c r="I225" s="785" t="s">
        <v>2465</v>
      </c>
      <c r="J225" s="301"/>
      <c r="K225" s="731" t="s">
        <v>2070</v>
      </c>
      <c r="L225" s="741">
        <f>L224/L223</f>
        <v>0.154193803</v>
      </c>
      <c r="M225" s="733"/>
      <c r="N225" s="742" t="str">
        <f>IF(L225&lt;25%,"Não","Sim - proceder verificação ao lado")</f>
        <v>Não</v>
      </c>
      <c r="O225" s="743" t="b">
        <v>1</v>
      </c>
    </row>
    <row r="226">
      <c r="A226" s="734"/>
      <c r="B226" s="735" t="s">
        <v>2064</v>
      </c>
      <c r="C226" s="767" t="s">
        <v>2466</v>
      </c>
      <c r="D226" s="777" t="s">
        <v>2467</v>
      </c>
      <c r="E226" s="763" t="s">
        <v>2085</v>
      </c>
      <c r="F226" s="764" t="s">
        <v>2468</v>
      </c>
      <c r="G226" s="736" t="s">
        <v>1757</v>
      </c>
      <c r="H226" s="745">
        <v>42.75</v>
      </c>
      <c r="I226" s="768" t="s">
        <v>2469</v>
      </c>
      <c r="J226" s="301"/>
      <c r="K226" s="731" t="s">
        <v>2075</v>
      </c>
      <c r="L226" s="746">
        <f>L223*1.25</f>
        <v>65.0125</v>
      </c>
      <c r="M226" s="733"/>
      <c r="N226" s="301"/>
      <c r="O226" s="743" t="b">
        <v>1</v>
      </c>
    </row>
    <row r="227">
      <c r="A227" s="734"/>
      <c r="B227" s="735" t="s">
        <v>2064</v>
      </c>
      <c r="C227" s="744" t="s">
        <v>2470</v>
      </c>
      <c r="D227" s="736" t="s">
        <v>2471</v>
      </c>
      <c r="E227" s="737" t="s">
        <v>2067</v>
      </c>
      <c r="F227" s="738" t="s">
        <v>2472</v>
      </c>
      <c r="G227" s="736" t="s">
        <v>1757</v>
      </c>
      <c r="H227" s="745">
        <v>56.58</v>
      </c>
      <c r="I227" s="740" t="s">
        <v>2473</v>
      </c>
      <c r="J227" s="189"/>
      <c r="K227" s="731" t="s">
        <v>2080</v>
      </c>
      <c r="L227" s="746">
        <f>L223*0.75</f>
        <v>39.0075</v>
      </c>
      <c r="M227" s="733"/>
      <c r="N227" s="189"/>
      <c r="O227" s="743" t="b">
        <v>1</v>
      </c>
    </row>
    <row r="228">
      <c r="A228" s="734"/>
      <c r="B228" s="735"/>
      <c r="C228" s="744"/>
      <c r="D228" s="736"/>
      <c r="E228" s="769"/>
      <c r="F228" s="738"/>
      <c r="G228" s="736"/>
      <c r="H228" s="739"/>
      <c r="I228" s="770"/>
      <c r="J228" s="752"/>
      <c r="K228" s="752"/>
      <c r="L228" s="752"/>
      <c r="M228" s="751"/>
      <c r="N228" s="752"/>
      <c r="O228" s="753"/>
    </row>
    <row r="229">
      <c r="A229" s="754" t="s">
        <v>1259</v>
      </c>
      <c r="B229" s="755" t="s">
        <v>2474</v>
      </c>
      <c r="C229" s="36"/>
      <c r="D229" s="36"/>
      <c r="E229" s="36"/>
      <c r="F229" s="36"/>
      <c r="G229" s="754" t="s">
        <v>1757</v>
      </c>
      <c r="H229" s="756">
        <f>MEDIAN(H231:H233)</f>
        <v>815</v>
      </c>
      <c r="I229" s="757"/>
      <c r="J229" s="758" t="s">
        <v>2053</v>
      </c>
      <c r="K229" s="731" t="s">
        <v>2054</v>
      </c>
      <c r="L229" s="759">
        <f>AVERAGE(H231:H233)</f>
        <v>756.7766667</v>
      </c>
      <c r="M229" s="733"/>
      <c r="N229" s="760" t="s">
        <v>2055</v>
      </c>
      <c r="O229" s="454"/>
    </row>
    <row r="230">
      <c r="A230" s="727" t="s">
        <v>1717</v>
      </c>
      <c r="B230" s="728" t="s">
        <v>2056</v>
      </c>
      <c r="C230" s="728" t="s">
        <v>2057</v>
      </c>
      <c r="D230" s="727" t="s">
        <v>2058</v>
      </c>
      <c r="E230" s="727" t="s">
        <v>2059</v>
      </c>
      <c r="F230" s="729" t="s">
        <v>1537</v>
      </c>
      <c r="G230" s="727" t="s">
        <v>2060</v>
      </c>
      <c r="H230" s="727" t="s">
        <v>2061</v>
      </c>
      <c r="I230" s="730" t="s">
        <v>2062</v>
      </c>
      <c r="J230" s="301"/>
      <c r="K230" s="731" t="s">
        <v>2063</v>
      </c>
      <c r="L230" s="732">
        <f>STDEV(H231:H233)</f>
        <v>146.7026334</v>
      </c>
      <c r="M230" s="733"/>
      <c r="N230" s="189"/>
      <c r="O230" s="454"/>
    </row>
    <row r="231">
      <c r="A231" s="734"/>
      <c r="B231" s="735" t="s">
        <v>2064</v>
      </c>
      <c r="C231" s="735" t="s">
        <v>2126</v>
      </c>
      <c r="D231" s="736" t="s">
        <v>2281</v>
      </c>
      <c r="E231" s="737" t="s">
        <v>2067</v>
      </c>
      <c r="F231" s="738" t="s">
        <v>2475</v>
      </c>
      <c r="G231" s="736" t="s">
        <v>1757</v>
      </c>
      <c r="H231" s="745">
        <v>865.43</v>
      </c>
      <c r="I231" s="775" t="s">
        <v>2476</v>
      </c>
      <c r="J231" s="301"/>
      <c r="K231" s="731" t="s">
        <v>2070</v>
      </c>
      <c r="L231" s="741">
        <f>L230/L229</f>
        <v>0.1938519511</v>
      </c>
      <c r="M231" s="733"/>
      <c r="N231" s="742" t="str">
        <f>IF(L231&lt;25%,"Não","Sim - proceder verificação ao lado")</f>
        <v>Não</v>
      </c>
      <c r="O231" s="743" t="b">
        <v>1</v>
      </c>
    </row>
    <row r="232">
      <c r="A232" s="734"/>
      <c r="B232" s="735" t="s">
        <v>2064</v>
      </c>
      <c r="C232" s="744" t="s">
        <v>2477</v>
      </c>
      <c r="D232" s="736" t="s">
        <v>2478</v>
      </c>
      <c r="E232" s="737" t="s">
        <v>2067</v>
      </c>
      <c r="F232" s="738" t="s">
        <v>2479</v>
      </c>
      <c r="G232" s="736" t="s">
        <v>1757</v>
      </c>
      <c r="H232" s="739">
        <v>815.0</v>
      </c>
      <c r="I232" s="740" t="s">
        <v>2480</v>
      </c>
      <c r="J232" s="301"/>
      <c r="K232" s="731" t="s">
        <v>2075</v>
      </c>
      <c r="L232" s="746">
        <f>L229*1.25</f>
        <v>945.9708333</v>
      </c>
      <c r="M232" s="733"/>
      <c r="N232" s="301"/>
      <c r="O232" s="743" t="b">
        <v>1</v>
      </c>
    </row>
    <row r="233">
      <c r="A233" s="734"/>
      <c r="B233" s="735" t="s">
        <v>2064</v>
      </c>
      <c r="C233" s="761" t="s">
        <v>2481</v>
      </c>
      <c r="D233" s="762" t="s">
        <v>2482</v>
      </c>
      <c r="E233" s="763" t="s">
        <v>2085</v>
      </c>
      <c r="F233" s="764" t="s">
        <v>2483</v>
      </c>
      <c r="G233" s="736" t="s">
        <v>1757</v>
      </c>
      <c r="H233" s="745">
        <v>589.9</v>
      </c>
      <c r="I233" s="768" t="s">
        <v>2484</v>
      </c>
      <c r="J233" s="189"/>
      <c r="K233" s="731" t="s">
        <v>2080</v>
      </c>
      <c r="L233" s="746">
        <f>L229*0.75</f>
        <v>567.5825</v>
      </c>
      <c r="M233" s="733"/>
      <c r="N233" s="189"/>
      <c r="O233" s="743" t="b">
        <v>1</v>
      </c>
    </row>
    <row r="234">
      <c r="A234" s="734"/>
      <c r="B234" s="735"/>
      <c r="C234" s="744"/>
      <c r="D234" s="736"/>
      <c r="E234" s="769"/>
      <c r="F234" s="738"/>
      <c r="G234" s="736"/>
      <c r="H234" s="739"/>
      <c r="I234" s="770"/>
      <c r="J234" s="752"/>
      <c r="K234" s="752"/>
      <c r="L234" s="752"/>
      <c r="M234" s="751"/>
      <c r="N234" s="752"/>
    </row>
    <row r="235">
      <c r="A235" s="754" t="s">
        <v>1261</v>
      </c>
      <c r="B235" s="755" t="s">
        <v>2485</v>
      </c>
      <c r="C235" s="36"/>
      <c r="D235" s="36"/>
      <c r="E235" s="36"/>
      <c r="F235" s="36"/>
      <c r="G235" s="754" t="s">
        <v>1757</v>
      </c>
      <c r="H235" s="756">
        <f>MEDIAN(H237:H239)</f>
        <v>1700</v>
      </c>
      <c r="I235" s="757"/>
      <c r="J235" s="758" t="s">
        <v>2053</v>
      </c>
      <c r="K235" s="731" t="s">
        <v>2054</v>
      </c>
      <c r="L235" s="759">
        <f>AVERAGE(H237:H239)</f>
        <v>1896.563333</v>
      </c>
      <c r="M235" s="733"/>
      <c r="N235" s="760" t="s">
        <v>2055</v>
      </c>
      <c r="O235" s="454"/>
    </row>
    <row r="236">
      <c r="A236" s="727" t="s">
        <v>1717</v>
      </c>
      <c r="B236" s="728" t="s">
        <v>2056</v>
      </c>
      <c r="C236" s="728" t="s">
        <v>2057</v>
      </c>
      <c r="D236" s="727" t="s">
        <v>2058</v>
      </c>
      <c r="E236" s="727" t="s">
        <v>2059</v>
      </c>
      <c r="F236" s="729" t="s">
        <v>1537</v>
      </c>
      <c r="G236" s="727" t="s">
        <v>2060</v>
      </c>
      <c r="H236" s="727" t="s">
        <v>2061</v>
      </c>
      <c r="I236" s="730" t="s">
        <v>2062</v>
      </c>
      <c r="J236" s="301"/>
      <c r="K236" s="731" t="s">
        <v>2063</v>
      </c>
      <c r="L236" s="732">
        <f>STDEV(H237:H239)</f>
        <v>340.4576802</v>
      </c>
      <c r="M236" s="733"/>
      <c r="N236" s="189"/>
      <c r="O236" s="454"/>
    </row>
    <row r="237">
      <c r="A237" s="734"/>
      <c r="B237" s="735" t="s">
        <v>2064</v>
      </c>
      <c r="C237" s="761" t="s">
        <v>2486</v>
      </c>
      <c r="D237" s="762" t="s">
        <v>2487</v>
      </c>
      <c r="E237" s="763" t="s">
        <v>2085</v>
      </c>
      <c r="F237" s="764" t="s">
        <v>2488</v>
      </c>
      <c r="G237" s="736" t="s">
        <v>1757</v>
      </c>
      <c r="H237" s="745">
        <v>1700.0</v>
      </c>
      <c r="I237" s="776" t="s">
        <v>2489</v>
      </c>
      <c r="J237" s="301"/>
      <c r="K237" s="731" t="s">
        <v>2070</v>
      </c>
      <c r="L237" s="741">
        <f>L236/L235</f>
        <v>0.1795129507</v>
      </c>
      <c r="M237" s="733"/>
      <c r="N237" s="742" t="str">
        <f>IF(L237&lt;25%,"Não","Sim - proceder verificação ao lado")</f>
        <v>Não</v>
      </c>
      <c r="O237" s="743" t="b">
        <v>1</v>
      </c>
    </row>
    <row r="238">
      <c r="A238" s="734"/>
      <c r="B238" s="735" t="s">
        <v>2064</v>
      </c>
      <c r="C238" s="735" t="s">
        <v>2126</v>
      </c>
      <c r="D238" s="736" t="s">
        <v>2281</v>
      </c>
      <c r="E238" s="737" t="s">
        <v>2067</v>
      </c>
      <c r="F238" s="738" t="s">
        <v>2490</v>
      </c>
      <c r="G238" s="736" t="s">
        <v>1757</v>
      </c>
      <c r="H238" s="739">
        <v>1700.0</v>
      </c>
      <c r="I238" s="740" t="s">
        <v>2491</v>
      </c>
      <c r="J238" s="301"/>
      <c r="K238" s="731" t="s">
        <v>2075</v>
      </c>
      <c r="L238" s="746">
        <f>L235*1.25</f>
        <v>2370.704167</v>
      </c>
      <c r="M238" s="733"/>
      <c r="N238" s="301"/>
      <c r="O238" s="743" t="b">
        <v>1</v>
      </c>
    </row>
    <row r="239">
      <c r="A239" s="734"/>
      <c r="B239" s="735" t="s">
        <v>2064</v>
      </c>
      <c r="C239" s="744" t="s">
        <v>2451</v>
      </c>
      <c r="D239" s="734" t="s">
        <v>2452</v>
      </c>
      <c r="E239" s="737" t="s">
        <v>2067</v>
      </c>
      <c r="F239" s="738" t="s">
        <v>2492</v>
      </c>
      <c r="G239" s="736" t="s">
        <v>1757</v>
      </c>
      <c r="H239" s="739">
        <v>2289.69</v>
      </c>
      <c r="I239" s="740" t="s">
        <v>2493</v>
      </c>
      <c r="J239" s="189"/>
      <c r="K239" s="731" t="s">
        <v>2080</v>
      </c>
      <c r="L239" s="746">
        <f>L235*0.75</f>
        <v>1422.4225</v>
      </c>
      <c r="M239" s="733"/>
      <c r="N239" s="189"/>
      <c r="O239" s="743" t="b">
        <v>1</v>
      </c>
    </row>
    <row r="240">
      <c r="A240" s="734"/>
      <c r="B240" s="735"/>
      <c r="C240" s="744"/>
      <c r="D240" s="736"/>
      <c r="E240" s="769"/>
      <c r="F240" s="738"/>
      <c r="G240" s="736"/>
      <c r="H240" s="739"/>
      <c r="I240" s="770"/>
      <c r="J240" s="752"/>
      <c r="K240" s="752"/>
      <c r="L240" s="752"/>
      <c r="M240" s="751"/>
      <c r="N240" s="752"/>
      <c r="O240" s="753"/>
    </row>
    <row r="241">
      <c r="A241" s="754" t="s">
        <v>1263</v>
      </c>
      <c r="B241" s="755" t="s">
        <v>2494</v>
      </c>
      <c r="C241" s="36"/>
      <c r="D241" s="36"/>
      <c r="E241" s="36"/>
      <c r="F241" s="36"/>
      <c r="G241" s="754" t="s">
        <v>1757</v>
      </c>
      <c r="H241" s="756">
        <f>MEDIAN(H243:H245)</f>
        <v>149.58</v>
      </c>
      <c r="I241" s="757"/>
      <c r="J241" s="758" t="s">
        <v>2053</v>
      </c>
      <c r="K241" s="731" t="s">
        <v>2054</v>
      </c>
      <c r="L241" s="759">
        <f>AVERAGE(H243:H245)</f>
        <v>152.3166667</v>
      </c>
      <c r="M241" s="733"/>
      <c r="N241" s="760" t="s">
        <v>2055</v>
      </c>
      <c r="O241" s="454"/>
    </row>
    <row r="242">
      <c r="A242" s="727" t="s">
        <v>1717</v>
      </c>
      <c r="B242" s="728" t="s">
        <v>2056</v>
      </c>
      <c r="C242" s="728" t="s">
        <v>2057</v>
      </c>
      <c r="D242" s="727" t="s">
        <v>2058</v>
      </c>
      <c r="E242" s="727" t="s">
        <v>2059</v>
      </c>
      <c r="F242" s="729" t="s">
        <v>1537</v>
      </c>
      <c r="G242" s="727" t="s">
        <v>2060</v>
      </c>
      <c r="H242" s="727" t="s">
        <v>2061</v>
      </c>
      <c r="I242" s="730" t="s">
        <v>2062</v>
      </c>
      <c r="J242" s="301"/>
      <c r="K242" s="731" t="s">
        <v>2063</v>
      </c>
      <c r="L242" s="732">
        <f>STDEV(H243:H245)</f>
        <v>22.4504484</v>
      </c>
      <c r="M242" s="733"/>
      <c r="N242" s="189"/>
      <c r="O242" s="454"/>
    </row>
    <row r="243">
      <c r="A243" s="734"/>
      <c r="B243" s="735" t="s">
        <v>2064</v>
      </c>
      <c r="C243" s="735" t="s">
        <v>2126</v>
      </c>
      <c r="D243" s="736" t="s">
        <v>2281</v>
      </c>
      <c r="E243" s="737" t="s">
        <v>2067</v>
      </c>
      <c r="F243" s="750" t="s">
        <v>2495</v>
      </c>
      <c r="G243" s="736" t="s">
        <v>1757</v>
      </c>
      <c r="H243" s="745">
        <v>176.01</v>
      </c>
      <c r="I243" s="786" t="s">
        <v>2496</v>
      </c>
      <c r="J243" s="301"/>
      <c r="K243" s="731" t="s">
        <v>2070</v>
      </c>
      <c r="L243" s="741">
        <f>L242/L241</f>
        <v>0.1473932491</v>
      </c>
      <c r="M243" s="733"/>
      <c r="N243" s="742" t="str">
        <f>IF(L243&lt;25%,"Não","Sim - proceder verificação ao lado")</f>
        <v>Não</v>
      </c>
      <c r="O243" s="743" t="b">
        <v>1</v>
      </c>
    </row>
    <row r="244">
      <c r="A244" s="734"/>
      <c r="B244" s="735" t="s">
        <v>2064</v>
      </c>
      <c r="C244" s="744" t="s">
        <v>2379</v>
      </c>
      <c r="D244" s="736" t="s">
        <v>2497</v>
      </c>
      <c r="E244" s="737" t="s">
        <v>2067</v>
      </c>
      <c r="F244" s="738" t="s">
        <v>2498</v>
      </c>
      <c r="G244" s="736" t="s">
        <v>1757</v>
      </c>
      <c r="H244" s="745">
        <v>131.36</v>
      </c>
      <c r="I244" s="740" t="s">
        <v>2499</v>
      </c>
      <c r="J244" s="301"/>
      <c r="K244" s="731" t="s">
        <v>2075</v>
      </c>
      <c r="L244" s="746">
        <f>L241*1.25</f>
        <v>190.3958333</v>
      </c>
      <c r="M244" s="733"/>
      <c r="N244" s="301"/>
      <c r="O244" s="743" t="b">
        <v>1</v>
      </c>
    </row>
    <row r="245">
      <c r="A245" s="734"/>
      <c r="B245" s="735" t="s">
        <v>2064</v>
      </c>
      <c r="C245" s="744" t="s">
        <v>2500</v>
      </c>
      <c r="D245" s="736" t="s">
        <v>2501</v>
      </c>
      <c r="E245" s="737" t="s">
        <v>2067</v>
      </c>
      <c r="F245" s="738" t="s">
        <v>2502</v>
      </c>
      <c r="G245" s="736" t="s">
        <v>1757</v>
      </c>
      <c r="H245" s="745">
        <v>149.58</v>
      </c>
      <c r="I245" s="740" t="s">
        <v>2503</v>
      </c>
      <c r="J245" s="189"/>
      <c r="K245" s="731" t="s">
        <v>2080</v>
      </c>
      <c r="L245" s="746">
        <f>L241*0.75</f>
        <v>114.2375</v>
      </c>
      <c r="M245" s="733"/>
      <c r="N245" s="189"/>
      <c r="O245" s="743" t="b">
        <v>1</v>
      </c>
    </row>
    <row r="246">
      <c r="A246" s="734"/>
      <c r="B246" s="735"/>
      <c r="C246" s="744"/>
      <c r="D246" s="736"/>
      <c r="E246" s="769"/>
      <c r="F246" s="738"/>
      <c r="G246" s="736"/>
      <c r="H246" s="739"/>
      <c r="I246" s="770"/>
      <c r="J246" s="752"/>
      <c r="K246" s="752"/>
      <c r="L246" s="752"/>
      <c r="M246" s="751"/>
      <c r="N246" s="752"/>
      <c r="O246" s="753"/>
    </row>
    <row r="247">
      <c r="A247" s="754" t="s">
        <v>1265</v>
      </c>
      <c r="B247" s="755" t="s">
        <v>2504</v>
      </c>
      <c r="C247" s="36"/>
      <c r="D247" s="36"/>
      <c r="E247" s="36"/>
      <c r="F247" s="36"/>
      <c r="G247" s="754" t="s">
        <v>1757</v>
      </c>
      <c r="H247" s="756">
        <f>MEDIAN(H249:H251)</f>
        <v>161.86</v>
      </c>
      <c r="I247" s="757"/>
      <c r="J247" s="758" t="s">
        <v>2053</v>
      </c>
      <c r="K247" s="731" t="s">
        <v>2054</v>
      </c>
      <c r="L247" s="759">
        <f>AVERAGE(H249:H251)</f>
        <v>165.21</v>
      </c>
      <c r="M247" s="733"/>
      <c r="N247" s="760" t="s">
        <v>2055</v>
      </c>
      <c r="O247" s="454"/>
    </row>
    <row r="248">
      <c r="A248" s="727" t="s">
        <v>1717</v>
      </c>
      <c r="B248" s="728" t="s">
        <v>2056</v>
      </c>
      <c r="C248" s="728" t="s">
        <v>2057</v>
      </c>
      <c r="D248" s="727" t="s">
        <v>2058</v>
      </c>
      <c r="E248" s="727" t="s">
        <v>2059</v>
      </c>
      <c r="F248" s="729" t="s">
        <v>1537</v>
      </c>
      <c r="G248" s="727" t="s">
        <v>2060</v>
      </c>
      <c r="H248" s="727" t="s">
        <v>2061</v>
      </c>
      <c r="I248" s="730" t="s">
        <v>2062</v>
      </c>
      <c r="J248" s="301"/>
      <c r="K248" s="731" t="s">
        <v>2063</v>
      </c>
      <c r="L248" s="732">
        <f>STDEV(H249:H251)</f>
        <v>8.986206096</v>
      </c>
      <c r="M248" s="733"/>
      <c r="N248" s="189"/>
      <c r="O248" s="454"/>
    </row>
    <row r="249">
      <c r="A249" s="734"/>
      <c r="B249" s="735" t="s">
        <v>2064</v>
      </c>
      <c r="C249" s="744" t="s">
        <v>2470</v>
      </c>
      <c r="D249" s="736" t="s">
        <v>2471</v>
      </c>
      <c r="E249" s="737" t="s">
        <v>2067</v>
      </c>
      <c r="F249" s="738" t="s">
        <v>2505</v>
      </c>
      <c r="G249" s="736" t="s">
        <v>1757</v>
      </c>
      <c r="H249" s="745">
        <v>175.39</v>
      </c>
      <c r="I249" s="775" t="s">
        <v>2506</v>
      </c>
      <c r="J249" s="301"/>
      <c r="K249" s="731" t="s">
        <v>2070</v>
      </c>
      <c r="L249" s="741">
        <f>L248/L247</f>
        <v>0.05439262815</v>
      </c>
      <c r="M249" s="733"/>
      <c r="N249" s="742" t="str">
        <f>IF(L249&lt;25%,"Não","Sim - proceder verificação ao lado")</f>
        <v>Não</v>
      </c>
      <c r="O249" s="743" t="b">
        <v>1</v>
      </c>
    </row>
    <row r="250">
      <c r="A250" s="734"/>
      <c r="B250" s="735" t="s">
        <v>2064</v>
      </c>
      <c r="C250" s="744" t="s">
        <v>2507</v>
      </c>
      <c r="D250" s="736" t="s">
        <v>2508</v>
      </c>
      <c r="E250" s="737" t="s">
        <v>2067</v>
      </c>
      <c r="F250" s="738" t="s">
        <v>2509</v>
      </c>
      <c r="G250" s="736" t="s">
        <v>1757</v>
      </c>
      <c r="H250" s="745">
        <v>161.86</v>
      </c>
      <c r="I250" s="740" t="s">
        <v>2510</v>
      </c>
      <c r="J250" s="301"/>
      <c r="K250" s="731" t="s">
        <v>2075</v>
      </c>
      <c r="L250" s="746">
        <f>L247*1.25</f>
        <v>206.5125</v>
      </c>
      <c r="M250" s="733"/>
      <c r="N250" s="301"/>
      <c r="O250" s="743" t="b">
        <v>1</v>
      </c>
    </row>
    <row r="251">
      <c r="A251" s="734"/>
      <c r="B251" s="735" t="s">
        <v>2064</v>
      </c>
      <c r="C251" s="767" t="s">
        <v>2511</v>
      </c>
      <c r="D251" s="777" t="s">
        <v>2512</v>
      </c>
      <c r="E251" s="763" t="s">
        <v>2085</v>
      </c>
      <c r="F251" s="764" t="s">
        <v>2513</v>
      </c>
      <c r="G251" s="736" t="s">
        <v>1757</v>
      </c>
      <c r="H251" s="745">
        <v>158.38</v>
      </c>
      <c r="I251" s="768" t="s">
        <v>2514</v>
      </c>
      <c r="J251" s="189"/>
      <c r="K251" s="731" t="s">
        <v>2080</v>
      </c>
      <c r="L251" s="746">
        <f>L247*0.75</f>
        <v>123.9075</v>
      </c>
      <c r="M251" s="733"/>
      <c r="N251" s="189"/>
      <c r="O251" s="743" t="b">
        <v>1</v>
      </c>
    </row>
    <row r="252">
      <c r="A252" s="734"/>
      <c r="B252" s="735"/>
      <c r="C252" s="744"/>
      <c r="D252" s="736"/>
      <c r="E252" s="769"/>
      <c r="F252" s="738"/>
      <c r="G252" s="736"/>
      <c r="H252" s="739"/>
      <c r="I252" s="770"/>
      <c r="J252" s="752"/>
      <c r="K252" s="752"/>
      <c r="L252" s="752"/>
      <c r="M252" s="751"/>
      <c r="N252" s="752"/>
      <c r="O252" s="753"/>
    </row>
    <row r="253">
      <c r="A253" s="754" t="s">
        <v>1267</v>
      </c>
      <c r="B253" s="755" t="s">
        <v>2515</v>
      </c>
      <c r="C253" s="36"/>
      <c r="D253" s="36"/>
      <c r="E253" s="36"/>
      <c r="F253" s="36"/>
      <c r="G253" s="754" t="s">
        <v>1757</v>
      </c>
      <c r="H253" s="756">
        <f>MEDIAN(H255:H257)</f>
        <v>135.89</v>
      </c>
      <c r="I253" s="757"/>
      <c r="J253" s="758" t="s">
        <v>2053</v>
      </c>
      <c r="K253" s="731" t="s">
        <v>2054</v>
      </c>
      <c r="L253" s="759">
        <f>AVERAGE(H255:H257)</f>
        <v>140.49</v>
      </c>
      <c r="M253" s="733"/>
      <c r="N253" s="760" t="s">
        <v>2055</v>
      </c>
      <c r="O253" s="454"/>
    </row>
    <row r="254">
      <c r="A254" s="727" t="s">
        <v>1717</v>
      </c>
      <c r="B254" s="728" t="s">
        <v>2056</v>
      </c>
      <c r="C254" s="728" t="s">
        <v>2057</v>
      </c>
      <c r="D254" s="727" t="s">
        <v>2058</v>
      </c>
      <c r="E254" s="727" t="s">
        <v>2059</v>
      </c>
      <c r="F254" s="729" t="s">
        <v>1537</v>
      </c>
      <c r="G254" s="727" t="s">
        <v>2060</v>
      </c>
      <c r="H254" s="727" t="s">
        <v>2061</v>
      </c>
      <c r="I254" s="730" t="s">
        <v>2062</v>
      </c>
      <c r="J254" s="301"/>
      <c r="K254" s="731" t="s">
        <v>2063</v>
      </c>
      <c r="L254" s="732">
        <f>STDEV(H255:H257)</f>
        <v>13.39604792</v>
      </c>
      <c r="M254" s="733"/>
      <c r="N254" s="189"/>
      <c r="O254" s="454"/>
    </row>
    <row r="255">
      <c r="A255" s="734"/>
      <c r="B255" s="735" t="s">
        <v>2064</v>
      </c>
      <c r="C255" s="735" t="s">
        <v>2126</v>
      </c>
      <c r="D255" s="736" t="s">
        <v>2281</v>
      </c>
      <c r="E255" s="737" t="s">
        <v>2067</v>
      </c>
      <c r="F255" s="738" t="s">
        <v>2516</v>
      </c>
      <c r="G255" s="736" t="s">
        <v>1757</v>
      </c>
      <c r="H255" s="745">
        <v>155.58</v>
      </c>
      <c r="I255" s="775" t="s">
        <v>2517</v>
      </c>
      <c r="J255" s="301"/>
      <c r="K255" s="731" t="s">
        <v>2070</v>
      </c>
      <c r="L255" s="741">
        <f>L254/L253</f>
        <v>0.09535232347</v>
      </c>
      <c r="M255" s="733"/>
      <c r="N255" s="742" t="str">
        <f>IF(L255&lt;25%,"Não","Sim - proceder verificação ao lado")</f>
        <v>Não</v>
      </c>
      <c r="O255" s="743" t="b">
        <v>1</v>
      </c>
    </row>
    <row r="256">
      <c r="A256" s="734"/>
      <c r="B256" s="735" t="s">
        <v>2064</v>
      </c>
      <c r="C256" s="761" t="s">
        <v>2263</v>
      </c>
      <c r="D256" s="762" t="s">
        <v>2264</v>
      </c>
      <c r="E256" s="763" t="s">
        <v>2085</v>
      </c>
      <c r="F256" s="764" t="s">
        <v>2518</v>
      </c>
      <c r="G256" s="736" t="s">
        <v>1757</v>
      </c>
      <c r="H256" s="745">
        <v>135.89</v>
      </c>
      <c r="I256" s="768" t="s">
        <v>2519</v>
      </c>
      <c r="J256" s="301"/>
      <c r="K256" s="731" t="s">
        <v>2075</v>
      </c>
      <c r="L256" s="746">
        <f>L253*1.25</f>
        <v>175.6125</v>
      </c>
      <c r="M256" s="733"/>
      <c r="N256" s="301"/>
      <c r="O256" s="743" t="b">
        <v>1</v>
      </c>
    </row>
    <row r="257">
      <c r="A257" s="734"/>
      <c r="B257" s="735" t="s">
        <v>2064</v>
      </c>
      <c r="C257" s="767" t="s">
        <v>2520</v>
      </c>
      <c r="D257" s="777" t="s">
        <v>2521</v>
      </c>
      <c r="E257" s="763" t="s">
        <v>2085</v>
      </c>
      <c r="F257" s="764" t="s">
        <v>2522</v>
      </c>
      <c r="G257" s="736" t="s">
        <v>1757</v>
      </c>
      <c r="H257" s="745">
        <v>130.0</v>
      </c>
      <c r="I257" s="768" t="s">
        <v>2523</v>
      </c>
      <c r="J257" s="189"/>
      <c r="K257" s="731" t="s">
        <v>2080</v>
      </c>
      <c r="L257" s="746">
        <f>L253*0.75</f>
        <v>105.3675</v>
      </c>
      <c r="M257" s="733"/>
      <c r="N257" s="189"/>
      <c r="O257" s="743" t="b">
        <v>1</v>
      </c>
    </row>
    <row r="258">
      <c r="A258" s="734"/>
      <c r="B258" s="735"/>
      <c r="C258" s="744"/>
      <c r="D258" s="736"/>
      <c r="E258" s="769"/>
      <c r="F258" s="738"/>
      <c r="G258" s="736"/>
      <c r="H258" s="739"/>
      <c r="I258" s="770"/>
      <c r="J258" s="753"/>
      <c r="K258" s="753"/>
      <c r="L258" s="753"/>
      <c r="M258" s="771"/>
      <c r="N258" s="753"/>
      <c r="O258" s="753"/>
    </row>
    <row r="259">
      <c r="A259" s="772" t="s">
        <v>2524</v>
      </c>
      <c r="B259" s="44"/>
      <c r="C259" s="44"/>
      <c r="D259" s="44"/>
      <c r="E259" s="44"/>
      <c r="F259" s="44"/>
      <c r="G259" s="44"/>
      <c r="H259" s="44"/>
      <c r="I259" s="44"/>
      <c r="J259" s="713"/>
      <c r="K259" s="713"/>
      <c r="L259" s="713"/>
      <c r="M259" s="714"/>
      <c r="N259" s="714"/>
      <c r="O259" s="714"/>
    </row>
    <row r="260">
      <c r="A260" s="787"/>
      <c r="B260" s="788"/>
      <c r="C260" s="788"/>
      <c r="D260" s="787"/>
      <c r="E260" s="789"/>
      <c r="F260" s="790"/>
      <c r="G260" s="789"/>
      <c r="H260" s="789"/>
      <c r="I260" s="791"/>
      <c r="J260" s="752"/>
      <c r="K260" s="752"/>
      <c r="L260" s="752"/>
      <c r="M260" s="751"/>
      <c r="N260" s="752"/>
      <c r="O260" s="753"/>
    </row>
    <row r="261">
      <c r="A261" s="754" t="s">
        <v>122</v>
      </c>
      <c r="B261" s="755" t="s">
        <v>2525</v>
      </c>
      <c r="C261" s="36"/>
      <c r="D261" s="36"/>
      <c r="E261" s="36"/>
      <c r="F261" s="36"/>
      <c r="G261" s="754" t="s">
        <v>2526</v>
      </c>
      <c r="H261" s="756">
        <f>MEDIAN(H263:H265)</f>
        <v>67952.07</v>
      </c>
      <c r="I261" s="757"/>
      <c r="J261" s="758" t="s">
        <v>2053</v>
      </c>
      <c r="K261" s="731" t="s">
        <v>2054</v>
      </c>
      <c r="L261" s="759">
        <f>AVERAGE(H263:H265)</f>
        <v>63527.61</v>
      </c>
      <c r="M261" s="733"/>
      <c r="N261" s="760" t="s">
        <v>2055</v>
      </c>
      <c r="O261" s="454"/>
    </row>
    <row r="262">
      <c r="A262" s="727" t="s">
        <v>1717</v>
      </c>
      <c r="B262" s="728" t="s">
        <v>2056</v>
      </c>
      <c r="C262" s="728" t="s">
        <v>2057</v>
      </c>
      <c r="D262" s="727" t="s">
        <v>2058</v>
      </c>
      <c r="E262" s="727" t="s">
        <v>2059</v>
      </c>
      <c r="F262" s="729" t="s">
        <v>1537</v>
      </c>
      <c r="G262" s="727" t="s">
        <v>2060</v>
      </c>
      <c r="H262" s="727" t="s">
        <v>2061</v>
      </c>
      <c r="I262" s="730" t="s">
        <v>2062</v>
      </c>
      <c r="J262" s="301"/>
      <c r="K262" s="731" t="s">
        <v>2063</v>
      </c>
      <c r="L262" s="732">
        <f>STDEV(H263:H265)</f>
        <v>12087.98562</v>
      </c>
      <c r="M262" s="733"/>
      <c r="N262" s="189"/>
      <c r="O262" s="454"/>
    </row>
    <row r="263">
      <c r="A263" s="734"/>
      <c r="B263" s="735" t="s">
        <v>2174</v>
      </c>
      <c r="C263" s="761" t="s">
        <v>2527</v>
      </c>
      <c r="D263" s="736" t="s">
        <v>2528</v>
      </c>
      <c r="E263" s="763" t="s">
        <v>2529</v>
      </c>
      <c r="F263" s="764" t="s">
        <v>2530</v>
      </c>
      <c r="G263" s="736" t="s">
        <v>2531</v>
      </c>
      <c r="H263" s="739">
        <f>4154.23*12</f>
        <v>49850.76</v>
      </c>
      <c r="I263" s="792"/>
      <c r="J263" s="301"/>
      <c r="K263" s="731" t="s">
        <v>2070</v>
      </c>
      <c r="L263" s="741">
        <f>L262/L261</f>
        <v>0.1902792443</v>
      </c>
      <c r="M263" s="733"/>
      <c r="N263" s="742" t="str">
        <f>IF(L263&lt;25%,"Não","Sim - proceder verificação ao lado")</f>
        <v>Não</v>
      </c>
      <c r="O263" s="743" t="b">
        <v>1</v>
      </c>
    </row>
    <row r="264">
      <c r="A264" s="734"/>
      <c r="B264" s="735" t="s">
        <v>2174</v>
      </c>
      <c r="C264" s="767" t="s">
        <v>2532</v>
      </c>
      <c r="D264" s="736" t="s">
        <v>2533</v>
      </c>
      <c r="E264" s="763" t="s">
        <v>2113</v>
      </c>
      <c r="F264" s="764" t="s">
        <v>2534</v>
      </c>
      <c r="G264" s="736" t="s">
        <v>2531</v>
      </c>
      <c r="H264" s="745">
        <f>12*6065</f>
        <v>72780</v>
      </c>
      <c r="I264" s="793"/>
      <c r="J264" s="301"/>
      <c r="K264" s="731" t="s">
        <v>2075</v>
      </c>
      <c r="L264" s="746">
        <f>L261*1.25</f>
        <v>79409.5125</v>
      </c>
      <c r="M264" s="733"/>
      <c r="N264" s="301"/>
      <c r="O264" s="743" t="b">
        <v>1</v>
      </c>
    </row>
    <row r="265">
      <c r="A265" s="734"/>
      <c r="B265" s="735" t="s">
        <v>2174</v>
      </c>
      <c r="C265" s="767" t="s">
        <v>2535</v>
      </c>
      <c r="D265" s="777" t="s">
        <v>2536</v>
      </c>
      <c r="E265" s="763" t="s">
        <v>2537</v>
      </c>
      <c r="F265" s="764" t="s">
        <v>2538</v>
      </c>
      <c r="G265" s="736" t="s">
        <v>2531</v>
      </c>
      <c r="H265" s="745">
        <f>3*22650.69</f>
        <v>67952.07</v>
      </c>
      <c r="I265" s="792"/>
      <c r="J265" s="189"/>
      <c r="K265" s="731" t="s">
        <v>2080</v>
      </c>
      <c r="L265" s="746">
        <f>L261*0.75</f>
        <v>47645.7075</v>
      </c>
      <c r="M265" s="733"/>
      <c r="N265" s="189"/>
      <c r="O265" s="743" t="b">
        <v>1</v>
      </c>
    </row>
    <row r="266">
      <c r="A266" s="734"/>
      <c r="B266" s="735"/>
      <c r="C266" s="735"/>
      <c r="D266" s="734"/>
      <c r="E266" s="749"/>
      <c r="F266" s="750"/>
      <c r="G266" s="749"/>
      <c r="H266" s="749"/>
      <c r="I266" s="751"/>
      <c r="J266" s="753"/>
      <c r="K266" s="753"/>
      <c r="L266" s="753"/>
      <c r="M266" s="771"/>
      <c r="N266" s="753"/>
      <c r="O266" s="753"/>
    </row>
    <row r="267">
      <c r="A267" s="772" t="s">
        <v>2539</v>
      </c>
      <c r="B267" s="44"/>
      <c r="C267" s="44"/>
      <c r="D267" s="44"/>
      <c r="E267" s="44"/>
      <c r="F267" s="44"/>
      <c r="G267" s="44"/>
      <c r="H267" s="44"/>
      <c r="I267" s="44"/>
      <c r="J267" s="713"/>
      <c r="K267" s="713"/>
      <c r="L267" s="713"/>
      <c r="M267" s="714"/>
      <c r="N267" s="714"/>
      <c r="O267" s="714"/>
    </row>
    <row r="268">
      <c r="A268" s="794"/>
      <c r="B268" s="795"/>
      <c r="C268" s="795"/>
      <c r="D268" s="794"/>
      <c r="E268" s="794"/>
      <c r="F268" s="796"/>
      <c r="G268" s="794"/>
      <c r="H268" s="794"/>
      <c r="I268" s="796"/>
      <c r="J268" s="713"/>
      <c r="K268" s="713"/>
      <c r="L268" s="713"/>
      <c r="M268" s="714"/>
      <c r="N268" s="714"/>
      <c r="O268" s="714"/>
    </row>
    <row r="269">
      <c r="A269" s="773" t="s">
        <v>1049</v>
      </c>
      <c r="B269" s="718" t="s">
        <v>2540</v>
      </c>
      <c r="C269" s="44"/>
      <c r="D269" s="44"/>
      <c r="E269" s="44"/>
      <c r="F269" s="44"/>
      <c r="G269" s="773" t="s">
        <v>1757</v>
      </c>
      <c r="H269" s="774">
        <f>MEDIAN(H271:H273)</f>
        <v>634.43</v>
      </c>
      <c r="I269" s="721"/>
      <c r="J269" s="722" t="s">
        <v>2053</v>
      </c>
      <c r="K269" s="723" t="s">
        <v>2054</v>
      </c>
      <c r="L269" s="724">
        <f>AVERAGE(H271:H273)</f>
        <v>677.4333333</v>
      </c>
      <c r="M269" s="725"/>
      <c r="N269" s="726" t="s">
        <v>2055</v>
      </c>
      <c r="O269" s="454"/>
    </row>
    <row r="270">
      <c r="A270" s="727" t="s">
        <v>1717</v>
      </c>
      <c r="B270" s="728" t="s">
        <v>2056</v>
      </c>
      <c r="C270" s="728" t="s">
        <v>2057</v>
      </c>
      <c r="D270" s="727" t="s">
        <v>2058</v>
      </c>
      <c r="E270" s="727" t="s">
        <v>2059</v>
      </c>
      <c r="F270" s="729" t="s">
        <v>1537</v>
      </c>
      <c r="G270" s="727" t="s">
        <v>2060</v>
      </c>
      <c r="H270" s="727" t="s">
        <v>2061</v>
      </c>
      <c r="I270" s="730" t="s">
        <v>2062</v>
      </c>
      <c r="J270" s="301"/>
      <c r="K270" s="731" t="s">
        <v>2063</v>
      </c>
      <c r="L270" s="732">
        <f>STDEV(H271:H273)</f>
        <v>148.5200849</v>
      </c>
      <c r="M270" s="733"/>
      <c r="N270" s="189"/>
      <c r="O270" s="454"/>
    </row>
    <row r="271">
      <c r="A271" s="734"/>
      <c r="B271" s="735" t="s">
        <v>2064</v>
      </c>
      <c r="C271" s="747" t="s">
        <v>2541</v>
      </c>
      <c r="D271" s="748" t="s">
        <v>2150</v>
      </c>
      <c r="E271" s="737" t="s">
        <v>2067</v>
      </c>
      <c r="F271" s="766" t="s">
        <v>2542</v>
      </c>
      <c r="G271" s="736" t="s">
        <v>1757</v>
      </c>
      <c r="H271" s="745">
        <v>555.16</v>
      </c>
      <c r="I271" s="740" t="s">
        <v>2543</v>
      </c>
      <c r="J271" s="301"/>
      <c r="K271" s="731" t="s">
        <v>2070</v>
      </c>
      <c r="L271" s="741">
        <f>L270/L269</f>
        <v>0.2192394109</v>
      </c>
      <c r="M271" s="733"/>
      <c r="N271" s="742" t="str">
        <f>IF(L271&lt;25%,"Não","Sim - proceder verificação ao lado")</f>
        <v>Não</v>
      </c>
      <c r="O271" s="743" t="b">
        <v>1</v>
      </c>
    </row>
    <row r="272">
      <c r="A272" s="734"/>
      <c r="B272" s="735" t="s">
        <v>2064</v>
      </c>
      <c r="C272" s="744" t="s">
        <v>2372</v>
      </c>
      <c r="D272" s="736" t="s">
        <v>2134</v>
      </c>
      <c r="E272" s="763" t="s">
        <v>2085</v>
      </c>
      <c r="F272" s="764" t="s">
        <v>2544</v>
      </c>
      <c r="G272" s="736" t="s">
        <v>1757</v>
      </c>
      <c r="H272" s="745">
        <v>842.71</v>
      </c>
      <c r="I272" s="768" t="s">
        <v>2545</v>
      </c>
      <c r="J272" s="301"/>
      <c r="K272" s="731" t="s">
        <v>2075</v>
      </c>
      <c r="L272" s="746">
        <f>L269*1.25</f>
        <v>846.7916667</v>
      </c>
      <c r="M272" s="733"/>
      <c r="N272" s="301"/>
      <c r="O272" s="743" t="b">
        <v>1</v>
      </c>
    </row>
    <row r="273">
      <c r="A273" s="734"/>
      <c r="B273" s="735" t="s">
        <v>2064</v>
      </c>
      <c r="C273" s="735" t="s">
        <v>2126</v>
      </c>
      <c r="D273" s="736" t="s">
        <v>2281</v>
      </c>
      <c r="E273" s="737" t="s">
        <v>2366</v>
      </c>
      <c r="F273" s="764" t="s">
        <v>2546</v>
      </c>
      <c r="G273" s="736" t="s">
        <v>1757</v>
      </c>
      <c r="H273" s="745">
        <v>634.43</v>
      </c>
      <c r="I273" s="785" t="s">
        <v>2547</v>
      </c>
      <c r="J273" s="189"/>
      <c r="K273" s="731" t="s">
        <v>2080</v>
      </c>
      <c r="L273" s="746">
        <f>L269*0.75</f>
        <v>508.075</v>
      </c>
      <c r="M273" s="733"/>
      <c r="N273" s="189"/>
      <c r="O273" s="743" t="b">
        <v>1</v>
      </c>
    </row>
    <row r="274">
      <c r="A274" s="734"/>
      <c r="B274" s="735"/>
      <c r="C274" s="735"/>
      <c r="D274" s="734"/>
      <c r="E274" s="749"/>
      <c r="F274" s="750"/>
      <c r="G274" s="749"/>
      <c r="H274" s="749"/>
      <c r="I274" s="751"/>
      <c r="J274" s="752"/>
      <c r="K274" s="752"/>
      <c r="L274" s="752"/>
      <c r="M274" s="751"/>
      <c r="N274" s="752"/>
      <c r="O274" s="753"/>
    </row>
    <row r="275">
      <c r="A275" s="754" t="s">
        <v>1051</v>
      </c>
      <c r="B275" s="755" t="s">
        <v>2548</v>
      </c>
      <c r="C275" s="36"/>
      <c r="D275" s="36"/>
      <c r="E275" s="36"/>
      <c r="F275" s="36"/>
      <c r="G275" s="754" t="s">
        <v>1757</v>
      </c>
      <c r="H275" s="756">
        <f>MEDIAN(H277:H279)</f>
        <v>527.02</v>
      </c>
      <c r="I275" s="757"/>
      <c r="J275" s="758" t="s">
        <v>2053</v>
      </c>
      <c r="K275" s="731" t="s">
        <v>2054</v>
      </c>
      <c r="L275" s="759">
        <f>AVERAGE(H277:H279)</f>
        <v>582.8233333</v>
      </c>
      <c r="M275" s="733"/>
      <c r="N275" s="760" t="s">
        <v>2055</v>
      </c>
      <c r="O275" s="454"/>
    </row>
    <row r="276">
      <c r="A276" s="727" t="s">
        <v>1717</v>
      </c>
      <c r="B276" s="728" t="s">
        <v>2056</v>
      </c>
      <c r="C276" s="728" t="s">
        <v>2057</v>
      </c>
      <c r="D276" s="727" t="s">
        <v>2058</v>
      </c>
      <c r="E276" s="727" t="s">
        <v>2059</v>
      </c>
      <c r="F276" s="729" t="s">
        <v>1537</v>
      </c>
      <c r="G276" s="727" t="s">
        <v>2060</v>
      </c>
      <c r="H276" s="727" t="s">
        <v>2061</v>
      </c>
      <c r="I276" s="730" t="s">
        <v>2062</v>
      </c>
      <c r="J276" s="301"/>
      <c r="K276" s="731" t="s">
        <v>2063</v>
      </c>
      <c r="L276" s="732">
        <f>STDEV(H277:H279)</f>
        <v>101.4282487</v>
      </c>
      <c r="M276" s="733"/>
      <c r="N276" s="189"/>
      <c r="O276" s="454"/>
    </row>
    <row r="277">
      <c r="A277" s="734"/>
      <c r="B277" s="735" t="s">
        <v>2064</v>
      </c>
      <c r="C277" s="747" t="s">
        <v>2379</v>
      </c>
      <c r="D277" s="748" t="s">
        <v>2380</v>
      </c>
      <c r="E277" s="737" t="s">
        <v>2067</v>
      </c>
      <c r="F277" s="766" t="s">
        <v>2549</v>
      </c>
      <c r="G277" s="736" t="s">
        <v>1757</v>
      </c>
      <c r="H277" s="745">
        <v>527.02</v>
      </c>
      <c r="I277" s="797" t="s">
        <v>2550</v>
      </c>
      <c r="J277" s="301"/>
      <c r="K277" s="731" t="s">
        <v>2070</v>
      </c>
      <c r="L277" s="741">
        <f>L276/L275</f>
        <v>0.174029149</v>
      </c>
      <c r="M277" s="733"/>
      <c r="N277" s="742" t="str">
        <f>IF(L277&lt;25%,"Não","Sim - proceder verificação ao lado")</f>
        <v>Não</v>
      </c>
      <c r="O277" s="743" t="b">
        <v>1</v>
      </c>
    </row>
    <row r="278">
      <c r="A278" s="734"/>
      <c r="B278" s="735" t="s">
        <v>2064</v>
      </c>
      <c r="C278" s="735" t="s">
        <v>2551</v>
      </c>
      <c r="D278" s="734" t="s">
        <v>2552</v>
      </c>
      <c r="E278" s="737" t="s">
        <v>2067</v>
      </c>
      <c r="F278" s="738" t="s">
        <v>2553</v>
      </c>
      <c r="G278" s="736" t="s">
        <v>1757</v>
      </c>
      <c r="H278" s="745">
        <v>521.55</v>
      </c>
      <c r="I278" s="786" t="s">
        <v>2554</v>
      </c>
      <c r="J278" s="301"/>
      <c r="K278" s="731" t="s">
        <v>2075</v>
      </c>
      <c r="L278" s="746">
        <f>L275*1.25</f>
        <v>728.5291667</v>
      </c>
      <c r="M278" s="733"/>
      <c r="N278" s="301"/>
      <c r="O278" s="743" t="b">
        <v>1</v>
      </c>
    </row>
    <row r="279">
      <c r="A279" s="734"/>
      <c r="B279" s="735" t="s">
        <v>2064</v>
      </c>
      <c r="C279" s="735" t="s">
        <v>2126</v>
      </c>
      <c r="D279" s="736" t="s">
        <v>2281</v>
      </c>
      <c r="E279" s="737" t="s">
        <v>2067</v>
      </c>
      <c r="F279" s="738" t="s">
        <v>2555</v>
      </c>
      <c r="G279" s="736" t="s">
        <v>1757</v>
      </c>
      <c r="H279" s="745">
        <v>699.9</v>
      </c>
      <c r="I279" s="797" t="s">
        <v>2556</v>
      </c>
      <c r="J279" s="189"/>
      <c r="K279" s="731" t="s">
        <v>2080</v>
      </c>
      <c r="L279" s="746">
        <f>L275*0.75</f>
        <v>437.1175</v>
      </c>
      <c r="M279" s="733"/>
      <c r="N279" s="189"/>
      <c r="O279" s="743" t="b">
        <v>1</v>
      </c>
    </row>
    <row r="280">
      <c r="A280" s="734"/>
      <c r="B280" s="735"/>
      <c r="C280" s="735"/>
      <c r="D280" s="734"/>
      <c r="E280" s="749"/>
      <c r="F280" s="750"/>
      <c r="G280" s="749"/>
      <c r="H280" s="749"/>
      <c r="I280" s="751"/>
      <c r="J280" s="752"/>
      <c r="K280" s="752"/>
      <c r="L280" s="752"/>
      <c r="M280" s="751"/>
      <c r="N280" s="752"/>
      <c r="O280" s="753"/>
    </row>
    <row r="281">
      <c r="A281" s="754" t="s">
        <v>1053</v>
      </c>
      <c r="B281" s="755" t="s">
        <v>2557</v>
      </c>
      <c r="C281" s="36"/>
      <c r="D281" s="36"/>
      <c r="E281" s="36"/>
      <c r="F281" s="36"/>
      <c r="G281" s="754" t="s">
        <v>1757</v>
      </c>
      <c r="H281" s="756">
        <f>MEDIAN(H283:H285)</f>
        <v>792.9</v>
      </c>
      <c r="I281" s="757"/>
      <c r="J281" s="758" t="s">
        <v>2053</v>
      </c>
      <c r="K281" s="731" t="s">
        <v>2054</v>
      </c>
      <c r="L281" s="759">
        <f>AVERAGE(H283:H285)</f>
        <v>777.5666667</v>
      </c>
      <c r="M281" s="733"/>
      <c r="N281" s="760" t="s">
        <v>2055</v>
      </c>
      <c r="O281" s="454"/>
    </row>
    <row r="282">
      <c r="A282" s="727" t="s">
        <v>1717</v>
      </c>
      <c r="B282" s="728" t="s">
        <v>2056</v>
      </c>
      <c r="C282" s="728" t="s">
        <v>2057</v>
      </c>
      <c r="D282" s="727" t="s">
        <v>2058</v>
      </c>
      <c r="E282" s="727" t="s">
        <v>2059</v>
      </c>
      <c r="F282" s="729" t="s">
        <v>1537</v>
      </c>
      <c r="G282" s="727" t="s">
        <v>2060</v>
      </c>
      <c r="H282" s="727" t="s">
        <v>2061</v>
      </c>
      <c r="I282" s="730" t="s">
        <v>2062</v>
      </c>
      <c r="J282" s="301"/>
      <c r="K282" s="731" t="s">
        <v>2063</v>
      </c>
      <c r="L282" s="732">
        <f>STDEV(H283:H285)</f>
        <v>66.34254542</v>
      </c>
      <c r="M282" s="733"/>
      <c r="N282" s="189"/>
      <c r="O282" s="454"/>
    </row>
    <row r="283">
      <c r="A283" s="734"/>
      <c r="B283" s="735" t="s">
        <v>2064</v>
      </c>
      <c r="C283" s="744" t="s">
        <v>2551</v>
      </c>
      <c r="D283" s="734" t="s">
        <v>2552</v>
      </c>
      <c r="E283" s="737" t="s">
        <v>2067</v>
      </c>
      <c r="F283" s="738" t="s">
        <v>2558</v>
      </c>
      <c r="G283" s="736" t="s">
        <v>1757</v>
      </c>
      <c r="H283" s="745">
        <v>704.9</v>
      </c>
      <c r="I283" s="786" t="s">
        <v>2559</v>
      </c>
      <c r="J283" s="301"/>
      <c r="K283" s="731" t="s">
        <v>2070</v>
      </c>
      <c r="L283" s="741">
        <f>L282/L281</f>
        <v>0.08532071688</v>
      </c>
      <c r="M283" s="733"/>
      <c r="N283" s="742" t="str">
        <f>IF(L283&lt;25%,"Não","Sim - proceder verificação ao lado")</f>
        <v>Não</v>
      </c>
      <c r="O283" s="743" t="b">
        <v>1</v>
      </c>
    </row>
    <row r="284">
      <c r="A284" s="734"/>
      <c r="B284" s="735" t="s">
        <v>2064</v>
      </c>
      <c r="C284" s="747" t="s">
        <v>2372</v>
      </c>
      <c r="D284" s="748" t="s">
        <v>2134</v>
      </c>
      <c r="E284" s="737" t="s">
        <v>2067</v>
      </c>
      <c r="F284" s="766" t="s">
        <v>2560</v>
      </c>
      <c r="G284" s="736" t="s">
        <v>1757</v>
      </c>
      <c r="H284" s="745">
        <v>834.9</v>
      </c>
      <c r="I284" s="797" t="s">
        <v>2561</v>
      </c>
      <c r="J284" s="301"/>
      <c r="K284" s="731" t="s">
        <v>2075</v>
      </c>
      <c r="L284" s="746">
        <f>L281*1.25</f>
        <v>971.9583333</v>
      </c>
      <c r="M284" s="733"/>
      <c r="N284" s="301"/>
      <c r="O284" s="743" t="b">
        <v>1</v>
      </c>
    </row>
    <row r="285">
      <c r="A285" s="734"/>
      <c r="B285" s="735" t="s">
        <v>2064</v>
      </c>
      <c r="C285" s="761" t="s">
        <v>2562</v>
      </c>
      <c r="D285" s="777" t="s">
        <v>2563</v>
      </c>
      <c r="E285" s="737" t="s">
        <v>2085</v>
      </c>
      <c r="F285" s="764" t="s">
        <v>2564</v>
      </c>
      <c r="G285" s="736" t="s">
        <v>1757</v>
      </c>
      <c r="H285" s="745">
        <v>792.9</v>
      </c>
      <c r="I285" s="785" t="s">
        <v>2565</v>
      </c>
      <c r="J285" s="189"/>
      <c r="K285" s="731" t="s">
        <v>2080</v>
      </c>
      <c r="L285" s="746">
        <f>L281*0.75</f>
        <v>583.175</v>
      </c>
      <c r="M285" s="733"/>
      <c r="N285" s="189"/>
      <c r="O285" s="743" t="b">
        <v>1</v>
      </c>
    </row>
    <row r="286">
      <c r="A286" s="734"/>
      <c r="B286" s="735"/>
      <c r="C286" s="735"/>
      <c r="D286" s="734"/>
      <c r="E286" s="749"/>
      <c r="F286" s="750"/>
      <c r="G286" s="749"/>
      <c r="H286" s="749"/>
      <c r="I286" s="751"/>
      <c r="J286" s="752"/>
      <c r="K286" s="752"/>
      <c r="L286" s="752"/>
      <c r="M286" s="751"/>
      <c r="N286" s="752"/>
      <c r="O286" s="753"/>
    </row>
    <row r="287">
      <c r="A287" s="754" t="s">
        <v>1055</v>
      </c>
      <c r="B287" s="755" t="s">
        <v>2566</v>
      </c>
      <c r="C287" s="36"/>
      <c r="D287" s="36"/>
      <c r="E287" s="36"/>
      <c r="F287" s="36"/>
      <c r="G287" s="754" t="s">
        <v>1757</v>
      </c>
      <c r="H287" s="756">
        <f>MEDIAN(H289:H291)</f>
        <v>1078.92</v>
      </c>
      <c r="I287" s="757"/>
      <c r="J287" s="758" t="s">
        <v>2053</v>
      </c>
      <c r="K287" s="731" t="s">
        <v>2054</v>
      </c>
      <c r="L287" s="759">
        <f>AVERAGE(H289:H291)</f>
        <v>1101.026667</v>
      </c>
      <c r="M287" s="733"/>
      <c r="N287" s="760" t="s">
        <v>2055</v>
      </c>
      <c r="O287" s="454"/>
    </row>
    <row r="288">
      <c r="A288" s="727" t="s">
        <v>1717</v>
      </c>
      <c r="B288" s="728" t="s">
        <v>2056</v>
      </c>
      <c r="C288" s="728" t="s">
        <v>2057</v>
      </c>
      <c r="D288" s="727" t="s">
        <v>2058</v>
      </c>
      <c r="E288" s="727" t="s">
        <v>2059</v>
      </c>
      <c r="F288" s="729" t="s">
        <v>1537</v>
      </c>
      <c r="G288" s="727" t="s">
        <v>2060</v>
      </c>
      <c r="H288" s="727" t="s">
        <v>2061</v>
      </c>
      <c r="I288" s="730" t="s">
        <v>2062</v>
      </c>
      <c r="J288" s="301"/>
      <c r="K288" s="731" t="s">
        <v>2063</v>
      </c>
      <c r="L288" s="732">
        <f>STDEV(H289:H291)</f>
        <v>142.1749026</v>
      </c>
      <c r="M288" s="733"/>
      <c r="N288" s="189"/>
      <c r="O288" s="454"/>
    </row>
    <row r="289">
      <c r="A289" s="734"/>
      <c r="B289" s="735" t="s">
        <v>2064</v>
      </c>
      <c r="C289" s="735" t="s">
        <v>2551</v>
      </c>
      <c r="D289" s="734" t="s">
        <v>2552</v>
      </c>
      <c r="E289" s="737" t="s">
        <v>2067</v>
      </c>
      <c r="F289" s="738" t="s">
        <v>2567</v>
      </c>
      <c r="G289" s="736" t="s">
        <v>1757</v>
      </c>
      <c r="H289" s="745">
        <v>1252.96</v>
      </c>
      <c r="I289" s="786" t="s">
        <v>2568</v>
      </c>
      <c r="J289" s="301"/>
      <c r="K289" s="731" t="s">
        <v>2070</v>
      </c>
      <c r="L289" s="741">
        <f>L288/L287</f>
        <v>0.1291293907</v>
      </c>
      <c r="M289" s="733"/>
      <c r="N289" s="742" t="str">
        <f>IF(L289&lt;25%,"Não","Sim - proceder verificação ao lado")</f>
        <v>Não</v>
      </c>
      <c r="O289" s="743" t="b">
        <v>1</v>
      </c>
    </row>
    <row r="290">
      <c r="A290" s="734"/>
      <c r="B290" s="735" t="s">
        <v>2064</v>
      </c>
      <c r="C290" s="744" t="s">
        <v>2569</v>
      </c>
      <c r="D290" s="736" t="s">
        <v>2409</v>
      </c>
      <c r="E290" s="737" t="s">
        <v>2067</v>
      </c>
      <c r="F290" s="738" t="s">
        <v>2570</v>
      </c>
      <c r="G290" s="736" t="s">
        <v>1757</v>
      </c>
      <c r="H290" s="745">
        <v>971.2</v>
      </c>
      <c r="I290" s="786" t="s">
        <v>2571</v>
      </c>
      <c r="J290" s="301"/>
      <c r="K290" s="731" t="s">
        <v>2075</v>
      </c>
      <c r="L290" s="746">
        <f>L287*1.25</f>
        <v>1376.283333</v>
      </c>
      <c r="M290" s="733"/>
      <c r="N290" s="301"/>
      <c r="O290" s="743" t="b">
        <v>1</v>
      </c>
    </row>
    <row r="291">
      <c r="A291" s="734"/>
      <c r="B291" s="735" t="s">
        <v>2064</v>
      </c>
      <c r="C291" s="747" t="s">
        <v>2572</v>
      </c>
      <c r="D291" s="748" t="s">
        <v>2573</v>
      </c>
      <c r="E291" s="737" t="s">
        <v>2067</v>
      </c>
      <c r="F291" s="766" t="s">
        <v>2574</v>
      </c>
      <c r="G291" s="736" t="s">
        <v>1757</v>
      </c>
      <c r="H291" s="739">
        <v>1078.92</v>
      </c>
      <c r="I291" s="797" t="s">
        <v>2575</v>
      </c>
      <c r="J291" s="189"/>
      <c r="K291" s="731" t="s">
        <v>2080</v>
      </c>
      <c r="L291" s="746">
        <f>L287*0.75</f>
        <v>825.77</v>
      </c>
      <c r="M291" s="733"/>
      <c r="N291" s="189"/>
      <c r="O291" s="743" t="b">
        <v>1</v>
      </c>
    </row>
    <row r="292">
      <c r="A292" s="734"/>
      <c r="B292" s="735"/>
      <c r="C292" s="735"/>
      <c r="D292" s="734"/>
      <c r="E292" s="749"/>
      <c r="F292" s="750"/>
      <c r="G292" s="749"/>
      <c r="H292" s="749"/>
      <c r="I292" s="751"/>
      <c r="J292" s="752"/>
      <c r="K292" s="752"/>
      <c r="L292" s="752"/>
      <c r="M292" s="751"/>
      <c r="N292" s="752"/>
      <c r="O292" s="753"/>
    </row>
    <row r="293">
      <c r="A293" s="754" t="s">
        <v>1057</v>
      </c>
      <c r="B293" s="755" t="s">
        <v>2576</v>
      </c>
      <c r="C293" s="36"/>
      <c r="D293" s="36"/>
      <c r="E293" s="36"/>
      <c r="F293" s="36"/>
      <c r="G293" s="754" t="s">
        <v>1757</v>
      </c>
      <c r="H293" s="756">
        <f>MEDIAN(H295:H297)</f>
        <v>899.99</v>
      </c>
      <c r="I293" s="757"/>
      <c r="J293" s="758" t="s">
        <v>2053</v>
      </c>
      <c r="K293" s="731" t="s">
        <v>2054</v>
      </c>
      <c r="L293" s="759">
        <f>AVERAGE(H295:H297)</f>
        <v>892.2933333</v>
      </c>
      <c r="M293" s="733"/>
      <c r="N293" s="760" t="s">
        <v>2055</v>
      </c>
      <c r="O293" s="454"/>
    </row>
    <row r="294">
      <c r="A294" s="727" t="s">
        <v>1717</v>
      </c>
      <c r="B294" s="728" t="s">
        <v>2056</v>
      </c>
      <c r="C294" s="728" t="s">
        <v>2057</v>
      </c>
      <c r="D294" s="727" t="s">
        <v>2058</v>
      </c>
      <c r="E294" s="727" t="s">
        <v>2059</v>
      </c>
      <c r="F294" s="729" t="s">
        <v>1537</v>
      </c>
      <c r="G294" s="727" t="s">
        <v>2060</v>
      </c>
      <c r="H294" s="727" t="s">
        <v>2061</v>
      </c>
      <c r="I294" s="730" t="s">
        <v>2062</v>
      </c>
      <c r="J294" s="301"/>
      <c r="K294" s="731" t="s">
        <v>2063</v>
      </c>
      <c r="L294" s="732">
        <f>STDEV(H295:H297)</f>
        <v>91.78734136</v>
      </c>
      <c r="M294" s="733"/>
      <c r="N294" s="189"/>
      <c r="O294" s="454"/>
    </row>
    <row r="295">
      <c r="A295" s="734"/>
      <c r="B295" s="735" t="s">
        <v>2064</v>
      </c>
      <c r="C295" s="761" t="s">
        <v>2577</v>
      </c>
      <c r="D295" s="762" t="s">
        <v>2578</v>
      </c>
      <c r="E295" s="737" t="s">
        <v>2085</v>
      </c>
      <c r="F295" s="764" t="s">
        <v>2579</v>
      </c>
      <c r="G295" s="736" t="s">
        <v>1757</v>
      </c>
      <c r="H295" s="745">
        <v>979.99</v>
      </c>
      <c r="I295" s="776" t="s">
        <v>2580</v>
      </c>
      <c r="J295" s="301"/>
      <c r="K295" s="731" t="s">
        <v>2070</v>
      </c>
      <c r="L295" s="741">
        <f>L294/L293</f>
        <v>0.1028667793</v>
      </c>
      <c r="M295" s="733"/>
      <c r="N295" s="742" t="str">
        <f>IF(L295&lt;25%,"Não","Sim - proceder verificação ao lado")</f>
        <v>Não</v>
      </c>
      <c r="O295" s="743" t="b">
        <v>1</v>
      </c>
    </row>
    <row r="296">
      <c r="A296" s="734"/>
      <c r="B296" s="735" t="s">
        <v>2064</v>
      </c>
      <c r="C296" s="735" t="s">
        <v>2126</v>
      </c>
      <c r="D296" s="736" t="s">
        <v>2281</v>
      </c>
      <c r="E296" s="737" t="s">
        <v>2067</v>
      </c>
      <c r="F296" s="738" t="s">
        <v>2581</v>
      </c>
      <c r="G296" s="736" t="s">
        <v>1757</v>
      </c>
      <c r="H296" s="739">
        <v>899.99</v>
      </c>
      <c r="I296" s="775" t="s">
        <v>2582</v>
      </c>
      <c r="J296" s="301"/>
      <c r="K296" s="731" t="s">
        <v>2075</v>
      </c>
      <c r="L296" s="746">
        <f>L293*1.25</f>
        <v>1115.366667</v>
      </c>
      <c r="M296" s="733"/>
      <c r="N296" s="301"/>
      <c r="O296" s="743" t="b">
        <v>1</v>
      </c>
    </row>
    <row r="297">
      <c r="A297" s="734"/>
      <c r="B297" s="735" t="s">
        <v>2064</v>
      </c>
      <c r="C297" s="747" t="s">
        <v>2379</v>
      </c>
      <c r="D297" s="748" t="s">
        <v>2380</v>
      </c>
      <c r="E297" s="737" t="s">
        <v>2067</v>
      </c>
      <c r="F297" s="766" t="s">
        <v>2583</v>
      </c>
      <c r="G297" s="736" t="s">
        <v>1757</v>
      </c>
      <c r="H297" s="745">
        <v>796.9</v>
      </c>
      <c r="I297" s="780" t="s">
        <v>2584</v>
      </c>
      <c r="J297" s="189"/>
      <c r="K297" s="731" t="s">
        <v>2080</v>
      </c>
      <c r="L297" s="746">
        <f>L293*0.75</f>
        <v>669.22</v>
      </c>
      <c r="M297" s="733"/>
      <c r="N297" s="189"/>
      <c r="O297" s="743" t="b">
        <v>1</v>
      </c>
    </row>
    <row r="298">
      <c r="A298" s="734"/>
      <c r="B298" s="735"/>
      <c r="C298" s="735"/>
      <c r="D298" s="734"/>
      <c r="E298" s="749"/>
      <c r="F298" s="750"/>
      <c r="G298" s="749"/>
      <c r="H298" s="749"/>
      <c r="I298" s="751"/>
      <c r="J298" s="752"/>
      <c r="K298" s="752"/>
      <c r="L298" s="752"/>
      <c r="M298" s="751"/>
      <c r="N298" s="752"/>
      <c r="O298" s="753"/>
    </row>
    <row r="299">
      <c r="A299" s="754" t="s">
        <v>1059</v>
      </c>
      <c r="B299" s="755" t="s">
        <v>2585</v>
      </c>
      <c r="C299" s="36"/>
      <c r="D299" s="36"/>
      <c r="E299" s="36"/>
      <c r="F299" s="36"/>
      <c r="G299" s="754" t="s">
        <v>1757</v>
      </c>
      <c r="H299" s="756">
        <f>MEDIAN(H301:H303)</f>
        <v>1510.5</v>
      </c>
      <c r="I299" s="757"/>
      <c r="J299" s="758" t="s">
        <v>2053</v>
      </c>
      <c r="K299" s="731" t="s">
        <v>2054</v>
      </c>
      <c r="L299" s="759">
        <f>AVERAGE(H301:H303)</f>
        <v>1569.283333</v>
      </c>
      <c r="M299" s="733"/>
      <c r="N299" s="760" t="s">
        <v>2055</v>
      </c>
      <c r="O299" s="454"/>
    </row>
    <row r="300">
      <c r="A300" s="727" t="s">
        <v>1717</v>
      </c>
      <c r="B300" s="728" t="s">
        <v>2056</v>
      </c>
      <c r="C300" s="728" t="s">
        <v>2057</v>
      </c>
      <c r="D300" s="727" t="s">
        <v>2058</v>
      </c>
      <c r="E300" s="727" t="s">
        <v>2059</v>
      </c>
      <c r="F300" s="729" t="s">
        <v>1537</v>
      </c>
      <c r="G300" s="727" t="s">
        <v>2060</v>
      </c>
      <c r="H300" s="727" t="s">
        <v>2061</v>
      </c>
      <c r="I300" s="730" t="s">
        <v>2062</v>
      </c>
      <c r="J300" s="301"/>
      <c r="K300" s="731" t="s">
        <v>2063</v>
      </c>
      <c r="L300" s="732">
        <f>STDEV(H301:H303)</f>
        <v>211.5904082</v>
      </c>
      <c r="M300" s="733"/>
      <c r="N300" s="189"/>
      <c r="O300" s="454"/>
    </row>
    <row r="301">
      <c r="A301" s="734"/>
      <c r="B301" s="735" t="s">
        <v>2064</v>
      </c>
      <c r="C301" s="735" t="s">
        <v>2551</v>
      </c>
      <c r="D301" s="734" t="s">
        <v>2552</v>
      </c>
      <c r="E301" s="737" t="s">
        <v>2067</v>
      </c>
      <c r="F301" s="738" t="s">
        <v>2586</v>
      </c>
      <c r="G301" s="736" t="s">
        <v>1757</v>
      </c>
      <c r="H301" s="745">
        <v>1510.5</v>
      </c>
      <c r="I301" s="775" t="s">
        <v>2587</v>
      </c>
      <c r="J301" s="301"/>
      <c r="K301" s="731" t="s">
        <v>2070</v>
      </c>
      <c r="L301" s="741">
        <f>L300/L299</f>
        <v>0.1348325084</v>
      </c>
      <c r="M301" s="733"/>
      <c r="N301" s="742" t="str">
        <f>IF(L301&lt;25%,"Não","Sim - proceder verificação ao lado")</f>
        <v>Não</v>
      </c>
      <c r="O301" s="743" t="b">
        <v>1</v>
      </c>
    </row>
    <row r="302">
      <c r="A302" s="734"/>
      <c r="B302" s="735" t="s">
        <v>2064</v>
      </c>
      <c r="C302" s="744" t="s">
        <v>2569</v>
      </c>
      <c r="D302" s="736" t="s">
        <v>2409</v>
      </c>
      <c r="E302" s="737" t="s">
        <v>2067</v>
      </c>
      <c r="F302" s="738" t="s">
        <v>2588</v>
      </c>
      <c r="G302" s="736" t="s">
        <v>1757</v>
      </c>
      <c r="H302" s="745">
        <v>1393.3</v>
      </c>
      <c r="I302" s="786" t="s">
        <v>2589</v>
      </c>
      <c r="J302" s="301"/>
      <c r="K302" s="731" t="s">
        <v>2075</v>
      </c>
      <c r="L302" s="746">
        <f>L299*1.25</f>
        <v>1961.604167</v>
      </c>
      <c r="M302" s="733"/>
      <c r="N302" s="301"/>
      <c r="O302" s="743" t="b">
        <v>1</v>
      </c>
    </row>
    <row r="303">
      <c r="A303" s="734"/>
      <c r="B303" s="735" t="s">
        <v>2064</v>
      </c>
      <c r="C303" s="747" t="s">
        <v>2541</v>
      </c>
      <c r="D303" s="748" t="s">
        <v>2150</v>
      </c>
      <c r="E303" s="737" t="s">
        <v>2067</v>
      </c>
      <c r="F303" s="766" t="s">
        <v>2590</v>
      </c>
      <c r="G303" s="736" t="s">
        <v>1757</v>
      </c>
      <c r="H303" s="745">
        <v>1804.05</v>
      </c>
      <c r="I303" s="780" t="s">
        <v>2591</v>
      </c>
      <c r="J303" s="189"/>
      <c r="K303" s="731" t="s">
        <v>2080</v>
      </c>
      <c r="L303" s="746">
        <f>L299*0.75</f>
        <v>1176.9625</v>
      </c>
      <c r="M303" s="733"/>
      <c r="N303" s="189"/>
      <c r="O303" s="743" t="b">
        <v>1</v>
      </c>
    </row>
    <row r="304">
      <c r="A304" s="734"/>
      <c r="B304" s="735"/>
      <c r="C304" s="735"/>
      <c r="D304" s="734"/>
      <c r="E304" s="749"/>
      <c r="F304" s="750"/>
      <c r="G304" s="749"/>
      <c r="H304" s="749"/>
      <c r="I304" s="751"/>
      <c r="J304" s="752"/>
      <c r="K304" s="752"/>
      <c r="L304" s="752"/>
      <c r="M304" s="751"/>
      <c r="N304" s="752"/>
      <c r="O304" s="753"/>
    </row>
    <row r="305">
      <c r="A305" s="754" t="s">
        <v>1061</v>
      </c>
      <c r="B305" s="755" t="s">
        <v>2592</v>
      </c>
      <c r="C305" s="36"/>
      <c r="D305" s="36"/>
      <c r="E305" s="36"/>
      <c r="F305" s="36"/>
      <c r="G305" s="754" t="s">
        <v>1757</v>
      </c>
      <c r="H305" s="756">
        <f>MEDIAN(H307:H309)</f>
        <v>2332.48</v>
      </c>
      <c r="I305" s="757"/>
      <c r="J305" s="758" t="s">
        <v>2053</v>
      </c>
      <c r="K305" s="731" t="s">
        <v>2054</v>
      </c>
      <c r="L305" s="759">
        <f>AVERAGE(H307:H309)</f>
        <v>2160.066667</v>
      </c>
      <c r="M305" s="733"/>
      <c r="N305" s="760" t="s">
        <v>2055</v>
      </c>
      <c r="O305" s="454"/>
    </row>
    <row r="306">
      <c r="A306" s="727" t="s">
        <v>1717</v>
      </c>
      <c r="B306" s="728" t="s">
        <v>2056</v>
      </c>
      <c r="C306" s="728" t="s">
        <v>2057</v>
      </c>
      <c r="D306" s="727" t="s">
        <v>2058</v>
      </c>
      <c r="E306" s="727" t="s">
        <v>2059</v>
      </c>
      <c r="F306" s="729" t="s">
        <v>1537</v>
      </c>
      <c r="G306" s="727" t="s">
        <v>2060</v>
      </c>
      <c r="H306" s="727" t="s">
        <v>2061</v>
      </c>
      <c r="I306" s="730" t="s">
        <v>2062</v>
      </c>
      <c r="J306" s="301"/>
      <c r="K306" s="731" t="s">
        <v>2063</v>
      </c>
      <c r="L306" s="732">
        <f>STDEV(H307:H309)</f>
        <v>534.681771</v>
      </c>
      <c r="M306" s="733"/>
      <c r="N306" s="189"/>
      <c r="O306" s="454"/>
    </row>
    <row r="307">
      <c r="A307" s="734"/>
      <c r="B307" s="735" t="s">
        <v>2064</v>
      </c>
      <c r="C307" s="744" t="s">
        <v>2593</v>
      </c>
      <c r="D307" s="736" t="s">
        <v>2594</v>
      </c>
      <c r="E307" s="737" t="s">
        <v>2067</v>
      </c>
      <c r="F307" s="766" t="s">
        <v>2595</v>
      </c>
      <c r="G307" s="736" t="s">
        <v>1757</v>
      </c>
      <c r="H307" s="745">
        <v>1560.45</v>
      </c>
      <c r="I307" s="797" t="s">
        <v>2596</v>
      </c>
      <c r="J307" s="301"/>
      <c r="K307" s="731" t="s">
        <v>2070</v>
      </c>
      <c r="L307" s="741">
        <f>L306/L305</f>
        <v>0.2475302171</v>
      </c>
      <c r="M307" s="733"/>
      <c r="N307" s="742" t="str">
        <f>IF(L307&lt;25%,"Não","Sim - proceder verificação ao lado")</f>
        <v>Não</v>
      </c>
      <c r="O307" s="743" t="b">
        <v>1</v>
      </c>
    </row>
    <row r="308">
      <c r="A308" s="734"/>
      <c r="B308" s="735" t="s">
        <v>2064</v>
      </c>
      <c r="C308" s="767" t="s">
        <v>2597</v>
      </c>
      <c r="D308" s="777" t="s">
        <v>2281</v>
      </c>
      <c r="E308" s="763" t="s">
        <v>2085</v>
      </c>
      <c r="F308" s="764" t="s">
        <v>2598</v>
      </c>
      <c r="G308" s="736" t="s">
        <v>1757</v>
      </c>
      <c r="H308" s="745">
        <v>2587.27</v>
      </c>
      <c r="I308" s="785" t="s">
        <v>2599</v>
      </c>
      <c r="J308" s="301"/>
      <c r="K308" s="731" t="s">
        <v>2075</v>
      </c>
      <c r="L308" s="746">
        <f>L305*1.25</f>
        <v>2700.083333</v>
      </c>
      <c r="M308" s="733"/>
      <c r="N308" s="301"/>
      <c r="O308" s="743" t="b">
        <v>1</v>
      </c>
    </row>
    <row r="309">
      <c r="A309" s="734"/>
      <c r="B309" s="735" t="s">
        <v>2064</v>
      </c>
      <c r="C309" s="735" t="s">
        <v>2551</v>
      </c>
      <c r="D309" s="734" t="s">
        <v>2552</v>
      </c>
      <c r="E309" s="737" t="s">
        <v>2067</v>
      </c>
      <c r="F309" s="766" t="s">
        <v>2600</v>
      </c>
      <c r="G309" s="736" t="s">
        <v>1757</v>
      </c>
      <c r="H309" s="745">
        <v>2332.48</v>
      </c>
      <c r="I309" s="797" t="s">
        <v>2601</v>
      </c>
      <c r="J309" s="189"/>
      <c r="K309" s="731" t="s">
        <v>2080</v>
      </c>
      <c r="L309" s="746">
        <f>L305*0.75</f>
        <v>1620.05</v>
      </c>
      <c r="M309" s="733"/>
      <c r="N309" s="189"/>
      <c r="O309" s="743" t="b">
        <v>1</v>
      </c>
    </row>
    <row r="310">
      <c r="A310" s="734"/>
      <c r="B310" s="735"/>
      <c r="C310" s="735"/>
      <c r="D310" s="734"/>
      <c r="E310" s="749"/>
      <c r="F310" s="750"/>
      <c r="G310" s="749"/>
      <c r="H310" s="749"/>
      <c r="I310" s="751"/>
      <c r="J310" s="752"/>
      <c r="K310" s="752"/>
      <c r="L310" s="752"/>
      <c r="M310" s="751"/>
      <c r="N310" s="752"/>
      <c r="O310" s="753"/>
    </row>
    <row r="311">
      <c r="A311" s="754" t="s">
        <v>1063</v>
      </c>
      <c r="B311" s="755" t="s">
        <v>2602</v>
      </c>
      <c r="C311" s="36"/>
      <c r="D311" s="36"/>
      <c r="E311" s="36"/>
      <c r="F311" s="36"/>
      <c r="G311" s="754" t="s">
        <v>1757</v>
      </c>
      <c r="H311" s="756">
        <f>MEDIAN(H313:H315)</f>
        <v>2223.49</v>
      </c>
      <c r="I311" s="757"/>
      <c r="J311" s="758" t="s">
        <v>2053</v>
      </c>
      <c r="K311" s="731" t="s">
        <v>2054</v>
      </c>
      <c r="L311" s="759">
        <f>AVERAGE(H313:H315)</f>
        <v>2101.543333</v>
      </c>
      <c r="M311" s="733"/>
      <c r="N311" s="760" t="s">
        <v>2055</v>
      </c>
      <c r="O311" s="454"/>
    </row>
    <row r="312">
      <c r="A312" s="727" t="s">
        <v>1717</v>
      </c>
      <c r="B312" s="728" t="s">
        <v>2056</v>
      </c>
      <c r="C312" s="728" t="s">
        <v>2057</v>
      </c>
      <c r="D312" s="727" t="s">
        <v>2058</v>
      </c>
      <c r="E312" s="727" t="s">
        <v>2059</v>
      </c>
      <c r="F312" s="729" t="s">
        <v>1537</v>
      </c>
      <c r="G312" s="727" t="s">
        <v>2060</v>
      </c>
      <c r="H312" s="727" t="s">
        <v>2061</v>
      </c>
      <c r="I312" s="730" t="s">
        <v>2062</v>
      </c>
      <c r="J312" s="301"/>
      <c r="K312" s="731" t="s">
        <v>2063</v>
      </c>
      <c r="L312" s="732">
        <f>STDEV(H313:H315)</f>
        <v>249.9381584</v>
      </c>
      <c r="M312" s="733"/>
      <c r="N312" s="189"/>
      <c r="O312" s="454"/>
    </row>
    <row r="313">
      <c r="A313" s="734"/>
      <c r="B313" s="735" t="s">
        <v>2064</v>
      </c>
      <c r="C313" s="744" t="s">
        <v>2408</v>
      </c>
      <c r="D313" s="736" t="s">
        <v>2603</v>
      </c>
      <c r="E313" s="737" t="s">
        <v>2067</v>
      </c>
      <c r="F313" s="738" t="s">
        <v>2604</v>
      </c>
      <c r="G313" s="736" t="s">
        <v>1757</v>
      </c>
      <c r="H313" s="745">
        <v>2267.1</v>
      </c>
      <c r="I313" s="786" t="s">
        <v>2605</v>
      </c>
      <c r="J313" s="301"/>
      <c r="K313" s="731" t="s">
        <v>2070</v>
      </c>
      <c r="L313" s="741">
        <f>L312/L311</f>
        <v>0.118930766</v>
      </c>
      <c r="M313" s="733"/>
      <c r="N313" s="742" t="str">
        <f>IF(L313&lt;25%,"Não","Sim - proceder verificação ao lado")</f>
        <v>Não</v>
      </c>
      <c r="O313" s="743" t="b">
        <v>1</v>
      </c>
    </row>
    <row r="314">
      <c r="A314" s="734"/>
      <c r="B314" s="735" t="s">
        <v>2064</v>
      </c>
      <c r="C314" s="744" t="s">
        <v>2606</v>
      </c>
      <c r="D314" s="736" t="s">
        <v>2607</v>
      </c>
      <c r="E314" s="737" t="s">
        <v>2067</v>
      </c>
      <c r="F314" s="738" t="s">
        <v>2608</v>
      </c>
      <c r="G314" s="736" t="s">
        <v>1757</v>
      </c>
      <c r="H314" s="739">
        <v>2223.49</v>
      </c>
      <c r="I314" s="786" t="s">
        <v>2609</v>
      </c>
      <c r="J314" s="301"/>
      <c r="K314" s="731" t="s">
        <v>2075</v>
      </c>
      <c r="L314" s="746">
        <f>L311*1.25</f>
        <v>2626.929167</v>
      </c>
      <c r="M314" s="733"/>
      <c r="N314" s="301"/>
      <c r="O314" s="743" t="b">
        <v>1</v>
      </c>
    </row>
    <row r="315">
      <c r="A315" s="734"/>
      <c r="B315" s="735" t="s">
        <v>2064</v>
      </c>
      <c r="C315" s="767" t="s">
        <v>2597</v>
      </c>
      <c r="D315" s="777" t="s">
        <v>2281</v>
      </c>
      <c r="E315" s="737" t="s">
        <v>2366</v>
      </c>
      <c r="F315" s="764" t="s">
        <v>2610</v>
      </c>
      <c r="G315" s="736" t="s">
        <v>1757</v>
      </c>
      <c r="H315" s="745">
        <v>1814.04</v>
      </c>
      <c r="I315" s="776" t="s">
        <v>2611</v>
      </c>
      <c r="J315" s="189"/>
      <c r="K315" s="731" t="s">
        <v>2080</v>
      </c>
      <c r="L315" s="746">
        <f>L311*0.75</f>
        <v>1576.1575</v>
      </c>
      <c r="M315" s="733"/>
      <c r="N315" s="189"/>
      <c r="O315" s="743" t="b">
        <v>1</v>
      </c>
    </row>
    <row r="316">
      <c r="A316" s="734"/>
      <c r="B316" s="735"/>
      <c r="C316" s="735"/>
      <c r="D316" s="734"/>
      <c r="E316" s="749"/>
      <c r="F316" s="750"/>
      <c r="G316" s="749"/>
      <c r="H316" s="749"/>
      <c r="I316" s="751"/>
      <c r="J316" s="752"/>
      <c r="K316" s="752"/>
      <c r="L316" s="752"/>
      <c r="M316" s="751"/>
      <c r="N316" s="752"/>
      <c r="O316" s="753"/>
    </row>
    <row r="317">
      <c r="A317" s="754" t="s">
        <v>1065</v>
      </c>
      <c r="B317" s="755" t="s">
        <v>2612</v>
      </c>
      <c r="C317" s="36"/>
      <c r="D317" s="36"/>
      <c r="E317" s="36"/>
      <c r="F317" s="36"/>
      <c r="G317" s="754" t="s">
        <v>1757</v>
      </c>
      <c r="H317" s="756">
        <f>MEDIAN(H319:H321)</f>
        <v>2462.4</v>
      </c>
      <c r="I317" s="757"/>
      <c r="J317" s="758" t="s">
        <v>2053</v>
      </c>
      <c r="K317" s="731" t="s">
        <v>2054</v>
      </c>
      <c r="L317" s="759">
        <f>AVERAGE(H319:H321)</f>
        <v>2559.713333</v>
      </c>
      <c r="M317" s="733"/>
      <c r="N317" s="760" t="s">
        <v>2055</v>
      </c>
      <c r="O317" s="454"/>
    </row>
    <row r="318">
      <c r="A318" s="727" t="s">
        <v>1717</v>
      </c>
      <c r="B318" s="728" t="s">
        <v>2056</v>
      </c>
      <c r="C318" s="728" t="s">
        <v>2057</v>
      </c>
      <c r="D318" s="727" t="s">
        <v>2058</v>
      </c>
      <c r="E318" s="727" t="s">
        <v>2059</v>
      </c>
      <c r="F318" s="729" t="s">
        <v>1537</v>
      </c>
      <c r="G318" s="727" t="s">
        <v>2060</v>
      </c>
      <c r="H318" s="727" t="s">
        <v>2061</v>
      </c>
      <c r="I318" s="730" t="s">
        <v>2062</v>
      </c>
      <c r="J318" s="301"/>
      <c r="K318" s="731" t="s">
        <v>2063</v>
      </c>
      <c r="L318" s="732">
        <f>STDEV(H319:H321)</f>
        <v>240.621192</v>
      </c>
      <c r="M318" s="733"/>
      <c r="N318" s="189"/>
      <c r="O318" s="454"/>
    </row>
    <row r="319">
      <c r="A319" s="734"/>
      <c r="B319" s="735" t="s">
        <v>2064</v>
      </c>
      <c r="C319" s="735" t="s">
        <v>2551</v>
      </c>
      <c r="D319" s="734" t="s">
        <v>2552</v>
      </c>
      <c r="E319" s="737" t="s">
        <v>2067</v>
      </c>
      <c r="F319" s="738" t="s">
        <v>2613</v>
      </c>
      <c r="G319" s="736" t="s">
        <v>1757</v>
      </c>
      <c r="H319" s="745">
        <v>2462.4</v>
      </c>
      <c r="I319" s="786" t="s">
        <v>2614</v>
      </c>
      <c r="J319" s="301"/>
      <c r="K319" s="731" t="s">
        <v>2070</v>
      </c>
      <c r="L319" s="741">
        <f>L318/L317</f>
        <v>0.09400317952</v>
      </c>
      <c r="M319" s="733"/>
      <c r="N319" s="742" t="str">
        <f>IF(L319&lt;25%,"Não","Sim - proceder verificação ao lado")</f>
        <v>Não</v>
      </c>
      <c r="O319" s="743" t="b">
        <v>1</v>
      </c>
    </row>
    <row r="320">
      <c r="A320" s="734"/>
      <c r="B320" s="735" t="s">
        <v>2064</v>
      </c>
      <c r="C320" s="744" t="s">
        <v>2593</v>
      </c>
      <c r="D320" s="736" t="s">
        <v>2594</v>
      </c>
      <c r="E320" s="737" t="s">
        <v>2067</v>
      </c>
      <c r="F320" s="738" t="s">
        <v>2615</v>
      </c>
      <c r="G320" s="736" t="s">
        <v>1757</v>
      </c>
      <c r="H320" s="745">
        <v>2382.99</v>
      </c>
      <c r="I320" s="775" t="s">
        <v>2616</v>
      </c>
      <c r="J320" s="301"/>
      <c r="K320" s="731" t="s">
        <v>2075</v>
      </c>
      <c r="L320" s="746">
        <f>L317*1.25</f>
        <v>3199.641667</v>
      </c>
      <c r="M320" s="733"/>
      <c r="N320" s="301"/>
      <c r="O320" s="743" t="b">
        <v>1</v>
      </c>
    </row>
    <row r="321">
      <c r="A321" s="734"/>
      <c r="B321" s="735" t="s">
        <v>2064</v>
      </c>
      <c r="C321" s="735" t="s">
        <v>2617</v>
      </c>
      <c r="D321" s="734" t="s">
        <v>2150</v>
      </c>
      <c r="E321" s="737" t="s">
        <v>2067</v>
      </c>
      <c r="F321" s="738" t="s">
        <v>2618</v>
      </c>
      <c r="G321" s="736" t="s">
        <v>1757</v>
      </c>
      <c r="H321" s="745">
        <v>2833.75</v>
      </c>
      <c r="I321" s="775" t="s">
        <v>2619</v>
      </c>
      <c r="J321" s="189"/>
      <c r="K321" s="731" t="s">
        <v>2080</v>
      </c>
      <c r="L321" s="746">
        <f>L317*0.75</f>
        <v>1919.785</v>
      </c>
      <c r="M321" s="733"/>
      <c r="N321" s="189"/>
      <c r="O321" s="743" t="b">
        <v>1</v>
      </c>
    </row>
    <row r="322">
      <c r="A322" s="734"/>
      <c r="B322" s="735"/>
      <c r="C322" s="735"/>
      <c r="D322" s="734"/>
      <c r="E322" s="749"/>
      <c r="F322" s="750"/>
      <c r="G322" s="749"/>
      <c r="H322" s="749"/>
      <c r="I322" s="751"/>
      <c r="J322" s="752"/>
      <c r="K322" s="752"/>
      <c r="L322" s="752"/>
      <c r="M322" s="751"/>
      <c r="N322" s="752"/>
      <c r="O322" s="753"/>
    </row>
    <row r="323">
      <c r="A323" s="754" t="s">
        <v>1067</v>
      </c>
      <c r="B323" s="755" t="s">
        <v>2620</v>
      </c>
      <c r="C323" s="36"/>
      <c r="D323" s="36"/>
      <c r="E323" s="36"/>
      <c r="F323" s="36"/>
      <c r="G323" s="754" t="s">
        <v>1757</v>
      </c>
      <c r="H323" s="756">
        <f>MEDIAN(H325:H327)</f>
        <v>163.6</v>
      </c>
      <c r="I323" s="757"/>
      <c r="J323" s="758" t="s">
        <v>2053</v>
      </c>
      <c r="K323" s="731" t="s">
        <v>2054</v>
      </c>
      <c r="L323" s="759">
        <f>AVERAGE(H325:H327)</f>
        <v>185.56</v>
      </c>
      <c r="M323" s="733"/>
      <c r="N323" s="760" t="s">
        <v>2055</v>
      </c>
      <c r="O323" s="454"/>
    </row>
    <row r="324">
      <c r="A324" s="727" t="s">
        <v>1717</v>
      </c>
      <c r="B324" s="728" t="s">
        <v>2056</v>
      </c>
      <c r="C324" s="728" t="s">
        <v>2057</v>
      </c>
      <c r="D324" s="727" t="s">
        <v>2058</v>
      </c>
      <c r="E324" s="727" t="s">
        <v>2059</v>
      </c>
      <c r="F324" s="729" t="s">
        <v>1537</v>
      </c>
      <c r="G324" s="727" t="s">
        <v>2060</v>
      </c>
      <c r="H324" s="727" t="s">
        <v>2061</v>
      </c>
      <c r="I324" s="730" t="s">
        <v>2062</v>
      </c>
      <c r="J324" s="301"/>
      <c r="K324" s="731" t="s">
        <v>2063</v>
      </c>
      <c r="L324" s="732">
        <f>STDEV(H325:H327)</f>
        <v>42.81554391</v>
      </c>
      <c r="M324" s="733"/>
      <c r="N324" s="189"/>
      <c r="O324" s="454"/>
    </row>
    <row r="325">
      <c r="A325" s="734"/>
      <c r="B325" s="735" t="s">
        <v>2064</v>
      </c>
      <c r="C325" s="735" t="s">
        <v>2621</v>
      </c>
      <c r="D325" s="736" t="s">
        <v>2622</v>
      </c>
      <c r="E325" s="737" t="s">
        <v>2067</v>
      </c>
      <c r="F325" s="738" t="s">
        <v>2623</v>
      </c>
      <c r="G325" s="736" t="s">
        <v>1757</v>
      </c>
      <c r="H325" s="745">
        <v>234.9</v>
      </c>
      <c r="I325" s="786" t="s">
        <v>2624</v>
      </c>
      <c r="J325" s="301"/>
      <c r="K325" s="731" t="s">
        <v>2070</v>
      </c>
      <c r="L325" s="741">
        <f>L324/L323</f>
        <v>0.2307369256</v>
      </c>
      <c r="M325" s="733"/>
      <c r="N325" s="742" t="str">
        <f>IF(L325&lt;25%,"Não","Sim - proceder verificação ao lado")</f>
        <v>Não</v>
      </c>
      <c r="O325" s="743" t="b">
        <v>1</v>
      </c>
    </row>
    <row r="326">
      <c r="A326" s="734"/>
      <c r="B326" s="735" t="s">
        <v>2064</v>
      </c>
      <c r="C326" s="747" t="s">
        <v>2372</v>
      </c>
      <c r="D326" s="748" t="s">
        <v>2134</v>
      </c>
      <c r="E326" s="737" t="s">
        <v>2067</v>
      </c>
      <c r="F326" s="766" t="s">
        <v>2625</v>
      </c>
      <c r="G326" s="736" t="s">
        <v>1757</v>
      </c>
      <c r="H326" s="745">
        <v>163.6</v>
      </c>
      <c r="I326" s="797" t="s">
        <v>2626</v>
      </c>
      <c r="J326" s="301"/>
      <c r="K326" s="731" t="s">
        <v>2075</v>
      </c>
      <c r="L326" s="746">
        <f>L323*1.25</f>
        <v>231.95</v>
      </c>
      <c r="M326" s="733"/>
      <c r="N326" s="301"/>
      <c r="O326" s="743" t="b">
        <v>1</v>
      </c>
    </row>
    <row r="327">
      <c r="A327" s="734"/>
      <c r="B327" s="735" t="s">
        <v>2064</v>
      </c>
      <c r="C327" s="744" t="s">
        <v>2593</v>
      </c>
      <c r="D327" s="736" t="s">
        <v>2594</v>
      </c>
      <c r="E327" s="737" t="s">
        <v>2067</v>
      </c>
      <c r="F327" s="738" t="s">
        <v>2627</v>
      </c>
      <c r="G327" s="736" t="s">
        <v>1757</v>
      </c>
      <c r="H327" s="745">
        <v>158.18</v>
      </c>
      <c r="I327" s="786" t="s">
        <v>2628</v>
      </c>
      <c r="J327" s="189"/>
      <c r="K327" s="731" t="s">
        <v>2080</v>
      </c>
      <c r="L327" s="746">
        <f>L323*0.75</f>
        <v>139.17</v>
      </c>
      <c r="M327" s="733"/>
      <c r="N327" s="189"/>
      <c r="O327" s="743" t="b">
        <v>1</v>
      </c>
    </row>
    <row r="328">
      <c r="A328" s="734"/>
      <c r="B328" s="735"/>
      <c r="C328" s="735"/>
      <c r="D328" s="734"/>
      <c r="E328" s="749"/>
      <c r="F328" s="750"/>
      <c r="G328" s="749"/>
      <c r="H328" s="749"/>
      <c r="I328" s="751"/>
      <c r="J328" s="752"/>
      <c r="K328" s="752"/>
      <c r="L328" s="752"/>
      <c r="M328" s="751"/>
      <c r="N328" s="752"/>
      <c r="O328" s="753"/>
    </row>
    <row r="329">
      <c r="A329" s="754" t="s">
        <v>1069</v>
      </c>
      <c r="B329" s="755" t="s">
        <v>2629</v>
      </c>
      <c r="C329" s="36"/>
      <c r="D329" s="36"/>
      <c r="E329" s="36"/>
      <c r="F329" s="36"/>
      <c r="G329" s="754" t="s">
        <v>1757</v>
      </c>
      <c r="H329" s="756">
        <f>MEDIAN(H331:H333)</f>
        <v>319.21</v>
      </c>
      <c r="I329" s="757"/>
      <c r="J329" s="758" t="s">
        <v>2053</v>
      </c>
      <c r="K329" s="731" t="s">
        <v>2054</v>
      </c>
      <c r="L329" s="759">
        <f>AVERAGE(H331:H333)</f>
        <v>319.7366667</v>
      </c>
      <c r="M329" s="733"/>
      <c r="N329" s="760" t="s">
        <v>2055</v>
      </c>
      <c r="O329" s="454"/>
    </row>
    <row r="330">
      <c r="A330" s="727" t="s">
        <v>1717</v>
      </c>
      <c r="B330" s="728" t="s">
        <v>2056</v>
      </c>
      <c r="C330" s="728" t="s">
        <v>2057</v>
      </c>
      <c r="D330" s="727" t="s">
        <v>2058</v>
      </c>
      <c r="E330" s="727" t="s">
        <v>2059</v>
      </c>
      <c r="F330" s="729" t="s">
        <v>1537</v>
      </c>
      <c r="G330" s="727" t="s">
        <v>2060</v>
      </c>
      <c r="H330" s="727" t="s">
        <v>2061</v>
      </c>
      <c r="I330" s="730" t="s">
        <v>2062</v>
      </c>
      <c r="J330" s="301"/>
      <c r="K330" s="731" t="s">
        <v>2063</v>
      </c>
      <c r="L330" s="732">
        <f>STDEV(H331:H333)</f>
        <v>30.00346702</v>
      </c>
      <c r="M330" s="733"/>
      <c r="N330" s="189"/>
      <c r="O330" s="454"/>
    </row>
    <row r="331">
      <c r="A331" s="734"/>
      <c r="B331" s="735" t="s">
        <v>2064</v>
      </c>
      <c r="C331" s="747" t="s">
        <v>2126</v>
      </c>
      <c r="D331" s="748" t="s">
        <v>2281</v>
      </c>
      <c r="E331" s="737" t="s">
        <v>2067</v>
      </c>
      <c r="F331" s="766" t="s">
        <v>2630</v>
      </c>
      <c r="G331" s="736" t="s">
        <v>1757</v>
      </c>
      <c r="H331" s="745">
        <v>350.0</v>
      </c>
      <c r="I331" s="780" t="s">
        <v>2631</v>
      </c>
      <c r="J331" s="301"/>
      <c r="K331" s="731" t="s">
        <v>2070</v>
      </c>
      <c r="L331" s="741">
        <f>L330/L329</f>
        <v>0.09383805534</v>
      </c>
      <c r="M331" s="733"/>
      <c r="N331" s="742" t="str">
        <f>IF(L331&lt;25%,"Não","Sim - proceder verificação ao lado")</f>
        <v>Não</v>
      </c>
      <c r="O331" s="743" t="b">
        <v>1</v>
      </c>
    </row>
    <row r="332">
      <c r="A332" s="734"/>
      <c r="B332" s="735" t="s">
        <v>2064</v>
      </c>
      <c r="C332" s="735" t="s">
        <v>2477</v>
      </c>
      <c r="D332" s="734" t="s">
        <v>2607</v>
      </c>
      <c r="E332" s="737" t="s">
        <v>2067</v>
      </c>
      <c r="F332" s="738" t="s">
        <v>2632</v>
      </c>
      <c r="G332" s="736" t="s">
        <v>1757</v>
      </c>
      <c r="H332" s="745">
        <v>319.21</v>
      </c>
      <c r="I332" s="775" t="s">
        <v>2633</v>
      </c>
      <c r="J332" s="301"/>
      <c r="K332" s="731" t="s">
        <v>2075</v>
      </c>
      <c r="L332" s="746">
        <f>L329*1.25</f>
        <v>399.6708333</v>
      </c>
      <c r="M332" s="733"/>
      <c r="N332" s="301"/>
      <c r="O332" s="743" t="b">
        <v>1</v>
      </c>
    </row>
    <row r="333">
      <c r="A333" s="734"/>
      <c r="B333" s="735" t="s">
        <v>2064</v>
      </c>
      <c r="C333" s="747" t="s">
        <v>2634</v>
      </c>
      <c r="D333" s="748" t="s">
        <v>2635</v>
      </c>
      <c r="E333" s="737" t="s">
        <v>2067</v>
      </c>
      <c r="F333" s="766" t="s">
        <v>2636</v>
      </c>
      <c r="G333" s="736" t="s">
        <v>1757</v>
      </c>
      <c r="H333" s="739">
        <v>290.0</v>
      </c>
      <c r="I333" s="780" t="s">
        <v>2637</v>
      </c>
      <c r="J333" s="189"/>
      <c r="K333" s="731" t="s">
        <v>2080</v>
      </c>
      <c r="L333" s="746">
        <f>L329*0.75</f>
        <v>239.8025</v>
      </c>
      <c r="M333" s="733"/>
      <c r="N333" s="189"/>
      <c r="O333" s="743" t="b">
        <v>1</v>
      </c>
    </row>
    <row r="334">
      <c r="A334" s="734"/>
      <c r="B334" s="735"/>
      <c r="C334" s="735"/>
      <c r="D334" s="734"/>
      <c r="E334" s="749"/>
      <c r="F334" s="750"/>
      <c r="G334" s="749"/>
      <c r="H334" s="749"/>
      <c r="I334" s="751"/>
      <c r="J334" s="752"/>
      <c r="K334" s="752"/>
      <c r="L334" s="752"/>
      <c r="M334" s="751"/>
      <c r="N334" s="752"/>
      <c r="O334" s="753"/>
    </row>
    <row r="335">
      <c r="A335" s="754" t="s">
        <v>1071</v>
      </c>
      <c r="B335" s="755" t="s">
        <v>2638</v>
      </c>
      <c r="C335" s="36"/>
      <c r="D335" s="36"/>
      <c r="E335" s="36"/>
      <c r="F335" s="36"/>
      <c r="G335" s="754" t="s">
        <v>1757</v>
      </c>
      <c r="H335" s="756">
        <f>MEDIAN(H337:H339)</f>
        <v>571.67</v>
      </c>
      <c r="I335" s="757"/>
      <c r="J335" s="758" t="s">
        <v>2053</v>
      </c>
      <c r="K335" s="731" t="s">
        <v>2054</v>
      </c>
      <c r="L335" s="759">
        <f>AVERAGE(H337:H339)</f>
        <v>541.5533333</v>
      </c>
      <c r="M335" s="733"/>
      <c r="N335" s="760" t="s">
        <v>2055</v>
      </c>
      <c r="O335" s="454"/>
    </row>
    <row r="336">
      <c r="A336" s="727" t="s">
        <v>1717</v>
      </c>
      <c r="B336" s="728" t="s">
        <v>2056</v>
      </c>
      <c r="C336" s="728" t="s">
        <v>2057</v>
      </c>
      <c r="D336" s="727" t="s">
        <v>2058</v>
      </c>
      <c r="E336" s="727" t="s">
        <v>2059</v>
      </c>
      <c r="F336" s="729" t="s">
        <v>1537</v>
      </c>
      <c r="G336" s="727" t="s">
        <v>2060</v>
      </c>
      <c r="H336" s="727" t="s">
        <v>2061</v>
      </c>
      <c r="I336" s="730" t="s">
        <v>2062</v>
      </c>
      <c r="J336" s="301"/>
      <c r="K336" s="731" t="s">
        <v>2063</v>
      </c>
      <c r="L336" s="732">
        <f>STDEV(H337:H339)</f>
        <v>80.81921327</v>
      </c>
      <c r="M336" s="733"/>
      <c r="N336" s="189"/>
      <c r="O336" s="454"/>
    </row>
    <row r="337">
      <c r="A337" s="734"/>
      <c r="B337" s="735" t="s">
        <v>2064</v>
      </c>
      <c r="C337" s="747" t="s">
        <v>2634</v>
      </c>
      <c r="D337" s="748" t="s">
        <v>2635</v>
      </c>
      <c r="E337" s="737" t="s">
        <v>2067</v>
      </c>
      <c r="F337" s="766" t="s">
        <v>2639</v>
      </c>
      <c r="G337" s="736" t="s">
        <v>1757</v>
      </c>
      <c r="H337" s="739">
        <v>450.0</v>
      </c>
      <c r="I337" s="797" t="s">
        <v>2640</v>
      </c>
      <c r="J337" s="301"/>
      <c r="K337" s="731" t="s">
        <v>2070</v>
      </c>
      <c r="L337" s="741">
        <f>L336/L335</f>
        <v>0.1492359262</v>
      </c>
      <c r="M337" s="733"/>
      <c r="N337" s="742" t="str">
        <f>IF(L337&lt;25%,"Não","Sim - proceder verificação ao lado")</f>
        <v>Não</v>
      </c>
      <c r="O337" s="743" t="b">
        <v>1</v>
      </c>
    </row>
    <row r="338">
      <c r="A338" s="734"/>
      <c r="B338" s="735" t="s">
        <v>2064</v>
      </c>
      <c r="C338" s="767" t="s">
        <v>2641</v>
      </c>
      <c r="D338" s="777" t="s">
        <v>2642</v>
      </c>
      <c r="E338" s="763" t="s">
        <v>2085</v>
      </c>
      <c r="F338" s="764" t="s">
        <v>2643</v>
      </c>
      <c r="G338" s="736" t="s">
        <v>1757</v>
      </c>
      <c r="H338" s="745">
        <v>602.99</v>
      </c>
      <c r="I338" s="785" t="s">
        <v>2644</v>
      </c>
      <c r="J338" s="301"/>
      <c r="K338" s="731" t="s">
        <v>2075</v>
      </c>
      <c r="L338" s="746">
        <f>L335*1.25</f>
        <v>676.9416667</v>
      </c>
      <c r="M338" s="733"/>
      <c r="N338" s="301"/>
      <c r="O338" s="743" t="b">
        <v>1</v>
      </c>
    </row>
    <row r="339">
      <c r="A339" s="734"/>
      <c r="B339" s="735" t="s">
        <v>2064</v>
      </c>
      <c r="C339" s="735" t="s">
        <v>2645</v>
      </c>
      <c r="D339" s="734" t="s">
        <v>2646</v>
      </c>
      <c r="E339" s="737" t="s">
        <v>2067</v>
      </c>
      <c r="F339" s="738" t="s">
        <v>2647</v>
      </c>
      <c r="G339" s="736" t="s">
        <v>1757</v>
      </c>
      <c r="H339" s="745">
        <v>571.67</v>
      </c>
      <c r="I339" s="786" t="s">
        <v>2648</v>
      </c>
      <c r="J339" s="189"/>
      <c r="K339" s="731" t="s">
        <v>2080</v>
      </c>
      <c r="L339" s="746">
        <f>L335*0.75</f>
        <v>406.165</v>
      </c>
      <c r="M339" s="733"/>
      <c r="N339" s="189"/>
      <c r="O339" s="743" t="b">
        <v>1</v>
      </c>
    </row>
    <row r="340">
      <c r="A340" s="734"/>
      <c r="B340" s="735"/>
      <c r="C340" s="735"/>
      <c r="D340" s="734"/>
      <c r="E340" s="749"/>
      <c r="F340" s="750"/>
      <c r="G340" s="749"/>
      <c r="H340" s="749"/>
      <c r="I340" s="751"/>
      <c r="J340" s="752"/>
      <c r="K340" s="752"/>
      <c r="L340" s="752"/>
      <c r="M340" s="751"/>
      <c r="N340" s="752"/>
      <c r="O340" s="753"/>
    </row>
    <row r="341">
      <c r="A341" s="754" t="s">
        <v>1073</v>
      </c>
      <c r="B341" s="755" t="s">
        <v>2649</v>
      </c>
      <c r="C341" s="36"/>
      <c r="D341" s="36"/>
      <c r="E341" s="36"/>
      <c r="F341" s="36"/>
      <c r="G341" s="754" t="s">
        <v>1757</v>
      </c>
      <c r="H341" s="756">
        <f>MEDIAN(H343:H345)</f>
        <v>209.9</v>
      </c>
      <c r="I341" s="757"/>
      <c r="J341" s="758" t="s">
        <v>2053</v>
      </c>
      <c r="K341" s="731" t="s">
        <v>2054</v>
      </c>
      <c r="L341" s="759">
        <f>AVERAGE(H343:H345)</f>
        <v>236.2666667</v>
      </c>
      <c r="M341" s="733"/>
      <c r="N341" s="760" t="s">
        <v>2055</v>
      </c>
      <c r="O341" s="454"/>
    </row>
    <row r="342">
      <c r="A342" s="727" t="s">
        <v>1717</v>
      </c>
      <c r="B342" s="728" t="s">
        <v>2056</v>
      </c>
      <c r="C342" s="728" t="s">
        <v>2057</v>
      </c>
      <c r="D342" s="727" t="s">
        <v>2058</v>
      </c>
      <c r="E342" s="727" t="s">
        <v>2059</v>
      </c>
      <c r="F342" s="729" t="s">
        <v>1537</v>
      </c>
      <c r="G342" s="727" t="s">
        <v>2060</v>
      </c>
      <c r="H342" s="727" t="s">
        <v>2061</v>
      </c>
      <c r="I342" s="730" t="s">
        <v>2062</v>
      </c>
      <c r="J342" s="301"/>
      <c r="K342" s="731" t="s">
        <v>2063</v>
      </c>
      <c r="L342" s="732">
        <f>STDEV(H343:H345)</f>
        <v>45.66840629</v>
      </c>
      <c r="M342" s="733"/>
      <c r="N342" s="189"/>
      <c r="O342" s="454"/>
    </row>
    <row r="343">
      <c r="A343" s="734"/>
      <c r="B343" s="735" t="s">
        <v>2064</v>
      </c>
      <c r="C343" s="735" t="s">
        <v>2276</v>
      </c>
      <c r="D343" s="734" t="s">
        <v>2134</v>
      </c>
      <c r="E343" s="737" t="s">
        <v>2067</v>
      </c>
      <c r="F343" s="738" t="s">
        <v>2650</v>
      </c>
      <c r="G343" s="736" t="s">
        <v>1757</v>
      </c>
      <c r="H343" s="739">
        <v>209.9</v>
      </c>
      <c r="I343" s="786" t="s">
        <v>2651</v>
      </c>
      <c r="J343" s="301"/>
      <c r="K343" s="731" t="s">
        <v>2070</v>
      </c>
      <c r="L343" s="741">
        <f>L342/L341</f>
        <v>0.1932917874</v>
      </c>
      <c r="M343" s="733"/>
      <c r="N343" s="742" t="str">
        <f>IF(L343&lt;25%,"Não","Sim - proceder verificação ao lado")</f>
        <v>Não</v>
      </c>
      <c r="O343" s="743" t="b">
        <v>1</v>
      </c>
    </row>
    <row r="344">
      <c r="A344" s="734"/>
      <c r="B344" s="735" t="s">
        <v>2064</v>
      </c>
      <c r="C344" s="744" t="s">
        <v>2652</v>
      </c>
      <c r="D344" s="736" t="s">
        <v>2653</v>
      </c>
      <c r="E344" s="737" t="s">
        <v>2067</v>
      </c>
      <c r="F344" s="738" t="s">
        <v>2654</v>
      </c>
      <c r="G344" s="736" t="s">
        <v>1757</v>
      </c>
      <c r="H344" s="739">
        <v>289.0</v>
      </c>
      <c r="I344" s="786" t="s">
        <v>2655</v>
      </c>
      <c r="J344" s="301"/>
      <c r="K344" s="731" t="s">
        <v>2075</v>
      </c>
      <c r="L344" s="746">
        <f>L341*1.25</f>
        <v>295.3333333</v>
      </c>
      <c r="M344" s="733"/>
      <c r="N344" s="301"/>
      <c r="O344" s="743" t="b">
        <v>1</v>
      </c>
    </row>
    <row r="345">
      <c r="A345" s="734"/>
      <c r="B345" s="735" t="s">
        <v>2064</v>
      </c>
      <c r="C345" s="744" t="s">
        <v>2541</v>
      </c>
      <c r="D345" s="736" t="s">
        <v>2150</v>
      </c>
      <c r="E345" s="737" t="s">
        <v>2067</v>
      </c>
      <c r="F345" s="738" t="s">
        <v>2656</v>
      </c>
      <c r="G345" s="736" t="s">
        <v>1757</v>
      </c>
      <c r="H345" s="739">
        <v>209.9</v>
      </c>
      <c r="I345" s="786" t="s">
        <v>2657</v>
      </c>
      <c r="J345" s="189"/>
      <c r="K345" s="731" t="s">
        <v>2080</v>
      </c>
      <c r="L345" s="746">
        <f>L341*0.75</f>
        <v>177.2</v>
      </c>
      <c r="M345" s="733"/>
      <c r="N345" s="189"/>
      <c r="O345" s="743" t="b">
        <v>1</v>
      </c>
    </row>
    <row r="346">
      <c r="A346" s="734"/>
      <c r="B346" s="735"/>
      <c r="C346" s="735"/>
      <c r="D346" s="734"/>
      <c r="E346" s="749"/>
      <c r="F346" s="750"/>
      <c r="G346" s="749"/>
      <c r="H346" s="749"/>
      <c r="I346" s="751"/>
      <c r="J346" s="752"/>
      <c r="K346" s="752"/>
      <c r="L346" s="752"/>
      <c r="M346" s="751"/>
      <c r="N346" s="752"/>
      <c r="O346" s="753"/>
    </row>
    <row r="347">
      <c r="A347" s="754" t="s">
        <v>1075</v>
      </c>
      <c r="B347" s="755" t="s">
        <v>2658</v>
      </c>
      <c r="C347" s="36"/>
      <c r="D347" s="36"/>
      <c r="E347" s="36"/>
      <c r="F347" s="36"/>
      <c r="G347" s="754" t="s">
        <v>1757</v>
      </c>
      <c r="H347" s="756">
        <f>MEDIAN(H349:H351)</f>
        <v>267.09</v>
      </c>
      <c r="I347" s="757"/>
      <c r="J347" s="758" t="s">
        <v>2053</v>
      </c>
      <c r="K347" s="731" t="s">
        <v>2054</v>
      </c>
      <c r="L347" s="759">
        <f>AVERAGE(H349:H351)</f>
        <v>277.6433333</v>
      </c>
      <c r="M347" s="733"/>
      <c r="N347" s="760" t="s">
        <v>2055</v>
      </c>
      <c r="O347" s="454"/>
    </row>
    <row r="348">
      <c r="A348" s="727" t="s">
        <v>1717</v>
      </c>
      <c r="B348" s="728" t="s">
        <v>2056</v>
      </c>
      <c r="C348" s="728" t="s">
        <v>2057</v>
      </c>
      <c r="D348" s="727" t="s">
        <v>2058</v>
      </c>
      <c r="E348" s="727" t="s">
        <v>2059</v>
      </c>
      <c r="F348" s="729" t="s">
        <v>1537</v>
      </c>
      <c r="G348" s="727" t="s">
        <v>2060</v>
      </c>
      <c r="H348" s="727" t="s">
        <v>2061</v>
      </c>
      <c r="I348" s="730" t="s">
        <v>2062</v>
      </c>
      <c r="J348" s="301"/>
      <c r="K348" s="731" t="s">
        <v>2063</v>
      </c>
      <c r="L348" s="732">
        <f>STDEV(H349:H351)</f>
        <v>23.51847217</v>
      </c>
      <c r="M348" s="733"/>
      <c r="N348" s="189"/>
      <c r="O348" s="454"/>
    </row>
    <row r="349">
      <c r="A349" s="734"/>
      <c r="B349" s="735" t="s">
        <v>2064</v>
      </c>
      <c r="C349" s="735" t="s">
        <v>2659</v>
      </c>
      <c r="D349" s="736" t="s">
        <v>2578</v>
      </c>
      <c r="E349" s="737" t="s">
        <v>2067</v>
      </c>
      <c r="F349" s="738" t="s">
        <v>2660</v>
      </c>
      <c r="G349" s="736" t="s">
        <v>1757</v>
      </c>
      <c r="H349" s="745">
        <v>267.09</v>
      </c>
      <c r="I349" s="786" t="s">
        <v>2661</v>
      </c>
      <c r="J349" s="301"/>
      <c r="K349" s="731" t="s">
        <v>2070</v>
      </c>
      <c r="L349" s="741">
        <f>L348/L347</f>
        <v>0.08470749825</v>
      </c>
      <c r="M349" s="733"/>
      <c r="N349" s="742" t="str">
        <f>IF(L349&lt;25%,"Não","Sim - proceder verificação ao lado")</f>
        <v>Não</v>
      </c>
      <c r="O349" s="743" t="b">
        <v>1</v>
      </c>
    </row>
    <row r="350">
      <c r="A350" s="734"/>
      <c r="B350" s="735" t="s">
        <v>2064</v>
      </c>
      <c r="C350" s="767" t="s">
        <v>2551</v>
      </c>
      <c r="D350" s="777" t="s">
        <v>2552</v>
      </c>
      <c r="E350" s="737" t="s">
        <v>2085</v>
      </c>
      <c r="F350" s="764" t="s">
        <v>2662</v>
      </c>
      <c r="G350" s="736" t="s">
        <v>1757</v>
      </c>
      <c r="H350" s="745">
        <v>261.25</v>
      </c>
      <c r="I350" s="785" t="s">
        <v>2663</v>
      </c>
      <c r="J350" s="301"/>
      <c r="K350" s="731" t="s">
        <v>2075</v>
      </c>
      <c r="L350" s="746">
        <f>L347*1.25</f>
        <v>347.0541667</v>
      </c>
      <c r="M350" s="733"/>
      <c r="N350" s="301"/>
      <c r="O350" s="743" t="b">
        <v>1</v>
      </c>
    </row>
    <row r="351">
      <c r="A351" s="734"/>
      <c r="B351" s="735" t="s">
        <v>2064</v>
      </c>
      <c r="C351" s="744" t="s">
        <v>2126</v>
      </c>
      <c r="D351" s="736" t="s">
        <v>2281</v>
      </c>
      <c r="E351" s="737" t="s">
        <v>2067</v>
      </c>
      <c r="F351" s="766" t="s">
        <v>2664</v>
      </c>
      <c r="G351" s="736" t="s">
        <v>1757</v>
      </c>
      <c r="H351" s="739">
        <v>304.59</v>
      </c>
      <c r="I351" s="797" t="s">
        <v>2665</v>
      </c>
      <c r="J351" s="189"/>
      <c r="K351" s="731" t="s">
        <v>2080</v>
      </c>
      <c r="L351" s="746">
        <f>L347*0.75</f>
        <v>208.2325</v>
      </c>
      <c r="M351" s="733"/>
      <c r="N351" s="189"/>
      <c r="O351" s="743" t="b">
        <v>1</v>
      </c>
    </row>
    <row r="352">
      <c r="A352" s="734"/>
      <c r="B352" s="735"/>
      <c r="C352" s="735"/>
      <c r="D352" s="734"/>
      <c r="E352" s="749"/>
      <c r="F352" s="750"/>
      <c r="G352" s="749"/>
      <c r="H352" s="749"/>
      <c r="I352" s="751"/>
      <c r="J352" s="752"/>
      <c r="K352" s="752"/>
      <c r="L352" s="752"/>
      <c r="M352" s="751"/>
      <c r="N352" s="752"/>
      <c r="O352" s="753"/>
    </row>
    <row r="353">
      <c r="A353" s="754" t="s">
        <v>1077</v>
      </c>
      <c r="B353" s="755" t="s">
        <v>2666</v>
      </c>
      <c r="C353" s="36"/>
      <c r="D353" s="36"/>
      <c r="E353" s="36"/>
      <c r="F353" s="36"/>
      <c r="G353" s="754" t="s">
        <v>1757</v>
      </c>
      <c r="H353" s="756">
        <f>MEDIAN(H355:H357)</f>
        <v>260.21</v>
      </c>
      <c r="I353" s="757"/>
      <c r="J353" s="758" t="s">
        <v>2053</v>
      </c>
      <c r="K353" s="731" t="s">
        <v>2054</v>
      </c>
      <c r="L353" s="759">
        <f>AVERAGE(H355:H357)</f>
        <v>267.4033333</v>
      </c>
      <c r="M353" s="733"/>
      <c r="N353" s="760" t="s">
        <v>2055</v>
      </c>
      <c r="O353" s="454"/>
    </row>
    <row r="354">
      <c r="A354" s="727" t="s">
        <v>1717</v>
      </c>
      <c r="B354" s="728" t="s">
        <v>2056</v>
      </c>
      <c r="C354" s="728" t="s">
        <v>2057</v>
      </c>
      <c r="D354" s="727" t="s">
        <v>2058</v>
      </c>
      <c r="E354" s="727" t="s">
        <v>2059</v>
      </c>
      <c r="F354" s="729" t="s">
        <v>1537</v>
      </c>
      <c r="G354" s="727" t="s">
        <v>2060</v>
      </c>
      <c r="H354" s="727" t="s">
        <v>2061</v>
      </c>
      <c r="I354" s="730" t="s">
        <v>2062</v>
      </c>
      <c r="J354" s="301"/>
      <c r="K354" s="731" t="s">
        <v>2063</v>
      </c>
      <c r="L354" s="732">
        <f>STDEV(H355:H357)</f>
        <v>31.6197412</v>
      </c>
      <c r="M354" s="733"/>
      <c r="N354" s="189"/>
      <c r="O354" s="454"/>
    </row>
    <row r="355">
      <c r="A355" s="734"/>
      <c r="B355" s="735" t="s">
        <v>2064</v>
      </c>
      <c r="C355" s="767" t="s">
        <v>2667</v>
      </c>
      <c r="D355" s="777" t="s">
        <v>2668</v>
      </c>
      <c r="E355" s="737" t="s">
        <v>2113</v>
      </c>
      <c r="F355" s="764" t="s">
        <v>2669</v>
      </c>
      <c r="G355" s="736" t="s">
        <v>1757</v>
      </c>
      <c r="H355" s="745">
        <v>240.0</v>
      </c>
      <c r="I355" s="785" t="s">
        <v>2670</v>
      </c>
      <c r="J355" s="301"/>
      <c r="K355" s="731" t="s">
        <v>2070</v>
      </c>
      <c r="L355" s="741">
        <f>L354/L353</f>
        <v>0.1182473711</v>
      </c>
      <c r="M355" s="733"/>
      <c r="N355" s="742" t="str">
        <f>IF(L355&lt;25%,"Não","Sim - proceder verificação ao lado")</f>
        <v>Não</v>
      </c>
      <c r="O355" s="743" t="b">
        <v>1</v>
      </c>
    </row>
    <row r="356">
      <c r="A356" s="734"/>
      <c r="B356" s="735" t="s">
        <v>2064</v>
      </c>
      <c r="C356" s="744" t="s">
        <v>2621</v>
      </c>
      <c r="D356" s="736" t="s">
        <v>2482</v>
      </c>
      <c r="E356" s="737" t="s">
        <v>2067</v>
      </c>
      <c r="F356" s="738" t="s">
        <v>2671</v>
      </c>
      <c r="G356" s="736" t="s">
        <v>1757</v>
      </c>
      <c r="H356" s="739">
        <v>302.0</v>
      </c>
      <c r="I356" s="775" t="s">
        <v>2672</v>
      </c>
      <c r="J356" s="301"/>
      <c r="K356" s="731" t="s">
        <v>2075</v>
      </c>
      <c r="L356" s="746">
        <f>L353*1.25</f>
        <v>334.2541667</v>
      </c>
      <c r="M356" s="733"/>
      <c r="N356" s="301"/>
      <c r="O356" s="743" t="b">
        <v>1</v>
      </c>
    </row>
    <row r="357">
      <c r="A357" s="734"/>
      <c r="B357" s="735" t="s">
        <v>2064</v>
      </c>
      <c r="C357" s="735" t="s">
        <v>2551</v>
      </c>
      <c r="D357" s="734" t="s">
        <v>2552</v>
      </c>
      <c r="E357" s="737" t="s">
        <v>2067</v>
      </c>
      <c r="F357" s="738" t="s">
        <v>2673</v>
      </c>
      <c r="G357" s="736" t="s">
        <v>1757</v>
      </c>
      <c r="H357" s="745">
        <v>260.21</v>
      </c>
      <c r="I357" s="786" t="s">
        <v>2674</v>
      </c>
      <c r="J357" s="189"/>
      <c r="K357" s="731" t="s">
        <v>2080</v>
      </c>
      <c r="L357" s="746">
        <f>L353*0.75</f>
        <v>200.5525</v>
      </c>
      <c r="M357" s="733"/>
      <c r="N357" s="189"/>
      <c r="O357" s="743" t="b">
        <v>1</v>
      </c>
    </row>
    <row r="358">
      <c r="A358" s="734"/>
      <c r="B358" s="735"/>
      <c r="C358" s="735"/>
      <c r="D358" s="734"/>
      <c r="E358" s="749"/>
      <c r="F358" s="750"/>
      <c r="G358" s="749"/>
      <c r="H358" s="749"/>
      <c r="I358" s="751"/>
      <c r="J358" s="752"/>
      <c r="K358" s="752"/>
      <c r="L358" s="752"/>
      <c r="M358" s="751"/>
      <c r="N358" s="752"/>
      <c r="O358" s="753"/>
    </row>
    <row r="359">
      <c r="A359" s="754" t="s">
        <v>1079</v>
      </c>
      <c r="B359" s="755" t="s">
        <v>2675</v>
      </c>
      <c r="C359" s="36"/>
      <c r="D359" s="36"/>
      <c r="E359" s="36"/>
      <c r="F359" s="36"/>
      <c r="G359" s="754" t="s">
        <v>1757</v>
      </c>
      <c r="H359" s="756">
        <f>MEDIAN(H361:H363)</f>
        <v>411.35</v>
      </c>
      <c r="I359" s="757"/>
      <c r="J359" s="758" t="s">
        <v>2053</v>
      </c>
      <c r="K359" s="731" t="s">
        <v>2054</v>
      </c>
      <c r="L359" s="759">
        <f>AVERAGE(H361:H363)</f>
        <v>428.0833333</v>
      </c>
      <c r="M359" s="733"/>
      <c r="N359" s="760" t="s">
        <v>2055</v>
      </c>
      <c r="O359" s="454"/>
    </row>
    <row r="360">
      <c r="A360" s="727" t="s">
        <v>1717</v>
      </c>
      <c r="B360" s="728" t="s">
        <v>2056</v>
      </c>
      <c r="C360" s="728" t="s">
        <v>2057</v>
      </c>
      <c r="D360" s="727" t="s">
        <v>2058</v>
      </c>
      <c r="E360" s="727" t="s">
        <v>2059</v>
      </c>
      <c r="F360" s="729" t="s">
        <v>1537</v>
      </c>
      <c r="G360" s="727" t="s">
        <v>2060</v>
      </c>
      <c r="H360" s="727" t="s">
        <v>2061</v>
      </c>
      <c r="I360" s="730" t="s">
        <v>2062</v>
      </c>
      <c r="J360" s="301"/>
      <c r="K360" s="731" t="s">
        <v>2063</v>
      </c>
      <c r="L360" s="732">
        <f>STDEV(H361:H363)</f>
        <v>50.66661458</v>
      </c>
      <c r="M360" s="733"/>
      <c r="N360" s="189"/>
      <c r="O360" s="454"/>
    </row>
    <row r="361">
      <c r="A361" s="734"/>
      <c r="B361" s="735" t="s">
        <v>2064</v>
      </c>
      <c r="C361" s="735" t="s">
        <v>2551</v>
      </c>
      <c r="D361" s="734" t="s">
        <v>2552</v>
      </c>
      <c r="E361" s="737" t="s">
        <v>2067</v>
      </c>
      <c r="F361" s="738" t="s">
        <v>2676</v>
      </c>
      <c r="G361" s="736" t="s">
        <v>1757</v>
      </c>
      <c r="H361" s="745">
        <v>411.35</v>
      </c>
      <c r="I361" s="786" t="s">
        <v>2677</v>
      </c>
      <c r="J361" s="301"/>
      <c r="K361" s="731" t="s">
        <v>2070</v>
      </c>
      <c r="L361" s="741">
        <f>L360/L359</f>
        <v>0.118356896</v>
      </c>
      <c r="M361" s="733"/>
      <c r="N361" s="742" t="str">
        <f>IF(L361&lt;25%,"Não","Sim - proceder verificação ao lado")</f>
        <v>Não</v>
      </c>
      <c r="O361" s="743" t="b">
        <v>1</v>
      </c>
    </row>
    <row r="362">
      <c r="A362" s="734"/>
      <c r="B362" s="735" t="s">
        <v>2064</v>
      </c>
      <c r="C362" s="744" t="s">
        <v>2126</v>
      </c>
      <c r="D362" s="736" t="s">
        <v>2281</v>
      </c>
      <c r="E362" s="737" t="s">
        <v>2067</v>
      </c>
      <c r="F362" s="738" t="s">
        <v>2678</v>
      </c>
      <c r="G362" s="736" t="s">
        <v>1757</v>
      </c>
      <c r="H362" s="739">
        <v>485.0</v>
      </c>
      <c r="I362" s="786" t="s">
        <v>2679</v>
      </c>
      <c r="J362" s="301"/>
      <c r="K362" s="731" t="s">
        <v>2075</v>
      </c>
      <c r="L362" s="746">
        <f>L359*1.25</f>
        <v>535.1041667</v>
      </c>
      <c r="M362" s="733"/>
      <c r="N362" s="301"/>
      <c r="O362" s="743" t="b">
        <v>1</v>
      </c>
    </row>
    <row r="363">
      <c r="A363" s="734"/>
      <c r="B363" s="735" t="s">
        <v>2064</v>
      </c>
      <c r="C363" s="761" t="s">
        <v>2263</v>
      </c>
      <c r="D363" s="777" t="s">
        <v>2264</v>
      </c>
      <c r="E363" s="763" t="s">
        <v>2085</v>
      </c>
      <c r="F363" s="764" t="s">
        <v>2680</v>
      </c>
      <c r="G363" s="736" t="s">
        <v>1757</v>
      </c>
      <c r="H363" s="745">
        <v>387.9</v>
      </c>
      <c r="I363" s="785" t="s">
        <v>2681</v>
      </c>
      <c r="J363" s="189"/>
      <c r="K363" s="731" t="s">
        <v>2080</v>
      </c>
      <c r="L363" s="746">
        <f>L359*0.75</f>
        <v>321.0625</v>
      </c>
      <c r="M363" s="733"/>
      <c r="N363" s="189"/>
      <c r="O363" s="743" t="b">
        <v>1</v>
      </c>
    </row>
    <row r="364">
      <c r="A364" s="734"/>
      <c r="B364" s="735"/>
      <c r="C364" s="735"/>
      <c r="D364" s="734"/>
      <c r="E364" s="749"/>
      <c r="F364" s="750"/>
      <c r="G364" s="749"/>
      <c r="H364" s="749"/>
      <c r="I364" s="751"/>
      <c r="J364" s="752"/>
      <c r="K364" s="752"/>
      <c r="L364" s="752"/>
      <c r="M364" s="751"/>
      <c r="N364" s="752"/>
      <c r="O364" s="753"/>
    </row>
    <row r="365">
      <c r="A365" s="754" t="s">
        <v>1081</v>
      </c>
      <c r="B365" s="755" t="s">
        <v>2682</v>
      </c>
      <c r="C365" s="36"/>
      <c r="D365" s="36"/>
      <c r="E365" s="36"/>
      <c r="F365" s="36"/>
      <c r="G365" s="754" t="s">
        <v>1757</v>
      </c>
      <c r="H365" s="756">
        <f>MEDIAN(H367:H369)</f>
        <v>474.05</v>
      </c>
      <c r="I365" s="757"/>
      <c r="J365" s="758" t="s">
        <v>2053</v>
      </c>
      <c r="K365" s="731" t="s">
        <v>2054</v>
      </c>
      <c r="L365" s="759">
        <f>AVERAGE(H367:H369)</f>
        <v>453.5166667</v>
      </c>
      <c r="M365" s="733"/>
      <c r="N365" s="760" t="s">
        <v>2055</v>
      </c>
      <c r="O365" s="454"/>
    </row>
    <row r="366">
      <c r="A366" s="727" t="s">
        <v>1717</v>
      </c>
      <c r="B366" s="728" t="s">
        <v>2056</v>
      </c>
      <c r="C366" s="728" t="s">
        <v>2057</v>
      </c>
      <c r="D366" s="727" t="s">
        <v>2058</v>
      </c>
      <c r="E366" s="727" t="s">
        <v>2059</v>
      </c>
      <c r="F366" s="729" t="s">
        <v>1537</v>
      </c>
      <c r="G366" s="727" t="s">
        <v>2060</v>
      </c>
      <c r="H366" s="727" t="s">
        <v>2061</v>
      </c>
      <c r="I366" s="730" t="s">
        <v>2062</v>
      </c>
      <c r="J366" s="301"/>
      <c r="K366" s="731" t="s">
        <v>2063</v>
      </c>
      <c r="L366" s="732">
        <f>STDEV(H367:H369)</f>
        <v>39.57064358</v>
      </c>
      <c r="M366" s="733"/>
      <c r="N366" s="189"/>
      <c r="O366" s="454"/>
    </row>
    <row r="367">
      <c r="A367" s="734"/>
      <c r="B367" s="735" t="s">
        <v>2064</v>
      </c>
      <c r="C367" s="767" t="s">
        <v>2683</v>
      </c>
      <c r="D367" s="777" t="s">
        <v>2482</v>
      </c>
      <c r="E367" s="763" t="s">
        <v>2085</v>
      </c>
      <c r="F367" s="764" t="s">
        <v>2684</v>
      </c>
      <c r="G367" s="736" t="s">
        <v>1757</v>
      </c>
      <c r="H367" s="745">
        <v>407.9</v>
      </c>
      <c r="I367" s="776" t="s">
        <v>2685</v>
      </c>
      <c r="J367" s="301"/>
      <c r="K367" s="731" t="s">
        <v>2070</v>
      </c>
      <c r="L367" s="741">
        <f>L366/L365</f>
        <v>0.08725289827</v>
      </c>
      <c r="M367" s="733"/>
      <c r="N367" s="742" t="str">
        <f>IF(L367&lt;25%,"Não","Sim - proceder verificação ao lado")</f>
        <v>Não</v>
      </c>
      <c r="O367" s="743" t="b">
        <v>1</v>
      </c>
    </row>
    <row r="368">
      <c r="A368" s="734"/>
      <c r="B368" s="735" t="s">
        <v>2064</v>
      </c>
      <c r="C368" s="767" t="s">
        <v>2126</v>
      </c>
      <c r="D368" s="777" t="s">
        <v>2281</v>
      </c>
      <c r="E368" s="763" t="s">
        <v>2085</v>
      </c>
      <c r="F368" s="764" t="s">
        <v>2686</v>
      </c>
      <c r="G368" s="736" t="s">
        <v>1757</v>
      </c>
      <c r="H368" s="745">
        <v>474.05</v>
      </c>
      <c r="I368" s="776" t="s">
        <v>2687</v>
      </c>
      <c r="J368" s="301"/>
      <c r="K368" s="731" t="s">
        <v>2075</v>
      </c>
      <c r="L368" s="746">
        <f>L365*1.25</f>
        <v>566.8958333</v>
      </c>
      <c r="M368" s="733"/>
      <c r="N368" s="301"/>
      <c r="O368" s="743" t="b">
        <v>1</v>
      </c>
    </row>
    <row r="369">
      <c r="A369" s="734"/>
      <c r="B369" s="735" t="s">
        <v>2064</v>
      </c>
      <c r="C369" s="747" t="s">
        <v>2688</v>
      </c>
      <c r="D369" s="748" t="s">
        <v>2689</v>
      </c>
      <c r="E369" s="737" t="s">
        <v>2067</v>
      </c>
      <c r="F369" s="766" t="s">
        <v>2690</v>
      </c>
      <c r="G369" s="736" t="s">
        <v>1757</v>
      </c>
      <c r="H369" s="739">
        <v>478.6</v>
      </c>
      <c r="I369" s="780" t="s">
        <v>2691</v>
      </c>
      <c r="J369" s="189"/>
      <c r="K369" s="731" t="s">
        <v>2080</v>
      </c>
      <c r="L369" s="746">
        <f>L365*0.75</f>
        <v>340.1375</v>
      </c>
      <c r="M369" s="733"/>
      <c r="N369" s="189"/>
      <c r="O369" s="743" t="b">
        <v>1</v>
      </c>
    </row>
    <row r="370">
      <c r="A370" s="734"/>
      <c r="B370" s="735"/>
      <c r="C370" s="735"/>
      <c r="D370" s="734"/>
      <c r="E370" s="749"/>
      <c r="F370" s="750"/>
      <c r="G370" s="749"/>
      <c r="H370" s="749"/>
      <c r="I370" s="751"/>
      <c r="J370" s="752"/>
      <c r="K370" s="752"/>
      <c r="L370" s="752"/>
      <c r="M370" s="751"/>
      <c r="N370" s="752"/>
      <c r="O370" s="753"/>
    </row>
    <row r="371">
      <c r="A371" s="754" t="s">
        <v>1083</v>
      </c>
      <c r="B371" s="755" t="s">
        <v>2692</v>
      </c>
      <c r="C371" s="36"/>
      <c r="D371" s="36"/>
      <c r="E371" s="36"/>
      <c r="F371" s="36"/>
      <c r="G371" s="754" t="s">
        <v>1757</v>
      </c>
      <c r="H371" s="756">
        <f>MEDIAN(H373:H375)</f>
        <v>568.9</v>
      </c>
      <c r="I371" s="757"/>
      <c r="J371" s="758" t="s">
        <v>2053</v>
      </c>
      <c r="K371" s="731" t="s">
        <v>2054</v>
      </c>
      <c r="L371" s="759">
        <f>AVERAGE(H373:H375)</f>
        <v>600.2666667</v>
      </c>
      <c r="M371" s="733"/>
      <c r="N371" s="760" t="s">
        <v>2055</v>
      </c>
      <c r="O371" s="454"/>
    </row>
    <row r="372">
      <c r="A372" s="727" t="s">
        <v>1717</v>
      </c>
      <c r="B372" s="728" t="s">
        <v>2056</v>
      </c>
      <c r="C372" s="728" t="s">
        <v>2057</v>
      </c>
      <c r="D372" s="727" t="s">
        <v>2058</v>
      </c>
      <c r="E372" s="727" t="s">
        <v>2059</v>
      </c>
      <c r="F372" s="729" t="s">
        <v>1537</v>
      </c>
      <c r="G372" s="727" t="s">
        <v>2060</v>
      </c>
      <c r="H372" s="727" t="s">
        <v>2061</v>
      </c>
      <c r="I372" s="730" t="s">
        <v>2062</v>
      </c>
      <c r="J372" s="301"/>
      <c r="K372" s="731" t="s">
        <v>2063</v>
      </c>
      <c r="L372" s="732">
        <f>STDEV(H373:H375)</f>
        <v>140.6972044</v>
      </c>
      <c r="M372" s="733"/>
      <c r="N372" s="189"/>
      <c r="O372" s="454"/>
    </row>
    <row r="373">
      <c r="A373" s="734"/>
      <c r="B373" s="735" t="s">
        <v>2064</v>
      </c>
      <c r="C373" s="747" t="s">
        <v>2634</v>
      </c>
      <c r="D373" s="748" t="s">
        <v>2635</v>
      </c>
      <c r="E373" s="737" t="s">
        <v>2067</v>
      </c>
      <c r="F373" s="766" t="s">
        <v>2693</v>
      </c>
      <c r="G373" s="736" t="s">
        <v>1757</v>
      </c>
      <c r="H373" s="739">
        <v>568.9</v>
      </c>
      <c r="I373" s="797" t="s">
        <v>2694</v>
      </c>
      <c r="J373" s="301"/>
      <c r="K373" s="731" t="s">
        <v>2070</v>
      </c>
      <c r="L373" s="741">
        <f>L372/L371</f>
        <v>0.2343911669</v>
      </c>
      <c r="M373" s="733"/>
      <c r="N373" s="742" t="str">
        <f>IF(L373&lt;25%,"Não","Sim - proceder verificação ao lado")</f>
        <v>Não</v>
      </c>
      <c r="O373" s="743" t="b">
        <v>1</v>
      </c>
    </row>
    <row r="374">
      <c r="A374" s="734"/>
      <c r="B374" s="735" t="s">
        <v>2064</v>
      </c>
      <c r="C374" s="744" t="s">
        <v>2126</v>
      </c>
      <c r="D374" s="736" t="s">
        <v>2281</v>
      </c>
      <c r="E374" s="737" t="s">
        <v>2067</v>
      </c>
      <c r="F374" s="738" t="s">
        <v>2695</v>
      </c>
      <c r="G374" s="736" t="s">
        <v>1757</v>
      </c>
      <c r="H374" s="745">
        <v>754.0</v>
      </c>
      <c r="I374" s="786" t="s">
        <v>2696</v>
      </c>
      <c r="J374" s="301"/>
      <c r="K374" s="731" t="s">
        <v>2075</v>
      </c>
      <c r="L374" s="746">
        <f>L371*1.25</f>
        <v>750.3333333</v>
      </c>
      <c r="M374" s="733"/>
      <c r="N374" s="301"/>
      <c r="O374" s="743" t="b">
        <v>1</v>
      </c>
    </row>
    <row r="375">
      <c r="A375" s="734"/>
      <c r="B375" s="735" t="s">
        <v>2064</v>
      </c>
      <c r="C375" s="761" t="s">
        <v>2481</v>
      </c>
      <c r="D375" s="762" t="s">
        <v>2482</v>
      </c>
      <c r="E375" s="763" t="s">
        <v>2085</v>
      </c>
      <c r="F375" s="764" t="s">
        <v>2697</v>
      </c>
      <c r="G375" s="736" t="s">
        <v>1757</v>
      </c>
      <c r="H375" s="745">
        <v>477.9</v>
      </c>
      <c r="I375" s="785" t="s">
        <v>2698</v>
      </c>
      <c r="J375" s="189"/>
      <c r="K375" s="731" t="s">
        <v>2080</v>
      </c>
      <c r="L375" s="746">
        <f>L371*0.75</f>
        <v>450.2</v>
      </c>
      <c r="M375" s="733"/>
      <c r="N375" s="189"/>
      <c r="O375" s="743" t="b">
        <v>1</v>
      </c>
    </row>
    <row r="376">
      <c r="A376" s="734"/>
      <c r="B376" s="735"/>
      <c r="C376" s="735"/>
      <c r="D376" s="734"/>
      <c r="E376" s="749"/>
      <c r="F376" s="750"/>
      <c r="G376" s="749"/>
      <c r="H376" s="749"/>
      <c r="I376" s="751"/>
      <c r="J376" s="752"/>
      <c r="K376" s="752"/>
      <c r="L376" s="752"/>
      <c r="M376" s="751"/>
      <c r="N376" s="752"/>
      <c r="O376" s="753"/>
    </row>
    <row r="377">
      <c r="A377" s="754" t="s">
        <v>1085</v>
      </c>
      <c r="B377" s="755" t="s">
        <v>2699</v>
      </c>
      <c r="C377" s="36"/>
      <c r="D377" s="36"/>
      <c r="E377" s="36"/>
      <c r="F377" s="36"/>
      <c r="G377" s="754" t="s">
        <v>1757</v>
      </c>
      <c r="H377" s="756">
        <f>MEDIAN(H379:H381)</f>
        <v>320</v>
      </c>
      <c r="I377" s="757"/>
      <c r="J377" s="758" t="s">
        <v>2053</v>
      </c>
      <c r="K377" s="731" t="s">
        <v>2054</v>
      </c>
      <c r="L377" s="759">
        <f>AVERAGE(H379:H381)</f>
        <v>301.06</v>
      </c>
      <c r="M377" s="733"/>
      <c r="N377" s="760" t="s">
        <v>2055</v>
      </c>
      <c r="O377" s="454"/>
    </row>
    <row r="378">
      <c r="A378" s="727" t="s">
        <v>1717</v>
      </c>
      <c r="B378" s="728" t="s">
        <v>2056</v>
      </c>
      <c r="C378" s="728" t="s">
        <v>2057</v>
      </c>
      <c r="D378" s="727" t="s">
        <v>2058</v>
      </c>
      <c r="E378" s="727" t="s">
        <v>2059</v>
      </c>
      <c r="F378" s="729" t="s">
        <v>1537</v>
      </c>
      <c r="G378" s="727" t="s">
        <v>2060</v>
      </c>
      <c r="H378" s="727" t="s">
        <v>2061</v>
      </c>
      <c r="I378" s="730" t="s">
        <v>2062</v>
      </c>
      <c r="J378" s="301"/>
      <c r="K378" s="731" t="s">
        <v>2063</v>
      </c>
      <c r="L378" s="732">
        <f>STDEV(H379:H381)</f>
        <v>38.93377454</v>
      </c>
      <c r="M378" s="733"/>
      <c r="N378" s="189"/>
      <c r="O378" s="454"/>
    </row>
    <row r="379">
      <c r="A379" s="734"/>
      <c r="B379" s="735" t="s">
        <v>2064</v>
      </c>
      <c r="C379" s="761" t="s">
        <v>2481</v>
      </c>
      <c r="D379" s="762" t="s">
        <v>2482</v>
      </c>
      <c r="E379" s="763" t="s">
        <v>2085</v>
      </c>
      <c r="F379" s="764" t="s">
        <v>2700</v>
      </c>
      <c r="G379" s="736" t="s">
        <v>1757</v>
      </c>
      <c r="H379" s="745">
        <v>326.9</v>
      </c>
      <c r="I379" s="776" t="s">
        <v>2701</v>
      </c>
      <c r="J379" s="301"/>
      <c r="K379" s="731" t="s">
        <v>2070</v>
      </c>
      <c r="L379" s="741">
        <f>L378/L377</f>
        <v>0.1293223096</v>
      </c>
      <c r="M379" s="733"/>
      <c r="N379" s="742" t="str">
        <f>IF(L379&lt;25%,"Não","Sim - proceder verificação ao lado")</f>
        <v>Não</v>
      </c>
      <c r="O379" s="743" t="b">
        <v>1</v>
      </c>
    </row>
    <row r="380">
      <c r="A380" s="734"/>
      <c r="B380" s="735" t="s">
        <v>2064</v>
      </c>
      <c r="C380" s="747" t="s">
        <v>2688</v>
      </c>
      <c r="D380" s="748" t="s">
        <v>2689</v>
      </c>
      <c r="E380" s="737" t="s">
        <v>2067</v>
      </c>
      <c r="F380" s="766" t="s">
        <v>2702</v>
      </c>
      <c r="G380" s="736" t="s">
        <v>1757</v>
      </c>
      <c r="H380" s="739">
        <v>256.28</v>
      </c>
      <c r="I380" s="780" t="s">
        <v>2703</v>
      </c>
      <c r="J380" s="301"/>
      <c r="K380" s="731" t="s">
        <v>2075</v>
      </c>
      <c r="L380" s="746">
        <f>L377*1.25</f>
        <v>376.325</v>
      </c>
      <c r="M380" s="733"/>
      <c r="N380" s="301"/>
      <c r="O380" s="743" t="b">
        <v>1</v>
      </c>
    </row>
    <row r="381">
      <c r="A381" s="734"/>
      <c r="B381" s="735" t="s">
        <v>2064</v>
      </c>
      <c r="C381" s="767" t="s">
        <v>2704</v>
      </c>
      <c r="D381" s="777" t="s">
        <v>2705</v>
      </c>
      <c r="E381" s="763" t="s">
        <v>2085</v>
      </c>
      <c r="F381" s="764" t="s">
        <v>2706</v>
      </c>
      <c r="G381" s="736" t="s">
        <v>1757</v>
      </c>
      <c r="H381" s="745">
        <v>320.0</v>
      </c>
      <c r="I381" s="785" t="s">
        <v>2707</v>
      </c>
      <c r="J381" s="189"/>
      <c r="K381" s="731" t="s">
        <v>2080</v>
      </c>
      <c r="L381" s="746">
        <f>L377*0.75</f>
        <v>225.795</v>
      </c>
      <c r="M381" s="733"/>
      <c r="N381" s="189"/>
      <c r="O381" s="743" t="b">
        <v>1</v>
      </c>
    </row>
    <row r="382">
      <c r="A382" s="734"/>
      <c r="B382" s="735"/>
      <c r="C382" s="735"/>
      <c r="D382" s="734"/>
      <c r="E382" s="749"/>
      <c r="F382" s="750"/>
      <c r="G382" s="749"/>
      <c r="H382" s="749"/>
      <c r="I382" s="751"/>
      <c r="J382" s="752"/>
      <c r="K382" s="752"/>
      <c r="L382" s="752"/>
      <c r="M382" s="751"/>
      <c r="N382" s="752"/>
      <c r="O382" s="753"/>
    </row>
    <row r="383">
      <c r="A383" s="754" t="s">
        <v>1087</v>
      </c>
      <c r="B383" s="755" t="s">
        <v>2708</v>
      </c>
      <c r="C383" s="36"/>
      <c r="D383" s="36"/>
      <c r="E383" s="36"/>
      <c r="F383" s="36"/>
      <c r="G383" s="754" t="s">
        <v>1757</v>
      </c>
      <c r="H383" s="756">
        <f>MEDIAN(H385:H387)</f>
        <v>451.27</v>
      </c>
      <c r="I383" s="757"/>
      <c r="J383" s="758" t="s">
        <v>2053</v>
      </c>
      <c r="K383" s="731" t="s">
        <v>2054</v>
      </c>
      <c r="L383" s="759">
        <f>AVERAGE(H385:H387)</f>
        <v>434.92</v>
      </c>
      <c r="M383" s="733"/>
      <c r="N383" s="760" t="s">
        <v>2055</v>
      </c>
      <c r="O383" s="454"/>
    </row>
    <row r="384">
      <c r="A384" s="727" t="s">
        <v>1717</v>
      </c>
      <c r="B384" s="728" t="s">
        <v>2056</v>
      </c>
      <c r="C384" s="728" t="s">
        <v>2057</v>
      </c>
      <c r="D384" s="727" t="s">
        <v>2058</v>
      </c>
      <c r="E384" s="727" t="s">
        <v>2059</v>
      </c>
      <c r="F384" s="729" t="s">
        <v>1537</v>
      </c>
      <c r="G384" s="727" t="s">
        <v>2060</v>
      </c>
      <c r="H384" s="727" t="s">
        <v>2061</v>
      </c>
      <c r="I384" s="730" t="s">
        <v>2062</v>
      </c>
      <c r="J384" s="301"/>
      <c r="K384" s="731" t="s">
        <v>2063</v>
      </c>
      <c r="L384" s="732">
        <f>STDEV(H385:H387)</f>
        <v>39.37876204</v>
      </c>
      <c r="M384" s="733"/>
      <c r="N384" s="189"/>
      <c r="O384" s="454"/>
    </row>
    <row r="385">
      <c r="A385" s="734"/>
      <c r="B385" s="735" t="s">
        <v>2064</v>
      </c>
      <c r="C385" s="744" t="s">
        <v>2593</v>
      </c>
      <c r="D385" s="736" t="s">
        <v>2578</v>
      </c>
      <c r="E385" s="763" t="s">
        <v>2709</v>
      </c>
      <c r="F385" s="738" t="s">
        <v>2710</v>
      </c>
      <c r="G385" s="736" t="s">
        <v>1757</v>
      </c>
      <c r="H385" s="745">
        <v>463.49</v>
      </c>
      <c r="I385" s="786" t="s">
        <v>2711</v>
      </c>
      <c r="J385" s="301"/>
      <c r="K385" s="731" t="s">
        <v>2070</v>
      </c>
      <c r="L385" s="741">
        <f>L384/L383</f>
        <v>0.09054254125</v>
      </c>
      <c r="M385" s="733"/>
      <c r="N385" s="742" t="str">
        <f>IF(L385&lt;25%,"Não","Sim - proceder verificação ao lado")</f>
        <v>Não</v>
      </c>
      <c r="O385" s="743" t="b">
        <v>1</v>
      </c>
    </row>
    <row r="386">
      <c r="A386" s="734"/>
      <c r="B386" s="735" t="s">
        <v>2064</v>
      </c>
      <c r="C386" s="744" t="s">
        <v>2126</v>
      </c>
      <c r="D386" s="736" t="s">
        <v>2281</v>
      </c>
      <c r="E386" s="763" t="s">
        <v>2709</v>
      </c>
      <c r="F386" s="766" t="s">
        <v>2712</v>
      </c>
      <c r="G386" s="736" t="s">
        <v>1757</v>
      </c>
      <c r="H386" s="745">
        <v>451.27</v>
      </c>
      <c r="I386" s="797" t="s">
        <v>2713</v>
      </c>
      <c r="J386" s="301"/>
      <c r="K386" s="731" t="s">
        <v>2075</v>
      </c>
      <c r="L386" s="746">
        <f>L383*1.25</f>
        <v>543.65</v>
      </c>
      <c r="M386" s="733"/>
      <c r="N386" s="301"/>
      <c r="O386" s="743" t="b">
        <v>1</v>
      </c>
    </row>
    <row r="387">
      <c r="A387" s="734"/>
      <c r="B387" s="735" t="s">
        <v>2064</v>
      </c>
      <c r="C387" s="747" t="s">
        <v>2714</v>
      </c>
      <c r="D387" s="748" t="s">
        <v>2715</v>
      </c>
      <c r="E387" s="763" t="s">
        <v>2709</v>
      </c>
      <c r="F387" s="766" t="s">
        <v>2716</v>
      </c>
      <c r="G387" s="736" t="s">
        <v>1757</v>
      </c>
      <c r="H387" s="739">
        <v>390.0</v>
      </c>
      <c r="I387" s="797" t="s">
        <v>2717</v>
      </c>
      <c r="J387" s="189"/>
      <c r="K387" s="731" t="s">
        <v>2080</v>
      </c>
      <c r="L387" s="746">
        <f>L383*0.75</f>
        <v>326.19</v>
      </c>
      <c r="M387" s="733"/>
      <c r="N387" s="189"/>
      <c r="O387" s="743" t="b">
        <v>1</v>
      </c>
    </row>
    <row r="388">
      <c r="A388" s="734"/>
      <c r="B388" s="735"/>
      <c r="C388" s="735"/>
      <c r="D388" s="734"/>
      <c r="E388" s="749"/>
      <c r="F388" s="750"/>
      <c r="G388" s="749"/>
      <c r="H388" s="749"/>
      <c r="I388" s="751"/>
      <c r="J388" s="752"/>
      <c r="K388" s="752"/>
      <c r="L388" s="752"/>
      <c r="M388" s="751"/>
      <c r="N388" s="752"/>
      <c r="O388" s="753"/>
    </row>
    <row r="389">
      <c r="A389" s="754" t="s">
        <v>1089</v>
      </c>
      <c r="B389" s="755" t="s">
        <v>2718</v>
      </c>
      <c r="C389" s="36"/>
      <c r="D389" s="36"/>
      <c r="E389" s="36"/>
      <c r="F389" s="36"/>
      <c r="G389" s="754" t="s">
        <v>1757</v>
      </c>
      <c r="H389" s="756">
        <f>MEDIAN(H391:H393)</f>
        <v>219</v>
      </c>
      <c r="I389" s="757"/>
      <c r="J389" s="758" t="s">
        <v>2053</v>
      </c>
      <c r="K389" s="731" t="s">
        <v>2054</v>
      </c>
      <c r="L389" s="759">
        <f>AVERAGE(H391:H393)</f>
        <v>239.6666667</v>
      </c>
      <c r="M389" s="733"/>
      <c r="N389" s="760" t="s">
        <v>2055</v>
      </c>
      <c r="O389" s="454"/>
    </row>
    <row r="390">
      <c r="A390" s="727" t="s">
        <v>1717</v>
      </c>
      <c r="B390" s="728" t="s">
        <v>2056</v>
      </c>
      <c r="C390" s="728" t="s">
        <v>2057</v>
      </c>
      <c r="D390" s="727" t="s">
        <v>2058</v>
      </c>
      <c r="E390" s="727" t="s">
        <v>2059</v>
      </c>
      <c r="F390" s="729" t="s">
        <v>1537</v>
      </c>
      <c r="G390" s="727" t="s">
        <v>2060</v>
      </c>
      <c r="H390" s="727" t="s">
        <v>2061</v>
      </c>
      <c r="I390" s="730" t="s">
        <v>2062</v>
      </c>
      <c r="J390" s="301"/>
      <c r="K390" s="731" t="s">
        <v>2063</v>
      </c>
      <c r="L390" s="732">
        <f>STDEV(H391:H393)</f>
        <v>43.82160806</v>
      </c>
      <c r="M390" s="733"/>
      <c r="N390" s="189"/>
      <c r="O390" s="454"/>
    </row>
    <row r="391">
      <c r="A391" s="734"/>
      <c r="B391" s="735" t="s">
        <v>2064</v>
      </c>
      <c r="C391" s="744" t="s">
        <v>2621</v>
      </c>
      <c r="D391" s="736" t="s">
        <v>2482</v>
      </c>
      <c r="E391" s="763" t="s">
        <v>2709</v>
      </c>
      <c r="F391" s="766" t="s">
        <v>2719</v>
      </c>
      <c r="G391" s="736" t="s">
        <v>1757</v>
      </c>
      <c r="H391" s="739">
        <v>210.0</v>
      </c>
      <c r="I391" s="780" t="s">
        <v>2720</v>
      </c>
      <c r="J391" s="301"/>
      <c r="K391" s="731" t="s">
        <v>2070</v>
      </c>
      <c r="L391" s="741">
        <f>L390/L389</f>
        <v>0.1828439836</v>
      </c>
      <c r="M391" s="733"/>
      <c r="N391" s="742" t="str">
        <f>IF(L391&lt;25%,"Não","Sim - proceder verificação ao lado")</f>
        <v>Não</v>
      </c>
      <c r="O391" s="743" t="b">
        <v>1</v>
      </c>
    </row>
    <row r="392">
      <c r="A392" s="734"/>
      <c r="B392" s="735" t="s">
        <v>2064</v>
      </c>
      <c r="C392" s="767" t="s">
        <v>2721</v>
      </c>
      <c r="D392" s="777" t="s">
        <v>2722</v>
      </c>
      <c r="E392" s="763" t="s">
        <v>2085</v>
      </c>
      <c r="F392" s="764" t="s">
        <v>2723</v>
      </c>
      <c r="G392" s="736" t="s">
        <v>1757</v>
      </c>
      <c r="H392" s="745">
        <v>219.0</v>
      </c>
      <c r="I392" s="785" t="s">
        <v>2724</v>
      </c>
      <c r="J392" s="301"/>
      <c r="K392" s="731" t="s">
        <v>2075</v>
      </c>
      <c r="L392" s="746">
        <f>L389*1.25</f>
        <v>299.5833333</v>
      </c>
      <c r="M392" s="733"/>
      <c r="N392" s="301"/>
      <c r="O392" s="743" t="b">
        <v>1</v>
      </c>
    </row>
    <row r="393">
      <c r="A393" s="734"/>
      <c r="B393" s="735" t="s">
        <v>2064</v>
      </c>
      <c r="C393" s="744" t="s">
        <v>2126</v>
      </c>
      <c r="D393" s="736" t="s">
        <v>2281</v>
      </c>
      <c r="E393" s="763" t="s">
        <v>2709</v>
      </c>
      <c r="F393" s="766" t="s">
        <v>2725</v>
      </c>
      <c r="G393" s="736" t="s">
        <v>1757</v>
      </c>
      <c r="H393" s="739">
        <v>290.0</v>
      </c>
      <c r="I393" s="780" t="s">
        <v>2726</v>
      </c>
      <c r="J393" s="189"/>
      <c r="K393" s="731" t="s">
        <v>2080</v>
      </c>
      <c r="L393" s="746">
        <f>L389*0.75</f>
        <v>179.75</v>
      </c>
      <c r="M393" s="733"/>
      <c r="N393" s="189"/>
      <c r="O393" s="743" t="b">
        <v>1</v>
      </c>
    </row>
    <row r="394">
      <c r="A394" s="734"/>
      <c r="B394" s="735"/>
      <c r="C394" s="735"/>
      <c r="D394" s="734"/>
      <c r="E394" s="749"/>
      <c r="F394" s="750"/>
      <c r="G394" s="749"/>
      <c r="H394" s="749"/>
      <c r="I394" s="751"/>
      <c r="J394" s="752"/>
      <c r="K394" s="752"/>
      <c r="L394" s="752"/>
      <c r="M394" s="751"/>
      <c r="N394" s="752"/>
      <c r="O394" s="753"/>
    </row>
    <row r="395">
      <c r="A395" s="754" t="s">
        <v>1091</v>
      </c>
      <c r="B395" s="755" t="s">
        <v>2727</v>
      </c>
      <c r="C395" s="36"/>
      <c r="D395" s="36"/>
      <c r="E395" s="36"/>
      <c r="F395" s="36"/>
      <c r="G395" s="754" t="s">
        <v>1757</v>
      </c>
      <c r="H395" s="756">
        <f>MEDIAN(H397:H399)</f>
        <v>267.07</v>
      </c>
      <c r="I395" s="757"/>
      <c r="J395" s="758" t="s">
        <v>2053</v>
      </c>
      <c r="K395" s="731" t="s">
        <v>2054</v>
      </c>
      <c r="L395" s="759">
        <f>AVERAGE(H397:H399)</f>
        <v>246.7133333</v>
      </c>
      <c r="M395" s="733"/>
      <c r="N395" s="760" t="s">
        <v>2055</v>
      </c>
      <c r="O395" s="454"/>
    </row>
    <row r="396">
      <c r="A396" s="727" t="s">
        <v>1717</v>
      </c>
      <c r="B396" s="728" t="s">
        <v>2056</v>
      </c>
      <c r="C396" s="728" t="s">
        <v>2057</v>
      </c>
      <c r="D396" s="727" t="s">
        <v>2058</v>
      </c>
      <c r="E396" s="727" t="s">
        <v>2059</v>
      </c>
      <c r="F396" s="729" t="s">
        <v>1537</v>
      </c>
      <c r="G396" s="727" t="s">
        <v>2060</v>
      </c>
      <c r="H396" s="727" t="s">
        <v>2061</v>
      </c>
      <c r="I396" s="730" t="s">
        <v>2062</v>
      </c>
      <c r="J396" s="301"/>
      <c r="K396" s="731" t="s">
        <v>2063</v>
      </c>
      <c r="L396" s="732">
        <f>STDEV(H397:H399)</f>
        <v>35.25878094</v>
      </c>
      <c r="M396" s="733"/>
      <c r="N396" s="189"/>
      <c r="O396" s="454"/>
    </row>
    <row r="397">
      <c r="A397" s="734"/>
      <c r="B397" s="735" t="s">
        <v>2064</v>
      </c>
      <c r="C397" s="767" t="s">
        <v>2263</v>
      </c>
      <c r="D397" s="777" t="s">
        <v>2264</v>
      </c>
      <c r="E397" s="763" t="s">
        <v>2085</v>
      </c>
      <c r="F397" s="764" t="s">
        <v>2728</v>
      </c>
      <c r="G397" s="736" t="s">
        <v>1757</v>
      </c>
      <c r="H397" s="745">
        <v>267.07</v>
      </c>
      <c r="I397" s="776" t="s">
        <v>2729</v>
      </c>
      <c r="J397" s="301"/>
      <c r="K397" s="731" t="s">
        <v>2070</v>
      </c>
      <c r="L397" s="741">
        <f>L396/L395</f>
        <v>0.142913966</v>
      </c>
      <c r="M397" s="733"/>
      <c r="N397" s="742" t="str">
        <f>IF(L397&lt;25%,"Não","Sim - proceder verificação ao lado")</f>
        <v>Não</v>
      </c>
      <c r="O397" s="743" t="b">
        <v>1</v>
      </c>
    </row>
    <row r="398">
      <c r="A398" s="734"/>
      <c r="B398" s="735" t="s">
        <v>2064</v>
      </c>
      <c r="C398" s="767" t="s">
        <v>2276</v>
      </c>
      <c r="D398" s="777" t="s">
        <v>2134</v>
      </c>
      <c r="E398" s="763" t="s">
        <v>2085</v>
      </c>
      <c r="F398" s="764" t="s">
        <v>2730</v>
      </c>
      <c r="G398" s="736" t="s">
        <v>1757</v>
      </c>
      <c r="H398" s="745">
        <v>267.07</v>
      </c>
      <c r="I398" s="776" t="s">
        <v>2731</v>
      </c>
      <c r="J398" s="301"/>
      <c r="K398" s="731" t="s">
        <v>2075</v>
      </c>
      <c r="L398" s="746">
        <f>L395*1.25</f>
        <v>308.3916667</v>
      </c>
      <c r="M398" s="733"/>
      <c r="N398" s="301"/>
      <c r="O398" s="743" t="b">
        <v>1</v>
      </c>
    </row>
    <row r="399">
      <c r="A399" s="734"/>
      <c r="B399" s="735" t="s">
        <v>2064</v>
      </c>
      <c r="C399" s="744" t="s">
        <v>2621</v>
      </c>
      <c r="D399" s="736" t="s">
        <v>2482</v>
      </c>
      <c r="E399" s="763" t="s">
        <v>2709</v>
      </c>
      <c r="F399" s="738" t="s">
        <v>2732</v>
      </c>
      <c r="G399" s="736" t="s">
        <v>1757</v>
      </c>
      <c r="H399" s="739">
        <v>206.0</v>
      </c>
      <c r="I399" s="775" t="s">
        <v>2733</v>
      </c>
      <c r="J399" s="189"/>
      <c r="K399" s="731" t="s">
        <v>2080</v>
      </c>
      <c r="L399" s="746">
        <f>L395*0.75</f>
        <v>185.035</v>
      </c>
      <c r="M399" s="733"/>
      <c r="N399" s="189"/>
      <c r="O399" s="743" t="b">
        <v>1</v>
      </c>
    </row>
    <row r="400">
      <c r="A400" s="734"/>
      <c r="B400" s="735"/>
      <c r="C400" s="735"/>
      <c r="D400" s="734"/>
      <c r="E400" s="749"/>
      <c r="F400" s="750"/>
      <c r="G400" s="749"/>
      <c r="H400" s="749"/>
      <c r="I400" s="751"/>
      <c r="J400" s="752"/>
      <c r="K400" s="752"/>
      <c r="L400" s="752"/>
      <c r="M400" s="751"/>
      <c r="N400" s="752"/>
      <c r="O400" s="753"/>
    </row>
    <row r="401">
      <c r="A401" s="754" t="s">
        <v>1093</v>
      </c>
      <c r="B401" s="755" t="s">
        <v>2734</v>
      </c>
      <c r="C401" s="36"/>
      <c r="D401" s="36"/>
      <c r="E401" s="36"/>
      <c r="F401" s="36"/>
      <c r="G401" s="754" t="s">
        <v>1757</v>
      </c>
      <c r="H401" s="756">
        <f>MEDIAN(H403:H405)</f>
        <v>474.05</v>
      </c>
      <c r="I401" s="757"/>
      <c r="J401" s="758" t="s">
        <v>2053</v>
      </c>
      <c r="K401" s="731" t="s">
        <v>2054</v>
      </c>
      <c r="L401" s="759">
        <f>AVERAGE(H403:H405)</f>
        <v>469.2833333</v>
      </c>
      <c r="M401" s="733"/>
      <c r="N401" s="760" t="s">
        <v>2055</v>
      </c>
      <c r="O401" s="454"/>
    </row>
    <row r="402">
      <c r="A402" s="727" t="s">
        <v>1717</v>
      </c>
      <c r="B402" s="728" t="s">
        <v>2056</v>
      </c>
      <c r="C402" s="728" t="s">
        <v>2057</v>
      </c>
      <c r="D402" s="727" t="s">
        <v>2058</v>
      </c>
      <c r="E402" s="727" t="s">
        <v>2059</v>
      </c>
      <c r="F402" s="729" t="s">
        <v>1537</v>
      </c>
      <c r="G402" s="727" t="s">
        <v>2060</v>
      </c>
      <c r="H402" s="727" t="s">
        <v>2061</v>
      </c>
      <c r="I402" s="730" t="s">
        <v>2062</v>
      </c>
      <c r="J402" s="301"/>
      <c r="K402" s="731" t="s">
        <v>2063</v>
      </c>
      <c r="L402" s="732">
        <f>STDEV(H403:H405)</f>
        <v>50.17011893</v>
      </c>
      <c r="M402" s="733"/>
      <c r="N402" s="189"/>
      <c r="O402" s="454"/>
    </row>
    <row r="403">
      <c r="A403" s="734"/>
      <c r="B403" s="735" t="s">
        <v>2064</v>
      </c>
      <c r="C403" s="744" t="s">
        <v>2126</v>
      </c>
      <c r="D403" s="736" t="s">
        <v>2281</v>
      </c>
      <c r="E403" s="763" t="s">
        <v>2709</v>
      </c>
      <c r="F403" s="738" t="s">
        <v>2735</v>
      </c>
      <c r="G403" s="736" t="s">
        <v>1757</v>
      </c>
      <c r="H403" s="739">
        <v>516.9</v>
      </c>
      <c r="I403" s="786" t="s">
        <v>2736</v>
      </c>
      <c r="J403" s="301"/>
      <c r="K403" s="731" t="s">
        <v>2070</v>
      </c>
      <c r="L403" s="741">
        <f>L402/L401</f>
        <v>0.1069079496</v>
      </c>
      <c r="M403" s="733"/>
      <c r="N403" s="742" t="str">
        <f>IF(L403&lt;25%,"Não","Sim - proceder verificação ao lado")</f>
        <v>Não</v>
      </c>
      <c r="O403" s="743" t="b">
        <v>1</v>
      </c>
    </row>
    <row r="404">
      <c r="A404" s="734"/>
      <c r="B404" s="735" t="s">
        <v>2064</v>
      </c>
      <c r="C404" s="744" t="s">
        <v>2541</v>
      </c>
      <c r="D404" s="736" t="s">
        <v>2150</v>
      </c>
      <c r="E404" s="763" t="s">
        <v>2085</v>
      </c>
      <c r="F404" s="764" t="s">
        <v>2737</v>
      </c>
      <c r="G404" s="736" t="s">
        <v>1757</v>
      </c>
      <c r="H404" s="745">
        <v>416.9</v>
      </c>
      <c r="I404" s="776" t="s">
        <v>2738</v>
      </c>
      <c r="J404" s="301"/>
      <c r="K404" s="731" t="s">
        <v>2075</v>
      </c>
      <c r="L404" s="746">
        <f>L401*1.25</f>
        <v>586.6041667</v>
      </c>
      <c r="M404" s="733"/>
      <c r="N404" s="301"/>
      <c r="O404" s="743" t="b">
        <v>1</v>
      </c>
    </row>
    <row r="405">
      <c r="A405" s="734"/>
      <c r="B405" s="735" t="s">
        <v>2064</v>
      </c>
      <c r="C405" s="735" t="s">
        <v>2551</v>
      </c>
      <c r="D405" s="734" t="s">
        <v>2552</v>
      </c>
      <c r="E405" s="763" t="s">
        <v>2709</v>
      </c>
      <c r="F405" s="738" t="s">
        <v>2739</v>
      </c>
      <c r="G405" s="736" t="s">
        <v>1757</v>
      </c>
      <c r="H405" s="745">
        <v>474.05</v>
      </c>
      <c r="I405" s="786" t="s">
        <v>2740</v>
      </c>
      <c r="J405" s="189"/>
      <c r="K405" s="731" t="s">
        <v>2080</v>
      </c>
      <c r="L405" s="746">
        <f>L401*0.75</f>
        <v>351.9625</v>
      </c>
      <c r="M405" s="733"/>
      <c r="N405" s="189"/>
      <c r="O405" s="743" t="b">
        <v>1</v>
      </c>
    </row>
    <row r="406">
      <c r="A406" s="734"/>
      <c r="B406" s="735"/>
      <c r="C406" s="735"/>
      <c r="D406" s="734"/>
      <c r="E406" s="749"/>
      <c r="F406" s="750"/>
      <c r="G406" s="749"/>
      <c r="H406" s="749"/>
      <c r="I406" s="751"/>
      <c r="J406" s="752"/>
      <c r="K406" s="752"/>
      <c r="L406" s="752"/>
      <c r="M406" s="751"/>
      <c r="N406" s="752"/>
      <c r="O406" s="753"/>
    </row>
    <row r="407">
      <c r="A407" s="754" t="s">
        <v>1095</v>
      </c>
      <c r="B407" s="755" t="s">
        <v>2741</v>
      </c>
      <c r="C407" s="36"/>
      <c r="D407" s="36"/>
      <c r="E407" s="36"/>
      <c r="F407" s="36"/>
      <c r="G407" s="754" t="s">
        <v>1757</v>
      </c>
      <c r="H407" s="756">
        <f>MEDIAN(H409:H411)</f>
        <v>1308.72</v>
      </c>
      <c r="I407" s="757"/>
      <c r="J407" s="758" t="s">
        <v>2053</v>
      </c>
      <c r="K407" s="731" t="s">
        <v>2054</v>
      </c>
      <c r="L407" s="759">
        <f>AVERAGE(H409:H411)</f>
        <v>1357.873333</v>
      </c>
      <c r="M407" s="733"/>
      <c r="N407" s="760" t="s">
        <v>2055</v>
      </c>
      <c r="O407" s="454"/>
    </row>
    <row r="408">
      <c r="A408" s="727" t="s">
        <v>1717</v>
      </c>
      <c r="B408" s="728" t="s">
        <v>2056</v>
      </c>
      <c r="C408" s="728" t="s">
        <v>2057</v>
      </c>
      <c r="D408" s="727" t="s">
        <v>2058</v>
      </c>
      <c r="E408" s="727" t="s">
        <v>2059</v>
      </c>
      <c r="F408" s="729" t="s">
        <v>1537</v>
      </c>
      <c r="G408" s="727" t="s">
        <v>2060</v>
      </c>
      <c r="H408" s="727" t="s">
        <v>2061</v>
      </c>
      <c r="I408" s="730" t="s">
        <v>2062</v>
      </c>
      <c r="J408" s="301"/>
      <c r="K408" s="731" t="s">
        <v>2063</v>
      </c>
      <c r="L408" s="732">
        <f>STDEV(H409:H411)</f>
        <v>101.7793699</v>
      </c>
      <c r="M408" s="733"/>
      <c r="N408" s="189"/>
      <c r="O408" s="454"/>
    </row>
    <row r="409">
      <c r="A409" s="734"/>
      <c r="B409" s="735" t="s">
        <v>2064</v>
      </c>
      <c r="C409" s="761" t="s">
        <v>2742</v>
      </c>
      <c r="D409" s="798" t="s">
        <v>2646</v>
      </c>
      <c r="E409" s="763" t="s">
        <v>2085</v>
      </c>
      <c r="F409" s="764" t="s">
        <v>2743</v>
      </c>
      <c r="G409" s="736" t="s">
        <v>1757</v>
      </c>
      <c r="H409" s="745">
        <v>1308.72</v>
      </c>
      <c r="I409" s="785" t="s">
        <v>2744</v>
      </c>
      <c r="J409" s="301"/>
      <c r="K409" s="731" t="s">
        <v>2070</v>
      </c>
      <c r="L409" s="741">
        <f>L408/L407</f>
        <v>0.07495498099</v>
      </c>
      <c r="M409" s="733"/>
      <c r="N409" s="742" t="str">
        <f>IF(L409&lt;25%,"Não","Sim - proceder verificação ao lado")</f>
        <v>Não</v>
      </c>
      <c r="O409" s="743" t="b">
        <v>1</v>
      </c>
    </row>
    <row r="410">
      <c r="A410" s="734"/>
      <c r="B410" s="735" t="s">
        <v>2064</v>
      </c>
      <c r="C410" s="744" t="s">
        <v>2126</v>
      </c>
      <c r="D410" s="736" t="s">
        <v>2281</v>
      </c>
      <c r="E410" s="763" t="s">
        <v>2709</v>
      </c>
      <c r="F410" s="766" t="s">
        <v>2745</v>
      </c>
      <c r="G410" s="736" t="s">
        <v>1757</v>
      </c>
      <c r="H410" s="739">
        <v>1290.0</v>
      </c>
      <c r="I410" s="780" t="s">
        <v>2746</v>
      </c>
      <c r="J410" s="301"/>
      <c r="K410" s="731" t="s">
        <v>2075</v>
      </c>
      <c r="L410" s="746">
        <f>L407*1.25</f>
        <v>1697.341667</v>
      </c>
      <c r="M410" s="733"/>
      <c r="N410" s="301"/>
      <c r="O410" s="743" t="b">
        <v>1</v>
      </c>
    </row>
    <row r="411">
      <c r="A411" s="734"/>
      <c r="B411" s="735" t="s">
        <v>2064</v>
      </c>
      <c r="C411" s="744" t="s">
        <v>2541</v>
      </c>
      <c r="D411" s="736" t="s">
        <v>2150</v>
      </c>
      <c r="E411" s="763" t="s">
        <v>2709</v>
      </c>
      <c r="F411" s="766" t="s">
        <v>2747</v>
      </c>
      <c r="G411" s="736" t="s">
        <v>1757</v>
      </c>
      <c r="H411" s="739">
        <v>1474.9</v>
      </c>
      <c r="I411" s="797" t="s">
        <v>2748</v>
      </c>
      <c r="J411" s="189"/>
      <c r="K411" s="731" t="s">
        <v>2080</v>
      </c>
      <c r="L411" s="746">
        <f>L407*0.75</f>
        <v>1018.405</v>
      </c>
      <c r="M411" s="733"/>
      <c r="N411" s="189"/>
      <c r="O411" s="743" t="b">
        <v>1</v>
      </c>
    </row>
    <row r="412">
      <c r="A412" s="734"/>
      <c r="B412" s="735"/>
      <c r="C412" s="735"/>
      <c r="D412" s="734"/>
      <c r="E412" s="749"/>
      <c r="F412" s="750"/>
      <c r="G412" s="749"/>
      <c r="H412" s="749"/>
      <c r="I412" s="751"/>
      <c r="J412" s="752"/>
      <c r="K412" s="752"/>
      <c r="L412" s="752"/>
      <c r="M412" s="751"/>
      <c r="N412" s="752"/>
      <c r="O412" s="753"/>
    </row>
    <row r="413">
      <c r="A413" s="754" t="s">
        <v>1097</v>
      </c>
      <c r="B413" s="755" t="s">
        <v>2749</v>
      </c>
      <c r="C413" s="36"/>
      <c r="D413" s="36"/>
      <c r="E413" s="36"/>
      <c r="F413" s="36"/>
      <c r="G413" s="754" t="s">
        <v>1757</v>
      </c>
      <c r="H413" s="756">
        <f>MEDIAN(H415:H417)</f>
        <v>870.7</v>
      </c>
      <c r="I413" s="757"/>
      <c r="J413" s="758" t="s">
        <v>2053</v>
      </c>
      <c r="K413" s="731" t="s">
        <v>2054</v>
      </c>
      <c r="L413" s="759">
        <f>AVERAGE(H415:H417)</f>
        <v>886.3466667</v>
      </c>
      <c r="M413" s="733"/>
      <c r="N413" s="760" t="s">
        <v>2055</v>
      </c>
      <c r="O413" s="454"/>
    </row>
    <row r="414">
      <c r="A414" s="727" t="s">
        <v>1717</v>
      </c>
      <c r="B414" s="728" t="s">
        <v>2056</v>
      </c>
      <c r="C414" s="728" t="s">
        <v>2057</v>
      </c>
      <c r="D414" s="727" t="s">
        <v>2058</v>
      </c>
      <c r="E414" s="727" t="s">
        <v>2059</v>
      </c>
      <c r="F414" s="729" t="s">
        <v>1537</v>
      </c>
      <c r="G414" s="727" t="s">
        <v>2060</v>
      </c>
      <c r="H414" s="727" t="s">
        <v>2061</v>
      </c>
      <c r="I414" s="730" t="s">
        <v>2062</v>
      </c>
      <c r="J414" s="301"/>
      <c r="K414" s="731" t="s">
        <v>2063</v>
      </c>
      <c r="L414" s="732">
        <f>STDEV(H415:H417)</f>
        <v>48.21334393</v>
      </c>
      <c r="M414" s="733"/>
      <c r="N414" s="189"/>
      <c r="O414" s="454"/>
    </row>
    <row r="415">
      <c r="A415" s="734"/>
      <c r="B415" s="735" t="s">
        <v>2064</v>
      </c>
      <c r="C415" s="744" t="s">
        <v>2541</v>
      </c>
      <c r="D415" s="736" t="s">
        <v>2150</v>
      </c>
      <c r="E415" s="763" t="s">
        <v>2709</v>
      </c>
      <c r="F415" s="738" t="s">
        <v>2750</v>
      </c>
      <c r="G415" s="736" t="s">
        <v>1757</v>
      </c>
      <c r="H415" s="739">
        <v>847.9</v>
      </c>
      <c r="I415" s="786" t="s">
        <v>2751</v>
      </c>
      <c r="J415" s="301"/>
      <c r="K415" s="731" t="s">
        <v>2070</v>
      </c>
      <c r="L415" s="741">
        <f>L414/L413</f>
        <v>0.05439558329</v>
      </c>
      <c r="M415" s="733"/>
      <c r="N415" s="742" t="str">
        <f>IF(L415&lt;25%,"Não","Sim - proceder verificação ao lado")</f>
        <v>Não</v>
      </c>
      <c r="O415" s="743" t="b">
        <v>1</v>
      </c>
    </row>
    <row r="416">
      <c r="A416" s="734"/>
      <c r="B416" s="735" t="s">
        <v>2064</v>
      </c>
      <c r="C416" s="744" t="s">
        <v>2621</v>
      </c>
      <c r="D416" s="736" t="s">
        <v>2482</v>
      </c>
      <c r="E416" s="763" t="s">
        <v>2709</v>
      </c>
      <c r="F416" s="738" t="s">
        <v>2752</v>
      </c>
      <c r="G416" s="736" t="s">
        <v>1757</v>
      </c>
      <c r="H416" s="739">
        <v>870.7</v>
      </c>
      <c r="I416" s="775" t="s">
        <v>2753</v>
      </c>
      <c r="J416" s="301"/>
      <c r="K416" s="731" t="s">
        <v>2075</v>
      </c>
      <c r="L416" s="746">
        <f>L413*1.25</f>
        <v>1107.933333</v>
      </c>
      <c r="M416" s="733"/>
      <c r="N416" s="301"/>
      <c r="O416" s="743" t="b">
        <v>1</v>
      </c>
    </row>
    <row r="417">
      <c r="A417" s="734"/>
      <c r="B417" s="735" t="s">
        <v>2064</v>
      </c>
      <c r="C417" s="735" t="s">
        <v>2276</v>
      </c>
      <c r="D417" s="734" t="s">
        <v>2134</v>
      </c>
      <c r="E417" s="763" t="s">
        <v>2709</v>
      </c>
      <c r="F417" s="738" t="s">
        <v>2754</v>
      </c>
      <c r="G417" s="736" t="s">
        <v>1757</v>
      </c>
      <c r="H417" s="739">
        <v>940.44</v>
      </c>
      <c r="I417" s="786" t="s">
        <v>2755</v>
      </c>
      <c r="J417" s="189"/>
      <c r="K417" s="731" t="s">
        <v>2080</v>
      </c>
      <c r="L417" s="746">
        <f>L413*0.75</f>
        <v>664.76</v>
      </c>
      <c r="M417" s="733"/>
      <c r="N417" s="189"/>
      <c r="O417" s="743" t="b">
        <v>1</v>
      </c>
    </row>
    <row r="418">
      <c r="A418" s="734"/>
      <c r="B418" s="735"/>
      <c r="C418" s="735"/>
      <c r="D418" s="734"/>
      <c r="E418" s="749"/>
      <c r="F418" s="750"/>
      <c r="G418" s="749"/>
      <c r="H418" s="749"/>
      <c r="I418" s="751"/>
      <c r="J418" s="752"/>
      <c r="K418" s="752"/>
      <c r="L418" s="752"/>
      <c r="M418" s="751"/>
      <c r="N418" s="752"/>
      <c r="O418" s="753"/>
    </row>
    <row r="419">
      <c r="A419" s="754" t="s">
        <v>1099</v>
      </c>
      <c r="B419" s="755" t="s">
        <v>2756</v>
      </c>
      <c r="C419" s="36"/>
      <c r="D419" s="36"/>
      <c r="E419" s="36"/>
      <c r="F419" s="36"/>
      <c r="G419" s="754" t="s">
        <v>1757</v>
      </c>
      <c r="H419" s="756">
        <f>MEDIAN(H421:H423)</f>
        <v>1169.05</v>
      </c>
      <c r="I419" s="757"/>
      <c r="J419" s="758" t="s">
        <v>2053</v>
      </c>
      <c r="K419" s="731" t="s">
        <v>2054</v>
      </c>
      <c r="L419" s="759">
        <f>AVERAGE(H421:H423)</f>
        <v>1158.463333</v>
      </c>
      <c r="M419" s="733"/>
      <c r="N419" s="760" t="s">
        <v>2055</v>
      </c>
      <c r="O419" s="454"/>
    </row>
    <row r="420">
      <c r="A420" s="727" t="s">
        <v>1717</v>
      </c>
      <c r="B420" s="728" t="s">
        <v>2056</v>
      </c>
      <c r="C420" s="728" t="s">
        <v>2057</v>
      </c>
      <c r="D420" s="727" t="s">
        <v>2058</v>
      </c>
      <c r="E420" s="727" t="s">
        <v>2059</v>
      </c>
      <c r="F420" s="729" t="s">
        <v>1537</v>
      </c>
      <c r="G420" s="727" t="s">
        <v>2060</v>
      </c>
      <c r="H420" s="727" t="s">
        <v>2061</v>
      </c>
      <c r="I420" s="730" t="s">
        <v>2062</v>
      </c>
      <c r="J420" s="301"/>
      <c r="K420" s="731" t="s">
        <v>2063</v>
      </c>
      <c r="L420" s="732">
        <f>STDEV(H421:H423)</f>
        <v>97.26308155</v>
      </c>
      <c r="M420" s="733"/>
      <c r="N420" s="189"/>
      <c r="O420" s="454"/>
    </row>
    <row r="421">
      <c r="A421" s="734"/>
      <c r="B421" s="735" t="s">
        <v>2064</v>
      </c>
      <c r="C421" s="767" t="s">
        <v>2276</v>
      </c>
      <c r="D421" s="799" t="s">
        <v>2134</v>
      </c>
      <c r="E421" s="763" t="s">
        <v>2757</v>
      </c>
      <c r="F421" s="764" t="s">
        <v>2758</v>
      </c>
      <c r="G421" s="736" t="s">
        <v>1757</v>
      </c>
      <c r="H421" s="745">
        <v>1250.0</v>
      </c>
      <c r="I421" s="776" t="s">
        <v>2759</v>
      </c>
      <c r="J421" s="301"/>
      <c r="K421" s="731" t="s">
        <v>2070</v>
      </c>
      <c r="L421" s="741">
        <f>L420/L419</f>
        <v>0.08395870526</v>
      </c>
      <c r="M421" s="733"/>
      <c r="N421" s="742" t="str">
        <f>IF(L421&lt;25%,"Não","Sim - proceder verificação ao lado")</f>
        <v>Não</v>
      </c>
      <c r="O421" s="743" t="b">
        <v>1</v>
      </c>
    </row>
    <row r="422">
      <c r="A422" s="734"/>
      <c r="B422" s="735" t="s">
        <v>2064</v>
      </c>
      <c r="C422" s="767" t="s">
        <v>2126</v>
      </c>
      <c r="D422" s="777" t="s">
        <v>2281</v>
      </c>
      <c r="E422" s="763" t="s">
        <v>2757</v>
      </c>
      <c r="F422" s="764" t="s">
        <v>2760</v>
      </c>
      <c r="G422" s="736" t="s">
        <v>1757</v>
      </c>
      <c r="H422" s="745">
        <v>1169.05</v>
      </c>
      <c r="I422" s="776" t="s">
        <v>2761</v>
      </c>
      <c r="J422" s="301"/>
      <c r="K422" s="731" t="s">
        <v>2075</v>
      </c>
      <c r="L422" s="746">
        <f>L419*1.25</f>
        <v>1448.079167</v>
      </c>
      <c r="M422" s="733"/>
      <c r="N422" s="301"/>
      <c r="O422" s="743" t="b">
        <v>1</v>
      </c>
    </row>
    <row r="423">
      <c r="A423" s="734"/>
      <c r="B423" s="735" t="s">
        <v>2064</v>
      </c>
      <c r="C423" s="735" t="s">
        <v>2551</v>
      </c>
      <c r="D423" s="734" t="s">
        <v>2552</v>
      </c>
      <c r="E423" s="763" t="s">
        <v>2709</v>
      </c>
      <c r="F423" s="738" t="s">
        <v>2762</v>
      </c>
      <c r="G423" s="736" t="s">
        <v>1757</v>
      </c>
      <c r="H423" s="745">
        <v>1056.34</v>
      </c>
      <c r="I423" s="775" t="s">
        <v>2763</v>
      </c>
      <c r="J423" s="189"/>
      <c r="K423" s="731" t="s">
        <v>2080</v>
      </c>
      <c r="L423" s="746">
        <f>L419*0.75</f>
        <v>868.8475</v>
      </c>
      <c r="M423" s="733"/>
      <c r="N423" s="189"/>
      <c r="O423" s="743" t="b">
        <v>1</v>
      </c>
    </row>
    <row r="424">
      <c r="A424" s="734"/>
      <c r="B424" s="735"/>
      <c r="C424" s="735"/>
      <c r="D424" s="734"/>
      <c r="E424" s="769"/>
      <c r="F424" s="738"/>
      <c r="G424" s="736"/>
      <c r="H424" s="739"/>
      <c r="I424" s="800"/>
      <c r="J424" s="752"/>
      <c r="K424" s="752"/>
      <c r="L424" s="752"/>
      <c r="M424" s="751"/>
      <c r="N424" s="752"/>
      <c r="O424" s="753"/>
    </row>
    <row r="425">
      <c r="A425" s="754" t="s">
        <v>1101</v>
      </c>
      <c r="B425" s="755" t="s">
        <v>2764</v>
      </c>
      <c r="C425" s="36"/>
      <c r="D425" s="36"/>
      <c r="E425" s="36"/>
      <c r="F425" s="36"/>
      <c r="G425" s="754" t="s">
        <v>1757</v>
      </c>
      <c r="H425" s="756">
        <f>MEDIAN(H427:H429)</f>
        <v>217</v>
      </c>
      <c r="I425" s="757"/>
      <c r="J425" s="758" t="s">
        <v>2053</v>
      </c>
      <c r="K425" s="731" t="s">
        <v>2054</v>
      </c>
      <c r="L425" s="759">
        <f>AVERAGE(H427:H429)</f>
        <v>231.4666667</v>
      </c>
      <c r="M425" s="733"/>
      <c r="N425" s="760" t="s">
        <v>2055</v>
      </c>
      <c r="O425" s="454"/>
    </row>
    <row r="426">
      <c r="A426" s="727" t="s">
        <v>1717</v>
      </c>
      <c r="B426" s="728" t="s">
        <v>2056</v>
      </c>
      <c r="C426" s="728" t="s">
        <v>2057</v>
      </c>
      <c r="D426" s="727" t="s">
        <v>2058</v>
      </c>
      <c r="E426" s="727" t="s">
        <v>2059</v>
      </c>
      <c r="F426" s="729" t="s">
        <v>1537</v>
      </c>
      <c r="G426" s="727" t="s">
        <v>2060</v>
      </c>
      <c r="H426" s="727" t="s">
        <v>2061</v>
      </c>
      <c r="I426" s="730" t="s">
        <v>2062</v>
      </c>
      <c r="J426" s="301"/>
      <c r="K426" s="731" t="s">
        <v>2063</v>
      </c>
      <c r="L426" s="732">
        <f>STDEV(H427:H429)</f>
        <v>25.05700168</v>
      </c>
      <c r="M426" s="733"/>
      <c r="N426" s="189"/>
      <c r="O426" s="454"/>
    </row>
    <row r="427">
      <c r="A427" s="734"/>
      <c r="B427" s="735" t="s">
        <v>2064</v>
      </c>
      <c r="C427" s="767" t="s">
        <v>2765</v>
      </c>
      <c r="D427" s="777" t="s">
        <v>2193</v>
      </c>
      <c r="E427" s="763" t="s">
        <v>2085</v>
      </c>
      <c r="F427" s="764" t="s">
        <v>2766</v>
      </c>
      <c r="G427" s="736" t="s">
        <v>1757</v>
      </c>
      <c r="H427" s="745">
        <v>217.0</v>
      </c>
      <c r="I427" s="785" t="s">
        <v>2767</v>
      </c>
      <c r="J427" s="301"/>
      <c r="K427" s="731" t="s">
        <v>2070</v>
      </c>
      <c r="L427" s="741">
        <f>L426/L425</f>
        <v>0.1082531755</v>
      </c>
      <c r="M427" s="733"/>
      <c r="N427" s="742" t="str">
        <f>IF(L427&lt;25%,"Não","Sim - proceder verificação ao lado")</f>
        <v>Não</v>
      </c>
      <c r="O427" s="743" t="b">
        <v>1</v>
      </c>
    </row>
    <row r="428">
      <c r="A428" s="734"/>
      <c r="B428" s="735" t="s">
        <v>2064</v>
      </c>
      <c r="C428" s="744" t="s">
        <v>2184</v>
      </c>
      <c r="D428" s="736" t="s">
        <v>2185</v>
      </c>
      <c r="E428" s="763" t="s">
        <v>2709</v>
      </c>
      <c r="F428" s="738" t="s">
        <v>2768</v>
      </c>
      <c r="G428" s="736" t="s">
        <v>1757</v>
      </c>
      <c r="H428" s="745">
        <v>217.0</v>
      </c>
      <c r="I428" s="786" t="s">
        <v>2769</v>
      </c>
      <c r="J428" s="301"/>
      <c r="K428" s="731" t="s">
        <v>2075</v>
      </c>
      <c r="L428" s="746">
        <f>L425*1.25</f>
        <v>289.3333333</v>
      </c>
      <c r="M428" s="733"/>
      <c r="N428" s="301"/>
      <c r="O428" s="743" t="b">
        <v>1</v>
      </c>
    </row>
    <row r="429">
      <c r="A429" s="734"/>
      <c r="B429" s="735" t="s">
        <v>2064</v>
      </c>
      <c r="C429" s="735" t="s">
        <v>2276</v>
      </c>
      <c r="D429" s="734" t="s">
        <v>2134</v>
      </c>
      <c r="E429" s="763" t="s">
        <v>2709</v>
      </c>
      <c r="F429" s="738" t="s">
        <v>2770</v>
      </c>
      <c r="G429" s="736" t="s">
        <v>1757</v>
      </c>
      <c r="H429" s="739">
        <v>260.4</v>
      </c>
      <c r="I429" s="775" t="s">
        <v>2771</v>
      </c>
      <c r="J429" s="189"/>
      <c r="K429" s="731" t="s">
        <v>2080</v>
      </c>
      <c r="L429" s="746">
        <f>L425*0.75</f>
        <v>173.6</v>
      </c>
      <c r="M429" s="733"/>
      <c r="N429" s="189"/>
      <c r="O429" s="743" t="b">
        <v>1</v>
      </c>
    </row>
    <row r="430">
      <c r="A430" s="734"/>
      <c r="B430" s="735"/>
      <c r="C430" s="735"/>
      <c r="D430" s="734"/>
      <c r="E430" s="769"/>
      <c r="F430" s="738"/>
      <c r="G430" s="736"/>
      <c r="H430" s="739"/>
      <c r="I430" s="800"/>
      <c r="J430" s="752"/>
      <c r="K430" s="752"/>
      <c r="L430" s="752"/>
      <c r="M430" s="751"/>
      <c r="N430" s="752"/>
      <c r="O430" s="753"/>
    </row>
    <row r="431">
      <c r="A431" s="754" t="s">
        <v>1103</v>
      </c>
      <c r="B431" s="755" t="s">
        <v>2772</v>
      </c>
      <c r="C431" s="36"/>
      <c r="D431" s="36"/>
      <c r="E431" s="36"/>
      <c r="F431" s="36"/>
      <c r="G431" s="754" t="s">
        <v>1757</v>
      </c>
      <c r="H431" s="756">
        <f>MEDIAN(H433:H435)</f>
        <v>648.7</v>
      </c>
      <c r="I431" s="757"/>
      <c r="J431" s="758" t="s">
        <v>2053</v>
      </c>
      <c r="K431" s="731" t="s">
        <v>2054</v>
      </c>
      <c r="L431" s="759">
        <f>AVERAGE(H433:H435)</f>
        <v>612.1066667</v>
      </c>
      <c r="M431" s="733"/>
      <c r="N431" s="760" t="s">
        <v>2055</v>
      </c>
      <c r="O431" s="454"/>
    </row>
    <row r="432">
      <c r="A432" s="727" t="s">
        <v>1717</v>
      </c>
      <c r="B432" s="728" t="s">
        <v>2056</v>
      </c>
      <c r="C432" s="728" t="s">
        <v>2057</v>
      </c>
      <c r="D432" s="727" t="s">
        <v>2058</v>
      </c>
      <c r="E432" s="727" t="s">
        <v>2059</v>
      </c>
      <c r="F432" s="729" t="s">
        <v>1537</v>
      </c>
      <c r="G432" s="727" t="s">
        <v>2060</v>
      </c>
      <c r="H432" s="727" t="s">
        <v>2061</v>
      </c>
      <c r="I432" s="730" t="s">
        <v>2062</v>
      </c>
      <c r="J432" s="301"/>
      <c r="K432" s="731" t="s">
        <v>2063</v>
      </c>
      <c r="L432" s="732">
        <f>STDEV(H433:H435)</f>
        <v>63.38151255</v>
      </c>
      <c r="M432" s="733"/>
      <c r="N432" s="189"/>
      <c r="O432" s="454"/>
    </row>
    <row r="433">
      <c r="A433" s="734"/>
      <c r="B433" s="735" t="s">
        <v>2064</v>
      </c>
      <c r="C433" s="761" t="s">
        <v>2263</v>
      </c>
      <c r="D433" s="762" t="s">
        <v>2264</v>
      </c>
      <c r="E433" s="763" t="s">
        <v>2085</v>
      </c>
      <c r="F433" s="764" t="s">
        <v>2773</v>
      </c>
      <c r="G433" s="736" t="s">
        <v>1757</v>
      </c>
      <c r="H433" s="745">
        <v>648.7</v>
      </c>
      <c r="I433" s="785" t="s">
        <v>2774</v>
      </c>
      <c r="J433" s="301"/>
      <c r="K433" s="731" t="s">
        <v>2070</v>
      </c>
      <c r="L433" s="741">
        <f>L432/L431</f>
        <v>0.1035465157</v>
      </c>
      <c r="M433" s="733"/>
      <c r="N433" s="742" t="str">
        <f>IF(L433&lt;25%,"Não","Sim - proceder verificação ao lado")</f>
        <v>Não</v>
      </c>
      <c r="O433" s="743" t="b">
        <v>1</v>
      </c>
    </row>
    <row r="434">
      <c r="A434" s="734"/>
      <c r="B434" s="735" t="s">
        <v>2064</v>
      </c>
      <c r="C434" s="735" t="s">
        <v>2276</v>
      </c>
      <c r="D434" s="734" t="s">
        <v>2134</v>
      </c>
      <c r="E434" s="763" t="s">
        <v>2709</v>
      </c>
      <c r="F434" s="738" t="s">
        <v>2775</v>
      </c>
      <c r="G434" s="736" t="s">
        <v>1757</v>
      </c>
      <c r="H434" s="745">
        <v>648.7</v>
      </c>
      <c r="I434" s="775" t="s">
        <v>2776</v>
      </c>
      <c r="J434" s="301"/>
      <c r="K434" s="731" t="s">
        <v>2075</v>
      </c>
      <c r="L434" s="746">
        <f>L431*1.25</f>
        <v>765.1333333</v>
      </c>
      <c r="M434" s="733"/>
      <c r="N434" s="301"/>
      <c r="O434" s="743" t="b">
        <v>1</v>
      </c>
    </row>
    <row r="435">
      <c r="A435" s="734"/>
      <c r="B435" s="735" t="s">
        <v>2064</v>
      </c>
      <c r="C435" s="735" t="s">
        <v>2777</v>
      </c>
      <c r="D435" s="734" t="s">
        <v>2778</v>
      </c>
      <c r="E435" s="763" t="s">
        <v>2709</v>
      </c>
      <c r="F435" s="738" t="s">
        <v>2779</v>
      </c>
      <c r="G435" s="736" t="s">
        <v>1757</v>
      </c>
      <c r="H435" s="745">
        <v>538.92</v>
      </c>
      <c r="I435" s="775" t="s">
        <v>2780</v>
      </c>
      <c r="J435" s="189"/>
      <c r="K435" s="731" t="s">
        <v>2080</v>
      </c>
      <c r="L435" s="746">
        <f>L431*0.75</f>
        <v>459.08</v>
      </c>
      <c r="M435" s="733"/>
      <c r="N435" s="189"/>
      <c r="O435" s="743" t="b">
        <v>1</v>
      </c>
    </row>
    <row r="436">
      <c r="A436" s="734"/>
      <c r="B436" s="735"/>
      <c r="C436" s="735"/>
      <c r="D436" s="734"/>
      <c r="E436" s="769"/>
      <c r="F436" s="738"/>
      <c r="G436" s="736"/>
      <c r="H436" s="739"/>
      <c r="I436" s="800"/>
      <c r="J436" s="752"/>
      <c r="K436" s="752"/>
      <c r="L436" s="752"/>
      <c r="M436" s="751"/>
      <c r="N436" s="752"/>
      <c r="O436" s="753"/>
    </row>
    <row r="437">
      <c r="A437" s="754" t="s">
        <v>1340</v>
      </c>
      <c r="B437" s="755" t="s">
        <v>2781</v>
      </c>
      <c r="C437" s="36"/>
      <c r="D437" s="36"/>
      <c r="E437" s="36"/>
      <c r="F437" s="36"/>
      <c r="G437" s="754" t="s">
        <v>1757</v>
      </c>
      <c r="H437" s="756">
        <f>MEDIAN(H439:H441)</f>
        <v>10.15</v>
      </c>
      <c r="I437" s="757"/>
      <c r="J437" s="758" t="s">
        <v>2053</v>
      </c>
      <c r="K437" s="731" t="s">
        <v>2054</v>
      </c>
      <c r="L437" s="759">
        <f>AVERAGE(H439:H441)</f>
        <v>10.92333333</v>
      </c>
      <c r="M437" s="733"/>
      <c r="N437" s="760" t="s">
        <v>2055</v>
      </c>
      <c r="O437" s="454"/>
    </row>
    <row r="438">
      <c r="A438" s="727" t="s">
        <v>1717</v>
      </c>
      <c r="B438" s="728" t="s">
        <v>2056</v>
      </c>
      <c r="C438" s="728" t="s">
        <v>2057</v>
      </c>
      <c r="D438" s="727" t="s">
        <v>2058</v>
      </c>
      <c r="E438" s="727" t="s">
        <v>2059</v>
      </c>
      <c r="F438" s="729" t="s">
        <v>1537</v>
      </c>
      <c r="G438" s="727" t="s">
        <v>2060</v>
      </c>
      <c r="H438" s="727" t="s">
        <v>2061</v>
      </c>
      <c r="I438" s="730" t="s">
        <v>2062</v>
      </c>
      <c r="J438" s="301"/>
      <c r="K438" s="731" t="s">
        <v>2063</v>
      </c>
      <c r="L438" s="732">
        <f>STDEV(H439:H441)</f>
        <v>2.723625035</v>
      </c>
      <c r="M438" s="733"/>
      <c r="N438" s="189"/>
      <c r="O438" s="454"/>
    </row>
    <row r="439">
      <c r="A439" s="734"/>
      <c r="B439" s="735" t="s">
        <v>2064</v>
      </c>
      <c r="C439" s="761" t="s">
        <v>2782</v>
      </c>
      <c r="D439" s="762" t="s">
        <v>2573</v>
      </c>
      <c r="E439" s="763" t="s">
        <v>2085</v>
      </c>
      <c r="F439" s="764" t="s">
        <v>2783</v>
      </c>
      <c r="G439" s="736" t="s">
        <v>1757</v>
      </c>
      <c r="H439" s="745">
        <v>10.15</v>
      </c>
      <c r="I439" s="776" t="s">
        <v>2784</v>
      </c>
      <c r="J439" s="301"/>
      <c r="K439" s="731" t="s">
        <v>2070</v>
      </c>
      <c r="L439" s="741">
        <f>L438/L437</f>
        <v>0.2493401009</v>
      </c>
      <c r="M439" s="733"/>
      <c r="N439" s="742" t="str">
        <f>IF(L439&lt;25%,"Não","Sim - proceder verificação ao lado")</f>
        <v>Não</v>
      </c>
      <c r="O439" s="743" t="b">
        <v>1</v>
      </c>
    </row>
    <row r="440">
      <c r="A440" s="734"/>
      <c r="B440" s="735" t="s">
        <v>2064</v>
      </c>
      <c r="C440" s="744" t="s">
        <v>2785</v>
      </c>
      <c r="D440" s="736" t="s">
        <v>2786</v>
      </c>
      <c r="E440" s="763" t="s">
        <v>2709</v>
      </c>
      <c r="F440" s="738" t="s">
        <v>2787</v>
      </c>
      <c r="G440" s="736" t="s">
        <v>1757</v>
      </c>
      <c r="H440" s="745">
        <v>8.67</v>
      </c>
      <c r="I440" s="775" t="s">
        <v>2788</v>
      </c>
      <c r="J440" s="301"/>
      <c r="K440" s="731" t="s">
        <v>2075</v>
      </c>
      <c r="L440" s="746">
        <f>L437*1.25</f>
        <v>13.65416667</v>
      </c>
      <c r="M440" s="733"/>
      <c r="N440" s="301"/>
      <c r="O440" s="743" t="b">
        <v>1</v>
      </c>
    </row>
    <row r="441">
      <c r="A441" s="734"/>
      <c r="B441" s="735" t="s">
        <v>2064</v>
      </c>
      <c r="C441" s="744" t="s">
        <v>2714</v>
      </c>
      <c r="D441" s="736" t="s">
        <v>2715</v>
      </c>
      <c r="E441" s="763" t="s">
        <v>2709</v>
      </c>
      <c r="F441" s="738" t="s">
        <v>2789</v>
      </c>
      <c r="G441" s="736" t="s">
        <v>1757</v>
      </c>
      <c r="H441" s="739">
        <v>13.95</v>
      </c>
      <c r="I441" s="775" t="s">
        <v>2790</v>
      </c>
      <c r="J441" s="189"/>
      <c r="K441" s="731" t="s">
        <v>2080</v>
      </c>
      <c r="L441" s="746">
        <f>L437*0.75</f>
        <v>8.1925</v>
      </c>
      <c r="M441" s="733"/>
      <c r="N441" s="189"/>
      <c r="O441" s="743" t="b">
        <v>1</v>
      </c>
    </row>
    <row r="442">
      <c r="A442" s="734"/>
      <c r="B442" s="735"/>
      <c r="C442" s="735"/>
      <c r="D442" s="734"/>
      <c r="E442" s="749"/>
      <c r="F442" s="750"/>
      <c r="G442" s="749"/>
      <c r="H442" s="749"/>
      <c r="I442" s="751"/>
      <c r="J442" s="752"/>
      <c r="K442" s="752"/>
      <c r="L442" s="752"/>
      <c r="M442" s="751"/>
      <c r="N442" s="752"/>
      <c r="O442" s="753"/>
    </row>
    <row r="443">
      <c r="A443" s="754" t="s">
        <v>1342</v>
      </c>
      <c r="B443" s="755" t="s">
        <v>2791</v>
      </c>
      <c r="C443" s="36"/>
      <c r="D443" s="36"/>
      <c r="E443" s="36"/>
      <c r="F443" s="36"/>
      <c r="G443" s="754" t="s">
        <v>1757</v>
      </c>
      <c r="H443" s="756">
        <f>MEDIAN(H445:H447)</f>
        <v>7</v>
      </c>
      <c r="I443" s="757"/>
      <c r="J443" s="758" t="s">
        <v>2053</v>
      </c>
      <c r="K443" s="731" t="s">
        <v>2054</v>
      </c>
      <c r="L443" s="759">
        <f>AVERAGE(H445:H447)</f>
        <v>7.353333333</v>
      </c>
      <c r="M443" s="733"/>
      <c r="N443" s="760" t="s">
        <v>2055</v>
      </c>
      <c r="O443" s="454"/>
    </row>
    <row r="444">
      <c r="A444" s="727" t="s">
        <v>1717</v>
      </c>
      <c r="B444" s="728" t="s">
        <v>2056</v>
      </c>
      <c r="C444" s="728" t="s">
        <v>2057</v>
      </c>
      <c r="D444" s="727" t="s">
        <v>2058</v>
      </c>
      <c r="E444" s="727" t="s">
        <v>2059</v>
      </c>
      <c r="F444" s="729" t="s">
        <v>1537</v>
      </c>
      <c r="G444" s="727" t="s">
        <v>2060</v>
      </c>
      <c r="H444" s="727" t="s">
        <v>2061</v>
      </c>
      <c r="I444" s="730" t="s">
        <v>2062</v>
      </c>
      <c r="J444" s="301"/>
      <c r="K444" s="731" t="s">
        <v>2063</v>
      </c>
      <c r="L444" s="732">
        <f>STDEV(H445:H447)</f>
        <v>0.7003808488</v>
      </c>
      <c r="M444" s="733"/>
      <c r="N444" s="189"/>
      <c r="O444" s="454"/>
    </row>
    <row r="445">
      <c r="A445" s="734"/>
      <c r="B445" s="735" t="s">
        <v>2064</v>
      </c>
      <c r="C445" s="761" t="s">
        <v>2792</v>
      </c>
      <c r="D445" s="762" t="s">
        <v>2793</v>
      </c>
      <c r="E445" s="763" t="s">
        <v>2085</v>
      </c>
      <c r="F445" s="764" t="s">
        <v>2794</v>
      </c>
      <c r="G445" s="736" t="s">
        <v>1757</v>
      </c>
      <c r="H445" s="745">
        <v>7.0</v>
      </c>
      <c r="I445" s="776" t="s">
        <v>2795</v>
      </c>
      <c r="J445" s="301"/>
      <c r="K445" s="731" t="s">
        <v>2070</v>
      </c>
      <c r="L445" s="741">
        <f>L444/L443</f>
        <v>0.09524671561</v>
      </c>
      <c r="M445" s="733"/>
      <c r="N445" s="742" t="str">
        <f>IF(L445&lt;25%,"Não","Sim - proceder verificação ao lado")</f>
        <v>Não</v>
      </c>
      <c r="O445" s="743" t="b">
        <v>1</v>
      </c>
    </row>
    <row r="446">
      <c r="A446" s="734"/>
      <c r="B446" s="735" t="s">
        <v>2064</v>
      </c>
      <c r="C446" s="767" t="s">
        <v>2796</v>
      </c>
      <c r="D446" s="777" t="s">
        <v>2722</v>
      </c>
      <c r="E446" s="763" t="s">
        <v>2085</v>
      </c>
      <c r="F446" s="764" t="s">
        <v>2797</v>
      </c>
      <c r="G446" s="736" t="s">
        <v>1757</v>
      </c>
      <c r="H446" s="745">
        <v>6.9</v>
      </c>
      <c r="I446" s="776" t="s">
        <v>2798</v>
      </c>
      <c r="J446" s="301"/>
      <c r="K446" s="731" t="s">
        <v>2075</v>
      </c>
      <c r="L446" s="746">
        <f>L443*1.25</f>
        <v>9.191666667</v>
      </c>
      <c r="M446" s="733"/>
      <c r="N446" s="301"/>
      <c r="O446" s="743" t="b">
        <v>1</v>
      </c>
    </row>
    <row r="447">
      <c r="A447" s="734"/>
      <c r="B447" s="735" t="s">
        <v>2064</v>
      </c>
      <c r="C447" s="744" t="s">
        <v>2126</v>
      </c>
      <c r="D447" s="736" t="s">
        <v>2281</v>
      </c>
      <c r="E447" s="763" t="s">
        <v>2709</v>
      </c>
      <c r="F447" s="738" t="s">
        <v>2799</v>
      </c>
      <c r="G447" s="736" t="s">
        <v>1757</v>
      </c>
      <c r="H447" s="745">
        <v>8.16</v>
      </c>
      <c r="I447" s="786" t="s">
        <v>2800</v>
      </c>
      <c r="J447" s="189"/>
      <c r="K447" s="731" t="s">
        <v>2080</v>
      </c>
      <c r="L447" s="746">
        <f>L443*0.75</f>
        <v>5.515</v>
      </c>
      <c r="M447" s="733"/>
      <c r="N447" s="189"/>
      <c r="O447" s="743" t="b">
        <v>1</v>
      </c>
    </row>
    <row r="448">
      <c r="A448" s="734"/>
      <c r="B448" s="735"/>
      <c r="C448" s="735"/>
      <c r="D448" s="734"/>
      <c r="E448" s="749"/>
      <c r="F448" s="750"/>
      <c r="G448" s="749"/>
      <c r="H448" s="749"/>
      <c r="I448" s="751"/>
      <c r="J448" s="752"/>
      <c r="K448" s="752"/>
      <c r="L448" s="752"/>
      <c r="M448" s="751"/>
      <c r="N448" s="752"/>
      <c r="O448" s="753"/>
    </row>
    <row r="449">
      <c r="A449" s="754" t="s">
        <v>1344</v>
      </c>
      <c r="B449" s="755" t="s">
        <v>2801</v>
      </c>
      <c r="C449" s="36"/>
      <c r="D449" s="36"/>
      <c r="E449" s="36"/>
      <c r="F449" s="36"/>
      <c r="G449" s="754" t="s">
        <v>1757</v>
      </c>
      <c r="H449" s="756">
        <f>MEDIAN(H451:H453)</f>
        <v>7.58</v>
      </c>
      <c r="I449" s="757"/>
      <c r="J449" s="758" t="s">
        <v>2053</v>
      </c>
      <c r="K449" s="731" t="s">
        <v>2054</v>
      </c>
      <c r="L449" s="759">
        <f>AVERAGE(H451:H453)</f>
        <v>7.386666667</v>
      </c>
      <c r="M449" s="733"/>
      <c r="N449" s="760" t="s">
        <v>2055</v>
      </c>
      <c r="O449" s="454"/>
    </row>
    <row r="450">
      <c r="A450" s="727" t="s">
        <v>1717</v>
      </c>
      <c r="B450" s="728" t="s">
        <v>2056</v>
      </c>
      <c r="C450" s="728" t="s">
        <v>2057</v>
      </c>
      <c r="D450" s="727" t="s">
        <v>2058</v>
      </c>
      <c r="E450" s="727" t="s">
        <v>2059</v>
      </c>
      <c r="F450" s="729" t="s">
        <v>1537</v>
      </c>
      <c r="G450" s="727" t="s">
        <v>2060</v>
      </c>
      <c r="H450" s="727" t="s">
        <v>2061</v>
      </c>
      <c r="I450" s="730" t="s">
        <v>2062</v>
      </c>
      <c r="J450" s="301"/>
      <c r="K450" s="731" t="s">
        <v>2063</v>
      </c>
      <c r="L450" s="732">
        <f>STDEV(H451:H453)</f>
        <v>0.3348631561</v>
      </c>
      <c r="M450" s="733"/>
      <c r="N450" s="189"/>
      <c r="O450" s="454"/>
    </row>
    <row r="451">
      <c r="A451" s="734"/>
      <c r="B451" s="735" t="s">
        <v>2064</v>
      </c>
      <c r="C451" s="761" t="s">
        <v>2792</v>
      </c>
      <c r="D451" s="762" t="s">
        <v>2793</v>
      </c>
      <c r="E451" s="763" t="s">
        <v>2085</v>
      </c>
      <c r="F451" s="764" t="s">
        <v>2802</v>
      </c>
      <c r="G451" s="736" t="s">
        <v>1757</v>
      </c>
      <c r="H451" s="745">
        <v>7.0</v>
      </c>
      <c r="I451" s="776" t="s">
        <v>2803</v>
      </c>
      <c r="J451" s="301"/>
      <c r="K451" s="731" t="s">
        <v>2070</v>
      </c>
      <c r="L451" s="741">
        <f>L450/L449</f>
        <v>0.04533345976</v>
      </c>
      <c r="M451" s="733"/>
      <c r="N451" s="742" t="str">
        <f>IF(L451&lt;25%,"Não","Sim - proceder verificação ao lado")</f>
        <v>Não</v>
      </c>
      <c r="O451" s="743" t="b">
        <v>1</v>
      </c>
    </row>
    <row r="452">
      <c r="A452" s="734"/>
      <c r="B452" s="735" t="s">
        <v>2064</v>
      </c>
      <c r="C452" s="744" t="s">
        <v>2405</v>
      </c>
      <c r="D452" s="736" t="s">
        <v>2198</v>
      </c>
      <c r="E452" s="763" t="s">
        <v>2085</v>
      </c>
      <c r="F452" s="738" t="s">
        <v>2804</v>
      </c>
      <c r="G452" s="736" t="s">
        <v>1757</v>
      </c>
      <c r="H452" s="745">
        <v>7.58</v>
      </c>
      <c r="I452" s="775" t="s">
        <v>2805</v>
      </c>
      <c r="J452" s="301"/>
      <c r="K452" s="731" t="s">
        <v>2075</v>
      </c>
      <c r="L452" s="746">
        <f>L449*1.25</f>
        <v>9.233333333</v>
      </c>
      <c r="M452" s="733"/>
      <c r="N452" s="301"/>
      <c r="O452" s="743" t="b">
        <v>1</v>
      </c>
    </row>
    <row r="453">
      <c r="A453" s="734"/>
      <c r="B453" s="735" t="s">
        <v>2064</v>
      </c>
      <c r="C453" s="747" t="s">
        <v>2142</v>
      </c>
      <c r="D453" s="748" t="s">
        <v>2806</v>
      </c>
      <c r="E453" s="763" t="s">
        <v>2709</v>
      </c>
      <c r="F453" s="766" t="s">
        <v>2807</v>
      </c>
      <c r="G453" s="736" t="s">
        <v>1757</v>
      </c>
      <c r="H453" s="745">
        <v>7.58</v>
      </c>
      <c r="I453" s="780" t="s">
        <v>2808</v>
      </c>
      <c r="J453" s="189"/>
      <c r="K453" s="731" t="s">
        <v>2080</v>
      </c>
      <c r="L453" s="746">
        <f>L449*0.75</f>
        <v>5.54</v>
      </c>
      <c r="M453" s="733"/>
      <c r="N453" s="189"/>
      <c r="O453" s="743" t="b">
        <v>1</v>
      </c>
    </row>
    <row r="454">
      <c r="A454" s="734"/>
      <c r="B454" s="735"/>
      <c r="C454" s="735"/>
      <c r="D454" s="734"/>
      <c r="E454" s="749"/>
      <c r="F454" s="750"/>
      <c r="G454" s="749"/>
      <c r="H454" s="749"/>
      <c r="I454" s="751"/>
      <c r="J454" s="752"/>
      <c r="K454" s="752"/>
      <c r="L454" s="752"/>
      <c r="M454" s="751"/>
      <c r="N454" s="752"/>
      <c r="O454" s="753"/>
    </row>
    <row r="455">
      <c r="A455" s="754" t="s">
        <v>1346</v>
      </c>
      <c r="B455" s="755" t="s">
        <v>2809</v>
      </c>
      <c r="C455" s="36"/>
      <c r="D455" s="36"/>
      <c r="E455" s="36"/>
      <c r="F455" s="36"/>
      <c r="G455" s="754" t="s">
        <v>1757</v>
      </c>
      <c r="H455" s="756">
        <f>MEDIAN(H457:H459)</f>
        <v>9.36</v>
      </c>
      <c r="I455" s="757"/>
      <c r="J455" s="758" t="s">
        <v>2053</v>
      </c>
      <c r="K455" s="731" t="s">
        <v>2054</v>
      </c>
      <c r="L455" s="759">
        <f>AVERAGE(H457:H459)</f>
        <v>9.266666667</v>
      </c>
      <c r="M455" s="733"/>
      <c r="N455" s="760" t="s">
        <v>2055</v>
      </c>
      <c r="O455" s="454"/>
    </row>
    <row r="456">
      <c r="A456" s="727" t="s">
        <v>1717</v>
      </c>
      <c r="B456" s="728" t="s">
        <v>2056</v>
      </c>
      <c r="C456" s="728" t="s">
        <v>2057</v>
      </c>
      <c r="D456" s="727" t="s">
        <v>2058</v>
      </c>
      <c r="E456" s="727" t="s">
        <v>2059</v>
      </c>
      <c r="F456" s="729" t="s">
        <v>1537</v>
      </c>
      <c r="G456" s="727" t="s">
        <v>2060</v>
      </c>
      <c r="H456" s="727" t="s">
        <v>2061</v>
      </c>
      <c r="I456" s="730" t="s">
        <v>2062</v>
      </c>
      <c r="J456" s="301"/>
      <c r="K456" s="731" t="s">
        <v>2063</v>
      </c>
      <c r="L456" s="732">
        <f>STDEV(H457:H459)</f>
        <v>0.6351640208</v>
      </c>
      <c r="M456" s="733"/>
      <c r="N456" s="189"/>
      <c r="O456" s="454"/>
    </row>
    <row r="457">
      <c r="A457" s="734"/>
      <c r="B457" s="735" t="s">
        <v>2064</v>
      </c>
      <c r="C457" s="735" t="s">
        <v>2276</v>
      </c>
      <c r="D457" s="734" t="s">
        <v>2810</v>
      </c>
      <c r="E457" s="763" t="s">
        <v>2709</v>
      </c>
      <c r="F457" s="738" t="s">
        <v>2787</v>
      </c>
      <c r="G457" s="736" t="s">
        <v>1757</v>
      </c>
      <c r="H457" s="745">
        <v>8.59</v>
      </c>
      <c r="I457" s="740" t="s">
        <v>2811</v>
      </c>
      <c r="J457" s="301"/>
      <c r="K457" s="731" t="s">
        <v>2070</v>
      </c>
      <c r="L457" s="741">
        <f>L456/L455</f>
        <v>0.06854287994</v>
      </c>
      <c r="M457" s="733"/>
      <c r="N457" s="742" t="str">
        <f>IF(L457&lt;25%,"Não","Sim - proceder verificação ao lado")</f>
        <v>Não</v>
      </c>
      <c r="O457" s="743" t="b">
        <v>1</v>
      </c>
    </row>
    <row r="458">
      <c r="A458" s="734"/>
      <c r="B458" s="735" t="s">
        <v>2064</v>
      </c>
      <c r="C458" s="744" t="s">
        <v>2405</v>
      </c>
      <c r="D458" s="736" t="s">
        <v>2198</v>
      </c>
      <c r="E458" s="763" t="s">
        <v>2709</v>
      </c>
      <c r="F458" s="738" t="s">
        <v>2787</v>
      </c>
      <c r="G458" s="736" t="s">
        <v>1757</v>
      </c>
      <c r="H458" s="745">
        <v>9.36</v>
      </c>
      <c r="I458" s="740" t="s">
        <v>2812</v>
      </c>
      <c r="J458" s="301"/>
      <c r="K458" s="731" t="s">
        <v>2075</v>
      </c>
      <c r="L458" s="746">
        <f>L455*1.25</f>
        <v>11.58333333</v>
      </c>
      <c r="M458" s="733"/>
      <c r="N458" s="301"/>
      <c r="O458" s="743" t="b">
        <v>1</v>
      </c>
    </row>
    <row r="459">
      <c r="A459" s="734"/>
      <c r="B459" s="735" t="s">
        <v>2064</v>
      </c>
      <c r="C459" s="747" t="s">
        <v>2168</v>
      </c>
      <c r="D459" s="748" t="s">
        <v>2169</v>
      </c>
      <c r="E459" s="763" t="s">
        <v>2709</v>
      </c>
      <c r="F459" s="766" t="s">
        <v>2813</v>
      </c>
      <c r="G459" s="736" t="s">
        <v>1757</v>
      </c>
      <c r="H459" s="745">
        <v>9.85</v>
      </c>
      <c r="I459" s="740" t="s">
        <v>2814</v>
      </c>
      <c r="J459" s="189"/>
      <c r="K459" s="731" t="s">
        <v>2080</v>
      </c>
      <c r="L459" s="746">
        <f>L455*0.75</f>
        <v>6.95</v>
      </c>
      <c r="M459" s="733"/>
      <c r="N459" s="189"/>
      <c r="O459" s="743" t="b">
        <v>1</v>
      </c>
    </row>
    <row r="460">
      <c r="A460" s="734"/>
      <c r="B460" s="735"/>
      <c r="C460" s="735"/>
      <c r="D460" s="734"/>
      <c r="E460" s="749"/>
      <c r="F460" s="750"/>
      <c r="G460" s="749"/>
      <c r="H460" s="749"/>
      <c r="I460" s="751"/>
      <c r="J460" s="752"/>
      <c r="K460" s="752"/>
      <c r="L460" s="752"/>
      <c r="M460" s="751"/>
      <c r="N460" s="752"/>
      <c r="O460" s="753"/>
    </row>
    <row r="461">
      <c r="A461" s="754" t="s">
        <v>1348</v>
      </c>
      <c r="B461" s="755" t="s">
        <v>2815</v>
      </c>
      <c r="C461" s="36"/>
      <c r="D461" s="36"/>
      <c r="E461" s="36"/>
      <c r="F461" s="36"/>
      <c r="G461" s="754" t="s">
        <v>1757</v>
      </c>
      <c r="H461" s="756">
        <f>MEDIAN(H463:H465)</f>
        <v>12.59</v>
      </c>
      <c r="I461" s="757"/>
      <c r="J461" s="758" t="s">
        <v>2053</v>
      </c>
      <c r="K461" s="731" t="s">
        <v>2054</v>
      </c>
      <c r="L461" s="759">
        <f>AVERAGE(H463:H465)</f>
        <v>13.41</v>
      </c>
      <c r="M461" s="733"/>
      <c r="N461" s="760" t="s">
        <v>2055</v>
      </c>
      <c r="O461" s="454"/>
    </row>
    <row r="462">
      <c r="A462" s="727" t="s">
        <v>1717</v>
      </c>
      <c r="B462" s="728" t="s">
        <v>2056</v>
      </c>
      <c r="C462" s="728" t="s">
        <v>2057</v>
      </c>
      <c r="D462" s="727" t="s">
        <v>2058</v>
      </c>
      <c r="E462" s="727" t="s">
        <v>2059</v>
      </c>
      <c r="F462" s="729" t="s">
        <v>1537</v>
      </c>
      <c r="G462" s="727" t="s">
        <v>2060</v>
      </c>
      <c r="H462" s="727" t="s">
        <v>2061</v>
      </c>
      <c r="I462" s="730" t="s">
        <v>2062</v>
      </c>
      <c r="J462" s="301"/>
      <c r="K462" s="731" t="s">
        <v>2063</v>
      </c>
      <c r="L462" s="732">
        <f>STDEV(H463:H465)</f>
        <v>2.388032663</v>
      </c>
      <c r="M462" s="733"/>
      <c r="N462" s="189"/>
      <c r="O462" s="454"/>
    </row>
    <row r="463">
      <c r="A463" s="734"/>
      <c r="B463" s="735" t="s">
        <v>2064</v>
      </c>
      <c r="C463" s="735" t="s">
        <v>2276</v>
      </c>
      <c r="D463" s="734" t="s">
        <v>2810</v>
      </c>
      <c r="E463" s="763" t="s">
        <v>2709</v>
      </c>
      <c r="F463" s="738" t="s">
        <v>2816</v>
      </c>
      <c r="G463" s="736" t="s">
        <v>1757</v>
      </c>
      <c r="H463" s="745">
        <v>11.54</v>
      </c>
      <c r="I463" s="740" t="s">
        <v>2817</v>
      </c>
      <c r="J463" s="301"/>
      <c r="K463" s="731" t="s">
        <v>2070</v>
      </c>
      <c r="L463" s="741">
        <f>L462/L461</f>
        <v>0.1780784984</v>
      </c>
      <c r="M463" s="733"/>
      <c r="N463" s="742" t="str">
        <f>IF(L463&lt;25%,"Não","Sim - proceder verificação ao lado")</f>
        <v>Não</v>
      </c>
      <c r="O463" s="743" t="b">
        <v>1</v>
      </c>
    </row>
    <row r="464">
      <c r="A464" s="734"/>
      <c r="B464" s="735" t="s">
        <v>2064</v>
      </c>
      <c r="C464" s="744" t="s">
        <v>2405</v>
      </c>
      <c r="D464" s="736" t="s">
        <v>2198</v>
      </c>
      <c r="E464" s="763" t="s">
        <v>2709</v>
      </c>
      <c r="F464" s="738" t="s">
        <v>2816</v>
      </c>
      <c r="G464" s="736" t="s">
        <v>1757</v>
      </c>
      <c r="H464" s="745">
        <v>12.59</v>
      </c>
      <c r="I464" s="740" t="s">
        <v>2818</v>
      </c>
      <c r="J464" s="301"/>
      <c r="K464" s="731" t="s">
        <v>2075</v>
      </c>
      <c r="L464" s="746">
        <f>L461*1.25</f>
        <v>16.7625</v>
      </c>
      <c r="M464" s="733"/>
      <c r="N464" s="301"/>
      <c r="O464" s="743" t="b">
        <v>1</v>
      </c>
    </row>
    <row r="465">
      <c r="A465" s="734"/>
      <c r="B465" s="735" t="s">
        <v>2064</v>
      </c>
      <c r="C465" s="767" t="s">
        <v>2714</v>
      </c>
      <c r="D465" s="777" t="s">
        <v>2715</v>
      </c>
      <c r="E465" s="763" t="s">
        <v>2085</v>
      </c>
      <c r="F465" s="764" t="s">
        <v>2819</v>
      </c>
      <c r="G465" s="736" t="s">
        <v>1757</v>
      </c>
      <c r="H465" s="745">
        <v>16.1</v>
      </c>
      <c r="I465" s="768" t="s">
        <v>2820</v>
      </c>
      <c r="J465" s="189"/>
      <c r="K465" s="731" t="s">
        <v>2080</v>
      </c>
      <c r="L465" s="746">
        <f>L461*0.75</f>
        <v>10.0575</v>
      </c>
      <c r="M465" s="733"/>
      <c r="N465" s="189"/>
      <c r="O465" s="743" t="b">
        <v>1</v>
      </c>
    </row>
    <row r="466">
      <c r="A466" s="734"/>
      <c r="B466" s="735"/>
      <c r="C466" s="735"/>
      <c r="D466" s="734"/>
      <c r="E466" s="749"/>
      <c r="F466" s="750"/>
      <c r="G466" s="749"/>
      <c r="H466" s="749"/>
      <c r="I466" s="751"/>
      <c r="J466" s="752"/>
      <c r="K466" s="752"/>
      <c r="L466" s="752"/>
      <c r="M466" s="751"/>
      <c r="N466" s="752"/>
      <c r="O466" s="753"/>
    </row>
    <row r="467">
      <c r="A467" s="754" t="s">
        <v>1350</v>
      </c>
      <c r="B467" s="755" t="s">
        <v>2821</v>
      </c>
      <c r="C467" s="36"/>
      <c r="D467" s="36"/>
      <c r="E467" s="36"/>
      <c r="F467" s="36"/>
      <c r="G467" s="754" t="s">
        <v>1757</v>
      </c>
      <c r="H467" s="756">
        <f>MEDIAN(H469:H471)</f>
        <v>16.75</v>
      </c>
      <c r="I467" s="757"/>
      <c r="J467" s="758" t="s">
        <v>2053</v>
      </c>
      <c r="K467" s="731" t="s">
        <v>2054</v>
      </c>
      <c r="L467" s="759">
        <f>AVERAGE(H469:H471)</f>
        <v>17.21666667</v>
      </c>
      <c r="M467" s="733"/>
      <c r="N467" s="760" t="s">
        <v>2055</v>
      </c>
      <c r="O467" s="454"/>
    </row>
    <row r="468">
      <c r="A468" s="727" t="s">
        <v>1717</v>
      </c>
      <c r="B468" s="728" t="s">
        <v>2056</v>
      </c>
      <c r="C468" s="728" t="s">
        <v>2057</v>
      </c>
      <c r="D468" s="727" t="s">
        <v>2058</v>
      </c>
      <c r="E468" s="727" t="s">
        <v>2059</v>
      </c>
      <c r="F468" s="729" t="s">
        <v>1537</v>
      </c>
      <c r="G468" s="727" t="s">
        <v>2060</v>
      </c>
      <c r="H468" s="727" t="s">
        <v>2061</v>
      </c>
      <c r="I468" s="730" t="s">
        <v>2062</v>
      </c>
      <c r="J468" s="301"/>
      <c r="K468" s="731" t="s">
        <v>2063</v>
      </c>
      <c r="L468" s="732">
        <f>STDEV(H469:H471)</f>
        <v>2.38449855</v>
      </c>
      <c r="M468" s="733"/>
      <c r="N468" s="189"/>
      <c r="O468" s="454"/>
    </row>
    <row r="469">
      <c r="A469" s="734"/>
      <c r="B469" s="735" t="s">
        <v>2064</v>
      </c>
      <c r="C469" s="735" t="s">
        <v>2276</v>
      </c>
      <c r="D469" s="734" t="s">
        <v>2810</v>
      </c>
      <c r="E469" s="763" t="s">
        <v>2709</v>
      </c>
      <c r="F469" s="766" t="s">
        <v>2822</v>
      </c>
      <c r="G469" s="736" t="s">
        <v>1757</v>
      </c>
      <c r="H469" s="745">
        <v>16.75</v>
      </c>
      <c r="I469" s="740" t="s">
        <v>2823</v>
      </c>
      <c r="J469" s="301"/>
      <c r="K469" s="731" t="s">
        <v>2070</v>
      </c>
      <c r="L469" s="741">
        <f>L468/L467</f>
        <v>0.1384994317</v>
      </c>
      <c r="M469" s="733"/>
      <c r="N469" s="742" t="str">
        <f>IF(L469&lt;25%,"Não","Sim - proceder verificação ao lado")</f>
        <v>Não</v>
      </c>
      <c r="O469" s="743" t="b">
        <v>1</v>
      </c>
    </row>
    <row r="470">
      <c r="A470" s="734"/>
      <c r="B470" s="735" t="s">
        <v>2064</v>
      </c>
      <c r="C470" s="744" t="s">
        <v>2824</v>
      </c>
      <c r="D470" s="736" t="s">
        <v>2825</v>
      </c>
      <c r="E470" s="763" t="s">
        <v>2709</v>
      </c>
      <c r="F470" s="738" t="s">
        <v>2826</v>
      </c>
      <c r="G470" s="736" t="s">
        <v>1757</v>
      </c>
      <c r="H470" s="739">
        <v>15.1</v>
      </c>
      <c r="I470" s="740" t="s">
        <v>2827</v>
      </c>
      <c r="J470" s="301"/>
      <c r="K470" s="731" t="s">
        <v>2075</v>
      </c>
      <c r="L470" s="746">
        <f>L467*1.25</f>
        <v>21.52083333</v>
      </c>
      <c r="M470" s="733"/>
      <c r="N470" s="301"/>
      <c r="O470" s="743" t="b">
        <v>1</v>
      </c>
    </row>
    <row r="471">
      <c r="A471" s="734"/>
      <c r="B471" s="735" t="s">
        <v>2064</v>
      </c>
      <c r="C471" s="767" t="s">
        <v>2828</v>
      </c>
      <c r="D471" s="777" t="s">
        <v>2829</v>
      </c>
      <c r="E471" s="763" t="s">
        <v>2085</v>
      </c>
      <c r="F471" s="764" t="s">
        <v>2830</v>
      </c>
      <c r="G471" s="736" t="s">
        <v>1757</v>
      </c>
      <c r="H471" s="745">
        <v>19.8</v>
      </c>
      <c r="I471" s="768" t="s">
        <v>2831</v>
      </c>
      <c r="J471" s="189"/>
      <c r="K471" s="731" t="s">
        <v>2080</v>
      </c>
      <c r="L471" s="746">
        <f>L467*0.75</f>
        <v>12.9125</v>
      </c>
      <c r="M471" s="733"/>
      <c r="N471" s="189"/>
      <c r="O471" s="743" t="b">
        <v>1</v>
      </c>
    </row>
    <row r="472">
      <c r="A472" s="734"/>
      <c r="B472" s="735"/>
      <c r="C472" s="735"/>
      <c r="D472" s="734"/>
      <c r="E472" s="749"/>
      <c r="F472" s="750"/>
      <c r="G472" s="749"/>
      <c r="H472" s="749"/>
      <c r="I472" s="751"/>
      <c r="J472" s="752"/>
      <c r="K472" s="752"/>
      <c r="L472" s="752"/>
      <c r="M472" s="751"/>
      <c r="N472" s="752"/>
      <c r="O472" s="753"/>
    </row>
    <row r="473">
      <c r="A473" s="754" t="s">
        <v>1352</v>
      </c>
      <c r="B473" s="755" t="s">
        <v>2832</v>
      </c>
      <c r="C473" s="36"/>
      <c r="D473" s="36"/>
      <c r="E473" s="36"/>
      <c r="F473" s="36"/>
      <c r="G473" s="754" t="s">
        <v>1757</v>
      </c>
      <c r="H473" s="756">
        <f>MEDIAN(H475:H477)</f>
        <v>32.75</v>
      </c>
      <c r="I473" s="757"/>
      <c r="J473" s="758" t="s">
        <v>2053</v>
      </c>
      <c r="K473" s="731" t="s">
        <v>2054</v>
      </c>
      <c r="L473" s="759">
        <f>AVERAGE(H475:H477)</f>
        <v>34.24</v>
      </c>
      <c r="M473" s="733"/>
      <c r="N473" s="760" t="s">
        <v>2055</v>
      </c>
      <c r="O473" s="454"/>
    </row>
    <row r="474">
      <c r="A474" s="727" t="s">
        <v>1717</v>
      </c>
      <c r="B474" s="728" t="s">
        <v>2056</v>
      </c>
      <c r="C474" s="728" t="s">
        <v>2057</v>
      </c>
      <c r="D474" s="727" t="s">
        <v>2058</v>
      </c>
      <c r="E474" s="727" t="s">
        <v>2059</v>
      </c>
      <c r="F474" s="729" t="s">
        <v>1537</v>
      </c>
      <c r="G474" s="727" t="s">
        <v>2060</v>
      </c>
      <c r="H474" s="727" t="s">
        <v>2061</v>
      </c>
      <c r="I474" s="730" t="s">
        <v>2062</v>
      </c>
      <c r="J474" s="301"/>
      <c r="K474" s="731" t="s">
        <v>2063</v>
      </c>
      <c r="L474" s="732">
        <f>STDEV(H475:H477)</f>
        <v>7.595413089</v>
      </c>
      <c r="M474" s="733"/>
      <c r="N474" s="189"/>
      <c r="O474" s="454"/>
    </row>
    <row r="475">
      <c r="A475" s="734"/>
      <c r="B475" s="735" t="s">
        <v>2064</v>
      </c>
      <c r="C475" s="744" t="s">
        <v>2833</v>
      </c>
      <c r="D475" s="736" t="s">
        <v>2834</v>
      </c>
      <c r="E475" s="763" t="s">
        <v>2709</v>
      </c>
      <c r="F475" s="766" t="s">
        <v>2835</v>
      </c>
      <c r="G475" s="736" t="s">
        <v>1757</v>
      </c>
      <c r="H475" s="739">
        <v>32.75</v>
      </c>
      <c r="I475" s="740" t="s">
        <v>2836</v>
      </c>
      <c r="J475" s="301"/>
      <c r="K475" s="731" t="s">
        <v>2070</v>
      </c>
      <c r="L475" s="741">
        <f>L474/L473</f>
        <v>0.2218286533</v>
      </c>
      <c r="M475" s="733"/>
      <c r="N475" s="742" t="str">
        <f>IF(L475&lt;25%,"Não","Sim - proceder verificação ao lado")</f>
        <v>Não</v>
      </c>
      <c r="O475" s="743" t="b">
        <v>1</v>
      </c>
    </row>
    <row r="476">
      <c r="A476" s="734"/>
      <c r="B476" s="735" t="s">
        <v>2064</v>
      </c>
      <c r="C476" s="767" t="s">
        <v>2276</v>
      </c>
      <c r="D476" s="777" t="s">
        <v>2134</v>
      </c>
      <c r="E476" s="763" t="s">
        <v>2085</v>
      </c>
      <c r="F476" s="801" t="s">
        <v>2837</v>
      </c>
      <c r="G476" s="736" t="s">
        <v>1757</v>
      </c>
      <c r="H476" s="745">
        <v>27.5</v>
      </c>
      <c r="I476" s="768" t="s">
        <v>2838</v>
      </c>
      <c r="J476" s="301"/>
      <c r="K476" s="731" t="s">
        <v>2075</v>
      </c>
      <c r="L476" s="746">
        <f>L473*1.25</f>
        <v>42.8</v>
      </c>
      <c r="M476" s="733"/>
      <c r="N476" s="301"/>
      <c r="O476" s="743" t="b">
        <v>1</v>
      </c>
    </row>
    <row r="477">
      <c r="A477" s="734"/>
      <c r="B477" s="735" t="s">
        <v>2064</v>
      </c>
      <c r="C477" s="735" t="s">
        <v>2839</v>
      </c>
      <c r="D477" s="734" t="s">
        <v>2840</v>
      </c>
      <c r="E477" s="763" t="s">
        <v>2709</v>
      </c>
      <c r="F477" s="738" t="s">
        <v>2841</v>
      </c>
      <c r="G477" s="736" t="s">
        <v>1757</v>
      </c>
      <c r="H477" s="745">
        <v>42.47</v>
      </c>
      <c r="I477" s="740" t="s">
        <v>2842</v>
      </c>
      <c r="J477" s="189"/>
      <c r="K477" s="731" t="s">
        <v>2080</v>
      </c>
      <c r="L477" s="746">
        <f>L473*0.75</f>
        <v>25.68</v>
      </c>
      <c r="M477" s="733"/>
      <c r="N477" s="189"/>
      <c r="O477" s="743" t="b">
        <v>1</v>
      </c>
    </row>
    <row r="478">
      <c r="A478" s="734"/>
      <c r="B478" s="735"/>
      <c r="C478" s="735"/>
      <c r="D478" s="734"/>
      <c r="E478" s="749"/>
      <c r="F478" s="750"/>
      <c r="G478" s="749"/>
      <c r="H478" s="749"/>
      <c r="I478" s="751"/>
      <c r="J478" s="752"/>
      <c r="K478" s="752"/>
      <c r="L478" s="752"/>
      <c r="M478" s="751"/>
      <c r="N478" s="752"/>
      <c r="O478" s="753"/>
    </row>
    <row r="479">
      <c r="A479" s="754" t="s">
        <v>1354</v>
      </c>
      <c r="B479" s="755" t="s">
        <v>2843</v>
      </c>
      <c r="C479" s="36"/>
      <c r="D479" s="36"/>
      <c r="E479" s="36"/>
      <c r="F479" s="36"/>
      <c r="G479" s="754" t="s">
        <v>1757</v>
      </c>
      <c r="H479" s="756">
        <f>MEDIAN(H481:H483)</f>
        <v>14.22</v>
      </c>
      <c r="I479" s="757"/>
      <c r="J479" s="758" t="s">
        <v>2053</v>
      </c>
      <c r="K479" s="731" t="s">
        <v>2054</v>
      </c>
      <c r="L479" s="759">
        <f>AVERAGE(H481:H483)</f>
        <v>15.03666667</v>
      </c>
      <c r="M479" s="733"/>
      <c r="N479" s="760" t="s">
        <v>2055</v>
      </c>
      <c r="O479" s="454"/>
    </row>
    <row r="480">
      <c r="A480" s="727" t="s">
        <v>1717</v>
      </c>
      <c r="B480" s="728" t="s">
        <v>2056</v>
      </c>
      <c r="C480" s="728" t="s">
        <v>2057</v>
      </c>
      <c r="D480" s="727" t="s">
        <v>2058</v>
      </c>
      <c r="E480" s="727" t="s">
        <v>2059</v>
      </c>
      <c r="F480" s="729" t="s">
        <v>1537</v>
      </c>
      <c r="G480" s="727" t="s">
        <v>2060</v>
      </c>
      <c r="H480" s="727" t="s">
        <v>2061</v>
      </c>
      <c r="I480" s="730" t="s">
        <v>2062</v>
      </c>
      <c r="J480" s="301"/>
      <c r="K480" s="731" t="s">
        <v>2063</v>
      </c>
      <c r="L480" s="732">
        <f>STDEV(H481:H483)</f>
        <v>1.69918608</v>
      </c>
      <c r="M480" s="733"/>
      <c r="N480" s="189"/>
      <c r="O480" s="454"/>
    </row>
    <row r="481">
      <c r="A481" s="734"/>
      <c r="B481" s="735" t="s">
        <v>2064</v>
      </c>
      <c r="C481" s="744" t="s">
        <v>2405</v>
      </c>
      <c r="D481" s="736" t="s">
        <v>2198</v>
      </c>
      <c r="E481" s="763" t="s">
        <v>2709</v>
      </c>
      <c r="F481" s="766" t="s">
        <v>2844</v>
      </c>
      <c r="G481" s="736" t="s">
        <v>1757</v>
      </c>
      <c r="H481" s="745">
        <v>16.99</v>
      </c>
      <c r="I481" s="740" t="s">
        <v>2845</v>
      </c>
      <c r="J481" s="301"/>
      <c r="K481" s="731" t="s">
        <v>2070</v>
      </c>
      <c r="L481" s="741">
        <f>L480/L479</f>
        <v>0.1130028428</v>
      </c>
      <c r="M481" s="733"/>
      <c r="N481" s="742" t="str">
        <f>IF(L481&lt;25%,"Não","Sim - proceder verificação ao lado")</f>
        <v>Não</v>
      </c>
      <c r="O481" s="743" t="b">
        <v>1</v>
      </c>
    </row>
    <row r="482">
      <c r="A482" s="734"/>
      <c r="B482" s="735" t="s">
        <v>2064</v>
      </c>
      <c r="C482" s="744" t="s">
        <v>2846</v>
      </c>
      <c r="D482" s="736" t="s">
        <v>2847</v>
      </c>
      <c r="E482" s="763" t="s">
        <v>2709</v>
      </c>
      <c r="F482" s="738" t="s">
        <v>2848</v>
      </c>
      <c r="G482" s="736" t="s">
        <v>1757</v>
      </c>
      <c r="H482" s="739">
        <v>13.9</v>
      </c>
      <c r="I482" s="740" t="s">
        <v>2849</v>
      </c>
      <c r="J482" s="301"/>
      <c r="K482" s="731" t="s">
        <v>2075</v>
      </c>
      <c r="L482" s="746">
        <f>L479*1.25</f>
        <v>18.79583333</v>
      </c>
      <c r="M482" s="733"/>
      <c r="N482" s="301"/>
      <c r="O482" s="743" t="b">
        <v>1</v>
      </c>
    </row>
    <row r="483">
      <c r="A483" s="734"/>
      <c r="B483" s="735" t="s">
        <v>2064</v>
      </c>
      <c r="C483" s="735" t="s">
        <v>2168</v>
      </c>
      <c r="D483" s="734" t="s">
        <v>2169</v>
      </c>
      <c r="E483" s="763" t="s">
        <v>2085</v>
      </c>
      <c r="F483" s="738" t="s">
        <v>2850</v>
      </c>
      <c r="G483" s="736" t="s">
        <v>1757</v>
      </c>
      <c r="H483" s="745">
        <v>14.22</v>
      </c>
      <c r="I483" s="740" t="s">
        <v>2851</v>
      </c>
      <c r="J483" s="189"/>
      <c r="K483" s="731" t="s">
        <v>2080</v>
      </c>
      <c r="L483" s="746">
        <f>L479*0.75</f>
        <v>11.2775</v>
      </c>
      <c r="M483" s="733"/>
      <c r="N483" s="189"/>
      <c r="O483" s="743" t="b">
        <v>1</v>
      </c>
    </row>
    <row r="484">
      <c r="A484" s="734"/>
      <c r="B484" s="735"/>
      <c r="C484" s="735"/>
      <c r="D484" s="734"/>
      <c r="E484" s="749"/>
      <c r="F484" s="750"/>
      <c r="G484" s="749"/>
      <c r="H484" s="749"/>
      <c r="I484" s="751"/>
      <c r="J484" s="752"/>
      <c r="K484" s="752"/>
      <c r="L484" s="752"/>
      <c r="M484" s="751"/>
      <c r="N484" s="752"/>
      <c r="O484" s="753"/>
    </row>
    <row r="485">
      <c r="A485" s="754" t="s">
        <v>1356</v>
      </c>
      <c r="B485" s="755" t="s">
        <v>2852</v>
      </c>
      <c r="C485" s="36"/>
      <c r="D485" s="36"/>
      <c r="E485" s="36"/>
      <c r="F485" s="36"/>
      <c r="G485" s="754" t="s">
        <v>1757</v>
      </c>
      <c r="H485" s="756">
        <f>MEDIAN(H487:H489)</f>
        <v>16.7</v>
      </c>
      <c r="I485" s="757"/>
      <c r="J485" s="758" t="s">
        <v>2053</v>
      </c>
      <c r="K485" s="731" t="s">
        <v>2054</v>
      </c>
      <c r="L485" s="759">
        <f>AVERAGE(H487:H489)</f>
        <v>18.70666667</v>
      </c>
      <c r="M485" s="733"/>
      <c r="N485" s="760" t="s">
        <v>2055</v>
      </c>
      <c r="O485" s="454"/>
    </row>
    <row r="486">
      <c r="A486" s="727" t="s">
        <v>1717</v>
      </c>
      <c r="B486" s="728" t="s">
        <v>2056</v>
      </c>
      <c r="C486" s="728" t="s">
        <v>2057</v>
      </c>
      <c r="D486" s="727" t="s">
        <v>2058</v>
      </c>
      <c r="E486" s="727" t="s">
        <v>2059</v>
      </c>
      <c r="F486" s="729" t="s">
        <v>1537</v>
      </c>
      <c r="G486" s="727" t="s">
        <v>2060</v>
      </c>
      <c r="H486" s="727" t="s">
        <v>2061</v>
      </c>
      <c r="I486" s="730" t="s">
        <v>2062</v>
      </c>
      <c r="J486" s="301"/>
      <c r="K486" s="731" t="s">
        <v>2063</v>
      </c>
      <c r="L486" s="732">
        <f>STDEV(H487:H489)</f>
        <v>3.836200377</v>
      </c>
      <c r="M486" s="733"/>
      <c r="N486" s="189"/>
      <c r="O486" s="454"/>
    </row>
    <row r="487">
      <c r="A487" s="734"/>
      <c r="B487" s="735" t="s">
        <v>2064</v>
      </c>
      <c r="C487" s="735" t="s">
        <v>2276</v>
      </c>
      <c r="D487" s="734" t="s">
        <v>2810</v>
      </c>
      <c r="E487" s="763" t="s">
        <v>2709</v>
      </c>
      <c r="F487" s="738" t="s">
        <v>2853</v>
      </c>
      <c r="G487" s="736" t="s">
        <v>1757</v>
      </c>
      <c r="H487" s="745">
        <v>16.7</v>
      </c>
      <c r="I487" s="740" t="s">
        <v>2854</v>
      </c>
      <c r="J487" s="301"/>
      <c r="K487" s="731" t="s">
        <v>2070</v>
      </c>
      <c r="L487" s="741">
        <f>L486/L485</f>
        <v>0.205071296</v>
      </c>
      <c r="M487" s="733"/>
      <c r="N487" s="742" t="str">
        <f>IF(L487&lt;25%,"Não","Sim - proceder verificação ao lado")</f>
        <v>Não</v>
      </c>
      <c r="O487" s="743" t="b">
        <v>1</v>
      </c>
    </row>
    <row r="488">
      <c r="A488" s="734"/>
      <c r="B488" s="735" t="s">
        <v>2064</v>
      </c>
      <c r="C488" s="744" t="s">
        <v>2405</v>
      </c>
      <c r="D488" s="736" t="s">
        <v>2198</v>
      </c>
      <c r="E488" s="763" t="s">
        <v>2709</v>
      </c>
      <c r="F488" s="738" t="s">
        <v>2853</v>
      </c>
      <c r="G488" s="736" t="s">
        <v>1757</v>
      </c>
      <c r="H488" s="745">
        <v>16.29</v>
      </c>
      <c r="I488" s="740" t="s">
        <v>2855</v>
      </c>
      <c r="J488" s="301"/>
      <c r="K488" s="731" t="s">
        <v>2075</v>
      </c>
      <c r="L488" s="746">
        <f>L485*1.25</f>
        <v>23.38333333</v>
      </c>
      <c r="M488" s="733"/>
      <c r="N488" s="301"/>
      <c r="O488" s="743" t="b">
        <v>1</v>
      </c>
    </row>
    <row r="489">
      <c r="A489" s="734"/>
      <c r="B489" s="735" t="s">
        <v>2064</v>
      </c>
      <c r="C489" s="744" t="s">
        <v>2833</v>
      </c>
      <c r="D489" s="736" t="s">
        <v>2834</v>
      </c>
      <c r="E489" s="763" t="s">
        <v>2709</v>
      </c>
      <c r="F489" s="738" t="s">
        <v>2856</v>
      </c>
      <c r="G489" s="736" t="s">
        <v>1757</v>
      </c>
      <c r="H489" s="745">
        <v>23.13</v>
      </c>
      <c r="I489" s="740" t="s">
        <v>2857</v>
      </c>
      <c r="J489" s="189"/>
      <c r="K489" s="731" t="s">
        <v>2080</v>
      </c>
      <c r="L489" s="746">
        <f>L485*0.75</f>
        <v>14.03</v>
      </c>
      <c r="M489" s="733"/>
      <c r="N489" s="189"/>
      <c r="O489" s="743" t="b">
        <v>1</v>
      </c>
    </row>
    <row r="490">
      <c r="A490" s="734"/>
      <c r="B490" s="735"/>
      <c r="C490" s="735"/>
      <c r="D490" s="734"/>
      <c r="E490" s="749"/>
      <c r="F490" s="750"/>
      <c r="G490" s="749"/>
      <c r="H490" s="749"/>
      <c r="I490" s="751"/>
      <c r="J490" s="752"/>
      <c r="K490" s="752"/>
      <c r="L490" s="752"/>
      <c r="M490" s="751"/>
      <c r="N490" s="752"/>
      <c r="O490" s="753"/>
    </row>
    <row r="491">
      <c r="A491" s="754" t="s">
        <v>1137</v>
      </c>
      <c r="B491" s="755" t="s">
        <v>2858</v>
      </c>
      <c r="C491" s="36"/>
      <c r="D491" s="36"/>
      <c r="E491" s="36"/>
      <c r="F491" s="36"/>
      <c r="G491" s="754" t="s">
        <v>1757</v>
      </c>
      <c r="H491" s="756">
        <f>MEDIAN(H493:H495)</f>
        <v>465</v>
      </c>
      <c r="I491" s="757"/>
      <c r="J491" s="758" t="s">
        <v>2053</v>
      </c>
      <c r="K491" s="731" t="s">
        <v>2054</v>
      </c>
      <c r="L491" s="759">
        <f>AVERAGE(H493:H495)</f>
        <v>481.1466667</v>
      </c>
      <c r="M491" s="733"/>
      <c r="N491" s="760" t="s">
        <v>2055</v>
      </c>
      <c r="O491" s="454"/>
    </row>
    <row r="492">
      <c r="A492" s="727" t="s">
        <v>1717</v>
      </c>
      <c r="B492" s="728" t="s">
        <v>2056</v>
      </c>
      <c r="C492" s="728" t="s">
        <v>2057</v>
      </c>
      <c r="D492" s="727" t="s">
        <v>2058</v>
      </c>
      <c r="E492" s="727" t="s">
        <v>2059</v>
      </c>
      <c r="F492" s="729" t="s">
        <v>1537</v>
      </c>
      <c r="G492" s="727" t="s">
        <v>2060</v>
      </c>
      <c r="H492" s="727" t="s">
        <v>2061</v>
      </c>
      <c r="I492" s="730" t="s">
        <v>2062</v>
      </c>
      <c r="J492" s="301"/>
      <c r="K492" s="731" t="s">
        <v>2063</v>
      </c>
      <c r="L492" s="732">
        <f>STDEV(H493:H495)</f>
        <v>35.78518874</v>
      </c>
      <c r="M492" s="733"/>
      <c r="N492" s="189"/>
      <c r="O492" s="454"/>
    </row>
    <row r="493">
      <c r="A493" s="734"/>
      <c r="B493" s="735" t="s">
        <v>2064</v>
      </c>
      <c r="C493" s="735" t="s">
        <v>2859</v>
      </c>
      <c r="D493" s="734" t="s">
        <v>2860</v>
      </c>
      <c r="E493" s="763" t="s">
        <v>2709</v>
      </c>
      <c r="F493" s="738" t="s">
        <v>2861</v>
      </c>
      <c r="G493" s="736" t="s">
        <v>1757</v>
      </c>
      <c r="H493" s="745">
        <v>522.16</v>
      </c>
      <c r="I493" s="775" t="s">
        <v>2862</v>
      </c>
      <c r="J493" s="301"/>
      <c r="K493" s="731" t="s">
        <v>2070</v>
      </c>
      <c r="L493" s="741">
        <f>L492/L491</f>
        <v>0.07437480341</v>
      </c>
      <c r="M493" s="733"/>
      <c r="N493" s="742" t="str">
        <f>IF(L493&lt;25%,"Não","Sim - proceder verificação ao lado")</f>
        <v>Não</v>
      </c>
      <c r="O493" s="743" t="b">
        <v>1</v>
      </c>
    </row>
    <row r="494">
      <c r="A494" s="734"/>
      <c r="B494" s="735" t="s">
        <v>2064</v>
      </c>
      <c r="C494" s="744" t="s">
        <v>2792</v>
      </c>
      <c r="D494" s="736" t="s">
        <v>2793</v>
      </c>
      <c r="E494" s="763" t="s">
        <v>2709</v>
      </c>
      <c r="F494" s="738" t="s">
        <v>2863</v>
      </c>
      <c r="G494" s="736" t="s">
        <v>1757</v>
      </c>
      <c r="H494" s="745">
        <v>465.0</v>
      </c>
      <c r="I494" s="786" t="s">
        <v>2864</v>
      </c>
      <c r="J494" s="301"/>
      <c r="K494" s="731" t="s">
        <v>2075</v>
      </c>
      <c r="L494" s="746">
        <f>L491*1.25</f>
        <v>601.4333333</v>
      </c>
      <c r="M494" s="733"/>
      <c r="N494" s="301"/>
      <c r="O494" s="743" t="b">
        <v>1</v>
      </c>
    </row>
    <row r="495">
      <c r="A495" s="734"/>
      <c r="B495" s="735" t="s">
        <v>2064</v>
      </c>
      <c r="C495" s="744" t="s">
        <v>2379</v>
      </c>
      <c r="D495" s="736" t="s">
        <v>2380</v>
      </c>
      <c r="E495" s="763" t="s">
        <v>2709</v>
      </c>
      <c r="F495" s="738" t="s">
        <v>2865</v>
      </c>
      <c r="G495" s="736" t="s">
        <v>1757</v>
      </c>
      <c r="H495" s="745">
        <v>456.28</v>
      </c>
      <c r="I495" s="786" t="s">
        <v>2866</v>
      </c>
      <c r="J495" s="189"/>
      <c r="K495" s="731" t="s">
        <v>2080</v>
      </c>
      <c r="L495" s="746">
        <f>L491*0.75</f>
        <v>360.86</v>
      </c>
      <c r="M495" s="733"/>
      <c r="N495" s="189"/>
      <c r="O495" s="743" t="b">
        <v>1</v>
      </c>
    </row>
    <row r="496">
      <c r="A496" s="734"/>
      <c r="B496" s="735"/>
      <c r="C496" s="735"/>
      <c r="D496" s="734"/>
      <c r="E496" s="749"/>
      <c r="F496" s="750"/>
      <c r="G496" s="749"/>
      <c r="H496" s="749"/>
      <c r="I496" s="751"/>
      <c r="J496" s="752"/>
      <c r="K496" s="752"/>
      <c r="L496" s="752"/>
      <c r="M496" s="751"/>
      <c r="N496" s="752"/>
      <c r="O496" s="753"/>
    </row>
    <row r="497">
      <c r="A497" s="754" t="s">
        <v>2867</v>
      </c>
      <c r="B497" s="755" t="s">
        <v>2852</v>
      </c>
      <c r="C497" s="36"/>
      <c r="D497" s="36"/>
      <c r="E497" s="36"/>
      <c r="F497" s="36"/>
      <c r="G497" s="754" t="s">
        <v>1757</v>
      </c>
      <c r="H497" s="756">
        <f>MEDIAN(H499:H501)</f>
        <v>16.7</v>
      </c>
      <c r="I497" s="757"/>
      <c r="J497" s="758" t="s">
        <v>2053</v>
      </c>
      <c r="K497" s="731" t="s">
        <v>2054</v>
      </c>
      <c r="L497" s="759">
        <f>AVERAGE(H499:H501)</f>
        <v>18.70666667</v>
      </c>
      <c r="M497" s="733"/>
      <c r="N497" s="760" t="s">
        <v>2055</v>
      </c>
      <c r="O497" s="454"/>
    </row>
    <row r="498">
      <c r="A498" s="727" t="s">
        <v>1717</v>
      </c>
      <c r="B498" s="728" t="s">
        <v>2056</v>
      </c>
      <c r="C498" s="728" t="s">
        <v>2057</v>
      </c>
      <c r="D498" s="727" t="s">
        <v>2058</v>
      </c>
      <c r="E498" s="727" t="s">
        <v>2059</v>
      </c>
      <c r="F498" s="729" t="s">
        <v>1537</v>
      </c>
      <c r="G498" s="727" t="s">
        <v>2060</v>
      </c>
      <c r="H498" s="727" t="s">
        <v>2061</v>
      </c>
      <c r="I498" s="730" t="s">
        <v>2062</v>
      </c>
      <c r="J498" s="301"/>
      <c r="K498" s="731" t="s">
        <v>2063</v>
      </c>
      <c r="L498" s="732">
        <f>STDEV(H499:H501)</f>
        <v>3.836200377</v>
      </c>
      <c r="M498" s="733"/>
      <c r="N498" s="189"/>
      <c r="O498" s="454"/>
    </row>
    <row r="499">
      <c r="A499" s="734"/>
      <c r="B499" s="735" t="s">
        <v>2064</v>
      </c>
      <c r="C499" s="735" t="s">
        <v>2276</v>
      </c>
      <c r="D499" s="734" t="s">
        <v>2810</v>
      </c>
      <c r="E499" s="763" t="s">
        <v>2709</v>
      </c>
      <c r="F499" s="738" t="s">
        <v>2853</v>
      </c>
      <c r="G499" s="736" t="s">
        <v>1757</v>
      </c>
      <c r="H499" s="745">
        <v>16.7</v>
      </c>
      <c r="I499" s="740" t="s">
        <v>2854</v>
      </c>
      <c r="J499" s="301"/>
      <c r="K499" s="731" t="s">
        <v>2070</v>
      </c>
      <c r="L499" s="741">
        <f>L498/L497</f>
        <v>0.205071296</v>
      </c>
      <c r="M499" s="733"/>
      <c r="N499" s="742" t="str">
        <f>IF(L499&lt;25%,"Não","Sim - proceder verificação ao lado")</f>
        <v>Não</v>
      </c>
      <c r="O499" s="743" t="b">
        <v>1</v>
      </c>
    </row>
    <row r="500">
      <c r="A500" s="734"/>
      <c r="B500" s="735" t="s">
        <v>2064</v>
      </c>
      <c r="C500" s="744" t="s">
        <v>2405</v>
      </c>
      <c r="D500" s="736" t="s">
        <v>2198</v>
      </c>
      <c r="E500" s="763" t="s">
        <v>2709</v>
      </c>
      <c r="F500" s="738" t="s">
        <v>2853</v>
      </c>
      <c r="G500" s="736" t="s">
        <v>1757</v>
      </c>
      <c r="H500" s="745">
        <v>16.29</v>
      </c>
      <c r="I500" s="740" t="s">
        <v>2855</v>
      </c>
      <c r="J500" s="301"/>
      <c r="K500" s="731" t="s">
        <v>2075</v>
      </c>
      <c r="L500" s="746">
        <f>L497*1.25</f>
        <v>23.38333333</v>
      </c>
      <c r="M500" s="733"/>
      <c r="N500" s="301"/>
      <c r="O500" s="743" t="b">
        <v>1</v>
      </c>
    </row>
    <row r="501">
      <c r="A501" s="734"/>
      <c r="B501" s="735" t="s">
        <v>2064</v>
      </c>
      <c r="C501" s="744" t="s">
        <v>2833</v>
      </c>
      <c r="D501" s="736" t="s">
        <v>2834</v>
      </c>
      <c r="E501" s="763" t="s">
        <v>2709</v>
      </c>
      <c r="F501" s="766" t="s">
        <v>2868</v>
      </c>
      <c r="G501" s="736" t="s">
        <v>1757</v>
      </c>
      <c r="H501" s="745">
        <v>23.13</v>
      </c>
      <c r="I501" s="740" t="s">
        <v>2857</v>
      </c>
      <c r="J501" s="189"/>
      <c r="K501" s="731" t="s">
        <v>2080</v>
      </c>
      <c r="L501" s="746">
        <f>L497*0.75</f>
        <v>14.03</v>
      </c>
      <c r="M501" s="733"/>
      <c r="N501" s="189"/>
      <c r="O501" s="743" t="b">
        <v>1</v>
      </c>
    </row>
    <row r="502">
      <c r="A502" s="734"/>
      <c r="B502" s="735"/>
      <c r="C502" s="735"/>
      <c r="D502" s="734"/>
      <c r="E502" s="749"/>
      <c r="F502" s="750"/>
      <c r="G502" s="749"/>
      <c r="H502" s="749"/>
      <c r="I502" s="751"/>
      <c r="J502" s="752"/>
      <c r="K502" s="752"/>
      <c r="L502" s="752"/>
      <c r="M502" s="751"/>
      <c r="N502" s="752"/>
      <c r="O502" s="753"/>
    </row>
    <row r="503">
      <c r="A503" s="754" t="s">
        <v>1107</v>
      </c>
      <c r="B503" s="755" t="s">
        <v>2869</v>
      </c>
      <c r="C503" s="36"/>
      <c r="D503" s="36"/>
      <c r="E503" s="36"/>
      <c r="F503" s="36"/>
      <c r="G503" s="754" t="s">
        <v>1757</v>
      </c>
      <c r="H503" s="756">
        <f>MEDIAN(H505:H507)</f>
        <v>9.18</v>
      </c>
      <c r="I503" s="757"/>
      <c r="J503" s="758" t="s">
        <v>2053</v>
      </c>
      <c r="K503" s="731" t="s">
        <v>2054</v>
      </c>
      <c r="L503" s="759">
        <f>AVERAGE(H505:H507)</f>
        <v>8.99</v>
      </c>
      <c r="M503" s="733"/>
      <c r="N503" s="760" t="s">
        <v>2055</v>
      </c>
      <c r="O503" s="454"/>
    </row>
    <row r="504">
      <c r="A504" s="727" t="s">
        <v>1717</v>
      </c>
      <c r="B504" s="728" t="s">
        <v>2056</v>
      </c>
      <c r="C504" s="728" t="s">
        <v>2057</v>
      </c>
      <c r="D504" s="727" t="s">
        <v>2058</v>
      </c>
      <c r="E504" s="727" t="s">
        <v>2059</v>
      </c>
      <c r="F504" s="729" t="s">
        <v>1537</v>
      </c>
      <c r="G504" s="727" t="s">
        <v>2060</v>
      </c>
      <c r="H504" s="727" t="s">
        <v>2061</v>
      </c>
      <c r="I504" s="730" t="s">
        <v>2062</v>
      </c>
      <c r="J504" s="301"/>
      <c r="K504" s="731" t="s">
        <v>2063</v>
      </c>
      <c r="L504" s="732">
        <f>STDEV(H505:H507)</f>
        <v>0.4371498599</v>
      </c>
      <c r="M504" s="733"/>
      <c r="N504" s="189"/>
      <c r="O504" s="454"/>
    </row>
    <row r="505">
      <c r="A505" s="734"/>
      <c r="B505" s="735" t="s">
        <v>2064</v>
      </c>
      <c r="C505" s="735" t="s">
        <v>2267</v>
      </c>
      <c r="D505" s="734" t="s">
        <v>2268</v>
      </c>
      <c r="E505" s="763" t="s">
        <v>2709</v>
      </c>
      <c r="F505" s="738" t="s">
        <v>2870</v>
      </c>
      <c r="G505" s="736" t="s">
        <v>1757</v>
      </c>
      <c r="H505" s="745">
        <v>9.18</v>
      </c>
      <c r="I505" s="740" t="s">
        <v>2871</v>
      </c>
      <c r="J505" s="301"/>
      <c r="K505" s="731" t="s">
        <v>2070</v>
      </c>
      <c r="L505" s="741">
        <f>L504/L503</f>
        <v>0.04862623581</v>
      </c>
      <c r="M505" s="733"/>
      <c r="N505" s="742" t="str">
        <f>IF(L505&lt;25%,"Não","Sim - proceder verificação ao lado")</f>
        <v>Não</v>
      </c>
      <c r="O505" s="743" t="b">
        <v>1</v>
      </c>
    </row>
    <row r="506">
      <c r="A506" s="734"/>
      <c r="B506" s="735" t="s">
        <v>2064</v>
      </c>
      <c r="C506" s="744" t="s">
        <v>2872</v>
      </c>
      <c r="D506" s="736" t="s">
        <v>2873</v>
      </c>
      <c r="E506" s="763" t="s">
        <v>2709</v>
      </c>
      <c r="F506" s="738" t="s">
        <v>2874</v>
      </c>
      <c r="G506" s="736" t="s">
        <v>1757</v>
      </c>
      <c r="H506" s="745">
        <v>9.3</v>
      </c>
      <c r="I506" s="740" t="s">
        <v>2875</v>
      </c>
      <c r="J506" s="301"/>
      <c r="K506" s="731" t="s">
        <v>2075</v>
      </c>
      <c r="L506" s="746">
        <f>L503*1.25</f>
        <v>11.2375</v>
      </c>
      <c r="M506" s="733"/>
      <c r="N506" s="301"/>
      <c r="O506" s="743" t="b">
        <v>1</v>
      </c>
    </row>
    <row r="507">
      <c r="A507" s="734"/>
      <c r="B507" s="735" t="s">
        <v>2064</v>
      </c>
      <c r="C507" s="744" t="s">
        <v>2290</v>
      </c>
      <c r="D507" s="736" t="s">
        <v>2876</v>
      </c>
      <c r="E507" s="763" t="s">
        <v>2709</v>
      </c>
      <c r="F507" s="738" t="s">
        <v>2877</v>
      </c>
      <c r="G507" s="736" t="s">
        <v>1757</v>
      </c>
      <c r="H507" s="745">
        <v>8.49</v>
      </c>
      <c r="I507" s="740" t="s">
        <v>2878</v>
      </c>
      <c r="J507" s="189"/>
      <c r="K507" s="731" t="s">
        <v>2080</v>
      </c>
      <c r="L507" s="746">
        <f>L503*0.75</f>
        <v>6.7425</v>
      </c>
      <c r="M507" s="733"/>
      <c r="N507" s="189"/>
      <c r="O507" s="743" t="b">
        <v>1</v>
      </c>
    </row>
    <row r="508">
      <c r="A508" s="734"/>
      <c r="B508" s="735"/>
      <c r="C508" s="735"/>
      <c r="D508" s="734"/>
      <c r="E508" s="749"/>
      <c r="F508" s="750"/>
      <c r="G508" s="749"/>
      <c r="H508" s="749"/>
      <c r="I508" s="751"/>
      <c r="J508" s="752"/>
      <c r="K508" s="752"/>
      <c r="L508" s="752"/>
      <c r="M508" s="751"/>
      <c r="N508" s="752"/>
      <c r="O508" s="753"/>
    </row>
    <row r="509">
      <c r="A509" s="754" t="s">
        <v>1109</v>
      </c>
      <c r="B509" s="755" t="s">
        <v>2879</v>
      </c>
      <c r="C509" s="36"/>
      <c r="D509" s="36"/>
      <c r="E509" s="36"/>
      <c r="F509" s="36"/>
      <c r="G509" s="754" t="s">
        <v>1757</v>
      </c>
      <c r="H509" s="756">
        <f>MEDIAN(H511:H513)</f>
        <v>14.99</v>
      </c>
      <c r="I509" s="757"/>
      <c r="J509" s="758" t="s">
        <v>2053</v>
      </c>
      <c r="K509" s="731" t="s">
        <v>2054</v>
      </c>
      <c r="L509" s="759">
        <f>AVERAGE(H511:H513)</f>
        <v>15.59666667</v>
      </c>
      <c r="M509" s="733"/>
      <c r="N509" s="760" t="s">
        <v>2055</v>
      </c>
      <c r="O509" s="454"/>
    </row>
    <row r="510">
      <c r="A510" s="727" t="s">
        <v>1717</v>
      </c>
      <c r="B510" s="728" t="s">
        <v>2056</v>
      </c>
      <c r="C510" s="728" t="s">
        <v>2057</v>
      </c>
      <c r="D510" s="727" t="s">
        <v>2058</v>
      </c>
      <c r="E510" s="727" t="s">
        <v>2059</v>
      </c>
      <c r="F510" s="729" t="s">
        <v>1537</v>
      </c>
      <c r="G510" s="727" t="s">
        <v>2060</v>
      </c>
      <c r="H510" s="727" t="s">
        <v>2061</v>
      </c>
      <c r="I510" s="730" t="s">
        <v>2062</v>
      </c>
      <c r="J510" s="301"/>
      <c r="K510" s="731" t="s">
        <v>2063</v>
      </c>
      <c r="L510" s="732">
        <f>STDEV(H511:H513)</f>
        <v>3.846054255</v>
      </c>
      <c r="M510" s="733"/>
      <c r="N510" s="189"/>
      <c r="O510" s="454"/>
    </row>
    <row r="511">
      <c r="A511" s="734"/>
      <c r="B511" s="735" t="s">
        <v>2064</v>
      </c>
      <c r="C511" s="761" t="s">
        <v>2880</v>
      </c>
      <c r="D511" s="762" t="s">
        <v>2881</v>
      </c>
      <c r="E511" s="763" t="s">
        <v>2085</v>
      </c>
      <c r="F511" s="764" t="s">
        <v>2882</v>
      </c>
      <c r="G511" s="736" t="s">
        <v>1757</v>
      </c>
      <c r="H511" s="745">
        <v>12.09</v>
      </c>
      <c r="I511" s="768" t="s">
        <v>2883</v>
      </c>
      <c r="J511" s="301"/>
      <c r="K511" s="731" t="s">
        <v>2070</v>
      </c>
      <c r="L511" s="741">
        <f>L510/L509</f>
        <v>0.2465946306</v>
      </c>
      <c r="M511" s="733"/>
      <c r="N511" s="742" t="str">
        <f>IF(L511&lt;25%,"Não","Sim - proceder verificação ao lado")</f>
        <v>Não</v>
      </c>
      <c r="O511" s="743" t="b">
        <v>1</v>
      </c>
    </row>
    <row r="512">
      <c r="A512" s="734"/>
      <c r="B512" s="735" t="s">
        <v>2064</v>
      </c>
      <c r="C512" s="744" t="s">
        <v>2872</v>
      </c>
      <c r="D512" s="736" t="s">
        <v>2873</v>
      </c>
      <c r="E512" s="763" t="s">
        <v>2709</v>
      </c>
      <c r="F512" s="738" t="s">
        <v>2884</v>
      </c>
      <c r="G512" s="736" t="s">
        <v>1757</v>
      </c>
      <c r="H512" s="739">
        <v>19.71</v>
      </c>
      <c r="I512" s="740" t="s">
        <v>2885</v>
      </c>
      <c r="J512" s="301"/>
      <c r="K512" s="731" t="s">
        <v>2075</v>
      </c>
      <c r="L512" s="746">
        <f>L509*1.25</f>
        <v>19.49583333</v>
      </c>
      <c r="M512" s="733"/>
      <c r="N512" s="301"/>
      <c r="O512" s="743" t="b">
        <v>1</v>
      </c>
    </row>
    <row r="513">
      <c r="A513" s="734"/>
      <c r="B513" s="735" t="s">
        <v>2064</v>
      </c>
      <c r="C513" s="744" t="s">
        <v>2290</v>
      </c>
      <c r="D513" s="736" t="s">
        <v>2291</v>
      </c>
      <c r="E513" s="763" t="s">
        <v>2709</v>
      </c>
      <c r="F513" s="738" t="s">
        <v>2886</v>
      </c>
      <c r="G513" s="736" t="s">
        <v>1757</v>
      </c>
      <c r="H513" s="745">
        <v>14.99</v>
      </c>
      <c r="I513" s="740" t="s">
        <v>2887</v>
      </c>
      <c r="J513" s="189"/>
      <c r="K513" s="731" t="s">
        <v>2080</v>
      </c>
      <c r="L513" s="746">
        <f>L509*0.75</f>
        <v>11.6975</v>
      </c>
      <c r="M513" s="733"/>
      <c r="N513" s="189"/>
      <c r="O513" s="743" t="b">
        <v>1</v>
      </c>
    </row>
    <row r="514">
      <c r="A514" s="734"/>
      <c r="B514" s="735"/>
      <c r="C514" s="735"/>
      <c r="D514" s="734"/>
      <c r="E514" s="749"/>
      <c r="F514" s="750"/>
      <c r="G514" s="749"/>
      <c r="H514" s="749"/>
      <c r="I514" s="751"/>
      <c r="J514" s="752"/>
      <c r="K514" s="752"/>
      <c r="L514" s="752"/>
      <c r="M514" s="751"/>
      <c r="N514" s="752"/>
      <c r="O514" s="753"/>
    </row>
    <row r="515">
      <c r="A515" s="754" t="s">
        <v>1111</v>
      </c>
      <c r="B515" s="755" t="s">
        <v>2888</v>
      </c>
      <c r="C515" s="36"/>
      <c r="D515" s="36"/>
      <c r="E515" s="36"/>
      <c r="F515" s="36"/>
      <c r="G515" s="754" t="s">
        <v>1757</v>
      </c>
      <c r="H515" s="756">
        <f>MEDIAN(H517:H519)</f>
        <v>24.96</v>
      </c>
      <c r="I515" s="757"/>
      <c r="J515" s="758" t="s">
        <v>2053</v>
      </c>
      <c r="K515" s="731" t="s">
        <v>2054</v>
      </c>
      <c r="L515" s="759">
        <f>AVERAGE(H517:H519)</f>
        <v>26.59666667</v>
      </c>
      <c r="M515" s="733"/>
      <c r="N515" s="760" t="s">
        <v>2055</v>
      </c>
      <c r="O515" s="454"/>
    </row>
    <row r="516">
      <c r="A516" s="727" t="s">
        <v>1717</v>
      </c>
      <c r="B516" s="728" t="s">
        <v>2056</v>
      </c>
      <c r="C516" s="728" t="s">
        <v>2057</v>
      </c>
      <c r="D516" s="727" t="s">
        <v>2058</v>
      </c>
      <c r="E516" s="727" t="s">
        <v>2059</v>
      </c>
      <c r="F516" s="729" t="s">
        <v>1537</v>
      </c>
      <c r="G516" s="727" t="s">
        <v>2060</v>
      </c>
      <c r="H516" s="727" t="s">
        <v>2061</v>
      </c>
      <c r="I516" s="730" t="s">
        <v>2062</v>
      </c>
      <c r="J516" s="301"/>
      <c r="K516" s="731" t="s">
        <v>2063</v>
      </c>
      <c r="L516" s="732">
        <f>STDEV(H517:H519)</f>
        <v>2.983225324</v>
      </c>
      <c r="M516" s="733"/>
      <c r="N516" s="189"/>
      <c r="O516" s="454"/>
    </row>
    <row r="517">
      <c r="A517" s="734"/>
      <c r="B517" s="735" t="s">
        <v>2064</v>
      </c>
      <c r="C517" s="747" t="s">
        <v>2126</v>
      </c>
      <c r="D517" s="748" t="s">
        <v>2189</v>
      </c>
      <c r="E517" s="763" t="s">
        <v>2709</v>
      </c>
      <c r="F517" s="764" t="s">
        <v>2889</v>
      </c>
      <c r="G517" s="736" t="s">
        <v>1757</v>
      </c>
      <c r="H517" s="745">
        <v>30.04</v>
      </c>
      <c r="I517" s="768" t="s">
        <v>2890</v>
      </c>
      <c r="J517" s="301"/>
      <c r="K517" s="731" t="s">
        <v>2070</v>
      </c>
      <c r="L517" s="741">
        <f>L516/L515</f>
        <v>0.1121653838</v>
      </c>
      <c r="M517" s="733"/>
      <c r="N517" s="742" t="str">
        <f>IF(L517&lt;25%,"Não","Sim - proceder verificação ao lado")</f>
        <v>Não</v>
      </c>
      <c r="O517" s="743" t="b">
        <v>1</v>
      </c>
    </row>
    <row r="518">
      <c r="A518" s="734"/>
      <c r="B518" s="735" t="s">
        <v>2064</v>
      </c>
      <c r="C518" s="744" t="s">
        <v>2891</v>
      </c>
      <c r="D518" s="736" t="s">
        <v>2892</v>
      </c>
      <c r="E518" s="763" t="s">
        <v>2709</v>
      </c>
      <c r="F518" s="738" t="s">
        <v>2893</v>
      </c>
      <c r="G518" s="736" t="s">
        <v>1757</v>
      </c>
      <c r="H518" s="745">
        <v>24.96</v>
      </c>
      <c r="I518" s="740" t="s">
        <v>2894</v>
      </c>
      <c r="J518" s="301"/>
      <c r="K518" s="731" t="s">
        <v>2075</v>
      </c>
      <c r="L518" s="746">
        <f>L515*1.25</f>
        <v>33.24583333</v>
      </c>
      <c r="M518" s="733"/>
      <c r="N518" s="301"/>
      <c r="O518" s="743" t="b">
        <v>1</v>
      </c>
    </row>
    <row r="519">
      <c r="A519" s="734"/>
      <c r="B519" s="735" t="s">
        <v>2064</v>
      </c>
      <c r="C519" s="767" t="s">
        <v>2895</v>
      </c>
      <c r="D519" s="777" t="s">
        <v>2291</v>
      </c>
      <c r="E519" s="763" t="s">
        <v>2709</v>
      </c>
      <c r="F519" s="764" t="s">
        <v>2896</v>
      </c>
      <c r="G519" s="736" t="s">
        <v>1757</v>
      </c>
      <c r="H519" s="745">
        <v>24.79</v>
      </c>
      <c r="I519" s="776" t="s">
        <v>2897</v>
      </c>
      <c r="J519" s="189"/>
      <c r="K519" s="731" t="s">
        <v>2080</v>
      </c>
      <c r="L519" s="746">
        <f>L515*0.75</f>
        <v>19.9475</v>
      </c>
      <c r="M519" s="733"/>
      <c r="N519" s="189"/>
      <c r="O519" s="743" t="b">
        <v>1</v>
      </c>
    </row>
    <row r="520">
      <c r="A520" s="734"/>
      <c r="B520" s="735"/>
      <c r="C520" s="735"/>
      <c r="D520" s="734"/>
      <c r="E520" s="749"/>
      <c r="F520" s="750"/>
      <c r="G520" s="749"/>
      <c r="H520" s="749"/>
      <c r="I520" s="751"/>
      <c r="J520" s="752"/>
      <c r="K520" s="752"/>
      <c r="L520" s="752"/>
      <c r="M520" s="751"/>
      <c r="N520" s="752"/>
      <c r="O520" s="753"/>
    </row>
    <row r="521">
      <c r="A521" s="754" t="s">
        <v>1113</v>
      </c>
      <c r="B521" s="755" t="s">
        <v>2898</v>
      </c>
      <c r="C521" s="36"/>
      <c r="D521" s="36"/>
      <c r="E521" s="36"/>
      <c r="F521" s="36"/>
      <c r="G521" s="754" t="s">
        <v>1757</v>
      </c>
      <c r="H521" s="756">
        <f>MEDIAN(H523:H525)</f>
        <v>31.63</v>
      </c>
      <c r="I521" s="757"/>
      <c r="J521" s="758" t="s">
        <v>2053</v>
      </c>
      <c r="K521" s="731" t="s">
        <v>2054</v>
      </c>
      <c r="L521" s="759">
        <f>AVERAGE(H523:H525)</f>
        <v>32.39666667</v>
      </c>
      <c r="M521" s="733"/>
      <c r="N521" s="760" t="s">
        <v>2055</v>
      </c>
      <c r="O521" s="454"/>
    </row>
    <row r="522">
      <c r="A522" s="727" t="s">
        <v>1717</v>
      </c>
      <c r="B522" s="728" t="s">
        <v>2056</v>
      </c>
      <c r="C522" s="728" t="s">
        <v>2057</v>
      </c>
      <c r="D522" s="727" t="s">
        <v>2058</v>
      </c>
      <c r="E522" s="727" t="s">
        <v>2059</v>
      </c>
      <c r="F522" s="729" t="s">
        <v>1537</v>
      </c>
      <c r="G522" s="727" t="s">
        <v>2060</v>
      </c>
      <c r="H522" s="727" t="s">
        <v>2061</v>
      </c>
      <c r="I522" s="730" t="s">
        <v>2062</v>
      </c>
      <c r="J522" s="301"/>
      <c r="K522" s="731" t="s">
        <v>2063</v>
      </c>
      <c r="L522" s="732">
        <f>STDEV(H523:H525)</f>
        <v>3.867419467</v>
      </c>
      <c r="M522" s="733"/>
      <c r="N522" s="189"/>
      <c r="O522" s="454"/>
    </row>
    <row r="523">
      <c r="A523" s="734"/>
      <c r="B523" s="735" t="s">
        <v>2064</v>
      </c>
      <c r="C523" s="767" t="s">
        <v>2899</v>
      </c>
      <c r="D523" s="777" t="s">
        <v>2134</v>
      </c>
      <c r="E523" s="763" t="s">
        <v>2709</v>
      </c>
      <c r="F523" s="764" t="s">
        <v>2900</v>
      </c>
      <c r="G523" s="736" t="s">
        <v>1757</v>
      </c>
      <c r="H523" s="745">
        <v>31.63</v>
      </c>
      <c r="I523" s="768" t="s">
        <v>2901</v>
      </c>
      <c r="J523" s="301"/>
      <c r="K523" s="731" t="s">
        <v>2070</v>
      </c>
      <c r="L523" s="741">
        <f>L522/L521</f>
        <v>0.11937708</v>
      </c>
      <c r="M523" s="733"/>
      <c r="N523" s="742" t="str">
        <f>IF(L523&lt;25%,"Não","Sim - proceder verificação ao lado")</f>
        <v>Não</v>
      </c>
      <c r="O523" s="743" t="b">
        <v>1</v>
      </c>
    </row>
    <row r="524">
      <c r="A524" s="734"/>
      <c r="B524" s="735" t="s">
        <v>2064</v>
      </c>
      <c r="C524" s="767" t="s">
        <v>2895</v>
      </c>
      <c r="D524" s="777" t="s">
        <v>2291</v>
      </c>
      <c r="E524" s="763" t="s">
        <v>2709</v>
      </c>
      <c r="F524" s="764" t="s">
        <v>2902</v>
      </c>
      <c r="G524" s="736" t="s">
        <v>1757</v>
      </c>
      <c r="H524" s="745">
        <v>36.59</v>
      </c>
      <c r="I524" s="768" t="s">
        <v>2903</v>
      </c>
      <c r="J524" s="301"/>
      <c r="K524" s="731" t="s">
        <v>2075</v>
      </c>
      <c r="L524" s="746">
        <f>L521*1.25</f>
        <v>40.49583333</v>
      </c>
      <c r="M524" s="733"/>
      <c r="N524" s="301"/>
      <c r="O524" s="743" t="b">
        <v>1</v>
      </c>
    </row>
    <row r="525">
      <c r="A525" s="734"/>
      <c r="B525" s="735" t="s">
        <v>2064</v>
      </c>
      <c r="C525" s="767" t="s">
        <v>2904</v>
      </c>
      <c r="D525" s="777" t="s">
        <v>2281</v>
      </c>
      <c r="E525" s="763" t="s">
        <v>2709</v>
      </c>
      <c r="F525" s="764" t="s">
        <v>2905</v>
      </c>
      <c r="G525" s="736" t="s">
        <v>1757</v>
      </c>
      <c r="H525" s="745">
        <v>28.97</v>
      </c>
      <c r="I525" s="768" t="s">
        <v>2906</v>
      </c>
      <c r="J525" s="189"/>
      <c r="K525" s="731" t="s">
        <v>2080</v>
      </c>
      <c r="L525" s="746">
        <f>L521*0.75</f>
        <v>24.2975</v>
      </c>
      <c r="M525" s="733"/>
      <c r="N525" s="189"/>
      <c r="O525" s="743" t="b">
        <v>1</v>
      </c>
    </row>
    <row r="526">
      <c r="A526" s="734"/>
      <c r="B526" s="735"/>
      <c r="C526" s="735"/>
      <c r="D526" s="734"/>
      <c r="E526" s="749"/>
      <c r="F526" s="750"/>
      <c r="G526" s="749"/>
      <c r="H526" s="749"/>
      <c r="I526" s="751"/>
      <c r="J526" s="752"/>
      <c r="K526" s="752"/>
      <c r="L526" s="752"/>
      <c r="M526" s="751"/>
      <c r="N526" s="752"/>
      <c r="O526" s="753"/>
    </row>
    <row r="527">
      <c r="A527" s="754" t="s">
        <v>1115</v>
      </c>
      <c r="B527" s="755" t="s">
        <v>2907</v>
      </c>
      <c r="C527" s="36"/>
      <c r="D527" s="36"/>
      <c r="E527" s="36"/>
      <c r="F527" s="36"/>
      <c r="G527" s="754" t="s">
        <v>1757</v>
      </c>
      <c r="H527" s="756">
        <f>MEDIAN(H529:H531)</f>
        <v>28.9</v>
      </c>
      <c r="I527" s="757"/>
      <c r="J527" s="758" t="s">
        <v>2053</v>
      </c>
      <c r="K527" s="731" t="s">
        <v>2054</v>
      </c>
      <c r="L527" s="759">
        <f>AVERAGE(H529:H531)</f>
        <v>29.43666667</v>
      </c>
      <c r="M527" s="733"/>
      <c r="N527" s="760" t="s">
        <v>2055</v>
      </c>
      <c r="O527" s="454"/>
    </row>
    <row r="528">
      <c r="A528" s="727" t="s">
        <v>1717</v>
      </c>
      <c r="B528" s="728" t="s">
        <v>2056</v>
      </c>
      <c r="C528" s="728" t="s">
        <v>2057</v>
      </c>
      <c r="D528" s="727" t="s">
        <v>2058</v>
      </c>
      <c r="E528" s="727" t="s">
        <v>2059</v>
      </c>
      <c r="F528" s="729" t="s">
        <v>1537</v>
      </c>
      <c r="G528" s="727" t="s">
        <v>2060</v>
      </c>
      <c r="H528" s="727" t="s">
        <v>2061</v>
      </c>
      <c r="I528" s="730" t="s">
        <v>2062</v>
      </c>
      <c r="J528" s="301"/>
      <c r="K528" s="731" t="s">
        <v>2063</v>
      </c>
      <c r="L528" s="732">
        <f>STDEV(H529:H531)</f>
        <v>6.232353755</v>
      </c>
      <c r="M528" s="733"/>
      <c r="N528" s="189"/>
      <c r="O528" s="454"/>
    </row>
    <row r="529">
      <c r="A529" s="734"/>
      <c r="B529" s="735" t="s">
        <v>2064</v>
      </c>
      <c r="C529" s="735" t="s">
        <v>2908</v>
      </c>
      <c r="D529" s="734" t="s">
        <v>2909</v>
      </c>
      <c r="E529" s="763" t="s">
        <v>2709</v>
      </c>
      <c r="F529" s="738" t="s">
        <v>2910</v>
      </c>
      <c r="G529" s="736" t="s">
        <v>1757</v>
      </c>
      <c r="H529" s="745">
        <v>35.92</v>
      </c>
      <c r="I529" s="740" t="s">
        <v>2911</v>
      </c>
      <c r="J529" s="301"/>
      <c r="K529" s="731" t="s">
        <v>2070</v>
      </c>
      <c r="L529" s="741">
        <f>L528/L527</f>
        <v>0.2117207708</v>
      </c>
      <c r="M529" s="733"/>
      <c r="N529" s="742" t="str">
        <f>IF(L529&lt;25%,"Não","Sim - proceder verificação ao lado")</f>
        <v>Não</v>
      </c>
      <c r="O529" s="743" t="b">
        <v>1</v>
      </c>
    </row>
    <row r="530">
      <c r="A530" s="734"/>
      <c r="B530" s="735" t="s">
        <v>2064</v>
      </c>
      <c r="C530" s="767" t="s">
        <v>2912</v>
      </c>
      <c r="D530" s="777" t="s">
        <v>2150</v>
      </c>
      <c r="E530" s="763" t="s">
        <v>2709</v>
      </c>
      <c r="F530" s="764" t="s">
        <v>2913</v>
      </c>
      <c r="G530" s="736" t="s">
        <v>1757</v>
      </c>
      <c r="H530" s="745">
        <v>28.9</v>
      </c>
      <c r="I530" s="768" t="s">
        <v>2914</v>
      </c>
      <c r="J530" s="301"/>
      <c r="K530" s="731" t="s">
        <v>2075</v>
      </c>
      <c r="L530" s="746">
        <f>L527*1.25</f>
        <v>36.79583333</v>
      </c>
      <c r="M530" s="733"/>
      <c r="N530" s="301"/>
      <c r="O530" s="743" t="b">
        <v>1</v>
      </c>
    </row>
    <row r="531">
      <c r="A531" s="734"/>
      <c r="B531" s="735" t="s">
        <v>2064</v>
      </c>
      <c r="C531" s="767" t="s">
        <v>2895</v>
      </c>
      <c r="D531" s="777" t="s">
        <v>2291</v>
      </c>
      <c r="E531" s="763" t="s">
        <v>2709</v>
      </c>
      <c r="F531" s="764" t="s">
        <v>2915</v>
      </c>
      <c r="G531" s="736" t="s">
        <v>1757</v>
      </c>
      <c r="H531" s="745">
        <v>23.49</v>
      </c>
      <c r="I531" s="768" t="s">
        <v>2916</v>
      </c>
      <c r="J531" s="189"/>
      <c r="K531" s="731" t="s">
        <v>2080</v>
      </c>
      <c r="L531" s="746">
        <f>L527*0.75</f>
        <v>22.0775</v>
      </c>
      <c r="M531" s="733"/>
      <c r="N531" s="189"/>
      <c r="O531" s="743" t="b">
        <v>1</v>
      </c>
    </row>
    <row r="532">
      <c r="A532" s="734"/>
      <c r="B532" s="735"/>
      <c r="C532" s="735"/>
      <c r="D532" s="734"/>
      <c r="E532" s="749"/>
      <c r="F532" s="750"/>
      <c r="G532" s="749"/>
      <c r="H532" s="749"/>
      <c r="I532" s="751"/>
      <c r="J532" s="752"/>
      <c r="K532" s="752"/>
      <c r="L532" s="752"/>
      <c r="M532" s="751"/>
      <c r="N532" s="752"/>
      <c r="O532" s="753"/>
    </row>
    <row r="533">
      <c r="A533" s="754" t="s">
        <v>1117</v>
      </c>
      <c r="B533" s="755" t="s">
        <v>2917</v>
      </c>
      <c r="C533" s="36"/>
      <c r="D533" s="36"/>
      <c r="E533" s="36"/>
      <c r="F533" s="36"/>
      <c r="G533" s="754" t="s">
        <v>1757</v>
      </c>
      <c r="H533" s="756">
        <f>MEDIAN(H535:H537)</f>
        <v>35.6</v>
      </c>
      <c r="I533" s="757"/>
      <c r="J533" s="758" t="s">
        <v>2053</v>
      </c>
      <c r="K533" s="731" t="s">
        <v>2054</v>
      </c>
      <c r="L533" s="759">
        <f>AVERAGE(H535:H537)</f>
        <v>35.2</v>
      </c>
      <c r="M533" s="733"/>
      <c r="N533" s="760" t="s">
        <v>2055</v>
      </c>
      <c r="O533" s="454"/>
    </row>
    <row r="534">
      <c r="A534" s="727" t="s">
        <v>1717</v>
      </c>
      <c r="B534" s="728" t="s">
        <v>2056</v>
      </c>
      <c r="C534" s="728" t="s">
        <v>2057</v>
      </c>
      <c r="D534" s="727" t="s">
        <v>2058</v>
      </c>
      <c r="E534" s="727" t="s">
        <v>2059</v>
      </c>
      <c r="F534" s="729" t="s">
        <v>1537</v>
      </c>
      <c r="G534" s="727" t="s">
        <v>2060</v>
      </c>
      <c r="H534" s="727" t="s">
        <v>2061</v>
      </c>
      <c r="I534" s="730" t="s">
        <v>2062</v>
      </c>
      <c r="J534" s="301"/>
      <c r="K534" s="731" t="s">
        <v>2063</v>
      </c>
      <c r="L534" s="732">
        <f>STDEV(H535:H537)</f>
        <v>1.744734937</v>
      </c>
      <c r="M534" s="733"/>
      <c r="N534" s="189"/>
      <c r="O534" s="454"/>
    </row>
    <row r="535">
      <c r="A535" s="734"/>
      <c r="B535" s="735" t="s">
        <v>2064</v>
      </c>
      <c r="C535" s="761" t="s">
        <v>2918</v>
      </c>
      <c r="D535" s="762" t="s">
        <v>2919</v>
      </c>
      <c r="E535" s="763" t="s">
        <v>2709</v>
      </c>
      <c r="F535" s="764" t="s">
        <v>2920</v>
      </c>
      <c r="G535" s="736" t="s">
        <v>1757</v>
      </c>
      <c r="H535" s="745">
        <v>33.29</v>
      </c>
      <c r="I535" s="768" t="s">
        <v>2921</v>
      </c>
      <c r="J535" s="301"/>
      <c r="K535" s="731" t="s">
        <v>2070</v>
      </c>
      <c r="L535" s="741">
        <f>L534/L533</f>
        <v>0.04956633343</v>
      </c>
      <c r="M535" s="733"/>
      <c r="N535" s="742" t="str">
        <f>IF(L535&lt;25%,"Não","Sim - proceder verificação ao lado")</f>
        <v>Não</v>
      </c>
      <c r="O535" s="743" t="b">
        <v>1</v>
      </c>
    </row>
    <row r="536">
      <c r="A536" s="734"/>
      <c r="B536" s="735" t="s">
        <v>2064</v>
      </c>
      <c r="C536" s="767" t="s">
        <v>2922</v>
      </c>
      <c r="D536" s="777" t="s">
        <v>2295</v>
      </c>
      <c r="E536" s="763" t="s">
        <v>2709</v>
      </c>
      <c r="F536" s="764" t="s">
        <v>2923</v>
      </c>
      <c r="G536" s="736" t="s">
        <v>1757</v>
      </c>
      <c r="H536" s="745">
        <v>35.6</v>
      </c>
      <c r="I536" s="768" t="s">
        <v>2924</v>
      </c>
      <c r="J536" s="301"/>
      <c r="K536" s="731" t="s">
        <v>2075</v>
      </c>
      <c r="L536" s="746">
        <f>L533*1.25</f>
        <v>44</v>
      </c>
      <c r="M536" s="733"/>
      <c r="N536" s="301"/>
      <c r="O536" s="743" t="b">
        <v>1</v>
      </c>
    </row>
    <row r="537">
      <c r="A537" s="734"/>
      <c r="B537" s="735" t="s">
        <v>2064</v>
      </c>
      <c r="C537" s="735" t="s">
        <v>2908</v>
      </c>
      <c r="D537" s="734" t="s">
        <v>2909</v>
      </c>
      <c r="E537" s="763" t="s">
        <v>2709</v>
      </c>
      <c r="F537" s="738" t="s">
        <v>2925</v>
      </c>
      <c r="G537" s="736" t="s">
        <v>1757</v>
      </c>
      <c r="H537" s="745">
        <v>36.71</v>
      </c>
      <c r="I537" s="740" t="s">
        <v>2926</v>
      </c>
      <c r="J537" s="189"/>
      <c r="K537" s="731" t="s">
        <v>2080</v>
      </c>
      <c r="L537" s="746">
        <f>L533*0.75</f>
        <v>26.4</v>
      </c>
      <c r="M537" s="733"/>
      <c r="N537" s="189"/>
      <c r="O537" s="743" t="b">
        <v>1</v>
      </c>
    </row>
    <row r="538">
      <c r="A538" s="734"/>
      <c r="B538" s="735"/>
      <c r="C538" s="735"/>
      <c r="D538" s="734"/>
      <c r="E538" s="749"/>
      <c r="F538" s="750"/>
      <c r="G538" s="749"/>
      <c r="H538" s="749"/>
      <c r="I538" s="751"/>
      <c r="J538" s="752"/>
      <c r="K538" s="752"/>
      <c r="L538" s="752"/>
      <c r="M538" s="751"/>
      <c r="N538" s="752"/>
      <c r="O538" s="753"/>
    </row>
    <row r="539">
      <c r="A539" s="754" t="s">
        <v>1119</v>
      </c>
      <c r="B539" s="755" t="s">
        <v>2927</v>
      </c>
      <c r="C539" s="36"/>
      <c r="D539" s="36"/>
      <c r="E539" s="36"/>
      <c r="F539" s="36"/>
      <c r="G539" s="754" t="s">
        <v>1757</v>
      </c>
      <c r="H539" s="756">
        <f>MEDIAN(H541:H543)</f>
        <v>31.6</v>
      </c>
      <c r="I539" s="757"/>
      <c r="J539" s="758" t="s">
        <v>2053</v>
      </c>
      <c r="K539" s="731" t="s">
        <v>2054</v>
      </c>
      <c r="L539" s="759">
        <f>AVERAGE(H541:H543)</f>
        <v>29.36</v>
      </c>
      <c r="M539" s="733"/>
      <c r="N539" s="760" t="s">
        <v>2055</v>
      </c>
      <c r="O539" s="454"/>
    </row>
    <row r="540">
      <c r="A540" s="727" t="s">
        <v>1717</v>
      </c>
      <c r="B540" s="728" t="s">
        <v>2056</v>
      </c>
      <c r="C540" s="728" t="s">
        <v>2057</v>
      </c>
      <c r="D540" s="727" t="s">
        <v>2058</v>
      </c>
      <c r="E540" s="727" t="s">
        <v>2059</v>
      </c>
      <c r="F540" s="729" t="s">
        <v>1537</v>
      </c>
      <c r="G540" s="727" t="s">
        <v>2060</v>
      </c>
      <c r="H540" s="727" t="s">
        <v>2061</v>
      </c>
      <c r="I540" s="730" t="s">
        <v>2062</v>
      </c>
      <c r="J540" s="301"/>
      <c r="K540" s="731" t="s">
        <v>2063</v>
      </c>
      <c r="L540" s="732">
        <f>STDEV(H541:H543)</f>
        <v>5.130857628</v>
      </c>
      <c r="M540" s="733"/>
      <c r="N540" s="189"/>
      <c r="O540" s="454"/>
    </row>
    <row r="541">
      <c r="A541" s="734"/>
      <c r="B541" s="735" t="s">
        <v>2064</v>
      </c>
      <c r="C541" s="735" t="s">
        <v>2928</v>
      </c>
      <c r="D541" s="734" t="s">
        <v>2273</v>
      </c>
      <c r="E541" s="763" t="s">
        <v>2709</v>
      </c>
      <c r="F541" s="738" t="s">
        <v>2929</v>
      </c>
      <c r="G541" s="736" t="s">
        <v>1757</v>
      </c>
      <c r="H541" s="745">
        <v>31.6</v>
      </c>
      <c r="I541" s="740" t="s">
        <v>2930</v>
      </c>
      <c r="J541" s="301"/>
      <c r="K541" s="731" t="s">
        <v>2070</v>
      </c>
      <c r="L541" s="741">
        <f>L540/L539</f>
        <v>0.1747567312</v>
      </c>
      <c r="M541" s="733"/>
      <c r="N541" s="742" t="str">
        <f>IF(L541&lt;25%,"Não","Sim - proceder verificação ao lado")</f>
        <v>Não</v>
      </c>
      <c r="O541" s="743" t="b">
        <v>1</v>
      </c>
    </row>
    <row r="542">
      <c r="A542" s="734"/>
      <c r="B542" s="735" t="s">
        <v>2064</v>
      </c>
      <c r="C542" s="744" t="s">
        <v>2931</v>
      </c>
      <c r="D542" s="734" t="s">
        <v>2932</v>
      </c>
      <c r="E542" s="763" t="s">
        <v>2709</v>
      </c>
      <c r="F542" s="738" t="s">
        <v>2933</v>
      </c>
      <c r="G542" s="736" t="s">
        <v>1757</v>
      </c>
      <c r="H542" s="739">
        <v>32.99</v>
      </c>
      <c r="I542" s="740" t="s">
        <v>2934</v>
      </c>
      <c r="J542" s="301"/>
      <c r="K542" s="731" t="s">
        <v>2075</v>
      </c>
      <c r="L542" s="746">
        <f>L539*1.25</f>
        <v>36.7</v>
      </c>
      <c r="M542" s="733"/>
      <c r="N542" s="301"/>
      <c r="O542" s="743" t="b">
        <v>1</v>
      </c>
    </row>
    <row r="543">
      <c r="A543" s="734"/>
      <c r="B543" s="735" t="s">
        <v>2064</v>
      </c>
      <c r="C543" s="735" t="s">
        <v>2935</v>
      </c>
      <c r="D543" s="734" t="s">
        <v>2936</v>
      </c>
      <c r="E543" s="763" t="s">
        <v>2709</v>
      </c>
      <c r="F543" s="738" t="s">
        <v>2937</v>
      </c>
      <c r="G543" s="736" t="s">
        <v>1757</v>
      </c>
      <c r="H543" s="745">
        <v>23.49</v>
      </c>
      <c r="I543" s="740" t="s">
        <v>2938</v>
      </c>
      <c r="J543" s="189"/>
      <c r="K543" s="731" t="s">
        <v>2080</v>
      </c>
      <c r="L543" s="746">
        <f>L539*0.75</f>
        <v>22.02</v>
      </c>
      <c r="M543" s="733"/>
      <c r="N543" s="189"/>
      <c r="O543" s="743" t="b">
        <v>1</v>
      </c>
    </row>
    <row r="544">
      <c r="A544" s="734"/>
      <c r="B544" s="735"/>
      <c r="C544" s="735"/>
      <c r="D544" s="734"/>
      <c r="E544" s="749"/>
      <c r="F544" s="750"/>
      <c r="G544" s="749"/>
      <c r="H544" s="749"/>
      <c r="I544" s="751"/>
      <c r="J544" s="752"/>
      <c r="K544" s="752"/>
      <c r="L544" s="752"/>
      <c r="M544" s="751"/>
      <c r="N544" s="752"/>
      <c r="O544" s="753"/>
    </row>
    <row r="545">
      <c r="A545" s="754" t="s">
        <v>1121</v>
      </c>
      <c r="B545" s="755" t="s">
        <v>2939</v>
      </c>
      <c r="C545" s="36"/>
      <c r="D545" s="36"/>
      <c r="E545" s="36"/>
      <c r="F545" s="36"/>
      <c r="G545" s="754" t="s">
        <v>1757</v>
      </c>
      <c r="H545" s="756">
        <f>MEDIAN(H547:H549)</f>
        <v>27.12</v>
      </c>
      <c r="I545" s="757"/>
      <c r="J545" s="758" t="s">
        <v>2053</v>
      </c>
      <c r="K545" s="731" t="s">
        <v>2054</v>
      </c>
      <c r="L545" s="759">
        <f>AVERAGE(H547:H549)</f>
        <v>27.71333333</v>
      </c>
      <c r="M545" s="733"/>
      <c r="N545" s="760" t="s">
        <v>2055</v>
      </c>
      <c r="O545" s="454"/>
    </row>
    <row r="546">
      <c r="A546" s="727" t="s">
        <v>1717</v>
      </c>
      <c r="B546" s="728" t="s">
        <v>2056</v>
      </c>
      <c r="C546" s="728" t="s">
        <v>2057</v>
      </c>
      <c r="D546" s="727" t="s">
        <v>2058</v>
      </c>
      <c r="E546" s="727" t="s">
        <v>2059</v>
      </c>
      <c r="F546" s="729" t="s">
        <v>1537</v>
      </c>
      <c r="G546" s="727" t="s">
        <v>2060</v>
      </c>
      <c r="H546" s="727" t="s">
        <v>2061</v>
      </c>
      <c r="I546" s="730" t="s">
        <v>2062</v>
      </c>
      <c r="J546" s="301"/>
      <c r="K546" s="731" t="s">
        <v>2063</v>
      </c>
      <c r="L546" s="732">
        <f>STDEV(H547:H549)</f>
        <v>1.958604946</v>
      </c>
      <c r="M546" s="733"/>
      <c r="N546" s="189"/>
      <c r="O546" s="454"/>
    </row>
    <row r="547">
      <c r="A547" s="734"/>
      <c r="B547" s="735" t="s">
        <v>2064</v>
      </c>
      <c r="C547" s="767" t="s">
        <v>2940</v>
      </c>
      <c r="D547" s="777" t="s">
        <v>2941</v>
      </c>
      <c r="E547" s="763" t="s">
        <v>2709</v>
      </c>
      <c r="F547" s="764" t="s">
        <v>2942</v>
      </c>
      <c r="G547" s="736" t="s">
        <v>1757</v>
      </c>
      <c r="H547" s="745">
        <v>26.12</v>
      </c>
      <c r="I547" s="740" t="s">
        <v>2943</v>
      </c>
      <c r="J547" s="301"/>
      <c r="K547" s="731" t="s">
        <v>2070</v>
      </c>
      <c r="L547" s="741">
        <f>L546/L545</f>
        <v>0.07067374112</v>
      </c>
      <c r="M547" s="733"/>
      <c r="N547" s="742" t="str">
        <f>IF(L547&lt;25%,"Não","Sim - proceder verificação ao lado")</f>
        <v>Não</v>
      </c>
      <c r="O547" s="743" t="b">
        <v>1</v>
      </c>
    </row>
    <row r="548">
      <c r="A548" s="734"/>
      <c r="B548" s="735" t="s">
        <v>2064</v>
      </c>
      <c r="C548" s="761" t="s">
        <v>2918</v>
      </c>
      <c r="D548" s="762" t="s">
        <v>2919</v>
      </c>
      <c r="E548" s="763" t="s">
        <v>2709</v>
      </c>
      <c r="F548" s="764" t="s">
        <v>2944</v>
      </c>
      <c r="G548" s="736" t="s">
        <v>1757</v>
      </c>
      <c r="H548" s="745">
        <v>27.12</v>
      </c>
      <c r="I548" s="768" t="s">
        <v>2945</v>
      </c>
      <c r="J548" s="301"/>
      <c r="K548" s="731" t="s">
        <v>2075</v>
      </c>
      <c r="L548" s="746">
        <f>L545*1.25</f>
        <v>34.64166667</v>
      </c>
      <c r="M548" s="733"/>
      <c r="N548" s="301"/>
      <c r="O548" s="743" t="b">
        <v>1</v>
      </c>
    </row>
    <row r="549">
      <c r="A549" s="734"/>
      <c r="B549" s="735" t="s">
        <v>2064</v>
      </c>
      <c r="C549" s="735" t="s">
        <v>2908</v>
      </c>
      <c r="D549" s="734" t="s">
        <v>2909</v>
      </c>
      <c r="E549" s="763" t="s">
        <v>2709</v>
      </c>
      <c r="F549" s="738" t="s">
        <v>2946</v>
      </c>
      <c r="G549" s="736" t="s">
        <v>1757</v>
      </c>
      <c r="H549" s="745">
        <v>29.9</v>
      </c>
      <c r="I549" s="740" t="s">
        <v>2947</v>
      </c>
      <c r="J549" s="189"/>
      <c r="K549" s="731" t="s">
        <v>2080</v>
      </c>
      <c r="L549" s="746">
        <f>L545*0.75</f>
        <v>20.785</v>
      </c>
      <c r="M549" s="733"/>
      <c r="N549" s="189"/>
      <c r="O549" s="743" t="b">
        <v>1</v>
      </c>
    </row>
    <row r="550">
      <c r="A550" s="734"/>
      <c r="B550" s="735"/>
      <c r="C550" s="735"/>
      <c r="D550" s="734"/>
      <c r="E550" s="749"/>
      <c r="F550" s="750"/>
      <c r="G550" s="749"/>
      <c r="H550" s="749"/>
      <c r="I550" s="751"/>
      <c r="J550" s="752"/>
      <c r="K550" s="752"/>
      <c r="L550" s="752"/>
      <c r="M550" s="751"/>
      <c r="N550" s="752"/>
      <c r="O550" s="753"/>
    </row>
    <row r="551">
      <c r="A551" s="754" t="s">
        <v>1123</v>
      </c>
      <c r="B551" s="755" t="s">
        <v>2948</v>
      </c>
      <c r="C551" s="36"/>
      <c r="D551" s="36"/>
      <c r="E551" s="36"/>
      <c r="F551" s="36"/>
      <c r="G551" s="754" t="s">
        <v>1757</v>
      </c>
      <c r="H551" s="756">
        <f>MEDIAN(H553:H555)</f>
        <v>26.25</v>
      </c>
      <c r="I551" s="757"/>
      <c r="J551" s="758" t="s">
        <v>2053</v>
      </c>
      <c r="K551" s="731" t="s">
        <v>2054</v>
      </c>
      <c r="L551" s="759">
        <f>AVERAGE(H553:H555)</f>
        <v>26.01</v>
      </c>
      <c r="M551" s="733"/>
      <c r="N551" s="760" t="s">
        <v>2055</v>
      </c>
      <c r="O551" s="454"/>
    </row>
    <row r="552">
      <c r="A552" s="727" t="s">
        <v>1717</v>
      </c>
      <c r="B552" s="728" t="s">
        <v>2056</v>
      </c>
      <c r="C552" s="728" t="s">
        <v>2057</v>
      </c>
      <c r="D552" s="727" t="s">
        <v>2058</v>
      </c>
      <c r="E552" s="727" t="s">
        <v>2059</v>
      </c>
      <c r="F552" s="729" t="s">
        <v>1537</v>
      </c>
      <c r="G552" s="727" t="s">
        <v>2060</v>
      </c>
      <c r="H552" s="727" t="s">
        <v>2061</v>
      </c>
      <c r="I552" s="730" t="s">
        <v>2062</v>
      </c>
      <c r="J552" s="301"/>
      <c r="K552" s="731" t="s">
        <v>2063</v>
      </c>
      <c r="L552" s="732">
        <f>STDEV(H553:H555)</f>
        <v>1.752369824</v>
      </c>
      <c r="M552" s="733"/>
      <c r="N552" s="189"/>
      <c r="O552" s="454"/>
    </row>
    <row r="553">
      <c r="A553" s="734"/>
      <c r="B553" s="735" t="s">
        <v>2064</v>
      </c>
      <c r="C553" s="735" t="s">
        <v>2276</v>
      </c>
      <c r="D553" s="734" t="s">
        <v>2134</v>
      </c>
      <c r="E553" s="763" t="s">
        <v>2709</v>
      </c>
      <c r="F553" s="738" t="s">
        <v>2949</v>
      </c>
      <c r="G553" s="736" t="s">
        <v>1757</v>
      </c>
      <c r="H553" s="745">
        <v>26.25</v>
      </c>
      <c r="I553" s="740" t="s">
        <v>2950</v>
      </c>
      <c r="J553" s="301"/>
      <c r="K553" s="731" t="s">
        <v>2070</v>
      </c>
      <c r="L553" s="741">
        <f>L552/L551</f>
        <v>0.06737292672</v>
      </c>
      <c r="M553" s="733"/>
      <c r="N553" s="742" t="str">
        <f>IF(L553&lt;25%,"Não","Sim - proceder verificação ao lado")</f>
        <v>Não</v>
      </c>
      <c r="O553" s="743" t="b">
        <v>1</v>
      </c>
    </row>
    <row r="554">
      <c r="A554" s="734"/>
      <c r="B554" s="735" t="s">
        <v>2064</v>
      </c>
      <c r="C554" s="767" t="s">
        <v>2940</v>
      </c>
      <c r="D554" s="777" t="s">
        <v>2941</v>
      </c>
      <c r="E554" s="763" t="s">
        <v>2709</v>
      </c>
      <c r="F554" s="764" t="s">
        <v>2951</v>
      </c>
      <c r="G554" s="736" t="s">
        <v>1757</v>
      </c>
      <c r="H554" s="745">
        <v>24.15</v>
      </c>
      <c r="I554" s="768" t="s">
        <v>2952</v>
      </c>
      <c r="J554" s="301"/>
      <c r="K554" s="731" t="s">
        <v>2075</v>
      </c>
      <c r="L554" s="746">
        <f>L551*1.25</f>
        <v>32.5125</v>
      </c>
      <c r="M554" s="733"/>
      <c r="N554" s="301"/>
      <c r="O554" s="743" t="b">
        <v>1</v>
      </c>
    </row>
    <row r="555">
      <c r="A555" s="734"/>
      <c r="B555" s="735" t="s">
        <v>2064</v>
      </c>
      <c r="C555" s="735" t="s">
        <v>2908</v>
      </c>
      <c r="D555" s="734" t="s">
        <v>2909</v>
      </c>
      <c r="E555" s="763" t="s">
        <v>2709</v>
      </c>
      <c r="F555" s="738" t="s">
        <v>2949</v>
      </c>
      <c r="G555" s="736" t="s">
        <v>1757</v>
      </c>
      <c r="H555" s="745">
        <v>27.63</v>
      </c>
      <c r="I555" s="775" t="s">
        <v>2953</v>
      </c>
      <c r="J555" s="189"/>
      <c r="K555" s="731" t="s">
        <v>2080</v>
      </c>
      <c r="L555" s="746">
        <f>L551*0.75</f>
        <v>19.5075</v>
      </c>
      <c r="M555" s="733"/>
      <c r="N555" s="189"/>
      <c r="O555" s="743" t="b">
        <v>1</v>
      </c>
    </row>
    <row r="556">
      <c r="A556" s="734"/>
      <c r="B556" s="735"/>
      <c r="C556" s="735"/>
      <c r="D556" s="734"/>
      <c r="E556" s="749"/>
      <c r="F556" s="750"/>
      <c r="G556" s="749"/>
      <c r="H556" s="749"/>
      <c r="I556" s="751"/>
      <c r="J556" s="752"/>
      <c r="K556" s="752"/>
      <c r="L556" s="752"/>
      <c r="M556" s="751"/>
      <c r="N556" s="752"/>
      <c r="O556" s="753"/>
    </row>
    <row r="557">
      <c r="A557" s="754" t="s">
        <v>1125</v>
      </c>
      <c r="B557" s="755" t="s">
        <v>2954</v>
      </c>
      <c r="C557" s="36"/>
      <c r="D557" s="36"/>
      <c r="E557" s="36"/>
      <c r="F557" s="36"/>
      <c r="G557" s="754" t="s">
        <v>1757</v>
      </c>
      <c r="H557" s="756">
        <f>MEDIAN(H559:H561)</f>
        <v>89.05</v>
      </c>
      <c r="I557" s="757"/>
      <c r="J557" s="758" t="s">
        <v>2053</v>
      </c>
      <c r="K557" s="731" t="s">
        <v>2054</v>
      </c>
      <c r="L557" s="759">
        <f>AVERAGE(H559:H561)</f>
        <v>91.94666667</v>
      </c>
      <c r="M557" s="733"/>
      <c r="N557" s="760" t="s">
        <v>2055</v>
      </c>
      <c r="O557" s="454"/>
    </row>
    <row r="558">
      <c r="A558" s="727" t="s">
        <v>1717</v>
      </c>
      <c r="B558" s="728" t="s">
        <v>2056</v>
      </c>
      <c r="C558" s="728" t="s">
        <v>2057</v>
      </c>
      <c r="D558" s="727" t="s">
        <v>2058</v>
      </c>
      <c r="E558" s="727" t="s">
        <v>2059</v>
      </c>
      <c r="F558" s="729" t="s">
        <v>1537</v>
      </c>
      <c r="G558" s="727" t="s">
        <v>2060</v>
      </c>
      <c r="H558" s="727" t="s">
        <v>2061</v>
      </c>
      <c r="I558" s="730" t="s">
        <v>2062</v>
      </c>
      <c r="J558" s="301"/>
      <c r="K558" s="731" t="s">
        <v>2063</v>
      </c>
      <c r="L558" s="732">
        <f>STDEV(H559:H561)</f>
        <v>6.962616845</v>
      </c>
      <c r="M558" s="733"/>
      <c r="N558" s="189"/>
      <c r="O558" s="454"/>
    </row>
    <row r="559">
      <c r="A559" s="734"/>
      <c r="B559" s="735" t="s">
        <v>2064</v>
      </c>
      <c r="C559" s="735" t="s">
        <v>2955</v>
      </c>
      <c r="D559" s="734" t="s">
        <v>2956</v>
      </c>
      <c r="E559" s="763" t="s">
        <v>2709</v>
      </c>
      <c r="F559" s="738" t="s">
        <v>2957</v>
      </c>
      <c r="G559" s="736" t="s">
        <v>1757</v>
      </c>
      <c r="H559" s="745">
        <v>89.05</v>
      </c>
      <c r="I559" s="740" t="s">
        <v>2958</v>
      </c>
      <c r="J559" s="301"/>
      <c r="K559" s="731" t="s">
        <v>2070</v>
      </c>
      <c r="L559" s="741">
        <f>L558/L557</f>
        <v>0.07572451615</v>
      </c>
      <c r="M559" s="733"/>
      <c r="N559" s="742" t="str">
        <f>IF(L559&lt;25%,"Não","Sim - proceder verificação ao lado")</f>
        <v>Não</v>
      </c>
      <c r="O559" s="743" t="b">
        <v>1</v>
      </c>
    </row>
    <row r="560">
      <c r="A560" s="734"/>
      <c r="B560" s="735" t="s">
        <v>2064</v>
      </c>
      <c r="C560" s="744" t="s">
        <v>2959</v>
      </c>
      <c r="D560" s="736" t="s">
        <v>2919</v>
      </c>
      <c r="E560" s="763" t="s">
        <v>2709</v>
      </c>
      <c r="F560" s="738" t="s">
        <v>2960</v>
      </c>
      <c r="G560" s="736" t="s">
        <v>1757</v>
      </c>
      <c r="H560" s="745">
        <v>99.89</v>
      </c>
      <c r="I560" s="740" t="s">
        <v>2961</v>
      </c>
      <c r="J560" s="301"/>
      <c r="K560" s="731" t="s">
        <v>2075</v>
      </c>
      <c r="L560" s="746">
        <f>L557*1.25</f>
        <v>114.9333333</v>
      </c>
      <c r="M560" s="733"/>
      <c r="N560" s="301"/>
      <c r="O560" s="743" t="b">
        <v>1</v>
      </c>
    </row>
    <row r="561">
      <c r="A561" s="734"/>
      <c r="B561" s="735" t="s">
        <v>2064</v>
      </c>
      <c r="C561" s="767" t="s">
        <v>2962</v>
      </c>
      <c r="D561" s="777" t="s">
        <v>2963</v>
      </c>
      <c r="E561" s="763" t="s">
        <v>2709</v>
      </c>
      <c r="F561" s="764" t="s">
        <v>2964</v>
      </c>
      <c r="G561" s="736" t="s">
        <v>1757</v>
      </c>
      <c r="H561" s="745">
        <v>86.9</v>
      </c>
      <c r="I561" s="768" t="s">
        <v>2965</v>
      </c>
      <c r="J561" s="189"/>
      <c r="K561" s="731" t="s">
        <v>2080</v>
      </c>
      <c r="L561" s="746">
        <f>L557*0.75</f>
        <v>68.96</v>
      </c>
      <c r="M561" s="733"/>
      <c r="N561" s="189"/>
      <c r="O561" s="743" t="b">
        <v>1</v>
      </c>
    </row>
    <row r="562">
      <c r="A562" s="734"/>
      <c r="B562" s="735"/>
      <c r="C562" s="735"/>
      <c r="D562" s="734"/>
      <c r="E562" s="749"/>
      <c r="F562" s="750"/>
      <c r="G562" s="749"/>
      <c r="H562" s="749"/>
      <c r="I562" s="751"/>
      <c r="J562" s="752"/>
      <c r="K562" s="752"/>
      <c r="L562" s="752"/>
      <c r="M562" s="751"/>
      <c r="N562" s="752"/>
      <c r="O562" s="753"/>
    </row>
    <row r="563">
      <c r="A563" s="754" t="s">
        <v>1127</v>
      </c>
      <c r="B563" s="755" t="s">
        <v>2966</v>
      </c>
      <c r="C563" s="36"/>
      <c r="D563" s="36"/>
      <c r="E563" s="36"/>
      <c r="F563" s="36"/>
      <c r="G563" s="754" t="s">
        <v>1757</v>
      </c>
      <c r="H563" s="756">
        <f>MEDIAN(H565:H567)</f>
        <v>99.25</v>
      </c>
      <c r="I563" s="757"/>
      <c r="J563" s="758" t="s">
        <v>2053</v>
      </c>
      <c r="K563" s="731" t="s">
        <v>2054</v>
      </c>
      <c r="L563" s="759">
        <f>AVERAGE(H565:H567)</f>
        <v>95.51333333</v>
      </c>
      <c r="M563" s="733"/>
      <c r="N563" s="760" t="s">
        <v>2055</v>
      </c>
      <c r="O563" s="454"/>
    </row>
    <row r="564">
      <c r="A564" s="727" t="s">
        <v>1717</v>
      </c>
      <c r="B564" s="728" t="s">
        <v>2056</v>
      </c>
      <c r="C564" s="728" t="s">
        <v>2057</v>
      </c>
      <c r="D564" s="727" t="s">
        <v>2058</v>
      </c>
      <c r="E564" s="727" t="s">
        <v>2059</v>
      </c>
      <c r="F564" s="729" t="s">
        <v>1537</v>
      </c>
      <c r="G564" s="727" t="s">
        <v>2060</v>
      </c>
      <c r="H564" s="727" t="s">
        <v>2061</v>
      </c>
      <c r="I564" s="730" t="s">
        <v>2062</v>
      </c>
      <c r="J564" s="301"/>
      <c r="K564" s="731" t="s">
        <v>2063</v>
      </c>
      <c r="L564" s="732">
        <f>STDEV(H565:H567)</f>
        <v>7.131481847</v>
      </c>
      <c r="M564" s="733"/>
      <c r="N564" s="189"/>
      <c r="O564" s="454"/>
    </row>
    <row r="565">
      <c r="A565" s="734"/>
      <c r="B565" s="735" t="s">
        <v>2064</v>
      </c>
      <c r="C565" s="735" t="s">
        <v>2967</v>
      </c>
      <c r="D565" s="734" t="s">
        <v>2876</v>
      </c>
      <c r="E565" s="763" t="s">
        <v>2709</v>
      </c>
      <c r="F565" s="738" t="s">
        <v>2968</v>
      </c>
      <c r="G565" s="736" t="s">
        <v>1757</v>
      </c>
      <c r="H565" s="739">
        <v>100.0</v>
      </c>
      <c r="I565" s="740" t="s">
        <v>2969</v>
      </c>
      <c r="J565" s="301"/>
      <c r="K565" s="731" t="s">
        <v>2070</v>
      </c>
      <c r="L565" s="741">
        <f>L564/L563</f>
        <v>0.07466477818</v>
      </c>
      <c r="M565" s="733"/>
      <c r="N565" s="742" t="str">
        <f>IF(L565&lt;25%,"Não","Sim - proceder verificação ao lado")</f>
        <v>Não</v>
      </c>
      <c r="O565" s="743" t="b">
        <v>1</v>
      </c>
    </row>
    <row r="566">
      <c r="A566" s="734"/>
      <c r="B566" s="735" t="s">
        <v>2064</v>
      </c>
      <c r="C566" s="767" t="s">
        <v>2935</v>
      </c>
      <c r="D566" s="777" t="s">
        <v>2936</v>
      </c>
      <c r="E566" s="763" t="s">
        <v>2085</v>
      </c>
      <c r="F566" s="764" t="s">
        <v>2970</v>
      </c>
      <c r="G566" s="736" t="s">
        <v>1757</v>
      </c>
      <c r="H566" s="745">
        <v>87.29</v>
      </c>
      <c r="I566" s="768" t="s">
        <v>2971</v>
      </c>
      <c r="J566" s="301"/>
      <c r="K566" s="731" t="s">
        <v>2075</v>
      </c>
      <c r="L566" s="746">
        <f>L563*1.25</f>
        <v>119.3916667</v>
      </c>
      <c r="M566" s="733"/>
      <c r="N566" s="301"/>
      <c r="O566" s="743" t="b">
        <v>1</v>
      </c>
    </row>
    <row r="567">
      <c r="A567" s="734"/>
      <c r="B567" s="735" t="s">
        <v>2064</v>
      </c>
      <c r="C567" s="735" t="s">
        <v>2955</v>
      </c>
      <c r="D567" s="736" t="s">
        <v>2956</v>
      </c>
      <c r="E567" s="763" t="s">
        <v>2709</v>
      </c>
      <c r="F567" s="738" t="s">
        <v>2972</v>
      </c>
      <c r="G567" s="736" t="s">
        <v>1757</v>
      </c>
      <c r="H567" s="745">
        <v>99.25</v>
      </c>
      <c r="I567" s="740" t="s">
        <v>2973</v>
      </c>
      <c r="J567" s="189"/>
      <c r="K567" s="731" t="s">
        <v>2080</v>
      </c>
      <c r="L567" s="746">
        <f>L563*0.75</f>
        <v>71.635</v>
      </c>
      <c r="M567" s="733"/>
      <c r="N567" s="189"/>
      <c r="O567" s="743" t="b">
        <v>1</v>
      </c>
    </row>
    <row r="568">
      <c r="A568" s="734"/>
      <c r="B568" s="735"/>
      <c r="C568" s="735"/>
      <c r="D568" s="734"/>
      <c r="E568" s="749"/>
      <c r="F568" s="750"/>
      <c r="G568" s="749"/>
      <c r="H568" s="749"/>
      <c r="I568" s="751"/>
      <c r="J568" s="752"/>
      <c r="K568" s="752"/>
      <c r="L568" s="752"/>
      <c r="M568" s="751"/>
      <c r="N568" s="752"/>
      <c r="O568" s="753"/>
    </row>
    <row r="569">
      <c r="A569" s="754" t="s">
        <v>1129</v>
      </c>
      <c r="B569" s="755" t="s">
        <v>2974</v>
      </c>
      <c r="C569" s="36"/>
      <c r="D569" s="36"/>
      <c r="E569" s="36"/>
      <c r="F569" s="36"/>
      <c r="G569" s="754" t="s">
        <v>1757</v>
      </c>
      <c r="H569" s="756">
        <f>MEDIAN(H571:H573)</f>
        <v>211</v>
      </c>
      <c r="I569" s="757"/>
      <c r="J569" s="758" t="s">
        <v>2053</v>
      </c>
      <c r="K569" s="731" t="s">
        <v>2054</v>
      </c>
      <c r="L569" s="759">
        <f>AVERAGE(H571:H573)</f>
        <v>216.0633333</v>
      </c>
      <c r="M569" s="733"/>
      <c r="N569" s="760" t="s">
        <v>2055</v>
      </c>
      <c r="O569" s="454"/>
    </row>
    <row r="570">
      <c r="A570" s="727" t="s">
        <v>1717</v>
      </c>
      <c r="B570" s="728" t="s">
        <v>2056</v>
      </c>
      <c r="C570" s="728" t="s">
        <v>2057</v>
      </c>
      <c r="D570" s="727" t="s">
        <v>2058</v>
      </c>
      <c r="E570" s="727" t="s">
        <v>2059</v>
      </c>
      <c r="F570" s="729" t="s">
        <v>1537</v>
      </c>
      <c r="G570" s="727" t="s">
        <v>2060</v>
      </c>
      <c r="H570" s="727" t="s">
        <v>2061</v>
      </c>
      <c r="I570" s="730" t="s">
        <v>2062</v>
      </c>
      <c r="J570" s="301"/>
      <c r="K570" s="731" t="s">
        <v>2063</v>
      </c>
      <c r="L570" s="732">
        <f>STDEV(H571:H573)</f>
        <v>24.09732419</v>
      </c>
      <c r="M570" s="733"/>
      <c r="N570" s="189"/>
      <c r="O570" s="454"/>
    </row>
    <row r="571">
      <c r="A571" s="734"/>
      <c r="B571" s="735" t="s">
        <v>2064</v>
      </c>
      <c r="C571" s="735" t="s">
        <v>2290</v>
      </c>
      <c r="D571" s="734" t="s">
        <v>2876</v>
      </c>
      <c r="E571" s="763" t="s">
        <v>2709</v>
      </c>
      <c r="F571" s="738" t="s">
        <v>2975</v>
      </c>
      <c r="G571" s="736" t="s">
        <v>1757</v>
      </c>
      <c r="H571" s="745">
        <v>242.29</v>
      </c>
      <c r="I571" s="740" t="s">
        <v>2976</v>
      </c>
      <c r="J571" s="301"/>
      <c r="K571" s="731" t="s">
        <v>2070</v>
      </c>
      <c r="L571" s="741">
        <f>L570/L569</f>
        <v>0.1115289847</v>
      </c>
      <c r="M571" s="733"/>
      <c r="N571" s="742" t="str">
        <f>IF(L571&lt;25%,"Não","Sim - proceder verificação ao lado")</f>
        <v>Não</v>
      </c>
      <c r="O571" s="743" t="b">
        <v>1</v>
      </c>
    </row>
    <row r="572">
      <c r="A572" s="734"/>
      <c r="B572" s="735" t="s">
        <v>2064</v>
      </c>
      <c r="C572" s="744" t="s">
        <v>2959</v>
      </c>
      <c r="D572" s="736" t="s">
        <v>2919</v>
      </c>
      <c r="E572" s="763" t="s">
        <v>2709</v>
      </c>
      <c r="F572" s="738" t="s">
        <v>2977</v>
      </c>
      <c r="G572" s="736" t="s">
        <v>1757</v>
      </c>
      <c r="H572" s="745">
        <v>211.0</v>
      </c>
      <c r="I572" s="740" t="s">
        <v>2978</v>
      </c>
      <c r="J572" s="301"/>
      <c r="K572" s="731" t="s">
        <v>2075</v>
      </c>
      <c r="L572" s="746">
        <f>L569*1.25</f>
        <v>270.0791667</v>
      </c>
      <c r="M572" s="733"/>
      <c r="N572" s="301"/>
      <c r="O572" s="743" t="b">
        <v>1</v>
      </c>
    </row>
    <row r="573">
      <c r="A573" s="734"/>
      <c r="B573" s="735" t="s">
        <v>2064</v>
      </c>
      <c r="C573" s="767" t="s">
        <v>2904</v>
      </c>
      <c r="D573" s="777" t="s">
        <v>2281</v>
      </c>
      <c r="E573" s="763" t="s">
        <v>2709</v>
      </c>
      <c r="F573" s="764" t="s">
        <v>2979</v>
      </c>
      <c r="G573" s="736" t="s">
        <v>1757</v>
      </c>
      <c r="H573" s="745">
        <v>194.9</v>
      </c>
      <c r="I573" s="768" t="s">
        <v>2980</v>
      </c>
      <c r="J573" s="189"/>
      <c r="K573" s="731" t="s">
        <v>2080</v>
      </c>
      <c r="L573" s="746">
        <f>L569*0.75</f>
        <v>162.0475</v>
      </c>
      <c r="M573" s="733"/>
      <c r="N573" s="189"/>
      <c r="O573" s="743" t="b">
        <v>1</v>
      </c>
    </row>
    <row r="574">
      <c r="A574" s="734"/>
      <c r="B574" s="735"/>
      <c r="C574" s="735"/>
      <c r="D574" s="734"/>
      <c r="E574" s="749"/>
      <c r="F574" s="750"/>
      <c r="G574" s="749"/>
      <c r="H574" s="749"/>
      <c r="I574" s="751"/>
      <c r="J574" s="752"/>
      <c r="K574" s="752"/>
      <c r="L574" s="752"/>
      <c r="M574" s="751"/>
      <c r="N574" s="752"/>
      <c r="O574" s="753"/>
    </row>
    <row r="575">
      <c r="A575" s="754" t="s">
        <v>1175</v>
      </c>
      <c r="B575" s="755" t="s">
        <v>2981</v>
      </c>
      <c r="C575" s="36"/>
      <c r="D575" s="36"/>
      <c r="E575" s="36"/>
      <c r="F575" s="36"/>
      <c r="G575" s="754" t="s">
        <v>1757</v>
      </c>
      <c r="H575" s="756">
        <f>MEDIAN(H577:H579)</f>
        <v>56.91</v>
      </c>
      <c r="I575" s="757"/>
      <c r="J575" s="758" t="s">
        <v>2053</v>
      </c>
      <c r="K575" s="731" t="s">
        <v>2054</v>
      </c>
      <c r="L575" s="759">
        <f>AVERAGE(H577:H579)</f>
        <v>55.67</v>
      </c>
      <c r="M575" s="733"/>
      <c r="N575" s="760" t="s">
        <v>2055</v>
      </c>
      <c r="O575" s="454"/>
    </row>
    <row r="576">
      <c r="A576" s="727" t="s">
        <v>1717</v>
      </c>
      <c r="B576" s="728" t="s">
        <v>2056</v>
      </c>
      <c r="C576" s="728" t="s">
        <v>2057</v>
      </c>
      <c r="D576" s="727" t="s">
        <v>2058</v>
      </c>
      <c r="E576" s="727" t="s">
        <v>2059</v>
      </c>
      <c r="F576" s="729" t="s">
        <v>1537</v>
      </c>
      <c r="G576" s="727" t="s">
        <v>2060</v>
      </c>
      <c r="H576" s="727" t="s">
        <v>2061</v>
      </c>
      <c r="I576" s="730" t="s">
        <v>2062</v>
      </c>
      <c r="J576" s="301"/>
      <c r="K576" s="731" t="s">
        <v>2063</v>
      </c>
      <c r="L576" s="732">
        <f>STDEV(H577:H579)</f>
        <v>4.899142782</v>
      </c>
      <c r="M576" s="733"/>
      <c r="N576" s="189"/>
      <c r="O576" s="454"/>
    </row>
    <row r="577">
      <c r="A577" s="734"/>
      <c r="B577" s="735" t="s">
        <v>2064</v>
      </c>
      <c r="C577" s="735" t="s">
        <v>2982</v>
      </c>
      <c r="D577" s="734" t="s">
        <v>2983</v>
      </c>
      <c r="E577" s="763" t="s">
        <v>2709</v>
      </c>
      <c r="F577" s="738" t="s">
        <v>2984</v>
      </c>
      <c r="G577" s="736" t="s">
        <v>1757</v>
      </c>
      <c r="H577" s="745">
        <v>50.27</v>
      </c>
      <c r="I577" s="740" t="s">
        <v>2985</v>
      </c>
      <c r="J577" s="301"/>
      <c r="K577" s="731" t="s">
        <v>2070</v>
      </c>
      <c r="L577" s="741">
        <f>L576/L575</f>
        <v>0.08800328332</v>
      </c>
      <c r="M577" s="733"/>
      <c r="N577" s="742" t="str">
        <f>IF(L577&lt;25%,"Não","Sim - proceder verificação ao lado")</f>
        <v>Não</v>
      </c>
      <c r="O577" s="743" t="b">
        <v>1</v>
      </c>
    </row>
    <row r="578">
      <c r="A578" s="734"/>
      <c r="B578" s="735" t="s">
        <v>2064</v>
      </c>
      <c r="C578" s="744" t="s">
        <v>2286</v>
      </c>
      <c r="D578" s="736" t="s">
        <v>2986</v>
      </c>
      <c r="E578" s="763" t="s">
        <v>2709</v>
      </c>
      <c r="F578" s="738" t="s">
        <v>2987</v>
      </c>
      <c r="G578" s="736" t="s">
        <v>1757</v>
      </c>
      <c r="H578" s="745">
        <v>56.91</v>
      </c>
      <c r="I578" s="740" t="s">
        <v>2988</v>
      </c>
      <c r="J578" s="301"/>
      <c r="K578" s="731" t="s">
        <v>2075</v>
      </c>
      <c r="L578" s="746">
        <f>L575*1.25</f>
        <v>69.5875</v>
      </c>
      <c r="M578" s="733"/>
      <c r="N578" s="301"/>
      <c r="O578" s="743" t="b">
        <v>1</v>
      </c>
    </row>
    <row r="579">
      <c r="A579" s="734"/>
      <c r="B579" s="735" t="s">
        <v>2064</v>
      </c>
      <c r="C579" s="761" t="s">
        <v>2989</v>
      </c>
      <c r="D579" s="762" t="s">
        <v>2990</v>
      </c>
      <c r="E579" s="763" t="s">
        <v>2085</v>
      </c>
      <c r="F579" s="764" t="s">
        <v>2991</v>
      </c>
      <c r="G579" s="736" t="s">
        <v>1757</v>
      </c>
      <c r="H579" s="745">
        <v>59.83</v>
      </c>
      <c r="I579" s="768" t="s">
        <v>2992</v>
      </c>
      <c r="J579" s="189"/>
      <c r="K579" s="731" t="s">
        <v>2080</v>
      </c>
      <c r="L579" s="746">
        <f>L575*0.75</f>
        <v>41.7525</v>
      </c>
      <c r="M579" s="733"/>
      <c r="N579" s="189"/>
      <c r="O579" s="743" t="b">
        <v>1</v>
      </c>
    </row>
    <row r="580">
      <c r="A580" s="734"/>
      <c r="B580" s="735"/>
      <c r="C580" s="735"/>
      <c r="D580" s="734"/>
      <c r="E580" s="749"/>
      <c r="F580" s="750"/>
      <c r="G580" s="749"/>
      <c r="H580" s="749"/>
      <c r="I580" s="751"/>
      <c r="J580" s="752"/>
      <c r="K580" s="752"/>
      <c r="L580" s="752"/>
      <c r="M580" s="751"/>
      <c r="N580" s="752"/>
      <c r="O580" s="753"/>
    </row>
    <row r="581">
      <c r="A581" s="754" t="s">
        <v>1177</v>
      </c>
      <c r="B581" s="755" t="s">
        <v>2993</v>
      </c>
      <c r="C581" s="36"/>
      <c r="D581" s="36"/>
      <c r="E581" s="36"/>
      <c r="F581" s="36"/>
      <c r="G581" s="754" t="s">
        <v>1757</v>
      </c>
      <c r="H581" s="756">
        <f>MEDIAN(H583:H585)</f>
        <v>66</v>
      </c>
      <c r="I581" s="757"/>
      <c r="J581" s="758" t="s">
        <v>2053</v>
      </c>
      <c r="K581" s="731" t="s">
        <v>2054</v>
      </c>
      <c r="L581" s="759">
        <f>AVERAGE(H583:H585)</f>
        <v>64.39666667</v>
      </c>
      <c r="M581" s="733"/>
      <c r="N581" s="760" t="s">
        <v>2055</v>
      </c>
      <c r="O581" s="454"/>
    </row>
    <row r="582">
      <c r="A582" s="727" t="s">
        <v>1717</v>
      </c>
      <c r="B582" s="728" t="s">
        <v>2056</v>
      </c>
      <c r="C582" s="728" t="s">
        <v>2057</v>
      </c>
      <c r="D582" s="727" t="s">
        <v>2058</v>
      </c>
      <c r="E582" s="727" t="s">
        <v>2059</v>
      </c>
      <c r="F582" s="729" t="s">
        <v>1537</v>
      </c>
      <c r="G582" s="727" t="s">
        <v>2060</v>
      </c>
      <c r="H582" s="727" t="s">
        <v>2061</v>
      </c>
      <c r="I582" s="730" t="s">
        <v>2062</v>
      </c>
      <c r="J582" s="301"/>
      <c r="K582" s="731" t="s">
        <v>2063</v>
      </c>
      <c r="L582" s="732">
        <f>STDEV(H583:H585)</f>
        <v>4.305070654</v>
      </c>
      <c r="M582" s="733"/>
      <c r="N582" s="189"/>
      <c r="O582" s="454"/>
    </row>
    <row r="583">
      <c r="A583" s="734"/>
      <c r="B583" s="735" t="s">
        <v>2064</v>
      </c>
      <c r="C583" s="767" t="s">
        <v>2994</v>
      </c>
      <c r="D583" s="777">
        <v>3.317909000166E12</v>
      </c>
      <c r="E583" s="763" t="s">
        <v>2085</v>
      </c>
      <c r="F583" s="764" t="s">
        <v>2995</v>
      </c>
      <c r="G583" s="736" t="s">
        <v>1757</v>
      </c>
      <c r="H583" s="745">
        <v>67.67</v>
      </c>
      <c r="I583" s="768" t="s">
        <v>2996</v>
      </c>
      <c r="J583" s="301"/>
      <c r="K583" s="731" t="s">
        <v>2070</v>
      </c>
      <c r="L583" s="741">
        <f>L582/L581</f>
        <v>0.06685238346</v>
      </c>
      <c r="M583" s="733"/>
      <c r="N583" s="742" t="str">
        <f>IF(L583&lt;25%,"Não","Sim - proceder verificação ao lado")</f>
        <v>Não</v>
      </c>
      <c r="O583" s="743" t="b">
        <v>1</v>
      </c>
    </row>
    <row r="584">
      <c r="A584" s="734"/>
      <c r="B584" s="735" t="s">
        <v>2064</v>
      </c>
      <c r="C584" s="744" t="s">
        <v>2997</v>
      </c>
      <c r="D584" s="736" t="s">
        <v>2998</v>
      </c>
      <c r="E584" s="763" t="s">
        <v>2709</v>
      </c>
      <c r="F584" s="738" t="s">
        <v>2999</v>
      </c>
      <c r="G584" s="736" t="s">
        <v>1757</v>
      </c>
      <c r="H584" s="745">
        <v>66.0</v>
      </c>
      <c r="I584" s="740" t="s">
        <v>3000</v>
      </c>
      <c r="J584" s="301"/>
      <c r="K584" s="731" t="s">
        <v>2075</v>
      </c>
      <c r="L584" s="746">
        <f>L581*1.25</f>
        <v>80.49583333</v>
      </c>
      <c r="M584" s="733"/>
      <c r="N584" s="301"/>
      <c r="O584" s="743" t="b">
        <v>1</v>
      </c>
    </row>
    <row r="585">
      <c r="A585" s="734"/>
      <c r="B585" s="735" t="s">
        <v>2064</v>
      </c>
      <c r="C585" s="761" t="s">
        <v>2989</v>
      </c>
      <c r="D585" s="762" t="s">
        <v>2990</v>
      </c>
      <c r="E585" s="763" t="s">
        <v>2085</v>
      </c>
      <c r="F585" s="764" t="s">
        <v>3001</v>
      </c>
      <c r="G585" s="736" t="s">
        <v>1757</v>
      </c>
      <c r="H585" s="745">
        <v>59.52</v>
      </c>
      <c r="I585" s="768" t="s">
        <v>3002</v>
      </c>
      <c r="J585" s="189"/>
      <c r="K585" s="731" t="s">
        <v>2080</v>
      </c>
      <c r="L585" s="746">
        <f>L581*0.75</f>
        <v>48.2975</v>
      </c>
      <c r="M585" s="733"/>
      <c r="N585" s="189"/>
      <c r="O585" s="743" t="b">
        <v>1</v>
      </c>
    </row>
    <row r="586">
      <c r="A586" s="734"/>
      <c r="B586" s="735"/>
      <c r="C586" s="735"/>
      <c r="D586" s="734"/>
      <c r="E586" s="749"/>
      <c r="F586" s="750"/>
      <c r="G586" s="749"/>
      <c r="H586" s="749"/>
      <c r="I586" s="751"/>
      <c r="J586" s="752"/>
      <c r="K586" s="752"/>
      <c r="L586" s="752"/>
      <c r="M586" s="751"/>
      <c r="N586" s="752"/>
      <c r="O586" s="753"/>
    </row>
    <row r="587">
      <c r="A587" s="754" t="s">
        <v>1182</v>
      </c>
      <c r="B587" s="755" t="s">
        <v>3003</v>
      </c>
      <c r="C587" s="36"/>
      <c r="D587" s="36"/>
      <c r="E587" s="36"/>
      <c r="F587" s="36"/>
      <c r="G587" s="754" t="s">
        <v>1757</v>
      </c>
      <c r="H587" s="756">
        <f>MEDIAN(H589:H591)</f>
        <v>145.93</v>
      </c>
      <c r="I587" s="757"/>
      <c r="J587" s="758" t="s">
        <v>2053</v>
      </c>
      <c r="K587" s="731" t="s">
        <v>2054</v>
      </c>
      <c r="L587" s="759">
        <f>AVERAGE(H589:H591)</f>
        <v>148.5433333</v>
      </c>
      <c r="M587" s="733"/>
      <c r="N587" s="760" t="s">
        <v>2055</v>
      </c>
      <c r="O587" s="714"/>
    </row>
    <row r="588">
      <c r="A588" s="727" t="s">
        <v>1717</v>
      </c>
      <c r="B588" s="728" t="s">
        <v>2056</v>
      </c>
      <c r="C588" s="728" t="s">
        <v>2057</v>
      </c>
      <c r="D588" s="727" t="s">
        <v>2058</v>
      </c>
      <c r="E588" s="727" t="s">
        <v>2059</v>
      </c>
      <c r="F588" s="729" t="s">
        <v>1537</v>
      </c>
      <c r="G588" s="727" t="s">
        <v>2060</v>
      </c>
      <c r="H588" s="727" t="s">
        <v>2061</v>
      </c>
      <c r="I588" s="730" t="s">
        <v>2062</v>
      </c>
      <c r="J588" s="301"/>
      <c r="K588" s="731" t="s">
        <v>2063</v>
      </c>
      <c r="L588" s="732">
        <f>STDEV(H589:H591)</f>
        <v>10.20414785</v>
      </c>
      <c r="M588" s="733"/>
      <c r="N588" s="189"/>
      <c r="O588" s="753"/>
    </row>
    <row r="589">
      <c r="A589" s="734"/>
      <c r="B589" s="735" t="s">
        <v>2064</v>
      </c>
      <c r="C589" s="735" t="s">
        <v>3004</v>
      </c>
      <c r="D589" s="734" t="s">
        <v>2501</v>
      </c>
      <c r="E589" s="763" t="s">
        <v>2709</v>
      </c>
      <c r="F589" s="738" t="s">
        <v>3003</v>
      </c>
      <c r="G589" s="736" t="s">
        <v>1757</v>
      </c>
      <c r="H589" s="745">
        <v>145.93</v>
      </c>
      <c r="I589" s="740" t="s">
        <v>3005</v>
      </c>
      <c r="J589" s="301"/>
      <c r="K589" s="731" t="s">
        <v>2070</v>
      </c>
      <c r="L589" s="741">
        <f>L588/L587</f>
        <v>0.06869475473</v>
      </c>
      <c r="M589" s="733"/>
      <c r="N589" s="742" t="str">
        <f>IF(L589&lt;25%,"Não","Sim - proceder verificação ao lado")</f>
        <v>Não</v>
      </c>
      <c r="O589" s="743" t="b">
        <v>1</v>
      </c>
    </row>
    <row r="590">
      <c r="A590" s="734"/>
      <c r="B590" s="735" t="s">
        <v>2064</v>
      </c>
      <c r="C590" s="744" t="s">
        <v>2541</v>
      </c>
      <c r="D590" s="736" t="s">
        <v>2150</v>
      </c>
      <c r="E590" s="763" t="s">
        <v>2709</v>
      </c>
      <c r="F590" s="738" t="s">
        <v>3006</v>
      </c>
      <c r="G590" s="736" t="s">
        <v>1757</v>
      </c>
      <c r="H590" s="745">
        <v>139.9</v>
      </c>
      <c r="I590" s="740" t="s">
        <v>3007</v>
      </c>
      <c r="J590" s="301"/>
      <c r="K590" s="731" t="s">
        <v>2075</v>
      </c>
      <c r="L590" s="746">
        <f>L587*1.25</f>
        <v>185.6791667</v>
      </c>
      <c r="M590" s="733"/>
      <c r="N590" s="301"/>
      <c r="O590" s="743" t="b">
        <v>1</v>
      </c>
    </row>
    <row r="591">
      <c r="A591" s="734"/>
      <c r="B591" s="735" t="s">
        <v>2064</v>
      </c>
      <c r="C591" s="744" t="s">
        <v>2126</v>
      </c>
      <c r="D591" s="736" t="s">
        <v>2281</v>
      </c>
      <c r="E591" s="763" t="s">
        <v>2709</v>
      </c>
      <c r="F591" s="764" t="s">
        <v>3008</v>
      </c>
      <c r="G591" s="736" t="s">
        <v>1757</v>
      </c>
      <c r="H591" s="745">
        <v>159.8</v>
      </c>
      <c r="I591" s="785" t="s">
        <v>3009</v>
      </c>
      <c r="J591" s="189"/>
      <c r="K591" s="731" t="s">
        <v>2080</v>
      </c>
      <c r="L591" s="746">
        <f>L587*0.75</f>
        <v>111.4075</v>
      </c>
      <c r="M591" s="733"/>
      <c r="N591" s="189"/>
      <c r="O591" s="743" t="b">
        <v>1</v>
      </c>
    </row>
    <row r="592">
      <c r="A592" s="734"/>
      <c r="B592" s="735"/>
      <c r="C592" s="735"/>
      <c r="D592" s="734"/>
      <c r="E592" s="749"/>
      <c r="F592" s="750"/>
      <c r="G592" s="749"/>
      <c r="H592" s="749"/>
      <c r="I592" s="751"/>
      <c r="J592" s="752"/>
      <c r="K592" s="752"/>
      <c r="L592" s="752"/>
      <c r="M592" s="751"/>
      <c r="N592" s="752"/>
      <c r="O592" s="753"/>
    </row>
    <row r="593">
      <c r="A593" s="754" t="s">
        <v>1281</v>
      </c>
      <c r="B593" s="755" t="s">
        <v>2404</v>
      </c>
      <c r="C593" s="36"/>
      <c r="D593" s="36"/>
      <c r="E593" s="36"/>
      <c r="F593" s="36"/>
      <c r="G593" s="754" t="s">
        <v>1757</v>
      </c>
      <c r="H593" s="756">
        <f>MEDIAN(H595:H597)</f>
        <v>109</v>
      </c>
      <c r="I593" s="757"/>
      <c r="J593" s="758" t="s">
        <v>2053</v>
      </c>
      <c r="K593" s="731" t="s">
        <v>2054</v>
      </c>
      <c r="L593" s="759">
        <f>AVERAGE(H595:H597)</f>
        <v>107.6333333</v>
      </c>
      <c r="M593" s="733"/>
      <c r="N593" s="760" t="s">
        <v>2055</v>
      </c>
      <c r="O593" s="714"/>
    </row>
    <row r="594">
      <c r="A594" s="727" t="s">
        <v>1717</v>
      </c>
      <c r="B594" s="728" t="s">
        <v>2056</v>
      </c>
      <c r="C594" s="728" t="s">
        <v>2057</v>
      </c>
      <c r="D594" s="727" t="s">
        <v>2058</v>
      </c>
      <c r="E594" s="727" t="s">
        <v>2059</v>
      </c>
      <c r="F594" s="729" t="s">
        <v>1537</v>
      </c>
      <c r="G594" s="727" t="s">
        <v>2060</v>
      </c>
      <c r="H594" s="727" t="s">
        <v>2061</v>
      </c>
      <c r="I594" s="730" t="s">
        <v>2062</v>
      </c>
      <c r="J594" s="301"/>
      <c r="K594" s="731" t="s">
        <v>2063</v>
      </c>
      <c r="L594" s="732">
        <f>STDEV(H595:H597)</f>
        <v>9.127065976</v>
      </c>
      <c r="M594" s="733"/>
      <c r="N594" s="189"/>
      <c r="O594" s="714"/>
    </row>
    <row r="595">
      <c r="A595" s="734"/>
      <c r="B595" s="735" t="s">
        <v>2064</v>
      </c>
      <c r="C595" s="744" t="s">
        <v>2405</v>
      </c>
      <c r="D595" s="736" t="s">
        <v>2198</v>
      </c>
      <c r="E595" s="763" t="s">
        <v>2709</v>
      </c>
      <c r="F595" s="738" t="s">
        <v>2406</v>
      </c>
      <c r="G595" s="736" t="s">
        <v>1757</v>
      </c>
      <c r="H595" s="745">
        <v>116.0</v>
      </c>
      <c r="I595" s="740" t="s">
        <v>2407</v>
      </c>
      <c r="J595" s="301"/>
      <c r="K595" s="731" t="s">
        <v>2070</v>
      </c>
      <c r="L595" s="741">
        <f>L594/L593</f>
        <v>0.08479776379</v>
      </c>
      <c r="M595" s="733"/>
      <c r="N595" s="742" t="str">
        <f>IF(L595&lt;25%,"Não","Sim - proceder verificação ao lado")</f>
        <v>Não</v>
      </c>
      <c r="O595" s="743" t="b">
        <v>1</v>
      </c>
    </row>
    <row r="596">
      <c r="A596" s="734"/>
      <c r="B596" s="735" t="s">
        <v>2064</v>
      </c>
      <c r="C596" s="744" t="s">
        <v>2408</v>
      </c>
      <c r="D596" s="736" t="s">
        <v>2409</v>
      </c>
      <c r="E596" s="763" t="s">
        <v>2709</v>
      </c>
      <c r="F596" s="738" t="s">
        <v>2410</v>
      </c>
      <c r="G596" s="736" t="s">
        <v>1757</v>
      </c>
      <c r="H596" s="745">
        <v>109.0</v>
      </c>
      <c r="I596" s="740" t="s">
        <v>2411</v>
      </c>
      <c r="J596" s="301"/>
      <c r="K596" s="731" t="s">
        <v>2075</v>
      </c>
      <c r="L596" s="746">
        <f>L593*1.25</f>
        <v>134.5416667</v>
      </c>
      <c r="M596" s="733"/>
      <c r="N596" s="301"/>
      <c r="O596" s="743" t="b">
        <v>1</v>
      </c>
    </row>
    <row r="597">
      <c r="A597" s="734"/>
      <c r="B597" s="735" t="s">
        <v>2064</v>
      </c>
      <c r="C597" s="744" t="s">
        <v>2412</v>
      </c>
      <c r="D597" s="736" t="s">
        <v>2413</v>
      </c>
      <c r="E597" s="763" t="s">
        <v>2709</v>
      </c>
      <c r="F597" s="738" t="s">
        <v>2414</v>
      </c>
      <c r="G597" s="736" t="s">
        <v>1757</v>
      </c>
      <c r="H597" s="739">
        <v>97.9</v>
      </c>
      <c r="I597" s="775" t="s">
        <v>2415</v>
      </c>
      <c r="J597" s="189"/>
      <c r="K597" s="731" t="s">
        <v>2080</v>
      </c>
      <c r="L597" s="746">
        <f>L593*0.75</f>
        <v>80.725</v>
      </c>
      <c r="M597" s="733"/>
      <c r="N597" s="189"/>
      <c r="O597" s="743" t="b">
        <v>1</v>
      </c>
    </row>
    <row r="598">
      <c r="A598" s="734"/>
      <c r="B598" s="735"/>
      <c r="C598" s="735"/>
      <c r="D598" s="734"/>
      <c r="E598" s="749"/>
      <c r="F598" s="750"/>
      <c r="G598" s="749"/>
      <c r="H598" s="749"/>
      <c r="I598" s="751"/>
      <c r="J598" s="752"/>
      <c r="K598" s="752"/>
      <c r="L598" s="752"/>
      <c r="M598" s="751"/>
      <c r="N598" s="752"/>
    </row>
    <row r="599">
      <c r="A599" s="754" t="s">
        <v>1289</v>
      </c>
      <c r="B599" s="755" t="s">
        <v>3010</v>
      </c>
      <c r="C599" s="36"/>
      <c r="D599" s="36"/>
      <c r="E599" s="36"/>
      <c r="F599" s="36"/>
      <c r="G599" s="754" t="s">
        <v>1757</v>
      </c>
      <c r="H599" s="756">
        <f>MEDIAN(H601:H603)</f>
        <v>7.9</v>
      </c>
      <c r="I599" s="757"/>
      <c r="J599" s="758" t="s">
        <v>2053</v>
      </c>
      <c r="K599" s="731" t="s">
        <v>2054</v>
      </c>
      <c r="L599" s="759">
        <f>AVERAGE(H601:H603)</f>
        <v>7.936666667</v>
      </c>
      <c r="M599" s="733"/>
      <c r="N599" s="760" t="s">
        <v>2055</v>
      </c>
    </row>
    <row r="600">
      <c r="A600" s="727" t="s">
        <v>1717</v>
      </c>
      <c r="B600" s="728" t="s">
        <v>2056</v>
      </c>
      <c r="C600" s="728" t="s">
        <v>2057</v>
      </c>
      <c r="D600" s="727" t="s">
        <v>2058</v>
      </c>
      <c r="E600" s="727" t="s">
        <v>2059</v>
      </c>
      <c r="F600" s="729" t="s">
        <v>1537</v>
      </c>
      <c r="G600" s="727" t="s">
        <v>2060</v>
      </c>
      <c r="H600" s="727" t="s">
        <v>2061</v>
      </c>
      <c r="I600" s="730" t="s">
        <v>2062</v>
      </c>
      <c r="J600" s="301"/>
      <c r="K600" s="731" t="s">
        <v>2063</v>
      </c>
      <c r="L600" s="732">
        <f>STDEV(H601:H603)</f>
        <v>0.1484362939</v>
      </c>
      <c r="M600" s="733"/>
      <c r="N600" s="189"/>
      <c r="O600" s="753"/>
    </row>
    <row r="601">
      <c r="A601" s="734"/>
      <c r="B601" s="735" t="s">
        <v>2064</v>
      </c>
      <c r="C601" s="735" t="s">
        <v>3011</v>
      </c>
      <c r="D601" s="734" t="s">
        <v>2380</v>
      </c>
      <c r="E601" s="763" t="s">
        <v>2709</v>
      </c>
      <c r="F601" s="738" t="s">
        <v>3012</v>
      </c>
      <c r="G601" s="736" t="s">
        <v>1757</v>
      </c>
      <c r="H601" s="739">
        <v>7.81</v>
      </c>
      <c r="I601" s="740" t="s">
        <v>3013</v>
      </c>
      <c r="J601" s="301"/>
      <c r="K601" s="731" t="s">
        <v>2070</v>
      </c>
      <c r="L601" s="741">
        <f>L600/L599</f>
        <v>0.01870259897</v>
      </c>
      <c r="M601" s="733"/>
      <c r="N601" s="742" t="str">
        <f>IF(L601&lt;25%,"Não","Sim - proceder verificação ao lado")</f>
        <v>Não</v>
      </c>
      <c r="O601" s="743" t="b">
        <v>1</v>
      </c>
    </row>
    <row r="602">
      <c r="A602" s="734"/>
      <c r="B602" s="735" t="s">
        <v>2064</v>
      </c>
      <c r="C602" s="744" t="s">
        <v>3014</v>
      </c>
      <c r="D602" s="736" t="s">
        <v>3015</v>
      </c>
      <c r="E602" s="763" t="s">
        <v>2709</v>
      </c>
      <c r="F602" s="738" t="s">
        <v>3016</v>
      </c>
      <c r="G602" s="736" t="s">
        <v>1757</v>
      </c>
      <c r="H602" s="739">
        <v>7.9</v>
      </c>
      <c r="I602" s="740" t="s">
        <v>3017</v>
      </c>
      <c r="J602" s="301"/>
      <c r="K602" s="731" t="s">
        <v>2075</v>
      </c>
      <c r="L602" s="746">
        <f>L599*1.25</f>
        <v>9.920833333</v>
      </c>
      <c r="M602" s="733"/>
      <c r="N602" s="301"/>
      <c r="O602" s="743" t="b">
        <v>1</v>
      </c>
    </row>
    <row r="603">
      <c r="A603" s="734"/>
      <c r="B603" s="735" t="s">
        <v>2064</v>
      </c>
      <c r="C603" s="744" t="s">
        <v>3018</v>
      </c>
      <c r="D603" s="736" t="s">
        <v>3019</v>
      </c>
      <c r="E603" s="763" t="s">
        <v>2709</v>
      </c>
      <c r="F603" s="738" t="s">
        <v>3020</v>
      </c>
      <c r="G603" s="736" t="s">
        <v>1757</v>
      </c>
      <c r="H603" s="745">
        <v>8.1</v>
      </c>
      <c r="I603" s="786" t="s">
        <v>3021</v>
      </c>
      <c r="J603" s="189"/>
      <c r="K603" s="731" t="s">
        <v>2080</v>
      </c>
      <c r="L603" s="746">
        <f>L599*0.75</f>
        <v>5.9525</v>
      </c>
      <c r="M603" s="733"/>
      <c r="N603" s="189"/>
      <c r="O603" s="743" t="b">
        <v>1</v>
      </c>
    </row>
    <row r="604">
      <c r="A604" s="734"/>
      <c r="B604" s="735"/>
      <c r="C604" s="735"/>
      <c r="D604" s="734"/>
      <c r="E604" s="749"/>
      <c r="F604" s="750"/>
      <c r="G604" s="749"/>
      <c r="H604" s="749"/>
      <c r="I604" s="751"/>
      <c r="J604" s="752"/>
      <c r="K604" s="752"/>
      <c r="L604" s="752"/>
      <c r="M604" s="751"/>
      <c r="N604" s="752"/>
    </row>
    <row r="605">
      <c r="A605" s="754" t="s">
        <v>1291</v>
      </c>
      <c r="B605" s="755" t="s">
        <v>3022</v>
      </c>
      <c r="C605" s="36"/>
      <c r="D605" s="36"/>
      <c r="E605" s="36"/>
      <c r="F605" s="36"/>
      <c r="G605" s="754" t="s">
        <v>1757</v>
      </c>
      <c r="H605" s="756">
        <f>MEDIAN(H607:H609)</f>
        <v>21</v>
      </c>
      <c r="I605" s="757"/>
      <c r="J605" s="758" t="s">
        <v>2053</v>
      </c>
      <c r="K605" s="731" t="s">
        <v>2054</v>
      </c>
      <c r="L605" s="759">
        <f>AVERAGE(H607:H609)</f>
        <v>22.05666667</v>
      </c>
      <c r="M605" s="733"/>
      <c r="N605" s="760" t="s">
        <v>2055</v>
      </c>
    </row>
    <row r="606">
      <c r="A606" s="727" t="s">
        <v>1717</v>
      </c>
      <c r="B606" s="728" t="s">
        <v>2056</v>
      </c>
      <c r="C606" s="728" t="s">
        <v>2057</v>
      </c>
      <c r="D606" s="727" t="s">
        <v>2058</v>
      </c>
      <c r="E606" s="727" t="s">
        <v>2059</v>
      </c>
      <c r="F606" s="729" t="s">
        <v>1537</v>
      </c>
      <c r="G606" s="727" t="s">
        <v>2060</v>
      </c>
      <c r="H606" s="727" t="s">
        <v>2061</v>
      </c>
      <c r="I606" s="730" t="s">
        <v>2062</v>
      </c>
      <c r="J606" s="301"/>
      <c r="K606" s="731" t="s">
        <v>2063</v>
      </c>
      <c r="L606" s="732">
        <f>STDEV(H607:H609)</f>
        <v>2.610638492</v>
      </c>
      <c r="M606" s="733"/>
      <c r="N606" s="189"/>
      <c r="O606" s="753"/>
    </row>
    <row r="607">
      <c r="A607" s="734"/>
      <c r="B607" s="735" t="s">
        <v>2064</v>
      </c>
      <c r="C607" s="735" t="s">
        <v>2792</v>
      </c>
      <c r="D607" s="734" t="s">
        <v>3023</v>
      </c>
      <c r="E607" s="763" t="s">
        <v>2709</v>
      </c>
      <c r="F607" s="738" t="s">
        <v>3024</v>
      </c>
      <c r="G607" s="736" t="s">
        <v>1757</v>
      </c>
      <c r="H607" s="745">
        <v>21.0</v>
      </c>
      <c r="I607" s="740" t="s">
        <v>3025</v>
      </c>
      <c r="J607" s="301"/>
      <c r="K607" s="731" t="s">
        <v>2070</v>
      </c>
      <c r="L607" s="741">
        <f>L606/L605</f>
        <v>0.118360518</v>
      </c>
      <c r="M607" s="733"/>
      <c r="N607" s="742" t="str">
        <f>IF(L607&lt;25%,"Não","Sim - proceder verificação ao lado")</f>
        <v>Não</v>
      </c>
      <c r="O607" s="743" t="b">
        <v>1</v>
      </c>
    </row>
    <row r="608">
      <c r="A608" s="734"/>
      <c r="B608" s="735" t="s">
        <v>2064</v>
      </c>
      <c r="C608" s="744" t="s">
        <v>3026</v>
      </c>
      <c r="D608" s="736" t="s">
        <v>3027</v>
      </c>
      <c r="E608" s="763" t="s">
        <v>2709</v>
      </c>
      <c r="F608" s="738" t="s">
        <v>3028</v>
      </c>
      <c r="G608" s="736" t="s">
        <v>1757</v>
      </c>
      <c r="H608" s="745">
        <v>20.14</v>
      </c>
      <c r="I608" s="740" t="s">
        <v>3029</v>
      </c>
      <c r="J608" s="301"/>
      <c r="K608" s="731" t="s">
        <v>2075</v>
      </c>
      <c r="L608" s="746">
        <f>L605*1.25</f>
        <v>27.57083333</v>
      </c>
      <c r="M608" s="733"/>
      <c r="N608" s="301"/>
      <c r="O608" s="743" t="b">
        <v>1</v>
      </c>
    </row>
    <row r="609">
      <c r="A609" s="734"/>
      <c r="B609" s="735" t="s">
        <v>2064</v>
      </c>
      <c r="C609" s="744" t="s">
        <v>2276</v>
      </c>
      <c r="D609" s="736" t="s">
        <v>2134</v>
      </c>
      <c r="E609" s="763" t="s">
        <v>2709</v>
      </c>
      <c r="F609" s="738" t="s">
        <v>3030</v>
      </c>
      <c r="G609" s="736" t="s">
        <v>1757</v>
      </c>
      <c r="H609" s="745">
        <v>25.03</v>
      </c>
      <c r="I609" s="775" t="s">
        <v>3031</v>
      </c>
      <c r="J609" s="189"/>
      <c r="K609" s="731" t="s">
        <v>2080</v>
      </c>
      <c r="L609" s="746">
        <f>L605*0.75</f>
        <v>16.5425</v>
      </c>
      <c r="M609" s="733"/>
      <c r="N609" s="189"/>
      <c r="O609" s="743" t="b">
        <v>1</v>
      </c>
    </row>
    <row r="610">
      <c r="A610" s="734"/>
      <c r="B610" s="735"/>
      <c r="C610" s="735"/>
      <c r="D610" s="734"/>
      <c r="E610" s="749"/>
      <c r="F610" s="750"/>
      <c r="G610" s="749"/>
      <c r="H610" s="749"/>
      <c r="I610" s="751"/>
      <c r="J610" s="752"/>
      <c r="K610" s="752"/>
      <c r="L610" s="752"/>
      <c r="M610" s="751"/>
      <c r="N610" s="752"/>
    </row>
    <row r="611">
      <c r="A611" s="754" t="s">
        <v>1293</v>
      </c>
      <c r="B611" s="755" t="s">
        <v>3032</v>
      </c>
      <c r="C611" s="36"/>
      <c r="D611" s="36"/>
      <c r="E611" s="36"/>
      <c r="F611" s="36"/>
      <c r="G611" s="754" t="s">
        <v>1757</v>
      </c>
      <c r="H611" s="756">
        <f>MEDIAN(H613:H615)</f>
        <v>79.9</v>
      </c>
      <c r="I611" s="757"/>
      <c r="J611" s="758" t="s">
        <v>2053</v>
      </c>
      <c r="K611" s="731" t="s">
        <v>2054</v>
      </c>
      <c r="L611" s="759">
        <f>AVERAGE(H613:H615)</f>
        <v>77.27</v>
      </c>
      <c r="M611" s="733"/>
      <c r="N611" s="760" t="s">
        <v>2055</v>
      </c>
    </row>
    <row r="612">
      <c r="A612" s="727" t="s">
        <v>1717</v>
      </c>
      <c r="B612" s="728" t="s">
        <v>2056</v>
      </c>
      <c r="C612" s="728" t="s">
        <v>2057</v>
      </c>
      <c r="D612" s="727" t="s">
        <v>2058</v>
      </c>
      <c r="E612" s="727" t="s">
        <v>2059</v>
      </c>
      <c r="F612" s="729" t="s">
        <v>1537</v>
      </c>
      <c r="G612" s="727" t="s">
        <v>2060</v>
      </c>
      <c r="H612" s="727" t="s">
        <v>2061</v>
      </c>
      <c r="I612" s="730" t="s">
        <v>2062</v>
      </c>
      <c r="J612" s="301"/>
      <c r="K612" s="731" t="s">
        <v>2063</v>
      </c>
      <c r="L612" s="732">
        <f>STDEV(H613:H615)</f>
        <v>5.281372928</v>
      </c>
      <c r="M612" s="733"/>
      <c r="N612" s="189"/>
      <c r="O612" s="454"/>
    </row>
    <row r="613">
      <c r="A613" s="734"/>
      <c r="B613" s="735" t="s">
        <v>2064</v>
      </c>
      <c r="C613" s="735" t="s">
        <v>3033</v>
      </c>
      <c r="D613" s="734" t="s">
        <v>3034</v>
      </c>
      <c r="E613" s="763" t="s">
        <v>2709</v>
      </c>
      <c r="F613" s="738" t="s">
        <v>3035</v>
      </c>
      <c r="G613" s="736" t="s">
        <v>1757</v>
      </c>
      <c r="H613" s="745">
        <v>71.19</v>
      </c>
      <c r="I613" s="740" t="s">
        <v>3036</v>
      </c>
      <c r="J613" s="301"/>
      <c r="K613" s="731" t="s">
        <v>2070</v>
      </c>
      <c r="L613" s="741">
        <f>L612/L611</f>
        <v>0.0683495914</v>
      </c>
      <c r="M613" s="733"/>
      <c r="N613" s="742" t="str">
        <f>IF(L613&lt;25%,"Não","Sim - proceder verificação ao lado")</f>
        <v>Não</v>
      </c>
      <c r="O613" s="743" t="b">
        <v>1</v>
      </c>
    </row>
    <row r="614">
      <c r="A614" s="734"/>
      <c r="B614" s="735" t="s">
        <v>2064</v>
      </c>
      <c r="C614" s="744" t="s">
        <v>2959</v>
      </c>
      <c r="D614" s="736" t="s">
        <v>2919</v>
      </c>
      <c r="E614" s="763" t="s">
        <v>2709</v>
      </c>
      <c r="F614" s="738" t="s">
        <v>3037</v>
      </c>
      <c r="G614" s="736" t="s">
        <v>1757</v>
      </c>
      <c r="H614" s="745">
        <v>80.72</v>
      </c>
      <c r="I614" s="740" t="s">
        <v>3038</v>
      </c>
      <c r="J614" s="301"/>
      <c r="K614" s="731" t="s">
        <v>2075</v>
      </c>
      <c r="L614" s="746">
        <f>L611*1.25</f>
        <v>96.5875</v>
      </c>
      <c r="M614" s="733"/>
      <c r="N614" s="301"/>
      <c r="O614" s="743" t="b">
        <v>1</v>
      </c>
    </row>
    <row r="615">
      <c r="A615" s="734"/>
      <c r="B615" s="735" t="s">
        <v>2064</v>
      </c>
      <c r="C615" s="744" t="s">
        <v>3039</v>
      </c>
      <c r="D615" s="736" t="s">
        <v>3040</v>
      </c>
      <c r="E615" s="763" t="s">
        <v>2709</v>
      </c>
      <c r="F615" s="738" t="s">
        <v>3041</v>
      </c>
      <c r="G615" s="736" t="s">
        <v>1757</v>
      </c>
      <c r="H615" s="745">
        <v>79.9</v>
      </c>
      <c r="I615" s="775" t="s">
        <v>3042</v>
      </c>
      <c r="J615" s="189"/>
      <c r="K615" s="731" t="s">
        <v>2080</v>
      </c>
      <c r="L615" s="746">
        <f>L611*0.75</f>
        <v>57.9525</v>
      </c>
      <c r="M615" s="733"/>
      <c r="N615" s="189"/>
      <c r="O615" s="743" t="b">
        <v>1</v>
      </c>
    </row>
    <row r="616">
      <c r="A616" s="734"/>
      <c r="B616" s="735"/>
      <c r="C616" s="735"/>
      <c r="D616" s="734"/>
      <c r="E616" s="749"/>
      <c r="F616" s="750"/>
      <c r="G616" s="749"/>
      <c r="H616" s="749"/>
      <c r="I616" s="751"/>
      <c r="J616" s="752"/>
      <c r="K616" s="752"/>
      <c r="L616" s="752"/>
      <c r="M616" s="751"/>
      <c r="N616" s="752"/>
    </row>
    <row r="617">
      <c r="A617" s="754" t="s">
        <v>1301</v>
      </c>
      <c r="B617" s="755" t="s">
        <v>3043</v>
      </c>
      <c r="C617" s="36"/>
      <c r="D617" s="36"/>
      <c r="E617" s="36"/>
      <c r="F617" s="36"/>
      <c r="G617" s="754" t="s">
        <v>1757</v>
      </c>
      <c r="H617" s="756">
        <f>MEDIAN(H619:H621)</f>
        <v>46.39</v>
      </c>
      <c r="I617" s="757"/>
      <c r="J617" s="758" t="s">
        <v>2053</v>
      </c>
      <c r="K617" s="731" t="s">
        <v>2054</v>
      </c>
      <c r="L617" s="759">
        <f>AVERAGE(H619:H621)</f>
        <v>46.81</v>
      </c>
      <c r="M617" s="733"/>
      <c r="N617" s="760" t="s">
        <v>2055</v>
      </c>
    </row>
    <row r="618">
      <c r="A618" s="727" t="s">
        <v>1717</v>
      </c>
      <c r="B618" s="728" t="s">
        <v>2056</v>
      </c>
      <c r="C618" s="728" t="s">
        <v>2057</v>
      </c>
      <c r="D618" s="727" t="s">
        <v>2058</v>
      </c>
      <c r="E618" s="727" t="s">
        <v>2059</v>
      </c>
      <c r="F618" s="729" t="s">
        <v>1537</v>
      </c>
      <c r="G618" s="727" t="s">
        <v>2060</v>
      </c>
      <c r="H618" s="727" t="s">
        <v>2061</v>
      </c>
      <c r="I618" s="730" t="s">
        <v>2062</v>
      </c>
      <c r="J618" s="301"/>
      <c r="K618" s="731" t="s">
        <v>2063</v>
      </c>
      <c r="L618" s="732">
        <f>STDEV(H619:H621)</f>
        <v>3.290167169</v>
      </c>
      <c r="M618" s="733"/>
      <c r="N618" s="189"/>
      <c r="O618" s="753"/>
    </row>
    <row r="619">
      <c r="A619" s="734"/>
      <c r="B619" s="735" t="s">
        <v>2064</v>
      </c>
      <c r="C619" s="735" t="s">
        <v>3044</v>
      </c>
      <c r="D619" s="734" t="s">
        <v>3045</v>
      </c>
      <c r="E619" s="763" t="s">
        <v>2709</v>
      </c>
      <c r="F619" s="738" t="s">
        <v>3043</v>
      </c>
      <c r="G619" s="736" t="s">
        <v>1757</v>
      </c>
      <c r="H619" s="745">
        <v>50.29</v>
      </c>
      <c r="I619" s="740" t="s">
        <v>3046</v>
      </c>
      <c r="J619" s="301"/>
      <c r="K619" s="731" t="s">
        <v>2070</v>
      </c>
      <c r="L619" s="741">
        <f>L618/L617</f>
        <v>0.07028769855</v>
      </c>
      <c r="M619" s="733"/>
      <c r="N619" s="742" t="str">
        <f>IF(L619&lt;25%,"Não","Sim - proceder verificação ao lado")</f>
        <v>Não</v>
      </c>
      <c r="O619" s="743" t="b">
        <v>1</v>
      </c>
    </row>
    <row r="620">
      <c r="A620" s="734"/>
      <c r="B620" s="735" t="s">
        <v>2064</v>
      </c>
      <c r="C620" s="744" t="s">
        <v>2290</v>
      </c>
      <c r="D620" s="736" t="s">
        <v>2876</v>
      </c>
      <c r="E620" s="763" t="s">
        <v>2709</v>
      </c>
      <c r="F620" s="738" t="s">
        <v>3047</v>
      </c>
      <c r="G620" s="736" t="s">
        <v>1757</v>
      </c>
      <c r="H620" s="745">
        <v>46.39</v>
      </c>
      <c r="I620" s="740" t="s">
        <v>3048</v>
      </c>
      <c r="J620" s="301"/>
      <c r="K620" s="731" t="s">
        <v>2075</v>
      </c>
      <c r="L620" s="746">
        <f>L617*1.25</f>
        <v>58.5125</v>
      </c>
      <c r="M620" s="733"/>
      <c r="N620" s="301"/>
      <c r="O620" s="743" t="b">
        <v>1</v>
      </c>
    </row>
    <row r="621">
      <c r="A621" s="734"/>
      <c r="B621" s="735" t="s">
        <v>2064</v>
      </c>
      <c r="C621" s="744" t="s">
        <v>3049</v>
      </c>
      <c r="D621" s="736" t="s">
        <v>2563</v>
      </c>
      <c r="E621" s="763" t="s">
        <v>2085</v>
      </c>
      <c r="F621" s="738" t="s">
        <v>3050</v>
      </c>
      <c r="G621" s="736" t="s">
        <v>1757</v>
      </c>
      <c r="H621" s="745">
        <v>43.75</v>
      </c>
      <c r="I621" s="786" t="s">
        <v>3051</v>
      </c>
      <c r="J621" s="189"/>
      <c r="K621" s="731" t="s">
        <v>2080</v>
      </c>
      <c r="L621" s="746">
        <f>L617*0.75</f>
        <v>35.1075</v>
      </c>
      <c r="M621" s="733"/>
      <c r="N621" s="189"/>
      <c r="O621" s="743" t="b">
        <v>1</v>
      </c>
    </row>
    <row r="622">
      <c r="A622" s="734"/>
      <c r="B622" s="735"/>
      <c r="C622" s="735"/>
      <c r="D622" s="734"/>
      <c r="E622" s="749"/>
      <c r="F622" s="750"/>
      <c r="G622" s="749"/>
      <c r="H622" s="749"/>
      <c r="I622" s="751"/>
      <c r="J622" s="752"/>
      <c r="K622" s="752"/>
      <c r="L622" s="752"/>
      <c r="M622" s="751"/>
      <c r="N622" s="752"/>
      <c r="O622" s="753"/>
    </row>
    <row r="623">
      <c r="A623" s="754" t="s">
        <v>1306</v>
      </c>
      <c r="B623" s="755" t="s">
        <v>3052</v>
      </c>
      <c r="C623" s="36"/>
      <c r="D623" s="36"/>
      <c r="E623" s="36"/>
      <c r="F623" s="36"/>
      <c r="G623" s="754" t="s">
        <v>1757</v>
      </c>
      <c r="H623" s="756">
        <f>MEDIAN(H625:H627)</f>
        <v>652.8</v>
      </c>
      <c r="I623" s="757"/>
      <c r="J623" s="758" t="s">
        <v>2053</v>
      </c>
      <c r="K623" s="731" t="s">
        <v>2054</v>
      </c>
      <c r="L623" s="759">
        <f>AVERAGE(H625:H627)</f>
        <v>627.4</v>
      </c>
      <c r="M623" s="733"/>
      <c r="N623" s="760" t="s">
        <v>2055</v>
      </c>
      <c r="O623" s="454"/>
    </row>
    <row r="624">
      <c r="A624" s="727" t="s">
        <v>1717</v>
      </c>
      <c r="B624" s="728" t="s">
        <v>2056</v>
      </c>
      <c r="C624" s="728" t="s">
        <v>2057</v>
      </c>
      <c r="D624" s="727" t="s">
        <v>2058</v>
      </c>
      <c r="E624" s="727" t="s">
        <v>2059</v>
      </c>
      <c r="F624" s="729" t="s">
        <v>1537</v>
      </c>
      <c r="G624" s="727" t="s">
        <v>2060</v>
      </c>
      <c r="H624" s="727" t="s">
        <v>2061</v>
      </c>
      <c r="I624" s="730" t="s">
        <v>2062</v>
      </c>
      <c r="J624" s="301"/>
      <c r="K624" s="731" t="s">
        <v>2063</v>
      </c>
      <c r="L624" s="732">
        <f>STDEV(H625:H627)</f>
        <v>74.0429605</v>
      </c>
      <c r="M624" s="733"/>
      <c r="N624" s="189"/>
      <c r="O624" s="454"/>
    </row>
    <row r="625">
      <c r="A625" s="734"/>
      <c r="B625" s="735" t="s">
        <v>2064</v>
      </c>
      <c r="C625" s="735" t="s">
        <v>2276</v>
      </c>
      <c r="D625" s="734" t="s">
        <v>2134</v>
      </c>
      <c r="E625" s="763" t="s">
        <v>2709</v>
      </c>
      <c r="F625" s="738" t="s">
        <v>3053</v>
      </c>
      <c r="G625" s="736" t="s">
        <v>1757</v>
      </c>
      <c r="H625" s="739">
        <v>652.8</v>
      </c>
      <c r="I625" s="740" t="s">
        <v>3054</v>
      </c>
      <c r="J625" s="301"/>
      <c r="K625" s="731" t="s">
        <v>2070</v>
      </c>
      <c r="L625" s="741">
        <f>L624/L623</f>
        <v>0.1180155571</v>
      </c>
      <c r="M625" s="733"/>
      <c r="N625" s="742" t="str">
        <f>IF(L625&lt;25%,"Não","Sim - proceder verificação ao lado")</f>
        <v>Não</v>
      </c>
      <c r="O625" s="743" t="b">
        <v>1</v>
      </c>
    </row>
    <row r="626">
      <c r="A626" s="734"/>
      <c r="B626" s="735" t="s">
        <v>2064</v>
      </c>
      <c r="C626" s="767" t="s">
        <v>2126</v>
      </c>
      <c r="D626" s="777" t="s">
        <v>2281</v>
      </c>
      <c r="E626" s="763" t="s">
        <v>2085</v>
      </c>
      <c r="F626" s="764" t="s">
        <v>3055</v>
      </c>
      <c r="G626" s="736" t="s">
        <v>1757</v>
      </c>
      <c r="H626" s="745">
        <v>685.4</v>
      </c>
      <c r="I626" s="768" t="s">
        <v>3056</v>
      </c>
      <c r="J626" s="301"/>
      <c r="K626" s="731" t="s">
        <v>2075</v>
      </c>
      <c r="L626" s="746">
        <f>L623*1.25</f>
        <v>784.25</v>
      </c>
      <c r="M626" s="733"/>
      <c r="N626" s="301"/>
      <c r="O626" s="743" t="b">
        <v>1</v>
      </c>
    </row>
    <row r="627">
      <c r="A627" s="734"/>
      <c r="B627" s="735" t="s">
        <v>2064</v>
      </c>
      <c r="C627" s="744" t="s">
        <v>2184</v>
      </c>
      <c r="D627" s="736" t="s">
        <v>2185</v>
      </c>
      <c r="E627" s="763" t="s">
        <v>2709</v>
      </c>
      <c r="F627" s="738" t="s">
        <v>3057</v>
      </c>
      <c r="G627" s="736" t="s">
        <v>1757</v>
      </c>
      <c r="H627" s="739">
        <v>544.0</v>
      </c>
      <c r="I627" s="786" t="s">
        <v>3058</v>
      </c>
      <c r="J627" s="189"/>
      <c r="K627" s="731" t="s">
        <v>2080</v>
      </c>
      <c r="L627" s="746">
        <f>L623*0.75</f>
        <v>470.55</v>
      </c>
      <c r="M627" s="733"/>
      <c r="N627" s="189"/>
      <c r="O627" s="743" t="b">
        <v>1</v>
      </c>
    </row>
    <row r="628">
      <c r="A628" s="734"/>
      <c r="B628" s="735"/>
      <c r="C628" s="735"/>
      <c r="D628" s="734"/>
      <c r="E628" s="749"/>
      <c r="F628" s="750"/>
      <c r="G628" s="749"/>
      <c r="H628" s="749"/>
      <c r="I628" s="751"/>
      <c r="J628" s="752"/>
      <c r="K628" s="752"/>
      <c r="L628" s="752"/>
      <c r="M628" s="751"/>
      <c r="N628" s="752"/>
      <c r="O628" s="753"/>
    </row>
    <row r="629">
      <c r="A629" s="754" t="s">
        <v>1308</v>
      </c>
      <c r="B629" s="755" t="s">
        <v>3059</v>
      </c>
      <c r="C629" s="36"/>
      <c r="D629" s="36"/>
      <c r="E629" s="36"/>
      <c r="F629" s="36"/>
      <c r="G629" s="754" t="s">
        <v>1757</v>
      </c>
      <c r="H629" s="756">
        <f>MEDIAN(H631:H633)</f>
        <v>463.88</v>
      </c>
      <c r="I629" s="757"/>
      <c r="J629" s="758" t="s">
        <v>2053</v>
      </c>
      <c r="K629" s="731" t="s">
        <v>2054</v>
      </c>
      <c r="L629" s="759">
        <f>AVERAGE(H631:H633)</f>
        <v>469.3266667</v>
      </c>
      <c r="M629" s="733"/>
      <c r="N629" s="760" t="s">
        <v>2055</v>
      </c>
      <c r="O629" s="454"/>
    </row>
    <row r="630">
      <c r="A630" s="727" t="s">
        <v>1717</v>
      </c>
      <c r="B630" s="728" t="s">
        <v>2056</v>
      </c>
      <c r="C630" s="728" t="s">
        <v>2057</v>
      </c>
      <c r="D630" s="727" t="s">
        <v>2058</v>
      </c>
      <c r="E630" s="727" t="s">
        <v>2059</v>
      </c>
      <c r="F630" s="729" t="s">
        <v>1537</v>
      </c>
      <c r="G630" s="727" t="s">
        <v>2060</v>
      </c>
      <c r="H630" s="727" t="s">
        <v>2061</v>
      </c>
      <c r="I630" s="730" t="s">
        <v>2062</v>
      </c>
      <c r="J630" s="301"/>
      <c r="K630" s="731" t="s">
        <v>2063</v>
      </c>
      <c r="L630" s="732">
        <f>STDEV(H631:H633)</f>
        <v>14.55549839</v>
      </c>
      <c r="M630" s="733"/>
      <c r="N630" s="189"/>
      <c r="O630" s="454"/>
    </row>
    <row r="631">
      <c r="A631" s="734"/>
      <c r="B631" s="735" t="s">
        <v>2064</v>
      </c>
      <c r="C631" s="735" t="s">
        <v>2276</v>
      </c>
      <c r="D631" s="734" t="s">
        <v>2134</v>
      </c>
      <c r="E631" s="763" t="s">
        <v>2709</v>
      </c>
      <c r="F631" s="738" t="s">
        <v>3060</v>
      </c>
      <c r="G631" s="736" t="s">
        <v>1757</v>
      </c>
      <c r="H631" s="739">
        <v>458.28</v>
      </c>
      <c r="I631" s="740" t="s">
        <v>3061</v>
      </c>
      <c r="J631" s="301"/>
      <c r="K631" s="731" t="s">
        <v>2070</v>
      </c>
      <c r="L631" s="741">
        <f>L630/L629</f>
        <v>0.0310135763</v>
      </c>
      <c r="M631" s="733"/>
      <c r="N631" s="742" t="str">
        <f>IF(L631&lt;25%,"Não","Sim - proceder verificação ao lado")</f>
        <v>Não</v>
      </c>
      <c r="O631" s="743" t="b">
        <v>1</v>
      </c>
    </row>
    <row r="632">
      <c r="A632" s="734"/>
      <c r="B632" s="735" t="s">
        <v>2064</v>
      </c>
      <c r="C632" s="744" t="s">
        <v>2126</v>
      </c>
      <c r="D632" s="736" t="s">
        <v>2281</v>
      </c>
      <c r="E632" s="763" t="s">
        <v>2709</v>
      </c>
      <c r="F632" s="738" t="s">
        <v>3062</v>
      </c>
      <c r="G632" s="736" t="s">
        <v>1757</v>
      </c>
      <c r="H632" s="745">
        <v>485.82</v>
      </c>
      <c r="I632" s="740" t="s">
        <v>3063</v>
      </c>
      <c r="J632" s="301"/>
      <c r="K632" s="731" t="s">
        <v>2075</v>
      </c>
      <c r="L632" s="746">
        <f>L629*1.25</f>
        <v>586.6583333</v>
      </c>
      <c r="M632" s="733"/>
      <c r="N632" s="301"/>
      <c r="O632" s="743" t="b">
        <v>1</v>
      </c>
    </row>
    <row r="633">
      <c r="A633" s="734"/>
      <c r="B633" s="735" t="s">
        <v>2064</v>
      </c>
      <c r="C633" s="767" t="s">
        <v>2477</v>
      </c>
      <c r="D633" s="777" t="s">
        <v>3064</v>
      </c>
      <c r="E633" s="763" t="s">
        <v>2085</v>
      </c>
      <c r="F633" s="764" t="s">
        <v>3065</v>
      </c>
      <c r="G633" s="736" t="s">
        <v>1757</v>
      </c>
      <c r="H633" s="745">
        <v>463.88</v>
      </c>
      <c r="I633" s="776" t="s">
        <v>3066</v>
      </c>
      <c r="J633" s="189"/>
      <c r="K633" s="731" t="s">
        <v>2080</v>
      </c>
      <c r="L633" s="746">
        <f>L629*0.75</f>
        <v>351.995</v>
      </c>
      <c r="M633" s="733"/>
      <c r="N633" s="189"/>
      <c r="O633" s="743" t="b">
        <v>1</v>
      </c>
    </row>
    <row r="634">
      <c r="A634" s="734"/>
      <c r="B634" s="735"/>
      <c r="C634" s="735"/>
      <c r="D634" s="734"/>
      <c r="E634" s="749"/>
      <c r="F634" s="750"/>
      <c r="G634" s="749"/>
      <c r="H634" s="749"/>
      <c r="I634" s="751"/>
      <c r="J634" s="752"/>
      <c r="K634" s="752"/>
      <c r="L634" s="752"/>
      <c r="M634" s="751"/>
      <c r="N634" s="752"/>
      <c r="O634" s="753"/>
    </row>
    <row r="635">
      <c r="A635" s="754" t="s">
        <v>1310</v>
      </c>
      <c r="B635" s="755" t="s">
        <v>3067</v>
      </c>
      <c r="C635" s="36"/>
      <c r="D635" s="36"/>
      <c r="E635" s="36"/>
      <c r="F635" s="36"/>
      <c r="G635" s="754" t="s">
        <v>1757</v>
      </c>
      <c r="H635" s="756">
        <f>MEDIAN(H637:H639)</f>
        <v>429.8</v>
      </c>
      <c r="I635" s="757"/>
      <c r="J635" s="758" t="s">
        <v>2053</v>
      </c>
      <c r="K635" s="731" t="s">
        <v>2054</v>
      </c>
      <c r="L635" s="759">
        <f>AVERAGE(H637:H639)</f>
        <v>434.9666667</v>
      </c>
      <c r="M635" s="733"/>
      <c r="N635" s="760" t="s">
        <v>2055</v>
      </c>
      <c r="O635" s="454"/>
    </row>
    <row r="636">
      <c r="A636" s="727" t="s">
        <v>1717</v>
      </c>
      <c r="B636" s="728" t="s">
        <v>2056</v>
      </c>
      <c r="C636" s="728" t="s">
        <v>2057</v>
      </c>
      <c r="D636" s="727" t="s">
        <v>2058</v>
      </c>
      <c r="E636" s="727" t="s">
        <v>2059</v>
      </c>
      <c r="F636" s="729" t="s">
        <v>1537</v>
      </c>
      <c r="G636" s="727" t="s">
        <v>2060</v>
      </c>
      <c r="H636" s="727" t="s">
        <v>2061</v>
      </c>
      <c r="I636" s="730" t="s">
        <v>2062</v>
      </c>
      <c r="J636" s="301"/>
      <c r="K636" s="731" t="s">
        <v>2063</v>
      </c>
      <c r="L636" s="732">
        <f>STDEV(H637:H639)</f>
        <v>13.62562781</v>
      </c>
      <c r="M636" s="733"/>
      <c r="N636" s="189"/>
      <c r="O636" s="454"/>
    </row>
    <row r="637">
      <c r="A637" s="734"/>
      <c r="B637" s="735" t="s">
        <v>2064</v>
      </c>
      <c r="C637" s="747" t="s">
        <v>2276</v>
      </c>
      <c r="D637" s="802" t="s">
        <v>2134</v>
      </c>
      <c r="E637" s="763" t="s">
        <v>2709</v>
      </c>
      <c r="F637" s="738" t="s">
        <v>3068</v>
      </c>
      <c r="G637" s="736" t="s">
        <v>1757</v>
      </c>
      <c r="H637" s="739">
        <v>424.68</v>
      </c>
      <c r="I637" s="740" t="s">
        <v>3069</v>
      </c>
      <c r="J637" s="301"/>
      <c r="K637" s="731" t="s">
        <v>2070</v>
      </c>
      <c r="L637" s="741">
        <f>L636/L635</f>
        <v>0.03132568277</v>
      </c>
      <c r="M637" s="733"/>
      <c r="N637" s="742" t="str">
        <f>IF(L637&lt;25%,"Não","Sim - proceder verificação ao lado")</f>
        <v>Não</v>
      </c>
      <c r="O637" s="743" t="b">
        <v>1</v>
      </c>
    </row>
    <row r="638">
      <c r="A638" s="734"/>
      <c r="B638" s="735" t="s">
        <v>2064</v>
      </c>
      <c r="C638" s="744" t="s">
        <v>2126</v>
      </c>
      <c r="D638" s="736" t="s">
        <v>2281</v>
      </c>
      <c r="E638" s="763" t="s">
        <v>2709</v>
      </c>
      <c r="F638" s="766" t="s">
        <v>3070</v>
      </c>
      <c r="G638" s="736" t="s">
        <v>1757</v>
      </c>
      <c r="H638" s="745">
        <v>450.42</v>
      </c>
      <c r="I638" s="740" t="s">
        <v>3071</v>
      </c>
      <c r="J638" s="301"/>
      <c r="K638" s="731" t="s">
        <v>2075</v>
      </c>
      <c r="L638" s="746">
        <f>L635*1.25</f>
        <v>543.7083333</v>
      </c>
      <c r="M638" s="733"/>
      <c r="N638" s="301"/>
      <c r="O638" s="743" t="b">
        <v>1</v>
      </c>
    </row>
    <row r="639">
      <c r="A639" s="734"/>
      <c r="B639" s="735" t="s">
        <v>2064</v>
      </c>
      <c r="C639" s="744" t="s">
        <v>2184</v>
      </c>
      <c r="D639" s="736" t="s">
        <v>2185</v>
      </c>
      <c r="E639" s="763" t="s">
        <v>2709</v>
      </c>
      <c r="F639" s="738" t="s">
        <v>3072</v>
      </c>
      <c r="G639" s="736" t="s">
        <v>1757</v>
      </c>
      <c r="H639" s="745">
        <v>429.8</v>
      </c>
      <c r="I639" s="775" t="s">
        <v>3073</v>
      </c>
      <c r="J639" s="189"/>
      <c r="K639" s="731" t="s">
        <v>2080</v>
      </c>
      <c r="L639" s="746">
        <f>L635*0.75</f>
        <v>326.225</v>
      </c>
      <c r="M639" s="733"/>
      <c r="N639" s="189"/>
      <c r="O639" s="743" t="b">
        <v>1</v>
      </c>
    </row>
    <row r="640">
      <c r="A640" s="734"/>
      <c r="B640" s="735"/>
      <c r="C640" s="735"/>
      <c r="D640" s="734"/>
      <c r="E640" s="749"/>
      <c r="F640" s="750"/>
      <c r="G640" s="749"/>
      <c r="H640" s="749"/>
      <c r="I640" s="751"/>
      <c r="J640" s="752"/>
      <c r="K640" s="752"/>
      <c r="L640" s="752"/>
      <c r="M640" s="751"/>
      <c r="N640" s="752"/>
      <c r="O640" s="753"/>
    </row>
    <row r="641">
      <c r="A641" s="754" t="s">
        <v>1312</v>
      </c>
      <c r="B641" s="755" t="s">
        <v>3074</v>
      </c>
      <c r="C641" s="36"/>
      <c r="D641" s="36"/>
      <c r="E641" s="36"/>
      <c r="F641" s="36"/>
      <c r="G641" s="754" t="s">
        <v>1757</v>
      </c>
      <c r="H641" s="756">
        <f>MEDIAN(H643:H645)</f>
        <v>174.02</v>
      </c>
      <c r="I641" s="757"/>
      <c r="J641" s="758" t="s">
        <v>2053</v>
      </c>
      <c r="K641" s="731" t="s">
        <v>2054</v>
      </c>
      <c r="L641" s="759">
        <f>AVERAGE(H643:H645)</f>
        <v>169.6233333</v>
      </c>
      <c r="M641" s="733"/>
      <c r="N641" s="760" t="s">
        <v>2055</v>
      </c>
      <c r="O641" s="454"/>
    </row>
    <row r="642">
      <c r="A642" s="727" t="s">
        <v>1717</v>
      </c>
      <c r="B642" s="728" t="s">
        <v>2056</v>
      </c>
      <c r="C642" s="728" t="s">
        <v>2057</v>
      </c>
      <c r="D642" s="727" t="s">
        <v>2058</v>
      </c>
      <c r="E642" s="727" t="s">
        <v>2059</v>
      </c>
      <c r="F642" s="729" t="s">
        <v>1537</v>
      </c>
      <c r="G642" s="727" t="s">
        <v>2060</v>
      </c>
      <c r="H642" s="727" t="s">
        <v>2061</v>
      </c>
      <c r="I642" s="730" t="s">
        <v>2062</v>
      </c>
      <c r="J642" s="301"/>
      <c r="K642" s="731" t="s">
        <v>2063</v>
      </c>
      <c r="L642" s="732">
        <f>STDEV(H643:H645)</f>
        <v>18.10980489</v>
      </c>
      <c r="M642" s="733"/>
      <c r="N642" s="189"/>
      <c r="O642" s="454"/>
    </row>
    <row r="643">
      <c r="A643" s="734"/>
      <c r="B643" s="735" t="s">
        <v>2064</v>
      </c>
      <c r="C643" s="735" t="s">
        <v>3049</v>
      </c>
      <c r="D643" s="734" t="s">
        <v>2563</v>
      </c>
      <c r="E643" s="763" t="s">
        <v>2709</v>
      </c>
      <c r="F643" s="738" t="s">
        <v>3075</v>
      </c>
      <c r="G643" s="736" t="s">
        <v>1757</v>
      </c>
      <c r="H643" s="739">
        <v>185.13</v>
      </c>
      <c r="I643" s="740" t="s">
        <v>3076</v>
      </c>
      <c r="J643" s="301"/>
      <c r="K643" s="731" t="s">
        <v>2070</v>
      </c>
      <c r="L643" s="741">
        <f>L642/L641</f>
        <v>0.1067648214</v>
      </c>
      <c r="M643" s="733"/>
      <c r="N643" s="742" t="str">
        <f>IF(L643&lt;25%,"Não","Sim - proceder verificação ao lado")</f>
        <v>Não</v>
      </c>
      <c r="O643" s="743" t="b">
        <v>1</v>
      </c>
    </row>
    <row r="644">
      <c r="A644" s="734"/>
      <c r="B644" s="735" t="s">
        <v>2064</v>
      </c>
      <c r="C644" s="744" t="s">
        <v>3077</v>
      </c>
      <c r="D644" s="736" t="s">
        <v>3078</v>
      </c>
      <c r="E644" s="763" t="s">
        <v>2709</v>
      </c>
      <c r="F644" s="738" t="s">
        <v>3079</v>
      </c>
      <c r="G644" s="736" t="s">
        <v>1757</v>
      </c>
      <c r="H644" s="745">
        <v>149.72</v>
      </c>
      <c r="I644" s="775" t="s">
        <v>3080</v>
      </c>
      <c r="J644" s="301"/>
      <c r="K644" s="731" t="s">
        <v>2075</v>
      </c>
      <c r="L644" s="746">
        <f>L641*1.25</f>
        <v>212.0291667</v>
      </c>
      <c r="M644" s="733"/>
      <c r="N644" s="301"/>
      <c r="O644" s="743" t="b">
        <v>1</v>
      </c>
    </row>
    <row r="645">
      <c r="A645" s="734"/>
      <c r="B645" s="735" t="s">
        <v>2064</v>
      </c>
      <c r="C645" s="747" t="s">
        <v>2477</v>
      </c>
      <c r="D645" s="748" t="s">
        <v>3064</v>
      </c>
      <c r="E645" s="763" t="s">
        <v>2709</v>
      </c>
      <c r="F645" s="766" t="s">
        <v>3081</v>
      </c>
      <c r="G645" s="736" t="s">
        <v>1757</v>
      </c>
      <c r="H645" s="739">
        <v>174.02</v>
      </c>
      <c r="I645" s="780" t="s">
        <v>3082</v>
      </c>
      <c r="J645" s="189"/>
      <c r="K645" s="731" t="s">
        <v>2080</v>
      </c>
      <c r="L645" s="746">
        <f>L641*0.75</f>
        <v>127.2175</v>
      </c>
      <c r="M645" s="733"/>
      <c r="N645" s="189"/>
      <c r="O645" s="743" t="b">
        <v>1</v>
      </c>
    </row>
    <row r="646">
      <c r="A646" s="734"/>
      <c r="B646" s="735"/>
      <c r="C646" s="735"/>
      <c r="D646" s="734"/>
      <c r="E646" s="749"/>
      <c r="F646" s="750"/>
      <c r="G646" s="749"/>
      <c r="H646" s="749"/>
      <c r="I646" s="751"/>
      <c r="J646" s="752"/>
      <c r="K646" s="752"/>
      <c r="L646" s="752"/>
      <c r="M646" s="751"/>
      <c r="N646" s="752"/>
      <c r="O646" s="753"/>
    </row>
    <row r="647">
      <c r="A647" s="754" t="s">
        <v>1330</v>
      </c>
      <c r="B647" s="755" t="s">
        <v>3083</v>
      </c>
      <c r="C647" s="36"/>
      <c r="D647" s="36"/>
      <c r="E647" s="36"/>
      <c r="F647" s="36"/>
      <c r="G647" s="754" t="s">
        <v>1757</v>
      </c>
      <c r="H647" s="756">
        <f>MEDIAN(H649:H651)</f>
        <v>2.57</v>
      </c>
      <c r="I647" s="757"/>
      <c r="J647" s="758" t="s">
        <v>2053</v>
      </c>
      <c r="K647" s="731" t="s">
        <v>2054</v>
      </c>
      <c r="L647" s="759">
        <f>AVERAGE(H649:H651)</f>
        <v>2.633333333</v>
      </c>
      <c r="M647" s="733"/>
      <c r="N647" s="760" t="s">
        <v>2055</v>
      </c>
      <c r="O647" s="454"/>
    </row>
    <row r="648">
      <c r="A648" s="727" t="s">
        <v>1717</v>
      </c>
      <c r="B648" s="728" t="s">
        <v>2056</v>
      </c>
      <c r="C648" s="728" t="s">
        <v>2057</v>
      </c>
      <c r="D648" s="727" t="s">
        <v>2058</v>
      </c>
      <c r="E648" s="727" t="s">
        <v>2059</v>
      </c>
      <c r="F648" s="729" t="s">
        <v>1537</v>
      </c>
      <c r="G648" s="727" t="s">
        <v>2060</v>
      </c>
      <c r="H648" s="727" t="s">
        <v>2061</v>
      </c>
      <c r="I648" s="730" t="s">
        <v>2062</v>
      </c>
      <c r="J648" s="301"/>
      <c r="K648" s="731" t="s">
        <v>2063</v>
      </c>
      <c r="L648" s="732">
        <f>STDEV(H649:H651)</f>
        <v>0.1365039682</v>
      </c>
      <c r="M648" s="733"/>
      <c r="N648" s="189"/>
      <c r="O648" s="454"/>
    </row>
    <row r="649">
      <c r="A649" s="734"/>
      <c r="B649" s="735" t="s">
        <v>2064</v>
      </c>
      <c r="C649" s="747" t="s">
        <v>2276</v>
      </c>
      <c r="D649" s="802" t="s">
        <v>2134</v>
      </c>
      <c r="E649" s="763" t="s">
        <v>2709</v>
      </c>
      <c r="F649" s="738" t="s">
        <v>3084</v>
      </c>
      <c r="G649" s="736" t="s">
        <v>1757</v>
      </c>
      <c r="H649" s="745">
        <v>2.54</v>
      </c>
      <c r="I649" s="740" t="s">
        <v>3085</v>
      </c>
      <c r="J649" s="301"/>
      <c r="K649" s="731" t="s">
        <v>2070</v>
      </c>
      <c r="L649" s="741">
        <f>L648/L647</f>
        <v>0.05183694995</v>
      </c>
      <c r="M649" s="733"/>
      <c r="N649" s="742" t="str">
        <f>IF(L649&lt;25%,"Não","Sim - proceder verificação ao lado")</f>
        <v>Não</v>
      </c>
      <c r="O649" s="743" t="b">
        <v>1</v>
      </c>
    </row>
    <row r="650">
      <c r="A650" s="734"/>
      <c r="B650" s="735" t="s">
        <v>2064</v>
      </c>
      <c r="C650" s="744" t="s">
        <v>3086</v>
      </c>
      <c r="D650" s="736" t="s">
        <v>2413</v>
      </c>
      <c r="E650" s="763" t="s">
        <v>2709</v>
      </c>
      <c r="F650" s="738" t="s">
        <v>3087</v>
      </c>
      <c r="G650" s="736" t="s">
        <v>1757</v>
      </c>
      <c r="H650" s="739">
        <v>2.79</v>
      </c>
      <c r="I650" s="740" t="s">
        <v>3088</v>
      </c>
      <c r="J650" s="301"/>
      <c r="K650" s="731" t="s">
        <v>2075</v>
      </c>
      <c r="L650" s="746">
        <f>L647*1.25</f>
        <v>3.291666667</v>
      </c>
      <c r="M650" s="733"/>
      <c r="N650" s="301"/>
      <c r="O650" s="743" t="b">
        <v>1</v>
      </c>
    </row>
    <row r="651">
      <c r="A651" s="734"/>
      <c r="B651" s="735" t="s">
        <v>2064</v>
      </c>
      <c r="C651" s="744" t="s">
        <v>2197</v>
      </c>
      <c r="D651" s="736" t="s">
        <v>2198</v>
      </c>
      <c r="E651" s="763" t="s">
        <v>2709</v>
      </c>
      <c r="F651" s="738" t="s">
        <v>3089</v>
      </c>
      <c r="G651" s="736" t="s">
        <v>1757</v>
      </c>
      <c r="H651" s="745">
        <v>2.57</v>
      </c>
      <c r="I651" s="775" t="s">
        <v>3090</v>
      </c>
      <c r="J651" s="189"/>
      <c r="K651" s="731" t="s">
        <v>2080</v>
      </c>
      <c r="L651" s="746">
        <f>L647*0.75</f>
        <v>1.975</v>
      </c>
      <c r="M651" s="733"/>
      <c r="N651" s="189"/>
      <c r="O651" s="743" t="b">
        <v>1</v>
      </c>
    </row>
    <row r="652">
      <c r="A652" s="734"/>
      <c r="B652" s="735"/>
      <c r="C652" s="735"/>
      <c r="D652" s="734"/>
      <c r="E652" s="749"/>
      <c r="F652" s="750"/>
      <c r="G652" s="749"/>
      <c r="H652" s="749"/>
      <c r="I652" s="751"/>
      <c r="J652" s="752"/>
      <c r="K652" s="752"/>
      <c r="L652" s="752"/>
      <c r="M652" s="751"/>
      <c r="N652" s="752"/>
      <c r="O652" s="753"/>
    </row>
    <row r="653">
      <c r="A653" s="754" t="s">
        <v>1332</v>
      </c>
      <c r="B653" s="755" t="s">
        <v>3091</v>
      </c>
      <c r="C653" s="36"/>
      <c r="D653" s="36"/>
      <c r="E653" s="36"/>
      <c r="F653" s="36"/>
      <c r="G653" s="754" t="s">
        <v>1757</v>
      </c>
      <c r="H653" s="756">
        <f>MEDIAN(H655:H657)</f>
        <v>3.09</v>
      </c>
      <c r="I653" s="757"/>
      <c r="J653" s="758" t="s">
        <v>2053</v>
      </c>
      <c r="K653" s="731" t="s">
        <v>2054</v>
      </c>
      <c r="L653" s="759">
        <f>AVERAGE(H655:H657)</f>
        <v>3.21</v>
      </c>
      <c r="M653" s="733"/>
      <c r="N653" s="760" t="s">
        <v>2055</v>
      </c>
      <c r="O653" s="454"/>
    </row>
    <row r="654">
      <c r="A654" s="727" t="s">
        <v>1717</v>
      </c>
      <c r="B654" s="728" t="s">
        <v>2056</v>
      </c>
      <c r="C654" s="728" t="s">
        <v>2057</v>
      </c>
      <c r="D654" s="727" t="s">
        <v>2058</v>
      </c>
      <c r="E654" s="727" t="s">
        <v>2059</v>
      </c>
      <c r="F654" s="729" t="s">
        <v>1537</v>
      </c>
      <c r="G654" s="727" t="s">
        <v>2060</v>
      </c>
      <c r="H654" s="727" t="s">
        <v>2061</v>
      </c>
      <c r="I654" s="730" t="s">
        <v>2062</v>
      </c>
      <c r="J654" s="301"/>
      <c r="K654" s="731" t="s">
        <v>2063</v>
      </c>
      <c r="L654" s="732">
        <f>STDEV(H655:H657)</f>
        <v>0.28</v>
      </c>
      <c r="M654" s="733"/>
      <c r="N654" s="189"/>
      <c r="O654" s="454"/>
    </row>
    <row r="655">
      <c r="A655" s="734"/>
      <c r="B655" s="735" t="s">
        <v>2064</v>
      </c>
      <c r="C655" s="747" t="s">
        <v>2276</v>
      </c>
      <c r="D655" s="802" t="s">
        <v>2134</v>
      </c>
      <c r="E655" s="763" t="s">
        <v>2709</v>
      </c>
      <c r="F655" s="738" t="s">
        <v>3092</v>
      </c>
      <c r="G655" s="736" t="s">
        <v>1757</v>
      </c>
      <c r="H655" s="745">
        <v>3.09</v>
      </c>
      <c r="I655" s="740" t="s">
        <v>3093</v>
      </c>
      <c r="J655" s="301"/>
      <c r="K655" s="731" t="s">
        <v>2070</v>
      </c>
      <c r="L655" s="741">
        <f>L654/L653</f>
        <v>0.08722741433</v>
      </c>
      <c r="M655" s="733"/>
      <c r="N655" s="742" t="str">
        <f>IF(L655&lt;25%,"Não","Sim - proceder verificação ao lado")</f>
        <v>Não</v>
      </c>
      <c r="O655" s="743" t="b">
        <v>1</v>
      </c>
    </row>
    <row r="656">
      <c r="A656" s="734"/>
      <c r="B656" s="735" t="s">
        <v>2064</v>
      </c>
      <c r="C656" s="744" t="s">
        <v>2412</v>
      </c>
      <c r="D656" s="736" t="s">
        <v>2413</v>
      </c>
      <c r="E656" s="763" t="s">
        <v>2709</v>
      </c>
      <c r="F656" s="738" t="s">
        <v>3094</v>
      </c>
      <c r="G656" s="736" t="s">
        <v>1757</v>
      </c>
      <c r="H656" s="739">
        <v>3.53</v>
      </c>
      <c r="I656" s="775" t="s">
        <v>3095</v>
      </c>
      <c r="J656" s="301"/>
      <c r="K656" s="731" t="s">
        <v>2075</v>
      </c>
      <c r="L656" s="746">
        <f>L653*1.25</f>
        <v>4.0125</v>
      </c>
      <c r="M656" s="733"/>
      <c r="N656" s="301"/>
      <c r="O656" s="743" t="b">
        <v>1</v>
      </c>
    </row>
    <row r="657">
      <c r="A657" s="734"/>
      <c r="B657" s="735" t="s">
        <v>2064</v>
      </c>
      <c r="C657" s="744" t="s">
        <v>2197</v>
      </c>
      <c r="D657" s="736" t="s">
        <v>2198</v>
      </c>
      <c r="E657" s="763" t="s">
        <v>2709</v>
      </c>
      <c r="F657" s="738" t="s">
        <v>3096</v>
      </c>
      <c r="G657" s="736" t="s">
        <v>1757</v>
      </c>
      <c r="H657" s="745">
        <v>3.01</v>
      </c>
      <c r="I657" s="775" t="s">
        <v>3097</v>
      </c>
      <c r="J657" s="189"/>
      <c r="K657" s="731" t="s">
        <v>2080</v>
      </c>
      <c r="L657" s="746">
        <f>L653*0.75</f>
        <v>2.4075</v>
      </c>
      <c r="M657" s="733"/>
      <c r="N657" s="189"/>
      <c r="O657" s="743" t="b">
        <v>1</v>
      </c>
    </row>
    <row r="658">
      <c r="A658" s="734"/>
      <c r="B658" s="735"/>
      <c r="C658" s="735"/>
      <c r="D658" s="734"/>
      <c r="E658" s="749"/>
      <c r="F658" s="750"/>
      <c r="G658" s="749"/>
      <c r="H658" s="749"/>
      <c r="I658" s="751"/>
      <c r="J658" s="752"/>
      <c r="K658" s="752"/>
      <c r="L658" s="752"/>
      <c r="M658" s="751"/>
      <c r="N658" s="752"/>
      <c r="O658" s="753"/>
    </row>
    <row r="659">
      <c r="A659" s="754" t="s">
        <v>1334</v>
      </c>
      <c r="B659" s="755" t="s">
        <v>3098</v>
      </c>
      <c r="C659" s="36"/>
      <c r="D659" s="36"/>
      <c r="E659" s="36"/>
      <c r="F659" s="36"/>
      <c r="G659" s="754" t="s">
        <v>1757</v>
      </c>
      <c r="H659" s="756">
        <f>MEDIAN(H661:H663)</f>
        <v>255</v>
      </c>
      <c r="I659" s="757"/>
      <c r="J659" s="758" t="s">
        <v>2053</v>
      </c>
      <c r="K659" s="731" t="s">
        <v>2054</v>
      </c>
      <c r="L659" s="759">
        <f>AVERAGE(H661:H663)</f>
        <v>263.78</v>
      </c>
      <c r="M659" s="733"/>
      <c r="N659" s="760" t="s">
        <v>2055</v>
      </c>
      <c r="O659" s="454"/>
    </row>
    <row r="660">
      <c r="A660" s="727" t="s">
        <v>1717</v>
      </c>
      <c r="B660" s="728" t="s">
        <v>2056</v>
      </c>
      <c r="C660" s="728" t="s">
        <v>2057</v>
      </c>
      <c r="D660" s="727" t="s">
        <v>2058</v>
      </c>
      <c r="E660" s="727" t="s">
        <v>2059</v>
      </c>
      <c r="F660" s="729" t="s">
        <v>1537</v>
      </c>
      <c r="G660" s="727" t="s">
        <v>2060</v>
      </c>
      <c r="H660" s="727" t="s">
        <v>2061</v>
      </c>
      <c r="I660" s="730" t="s">
        <v>2062</v>
      </c>
      <c r="J660" s="301"/>
      <c r="K660" s="731" t="s">
        <v>2063</v>
      </c>
      <c r="L660" s="732">
        <f>STDEV(H661:H663)</f>
        <v>32.72560465</v>
      </c>
      <c r="M660" s="733"/>
      <c r="N660" s="189"/>
      <c r="O660" s="454"/>
    </row>
    <row r="661">
      <c r="A661" s="734"/>
      <c r="B661" s="735" t="s">
        <v>2064</v>
      </c>
      <c r="C661" s="735" t="s">
        <v>2126</v>
      </c>
      <c r="D661" s="734" t="s">
        <v>2281</v>
      </c>
      <c r="E661" s="763" t="s">
        <v>2709</v>
      </c>
      <c r="F661" s="766" t="s">
        <v>3099</v>
      </c>
      <c r="G661" s="736" t="s">
        <v>1757</v>
      </c>
      <c r="H661" s="745">
        <v>236.34</v>
      </c>
      <c r="I661" s="740" t="s">
        <v>3100</v>
      </c>
      <c r="J661" s="301"/>
      <c r="K661" s="731" t="s">
        <v>2070</v>
      </c>
      <c r="L661" s="741">
        <f>L660/L659</f>
        <v>0.1240640104</v>
      </c>
      <c r="M661" s="733"/>
      <c r="N661" s="742" t="str">
        <f>IF(L661&lt;25%,"Não","Sim - proceder verificação ao lado")</f>
        <v>Não</v>
      </c>
      <c r="O661" s="743" t="b">
        <v>1</v>
      </c>
    </row>
    <row r="662">
      <c r="A662" s="734"/>
      <c r="B662" s="735" t="s">
        <v>2064</v>
      </c>
      <c r="C662" s="767" t="s">
        <v>3101</v>
      </c>
      <c r="D662" s="803" t="s">
        <v>3102</v>
      </c>
      <c r="E662" s="763" t="s">
        <v>2085</v>
      </c>
      <c r="F662" s="764" t="s">
        <v>3103</v>
      </c>
      <c r="G662" s="736" t="s">
        <v>1757</v>
      </c>
      <c r="H662" s="745">
        <v>300.0</v>
      </c>
      <c r="I662" s="768" t="s">
        <v>3104</v>
      </c>
      <c r="J662" s="301"/>
      <c r="K662" s="731" t="s">
        <v>2075</v>
      </c>
      <c r="L662" s="746">
        <f>L659*1.25</f>
        <v>329.725</v>
      </c>
      <c r="M662" s="733"/>
      <c r="N662" s="301"/>
      <c r="O662" s="743" t="b">
        <v>1</v>
      </c>
    </row>
    <row r="663">
      <c r="A663" s="734"/>
      <c r="B663" s="735" t="s">
        <v>2064</v>
      </c>
      <c r="C663" s="747" t="s">
        <v>3105</v>
      </c>
      <c r="D663" s="748" t="s">
        <v>2440</v>
      </c>
      <c r="E663" s="763" t="s">
        <v>2709</v>
      </c>
      <c r="F663" s="766" t="s">
        <v>3106</v>
      </c>
      <c r="G663" s="736" t="s">
        <v>1757</v>
      </c>
      <c r="H663" s="739">
        <v>255.0</v>
      </c>
      <c r="I663" s="780" t="s">
        <v>3107</v>
      </c>
      <c r="J663" s="189"/>
      <c r="K663" s="731" t="s">
        <v>2080</v>
      </c>
      <c r="L663" s="746">
        <f>L659*0.75</f>
        <v>197.835</v>
      </c>
      <c r="M663" s="733"/>
      <c r="N663" s="189"/>
      <c r="O663" s="743" t="b">
        <v>1</v>
      </c>
    </row>
    <row r="664">
      <c r="A664" s="734"/>
      <c r="B664" s="735"/>
      <c r="C664" s="735"/>
      <c r="D664" s="734"/>
      <c r="E664" s="749"/>
      <c r="F664" s="750"/>
      <c r="G664" s="749"/>
      <c r="H664" s="749"/>
      <c r="I664" s="751"/>
      <c r="J664" s="752"/>
      <c r="K664" s="752"/>
      <c r="L664" s="752"/>
      <c r="M664" s="751"/>
      <c r="N664" s="752"/>
      <c r="O664" s="753"/>
    </row>
    <row r="665">
      <c r="A665" s="754" t="s">
        <v>1336</v>
      </c>
      <c r="B665" s="755" t="s">
        <v>3108</v>
      </c>
      <c r="C665" s="36"/>
      <c r="D665" s="36"/>
      <c r="E665" s="36"/>
      <c r="F665" s="36"/>
      <c r="G665" s="754" t="s">
        <v>1757</v>
      </c>
      <c r="H665" s="756">
        <f>MEDIAN(H667:H669)</f>
        <v>6.11</v>
      </c>
      <c r="I665" s="757"/>
      <c r="J665" s="758" t="s">
        <v>2053</v>
      </c>
      <c r="K665" s="731" t="s">
        <v>2054</v>
      </c>
      <c r="L665" s="759">
        <f>AVERAGE(H667:H669)</f>
        <v>6.47</v>
      </c>
      <c r="M665" s="733"/>
      <c r="N665" s="760" t="s">
        <v>2055</v>
      </c>
      <c r="O665" s="454"/>
    </row>
    <row r="666">
      <c r="A666" s="727" t="s">
        <v>1717</v>
      </c>
      <c r="B666" s="728" t="s">
        <v>2056</v>
      </c>
      <c r="C666" s="728" t="s">
        <v>2057</v>
      </c>
      <c r="D666" s="727" t="s">
        <v>2058</v>
      </c>
      <c r="E666" s="727" t="s">
        <v>2059</v>
      </c>
      <c r="F666" s="729" t="s">
        <v>1537</v>
      </c>
      <c r="G666" s="727" t="s">
        <v>2060</v>
      </c>
      <c r="H666" s="727" t="s">
        <v>2061</v>
      </c>
      <c r="I666" s="730" t="s">
        <v>2062</v>
      </c>
      <c r="J666" s="301"/>
      <c r="K666" s="731" t="s">
        <v>2063</v>
      </c>
      <c r="L666" s="732">
        <f>STDEV(H667:H669)</f>
        <v>0.9053728514</v>
      </c>
      <c r="M666" s="733"/>
      <c r="N666" s="189"/>
      <c r="O666" s="454"/>
    </row>
    <row r="667">
      <c r="A667" s="734"/>
      <c r="B667" s="735" t="s">
        <v>2064</v>
      </c>
      <c r="C667" s="767" t="s">
        <v>2439</v>
      </c>
      <c r="D667" s="777" t="s">
        <v>2440</v>
      </c>
      <c r="E667" s="763" t="s">
        <v>2085</v>
      </c>
      <c r="F667" s="764" t="s">
        <v>3109</v>
      </c>
      <c r="G667" s="736" t="s">
        <v>1757</v>
      </c>
      <c r="H667" s="745">
        <v>7.5</v>
      </c>
      <c r="I667" s="768" t="s">
        <v>3110</v>
      </c>
      <c r="J667" s="301"/>
      <c r="K667" s="731" t="s">
        <v>2070</v>
      </c>
      <c r="L667" s="741">
        <f>L666/L665</f>
        <v>0.1399339801</v>
      </c>
      <c r="M667" s="733"/>
      <c r="N667" s="742" t="str">
        <f>IF(L667&lt;25%,"Não","Sim - proceder verificação ao lado")</f>
        <v>Não</v>
      </c>
      <c r="O667" s="743" t="b">
        <v>1</v>
      </c>
    </row>
    <row r="668">
      <c r="A668" s="734"/>
      <c r="B668" s="735" t="s">
        <v>2064</v>
      </c>
      <c r="C668" s="744" t="s">
        <v>2197</v>
      </c>
      <c r="D668" s="736" t="s">
        <v>2198</v>
      </c>
      <c r="E668" s="763" t="s">
        <v>2709</v>
      </c>
      <c r="F668" s="738" t="s">
        <v>3111</v>
      </c>
      <c r="G668" s="736" t="s">
        <v>1757</v>
      </c>
      <c r="H668" s="739">
        <v>6.11</v>
      </c>
      <c r="I668" s="740" t="s">
        <v>3112</v>
      </c>
      <c r="J668" s="301"/>
      <c r="K668" s="731" t="s">
        <v>2075</v>
      </c>
      <c r="L668" s="746">
        <f>L665*1.25</f>
        <v>8.0875</v>
      </c>
      <c r="M668" s="733"/>
      <c r="N668" s="301"/>
      <c r="O668" s="743" t="b">
        <v>1</v>
      </c>
    </row>
    <row r="669">
      <c r="A669" s="734"/>
      <c r="B669" s="735" t="s">
        <v>2064</v>
      </c>
      <c r="C669" s="744" t="s">
        <v>2541</v>
      </c>
      <c r="D669" s="736" t="s">
        <v>2150</v>
      </c>
      <c r="E669" s="763" t="s">
        <v>2709</v>
      </c>
      <c r="F669" s="738" t="s">
        <v>3111</v>
      </c>
      <c r="G669" s="736" t="s">
        <v>1757</v>
      </c>
      <c r="H669" s="745">
        <v>5.8</v>
      </c>
      <c r="I669" s="775" t="s">
        <v>3113</v>
      </c>
      <c r="J669" s="189"/>
      <c r="K669" s="731" t="s">
        <v>2080</v>
      </c>
      <c r="L669" s="746">
        <f>L665*0.75</f>
        <v>4.8525</v>
      </c>
      <c r="M669" s="733"/>
      <c r="N669" s="189"/>
      <c r="O669" s="743" t="b">
        <v>1</v>
      </c>
    </row>
    <row r="670">
      <c r="A670" s="734"/>
      <c r="B670" s="735"/>
      <c r="C670" s="735"/>
      <c r="D670" s="734"/>
      <c r="E670" s="749"/>
      <c r="F670" s="750"/>
      <c r="G670" s="749"/>
      <c r="H670" s="749"/>
      <c r="I670" s="751"/>
      <c r="J670" s="752"/>
      <c r="K670" s="752"/>
      <c r="L670" s="752"/>
      <c r="M670" s="751"/>
      <c r="N670" s="752"/>
      <c r="O670" s="753"/>
    </row>
    <row r="671">
      <c r="A671" s="754" t="s">
        <v>3114</v>
      </c>
      <c r="B671" s="755" t="s">
        <v>3115</v>
      </c>
      <c r="C671" s="36"/>
      <c r="D671" s="36"/>
      <c r="E671" s="36"/>
      <c r="F671" s="36"/>
      <c r="G671" s="754" t="s">
        <v>1757</v>
      </c>
      <c r="H671" s="756">
        <f>MEDIAN(H673:H675)</f>
        <v>50.51</v>
      </c>
      <c r="I671" s="757"/>
      <c r="J671" s="758" t="s">
        <v>2053</v>
      </c>
      <c r="K671" s="731" t="s">
        <v>2054</v>
      </c>
      <c r="L671" s="759">
        <f>AVERAGE(H673:H675)</f>
        <v>51.09</v>
      </c>
      <c r="M671" s="733"/>
      <c r="N671" s="760" t="s">
        <v>2055</v>
      </c>
      <c r="O671" s="454"/>
    </row>
    <row r="672">
      <c r="A672" s="727" t="s">
        <v>1717</v>
      </c>
      <c r="B672" s="728" t="s">
        <v>2056</v>
      </c>
      <c r="C672" s="728" t="s">
        <v>2057</v>
      </c>
      <c r="D672" s="727" t="s">
        <v>2058</v>
      </c>
      <c r="E672" s="727" t="s">
        <v>2059</v>
      </c>
      <c r="F672" s="729" t="s">
        <v>1537</v>
      </c>
      <c r="G672" s="727" t="s">
        <v>2060</v>
      </c>
      <c r="H672" s="727" t="s">
        <v>2061</v>
      </c>
      <c r="I672" s="730" t="s">
        <v>2062</v>
      </c>
      <c r="J672" s="301"/>
      <c r="K672" s="731" t="s">
        <v>2063</v>
      </c>
      <c r="L672" s="732">
        <f>STDEV(H673:H675)</f>
        <v>4.090953434</v>
      </c>
      <c r="M672" s="733"/>
      <c r="N672" s="189"/>
      <c r="O672" s="454"/>
    </row>
    <row r="673">
      <c r="A673" s="734"/>
      <c r="B673" s="735" t="s">
        <v>2064</v>
      </c>
      <c r="C673" s="747" t="s">
        <v>2276</v>
      </c>
      <c r="D673" s="802" t="s">
        <v>2134</v>
      </c>
      <c r="E673" s="763" t="s">
        <v>2709</v>
      </c>
      <c r="F673" s="766" t="s">
        <v>3116</v>
      </c>
      <c r="G673" s="736" t="s">
        <v>1757</v>
      </c>
      <c r="H673" s="739">
        <v>50.51</v>
      </c>
      <c r="I673" s="740" t="s">
        <v>3117</v>
      </c>
      <c r="J673" s="301"/>
      <c r="K673" s="731" t="s">
        <v>2070</v>
      </c>
      <c r="L673" s="741">
        <f>L672/L671</f>
        <v>0.0800734671</v>
      </c>
      <c r="M673" s="733"/>
      <c r="N673" s="742" t="str">
        <f>IF(L673&lt;25%,"Não","Sim - proceder verificação ao lado")</f>
        <v>Não</v>
      </c>
      <c r="O673" s="743" t="b">
        <v>1</v>
      </c>
    </row>
    <row r="674">
      <c r="A674" s="734"/>
      <c r="B674" s="735" t="s">
        <v>2064</v>
      </c>
      <c r="C674" s="744" t="s">
        <v>3118</v>
      </c>
      <c r="D674" s="736" t="s">
        <v>3119</v>
      </c>
      <c r="E674" s="763" t="s">
        <v>2709</v>
      </c>
      <c r="F674" s="738" t="s">
        <v>3120</v>
      </c>
      <c r="G674" s="736" t="s">
        <v>1757</v>
      </c>
      <c r="H674" s="745">
        <v>47.32</v>
      </c>
      <c r="I674" s="740" t="s">
        <v>3121</v>
      </c>
      <c r="J674" s="301"/>
      <c r="K674" s="731" t="s">
        <v>2075</v>
      </c>
      <c r="L674" s="746">
        <f>L671*1.25</f>
        <v>63.8625</v>
      </c>
      <c r="M674" s="733"/>
      <c r="N674" s="301"/>
      <c r="O674" s="743" t="b">
        <v>1</v>
      </c>
    </row>
    <row r="675">
      <c r="A675" s="734"/>
      <c r="B675" s="735" t="s">
        <v>2064</v>
      </c>
      <c r="C675" s="744" t="s">
        <v>2959</v>
      </c>
      <c r="D675" s="736" t="s">
        <v>2919</v>
      </c>
      <c r="E675" s="763" t="s">
        <v>2709</v>
      </c>
      <c r="F675" s="738" t="s">
        <v>3122</v>
      </c>
      <c r="G675" s="736" t="s">
        <v>1757</v>
      </c>
      <c r="H675" s="745">
        <v>55.44</v>
      </c>
      <c r="I675" s="775" t="s">
        <v>3123</v>
      </c>
      <c r="J675" s="189"/>
      <c r="K675" s="731" t="s">
        <v>2080</v>
      </c>
      <c r="L675" s="746">
        <f>L671*0.75</f>
        <v>38.3175</v>
      </c>
      <c r="M675" s="733"/>
      <c r="N675" s="189"/>
      <c r="O675" s="743" t="b">
        <v>1</v>
      </c>
    </row>
    <row r="676">
      <c r="A676" s="734"/>
      <c r="B676" s="735"/>
      <c r="C676" s="735"/>
      <c r="D676" s="734"/>
      <c r="E676" s="749"/>
      <c r="F676" s="750"/>
      <c r="G676" s="749"/>
      <c r="H676" s="749"/>
      <c r="I676" s="751"/>
      <c r="J676" s="752"/>
      <c r="K676" s="752"/>
      <c r="L676" s="752"/>
      <c r="M676" s="751"/>
      <c r="N676" s="752"/>
      <c r="O676" s="753"/>
    </row>
    <row r="677">
      <c r="A677" s="754" t="s">
        <v>1373</v>
      </c>
      <c r="B677" s="755" t="s">
        <v>3124</v>
      </c>
      <c r="C677" s="36"/>
      <c r="D677" s="36"/>
      <c r="E677" s="36"/>
      <c r="F677" s="36"/>
      <c r="G677" s="754" t="s">
        <v>1757</v>
      </c>
      <c r="H677" s="756">
        <f>MEDIAN(H679:H681)</f>
        <v>16.56</v>
      </c>
      <c r="I677" s="757"/>
      <c r="J677" s="758" t="s">
        <v>2053</v>
      </c>
      <c r="K677" s="731" t="s">
        <v>2054</v>
      </c>
      <c r="L677" s="759">
        <f>AVERAGE(H679:H681)</f>
        <v>18.15333333</v>
      </c>
      <c r="M677" s="733"/>
      <c r="N677" s="760" t="s">
        <v>2055</v>
      </c>
      <c r="O677" s="454"/>
    </row>
    <row r="678">
      <c r="A678" s="727" t="s">
        <v>1717</v>
      </c>
      <c r="B678" s="728" t="s">
        <v>2056</v>
      </c>
      <c r="C678" s="728" t="s">
        <v>2057</v>
      </c>
      <c r="D678" s="727" t="s">
        <v>2058</v>
      </c>
      <c r="E678" s="727" t="s">
        <v>2059</v>
      </c>
      <c r="F678" s="729" t="s">
        <v>1537</v>
      </c>
      <c r="G678" s="727" t="s">
        <v>2060</v>
      </c>
      <c r="H678" s="727" t="s">
        <v>2061</v>
      </c>
      <c r="I678" s="730" t="s">
        <v>2062</v>
      </c>
      <c r="J678" s="301"/>
      <c r="K678" s="731" t="s">
        <v>2063</v>
      </c>
      <c r="L678" s="732">
        <f>STDEV(H679:H681)</f>
        <v>3.715714377</v>
      </c>
      <c r="M678" s="733"/>
      <c r="N678" s="189"/>
      <c r="O678" s="454"/>
    </row>
    <row r="679">
      <c r="A679" s="734"/>
      <c r="B679" s="735" t="s">
        <v>2064</v>
      </c>
      <c r="C679" s="744" t="s">
        <v>3125</v>
      </c>
      <c r="D679" s="736" t="s">
        <v>3126</v>
      </c>
      <c r="E679" s="763" t="s">
        <v>2709</v>
      </c>
      <c r="F679" s="738" t="s">
        <v>3127</v>
      </c>
      <c r="G679" s="736" t="s">
        <v>1757</v>
      </c>
      <c r="H679" s="739">
        <v>15.5</v>
      </c>
      <c r="I679" s="740" t="s">
        <v>3128</v>
      </c>
      <c r="J679" s="301"/>
      <c r="K679" s="731" t="s">
        <v>2070</v>
      </c>
      <c r="L679" s="741">
        <f>L678/L677</f>
        <v>0.2046849639</v>
      </c>
      <c r="M679" s="733"/>
      <c r="N679" s="742" t="str">
        <f>IF(L679&lt;25%,"Não","Sim - proceder verificação ao lado")</f>
        <v>Não</v>
      </c>
      <c r="O679" s="743" t="b">
        <v>1</v>
      </c>
    </row>
    <row r="680">
      <c r="A680" s="734"/>
      <c r="B680" s="735" t="s">
        <v>2064</v>
      </c>
      <c r="C680" s="744" t="s">
        <v>2959</v>
      </c>
      <c r="D680" s="736" t="s">
        <v>2919</v>
      </c>
      <c r="E680" s="763" t="s">
        <v>2709</v>
      </c>
      <c r="F680" s="738" t="s">
        <v>3129</v>
      </c>
      <c r="G680" s="736" t="s">
        <v>1757</v>
      </c>
      <c r="H680" s="745">
        <v>16.56</v>
      </c>
      <c r="I680" s="740" t="s">
        <v>3130</v>
      </c>
      <c r="J680" s="301"/>
      <c r="K680" s="731" t="s">
        <v>2075</v>
      </c>
      <c r="L680" s="746">
        <f>L677*1.25</f>
        <v>22.69166667</v>
      </c>
      <c r="M680" s="733"/>
      <c r="N680" s="301"/>
      <c r="O680" s="743" t="b">
        <v>1</v>
      </c>
    </row>
    <row r="681">
      <c r="A681" s="734"/>
      <c r="B681" s="735" t="s">
        <v>2064</v>
      </c>
      <c r="C681" s="744" t="s">
        <v>3131</v>
      </c>
      <c r="D681" s="736" t="s">
        <v>3132</v>
      </c>
      <c r="E681" s="763" t="s">
        <v>2709</v>
      </c>
      <c r="F681" s="738" t="s">
        <v>3133</v>
      </c>
      <c r="G681" s="736" t="s">
        <v>1757</v>
      </c>
      <c r="H681" s="745">
        <v>22.4</v>
      </c>
      <c r="I681" s="775" t="s">
        <v>3134</v>
      </c>
      <c r="J681" s="189"/>
      <c r="K681" s="731" t="s">
        <v>2080</v>
      </c>
      <c r="L681" s="746">
        <f>L677*0.75</f>
        <v>13.615</v>
      </c>
      <c r="M681" s="733"/>
      <c r="N681" s="189"/>
      <c r="O681" s="743" t="b">
        <v>1</v>
      </c>
    </row>
    <row r="682">
      <c r="A682" s="734"/>
      <c r="B682" s="735"/>
      <c r="C682" s="735"/>
      <c r="D682" s="734"/>
      <c r="E682" s="749"/>
      <c r="F682" s="750"/>
      <c r="G682" s="749"/>
      <c r="H682" s="749"/>
      <c r="I682" s="751"/>
      <c r="J682" s="752"/>
      <c r="K682" s="752"/>
      <c r="L682" s="752"/>
      <c r="M682" s="751"/>
      <c r="N682" s="752"/>
      <c r="O682" s="753"/>
    </row>
    <row r="683">
      <c r="A683" s="754" t="s">
        <v>1375</v>
      </c>
      <c r="B683" s="755" t="s">
        <v>3135</v>
      </c>
      <c r="C683" s="36"/>
      <c r="D683" s="36"/>
      <c r="E683" s="36"/>
      <c r="F683" s="36"/>
      <c r="G683" s="754" t="s">
        <v>1757</v>
      </c>
      <c r="H683" s="756">
        <f>MEDIAN(H685:H687)</f>
        <v>12.23</v>
      </c>
      <c r="I683" s="757"/>
      <c r="J683" s="758" t="s">
        <v>2053</v>
      </c>
      <c r="K683" s="731" t="s">
        <v>2054</v>
      </c>
      <c r="L683" s="759">
        <f>AVERAGE(H685:H687)</f>
        <v>12.89333333</v>
      </c>
      <c r="M683" s="733"/>
      <c r="N683" s="760" t="s">
        <v>2055</v>
      </c>
      <c r="O683" s="454"/>
    </row>
    <row r="684">
      <c r="A684" s="727" t="s">
        <v>1717</v>
      </c>
      <c r="B684" s="728" t="s">
        <v>2056</v>
      </c>
      <c r="C684" s="728" t="s">
        <v>2057</v>
      </c>
      <c r="D684" s="727" t="s">
        <v>2058</v>
      </c>
      <c r="E684" s="727" t="s">
        <v>2059</v>
      </c>
      <c r="F684" s="729" t="s">
        <v>1537</v>
      </c>
      <c r="G684" s="727" t="s">
        <v>2060</v>
      </c>
      <c r="H684" s="727" t="s">
        <v>2061</v>
      </c>
      <c r="I684" s="730" t="s">
        <v>2062</v>
      </c>
      <c r="J684" s="301"/>
      <c r="K684" s="731" t="s">
        <v>2063</v>
      </c>
      <c r="L684" s="732">
        <f>STDEV(H685:H687)</f>
        <v>1.166290416</v>
      </c>
      <c r="M684" s="733"/>
      <c r="N684" s="189"/>
      <c r="O684" s="454"/>
    </row>
    <row r="685">
      <c r="A685" s="734"/>
      <c r="B685" s="735" t="s">
        <v>2064</v>
      </c>
      <c r="C685" s="744" t="s">
        <v>2959</v>
      </c>
      <c r="D685" s="736" t="s">
        <v>2919</v>
      </c>
      <c r="E685" s="763" t="s">
        <v>2709</v>
      </c>
      <c r="F685" s="738" t="s">
        <v>3136</v>
      </c>
      <c r="G685" s="736" t="s">
        <v>1757</v>
      </c>
      <c r="H685" s="745">
        <v>12.21</v>
      </c>
      <c r="I685" s="740" t="s">
        <v>3137</v>
      </c>
      <c r="J685" s="301"/>
      <c r="K685" s="731" t="s">
        <v>2070</v>
      </c>
      <c r="L685" s="741">
        <f>L684/L683</f>
        <v>0.09045685746</v>
      </c>
      <c r="M685" s="733"/>
      <c r="N685" s="742" t="str">
        <f>IF(L685&lt;25%,"Não","Sim - proceder verificação ao lado")</f>
        <v>Não</v>
      </c>
      <c r="O685" s="743" t="b">
        <v>1</v>
      </c>
    </row>
    <row r="686">
      <c r="A686" s="734"/>
      <c r="B686" s="735" t="s">
        <v>2064</v>
      </c>
      <c r="C686" s="744" t="s">
        <v>3138</v>
      </c>
      <c r="D686" s="736" t="s">
        <v>3139</v>
      </c>
      <c r="E686" s="763" t="s">
        <v>2709</v>
      </c>
      <c r="F686" s="738" t="s">
        <v>3140</v>
      </c>
      <c r="G686" s="736" t="s">
        <v>1757</v>
      </c>
      <c r="H686" s="745">
        <v>14.24</v>
      </c>
      <c r="I686" s="740" t="s">
        <v>3141</v>
      </c>
      <c r="J686" s="301"/>
      <c r="K686" s="731" t="s">
        <v>2075</v>
      </c>
      <c r="L686" s="746">
        <f>L683*1.25</f>
        <v>16.11666667</v>
      </c>
      <c r="M686" s="733"/>
      <c r="N686" s="301"/>
      <c r="O686" s="743" t="b">
        <v>1</v>
      </c>
    </row>
    <row r="687">
      <c r="A687" s="734"/>
      <c r="B687" s="735" t="s">
        <v>2064</v>
      </c>
      <c r="C687" s="744" t="s">
        <v>2142</v>
      </c>
      <c r="D687" s="736" t="s">
        <v>3142</v>
      </c>
      <c r="E687" s="763" t="s">
        <v>2709</v>
      </c>
      <c r="F687" s="738" t="s">
        <v>3143</v>
      </c>
      <c r="G687" s="736" t="s">
        <v>1757</v>
      </c>
      <c r="H687" s="745">
        <v>12.23</v>
      </c>
      <c r="I687" s="786" t="s">
        <v>3144</v>
      </c>
      <c r="J687" s="189"/>
      <c r="K687" s="731" t="s">
        <v>2080</v>
      </c>
      <c r="L687" s="746">
        <f>L683*0.75</f>
        <v>9.67</v>
      </c>
      <c r="M687" s="733"/>
      <c r="N687" s="189"/>
      <c r="O687" s="743" t="b">
        <v>1</v>
      </c>
    </row>
    <row r="688">
      <c r="A688" s="734"/>
      <c r="B688" s="735"/>
      <c r="C688" s="735"/>
      <c r="D688" s="734"/>
      <c r="E688" s="749"/>
      <c r="F688" s="750"/>
      <c r="G688" s="749"/>
      <c r="H688" s="749"/>
      <c r="I688" s="751"/>
      <c r="J688" s="752"/>
      <c r="K688" s="752"/>
      <c r="L688" s="752"/>
      <c r="M688" s="751"/>
      <c r="N688" s="752"/>
      <c r="O688" s="753"/>
    </row>
    <row r="689">
      <c r="A689" s="754" t="s">
        <v>1377</v>
      </c>
      <c r="B689" s="755" t="s">
        <v>3145</v>
      </c>
      <c r="C689" s="36"/>
      <c r="D689" s="36"/>
      <c r="E689" s="36"/>
      <c r="F689" s="36"/>
      <c r="G689" s="754" t="s">
        <v>1757</v>
      </c>
      <c r="H689" s="756">
        <f>MEDIAN(H691:H693)</f>
        <v>6.9</v>
      </c>
      <c r="I689" s="757"/>
      <c r="J689" s="758" t="s">
        <v>2053</v>
      </c>
      <c r="K689" s="731" t="s">
        <v>2054</v>
      </c>
      <c r="L689" s="759">
        <f>AVERAGE(H691:H693)</f>
        <v>7.35</v>
      </c>
      <c r="M689" s="733"/>
      <c r="N689" s="760" t="s">
        <v>2055</v>
      </c>
      <c r="O689" s="454"/>
    </row>
    <row r="690">
      <c r="A690" s="727" t="s">
        <v>1717</v>
      </c>
      <c r="B690" s="728" t="s">
        <v>2056</v>
      </c>
      <c r="C690" s="728" t="s">
        <v>2057</v>
      </c>
      <c r="D690" s="727" t="s">
        <v>2058</v>
      </c>
      <c r="E690" s="727" t="s">
        <v>2059</v>
      </c>
      <c r="F690" s="729" t="s">
        <v>1537</v>
      </c>
      <c r="G690" s="727" t="s">
        <v>2060</v>
      </c>
      <c r="H690" s="727" t="s">
        <v>2061</v>
      </c>
      <c r="I690" s="730" t="s">
        <v>2062</v>
      </c>
      <c r="J690" s="301"/>
      <c r="K690" s="731" t="s">
        <v>2063</v>
      </c>
      <c r="L690" s="732">
        <f>STDEV(H691:H693)</f>
        <v>0.7794228634</v>
      </c>
      <c r="M690" s="733"/>
      <c r="N690" s="189"/>
      <c r="O690" s="454"/>
    </row>
    <row r="691">
      <c r="A691" s="734">
        <v>5032021.0</v>
      </c>
      <c r="B691" s="735" t="s">
        <v>2064</v>
      </c>
      <c r="C691" s="744" t="s">
        <v>3146</v>
      </c>
      <c r="D691" s="736" t="s">
        <v>3147</v>
      </c>
      <c r="E691" s="763" t="s">
        <v>2709</v>
      </c>
      <c r="F691" s="738" t="s">
        <v>3148</v>
      </c>
      <c r="G691" s="736" t="s">
        <v>1757</v>
      </c>
      <c r="H691" s="739">
        <v>6.9</v>
      </c>
      <c r="I691" s="740" t="s">
        <v>3149</v>
      </c>
      <c r="J691" s="301"/>
      <c r="K691" s="731" t="s">
        <v>2070</v>
      </c>
      <c r="L691" s="741">
        <f>L690/L689</f>
        <v>0.106043927</v>
      </c>
      <c r="M691" s="733"/>
      <c r="N691" s="742" t="str">
        <f>IF(L691&lt;25%,"Não","Sim - proceder verificação ao lado")</f>
        <v>Não</v>
      </c>
      <c r="O691" s="743" t="b">
        <v>1</v>
      </c>
    </row>
    <row r="692">
      <c r="A692" s="734"/>
      <c r="B692" s="735" t="s">
        <v>2064</v>
      </c>
      <c r="C692" s="747" t="s">
        <v>3150</v>
      </c>
      <c r="D692" s="748" t="s">
        <v>3151</v>
      </c>
      <c r="E692" s="763" t="s">
        <v>2709</v>
      </c>
      <c r="F692" s="766" t="s">
        <v>3152</v>
      </c>
      <c r="G692" s="736" t="s">
        <v>1757</v>
      </c>
      <c r="H692" s="745">
        <v>8.25</v>
      </c>
      <c r="I692" s="740" t="s">
        <v>3153</v>
      </c>
      <c r="J692" s="301"/>
      <c r="K692" s="731" t="s">
        <v>2075</v>
      </c>
      <c r="L692" s="746">
        <f>L689*1.25</f>
        <v>9.1875</v>
      </c>
      <c r="M692" s="733"/>
      <c r="N692" s="301"/>
      <c r="O692" s="743" t="b">
        <v>1</v>
      </c>
    </row>
    <row r="693">
      <c r="A693" s="734">
        <v>7116.0</v>
      </c>
      <c r="B693" s="735" t="s">
        <v>2064</v>
      </c>
      <c r="C693" s="744" t="s">
        <v>3138</v>
      </c>
      <c r="D693" s="736" t="s">
        <v>3139</v>
      </c>
      <c r="E693" s="763" t="s">
        <v>2709</v>
      </c>
      <c r="F693" s="738" t="s">
        <v>3154</v>
      </c>
      <c r="G693" s="736" t="s">
        <v>1757</v>
      </c>
      <c r="H693" s="739">
        <v>6.9</v>
      </c>
      <c r="I693" s="775" t="s">
        <v>3155</v>
      </c>
      <c r="J693" s="189"/>
      <c r="K693" s="731" t="s">
        <v>2080</v>
      </c>
      <c r="L693" s="746">
        <f>L689*0.75</f>
        <v>5.5125</v>
      </c>
      <c r="M693" s="733"/>
      <c r="N693" s="189"/>
      <c r="O693" s="743" t="b">
        <v>1</v>
      </c>
    </row>
    <row r="694">
      <c r="A694" s="734"/>
      <c r="B694" s="735"/>
      <c r="C694" s="735"/>
      <c r="D694" s="734"/>
      <c r="E694" s="749"/>
      <c r="F694" s="750"/>
      <c r="G694" s="749"/>
      <c r="H694" s="749"/>
      <c r="I694" s="751"/>
      <c r="J694" s="752"/>
      <c r="K694" s="752"/>
      <c r="L694" s="752"/>
      <c r="M694" s="751"/>
      <c r="N694" s="752"/>
      <c r="O694" s="753"/>
    </row>
    <row r="695">
      <c r="A695" s="754" t="s">
        <v>1379</v>
      </c>
      <c r="B695" s="755" t="s">
        <v>3156</v>
      </c>
      <c r="C695" s="36"/>
      <c r="D695" s="36"/>
      <c r="E695" s="36"/>
      <c r="F695" s="36"/>
      <c r="G695" s="754" t="s">
        <v>1757</v>
      </c>
      <c r="H695" s="756">
        <f>MEDIAN(H697:H699)</f>
        <v>274.55</v>
      </c>
      <c r="I695" s="757"/>
      <c r="J695" s="758" t="s">
        <v>2053</v>
      </c>
      <c r="K695" s="731" t="s">
        <v>2054</v>
      </c>
      <c r="L695" s="759">
        <f>AVERAGE(H697:H699)</f>
        <v>265.18</v>
      </c>
      <c r="M695" s="733"/>
      <c r="N695" s="760" t="s">
        <v>2055</v>
      </c>
      <c r="O695" s="454"/>
    </row>
    <row r="696">
      <c r="A696" s="727" t="s">
        <v>1717</v>
      </c>
      <c r="B696" s="728" t="s">
        <v>2056</v>
      </c>
      <c r="C696" s="728" t="s">
        <v>2057</v>
      </c>
      <c r="D696" s="727" t="s">
        <v>2058</v>
      </c>
      <c r="E696" s="727" t="s">
        <v>2059</v>
      </c>
      <c r="F696" s="729" t="s">
        <v>1537</v>
      </c>
      <c r="G696" s="727" t="s">
        <v>2060</v>
      </c>
      <c r="H696" s="727" t="s">
        <v>2061</v>
      </c>
      <c r="I696" s="730" t="s">
        <v>2062</v>
      </c>
      <c r="J696" s="301"/>
      <c r="K696" s="731" t="s">
        <v>2063</v>
      </c>
      <c r="L696" s="732">
        <f>STDEV(H697:H699)</f>
        <v>31.56584705</v>
      </c>
      <c r="M696" s="733"/>
      <c r="N696" s="189"/>
      <c r="O696" s="454"/>
    </row>
    <row r="697">
      <c r="A697" s="734"/>
      <c r="B697" s="735" t="s">
        <v>2064</v>
      </c>
      <c r="C697" s="744" t="s">
        <v>3157</v>
      </c>
      <c r="D697" s="736" t="s">
        <v>3158</v>
      </c>
      <c r="E697" s="763" t="s">
        <v>2709</v>
      </c>
      <c r="F697" s="738" t="s">
        <v>3159</v>
      </c>
      <c r="G697" s="736" t="s">
        <v>1757</v>
      </c>
      <c r="H697" s="745">
        <v>274.55</v>
      </c>
      <c r="I697" s="740" t="s">
        <v>3160</v>
      </c>
      <c r="J697" s="301"/>
      <c r="K697" s="731" t="s">
        <v>2070</v>
      </c>
      <c r="L697" s="741">
        <f>L696/L695</f>
        <v>0.1190355496</v>
      </c>
      <c r="M697" s="733"/>
      <c r="N697" s="742" t="str">
        <f>IF(L697&lt;25%,"Não","Sim - proceder verificação ao lado")</f>
        <v>Não</v>
      </c>
      <c r="O697" s="743" t="b">
        <v>1</v>
      </c>
    </row>
    <row r="698">
      <c r="A698" s="734"/>
      <c r="B698" s="735" t="s">
        <v>2064</v>
      </c>
      <c r="C698" s="744" t="s">
        <v>3161</v>
      </c>
      <c r="D698" s="736" t="s">
        <v>3162</v>
      </c>
      <c r="E698" s="763" t="s">
        <v>2709</v>
      </c>
      <c r="F698" s="738" t="s">
        <v>3163</v>
      </c>
      <c r="G698" s="736" t="s">
        <v>1757</v>
      </c>
      <c r="H698" s="745">
        <v>291.0</v>
      </c>
      <c r="I698" s="740" t="s">
        <v>3164</v>
      </c>
      <c r="J698" s="301"/>
      <c r="K698" s="731" t="s">
        <v>2075</v>
      </c>
      <c r="L698" s="746">
        <f>L695*1.25</f>
        <v>331.475</v>
      </c>
      <c r="M698" s="733"/>
      <c r="N698" s="301"/>
      <c r="O698" s="743" t="b">
        <v>1</v>
      </c>
    </row>
    <row r="699">
      <c r="A699" s="734"/>
      <c r="B699" s="735" t="s">
        <v>2064</v>
      </c>
      <c r="C699" s="747" t="s">
        <v>2276</v>
      </c>
      <c r="D699" s="802" t="s">
        <v>2134</v>
      </c>
      <c r="E699" s="763" t="s">
        <v>2709</v>
      </c>
      <c r="F699" s="738" t="s">
        <v>3165</v>
      </c>
      <c r="G699" s="736" t="s">
        <v>1757</v>
      </c>
      <c r="H699" s="745">
        <v>229.99</v>
      </c>
      <c r="I699" s="775" t="s">
        <v>3166</v>
      </c>
      <c r="J699" s="189"/>
      <c r="K699" s="731" t="s">
        <v>2080</v>
      </c>
      <c r="L699" s="746">
        <f>L695*0.75</f>
        <v>198.885</v>
      </c>
      <c r="M699" s="733"/>
      <c r="N699" s="189"/>
      <c r="O699" s="743" t="b">
        <v>1</v>
      </c>
    </row>
    <row r="700">
      <c r="A700" s="734"/>
      <c r="B700" s="735"/>
      <c r="C700" s="735"/>
      <c r="D700" s="734"/>
      <c r="E700" s="749"/>
      <c r="F700" s="750"/>
      <c r="G700" s="749"/>
      <c r="H700" s="749"/>
      <c r="I700" s="751"/>
      <c r="J700" s="752"/>
      <c r="K700" s="752"/>
      <c r="L700" s="752"/>
      <c r="M700" s="751"/>
      <c r="N700" s="752"/>
      <c r="O700" s="753"/>
    </row>
    <row r="701">
      <c r="A701" s="754" t="s">
        <v>3167</v>
      </c>
      <c r="B701" s="755" t="s">
        <v>3168</v>
      </c>
      <c r="C701" s="36"/>
      <c r="D701" s="36"/>
      <c r="E701" s="36"/>
      <c r="F701" s="36"/>
      <c r="G701" s="754" t="s">
        <v>1757</v>
      </c>
      <c r="H701" s="756">
        <f>MEDIAN(H703:H705)</f>
        <v>8.9</v>
      </c>
      <c r="I701" s="757"/>
      <c r="J701" s="758" t="s">
        <v>2053</v>
      </c>
      <c r="K701" s="731" t="s">
        <v>2054</v>
      </c>
      <c r="L701" s="759">
        <f>AVERAGE(H703:H705)</f>
        <v>8.496666667</v>
      </c>
      <c r="M701" s="733"/>
      <c r="N701" s="760" t="s">
        <v>2055</v>
      </c>
      <c r="O701" s="454"/>
    </row>
    <row r="702">
      <c r="A702" s="727" t="s">
        <v>1717</v>
      </c>
      <c r="B702" s="728" t="s">
        <v>2056</v>
      </c>
      <c r="C702" s="728" t="s">
        <v>2057</v>
      </c>
      <c r="D702" s="727" t="s">
        <v>2058</v>
      </c>
      <c r="E702" s="727" t="s">
        <v>2059</v>
      </c>
      <c r="F702" s="729" t="s">
        <v>1537</v>
      </c>
      <c r="G702" s="727" t="s">
        <v>2060</v>
      </c>
      <c r="H702" s="727" t="s">
        <v>2061</v>
      </c>
      <c r="I702" s="730" t="s">
        <v>2062</v>
      </c>
      <c r="J702" s="301"/>
      <c r="K702" s="731" t="s">
        <v>2063</v>
      </c>
      <c r="L702" s="732">
        <f>STDEV(H703:H705)</f>
        <v>1.642569126</v>
      </c>
      <c r="M702" s="733"/>
      <c r="N702" s="189"/>
      <c r="O702" s="454"/>
    </row>
    <row r="703">
      <c r="A703" s="734"/>
      <c r="B703" s="735" t="s">
        <v>2064</v>
      </c>
      <c r="C703" s="744" t="s">
        <v>2236</v>
      </c>
      <c r="D703" s="736" t="s">
        <v>3169</v>
      </c>
      <c r="E703" s="763" t="s">
        <v>2709</v>
      </c>
      <c r="F703" s="738" t="s">
        <v>3170</v>
      </c>
      <c r="G703" s="736" t="s">
        <v>1757</v>
      </c>
      <c r="H703" s="745">
        <v>9.9</v>
      </c>
      <c r="I703" s="765" t="s">
        <v>3171</v>
      </c>
      <c r="J703" s="301"/>
      <c r="K703" s="731" t="s">
        <v>2070</v>
      </c>
      <c r="L703" s="741">
        <f>L702/L701</f>
        <v>0.193319238</v>
      </c>
      <c r="M703" s="733"/>
      <c r="N703" s="742" t="str">
        <f>IF(L703&lt;25%,"Não","Sim - proceder verificação ao lado")</f>
        <v>Não</v>
      </c>
      <c r="O703" s="743" t="b">
        <v>1</v>
      </c>
    </row>
    <row r="704">
      <c r="A704" s="734"/>
      <c r="B704" s="735" t="s">
        <v>2064</v>
      </c>
      <c r="C704" s="747" t="s">
        <v>2276</v>
      </c>
      <c r="D704" s="802" t="s">
        <v>2134</v>
      </c>
      <c r="E704" s="763" t="s">
        <v>2709</v>
      </c>
      <c r="F704" s="738" t="s">
        <v>3172</v>
      </c>
      <c r="G704" s="736" t="s">
        <v>1757</v>
      </c>
      <c r="H704" s="739">
        <v>8.9</v>
      </c>
      <c r="I704" s="775" t="s">
        <v>3173</v>
      </c>
      <c r="J704" s="301"/>
      <c r="K704" s="731" t="s">
        <v>2075</v>
      </c>
      <c r="L704" s="746">
        <f>L701*1.25</f>
        <v>10.62083333</v>
      </c>
      <c r="M704" s="733"/>
      <c r="N704" s="301"/>
      <c r="O704" s="743" t="b">
        <v>1</v>
      </c>
    </row>
    <row r="705">
      <c r="A705" s="734"/>
      <c r="B705" s="735" t="s">
        <v>2064</v>
      </c>
      <c r="C705" s="744" t="s">
        <v>2290</v>
      </c>
      <c r="D705" s="736" t="s">
        <v>2876</v>
      </c>
      <c r="E705" s="763" t="s">
        <v>2709</v>
      </c>
      <c r="F705" s="738" t="s">
        <v>3174</v>
      </c>
      <c r="G705" s="736" t="s">
        <v>1757</v>
      </c>
      <c r="H705" s="745">
        <v>6.69</v>
      </c>
      <c r="I705" s="775" t="s">
        <v>3175</v>
      </c>
      <c r="J705" s="189"/>
      <c r="K705" s="731" t="s">
        <v>2080</v>
      </c>
      <c r="L705" s="746">
        <f>L701*0.75</f>
        <v>6.3725</v>
      </c>
      <c r="M705" s="733"/>
      <c r="N705" s="189"/>
      <c r="O705" s="743" t="b">
        <v>1</v>
      </c>
    </row>
    <row r="706">
      <c r="A706" s="734"/>
      <c r="B706" s="735"/>
      <c r="C706" s="735"/>
      <c r="D706" s="734"/>
      <c r="E706" s="749"/>
      <c r="F706" s="750"/>
      <c r="G706" s="749"/>
      <c r="H706" s="749"/>
      <c r="I706" s="751"/>
      <c r="J706" s="752"/>
      <c r="K706" s="752"/>
      <c r="L706" s="752"/>
      <c r="M706" s="751"/>
      <c r="N706" s="752"/>
      <c r="O706" s="753"/>
    </row>
    <row r="707">
      <c r="A707" s="754" t="s">
        <v>1142</v>
      </c>
      <c r="B707" s="755" t="s">
        <v>3176</v>
      </c>
      <c r="C707" s="36"/>
      <c r="D707" s="36"/>
      <c r="E707" s="36"/>
      <c r="F707" s="36"/>
      <c r="G707" s="754" t="s">
        <v>1757</v>
      </c>
      <c r="H707" s="756">
        <f>MEDIAN(H709:H711)</f>
        <v>316.36</v>
      </c>
      <c r="I707" s="757"/>
      <c r="J707" s="758" t="s">
        <v>2053</v>
      </c>
      <c r="K707" s="731" t="s">
        <v>2054</v>
      </c>
      <c r="L707" s="759">
        <f>AVERAGE(H709:H711)</f>
        <v>329.12</v>
      </c>
      <c r="M707" s="733"/>
      <c r="N707" s="760" t="s">
        <v>2055</v>
      </c>
      <c r="O707" s="454"/>
    </row>
    <row r="708">
      <c r="A708" s="727" t="s">
        <v>1717</v>
      </c>
      <c r="B708" s="728" t="s">
        <v>2056</v>
      </c>
      <c r="C708" s="728" t="s">
        <v>2057</v>
      </c>
      <c r="D708" s="727" t="s">
        <v>2058</v>
      </c>
      <c r="E708" s="727" t="s">
        <v>2059</v>
      </c>
      <c r="F708" s="729" t="s">
        <v>1537</v>
      </c>
      <c r="G708" s="727" t="s">
        <v>2060</v>
      </c>
      <c r="H708" s="727" t="s">
        <v>2061</v>
      </c>
      <c r="I708" s="730" t="s">
        <v>2062</v>
      </c>
      <c r="J708" s="301"/>
      <c r="K708" s="731" t="s">
        <v>2063</v>
      </c>
      <c r="L708" s="732">
        <f>STDEV(H709:H711)</f>
        <v>23.28869254</v>
      </c>
      <c r="M708" s="733"/>
      <c r="N708" s="189"/>
      <c r="O708" s="454"/>
    </row>
    <row r="709">
      <c r="A709" s="734"/>
      <c r="B709" s="735" t="s">
        <v>2064</v>
      </c>
      <c r="C709" s="735" t="s">
        <v>2126</v>
      </c>
      <c r="D709" s="734" t="s">
        <v>2281</v>
      </c>
      <c r="E709" s="763" t="s">
        <v>2709</v>
      </c>
      <c r="F709" s="766" t="s">
        <v>3177</v>
      </c>
      <c r="G709" s="736" t="s">
        <v>1757</v>
      </c>
      <c r="H709" s="739">
        <v>315.0</v>
      </c>
      <c r="I709" s="740" t="s">
        <v>3178</v>
      </c>
      <c r="J709" s="301"/>
      <c r="K709" s="731" t="s">
        <v>2070</v>
      </c>
      <c r="L709" s="741">
        <f>L708/L707</f>
        <v>0.0707604902</v>
      </c>
      <c r="M709" s="733"/>
      <c r="N709" s="742" t="str">
        <f>IF(L709&lt;25%,"Não","Sim - proceder verificação ao lado")</f>
        <v>Não</v>
      </c>
      <c r="O709" s="743" t="b">
        <v>1</v>
      </c>
    </row>
    <row r="710">
      <c r="A710" s="734"/>
      <c r="B710" s="735" t="s">
        <v>2064</v>
      </c>
      <c r="C710" s="747" t="s">
        <v>2188</v>
      </c>
      <c r="D710" s="748" t="s">
        <v>3179</v>
      </c>
      <c r="E710" s="763" t="s">
        <v>2709</v>
      </c>
      <c r="F710" s="766" t="s">
        <v>3180</v>
      </c>
      <c r="G710" s="736" t="s">
        <v>1757</v>
      </c>
      <c r="H710" s="739">
        <v>356.0</v>
      </c>
      <c r="I710" s="740" t="s">
        <v>3181</v>
      </c>
      <c r="J710" s="301"/>
      <c r="K710" s="731" t="s">
        <v>2075</v>
      </c>
      <c r="L710" s="746">
        <f>L707*1.25</f>
        <v>411.4</v>
      </c>
      <c r="M710" s="733"/>
      <c r="N710" s="301"/>
      <c r="O710" s="743" t="b">
        <v>1</v>
      </c>
    </row>
    <row r="711">
      <c r="A711" s="734"/>
      <c r="B711" s="735" t="s">
        <v>2064</v>
      </c>
      <c r="C711" s="767" t="s">
        <v>3182</v>
      </c>
      <c r="D711" s="777" t="s">
        <v>2193</v>
      </c>
      <c r="E711" s="763" t="s">
        <v>2085</v>
      </c>
      <c r="F711" s="766" t="s">
        <v>3183</v>
      </c>
      <c r="G711" s="736" t="s">
        <v>1757</v>
      </c>
      <c r="H711" s="745">
        <v>316.36</v>
      </c>
      <c r="I711" s="785" t="s">
        <v>2195</v>
      </c>
      <c r="J711" s="189"/>
      <c r="K711" s="731" t="s">
        <v>2080</v>
      </c>
      <c r="L711" s="746">
        <f>L707*0.75</f>
        <v>246.84</v>
      </c>
      <c r="M711" s="733"/>
      <c r="N711" s="189"/>
      <c r="O711" s="743" t="b">
        <v>1</v>
      </c>
    </row>
    <row r="712">
      <c r="A712" s="734"/>
      <c r="B712" s="735"/>
      <c r="C712" s="735"/>
      <c r="D712" s="734"/>
      <c r="E712" s="749"/>
      <c r="F712" s="750"/>
      <c r="G712" s="749"/>
      <c r="H712" s="749"/>
      <c r="I712" s="751"/>
      <c r="J712" s="753"/>
      <c r="K712" s="753"/>
      <c r="L712" s="753"/>
      <c r="M712" s="771"/>
      <c r="N712" s="753"/>
    </row>
    <row r="713">
      <c r="A713" s="772" t="s">
        <v>3184</v>
      </c>
      <c r="B713" s="44"/>
      <c r="C713" s="44"/>
      <c r="D713" s="44"/>
      <c r="E713" s="44"/>
      <c r="F713" s="44"/>
      <c r="G713" s="44"/>
      <c r="H713" s="44"/>
      <c r="I713" s="44"/>
      <c r="J713" s="713"/>
      <c r="K713" s="713"/>
      <c r="L713" s="713"/>
      <c r="M713" s="714"/>
      <c r="N713" s="714"/>
    </row>
    <row r="714">
      <c r="A714" s="787"/>
      <c r="B714" s="788"/>
      <c r="C714" s="788"/>
      <c r="D714" s="787"/>
      <c r="E714" s="789"/>
      <c r="F714" s="790"/>
      <c r="G714" s="789"/>
      <c r="H714" s="789"/>
      <c r="I714" s="791"/>
      <c r="J714" s="752"/>
      <c r="K714" s="752"/>
      <c r="L714" s="752"/>
      <c r="M714" s="751"/>
      <c r="N714" s="752"/>
      <c r="O714" s="753"/>
    </row>
    <row r="715">
      <c r="A715" s="754" t="s">
        <v>500</v>
      </c>
      <c r="B715" s="804" t="s">
        <v>3185</v>
      </c>
      <c r="C715" s="36"/>
      <c r="D715" s="36"/>
      <c r="E715" s="36"/>
      <c r="F715" s="36"/>
      <c r="G715" s="754" t="s">
        <v>1757</v>
      </c>
      <c r="H715" s="756">
        <f>MEDIAN(H717:H719)</f>
        <v>250</v>
      </c>
      <c r="I715" s="757"/>
      <c r="J715" s="758" t="s">
        <v>2053</v>
      </c>
      <c r="K715" s="731" t="s">
        <v>2054</v>
      </c>
      <c r="L715" s="759">
        <f>AVERAGE(H717:H719)</f>
        <v>256.6666667</v>
      </c>
      <c r="M715" s="733"/>
      <c r="N715" s="760" t="s">
        <v>2055</v>
      </c>
      <c r="O715" s="454"/>
    </row>
    <row r="716">
      <c r="A716" s="727" t="s">
        <v>1717</v>
      </c>
      <c r="B716" s="728" t="s">
        <v>2056</v>
      </c>
      <c r="C716" s="728" t="s">
        <v>2057</v>
      </c>
      <c r="D716" s="727" t="s">
        <v>2058</v>
      </c>
      <c r="E716" s="727" t="s">
        <v>2059</v>
      </c>
      <c r="F716" s="729" t="s">
        <v>1537</v>
      </c>
      <c r="G716" s="727" t="s">
        <v>2060</v>
      </c>
      <c r="H716" s="727" t="s">
        <v>2061</v>
      </c>
      <c r="I716" s="730" t="s">
        <v>2062</v>
      </c>
      <c r="J716" s="301"/>
      <c r="K716" s="731" t="s">
        <v>2063</v>
      </c>
      <c r="L716" s="732">
        <f>STDEV(H717:H719)</f>
        <v>40.41451884</v>
      </c>
      <c r="M716" s="733"/>
      <c r="N716" s="189"/>
      <c r="O716" s="454"/>
    </row>
    <row r="717">
      <c r="A717" s="734"/>
      <c r="B717" s="735" t="s">
        <v>2174</v>
      </c>
      <c r="C717" s="767" t="s">
        <v>3186</v>
      </c>
      <c r="D717" s="777" t="s">
        <v>3187</v>
      </c>
      <c r="E717" s="763" t="s">
        <v>2113</v>
      </c>
      <c r="F717" s="801" t="s">
        <v>3188</v>
      </c>
      <c r="G717" s="736" t="s">
        <v>1757</v>
      </c>
      <c r="H717" s="745">
        <v>250.0</v>
      </c>
      <c r="I717" s="792"/>
      <c r="J717" s="301"/>
      <c r="K717" s="731" t="s">
        <v>2070</v>
      </c>
      <c r="L717" s="741">
        <f>L716/L715</f>
        <v>0.1574591643</v>
      </c>
      <c r="M717" s="733"/>
      <c r="N717" s="742" t="str">
        <f>IF(L717&lt;25%,"Não","Sim - proceder verificação ao lado")</f>
        <v>Não</v>
      </c>
      <c r="O717" s="743" t="b">
        <v>1</v>
      </c>
    </row>
    <row r="718">
      <c r="A718" s="734"/>
      <c r="B718" s="744" t="s">
        <v>2174</v>
      </c>
      <c r="C718" s="744" t="s">
        <v>3189</v>
      </c>
      <c r="D718" s="736" t="s">
        <v>3190</v>
      </c>
      <c r="E718" s="763" t="s">
        <v>2529</v>
      </c>
      <c r="F718" s="805"/>
      <c r="G718" s="736" t="s">
        <v>1757</v>
      </c>
      <c r="H718" s="745">
        <v>220.0</v>
      </c>
      <c r="I718" s="793"/>
      <c r="J718" s="301"/>
      <c r="K718" s="731" t="s">
        <v>2075</v>
      </c>
      <c r="L718" s="746">
        <f>L715*1.25</f>
        <v>320.8333333</v>
      </c>
      <c r="M718" s="733"/>
      <c r="N718" s="301"/>
      <c r="O718" s="743" t="b">
        <v>1</v>
      </c>
    </row>
    <row r="719">
      <c r="A719" s="734"/>
      <c r="B719" s="735" t="s">
        <v>2174</v>
      </c>
      <c r="C719" s="744" t="s">
        <v>3191</v>
      </c>
      <c r="D719" s="736" t="s">
        <v>3192</v>
      </c>
      <c r="E719" s="763" t="s">
        <v>3193</v>
      </c>
      <c r="F719" s="805"/>
      <c r="G719" s="736" t="s">
        <v>1757</v>
      </c>
      <c r="H719" s="745">
        <v>300.0</v>
      </c>
      <c r="I719" s="792"/>
      <c r="J719" s="189"/>
      <c r="K719" s="731" t="s">
        <v>2080</v>
      </c>
      <c r="L719" s="746">
        <f>L715*0.75</f>
        <v>192.5</v>
      </c>
      <c r="M719" s="733"/>
      <c r="N719" s="189"/>
      <c r="O719" s="743" t="b">
        <v>1</v>
      </c>
    </row>
    <row r="720">
      <c r="A720" s="734"/>
      <c r="B720" s="735"/>
      <c r="C720" s="735"/>
      <c r="D720" s="734"/>
      <c r="E720" s="749"/>
      <c r="F720" s="750"/>
      <c r="G720" s="749"/>
      <c r="H720" s="749"/>
      <c r="I720" s="751"/>
      <c r="J720" s="752"/>
      <c r="K720" s="752"/>
      <c r="L720" s="752"/>
      <c r="M720" s="751"/>
      <c r="N720" s="752"/>
      <c r="O720" s="753"/>
    </row>
    <row r="721">
      <c r="A721" s="754" t="s">
        <v>502</v>
      </c>
      <c r="B721" s="804" t="s">
        <v>3194</v>
      </c>
      <c r="C721" s="36"/>
      <c r="D721" s="36"/>
      <c r="E721" s="36"/>
      <c r="F721" s="36"/>
      <c r="G721" s="754" t="s">
        <v>1757</v>
      </c>
      <c r="H721" s="756">
        <f>MEDIAN(H723:H725)</f>
        <v>250</v>
      </c>
      <c r="I721" s="757"/>
      <c r="J721" s="758" t="s">
        <v>2053</v>
      </c>
      <c r="K721" s="731" t="s">
        <v>2054</v>
      </c>
      <c r="L721" s="759">
        <f>AVERAGE(H723:H725)</f>
        <v>256.6666667</v>
      </c>
      <c r="M721" s="733"/>
      <c r="N721" s="760" t="s">
        <v>2055</v>
      </c>
      <c r="O721" s="454"/>
    </row>
    <row r="722">
      <c r="A722" s="727" t="s">
        <v>1717</v>
      </c>
      <c r="B722" s="728" t="s">
        <v>2056</v>
      </c>
      <c r="C722" s="728" t="s">
        <v>2057</v>
      </c>
      <c r="D722" s="727" t="s">
        <v>2058</v>
      </c>
      <c r="E722" s="727" t="s">
        <v>2059</v>
      </c>
      <c r="F722" s="729" t="s">
        <v>1537</v>
      </c>
      <c r="G722" s="727" t="s">
        <v>2060</v>
      </c>
      <c r="H722" s="727" t="s">
        <v>2061</v>
      </c>
      <c r="I722" s="730" t="s">
        <v>2062</v>
      </c>
      <c r="J722" s="301"/>
      <c r="K722" s="731" t="s">
        <v>2063</v>
      </c>
      <c r="L722" s="732">
        <f>STDEV(H723:H725)</f>
        <v>40.41451884</v>
      </c>
      <c r="M722" s="733"/>
      <c r="N722" s="189"/>
      <c r="O722" s="454"/>
    </row>
    <row r="723">
      <c r="A723" s="734"/>
      <c r="B723" s="735" t="s">
        <v>2174</v>
      </c>
      <c r="C723" s="767" t="s">
        <v>3186</v>
      </c>
      <c r="D723" s="777" t="s">
        <v>3187</v>
      </c>
      <c r="E723" s="763" t="s">
        <v>2113</v>
      </c>
      <c r="F723" s="801" t="s">
        <v>3195</v>
      </c>
      <c r="G723" s="736" t="s">
        <v>1757</v>
      </c>
      <c r="H723" s="745">
        <v>250.0</v>
      </c>
      <c r="I723" s="792"/>
      <c r="J723" s="301"/>
      <c r="K723" s="731" t="s">
        <v>2070</v>
      </c>
      <c r="L723" s="741">
        <f>L722/L721</f>
        <v>0.1574591643</v>
      </c>
      <c r="M723" s="733"/>
      <c r="N723" s="742" t="str">
        <f>IF(L723&lt;25%,"Não","Sim - proceder verificação ao lado")</f>
        <v>Não</v>
      </c>
      <c r="O723" s="743" t="b">
        <v>1</v>
      </c>
    </row>
    <row r="724">
      <c r="A724" s="734"/>
      <c r="B724" s="744" t="s">
        <v>2174</v>
      </c>
      <c r="C724" s="744" t="s">
        <v>3189</v>
      </c>
      <c r="D724" s="736" t="s">
        <v>3190</v>
      </c>
      <c r="E724" s="763" t="s">
        <v>2529</v>
      </c>
      <c r="F724" s="805"/>
      <c r="G724" s="736" t="s">
        <v>1757</v>
      </c>
      <c r="H724" s="745">
        <v>220.0</v>
      </c>
      <c r="I724" s="793"/>
      <c r="J724" s="301"/>
      <c r="K724" s="731" t="s">
        <v>2075</v>
      </c>
      <c r="L724" s="746">
        <f>L721*1.25</f>
        <v>320.8333333</v>
      </c>
      <c r="M724" s="733"/>
      <c r="N724" s="301"/>
      <c r="O724" s="743" t="b">
        <v>1</v>
      </c>
    </row>
    <row r="725">
      <c r="A725" s="734"/>
      <c r="B725" s="735" t="s">
        <v>2174</v>
      </c>
      <c r="C725" s="744" t="s">
        <v>3191</v>
      </c>
      <c r="D725" s="736" t="s">
        <v>3192</v>
      </c>
      <c r="E725" s="763" t="s">
        <v>3193</v>
      </c>
      <c r="F725" s="805"/>
      <c r="G725" s="736" t="s">
        <v>1757</v>
      </c>
      <c r="H725" s="745">
        <v>300.0</v>
      </c>
      <c r="I725" s="792"/>
      <c r="J725" s="189"/>
      <c r="K725" s="731" t="s">
        <v>2080</v>
      </c>
      <c r="L725" s="746">
        <f>L721*0.75</f>
        <v>192.5</v>
      </c>
      <c r="M725" s="733"/>
      <c r="N725" s="189"/>
      <c r="O725" s="743" t="b">
        <v>1</v>
      </c>
    </row>
    <row r="726">
      <c r="A726" s="734"/>
      <c r="B726" s="735"/>
      <c r="C726" s="735"/>
      <c r="D726" s="734"/>
      <c r="E726" s="749"/>
      <c r="F726" s="750"/>
      <c r="G726" s="749"/>
      <c r="H726" s="749"/>
      <c r="I726" s="751"/>
      <c r="J726" s="752"/>
      <c r="K726" s="752"/>
      <c r="L726" s="752"/>
      <c r="M726" s="751"/>
      <c r="N726" s="752"/>
      <c r="O726" s="753"/>
    </row>
    <row r="727">
      <c r="A727" s="754" t="s">
        <v>504</v>
      </c>
      <c r="B727" s="804" t="s">
        <v>3196</v>
      </c>
      <c r="C727" s="36"/>
      <c r="D727" s="36"/>
      <c r="E727" s="36"/>
      <c r="F727" s="36"/>
      <c r="G727" s="754" t="s">
        <v>1757</v>
      </c>
      <c r="H727" s="756">
        <f>MEDIAN(H729:H731)</f>
        <v>300</v>
      </c>
      <c r="I727" s="757"/>
      <c r="J727" s="758" t="s">
        <v>2053</v>
      </c>
      <c r="K727" s="731" t="s">
        <v>2054</v>
      </c>
      <c r="L727" s="759">
        <f>AVERAGE(H729:H731)</f>
        <v>306.6666667</v>
      </c>
      <c r="M727" s="733"/>
      <c r="N727" s="760" t="s">
        <v>2055</v>
      </c>
      <c r="O727" s="454"/>
    </row>
    <row r="728">
      <c r="A728" s="727" t="s">
        <v>1717</v>
      </c>
      <c r="B728" s="728" t="s">
        <v>2056</v>
      </c>
      <c r="C728" s="728" t="s">
        <v>2057</v>
      </c>
      <c r="D728" s="727" t="s">
        <v>2058</v>
      </c>
      <c r="E728" s="727" t="s">
        <v>2059</v>
      </c>
      <c r="F728" s="729" t="s">
        <v>1537</v>
      </c>
      <c r="G728" s="727" t="s">
        <v>2060</v>
      </c>
      <c r="H728" s="727" t="s">
        <v>2061</v>
      </c>
      <c r="I728" s="730" t="s">
        <v>2062</v>
      </c>
      <c r="J728" s="301"/>
      <c r="K728" s="731" t="s">
        <v>2063</v>
      </c>
      <c r="L728" s="732">
        <f>STDEV(H729:H731)</f>
        <v>40.41451884</v>
      </c>
      <c r="M728" s="733"/>
      <c r="N728" s="189"/>
      <c r="O728" s="454"/>
    </row>
    <row r="729">
      <c r="A729" s="734"/>
      <c r="B729" s="735" t="s">
        <v>2174</v>
      </c>
      <c r="C729" s="767" t="s">
        <v>3186</v>
      </c>
      <c r="D729" s="777" t="s">
        <v>3187</v>
      </c>
      <c r="E729" s="763" t="s">
        <v>2113</v>
      </c>
      <c r="F729" s="801" t="s">
        <v>3197</v>
      </c>
      <c r="G729" s="736" t="s">
        <v>1757</v>
      </c>
      <c r="H729" s="745">
        <v>300.0</v>
      </c>
      <c r="I729" s="806"/>
      <c r="J729" s="301"/>
      <c r="K729" s="731" t="s">
        <v>2070</v>
      </c>
      <c r="L729" s="741">
        <f>L728/L727</f>
        <v>0.1317864745</v>
      </c>
      <c r="M729" s="733"/>
      <c r="N729" s="742" t="str">
        <f>IF(L729&lt;25%,"Não","Sim - proceder verificação ao lado")</f>
        <v>Não</v>
      </c>
      <c r="O729" s="743" t="b">
        <v>1</v>
      </c>
    </row>
    <row r="730">
      <c r="A730" s="734"/>
      <c r="B730" s="744" t="s">
        <v>2174</v>
      </c>
      <c r="C730" s="744" t="s">
        <v>3189</v>
      </c>
      <c r="D730" s="736" t="s">
        <v>3190</v>
      </c>
      <c r="E730" s="763" t="s">
        <v>2529</v>
      </c>
      <c r="F730" s="805"/>
      <c r="G730" s="736" t="s">
        <v>1757</v>
      </c>
      <c r="H730" s="745">
        <v>270.0</v>
      </c>
      <c r="I730" s="793"/>
      <c r="J730" s="301"/>
      <c r="K730" s="731" t="s">
        <v>2075</v>
      </c>
      <c r="L730" s="746">
        <f>L727*1.25</f>
        <v>383.3333333</v>
      </c>
      <c r="M730" s="733"/>
      <c r="N730" s="301"/>
      <c r="O730" s="743" t="b">
        <v>1</v>
      </c>
    </row>
    <row r="731">
      <c r="A731" s="734"/>
      <c r="B731" s="735" t="s">
        <v>2174</v>
      </c>
      <c r="C731" s="744" t="s">
        <v>3191</v>
      </c>
      <c r="D731" s="736" t="s">
        <v>3192</v>
      </c>
      <c r="E731" s="763" t="s">
        <v>3193</v>
      </c>
      <c r="F731" s="805"/>
      <c r="G731" s="736" t="s">
        <v>1757</v>
      </c>
      <c r="H731" s="745">
        <v>350.0</v>
      </c>
      <c r="I731" s="792"/>
      <c r="J731" s="189"/>
      <c r="K731" s="731" t="s">
        <v>2080</v>
      </c>
      <c r="L731" s="746">
        <f>L727*0.75</f>
        <v>230</v>
      </c>
      <c r="M731" s="733"/>
      <c r="N731" s="189"/>
      <c r="O731" s="743" t="b">
        <v>1</v>
      </c>
    </row>
    <row r="732">
      <c r="A732" s="734"/>
      <c r="B732" s="735"/>
      <c r="C732" s="735"/>
      <c r="D732" s="734"/>
      <c r="E732" s="749"/>
      <c r="F732" s="750"/>
      <c r="G732" s="749"/>
      <c r="H732" s="749"/>
      <c r="I732" s="751"/>
      <c r="J732" s="752"/>
      <c r="K732" s="752"/>
      <c r="L732" s="752"/>
      <c r="M732" s="751"/>
      <c r="N732" s="752"/>
      <c r="O732" s="753"/>
    </row>
    <row r="733">
      <c r="A733" s="754" t="s">
        <v>506</v>
      </c>
      <c r="B733" s="755" t="s">
        <v>3198</v>
      </c>
      <c r="C733" s="36"/>
      <c r="D733" s="36"/>
      <c r="E733" s="36"/>
      <c r="F733" s="36"/>
      <c r="G733" s="754" t="s">
        <v>1757</v>
      </c>
      <c r="H733" s="756">
        <f>MEDIAN(H735:H737)</f>
        <v>400</v>
      </c>
      <c r="I733" s="757"/>
      <c r="J733" s="758" t="s">
        <v>2053</v>
      </c>
      <c r="K733" s="731" t="s">
        <v>2054</v>
      </c>
      <c r="L733" s="759">
        <f>AVERAGE(H735:H737)</f>
        <v>390</v>
      </c>
      <c r="M733" s="733"/>
      <c r="N733" s="760" t="s">
        <v>2055</v>
      </c>
      <c r="O733" s="454"/>
    </row>
    <row r="734">
      <c r="A734" s="727" t="s">
        <v>1717</v>
      </c>
      <c r="B734" s="728" t="s">
        <v>2056</v>
      </c>
      <c r="C734" s="728" t="s">
        <v>2057</v>
      </c>
      <c r="D734" s="727" t="s">
        <v>2058</v>
      </c>
      <c r="E734" s="727" t="s">
        <v>2059</v>
      </c>
      <c r="F734" s="729" t="s">
        <v>1537</v>
      </c>
      <c r="G734" s="727" t="s">
        <v>2060</v>
      </c>
      <c r="H734" s="727" t="s">
        <v>2061</v>
      </c>
      <c r="I734" s="730" t="s">
        <v>2062</v>
      </c>
      <c r="J734" s="301"/>
      <c r="K734" s="731" t="s">
        <v>2063</v>
      </c>
      <c r="L734" s="732">
        <f>STDEV(H735:H737)</f>
        <v>65.57438524</v>
      </c>
      <c r="M734" s="733"/>
      <c r="N734" s="189"/>
      <c r="O734" s="454"/>
    </row>
    <row r="735">
      <c r="A735" s="734"/>
      <c r="B735" s="735" t="s">
        <v>2174</v>
      </c>
      <c r="C735" s="744" t="s">
        <v>3199</v>
      </c>
      <c r="D735" s="736" t="s">
        <v>3200</v>
      </c>
      <c r="E735" s="763" t="s">
        <v>2113</v>
      </c>
      <c r="F735" s="801" t="s">
        <v>3201</v>
      </c>
      <c r="G735" s="736" t="s">
        <v>1757</v>
      </c>
      <c r="H735" s="739">
        <v>450.0</v>
      </c>
      <c r="I735" s="792"/>
      <c r="J735" s="301"/>
      <c r="K735" s="731" t="s">
        <v>2070</v>
      </c>
      <c r="L735" s="741">
        <f>L734/L733</f>
        <v>0.1681394493</v>
      </c>
      <c r="M735" s="733"/>
      <c r="N735" s="742" t="str">
        <f>IF(L735&lt;25%,"Não","Sim - proceder verificação ao lado")</f>
        <v>Não</v>
      </c>
      <c r="O735" s="743" t="b">
        <v>1</v>
      </c>
    </row>
    <row r="736">
      <c r="A736" s="734"/>
      <c r="B736" s="735" t="s">
        <v>2174</v>
      </c>
      <c r="C736" s="744" t="s">
        <v>3189</v>
      </c>
      <c r="D736" s="736" t="s">
        <v>3190</v>
      </c>
      <c r="E736" s="763" t="s">
        <v>2529</v>
      </c>
      <c r="F736" s="805"/>
      <c r="G736" s="736" t="s">
        <v>1757</v>
      </c>
      <c r="H736" s="745">
        <v>320.0</v>
      </c>
      <c r="I736" s="793"/>
      <c r="J736" s="301"/>
      <c r="K736" s="731" t="s">
        <v>2075</v>
      </c>
      <c r="L736" s="746">
        <f>L733*1.25</f>
        <v>487.5</v>
      </c>
      <c r="M736" s="733"/>
      <c r="N736" s="301"/>
      <c r="O736" s="743" t="b">
        <v>1</v>
      </c>
    </row>
    <row r="737">
      <c r="A737" s="734"/>
      <c r="B737" s="735" t="s">
        <v>2174</v>
      </c>
      <c r="C737" s="744" t="s">
        <v>3191</v>
      </c>
      <c r="D737" s="736" t="s">
        <v>3192</v>
      </c>
      <c r="E737" s="763" t="s">
        <v>3193</v>
      </c>
      <c r="F737" s="805"/>
      <c r="G737" s="736" t="s">
        <v>1757</v>
      </c>
      <c r="H737" s="745">
        <v>400.0</v>
      </c>
      <c r="I737" s="792"/>
      <c r="J737" s="189"/>
      <c r="K737" s="731" t="s">
        <v>2080</v>
      </c>
      <c r="L737" s="746">
        <f>L733*0.75</f>
        <v>292.5</v>
      </c>
      <c r="M737" s="733"/>
      <c r="N737" s="189"/>
      <c r="O737" s="743" t="b">
        <v>1</v>
      </c>
    </row>
    <row r="738">
      <c r="A738" s="734"/>
      <c r="B738" s="735"/>
      <c r="C738" s="735"/>
      <c r="D738" s="734"/>
      <c r="E738" s="749"/>
      <c r="F738" s="750"/>
      <c r="G738" s="749"/>
      <c r="H738" s="749"/>
      <c r="I738" s="751"/>
      <c r="J738" s="752"/>
      <c r="K738" s="752"/>
      <c r="L738" s="752"/>
      <c r="M738" s="751"/>
      <c r="N738" s="752"/>
      <c r="O738" s="753"/>
    </row>
    <row r="739">
      <c r="A739" s="754" t="s">
        <v>508</v>
      </c>
      <c r="B739" s="804" t="s">
        <v>3202</v>
      </c>
      <c r="C739" s="36"/>
      <c r="D739" s="36"/>
      <c r="E739" s="36"/>
      <c r="F739" s="36"/>
      <c r="G739" s="754" t="s">
        <v>1757</v>
      </c>
      <c r="H739" s="756">
        <f>MEDIAN(H741:H743)</f>
        <v>450</v>
      </c>
      <c r="I739" s="757"/>
      <c r="J739" s="758" t="s">
        <v>2053</v>
      </c>
      <c r="K739" s="731" t="s">
        <v>2054</v>
      </c>
      <c r="L739" s="759">
        <f>AVERAGE(H741:H743)</f>
        <v>473.3333333</v>
      </c>
      <c r="M739" s="733"/>
      <c r="N739" s="760" t="s">
        <v>2055</v>
      </c>
      <c r="O739" s="454"/>
    </row>
    <row r="740">
      <c r="A740" s="727" t="s">
        <v>1717</v>
      </c>
      <c r="B740" s="728" t="s">
        <v>2056</v>
      </c>
      <c r="C740" s="728" t="s">
        <v>2057</v>
      </c>
      <c r="D740" s="727" t="s">
        <v>2058</v>
      </c>
      <c r="E740" s="727" t="s">
        <v>2059</v>
      </c>
      <c r="F740" s="729" t="s">
        <v>1537</v>
      </c>
      <c r="G740" s="727" t="s">
        <v>2060</v>
      </c>
      <c r="H740" s="727" t="s">
        <v>2061</v>
      </c>
      <c r="I740" s="730" t="s">
        <v>2062</v>
      </c>
      <c r="J740" s="301"/>
      <c r="K740" s="731" t="s">
        <v>2063</v>
      </c>
      <c r="L740" s="732">
        <f>STDEV(H741:H743)</f>
        <v>116.7618659</v>
      </c>
      <c r="M740" s="733"/>
      <c r="N740" s="189"/>
      <c r="O740" s="454"/>
    </row>
    <row r="741">
      <c r="A741" s="734"/>
      <c r="B741" s="744" t="s">
        <v>2174</v>
      </c>
      <c r="C741" s="767" t="s">
        <v>3203</v>
      </c>
      <c r="D741" s="736" t="s">
        <v>3190</v>
      </c>
      <c r="E741" s="763" t="s">
        <v>2529</v>
      </c>
      <c r="F741" s="805"/>
      <c r="G741" s="736" t="s">
        <v>1757</v>
      </c>
      <c r="H741" s="745">
        <v>370.0</v>
      </c>
      <c r="I741" s="792"/>
      <c r="J741" s="301"/>
      <c r="K741" s="731" t="s">
        <v>2070</v>
      </c>
      <c r="L741" s="741">
        <f>L740/L739</f>
        <v>0.2466799984</v>
      </c>
      <c r="M741" s="733"/>
      <c r="N741" s="742" t="str">
        <f>IF(L741&lt;25%,"Não","Sim - proceder verificação ao lado")</f>
        <v>Não</v>
      </c>
      <c r="O741" s="743" t="b">
        <v>1</v>
      </c>
    </row>
    <row r="742">
      <c r="A742" s="734"/>
      <c r="B742" s="735" t="s">
        <v>2174</v>
      </c>
      <c r="C742" s="767" t="s">
        <v>3199</v>
      </c>
      <c r="D742" s="777" t="s">
        <v>3200</v>
      </c>
      <c r="E742" s="763" t="s">
        <v>2113</v>
      </c>
      <c r="F742" s="805"/>
      <c r="G742" s="736" t="s">
        <v>1757</v>
      </c>
      <c r="H742" s="745">
        <v>450.0</v>
      </c>
      <c r="I742" s="793"/>
      <c r="J742" s="301"/>
      <c r="K742" s="731" t="s">
        <v>2075</v>
      </c>
      <c r="L742" s="746">
        <f>L739*1.25</f>
        <v>591.6666667</v>
      </c>
      <c r="M742" s="733"/>
      <c r="N742" s="301"/>
      <c r="O742" s="743" t="b">
        <v>1</v>
      </c>
    </row>
    <row r="743">
      <c r="A743" s="734"/>
      <c r="B743" s="735" t="s">
        <v>2174</v>
      </c>
      <c r="C743" s="744" t="s">
        <v>3191</v>
      </c>
      <c r="D743" s="736" t="s">
        <v>3192</v>
      </c>
      <c r="E743" s="763" t="s">
        <v>3193</v>
      </c>
      <c r="F743" s="805"/>
      <c r="G743" s="736" t="s">
        <v>1757</v>
      </c>
      <c r="H743" s="745">
        <v>600.0</v>
      </c>
      <c r="I743" s="792"/>
      <c r="J743" s="189"/>
      <c r="K743" s="731" t="s">
        <v>2080</v>
      </c>
      <c r="L743" s="746">
        <f>L739*0.75</f>
        <v>355</v>
      </c>
      <c r="M743" s="733"/>
      <c r="N743" s="189"/>
      <c r="O743" s="743" t="b">
        <v>1</v>
      </c>
    </row>
    <row r="744">
      <c r="A744" s="734"/>
      <c r="B744" s="735"/>
      <c r="C744" s="735"/>
      <c r="D744" s="734"/>
      <c r="E744" s="749"/>
      <c r="F744" s="750"/>
      <c r="G744" s="749"/>
      <c r="H744" s="749"/>
      <c r="I744" s="751"/>
      <c r="J744" s="752"/>
      <c r="K744" s="752"/>
      <c r="L744" s="752"/>
      <c r="M744" s="751"/>
      <c r="N744" s="752"/>
      <c r="O744" s="753"/>
    </row>
    <row r="745">
      <c r="A745" s="754" t="s">
        <v>510</v>
      </c>
      <c r="B745" s="804" t="s">
        <v>3204</v>
      </c>
      <c r="C745" s="36"/>
      <c r="D745" s="36"/>
      <c r="E745" s="36"/>
      <c r="F745" s="36"/>
      <c r="G745" s="754" t="s">
        <v>1757</v>
      </c>
      <c r="H745" s="756">
        <f>MEDIAN(H747:H749)</f>
        <v>600</v>
      </c>
      <c r="I745" s="757"/>
      <c r="J745" s="758" t="s">
        <v>2053</v>
      </c>
      <c r="K745" s="731" t="s">
        <v>2054</v>
      </c>
      <c r="L745" s="759">
        <f>AVERAGE(H747:H749)</f>
        <v>550</v>
      </c>
      <c r="M745" s="733"/>
      <c r="N745" s="760" t="s">
        <v>2055</v>
      </c>
      <c r="O745" s="454"/>
    </row>
    <row r="746">
      <c r="A746" s="727" t="s">
        <v>1717</v>
      </c>
      <c r="B746" s="728" t="s">
        <v>2056</v>
      </c>
      <c r="C746" s="728" t="s">
        <v>2057</v>
      </c>
      <c r="D746" s="727" t="s">
        <v>2058</v>
      </c>
      <c r="E746" s="727" t="s">
        <v>2059</v>
      </c>
      <c r="F746" s="729" t="s">
        <v>1537</v>
      </c>
      <c r="G746" s="727" t="s">
        <v>2060</v>
      </c>
      <c r="H746" s="727" t="s">
        <v>2061</v>
      </c>
      <c r="I746" s="730" t="s">
        <v>2062</v>
      </c>
      <c r="J746" s="301"/>
      <c r="K746" s="731" t="s">
        <v>2063</v>
      </c>
      <c r="L746" s="732">
        <f>STDEV(H747:H749)</f>
        <v>113.5781669</v>
      </c>
      <c r="M746" s="733"/>
      <c r="N746" s="189"/>
      <c r="O746" s="454"/>
    </row>
    <row r="747">
      <c r="A747" s="734"/>
      <c r="B747" s="744" t="s">
        <v>2174</v>
      </c>
      <c r="C747" s="767" t="s">
        <v>3199</v>
      </c>
      <c r="D747" s="777" t="s">
        <v>3200</v>
      </c>
      <c r="E747" s="763" t="s">
        <v>2113</v>
      </c>
      <c r="F747" s="805"/>
      <c r="G747" s="736" t="s">
        <v>1757</v>
      </c>
      <c r="H747" s="745">
        <v>630.0</v>
      </c>
      <c r="I747" s="792"/>
      <c r="J747" s="301"/>
      <c r="K747" s="731" t="s">
        <v>2070</v>
      </c>
      <c r="L747" s="741">
        <f>L746/L745</f>
        <v>0.206505758</v>
      </c>
      <c r="M747" s="733"/>
      <c r="N747" s="742" t="str">
        <f>IF(L747&lt;25%,"Não","Sim - proceder verificação ao lado")</f>
        <v>Não</v>
      </c>
      <c r="O747" s="743" t="b">
        <v>1</v>
      </c>
    </row>
    <row r="748">
      <c r="A748" s="734"/>
      <c r="B748" s="735" t="s">
        <v>2174</v>
      </c>
      <c r="C748" s="744" t="s">
        <v>3189</v>
      </c>
      <c r="D748" s="736" t="s">
        <v>3190</v>
      </c>
      <c r="E748" s="763" t="s">
        <v>2529</v>
      </c>
      <c r="F748" s="805"/>
      <c r="G748" s="736" t="s">
        <v>1757</v>
      </c>
      <c r="H748" s="739">
        <v>420.0</v>
      </c>
      <c r="I748" s="793"/>
      <c r="J748" s="301"/>
      <c r="K748" s="731" t="s">
        <v>2075</v>
      </c>
      <c r="L748" s="746">
        <f>L745*1.25</f>
        <v>687.5</v>
      </c>
      <c r="M748" s="733"/>
      <c r="N748" s="301"/>
      <c r="O748" s="743" t="b">
        <v>1</v>
      </c>
    </row>
    <row r="749">
      <c r="A749" s="734"/>
      <c r="B749" s="735" t="s">
        <v>2174</v>
      </c>
      <c r="C749" s="744" t="s">
        <v>3191</v>
      </c>
      <c r="D749" s="736" t="s">
        <v>3192</v>
      </c>
      <c r="E749" s="763" t="s">
        <v>3193</v>
      </c>
      <c r="F749" s="805"/>
      <c r="G749" s="736" t="s">
        <v>1757</v>
      </c>
      <c r="H749" s="745">
        <v>600.0</v>
      </c>
      <c r="I749" s="792"/>
      <c r="J749" s="189"/>
      <c r="K749" s="731" t="s">
        <v>2080</v>
      </c>
      <c r="L749" s="746">
        <f>L745*0.75</f>
        <v>412.5</v>
      </c>
      <c r="M749" s="733"/>
      <c r="N749" s="189"/>
      <c r="O749" s="743" t="b">
        <v>1</v>
      </c>
    </row>
    <row r="750">
      <c r="A750" s="734"/>
      <c r="B750" s="735"/>
      <c r="C750" s="735"/>
      <c r="D750" s="734"/>
      <c r="E750" s="749"/>
      <c r="F750" s="750"/>
      <c r="G750" s="749"/>
      <c r="H750" s="749"/>
      <c r="I750" s="751"/>
      <c r="J750" s="752"/>
      <c r="K750" s="752"/>
      <c r="L750" s="752"/>
      <c r="M750" s="751"/>
      <c r="N750" s="752"/>
      <c r="O750" s="753"/>
    </row>
    <row r="751">
      <c r="A751" s="754" t="s">
        <v>512</v>
      </c>
      <c r="B751" s="804" t="s">
        <v>3205</v>
      </c>
      <c r="C751" s="36"/>
      <c r="D751" s="36"/>
      <c r="E751" s="36"/>
      <c r="F751" s="36"/>
      <c r="G751" s="754" t="s">
        <v>1757</v>
      </c>
      <c r="H751" s="756">
        <f>MEDIAN(H753:H755)</f>
        <v>470</v>
      </c>
      <c r="I751" s="757"/>
      <c r="J751" s="758" t="s">
        <v>2053</v>
      </c>
      <c r="K751" s="731" t="s">
        <v>2054</v>
      </c>
      <c r="L751" s="759">
        <f>AVERAGE(H753:H755)</f>
        <v>506.6666667</v>
      </c>
      <c r="M751" s="733"/>
      <c r="N751" s="760" t="s">
        <v>2055</v>
      </c>
      <c r="O751" s="454"/>
    </row>
    <row r="752">
      <c r="A752" s="727" t="s">
        <v>1717</v>
      </c>
      <c r="B752" s="728" t="s">
        <v>2056</v>
      </c>
      <c r="C752" s="728" t="s">
        <v>2057</v>
      </c>
      <c r="D752" s="727" t="s">
        <v>2058</v>
      </c>
      <c r="E752" s="727" t="s">
        <v>2059</v>
      </c>
      <c r="F752" s="729" t="s">
        <v>1537</v>
      </c>
      <c r="G752" s="727" t="s">
        <v>2060</v>
      </c>
      <c r="H752" s="727" t="s">
        <v>2061</v>
      </c>
      <c r="I752" s="730" t="s">
        <v>2062</v>
      </c>
      <c r="J752" s="301"/>
      <c r="K752" s="731" t="s">
        <v>2063</v>
      </c>
      <c r="L752" s="732">
        <f>STDEV(H753:H755)</f>
        <v>81.44527815</v>
      </c>
      <c r="M752" s="733"/>
      <c r="N752" s="189"/>
      <c r="O752" s="454"/>
    </row>
    <row r="753">
      <c r="A753" s="734"/>
      <c r="B753" s="744" t="s">
        <v>2174</v>
      </c>
      <c r="C753" s="767" t="s">
        <v>3199</v>
      </c>
      <c r="D753" s="777" t="s">
        <v>3200</v>
      </c>
      <c r="E753" s="763" t="s">
        <v>2113</v>
      </c>
      <c r="F753" s="805"/>
      <c r="G753" s="736" t="s">
        <v>1757</v>
      </c>
      <c r="H753" s="745">
        <v>450.0</v>
      </c>
      <c r="I753" s="792"/>
      <c r="J753" s="301"/>
      <c r="K753" s="731" t="s">
        <v>2070</v>
      </c>
      <c r="L753" s="741">
        <f>L752/L751</f>
        <v>0.1607472595</v>
      </c>
      <c r="M753" s="733"/>
      <c r="N753" s="742" t="str">
        <f>IF(L753&lt;25%,"Não","Sim - proceder verificação ao lado")</f>
        <v>Não</v>
      </c>
      <c r="O753" s="743" t="b">
        <v>1</v>
      </c>
    </row>
    <row r="754">
      <c r="A754" s="734"/>
      <c r="B754" s="735" t="s">
        <v>2174</v>
      </c>
      <c r="C754" s="744" t="s">
        <v>3189</v>
      </c>
      <c r="D754" s="736" t="s">
        <v>3190</v>
      </c>
      <c r="E754" s="763" t="s">
        <v>2529</v>
      </c>
      <c r="F754" s="805"/>
      <c r="G754" s="736" t="s">
        <v>1757</v>
      </c>
      <c r="H754" s="739">
        <v>470.0</v>
      </c>
      <c r="I754" s="793"/>
      <c r="J754" s="301"/>
      <c r="K754" s="731" t="s">
        <v>2075</v>
      </c>
      <c r="L754" s="746">
        <f>L751*1.25</f>
        <v>633.3333333</v>
      </c>
      <c r="M754" s="733"/>
      <c r="N754" s="301"/>
      <c r="O754" s="743" t="b">
        <v>1</v>
      </c>
    </row>
    <row r="755">
      <c r="A755" s="734"/>
      <c r="B755" s="744" t="s">
        <v>2174</v>
      </c>
      <c r="C755" s="744" t="s">
        <v>3191</v>
      </c>
      <c r="D755" s="736" t="s">
        <v>3192</v>
      </c>
      <c r="E755" s="763" t="s">
        <v>3193</v>
      </c>
      <c r="F755" s="805"/>
      <c r="G755" s="736" t="s">
        <v>1757</v>
      </c>
      <c r="H755" s="745">
        <v>600.0</v>
      </c>
      <c r="I755" s="792"/>
      <c r="J755" s="189"/>
      <c r="K755" s="731" t="s">
        <v>2080</v>
      </c>
      <c r="L755" s="746">
        <f>L751*0.75</f>
        <v>380</v>
      </c>
      <c r="M755" s="733"/>
      <c r="N755" s="189"/>
      <c r="O755" s="743" t="b">
        <v>1</v>
      </c>
    </row>
    <row r="756">
      <c r="A756" s="734"/>
      <c r="B756" s="735"/>
      <c r="C756" s="735"/>
      <c r="D756" s="734"/>
      <c r="E756" s="749"/>
      <c r="F756" s="750"/>
      <c r="G756" s="749"/>
      <c r="H756" s="749"/>
      <c r="I756" s="751"/>
      <c r="J756" s="752"/>
      <c r="K756" s="752"/>
      <c r="L756" s="752"/>
      <c r="M756" s="751"/>
      <c r="N756" s="752"/>
      <c r="O756" s="753"/>
    </row>
    <row r="757">
      <c r="A757" s="754" t="s">
        <v>514</v>
      </c>
      <c r="B757" s="804" t="s">
        <v>3206</v>
      </c>
      <c r="C757" s="36"/>
      <c r="D757" s="36"/>
      <c r="E757" s="36"/>
      <c r="F757" s="36"/>
      <c r="G757" s="754" t="s">
        <v>1757</v>
      </c>
      <c r="H757" s="756">
        <f>MEDIAN(H759:H761)</f>
        <v>450</v>
      </c>
      <c r="I757" s="757"/>
      <c r="J757" s="758" t="s">
        <v>2053</v>
      </c>
      <c r="K757" s="731" t="s">
        <v>2054</v>
      </c>
      <c r="L757" s="759">
        <f>AVERAGE(H759:H761)</f>
        <v>456.6666667</v>
      </c>
      <c r="M757" s="733"/>
      <c r="N757" s="760" t="s">
        <v>2055</v>
      </c>
      <c r="O757" s="454"/>
    </row>
    <row r="758">
      <c r="A758" s="727" t="s">
        <v>1717</v>
      </c>
      <c r="B758" s="728" t="s">
        <v>2056</v>
      </c>
      <c r="C758" s="728" t="s">
        <v>2057</v>
      </c>
      <c r="D758" s="727" t="s">
        <v>2058</v>
      </c>
      <c r="E758" s="727" t="s">
        <v>2059</v>
      </c>
      <c r="F758" s="729" t="s">
        <v>1537</v>
      </c>
      <c r="G758" s="727" t="s">
        <v>2060</v>
      </c>
      <c r="H758" s="727" t="s">
        <v>2061</v>
      </c>
      <c r="I758" s="730" t="s">
        <v>2062</v>
      </c>
      <c r="J758" s="301"/>
      <c r="K758" s="731" t="s">
        <v>2063</v>
      </c>
      <c r="L758" s="732">
        <f>STDEV(H759:H761)</f>
        <v>11.54700538</v>
      </c>
      <c r="M758" s="733"/>
      <c r="N758" s="189"/>
      <c r="O758" s="454"/>
    </row>
    <row r="759">
      <c r="A759" s="734"/>
      <c r="B759" s="744" t="s">
        <v>2174</v>
      </c>
      <c r="C759" s="767" t="s">
        <v>3199</v>
      </c>
      <c r="D759" s="777" t="s">
        <v>3200</v>
      </c>
      <c r="E759" s="763" t="s">
        <v>2113</v>
      </c>
      <c r="F759" s="805"/>
      <c r="G759" s="736" t="s">
        <v>1757</v>
      </c>
      <c r="H759" s="745">
        <v>450.0</v>
      </c>
      <c r="I759" s="792"/>
      <c r="J759" s="301"/>
      <c r="K759" s="731" t="s">
        <v>2070</v>
      </c>
      <c r="L759" s="741">
        <f>L758/L757</f>
        <v>0.02528541325</v>
      </c>
      <c r="M759" s="733"/>
      <c r="N759" s="742" t="str">
        <f>IF(L759&lt;25%,"Não","Sim - proceder verificação ao lado")</f>
        <v>Não</v>
      </c>
      <c r="O759" s="743" t="b">
        <v>1</v>
      </c>
    </row>
    <row r="760">
      <c r="A760" s="734"/>
      <c r="B760" s="735" t="s">
        <v>2174</v>
      </c>
      <c r="C760" s="744" t="s">
        <v>3189</v>
      </c>
      <c r="D760" s="736" t="s">
        <v>3190</v>
      </c>
      <c r="E760" s="763" t="s">
        <v>2529</v>
      </c>
      <c r="F760" s="805"/>
      <c r="G760" s="736" t="s">
        <v>1757</v>
      </c>
      <c r="H760" s="739">
        <v>470.0</v>
      </c>
      <c r="I760" s="793"/>
      <c r="J760" s="301"/>
      <c r="K760" s="731" t="s">
        <v>2075</v>
      </c>
      <c r="L760" s="746">
        <f>L757*1.25</f>
        <v>570.8333333</v>
      </c>
      <c r="M760" s="733"/>
      <c r="N760" s="301"/>
      <c r="O760" s="743" t="b">
        <v>1</v>
      </c>
    </row>
    <row r="761">
      <c r="A761" s="734"/>
      <c r="B761" s="735" t="s">
        <v>2174</v>
      </c>
      <c r="C761" s="767" t="s">
        <v>3186</v>
      </c>
      <c r="D761" s="777" t="s">
        <v>3187</v>
      </c>
      <c r="E761" s="763" t="s">
        <v>2113</v>
      </c>
      <c r="F761" s="805"/>
      <c r="G761" s="736" t="s">
        <v>1757</v>
      </c>
      <c r="H761" s="745">
        <v>450.0</v>
      </c>
      <c r="I761" s="792"/>
      <c r="J761" s="189"/>
      <c r="K761" s="731" t="s">
        <v>2080</v>
      </c>
      <c r="L761" s="746">
        <f>L757*0.75</f>
        <v>342.5</v>
      </c>
      <c r="M761" s="733"/>
      <c r="N761" s="189"/>
      <c r="O761" s="743" t="b">
        <v>1</v>
      </c>
    </row>
    <row r="762">
      <c r="A762" s="734"/>
      <c r="B762" s="735"/>
      <c r="C762" s="735"/>
      <c r="D762" s="734"/>
      <c r="E762" s="749"/>
      <c r="F762" s="750"/>
      <c r="G762" s="749"/>
      <c r="H762" s="749"/>
      <c r="I762" s="751"/>
      <c r="J762" s="752"/>
      <c r="K762" s="752"/>
      <c r="L762" s="752"/>
      <c r="M762" s="751"/>
      <c r="N762" s="752"/>
      <c r="O762" s="753"/>
    </row>
    <row r="763">
      <c r="A763" s="754" t="s">
        <v>516</v>
      </c>
      <c r="B763" s="804" t="s">
        <v>3207</v>
      </c>
      <c r="C763" s="36"/>
      <c r="D763" s="36"/>
      <c r="E763" s="36"/>
      <c r="F763" s="36"/>
      <c r="G763" s="754" t="s">
        <v>1757</v>
      </c>
      <c r="H763" s="756">
        <f>MEDIAN(H765:H767)</f>
        <v>350</v>
      </c>
      <c r="I763" s="757"/>
      <c r="J763" s="758" t="s">
        <v>2053</v>
      </c>
      <c r="K763" s="731" t="s">
        <v>2054</v>
      </c>
      <c r="L763" s="759">
        <f>AVERAGE(H765:H767)</f>
        <v>383.3333333</v>
      </c>
      <c r="M763" s="733"/>
      <c r="N763" s="760" t="s">
        <v>2055</v>
      </c>
      <c r="O763" s="454"/>
    </row>
    <row r="764">
      <c r="A764" s="727" t="s">
        <v>1717</v>
      </c>
      <c r="B764" s="728" t="s">
        <v>2056</v>
      </c>
      <c r="C764" s="728" t="s">
        <v>2057</v>
      </c>
      <c r="D764" s="727" t="s">
        <v>2058</v>
      </c>
      <c r="E764" s="727" t="s">
        <v>2059</v>
      </c>
      <c r="F764" s="729" t="s">
        <v>1537</v>
      </c>
      <c r="G764" s="727" t="s">
        <v>2060</v>
      </c>
      <c r="H764" s="727" t="s">
        <v>2061</v>
      </c>
      <c r="I764" s="730" t="s">
        <v>2062</v>
      </c>
      <c r="J764" s="301"/>
      <c r="K764" s="731" t="s">
        <v>2063</v>
      </c>
      <c r="L764" s="732">
        <f>STDEV(H765:H767)</f>
        <v>57.73502692</v>
      </c>
      <c r="M764" s="733"/>
      <c r="N764" s="189"/>
      <c r="O764" s="454"/>
    </row>
    <row r="765">
      <c r="A765" s="734"/>
      <c r="B765" s="744" t="s">
        <v>2174</v>
      </c>
      <c r="C765" s="767" t="s">
        <v>3186</v>
      </c>
      <c r="D765" s="777" t="s">
        <v>3187</v>
      </c>
      <c r="E765" s="763" t="s">
        <v>2113</v>
      </c>
      <c r="F765" s="801" t="s">
        <v>3208</v>
      </c>
      <c r="G765" s="736" t="s">
        <v>1757</v>
      </c>
      <c r="H765" s="745">
        <v>350.0</v>
      </c>
      <c r="I765" s="792"/>
      <c r="J765" s="301"/>
      <c r="K765" s="731" t="s">
        <v>2070</v>
      </c>
      <c r="L765" s="741">
        <f>L764/L763</f>
        <v>0.1506131137</v>
      </c>
      <c r="M765" s="733"/>
      <c r="N765" s="742" t="str">
        <f>IF(L765&lt;25%,"Não","Sim - proceder verificação ao lado")</f>
        <v>Não</v>
      </c>
      <c r="O765" s="743" t="b">
        <v>1</v>
      </c>
    </row>
    <row r="766">
      <c r="A766" s="734"/>
      <c r="B766" s="735" t="s">
        <v>2174</v>
      </c>
      <c r="C766" s="744" t="s">
        <v>3199</v>
      </c>
      <c r="D766" s="736" t="s">
        <v>3200</v>
      </c>
      <c r="E766" s="763" t="s">
        <v>2113</v>
      </c>
      <c r="F766" s="801" t="s">
        <v>3201</v>
      </c>
      <c r="G766" s="736" t="s">
        <v>1757</v>
      </c>
      <c r="H766" s="745">
        <v>450.0</v>
      </c>
      <c r="I766" s="807"/>
      <c r="J766" s="301"/>
      <c r="K766" s="731" t="s">
        <v>2075</v>
      </c>
      <c r="L766" s="746">
        <f>L763*1.25</f>
        <v>479.1666667</v>
      </c>
      <c r="M766" s="733"/>
      <c r="N766" s="301"/>
      <c r="O766" s="743" t="b">
        <v>1</v>
      </c>
    </row>
    <row r="767">
      <c r="A767" s="734"/>
      <c r="B767" s="735" t="s">
        <v>2174</v>
      </c>
      <c r="C767" s="744" t="s">
        <v>3191</v>
      </c>
      <c r="D767" s="736" t="s">
        <v>3192</v>
      </c>
      <c r="E767" s="763" t="s">
        <v>3193</v>
      </c>
      <c r="F767" s="805"/>
      <c r="G767" s="736" t="s">
        <v>1757</v>
      </c>
      <c r="H767" s="745">
        <v>350.0</v>
      </c>
      <c r="I767" s="792"/>
      <c r="J767" s="189"/>
      <c r="K767" s="731" t="s">
        <v>2080</v>
      </c>
      <c r="L767" s="746">
        <f>L763*0.75</f>
        <v>287.5</v>
      </c>
      <c r="M767" s="733"/>
      <c r="N767" s="189"/>
      <c r="O767" s="743" t="b">
        <v>1</v>
      </c>
    </row>
    <row r="768">
      <c r="A768" s="734"/>
      <c r="B768" s="735"/>
      <c r="C768" s="735"/>
      <c r="D768" s="734"/>
      <c r="E768" s="749"/>
      <c r="F768" s="750"/>
      <c r="G768" s="749"/>
      <c r="H768" s="749"/>
      <c r="I768" s="751"/>
      <c r="J768" s="752"/>
      <c r="K768" s="752"/>
      <c r="L768" s="752"/>
      <c r="M768" s="751"/>
      <c r="N768" s="752"/>
      <c r="O768" s="753"/>
    </row>
    <row r="769">
      <c r="A769" s="754" t="s">
        <v>518</v>
      </c>
      <c r="B769" s="804" t="s">
        <v>3209</v>
      </c>
      <c r="C769" s="36"/>
      <c r="D769" s="36"/>
      <c r="E769" s="36"/>
      <c r="F769" s="36"/>
      <c r="G769" s="754" t="s">
        <v>1757</v>
      </c>
      <c r="H769" s="756">
        <f>MEDIAN(H771:H773)</f>
        <v>350</v>
      </c>
      <c r="I769" s="757"/>
      <c r="J769" s="758" t="s">
        <v>2053</v>
      </c>
      <c r="K769" s="731" t="s">
        <v>2054</v>
      </c>
      <c r="L769" s="759">
        <f>AVERAGE(H771:H773)</f>
        <v>306.6666667</v>
      </c>
      <c r="M769" s="733"/>
      <c r="N769" s="760" t="s">
        <v>2055</v>
      </c>
      <c r="O769" s="454"/>
    </row>
    <row r="770">
      <c r="A770" s="727" t="s">
        <v>1717</v>
      </c>
      <c r="B770" s="728" t="s">
        <v>2056</v>
      </c>
      <c r="C770" s="728" t="s">
        <v>2057</v>
      </c>
      <c r="D770" s="727" t="s">
        <v>2058</v>
      </c>
      <c r="E770" s="727" t="s">
        <v>2059</v>
      </c>
      <c r="F770" s="729" t="s">
        <v>1537</v>
      </c>
      <c r="G770" s="727" t="s">
        <v>2060</v>
      </c>
      <c r="H770" s="727" t="s">
        <v>2061</v>
      </c>
      <c r="I770" s="730" t="s">
        <v>2062</v>
      </c>
      <c r="J770" s="301"/>
      <c r="K770" s="731" t="s">
        <v>2063</v>
      </c>
      <c r="L770" s="732">
        <f>STDEV(H771:H773)</f>
        <v>75.05553499</v>
      </c>
      <c r="M770" s="733"/>
      <c r="N770" s="189"/>
      <c r="O770" s="454"/>
    </row>
    <row r="771">
      <c r="A771" s="734"/>
      <c r="B771" s="744" t="s">
        <v>2174</v>
      </c>
      <c r="C771" s="767" t="s">
        <v>3186</v>
      </c>
      <c r="D771" s="777" t="s">
        <v>3187</v>
      </c>
      <c r="E771" s="763" t="s">
        <v>2113</v>
      </c>
      <c r="F771" s="801" t="s">
        <v>3210</v>
      </c>
      <c r="G771" s="736" t="s">
        <v>1757</v>
      </c>
      <c r="H771" s="745">
        <v>350.0</v>
      </c>
      <c r="I771" s="792"/>
      <c r="J771" s="301"/>
      <c r="K771" s="731" t="s">
        <v>2070</v>
      </c>
      <c r="L771" s="741">
        <f>L770/L769</f>
        <v>0.2447463098</v>
      </c>
      <c r="M771" s="733"/>
      <c r="N771" s="742" t="str">
        <f>IF(L771&lt;25%,"Não","Sim - proceder verificação ao lado")</f>
        <v>Não</v>
      </c>
      <c r="O771" s="743" t="b">
        <v>1</v>
      </c>
    </row>
    <row r="772">
      <c r="A772" s="734"/>
      <c r="B772" s="744" t="s">
        <v>2174</v>
      </c>
      <c r="C772" s="744" t="s">
        <v>3189</v>
      </c>
      <c r="D772" s="736" t="s">
        <v>3190</v>
      </c>
      <c r="E772" s="763" t="s">
        <v>2529</v>
      </c>
      <c r="F772" s="805"/>
      <c r="G772" s="736" t="s">
        <v>1757</v>
      </c>
      <c r="H772" s="739">
        <v>220.0</v>
      </c>
      <c r="I772" s="793"/>
      <c r="J772" s="301"/>
      <c r="K772" s="731" t="s">
        <v>2075</v>
      </c>
      <c r="L772" s="746">
        <f>L769*1.25</f>
        <v>383.3333333</v>
      </c>
      <c r="M772" s="733"/>
      <c r="N772" s="301"/>
      <c r="O772" s="743" t="b">
        <v>1</v>
      </c>
    </row>
    <row r="773">
      <c r="A773" s="734"/>
      <c r="B773" s="735" t="s">
        <v>2174</v>
      </c>
      <c r="C773" s="744" t="s">
        <v>3191</v>
      </c>
      <c r="D773" s="736" t="s">
        <v>3192</v>
      </c>
      <c r="E773" s="763" t="s">
        <v>3193</v>
      </c>
      <c r="F773" s="805"/>
      <c r="G773" s="736" t="s">
        <v>1757</v>
      </c>
      <c r="H773" s="745">
        <v>350.0</v>
      </c>
      <c r="I773" s="792"/>
      <c r="J773" s="189"/>
      <c r="K773" s="731" t="s">
        <v>2080</v>
      </c>
      <c r="L773" s="746">
        <f>L769*0.75</f>
        <v>230</v>
      </c>
      <c r="M773" s="733"/>
      <c r="N773" s="189"/>
      <c r="O773" s="743" t="b">
        <v>1</v>
      </c>
    </row>
    <row r="774">
      <c r="A774" s="734"/>
      <c r="B774" s="735"/>
      <c r="C774" s="735"/>
      <c r="D774" s="734"/>
      <c r="E774" s="749"/>
      <c r="F774" s="750"/>
      <c r="G774" s="749"/>
      <c r="H774" s="749"/>
      <c r="I774" s="751"/>
      <c r="J774" s="752"/>
      <c r="K774" s="752"/>
      <c r="L774" s="752"/>
      <c r="M774" s="751"/>
      <c r="N774" s="752"/>
      <c r="O774" s="753"/>
    </row>
    <row r="775">
      <c r="A775" s="754" t="s">
        <v>520</v>
      </c>
      <c r="B775" s="804" t="s">
        <v>3211</v>
      </c>
      <c r="C775" s="36"/>
      <c r="D775" s="36"/>
      <c r="E775" s="36"/>
      <c r="F775" s="36"/>
      <c r="G775" s="754" t="s">
        <v>1757</v>
      </c>
      <c r="H775" s="756">
        <f>MEDIAN(H777:H779)</f>
        <v>270</v>
      </c>
      <c r="I775" s="757"/>
      <c r="J775" s="758" t="s">
        <v>2053</v>
      </c>
      <c r="K775" s="731" t="s">
        <v>2054</v>
      </c>
      <c r="L775" s="759">
        <f>AVERAGE(H777:H779)</f>
        <v>287.6166667</v>
      </c>
      <c r="M775" s="733"/>
      <c r="N775" s="760" t="s">
        <v>2055</v>
      </c>
      <c r="O775" s="454"/>
    </row>
    <row r="776">
      <c r="A776" s="727" t="s">
        <v>1717</v>
      </c>
      <c r="B776" s="728" t="s">
        <v>2056</v>
      </c>
      <c r="C776" s="728" t="s">
        <v>2057</v>
      </c>
      <c r="D776" s="727" t="s">
        <v>2058</v>
      </c>
      <c r="E776" s="727" t="s">
        <v>2059</v>
      </c>
      <c r="F776" s="729" t="s">
        <v>1537</v>
      </c>
      <c r="G776" s="727" t="s">
        <v>2060</v>
      </c>
      <c r="H776" s="727" t="s">
        <v>2061</v>
      </c>
      <c r="I776" s="730" t="s">
        <v>2062</v>
      </c>
      <c r="J776" s="301"/>
      <c r="K776" s="731" t="s">
        <v>2063</v>
      </c>
      <c r="L776" s="732">
        <f>STDEV(H777:H779)</f>
        <v>55.70494442</v>
      </c>
      <c r="M776" s="733"/>
      <c r="N776" s="189"/>
      <c r="O776" s="454"/>
    </row>
    <row r="777">
      <c r="A777" s="734"/>
      <c r="B777" s="744" t="s">
        <v>2174</v>
      </c>
      <c r="C777" s="767" t="s">
        <v>3212</v>
      </c>
      <c r="D777" s="777" t="s">
        <v>3213</v>
      </c>
      <c r="E777" s="763" t="s">
        <v>2113</v>
      </c>
      <c r="F777" s="805"/>
      <c r="G777" s="736" t="s">
        <v>1757</v>
      </c>
      <c r="H777" s="745">
        <v>242.85</v>
      </c>
      <c r="I777" s="793"/>
      <c r="J777" s="301"/>
      <c r="K777" s="731" t="s">
        <v>2070</v>
      </c>
      <c r="L777" s="741">
        <f>L776/L775</f>
        <v>0.1936777346</v>
      </c>
      <c r="M777" s="733"/>
      <c r="N777" s="742" t="str">
        <f>IF(L777&lt;25%,"Não","Sim - proceder verificação ao lado")</f>
        <v>Não</v>
      </c>
      <c r="O777" s="743" t="b">
        <v>1</v>
      </c>
    </row>
    <row r="778">
      <c r="A778" s="734"/>
      <c r="B778" s="735" t="s">
        <v>2174</v>
      </c>
      <c r="C778" s="744" t="s">
        <v>3189</v>
      </c>
      <c r="D778" s="736" t="s">
        <v>3190</v>
      </c>
      <c r="E778" s="763" t="s">
        <v>2529</v>
      </c>
      <c r="F778" s="805"/>
      <c r="G778" s="736" t="s">
        <v>1757</v>
      </c>
      <c r="H778" s="739">
        <v>270.0</v>
      </c>
      <c r="I778" s="793"/>
      <c r="J778" s="301"/>
      <c r="K778" s="731" t="s">
        <v>2075</v>
      </c>
      <c r="L778" s="746">
        <f>L775*1.25</f>
        <v>359.5208333</v>
      </c>
      <c r="M778" s="733"/>
      <c r="N778" s="301"/>
      <c r="O778" s="743" t="b">
        <v>1</v>
      </c>
    </row>
    <row r="779">
      <c r="A779" s="734"/>
      <c r="B779" s="735" t="s">
        <v>2174</v>
      </c>
      <c r="C779" s="744" t="s">
        <v>3191</v>
      </c>
      <c r="D779" s="736" t="s">
        <v>3192</v>
      </c>
      <c r="E779" s="763" t="s">
        <v>3193</v>
      </c>
      <c r="F779" s="805"/>
      <c r="G779" s="736" t="s">
        <v>1757</v>
      </c>
      <c r="H779" s="745">
        <v>350.0</v>
      </c>
      <c r="I779" s="792"/>
      <c r="J779" s="189"/>
      <c r="K779" s="731" t="s">
        <v>2080</v>
      </c>
      <c r="L779" s="746">
        <f>L775*0.75</f>
        <v>215.7125</v>
      </c>
      <c r="M779" s="733"/>
      <c r="N779" s="189"/>
      <c r="O779" s="743" t="b">
        <v>1</v>
      </c>
    </row>
    <row r="780">
      <c r="A780" s="734"/>
      <c r="B780" s="735"/>
      <c r="C780" s="735"/>
      <c r="D780" s="734"/>
      <c r="E780" s="749"/>
      <c r="F780" s="750"/>
      <c r="G780" s="749"/>
      <c r="H780" s="749"/>
      <c r="I780" s="751"/>
      <c r="J780" s="752"/>
      <c r="K780" s="752"/>
      <c r="L780" s="752"/>
      <c r="M780" s="751"/>
      <c r="N780" s="752"/>
      <c r="O780" s="753"/>
    </row>
    <row r="781">
      <c r="A781" s="754" t="s">
        <v>522</v>
      </c>
      <c r="B781" s="804" t="s">
        <v>3214</v>
      </c>
      <c r="C781" s="36"/>
      <c r="D781" s="36"/>
      <c r="E781" s="36"/>
      <c r="F781" s="36"/>
      <c r="G781" s="754" t="s">
        <v>1757</v>
      </c>
      <c r="H781" s="756">
        <f>MEDIAN(H783:H785)</f>
        <v>370</v>
      </c>
      <c r="I781" s="757"/>
      <c r="J781" s="758" t="s">
        <v>2053</v>
      </c>
      <c r="K781" s="731" t="s">
        <v>2054</v>
      </c>
      <c r="L781" s="759">
        <f>AVERAGE(H783:H785)</f>
        <v>390</v>
      </c>
      <c r="M781" s="733"/>
      <c r="N781" s="760" t="s">
        <v>2055</v>
      </c>
      <c r="O781" s="454"/>
    </row>
    <row r="782">
      <c r="A782" s="727" t="s">
        <v>1717</v>
      </c>
      <c r="B782" s="728" t="s">
        <v>2056</v>
      </c>
      <c r="C782" s="728" t="s">
        <v>2057</v>
      </c>
      <c r="D782" s="727" t="s">
        <v>2058</v>
      </c>
      <c r="E782" s="727" t="s">
        <v>2059</v>
      </c>
      <c r="F782" s="729" t="s">
        <v>1537</v>
      </c>
      <c r="G782" s="727" t="s">
        <v>2060</v>
      </c>
      <c r="H782" s="727" t="s">
        <v>2061</v>
      </c>
      <c r="I782" s="730" t="s">
        <v>2062</v>
      </c>
      <c r="J782" s="301"/>
      <c r="K782" s="731" t="s">
        <v>2063</v>
      </c>
      <c r="L782" s="732">
        <f>STDEV(H783:H785)</f>
        <v>52.91502622</v>
      </c>
      <c r="M782" s="733"/>
      <c r="N782" s="189"/>
      <c r="O782" s="454"/>
    </row>
    <row r="783">
      <c r="A783" s="734"/>
      <c r="B783" s="744" t="s">
        <v>2174</v>
      </c>
      <c r="C783" s="767" t="s">
        <v>3186</v>
      </c>
      <c r="D783" s="777" t="s">
        <v>3187</v>
      </c>
      <c r="E783" s="763" t="s">
        <v>2113</v>
      </c>
      <c r="F783" s="801" t="s">
        <v>3215</v>
      </c>
      <c r="G783" s="736" t="s">
        <v>1757</v>
      </c>
      <c r="H783" s="739">
        <v>450.0</v>
      </c>
      <c r="I783" s="792"/>
      <c r="J783" s="301"/>
      <c r="K783" s="731" t="s">
        <v>2070</v>
      </c>
      <c r="L783" s="741">
        <f>L782/L781</f>
        <v>0.1356795544</v>
      </c>
      <c r="M783" s="733"/>
      <c r="N783" s="742" t="str">
        <f>IF(L783&lt;25%,"Não","Sim - proceder verificação ao lado")</f>
        <v>Não</v>
      </c>
      <c r="O783" s="743" t="b">
        <v>1</v>
      </c>
    </row>
    <row r="784">
      <c r="A784" s="734"/>
      <c r="B784" s="735" t="s">
        <v>2174</v>
      </c>
      <c r="C784" s="744" t="s">
        <v>3189</v>
      </c>
      <c r="D784" s="736" t="s">
        <v>3190</v>
      </c>
      <c r="E784" s="763" t="s">
        <v>2529</v>
      </c>
      <c r="F784" s="805"/>
      <c r="G784" s="736" t="s">
        <v>1757</v>
      </c>
      <c r="H784" s="739">
        <v>370.0</v>
      </c>
      <c r="I784" s="793"/>
      <c r="J784" s="301"/>
      <c r="K784" s="731" t="s">
        <v>2075</v>
      </c>
      <c r="L784" s="746">
        <f>L781*1.25</f>
        <v>487.5</v>
      </c>
      <c r="M784" s="733"/>
      <c r="N784" s="301"/>
      <c r="O784" s="743" t="b">
        <v>1</v>
      </c>
    </row>
    <row r="785">
      <c r="A785" s="734"/>
      <c r="B785" s="735" t="s">
        <v>2174</v>
      </c>
      <c r="C785" s="744" t="s">
        <v>3191</v>
      </c>
      <c r="D785" s="736" t="s">
        <v>3192</v>
      </c>
      <c r="E785" s="763" t="s">
        <v>3193</v>
      </c>
      <c r="F785" s="805"/>
      <c r="G785" s="736" t="s">
        <v>1757</v>
      </c>
      <c r="H785" s="745">
        <v>350.0</v>
      </c>
      <c r="I785" s="792"/>
      <c r="J785" s="189"/>
      <c r="K785" s="731" t="s">
        <v>2080</v>
      </c>
      <c r="L785" s="746">
        <f>L781*0.75</f>
        <v>292.5</v>
      </c>
      <c r="M785" s="733"/>
      <c r="N785" s="189"/>
      <c r="O785" s="743" t="b">
        <v>1</v>
      </c>
    </row>
    <row r="786">
      <c r="A786" s="734"/>
      <c r="B786" s="735"/>
      <c r="C786" s="735"/>
      <c r="D786" s="734"/>
      <c r="E786" s="749"/>
      <c r="F786" s="750"/>
      <c r="G786" s="749"/>
      <c r="H786" s="749"/>
      <c r="I786" s="751"/>
      <c r="J786" s="753"/>
      <c r="K786" s="753"/>
      <c r="L786" s="753"/>
      <c r="M786" s="771"/>
      <c r="N786" s="753"/>
      <c r="O786" s="753"/>
    </row>
    <row r="787">
      <c r="A787" s="808" t="s">
        <v>3216</v>
      </c>
      <c r="B787" s="36"/>
      <c r="C787" s="36"/>
      <c r="D787" s="36"/>
      <c r="E787" s="36"/>
      <c r="F787" s="36"/>
      <c r="G787" s="36"/>
      <c r="H787" s="36"/>
      <c r="I787" s="36"/>
      <c r="J787" s="753"/>
      <c r="K787" s="753"/>
      <c r="L787" s="753"/>
      <c r="M787" s="771"/>
      <c r="N787" s="753"/>
      <c r="O787" s="454"/>
    </row>
    <row r="788">
      <c r="A788" s="734"/>
      <c r="B788" s="735"/>
      <c r="C788" s="735"/>
      <c r="D788" s="734"/>
      <c r="E788" s="749"/>
      <c r="F788" s="750"/>
      <c r="G788" s="749"/>
      <c r="H788" s="749"/>
      <c r="I788" s="751"/>
      <c r="J788" s="752"/>
      <c r="K788" s="752"/>
      <c r="L788" s="752"/>
      <c r="M788" s="751"/>
      <c r="N788" s="752"/>
      <c r="O788" s="454"/>
    </row>
    <row r="789">
      <c r="A789" s="754" t="s">
        <v>134</v>
      </c>
      <c r="B789" s="809" t="s">
        <v>3217</v>
      </c>
      <c r="C789" s="36"/>
      <c r="D789" s="36"/>
      <c r="E789" s="36"/>
      <c r="F789" s="36"/>
      <c r="G789" s="754" t="s">
        <v>1757</v>
      </c>
      <c r="H789" s="756">
        <f>MEDIAN(H791:H793)</f>
        <v>1260</v>
      </c>
      <c r="I789" s="757"/>
      <c r="J789" s="758" t="s">
        <v>2053</v>
      </c>
      <c r="K789" s="731" t="s">
        <v>2054</v>
      </c>
      <c r="L789" s="759">
        <f>AVERAGE(H791:H793)</f>
        <v>1233.89</v>
      </c>
      <c r="M789" s="733"/>
      <c r="N789" s="760" t="s">
        <v>2055</v>
      </c>
    </row>
    <row r="790">
      <c r="A790" s="727" t="s">
        <v>1717</v>
      </c>
      <c r="B790" s="728" t="s">
        <v>2056</v>
      </c>
      <c r="C790" s="728" t="s">
        <v>2057</v>
      </c>
      <c r="D790" s="727" t="s">
        <v>2058</v>
      </c>
      <c r="E790" s="727" t="s">
        <v>2059</v>
      </c>
      <c r="F790" s="729" t="s">
        <v>1537</v>
      </c>
      <c r="G790" s="727" t="s">
        <v>2060</v>
      </c>
      <c r="H790" s="727" t="s">
        <v>2061</v>
      </c>
      <c r="I790" s="730" t="s">
        <v>2062</v>
      </c>
      <c r="J790" s="301"/>
      <c r="K790" s="731" t="s">
        <v>2063</v>
      </c>
      <c r="L790" s="732">
        <f>STDEV(H791:H793)</f>
        <v>180.5862572</v>
      </c>
      <c r="M790" s="733"/>
      <c r="N790" s="189"/>
    </row>
    <row r="791">
      <c r="A791" s="734"/>
      <c r="B791" s="735" t="s">
        <v>2174</v>
      </c>
      <c r="C791" s="767" t="s">
        <v>3218</v>
      </c>
      <c r="D791" s="777" t="s">
        <v>3219</v>
      </c>
      <c r="E791" s="763" t="s">
        <v>2366</v>
      </c>
      <c r="F791" s="810" t="s">
        <v>3220</v>
      </c>
      <c r="G791" s="736" t="s">
        <v>1757</v>
      </c>
      <c r="H791" s="745">
        <v>1041.67</v>
      </c>
      <c r="I791" s="811"/>
      <c r="J791" s="301"/>
      <c r="K791" s="731" t="s">
        <v>2070</v>
      </c>
      <c r="L791" s="741">
        <f>L790/L789</f>
        <v>0.146355232</v>
      </c>
      <c r="M791" s="733"/>
      <c r="N791" s="742" t="str">
        <f>IF(L791&lt;25%,"Não","Sim - proceder verificação ao lado")</f>
        <v>Não</v>
      </c>
      <c r="O791" s="743" t="b">
        <v>1</v>
      </c>
    </row>
    <row r="792">
      <c r="A792" s="734"/>
      <c r="B792" s="735" t="s">
        <v>2174</v>
      </c>
      <c r="C792" s="767" t="s">
        <v>3221</v>
      </c>
      <c r="D792" s="777" t="s">
        <v>3222</v>
      </c>
      <c r="E792" s="763" t="s">
        <v>2113</v>
      </c>
      <c r="F792" s="805"/>
      <c r="G792" s="736" t="s">
        <v>1757</v>
      </c>
      <c r="H792" s="745">
        <v>1400.0</v>
      </c>
      <c r="I792" s="811"/>
      <c r="J792" s="301"/>
      <c r="K792" s="731" t="s">
        <v>2075</v>
      </c>
      <c r="L792" s="746">
        <f>L789*1.25</f>
        <v>1542.3625</v>
      </c>
      <c r="M792" s="733"/>
      <c r="N792" s="301"/>
      <c r="O792" s="743" t="b">
        <v>1</v>
      </c>
    </row>
    <row r="793">
      <c r="A793" s="734"/>
      <c r="B793" s="735" t="s">
        <v>2174</v>
      </c>
      <c r="C793" s="735" t="s">
        <v>3223</v>
      </c>
      <c r="D793" s="762" t="s">
        <v>3224</v>
      </c>
      <c r="E793" s="763" t="s">
        <v>2113</v>
      </c>
      <c r="F793" s="805"/>
      <c r="G793" s="736" t="s">
        <v>1757</v>
      </c>
      <c r="H793" s="745">
        <f>420*3</f>
        <v>1260</v>
      </c>
      <c r="I793" s="812"/>
      <c r="J793" s="189"/>
      <c r="K793" s="731" t="s">
        <v>2080</v>
      </c>
      <c r="L793" s="746">
        <f>L789*0.75</f>
        <v>925.4175</v>
      </c>
      <c r="M793" s="733"/>
      <c r="N793" s="189"/>
      <c r="O793" s="743" t="b">
        <v>1</v>
      </c>
    </row>
    <row r="794">
      <c r="A794" s="734"/>
      <c r="B794" s="735"/>
      <c r="C794" s="735"/>
      <c r="D794" s="734"/>
      <c r="E794" s="749"/>
      <c r="F794" s="750"/>
      <c r="G794" s="749"/>
      <c r="H794" s="749"/>
      <c r="I794" s="751"/>
      <c r="J794" s="752"/>
      <c r="K794" s="752"/>
      <c r="L794" s="752"/>
      <c r="M794" s="751"/>
      <c r="N794" s="752"/>
      <c r="O794" s="753"/>
    </row>
    <row r="795">
      <c r="A795" s="754" t="s">
        <v>139</v>
      </c>
      <c r="B795" s="809" t="s">
        <v>3225</v>
      </c>
      <c r="C795" s="36"/>
      <c r="D795" s="36"/>
      <c r="E795" s="36"/>
      <c r="F795" s="36"/>
      <c r="G795" s="754" t="s">
        <v>1757</v>
      </c>
      <c r="H795" s="756">
        <f>MEDIAN(H797:H799)</f>
        <v>950</v>
      </c>
      <c r="I795" s="757"/>
      <c r="J795" s="758" t="s">
        <v>2053</v>
      </c>
      <c r="K795" s="731" t="s">
        <v>2054</v>
      </c>
      <c r="L795" s="759">
        <f>AVERAGE(H797:H799)</f>
        <v>943.3333333</v>
      </c>
      <c r="M795" s="733"/>
      <c r="N795" s="760" t="s">
        <v>2055</v>
      </c>
      <c r="O795" s="454"/>
    </row>
    <row r="796">
      <c r="A796" s="727" t="s">
        <v>1717</v>
      </c>
      <c r="B796" s="728" t="s">
        <v>2056</v>
      </c>
      <c r="C796" s="728" t="s">
        <v>2057</v>
      </c>
      <c r="D796" s="727" t="s">
        <v>2058</v>
      </c>
      <c r="E796" s="727" t="s">
        <v>2059</v>
      </c>
      <c r="F796" s="729" t="s">
        <v>1537</v>
      </c>
      <c r="G796" s="727" t="s">
        <v>2060</v>
      </c>
      <c r="H796" s="727" t="s">
        <v>2061</v>
      </c>
      <c r="I796" s="730" t="s">
        <v>2062</v>
      </c>
      <c r="J796" s="301"/>
      <c r="K796" s="731" t="s">
        <v>2063</v>
      </c>
      <c r="L796" s="732">
        <f>STDEV(H797:H799)</f>
        <v>180.0925688</v>
      </c>
      <c r="M796" s="733"/>
      <c r="N796" s="189"/>
      <c r="O796" s="454"/>
    </row>
    <row r="797">
      <c r="A797" s="734"/>
      <c r="B797" s="735" t="s">
        <v>2174</v>
      </c>
      <c r="C797" s="744" t="s">
        <v>3221</v>
      </c>
      <c r="D797" s="736" t="s">
        <v>3226</v>
      </c>
      <c r="E797" s="763" t="s">
        <v>2113</v>
      </c>
      <c r="F797" s="805"/>
      <c r="G797" s="736" t="s">
        <v>1757</v>
      </c>
      <c r="H797" s="745">
        <v>760.0</v>
      </c>
      <c r="I797" s="812"/>
      <c r="J797" s="301"/>
      <c r="K797" s="731" t="s">
        <v>2070</v>
      </c>
      <c r="L797" s="741">
        <f>L796/L795</f>
        <v>0.1909108503</v>
      </c>
      <c r="M797" s="733"/>
      <c r="N797" s="742" t="str">
        <f>IF(L797&lt;25%,"Não","Sim - proceder verificação ao lado")</f>
        <v>Não</v>
      </c>
      <c r="O797" s="743" t="b">
        <v>1</v>
      </c>
    </row>
    <row r="798">
      <c r="A798" s="734"/>
      <c r="B798" s="735" t="s">
        <v>2174</v>
      </c>
      <c r="C798" s="744" t="s">
        <v>3227</v>
      </c>
      <c r="D798" s="736" t="s">
        <v>3228</v>
      </c>
      <c r="E798" s="763" t="s">
        <v>3193</v>
      </c>
      <c r="F798" s="805"/>
      <c r="G798" s="736" t="s">
        <v>1757</v>
      </c>
      <c r="H798" s="739">
        <v>1120.0</v>
      </c>
      <c r="I798" s="811"/>
      <c r="J798" s="301"/>
      <c r="K798" s="731" t="s">
        <v>2075</v>
      </c>
      <c r="L798" s="746">
        <f>L795*1.25</f>
        <v>1179.166667</v>
      </c>
      <c r="M798" s="733"/>
      <c r="N798" s="301"/>
      <c r="O798" s="743" t="b">
        <v>1</v>
      </c>
    </row>
    <row r="799">
      <c r="A799" s="734"/>
      <c r="B799" s="735" t="s">
        <v>2174</v>
      </c>
      <c r="C799" s="735" t="s">
        <v>3223</v>
      </c>
      <c r="D799" s="762" t="s">
        <v>3224</v>
      </c>
      <c r="E799" s="763" t="s">
        <v>2113</v>
      </c>
      <c r="F799" s="805"/>
      <c r="G799" s="736" t="s">
        <v>1757</v>
      </c>
      <c r="H799" s="745">
        <v>950.0</v>
      </c>
      <c r="I799" s="812"/>
      <c r="J799" s="189"/>
      <c r="K799" s="731" t="s">
        <v>2080</v>
      </c>
      <c r="L799" s="746">
        <f>L795*0.75</f>
        <v>707.5</v>
      </c>
      <c r="M799" s="733"/>
      <c r="N799" s="189"/>
      <c r="O799" s="743" t="b">
        <v>1</v>
      </c>
    </row>
    <row r="800">
      <c r="A800" s="734"/>
      <c r="B800" s="735"/>
      <c r="C800" s="735"/>
      <c r="D800" s="734"/>
      <c r="E800" s="749"/>
      <c r="F800" s="750"/>
      <c r="G800" s="749"/>
      <c r="H800" s="749"/>
      <c r="I800" s="751"/>
      <c r="J800" s="752"/>
      <c r="K800" s="752"/>
      <c r="L800" s="752"/>
      <c r="M800" s="751"/>
      <c r="N800" s="752"/>
      <c r="O800" s="753"/>
    </row>
    <row r="801">
      <c r="A801" s="754" t="s">
        <v>114</v>
      </c>
      <c r="B801" s="809" t="s">
        <v>3229</v>
      </c>
      <c r="C801" s="36"/>
      <c r="D801" s="36"/>
      <c r="E801" s="36"/>
      <c r="F801" s="36"/>
      <c r="G801" s="754" t="s">
        <v>1757</v>
      </c>
      <c r="H801" s="756">
        <f>MEDIAN(H803:H805)</f>
        <v>1140</v>
      </c>
      <c r="I801" s="757"/>
      <c r="J801" s="758" t="s">
        <v>2053</v>
      </c>
      <c r="K801" s="731" t="s">
        <v>2054</v>
      </c>
      <c r="L801" s="759">
        <f>AVERAGE(H803:H805)</f>
        <v>1146.666667</v>
      </c>
      <c r="M801" s="733"/>
      <c r="N801" s="760" t="s">
        <v>2055</v>
      </c>
      <c r="O801" s="454"/>
    </row>
    <row r="802">
      <c r="A802" s="727" t="s">
        <v>1717</v>
      </c>
      <c r="B802" s="728" t="s">
        <v>2056</v>
      </c>
      <c r="C802" s="728" t="s">
        <v>2057</v>
      </c>
      <c r="D802" s="727" t="s">
        <v>2058</v>
      </c>
      <c r="E802" s="727" t="s">
        <v>2059</v>
      </c>
      <c r="F802" s="729" t="s">
        <v>1537</v>
      </c>
      <c r="G802" s="727" t="s">
        <v>2060</v>
      </c>
      <c r="H802" s="727" t="s">
        <v>2061</v>
      </c>
      <c r="I802" s="730" t="s">
        <v>2062</v>
      </c>
      <c r="J802" s="301"/>
      <c r="K802" s="731" t="s">
        <v>2063</v>
      </c>
      <c r="L802" s="732">
        <f>STDEV(H803:H805)</f>
        <v>170.098011</v>
      </c>
      <c r="M802" s="733"/>
      <c r="N802" s="189"/>
      <c r="O802" s="454"/>
    </row>
    <row r="803">
      <c r="A803" s="734"/>
      <c r="B803" s="735" t="s">
        <v>2174</v>
      </c>
      <c r="C803" s="744" t="s">
        <v>3221</v>
      </c>
      <c r="D803" s="736" t="s">
        <v>3226</v>
      </c>
      <c r="E803" s="763" t="s">
        <v>2113</v>
      </c>
      <c r="F803" s="805"/>
      <c r="G803" s="736" t="s">
        <v>1757</v>
      </c>
      <c r="H803" s="745">
        <v>1140.0</v>
      </c>
      <c r="I803" s="812"/>
      <c r="J803" s="301"/>
      <c r="K803" s="731" t="s">
        <v>2070</v>
      </c>
      <c r="L803" s="741">
        <f>L802/L801</f>
        <v>0.1483412886</v>
      </c>
      <c r="M803" s="733"/>
      <c r="N803" s="742" t="str">
        <f>IF(L803&lt;25%,"Não","Sim - proceder verificação ao lado")</f>
        <v>Não</v>
      </c>
      <c r="O803" s="743" t="b">
        <v>1</v>
      </c>
    </row>
    <row r="804">
      <c r="A804" s="734"/>
      <c r="B804" s="735" t="s">
        <v>2174</v>
      </c>
      <c r="C804" s="744" t="s">
        <v>3227</v>
      </c>
      <c r="D804" s="736" t="s">
        <v>3228</v>
      </c>
      <c r="E804" s="763" t="s">
        <v>3193</v>
      </c>
      <c r="F804" s="805"/>
      <c r="G804" s="736" t="s">
        <v>1757</v>
      </c>
      <c r="H804" s="739">
        <v>1320.0</v>
      </c>
      <c r="I804" s="811"/>
      <c r="J804" s="301"/>
      <c r="K804" s="731" t="s">
        <v>2075</v>
      </c>
      <c r="L804" s="746">
        <f>L801*1.25</f>
        <v>1433.333333</v>
      </c>
      <c r="M804" s="733"/>
      <c r="N804" s="301"/>
      <c r="O804" s="743" t="b">
        <v>1</v>
      </c>
    </row>
    <row r="805">
      <c r="A805" s="734"/>
      <c r="B805" s="735" t="s">
        <v>2174</v>
      </c>
      <c r="C805" s="735" t="s">
        <v>3223</v>
      </c>
      <c r="D805" s="762" t="s">
        <v>3224</v>
      </c>
      <c r="E805" s="763" t="s">
        <v>2113</v>
      </c>
      <c r="F805" s="805"/>
      <c r="G805" s="736" t="s">
        <v>1757</v>
      </c>
      <c r="H805" s="739">
        <v>980.0</v>
      </c>
      <c r="I805" s="812"/>
      <c r="J805" s="189"/>
      <c r="K805" s="731" t="s">
        <v>2080</v>
      </c>
      <c r="L805" s="746">
        <f>L801*0.75</f>
        <v>860</v>
      </c>
      <c r="M805" s="733"/>
      <c r="N805" s="189"/>
      <c r="O805" s="743" t="b">
        <v>1</v>
      </c>
    </row>
    <row r="806">
      <c r="A806" s="794"/>
      <c r="B806" s="44"/>
      <c r="C806" s="44"/>
      <c r="D806" s="44"/>
      <c r="E806" s="44"/>
      <c r="F806" s="44"/>
      <c r="G806" s="44"/>
      <c r="H806" s="44"/>
      <c r="I806" s="44"/>
      <c r="J806" s="752"/>
      <c r="K806" s="752"/>
      <c r="L806" s="752"/>
      <c r="M806" s="751"/>
      <c r="N806" s="752"/>
      <c r="O806" s="753"/>
    </row>
    <row r="807">
      <c r="A807" s="754" t="s">
        <v>130</v>
      </c>
      <c r="B807" s="809" t="s">
        <v>3230</v>
      </c>
      <c r="C807" s="36"/>
      <c r="D807" s="36"/>
      <c r="E807" s="36"/>
      <c r="F807" s="36"/>
      <c r="G807" s="754" t="s">
        <v>1757</v>
      </c>
      <c r="H807" s="756">
        <f>MEDIAN(H809:H811)</f>
        <v>1520</v>
      </c>
      <c r="I807" s="757"/>
      <c r="J807" s="758" t="s">
        <v>2053</v>
      </c>
      <c r="K807" s="731" t="s">
        <v>2054</v>
      </c>
      <c r="L807" s="759">
        <f>AVERAGE(H809:H811)</f>
        <v>1356.666667</v>
      </c>
      <c r="M807" s="733"/>
      <c r="N807" s="760" t="s">
        <v>2055</v>
      </c>
      <c r="O807" s="454"/>
    </row>
    <row r="808">
      <c r="A808" s="727" t="s">
        <v>1717</v>
      </c>
      <c r="B808" s="728" t="s">
        <v>2056</v>
      </c>
      <c r="C808" s="728" t="s">
        <v>2057</v>
      </c>
      <c r="D808" s="727" t="s">
        <v>2058</v>
      </c>
      <c r="E808" s="727" t="s">
        <v>2059</v>
      </c>
      <c r="F808" s="729" t="s">
        <v>1537</v>
      </c>
      <c r="G808" s="727" t="s">
        <v>2060</v>
      </c>
      <c r="H808" s="727" t="s">
        <v>2061</v>
      </c>
      <c r="I808" s="730" t="s">
        <v>2062</v>
      </c>
      <c r="J808" s="301"/>
      <c r="K808" s="731" t="s">
        <v>2063</v>
      </c>
      <c r="L808" s="732">
        <f>STDEV(H809:H811)</f>
        <v>327.1594922</v>
      </c>
      <c r="M808" s="733"/>
      <c r="N808" s="189"/>
      <c r="O808" s="454"/>
    </row>
    <row r="809">
      <c r="A809" s="734"/>
      <c r="B809" s="735" t="s">
        <v>2174</v>
      </c>
      <c r="C809" s="744" t="s">
        <v>3221</v>
      </c>
      <c r="D809" s="736" t="s">
        <v>3226</v>
      </c>
      <c r="E809" s="763" t="s">
        <v>2113</v>
      </c>
      <c r="F809" s="805"/>
      <c r="G809" s="736" t="s">
        <v>1757</v>
      </c>
      <c r="H809" s="745">
        <v>1520.0</v>
      </c>
      <c r="I809" s="812"/>
      <c r="J809" s="301"/>
      <c r="K809" s="731" t="s">
        <v>2070</v>
      </c>
      <c r="L809" s="741">
        <f>L808/L807</f>
        <v>0.2411495028</v>
      </c>
      <c r="M809" s="733"/>
      <c r="N809" s="742" t="str">
        <f>IF(L809&lt;25%,"Não","Sim - proceder verificação ao lado")</f>
        <v>Não</v>
      </c>
      <c r="O809" s="743" t="b">
        <v>1</v>
      </c>
    </row>
    <row r="810">
      <c r="A810" s="734"/>
      <c r="B810" s="735" t="s">
        <v>2174</v>
      </c>
      <c r="C810" s="744" t="s">
        <v>3227</v>
      </c>
      <c r="D810" s="736" t="s">
        <v>3228</v>
      </c>
      <c r="E810" s="763" t="s">
        <v>3193</v>
      </c>
      <c r="F810" s="805"/>
      <c r="G810" s="736" t="s">
        <v>1757</v>
      </c>
      <c r="H810" s="739">
        <v>1570.0</v>
      </c>
      <c r="I810" s="811"/>
      <c r="J810" s="301"/>
      <c r="K810" s="731" t="s">
        <v>2075</v>
      </c>
      <c r="L810" s="746">
        <f>L807*1.25</f>
        <v>1695.833333</v>
      </c>
      <c r="M810" s="733"/>
      <c r="N810" s="301"/>
      <c r="O810" s="743" t="b">
        <v>1</v>
      </c>
    </row>
    <row r="811">
      <c r="A811" s="734"/>
      <c r="B811" s="735" t="s">
        <v>2174</v>
      </c>
      <c r="C811" s="735" t="s">
        <v>3223</v>
      </c>
      <c r="D811" s="762" t="s">
        <v>3224</v>
      </c>
      <c r="E811" s="763" t="s">
        <v>2113</v>
      </c>
      <c r="F811" s="805"/>
      <c r="G811" s="736" t="s">
        <v>1757</v>
      </c>
      <c r="H811" s="739">
        <v>980.0</v>
      </c>
      <c r="I811" s="812"/>
      <c r="J811" s="189"/>
      <c r="K811" s="731" t="s">
        <v>2080</v>
      </c>
      <c r="L811" s="746">
        <f>L807*0.75</f>
        <v>1017.5</v>
      </c>
      <c r="M811" s="733"/>
      <c r="N811" s="189"/>
      <c r="O811" s="743" t="b">
        <v>1</v>
      </c>
    </row>
    <row r="812">
      <c r="A812" s="734"/>
      <c r="B812" s="735"/>
      <c r="C812" s="735"/>
      <c r="D812" s="734"/>
      <c r="E812" s="749"/>
      <c r="F812" s="750"/>
      <c r="G812" s="749"/>
      <c r="H812" s="749"/>
      <c r="I812" s="751"/>
      <c r="J812" s="752"/>
      <c r="K812" s="752"/>
      <c r="L812" s="752"/>
      <c r="M812" s="751"/>
      <c r="N812" s="752"/>
      <c r="O812" s="753"/>
    </row>
    <row r="813">
      <c r="A813" s="754" t="s">
        <v>116</v>
      </c>
      <c r="B813" s="809" t="s">
        <v>3231</v>
      </c>
      <c r="C813" s="36"/>
      <c r="D813" s="36"/>
      <c r="E813" s="36"/>
      <c r="F813" s="36"/>
      <c r="G813" s="754" t="s">
        <v>1757</v>
      </c>
      <c r="H813" s="756">
        <f>MEDIAN(H815:H817)</f>
        <v>2390</v>
      </c>
      <c r="I813" s="757"/>
      <c r="J813" s="758" t="s">
        <v>2053</v>
      </c>
      <c r="K813" s="731" t="s">
        <v>2054</v>
      </c>
      <c r="L813" s="759">
        <f>AVERAGE(H815:H817)</f>
        <v>2390</v>
      </c>
      <c r="M813" s="733"/>
      <c r="N813" s="760" t="s">
        <v>2055</v>
      </c>
      <c r="O813" s="454"/>
    </row>
    <row r="814">
      <c r="A814" s="727" t="s">
        <v>1717</v>
      </c>
      <c r="B814" s="728" t="s">
        <v>2056</v>
      </c>
      <c r="C814" s="728" t="s">
        <v>2057</v>
      </c>
      <c r="D814" s="727" t="s">
        <v>2058</v>
      </c>
      <c r="E814" s="727" t="s">
        <v>2059</v>
      </c>
      <c r="F814" s="729" t="s">
        <v>1537</v>
      </c>
      <c r="G814" s="727" t="s">
        <v>2060</v>
      </c>
      <c r="H814" s="727" t="s">
        <v>2061</v>
      </c>
      <c r="I814" s="730" t="s">
        <v>2062</v>
      </c>
      <c r="J814" s="301"/>
      <c r="K814" s="731" t="s">
        <v>2063</v>
      </c>
      <c r="L814" s="732">
        <f>STDEV(H815:H817)</f>
        <v>110</v>
      </c>
      <c r="M814" s="733"/>
      <c r="N814" s="189"/>
      <c r="O814" s="454"/>
    </row>
    <row r="815">
      <c r="A815" s="734"/>
      <c r="B815" s="735" t="s">
        <v>2174</v>
      </c>
      <c r="C815" s="744" t="s">
        <v>3221</v>
      </c>
      <c r="D815" s="736" t="s">
        <v>3226</v>
      </c>
      <c r="E815" s="763" t="s">
        <v>2113</v>
      </c>
      <c r="F815" s="805"/>
      <c r="G815" s="736" t="s">
        <v>1757</v>
      </c>
      <c r="H815" s="745">
        <v>2280.0</v>
      </c>
      <c r="I815" s="812"/>
      <c r="J815" s="301"/>
      <c r="K815" s="731" t="s">
        <v>2070</v>
      </c>
      <c r="L815" s="741">
        <f>L814/L813</f>
        <v>0.0460251046</v>
      </c>
      <c r="M815" s="733"/>
      <c r="N815" s="813" t="str">
        <f>IF(L815&lt;25%,"Não","Sim - proceder verificação ao lado")</f>
        <v>Não</v>
      </c>
      <c r="O815" s="743" t="b">
        <v>1</v>
      </c>
    </row>
    <row r="816">
      <c r="A816" s="734"/>
      <c r="B816" s="735" t="s">
        <v>2174</v>
      </c>
      <c r="C816" s="744" t="s">
        <v>3227</v>
      </c>
      <c r="D816" s="736" t="s">
        <v>3228</v>
      </c>
      <c r="E816" s="763" t="s">
        <v>3193</v>
      </c>
      <c r="F816" s="805"/>
      <c r="G816" s="736" t="s">
        <v>1757</v>
      </c>
      <c r="H816" s="739">
        <v>2390.0</v>
      </c>
      <c r="I816" s="811"/>
      <c r="J816" s="301"/>
      <c r="K816" s="731" t="s">
        <v>2075</v>
      </c>
      <c r="L816" s="746">
        <f>L813*1.25</f>
        <v>2987.5</v>
      </c>
      <c r="M816" s="733"/>
      <c r="N816" s="301"/>
      <c r="O816" s="743" t="b">
        <v>1</v>
      </c>
    </row>
    <row r="817">
      <c r="A817" s="734"/>
      <c r="B817" s="735" t="s">
        <v>2174</v>
      </c>
      <c r="C817" s="767" t="s">
        <v>3218</v>
      </c>
      <c r="D817" s="777" t="s">
        <v>3219</v>
      </c>
      <c r="E817" s="763" t="s">
        <v>2366</v>
      </c>
      <c r="F817" s="805"/>
      <c r="G817" s="736" t="s">
        <v>1757</v>
      </c>
      <c r="H817" s="745">
        <v>2500.0</v>
      </c>
      <c r="I817" s="811"/>
      <c r="J817" s="189"/>
      <c r="K817" s="731" t="s">
        <v>2080</v>
      </c>
      <c r="L817" s="746">
        <f>L813*0.75</f>
        <v>1792.5</v>
      </c>
      <c r="M817" s="733"/>
      <c r="N817" s="189"/>
      <c r="O817" s="743" t="b">
        <v>1</v>
      </c>
    </row>
    <row r="818">
      <c r="A818" s="734"/>
      <c r="B818" s="735"/>
      <c r="C818" s="735"/>
      <c r="D818" s="734"/>
      <c r="E818" s="749"/>
      <c r="F818" s="750"/>
      <c r="G818" s="749"/>
      <c r="H818" s="749"/>
      <c r="I818" s="751"/>
      <c r="J818" s="752"/>
      <c r="K818" s="752"/>
      <c r="L818" s="752"/>
      <c r="M818" s="751"/>
      <c r="N818" s="752"/>
      <c r="O818" s="753"/>
    </row>
    <row r="819">
      <c r="A819" s="754" t="s">
        <v>118</v>
      </c>
      <c r="B819" s="809" t="s">
        <v>3232</v>
      </c>
      <c r="C819" s="36"/>
      <c r="D819" s="36"/>
      <c r="E819" s="36"/>
      <c r="F819" s="36"/>
      <c r="G819" s="754" t="s">
        <v>1757</v>
      </c>
      <c r="H819" s="756">
        <f>MEDIAN(H821:H823)</f>
        <v>3290</v>
      </c>
      <c r="I819" s="757"/>
      <c r="J819" s="758" t="s">
        <v>2053</v>
      </c>
      <c r="K819" s="731" t="s">
        <v>2054</v>
      </c>
      <c r="L819" s="759">
        <f>AVERAGE(H821:H823)</f>
        <v>3196.666667</v>
      </c>
      <c r="M819" s="733"/>
      <c r="N819" s="760" t="s">
        <v>2055</v>
      </c>
      <c r="O819" s="454"/>
    </row>
    <row r="820">
      <c r="A820" s="727" t="s">
        <v>1717</v>
      </c>
      <c r="B820" s="728" t="s">
        <v>2056</v>
      </c>
      <c r="C820" s="728" t="s">
        <v>2057</v>
      </c>
      <c r="D820" s="727" t="s">
        <v>2058</v>
      </c>
      <c r="E820" s="727" t="s">
        <v>2059</v>
      </c>
      <c r="F820" s="729" t="s">
        <v>1537</v>
      </c>
      <c r="G820" s="727" t="s">
        <v>2060</v>
      </c>
      <c r="H820" s="727" t="s">
        <v>2061</v>
      </c>
      <c r="I820" s="730" t="s">
        <v>2062</v>
      </c>
      <c r="J820" s="301"/>
      <c r="K820" s="731" t="s">
        <v>2063</v>
      </c>
      <c r="L820" s="732">
        <f>STDEV(H821:H823)</f>
        <v>655.0063613</v>
      </c>
      <c r="M820" s="733"/>
      <c r="N820" s="189"/>
      <c r="O820" s="454"/>
    </row>
    <row r="821">
      <c r="A821" s="734"/>
      <c r="B821" s="735" t="s">
        <v>2174</v>
      </c>
      <c r="C821" s="744" t="s">
        <v>3221</v>
      </c>
      <c r="D821" s="736" t="s">
        <v>3226</v>
      </c>
      <c r="E821" s="763" t="s">
        <v>2113</v>
      </c>
      <c r="F821" s="805"/>
      <c r="G821" s="736" t="s">
        <v>1757</v>
      </c>
      <c r="H821" s="745">
        <v>3800.0</v>
      </c>
      <c r="I821" s="812"/>
      <c r="J821" s="301"/>
      <c r="K821" s="731" t="s">
        <v>2070</v>
      </c>
      <c r="L821" s="741">
        <f>L820/L819</f>
        <v>0.2049029285</v>
      </c>
      <c r="M821" s="733"/>
      <c r="N821" s="813" t="str">
        <f>IF(L821&lt;25%,"Não","Sim - proceder verificação ao lado")</f>
        <v>Não</v>
      </c>
      <c r="O821" s="743" t="b">
        <v>1</v>
      </c>
    </row>
    <row r="822">
      <c r="A822" s="734"/>
      <c r="B822" s="735" t="s">
        <v>2174</v>
      </c>
      <c r="C822" s="744" t="s">
        <v>3227</v>
      </c>
      <c r="D822" s="736" t="s">
        <v>3228</v>
      </c>
      <c r="E822" s="763" t="s">
        <v>3193</v>
      </c>
      <c r="F822" s="805"/>
      <c r="G822" s="736" t="s">
        <v>1757</v>
      </c>
      <c r="H822" s="739">
        <v>3290.0</v>
      </c>
      <c r="I822" s="811"/>
      <c r="J822" s="301"/>
      <c r="K822" s="731" t="s">
        <v>2075</v>
      </c>
      <c r="L822" s="746">
        <f>L819*1.25</f>
        <v>3995.833333</v>
      </c>
      <c r="M822" s="733"/>
      <c r="N822" s="301"/>
      <c r="O822" s="743" t="b">
        <v>1</v>
      </c>
    </row>
    <row r="823">
      <c r="A823" s="734"/>
      <c r="B823" s="735" t="s">
        <v>2174</v>
      </c>
      <c r="C823" s="767" t="s">
        <v>3218</v>
      </c>
      <c r="D823" s="777" t="s">
        <v>3219</v>
      </c>
      <c r="E823" s="763" t="s">
        <v>2366</v>
      </c>
      <c r="F823" s="805"/>
      <c r="G823" s="736" t="s">
        <v>1757</v>
      </c>
      <c r="H823" s="745">
        <v>2500.0</v>
      </c>
      <c r="I823" s="811"/>
      <c r="J823" s="189"/>
      <c r="K823" s="731" t="s">
        <v>2080</v>
      </c>
      <c r="L823" s="746">
        <f>L819*0.75</f>
        <v>2397.5</v>
      </c>
      <c r="M823" s="733"/>
      <c r="N823" s="189"/>
      <c r="O823" s="743" t="b">
        <v>1</v>
      </c>
    </row>
    <row r="824">
      <c r="A824" s="734"/>
      <c r="B824" s="735"/>
      <c r="C824" s="735"/>
      <c r="D824" s="734"/>
      <c r="E824" s="749"/>
      <c r="F824" s="750"/>
      <c r="G824" s="749"/>
      <c r="H824" s="749"/>
      <c r="I824" s="751"/>
      <c r="J824" s="752"/>
      <c r="K824" s="752"/>
      <c r="L824" s="752"/>
      <c r="M824" s="751"/>
      <c r="N824" s="752"/>
      <c r="O824" s="753"/>
    </row>
    <row r="825">
      <c r="A825" s="754" t="s">
        <v>168</v>
      </c>
      <c r="B825" s="755" t="s">
        <v>3233</v>
      </c>
      <c r="C825" s="36"/>
      <c r="D825" s="36"/>
      <c r="E825" s="36"/>
      <c r="F825" s="36"/>
      <c r="G825" s="754" t="s">
        <v>1757</v>
      </c>
      <c r="H825" s="756">
        <f>MEDIAN(H827:H829)</f>
        <v>2051</v>
      </c>
      <c r="I825" s="757"/>
      <c r="J825" s="758" t="s">
        <v>2053</v>
      </c>
      <c r="K825" s="731" t="s">
        <v>2054</v>
      </c>
      <c r="L825" s="759">
        <f>AVERAGE(H827:H829)</f>
        <v>2092.74</v>
      </c>
      <c r="M825" s="733"/>
      <c r="N825" s="760" t="s">
        <v>2055</v>
      </c>
      <c r="O825" s="454"/>
    </row>
    <row r="826">
      <c r="A826" s="727" t="s">
        <v>1717</v>
      </c>
      <c r="B826" s="728" t="s">
        <v>2056</v>
      </c>
      <c r="C826" s="728" t="s">
        <v>2057</v>
      </c>
      <c r="D826" s="727" t="s">
        <v>2058</v>
      </c>
      <c r="E826" s="727" t="s">
        <v>2059</v>
      </c>
      <c r="F826" s="729" t="s">
        <v>1537</v>
      </c>
      <c r="G826" s="727" t="s">
        <v>2060</v>
      </c>
      <c r="H826" s="727" t="s">
        <v>2061</v>
      </c>
      <c r="I826" s="730" t="s">
        <v>2062</v>
      </c>
      <c r="J826" s="301"/>
      <c r="K826" s="731" t="s">
        <v>2063</v>
      </c>
      <c r="L826" s="732">
        <f>STDEV(H827:H829)</f>
        <v>388.0771867</v>
      </c>
      <c r="M826" s="733"/>
      <c r="N826" s="189"/>
      <c r="O826" s="454"/>
    </row>
    <row r="827">
      <c r="A827" s="734"/>
      <c r="B827" s="735" t="s">
        <v>2174</v>
      </c>
      <c r="C827" s="761" t="s">
        <v>3234</v>
      </c>
      <c r="D827" s="777" t="s">
        <v>3224</v>
      </c>
      <c r="E827" s="763" t="s">
        <v>2757</v>
      </c>
      <c r="F827" s="801" t="s">
        <v>3235</v>
      </c>
      <c r="G827" s="736" t="s">
        <v>1757</v>
      </c>
      <c r="H827" s="745">
        <v>1727.22</v>
      </c>
      <c r="I827" s="812"/>
      <c r="J827" s="301"/>
      <c r="K827" s="731" t="s">
        <v>2070</v>
      </c>
      <c r="L827" s="741">
        <f>L826/L825</f>
        <v>0.185439752</v>
      </c>
      <c r="M827" s="733"/>
      <c r="N827" s="813" t="str">
        <f>IF(L827&lt;25%,"Não","Sim - proceder verificação ao lado")</f>
        <v>Não</v>
      </c>
      <c r="O827" s="743" t="b">
        <v>1</v>
      </c>
    </row>
    <row r="828">
      <c r="A828" s="734"/>
      <c r="B828" s="735" t="s">
        <v>2174</v>
      </c>
      <c r="C828" s="767" t="s">
        <v>3218</v>
      </c>
      <c r="D828" s="777" t="s">
        <v>3219</v>
      </c>
      <c r="E828" s="763" t="s">
        <v>2529</v>
      </c>
      <c r="F828" s="801"/>
      <c r="G828" s="736" t="s">
        <v>1757</v>
      </c>
      <c r="H828" s="745">
        <v>2500.0</v>
      </c>
      <c r="I828" s="786"/>
      <c r="J828" s="301"/>
      <c r="K828" s="731" t="s">
        <v>2075</v>
      </c>
      <c r="L828" s="746">
        <f>L825*1.25</f>
        <v>2615.925</v>
      </c>
      <c r="M828" s="733"/>
      <c r="N828" s="301"/>
      <c r="O828" s="743" t="b">
        <v>1</v>
      </c>
    </row>
    <row r="829">
      <c r="A829" s="734"/>
      <c r="B829" s="735" t="s">
        <v>2174</v>
      </c>
      <c r="C829" s="744" t="s">
        <v>3227</v>
      </c>
      <c r="D829" s="736" t="s">
        <v>3228</v>
      </c>
      <c r="E829" s="763" t="s">
        <v>3193</v>
      </c>
      <c r="F829" s="805"/>
      <c r="G829" s="736" t="s">
        <v>1757</v>
      </c>
      <c r="H829" s="745">
        <v>2051.0</v>
      </c>
      <c r="I829" s="775"/>
      <c r="J829" s="189"/>
      <c r="K829" s="731" t="s">
        <v>2080</v>
      </c>
      <c r="L829" s="746">
        <f>L825*0.75</f>
        <v>1569.555</v>
      </c>
      <c r="M829" s="733"/>
      <c r="N829" s="189"/>
      <c r="O829" s="743" t="b">
        <v>1</v>
      </c>
    </row>
    <row r="830">
      <c r="A830" s="734"/>
      <c r="B830" s="735"/>
      <c r="C830" s="735"/>
      <c r="D830" s="734"/>
      <c r="E830" s="749"/>
      <c r="F830" s="750"/>
      <c r="G830" s="749"/>
      <c r="H830" s="749"/>
      <c r="I830" s="751"/>
      <c r="J830" s="752"/>
      <c r="K830" s="752"/>
      <c r="L830" s="752"/>
      <c r="M830" s="751"/>
      <c r="N830" s="752"/>
      <c r="O830" s="753"/>
    </row>
    <row r="831">
      <c r="A831" s="754" t="s">
        <v>170</v>
      </c>
      <c r="B831" s="755" t="s">
        <v>3236</v>
      </c>
      <c r="C831" s="36"/>
      <c r="D831" s="36"/>
      <c r="E831" s="36"/>
      <c r="F831" s="36"/>
      <c r="G831" s="754" t="s">
        <v>1757</v>
      </c>
      <c r="H831" s="756">
        <f>MEDIAN(H833:H835)</f>
        <v>349.99</v>
      </c>
      <c r="I831" s="757"/>
      <c r="J831" s="758" t="s">
        <v>2053</v>
      </c>
      <c r="K831" s="731" t="s">
        <v>2054</v>
      </c>
      <c r="L831" s="759">
        <f>AVERAGE(H833:H835)</f>
        <v>320.31</v>
      </c>
      <c r="M831" s="733"/>
      <c r="N831" s="760" t="s">
        <v>2055</v>
      </c>
      <c r="O831" s="454"/>
    </row>
    <row r="832">
      <c r="A832" s="727" t="s">
        <v>1717</v>
      </c>
      <c r="B832" s="728" t="s">
        <v>2056</v>
      </c>
      <c r="C832" s="728" t="s">
        <v>2057</v>
      </c>
      <c r="D832" s="727" t="s">
        <v>2058</v>
      </c>
      <c r="E832" s="727" t="s">
        <v>2059</v>
      </c>
      <c r="F832" s="729" t="s">
        <v>1537</v>
      </c>
      <c r="G832" s="727" t="s">
        <v>2060</v>
      </c>
      <c r="H832" s="727" t="s">
        <v>2061</v>
      </c>
      <c r="I832" s="730" t="s">
        <v>2062</v>
      </c>
      <c r="J832" s="301"/>
      <c r="K832" s="731" t="s">
        <v>2063</v>
      </c>
      <c r="L832" s="732">
        <f>STDEV(H833:H835)</f>
        <v>62.11746373</v>
      </c>
      <c r="M832" s="733"/>
      <c r="N832" s="189"/>
      <c r="O832" s="454"/>
    </row>
    <row r="833">
      <c r="A833" s="734"/>
      <c r="B833" s="735" t="s">
        <v>2174</v>
      </c>
      <c r="C833" s="761" t="s">
        <v>3234</v>
      </c>
      <c r="D833" s="777" t="s">
        <v>3224</v>
      </c>
      <c r="E833" s="763" t="s">
        <v>2757</v>
      </c>
      <c r="F833" s="801" t="s">
        <v>3237</v>
      </c>
      <c r="G833" s="736" t="s">
        <v>1757</v>
      </c>
      <c r="H833" s="745">
        <v>248.92</v>
      </c>
      <c r="I833" s="812"/>
      <c r="J833" s="301"/>
      <c r="K833" s="731" t="s">
        <v>2070</v>
      </c>
      <c r="L833" s="741">
        <f>L832/L831</f>
        <v>0.1939292052</v>
      </c>
      <c r="M833" s="733"/>
      <c r="N833" s="742" t="str">
        <f>IF(L833&lt;25%,"Não","Sim - proceder verificação ao lado")</f>
        <v>Não</v>
      </c>
      <c r="O833" s="743" t="b">
        <v>1</v>
      </c>
    </row>
    <row r="834">
      <c r="A834" s="734"/>
      <c r="B834" s="735" t="s">
        <v>2064</v>
      </c>
      <c r="C834" s="744" t="s">
        <v>3238</v>
      </c>
      <c r="D834" s="736" t="s">
        <v>3239</v>
      </c>
      <c r="E834" s="763" t="s">
        <v>3240</v>
      </c>
      <c r="F834" s="814" t="s">
        <v>3241</v>
      </c>
      <c r="G834" s="815" t="s">
        <v>1757</v>
      </c>
      <c r="H834" s="816">
        <v>349.99</v>
      </c>
      <c r="I834" s="817" t="s">
        <v>3242</v>
      </c>
      <c r="J834" s="301"/>
      <c r="K834" s="731" t="s">
        <v>2075</v>
      </c>
      <c r="L834" s="746">
        <f>L831*1.25</f>
        <v>400.3875</v>
      </c>
      <c r="M834" s="733"/>
      <c r="N834" s="301"/>
      <c r="O834" s="743" t="b">
        <v>1</v>
      </c>
    </row>
    <row r="835">
      <c r="A835" s="734"/>
      <c r="B835" s="735" t="s">
        <v>2064</v>
      </c>
      <c r="C835" s="735" t="s">
        <v>2541</v>
      </c>
      <c r="D835" s="736" t="s">
        <v>2150</v>
      </c>
      <c r="E835" s="763" t="s">
        <v>3240</v>
      </c>
      <c r="F835" s="805" t="s">
        <v>3243</v>
      </c>
      <c r="G835" s="736" t="s">
        <v>1757</v>
      </c>
      <c r="H835" s="745">
        <v>362.02</v>
      </c>
      <c r="I835" s="818" t="s">
        <v>3244</v>
      </c>
      <c r="J835" s="189"/>
      <c r="K835" s="731" t="s">
        <v>2080</v>
      </c>
      <c r="L835" s="746">
        <f>L831*0.75</f>
        <v>240.2325</v>
      </c>
      <c r="M835" s="733"/>
      <c r="N835" s="189"/>
      <c r="O835" s="743" t="b">
        <v>1</v>
      </c>
    </row>
    <row r="836">
      <c r="A836" s="734"/>
      <c r="B836" s="735"/>
      <c r="C836" s="735"/>
      <c r="D836" s="734"/>
      <c r="E836" s="749"/>
      <c r="F836" s="750"/>
      <c r="G836" s="749"/>
      <c r="H836" s="749"/>
      <c r="I836" s="751"/>
      <c r="J836" s="752"/>
      <c r="K836" s="752"/>
      <c r="L836" s="752"/>
      <c r="M836" s="751"/>
      <c r="N836" s="752"/>
      <c r="O836" s="753"/>
    </row>
    <row r="837">
      <c r="A837" s="754" t="s">
        <v>172</v>
      </c>
      <c r="B837" s="755" t="s">
        <v>3245</v>
      </c>
      <c r="C837" s="36"/>
      <c r="D837" s="36"/>
      <c r="E837" s="36"/>
      <c r="F837" s="36"/>
      <c r="G837" s="754" t="s">
        <v>1757</v>
      </c>
      <c r="H837" s="756">
        <f>MEDIAN(H839:H841)</f>
        <v>183.3</v>
      </c>
      <c r="I837" s="781"/>
      <c r="J837" s="758" t="s">
        <v>2053</v>
      </c>
      <c r="K837" s="731" t="s">
        <v>2054</v>
      </c>
      <c r="L837" s="759">
        <f>AVERAGE(H839:H841)</f>
        <v>173.52</v>
      </c>
      <c r="M837" s="733"/>
      <c r="N837" s="760" t="s">
        <v>2055</v>
      </c>
      <c r="O837" s="454"/>
    </row>
    <row r="838">
      <c r="A838" s="727" t="s">
        <v>1717</v>
      </c>
      <c r="B838" s="728" t="s">
        <v>2056</v>
      </c>
      <c r="C838" s="728" t="s">
        <v>2057</v>
      </c>
      <c r="D838" s="727" t="s">
        <v>2058</v>
      </c>
      <c r="E838" s="727" t="s">
        <v>2059</v>
      </c>
      <c r="F838" s="729" t="s">
        <v>1537</v>
      </c>
      <c r="G838" s="727" t="s">
        <v>2060</v>
      </c>
      <c r="H838" s="727" t="s">
        <v>2061</v>
      </c>
      <c r="I838" s="730" t="s">
        <v>2062</v>
      </c>
      <c r="J838" s="301"/>
      <c r="K838" s="731" t="s">
        <v>2063</v>
      </c>
      <c r="L838" s="732">
        <f>STDEV(H839:H841)</f>
        <v>34.28271722</v>
      </c>
      <c r="M838" s="733"/>
      <c r="N838" s="189"/>
      <c r="O838" s="454"/>
    </row>
    <row r="839">
      <c r="A839" s="734"/>
      <c r="B839" s="735" t="s">
        <v>2174</v>
      </c>
      <c r="C839" s="761" t="s">
        <v>3234</v>
      </c>
      <c r="D839" s="777" t="s">
        <v>3224</v>
      </c>
      <c r="E839" s="763" t="s">
        <v>2757</v>
      </c>
      <c r="F839" s="764" t="s">
        <v>3246</v>
      </c>
      <c r="G839" s="736" t="s">
        <v>1757</v>
      </c>
      <c r="H839" s="745">
        <v>135.41</v>
      </c>
      <c r="I839" s="812"/>
      <c r="J839" s="301"/>
      <c r="K839" s="731" t="s">
        <v>2070</v>
      </c>
      <c r="L839" s="741">
        <f>L838/L837</f>
        <v>0.197572137</v>
      </c>
      <c r="M839" s="733"/>
      <c r="N839" s="742" t="str">
        <f>IF(L839&lt;25%,"Não","Sim - proceder verificação ao lado")</f>
        <v>Não</v>
      </c>
      <c r="O839" s="743" t="b">
        <v>1</v>
      </c>
    </row>
    <row r="840">
      <c r="A840" s="734"/>
      <c r="B840" s="735" t="s">
        <v>2174</v>
      </c>
      <c r="C840" s="744" t="s">
        <v>3221</v>
      </c>
      <c r="D840" s="736" t="s">
        <v>3226</v>
      </c>
      <c r="E840" s="763" t="s">
        <v>2113</v>
      </c>
      <c r="F840" s="801" t="s">
        <v>3247</v>
      </c>
      <c r="G840" s="736" t="s">
        <v>1757</v>
      </c>
      <c r="H840" s="745">
        <v>201.85</v>
      </c>
      <c r="I840" s="775"/>
      <c r="J840" s="301"/>
      <c r="K840" s="731" t="s">
        <v>2075</v>
      </c>
      <c r="L840" s="746">
        <f>L837*1.25</f>
        <v>216.9</v>
      </c>
      <c r="M840" s="733"/>
      <c r="N840" s="301"/>
      <c r="O840" s="743" t="b">
        <v>1</v>
      </c>
    </row>
    <row r="841">
      <c r="A841" s="734"/>
      <c r="B841" s="735" t="s">
        <v>2064</v>
      </c>
      <c r="C841" s="735" t="s">
        <v>2126</v>
      </c>
      <c r="D841" s="736" t="s">
        <v>2281</v>
      </c>
      <c r="E841" s="763" t="s">
        <v>3240</v>
      </c>
      <c r="F841" s="805" t="s">
        <v>3248</v>
      </c>
      <c r="G841" s="736" t="s">
        <v>1757</v>
      </c>
      <c r="H841" s="739">
        <v>183.3</v>
      </c>
      <c r="I841" s="819" t="s">
        <v>3249</v>
      </c>
      <c r="J841" s="189"/>
      <c r="K841" s="731" t="s">
        <v>2080</v>
      </c>
      <c r="L841" s="746">
        <f>L837*0.75</f>
        <v>130.14</v>
      </c>
      <c r="M841" s="733"/>
      <c r="N841" s="189"/>
      <c r="O841" s="743" t="b">
        <v>1</v>
      </c>
    </row>
    <row r="842">
      <c r="A842" s="734"/>
      <c r="B842" s="735"/>
      <c r="C842" s="735"/>
      <c r="D842" s="734"/>
      <c r="E842" s="749"/>
      <c r="F842" s="750"/>
      <c r="G842" s="749"/>
      <c r="H842" s="749"/>
      <c r="I842" s="751"/>
      <c r="J842" s="752"/>
      <c r="K842" s="752"/>
      <c r="L842" s="752"/>
      <c r="M842" s="751"/>
      <c r="N842" s="752"/>
      <c r="O842" s="753"/>
    </row>
    <row r="843">
      <c r="A843" s="754" t="s">
        <v>180</v>
      </c>
      <c r="B843" s="755" t="s">
        <v>3250</v>
      </c>
      <c r="C843" s="36"/>
      <c r="D843" s="36"/>
      <c r="E843" s="36"/>
      <c r="F843" s="36"/>
      <c r="G843" s="754" t="s">
        <v>1757</v>
      </c>
      <c r="H843" s="756">
        <f>MEDIAN(H845:H847)</f>
        <v>171.22</v>
      </c>
      <c r="I843" s="781"/>
      <c r="J843" s="758" t="s">
        <v>2053</v>
      </c>
      <c r="K843" s="731" t="s">
        <v>2054</v>
      </c>
      <c r="L843" s="759">
        <f>AVERAGE(H845:H847)</f>
        <v>169.4933333</v>
      </c>
      <c r="M843" s="733"/>
      <c r="N843" s="760" t="s">
        <v>2055</v>
      </c>
      <c r="O843" s="454"/>
    </row>
    <row r="844">
      <c r="A844" s="727" t="s">
        <v>1717</v>
      </c>
      <c r="B844" s="728" t="s">
        <v>2056</v>
      </c>
      <c r="C844" s="728" t="s">
        <v>2057</v>
      </c>
      <c r="D844" s="727" t="s">
        <v>2058</v>
      </c>
      <c r="E844" s="727" t="s">
        <v>2059</v>
      </c>
      <c r="F844" s="729" t="s">
        <v>1537</v>
      </c>
      <c r="G844" s="727" t="s">
        <v>2060</v>
      </c>
      <c r="H844" s="727" t="s">
        <v>2061</v>
      </c>
      <c r="I844" s="730" t="s">
        <v>2062</v>
      </c>
      <c r="J844" s="301"/>
      <c r="K844" s="731" t="s">
        <v>2063</v>
      </c>
      <c r="L844" s="732">
        <f>STDEV(H845:H847)</f>
        <v>33.2536379</v>
      </c>
      <c r="M844" s="733"/>
      <c r="N844" s="189"/>
      <c r="O844" s="454"/>
    </row>
    <row r="845">
      <c r="A845" s="734"/>
      <c r="B845" s="735" t="s">
        <v>2174</v>
      </c>
      <c r="C845" s="761" t="s">
        <v>3234</v>
      </c>
      <c r="D845" s="777" t="s">
        <v>3224</v>
      </c>
      <c r="E845" s="763" t="s">
        <v>2757</v>
      </c>
      <c r="F845" s="764" t="s">
        <v>3246</v>
      </c>
      <c r="G845" s="736" t="s">
        <v>1757</v>
      </c>
      <c r="H845" s="745">
        <v>135.41</v>
      </c>
      <c r="I845" s="812"/>
      <c r="J845" s="301"/>
      <c r="K845" s="731" t="s">
        <v>2070</v>
      </c>
      <c r="L845" s="741">
        <f>L844/L843</f>
        <v>0.1961943708</v>
      </c>
      <c r="M845" s="733"/>
      <c r="N845" s="742" t="str">
        <f>IF(L845&lt;25%,"Não","Sim - proceder verificação ao lado")</f>
        <v>Não</v>
      </c>
      <c r="O845" s="743" t="b">
        <v>1</v>
      </c>
    </row>
    <row r="846">
      <c r="A846" s="734"/>
      <c r="B846" s="735" t="s">
        <v>2174</v>
      </c>
      <c r="C846" s="744" t="s">
        <v>3221</v>
      </c>
      <c r="D846" s="736" t="s">
        <v>3226</v>
      </c>
      <c r="E846" s="763" t="s">
        <v>2113</v>
      </c>
      <c r="F846" s="801" t="s">
        <v>3247</v>
      </c>
      <c r="G846" s="736" t="s">
        <v>1757</v>
      </c>
      <c r="H846" s="745">
        <v>201.85</v>
      </c>
      <c r="I846" s="775"/>
      <c r="J846" s="301"/>
      <c r="K846" s="731" t="s">
        <v>2075</v>
      </c>
      <c r="L846" s="746">
        <f>L843*1.25</f>
        <v>211.8666667</v>
      </c>
      <c r="M846" s="733"/>
      <c r="N846" s="301"/>
      <c r="O846" s="743" t="b">
        <v>1</v>
      </c>
    </row>
    <row r="847">
      <c r="A847" s="734"/>
      <c r="B847" s="735" t="s">
        <v>2064</v>
      </c>
      <c r="C847" s="735" t="s">
        <v>2286</v>
      </c>
      <c r="D847" s="736" t="s">
        <v>2150</v>
      </c>
      <c r="E847" s="763" t="s">
        <v>3240</v>
      </c>
      <c r="F847" s="801" t="s">
        <v>3251</v>
      </c>
      <c r="G847" s="736" t="s">
        <v>1757</v>
      </c>
      <c r="H847" s="745">
        <v>171.22</v>
      </c>
      <c r="I847" s="776" t="s">
        <v>3252</v>
      </c>
      <c r="J847" s="189"/>
      <c r="K847" s="731" t="s">
        <v>2080</v>
      </c>
      <c r="L847" s="746">
        <f>L843*0.75</f>
        <v>127.12</v>
      </c>
      <c r="M847" s="733"/>
      <c r="N847" s="189"/>
      <c r="O847" s="743" t="b">
        <v>1</v>
      </c>
    </row>
    <row r="848">
      <c r="A848" s="734"/>
      <c r="B848" s="735"/>
      <c r="C848" s="735"/>
      <c r="D848" s="734"/>
      <c r="E848" s="749"/>
      <c r="F848" s="750"/>
      <c r="G848" s="749"/>
      <c r="H848" s="749"/>
      <c r="I848" s="751"/>
      <c r="J848" s="752"/>
      <c r="K848" s="752"/>
      <c r="L848" s="752"/>
      <c r="M848" s="751"/>
      <c r="N848" s="752"/>
      <c r="O848" s="753"/>
    </row>
    <row r="849">
      <c r="A849" s="754" t="s">
        <v>191</v>
      </c>
      <c r="B849" s="755" t="s">
        <v>3253</v>
      </c>
      <c r="C849" s="36"/>
      <c r="D849" s="36"/>
      <c r="E849" s="36"/>
      <c r="F849" s="36"/>
      <c r="G849" s="754" t="s">
        <v>1757</v>
      </c>
      <c r="H849" s="756">
        <f>MEDIAN(H851:H853)</f>
        <v>121.38</v>
      </c>
      <c r="I849" s="757"/>
      <c r="J849" s="758" t="s">
        <v>2053</v>
      </c>
      <c r="K849" s="731" t="s">
        <v>2054</v>
      </c>
      <c r="L849" s="759">
        <f>AVERAGE(H851:H853)</f>
        <v>125.12</v>
      </c>
      <c r="M849" s="733"/>
      <c r="N849" s="760" t="s">
        <v>2055</v>
      </c>
      <c r="O849" s="454"/>
    </row>
    <row r="850">
      <c r="A850" s="727" t="s">
        <v>1717</v>
      </c>
      <c r="B850" s="728" t="s">
        <v>2056</v>
      </c>
      <c r="C850" s="728" t="s">
        <v>2057</v>
      </c>
      <c r="D850" s="727" t="s">
        <v>2058</v>
      </c>
      <c r="E850" s="727" t="s">
        <v>2059</v>
      </c>
      <c r="F850" s="729" t="s">
        <v>1537</v>
      </c>
      <c r="G850" s="727" t="s">
        <v>2060</v>
      </c>
      <c r="H850" s="727" t="s">
        <v>2061</v>
      </c>
      <c r="I850" s="730" t="s">
        <v>2062</v>
      </c>
      <c r="J850" s="301"/>
      <c r="K850" s="731" t="s">
        <v>2063</v>
      </c>
      <c r="L850" s="732">
        <f>STDEV(H851:H853)</f>
        <v>12.43908357</v>
      </c>
      <c r="M850" s="733"/>
      <c r="N850" s="189"/>
      <c r="O850" s="454"/>
    </row>
    <row r="851">
      <c r="A851" s="734"/>
      <c r="B851" s="735" t="s">
        <v>2174</v>
      </c>
      <c r="C851" s="761" t="s">
        <v>3234</v>
      </c>
      <c r="D851" s="777" t="s">
        <v>3224</v>
      </c>
      <c r="E851" s="763" t="s">
        <v>2757</v>
      </c>
      <c r="F851" s="764" t="s">
        <v>3254</v>
      </c>
      <c r="G851" s="736" t="s">
        <v>1757</v>
      </c>
      <c r="H851" s="745">
        <v>121.38</v>
      </c>
      <c r="I851" s="812"/>
      <c r="J851" s="301"/>
      <c r="K851" s="731" t="s">
        <v>2070</v>
      </c>
      <c r="L851" s="741">
        <f>L850/L849</f>
        <v>0.099417228</v>
      </c>
      <c r="M851" s="733"/>
      <c r="N851" s="742" t="str">
        <f>IF(L851&lt;25%,"Não","Sim - proceder verificação ao lado")</f>
        <v>Não</v>
      </c>
      <c r="O851" s="743" t="b">
        <v>1</v>
      </c>
    </row>
    <row r="852">
      <c r="A852" s="734"/>
      <c r="B852" s="735" t="s">
        <v>2064</v>
      </c>
      <c r="C852" s="820" t="s">
        <v>3255</v>
      </c>
      <c r="D852" s="748" t="s">
        <v>3256</v>
      </c>
      <c r="E852" s="763" t="s">
        <v>3240</v>
      </c>
      <c r="F852" s="821" t="s">
        <v>3257</v>
      </c>
      <c r="G852" s="736" t="s">
        <v>1757</v>
      </c>
      <c r="H852" s="739">
        <v>114.98</v>
      </c>
      <c r="I852" s="822" t="s">
        <v>3258</v>
      </c>
      <c r="J852" s="301"/>
      <c r="K852" s="731" t="s">
        <v>2075</v>
      </c>
      <c r="L852" s="746">
        <f>L849*1.25</f>
        <v>156.4</v>
      </c>
      <c r="M852" s="733"/>
      <c r="N852" s="301"/>
      <c r="O852" s="743" t="b">
        <v>1</v>
      </c>
    </row>
    <row r="853">
      <c r="A853" s="734"/>
      <c r="B853" s="735" t="s">
        <v>2064</v>
      </c>
      <c r="C853" s="735" t="s">
        <v>3259</v>
      </c>
      <c r="D853" s="736" t="s">
        <v>3260</v>
      </c>
      <c r="E853" s="763" t="s">
        <v>3240</v>
      </c>
      <c r="F853" s="805" t="s">
        <v>3261</v>
      </c>
      <c r="G853" s="736" t="s">
        <v>1757</v>
      </c>
      <c r="H853" s="739">
        <v>139.0</v>
      </c>
      <c r="I853" s="775" t="s">
        <v>3262</v>
      </c>
      <c r="J853" s="189"/>
      <c r="K853" s="731" t="s">
        <v>2080</v>
      </c>
      <c r="L853" s="746">
        <f>L849*0.75</f>
        <v>93.84</v>
      </c>
      <c r="M853" s="733"/>
      <c r="N853" s="189"/>
      <c r="O853" s="743" t="b">
        <v>1</v>
      </c>
    </row>
    <row r="854">
      <c r="A854" s="734"/>
      <c r="B854" s="735"/>
      <c r="C854" s="735"/>
      <c r="D854" s="734"/>
      <c r="E854" s="823"/>
      <c r="F854" s="805"/>
      <c r="G854" s="736"/>
      <c r="H854" s="739"/>
      <c r="I854" s="824"/>
      <c r="J854" s="752"/>
      <c r="K854" s="752"/>
      <c r="L854" s="752"/>
      <c r="M854" s="751"/>
      <c r="N854" s="752"/>
      <c r="O854" s="753"/>
    </row>
    <row r="855">
      <c r="A855" s="754" t="s">
        <v>193</v>
      </c>
      <c r="B855" s="755" t="s">
        <v>3263</v>
      </c>
      <c r="C855" s="36"/>
      <c r="D855" s="36"/>
      <c r="E855" s="36"/>
      <c r="F855" s="36"/>
      <c r="G855" s="754" t="s">
        <v>1757</v>
      </c>
      <c r="H855" s="756">
        <f>MEDIAN(H857:H859)</f>
        <v>195.9</v>
      </c>
      <c r="I855" s="757"/>
      <c r="J855" s="758" t="s">
        <v>2053</v>
      </c>
      <c r="K855" s="731" t="s">
        <v>2054</v>
      </c>
      <c r="L855" s="759">
        <f>AVERAGE(H857:H859)</f>
        <v>177.72</v>
      </c>
      <c r="M855" s="733"/>
      <c r="N855" s="760" t="s">
        <v>2055</v>
      </c>
      <c r="O855" s="454"/>
    </row>
    <row r="856">
      <c r="A856" s="727" t="s">
        <v>1717</v>
      </c>
      <c r="B856" s="728" t="s">
        <v>2056</v>
      </c>
      <c r="C856" s="728" t="s">
        <v>2057</v>
      </c>
      <c r="D856" s="727" t="s">
        <v>2058</v>
      </c>
      <c r="E856" s="727" t="s">
        <v>2059</v>
      </c>
      <c r="F856" s="729" t="s">
        <v>1537</v>
      </c>
      <c r="G856" s="727" t="s">
        <v>2060</v>
      </c>
      <c r="H856" s="727" t="s">
        <v>2061</v>
      </c>
      <c r="I856" s="730" t="s">
        <v>2062</v>
      </c>
      <c r="J856" s="301"/>
      <c r="K856" s="731" t="s">
        <v>2063</v>
      </c>
      <c r="L856" s="732">
        <f>STDEV(H857:H859)</f>
        <v>36.76210957</v>
      </c>
      <c r="M856" s="733"/>
      <c r="N856" s="189"/>
      <c r="O856" s="454"/>
    </row>
    <row r="857">
      <c r="A857" s="734"/>
      <c r="B857" s="735" t="s">
        <v>2174</v>
      </c>
      <c r="C857" s="761" t="s">
        <v>3234</v>
      </c>
      <c r="D857" s="777" t="s">
        <v>3224</v>
      </c>
      <c r="E857" s="763" t="s">
        <v>2757</v>
      </c>
      <c r="F857" s="764" t="s">
        <v>3246</v>
      </c>
      <c r="G857" s="736" t="s">
        <v>1757</v>
      </c>
      <c r="H857" s="745">
        <v>135.41</v>
      </c>
      <c r="I857" s="812"/>
      <c r="J857" s="301"/>
      <c r="K857" s="731" t="s">
        <v>2070</v>
      </c>
      <c r="L857" s="741">
        <f>L856/L855</f>
        <v>0.2068540939</v>
      </c>
      <c r="M857" s="733"/>
      <c r="N857" s="742" t="str">
        <f>IF(L857&lt;25%,"Não","Sim - proceder verificação ao lado")</f>
        <v>Não</v>
      </c>
      <c r="O857" s="743" t="b">
        <v>1</v>
      </c>
    </row>
    <row r="858">
      <c r="A858" s="734"/>
      <c r="B858" s="735" t="s">
        <v>2174</v>
      </c>
      <c r="C858" s="744" t="s">
        <v>3221</v>
      </c>
      <c r="D858" s="736" t="s">
        <v>3226</v>
      </c>
      <c r="E858" s="763" t="s">
        <v>2113</v>
      </c>
      <c r="F858" s="801" t="s">
        <v>3247</v>
      </c>
      <c r="G858" s="736" t="s">
        <v>1757</v>
      </c>
      <c r="H858" s="745">
        <v>201.85</v>
      </c>
      <c r="I858" s="775"/>
      <c r="J858" s="301"/>
      <c r="K858" s="731" t="s">
        <v>2075</v>
      </c>
      <c r="L858" s="746">
        <f>L855*1.25</f>
        <v>222.15</v>
      </c>
      <c r="M858" s="733"/>
      <c r="N858" s="301"/>
      <c r="O858" s="743" t="b">
        <v>1</v>
      </c>
    </row>
    <row r="859">
      <c r="A859" s="734"/>
      <c r="B859" s="735" t="s">
        <v>2064</v>
      </c>
      <c r="C859" s="744" t="s">
        <v>2372</v>
      </c>
      <c r="D859" s="736" t="s">
        <v>2134</v>
      </c>
      <c r="E859" s="763" t="s">
        <v>3240</v>
      </c>
      <c r="F859" s="805" t="s">
        <v>3248</v>
      </c>
      <c r="G859" s="736" t="s">
        <v>1757</v>
      </c>
      <c r="H859" s="739">
        <v>195.9</v>
      </c>
      <c r="I859" s="822" t="s">
        <v>3264</v>
      </c>
      <c r="J859" s="189"/>
      <c r="K859" s="731" t="s">
        <v>2080</v>
      </c>
      <c r="L859" s="746">
        <f>L855*0.75</f>
        <v>133.29</v>
      </c>
      <c r="M859" s="733"/>
      <c r="N859" s="189"/>
      <c r="O859" s="743" t="b">
        <v>1</v>
      </c>
    </row>
    <row r="860">
      <c r="A860" s="734"/>
      <c r="B860" s="735"/>
      <c r="C860" s="735"/>
      <c r="D860" s="734"/>
      <c r="E860" s="823"/>
      <c r="F860" s="805"/>
      <c r="G860" s="736"/>
      <c r="H860" s="739"/>
      <c r="I860" s="824"/>
      <c r="J860" s="752"/>
      <c r="K860" s="752"/>
      <c r="L860" s="752"/>
      <c r="M860" s="751"/>
      <c r="N860" s="752"/>
      <c r="O860" s="753"/>
    </row>
    <row r="861">
      <c r="A861" s="754" t="s">
        <v>201</v>
      </c>
      <c r="B861" s="755" t="s">
        <v>3265</v>
      </c>
      <c r="C861" s="36"/>
      <c r="D861" s="36"/>
      <c r="E861" s="36"/>
      <c r="F861" s="36"/>
      <c r="G861" s="754" t="s">
        <v>1757</v>
      </c>
      <c r="H861" s="756">
        <f>MEDIAN(H863:H865)</f>
        <v>462</v>
      </c>
      <c r="I861" s="757"/>
      <c r="J861" s="758" t="s">
        <v>2053</v>
      </c>
      <c r="K861" s="731" t="s">
        <v>2054</v>
      </c>
      <c r="L861" s="759">
        <f>AVERAGE(H863:H865)</f>
        <v>450.7666667</v>
      </c>
      <c r="M861" s="733"/>
      <c r="N861" s="760" t="s">
        <v>2055</v>
      </c>
      <c r="O861" s="454"/>
    </row>
    <row r="862">
      <c r="A862" s="727" t="s">
        <v>1717</v>
      </c>
      <c r="B862" s="728" t="s">
        <v>2056</v>
      </c>
      <c r="C862" s="728" t="s">
        <v>2057</v>
      </c>
      <c r="D862" s="727" t="s">
        <v>2058</v>
      </c>
      <c r="E862" s="727" t="s">
        <v>2059</v>
      </c>
      <c r="F862" s="729" t="s">
        <v>1537</v>
      </c>
      <c r="G862" s="727" t="s">
        <v>2060</v>
      </c>
      <c r="H862" s="727" t="s">
        <v>2061</v>
      </c>
      <c r="I862" s="730" t="s">
        <v>2062</v>
      </c>
      <c r="J862" s="301"/>
      <c r="K862" s="731" t="s">
        <v>2063</v>
      </c>
      <c r="L862" s="732">
        <f>STDEV(H863:H865)</f>
        <v>89.97746014</v>
      </c>
      <c r="M862" s="733"/>
      <c r="N862" s="189"/>
      <c r="O862" s="454"/>
    </row>
    <row r="863">
      <c r="A863" s="734"/>
      <c r="B863" s="735" t="s">
        <v>2064</v>
      </c>
      <c r="C863" s="820" t="s">
        <v>2126</v>
      </c>
      <c r="D863" s="748" t="s">
        <v>3266</v>
      </c>
      <c r="E863" s="763" t="s">
        <v>3240</v>
      </c>
      <c r="F863" s="805" t="s">
        <v>3267</v>
      </c>
      <c r="G863" s="736" t="s">
        <v>1757</v>
      </c>
      <c r="H863" s="739">
        <v>355.7</v>
      </c>
      <c r="I863" s="825" t="s">
        <v>3268</v>
      </c>
      <c r="J863" s="301"/>
      <c r="K863" s="731" t="s">
        <v>2070</v>
      </c>
      <c r="L863" s="741">
        <f>L862/L861</f>
        <v>0.1996098354</v>
      </c>
      <c r="M863" s="733"/>
      <c r="N863" s="742" t="str">
        <f>IF(L863&lt;25%,"Não","Sim - proceder verificação ao lado")</f>
        <v>Não</v>
      </c>
      <c r="O863" s="743" t="b">
        <v>1</v>
      </c>
    </row>
    <row r="864">
      <c r="A864" s="734"/>
      <c r="B864" s="735" t="s">
        <v>2174</v>
      </c>
      <c r="C864" s="744" t="s">
        <v>3221</v>
      </c>
      <c r="D864" s="736" t="s">
        <v>3226</v>
      </c>
      <c r="E864" s="763" t="s">
        <v>2113</v>
      </c>
      <c r="F864" s="801" t="s">
        <v>3269</v>
      </c>
      <c r="G864" s="736" t="s">
        <v>1757</v>
      </c>
      <c r="H864" s="745">
        <v>534.6</v>
      </c>
      <c r="I864" s="775"/>
      <c r="J864" s="301"/>
      <c r="K864" s="731" t="s">
        <v>2075</v>
      </c>
      <c r="L864" s="746">
        <f>L861*1.25</f>
        <v>563.4583333</v>
      </c>
      <c r="M864" s="733"/>
      <c r="N864" s="301"/>
      <c r="O864" s="743" t="b">
        <v>1</v>
      </c>
    </row>
    <row r="865">
      <c r="A865" s="734"/>
      <c r="B865" s="826" t="s">
        <v>2064</v>
      </c>
      <c r="C865" s="826" t="s">
        <v>3270</v>
      </c>
      <c r="D865" s="777" t="s">
        <v>3271</v>
      </c>
      <c r="E865" s="827" t="s">
        <v>3240</v>
      </c>
      <c r="F865" s="828" t="s">
        <v>3272</v>
      </c>
      <c r="G865" s="829" t="s">
        <v>1757</v>
      </c>
      <c r="H865" s="830">
        <v>462.0</v>
      </c>
      <c r="I865" s="831" t="s">
        <v>3273</v>
      </c>
      <c r="J865" s="189"/>
      <c r="K865" s="731" t="s">
        <v>2080</v>
      </c>
      <c r="L865" s="746">
        <f>L861*0.75</f>
        <v>338.075</v>
      </c>
      <c r="M865" s="733"/>
      <c r="N865" s="189"/>
      <c r="O865" s="743" t="b">
        <v>1</v>
      </c>
    </row>
    <row r="866">
      <c r="A866" s="734"/>
      <c r="B866" s="735"/>
      <c r="C866" s="735"/>
      <c r="D866" s="734"/>
      <c r="E866" s="823"/>
      <c r="F866" s="805"/>
      <c r="G866" s="736"/>
      <c r="H866" s="739"/>
      <c r="I866" s="824"/>
      <c r="J866" s="752"/>
      <c r="K866" s="752"/>
      <c r="L866" s="752"/>
      <c r="M866" s="751"/>
      <c r="N866" s="752"/>
      <c r="O866" s="753"/>
    </row>
    <row r="867">
      <c r="A867" s="754" t="s">
        <v>203</v>
      </c>
      <c r="B867" s="755" t="s">
        <v>3274</v>
      </c>
      <c r="C867" s="36"/>
      <c r="D867" s="36"/>
      <c r="E867" s="36"/>
      <c r="F867" s="36"/>
      <c r="G867" s="754" t="s">
        <v>1757</v>
      </c>
      <c r="H867" s="756">
        <f>MEDIAN(H869:H871)</f>
        <v>91</v>
      </c>
      <c r="I867" s="757"/>
      <c r="J867" s="758" t="s">
        <v>2053</v>
      </c>
      <c r="K867" s="731" t="s">
        <v>2054</v>
      </c>
      <c r="L867" s="759">
        <f>AVERAGE(H869:H871)</f>
        <v>96.59333333</v>
      </c>
      <c r="M867" s="733"/>
      <c r="N867" s="760" t="s">
        <v>2055</v>
      </c>
      <c r="O867" s="454"/>
    </row>
    <row r="868">
      <c r="A868" s="727" t="s">
        <v>1717</v>
      </c>
      <c r="B868" s="728" t="s">
        <v>2056</v>
      </c>
      <c r="C868" s="728" t="s">
        <v>2057</v>
      </c>
      <c r="D868" s="727" t="s">
        <v>2058</v>
      </c>
      <c r="E868" s="727" t="s">
        <v>2059</v>
      </c>
      <c r="F868" s="729" t="s">
        <v>1537</v>
      </c>
      <c r="G868" s="727" t="s">
        <v>2060</v>
      </c>
      <c r="H868" s="727" t="s">
        <v>2061</v>
      </c>
      <c r="I868" s="730" t="s">
        <v>2062</v>
      </c>
      <c r="J868" s="301"/>
      <c r="K868" s="731" t="s">
        <v>2063</v>
      </c>
      <c r="L868" s="732">
        <f>STDEV(H869:H871)</f>
        <v>22.51719639</v>
      </c>
      <c r="M868" s="733"/>
      <c r="N868" s="189"/>
      <c r="O868" s="454"/>
    </row>
    <row r="869">
      <c r="A869" s="734"/>
      <c r="B869" s="735" t="s">
        <v>2174</v>
      </c>
      <c r="C869" s="761" t="s">
        <v>3234</v>
      </c>
      <c r="D869" s="777" t="s">
        <v>3224</v>
      </c>
      <c r="E869" s="763" t="s">
        <v>2757</v>
      </c>
      <c r="F869" s="764" t="s">
        <v>3254</v>
      </c>
      <c r="G869" s="736" t="s">
        <v>1757</v>
      </c>
      <c r="H869" s="745">
        <v>121.38</v>
      </c>
      <c r="I869" s="812"/>
      <c r="J869" s="301"/>
      <c r="K869" s="731" t="s">
        <v>2070</v>
      </c>
      <c r="L869" s="741">
        <f>L868/L867</f>
        <v>0.233113359</v>
      </c>
      <c r="M869" s="733"/>
      <c r="N869" s="742" t="str">
        <f>IF(L869&lt;25%,"Não","Sim - proceder verificação ao lado")</f>
        <v>Não</v>
      </c>
      <c r="O869" s="743" t="b">
        <v>1</v>
      </c>
    </row>
    <row r="870">
      <c r="A870" s="734"/>
      <c r="B870" s="787" t="s">
        <v>2064</v>
      </c>
      <c r="C870" s="787" t="s">
        <v>2126</v>
      </c>
      <c r="D870" s="787" t="s">
        <v>3266</v>
      </c>
      <c r="E870" s="832" t="s">
        <v>3240</v>
      </c>
      <c r="F870" s="833" t="s">
        <v>3275</v>
      </c>
      <c r="G870" s="794" t="s">
        <v>1757</v>
      </c>
      <c r="H870" s="834">
        <v>77.4</v>
      </c>
      <c r="I870" s="835" t="s">
        <v>3276</v>
      </c>
      <c r="J870" s="301"/>
      <c r="K870" s="731" t="s">
        <v>2075</v>
      </c>
      <c r="L870" s="746">
        <f>L867*1.25</f>
        <v>120.7416667</v>
      </c>
      <c r="M870" s="733"/>
      <c r="N870" s="301"/>
      <c r="O870" s="743" t="b">
        <v>1</v>
      </c>
    </row>
    <row r="871">
      <c r="A871" s="734"/>
      <c r="B871" s="734" t="s">
        <v>2064</v>
      </c>
      <c r="C871" s="777" t="s">
        <v>3277</v>
      </c>
      <c r="D871" s="777" t="s">
        <v>3271</v>
      </c>
      <c r="E871" s="832" t="s">
        <v>3240</v>
      </c>
      <c r="F871" s="836" t="s">
        <v>3278</v>
      </c>
      <c r="G871" s="736" t="s">
        <v>1757</v>
      </c>
      <c r="H871" s="745">
        <v>91.0</v>
      </c>
      <c r="I871" s="775" t="s">
        <v>3279</v>
      </c>
      <c r="J871" s="189"/>
      <c r="K871" s="731" t="s">
        <v>2080</v>
      </c>
      <c r="L871" s="746">
        <f>L867*0.75</f>
        <v>72.445</v>
      </c>
      <c r="M871" s="733"/>
      <c r="N871" s="189"/>
      <c r="O871" s="743" t="b">
        <v>1</v>
      </c>
    </row>
    <row r="872">
      <c r="A872" s="734"/>
      <c r="B872" s="735"/>
      <c r="C872" s="735"/>
      <c r="D872" s="734"/>
      <c r="E872" s="823"/>
      <c r="F872" s="805"/>
      <c r="G872" s="736"/>
      <c r="H872" s="739"/>
      <c r="I872" s="824"/>
      <c r="J872" s="753"/>
      <c r="K872" s="753"/>
      <c r="L872" s="753"/>
      <c r="M872" s="771"/>
      <c r="N872" s="753"/>
      <c r="O872" s="753"/>
    </row>
    <row r="873">
      <c r="A873" s="808" t="s">
        <v>3280</v>
      </c>
      <c r="B873" s="36"/>
      <c r="C873" s="36"/>
      <c r="D873" s="36"/>
      <c r="E873" s="36"/>
      <c r="F873" s="36"/>
      <c r="G873" s="36"/>
      <c r="H873" s="36"/>
      <c r="I873" s="36"/>
      <c r="J873" s="753"/>
      <c r="K873" s="753"/>
      <c r="L873" s="753"/>
      <c r="M873" s="771"/>
      <c r="N873" s="753"/>
      <c r="O873" s="454"/>
    </row>
    <row r="874">
      <c r="A874" s="734"/>
      <c r="B874" s="735"/>
      <c r="C874" s="735"/>
      <c r="D874" s="734"/>
      <c r="E874" s="749"/>
      <c r="F874" s="750"/>
      <c r="G874" s="749"/>
      <c r="H874" s="749"/>
      <c r="I874" s="751"/>
      <c r="J874" s="752"/>
      <c r="K874" s="752"/>
      <c r="L874" s="752"/>
      <c r="M874" s="751"/>
      <c r="N874" s="752"/>
      <c r="O874" s="454"/>
    </row>
    <row r="875">
      <c r="A875" s="754" t="s">
        <v>109</v>
      </c>
      <c r="B875" s="755" t="s">
        <v>3281</v>
      </c>
      <c r="C875" s="36"/>
      <c r="D875" s="36"/>
      <c r="E875" s="36"/>
      <c r="F875" s="36"/>
      <c r="G875" s="754" t="s">
        <v>95</v>
      </c>
      <c r="H875" s="756">
        <f>MEDIAN(H877:H879)</f>
        <v>2989</v>
      </c>
      <c r="I875" s="757"/>
      <c r="J875" s="758" t="s">
        <v>2053</v>
      </c>
      <c r="K875" s="731" t="s">
        <v>2054</v>
      </c>
      <c r="L875" s="759">
        <f>AVERAGE(H877:H879)</f>
        <v>3029.666667</v>
      </c>
      <c r="M875" s="733"/>
      <c r="N875" s="760" t="s">
        <v>2055</v>
      </c>
    </row>
    <row r="876">
      <c r="A876" s="727" t="s">
        <v>1717</v>
      </c>
      <c r="B876" s="728" t="s">
        <v>2056</v>
      </c>
      <c r="C876" s="728" t="s">
        <v>2057</v>
      </c>
      <c r="D876" s="727" t="s">
        <v>2058</v>
      </c>
      <c r="E876" s="727" t="s">
        <v>2059</v>
      </c>
      <c r="F876" s="729" t="s">
        <v>1537</v>
      </c>
      <c r="G876" s="727" t="s">
        <v>2060</v>
      </c>
      <c r="H876" s="727" t="s">
        <v>2061</v>
      </c>
      <c r="I876" s="730" t="s">
        <v>2062</v>
      </c>
      <c r="J876" s="301"/>
      <c r="K876" s="731" t="s">
        <v>2063</v>
      </c>
      <c r="L876" s="732">
        <f>STDEV(H877:H879)</f>
        <v>154.0789841</v>
      </c>
      <c r="M876" s="733"/>
      <c r="N876" s="189"/>
    </row>
    <row r="877">
      <c r="A877" s="734"/>
      <c r="B877" s="735" t="s">
        <v>2174</v>
      </c>
      <c r="C877" s="744" t="s">
        <v>3282</v>
      </c>
      <c r="D877" s="734" t="s">
        <v>3283</v>
      </c>
      <c r="E877" s="763" t="s">
        <v>2529</v>
      </c>
      <c r="F877" s="805"/>
      <c r="G877" s="736" t="s">
        <v>1757</v>
      </c>
      <c r="H877" s="739">
        <v>2989.0</v>
      </c>
      <c r="I877" s="811"/>
      <c r="J877" s="301"/>
      <c r="K877" s="731" t="s">
        <v>2070</v>
      </c>
      <c r="L877" s="741">
        <f>L876/L875</f>
        <v>0.05085674466</v>
      </c>
      <c r="M877" s="733"/>
      <c r="N877" s="742" t="str">
        <f>IF(L877&lt;25%,"Não","Sim - proceder verificação ao lado")</f>
        <v>Não</v>
      </c>
      <c r="O877" s="743" t="b">
        <v>1</v>
      </c>
    </row>
    <row r="878">
      <c r="A878" s="734"/>
      <c r="B878" s="735" t="s">
        <v>2174</v>
      </c>
      <c r="C878" s="735" t="s">
        <v>3284</v>
      </c>
      <c r="D878" s="734" t="s">
        <v>3285</v>
      </c>
      <c r="E878" s="763" t="s">
        <v>2113</v>
      </c>
      <c r="F878" s="805"/>
      <c r="G878" s="736" t="s">
        <v>1757</v>
      </c>
      <c r="H878" s="739">
        <v>3200.0</v>
      </c>
      <c r="I878" s="812"/>
      <c r="J878" s="301"/>
      <c r="K878" s="731" t="s">
        <v>2075</v>
      </c>
      <c r="L878" s="746">
        <f>L875*1.25</f>
        <v>3787.083333</v>
      </c>
      <c r="M878" s="733"/>
      <c r="N878" s="301"/>
      <c r="O878" s="743" t="b">
        <v>1</v>
      </c>
    </row>
    <row r="879">
      <c r="A879" s="734"/>
      <c r="B879" s="735" t="s">
        <v>2174</v>
      </c>
      <c r="C879" s="735" t="s">
        <v>3223</v>
      </c>
      <c r="D879" s="762" t="s">
        <v>3224</v>
      </c>
      <c r="E879" s="763" t="s">
        <v>2113</v>
      </c>
      <c r="F879" s="805"/>
      <c r="G879" s="736" t="s">
        <v>1757</v>
      </c>
      <c r="H879" s="745">
        <v>2900.0</v>
      </c>
      <c r="I879" s="811"/>
      <c r="J879" s="189"/>
      <c r="K879" s="731" t="s">
        <v>2080</v>
      </c>
      <c r="L879" s="746">
        <f>L875*0.75</f>
        <v>2272.25</v>
      </c>
      <c r="M879" s="733"/>
      <c r="N879" s="189"/>
      <c r="O879" s="743" t="b">
        <v>1</v>
      </c>
    </row>
    <row r="880">
      <c r="A880" s="734"/>
      <c r="B880" s="735"/>
      <c r="C880" s="735"/>
      <c r="D880" s="734"/>
      <c r="E880" s="749"/>
      <c r="F880" s="750"/>
      <c r="G880" s="749"/>
      <c r="H880" s="749"/>
      <c r="I880" s="751"/>
      <c r="J880" s="752"/>
      <c r="K880" s="752"/>
      <c r="L880" s="752"/>
      <c r="M880" s="751"/>
      <c r="N880" s="752"/>
      <c r="O880" s="753"/>
    </row>
    <row r="881">
      <c r="A881" s="754" t="s">
        <v>126</v>
      </c>
      <c r="B881" s="755" t="s">
        <v>3286</v>
      </c>
      <c r="C881" s="36"/>
      <c r="D881" s="36"/>
      <c r="E881" s="36"/>
      <c r="F881" s="36"/>
      <c r="G881" s="754" t="s">
        <v>95</v>
      </c>
      <c r="H881" s="756">
        <f>MEDIAN(H883:H885)</f>
        <v>2989</v>
      </c>
      <c r="I881" s="757"/>
      <c r="J881" s="758" t="s">
        <v>2053</v>
      </c>
      <c r="K881" s="731" t="s">
        <v>2054</v>
      </c>
      <c r="L881" s="759">
        <f>AVERAGE(H883:H885)</f>
        <v>2829.666667</v>
      </c>
      <c r="M881" s="733"/>
      <c r="N881" s="760" t="s">
        <v>2055</v>
      </c>
      <c r="O881" s="454"/>
    </row>
    <row r="882">
      <c r="A882" s="727" t="s">
        <v>1717</v>
      </c>
      <c r="B882" s="728" t="s">
        <v>2056</v>
      </c>
      <c r="C882" s="728" t="s">
        <v>2057</v>
      </c>
      <c r="D882" s="727" t="s">
        <v>2058</v>
      </c>
      <c r="E882" s="727" t="s">
        <v>2059</v>
      </c>
      <c r="F882" s="729" t="s">
        <v>1537</v>
      </c>
      <c r="G882" s="727" t="s">
        <v>2060</v>
      </c>
      <c r="H882" s="727" t="s">
        <v>2061</v>
      </c>
      <c r="I882" s="730" t="s">
        <v>2062</v>
      </c>
      <c r="J882" s="301"/>
      <c r="K882" s="731" t="s">
        <v>2063</v>
      </c>
      <c r="L882" s="732">
        <f>STDEV(H883:H885)</f>
        <v>470.6807127</v>
      </c>
      <c r="M882" s="733"/>
      <c r="N882" s="189"/>
      <c r="O882" s="454"/>
    </row>
    <row r="883">
      <c r="A883" s="734"/>
      <c r="B883" s="735" t="s">
        <v>2174</v>
      </c>
      <c r="C883" s="744" t="s">
        <v>3282</v>
      </c>
      <c r="D883" s="734" t="s">
        <v>3283</v>
      </c>
      <c r="E883" s="763" t="s">
        <v>2529</v>
      </c>
      <c r="F883" s="805"/>
      <c r="G883" s="736" t="s">
        <v>1757</v>
      </c>
      <c r="H883" s="739">
        <v>2989.0</v>
      </c>
      <c r="I883" s="811"/>
      <c r="J883" s="301"/>
      <c r="K883" s="731" t="s">
        <v>2070</v>
      </c>
      <c r="L883" s="741">
        <f>L882/L881</f>
        <v>0.1663378653</v>
      </c>
      <c r="M883" s="733"/>
      <c r="N883" s="742" t="str">
        <f>IF(L883&lt;25%,"Não","Sim - proceder verificação ao lado")</f>
        <v>Não</v>
      </c>
      <c r="O883" s="743" t="b">
        <v>1</v>
      </c>
    </row>
    <row r="884">
      <c r="A884" s="734"/>
      <c r="B884" s="735" t="s">
        <v>2174</v>
      </c>
      <c r="C884" s="735" t="s">
        <v>3284</v>
      </c>
      <c r="D884" s="734" t="s">
        <v>3285</v>
      </c>
      <c r="E884" s="763" t="s">
        <v>2113</v>
      </c>
      <c r="F884" s="805"/>
      <c r="G884" s="736" t="s">
        <v>1757</v>
      </c>
      <c r="H884" s="739">
        <v>3200.0</v>
      </c>
      <c r="I884" s="812"/>
      <c r="J884" s="301"/>
      <c r="K884" s="731" t="s">
        <v>2075</v>
      </c>
      <c r="L884" s="746">
        <f>L881*1.25</f>
        <v>3537.083333</v>
      </c>
      <c r="M884" s="733"/>
      <c r="N884" s="301"/>
      <c r="O884" s="743" t="b">
        <v>1</v>
      </c>
    </row>
    <row r="885">
      <c r="A885" s="734"/>
      <c r="B885" s="735" t="s">
        <v>2174</v>
      </c>
      <c r="C885" s="735" t="s">
        <v>3223</v>
      </c>
      <c r="D885" s="762" t="s">
        <v>3224</v>
      </c>
      <c r="E885" s="763" t="s">
        <v>2113</v>
      </c>
      <c r="F885" s="805"/>
      <c r="G885" s="736" t="s">
        <v>1757</v>
      </c>
      <c r="H885" s="745">
        <v>2300.0</v>
      </c>
      <c r="I885" s="811"/>
      <c r="J885" s="189"/>
      <c r="K885" s="731" t="s">
        <v>2080</v>
      </c>
      <c r="L885" s="746">
        <f>L881*0.75</f>
        <v>2122.25</v>
      </c>
      <c r="M885" s="733"/>
      <c r="N885" s="189"/>
      <c r="O885" s="743" t="b">
        <v>1</v>
      </c>
    </row>
    <row r="886">
      <c r="A886" s="734"/>
      <c r="B886" s="735"/>
      <c r="C886" s="735"/>
      <c r="D886" s="734"/>
      <c r="E886" s="749"/>
      <c r="F886" s="750"/>
      <c r="G886" s="749"/>
      <c r="H886" s="749"/>
      <c r="I886" s="751"/>
      <c r="J886" s="753"/>
      <c r="K886" s="753"/>
      <c r="L886" s="753"/>
      <c r="M886" s="771"/>
      <c r="N886" s="753"/>
      <c r="O886" s="753"/>
    </row>
    <row r="887">
      <c r="A887" s="808" t="s">
        <v>3287</v>
      </c>
      <c r="B887" s="36"/>
      <c r="C887" s="36"/>
      <c r="D887" s="36"/>
      <c r="E887" s="36"/>
      <c r="F887" s="36"/>
      <c r="G887" s="36"/>
      <c r="H887" s="36"/>
      <c r="I887" s="36"/>
      <c r="J887" s="753"/>
      <c r="K887" s="753"/>
      <c r="L887" s="753"/>
      <c r="M887" s="771"/>
      <c r="N887" s="753"/>
      <c r="O887" s="454"/>
    </row>
    <row r="888">
      <c r="A888" s="734"/>
      <c r="B888" s="735"/>
      <c r="C888" s="735"/>
      <c r="D888" s="734"/>
      <c r="E888" s="749"/>
      <c r="F888" s="750"/>
      <c r="G888" s="749"/>
      <c r="H888" s="749"/>
      <c r="I888" s="751"/>
      <c r="J888" s="752"/>
      <c r="K888" s="752"/>
      <c r="L888" s="752"/>
      <c r="M888" s="751"/>
      <c r="N888" s="752"/>
      <c r="O888" s="454"/>
    </row>
    <row r="889">
      <c r="A889" s="837" t="s">
        <v>1739</v>
      </c>
      <c r="B889" s="838" t="s">
        <v>3288</v>
      </c>
      <c r="C889" s="36"/>
      <c r="D889" s="36"/>
      <c r="E889" s="36"/>
      <c r="F889" s="36"/>
      <c r="G889" s="839" t="s">
        <v>1757</v>
      </c>
      <c r="H889" s="756">
        <f>MEDIAN(H891:H893)</f>
        <v>31.92</v>
      </c>
      <c r="I889" s="840" t="s">
        <v>2230</v>
      </c>
      <c r="J889" s="758" t="s">
        <v>2053</v>
      </c>
      <c r="K889" s="731" t="s">
        <v>2054</v>
      </c>
      <c r="L889" s="759">
        <f>AVERAGE(H891:H893)</f>
        <v>32.28666667</v>
      </c>
      <c r="M889" s="733"/>
      <c r="N889" s="760" t="s">
        <v>2055</v>
      </c>
    </row>
    <row r="890">
      <c r="A890" s="727" t="s">
        <v>1717</v>
      </c>
      <c r="B890" s="728" t="s">
        <v>2056</v>
      </c>
      <c r="C890" s="728" t="s">
        <v>2057</v>
      </c>
      <c r="D890" s="727" t="s">
        <v>2058</v>
      </c>
      <c r="E890" s="727" t="s">
        <v>2059</v>
      </c>
      <c r="F890" s="729" t="s">
        <v>1537</v>
      </c>
      <c r="G890" s="727" t="s">
        <v>2060</v>
      </c>
      <c r="H890" s="727" t="s">
        <v>2061</v>
      </c>
      <c r="I890" s="841" t="s">
        <v>2062</v>
      </c>
      <c r="J890" s="301"/>
      <c r="K890" s="731" t="s">
        <v>2063</v>
      </c>
      <c r="L890" s="732">
        <f>STDEV(H891:H893)</f>
        <v>3.394883405</v>
      </c>
      <c r="M890" s="733"/>
      <c r="N890" s="189"/>
    </row>
    <row r="891">
      <c r="A891" s="734"/>
      <c r="B891" s="735" t="s">
        <v>2064</v>
      </c>
      <c r="C891" s="744" t="s">
        <v>3289</v>
      </c>
      <c r="D891" s="736" t="s">
        <v>3290</v>
      </c>
      <c r="E891" s="763" t="s">
        <v>2709</v>
      </c>
      <c r="F891" s="779" t="s">
        <v>3291</v>
      </c>
      <c r="G891" s="736" t="s">
        <v>1757</v>
      </c>
      <c r="H891" s="739">
        <v>29.09</v>
      </c>
      <c r="I891" s="775" t="s">
        <v>3292</v>
      </c>
      <c r="J891" s="301"/>
      <c r="K891" s="731" t="s">
        <v>2070</v>
      </c>
      <c r="L891" s="741">
        <f>L890/L889</f>
        <v>0.1051481542</v>
      </c>
      <c r="M891" s="733"/>
      <c r="N891" s="742" t="str">
        <f>IF(L891&lt;25%,"Não","Sim - proceder verificação ao lado")</f>
        <v>Não</v>
      </c>
      <c r="O891" s="743" t="b">
        <v>1</v>
      </c>
    </row>
    <row r="892">
      <c r="A892" s="736" t="s">
        <v>2230</v>
      </c>
      <c r="B892" s="735" t="s">
        <v>2064</v>
      </c>
      <c r="C892" s="767" t="s">
        <v>3293</v>
      </c>
      <c r="D892" s="777" t="s">
        <v>3034</v>
      </c>
      <c r="E892" s="763" t="s">
        <v>2709</v>
      </c>
      <c r="F892" s="764" t="s">
        <v>3294</v>
      </c>
      <c r="G892" s="736" t="s">
        <v>1757</v>
      </c>
      <c r="H892" s="745">
        <v>35.85</v>
      </c>
      <c r="I892" s="776" t="s">
        <v>3295</v>
      </c>
      <c r="J892" s="301"/>
      <c r="K892" s="731" t="s">
        <v>2075</v>
      </c>
      <c r="L892" s="746">
        <f>L889*1.25</f>
        <v>40.35833333</v>
      </c>
      <c r="M892" s="733"/>
      <c r="N892" s="301"/>
      <c r="O892" s="743" t="b">
        <v>1</v>
      </c>
    </row>
    <row r="893">
      <c r="A893" s="736" t="s">
        <v>2230</v>
      </c>
      <c r="B893" s="735" t="s">
        <v>2064</v>
      </c>
      <c r="C893" s="744" t="s">
        <v>3296</v>
      </c>
      <c r="D893" s="736" t="s">
        <v>3297</v>
      </c>
      <c r="E893" s="763" t="s">
        <v>2709</v>
      </c>
      <c r="F893" s="779" t="s">
        <v>3298</v>
      </c>
      <c r="G893" s="736" t="s">
        <v>1757</v>
      </c>
      <c r="H893" s="745">
        <v>31.92</v>
      </c>
      <c r="I893" s="775" t="s">
        <v>3299</v>
      </c>
      <c r="J893" s="189"/>
      <c r="K893" s="731" t="s">
        <v>2080</v>
      </c>
      <c r="L893" s="746">
        <f>L889*0.75</f>
        <v>24.215</v>
      </c>
      <c r="M893" s="733"/>
      <c r="N893" s="189"/>
      <c r="O893" s="743" t="b">
        <v>1</v>
      </c>
    </row>
    <row r="894">
      <c r="A894" s="736"/>
      <c r="B894" s="744"/>
      <c r="C894" s="744"/>
      <c r="D894" s="736"/>
      <c r="E894" s="736"/>
      <c r="F894" s="779"/>
      <c r="G894" s="736"/>
      <c r="H894" s="736"/>
      <c r="I894" s="824"/>
      <c r="J894" s="752"/>
      <c r="K894" s="752"/>
      <c r="L894" s="752"/>
      <c r="M894" s="751"/>
      <c r="N894" s="752"/>
      <c r="O894" s="454"/>
    </row>
    <row r="895">
      <c r="A895" s="837" t="s">
        <v>1276</v>
      </c>
      <c r="B895" s="838" t="s">
        <v>3300</v>
      </c>
      <c r="C895" s="36"/>
      <c r="D895" s="36"/>
      <c r="E895" s="36"/>
      <c r="F895" s="36"/>
      <c r="G895" s="839" t="s">
        <v>1757</v>
      </c>
      <c r="H895" s="756">
        <f>MEDIAN(H897:H899)</f>
        <v>41.99</v>
      </c>
      <c r="I895" s="840" t="s">
        <v>2230</v>
      </c>
      <c r="J895" s="758" t="s">
        <v>2053</v>
      </c>
      <c r="K895" s="731" t="s">
        <v>2054</v>
      </c>
      <c r="L895" s="759">
        <f>AVERAGE(H897:H899)</f>
        <v>44.96333333</v>
      </c>
      <c r="M895" s="733"/>
      <c r="N895" s="760" t="s">
        <v>2055</v>
      </c>
    </row>
    <row r="896">
      <c r="A896" s="727" t="s">
        <v>1717</v>
      </c>
      <c r="B896" s="728" t="s">
        <v>2056</v>
      </c>
      <c r="C896" s="728" t="s">
        <v>2057</v>
      </c>
      <c r="D896" s="727" t="s">
        <v>2058</v>
      </c>
      <c r="E896" s="727" t="s">
        <v>2059</v>
      </c>
      <c r="F896" s="729" t="s">
        <v>1537</v>
      </c>
      <c r="G896" s="727" t="s">
        <v>2060</v>
      </c>
      <c r="H896" s="727" t="s">
        <v>2061</v>
      </c>
      <c r="I896" s="841" t="s">
        <v>2062</v>
      </c>
      <c r="J896" s="301"/>
      <c r="K896" s="731" t="s">
        <v>2063</v>
      </c>
      <c r="L896" s="732">
        <f>STDEV(H897:H899)</f>
        <v>8.071742893</v>
      </c>
      <c r="M896" s="733"/>
      <c r="N896" s="189"/>
    </row>
    <row r="897">
      <c r="A897" s="734"/>
      <c r="B897" s="735" t="s">
        <v>2064</v>
      </c>
      <c r="C897" s="767" t="s">
        <v>3077</v>
      </c>
      <c r="D897" s="777" t="s">
        <v>2642</v>
      </c>
      <c r="E897" s="763" t="s">
        <v>2709</v>
      </c>
      <c r="F897" s="764" t="s">
        <v>3301</v>
      </c>
      <c r="G897" s="736" t="s">
        <v>1757</v>
      </c>
      <c r="H897" s="745">
        <v>41.99</v>
      </c>
      <c r="I897" s="842" t="s">
        <v>3302</v>
      </c>
      <c r="J897" s="301"/>
      <c r="K897" s="731" t="s">
        <v>2070</v>
      </c>
      <c r="L897" s="741">
        <f>L896/L895</f>
        <v>0.1795183385</v>
      </c>
      <c r="M897" s="733"/>
      <c r="N897" s="742" t="str">
        <f>IF(L897&lt;25%,"Não","Sim - proceder verificação ao lado")</f>
        <v>Não</v>
      </c>
      <c r="O897" s="743" t="b">
        <v>1</v>
      </c>
    </row>
    <row r="898">
      <c r="A898" s="736" t="s">
        <v>2230</v>
      </c>
      <c r="B898" s="735" t="s">
        <v>2064</v>
      </c>
      <c r="C898" s="744" t="s">
        <v>3039</v>
      </c>
      <c r="D898" s="736" t="s">
        <v>3303</v>
      </c>
      <c r="E898" s="763" t="s">
        <v>2709</v>
      </c>
      <c r="F898" s="779" t="s">
        <v>3304</v>
      </c>
      <c r="G898" s="736" t="s">
        <v>1757</v>
      </c>
      <c r="H898" s="739">
        <v>38.8</v>
      </c>
      <c r="I898" s="775" t="s">
        <v>3305</v>
      </c>
      <c r="J898" s="301"/>
      <c r="K898" s="731" t="s">
        <v>2075</v>
      </c>
      <c r="L898" s="746">
        <f>L895*1.25</f>
        <v>56.20416667</v>
      </c>
      <c r="M898" s="733"/>
      <c r="N898" s="301"/>
      <c r="O898" s="743" t="b">
        <v>1</v>
      </c>
    </row>
    <row r="899">
      <c r="A899" s="736" t="s">
        <v>2230</v>
      </c>
      <c r="B899" s="735" t="s">
        <v>2064</v>
      </c>
      <c r="C899" s="744" t="s">
        <v>3306</v>
      </c>
      <c r="D899" s="736" t="s">
        <v>3307</v>
      </c>
      <c r="E899" s="763" t="s">
        <v>2709</v>
      </c>
      <c r="F899" s="779" t="s">
        <v>3308</v>
      </c>
      <c r="G899" s="736" t="s">
        <v>1757</v>
      </c>
      <c r="H899" s="739">
        <v>54.1</v>
      </c>
      <c r="I899" s="775" t="s">
        <v>3309</v>
      </c>
      <c r="J899" s="189"/>
      <c r="K899" s="731" t="s">
        <v>2080</v>
      </c>
      <c r="L899" s="746">
        <f>L895*0.75</f>
        <v>33.7225</v>
      </c>
      <c r="M899" s="733"/>
      <c r="N899" s="189"/>
      <c r="O899" s="743" t="b">
        <v>1</v>
      </c>
    </row>
    <row r="900">
      <c r="A900" s="736"/>
      <c r="B900" s="744"/>
      <c r="C900" s="744"/>
      <c r="D900" s="736"/>
      <c r="E900" s="736"/>
      <c r="F900" s="779"/>
      <c r="G900" s="736"/>
      <c r="H900" s="736"/>
      <c r="I900" s="824"/>
      <c r="J900" s="752"/>
      <c r="K900" s="752"/>
      <c r="L900" s="752"/>
      <c r="M900" s="751"/>
      <c r="N900" s="752"/>
      <c r="O900" s="753"/>
    </row>
    <row r="901">
      <c r="A901" s="837" t="s">
        <v>1741</v>
      </c>
      <c r="B901" s="838" t="s">
        <v>3310</v>
      </c>
      <c r="C901" s="36"/>
      <c r="D901" s="36"/>
      <c r="E901" s="36"/>
      <c r="F901" s="36"/>
      <c r="G901" s="839" t="s">
        <v>1731</v>
      </c>
      <c r="H901" s="756">
        <f>MEDIAN(H903:H905)</f>
        <v>2.65</v>
      </c>
      <c r="I901" s="840" t="s">
        <v>2230</v>
      </c>
      <c r="J901" s="758" t="s">
        <v>2053</v>
      </c>
      <c r="K901" s="731" t="s">
        <v>2054</v>
      </c>
      <c r="L901" s="759">
        <f>AVERAGE(H903:H905)</f>
        <v>2.593333333</v>
      </c>
      <c r="M901" s="733"/>
      <c r="N901" s="760" t="s">
        <v>2055</v>
      </c>
      <c r="O901" s="454"/>
    </row>
    <row r="902">
      <c r="A902" s="727" t="s">
        <v>1717</v>
      </c>
      <c r="B902" s="728" t="s">
        <v>2056</v>
      </c>
      <c r="C902" s="728" t="s">
        <v>2057</v>
      </c>
      <c r="D902" s="727" t="s">
        <v>2058</v>
      </c>
      <c r="E902" s="727" t="s">
        <v>2059</v>
      </c>
      <c r="F902" s="729" t="s">
        <v>1537</v>
      </c>
      <c r="G902" s="727" t="s">
        <v>2060</v>
      </c>
      <c r="H902" s="727" t="s">
        <v>2061</v>
      </c>
      <c r="I902" s="841" t="s">
        <v>2062</v>
      </c>
      <c r="J902" s="301"/>
      <c r="K902" s="731" t="s">
        <v>2063</v>
      </c>
      <c r="L902" s="732">
        <f>STDEV(H903:H905)</f>
        <v>0.1721433511</v>
      </c>
      <c r="M902" s="733"/>
      <c r="N902" s="189"/>
      <c r="O902" s="454"/>
    </row>
    <row r="903">
      <c r="A903" s="736" t="s">
        <v>2230</v>
      </c>
      <c r="B903" s="735" t="s">
        <v>2064</v>
      </c>
      <c r="C903" s="744" t="s">
        <v>3311</v>
      </c>
      <c r="D903" s="736" t="s">
        <v>3312</v>
      </c>
      <c r="E903" s="763" t="s">
        <v>2709</v>
      </c>
      <c r="F903" s="779" t="s">
        <v>3313</v>
      </c>
      <c r="G903" s="736" t="s">
        <v>1731</v>
      </c>
      <c r="H903" s="739">
        <v>2.4</v>
      </c>
      <c r="I903" s="775" t="s">
        <v>3314</v>
      </c>
      <c r="J903" s="301"/>
      <c r="K903" s="731" t="s">
        <v>2070</v>
      </c>
      <c r="L903" s="741">
        <f>L902/L901</f>
        <v>0.06637918423</v>
      </c>
      <c r="M903" s="733"/>
      <c r="N903" s="742" t="str">
        <f>IF(L903&lt;25%,"Não","Sim - proceder verificação ao lado")</f>
        <v>Não</v>
      </c>
      <c r="O903" s="743" t="b">
        <v>1</v>
      </c>
    </row>
    <row r="904">
      <c r="A904" s="736" t="s">
        <v>2230</v>
      </c>
      <c r="B904" s="735" t="s">
        <v>2064</v>
      </c>
      <c r="C904" s="747" t="s">
        <v>2276</v>
      </c>
      <c r="D904" s="802" t="s">
        <v>2134</v>
      </c>
      <c r="E904" s="763" t="s">
        <v>2709</v>
      </c>
      <c r="F904" s="779" t="s">
        <v>3315</v>
      </c>
      <c r="G904" s="736" t="s">
        <v>1731</v>
      </c>
      <c r="H904" s="745">
        <v>2.73</v>
      </c>
      <c r="I904" s="775" t="s">
        <v>3316</v>
      </c>
      <c r="J904" s="301"/>
      <c r="K904" s="731" t="s">
        <v>2075</v>
      </c>
      <c r="L904" s="746">
        <f>L901*1.25</f>
        <v>3.241666667</v>
      </c>
      <c r="M904" s="733"/>
      <c r="N904" s="301"/>
      <c r="O904" s="743" t="b">
        <v>1</v>
      </c>
    </row>
    <row r="905">
      <c r="A905" s="736" t="s">
        <v>2230</v>
      </c>
      <c r="B905" s="735" t="s">
        <v>2064</v>
      </c>
      <c r="C905" s="744" t="s">
        <v>2617</v>
      </c>
      <c r="D905" s="736" t="s">
        <v>2150</v>
      </c>
      <c r="E905" s="763" t="s">
        <v>2709</v>
      </c>
      <c r="F905" s="764" t="s">
        <v>3317</v>
      </c>
      <c r="G905" s="736" t="s">
        <v>1731</v>
      </c>
      <c r="H905" s="745">
        <v>2.65</v>
      </c>
      <c r="I905" s="786" t="s">
        <v>3318</v>
      </c>
      <c r="J905" s="189"/>
      <c r="K905" s="731" t="s">
        <v>2080</v>
      </c>
      <c r="L905" s="746">
        <f>L901*0.75</f>
        <v>1.945</v>
      </c>
      <c r="M905" s="733"/>
      <c r="N905" s="189"/>
      <c r="O905" s="743" t="b">
        <v>1</v>
      </c>
    </row>
    <row r="906">
      <c r="A906" s="736"/>
      <c r="B906" s="744"/>
      <c r="C906" s="744"/>
      <c r="D906" s="736"/>
      <c r="E906" s="736"/>
      <c r="F906" s="779"/>
      <c r="G906" s="736"/>
      <c r="H906" s="736"/>
      <c r="I906" s="824"/>
      <c r="J906" s="752"/>
      <c r="K906" s="752"/>
      <c r="L906" s="752"/>
      <c r="M906" s="751"/>
      <c r="N906" s="752"/>
      <c r="O906" s="753"/>
    </row>
    <row r="907">
      <c r="A907" s="837" t="s">
        <v>1742</v>
      </c>
      <c r="B907" s="838" t="s">
        <v>3319</v>
      </c>
      <c r="C907" s="36"/>
      <c r="D907" s="36"/>
      <c r="E907" s="36"/>
      <c r="F907" s="36"/>
      <c r="G907" s="839" t="s">
        <v>1757</v>
      </c>
      <c r="H907" s="756">
        <f>MEDIAN(H909:H911)</f>
        <v>0.89</v>
      </c>
      <c r="I907" s="840" t="s">
        <v>2230</v>
      </c>
      <c r="J907" s="758" t="s">
        <v>2053</v>
      </c>
      <c r="K907" s="731" t="s">
        <v>2054</v>
      </c>
      <c r="L907" s="759">
        <f>AVERAGE(H909:H911)</f>
        <v>0.8866666667</v>
      </c>
      <c r="M907" s="733"/>
      <c r="N907" s="760" t="s">
        <v>2055</v>
      </c>
      <c r="O907" s="454"/>
    </row>
    <row r="908">
      <c r="A908" s="727" t="s">
        <v>1717</v>
      </c>
      <c r="B908" s="728" t="s">
        <v>2056</v>
      </c>
      <c r="C908" s="728" t="s">
        <v>2057</v>
      </c>
      <c r="D908" s="727" t="s">
        <v>2058</v>
      </c>
      <c r="E908" s="727" t="s">
        <v>2059</v>
      </c>
      <c r="F908" s="729" t="s">
        <v>1537</v>
      </c>
      <c r="G908" s="727" t="s">
        <v>2060</v>
      </c>
      <c r="H908" s="727" t="s">
        <v>2061</v>
      </c>
      <c r="I908" s="841" t="s">
        <v>2062</v>
      </c>
      <c r="J908" s="301"/>
      <c r="K908" s="731" t="s">
        <v>2063</v>
      </c>
      <c r="L908" s="732">
        <f>STDEV(H909:H911)</f>
        <v>0.02516611478</v>
      </c>
      <c r="M908" s="733"/>
      <c r="N908" s="189"/>
      <c r="O908" s="454"/>
    </row>
    <row r="909">
      <c r="A909" s="734"/>
      <c r="B909" s="735" t="s">
        <v>2064</v>
      </c>
      <c r="C909" s="767" t="s">
        <v>2126</v>
      </c>
      <c r="D909" s="777" t="s">
        <v>2281</v>
      </c>
      <c r="E909" s="763" t="s">
        <v>2709</v>
      </c>
      <c r="F909" s="764" t="s">
        <v>3320</v>
      </c>
      <c r="G909" s="736" t="s">
        <v>1757</v>
      </c>
      <c r="H909" s="745">
        <v>0.86</v>
      </c>
      <c r="I909" s="842" t="s">
        <v>3321</v>
      </c>
      <c r="J909" s="301"/>
      <c r="K909" s="731" t="s">
        <v>2070</v>
      </c>
      <c r="L909" s="741">
        <f>L908/L907</f>
        <v>0.02838283622</v>
      </c>
      <c r="M909" s="733"/>
      <c r="N909" s="742" t="str">
        <f>IF(L909&lt;25%,"Não","Sim - proceder verificação ao lado")</f>
        <v>Não</v>
      </c>
      <c r="O909" s="743" t="b">
        <v>1</v>
      </c>
    </row>
    <row r="910">
      <c r="A910" s="736" t="s">
        <v>2230</v>
      </c>
      <c r="B910" s="735" t="s">
        <v>2064</v>
      </c>
      <c r="C910" s="744" t="s">
        <v>2240</v>
      </c>
      <c r="D910" s="736" t="s">
        <v>2241</v>
      </c>
      <c r="E910" s="763" t="s">
        <v>2709</v>
      </c>
      <c r="F910" s="779" t="s">
        <v>3322</v>
      </c>
      <c r="G910" s="736" t="s">
        <v>1757</v>
      </c>
      <c r="H910" s="745">
        <v>0.89</v>
      </c>
      <c r="I910" s="786" t="s">
        <v>3323</v>
      </c>
      <c r="J910" s="301"/>
      <c r="K910" s="731" t="s">
        <v>2075</v>
      </c>
      <c r="L910" s="746">
        <f>L907*1.25</f>
        <v>1.108333333</v>
      </c>
      <c r="M910" s="733"/>
      <c r="N910" s="301"/>
      <c r="O910" s="743" t="b">
        <v>1</v>
      </c>
    </row>
    <row r="911">
      <c r="A911" s="736" t="s">
        <v>2230</v>
      </c>
      <c r="B911" s="735" t="s">
        <v>2064</v>
      </c>
      <c r="C911" s="744" t="s">
        <v>3324</v>
      </c>
      <c r="D911" s="736" t="s">
        <v>3325</v>
      </c>
      <c r="E911" s="763" t="s">
        <v>2709</v>
      </c>
      <c r="F911" s="779" t="s">
        <v>3326</v>
      </c>
      <c r="G911" s="736" t="s">
        <v>1757</v>
      </c>
      <c r="H911" s="739">
        <v>0.91</v>
      </c>
      <c r="I911" s="786" t="s">
        <v>3327</v>
      </c>
      <c r="J911" s="189"/>
      <c r="K911" s="731" t="s">
        <v>2080</v>
      </c>
      <c r="L911" s="746">
        <f>L907*0.75</f>
        <v>0.665</v>
      </c>
      <c r="M911" s="733"/>
      <c r="N911" s="189"/>
      <c r="O911" s="743" t="b">
        <v>1</v>
      </c>
    </row>
    <row r="912">
      <c r="A912" s="736"/>
      <c r="B912" s="744"/>
      <c r="C912" s="744"/>
      <c r="D912" s="736"/>
      <c r="E912" s="736"/>
      <c r="F912" s="779"/>
      <c r="G912" s="736"/>
      <c r="H912" s="736"/>
      <c r="I912" s="824"/>
      <c r="J912" s="752"/>
      <c r="K912" s="752"/>
      <c r="L912" s="752"/>
      <c r="M912" s="751"/>
      <c r="N912" s="752"/>
      <c r="O912" s="753"/>
    </row>
    <row r="913">
      <c r="A913" s="837" t="s">
        <v>1160</v>
      </c>
      <c r="B913" s="838" t="s">
        <v>3328</v>
      </c>
      <c r="C913" s="36"/>
      <c r="D913" s="36"/>
      <c r="E913" s="36"/>
      <c r="F913" s="36"/>
      <c r="G913" s="839" t="s">
        <v>1757</v>
      </c>
      <c r="H913" s="756">
        <f>MEDIAN(H915:H917)</f>
        <v>0.09</v>
      </c>
      <c r="I913" s="840" t="s">
        <v>2230</v>
      </c>
      <c r="J913" s="758" t="s">
        <v>2053</v>
      </c>
      <c r="K913" s="731" t="s">
        <v>2054</v>
      </c>
      <c r="L913" s="759">
        <f>AVERAGE(H915:H917)</f>
        <v>0.08666666667</v>
      </c>
      <c r="M913" s="733"/>
      <c r="N913" s="760" t="s">
        <v>2055</v>
      </c>
      <c r="O913" s="454"/>
    </row>
    <row r="914">
      <c r="A914" s="727" t="s">
        <v>1717</v>
      </c>
      <c r="B914" s="728" t="s">
        <v>2056</v>
      </c>
      <c r="C914" s="728" t="s">
        <v>2057</v>
      </c>
      <c r="D914" s="727" t="s">
        <v>2058</v>
      </c>
      <c r="E914" s="727" t="s">
        <v>2059</v>
      </c>
      <c r="F914" s="729" t="s">
        <v>1537</v>
      </c>
      <c r="G914" s="727" t="s">
        <v>2060</v>
      </c>
      <c r="H914" s="727" t="s">
        <v>2061</v>
      </c>
      <c r="I914" s="841" t="s">
        <v>2062</v>
      </c>
      <c r="J914" s="301"/>
      <c r="K914" s="731" t="s">
        <v>2063</v>
      </c>
      <c r="L914" s="732">
        <f>STDEV(H915:H917)</f>
        <v>0.005773502692</v>
      </c>
      <c r="M914" s="733"/>
      <c r="N914" s="189"/>
      <c r="O914" s="454"/>
    </row>
    <row r="915">
      <c r="A915" s="734"/>
      <c r="B915" s="735" t="s">
        <v>2064</v>
      </c>
      <c r="C915" s="744" t="s">
        <v>3329</v>
      </c>
      <c r="D915" s="736" t="s">
        <v>3330</v>
      </c>
      <c r="E915" s="763" t="s">
        <v>2709</v>
      </c>
      <c r="F915" s="779" t="s">
        <v>3331</v>
      </c>
      <c r="G915" s="736" t="s">
        <v>1757</v>
      </c>
      <c r="H915" s="739">
        <v>0.08</v>
      </c>
      <c r="I915" s="786" t="s">
        <v>3332</v>
      </c>
      <c r="J915" s="301"/>
      <c r="K915" s="731" t="s">
        <v>2070</v>
      </c>
      <c r="L915" s="741">
        <f>L914/L913</f>
        <v>0.06661733875</v>
      </c>
      <c r="M915" s="733"/>
      <c r="N915" s="742" t="str">
        <f>IF(L915&lt;25%,"Não","Sim - proceder verificação ao lado")</f>
        <v>Não</v>
      </c>
      <c r="O915" s="743" t="b">
        <v>1</v>
      </c>
    </row>
    <row r="916">
      <c r="A916" s="736" t="s">
        <v>2230</v>
      </c>
      <c r="B916" s="735" t="s">
        <v>2064</v>
      </c>
      <c r="C916" s="744" t="s">
        <v>3333</v>
      </c>
      <c r="D916" s="736" t="s">
        <v>3334</v>
      </c>
      <c r="E916" s="763" t="s">
        <v>2709</v>
      </c>
      <c r="F916" s="779" t="s">
        <v>3335</v>
      </c>
      <c r="G916" s="736" t="s">
        <v>1757</v>
      </c>
      <c r="H916" s="739">
        <v>0.09</v>
      </c>
      <c r="I916" s="775" t="s">
        <v>3336</v>
      </c>
      <c r="J916" s="301"/>
      <c r="K916" s="731" t="s">
        <v>2075</v>
      </c>
      <c r="L916" s="746">
        <f>L913*1.25</f>
        <v>0.1083333333</v>
      </c>
      <c r="M916" s="733"/>
      <c r="N916" s="301"/>
      <c r="O916" s="743" t="b">
        <v>1</v>
      </c>
    </row>
    <row r="917">
      <c r="A917" s="736" t="s">
        <v>2230</v>
      </c>
      <c r="B917" s="735" t="s">
        <v>2064</v>
      </c>
      <c r="C917" s="744" t="s">
        <v>3337</v>
      </c>
      <c r="D917" s="736" t="s">
        <v>2319</v>
      </c>
      <c r="E917" s="763" t="s">
        <v>2709</v>
      </c>
      <c r="F917" s="779" t="s">
        <v>3338</v>
      </c>
      <c r="G917" s="736" t="s">
        <v>1757</v>
      </c>
      <c r="H917" s="739">
        <v>0.09</v>
      </c>
      <c r="I917" s="775" t="s">
        <v>3339</v>
      </c>
      <c r="J917" s="189"/>
      <c r="K917" s="731" t="s">
        <v>2080</v>
      </c>
      <c r="L917" s="746">
        <f>L913*0.75</f>
        <v>0.065</v>
      </c>
      <c r="M917" s="733"/>
      <c r="N917" s="189"/>
      <c r="O917" s="743" t="b">
        <v>1</v>
      </c>
    </row>
    <row r="918">
      <c r="A918" s="736"/>
      <c r="B918" s="744"/>
      <c r="C918" s="744"/>
      <c r="D918" s="736"/>
      <c r="E918" s="736"/>
      <c r="F918" s="779"/>
      <c r="G918" s="736"/>
      <c r="H918" s="736"/>
      <c r="I918" s="824"/>
      <c r="J918" s="752"/>
      <c r="K918" s="752"/>
      <c r="L918" s="752"/>
      <c r="M918" s="751"/>
      <c r="N918" s="752"/>
      <c r="O918" s="753"/>
    </row>
    <row r="919">
      <c r="A919" s="837" t="s">
        <v>3340</v>
      </c>
      <c r="B919" s="838" t="s">
        <v>3341</v>
      </c>
      <c r="C919" s="36"/>
      <c r="D919" s="36"/>
      <c r="E919" s="36"/>
      <c r="F919" s="36"/>
      <c r="G919" s="839" t="s">
        <v>1757</v>
      </c>
      <c r="H919" s="756">
        <f>MEDIAN(H921:H923)</f>
        <v>0.23</v>
      </c>
      <c r="I919" s="840" t="s">
        <v>2230</v>
      </c>
      <c r="J919" s="758" t="s">
        <v>2053</v>
      </c>
      <c r="K919" s="731" t="s">
        <v>2054</v>
      </c>
      <c r="L919" s="759">
        <f>AVERAGE(H921:H923)</f>
        <v>0.24</v>
      </c>
      <c r="M919" s="733"/>
      <c r="N919" s="760" t="s">
        <v>2055</v>
      </c>
      <c r="O919" s="454"/>
    </row>
    <row r="920">
      <c r="A920" s="727" t="s">
        <v>1717</v>
      </c>
      <c r="B920" s="728" t="s">
        <v>2056</v>
      </c>
      <c r="C920" s="728" t="s">
        <v>2057</v>
      </c>
      <c r="D920" s="727" t="s">
        <v>2058</v>
      </c>
      <c r="E920" s="727" t="s">
        <v>2059</v>
      </c>
      <c r="F920" s="729" t="s">
        <v>1537</v>
      </c>
      <c r="G920" s="727" t="s">
        <v>2060</v>
      </c>
      <c r="H920" s="727" t="s">
        <v>2061</v>
      </c>
      <c r="I920" s="841" t="s">
        <v>2062</v>
      </c>
      <c r="J920" s="301"/>
      <c r="K920" s="731" t="s">
        <v>2063</v>
      </c>
      <c r="L920" s="732">
        <f>STDEV(H921:H923)</f>
        <v>0.02645751311</v>
      </c>
      <c r="M920" s="733"/>
      <c r="N920" s="189"/>
      <c r="O920" s="454"/>
    </row>
    <row r="921">
      <c r="A921" s="734"/>
      <c r="B921" s="735" t="s">
        <v>2064</v>
      </c>
      <c r="C921" s="767" t="s">
        <v>2126</v>
      </c>
      <c r="D921" s="777" t="s">
        <v>2281</v>
      </c>
      <c r="E921" s="763" t="s">
        <v>2709</v>
      </c>
      <c r="F921" s="764" t="s">
        <v>3342</v>
      </c>
      <c r="G921" s="736" t="s">
        <v>1757</v>
      </c>
      <c r="H921" s="745">
        <v>0.22</v>
      </c>
      <c r="I921" s="842" t="s">
        <v>3343</v>
      </c>
      <c r="J921" s="301"/>
      <c r="K921" s="731" t="s">
        <v>2070</v>
      </c>
      <c r="L921" s="741">
        <f>L920/L919</f>
        <v>0.110239638</v>
      </c>
      <c r="M921" s="733"/>
      <c r="N921" s="742" t="str">
        <f>IF(L921&lt;25%,"Não","Sim - proceder verificação ao lado")</f>
        <v>Não</v>
      </c>
      <c r="O921" s="743" t="b">
        <v>1</v>
      </c>
    </row>
    <row r="922">
      <c r="A922" s="736" t="s">
        <v>2230</v>
      </c>
      <c r="B922" s="735" t="s">
        <v>2064</v>
      </c>
      <c r="C922" s="744" t="s">
        <v>3329</v>
      </c>
      <c r="D922" s="736" t="s">
        <v>3330</v>
      </c>
      <c r="E922" s="763" t="s">
        <v>2709</v>
      </c>
      <c r="F922" s="764" t="s">
        <v>3344</v>
      </c>
      <c r="G922" s="736" t="s">
        <v>1757</v>
      </c>
      <c r="H922" s="745">
        <v>0.23</v>
      </c>
      <c r="I922" s="776" t="s">
        <v>3345</v>
      </c>
      <c r="J922" s="301"/>
      <c r="K922" s="731" t="s">
        <v>2075</v>
      </c>
      <c r="L922" s="746">
        <f>L919*1.25</f>
        <v>0.3</v>
      </c>
      <c r="M922" s="733"/>
      <c r="N922" s="301"/>
      <c r="O922" s="743" t="b">
        <v>1</v>
      </c>
    </row>
    <row r="923">
      <c r="A923" s="736" t="s">
        <v>2230</v>
      </c>
      <c r="B923" s="735" t="s">
        <v>2064</v>
      </c>
      <c r="C923" s="767" t="s">
        <v>3346</v>
      </c>
      <c r="D923" s="777" t="s">
        <v>2306</v>
      </c>
      <c r="E923" s="763" t="s">
        <v>2709</v>
      </c>
      <c r="F923" s="764" t="s">
        <v>3347</v>
      </c>
      <c r="G923" s="736" t="s">
        <v>1757</v>
      </c>
      <c r="H923" s="745">
        <v>0.27</v>
      </c>
      <c r="I923" s="776" t="s">
        <v>3348</v>
      </c>
      <c r="J923" s="189"/>
      <c r="K923" s="731" t="s">
        <v>2080</v>
      </c>
      <c r="L923" s="746">
        <f>L919*0.75</f>
        <v>0.18</v>
      </c>
      <c r="M923" s="733"/>
      <c r="N923" s="189"/>
      <c r="O923" s="743" t="b">
        <v>1</v>
      </c>
    </row>
    <row r="924">
      <c r="A924" s="736"/>
      <c r="B924" s="744"/>
      <c r="C924" s="744"/>
      <c r="D924" s="736"/>
      <c r="E924" s="736"/>
      <c r="F924" s="779"/>
      <c r="G924" s="736"/>
      <c r="H924" s="739"/>
      <c r="I924" s="824"/>
      <c r="J924" s="752"/>
      <c r="K924" s="752"/>
      <c r="L924" s="752"/>
      <c r="M924" s="751"/>
      <c r="N924" s="752"/>
      <c r="O924" s="753"/>
    </row>
    <row r="925">
      <c r="A925" s="837" t="s">
        <v>3349</v>
      </c>
      <c r="B925" s="838" t="s">
        <v>3350</v>
      </c>
      <c r="C925" s="36"/>
      <c r="D925" s="36"/>
      <c r="E925" s="36"/>
      <c r="F925" s="36"/>
      <c r="G925" s="839" t="s">
        <v>1757</v>
      </c>
      <c r="H925" s="756">
        <f>MEDIAN(H927:H929)</f>
        <v>0.19</v>
      </c>
      <c r="I925" s="840" t="s">
        <v>2230</v>
      </c>
      <c r="J925" s="758" t="s">
        <v>2053</v>
      </c>
      <c r="K925" s="731" t="s">
        <v>2054</v>
      </c>
      <c r="L925" s="759">
        <f>AVERAGE(H927:H929)</f>
        <v>0.1866666667</v>
      </c>
      <c r="M925" s="733"/>
      <c r="N925" s="760" t="s">
        <v>2055</v>
      </c>
      <c r="O925" s="454"/>
    </row>
    <row r="926">
      <c r="A926" s="727" t="s">
        <v>1717</v>
      </c>
      <c r="B926" s="728" t="s">
        <v>2056</v>
      </c>
      <c r="C926" s="728" t="s">
        <v>2057</v>
      </c>
      <c r="D926" s="727" t="s">
        <v>2058</v>
      </c>
      <c r="E926" s="727" t="s">
        <v>2059</v>
      </c>
      <c r="F926" s="729" t="s">
        <v>1537</v>
      </c>
      <c r="G926" s="727" t="s">
        <v>2060</v>
      </c>
      <c r="H926" s="727" t="s">
        <v>2061</v>
      </c>
      <c r="I926" s="841" t="s">
        <v>2062</v>
      </c>
      <c r="J926" s="301"/>
      <c r="K926" s="731" t="s">
        <v>2063</v>
      </c>
      <c r="L926" s="732">
        <f>STDEV(H927:H929)</f>
        <v>0.01527525232</v>
      </c>
      <c r="M926" s="733"/>
      <c r="N926" s="189"/>
      <c r="O926" s="454"/>
    </row>
    <row r="927">
      <c r="A927" s="734"/>
      <c r="B927" s="735" t="s">
        <v>2064</v>
      </c>
      <c r="C927" s="744" t="s">
        <v>3329</v>
      </c>
      <c r="D927" s="736" t="s">
        <v>3330</v>
      </c>
      <c r="E927" s="763" t="s">
        <v>2709</v>
      </c>
      <c r="F927" s="764" t="s">
        <v>3351</v>
      </c>
      <c r="G927" s="736" t="s">
        <v>1757</v>
      </c>
      <c r="H927" s="745">
        <v>0.2</v>
      </c>
      <c r="I927" s="785" t="s">
        <v>3352</v>
      </c>
      <c r="J927" s="301"/>
      <c r="K927" s="731" t="s">
        <v>2070</v>
      </c>
      <c r="L927" s="741">
        <f>L926/L925</f>
        <v>0.08183170884</v>
      </c>
      <c r="M927" s="733"/>
      <c r="N927" s="742" t="str">
        <f>IF(L927&lt;25%,"Não","Sim - proceder verificação ao lado")</f>
        <v>Não</v>
      </c>
      <c r="O927" s="743" t="b">
        <v>1</v>
      </c>
    </row>
    <row r="928">
      <c r="A928" s="736" t="s">
        <v>2230</v>
      </c>
      <c r="B928" s="735" t="s">
        <v>2064</v>
      </c>
      <c r="C928" s="744" t="s">
        <v>2126</v>
      </c>
      <c r="D928" s="736" t="s">
        <v>2281</v>
      </c>
      <c r="E928" s="763" t="s">
        <v>2709</v>
      </c>
      <c r="F928" s="779" t="s">
        <v>3353</v>
      </c>
      <c r="G928" s="736" t="s">
        <v>1757</v>
      </c>
      <c r="H928" s="745">
        <v>0.19</v>
      </c>
      <c r="I928" s="786" t="s">
        <v>3354</v>
      </c>
      <c r="J928" s="301"/>
      <c r="K928" s="731" t="s">
        <v>2075</v>
      </c>
      <c r="L928" s="746">
        <f>L925*1.25</f>
        <v>0.2333333333</v>
      </c>
      <c r="M928" s="733"/>
      <c r="N928" s="301"/>
      <c r="O928" s="743" t="b">
        <v>1</v>
      </c>
    </row>
    <row r="929">
      <c r="A929" s="736" t="s">
        <v>2230</v>
      </c>
      <c r="B929" s="735" t="s">
        <v>2064</v>
      </c>
      <c r="C929" s="744" t="s">
        <v>2240</v>
      </c>
      <c r="D929" s="736" t="s">
        <v>2241</v>
      </c>
      <c r="E929" s="763" t="s">
        <v>2709</v>
      </c>
      <c r="F929" s="779" t="s">
        <v>3355</v>
      </c>
      <c r="G929" s="736" t="s">
        <v>1757</v>
      </c>
      <c r="H929" s="739">
        <v>0.17</v>
      </c>
      <c r="I929" s="775" t="s">
        <v>3356</v>
      </c>
      <c r="J929" s="189"/>
      <c r="K929" s="731" t="s">
        <v>2080</v>
      </c>
      <c r="L929" s="746">
        <f>L925*0.75</f>
        <v>0.14</v>
      </c>
      <c r="M929" s="733"/>
      <c r="N929" s="189"/>
      <c r="O929" s="743" t="b">
        <v>1</v>
      </c>
    </row>
    <row r="930">
      <c r="A930" s="736"/>
      <c r="B930" s="744"/>
      <c r="C930" s="744"/>
      <c r="D930" s="736"/>
      <c r="E930" s="736"/>
      <c r="F930" s="779"/>
      <c r="G930" s="736"/>
      <c r="H930" s="736"/>
      <c r="I930" s="824"/>
      <c r="J930" s="752"/>
      <c r="K930" s="752"/>
      <c r="L930" s="752"/>
      <c r="M930" s="751"/>
      <c r="N930" s="752"/>
      <c r="O930" s="753"/>
    </row>
    <row r="931">
      <c r="A931" s="837" t="s">
        <v>1162</v>
      </c>
      <c r="B931" s="838" t="s">
        <v>3357</v>
      </c>
      <c r="C931" s="36"/>
      <c r="D931" s="36"/>
      <c r="E931" s="36"/>
      <c r="F931" s="36"/>
      <c r="G931" s="839" t="s">
        <v>1757</v>
      </c>
      <c r="H931" s="756">
        <f>MEDIAN(H933:H935)</f>
        <v>0.16</v>
      </c>
      <c r="I931" s="840" t="s">
        <v>2230</v>
      </c>
      <c r="J931" s="758" t="s">
        <v>2053</v>
      </c>
      <c r="K931" s="731" t="s">
        <v>2054</v>
      </c>
      <c r="L931" s="759">
        <f>AVERAGE(H933:H935)</f>
        <v>0.1536666667</v>
      </c>
      <c r="M931" s="733"/>
      <c r="N931" s="760" t="s">
        <v>2055</v>
      </c>
      <c r="O931" s="454"/>
    </row>
    <row r="932">
      <c r="A932" s="727" t="s">
        <v>1717</v>
      </c>
      <c r="B932" s="728" t="s">
        <v>2056</v>
      </c>
      <c r="C932" s="728" t="s">
        <v>2057</v>
      </c>
      <c r="D932" s="727" t="s">
        <v>2058</v>
      </c>
      <c r="E932" s="727" t="s">
        <v>2059</v>
      </c>
      <c r="F932" s="729" t="s">
        <v>1537</v>
      </c>
      <c r="G932" s="727" t="s">
        <v>2060</v>
      </c>
      <c r="H932" s="727" t="s">
        <v>2061</v>
      </c>
      <c r="I932" s="841" t="s">
        <v>2062</v>
      </c>
      <c r="J932" s="301"/>
      <c r="K932" s="731" t="s">
        <v>2063</v>
      </c>
      <c r="L932" s="732">
        <f>STDEV(H933:H935)</f>
        <v>0.03000555504</v>
      </c>
      <c r="M932" s="733"/>
      <c r="N932" s="189"/>
      <c r="O932" s="454"/>
    </row>
    <row r="933">
      <c r="A933" s="734"/>
      <c r="B933" s="843" t="s">
        <v>2212</v>
      </c>
      <c r="C933" s="767" t="s">
        <v>2318</v>
      </c>
      <c r="D933" s="777" t="s">
        <v>2319</v>
      </c>
      <c r="E933" s="763" t="s">
        <v>2709</v>
      </c>
      <c r="F933" s="764" t="s">
        <v>3358</v>
      </c>
      <c r="G933" s="736" t="s">
        <v>1757</v>
      </c>
      <c r="H933" s="745">
        <v>0.16</v>
      </c>
      <c r="I933" s="842" t="s">
        <v>3359</v>
      </c>
      <c r="J933" s="301"/>
      <c r="K933" s="731" t="s">
        <v>2070</v>
      </c>
      <c r="L933" s="741">
        <f>L932/L931</f>
        <v>0.1952639157</v>
      </c>
      <c r="M933" s="733"/>
      <c r="N933" s="742" t="str">
        <f>IF(L933&lt;25%,"Não","Sim - proceder verificação ao lado")</f>
        <v>Não</v>
      </c>
      <c r="O933" s="743" t="b">
        <v>1</v>
      </c>
    </row>
    <row r="934">
      <c r="A934" s="736" t="s">
        <v>2230</v>
      </c>
      <c r="B934" s="843" t="s">
        <v>2212</v>
      </c>
      <c r="C934" s="843" t="s">
        <v>3360</v>
      </c>
      <c r="D934" s="815" t="s">
        <v>3361</v>
      </c>
      <c r="E934" s="763" t="s">
        <v>2709</v>
      </c>
      <c r="F934" s="844" t="s">
        <v>3362</v>
      </c>
      <c r="G934" s="815" t="s">
        <v>1757</v>
      </c>
      <c r="H934" s="816">
        <v>0.121</v>
      </c>
      <c r="I934" s="845" t="s">
        <v>3363</v>
      </c>
      <c r="J934" s="301"/>
      <c r="K934" s="731" t="s">
        <v>2075</v>
      </c>
      <c r="L934" s="746">
        <f>L931*1.25</f>
        <v>0.1920833333</v>
      </c>
      <c r="M934" s="733"/>
      <c r="N934" s="301"/>
      <c r="O934" s="743" t="b">
        <v>1</v>
      </c>
    </row>
    <row r="935">
      <c r="A935" s="736" t="s">
        <v>2230</v>
      </c>
      <c r="B935" s="744" t="s">
        <v>2212</v>
      </c>
      <c r="C935" s="744" t="s">
        <v>2240</v>
      </c>
      <c r="D935" s="736" t="s">
        <v>2241</v>
      </c>
      <c r="E935" s="763" t="s">
        <v>2709</v>
      </c>
      <c r="F935" s="779" t="s">
        <v>3364</v>
      </c>
      <c r="G935" s="736" t="s">
        <v>1757</v>
      </c>
      <c r="H935" s="745">
        <v>0.18</v>
      </c>
      <c r="I935" s="775" t="s">
        <v>3365</v>
      </c>
      <c r="J935" s="189"/>
      <c r="K935" s="731" t="s">
        <v>2080</v>
      </c>
      <c r="L935" s="746">
        <f>L931*0.75</f>
        <v>0.11525</v>
      </c>
      <c r="M935" s="733"/>
      <c r="N935" s="189"/>
      <c r="O935" s="743" t="b">
        <v>1</v>
      </c>
    </row>
    <row r="936">
      <c r="A936" s="736"/>
      <c r="B936" s="744"/>
      <c r="C936" s="744"/>
      <c r="D936" s="736"/>
      <c r="E936" s="736"/>
      <c r="F936" s="779"/>
      <c r="G936" s="736"/>
      <c r="H936" s="736"/>
      <c r="I936" s="824"/>
      <c r="J936" s="752"/>
      <c r="K936" s="752"/>
      <c r="L936" s="752"/>
      <c r="M936" s="751"/>
      <c r="N936" s="752"/>
      <c r="O936" s="753"/>
    </row>
    <row r="937">
      <c r="A937" s="837" t="s">
        <v>1164</v>
      </c>
      <c r="B937" s="838" t="s">
        <v>3366</v>
      </c>
      <c r="C937" s="36"/>
      <c r="D937" s="36"/>
      <c r="E937" s="36"/>
      <c r="F937" s="36"/>
      <c r="G937" s="839" t="s">
        <v>1757</v>
      </c>
      <c r="H937" s="756">
        <f>MEDIAN(H939:H941)</f>
        <v>0.3</v>
      </c>
      <c r="I937" s="840" t="s">
        <v>2230</v>
      </c>
      <c r="J937" s="758" t="s">
        <v>2053</v>
      </c>
      <c r="K937" s="731" t="s">
        <v>2054</v>
      </c>
      <c r="L937" s="759">
        <f>AVERAGE(H939:H941)</f>
        <v>0.35</v>
      </c>
      <c r="M937" s="733"/>
      <c r="N937" s="760" t="s">
        <v>2055</v>
      </c>
      <c r="O937" s="454"/>
    </row>
    <row r="938">
      <c r="A938" s="727" t="s">
        <v>1717</v>
      </c>
      <c r="B938" s="728" t="s">
        <v>2056</v>
      </c>
      <c r="C938" s="728" t="s">
        <v>2057</v>
      </c>
      <c r="D938" s="727" t="s">
        <v>2058</v>
      </c>
      <c r="E938" s="727" t="s">
        <v>2059</v>
      </c>
      <c r="F938" s="729" t="s">
        <v>1537</v>
      </c>
      <c r="G938" s="727" t="s">
        <v>2060</v>
      </c>
      <c r="H938" s="727" t="s">
        <v>2061</v>
      </c>
      <c r="I938" s="841" t="s">
        <v>2062</v>
      </c>
      <c r="J938" s="301"/>
      <c r="K938" s="731" t="s">
        <v>2063</v>
      </c>
      <c r="L938" s="732">
        <f>STDEV(H939:H941)</f>
        <v>0.08660254038</v>
      </c>
      <c r="M938" s="733"/>
      <c r="N938" s="189"/>
      <c r="O938" s="454"/>
    </row>
    <row r="939">
      <c r="A939" s="736" t="s">
        <v>2230</v>
      </c>
      <c r="B939" s="744" t="s">
        <v>2212</v>
      </c>
      <c r="C939" s="744" t="s">
        <v>3367</v>
      </c>
      <c r="D939" s="736" t="s">
        <v>2237</v>
      </c>
      <c r="E939" s="763" t="s">
        <v>2709</v>
      </c>
      <c r="F939" s="779" t="s">
        <v>3368</v>
      </c>
      <c r="G939" s="736" t="s">
        <v>1757</v>
      </c>
      <c r="H939" s="739">
        <v>0.45</v>
      </c>
      <c r="I939" s="786" t="s">
        <v>3369</v>
      </c>
      <c r="J939" s="301"/>
      <c r="K939" s="731" t="s">
        <v>2070</v>
      </c>
      <c r="L939" s="741">
        <f>L938/L937</f>
        <v>0.2474358297</v>
      </c>
      <c r="M939" s="733"/>
      <c r="N939" s="742" t="str">
        <f>IF(L939&lt;25%,"Não","Sim - proceder verificação ao lado")</f>
        <v>Não</v>
      </c>
      <c r="O939" s="743" t="b">
        <v>1</v>
      </c>
    </row>
    <row r="940">
      <c r="A940" s="736" t="s">
        <v>2230</v>
      </c>
      <c r="B940" s="744" t="s">
        <v>2212</v>
      </c>
      <c r="C940" s="747" t="s">
        <v>2276</v>
      </c>
      <c r="D940" s="802" t="s">
        <v>2134</v>
      </c>
      <c r="E940" s="763" t="s">
        <v>2709</v>
      </c>
      <c r="F940" s="779" t="s">
        <v>3370</v>
      </c>
      <c r="G940" s="736" t="s">
        <v>1757</v>
      </c>
      <c r="H940" s="739">
        <v>0.3</v>
      </c>
      <c r="I940" s="775" t="s">
        <v>3371</v>
      </c>
      <c r="J940" s="301"/>
      <c r="K940" s="731" t="s">
        <v>2075</v>
      </c>
      <c r="L940" s="746">
        <f>L937*1.25</f>
        <v>0.4375</v>
      </c>
      <c r="M940" s="733"/>
      <c r="N940" s="301"/>
      <c r="O940" s="743" t="b">
        <v>1</v>
      </c>
    </row>
    <row r="941">
      <c r="A941" s="736" t="s">
        <v>2230</v>
      </c>
      <c r="B941" s="744" t="s">
        <v>2212</v>
      </c>
      <c r="C941" s="744" t="s">
        <v>2244</v>
      </c>
      <c r="D941" s="736" t="s">
        <v>2245</v>
      </c>
      <c r="E941" s="763" t="s">
        <v>2709</v>
      </c>
      <c r="F941" s="779" t="s">
        <v>2246</v>
      </c>
      <c r="G941" s="736" t="s">
        <v>1757</v>
      </c>
      <c r="H941" s="739">
        <v>0.3</v>
      </c>
      <c r="I941" s="786" t="s">
        <v>2247</v>
      </c>
      <c r="J941" s="189"/>
      <c r="K941" s="731" t="s">
        <v>2080</v>
      </c>
      <c r="L941" s="746">
        <f>L937*0.75</f>
        <v>0.2625</v>
      </c>
      <c r="M941" s="733"/>
      <c r="N941" s="189"/>
      <c r="O941" s="743" t="b">
        <v>1</v>
      </c>
    </row>
    <row r="942">
      <c r="A942" s="736"/>
      <c r="B942" s="744"/>
      <c r="C942" s="744"/>
      <c r="D942" s="736"/>
      <c r="E942" s="736"/>
      <c r="F942" s="779"/>
      <c r="G942" s="736"/>
      <c r="H942" s="736"/>
      <c r="I942" s="824"/>
      <c r="J942" s="752"/>
      <c r="K942" s="752"/>
      <c r="L942" s="752"/>
      <c r="M942" s="751"/>
      <c r="N942" s="752"/>
      <c r="O942" s="753"/>
    </row>
    <row r="943">
      <c r="A943" s="837" t="s">
        <v>3372</v>
      </c>
      <c r="B943" s="838" t="s">
        <v>3373</v>
      </c>
      <c r="C943" s="36"/>
      <c r="D943" s="36"/>
      <c r="E943" s="36"/>
      <c r="F943" s="36"/>
      <c r="G943" s="839" t="s">
        <v>1757</v>
      </c>
      <c r="H943" s="756">
        <f>MEDIAN(H945:H947)</f>
        <v>10.34</v>
      </c>
      <c r="I943" s="840" t="s">
        <v>2230</v>
      </c>
      <c r="J943" s="758" t="s">
        <v>2053</v>
      </c>
      <c r="K943" s="731" t="s">
        <v>2054</v>
      </c>
      <c r="L943" s="759">
        <f>AVERAGE(H945:H947)</f>
        <v>10.44666667</v>
      </c>
      <c r="M943" s="733"/>
      <c r="N943" s="760" t="s">
        <v>2055</v>
      </c>
      <c r="O943" s="454"/>
    </row>
    <row r="944">
      <c r="A944" s="727" t="s">
        <v>1717</v>
      </c>
      <c r="B944" s="728" t="s">
        <v>2056</v>
      </c>
      <c r="C944" s="728" t="s">
        <v>2057</v>
      </c>
      <c r="D944" s="727" t="s">
        <v>2058</v>
      </c>
      <c r="E944" s="727" t="s">
        <v>2059</v>
      </c>
      <c r="F944" s="729" t="s">
        <v>1537</v>
      </c>
      <c r="G944" s="727" t="s">
        <v>2060</v>
      </c>
      <c r="H944" s="727" t="s">
        <v>2061</v>
      </c>
      <c r="I944" s="841" t="s">
        <v>2062</v>
      </c>
      <c r="J944" s="301"/>
      <c r="K944" s="731" t="s">
        <v>2063</v>
      </c>
      <c r="L944" s="732">
        <f>STDEV(H945:H947)</f>
        <v>1.073980136</v>
      </c>
      <c r="M944" s="733"/>
      <c r="N944" s="189"/>
      <c r="O944" s="454"/>
    </row>
    <row r="945">
      <c r="A945" s="734"/>
      <c r="B945" s="744" t="s">
        <v>2212</v>
      </c>
      <c r="C945" s="767" t="s">
        <v>3033</v>
      </c>
      <c r="D945" s="777" t="s">
        <v>3034</v>
      </c>
      <c r="E945" s="763" t="s">
        <v>2709</v>
      </c>
      <c r="F945" s="764" t="s">
        <v>3374</v>
      </c>
      <c r="G945" s="736" t="s">
        <v>1757</v>
      </c>
      <c r="H945" s="745">
        <v>11.57</v>
      </c>
      <c r="I945" s="842" t="s">
        <v>3375</v>
      </c>
      <c r="J945" s="301"/>
      <c r="K945" s="731" t="s">
        <v>2070</v>
      </c>
      <c r="L945" s="741">
        <f>L944/L943</f>
        <v>0.1028060118</v>
      </c>
      <c r="M945" s="733"/>
      <c r="N945" s="742" t="str">
        <f>IF(L945&lt;25%,"Não","Sim - proceder verificação ao lado")</f>
        <v>Não</v>
      </c>
      <c r="O945" s="743" t="b">
        <v>1</v>
      </c>
    </row>
    <row r="946">
      <c r="A946" s="736" t="s">
        <v>2230</v>
      </c>
      <c r="B946" s="744" t="s">
        <v>2212</v>
      </c>
      <c r="C946" s="744" t="s">
        <v>3376</v>
      </c>
      <c r="D946" s="736" t="s">
        <v>3377</v>
      </c>
      <c r="E946" s="763" t="s">
        <v>2709</v>
      </c>
      <c r="F946" s="779" t="s">
        <v>3378</v>
      </c>
      <c r="G946" s="736" t="s">
        <v>1757</v>
      </c>
      <c r="H946" s="745">
        <v>10.34</v>
      </c>
      <c r="I946" s="786" t="s">
        <v>3379</v>
      </c>
      <c r="J946" s="301"/>
      <c r="K946" s="731" t="s">
        <v>2075</v>
      </c>
      <c r="L946" s="746">
        <f>L943*1.25</f>
        <v>13.05833333</v>
      </c>
      <c r="M946" s="733"/>
      <c r="N946" s="301"/>
      <c r="O946" s="743" t="b">
        <v>1</v>
      </c>
    </row>
    <row r="947">
      <c r="A947" s="736" t="s">
        <v>2230</v>
      </c>
      <c r="B947" s="744" t="s">
        <v>2212</v>
      </c>
      <c r="C947" s="744" t="s">
        <v>3380</v>
      </c>
      <c r="D947" s="736" t="s">
        <v>3381</v>
      </c>
      <c r="E947" s="763" t="s">
        <v>2709</v>
      </c>
      <c r="F947" s="779" t="s">
        <v>3382</v>
      </c>
      <c r="G947" s="736" t="s">
        <v>1757</v>
      </c>
      <c r="H947" s="745">
        <v>9.43</v>
      </c>
      <c r="I947" s="775" t="s">
        <v>3383</v>
      </c>
      <c r="J947" s="189"/>
      <c r="K947" s="731" t="s">
        <v>2080</v>
      </c>
      <c r="L947" s="746">
        <f>L943*0.75</f>
        <v>7.835</v>
      </c>
      <c r="M947" s="733"/>
      <c r="N947" s="189"/>
      <c r="O947" s="743" t="b">
        <v>1</v>
      </c>
    </row>
    <row r="948">
      <c r="A948" s="736"/>
      <c r="B948" s="744"/>
      <c r="C948" s="744"/>
      <c r="D948" s="736"/>
      <c r="E948" s="736"/>
      <c r="F948" s="779"/>
      <c r="G948" s="736"/>
      <c r="H948" s="736"/>
      <c r="I948" s="824"/>
      <c r="J948" s="752"/>
      <c r="K948" s="752"/>
      <c r="L948" s="752"/>
      <c r="M948" s="751"/>
      <c r="N948" s="752"/>
      <c r="O948" s="753"/>
    </row>
    <row r="949">
      <c r="A949" s="837" t="s">
        <v>3384</v>
      </c>
      <c r="B949" s="838" t="s">
        <v>3385</v>
      </c>
      <c r="C949" s="36"/>
      <c r="D949" s="36"/>
      <c r="E949" s="36"/>
      <c r="F949" s="36"/>
      <c r="G949" s="839" t="s">
        <v>1731</v>
      </c>
      <c r="H949" s="756">
        <f>MEDIAN(H951:H953)</f>
        <v>4.11</v>
      </c>
      <c r="I949" s="840" t="s">
        <v>2230</v>
      </c>
      <c r="J949" s="758" t="s">
        <v>2053</v>
      </c>
      <c r="K949" s="731" t="s">
        <v>2054</v>
      </c>
      <c r="L949" s="759">
        <f>AVERAGE(H951:H953)</f>
        <v>4.196666667</v>
      </c>
      <c r="M949" s="733"/>
      <c r="N949" s="760" t="s">
        <v>2055</v>
      </c>
      <c r="O949" s="454"/>
    </row>
    <row r="950">
      <c r="A950" s="727" t="s">
        <v>1717</v>
      </c>
      <c r="B950" s="728" t="s">
        <v>2056</v>
      </c>
      <c r="C950" s="728" t="s">
        <v>2057</v>
      </c>
      <c r="D950" s="727" t="s">
        <v>2058</v>
      </c>
      <c r="E950" s="727" t="s">
        <v>2059</v>
      </c>
      <c r="F950" s="729" t="s">
        <v>1537</v>
      </c>
      <c r="G950" s="727" t="s">
        <v>2060</v>
      </c>
      <c r="H950" s="727" t="s">
        <v>2061</v>
      </c>
      <c r="I950" s="841" t="s">
        <v>2062</v>
      </c>
      <c r="J950" s="301"/>
      <c r="K950" s="731" t="s">
        <v>2063</v>
      </c>
      <c r="L950" s="732">
        <f>STDEV(H951:H953)</f>
        <v>0.525388745</v>
      </c>
      <c r="M950" s="733"/>
      <c r="N950" s="189"/>
      <c r="O950" s="454"/>
    </row>
    <row r="951">
      <c r="A951" s="734"/>
      <c r="B951" s="744" t="s">
        <v>2212</v>
      </c>
      <c r="C951" s="767" t="s">
        <v>3386</v>
      </c>
      <c r="D951" s="846" t="s">
        <v>3387</v>
      </c>
      <c r="E951" s="763" t="s">
        <v>2709</v>
      </c>
      <c r="F951" s="764" t="s">
        <v>3388</v>
      </c>
      <c r="G951" s="736" t="s">
        <v>1731</v>
      </c>
      <c r="H951" s="745">
        <v>3.72</v>
      </c>
      <c r="I951" s="776" t="s">
        <v>3389</v>
      </c>
      <c r="J951" s="301"/>
      <c r="K951" s="731" t="s">
        <v>2070</v>
      </c>
      <c r="L951" s="741">
        <f>L950/L949</f>
        <v>0.125191917</v>
      </c>
      <c r="M951" s="733"/>
      <c r="N951" s="742" t="str">
        <f>IF(L951&lt;25%,"Não","Sim - proceder verificação ao lado")</f>
        <v>Não</v>
      </c>
      <c r="O951" s="743" t="b">
        <v>1</v>
      </c>
    </row>
    <row r="952">
      <c r="A952" s="736" t="s">
        <v>2230</v>
      </c>
      <c r="B952" s="744" t="s">
        <v>2212</v>
      </c>
      <c r="C952" s="744" t="s">
        <v>3390</v>
      </c>
      <c r="D952" s="736" t="s">
        <v>3391</v>
      </c>
      <c r="E952" s="763" t="s">
        <v>2709</v>
      </c>
      <c r="F952" s="779" t="s">
        <v>3392</v>
      </c>
      <c r="G952" s="736" t="s">
        <v>1731</v>
      </c>
      <c r="H952" s="739">
        <f>8.22/2</f>
        <v>4.11</v>
      </c>
      <c r="I952" s="822" t="s">
        <v>3393</v>
      </c>
      <c r="J952" s="301"/>
      <c r="K952" s="731" t="s">
        <v>2075</v>
      </c>
      <c r="L952" s="746">
        <f>L949*1.25</f>
        <v>5.245833333</v>
      </c>
      <c r="M952" s="733"/>
      <c r="N952" s="301"/>
      <c r="O952" s="743" t="b">
        <v>1</v>
      </c>
    </row>
    <row r="953">
      <c r="A953" s="736" t="s">
        <v>2230</v>
      </c>
      <c r="B953" s="744" t="s">
        <v>2212</v>
      </c>
      <c r="C953" s="744" t="s">
        <v>3394</v>
      </c>
      <c r="D953" s="736" t="s">
        <v>3395</v>
      </c>
      <c r="E953" s="763" t="s">
        <v>2709</v>
      </c>
      <c r="F953" s="779" t="s">
        <v>3396</v>
      </c>
      <c r="G953" s="736" t="s">
        <v>1731</v>
      </c>
      <c r="H953" s="745">
        <v>4.76</v>
      </c>
      <c r="I953" s="775" t="s">
        <v>3397</v>
      </c>
      <c r="J953" s="189"/>
      <c r="K953" s="731" t="s">
        <v>2080</v>
      </c>
      <c r="L953" s="746">
        <f>L949*0.75</f>
        <v>3.1475</v>
      </c>
      <c r="M953" s="733"/>
      <c r="N953" s="189"/>
      <c r="O953" s="743" t="b">
        <v>1</v>
      </c>
    </row>
    <row r="954">
      <c r="A954" s="736"/>
      <c r="B954" s="744"/>
      <c r="C954" s="744"/>
      <c r="D954" s="736"/>
      <c r="E954" s="736"/>
      <c r="F954" s="779"/>
      <c r="G954" s="736"/>
      <c r="H954" s="736"/>
      <c r="I954" s="824"/>
      <c r="J954" s="752"/>
      <c r="K954" s="752"/>
      <c r="L954" s="752"/>
      <c r="M954" s="751"/>
      <c r="N954" s="752"/>
      <c r="O954" s="753"/>
    </row>
    <row r="955">
      <c r="A955" s="837" t="s">
        <v>1993</v>
      </c>
      <c r="B955" s="838" t="s">
        <v>3398</v>
      </c>
      <c r="C955" s="36"/>
      <c r="D955" s="36"/>
      <c r="E955" s="36"/>
      <c r="F955" s="36"/>
      <c r="G955" s="839" t="s">
        <v>1731</v>
      </c>
      <c r="H955" s="756">
        <f>MEDIAN(H957:H959)</f>
        <v>14.68</v>
      </c>
      <c r="I955" s="840" t="s">
        <v>2230</v>
      </c>
      <c r="J955" s="758" t="s">
        <v>2053</v>
      </c>
      <c r="K955" s="731" t="s">
        <v>2054</v>
      </c>
      <c r="L955" s="759">
        <f>AVERAGE(H957:H959)</f>
        <v>13.46</v>
      </c>
      <c r="M955" s="733"/>
      <c r="N955" s="760" t="s">
        <v>2055</v>
      </c>
      <c r="O955" s="454"/>
    </row>
    <row r="956">
      <c r="A956" s="727" t="s">
        <v>1717</v>
      </c>
      <c r="B956" s="728" t="s">
        <v>2056</v>
      </c>
      <c r="C956" s="728" t="s">
        <v>2057</v>
      </c>
      <c r="D956" s="727" t="s">
        <v>2058</v>
      </c>
      <c r="E956" s="727" t="s">
        <v>2059</v>
      </c>
      <c r="F956" s="729" t="s">
        <v>1537</v>
      </c>
      <c r="G956" s="727" t="s">
        <v>2060</v>
      </c>
      <c r="H956" s="727" t="s">
        <v>2061</v>
      </c>
      <c r="I956" s="841" t="s">
        <v>2062</v>
      </c>
      <c r="J956" s="301"/>
      <c r="K956" s="731" t="s">
        <v>2063</v>
      </c>
      <c r="L956" s="732">
        <f>STDEV(H957:H959)</f>
        <v>2.834290035</v>
      </c>
      <c r="M956" s="733"/>
      <c r="N956" s="189"/>
      <c r="O956" s="454"/>
    </row>
    <row r="957">
      <c r="A957" s="734"/>
      <c r="B957" s="744" t="s">
        <v>2212</v>
      </c>
      <c r="C957" s="744" t="s">
        <v>2126</v>
      </c>
      <c r="D957" s="736" t="s">
        <v>2281</v>
      </c>
      <c r="E957" s="763" t="s">
        <v>2709</v>
      </c>
      <c r="F957" s="764" t="s">
        <v>3399</v>
      </c>
      <c r="G957" s="736" t="s">
        <v>1731</v>
      </c>
      <c r="H957" s="745">
        <v>14.68</v>
      </c>
      <c r="I957" s="842" t="s">
        <v>3400</v>
      </c>
      <c r="J957" s="301"/>
      <c r="K957" s="731" t="s">
        <v>2070</v>
      </c>
      <c r="L957" s="741">
        <f>L956/L955</f>
        <v>0.210571325</v>
      </c>
      <c r="M957" s="733"/>
      <c r="N957" s="742" t="str">
        <f>IF(L957&lt;25%,"Não","Sim - proceder verificação ao lado")</f>
        <v>Não</v>
      </c>
      <c r="O957" s="743" t="b">
        <v>1</v>
      </c>
    </row>
    <row r="958">
      <c r="A958" s="736" t="s">
        <v>2230</v>
      </c>
      <c r="B958" s="744" t="s">
        <v>2212</v>
      </c>
      <c r="C958" s="767" t="s">
        <v>3401</v>
      </c>
      <c r="D958" s="777" t="s">
        <v>3402</v>
      </c>
      <c r="E958" s="763" t="s">
        <v>2709</v>
      </c>
      <c r="F958" s="764" t="s">
        <v>3403</v>
      </c>
      <c r="G958" s="736" t="s">
        <v>1731</v>
      </c>
      <c r="H958" s="745">
        <v>10.22</v>
      </c>
      <c r="I958" s="785" t="s">
        <v>3404</v>
      </c>
      <c r="J958" s="301"/>
      <c r="K958" s="731" t="s">
        <v>2075</v>
      </c>
      <c r="L958" s="746">
        <f>L955*1.25</f>
        <v>16.825</v>
      </c>
      <c r="M958" s="733"/>
      <c r="N958" s="301"/>
      <c r="O958" s="743" t="b">
        <v>1</v>
      </c>
    </row>
    <row r="959">
      <c r="A959" s="736" t="s">
        <v>2230</v>
      </c>
      <c r="B959" s="744" t="s">
        <v>2212</v>
      </c>
      <c r="C959" s="767" t="s">
        <v>3405</v>
      </c>
      <c r="D959" s="777" t="s">
        <v>3406</v>
      </c>
      <c r="E959" s="763" t="s">
        <v>2709</v>
      </c>
      <c r="F959" s="764" t="s">
        <v>3407</v>
      </c>
      <c r="G959" s="736" t="s">
        <v>1731</v>
      </c>
      <c r="H959" s="745">
        <v>15.48</v>
      </c>
      <c r="I959" s="776" t="s">
        <v>3408</v>
      </c>
      <c r="J959" s="189"/>
      <c r="K959" s="731" t="s">
        <v>2080</v>
      </c>
      <c r="L959" s="746">
        <f>L955*0.75</f>
        <v>10.095</v>
      </c>
      <c r="M959" s="733"/>
      <c r="N959" s="189"/>
      <c r="O959" s="743" t="b">
        <v>1</v>
      </c>
    </row>
    <row r="960">
      <c r="A960" s="736"/>
      <c r="B960" s="744"/>
      <c r="C960" s="744"/>
      <c r="D960" s="736"/>
      <c r="E960" s="736"/>
      <c r="F960" s="779"/>
      <c r="G960" s="736"/>
      <c r="H960" s="736"/>
      <c r="I960" s="824"/>
      <c r="J960" s="752"/>
      <c r="K960" s="752"/>
      <c r="L960" s="752"/>
      <c r="M960" s="751"/>
      <c r="N960" s="752"/>
      <c r="O960" s="753"/>
    </row>
    <row r="961">
      <c r="A961" s="837" t="s">
        <v>3409</v>
      </c>
      <c r="B961" s="838" t="s">
        <v>3410</v>
      </c>
      <c r="C961" s="36"/>
      <c r="D961" s="36"/>
      <c r="E961" s="36"/>
      <c r="F961" s="36"/>
      <c r="G961" s="839" t="s">
        <v>1757</v>
      </c>
      <c r="H961" s="756">
        <f>MEDIAN(H963:H965)</f>
        <v>15.43</v>
      </c>
      <c r="I961" s="840" t="s">
        <v>2230</v>
      </c>
      <c r="J961" s="758" t="s">
        <v>2053</v>
      </c>
      <c r="K961" s="731" t="s">
        <v>2054</v>
      </c>
      <c r="L961" s="759">
        <f>AVERAGE(H963:H965)</f>
        <v>15.21333333</v>
      </c>
      <c r="M961" s="733"/>
      <c r="N961" s="760" t="s">
        <v>2055</v>
      </c>
      <c r="O961" s="454"/>
    </row>
    <row r="962">
      <c r="A962" s="727" t="s">
        <v>1717</v>
      </c>
      <c r="B962" s="728" t="s">
        <v>2056</v>
      </c>
      <c r="C962" s="728" t="s">
        <v>2057</v>
      </c>
      <c r="D962" s="727" t="s">
        <v>2058</v>
      </c>
      <c r="E962" s="727" t="s">
        <v>2059</v>
      </c>
      <c r="F962" s="729" t="s">
        <v>1537</v>
      </c>
      <c r="G962" s="727" t="s">
        <v>2060</v>
      </c>
      <c r="H962" s="727" t="s">
        <v>2061</v>
      </c>
      <c r="I962" s="841" t="s">
        <v>2062</v>
      </c>
      <c r="J962" s="301"/>
      <c r="K962" s="731" t="s">
        <v>2063</v>
      </c>
      <c r="L962" s="732">
        <f>STDEV(H963:H965)</f>
        <v>2.50204583</v>
      </c>
      <c r="M962" s="733"/>
      <c r="N962" s="189"/>
      <c r="O962" s="454"/>
    </row>
    <row r="963">
      <c r="A963" s="736" t="s">
        <v>2230</v>
      </c>
      <c r="B963" s="744" t="s">
        <v>2212</v>
      </c>
      <c r="C963" s="744" t="s">
        <v>3411</v>
      </c>
      <c r="D963" s="736" t="s">
        <v>3412</v>
      </c>
      <c r="E963" s="763" t="s">
        <v>2709</v>
      </c>
      <c r="F963" s="779" t="s">
        <v>3413</v>
      </c>
      <c r="G963" s="736" t="s">
        <v>1757</v>
      </c>
      <c r="H963" s="745">
        <v>17.6</v>
      </c>
      <c r="I963" s="775" t="s">
        <v>3414</v>
      </c>
      <c r="J963" s="301"/>
      <c r="K963" s="731" t="s">
        <v>2070</v>
      </c>
      <c r="L963" s="741">
        <f>L962/L961</f>
        <v>0.1644640116</v>
      </c>
      <c r="M963" s="733"/>
      <c r="N963" s="742" t="str">
        <f>IF(L963&lt;25%,"Não","Sim - proceder verificação ao lado")</f>
        <v>Não</v>
      </c>
      <c r="O963" s="743" t="b">
        <v>1</v>
      </c>
    </row>
    <row r="964">
      <c r="A964" s="736" t="s">
        <v>2230</v>
      </c>
      <c r="B964" s="744" t="s">
        <v>2212</v>
      </c>
      <c r="C964" s="744" t="s">
        <v>3415</v>
      </c>
      <c r="D964" s="736" t="s">
        <v>3416</v>
      </c>
      <c r="E964" s="763" t="s">
        <v>2709</v>
      </c>
      <c r="F964" s="779" t="s">
        <v>3417</v>
      </c>
      <c r="G964" s="736" t="s">
        <v>1757</v>
      </c>
      <c r="H964" s="745">
        <v>15.43</v>
      </c>
      <c r="I964" s="775" t="s">
        <v>3418</v>
      </c>
      <c r="J964" s="301"/>
      <c r="K964" s="731" t="s">
        <v>2075</v>
      </c>
      <c r="L964" s="746">
        <f>L961*1.25</f>
        <v>19.01666667</v>
      </c>
      <c r="M964" s="733"/>
      <c r="N964" s="301"/>
      <c r="O964" s="743" t="b">
        <v>1</v>
      </c>
    </row>
    <row r="965">
      <c r="A965" s="736" t="s">
        <v>2230</v>
      </c>
      <c r="B965" s="744" t="s">
        <v>2212</v>
      </c>
      <c r="C965" s="767" t="s">
        <v>3419</v>
      </c>
      <c r="D965" s="777" t="s">
        <v>3420</v>
      </c>
      <c r="E965" s="763" t="s">
        <v>2709</v>
      </c>
      <c r="F965" s="764" t="s">
        <v>3421</v>
      </c>
      <c r="G965" s="736" t="s">
        <v>1757</v>
      </c>
      <c r="H965" s="745">
        <v>12.61</v>
      </c>
      <c r="I965" s="776" t="s">
        <v>3422</v>
      </c>
      <c r="J965" s="189"/>
      <c r="K965" s="731" t="s">
        <v>2080</v>
      </c>
      <c r="L965" s="746">
        <f>L961*0.75</f>
        <v>11.41</v>
      </c>
      <c r="M965" s="733"/>
      <c r="N965" s="189"/>
      <c r="O965" s="743" t="b">
        <v>1</v>
      </c>
    </row>
    <row r="966">
      <c r="A966" s="736"/>
      <c r="B966" s="744"/>
      <c r="C966" s="744"/>
      <c r="D966" s="736"/>
      <c r="E966" s="736"/>
      <c r="F966" s="779"/>
      <c r="G966" s="736"/>
      <c r="H966" s="736"/>
      <c r="I966" s="824"/>
      <c r="J966" s="752"/>
      <c r="K966" s="752"/>
      <c r="L966" s="752"/>
      <c r="M966" s="751"/>
      <c r="N966" s="752"/>
      <c r="O966" s="753"/>
    </row>
    <row r="967">
      <c r="A967" s="837" t="s">
        <v>1740</v>
      </c>
      <c r="B967" s="838" t="s">
        <v>3423</v>
      </c>
      <c r="C967" s="36"/>
      <c r="D967" s="36"/>
      <c r="E967" s="36"/>
      <c r="F967" s="36"/>
      <c r="G967" s="839" t="s">
        <v>1731</v>
      </c>
      <c r="H967" s="756">
        <f>MEDIAN(H969:H971)</f>
        <v>8.9</v>
      </c>
      <c r="I967" s="840" t="s">
        <v>2230</v>
      </c>
      <c r="J967" s="758" t="s">
        <v>2053</v>
      </c>
      <c r="K967" s="731" t="s">
        <v>2054</v>
      </c>
      <c r="L967" s="759">
        <f>AVERAGE(H969:H971)</f>
        <v>9.25</v>
      </c>
      <c r="M967" s="733"/>
      <c r="N967" s="760" t="s">
        <v>2055</v>
      </c>
      <c r="O967" s="454"/>
    </row>
    <row r="968">
      <c r="A968" s="727" t="s">
        <v>1717</v>
      </c>
      <c r="B968" s="728" t="s">
        <v>2056</v>
      </c>
      <c r="C968" s="728" t="s">
        <v>2057</v>
      </c>
      <c r="D968" s="727" t="s">
        <v>2058</v>
      </c>
      <c r="E968" s="727" t="s">
        <v>2059</v>
      </c>
      <c r="F968" s="729" t="s">
        <v>1537</v>
      </c>
      <c r="G968" s="727" t="s">
        <v>2060</v>
      </c>
      <c r="H968" s="727" t="s">
        <v>2061</v>
      </c>
      <c r="I968" s="841" t="s">
        <v>2062</v>
      </c>
      <c r="J968" s="301"/>
      <c r="K968" s="731" t="s">
        <v>2063</v>
      </c>
      <c r="L968" s="732">
        <f>STDEV(H969:H971)</f>
        <v>0.8789197916</v>
      </c>
      <c r="M968" s="733"/>
      <c r="N968" s="189"/>
      <c r="O968" s="454"/>
    </row>
    <row r="969">
      <c r="A969" s="734"/>
      <c r="B969" s="744" t="s">
        <v>2212</v>
      </c>
      <c r="C969" s="767" t="s">
        <v>3424</v>
      </c>
      <c r="D969" s="777" t="s">
        <v>3425</v>
      </c>
      <c r="E969" s="763" t="s">
        <v>2709</v>
      </c>
      <c r="F969" s="764" t="s">
        <v>3426</v>
      </c>
      <c r="G969" s="736" t="s">
        <v>1731</v>
      </c>
      <c r="H969" s="745">
        <v>10.25</v>
      </c>
      <c r="I969" s="842" t="s">
        <v>3427</v>
      </c>
      <c r="J969" s="301"/>
      <c r="K969" s="731" t="s">
        <v>2070</v>
      </c>
      <c r="L969" s="741">
        <f>L968/L967</f>
        <v>0.09501835584</v>
      </c>
      <c r="M969" s="733"/>
      <c r="N969" s="742" t="str">
        <f>IF(L969&lt;25%,"Não","Sim - proceder verificação ao lado")</f>
        <v>Não</v>
      </c>
      <c r="O969" s="743" t="b">
        <v>1</v>
      </c>
    </row>
    <row r="970">
      <c r="A970" s="736" t="s">
        <v>2230</v>
      </c>
      <c r="B970" s="744" t="s">
        <v>2212</v>
      </c>
      <c r="C970" s="744" t="s">
        <v>3428</v>
      </c>
      <c r="D970" s="736" t="s">
        <v>3429</v>
      </c>
      <c r="E970" s="763" t="s">
        <v>2709</v>
      </c>
      <c r="F970" s="779" t="s">
        <v>3430</v>
      </c>
      <c r="G970" s="736" t="s">
        <v>1731</v>
      </c>
      <c r="H970" s="739">
        <v>8.9</v>
      </c>
      <c r="I970" s="775" t="s">
        <v>3431</v>
      </c>
      <c r="J970" s="301"/>
      <c r="K970" s="731" t="s">
        <v>2075</v>
      </c>
      <c r="L970" s="746">
        <f>L967*1.25</f>
        <v>11.5625</v>
      </c>
      <c r="M970" s="733"/>
      <c r="N970" s="301"/>
      <c r="O970" s="743" t="b">
        <v>1</v>
      </c>
    </row>
    <row r="971">
      <c r="A971" s="736" t="s">
        <v>2230</v>
      </c>
      <c r="B971" s="744" t="s">
        <v>2212</v>
      </c>
      <c r="C971" s="767" t="s">
        <v>3033</v>
      </c>
      <c r="D971" s="777" t="s">
        <v>3034</v>
      </c>
      <c r="E971" s="763" t="s">
        <v>2709</v>
      </c>
      <c r="F971" s="764" t="s">
        <v>3432</v>
      </c>
      <c r="G971" s="736" t="s">
        <v>1731</v>
      </c>
      <c r="H971" s="745">
        <v>8.6</v>
      </c>
      <c r="I971" s="776" t="s">
        <v>3433</v>
      </c>
      <c r="J971" s="189"/>
      <c r="K971" s="731" t="s">
        <v>2080</v>
      </c>
      <c r="L971" s="746">
        <f>L967*0.75</f>
        <v>6.9375</v>
      </c>
      <c r="M971" s="733"/>
      <c r="N971" s="189"/>
      <c r="O971" s="743" t="b">
        <v>1</v>
      </c>
    </row>
    <row r="972">
      <c r="A972" s="736"/>
      <c r="B972" s="744"/>
      <c r="C972" s="744"/>
      <c r="D972" s="736"/>
      <c r="E972" s="736"/>
      <c r="F972" s="779"/>
      <c r="G972" s="736"/>
      <c r="H972" s="736"/>
      <c r="I972" s="824"/>
      <c r="J972" s="752"/>
      <c r="K972" s="752"/>
      <c r="L972" s="752"/>
      <c r="M972" s="751"/>
      <c r="N972" s="752"/>
      <c r="O972" s="753"/>
    </row>
    <row r="973">
      <c r="A973" s="837" t="s">
        <v>1362</v>
      </c>
      <c r="B973" s="838" t="s">
        <v>3434</v>
      </c>
      <c r="C973" s="36"/>
      <c r="D973" s="36"/>
      <c r="E973" s="36"/>
      <c r="F973" s="36"/>
      <c r="G973" s="839" t="s">
        <v>1731</v>
      </c>
      <c r="H973" s="756">
        <f>MEDIAN(H975:H977)</f>
        <v>4.49</v>
      </c>
      <c r="I973" s="840" t="s">
        <v>2230</v>
      </c>
      <c r="J973" s="758" t="s">
        <v>2053</v>
      </c>
      <c r="K973" s="731" t="s">
        <v>2054</v>
      </c>
      <c r="L973" s="759">
        <f>AVERAGE(H975:H977)</f>
        <v>4.456666667</v>
      </c>
      <c r="M973" s="733"/>
      <c r="N973" s="760" t="s">
        <v>2055</v>
      </c>
      <c r="O973" s="454"/>
    </row>
    <row r="974">
      <c r="A974" s="727" t="s">
        <v>1717</v>
      </c>
      <c r="B974" s="728" t="s">
        <v>2056</v>
      </c>
      <c r="C974" s="728" t="s">
        <v>2057</v>
      </c>
      <c r="D974" s="727" t="s">
        <v>2058</v>
      </c>
      <c r="E974" s="727" t="s">
        <v>2059</v>
      </c>
      <c r="F974" s="729" t="s">
        <v>1537</v>
      </c>
      <c r="G974" s="727" t="s">
        <v>2060</v>
      </c>
      <c r="H974" s="727" t="s">
        <v>2061</v>
      </c>
      <c r="I974" s="841" t="s">
        <v>2062</v>
      </c>
      <c r="J974" s="301"/>
      <c r="K974" s="731" t="s">
        <v>2063</v>
      </c>
      <c r="L974" s="732">
        <f>STDEV(H975:H977)</f>
        <v>0.3810949138</v>
      </c>
      <c r="M974" s="733"/>
      <c r="N974" s="189"/>
      <c r="O974" s="454"/>
    </row>
    <row r="975">
      <c r="A975" s="777"/>
      <c r="B975" s="744" t="s">
        <v>2212</v>
      </c>
      <c r="C975" s="767" t="s">
        <v>3435</v>
      </c>
      <c r="D975" s="777" t="s">
        <v>3436</v>
      </c>
      <c r="E975" s="763" t="s">
        <v>2529</v>
      </c>
      <c r="F975" s="764" t="s">
        <v>3437</v>
      </c>
      <c r="G975" s="736" t="s">
        <v>1731</v>
      </c>
      <c r="H975" s="745">
        <v>4.49</v>
      </c>
      <c r="I975" s="842" t="s">
        <v>3438</v>
      </c>
      <c r="J975" s="301"/>
      <c r="K975" s="731" t="s">
        <v>2070</v>
      </c>
      <c r="L975" s="741">
        <f>L974/L973</f>
        <v>0.08551119981</v>
      </c>
      <c r="M975" s="733"/>
      <c r="N975" s="742" t="str">
        <f>IF(L975&lt;25%,"Não","Sim - proceder verificação ao lado")</f>
        <v>Não</v>
      </c>
      <c r="O975" s="743" t="b">
        <v>1</v>
      </c>
    </row>
    <row r="976">
      <c r="A976" s="777"/>
      <c r="B976" s="744" t="s">
        <v>2212</v>
      </c>
      <c r="C976" s="761" t="s">
        <v>2895</v>
      </c>
      <c r="D976" s="762" t="s">
        <v>2291</v>
      </c>
      <c r="E976" s="763" t="s">
        <v>2529</v>
      </c>
      <c r="F976" s="764" t="s">
        <v>3439</v>
      </c>
      <c r="G976" s="736" t="s">
        <v>1731</v>
      </c>
      <c r="H976" s="745">
        <v>4.06</v>
      </c>
      <c r="I976" s="842" t="s">
        <v>3440</v>
      </c>
      <c r="J976" s="301"/>
      <c r="K976" s="731" t="s">
        <v>2075</v>
      </c>
      <c r="L976" s="746">
        <f>L973*1.25</f>
        <v>5.570833333</v>
      </c>
      <c r="M976" s="733"/>
      <c r="N976" s="301"/>
      <c r="O976" s="743" t="b">
        <v>1</v>
      </c>
    </row>
    <row r="977">
      <c r="A977" s="777"/>
      <c r="B977" s="744" t="s">
        <v>2212</v>
      </c>
      <c r="C977" s="761" t="s">
        <v>3419</v>
      </c>
      <c r="D977" s="762" t="s">
        <v>3420</v>
      </c>
      <c r="E977" s="763" t="s">
        <v>2529</v>
      </c>
      <c r="F977" s="764" t="s">
        <v>3441</v>
      </c>
      <c r="G977" s="736" t="s">
        <v>1731</v>
      </c>
      <c r="H977" s="745">
        <v>4.82</v>
      </c>
      <c r="I977" s="842" t="s">
        <v>3442</v>
      </c>
      <c r="J977" s="189"/>
      <c r="K977" s="731" t="s">
        <v>2080</v>
      </c>
      <c r="L977" s="746">
        <f>L973*0.75</f>
        <v>3.3425</v>
      </c>
      <c r="M977" s="733"/>
      <c r="N977" s="189"/>
      <c r="O977" s="743" t="b">
        <v>1</v>
      </c>
    </row>
    <row r="978">
      <c r="A978" s="736"/>
      <c r="B978" s="744"/>
      <c r="C978" s="744"/>
      <c r="D978" s="736"/>
      <c r="E978" s="736"/>
      <c r="F978" s="779"/>
      <c r="G978" s="736"/>
      <c r="H978" s="736"/>
      <c r="I978" s="824"/>
      <c r="J978" s="752"/>
      <c r="K978" s="752"/>
      <c r="L978" s="752"/>
      <c r="M978" s="751"/>
      <c r="N978" s="752"/>
      <c r="O978" s="753"/>
    </row>
    <row r="979">
      <c r="A979" s="837" t="s">
        <v>1758</v>
      </c>
      <c r="B979" s="838" t="s">
        <v>3443</v>
      </c>
      <c r="C979" s="36"/>
      <c r="D979" s="36"/>
      <c r="E979" s="36"/>
      <c r="F979" s="36"/>
      <c r="G979" s="839" t="s">
        <v>1757</v>
      </c>
      <c r="H979" s="756">
        <f>MEDIAN(H981:H983)</f>
        <v>699</v>
      </c>
      <c r="I979" s="840" t="s">
        <v>2230</v>
      </c>
      <c r="J979" s="758" t="s">
        <v>2053</v>
      </c>
      <c r="K979" s="731" t="s">
        <v>2054</v>
      </c>
      <c r="L979" s="759">
        <f>AVERAGE(H981:H983)</f>
        <v>680.9666667</v>
      </c>
      <c r="M979" s="733"/>
      <c r="N979" s="760" t="s">
        <v>2055</v>
      </c>
      <c r="O979" s="454"/>
    </row>
    <row r="980">
      <c r="A980" s="727" t="s">
        <v>1717</v>
      </c>
      <c r="B980" s="728" t="s">
        <v>2056</v>
      </c>
      <c r="C980" s="728" t="s">
        <v>2057</v>
      </c>
      <c r="D980" s="727" t="s">
        <v>2058</v>
      </c>
      <c r="E980" s="727" t="s">
        <v>2059</v>
      </c>
      <c r="F980" s="729" t="s">
        <v>1537</v>
      </c>
      <c r="G980" s="727" t="s">
        <v>2060</v>
      </c>
      <c r="H980" s="727" t="s">
        <v>2061</v>
      </c>
      <c r="I980" s="841" t="s">
        <v>2062</v>
      </c>
      <c r="J980" s="301"/>
      <c r="K980" s="731" t="s">
        <v>2063</v>
      </c>
      <c r="L980" s="732">
        <f>STDEV(H981:H983)</f>
        <v>74.60297134</v>
      </c>
      <c r="M980" s="733"/>
      <c r="N980" s="189"/>
      <c r="O980" s="454"/>
    </row>
    <row r="981">
      <c r="A981" s="734"/>
      <c r="B981" s="767" t="s">
        <v>2064</v>
      </c>
      <c r="C981" s="767" t="s">
        <v>3444</v>
      </c>
      <c r="D981" s="777" t="s">
        <v>2834</v>
      </c>
      <c r="E981" s="763" t="s">
        <v>2529</v>
      </c>
      <c r="F981" s="764" t="s">
        <v>3445</v>
      </c>
      <c r="G981" s="736" t="s">
        <v>1757</v>
      </c>
      <c r="H981" s="745">
        <v>699.0</v>
      </c>
      <c r="I981" s="776" t="s">
        <v>3446</v>
      </c>
      <c r="J981" s="301"/>
      <c r="K981" s="731" t="s">
        <v>2070</v>
      </c>
      <c r="L981" s="741">
        <f>L980/L979</f>
        <v>0.1095545127</v>
      </c>
      <c r="M981" s="733"/>
      <c r="N981" s="742" t="str">
        <f>IF(L981&lt;25%,"Não","Sim - proceder verificação ao lado")</f>
        <v>Não</v>
      </c>
      <c r="O981" s="743" t="b">
        <v>1</v>
      </c>
    </row>
    <row r="982">
      <c r="A982" s="736" t="s">
        <v>2230</v>
      </c>
      <c r="B982" s="767" t="s">
        <v>2064</v>
      </c>
      <c r="C982" s="767" t="s">
        <v>2792</v>
      </c>
      <c r="D982" s="777" t="s">
        <v>2793</v>
      </c>
      <c r="E982" s="763" t="s">
        <v>2529</v>
      </c>
      <c r="F982" s="764" t="s">
        <v>3447</v>
      </c>
      <c r="G982" s="736" t="s">
        <v>1757</v>
      </c>
      <c r="H982" s="745">
        <v>599.0</v>
      </c>
      <c r="I982" s="785" t="s">
        <v>3448</v>
      </c>
      <c r="J982" s="301"/>
      <c r="K982" s="731" t="s">
        <v>2075</v>
      </c>
      <c r="L982" s="746">
        <f>L979*1.25</f>
        <v>851.2083333</v>
      </c>
      <c r="M982" s="733"/>
      <c r="N982" s="301"/>
      <c r="O982" s="743" t="b">
        <v>1</v>
      </c>
    </row>
    <row r="983">
      <c r="A983" s="736" t="s">
        <v>2230</v>
      </c>
      <c r="B983" s="767" t="s">
        <v>2064</v>
      </c>
      <c r="C983" s="744" t="s">
        <v>2209</v>
      </c>
      <c r="D983" s="736" t="s">
        <v>2143</v>
      </c>
      <c r="E983" s="763" t="s">
        <v>2529</v>
      </c>
      <c r="F983" s="779" t="s">
        <v>3449</v>
      </c>
      <c r="G983" s="736" t="s">
        <v>1757</v>
      </c>
      <c r="H983" s="739">
        <v>744.9</v>
      </c>
      <c r="I983" s="775" t="s">
        <v>3450</v>
      </c>
      <c r="J983" s="189"/>
      <c r="K983" s="731" t="s">
        <v>2080</v>
      </c>
      <c r="L983" s="746">
        <f>L979*0.75</f>
        <v>510.725</v>
      </c>
      <c r="M983" s="733"/>
      <c r="N983" s="189"/>
      <c r="O983" s="743" t="b">
        <v>1</v>
      </c>
    </row>
    <row r="984">
      <c r="A984" s="736"/>
      <c r="B984" s="744"/>
      <c r="C984" s="744"/>
      <c r="D984" s="736"/>
      <c r="E984" s="736"/>
      <c r="F984" s="779"/>
      <c r="G984" s="736"/>
      <c r="H984" s="736"/>
      <c r="I984" s="824"/>
      <c r="J984" s="752"/>
      <c r="K984" s="752"/>
      <c r="L984" s="752"/>
      <c r="M984" s="751"/>
      <c r="N984" s="752"/>
      <c r="O984" s="753"/>
    </row>
    <row r="985">
      <c r="A985" s="837" t="s">
        <v>3451</v>
      </c>
      <c r="B985" s="838" t="s">
        <v>3452</v>
      </c>
      <c r="C985" s="36"/>
      <c r="D985" s="36"/>
      <c r="E985" s="36"/>
      <c r="F985" s="36"/>
      <c r="G985" s="839" t="s">
        <v>1757</v>
      </c>
      <c r="H985" s="756">
        <f>MEDIAN(H987:H989)</f>
        <v>699.9</v>
      </c>
      <c r="I985" s="840" t="s">
        <v>2230</v>
      </c>
      <c r="J985" s="758" t="s">
        <v>2053</v>
      </c>
      <c r="K985" s="731" t="s">
        <v>2054</v>
      </c>
      <c r="L985" s="759">
        <f>AVERAGE(H987:H989)</f>
        <v>691.2666667</v>
      </c>
      <c r="M985" s="733"/>
      <c r="N985" s="760" t="s">
        <v>2055</v>
      </c>
      <c r="O985" s="454"/>
    </row>
    <row r="986">
      <c r="A986" s="727" t="s">
        <v>1717</v>
      </c>
      <c r="B986" s="728" t="s">
        <v>2056</v>
      </c>
      <c r="C986" s="728" t="s">
        <v>2057</v>
      </c>
      <c r="D986" s="727" t="s">
        <v>2058</v>
      </c>
      <c r="E986" s="727" t="s">
        <v>2059</v>
      </c>
      <c r="F986" s="729" t="s">
        <v>1537</v>
      </c>
      <c r="G986" s="727" t="s">
        <v>2060</v>
      </c>
      <c r="H986" s="727" t="s">
        <v>2061</v>
      </c>
      <c r="I986" s="841" t="s">
        <v>2062</v>
      </c>
      <c r="J986" s="301"/>
      <c r="K986" s="731" t="s">
        <v>2063</v>
      </c>
      <c r="L986" s="732">
        <f>STDEV(H987:H989)</f>
        <v>88.26722684</v>
      </c>
      <c r="M986" s="733"/>
      <c r="N986" s="189"/>
      <c r="O986" s="454"/>
    </row>
    <row r="987">
      <c r="A987" s="734"/>
      <c r="B987" s="767" t="s">
        <v>2064</v>
      </c>
      <c r="C987" s="767" t="s">
        <v>2792</v>
      </c>
      <c r="D987" s="777" t="s">
        <v>2793</v>
      </c>
      <c r="E987" s="763" t="s">
        <v>2529</v>
      </c>
      <c r="F987" s="764" t="s">
        <v>3447</v>
      </c>
      <c r="G987" s="736" t="s">
        <v>1757</v>
      </c>
      <c r="H987" s="745">
        <v>599.0</v>
      </c>
      <c r="I987" s="785" t="s">
        <v>3448</v>
      </c>
      <c r="J987" s="301"/>
      <c r="K987" s="731" t="s">
        <v>2070</v>
      </c>
      <c r="L987" s="741">
        <f>L986/L985</f>
        <v>0.127689112</v>
      </c>
      <c r="M987" s="733"/>
      <c r="N987" s="742" t="str">
        <f>IF(L987&lt;25%,"Não","Sim - proceder verificação ao lado")</f>
        <v>Não</v>
      </c>
      <c r="O987" s="743" t="b">
        <v>1</v>
      </c>
    </row>
    <row r="988">
      <c r="A988" s="736" t="s">
        <v>2230</v>
      </c>
      <c r="B988" s="767" t="s">
        <v>2064</v>
      </c>
      <c r="C988" s="744" t="s">
        <v>3453</v>
      </c>
      <c r="D988" s="736" t="s">
        <v>3454</v>
      </c>
      <c r="E988" s="763" t="s">
        <v>2529</v>
      </c>
      <c r="F988" s="779" t="s">
        <v>3455</v>
      </c>
      <c r="G988" s="736" t="s">
        <v>1757</v>
      </c>
      <c r="H988" s="745">
        <v>774.9</v>
      </c>
      <c r="I988" s="775" t="s">
        <v>3456</v>
      </c>
      <c r="J988" s="301"/>
      <c r="K988" s="731" t="s">
        <v>2075</v>
      </c>
      <c r="L988" s="746">
        <f>L985*1.25</f>
        <v>864.0833333</v>
      </c>
      <c r="M988" s="733"/>
      <c r="N988" s="301"/>
      <c r="O988" s="743" t="b">
        <v>1</v>
      </c>
    </row>
    <row r="989">
      <c r="A989" s="736" t="s">
        <v>2230</v>
      </c>
      <c r="B989" s="767" t="s">
        <v>2064</v>
      </c>
      <c r="C989" s="744" t="s">
        <v>3457</v>
      </c>
      <c r="D989" s="736" t="s">
        <v>3458</v>
      </c>
      <c r="E989" s="763" t="s">
        <v>2529</v>
      </c>
      <c r="F989" s="779" t="s">
        <v>3459</v>
      </c>
      <c r="G989" s="736" t="s">
        <v>1757</v>
      </c>
      <c r="H989" s="745">
        <v>699.9</v>
      </c>
      <c r="I989" s="775" t="s">
        <v>3460</v>
      </c>
      <c r="J989" s="189"/>
      <c r="K989" s="731" t="s">
        <v>2080</v>
      </c>
      <c r="L989" s="746">
        <f>L985*0.75</f>
        <v>518.45</v>
      </c>
      <c r="M989" s="733"/>
      <c r="N989" s="189"/>
      <c r="O989" s="743" t="b">
        <v>1</v>
      </c>
    </row>
    <row r="990">
      <c r="A990" s="736"/>
      <c r="B990" s="744"/>
      <c r="C990" s="744"/>
      <c r="D990" s="736"/>
      <c r="E990" s="736"/>
      <c r="F990" s="779"/>
      <c r="G990" s="736"/>
      <c r="H990" s="736"/>
      <c r="I990" s="824"/>
      <c r="J990" s="752"/>
      <c r="K990" s="752"/>
      <c r="L990" s="752"/>
      <c r="M990" s="751"/>
      <c r="N990" s="752"/>
      <c r="O990" s="753"/>
    </row>
    <row r="991">
      <c r="A991" s="837" t="s">
        <v>3461</v>
      </c>
      <c r="B991" s="838" t="s">
        <v>3462</v>
      </c>
      <c r="C991" s="36"/>
      <c r="D991" s="36"/>
      <c r="E991" s="36"/>
      <c r="F991" s="36"/>
      <c r="G991" s="839" t="s">
        <v>1757</v>
      </c>
      <c r="H991" s="756">
        <f>MEDIAN(H993:H995)</f>
        <v>849</v>
      </c>
      <c r="I991" s="840" t="s">
        <v>2230</v>
      </c>
      <c r="J991" s="758" t="s">
        <v>2053</v>
      </c>
      <c r="K991" s="731" t="s">
        <v>2054</v>
      </c>
      <c r="L991" s="759">
        <f>AVERAGE(H993:H995)</f>
        <v>879.3</v>
      </c>
      <c r="M991" s="733"/>
      <c r="N991" s="760" t="s">
        <v>2055</v>
      </c>
      <c r="O991" s="454"/>
    </row>
    <row r="992">
      <c r="A992" s="727" t="s">
        <v>1717</v>
      </c>
      <c r="B992" s="728" t="s">
        <v>2056</v>
      </c>
      <c r="C992" s="728" t="s">
        <v>2057</v>
      </c>
      <c r="D992" s="727" t="s">
        <v>2058</v>
      </c>
      <c r="E992" s="727" t="s">
        <v>2059</v>
      </c>
      <c r="F992" s="729" t="s">
        <v>1537</v>
      </c>
      <c r="G992" s="727" t="s">
        <v>2060</v>
      </c>
      <c r="H992" s="727" t="s">
        <v>2061</v>
      </c>
      <c r="I992" s="841" t="s">
        <v>2062</v>
      </c>
      <c r="J992" s="301"/>
      <c r="K992" s="731" t="s">
        <v>2063</v>
      </c>
      <c r="L992" s="732">
        <f>STDEV(H993:H995)</f>
        <v>61.34549698</v>
      </c>
      <c r="M992" s="733"/>
      <c r="N992" s="189"/>
      <c r="O992" s="454"/>
    </row>
    <row r="993">
      <c r="A993" s="734"/>
      <c r="B993" s="767" t="s">
        <v>2064</v>
      </c>
      <c r="C993" s="767" t="s">
        <v>2792</v>
      </c>
      <c r="D993" s="777" t="s">
        <v>2793</v>
      </c>
      <c r="E993" s="763" t="s">
        <v>2529</v>
      </c>
      <c r="F993" s="764" t="s">
        <v>3463</v>
      </c>
      <c r="G993" s="736" t="s">
        <v>1757</v>
      </c>
      <c r="H993" s="745">
        <v>849.0</v>
      </c>
      <c r="I993" s="776" t="s">
        <v>3464</v>
      </c>
      <c r="J993" s="301"/>
      <c r="K993" s="731" t="s">
        <v>2070</v>
      </c>
      <c r="L993" s="741">
        <f>L992/L991</f>
        <v>0.06976628794</v>
      </c>
      <c r="M993" s="733"/>
      <c r="N993" s="742" t="str">
        <f>IF(L993&lt;25%,"Não","Sim - proceder verificação ao lado")</f>
        <v>Não</v>
      </c>
      <c r="O993" s="743" t="b">
        <v>1</v>
      </c>
    </row>
    <row r="994">
      <c r="A994" s="736" t="s">
        <v>2230</v>
      </c>
      <c r="B994" s="744" t="s">
        <v>2212</v>
      </c>
      <c r="C994" s="744" t="s">
        <v>3465</v>
      </c>
      <c r="D994" s="803" t="s">
        <v>3466</v>
      </c>
      <c r="E994" s="763" t="s">
        <v>2529</v>
      </c>
      <c r="F994" s="764" t="s">
        <v>3467</v>
      </c>
      <c r="G994" s="736" t="s">
        <v>1757</v>
      </c>
      <c r="H994" s="745">
        <v>839.0</v>
      </c>
      <c r="I994" s="786" t="s">
        <v>3468</v>
      </c>
      <c r="J994" s="301"/>
      <c r="K994" s="731" t="s">
        <v>2075</v>
      </c>
      <c r="L994" s="746">
        <f>L991*1.25</f>
        <v>1099.125</v>
      </c>
      <c r="M994" s="733"/>
      <c r="N994" s="301"/>
      <c r="O994" s="743" t="b">
        <v>1</v>
      </c>
    </row>
    <row r="995">
      <c r="A995" s="736" t="s">
        <v>2230</v>
      </c>
      <c r="B995" s="744" t="s">
        <v>2212</v>
      </c>
      <c r="C995" s="767" t="s">
        <v>3469</v>
      </c>
      <c r="D995" s="803" t="s">
        <v>2143</v>
      </c>
      <c r="E995" s="763" t="s">
        <v>2529</v>
      </c>
      <c r="F995" s="779" t="s">
        <v>3449</v>
      </c>
      <c r="G995" s="736" t="s">
        <v>1757</v>
      </c>
      <c r="H995" s="739">
        <v>949.9</v>
      </c>
      <c r="I995" s="775" t="s">
        <v>3470</v>
      </c>
      <c r="J995" s="189"/>
      <c r="K995" s="731" t="s">
        <v>2080</v>
      </c>
      <c r="L995" s="746">
        <f>L991*0.75</f>
        <v>659.475</v>
      </c>
      <c r="M995" s="733"/>
      <c r="N995" s="189"/>
      <c r="O995" s="743" t="b">
        <v>1</v>
      </c>
    </row>
    <row r="996">
      <c r="A996" s="736"/>
      <c r="B996" s="744"/>
      <c r="C996" s="744"/>
      <c r="D996" s="736"/>
      <c r="E996" s="736"/>
      <c r="F996" s="779"/>
      <c r="G996" s="736"/>
      <c r="H996" s="736"/>
      <c r="I996" s="824"/>
      <c r="J996" s="752"/>
      <c r="K996" s="752"/>
      <c r="L996" s="752"/>
      <c r="M996" s="751"/>
      <c r="N996" s="752"/>
      <c r="O996" s="753"/>
    </row>
    <row r="997">
      <c r="A997" s="837" t="s">
        <v>1761</v>
      </c>
      <c r="B997" s="838" t="s">
        <v>3471</v>
      </c>
      <c r="C997" s="36"/>
      <c r="D997" s="36"/>
      <c r="E997" s="36"/>
      <c r="F997" s="36"/>
      <c r="G997" s="839" t="s">
        <v>1757</v>
      </c>
      <c r="H997" s="756">
        <f>MEDIAN(H999:H1001)</f>
        <v>921</v>
      </c>
      <c r="I997" s="840" t="s">
        <v>2230</v>
      </c>
      <c r="J997" s="758" t="s">
        <v>2053</v>
      </c>
      <c r="K997" s="731" t="s">
        <v>2054</v>
      </c>
      <c r="L997" s="759">
        <f>AVERAGE(H999:H1001)</f>
        <v>906.6333333</v>
      </c>
      <c r="M997" s="733"/>
      <c r="N997" s="760" t="s">
        <v>2055</v>
      </c>
      <c r="O997" s="454"/>
    </row>
    <row r="998">
      <c r="A998" s="727" t="s">
        <v>1717</v>
      </c>
      <c r="B998" s="728" t="s">
        <v>2056</v>
      </c>
      <c r="C998" s="728" t="s">
        <v>2057</v>
      </c>
      <c r="D998" s="727" t="s">
        <v>2058</v>
      </c>
      <c r="E998" s="727" t="s">
        <v>2059</v>
      </c>
      <c r="F998" s="729" t="s">
        <v>1537</v>
      </c>
      <c r="G998" s="727" t="s">
        <v>2060</v>
      </c>
      <c r="H998" s="727" t="s">
        <v>2061</v>
      </c>
      <c r="I998" s="841" t="s">
        <v>2062</v>
      </c>
      <c r="J998" s="301"/>
      <c r="K998" s="731" t="s">
        <v>2063</v>
      </c>
      <c r="L998" s="732">
        <f>STDEV(H999:H1001)</f>
        <v>51.9615563</v>
      </c>
      <c r="M998" s="733"/>
      <c r="N998" s="189"/>
      <c r="O998" s="454"/>
    </row>
    <row r="999">
      <c r="A999" s="734"/>
      <c r="B999" s="744" t="s">
        <v>2212</v>
      </c>
      <c r="C999" s="767" t="s">
        <v>3472</v>
      </c>
      <c r="D999" s="777" t="s">
        <v>3473</v>
      </c>
      <c r="E999" s="763" t="s">
        <v>2529</v>
      </c>
      <c r="F999" s="764" t="s">
        <v>3474</v>
      </c>
      <c r="G999" s="736" t="s">
        <v>1757</v>
      </c>
      <c r="H999" s="745">
        <v>921.0</v>
      </c>
      <c r="I999" s="776" t="s">
        <v>3475</v>
      </c>
      <c r="J999" s="301"/>
      <c r="K999" s="731" t="s">
        <v>2070</v>
      </c>
      <c r="L999" s="741">
        <f>L998/L997</f>
        <v>0.05731264712</v>
      </c>
      <c r="M999" s="733"/>
      <c r="N999" s="742" t="str">
        <f>IF(L999&lt;25%,"Não","Sim - proceder verificação ao lado")</f>
        <v>Não</v>
      </c>
      <c r="O999" s="743" t="b">
        <v>1</v>
      </c>
    </row>
    <row r="1000">
      <c r="A1000" s="736" t="s">
        <v>2230</v>
      </c>
      <c r="B1000" s="744" t="s">
        <v>2212</v>
      </c>
      <c r="C1000" s="744" t="s">
        <v>2209</v>
      </c>
      <c r="D1000" s="736" t="s">
        <v>2143</v>
      </c>
      <c r="E1000" s="763" t="s">
        <v>2529</v>
      </c>
      <c r="F1000" s="779" t="s">
        <v>3449</v>
      </c>
      <c r="G1000" s="736" t="s">
        <v>1757</v>
      </c>
      <c r="H1000" s="745">
        <v>949.9</v>
      </c>
      <c r="I1000" s="775" t="s">
        <v>3470</v>
      </c>
      <c r="J1000" s="301"/>
      <c r="K1000" s="731" t="s">
        <v>2075</v>
      </c>
      <c r="L1000" s="746">
        <f>L997*1.25</f>
        <v>1133.291667</v>
      </c>
      <c r="M1000" s="733"/>
      <c r="N1000" s="301"/>
      <c r="O1000" s="743" t="b">
        <v>1</v>
      </c>
    </row>
    <row r="1001">
      <c r="A1001" s="736" t="s">
        <v>2230</v>
      </c>
      <c r="B1001" s="744" t="s">
        <v>2212</v>
      </c>
      <c r="C1001" s="767" t="s">
        <v>2792</v>
      </c>
      <c r="D1001" s="777" t="s">
        <v>2793</v>
      </c>
      <c r="E1001" s="763" t="s">
        <v>2529</v>
      </c>
      <c r="F1001" s="764" t="s">
        <v>3463</v>
      </c>
      <c r="G1001" s="736" t="s">
        <v>1757</v>
      </c>
      <c r="H1001" s="745">
        <v>849.0</v>
      </c>
      <c r="I1001" s="776" t="s">
        <v>3464</v>
      </c>
      <c r="J1001" s="189"/>
      <c r="K1001" s="731" t="s">
        <v>2080</v>
      </c>
      <c r="L1001" s="746">
        <f>L997*0.75</f>
        <v>679.975</v>
      </c>
      <c r="M1001" s="733"/>
      <c r="N1001" s="189"/>
      <c r="O1001" s="743" t="b">
        <v>1</v>
      </c>
    </row>
    <row r="1002">
      <c r="A1002" s="736"/>
      <c r="B1002" s="744"/>
      <c r="C1002" s="744"/>
      <c r="D1002" s="736"/>
      <c r="E1002" s="736"/>
      <c r="F1002" s="779"/>
      <c r="G1002" s="736"/>
      <c r="H1002" s="736"/>
      <c r="I1002" s="824"/>
      <c r="J1002" s="752"/>
      <c r="K1002" s="752"/>
      <c r="L1002" s="752"/>
      <c r="M1002" s="751"/>
      <c r="N1002" s="752"/>
      <c r="O1002" s="753"/>
    </row>
    <row r="1003">
      <c r="A1003" s="837" t="s">
        <v>3476</v>
      </c>
      <c r="B1003" s="838" t="s">
        <v>3477</v>
      </c>
      <c r="C1003" s="36"/>
      <c r="D1003" s="36"/>
      <c r="E1003" s="36"/>
      <c r="F1003" s="36"/>
      <c r="G1003" s="839" t="s">
        <v>1757</v>
      </c>
      <c r="H1003" s="756">
        <f>MEDIAN(H1005:H1007)</f>
        <v>1023.15</v>
      </c>
      <c r="I1003" s="840" t="s">
        <v>2230</v>
      </c>
      <c r="J1003" s="758" t="s">
        <v>2053</v>
      </c>
      <c r="K1003" s="731" t="s">
        <v>2054</v>
      </c>
      <c r="L1003" s="759">
        <f>AVERAGE(H1005:H1007)</f>
        <v>1007.683333</v>
      </c>
      <c r="M1003" s="733"/>
      <c r="N1003" s="760" t="s">
        <v>2055</v>
      </c>
      <c r="O1003" s="454"/>
    </row>
    <row r="1004">
      <c r="A1004" s="727" t="s">
        <v>1717</v>
      </c>
      <c r="B1004" s="728" t="s">
        <v>2056</v>
      </c>
      <c r="C1004" s="728" t="s">
        <v>2057</v>
      </c>
      <c r="D1004" s="727" t="s">
        <v>2058</v>
      </c>
      <c r="E1004" s="727" t="s">
        <v>2059</v>
      </c>
      <c r="F1004" s="729" t="s">
        <v>1537</v>
      </c>
      <c r="G1004" s="727" t="s">
        <v>2060</v>
      </c>
      <c r="H1004" s="727" t="s">
        <v>2061</v>
      </c>
      <c r="I1004" s="841" t="s">
        <v>2062</v>
      </c>
      <c r="J1004" s="301"/>
      <c r="K1004" s="731" t="s">
        <v>2063</v>
      </c>
      <c r="L1004" s="732">
        <f>STDEV(H1005:H1007)</f>
        <v>51.8113485</v>
      </c>
      <c r="M1004" s="733"/>
      <c r="N1004" s="189"/>
      <c r="O1004" s="454"/>
    </row>
    <row r="1005">
      <c r="A1005" s="734"/>
      <c r="B1005" s="744" t="s">
        <v>2212</v>
      </c>
      <c r="C1005" s="767" t="s">
        <v>3478</v>
      </c>
      <c r="D1005" s="777" t="s">
        <v>3479</v>
      </c>
      <c r="E1005" s="763" t="s">
        <v>2529</v>
      </c>
      <c r="F1005" s="764" t="s">
        <v>3480</v>
      </c>
      <c r="G1005" s="736" t="s">
        <v>1757</v>
      </c>
      <c r="H1005" s="745">
        <v>1023.15</v>
      </c>
      <c r="I1005" s="776" t="s">
        <v>3481</v>
      </c>
      <c r="J1005" s="301"/>
      <c r="K1005" s="731" t="s">
        <v>2070</v>
      </c>
      <c r="L1005" s="741">
        <f>L1004/L1003</f>
        <v>0.05141629993</v>
      </c>
      <c r="M1005" s="733"/>
      <c r="N1005" s="742" t="str">
        <f>IF(L1005&lt;25%,"Não","Sim - proceder verificação ao lado")</f>
        <v>Não</v>
      </c>
      <c r="O1005" s="743" t="b">
        <v>1</v>
      </c>
    </row>
    <row r="1006">
      <c r="A1006" s="736" t="s">
        <v>2230</v>
      </c>
      <c r="B1006" s="744" t="s">
        <v>2212</v>
      </c>
      <c r="C1006" s="744" t="s">
        <v>2209</v>
      </c>
      <c r="D1006" s="736" t="s">
        <v>2143</v>
      </c>
      <c r="E1006" s="763" t="s">
        <v>2529</v>
      </c>
      <c r="F1006" s="779" t="s">
        <v>3449</v>
      </c>
      <c r="G1006" s="736" t="s">
        <v>1757</v>
      </c>
      <c r="H1006" s="739">
        <v>949.9</v>
      </c>
      <c r="I1006" s="775" t="s">
        <v>3470</v>
      </c>
      <c r="J1006" s="301"/>
      <c r="K1006" s="731" t="s">
        <v>2075</v>
      </c>
      <c r="L1006" s="746">
        <f>L1003*1.25</f>
        <v>1259.604167</v>
      </c>
      <c r="M1006" s="733"/>
      <c r="N1006" s="301"/>
      <c r="O1006" s="743" t="b">
        <v>1</v>
      </c>
    </row>
    <row r="1007">
      <c r="A1007" s="736" t="s">
        <v>2230</v>
      </c>
      <c r="B1007" s="744" t="s">
        <v>2212</v>
      </c>
      <c r="C1007" s="767" t="s">
        <v>3482</v>
      </c>
      <c r="D1007" s="777" t="s">
        <v>3483</v>
      </c>
      <c r="E1007" s="763" t="s">
        <v>2529</v>
      </c>
      <c r="F1007" s="764" t="s">
        <v>3484</v>
      </c>
      <c r="G1007" s="736" t="s">
        <v>1757</v>
      </c>
      <c r="H1007" s="745">
        <v>1050.0</v>
      </c>
      <c r="I1007" s="785" t="s">
        <v>3485</v>
      </c>
      <c r="J1007" s="189"/>
      <c r="K1007" s="731" t="s">
        <v>2080</v>
      </c>
      <c r="L1007" s="746">
        <f>L1003*0.75</f>
        <v>755.7625</v>
      </c>
      <c r="M1007" s="733"/>
      <c r="N1007" s="189"/>
      <c r="O1007" s="743" t="b">
        <v>1</v>
      </c>
    </row>
    <row r="1008">
      <c r="A1008" s="736"/>
      <c r="B1008" s="744"/>
      <c r="C1008" s="744"/>
      <c r="D1008" s="736"/>
      <c r="E1008" s="736"/>
      <c r="F1008" s="779"/>
      <c r="G1008" s="736"/>
      <c r="H1008" s="736"/>
      <c r="I1008" s="824"/>
      <c r="J1008" s="752"/>
      <c r="K1008" s="752"/>
      <c r="L1008" s="752"/>
      <c r="M1008" s="751"/>
      <c r="N1008" s="752"/>
      <c r="O1008" s="753"/>
    </row>
    <row r="1009">
      <c r="A1009" s="837" t="s">
        <v>1764</v>
      </c>
      <c r="B1009" s="838" t="s">
        <v>3486</v>
      </c>
      <c r="C1009" s="36"/>
      <c r="D1009" s="36"/>
      <c r="E1009" s="36"/>
      <c r="F1009" s="36"/>
      <c r="G1009" s="839" t="s">
        <v>1757</v>
      </c>
      <c r="H1009" s="756">
        <f>MEDIAN(H1011:H1013)</f>
        <v>1999</v>
      </c>
      <c r="I1009" s="840" t="s">
        <v>2230</v>
      </c>
      <c r="J1009" s="758" t="s">
        <v>2053</v>
      </c>
      <c r="K1009" s="731" t="s">
        <v>2054</v>
      </c>
      <c r="L1009" s="759">
        <f>AVERAGE(H1011:H1013)</f>
        <v>1832.633333</v>
      </c>
      <c r="M1009" s="733"/>
      <c r="N1009" s="760" t="s">
        <v>2055</v>
      </c>
      <c r="O1009" s="454"/>
    </row>
    <row r="1010">
      <c r="A1010" s="727" t="s">
        <v>1717</v>
      </c>
      <c r="B1010" s="728" t="s">
        <v>2056</v>
      </c>
      <c r="C1010" s="728" t="s">
        <v>2057</v>
      </c>
      <c r="D1010" s="727" t="s">
        <v>2058</v>
      </c>
      <c r="E1010" s="727" t="s">
        <v>2059</v>
      </c>
      <c r="F1010" s="729" t="s">
        <v>1537</v>
      </c>
      <c r="G1010" s="727" t="s">
        <v>2060</v>
      </c>
      <c r="H1010" s="727" t="s">
        <v>2061</v>
      </c>
      <c r="I1010" s="841" t="s">
        <v>2062</v>
      </c>
      <c r="J1010" s="301"/>
      <c r="K1010" s="731" t="s">
        <v>2063</v>
      </c>
      <c r="L1010" s="732">
        <f>STDEV(H1011:H1013)</f>
        <v>378.0788322</v>
      </c>
      <c r="M1010" s="733"/>
      <c r="N1010" s="189"/>
      <c r="O1010" s="454"/>
    </row>
    <row r="1011">
      <c r="A1011" s="736" t="s">
        <v>2230</v>
      </c>
      <c r="B1011" s="744" t="s">
        <v>2212</v>
      </c>
      <c r="C1011" s="747" t="s">
        <v>2276</v>
      </c>
      <c r="D1011" s="847" t="s">
        <v>2134</v>
      </c>
      <c r="E1011" s="763" t="s">
        <v>2529</v>
      </c>
      <c r="F1011" s="779" t="s">
        <v>3487</v>
      </c>
      <c r="G1011" s="736" t="s">
        <v>1757</v>
      </c>
      <c r="H1011" s="739">
        <v>1999.0</v>
      </c>
      <c r="I1011" s="775" t="s">
        <v>3488</v>
      </c>
      <c r="J1011" s="301"/>
      <c r="K1011" s="731" t="s">
        <v>2070</v>
      </c>
      <c r="L1011" s="741">
        <f>L1010/L1009</f>
        <v>0.206303588</v>
      </c>
      <c r="M1011" s="733"/>
      <c r="N1011" s="742" t="str">
        <f>IF(L1011&lt;25%,"Não","Sim - proceder verificação ao lado")</f>
        <v>Não</v>
      </c>
      <c r="O1011" s="743" t="b">
        <v>1</v>
      </c>
    </row>
    <row r="1012">
      <c r="A1012" s="736" t="s">
        <v>2230</v>
      </c>
      <c r="B1012" s="744" t="s">
        <v>2212</v>
      </c>
      <c r="C1012" s="744" t="s">
        <v>3457</v>
      </c>
      <c r="D1012" s="736" t="s">
        <v>3458</v>
      </c>
      <c r="E1012" s="763" t="s">
        <v>2529</v>
      </c>
      <c r="F1012" s="779" t="s">
        <v>3489</v>
      </c>
      <c r="G1012" s="736" t="s">
        <v>1757</v>
      </c>
      <c r="H1012" s="745">
        <v>1399.9</v>
      </c>
      <c r="I1012" s="775" t="s">
        <v>3490</v>
      </c>
      <c r="J1012" s="301"/>
      <c r="K1012" s="731" t="s">
        <v>2075</v>
      </c>
      <c r="L1012" s="746">
        <f>L1009*1.25</f>
        <v>2290.791667</v>
      </c>
      <c r="M1012" s="733"/>
      <c r="N1012" s="301"/>
      <c r="O1012" s="743" t="b">
        <v>1</v>
      </c>
    </row>
    <row r="1013">
      <c r="A1013" s="736" t="s">
        <v>2230</v>
      </c>
      <c r="B1013" s="744" t="s">
        <v>2212</v>
      </c>
      <c r="C1013" s="767" t="s">
        <v>2792</v>
      </c>
      <c r="D1013" s="777" t="s">
        <v>2793</v>
      </c>
      <c r="E1013" s="763" t="s">
        <v>2529</v>
      </c>
      <c r="F1013" s="764" t="s">
        <v>3491</v>
      </c>
      <c r="G1013" s="736" t="s">
        <v>1757</v>
      </c>
      <c r="H1013" s="745">
        <v>2099.0</v>
      </c>
      <c r="I1013" s="848" t="s">
        <v>3492</v>
      </c>
      <c r="J1013" s="189"/>
      <c r="K1013" s="731" t="s">
        <v>2080</v>
      </c>
      <c r="L1013" s="746">
        <f>L1009*0.75</f>
        <v>1374.475</v>
      </c>
      <c r="M1013" s="733"/>
      <c r="N1013" s="189"/>
      <c r="O1013" s="743" t="b">
        <v>1</v>
      </c>
    </row>
    <row r="1014">
      <c r="A1014" s="736"/>
      <c r="B1014" s="744"/>
      <c r="C1014" s="744"/>
      <c r="D1014" s="736"/>
      <c r="E1014" s="736"/>
      <c r="F1014" s="779"/>
      <c r="G1014" s="736"/>
      <c r="H1014" s="736"/>
      <c r="I1014" s="824"/>
      <c r="J1014" s="752"/>
      <c r="K1014" s="752"/>
      <c r="L1014" s="752"/>
      <c r="M1014" s="751"/>
      <c r="N1014" s="849"/>
      <c r="O1014" s="753"/>
    </row>
    <row r="1015">
      <c r="A1015" s="837" t="s">
        <v>3493</v>
      </c>
      <c r="B1015" s="838" t="s">
        <v>3494</v>
      </c>
      <c r="C1015" s="36"/>
      <c r="D1015" s="36"/>
      <c r="E1015" s="36"/>
      <c r="F1015" s="36"/>
      <c r="G1015" s="839" t="s">
        <v>1757</v>
      </c>
      <c r="H1015" s="756">
        <f>MEDIAN(H1017:H1019)</f>
        <v>1425</v>
      </c>
      <c r="I1015" s="840" t="s">
        <v>2230</v>
      </c>
      <c r="J1015" s="758" t="s">
        <v>2053</v>
      </c>
      <c r="K1015" s="731" t="s">
        <v>2054</v>
      </c>
      <c r="L1015" s="759">
        <f>AVERAGE(H1017:H1019)</f>
        <v>1441.3</v>
      </c>
      <c r="M1015" s="733"/>
      <c r="N1015" s="760" t="s">
        <v>2055</v>
      </c>
      <c r="O1015" s="454"/>
    </row>
    <row r="1016">
      <c r="A1016" s="727" t="s">
        <v>1717</v>
      </c>
      <c r="B1016" s="728" t="s">
        <v>2056</v>
      </c>
      <c r="C1016" s="728" t="s">
        <v>2057</v>
      </c>
      <c r="D1016" s="727" t="s">
        <v>2058</v>
      </c>
      <c r="E1016" s="727" t="s">
        <v>2059</v>
      </c>
      <c r="F1016" s="729" t="s">
        <v>1537</v>
      </c>
      <c r="G1016" s="727" t="s">
        <v>2060</v>
      </c>
      <c r="H1016" s="727" t="s">
        <v>2061</v>
      </c>
      <c r="I1016" s="841" t="s">
        <v>2062</v>
      </c>
      <c r="J1016" s="301"/>
      <c r="K1016" s="731" t="s">
        <v>2063</v>
      </c>
      <c r="L1016" s="732">
        <f>STDEV(H1017:H1019)</f>
        <v>51.52154889</v>
      </c>
      <c r="M1016" s="733"/>
      <c r="N1016" s="189"/>
      <c r="O1016" s="454"/>
    </row>
    <row r="1017">
      <c r="A1017" s="734"/>
      <c r="B1017" s="744" t="s">
        <v>2212</v>
      </c>
      <c r="C1017" s="767" t="s">
        <v>3465</v>
      </c>
      <c r="D1017" s="762" t="s">
        <v>3466</v>
      </c>
      <c r="E1017" s="763" t="s">
        <v>2529</v>
      </c>
      <c r="F1017" s="764" t="s">
        <v>3495</v>
      </c>
      <c r="G1017" s="736" t="s">
        <v>1757</v>
      </c>
      <c r="H1017" s="745">
        <v>1425.0</v>
      </c>
      <c r="I1017" s="776" t="s">
        <v>3496</v>
      </c>
      <c r="J1017" s="301"/>
      <c r="K1017" s="731" t="s">
        <v>2070</v>
      </c>
      <c r="L1017" s="741">
        <f>L1016/L1015</f>
        <v>0.03574658218</v>
      </c>
      <c r="M1017" s="733"/>
      <c r="N1017" s="742" t="str">
        <f>IF(L1017&lt;25%,"Não","Sim - proceder verificação ao lado")</f>
        <v>Não</v>
      </c>
      <c r="O1017" s="743" t="b">
        <v>1</v>
      </c>
    </row>
    <row r="1018">
      <c r="A1018" s="736" t="s">
        <v>2230</v>
      </c>
      <c r="B1018" s="744" t="s">
        <v>2212</v>
      </c>
      <c r="C1018" s="767" t="s">
        <v>2792</v>
      </c>
      <c r="D1018" s="777" t="s">
        <v>2793</v>
      </c>
      <c r="E1018" s="763" t="s">
        <v>2529</v>
      </c>
      <c r="F1018" s="801" t="s">
        <v>3497</v>
      </c>
      <c r="G1018" s="736" t="s">
        <v>1757</v>
      </c>
      <c r="H1018" s="745">
        <v>1499.0</v>
      </c>
      <c r="I1018" s="822" t="s">
        <v>3498</v>
      </c>
      <c r="J1018" s="301"/>
      <c r="K1018" s="731" t="s">
        <v>2075</v>
      </c>
      <c r="L1018" s="746">
        <f>L1015*1.25</f>
        <v>1801.625</v>
      </c>
      <c r="M1018" s="733"/>
      <c r="N1018" s="301"/>
      <c r="O1018" s="743" t="b">
        <v>1</v>
      </c>
    </row>
    <row r="1019">
      <c r="A1019" s="736" t="s">
        <v>2230</v>
      </c>
      <c r="B1019" s="744" t="s">
        <v>2212</v>
      </c>
      <c r="C1019" s="744" t="s">
        <v>3457</v>
      </c>
      <c r="D1019" s="736" t="s">
        <v>3458</v>
      </c>
      <c r="E1019" s="763" t="s">
        <v>2529</v>
      </c>
      <c r="F1019" s="779" t="s">
        <v>3489</v>
      </c>
      <c r="G1019" s="736" t="s">
        <v>1757</v>
      </c>
      <c r="H1019" s="745">
        <v>1399.9</v>
      </c>
      <c r="I1019" s="775" t="s">
        <v>3490</v>
      </c>
      <c r="J1019" s="189"/>
      <c r="K1019" s="731" t="s">
        <v>2080</v>
      </c>
      <c r="L1019" s="746">
        <f>L1015*0.75</f>
        <v>1080.975</v>
      </c>
      <c r="M1019" s="733"/>
      <c r="N1019" s="189"/>
      <c r="O1019" s="743" t="b">
        <v>1</v>
      </c>
    </row>
    <row r="1020">
      <c r="A1020" s="736"/>
      <c r="B1020" s="744"/>
      <c r="C1020" s="744"/>
      <c r="D1020" s="736"/>
      <c r="E1020" s="736"/>
      <c r="F1020" s="779"/>
      <c r="G1020" s="736"/>
      <c r="H1020" s="736"/>
      <c r="I1020" s="824"/>
      <c r="J1020" s="752"/>
      <c r="K1020" s="752"/>
      <c r="L1020" s="752"/>
      <c r="M1020" s="751"/>
      <c r="N1020" s="752"/>
      <c r="O1020" s="753"/>
    </row>
    <row r="1021">
      <c r="A1021" s="837" t="s">
        <v>1770</v>
      </c>
      <c r="B1021" s="838" t="s">
        <v>3499</v>
      </c>
      <c r="C1021" s="36"/>
      <c r="D1021" s="36"/>
      <c r="E1021" s="36"/>
      <c r="F1021" s="36"/>
      <c r="G1021" s="839" t="s">
        <v>1757</v>
      </c>
      <c r="H1021" s="756">
        <f>MEDIAN(H1023:H1025)</f>
        <v>1499</v>
      </c>
      <c r="I1021" s="840" t="s">
        <v>2230</v>
      </c>
      <c r="J1021" s="758" t="s">
        <v>2053</v>
      </c>
      <c r="K1021" s="731" t="s">
        <v>2054</v>
      </c>
      <c r="L1021" s="759">
        <f>AVERAGE(H1023:H1025)</f>
        <v>1499.633333</v>
      </c>
      <c r="M1021" s="733"/>
      <c r="N1021" s="760" t="s">
        <v>2055</v>
      </c>
      <c r="O1021" s="454"/>
    </row>
    <row r="1022">
      <c r="A1022" s="727" t="s">
        <v>1717</v>
      </c>
      <c r="B1022" s="728" t="s">
        <v>2056</v>
      </c>
      <c r="C1022" s="728" t="s">
        <v>2057</v>
      </c>
      <c r="D1022" s="727" t="s">
        <v>2058</v>
      </c>
      <c r="E1022" s="727" t="s">
        <v>2059</v>
      </c>
      <c r="F1022" s="729" t="s">
        <v>1537</v>
      </c>
      <c r="G1022" s="727" t="s">
        <v>2060</v>
      </c>
      <c r="H1022" s="727" t="s">
        <v>2061</v>
      </c>
      <c r="I1022" s="841" t="s">
        <v>2062</v>
      </c>
      <c r="J1022" s="301"/>
      <c r="K1022" s="731" t="s">
        <v>2063</v>
      </c>
      <c r="L1022" s="732">
        <f>STDEV(H1023:H1025)</f>
        <v>100.0515034</v>
      </c>
      <c r="M1022" s="733"/>
      <c r="N1022" s="189"/>
      <c r="O1022" s="454"/>
    </row>
    <row r="1023">
      <c r="A1023" s="734"/>
      <c r="B1023" s="744" t="s">
        <v>2212</v>
      </c>
      <c r="C1023" s="767" t="s">
        <v>3465</v>
      </c>
      <c r="D1023" s="762" t="s">
        <v>3466</v>
      </c>
      <c r="E1023" s="763" t="s">
        <v>2529</v>
      </c>
      <c r="F1023" s="764" t="s">
        <v>3500</v>
      </c>
      <c r="G1023" s="736" t="s">
        <v>1757</v>
      </c>
      <c r="H1023" s="745">
        <v>1600.0</v>
      </c>
      <c r="I1023" s="785" t="s">
        <v>3501</v>
      </c>
      <c r="J1023" s="301"/>
      <c r="K1023" s="731" t="s">
        <v>2070</v>
      </c>
      <c r="L1023" s="741">
        <f>L1022/L1021</f>
        <v>0.06671731095</v>
      </c>
      <c r="M1023" s="733"/>
      <c r="N1023" s="742" t="str">
        <f>IF(L1023&lt;25%,"Não","Sim - proceder verificação ao lado")</f>
        <v>Não</v>
      </c>
      <c r="O1023" s="743" t="b">
        <v>1</v>
      </c>
    </row>
    <row r="1024">
      <c r="A1024" s="736" t="s">
        <v>2230</v>
      </c>
      <c r="B1024" s="744" t="s">
        <v>2212</v>
      </c>
      <c r="C1024" s="767" t="s">
        <v>2792</v>
      </c>
      <c r="D1024" s="777" t="s">
        <v>2793</v>
      </c>
      <c r="E1024" s="763" t="s">
        <v>2529</v>
      </c>
      <c r="F1024" s="801" t="s">
        <v>3497</v>
      </c>
      <c r="G1024" s="736" t="s">
        <v>1757</v>
      </c>
      <c r="H1024" s="745">
        <v>1499.0</v>
      </c>
      <c r="I1024" s="848" t="s">
        <v>3502</v>
      </c>
      <c r="J1024" s="301"/>
      <c r="K1024" s="731" t="s">
        <v>2075</v>
      </c>
      <c r="L1024" s="746">
        <f>L1021*1.25</f>
        <v>1874.541667</v>
      </c>
      <c r="M1024" s="733"/>
      <c r="N1024" s="301"/>
      <c r="O1024" s="743" t="b">
        <v>1</v>
      </c>
    </row>
    <row r="1025">
      <c r="A1025" s="736" t="s">
        <v>2230</v>
      </c>
      <c r="B1025" s="744" t="s">
        <v>2212</v>
      </c>
      <c r="C1025" s="744" t="s">
        <v>3457</v>
      </c>
      <c r="D1025" s="736" t="s">
        <v>3458</v>
      </c>
      <c r="E1025" s="763" t="s">
        <v>2529</v>
      </c>
      <c r="F1025" s="779" t="s">
        <v>3489</v>
      </c>
      <c r="G1025" s="736" t="s">
        <v>1757</v>
      </c>
      <c r="H1025" s="745">
        <v>1399.9</v>
      </c>
      <c r="I1025" s="775" t="s">
        <v>3490</v>
      </c>
      <c r="J1025" s="189"/>
      <c r="K1025" s="731" t="s">
        <v>2080</v>
      </c>
      <c r="L1025" s="746">
        <f>L1021*0.75</f>
        <v>1124.725</v>
      </c>
      <c r="M1025" s="733"/>
      <c r="N1025" s="189"/>
      <c r="O1025" s="743" t="b">
        <v>1</v>
      </c>
    </row>
    <row r="1026">
      <c r="A1026" s="736"/>
      <c r="B1026" s="744"/>
      <c r="C1026" s="744"/>
      <c r="D1026" s="736"/>
      <c r="E1026" s="736"/>
      <c r="F1026" s="779"/>
      <c r="G1026" s="736"/>
      <c r="H1026" s="736"/>
      <c r="I1026" s="824"/>
      <c r="J1026" s="752"/>
      <c r="K1026" s="752"/>
      <c r="L1026" s="752"/>
      <c r="M1026" s="751"/>
      <c r="N1026" s="752"/>
      <c r="O1026" s="753"/>
    </row>
    <row r="1027">
      <c r="A1027" s="837" t="s">
        <v>1773</v>
      </c>
      <c r="B1027" s="838" t="s">
        <v>3503</v>
      </c>
      <c r="C1027" s="36"/>
      <c r="D1027" s="36"/>
      <c r="E1027" s="36"/>
      <c r="F1027" s="36"/>
      <c r="G1027" s="839" t="s">
        <v>1757</v>
      </c>
      <c r="H1027" s="756">
        <f>MEDIAN(H1029:H1031)</f>
        <v>1499</v>
      </c>
      <c r="I1027" s="840" t="s">
        <v>2230</v>
      </c>
      <c r="J1027" s="758" t="s">
        <v>2053</v>
      </c>
      <c r="K1027" s="731" t="s">
        <v>2054</v>
      </c>
      <c r="L1027" s="759">
        <f>AVERAGE(H1029:H1031)</f>
        <v>1499.633333</v>
      </c>
      <c r="M1027" s="733"/>
      <c r="N1027" s="760" t="s">
        <v>2055</v>
      </c>
      <c r="O1027" s="454"/>
    </row>
    <row r="1028">
      <c r="A1028" s="727" t="s">
        <v>1717</v>
      </c>
      <c r="B1028" s="728" t="s">
        <v>2056</v>
      </c>
      <c r="C1028" s="728" t="s">
        <v>2057</v>
      </c>
      <c r="D1028" s="727" t="s">
        <v>2058</v>
      </c>
      <c r="E1028" s="727" t="s">
        <v>2059</v>
      </c>
      <c r="F1028" s="729" t="s">
        <v>1537</v>
      </c>
      <c r="G1028" s="727" t="s">
        <v>2060</v>
      </c>
      <c r="H1028" s="727" t="s">
        <v>2061</v>
      </c>
      <c r="I1028" s="841" t="s">
        <v>2062</v>
      </c>
      <c r="J1028" s="301"/>
      <c r="K1028" s="731" t="s">
        <v>2063</v>
      </c>
      <c r="L1028" s="732">
        <f>STDEV(H1029:H1031)</f>
        <v>100.0515034</v>
      </c>
      <c r="M1028" s="733"/>
      <c r="N1028" s="189"/>
      <c r="O1028" s="454"/>
    </row>
    <row r="1029">
      <c r="A1029" s="734"/>
      <c r="B1029" s="744" t="s">
        <v>2212</v>
      </c>
      <c r="C1029" s="767" t="s">
        <v>3465</v>
      </c>
      <c r="D1029" s="762" t="s">
        <v>3466</v>
      </c>
      <c r="E1029" s="763" t="s">
        <v>2529</v>
      </c>
      <c r="F1029" s="764" t="s">
        <v>3500</v>
      </c>
      <c r="G1029" s="736" t="s">
        <v>1757</v>
      </c>
      <c r="H1029" s="745">
        <v>1600.0</v>
      </c>
      <c r="I1029" s="785" t="s">
        <v>3501</v>
      </c>
      <c r="J1029" s="301"/>
      <c r="K1029" s="731" t="s">
        <v>2070</v>
      </c>
      <c r="L1029" s="741">
        <f>L1028/L1027</f>
        <v>0.06671731095</v>
      </c>
      <c r="M1029" s="733"/>
      <c r="N1029" s="742" t="str">
        <f>IF(L1029&lt;25%,"Não","Sim - proceder verificação ao lado")</f>
        <v>Não</v>
      </c>
      <c r="O1029" s="743" t="b">
        <v>1</v>
      </c>
    </row>
    <row r="1030">
      <c r="A1030" s="736" t="s">
        <v>2230</v>
      </c>
      <c r="B1030" s="744" t="s">
        <v>2212</v>
      </c>
      <c r="C1030" s="767" t="s">
        <v>2792</v>
      </c>
      <c r="D1030" s="777" t="s">
        <v>2793</v>
      </c>
      <c r="E1030" s="763" t="s">
        <v>2529</v>
      </c>
      <c r="F1030" s="801" t="s">
        <v>3497</v>
      </c>
      <c r="G1030" s="736" t="s">
        <v>1757</v>
      </c>
      <c r="H1030" s="745">
        <v>1499.0</v>
      </c>
      <c r="I1030" s="785" t="s">
        <v>3502</v>
      </c>
      <c r="J1030" s="301"/>
      <c r="K1030" s="731" t="s">
        <v>2075</v>
      </c>
      <c r="L1030" s="746">
        <f>L1027*1.25</f>
        <v>1874.541667</v>
      </c>
      <c r="M1030" s="733"/>
      <c r="N1030" s="301"/>
      <c r="O1030" s="743" t="b">
        <v>1</v>
      </c>
    </row>
    <row r="1031">
      <c r="A1031" s="736" t="s">
        <v>2230</v>
      </c>
      <c r="B1031" s="744" t="s">
        <v>2212</v>
      </c>
      <c r="C1031" s="744" t="s">
        <v>3457</v>
      </c>
      <c r="D1031" s="736" t="s">
        <v>3458</v>
      </c>
      <c r="E1031" s="763" t="s">
        <v>2529</v>
      </c>
      <c r="F1031" s="779" t="s">
        <v>3489</v>
      </c>
      <c r="G1031" s="736" t="s">
        <v>1757</v>
      </c>
      <c r="H1031" s="745">
        <v>1399.9</v>
      </c>
      <c r="I1031" s="775" t="s">
        <v>3490</v>
      </c>
      <c r="J1031" s="189"/>
      <c r="K1031" s="731" t="s">
        <v>2080</v>
      </c>
      <c r="L1031" s="746">
        <f>L1027*0.75</f>
        <v>1124.725</v>
      </c>
      <c r="M1031" s="733"/>
      <c r="N1031" s="189"/>
      <c r="O1031" s="743" t="b">
        <v>1</v>
      </c>
    </row>
    <row r="1032">
      <c r="A1032" s="736"/>
      <c r="B1032" s="744"/>
      <c r="C1032" s="744"/>
      <c r="D1032" s="736"/>
      <c r="E1032" s="736"/>
      <c r="F1032" s="779"/>
      <c r="G1032" s="736"/>
      <c r="H1032" s="736"/>
      <c r="I1032" s="824"/>
      <c r="J1032" s="752"/>
      <c r="K1032" s="752"/>
      <c r="L1032" s="752"/>
      <c r="M1032" s="751"/>
      <c r="N1032" s="752"/>
      <c r="O1032" s="753"/>
    </row>
    <row r="1033">
      <c r="A1033" s="837" t="s">
        <v>1776</v>
      </c>
      <c r="B1033" s="838" t="s">
        <v>3504</v>
      </c>
      <c r="C1033" s="36"/>
      <c r="D1033" s="36"/>
      <c r="E1033" s="36"/>
      <c r="F1033" s="36"/>
      <c r="G1033" s="839" t="s">
        <v>1757</v>
      </c>
      <c r="H1033" s="756">
        <f>MEDIAN(H1035:H1037)</f>
        <v>1606</v>
      </c>
      <c r="I1033" s="840" t="s">
        <v>2230</v>
      </c>
      <c r="J1033" s="758" t="s">
        <v>2053</v>
      </c>
      <c r="K1033" s="731" t="s">
        <v>2054</v>
      </c>
      <c r="L1033" s="759">
        <f>AVERAGE(H1035:H1037)</f>
        <v>1601.966667</v>
      </c>
      <c r="M1033" s="733"/>
      <c r="N1033" s="760" t="s">
        <v>2055</v>
      </c>
      <c r="O1033" s="454"/>
    </row>
    <row r="1034">
      <c r="A1034" s="727" t="s">
        <v>1717</v>
      </c>
      <c r="B1034" s="728" t="s">
        <v>2056</v>
      </c>
      <c r="C1034" s="728" t="s">
        <v>2057</v>
      </c>
      <c r="D1034" s="727" t="s">
        <v>2058</v>
      </c>
      <c r="E1034" s="727" t="s">
        <v>2059</v>
      </c>
      <c r="F1034" s="729" t="s">
        <v>1537</v>
      </c>
      <c r="G1034" s="727" t="s">
        <v>2060</v>
      </c>
      <c r="H1034" s="727" t="s">
        <v>2061</v>
      </c>
      <c r="I1034" s="841" t="s">
        <v>2062</v>
      </c>
      <c r="J1034" s="301"/>
      <c r="K1034" s="731" t="s">
        <v>2063</v>
      </c>
      <c r="L1034" s="732">
        <f>STDEV(H1035:H1037)</f>
        <v>200.0804921</v>
      </c>
      <c r="M1034" s="733"/>
      <c r="N1034" s="189"/>
      <c r="O1034" s="454"/>
    </row>
    <row r="1035">
      <c r="A1035" s="734"/>
      <c r="B1035" s="744" t="s">
        <v>2212</v>
      </c>
      <c r="C1035" s="767" t="s">
        <v>3472</v>
      </c>
      <c r="D1035" s="777" t="s">
        <v>3473</v>
      </c>
      <c r="E1035" s="763" t="s">
        <v>2529</v>
      </c>
      <c r="F1035" s="764" t="s">
        <v>3505</v>
      </c>
      <c r="G1035" s="736" t="s">
        <v>1757</v>
      </c>
      <c r="H1035" s="745">
        <v>1606.0</v>
      </c>
      <c r="I1035" s="776" t="s">
        <v>3506</v>
      </c>
      <c r="J1035" s="301"/>
      <c r="K1035" s="731" t="s">
        <v>2070</v>
      </c>
      <c r="L1035" s="741">
        <f>L1034/L1033</f>
        <v>0.1248967886</v>
      </c>
      <c r="M1035" s="733"/>
      <c r="N1035" s="742" t="str">
        <f>IF(L1035&lt;25%,"Não","Sim - proceder verificação ao lado")</f>
        <v>Não</v>
      </c>
      <c r="O1035" s="743" t="b">
        <v>1</v>
      </c>
    </row>
    <row r="1036">
      <c r="A1036" s="736" t="s">
        <v>2230</v>
      </c>
      <c r="B1036" s="744" t="s">
        <v>2212</v>
      </c>
      <c r="C1036" s="767" t="s">
        <v>3465</v>
      </c>
      <c r="D1036" s="762" t="s">
        <v>3466</v>
      </c>
      <c r="E1036" s="763" t="s">
        <v>2529</v>
      </c>
      <c r="F1036" s="764" t="s">
        <v>3507</v>
      </c>
      <c r="G1036" s="736" t="s">
        <v>1757</v>
      </c>
      <c r="H1036" s="745">
        <v>1800.0</v>
      </c>
      <c r="I1036" s="785" t="s">
        <v>3508</v>
      </c>
      <c r="J1036" s="301"/>
      <c r="K1036" s="731" t="s">
        <v>2075</v>
      </c>
      <c r="L1036" s="746">
        <f>L1033*1.25</f>
        <v>2002.458333</v>
      </c>
      <c r="M1036" s="733"/>
      <c r="N1036" s="301"/>
      <c r="O1036" s="743" t="b">
        <v>1</v>
      </c>
    </row>
    <row r="1037">
      <c r="A1037" s="736" t="s">
        <v>2230</v>
      </c>
      <c r="B1037" s="744" t="s">
        <v>2212</v>
      </c>
      <c r="C1037" s="744" t="s">
        <v>3457</v>
      </c>
      <c r="D1037" s="736" t="s">
        <v>3458</v>
      </c>
      <c r="E1037" s="763" t="s">
        <v>2529</v>
      </c>
      <c r="F1037" s="779" t="s">
        <v>3489</v>
      </c>
      <c r="G1037" s="736" t="s">
        <v>1757</v>
      </c>
      <c r="H1037" s="745">
        <v>1399.9</v>
      </c>
      <c r="I1037" s="775" t="s">
        <v>3490</v>
      </c>
      <c r="J1037" s="189"/>
      <c r="K1037" s="731" t="s">
        <v>2080</v>
      </c>
      <c r="L1037" s="746">
        <f>L1033*0.75</f>
        <v>1201.475</v>
      </c>
      <c r="M1037" s="733"/>
      <c r="N1037" s="189"/>
      <c r="O1037" s="743" t="b">
        <v>1</v>
      </c>
    </row>
    <row r="1038">
      <c r="A1038" s="736"/>
      <c r="B1038" s="744"/>
      <c r="C1038" s="744"/>
      <c r="D1038" s="736"/>
      <c r="E1038" s="736"/>
      <c r="F1038" s="779"/>
      <c r="G1038" s="736"/>
      <c r="H1038" s="736"/>
      <c r="I1038" s="824"/>
      <c r="J1038" s="752"/>
      <c r="K1038" s="752"/>
      <c r="L1038" s="752"/>
      <c r="M1038" s="751"/>
      <c r="N1038" s="752"/>
      <c r="O1038" s="753"/>
    </row>
    <row r="1039">
      <c r="A1039" s="837" t="s">
        <v>1779</v>
      </c>
      <c r="B1039" s="838" t="s">
        <v>3509</v>
      </c>
      <c r="C1039" s="36"/>
      <c r="D1039" s="36"/>
      <c r="E1039" s="36"/>
      <c r="F1039" s="36"/>
      <c r="G1039" s="839" t="s">
        <v>1757</v>
      </c>
      <c r="H1039" s="756">
        <f>MEDIAN(H1041:H1043)</f>
        <v>2099</v>
      </c>
      <c r="I1039" s="840" t="s">
        <v>2230</v>
      </c>
      <c r="J1039" s="758" t="s">
        <v>2053</v>
      </c>
      <c r="K1039" s="731" t="s">
        <v>2054</v>
      </c>
      <c r="L1039" s="759">
        <f>AVERAGE(H1041:H1043)</f>
        <v>1935</v>
      </c>
      <c r="M1039" s="733"/>
      <c r="N1039" s="760" t="s">
        <v>2055</v>
      </c>
      <c r="O1039" s="454"/>
    </row>
    <row r="1040">
      <c r="A1040" s="727" t="s">
        <v>1717</v>
      </c>
      <c r="B1040" s="728" t="s">
        <v>2056</v>
      </c>
      <c r="C1040" s="728" t="s">
        <v>2057</v>
      </c>
      <c r="D1040" s="727" t="s">
        <v>2058</v>
      </c>
      <c r="E1040" s="727" t="s">
        <v>2059</v>
      </c>
      <c r="F1040" s="729" t="s">
        <v>1537</v>
      </c>
      <c r="G1040" s="727" t="s">
        <v>2060</v>
      </c>
      <c r="H1040" s="727" t="s">
        <v>2061</v>
      </c>
      <c r="I1040" s="841" t="s">
        <v>2062</v>
      </c>
      <c r="J1040" s="301"/>
      <c r="K1040" s="731" t="s">
        <v>2063</v>
      </c>
      <c r="L1040" s="732">
        <f>STDEV(H1041:H1043)</f>
        <v>284.9227966</v>
      </c>
      <c r="M1040" s="733"/>
      <c r="N1040" s="189"/>
      <c r="O1040" s="454"/>
    </row>
    <row r="1041">
      <c r="A1041" s="734"/>
      <c r="B1041" s="843" t="s">
        <v>2212</v>
      </c>
      <c r="C1041" s="767" t="s">
        <v>3472</v>
      </c>
      <c r="D1041" s="777" t="s">
        <v>3473</v>
      </c>
      <c r="E1041" s="763" t="s">
        <v>2529</v>
      </c>
      <c r="F1041" s="764" t="s">
        <v>3510</v>
      </c>
      <c r="G1041" s="815" t="s">
        <v>1757</v>
      </c>
      <c r="H1041" s="745">
        <v>1606.0</v>
      </c>
      <c r="I1041" s="776" t="s">
        <v>3511</v>
      </c>
      <c r="J1041" s="301"/>
      <c r="K1041" s="731" t="s">
        <v>2070</v>
      </c>
      <c r="L1041" s="741">
        <f>L1040/L1039</f>
        <v>0.1472469233</v>
      </c>
      <c r="M1041" s="733"/>
      <c r="N1041" s="742" t="str">
        <f>IF(L1041&lt;25%,"Não","Sim - proceder verificação ao lado")</f>
        <v>Não</v>
      </c>
      <c r="O1041" s="743" t="b">
        <v>1</v>
      </c>
    </row>
    <row r="1042">
      <c r="A1042" s="815" t="s">
        <v>2230</v>
      </c>
      <c r="B1042" s="843" t="s">
        <v>2212</v>
      </c>
      <c r="C1042" s="843" t="s">
        <v>3465</v>
      </c>
      <c r="D1042" s="815" t="s">
        <v>3466</v>
      </c>
      <c r="E1042" s="763" t="s">
        <v>2529</v>
      </c>
      <c r="F1042" s="850" t="s">
        <v>3512</v>
      </c>
      <c r="G1042" s="815" t="s">
        <v>1757</v>
      </c>
      <c r="H1042" s="816">
        <v>2100.0</v>
      </c>
      <c r="I1042" s="851" t="s">
        <v>3513</v>
      </c>
      <c r="J1042" s="301"/>
      <c r="K1042" s="731" t="s">
        <v>2075</v>
      </c>
      <c r="L1042" s="746">
        <f>L1039*1.25</f>
        <v>2418.75</v>
      </c>
      <c r="M1042" s="733"/>
      <c r="N1042" s="301"/>
      <c r="O1042" s="743" t="b">
        <v>1</v>
      </c>
    </row>
    <row r="1043">
      <c r="A1043" s="815" t="s">
        <v>2230</v>
      </c>
      <c r="B1043" s="843" t="s">
        <v>2212</v>
      </c>
      <c r="C1043" s="843" t="s">
        <v>3514</v>
      </c>
      <c r="D1043" s="815" t="s">
        <v>2793</v>
      </c>
      <c r="E1043" s="763" t="s">
        <v>2529</v>
      </c>
      <c r="F1043" s="850" t="s">
        <v>3491</v>
      </c>
      <c r="G1043" s="815" t="s">
        <v>1757</v>
      </c>
      <c r="H1043" s="816">
        <v>2099.0</v>
      </c>
      <c r="I1043" s="852" t="s">
        <v>3492</v>
      </c>
      <c r="J1043" s="189"/>
      <c r="K1043" s="731" t="s">
        <v>2080</v>
      </c>
      <c r="L1043" s="746">
        <f>L1039*0.75</f>
        <v>1451.25</v>
      </c>
      <c r="M1043" s="733"/>
      <c r="N1043" s="189"/>
      <c r="O1043" s="743" t="b">
        <v>1</v>
      </c>
    </row>
    <row r="1044">
      <c r="A1044" s="736"/>
      <c r="B1044" s="843"/>
      <c r="C1044" s="843"/>
      <c r="D1044" s="815"/>
      <c r="E1044" s="815"/>
      <c r="F1044" s="850"/>
      <c r="G1044" s="815"/>
      <c r="H1044" s="815"/>
      <c r="I1044" s="853"/>
      <c r="J1044" s="752"/>
      <c r="K1044" s="752"/>
      <c r="L1044" s="752"/>
      <c r="M1044" s="751"/>
      <c r="N1044" s="752"/>
      <c r="O1044" s="753"/>
    </row>
    <row r="1045">
      <c r="A1045" s="837" t="s">
        <v>1781</v>
      </c>
      <c r="B1045" s="838" t="s">
        <v>3515</v>
      </c>
      <c r="C1045" s="36"/>
      <c r="D1045" s="36"/>
      <c r="E1045" s="36"/>
      <c r="F1045" s="36"/>
      <c r="G1045" s="839" t="s">
        <v>1757</v>
      </c>
      <c r="H1045" s="756">
        <f>MEDIAN(H1047:H1049)</f>
        <v>2099</v>
      </c>
      <c r="I1045" s="840" t="s">
        <v>2230</v>
      </c>
      <c r="J1045" s="758" t="s">
        <v>2053</v>
      </c>
      <c r="K1045" s="731" t="s">
        <v>2054</v>
      </c>
      <c r="L1045" s="759">
        <f>AVERAGE(H1047:H1049)</f>
        <v>2016.333333</v>
      </c>
      <c r="M1045" s="733"/>
      <c r="N1045" s="760" t="s">
        <v>2055</v>
      </c>
      <c r="O1045" s="454"/>
    </row>
    <row r="1046">
      <c r="A1046" s="727" t="s">
        <v>1717</v>
      </c>
      <c r="B1046" s="728" t="s">
        <v>2056</v>
      </c>
      <c r="C1046" s="728" t="s">
        <v>2057</v>
      </c>
      <c r="D1046" s="727" t="s">
        <v>2058</v>
      </c>
      <c r="E1046" s="727" t="s">
        <v>2059</v>
      </c>
      <c r="F1046" s="729" t="s">
        <v>1537</v>
      </c>
      <c r="G1046" s="727" t="s">
        <v>2060</v>
      </c>
      <c r="H1046" s="727" t="s">
        <v>2061</v>
      </c>
      <c r="I1046" s="841" t="s">
        <v>2062</v>
      </c>
      <c r="J1046" s="301"/>
      <c r="K1046" s="731" t="s">
        <v>2063</v>
      </c>
      <c r="L1046" s="732">
        <f>STDEV(H1047:H1049)</f>
        <v>144.0497599</v>
      </c>
      <c r="M1046" s="733"/>
      <c r="N1046" s="189"/>
      <c r="O1046" s="454"/>
    </row>
    <row r="1047">
      <c r="A1047" s="734"/>
      <c r="B1047" s="843" t="s">
        <v>2212</v>
      </c>
      <c r="C1047" s="767" t="s">
        <v>3516</v>
      </c>
      <c r="D1047" s="777" t="s">
        <v>3517</v>
      </c>
      <c r="E1047" s="763" t="s">
        <v>2529</v>
      </c>
      <c r="F1047" s="764" t="s">
        <v>3518</v>
      </c>
      <c r="G1047" s="736" t="s">
        <v>1757</v>
      </c>
      <c r="H1047" s="745">
        <v>1850.0</v>
      </c>
      <c r="I1047" s="776" t="s">
        <v>3519</v>
      </c>
      <c r="J1047" s="301"/>
      <c r="K1047" s="731" t="s">
        <v>2070</v>
      </c>
      <c r="L1047" s="741">
        <f>L1046/L1045</f>
        <v>0.07144144152</v>
      </c>
      <c r="M1047" s="733"/>
      <c r="N1047" s="742" t="str">
        <f>IF(L1047&lt;25%,"Não","Sim - proceder verificação ao lado")</f>
        <v>Não</v>
      </c>
      <c r="O1047" s="743" t="b">
        <v>1</v>
      </c>
    </row>
    <row r="1048">
      <c r="A1048" s="815" t="s">
        <v>2230</v>
      </c>
      <c r="B1048" s="843" t="s">
        <v>2212</v>
      </c>
      <c r="C1048" s="843" t="s">
        <v>3465</v>
      </c>
      <c r="D1048" s="815" t="s">
        <v>3466</v>
      </c>
      <c r="E1048" s="763" t="s">
        <v>2529</v>
      </c>
      <c r="F1048" s="850" t="s">
        <v>3512</v>
      </c>
      <c r="G1048" s="815" t="s">
        <v>1757</v>
      </c>
      <c r="H1048" s="816">
        <v>2100.0</v>
      </c>
      <c r="I1048" s="851" t="s">
        <v>3513</v>
      </c>
      <c r="J1048" s="301"/>
      <c r="K1048" s="731" t="s">
        <v>2075</v>
      </c>
      <c r="L1048" s="746">
        <f>L1045*1.25</f>
        <v>2520.416667</v>
      </c>
      <c r="M1048" s="733"/>
      <c r="N1048" s="301"/>
      <c r="O1048" s="743" t="b">
        <v>1</v>
      </c>
    </row>
    <row r="1049">
      <c r="A1049" s="815" t="s">
        <v>2230</v>
      </c>
      <c r="B1049" s="843" t="s">
        <v>2212</v>
      </c>
      <c r="C1049" s="843" t="s">
        <v>3514</v>
      </c>
      <c r="D1049" s="815" t="s">
        <v>2793</v>
      </c>
      <c r="E1049" s="763" t="s">
        <v>2529</v>
      </c>
      <c r="F1049" s="850" t="s">
        <v>3491</v>
      </c>
      <c r="G1049" s="815" t="s">
        <v>1757</v>
      </c>
      <c r="H1049" s="816">
        <v>2099.0</v>
      </c>
      <c r="I1049" s="852" t="s">
        <v>3492</v>
      </c>
      <c r="J1049" s="189"/>
      <c r="K1049" s="731" t="s">
        <v>2080</v>
      </c>
      <c r="L1049" s="746">
        <f>L1045*0.75</f>
        <v>1512.25</v>
      </c>
      <c r="M1049" s="733"/>
      <c r="N1049" s="189"/>
      <c r="O1049" s="743" t="b">
        <v>1</v>
      </c>
    </row>
    <row r="1050">
      <c r="A1050" s="736"/>
      <c r="B1050" s="744"/>
      <c r="C1050" s="744"/>
      <c r="D1050" s="736"/>
      <c r="E1050" s="736"/>
      <c r="F1050" s="779"/>
      <c r="G1050" s="736"/>
      <c r="H1050" s="736"/>
      <c r="I1050" s="824"/>
      <c r="J1050" s="752"/>
      <c r="K1050" s="752"/>
      <c r="L1050" s="752"/>
      <c r="M1050" s="751"/>
      <c r="N1050" s="752"/>
      <c r="O1050" s="753"/>
    </row>
    <row r="1051">
      <c r="A1051" s="837" t="s">
        <v>184</v>
      </c>
      <c r="B1051" s="838" t="s">
        <v>3520</v>
      </c>
      <c r="C1051" s="36"/>
      <c r="D1051" s="36"/>
      <c r="E1051" s="36"/>
      <c r="F1051" s="36"/>
      <c r="G1051" s="839" t="s">
        <v>1757</v>
      </c>
      <c r="H1051" s="756">
        <f>MEDIAN(H1053:H1055)</f>
        <v>45</v>
      </c>
      <c r="I1051" s="840" t="s">
        <v>2230</v>
      </c>
      <c r="J1051" s="758" t="s">
        <v>2053</v>
      </c>
      <c r="K1051" s="731" t="s">
        <v>2054</v>
      </c>
      <c r="L1051" s="759">
        <f>AVERAGE(H1053:H1055)</f>
        <v>44.73333333</v>
      </c>
      <c r="M1051" s="733"/>
      <c r="N1051" s="760" t="s">
        <v>2055</v>
      </c>
      <c r="O1051" s="454"/>
    </row>
    <row r="1052">
      <c r="A1052" s="727" t="s">
        <v>1717</v>
      </c>
      <c r="B1052" s="728" t="s">
        <v>2056</v>
      </c>
      <c r="C1052" s="728" t="s">
        <v>2057</v>
      </c>
      <c r="D1052" s="727" t="s">
        <v>2058</v>
      </c>
      <c r="E1052" s="727" t="s">
        <v>2059</v>
      </c>
      <c r="F1052" s="729" t="s">
        <v>1537</v>
      </c>
      <c r="G1052" s="727" t="s">
        <v>2060</v>
      </c>
      <c r="H1052" s="727" t="s">
        <v>2061</v>
      </c>
      <c r="I1052" s="841" t="s">
        <v>2062</v>
      </c>
      <c r="J1052" s="301"/>
      <c r="K1052" s="731" t="s">
        <v>2063</v>
      </c>
      <c r="L1052" s="732">
        <f>STDEV(H1053:H1055)</f>
        <v>5.404936016</v>
      </c>
      <c r="M1052" s="733"/>
      <c r="N1052" s="189"/>
      <c r="O1052" s="454"/>
    </row>
    <row r="1053">
      <c r="A1053" s="736" t="s">
        <v>2230</v>
      </c>
      <c r="B1053" s="761" t="s">
        <v>3521</v>
      </c>
      <c r="C1053" s="767" t="s">
        <v>3522</v>
      </c>
      <c r="D1053" s="777" t="s">
        <v>3523</v>
      </c>
      <c r="E1053" s="763" t="s">
        <v>2366</v>
      </c>
      <c r="F1053" s="764" t="s">
        <v>3524</v>
      </c>
      <c r="G1053" s="736" t="s">
        <v>1757</v>
      </c>
      <c r="H1053" s="745">
        <v>50.0</v>
      </c>
      <c r="I1053" s="778"/>
      <c r="J1053" s="301"/>
      <c r="K1053" s="731" t="s">
        <v>2070</v>
      </c>
      <c r="L1053" s="741">
        <f>L1052/L1051</f>
        <v>0.1208256933</v>
      </c>
      <c r="M1053" s="733"/>
      <c r="N1053" s="742" t="str">
        <f>IF(L1053&lt;25%,"Não","Sim - proceder verificação ao lado")</f>
        <v>Não</v>
      </c>
      <c r="O1053" s="743" t="b">
        <v>1</v>
      </c>
    </row>
    <row r="1054">
      <c r="A1054" s="736" t="s">
        <v>2230</v>
      </c>
      <c r="B1054" s="735" t="s">
        <v>2174</v>
      </c>
      <c r="C1054" s="744" t="s">
        <v>3525</v>
      </c>
      <c r="D1054" s="736" t="s">
        <v>3526</v>
      </c>
      <c r="E1054" s="763" t="s">
        <v>2529</v>
      </c>
      <c r="F1054" s="779" t="s">
        <v>3527</v>
      </c>
      <c r="G1054" s="736" t="s">
        <v>1757</v>
      </c>
      <c r="H1054" s="745">
        <v>45.0</v>
      </c>
      <c r="I1054" s="778"/>
      <c r="J1054" s="301"/>
      <c r="K1054" s="731" t="s">
        <v>2075</v>
      </c>
      <c r="L1054" s="746">
        <f>L1051*1.25</f>
        <v>55.91666667</v>
      </c>
      <c r="M1054" s="733"/>
      <c r="N1054" s="301"/>
      <c r="O1054" s="743" t="b">
        <v>1</v>
      </c>
    </row>
    <row r="1055">
      <c r="A1055" s="736" t="s">
        <v>2230</v>
      </c>
      <c r="B1055" s="735" t="s">
        <v>2174</v>
      </c>
      <c r="C1055" s="744" t="s">
        <v>3528</v>
      </c>
      <c r="D1055" s="736" t="s">
        <v>3529</v>
      </c>
      <c r="E1055" s="763" t="s">
        <v>2529</v>
      </c>
      <c r="F1055" s="764" t="s">
        <v>3530</v>
      </c>
      <c r="G1055" s="736" t="s">
        <v>1757</v>
      </c>
      <c r="H1055" s="745">
        <v>39.2</v>
      </c>
      <c r="I1055" s="778"/>
      <c r="J1055" s="189"/>
      <c r="K1055" s="731" t="s">
        <v>2080</v>
      </c>
      <c r="L1055" s="746">
        <f>L1051*0.75</f>
        <v>33.55</v>
      </c>
      <c r="M1055" s="733"/>
      <c r="N1055" s="189"/>
      <c r="O1055" s="743" t="b">
        <v>1</v>
      </c>
    </row>
    <row r="1056">
      <c r="A1056" s="736"/>
      <c r="B1056" s="744"/>
      <c r="C1056" s="744"/>
      <c r="D1056" s="736"/>
      <c r="E1056" s="736"/>
      <c r="F1056" s="779"/>
      <c r="G1056" s="736"/>
      <c r="H1056" s="736"/>
      <c r="I1056" s="824"/>
      <c r="J1056" s="752"/>
      <c r="K1056" s="752"/>
      <c r="L1056" s="752"/>
      <c r="M1056" s="751"/>
      <c r="N1056" s="752"/>
      <c r="O1056" s="753"/>
    </row>
    <row r="1057">
      <c r="A1057" s="837" t="s">
        <v>147</v>
      </c>
      <c r="B1057" s="838" t="s">
        <v>3531</v>
      </c>
      <c r="C1057" s="36"/>
      <c r="D1057" s="36"/>
      <c r="E1057" s="36"/>
      <c r="F1057" s="36"/>
      <c r="G1057" s="839" t="s">
        <v>1757</v>
      </c>
      <c r="H1057" s="756">
        <f>MEDIAN(H1059:H1061)</f>
        <v>60</v>
      </c>
      <c r="I1057" s="840" t="s">
        <v>2230</v>
      </c>
      <c r="J1057" s="758" t="s">
        <v>2053</v>
      </c>
      <c r="K1057" s="731" t="s">
        <v>2054</v>
      </c>
      <c r="L1057" s="759">
        <f>AVERAGE(H1059:H1061)</f>
        <v>57.53333333</v>
      </c>
      <c r="M1057" s="733"/>
      <c r="N1057" s="760" t="s">
        <v>2055</v>
      </c>
      <c r="O1057" s="454"/>
    </row>
    <row r="1058">
      <c r="A1058" s="727" t="s">
        <v>1717</v>
      </c>
      <c r="B1058" s="728" t="s">
        <v>2056</v>
      </c>
      <c r="C1058" s="728" t="s">
        <v>2057</v>
      </c>
      <c r="D1058" s="727" t="s">
        <v>2058</v>
      </c>
      <c r="E1058" s="727" t="s">
        <v>2059</v>
      </c>
      <c r="F1058" s="729" t="s">
        <v>1537</v>
      </c>
      <c r="G1058" s="727" t="s">
        <v>2060</v>
      </c>
      <c r="H1058" s="727" t="s">
        <v>2061</v>
      </c>
      <c r="I1058" s="841" t="s">
        <v>2062</v>
      </c>
      <c r="J1058" s="301"/>
      <c r="K1058" s="731" t="s">
        <v>2063</v>
      </c>
      <c r="L1058" s="732">
        <f>STDEV(H1059:H1061)</f>
        <v>8.95842248</v>
      </c>
      <c r="M1058" s="733"/>
      <c r="N1058" s="189"/>
      <c r="O1058" s="454"/>
    </row>
    <row r="1059">
      <c r="A1059" s="736" t="s">
        <v>2230</v>
      </c>
      <c r="B1059" s="735" t="s">
        <v>2174</v>
      </c>
      <c r="C1059" s="744" t="s">
        <v>3528</v>
      </c>
      <c r="D1059" s="736" t="s">
        <v>3529</v>
      </c>
      <c r="E1059" s="763" t="s">
        <v>2529</v>
      </c>
      <c r="F1059" s="764" t="s">
        <v>3532</v>
      </c>
      <c r="G1059" s="736" t="s">
        <v>1757</v>
      </c>
      <c r="H1059" s="745">
        <v>47.6</v>
      </c>
      <c r="I1059" s="778"/>
      <c r="J1059" s="301"/>
      <c r="K1059" s="731" t="s">
        <v>2070</v>
      </c>
      <c r="L1059" s="741">
        <f>L1058/L1057</f>
        <v>0.1557083861</v>
      </c>
      <c r="M1059" s="733"/>
      <c r="N1059" s="742" t="str">
        <f>IF(L1059&lt;25%,"Não","Sim - proceder verificação ao lado")</f>
        <v>Não</v>
      </c>
      <c r="O1059" s="743" t="b">
        <v>1</v>
      </c>
    </row>
    <row r="1060">
      <c r="A1060" s="736" t="s">
        <v>2230</v>
      </c>
      <c r="B1060" s="735" t="s">
        <v>2174</v>
      </c>
      <c r="C1060" s="767" t="s">
        <v>3522</v>
      </c>
      <c r="D1060" s="777" t="s">
        <v>3523</v>
      </c>
      <c r="E1060" s="763" t="s">
        <v>2366</v>
      </c>
      <c r="F1060" s="764" t="s">
        <v>3533</v>
      </c>
      <c r="G1060" s="736" t="s">
        <v>1757</v>
      </c>
      <c r="H1060" s="745">
        <v>60.0</v>
      </c>
      <c r="I1060" s="778"/>
      <c r="J1060" s="301"/>
      <c r="K1060" s="731" t="s">
        <v>2075</v>
      </c>
      <c r="L1060" s="746">
        <f>L1057*1.25</f>
        <v>71.91666667</v>
      </c>
      <c r="M1060" s="733"/>
      <c r="N1060" s="301"/>
      <c r="O1060" s="743" t="b">
        <v>1</v>
      </c>
    </row>
    <row r="1061">
      <c r="A1061" s="736" t="s">
        <v>2230</v>
      </c>
      <c r="B1061" s="735" t="s">
        <v>2174</v>
      </c>
      <c r="C1061" s="744" t="s">
        <v>3525</v>
      </c>
      <c r="D1061" s="736" t="s">
        <v>3526</v>
      </c>
      <c r="E1061" s="763" t="s">
        <v>2529</v>
      </c>
      <c r="F1061" s="779" t="s">
        <v>3534</v>
      </c>
      <c r="G1061" s="736" t="s">
        <v>1757</v>
      </c>
      <c r="H1061" s="739">
        <v>65.0</v>
      </c>
      <c r="I1061" s="778"/>
      <c r="J1061" s="189"/>
      <c r="K1061" s="731" t="s">
        <v>2080</v>
      </c>
      <c r="L1061" s="746">
        <f>L1057*0.75</f>
        <v>43.15</v>
      </c>
      <c r="M1061" s="733"/>
      <c r="N1061" s="189"/>
      <c r="O1061" s="743" t="b">
        <v>1</v>
      </c>
    </row>
    <row r="1062">
      <c r="A1062" s="736"/>
      <c r="B1062" s="744"/>
      <c r="C1062" s="744"/>
      <c r="D1062" s="736"/>
      <c r="E1062" s="736"/>
      <c r="F1062" s="779"/>
      <c r="G1062" s="736"/>
      <c r="H1062" s="736"/>
      <c r="I1062" s="824"/>
      <c r="J1062" s="752"/>
      <c r="K1062" s="752"/>
      <c r="L1062" s="752"/>
      <c r="M1062" s="751"/>
      <c r="N1062" s="752"/>
      <c r="O1062" s="753"/>
    </row>
    <row r="1063">
      <c r="A1063" s="837" t="s">
        <v>149</v>
      </c>
      <c r="B1063" s="838" t="s">
        <v>3535</v>
      </c>
      <c r="C1063" s="36"/>
      <c r="D1063" s="36"/>
      <c r="E1063" s="36"/>
      <c r="F1063" s="36"/>
      <c r="G1063" s="839" t="s">
        <v>1757</v>
      </c>
      <c r="H1063" s="756">
        <f>MEDIAN(H1065:H1067)</f>
        <v>100</v>
      </c>
      <c r="I1063" s="840" t="s">
        <v>2230</v>
      </c>
      <c r="J1063" s="758" t="s">
        <v>2053</v>
      </c>
      <c r="K1063" s="731" t="s">
        <v>2054</v>
      </c>
      <c r="L1063" s="759">
        <f>AVERAGE(H1065:H1067)</f>
        <v>93.1</v>
      </c>
      <c r="M1063" s="733"/>
      <c r="N1063" s="760" t="s">
        <v>2055</v>
      </c>
      <c r="O1063" s="454"/>
    </row>
    <row r="1064">
      <c r="A1064" s="727" t="s">
        <v>1717</v>
      </c>
      <c r="B1064" s="728" t="s">
        <v>2056</v>
      </c>
      <c r="C1064" s="728" t="s">
        <v>2057</v>
      </c>
      <c r="D1064" s="727" t="s">
        <v>2058</v>
      </c>
      <c r="E1064" s="727" t="s">
        <v>2059</v>
      </c>
      <c r="F1064" s="729" t="s">
        <v>1537</v>
      </c>
      <c r="G1064" s="727" t="s">
        <v>2060</v>
      </c>
      <c r="H1064" s="727" t="s">
        <v>2061</v>
      </c>
      <c r="I1064" s="841" t="s">
        <v>2062</v>
      </c>
      <c r="J1064" s="301"/>
      <c r="K1064" s="731" t="s">
        <v>2063</v>
      </c>
      <c r="L1064" s="732">
        <f>STDEV(H1065:H1067)</f>
        <v>21.20919612</v>
      </c>
      <c r="M1064" s="733"/>
      <c r="N1064" s="189"/>
      <c r="O1064" s="454"/>
    </row>
    <row r="1065">
      <c r="A1065" s="736" t="s">
        <v>2230</v>
      </c>
      <c r="B1065" s="735" t="s">
        <v>2174</v>
      </c>
      <c r="C1065" s="767" t="s">
        <v>3522</v>
      </c>
      <c r="D1065" s="777" t="s">
        <v>3523</v>
      </c>
      <c r="E1065" s="763" t="s">
        <v>2366</v>
      </c>
      <c r="F1065" s="764" t="s">
        <v>3536</v>
      </c>
      <c r="G1065" s="736" t="s">
        <v>1757</v>
      </c>
      <c r="H1065" s="745">
        <v>110.0</v>
      </c>
      <c r="I1065" s="778"/>
      <c r="J1065" s="301"/>
      <c r="K1065" s="731" t="s">
        <v>2070</v>
      </c>
      <c r="L1065" s="741">
        <f>L1064/L1063</f>
        <v>0.2278109143</v>
      </c>
      <c r="M1065" s="733"/>
      <c r="N1065" s="742" t="str">
        <f>IF(L1065&lt;25%,"Não","Sim - proceder verificação ao lado")</f>
        <v>Não</v>
      </c>
      <c r="O1065" s="743" t="b">
        <v>1</v>
      </c>
    </row>
    <row r="1066">
      <c r="A1066" s="736" t="s">
        <v>2230</v>
      </c>
      <c r="B1066" s="735" t="s">
        <v>2174</v>
      </c>
      <c r="C1066" s="744" t="s">
        <v>3528</v>
      </c>
      <c r="D1066" s="736" t="s">
        <v>3529</v>
      </c>
      <c r="E1066" s="763" t="s">
        <v>2529</v>
      </c>
      <c r="F1066" s="764" t="s">
        <v>3537</v>
      </c>
      <c r="G1066" s="736" t="s">
        <v>1757</v>
      </c>
      <c r="H1066" s="745">
        <v>69.3</v>
      </c>
      <c r="I1066" s="778"/>
      <c r="J1066" s="301"/>
      <c r="K1066" s="731" t="s">
        <v>2075</v>
      </c>
      <c r="L1066" s="746">
        <f>L1063*1.25</f>
        <v>116.375</v>
      </c>
      <c r="M1066" s="733"/>
      <c r="N1066" s="301"/>
      <c r="O1066" s="743" t="b">
        <v>1</v>
      </c>
    </row>
    <row r="1067">
      <c r="A1067" s="736" t="s">
        <v>2230</v>
      </c>
      <c r="B1067" s="735" t="s">
        <v>2174</v>
      </c>
      <c r="C1067" s="744" t="s">
        <v>3525</v>
      </c>
      <c r="D1067" s="736" t="s">
        <v>3526</v>
      </c>
      <c r="E1067" s="763" t="s">
        <v>2529</v>
      </c>
      <c r="F1067" s="779" t="s">
        <v>3538</v>
      </c>
      <c r="G1067" s="736" t="s">
        <v>1757</v>
      </c>
      <c r="H1067" s="739">
        <v>100.0</v>
      </c>
      <c r="I1067" s="778"/>
      <c r="J1067" s="189"/>
      <c r="K1067" s="731" t="s">
        <v>2080</v>
      </c>
      <c r="L1067" s="746">
        <f>L1063*0.75</f>
        <v>69.825</v>
      </c>
      <c r="M1067" s="733"/>
      <c r="N1067" s="189"/>
      <c r="O1067" s="743" t="b">
        <v>1</v>
      </c>
    </row>
    <row r="1068">
      <c r="A1068" s="736"/>
      <c r="B1068" s="744"/>
      <c r="C1068" s="744"/>
      <c r="D1068" s="736"/>
      <c r="E1068" s="736"/>
      <c r="F1068" s="779"/>
      <c r="G1068" s="736"/>
      <c r="H1068" s="736"/>
      <c r="I1068" s="824"/>
      <c r="J1068" s="752"/>
      <c r="K1068" s="752"/>
      <c r="L1068" s="752"/>
      <c r="M1068" s="751"/>
      <c r="N1068" s="752"/>
      <c r="O1068" s="753"/>
    </row>
    <row r="1069">
      <c r="A1069" s="837" t="s">
        <v>151</v>
      </c>
      <c r="B1069" s="838" t="s">
        <v>3539</v>
      </c>
      <c r="C1069" s="36"/>
      <c r="D1069" s="36"/>
      <c r="E1069" s="36"/>
      <c r="F1069" s="36"/>
      <c r="G1069" s="839" t="s">
        <v>1757</v>
      </c>
      <c r="H1069" s="756">
        <f>MEDIAN(H1071:H1073)</f>
        <v>220</v>
      </c>
      <c r="I1069" s="840" t="s">
        <v>2230</v>
      </c>
      <c r="J1069" s="758" t="s">
        <v>2053</v>
      </c>
      <c r="K1069" s="731" t="s">
        <v>2054</v>
      </c>
      <c r="L1069" s="759">
        <f>AVERAGE(H1071:H1073)</f>
        <v>213.8333333</v>
      </c>
      <c r="M1069" s="733"/>
      <c r="N1069" s="760" t="s">
        <v>2055</v>
      </c>
      <c r="O1069" s="454"/>
    </row>
    <row r="1070">
      <c r="A1070" s="727" t="s">
        <v>1717</v>
      </c>
      <c r="B1070" s="728" t="s">
        <v>2056</v>
      </c>
      <c r="C1070" s="728" t="s">
        <v>2057</v>
      </c>
      <c r="D1070" s="727" t="s">
        <v>2058</v>
      </c>
      <c r="E1070" s="727" t="s">
        <v>2059</v>
      </c>
      <c r="F1070" s="729" t="s">
        <v>1537</v>
      </c>
      <c r="G1070" s="727" t="s">
        <v>2060</v>
      </c>
      <c r="H1070" s="727" t="s">
        <v>2061</v>
      </c>
      <c r="I1070" s="841" t="s">
        <v>2062</v>
      </c>
      <c r="J1070" s="301"/>
      <c r="K1070" s="731" t="s">
        <v>2063</v>
      </c>
      <c r="L1070" s="732">
        <f>STDEV(H1071:H1073)</f>
        <v>39.61165653</v>
      </c>
      <c r="M1070" s="733"/>
      <c r="N1070" s="189"/>
      <c r="O1070" s="454"/>
    </row>
    <row r="1071">
      <c r="A1071" s="736" t="s">
        <v>2230</v>
      </c>
      <c r="B1071" s="735" t="s">
        <v>2174</v>
      </c>
      <c r="C1071" s="744" t="s">
        <v>3525</v>
      </c>
      <c r="D1071" s="736" t="s">
        <v>3526</v>
      </c>
      <c r="E1071" s="763" t="s">
        <v>2529</v>
      </c>
      <c r="F1071" s="779" t="s">
        <v>3540</v>
      </c>
      <c r="G1071" s="736" t="s">
        <v>1757</v>
      </c>
      <c r="H1071" s="739">
        <v>220.0</v>
      </c>
      <c r="I1071" s="778"/>
      <c r="J1071" s="301"/>
      <c r="K1071" s="731" t="s">
        <v>2070</v>
      </c>
      <c r="L1071" s="741">
        <f>L1070/L1069</f>
        <v>0.1852454709</v>
      </c>
      <c r="M1071" s="733"/>
      <c r="N1071" s="742" t="str">
        <f>IF(L1071&lt;25%,"Não","Sim - proceder verificação ao lado")</f>
        <v>Não</v>
      </c>
      <c r="O1071" s="743" t="b">
        <v>1</v>
      </c>
    </row>
    <row r="1072">
      <c r="A1072" s="736" t="s">
        <v>2230</v>
      </c>
      <c r="B1072" s="767" t="s">
        <v>2064</v>
      </c>
      <c r="C1072" s="744" t="s">
        <v>3541</v>
      </c>
      <c r="D1072" s="736" t="s">
        <v>3542</v>
      </c>
      <c r="E1072" s="763" t="s">
        <v>2529</v>
      </c>
      <c r="F1072" s="779" t="s">
        <v>3543</v>
      </c>
      <c r="G1072" s="736" t="s">
        <v>1757</v>
      </c>
      <c r="H1072" s="745">
        <v>250.0</v>
      </c>
      <c r="I1072" s="775" t="s">
        <v>3544</v>
      </c>
      <c r="J1072" s="301"/>
      <c r="K1072" s="731" t="s">
        <v>2075</v>
      </c>
      <c r="L1072" s="746">
        <f>L1069*1.25</f>
        <v>267.2916667</v>
      </c>
      <c r="M1072" s="733"/>
      <c r="N1072" s="301"/>
      <c r="O1072" s="743" t="b">
        <v>1</v>
      </c>
    </row>
    <row r="1073">
      <c r="A1073" s="736" t="s">
        <v>2230</v>
      </c>
      <c r="B1073" s="735" t="s">
        <v>2174</v>
      </c>
      <c r="C1073" s="744" t="s">
        <v>3528</v>
      </c>
      <c r="D1073" s="736" t="s">
        <v>3529</v>
      </c>
      <c r="E1073" s="763" t="s">
        <v>2529</v>
      </c>
      <c r="F1073" s="764" t="s">
        <v>3545</v>
      </c>
      <c r="G1073" s="736" t="s">
        <v>1757</v>
      </c>
      <c r="H1073" s="745">
        <v>171.5</v>
      </c>
      <c r="I1073" s="778"/>
      <c r="J1073" s="189"/>
      <c r="K1073" s="731" t="s">
        <v>2080</v>
      </c>
      <c r="L1073" s="746">
        <f>L1069*0.75</f>
        <v>160.375</v>
      </c>
      <c r="M1073" s="733"/>
      <c r="N1073" s="189"/>
      <c r="O1073" s="743" t="b">
        <v>1</v>
      </c>
    </row>
    <row r="1074">
      <c r="A1074" s="736"/>
      <c r="B1074" s="744"/>
      <c r="C1074" s="744"/>
      <c r="D1074" s="736"/>
      <c r="E1074" s="736"/>
      <c r="F1074" s="779"/>
      <c r="G1074" s="736"/>
      <c r="H1074" s="736"/>
      <c r="I1074" s="824"/>
      <c r="J1074" s="752"/>
      <c r="K1074" s="752"/>
      <c r="L1074" s="752"/>
      <c r="M1074" s="751"/>
      <c r="N1074" s="752"/>
      <c r="O1074" s="753"/>
    </row>
    <row r="1075">
      <c r="A1075" s="837" t="s">
        <v>153</v>
      </c>
      <c r="B1075" s="838" t="s">
        <v>3546</v>
      </c>
      <c r="C1075" s="36"/>
      <c r="D1075" s="36"/>
      <c r="E1075" s="36"/>
      <c r="F1075" s="36"/>
      <c r="G1075" s="839" t="s">
        <v>1757</v>
      </c>
      <c r="H1075" s="756">
        <f>MEDIAN(H1077:H1079)</f>
        <v>36.4</v>
      </c>
      <c r="I1075" s="840" t="s">
        <v>2230</v>
      </c>
      <c r="J1075" s="758" t="s">
        <v>2053</v>
      </c>
      <c r="K1075" s="731" t="s">
        <v>2054</v>
      </c>
      <c r="L1075" s="759">
        <f>AVERAGE(H1077:H1079)</f>
        <v>38.8</v>
      </c>
      <c r="M1075" s="733"/>
      <c r="N1075" s="760" t="s">
        <v>2055</v>
      </c>
      <c r="O1075" s="454"/>
    </row>
    <row r="1076">
      <c r="A1076" s="727" t="s">
        <v>1717</v>
      </c>
      <c r="B1076" s="728" t="s">
        <v>2056</v>
      </c>
      <c r="C1076" s="728" t="s">
        <v>2057</v>
      </c>
      <c r="D1076" s="727" t="s">
        <v>2058</v>
      </c>
      <c r="E1076" s="727" t="s">
        <v>2059</v>
      </c>
      <c r="F1076" s="729" t="s">
        <v>1537</v>
      </c>
      <c r="G1076" s="727" t="s">
        <v>2060</v>
      </c>
      <c r="H1076" s="727" t="s">
        <v>2061</v>
      </c>
      <c r="I1076" s="841" t="s">
        <v>2062</v>
      </c>
      <c r="J1076" s="301"/>
      <c r="K1076" s="731" t="s">
        <v>2063</v>
      </c>
      <c r="L1076" s="732">
        <f>STDEV(H1077:H1079)</f>
        <v>5.414794548</v>
      </c>
      <c r="M1076" s="733"/>
      <c r="N1076" s="189"/>
      <c r="O1076" s="454"/>
    </row>
    <row r="1077">
      <c r="A1077" s="736" t="s">
        <v>2230</v>
      </c>
      <c r="B1077" s="735" t="s">
        <v>2174</v>
      </c>
      <c r="C1077" s="767" t="s">
        <v>3522</v>
      </c>
      <c r="D1077" s="777" t="s">
        <v>3523</v>
      </c>
      <c r="E1077" s="763" t="s">
        <v>2366</v>
      </c>
      <c r="F1077" s="764" t="s">
        <v>3547</v>
      </c>
      <c r="G1077" s="736" t="s">
        <v>1757</v>
      </c>
      <c r="H1077" s="745">
        <v>35.0</v>
      </c>
      <c r="I1077" s="778"/>
      <c r="J1077" s="301"/>
      <c r="K1077" s="731" t="s">
        <v>2070</v>
      </c>
      <c r="L1077" s="741">
        <f>L1076/L1075</f>
        <v>0.1395565605</v>
      </c>
      <c r="M1077" s="733"/>
      <c r="N1077" s="742" t="str">
        <f>IF(L1077&lt;25%,"Não","Sim - proceder verificação ao lado")</f>
        <v>Não</v>
      </c>
      <c r="O1077" s="743" t="b">
        <v>1</v>
      </c>
    </row>
    <row r="1078">
      <c r="A1078" s="736" t="s">
        <v>2230</v>
      </c>
      <c r="B1078" s="735" t="s">
        <v>2174</v>
      </c>
      <c r="C1078" s="744" t="s">
        <v>3528</v>
      </c>
      <c r="D1078" s="736" t="s">
        <v>3529</v>
      </c>
      <c r="E1078" s="763" t="s">
        <v>2529</v>
      </c>
      <c r="F1078" s="764" t="s">
        <v>3548</v>
      </c>
      <c r="G1078" s="736" t="s">
        <v>1757</v>
      </c>
      <c r="H1078" s="745">
        <v>36.4</v>
      </c>
      <c r="I1078" s="778"/>
      <c r="J1078" s="301"/>
      <c r="K1078" s="731" t="s">
        <v>2075</v>
      </c>
      <c r="L1078" s="746">
        <f>L1075*1.25</f>
        <v>48.5</v>
      </c>
      <c r="M1078" s="733"/>
      <c r="N1078" s="301"/>
      <c r="O1078" s="743" t="b">
        <v>1</v>
      </c>
    </row>
    <row r="1079">
      <c r="A1079" s="736" t="s">
        <v>2230</v>
      </c>
      <c r="B1079" s="735" t="s">
        <v>2174</v>
      </c>
      <c r="C1079" s="744" t="s">
        <v>3525</v>
      </c>
      <c r="D1079" s="736" t="s">
        <v>3526</v>
      </c>
      <c r="E1079" s="763" t="s">
        <v>2529</v>
      </c>
      <c r="F1079" s="764" t="s">
        <v>3549</v>
      </c>
      <c r="G1079" s="736" t="s">
        <v>1757</v>
      </c>
      <c r="H1079" s="745">
        <v>45.0</v>
      </c>
      <c r="I1079" s="778"/>
      <c r="J1079" s="189"/>
      <c r="K1079" s="731" t="s">
        <v>2080</v>
      </c>
      <c r="L1079" s="746">
        <f>L1075*0.75</f>
        <v>29.1</v>
      </c>
      <c r="M1079" s="733"/>
      <c r="N1079" s="189"/>
      <c r="O1079" s="743" t="b">
        <v>1</v>
      </c>
    </row>
    <row r="1080">
      <c r="A1080" s="736"/>
      <c r="B1080" s="744"/>
      <c r="C1080" s="744"/>
      <c r="D1080" s="736"/>
      <c r="E1080" s="736"/>
      <c r="F1080" s="779"/>
      <c r="G1080" s="736"/>
      <c r="H1080" s="736"/>
      <c r="I1080" s="824"/>
      <c r="J1080" s="752"/>
      <c r="K1080" s="752"/>
      <c r="L1080" s="752"/>
      <c r="M1080" s="751"/>
      <c r="N1080" s="752"/>
      <c r="O1080" s="753"/>
    </row>
    <row r="1081">
      <c r="A1081" s="837" t="s">
        <v>187</v>
      </c>
      <c r="B1081" s="838" t="s">
        <v>3550</v>
      </c>
      <c r="C1081" s="36"/>
      <c r="D1081" s="36"/>
      <c r="E1081" s="36"/>
      <c r="F1081" s="36"/>
      <c r="G1081" s="839" t="s">
        <v>1757</v>
      </c>
      <c r="H1081" s="756">
        <f>MEDIAN(H1083:H1085)</f>
        <v>40</v>
      </c>
      <c r="I1081" s="840" t="s">
        <v>2230</v>
      </c>
      <c r="J1081" s="758" t="s">
        <v>2053</v>
      </c>
      <c r="K1081" s="731" t="s">
        <v>2054</v>
      </c>
      <c r="L1081" s="759">
        <f>AVERAGE(H1083:H1085)</f>
        <v>36.23333333</v>
      </c>
      <c r="M1081" s="733"/>
      <c r="N1081" s="760" t="s">
        <v>2055</v>
      </c>
      <c r="O1081" s="454"/>
    </row>
    <row r="1082">
      <c r="A1082" s="727" t="s">
        <v>1717</v>
      </c>
      <c r="B1082" s="728" t="s">
        <v>2056</v>
      </c>
      <c r="C1082" s="728" t="s">
        <v>2057</v>
      </c>
      <c r="D1082" s="727" t="s">
        <v>2058</v>
      </c>
      <c r="E1082" s="727" t="s">
        <v>2059</v>
      </c>
      <c r="F1082" s="729" t="s">
        <v>1537</v>
      </c>
      <c r="G1082" s="727" t="s">
        <v>2060</v>
      </c>
      <c r="H1082" s="727" t="s">
        <v>2061</v>
      </c>
      <c r="I1082" s="841" t="s">
        <v>2062</v>
      </c>
      <c r="J1082" s="301"/>
      <c r="K1082" s="731" t="s">
        <v>2063</v>
      </c>
      <c r="L1082" s="732">
        <f>STDEV(H1083:H1085)</f>
        <v>6.524058042</v>
      </c>
      <c r="M1082" s="733"/>
      <c r="N1082" s="189"/>
      <c r="O1082" s="454"/>
    </row>
    <row r="1083">
      <c r="A1083" s="736" t="s">
        <v>2230</v>
      </c>
      <c r="B1083" s="735" t="s">
        <v>2174</v>
      </c>
      <c r="C1083" s="767" t="s">
        <v>3551</v>
      </c>
      <c r="D1083" s="777" t="s">
        <v>3552</v>
      </c>
      <c r="E1083" s="763" t="s">
        <v>3553</v>
      </c>
      <c r="F1083" s="764"/>
      <c r="G1083" s="736" t="s">
        <v>1757</v>
      </c>
      <c r="H1083" s="745">
        <v>40.0</v>
      </c>
      <c r="I1083" s="778"/>
      <c r="J1083" s="301"/>
      <c r="K1083" s="731" t="s">
        <v>2070</v>
      </c>
      <c r="L1083" s="741">
        <f>L1082/L1081</f>
        <v>0.1800567997</v>
      </c>
      <c r="M1083" s="733"/>
      <c r="N1083" s="742" t="str">
        <f>IF(L1083&lt;25%,"Não","Sim - proceder verificação ao lado")</f>
        <v>Não</v>
      </c>
      <c r="O1083" s="743" t="b">
        <v>1</v>
      </c>
    </row>
    <row r="1084">
      <c r="A1084" s="736" t="s">
        <v>2230</v>
      </c>
      <c r="B1084" s="735" t="s">
        <v>2174</v>
      </c>
      <c r="C1084" s="744" t="s">
        <v>3528</v>
      </c>
      <c r="D1084" s="736" t="s">
        <v>3529</v>
      </c>
      <c r="E1084" s="763" t="s">
        <v>2529</v>
      </c>
      <c r="F1084" s="764" t="s">
        <v>3554</v>
      </c>
      <c r="G1084" s="736" t="s">
        <v>1757</v>
      </c>
      <c r="H1084" s="745">
        <v>28.7</v>
      </c>
      <c r="I1084" s="778"/>
      <c r="J1084" s="301"/>
      <c r="K1084" s="731" t="s">
        <v>2075</v>
      </c>
      <c r="L1084" s="746">
        <f>L1081*1.25</f>
        <v>45.29166667</v>
      </c>
      <c r="M1084" s="733"/>
      <c r="N1084" s="301"/>
      <c r="O1084" s="743" t="b">
        <v>1</v>
      </c>
    </row>
    <row r="1085">
      <c r="A1085" s="736"/>
      <c r="B1085" s="735" t="s">
        <v>2174</v>
      </c>
      <c r="C1085" s="744" t="s">
        <v>3525</v>
      </c>
      <c r="D1085" s="736" t="s">
        <v>3526</v>
      </c>
      <c r="E1085" s="763" t="s">
        <v>2529</v>
      </c>
      <c r="F1085" s="764" t="s">
        <v>3555</v>
      </c>
      <c r="G1085" s="736" t="s">
        <v>1757</v>
      </c>
      <c r="H1085" s="745">
        <v>40.0</v>
      </c>
      <c r="I1085" s="778"/>
      <c r="J1085" s="189"/>
      <c r="K1085" s="731" t="s">
        <v>2080</v>
      </c>
      <c r="L1085" s="746">
        <f>L1081*0.75</f>
        <v>27.175</v>
      </c>
      <c r="M1085" s="733"/>
      <c r="N1085" s="189"/>
      <c r="O1085" s="743" t="b">
        <v>1</v>
      </c>
    </row>
    <row r="1086">
      <c r="A1086" s="736"/>
      <c r="B1086" s="744"/>
      <c r="C1086" s="744"/>
      <c r="D1086" s="736"/>
      <c r="E1086" s="736"/>
      <c r="F1086" s="779"/>
      <c r="G1086" s="736"/>
      <c r="H1086" s="736"/>
      <c r="I1086" s="824"/>
      <c r="J1086" s="752"/>
      <c r="K1086" s="752"/>
      <c r="L1086" s="752"/>
      <c r="M1086" s="751"/>
      <c r="N1086" s="752"/>
      <c r="O1086" s="753"/>
    </row>
    <row r="1087">
      <c r="A1087" s="837" t="s">
        <v>155</v>
      </c>
      <c r="B1087" s="838" t="s">
        <v>3556</v>
      </c>
      <c r="C1087" s="36"/>
      <c r="D1087" s="36"/>
      <c r="E1087" s="36"/>
      <c r="F1087" s="36"/>
      <c r="G1087" s="839" t="s">
        <v>1757</v>
      </c>
      <c r="H1087" s="756">
        <f>MEDIAN(H1089:H1091)</f>
        <v>48</v>
      </c>
      <c r="I1087" s="840" t="s">
        <v>2230</v>
      </c>
      <c r="J1087" s="758" t="s">
        <v>2053</v>
      </c>
      <c r="K1087" s="731" t="s">
        <v>2054</v>
      </c>
      <c r="L1087" s="759">
        <f>AVERAGE(H1089:H1091)</f>
        <v>45.43333333</v>
      </c>
      <c r="M1087" s="733"/>
      <c r="N1087" s="760" t="s">
        <v>2055</v>
      </c>
      <c r="O1087" s="454"/>
    </row>
    <row r="1088">
      <c r="A1088" s="727" t="s">
        <v>1717</v>
      </c>
      <c r="B1088" s="728" t="s">
        <v>2056</v>
      </c>
      <c r="C1088" s="728" t="s">
        <v>2057</v>
      </c>
      <c r="D1088" s="727" t="s">
        <v>2058</v>
      </c>
      <c r="E1088" s="727" t="s">
        <v>2059</v>
      </c>
      <c r="F1088" s="729" t="s">
        <v>1537</v>
      </c>
      <c r="G1088" s="727" t="s">
        <v>2060</v>
      </c>
      <c r="H1088" s="727" t="s">
        <v>2061</v>
      </c>
      <c r="I1088" s="841" t="s">
        <v>2062</v>
      </c>
      <c r="J1088" s="301"/>
      <c r="K1088" s="731" t="s">
        <v>2063</v>
      </c>
      <c r="L1088" s="732">
        <f>STDEV(H1089:H1091)</f>
        <v>4.707794954</v>
      </c>
      <c r="M1088" s="733"/>
      <c r="N1088" s="189"/>
      <c r="O1088" s="454"/>
    </row>
    <row r="1089">
      <c r="A1089" s="736" t="s">
        <v>2230</v>
      </c>
      <c r="B1089" s="735" t="s">
        <v>2174</v>
      </c>
      <c r="C1089" s="744" t="s">
        <v>3525</v>
      </c>
      <c r="D1089" s="736" t="s">
        <v>3526</v>
      </c>
      <c r="E1089" s="763" t="s">
        <v>2529</v>
      </c>
      <c r="F1089" s="854" t="s">
        <v>3557</v>
      </c>
      <c r="G1089" s="736" t="s">
        <v>1757</v>
      </c>
      <c r="H1089" s="745">
        <v>48.0</v>
      </c>
      <c r="I1089" s="778"/>
      <c r="J1089" s="301"/>
      <c r="K1089" s="731" t="s">
        <v>2070</v>
      </c>
      <c r="L1089" s="741">
        <f>L1088/L1087</f>
        <v>0.1036198449</v>
      </c>
      <c r="M1089" s="733"/>
      <c r="N1089" s="742" t="str">
        <f>IF(L1089&lt;25%,"Não","Sim - proceder verificação ao lado")</f>
        <v>Não</v>
      </c>
      <c r="O1089" s="743" t="b">
        <v>1</v>
      </c>
    </row>
    <row r="1090">
      <c r="A1090" s="736" t="s">
        <v>2230</v>
      </c>
      <c r="B1090" s="735" t="s">
        <v>2174</v>
      </c>
      <c r="C1090" s="767" t="s">
        <v>3522</v>
      </c>
      <c r="D1090" s="777" t="s">
        <v>3523</v>
      </c>
      <c r="E1090" s="763" t="s">
        <v>2366</v>
      </c>
      <c r="F1090" s="764" t="s">
        <v>3558</v>
      </c>
      <c r="G1090" s="736" t="s">
        <v>1757</v>
      </c>
      <c r="H1090" s="745">
        <v>40.0</v>
      </c>
      <c r="I1090" s="778"/>
      <c r="J1090" s="301"/>
      <c r="K1090" s="731" t="s">
        <v>2075</v>
      </c>
      <c r="L1090" s="746">
        <f>L1087*1.25</f>
        <v>56.79166667</v>
      </c>
      <c r="M1090" s="733"/>
      <c r="N1090" s="301"/>
      <c r="O1090" s="743" t="b">
        <v>1</v>
      </c>
    </row>
    <row r="1091">
      <c r="A1091" s="736" t="s">
        <v>2230</v>
      </c>
      <c r="B1091" s="735" t="s">
        <v>2174</v>
      </c>
      <c r="C1091" s="744" t="s">
        <v>3528</v>
      </c>
      <c r="D1091" s="736" t="s">
        <v>3529</v>
      </c>
      <c r="E1091" s="763" t="s">
        <v>2529</v>
      </c>
      <c r="F1091" s="855" t="s">
        <v>3559</v>
      </c>
      <c r="G1091" s="736" t="s">
        <v>1757</v>
      </c>
      <c r="H1091" s="745">
        <v>48.3</v>
      </c>
      <c r="I1091" s="778"/>
      <c r="J1091" s="189"/>
      <c r="K1091" s="731" t="s">
        <v>2080</v>
      </c>
      <c r="L1091" s="746">
        <f>L1087*0.75</f>
        <v>34.075</v>
      </c>
      <c r="M1091" s="733"/>
      <c r="N1091" s="189"/>
      <c r="O1091" s="743" t="b">
        <v>1</v>
      </c>
    </row>
    <row r="1092">
      <c r="A1092" s="736"/>
      <c r="B1092" s="744"/>
      <c r="C1092" s="744"/>
      <c r="D1092" s="736"/>
      <c r="E1092" s="736"/>
      <c r="F1092" s="779"/>
      <c r="G1092" s="736"/>
      <c r="H1092" s="736"/>
      <c r="I1092" s="824"/>
      <c r="J1092" s="752"/>
      <c r="K1092" s="752"/>
      <c r="L1092" s="752"/>
      <c r="M1092" s="751"/>
      <c r="N1092" s="752"/>
      <c r="O1092" s="753"/>
    </row>
    <row r="1093">
      <c r="A1093" s="837" t="s">
        <v>157</v>
      </c>
      <c r="B1093" s="838" t="s">
        <v>3560</v>
      </c>
      <c r="C1093" s="36"/>
      <c r="D1093" s="36"/>
      <c r="E1093" s="36"/>
      <c r="F1093" s="36"/>
      <c r="G1093" s="839" t="s">
        <v>1757</v>
      </c>
      <c r="H1093" s="756">
        <f>MEDIAN(H1095:H1097)</f>
        <v>80.5</v>
      </c>
      <c r="I1093" s="840" t="s">
        <v>2230</v>
      </c>
      <c r="J1093" s="758" t="s">
        <v>2053</v>
      </c>
      <c r="K1093" s="731" t="s">
        <v>2054</v>
      </c>
      <c r="L1093" s="759">
        <f>AVERAGE(H1095:H1097)</f>
        <v>79.16666667</v>
      </c>
      <c r="M1093" s="733"/>
      <c r="N1093" s="760" t="s">
        <v>2055</v>
      </c>
      <c r="O1093" s="454"/>
    </row>
    <row r="1094">
      <c r="A1094" s="727" t="s">
        <v>1717</v>
      </c>
      <c r="B1094" s="728" t="s">
        <v>2056</v>
      </c>
      <c r="C1094" s="728" t="s">
        <v>2057</v>
      </c>
      <c r="D1094" s="727" t="s">
        <v>2058</v>
      </c>
      <c r="E1094" s="727" t="s">
        <v>2059</v>
      </c>
      <c r="F1094" s="729" t="s">
        <v>1537</v>
      </c>
      <c r="G1094" s="727" t="s">
        <v>2060</v>
      </c>
      <c r="H1094" s="727" t="s">
        <v>2061</v>
      </c>
      <c r="I1094" s="841" t="s">
        <v>2062</v>
      </c>
      <c r="J1094" s="301"/>
      <c r="K1094" s="731" t="s">
        <v>2063</v>
      </c>
      <c r="L1094" s="732">
        <f>STDEV(H1095:H1097)</f>
        <v>3.685557398</v>
      </c>
      <c r="M1094" s="733"/>
      <c r="N1094" s="189"/>
      <c r="O1094" s="454"/>
    </row>
    <row r="1095">
      <c r="A1095" s="736" t="s">
        <v>2230</v>
      </c>
      <c r="B1095" s="735" t="s">
        <v>2174</v>
      </c>
      <c r="C1095" s="767" t="s">
        <v>3522</v>
      </c>
      <c r="D1095" s="777" t="s">
        <v>3523</v>
      </c>
      <c r="E1095" s="763" t="s">
        <v>2366</v>
      </c>
      <c r="F1095" s="764" t="s">
        <v>3561</v>
      </c>
      <c r="G1095" s="736" t="s">
        <v>1757</v>
      </c>
      <c r="H1095" s="745">
        <v>75.0</v>
      </c>
      <c r="I1095" s="778"/>
      <c r="J1095" s="301"/>
      <c r="K1095" s="731" t="s">
        <v>2070</v>
      </c>
      <c r="L1095" s="741">
        <f>L1094/L1093</f>
        <v>0.04655440924</v>
      </c>
      <c r="M1095" s="733"/>
      <c r="N1095" s="742" t="str">
        <f>IF(L1095&lt;25%,"Não","Sim - proceder verificação ao lado")</f>
        <v>Não</v>
      </c>
      <c r="O1095" s="743" t="b">
        <v>1</v>
      </c>
    </row>
    <row r="1096">
      <c r="A1096" s="736" t="s">
        <v>2230</v>
      </c>
      <c r="B1096" s="735" t="s">
        <v>2174</v>
      </c>
      <c r="C1096" s="744" t="s">
        <v>3528</v>
      </c>
      <c r="D1096" s="736" t="s">
        <v>3529</v>
      </c>
      <c r="E1096" s="763" t="s">
        <v>2529</v>
      </c>
      <c r="F1096" s="764" t="s">
        <v>3562</v>
      </c>
      <c r="G1096" s="736" t="s">
        <v>1757</v>
      </c>
      <c r="H1096" s="745">
        <v>80.5</v>
      </c>
      <c r="I1096" s="778"/>
      <c r="J1096" s="301"/>
      <c r="K1096" s="731" t="s">
        <v>2075</v>
      </c>
      <c r="L1096" s="746">
        <f>L1093*1.25</f>
        <v>98.95833333</v>
      </c>
      <c r="M1096" s="733"/>
      <c r="N1096" s="301"/>
      <c r="O1096" s="743" t="b">
        <v>1</v>
      </c>
    </row>
    <row r="1097">
      <c r="A1097" s="736" t="s">
        <v>2230</v>
      </c>
      <c r="B1097" s="735" t="s">
        <v>2174</v>
      </c>
      <c r="C1097" s="744" t="s">
        <v>3525</v>
      </c>
      <c r="D1097" s="736" t="s">
        <v>3526</v>
      </c>
      <c r="E1097" s="763" t="s">
        <v>2529</v>
      </c>
      <c r="F1097" s="854" t="s">
        <v>3563</v>
      </c>
      <c r="G1097" s="736" t="s">
        <v>1757</v>
      </c>
      <c r="H1097" s="745">
        <v>82.0</v>
      </c>
      <c r="I1097" s="778"/>
      <c r="J1097" s="189"/>
      <c r="K1097" s="731" t="s">
        <v>2080</v>
      </c>
      <c r="L1097" s="746">
        <f>L1093*0.75</f>
        <v>59.375</v>
      </c>
      <c r="M1097" s="733"/>
      <c r="N1097" s="189"/>
      <c r="O1097" s="743" t="b">
        <v>1</v>
      </c>
    </row>
    <row r="1098">
      <c r="A1098" s="736"/>
      <c r="B1098" s="744"/>
      <c r="C1098" s="744"/>
      <c r="D1098" s="736"/>
      <c r="E1098" s="736"/>
      <c r="F1098" s="779"/>
      <c r="G1098" s="736"/>
      <c r="H1098" s="736"/>
      <c r="I1098" s="824"/>
      <c r="J1098" s="752"/>
      <c r="K1098" s="752"/>
      <c r="L1098" s="752"/>
      <c r="M1098" s="751"/>
      <c r="N1098" s="752"/>
      <c r="O1098" s="753"/>
    </row>
    <row r="1099">
      <c r="A1099" s="837" t="s">
        <v>159</v>
      </c>
      <c r="B1099" s="838" t="s">
        <v>3564</v>
      </c>
      <c r="C1099" s="36"/>
      <c r="D1099" s="36"/>
      <c r="E1099" s="36"/>
      <c r="F1099" s="36"/>
      <c r="G1099" s="839" t="s">
        <v>1757</v>
      </c>
      <c r="H1099" s="756">
        <f>MEDIAN(H1101:H1102)</f>
        <v>112.75</v>
      </c>
      <c r="I1099" s="840" t="s">
        <v>2230</v>
      </c>
      <c r="J1099" s="758" t="s">
        <v>2053</v>
      </c>
      <c r="K1099" s="731" t="s">
        <v>2054</v>
      </c>
      <c r="L1099" s="759">
        <f>AVERAGE(H1101:H1103)</f>
        <v>125.1666667</v>
      </c>
      <c r="M1099" s="733"/>
      <c r="N1099" s="760" t="s">
        <v>2055</v>
      </c>
      <c r="O1099" s="454"/>
    </row>
    <row r="1100">
      <c r="A1100" s="727" t="s">
        <v>1717</v>
      </c>
      <c r="B1100" s="728" t="s">
        <v>2056</v>
      </c>
      <c r="C1100" s="728" t="s">
        <v>2057</v>
      </c>
      <c r="D1100" s="727" t="s">
        <v>2058</v>
      </c>
      <c r="E1100" s="727" t="s">
        <v>2059</v>
      </c>
      <c r="F1100" s="729" t="s">
        <v>1537</v>
      </c>
      <c r="G1100" s="727" t="s">
        <v>2060</v>
      </c>
      <c r="H1100" s="727" t="s">
        <v>2061</v>
      </c>
      <c r="I1100" s="841" t="s">
        <v>2062</v>
      </c>
      <c r="J1100" s="301"/>
      <c r="K1100" s="731" t="s">
        <v>2063</v>
      </c>
      <c r="L1100" s="732">
        <f>STDEV(H1101:H1103)</f>
        <v>21.68140524</v>
      </c>
      <c r="M1100" s="733"/>
      <c r="N1100" s="189"/>
      <c r="O1100" s="454"/>
    </row>
    <row r="1101">
      <c r="A1101" s="736" t="s">
        <v>2230</v>
      </c>
      <c r="B1101" s="735" t="s">
        <v>2174</v>
      </c>
      <c r="C1101" s="767" t="s">
        <v>3522</v>
      </c>
      <c r="D1101" s="777" t="s">
        <v>3523</v>
      </c>
      <c r="E1101" s="763" t="s">
        <v>2366</v>
      </c>
      <c r="F1101" s="764" t="s">
        <v>3565</v>
      </c>
      <c r="G1101" s="736" t="s">
        <v>1757</v>
      </c>
      <c r="H1101" s="745">
        <v>110.0</v>
      </c>
      <c r="I1101" s="778"/>
      <c r="J1101" s="301"/>
      <c r="K1101" s="731" t="s">
        <v>2070</v>
      </c>
      <c r="L1101" s="741">
        <f>L1100/L1099</f>
        <v>0.1732202816</v>
      </c>
      <c r="M1101" s="733"/>
      <c r="N1101" s="742" t="str">
        <f>IF(L1101&lt;25%,"Não","Sim - proceder verificação ao lado")</f>
        <v>Não</v>
      </c>
      <c r="O1101" s="743" t="b">
        <v>1</v>
      </c>
    </row>
    <row r="1102">
      <c r="A1102" s="736" t="s">
        <v>2230</v>
      </c>
      <c r="B1102" s="735" t="s">
        <v>2174</v>
      </c>
      <c r="C1102" s="744" t="s">
        <v>3528</v>
      </c>
      <c r="D1102" s="736" t="s">
        <v>3529</v>
      </c>
      <c r="E1102" s="763" t="s">
        <v>2529</v>
      </c>
      <c r="F1102" s="764" t="s">
        <v>3566</v>
      </c>
      <c r="G1102" s="736" t="s">
        <v>1757</v>
      </c>
      <c r="H1102" s="745">
        <v>115.5</v>
      </c>
      <c r="I1102" s="778"/>
      <c r="J1102" s="301"/>
      <c r="K1102" s="731" t="s">
        <v>2075</v>
      </c>
      <c r="L1102" s="746">
        <f>L1099*1.25</f>
        <v>156.4583333</v>
      </c>
      <c r="M1102" s="733"/>
      <c r="N1102" s="301"/>
      <c r="O1102" s="743" t="b">
        <v>1</v>
      </c>
    </row>
    <row r="1103">
      <c r="A1103" s="736" t="s">
        <v>2230</v>
      </c>
      <c r="B1103" s="735" t="s">
        <v>2174</v>
      </c>
      <c r="C1103" s="744" t="s">
        <v>3525</v>
      </c>
      <c r="D1103" s="736" t="s">
        <v>3526</v>
      </c>
      <c r="E1103" s="763" t="s">
        <v>2529</v>
      </c>
      <c r="F1103" s="779" t="s">
        <v>3567</v>
      </c>
      <c r="G1103" s="736" t="s">
        <v>1757</v>
      </c>
      <c r="H1103" s="739">
        <v>150.0</v>
      </c>
      <c r="I1103" s="778"/>
      <c r="J1103" s="189"/>
      <c r="K1103" s="731" t="s">
        <v>2080</v>
      </c>
      <c r="L1103" s="746">
        <f>L1099*0.75</f>
        <v>93.875</v>
      </c>
      <c r="M1103" s="733"/>
      <c r="N1103" s="189"/>
      <c r="O1103" s="743" t="b">
        <v>1</v>
      </c>
    </row>
    <row r="1104">
      <c r="A1104" s="736"/>
      <c r="B1104" s="744"/>
      <c r="C1104" s="744"/>
      <c r="D1104" s="736"/>
      <c r="E1104" s="736"/>
      <c r="F1104" s="779"/>
      <c r="G1104" s="736"/>
      <c r="H1104" s="736"/>
      <c r="I1104" s="824"/>
      <c r="J1104" s="752"/>
      <c r="K1104" s="752"/>
      <c r="L1104" s="752"/>
      <c r="M1104" s="751"/>
      <c r="N1104" s="752"/>
      <c r="O1104" s="753"/>
    </row>
    <row r="1105">
      <c r="A1105" s="837" t="s">
        <v>161</v>
      </c>
      <c r="B1105" s="838" t="s">
        <v>3568</v>
      </c>
      <c r="C1105" s="36"/>
      <c r="D1105" s="36"/>
      <c r="E1105" s="36"/>
      <c r="F1105" s="36"/>
      <c r="G1105" s="839" t="s">
        <v>1757</v>
      </c>
      <c r="H1105" s="756">
        <f>MEDIAN(H1107:H1109)</f>
        <v>206.5</v>
      </c>
      <c r="I1105" s="840" t="s">
        <v>2230</v>
      </c>
      <c r="J1105" s="758" t="s">
        <v>2053</v>
      </c>
      <c r="K1105" s="731" t="s">
        <v>2054</v>
      </c>
      <c r="L1105" s="759">
        <f>AVERAGE(H1107:H1109)</f>
        <v>198.8333333</v>
      </c>
      <c r="M1105" s="733"/>
      <c r="N1105" s="760" t="s">
        <v>2055</v>
      </c>
      <c r="O1105" s="454"/>
    </row>
    <row r="1106">
      <c r="A1106" s="727" t="s">
        <v>1717</v>
      </c>
      <c r="B1106" s="728" t="s">
        <v>2056</v>
      </c>
      <c r="C1106" s="728" t="s">
        <v>2057</v>
      </c>
      <c r="D1106" s="727" t="s">
        <v>2058</v>
      </c>
      <c r="E1106" s="727" t="s">
        <v>2059</v>
      </c>
      <c r="F1106" s="729" t="s">
        <v>1537</v>
      </c>
      <c r="G1106" s="727" t="s">
        <v>2060</v>
      </c>
      <c r="H1106" s="727" t="s">
        <v>2061</v>
      </c>
      <c r="I1106" s="841" t="s">
        <v>2062</v>
      </c>
      <c r="J1106" s="301"/>
      <c r="K1106" s="731" t="s">
        <v>2063</v>
      </c>
      <c r="L1106" s="732">
        <f>STDEV(H1107:H1109)</f>
        <v>16.40375973</v>
      </c>
      <c r="M1106" s="733"/>
      <c r="N1106" s="189"/>
      <c r="O1106" s="454"/>
    </row>
    <row r="1107">
      <c r="A1107" s="736" t="s">
        <v>2230</v>
      </c>
      <c r="B1107" s="735" t="s">
        <v>2174</v>
      </c>
      <c r="C1107" s="767" t="s">
        <v>3522</v>
      </c>
      <c r="D1107" s="777" t="s">
        <v>3523</v>
      </c>
      <c r="E1107" s="763" t="s">
        <v>2366</v>
      </c>
      <c r="F1107" s="764" t="s">
        <v>3569</v>
      </c>
      <c r="G1107" s="736" t="s">
        <v>1757</v>
      </c>
      <c r="H1107" s="745">
        <v>210.0</v>
      </c>
      <c r="I1107" s="778"/>
      <c r="J1107" s="301"/>
      <c r="K1107" s="731" t="s">
        <v>2070</v>
      </c>
      <c r="L1107" s="741">
        <f>L1106/L1105</f>
        <v>0.08250004894</v>
      </c>
      <c r="M1107" s="733"/>
      <c r="N1107" s="742" t="str">
        <f>IF(L1107&lt;25%,"Não","Sim - proceder verificação ao lado")</f>
        <v>Não</v>
      </c>
      <c r="O1107" s="743" t="b">
        <v>1</v>
      </c>
    </row>
    <row r="1108">
      <c r="A1108" s="736" t="s">
        <v>2230</v>
      </c>
      <c r="B1108" s="735" t="s">
        <v>2174</v>
      </c>
      <c r="C1108" s="744" t="s">
        <v>3528</v>
      </c>
      <c r="D1108" s="736" t="s">
        <v>3529</v>
      </c>
      <c r="E1108" s="763" t="s">
        <v>2529</v>
      </c>
      <c r="F1108" s="764" t="s">
        <v>3570</v>
      </c>
      <c r="G1108" s="736" t="s">
        <v>1757</v>
      </c>
      <c r="H1108" s="745">
        <v>206.5</v>
      </c>
      <c r="I1108" s="778"/>
      <c r="J1108" s="301"/>
      <c r="K1108" s="731" t="s">
        <v>2075</v>
      </c>
      <c r="L1108" s="746">
        <f>L1105*1.25</f>
        <v>248.5416667</v>
      </c>
      <c r="M1108" s="733"/>
      <c r="N1108" s="301"/>
      <c r="O1108" s="743" t="b">
        <v>1</v>
      </c>
    </row>
    <row r="1109">
      <c r="A1109" s="736" t="s">
        <v>2230</v>
      </c>
      <c r="B1109" s="735" t="s">
        <v>2174</v>
      </c>
      <c r="C1109" s="744" t="s">
        <v>3525</v>
      </c>
      <c r="D1109" s="736" t="s">
        <v>3526</v>
      </c>
      <c r="E1109" s="763" t="s">
        <v>2529</v>
      </c>
      <c r="F1109" s="779" t="s">
        <v>3571</v>
      </c>
      <c r="G1109" s="736" t="s">
        <v>1757</v>
      </c>
      <c r="H1109" s="739">
        <v>180.0</v>
      </c>
      <c r="I1109" s="778"/>
      <c r="J1109" s="189"/>
      <c r="K1109" s="731" t="s">
        <v>2080</v>
      </c>
      <c r="L1109" s="746">
        <f>L1105*0.75</f>
        <v>149.125</v>
      </c>
      <c r="M1109" s="733"/>
      <c r="N1109" s="189"/>
      <c r="O1109" s="743" t="b">
        <v>1</v>
      </c>
    </row>
    <row r="1110">
      <c r="A1110" s="736"/>
      <c r="B1110" s="744"/>
      <c r="C1110" s="744"/>
      <c r="D1110" s="736"/>
      <c r="E1110" s="736"/>
      <c r="F1110" s="779"/>
      <c r="G1110" s="736"/>
      <c r="H1110" s="736"/>
      <c r="I1110" s="824"/>
      <c r="J1110" s="752"/>
      <c r="K1110" s="752"/>
      <c r="L1110" s="752"/>
      <c r="M1110" s="751"/>
      <c r="N1110" s="752"/>
      <c r="O1110" s="753"/>
    </row>
    <row r="1111">
      <c r="A1111" s="837" t="s">
        <v>163</v>
      </c>
      <c r="B1111" s="838" t="s">
        <v>3572</v>
      </c>
      <c r="C1111" s="36"/>
      <c r="D1111" s="36"/>
      <c r="E1111" s="36"/>
      <c r="F1111" s="36"/>
      <c r="G1111" s="839" t="s">
        <v>1757</v>
      </c>
      <c r="H1111" s="756">
        <f>MEDIAN(H1113:H1115)</f>
        <v>299</v>
      </c>
      <c r="I1111" s="840" t="s">
        <v>2230</v>
      </c>
      <c r="J1111" s="758" t="s">
        <v>2053</v>
      </c>
      <c r="K1111" s="731" t="s">
        <v>2054</v>
      </c>
      <c r="L1111" s="759">
        <f>AVERAGE(H1113:H1115)</f>
        <v>283.3333333</v>
      </c>
      <c r="M1111" s="733"/>
      <c r="N1111" s="760" t="s">
        <v>2055</v>
      </c>
      <c r="O1111" s="454"/>
    </row>
    <row r="1112">
      <c r="A1112" s="727" t="s">
        <v>1717</v>
      </c>
      <c r="B1112" s="728" t="s">
        <v>2056</v>
      </c>
      <c r="C1112" s="728" t="s">
        <v>2057</v>
      </c>
      <c r="D1112" s="727" t="s">
        <v>2058</v>
      </c>
      <c r="E1112" s="727" t="s">
        <v>2059</v>
      </c>
      <c r="F1112" s="729" t="s">
        <v>1537</v>
      </c>
      <c r="G1112" s="727" t="s">
        <v>2060</v>
      </c>
      <c r="H1112" s="727" t="s">
        <v>2061</v>
      </c>
      <c r="I1112" s="841" t="s">
        <v>2062</v>
      </c>
      <c r="J1112" s="301"/>
      <c r="K1112" s="731" t="s">
        <v>2063</v>
      </c>
      <c r="L1112" s="732">
        <f>STDEV(H1113:H1115)</f>
        <v>46.52239604</v>
      </c>
      <c r="M1112" s="733"/>
      <c r="N1112" s="189"/>
      <c r="O1112" s="454"/>
    </row>
    <row r="1113">
      <c r="A1113" s="736" t="s">
        <v>2230</v>
      </c>
      <c r="B1113" s="744" t="s">
        <v>2212</v>
      </c>
      <c r="C1113" s="744" t="s">
        <v>3541</v>
      </c>
      <c r="D1113" s="736" t="s">
        <v>3542</v>
      </c>
      <c r="E1113" s="763" t="s">
        <v>2529</v>
      </c>
      <c r="F1113" s="779" t="s">
        <v>3573</v>
      </c>
      <c r="G1113" s="736" t="s">
        <v>1757</v>
      </c>
      <c r="H1113" s="745">
        <v>299.0</v>
      </c>
      <c r="I1113" s="786" t="s">
        <v>3574</v>
      </c>
      <c r="J1113" s="301"/>
      <c r="K1113" s="731" t="s">
        <v>2070</v>
      </c>
      <c r="L1113" s="741">
        <f>L1112/L1111</f>
        <v>0.1641966919</v>
      </c>
      <c r="M1113" s="733"/>
      <c r="N1113" s="742" t="str">
        <f>IF(L1113&lt;25%,"Não","Sim - proceder verificação ao lado")</f>
        <v>Não</v>
      </c>
      <c r="O1113" s="743" t="b">
        <v>1</v>
      </c>
    </row>
    <row r="1114">
      <c r="A1114" s="736" t="s">
        <v>2230</v>
      </c>
      <c r="B1114" s="735" t="s">
        <v>2174</v>
      </c>
      <c r="C1114" s="744" t="s">
        <v>3525</v>
      </c>
      <c r="D1114" s="736" t="s">
        <v>3526</v>
      </c>
      <c r="E1114" s="763" t="s">
        <v>2529</v>
      </c>
      <c r="F1114" s="764" t="s">
        <v>3575</v>
      </c>
      <c r="G1114" s="736" t="s">
        <v>1757</v>
      </c>
      <c r="H1114" s="739">
        <v>320.0</v>
      </c>
      <c r="I1114" s="778"/>
      <c r="J1114" s="301"/>
      <c r="K1114" s="731" t="s">
        <v>2075</v>
      </c>
      <c r="L1114" s="746">
        <f>L1111*1.25</f>
        <v>354.1666667</v>
      </c>
      <c r="M1114" s="733"/>
      <c r="N1114" s="301"/>
      <c r="O1114" s="743" t="b">
        <v>1</v>
      </c>
    </row>
    <row r="1115">
      <c r="A1115" s="736" t="s">
        <v>2230</v>
      </c>
      <c r="B1115" s="735" t="s">
        <v>2174</v>
      </c>
      <c r="C1115" s="744" t="s">
        <v>3528</v>
      </c>
      <c r="D1115" s="736" t="s">
        <v>3529</v>
      </c>
      <c r="E1115" s="763" t="s">
        <v>2529</v>
      </c>
      <c r="F1115" s="764" t="s">
        <v>3576</v>
      </c>
      <c r="G1115" s="736" t="s">
        <v>1757</v>
      </c>
      <c r="H1115" s="745">
        <v>231.0</v>
      </c>
      <c r="I1115" s="778"/>
      <c r="J1115" s="189"/>
      <c r="K1115" s="731" t="s">
        <v>2080</v>
      </c>
      <c r="L1115" s="746">
        <f>L1111*0.75</f>
        <v>212.5</v>
      </c>
      <c r="M1115" s="733"/>
      <c r="N1115" s="189"/>
      <c r="O1115" s="743" t="b">
        <v>1</v>
      </c>
    </row>
    <row r="1116">
      <c r="A1116" s="736"/>
      <c r="B1116" s="744"/>
      <c r="C1116" s="744"/>
      <c r="D1116" s="736"/>
      <c r="E1116" s="736"/>
      <c r="F1116" s="779"/>
      <c r="G1116" s="736"/>
      <c r="H1116" s="736"/>
      <c r="I1116" s="824"/>
      <c r="J1116" s="752"/>
      <c r="K1116" s="752"/>
      <c r="L1116" s="752"/>
      <c r="M1116" s="751"/>
      <c r="N1116" s="752"/>
      <c r="O1116" s="753"/>
    </row>
    <row r="1117">
      <c r="A1117" s="837" t="s">
        <v>165</v>
      </c>
      <c r="B1117" s="838" t="s">
        <v>3577</v>
      </c>
      <c r="C1117" s="36"/>
      <c r="D1117" s="36"/>
      <c r="E1117" s="36"/>
      <c r="F1117" s="36"/>
      <c r="G1117" s="839" t="s">
        <v>1757</v>
      </c>
      <c r="H1117" s="756">
        <f>MEDIAN(H1119:H1121)</f>
        <v>28.7</v>
      </c>
      <c r="I1117" s="840" t="s">
        <v>2230</v>
      </c>
      <c r="J1117" s="758" t="s">
        <v>2053</v>
      </c>
      <c r="K1117" s="731" t="s">
        <v>2054</v>
      </c>
      <c r="L1117" s="759">
        <f>AVERAGE(H1119:H1121)</f>
        <v>30.56666667</v>
      </c>
      <c r="M1117" s="733"/>
      <c r="N1117" s="760" t="s">
        <v>2055</v>
      </c>
      <c r="O1117" s="454"/>
    </row>
    <row r="1118">
      <c r="A1118" s="727" t="s">
        <v>1717</v>
      </c>
      <c r="B1118" s="728" t="s">
        <v>2056</v>
      </c>
      <c r="C1118" s="728" t="s">
        <v>2057</v>
      </c>
      <c r="D1118" s="727" t="s">
        <v>2058</v>
      </c>
      <c r="E1118" s="727" t="s">
        <v>2059</v>
      </c>
      <c r="F1118" s="729" t="s">
        <v>1537</v>
      </c>
      <c r="G1118" s="727" t="s">
        <v>2060</v>
      </c>
      <c r="H1118" s="727" t="s">
        <v>2061</v>
      </c>
      <c r="I1118" s="841" t="s">
        <v>2062</v>
      </c>
      <c r="J1118" s="301"/>
      <c r="K1118" s="731" t="s">
        <v>2063</v>
      </c>
      <c r="L1118" s="732">
        <f>STDEV(H1119:H1121)</f>
        <v>6.698009655</v>
      </c>
      <c r="M1118" s="733"/>
      <c r="N1118" s="189"/>
      <c r="O1118" s="454"/>
    </row>
    <row r="1119">
      <c r="A1119" s="736" t="s">
        <v>2230</v>
      </c>
      <c r="B1119" s="735" t="s">
        <v>2174</v>
      </c>
      <c r="C1119" s="744" t="s">
        <v>3525</v>
      </c>
      <c r="D1119" s="736" t="s">
        <v>3526</v>
      </c>
      <c r="E1119" s="763" t="s">
        <v>2529</v>
      </c>
      <c r="F1119" s="779" t="s">
        <v>3578</v>
      </c>
      <c r="G1119" s="736" t="s">
        <v>1757</v>
      </c>
      <c r="H1119" s="739">
        <v>38.0</v>
      </c>
      <c r="I1119" s="778"/>
      <c r="J1119" s="301"/>
      <c r="K1119" s="731" t="s">
        <v>2070</v>
      </c>
      <c r="L1119" s="741">
        <f>L1118/L1117</f>
        <v>0.2191279058</v>
      </c>
      <c r="M1119" s="733"/>
      <c r="N1119" s="742" t="str">
        <f>IF(L1119&lt;25%,"Não","Sim - proceder verificação ao lado")</f>
        <v>Não</v>
      </c>
      <c r="O1119" s="743" t="b">
        <v>1</v>
      </c>
    </row>
    <row r="1120">
      <c r="A1120" s="736" t="s">
        <v>2230</v>
      </c>
      <c r="B1120" s="735" t="s">
        <v>2174</v>
      </c>
      <c r="C1120" s="744" t="s">
        <v>3528</v>
      </c>
      <c r="D1120" s="736" t="s">
        <v>3529</v>
      </c>
      <c r="E1120" s="763" t="s">
        <v>2529</v>
      </c>
      <c r="F1120" s="764" t="s">
        <v>3579</v>
      </c>
      <c r="G1120" s="736" t="s">
        <v>1757</v>
      </c>
      <c r="H1120" s="745">
        <v>28.7</v>
      </c>
      <c r="I1120" s="778"/>
      <c r="J1120" s="301"/>
      <c r="K1120" s="731" t="s">
        <v>2075</v>
      </c>
      <c r="L1120" s="746">
        <f>L1117*1.25</f>
        <v>38.20833333</v>
      </c>
      <c r="M1120" s="733"/>
      <c r="N1120" s="301"/>
      <c r="O1120" s="743" t="b">
        <v>1</v>
      </c>
    </row>
    <row r="1121">
      <c r="A1121" s="736" t="s">
        <v>2230</v>
      </c>
      <c r="B1121" s="744" t="s">
        <v>2212</v>
      </c>
      <c r="C1121" s="744" t="s">
        <v>3541</v>
      </c>
      <c r="D1121" s="736" t="s">
        <v>3542</v>
      </c>
      <c r="E1121" s="763" t="s">
        <v>2529</v>
      </c>
      <c r="F1121" s="779" t="s">
        <v>3580</v>
      </c>
      <c r="G1121" s="736" t="s">
        <v>1757</v>
      </c>
      <c r="H1121" s="739">
        <v>25.0</v>
      </c>
      <c r="I1121" s="786" t="s">
        <v>3581</v>
      </c>
      <c r="J1121" s="189"/>
      <c r="K1121" s="731" t="s">
        <v>2080</v>
      </c>
      <c r="L1121" s="746">
        <f>L1117*0.75</f>
        <v>22.925</v>
      </c>
      <c r="M1121" s="733"/>
      <c r="N1121" s="189"/>
      <c r="O1121" s="743" t="b">
        <v>1</v>
      </c>
    </row>
    <row r="1122">
      <c r="A1122" s="736"/>
      <c r="B1122" s="744"/>
      <c r="C1122" s="744"/>
      <c r="D1122" s="736"/>
      <c r="E1122" s="736"/>
      <c r="F1122" s="779"/>
      <c r="G1122" s="736"/>
      <c r="H1122" s="736"/>
      <c r="I1122" s="824"/>
      <c r="J1122" s="752"/>
      <c r="K1122" s="752"/>
      <c r="L1122" s="752"/>
      <c r="M1122" s="751"/>
      <c r="N1122" s="752"/>
      <c r="O1122" s="753"/>
    </row>
    <row r="1123">
      <c r="A1123" s="837" t="s">
        <v>3582</v>
      </c>
      <c r="B1123" s="838" t="s">
        <v>3583</v>
      </c>
      <c r="C1123" s="36"/>
      <c r="D1123" s="36"/>
      <c r="E1123" s="36"/>
      <c r="F1123" s="36"/>
      <c r="G1123" s="839" t="s">
        <v>1757</v>
      </c>
      <c r="H1123" s="756">
        <f>MEDIAN(H1125:H1127)</f>
        <v>4521.03</v>
      </c>
      <c r="I1123" s="840" t="s">
        <v>2230</v>
      </c>
      <c r="J1123" s="758" t="s">
        <v>2053</v>
      </c>
      <c r="K1123" s="731" t="s">
        <v>2054</v>
      </c>
      <c r="L1123" s="759">
        <f>AVERAGE(H1125:H1127)</f>
        <v>4662.676667</v>
      </c>
      <c r="M1123" s="733"/>
      <c r="N1123" s="760" t="s">
        <v>2055</v>
      </c>
      <c r="O1123" s="454"/>
    </row>
    <row r="1124">
      <c r="A1124" s="727" t="s">
        <v>1717</v>
      </c>
      <c r="B1124" s="728" t="s">
        <v>2056</v>
      </c>
      <c r="C1124" s="728" t="s">
        <v>2057</v>
      </c>
      <c r="D1124" s="727" t="s">
        <v>2058</v>
      </c>
      <c r="E1124" s="727" t="s">
        <v>2059</v>
      </c>
      <c r="F1124" s="729" t="s">
        <v>1537</v>
      </c>
      <c r="G1124" s="727" t="s">
        <v>2060</v>
      </c>
      <c r="H1124" s="727" t="s">
        <v>2061</v>
      </c>
      <c r="I1124" s="841" t="s">
        <v>2062</v>
      </c>
      <c r="J1124" s="301"/>
      <c r="K1124" s="731" t="s">
        <v>2063</v>
      </c>
      <c r="L1124" s="732">
        <f>STDEV(H1125:H1127)</f>
        <v>264.6470926</v>
      </c>
      <c r="M1124" s="733"/>
      <c r="N1124" s="189"/>
      <c r="O1124" s="454"/>
    </row>
    <row r="1125">
      <c r="A1125" s="734"/>
      <c r="B1125" s="744" t="s">
        <v>2212</v>
      </c>
      <c r="C1125" s="767" t="s">
        <v>3465</v>
      </c>
      <c r="D1125" s="777" t="s">
        <v>3466</v>
      </c>
      <c r="E1125" s="763" t="s">
        <v>2529</v>
      </c>
      <c r="F1125" s="764" t="s">
        <v>3584</v>
      </c>
      <c r="G1125" s="736" t="s">
        <v>1757</v>
      </c>
      <c r="H1125" s="745">
        <v>4499.0</v>
      </c>
      <c r="I1125" s="842" t="s">
        <v>3585</v>
      </c>
      <c r="J1125" s="301"/>
      <c r="K1125" s="731" t="s">
        <v>2070</v>
      </c>
      <c r="L1125" s="741">
        <f>L1124/L1123</f>
        <v>0.0567586199</v>
      </c>
      <c r="M1125" s="733"/>
      <c r="N1125" s="742" t="str">
        <f>IF(L1125&lt;25%,"Não","Sim - proceder verificação ao lado")</f>
        <v>Não</v>
      </c>
      <c r="O1125" s="743" t="b">
        <v>1</v>
      </c>
    </row>
    <row r="1126">
      <c r="A1126" s="736" t="s">
        <v>2230</v>
      </c>
      <c r="B1126" s="744" t="s">
        <v>2212</v>
      </c>
      <c r="C1126" s="744" t="s">
        <v>2405</v>
      </c>
      <c r="D1126" s="736" t="s">
        <v>3586</v>
      </c>
      <c r="E1126" s="763" t="s">
        <v>2529</v>
      </c>
      <c r="F1126" s="779" t="s">
        <v>3587</v>
      </c>
      <c r="G1126" s="736" t="s">
        <v>1757</v>
      </c>
      <c r="H1126" s="745">
        <v>4968.0</v>
      </c>
      <c r="I1126" s="775" t="s">
        <v>3588</v>
      </c>
      <c r="J1126" s="301"/>
      <c r="K1126" s="731" t="s">
        <v>2075</v>
      </c>
      <c r="L1126" s="746">
        <f>L1123*1.25</f>
        <v>5828.345833</v>
      </c>
      <c r="M1126" s="733"/>
      <c r="N1126" s="301"/>
      <c r="O1126" s="743" t="b">
        <v>1</v>
      </c>
    </row>
    <row r="1127">
      <c r="A1127" s="736" t="s">
        <v>2230</v>
      </c>
      <c r="B1127" s="744" t="s">
        <v>2212</v>
      </c>
      <c r="C1127" s="744" t="s">
        <v>3589</v>
      </c>
      <c r="D1127" s="736" t="s">
        <v>3590</v>
      </c>
      <c r="E1127" s="763" t="s">
        <v>2529</v>
      </c>
      <c r="F1127" s="764" t="s">
        <v>3591</v>
      </c>
      <c r="G1127" s="736" t="s">
        <v>1757</v>
      </c>
      <c r="H1127" s="745">
        <v>4521.03</v>
      </c>
      <c r="I1127" s="785" t="s">
        <v>3592</v>
      </c>
      <c r="J1127" s="189"/>
      <c r="K1127" s="731" t="s">
        <v>2080</v>
      </c>
      <c r="L1127" s="746">
        <f>L1123*0.75</f>
        <v>3497.0075</v>
      </c>
      <c r="M1127" s="733"/>
      <c r="N1127" s="189"/>
      <c r="O1127" s="743" t="b">
        <v>1</v>
      </c>
    </row>
    <row r="1128">
      <c r="A1128" s="736"/>
      <c r="B1128" s="744"/>
      <c r="C1128" s="744"/>
      <c r="D1128" s="736"/>
      <c r="E1128" s="736"/>
      <c r="F1128" s="779"/>
      <c r="G1128" s="736"/>
      <c r="H1128" s="736"/>
      <c r="I1128" s="824"/>
      <c r="J1128" s="752"/>
      <c r="K1128" s="752"/>
      <c r="L1128" s="752"/>
      <c r="M1128" s="751"/>
      <c r="N1128" s="752"/>
      <c r="O1128" s="753"/>
    </row>
    <row r="1129">
      <c r="A1129" s="837" t="s">
        <v>3593</v>
      </c>
      <c r="B1129" s="838" t="s">
        <v>3594</v>
      </c>
      <c r="C1129" s="36"/>
      <c r="D1129" s="36"/>
      <c r="E1129" s="36"/>
      <c r="F1129" s="36"/>
      <c r="G1129" s="839" t="s">
        <v>1757</v>
      </c>
      <c r="H1129" s="756">
        <f>MEDIAN(H1131:H1133)</f>
        <v>8199</v>
      </c>
      <c r="I1129" s="840" t="s">
        <v>2230</v>
      </c>
      <c r="J1129" s="758" t="s">
        <v>2053</v>
      </c>
      <c r="K1129" s="731" t="s">
        <v>2054</v>
      </c>
      <c r="L1129" s="759">
        <f>AVERAGE(H1131:H1133)</f>
        <v>8552.666667</v>
      </c>
      <c r="M1129" s="733"/>
      <c r="N1129" s="760" t="s">
        <v>2055</v>
      </c>
      <c r="O1129" s="454"/>
    </row>
    <row r="1130">
      <c r="A1130" s="727" t="s">
        <v>1717</v>
      </c>
      <c r="B1130" s="728" t="s">
        <v>2056</v>
      </c>
      <c r="C1130" s="728" t="s">
        <v>2057</v>
      </c>
      <c r="D1130" s="727" t="s">
        <v>2058</v>
      </c>
      <c r="E1130" s="727" t="s">
        <v>2059</v>
      </c>
      <c r="F1130" s="729" t="s">
        <v>1537</v>
      </c>
      <c r="G1130" s="727" t="s">
        <v>2060</v>
      </c>
      <c r="H1130" s="727" t="s">
        <v>2061</v>
      </c>
      <c r="I1130" s="841" t="s">
        <v>2062</v>
      </c>
      <c r="J1130" s="301"/>
      <c r="K1130" s="731" t="s">
        <v>2063</v>
      </c>
      <c r="L1130" s="732">
        <f>STDEV(H1131:H1133)</f>
        <v>612.5686356</v>
      </c>
      <c r="M1130" s="733"/>
      <c r="N1130" s="189"/>
      <c r="O1130" s="454"/>
    </row>
    <row r="1131">
      <c r="A1131" s="734"/>
      <c r="B1131" s="744" t="s">
        <v>2212</v>
      </c>
      <c r="C1131" s="744" t="s">
        <v>2833</v>
      </c>
      <c r="D1131" s="736" t="s">
        <v>3595</v>
      </c>
      <c r="E1131" s="763" t="s">
        <v>2529</v>
      </c>
      <c r="F1131" s="764" t="s">
        <v>3596</v>
      </c>
      <c r="G1131" s="736" t="s">
        <v>1757</v>
      </c>
      <c r="H1131" s="745">
        <v>8199.0</v>
      </c>
      <c r="I1131" s="776" t="s">
        <v>3597</v>
      </c>
      <c r="J1131" s="301"/>
      <c r="K1131" s="731" t="s">
        <v>2070</v>
      </c>
      <c r="L1131" s="741">
        <f>L1130/L1129</f>
        <v>0.07162311586</v>
      </c>
      <c r="M1131" s="733"/>
      <c r="N1131" s="742" t="str">
        <f>IF(L1131&lt;25%,"Não","Sim - proceder verificação ao lado")</f>
        <v>Não</v>
      </c>
      <c r="O1131" s="743" t="b">
        <v>1</v>
      </c>
    </row>
    <row r="1132">
      <c r="A1132" s="736" t="s">
        <v>2230</v>
      </c>
      <c r="B1132" s="744" t="s">
        <v>2212</v>
      </c>
      <c r="C1132" s="744" t="s">
        <v>3598</v>
      </c>
      <c r="D1132" s="736" t="s">
        <v>3599</v>
      </c>
      <c r="E1132" s="763" t="s">
        <v>2529</v>
      </c>
      <c r="F1132" s="779" t="s">
        <v>3600</v>
      </c>
      <c r="G1132" s="736" t="s">
        <v>1757</v>
      </c>
      <c r="H1132" s="745">
        <v>9260.0</v>
      </c>
      <c r="I1132" s="775" t="s">
        <v>3601</v>
      </c>
      <c r="J1132" s="301"/>
      <c r="K1132" s="731" t="s">
        <v>2075</v>
      </c>
      <c r="L1132" s="746">
        <f>L1129*1.25</f>
        <v>10690.83333</v>
      </c>
      <c r="M1132" s="733"/>
      <c r="N1132" s="301"/>
      <c r="O1132" s="743" t="b">
        <v>1</v>
      </c>
    </row>
    <row r="1133">
      <c r="A1133" s="736" t="s">
        <v>2230</v>
      </c>
      <c r="B1133" s="744" t="s">
        <v>2212</v>
      </c>
      <c r="C1133" s="744" t="s">
        <v>3602</v>
      </c>
      <c r="D1133" s="736" t="s">
        <v>3586</v>
      </c>
      <c r="E1133" s="763" t="s">
        <v>2529</v>
      </c>
      <c r="F1133" s="764" t="s">
        <v>3603</v>
      </c>
      <c r="G1133" s="736" t="s">
        <v>1757</v>
      </c>
      <c r="H1133" s="745">
        <v>8199.0</v>
      </c>
      <c r="I1133" s="776" t="s">
        <v>3604</v>
      </c>
      <c r="J1133" s="189"/>
      <c r="K1133" s="731" t="s">
        <v>2080</v>
      </c>
      <c r="L1133" s="746">
        <f>L1129*0.75</f>
        <v>6414.5</v>
      </c>
      <c r="M1133" s="733"/>
      <c r="N1133" s="189"/>
      <c r="O1133" s="743" t="b">
        <v>1</v>
      </c>
    </row>
    <row r="1134">
      <c r="A1134" s="736"/>
      <c r="B1134" s="744"/>
      <c r="C1134" s="744"/>
      <c r="D1134" s="736"/>
      <c r="E1134" s="736"/>
      <c r="F1134" s="779"/>
      <c r="G1134" s="736"/>
      <c r="H1134" s="736"/>
      <c r="I1134" s="824"/>
      <c r="J1134" s="752"/>
      <c r="K1134" s="752"/>
      <c r="L1134" s="752"/>
      <c r="M1134" s="751"/>
      <c r="N1134" s="752"/>
      <c r="O1134" s="753"/>
    </row>
    <row r="1135">
      <c r="A1135" s="837" t="s">
        <v>1133</v>
      </c>
      <c r="B1135" s="838" t="s">
        <v>3605</v>
      </c>
      <c r="C1135" s="36"/>
      <c r="D1135" s="36"/>
      <c r="E1135" s="36"/>
      <c r="F1135" s="36"/>
      <c r="G1135" s="839" t="s">
        <v>3606</v>
      </c>
      <c r="H1135" s="756">
        <f>MEDIAN(H1137:H1139)</f>
        <v>85.83</v>
      </c>
      <c r="I1135" s="840" t="s">
        <v>2230</v>
      </c>
      <c r="J1135" s="758" t="s">
        <v>2053</v>
      </c>
      <c r="K1135" s="731" t="s">
        <v>2054</v>
      </c>
      <c r="L1135" s="759">
        <f>AVERAGE(H1137:H1139)</f>
        <v>84.63</v>
      </c>
      <c r="M1135" s="733"/>
      <c r="N1135" s="760" t="s">
        <v>2055</v>
      </c>
      <c r="O1135" s="454"/>
    </row>
    <row r="1136">
      <c r="A1136" s="727" t="s">
        <v>1717</v>
      </c>
      <c r="B1136" s="728" t="s">
        <v>2056</v>
      </c>
      <c r="C1136" s="728" t="s">
        <v>2057</v>
      </c>
      <c r="D1136" s="727" t="s">
        <v>2058</v>
      </c>
      <c r="E1136" s="727" t="s">
        <v>2059</v>
      </c>
      <c r="F1136" s="729" t="s">
        <v>1537</v>
      </c>
      <c r="G1136" s="727" t="s">
        <v>2060</v>
      </c>
      <c r="H1136" s="727" t="s">
        <v>2061</v>
      </c>
      <c r="I1136" s="841" t="s">
        <v>2062</v>
      </c>
      <c r="J1136" s="301"/>
      <c r="K1136" s="731" t="s">
        <v>2063</v>
      </c>
      <c r="L1136" s="732">
        <f>STDEV(H1137:H1139)</f>
        <v>5.961283419</v>
      </c>
      <c r="M1136" s="733"/>
      <c r="N1136" s="189"/>
      <c r="O1136" s="454"/>
    </row>
    <row r="1137">
      <c r="A1137" s="734"/>
      <c r="B1137" s="735" t="s">
        <v>2212</v>
      </c>
      <c r="C1137" s="744" t="s">
        <v>3607</v>
      </c>
      <c r="D1137" s="736" t="s">
        <v>3608</v>
      </c>
      <c r="E1137" s="763" t="s">
        <v>2529</v>
      </c>
      <c r="F1137" s="779" t="s">
        <v>3609</v>
      </c>
      <c r="G1137" s="736" t="s">
        <v>3606</v>
      </c>
      <c r="H1137" s="745">
        <v>85.83</v>
      </c>
      <c r="I1137" s="786" t="s">
        <v>3610</v>
      </c>
      <c r="J1137" s="301"/>
      <c r="K1137" s="731" t="s">
        <v>2070</v>
      </c>
      <c r="L1137" s="741">
        <f>L1136/L1135</f>
        <v>0.07043936451</v>
      </c>
      <c r="M1137" s="733"/>
      <c r="N1137" s="742" t="str">
        <f>IF(L1137&lt;25%,"Não","Sim - proceder verificação ao lado")</f>
        <v>Não</v>
      </c>
      <c r="O1137" s="743" t="b">
        <v>1</v>
      </c>
    </row>
    <row r="1138">
      <c r="A1138" s="736" t="s">
        <v>2230</v>
      </c>
      <c r="B1138" s="735" t="s">
        <v>2212</v>
      </c>
      <c r="C1138" s="744" t="s">
        <v>3611</v>
      </c>
      <c r="D1138" s="736" t="s">
        <v>2552</v>
      </c>
      <c r="E1138" s="763" t="s">
        <v>2529</v>
      </c>
      <c r="F1138" s="779" t="s">
        <v>3612</v>
      </c>
      <c r="G1138" s="736" t="s">
        <v>3606</v>
      </c>
      <c r="H1138" s="745">
        <v>78.16</v>
      </c>
      <c r="I1138" s="786" t="s">
        <v>3613</v>
      </c>
      <c r="J1138" s="301"/>
      <c r="K1138" s="731" t="s">
        <v>2075</v>
      </c>
      <c r="L1138" s="746">
        <f>L1135*1.25</f>
        <v>105.7875</v>
      </c>
      <c r="M1138" s="733"/>
      <c r="N1138" s="301"/>
      <c r="O1138" s="743" t="b">
        <v>1</v>
      </c>
    </row>
    <row r="1139">
      <c r="A1139" s="736" t="s">
        <v>2230</v>
      </c>
      <c r="B1139" s="735" t="s">
        <v>2212</v>
      </c>
      <c r="C1139" s="744" t="s">
        <v>3614</v>
      </c>
      <c r="D1139" s="736" t="s">
        <v>3615</v>
      </c>
      <c r="E1139" s="763" t="s">
        <v>2529</v>
      </c>
      <c r="F1139" s="779" t="s">
        <v>3616</v>
      </c>
      <c r="G1139" s="736" t="s">
        <v>3606</v>
      </c>
      <c r="H1139" s="739">
        <v>89.9</v>
      </c>
      <c r="I1139" s="786" t="s">
        <v>3617</v>
      </c>
      <c r="J1139" s="189"/>
      <c r="K1139" s="731" t="s">
        <v>2080</v>
      </c>
      <c r="L1139" s="746">
        <f>L1135*0.75</f>
        <v>63.4725</v>
      </c>
      <c r="M1139" s="733"/>
      <c r="N1139" s="189"/>
      <c r="O1139" s="743" t="b">
        <v>1</v>
      </c>
    </row>
    <row r="1140">
      <c r="A1140" s="736"/>
      <c r="B1140" s="744"/>
      <c r="C1140" s="744"/>
      <c r="D1140" s="736"/>
      <c r="E1140" s="736"/>
      <c r="F1140" s="779"/>
      <c r="G1140" s="736"/>
      <c r="H1140" s="736"/>
      <c r="I1140" s="824"/>
      <c r="J1140" s="753"/>
      <c r="K1140" s="753"/>
      <c r="L1140" s="753"/>
      <c r="M1140" s="771"/>
      <c r="N1140" s="753"/>
      <c r="O1140" s="753"/>
    </row>
    <row r="1141">
      <c r="A1141" s="736"/>
      <c r="B1141" s="744"/>
      <c r="C1141" s="744"/>
      <c r="D1141" s="736"/>
      <c r="E1141" s="736"/>
      <c r="F1141" s="779"/>
      <c r="G1141" s="736"/>
      <c r="H1141" s="736"/>
      <c r="I1141" s="824"/>
      <c r="J1141" s="752"/>
      <c r="K1141" s="752"/>
      <c r="L1141" s="752"/>
      <c r="M1141" s="751"/>
      <c r="N1141" s="752"/>
      <c r="O1141" s="454"/>
    </row>
    <row r="1142">
      <c r="A1142" s="837" t="s">
        <v>1135</v>
      </c>
      <c r="B1142" s="838" t="s">
        <v>3618</v>
      </c>
      <c r="C1142" s="36"/>
      <c r="D1142" s="36"/>
      <c r="E1142" s="36"/>
      <c r="F1142" s="36"/>
      <c r="G1142" s="839" t="s">
        <v>1757</v>
      </c>
      <c r="H1142" s="756">
        <f>MEDIAN(H1144:H1146)</f>
        <v>89</v>
      </c>
      <c r="I1142" s="840" t="s">
        <v>2230</v>
      </c>
      <c r="J1142" s="758" t="s">
        <v>2053</v>
      </c>
      <c r="K1142" s="731" t="s">
        <v>2054</v>
      </c>
      <c r="L1142" s="759">
        <f>AVERAGE(H1144:H1146)</f>
        <v>96.58</v>
      </c>
      <c r="M1142" s="733"/>
      <c r="N1142" s="760" t="s">
        <v>2055</v>
      </c>
      <c r="O1142" s="454"/>
    </row>
    <row r="1143">
      <c r="A1143" s="727" t="s">
        <v>1717</v>
      </c>
      <c r="B1143" s="728" t="s">
        <v>2056</v>
      </c>
      <c r="C1143" s="728" t="s">
        <v>2057</v>
      </c>
      <c r="D1143" s="727" t="s">
        <v>2058</v>
      </c>
      <c r="E1143" s="727" t="s">
        <v>2059</v>
      </c>
      <c r="F1143" s="729" t="s">
        <v>1537</v>
      </c>
      <c r="G1143" s="727" t="s">
        <v>2060</v>
      </c>
      <c r="H1143" s="727" t="s">
        <v>2061</v>
      </c>
      <c r="I1143" s="841" t="s">
        <v>2062</v>
      </c>
      <c r="J1143" s="301"/>
      <c r="K1143" s="731" t="s">
        <v>2063</v>
      </c>
      <c r="L1143" s="732">
        <f>STDEV(H1144:H1146)</f>
        <v>15.4354527</v>
      </c>
      <c r="M1143" s="733"/>
      <c r="N1143" s="189"/>
    </row>
    <row r="1144">
      <c r="A1144" s="734"/>
      <c r="B1144" s="744" t="s">
        <v>2212</v>
      </c>
      <c r="C1144" s="744" t="s">
        <v>3619</v>
      </c>
      <c r="D1144" s="736" t="s">
        <v>3620</v>
      </c>
      <c r="E1144" s="763" t="s">
        <v>2529</v>
      </c>
      <c r="F1144" s="779" t="s">
        <v>3621</v>
      </c>
      <c r="G1144" s="736" t="s">
        <v>1757</v>
      </c>
      <c r="H1144" s="739">
        <v>86.4</v>
      </c>
      <c r="I1144" s="848" t="s">
        <v>3622</v>
      </c>
      <c r="J1144" s="301"/>
      <c r="K1144" s="731" t="s">
        <v>2070</v>
      </c>
      <c r="L1144" s="741">
        <f>L1143/L1142</f>
        <v>0.1598203841</v>
      </c>
      <c r="M1144" s="733"/>
      <c r="N1144" s="742" t="str">
        <f>IF(L1144&lt;25%,"Não","Sim - proceder verificação ao lado")</f>
        <v>Não</v>
      </c>
      <c r="O1144" s="743" t="b">
        <v>1</v>
      </c>
    </row>
    <row r="1145">
      <c r="A1145" s="736" t="s">
        <v>2230</v>
      </c>
      <c r="B1145" s="744" t="s">
        <v>2212</v>
      </c>
      <c r="C1145" s="744" t="s">
        <v>2372</v>
      </c>
      <c r="D1145" s="736" t="s">
        <v>2134</v>
      </c>
      <c r="E1145" s="763" t="s">
        <v>2529</v>
      </c>
      <c r="F1145" s="779" t="s">
        <v>3623</v>
      </c>
      <c r="G1145" s="736" t="s">
        <v>1757</v>
      </c>
      <c r="H1145" s="745">
        <v>114.34</v>
      </c>
      <c r="I1145" s="786" t="s">
        <v>3624</v>
      </c>
      <c r="J1145" s="301"/>
      <c r="K1145" s="731" t="s">
        <v>2075</v>
      </c>
      <c r="L1145" s="746">
        <f>L1142*1.25</f>
        <v>120.725</v>
      </c>
      <c r="M1145" s="733"/>
      <c r="N1145" s="301"/>
      <c r="O1145" s="743" t="b">
        <v>1</v>
      </c>
    </row>
    <row r="1146">
      <c r="A1146" s="736" t="s">
        <v>2230</v>
      </c>
      <c r="B1146" s="744" t="s">
        <v>2212</v>
      </c>
      <c r="C1146" s="744" t="s">
        <v>3625</v>
      </c>
      <c r="D1146" s="736" t="s">
        <v>3626</v>
      </c>
      <c r="E1146" s="763" t="s">
        <v>2529</v>
      </c>
      <c r="F1146" s="779" t="s">
        <v>3627</v>
      </c>
      <c r="G1146" s="736" t="s">
        <v>1757</v>
      </c>
      <c r="H1146" s="739">
        <v>89.0</v>
      </c>
      <c r="I1146" s="786" t="s">
        <v>3628</v>
      </c>
      <c r="J1146" s="189"/>
      <c r="K1146" s="731" t="s">
        <v>2080</v>
      </c>
      <c r="L1146" s="746">
        <f>L1142*0.75</f>
        <v>72.435</v>
      </c>
      <c r="M1146" s="733"/>
      <c r="N1146" s="189"/>
      <c r="O1146" s="743" t="b">
        <v>1</v>
      </c>
    </row>
    <row r="1147">
      <c r="A1147" s="736"/>
      <c r="B1147" s="744"/>
      <c r="C1147" s="744"/>
      <c r="D1147" s="736"/>
      <c r="E1147" s="736"/>
      <c r="F1147" s="779"/>
      <c r="G1147" s="736"/>
      <c r="H1147" s="736"/>
      <c r="I1147" s="824"/>
      <c r="J1147" s="752"/>
      <c r="K1147" s="752"/>
      <c r="L1147" s="752"/>
      <c r="M1147" s="751"/>
      <c r="N1147" s="752"/>
      <c r="O1147" s="753"/>
    </row>
    <row r="1148">
      <c r="A1148" s="837" t="s">
        <v>1166</v>
      </c>
      <c r="B1148" s="838" t="s">
        <v>3629</v>
      </c>
      <c r="C1148" s="36"/>
      <c r="D1148" s="36"/>
      <c r="E1148" s="36"/>
      <c r="F1148" s="36"/>
      <c r="G1148" s="839" t="s">
        <v>1757</v>
      </c>
      <c r="H1148" s="756">
        <f>MEDIAN(H1150:H1152)</f>
        <v>0.14</v>
      </c>
      <c r="I1148" s="840" t="s">
        <v>2230</v>
      </c>
      <c r="J1148" s="758" t="s">
        <v>2053</v>
      </c>
      <c r="K1148" s="731" t="s">
        <v>2054</v>
      </c>
      <c r="L1148" s="759">
        <f>AVERAGE(H1150:H1152)</f>
        <v>0.1366666667</v>
      </c>
      <c r="M1148" s="733"/>
      <c r="N1148" s="760" t="s">
        <v>2055</v>
      </c>
      <c r="O1148" s="454"/>
    </row>
    <row r="1149">
      <c r="A1149" s="727" t="s">
        <v>1717</v>
      </c>
      <c r="B1149" s="728" t="s">
        <v>2056</v>
      </c>
      <c r="C1149" s="728" t="s">
        <v>2057</v>
      </c>
      <c r="D1149" s="727" t="s">
        <v>2058</v>
      </c>
      <c r="E1149" s="727" t="s">
        <v>2059</v>
      </c>
      <c r="F1149" s="729" t="s">
        <v>1537</v>
      </c>
      <c r="G1149" s="727" t="s">
        <v>2060</v>
      </c>
      <c r="H1149" s="727" t="s">
        <v>2061</v>
      </c>
      <c r="I1149" s="841" t="s">
        <v>2062</v>
      </c>
      <c r="J1149" s="301"/>
      <c r="K1149" s="731" t="s">
        <v>2063</v>
      </c>
      <c r="L1149" s="732">
        <f>STDEV(H1150:H1152)</f>
        <v>0.01527525232</v>
      </c>
      <c r="M1149" s="733"/>
      <c r="N1149" s="189"/>
      <c r="O1149" s="454"/>
    </row>
    <row r="1150">
      <c r="A1150" s="762"/>
      <c r="B1150" s="744" t="s">
        <v>2212</v>
      </c>
      <c r="C1150" s="767" t="s">
        <v>3630</v>
      </c>
      <c r="D1150" s="777" t="s">
        <v>3631</v>
      </c>
      <c r="E1150" s="763" t="s">
        <v>2529</v>
      </c>
      <c r="F1150" s="764" t="s">
        <v>3632</v>
      </c>
      <c r="G1150" s="736" t="s">
        <v>1757</v>
      </c>
      <c r="H1150" s="745">
        <v>0.12</v>
      </c>
      <c r="I1150" s="842" t="s">
        <v>3633</v>
      </c>
      <c r="J1150" s="301"/>
      <c r="K1150" s="731" t="s">
        <v>2070</v>
      </c>
      <c r="L1150" s="741">
        <f>L1149/L1148</f>
        <v>0.1117701389</v>
      </c>
      <c r="M1150" s="733"/>
      <c r="N1150" s="742" t="str">
        <f>IF(L1150&lt;25%,"Não","Sim - proceder verificação ao lado")</f>
        <v>Não</v>
      </c>
      <c r="O1150" s="743" t="b">
        <v>1</v>
      </c>
    </row>
    <row r="1151">
      <c r="A1151" s="736" t="s">
        <v>2230</v>
      </c>
      <c r="B1151" s="744" t="s">
        <v>2212</v>
      </c>
      <c r="C1151" s="744" t="s">
        <v>3634</v>
      </c>
      <c r="D1151" s="736" t="s">
        <v>3635</v>
      </c>
      <c r="E1151" s="763" t="s">
        <v>2529</v>
      </c>
      <c r="F1151" s="779" t="s">
        <v>3636</v>
      </c>
      <c r="G1151" s="736" t="s">
        <v>1757</v>
      </c>
      <c r="H1151" s="745">
        <v>0.15</v>
      </c>
      <c r="I1151" s="786" t="s">
        <v>3637</v>
      </c>
      <c r="J1151" s="301"/>
      <c r="K1151" s="731" t="s">
        <v>2075</v>
      </c>
      <c r="L1151" s="746">
        <f>L1148*1.25</f>
        <v>0.1708333333</v>
      </c>
      <c r="M1151" s="733"/>
      <c r="N1151" s="301"/>
      <c r="O1151" s="743" t="b">
        <v>1</v>
      </c>
    </row>
    <row r="1152">
      <c r="A1152" s="736" t="s">
        <v>2230</v>
      </c>
      <c r="B1152" s="744" t="s">
        <v>2212</v>
      </c>
      <c r="C1152" s="744" t="s">
        <v>3329</v>
      </c>
      <c r="D1152" s="736" t="s">
        <v>3330</v>
      </c>
      <c r="E1152" s="763" t="s">
        <v>2529</v>
      </c>
      <c r="F1152" s="764" t="s">
        <v>3638</v>
      </c>
      <c r="G1152" s="736" t="s">
        <v>1757</v>
      </c>
      <c r="H1152" s="745">
        <v>0.14</v>
      </c>
      <c r="I1152" s="776" t="s">
        <v>3639</v>
      </c>
      <c r="J1152" s="189"/>
      <c r="K1152" s="731" t="s">
        <v>2080</v>
      </c>
      <c r="L1152" s="746">
        <f>L1148*0.75</f>
        <v>0.1025</v>
      </c>
      <c r="M1152" s="733"/>
      <c r="N1152" s="189"/>
      <c r="O1152" s="743" t="b">
        <v>1</v>
      </c>
    </row>
    <row r="1153">
      <c r="A1153" s="736"/>
      <c r="B1153" s="744"/>
      <c r="C1153" s="744"/>
      <c r="D1153" s="736"/>
      <c r="E1153" s="823"/>
      <c r="F1153" s="779"/>
      <c r="G1153" s="736"/>
      <c r="H1153" s="736"/>
      <c r="I1153" s="824"/>
      <c r="J1153" s="752"/>
      <c r="K1153" s="752"/>
      <c r="L1153" s="752"/>
      <c r="M1153" s="751"/>
      <c r="N1153" s="752"/>
      <c r="O1153" s="753"/>
    </row>
    <row r="1154">
      <c r="A1154" s="837" t="s">
        <v>1168</v>
      </c>
      <c r="B1154" s="838" t="s">
        <v>3640</v>
      </c>
      <c r="C1154" s="36"/>
      <c r="D1154" s="36"/>
      <c r="E1154" s="36"/>
      <c r="F1154" s="36"/>
      <c r="G1154" s="839" t="s">
        <v>1757</v>
      </c>
      <c r="H1154" s="756">
        <f>MEDIAN(H1156:H1158)</f>
        <v>0.13</v>
      </c>
      <c r="I1154" s="840" t="s">
        <v>2230</v>
      </c>
      <c r="J1154" s="758" t="s">
        <v>2053</v>
      </c>
      <c r="K1154" s="731" t="s">
        <v>2054</v>
      </c>
      <c r="L1154" s="759">
        <f>AVERAGE(H1156:H1158)</f>
        <v>0.1366666667</v>
      </c>
      <c r="M1154" s="733"/>
      <c r="N1154" s="760" t="s">
        <v>2055</v>
      </c>
      <c r="O1154" s="454"/>
    </row>
    <row r="1155">
      <c r="A1155" s="727" t="s">
        <v>1717</v>
      </c>
      <c r="B1155" s="728" t="s">
        <v>2056</v>
      </c>
      <c r="C1155" s="728" t="s">
        <v>2057</v>
      </c>
      <c r="D1155" s="727" t="s">
        <v>2058</v>
      </c>
      <c r="E1155" s="727" t="s">
        <v>2059</v>
      </c>
      <c r="F1155" s="729" t="s">
        <v>1537</v>
      </c>
      <c r="G1155" s="727" t="s">
        <v>2060</v>
      </c>
      <c r="H1155" s="727" t="s">
        <v>2061</v>
      </c>
      <c r="I1155" s="841" t="s">
        <v>2062</v>
      </c>
      <c r="J1155" s="301"/>
      <c r="K1155" s="731" t="s">
        <v>2063</v>
      </c>
      <c r="L1155" s="732">
        <f>STDEV(H1156:H1158)</f>
        <v>0.02081665999</v>
      </c>
      <c r="M1155" s="733"/>
      <c r="N1155" s="189"/>
      <c r="O1155" s="454"/>
    </row>
    <row r="1156">
      <c r="A1156" s="734"/>
      <c r="B1156" s="744" t="s">
        <v>2212</v>
      </c>
      <c r="C1156" s="767" t="s">
        <v>2126</v>
      </c>
      <c r="D1156" s="777" t="s">
        <v>2281</v>
      </c>
      <c r="E1156" s="763" t="s">
        <v>2529</v>
      </c>
      <c r="F1156" s="764" t="s">
        <v>3641</v>
      </c>
      <c r="G1156" s="736" t="s">
        <v>1757</v>
      </c>
      <c r="H1156" s="745">
        <v>0.12</v>
      </c>
      <c r="I1156" s="842" t="s">
        <v>3642</v>
      </c>
      <c r="J1156" s="301"/>
      <c r="K1156" s="731" t="s">
        <v>2070</v>
      </c>
      <c r="L1156" s="741">
        <f>L1155/L1154</f>
        <v>0.1523170244</v>
      </c>
      <c r="M1156" s="733"/>
      <c r="N1156" s="742" t="str">
        <f>IF(L1156&lt;25%,"Não","Sim - proceder verificação ao lado")</f>
        <v>Não</v>
      </c>
      <c r="O1156" s="743" t="b">
        <v>1</v>
      </c>
    </row>
    <row r="1157">
      <c r="A1157" s="736" t="s">
        <v>2230</v>
      </c>
      <c r="B1157" s="744" t="s">
        <v>2212</v>
      </c>
      <c r="C1157" s="744" t="s">
        <v>3643</v>
      </c>
      <c r="D1157" s="736" t="s">
        <v>3644</v>
      </c>
      <c r="E1157" s="763" t="s">
        <v>2529</v>
      </c>
      <c r="F1157" s="779" t="s">
        <v>3645</v>
      </c>
      <c r="G1157" s="736" t="s">
        <v>1757</v>
      </c>
      <c r="H1157" s="739">
        <v>0.13</v>
      </c>
      <c r="I1157" s="786" t="s">
        <v>3646</v>
      </c>
      <c r="J1157" s="301"/>
      <c r="K1157" s="731" t="s">
        <v>2075</v>
      </c>
      <c r="L1157" s="746">
        <f>L1154*1.25</f>
        <v>0.1708333333</v>
      </c>
      <c r="M1157" s="733"/>
      <c r="N1157" s="301"/>
      <c r="O1157" s="743" t="b">
        <v>1</v>
      </c>
    </row>
    <row r="1158">
      <c r="A1158" s="736" t="s">
        <v>2230</v>
      </c>
      <c r="B1158" s="744" t="s">
        <v>2212</v>
      </c>
      <c r="C1158" s="744" t="s">
        <v>3647</v>
      </c>
      <c r="D1158" s="736" t="s">
        <v>2306</v>
      </c>
      <c r="E1158" s="763" t="s">
        <v>2529</v>
      </c>
      <c r="F1158" s="779" t="s">
        <v>3648</v>
      </c>
      <c r="G1158" s="736" t="s">
        <v>1757</v>
      </c>
      <c r="H1158" s="745">
        <v>0.16</v>
      </c>
      <c r="I1158" s="775" t="s">
        <v>3649</v>
      </c>
      <c r="J1158" s="189"/>
      <c r="K1158" s="731" t="s">
        <v>2080</v>
      </c>
      <c r="L1158" s="746">
        <f>L1154*0.75</f>
        <v>0.1025</v>
      </c>
      <c r="M1158" s="733"/>
      <c r="N1158" s="189"/>
      <c r="O1158" s="743" t="b">
        <v>1</v>
      </c>
    </row>
    <row r="1159">
      <c r="A1159" s="736"/>
      <c r="B1159" s="744"/>
      <c r="C1159" s="744"/>
      <c r="D1159" s="736"/>
      <c r="E1159" s="736"/>
      <c r="F1159" s="779"/>
      <c r="G1159" s="736"/>
      <c r="H1159" s="736"/>
      <c r="I1159" s="824"/>
      <c r="J1159" s="752"/>
      <c r="K1159" s="752"/>
      <c r="L1159" s="752"/>
      <c r="M1159" s="751"/>
      <c r="N1159" s="752"/>
      <c r="O1159" s="753"/>
    </row>
    <row r="1160">
      <c r="A1160" s="837" t="s">
        <v>1170</v>
      </c>
      <c r="B1160" s="838" t="s">
        <v>3650</v>
      </c>
      <c r="C1160" s="36"/>
      <c r="D1160" s="36"/>
      <c r="E1160" s="36"/>
      <c r="F1160" s="36"/>
      <c r="G1160" s="839" t="s">
        <v>1757</v>
      </c>
      <c r="H1160" s="756">
        <f>MEDIAN(H1162:H1164)</f>
        <v>0.22</v>
      </c>
      <c r="I1160" s="840" t="s">
        <v>2230</v>
      </c>
      <c r="J1160" s="758" t="s">
        <v>2053</v>
      </c>
      <c r="K1160" s="731" t="s">
        <v>2054</v>
      </c>
      <c r="L1160" s="759">
        <f>AVERAGE(H1162:H1164)</f>
        <v>0.2133333333</v>
      </c>
      <c r="M1160" s="733"/>
      <c r="N1160" s="760" t="s">
        <v>2055</v>
      </c>
      <c r="O1160" s="454"/>
    </row>
    <row r="1161">
      <c r="A1161" s="727" t="s">
        <v>1717</v>
      </c>
      <c r="B1161" s="728" t="s">
        <v>2056</v>
      </c>
      <c r="C1161" s="728" t="s">
        <v>2057</v>
      </c>
      <c r="D1161" s="727" t="s">
        <v>2058</v>
      </c>
      <c r="E1161" s="727" t="s">
        <v>2059</v>
      </c>
      <c r="F1161" s="729" t="s">
        <v>1537</v>
      </c>
      <c r="G1161" s="727" t="s">
        <v>2060</v>
      </c>
      <c r="H1161" s="727" t="s">
        <v>2061</v>
      </c>
      <c r="I1161" s="841" t="s">
        <v>2062</v>
      </c>
      <c r="J1161" s="301"/>
      <c r="K1161" s="731" t="s">
        <v>2063</v>
      </c>
      <c r="L1161" s="732">
        <f>STDEV(H1162:H1164)</f>
        <v>0.04041451884</v>
      </c>
      <c r="M1161" s="733"/>
      <c r="N1161" s="189"/>
      <c r="O1161" s="454"/>
    </row>
    <row r="1162">
      <c r="A1162" s="734"/>
      <c r="B1162" s="744" t="s">
        <v>2212</v>
      </c>
      <c r="C1162" s="767" t="s">
        <v>2126</v>
      </c>
      <c r="D1162" s="777" t="s">
        <v>2281</v>
      </c>
      <c r="E1162" s="763" t="s">
        <v>2529</v>
      </c>
      <c r="F1162" s="764" t="s">
        <v>3651</v>
      </c>
      <c r="G1162" s="736" t="s">
        <v>1757</v>
      </c>
      <c r="H1162" s="745">
        <v>0.22</v>
      </c>
      <c r="I1162" s="842" t="s">
        <v>3652</v>
      </c>
      <c r="J1162" s="301"/>
      <c r="K1162" s="731" t="s">
        <v>2070</v>
      </c>
      <c r="L1162" s="741">
        <f>L1161/L1160</f>
        <v>0.1894430571</v>
      </c>
      <c r="M1162" s="733"/>
      <c r="N1162" s="742" t="str">
        <f>IF(L1162&lt;25%,"Não","Sim - proceder verificação ao lado")</f>
        <v>Não</v>
      </c>
      <c r="O1162" s="743" t="b">
        <v>1</v>
      </c>
    </row>
    <row r="1163">
      <c r="A1163" s="736" t="s">
        <v>2230</v>
      </c>
      <c r="B1163" s="744" t="s">
        <v>2212</v>
      </c>
      <c r="C1163" s="744" t="s">
        <v>3653</v>
      </c>
      <c r="D1163" s="736" t="s">
        <v>3654</v>
      </c>
      <c r="E1163" s="763" t="s">
        <v>2529</v>
      </c>
      <c r="F1163" s="779" t="s">
        <v>3655</v>
      </c>
      <c r="G1163" s="736" t="s">
        <v>1757</v>
      </c>
      <c r="H1163" s="739">
        <v>0.25</v>
      </c>
      <c r="I1163" s="775" t="s">
        <v>3656</v>
      </c>
      <c r="J1163" s="301"/>
      <c r="K1163" s="731" t="s">
        <v>2075</v>
      </c>
      <c r="L1163" s="746">
        <f>L1160*1.25</f>
        <v>0.2666666667</v>
      </c>
      <c r="M1163" s="733"/>
      <c r="N1163" s="301"/>
      <c r="O1163" s="743" t="b">
        <v>1</v>
      </c>
    </row>
    <row r="1164">
      <c r="A1164" s="736" t="s">
        <v>2230</v>
      </c>
      <c r="B1164" s="744" t="s">
        <v>2212</v>
      </c>
      <c r="C1164" s="744" t="s">
        <v>3643</v>
      </c>
      <c r="D1164" s="736" t="s">
        <v>3644</v>
      </c>
      <c r="E1164" s="763" t="s">
        <v>2529</v>
      </c>
      <c r="F1164" s="779" t="s">
        <v>3657</v>
      </c>
      <c r="G1164" s="736" t="s">
        <v>1757</v>
      </c>
      <c r="H1164" s="745">
        <v>0.17</v>
      </c>
      <c r="I1164" s="775" t="s">
        <v>3658</v>
      </c>
      <c r="J1164" s="189"/>
      <c r="K1164" s="731" t="s">
        <v>2080</v>
      </c>
      <c r="L1164" s="746">
        <f>L1160*0.75</f>
        <v>0.16</v>
      </c>
      <c r="M1164" s="733"/>
      <c r="N1164" s="189"/>
      <c r="O1164" s="743" t="b">
        <v>1</v>
      </c>
    </row>
    <row r="1165">
      <c r="A1165" s="736"/>
      <c r="B1165" s="744"/>
      <c r="C1165" s="744"/>
      <c r="D1165" s="736"/>
      <c r="E1165" s="736"/>
      <c r="F1165" s="779"/>
      <c r="G1165" s="736"/>
      <c r="H1165" s="736"/>
      <c r="I1165" s="824"/>
      <c r="J1165" s="752"/>
      <c r="K1165" s="752"/>
      <c r="L1165" s="752"/>
      <c r="M1165" s="751"/>
      <c r="N1165" s="752"/>
      <c r="O1165" s="753"/>
    </row>
    <row r="1166">
      <c r="A1166" s="837" t="s">
        <v>1316</v>
      </c>
      <c r="B1166" s="838" t="s">
        <v>3659</v>
      </c>
      <c r="C1166" s="36"/>
      <c r="D1166" s="36"/>
      <c r="E1166" s="36"/>
      <c r="F1166" s="36"/>
      <c r="G1166" s="839" t="s">
        <v>1731</v>
      </c>
      <c r="H1166" s="756">
        <f>MEDIAN(H1168:H1170)</f>
        <v>8.55</v>
      </c>
      <c r="I1166" s="840" t="s">
        <v>2230</v>
      </c>
      <c r="J1166" s="758" t="s">
        <v>2053</v>
      </c>
      <c r="K1166" s="731" t="s">
        <v>2054</v>
      </c>
      <c r="L1166" s="759">
        <f>AVERAGE(H1168:H1170)</f>
        <v>8.946666667</v>
      </c>
      <c r="M1166" s="733"/>
      <c r="N1166" s="760" t="s">
        <v>2055</v>
      </c>
      <c r="O1166" s="454"/>
    </row>
    <row r="1167">
      <c r="A1167" s="727" t="s">
        <v>1717</v>
      </c>
      <c r="B1167" s="728" t="s">
        <v>2056</v>
      </c>
      <c r="C1167" s="728" t="s">
        <v>2057</v>
      </c>
      <c r="D1167" s="727" t="s">
        <v>2058</v>
      </c>
      <c r="E1167" s="727" t="s">
        <v>2059</v>
      </c>
      <c r="F1167" s="729" t="s">
        <v>1537</v>
      </c>
      <c r="G1167" s="727" t="s">
        <v>2060</v>
      </c>
      <c r="H1167" s="727" t="s">
        <v>2061</v>
      </c>
      <c r="I1167" s="841" t="s">
        <v>2062</v>
      </c>
      <c r="J1167" s="301"/>
      <c r="K1167" s="731" t="s">
        <v>2063</v>
      </c>
      <c r="L1167" s="732">
        <f>STDEV(H1168:H1170)</f>
        <v>2.073652173</v>
      </c>
      <c r="M1167" s="733"/>
      <c r="N1167" s="189"/>
      <c r="O1167" s="454"/>
    </row>
    <row r="1168">
      <c r="A1168" s="734"/>
      <c r="B1168" s="744" t="s">
        <v>2212</v>
      </c>
      <c r="C1168" s="744" t="s">
        <v>3660</v>
      </c>
      <c r="D1168" s="736" t="s">
        <v>2198</v>
      </c>
      <c r="E1168" s="763" t="s">
        <v>2529</v>
      </c>
      <c r="F1168" s="779" t="s">
        <v>3661</v>
      </c>
      <c r="G1168" s="736" t="s">
        <v>1731</v>
      </c>
      <c r="H1168" s="745">
        <v>8.55</v>
      </c>
      <c r="I1168" s="775" t="s">
        <v>3662</v>
      </c>
      <c r="J1168" s="301"/>
      <c r="K1168" s="731" t="s">
        <v>2070</v>
      </c>
      <c r="L1168" s="741">
        <f>L1167/L1166</f>
        <v>0.231779304</v>
      </c>
      <c r="M1168" s="733"/>
      <c r="N1168" s="742" t="str">
        <f>IF(L1168&lt;25%,"Não","Sim - proceder verificação ao lado")</f>
        <v>Não</v>
      </c>
      <c r="O1168" s="743" t="b">
        <v>1</v>
      </c>
    </row>
    <row r="1169">
      <c r="A1169" s="736" t="s">
        <v>2230</v>
      </c>
      <c r="B1169" s="744" t="s">
        <v>2212</v>
      </c>
      <c r="C1169" s="744" t="s">
        <v>3663</v>
      </c>
      <c r="D1169" s="736" t="s">
        <v>3664</v>
      </c>
      <c r="E1169" s="763" t="s">
        <v>2529</v>
      </c>
      <c r="F1169" s="779" t="s">
        <v>3665</v>
      </c>
      <c r="G1169" s="736" t="s">
        <v>1731</v>
      </c>
      <c r="H1169" s="739">
        <v>7.1</v>
      </c>
      <c r="I1169" s="786" t="s">
        <v>3666</v>
      </c>
      <c r="J1169" s="301"/>
      <c r="K1169" s="731" t="s">
        <v>2075</v>
      </c>
      <c r="L1169" s="746">
        <f>L1166*1.25</f>
        <v>11.18333333</v>
      </c>
      <c r="M1169" s="733"/>
      <c r="N1169" s="301"/>
      <c r="O1169" s="743" t="b">
        <v>1</v>
      </c>
    </row>
    <row r="1170">
      <c r="A1170" s="736" t="s">
        <v>2230</v>
      </c>
      <c r="B1170" s="744" t="s">
        <v>2212</v>
      </c>
      <c r="C1170" s="747" t="s">
        <v>2276</v>
      </c>
      <c r="D1170" s="802" t="s">
        <v>2134</v>
      </c>
      <c r="E1170" s="763" t="s">
        <v>2529</v>
      </c>
      <c r="F1170" s="779" t="s">
        <v>3667</v>
      </c>
      <c r="G1170" s="736" t="s">
        <v>1731</v>
      </c>
      <c r="H1170" s="745">
        <v>11.19</v>
      </c>
      <c r="I1170" s="775" t="s">
        <v>3668</v>
      </c>
      <c r="J1170" s="189"/>
      <c r="K1170" s="731" t="s">
        <v>2080</v>
      </c>
      <c r="L1170" s="746">
        <f>L1166*0.75</f>
        <v>6.71</v>
      </c>
      <c r="M1170" s="733"/>
      <c r="N1170" s="189"/>
      <c r="O1170" s="743" t="b">
        <v>1</v>
      </c>
    </row>
    <row r="1171">
      <c r="A1171" s="736"/>
      <c r="B1171" s="744"/>
      <c r="C1171" s="744"/>
      <c r="D1171" s="736"/>
      <c r="E1171" s="736"/>
      <c r="F1171" s="779"/>
      <c r="G1171" s="736"/>
      <c r="H1171" s="736"/>
      <c r="I1171" s="824"/>
      <c r="J1171" s="752"/>
      <c r="K1171" s="752"/>
      <c r="L1171" s="752"/>
      <c r="M1171" s="751"/>
      <c r="N1171" s="752"/>
      <c r="O1171" s="753"/>
    </row>
    <row r="1172">
      <c r="A1172" s="837" t="s">
        <v>1318</v>
      </c>
      <c r="B1172" s="838" t="s">
        <v>3669</v>
      </c>
      <c r="C1172" s="36"/>
      <c r="D1172" s="36"/>
      <c r="E1172" s="36"/>
      <c r="F1172" s="36"/>
      <c r="G1172" s="839" t="s">
        <v>1731</v>
      </c>
      <c r="H1172" s="756">
        <f>MEDIAN(H1174:H1176)</f>
        <v>11.23</v>
      </c>
      <c r="I1172" s="840" t="s">
        <v>2230</v>
      </c>
      <c r="J1172" s="758" t="s">
        <v>2053</v>
      </c>
      <c r="K1172" s="731" t="s">
        <v>2054</v>
      </c>
      <c r="L1172" s="759">
        <f>AVERAGE(H1174:H1176)</f>
        <v>11.81666667</v>
      </c>
      <c r="M1172" s="733"/>
      <c r="N1172" s="760" t="s">
        <v>2055</v>
      </c>
      <c r="O1172" s="454"/>
    </row>
    <row r="1173">
      <c r="A1173" s="727" t="s">
        <v>1717</v>
      </c>
      <c r="B1173" s="728" t="s">
        <v>2056</v>
      </c>
      <c r="C1173" s="728" t="s">
        <v>2057</v>
      </c>
      <c r="D1173" s="727" t="s">
        <v>2058</v>
      </c>
      <c r="E1173" s="727" t="s">
        <v>2059</v>
      </c>
      <c r="F1173" s="729" t="s">
        <v>1537</v>
      </c>
      <c r="G1173" s="727" t="s">
        <v>2060</v>
      </c>
      <c r="H1173" s="727" t="s">
        <v>2061</v>
      </c>
      <c r="I1173" s="841" t="s">
        <v>2062</v>
      </c>
      <c r="J1173" s="301"/>
      <c r="K1173" s="731" t="s">
        <v>2063</v>
      </c>
      <c r="L1173" s="732">
        <f>STDEV(H1174:H1176)</f>
        <v>1.024808925</v>
      </c>
      <c r="M1173" s="733"/>
      <c r="N1173" s="189"/>
      <c r="O1173" s="454"/>
    </row>
    <row r="1174">
      <c r="A1174" s="734"/>
      <c r="B1174" s="744" t="s">
        <v>2212</v>
      </c>
      <c r="C1174" s="744" t="s">
        <v>3660</v>
      </c>
      <c r="D1174" s="736" t="s">
        <v>2198</v>
      </c>
      <c r="E1174" s="763" t="s">
        <v>2529</v>
      </c>
      <c r="F1174" s="779" t="s">
        <v>3670</v>
      </c>
      <c r="G1174" s="736" t="s">
        <v>1731</v>
      </c>
      <c r="H1174" s="745">
        <v>11.23</v>
      </c>
      <c r="I1174" s="775" t="s">
        <v>3671</v>
      </c>
      <c r="J1174" s="301"/>
      <c r="K1174" s="731" t="s">
        <v>2070</v>
      </c>
      <c r="L1174" s="741">
        <f>L1173/L1172</f>
        <v>0.08672572005</v>
      </c>
      <c r="M1174" s="733"/>
      <c r="N1174" s="742" t="str">
        <f>IF(L1174&lt;25%,"Não","Sim - proceder verificação ao lado")</f>
        <v>Não</v>
      </c>
      <c r="O1174" s="743" t="b">
        <v>1</v>
      </c>
    </row>
    <row r="1175">
      <c r="A1175" s="736" t="s">
        <v>2230</v>
      </c>
      <c r="B1175" s="744" t="s">
        <v>2212</v>
      </c>
      <c r="C1175" s="744" t="s">
        <v>3672</v>
      </c>
      <c r="D1175" s="736" t="s">
        <v>2150</v>
      </c>
      <c r="E1175" s="763" t="s">
        <v>2529</v>
      </c>
      <c r="F1175" s="779" t="s">
        <v>3670</v>
      </c>
      <c r="G1175" s="736" t="s">
        <v>1731</v>
      </c>
      <c r="H1175" s="745">
        <v>11.22</v>
      </c>
      <c r="I1175" s="775" t="s">
        <v>3673</v>
      </c>
      <c r="J1175" s="301"/>
      <c r="K1175" s="731" t="s">
        <v>2075</v>
      </c>
      <c r="L1175" s="746">
        <f>L1172*1.25</f>
        <v>14.77083333</v>
      </c>
      <c r="M1175" s="733"/>
      <c r="N1175" s="301"/>
      <c r="O1175" s="743" t="b">
        <v>1</v>
      </c>
    </row>
    <row r="1176">
      <c r="A1176" s="736" t="s">
        <v>2230</v>
      </c>
      <c r="B1176" s="744" t="s">
        <v>2212</v>
      </c>
      <c r="C1176" s="767" t="s">
        <v>2126</v>
      </c>
      <c r="D1176" s="777" t="s">
        <v>2281</v>
      </c>
      <c r="E1176" s="763" t="s">
        <v>2529</v>
      </c>
      <c r="F1176" s="764" t="s">
        <v>3674</v>
      </c>
      <c r="G1176" s="736" t="s">
        <v>1731</v>
      </c>
      <c r="H1176" s="745">
        <v>13.0</v>
      </c>
      <c r="I1176" s="785" t="s">
        <v>3675</v>
      </c>
      <c r="J1176" s="189"/>
      <c r="K1176" s="731" t="s">
        <v>2080</v>
      </c>
      <c r="L1176" s="746">
        <f>L1172*0.75</f>
        <v>8.8625</v>
      </c>
      <c r="M1176" s="733"/>
      <c r="N1176" s="189"/>
      <c r="O1176" s="743" t="b">
        <v>1</v>
      </c>
    </row>
    <row r="1177">
      <c r="A1177" s="736"/>
      <c r="B1177" s="744"/>
      <c r="C1177" s="744"/>
      <c r="D1177" s="736"/>
      <c r="E1177" s="736"/>
      <c r="F1177" s="779"/>
      <c r="G1177" s="736"/>
      <c r="H1177" s="736"/>
      <c r="I1177" s="824"/>
      <c r="J1177" s="752"/>
      <c r="K1177" s="752"/>
      <c r="L1177" s="752"/>
      <c r="M1177" s="751"/>
      <c r="N1177" s="752"/>
      <c r="O1177" s="753"/>
    </row>
    <row r="1178">
      <c r="A1178" s="837" t="s">
        <v>1320</v>
      </c>
      <c r="B1178" s="838" t="s">
        <v>3676</v>
      </c>
      <c r="C1178" s="36"/>
      <c r="D1178" s="36"/>
      <c r="E1178" s="36"/>
      <c r="F1178" s="36"/>
      <c r="G1178" s="839" t="s">
        <v>1731</v>
      </c>
      <c r="H1178" s="756">
        <f>MEDIAN(H1180:H1182)</f>
        <v>11.92</v>
      </c>
      <c r="I1178" s="840" t="s">
        <v>2230</v>
      </c>
      <c r="J1178" s="758" t="s">
        <v>2053</v>
      </c>
      <c r="K1178" s="731" t="s">
        <v>2054</v>
      </c>
      <c r="L1178" s="759">
        <f>AVERAGE(H1180:H1182)</f>
        <v>12</v>
      </c>
      <c r="M1178" s="733"/>
      <c r="N1178" s="760" t="s">
        <v>2055</v>
      </c>
      <c r="O1178" s="454"/>
    </row>
    <row r="1179">
      <c r="A1179" s="727" t="s">
        <v>1717</v>
      </c>
      <c r="B1179" s="728" t="s">
        <v>2056</v>
      </c>
      <c r="C1179" s="728" t="s">
        <v>2057</v>
      </c>
      <c r="D1179" s="727" t="s">
        <v>2058</v>
      </c>
      <c r="E1179" s="727" t="s">
        <v>2059</v>
      </c>
      <c r="F1179" s="729" t="s">
        <v>1537</v>
      </c>
      <c r="G1179" s="727" t="s">
        <v>2060</v>
      </c>
      <c r="H1179" s="727" t="s">
        <v>2061</v>
      </c>
      <c r="I1179" s="841" t="s">
        <v>2062</v>
      </c>
      <c r="J1179" s="301"/>
      <c r="K1179" s="731" t="s">
        <v>2063</v>
      </c>
      <c r="L1179" s="732">
        <f>STDEV(H1180:H1182)</f>
        <v>0.3567912555</v>
      </c>
      <c r="M1179" s="733"/>
      <c r="N1179" s="189"/>
      <c r="O1179" s="454"/>
    </row>
    <row r="1180">
      <c r="A1180" s="734"/>
      <c r="B1180" s="744" t="s">
        <v>2212</v>
      </c>
      <c r="C1180" s="744" t="s">
        <v>2168</v>
      </c>
      <c r="D1180" s="736" t="s">
        <v>2169</v>
      </c>
      <c r="E1180" s="763" t="s">
        <v>2529</v>
      </c>
      <c r="F1180" s="779" t="s">
        <v>3677</v>
      </c>
      <c r="G1180" s="736" t="s">
        <v>1731</v>
      </c>
      <c r="H1180" s="745">
        <v>11.69</v>
      </c>
      <c r="I1180" s="775" t="s">
        <v>3678</v>
      </c>
      <c r="J1180" s="301"/>
      <c r="K1180" s="731" t="s">
        <v>2070</v>
      </c>
      <c r="L1180" s="741">
        <f>L1179/L1178</f>
        <v>0.02973260462</v>
      </c>
      <c r="M1180" s="733"/>
      <c r="N1180" s="742" t="str">
        <f>IF(L1180&lt;25%,"Não","Sim - proceder verificação ao lado")</f>
        <v>Não</v>
      </c>
      <c r="O1180" s="743" t="b">
        <v>1</v>
      </c>
    </row>
    <row r="1181">
      <c r="A1181" s="736" t="s">
        <v>2230</v>
      </c>
      <c r="B1181" s="744" t="s">
        <v>2212</v>
      </c>
      <c r="C1181" s="744" t="s">
        <v>2126</v>
      </c>
      <c r="D1181" s="736" t="s">
        <v>2281</v>
      </c>
      <c r="E1181" s="763" t="s">
        <v>2529</v>
      </c>
      <c r="F1181" s="779" t="s">
        <v>3679</v>
      </c>
      <c r="G1181" s="736" t="s">
        <v>1731</v>
      </c>
      <c r="H1181" s="745">
        <v>11.92</v>
      </c>
      <c r="I1181" s="775" t="s">
        <v>3680</v>
      </c>
      <c r="J1181" s="301"/>
      <c r="K1181" s="731" t="s">
        <v>2075</v>
      </c>
      <c r="L1181" s="746">
        <f>L1178*1.25</f>
        <v>15</v>
      </c>
      <c r="M1181" s="733"/>
      <c r="N1181" s="301"/>
      <c r="O1181" s="743" t="b">
        <v>1</v>
      </c>
    </row>
    <row r="1182">
      <c r="A1182" s="736" t="s">
        <v>2230</v>
      </c>
      <c r="B1182" s="744" t="s">
        <v>2212</v>
      </c>
      <c r="C1182" s="744" t="s">
        <v>3681</v>
      </c>
      <c r="D1182" s="736" t="s">
        <v>2143</v>
      </c>
      <c r="E1182" s="763" t="s">
        <v>2529</v>
      </c>
      <c r="F1182" s="779" t="s">
        <v>3682</v>
      </c>
      <c r="G1182" s="736" t="s">
        <v>1731</v>
      </c>
      <c r="H1182" s="745">
        <v>12.39</v>
      </c>
      <c r="I1182" s="856" t="s">
        <v>3683</v>
      </c>
      <c r="J1182" s="189"/>
      <c r="K1182" s="731" t="s">
        <v>2080</v>
      </c>
      <c r="L1182" s="746">
        <f>L1178*0.75</f>
        <v>9</v>
      </c>
      <c r="M1182" s="733"/>
      <c r="N1182" s="189"/>
      <c r="O1182" s="743" t="b">
        <v>1</v>
      </c>
    </row>
    <row r="1183">
      <c r="A1183" s="736"/>
      <c r="B1183" s="744"/>
      <c r="C1183" s="744"/>
      <c r="D1183" s="736"/>
      <c r="E1183" s="736"/>
      <c r="F1183" s="779"/>
      <c r="G1183" s="736"/>
      <c r="H1183" s="736"/>
      <c r="I1183" s="824"/>
      <c r="J1183" s="752"/>
      <c r="K1183" s="752"/>
      <c r="L1183" s="752"/>
      <c r="M1183" s="751"/>
      <c r="N1183" s="752"/>
      <c r="O1183" s="753"/>
    </row>
    <row r="1184">
      <c r="A1184" s="837" t="s">
        <v>1322</v>
      </c>
      <c r="B1184" s="838" t="s">
        <v>3684</v>
      </c>
      <c r="C1184" s="36"/>
      <c r="D1184" s="36"/>
      <c r="E1184" s="36"/>
      <c r="F1184" s="36"/>
      <c r="G1184" s="839" t="s">
        <v>1731</v>
      </c>
      <c r="H1184" s="756">
        <f>MEDIAN(H1186:H1188)</f>
        <v>36.48</v>
      </c>
      <c r="I1184" s="840" t="s">
        <v>2230</v>
      </c>
      <c r="J1184" s="758" t="s">
        <v>2053</v>
      </c>
      <c r="K1184" s="731" t="s">
        <v>2054</v>
      </c>
      <c r="L1184" s="759">
        <f>AVERAGE(H1186:H1188)</f>
        <v>38.34666667</v>
      </c>
      <c r="M1184" s="733"/>
      <c r="N1184" s="760" t="s">
        <v>2055</v>
      </c>
      <c r="O1184" s="454"/>
    </row>
    <row r="1185">
      <c r="A1185" s="727" t="s">
        <v>1717</v>
      </c>
      <c r="B1185" s="728" t="s">
        <v>2056</v>
      </c>
      <c r="C1185" s="728" t="s">
        <v>2057</v>
      </c>
      <c r="D1185" s="727" t="s">
        <v>2058</v>
      </c>
      <c r="E1185" s="727" t="s">
        <v>2059</v>
      </c>
      <c r="F1185" s="729" t="s">
        <v>1537</v>
      </c>
      <c r="G1185" s="727" t="s">
        <v>2060</v>
      </c>
      <c r="H1185" s="727" t="s">
        <v>2061</v>
      </c>
      <c r="I1185" s="841" t="s">
        <v>2062</v>
      </c>
      <c r="J1185" s="301"/>
      <c r="K1185" s="731" t="s">
        <v>2063</v>
      </c>
      <c r="L1185" s="732">
        <f>STDEV(H1186:H1188)</f>
        <v>6.91170987</v>
      </c>
      <c r="M1185" s="733"/>
      <c r="N1185" s="189"/>
      <c r="O1185" s="454"/>
    </row>
    <row r="1186">
      <c r="A1186" s="734"/>
      <c r="B1186" s="744" t="s">
        <v>2212</v>
      </c>
      <c r="C1186" s="744" t="s">
        <v>3685</v>
      </c>
      <c r="D1186" s="736" t="s">
        <v>2150</v>
      </c>
      <c r="E1186" s="763" t="s">
        <v>2529</v>
      </c>
      <c r="F1186" s="764" t="s">
        <v>3686</v>
      </c>
      <c r="G1186" s="736" t="s">
        <v>1731</v>
      </c>
      <c r="H1186" s="745">
        <v>32.56</v>
      </c>
      <c r="I1186" s="776" t="s">
        <v>3687</v>
      </c>
      <c r="J1186" s="301"/>
      <c r="K1186" s="731" t="s">
        <v>2070</v>
      </c>
      <c r="L1186" s="741">
        <f>L1185/L1184</f>
        <v>0.1802427817</v>
      </c>
      <c r="M1186" s="733"/>
      <c r="N1186" s="742" t="str">
        <f>IF(L1186&lt;25%,"Não","Sim - proceder verificação ao lado")</f>
        <v>Não</v>
      </c>
      <c r="O1186" s="743" t="b">
        <v>1</v>
      </c>
    </row>
    <row r="1187">
      <c r="A1187" s="736" t="s">
        <v>2230</v>
      </c>
      <c r="B1187" s="744" t="s">
        <v>2212</v>
      </c>
      <c r="C1187" s="767" t="s">
        <v>2197</v>
      </c>
      <c r="D1187" s="777" t="s">
        <v>2198</v>
      </c>
      <c r="E1187" s="763" t="s">
        <v>2529</v>
      </c>
      <c r="F1187" s="764" t="s">
        <v>3688</v>
      </c>
      <c r="G1187" s="736" t="s">
        <v>1731</v>
      </c>
      <c r="H1187" s="745">
        <v>46.0</v>
      </c>
      <c r="I1187" s="776" t="s">
        <v>3689</v>
      </c>
      <c r="J1187" s="301"/>
      <c r="K1187" s="731" t="s">
        <v>2075</v>
      </c>
      <c r="L1187" s="746">
        <f>L1184*1.25</f>
        <v>47.93333333</v>
      </c>
      <c r="M1187" s="733"/>
      <c r="N1187" s="301"/>
      <c r="O1187" s="743" t="b">
        <v>1</v>
      </c>
    </row>
    <row r="1188">
      <c r="A1188" s="736" t="s">
        <v>2230</v>
      </c>
      <c r="B1188" s="744" t="s">
        <v>2212</v>
      </c>
      <c r="C1188" s="744" t="s">
        <v>2792</v>
      </c>
      <c r="D1188" s="736" t="s">
        <v>3620</v>
      </c>
      <c r="E1188" s="763" t="s">
        <v>2529</v>
      </c>
      <c r="F1188" s="764" t="s">
        <v>3690</v>
      </c>
      <c r="G1188" s="736" t="s">
        <v>1731</v>
      </c>
      <c r="H1188" s="745">
        <v>36.48</v>
      </c>
      <c r="I1188" s="776" t="s">
        <v>3691</v>
      </c>
      <c r="J1188" s="189"/>
      <c r="K1188" s="731" t="s">
        <v>2080</v>
      </c>
      <c r="L1188" s="746">
        <f>L1184*0.75</f>
        <v>28.76</v>
      </c>
      <c r="M1188" s="733"/>
      <c r="N1188" s="189"/>
      <c r="O1188" s="743" t="b">
        <v>1</v>
      </c>
    </row>
    <row r="1189">
      <c r="A1189" s="736"/>
      <c r="B1189" s="744"/>
      <c r="C1189" s="744"/>
      <c r="D1189" s="736"/>
      <c r="E1189" s="736"/>
      <c r="F1189" s="779"/>
      <c r="G1189" s="736"/>
      <c r="H1189" s="736"/>
      <c r="I1189" s="824"/>
      <c r="J1189" s="752"/>
      <c r="K1189" s="752"/>
      <c r="L1189" s="752"/>
      <c r="M1189" s="751"/>
      <c r="N1189" s="752"/>
      <c r="O1189" s="753"/>
    </row>
    <row r="1190">
      <c r="A1190" s="837" t="s">
        <v>1324</v>
      </c>
      <c r="B1190" s="838" t="s">
        <v>3692</v>
      </c>
      <c r="C1190" s="36"/>
      <c r="D1190" s="36"/>
      <c r="E1190" s="36"/>
      <c r="F1190" s="36"/>
      <c r="G1190" s="839" t="s">
        <v>1731</v>
      </c>
      <c r="H1190" s="756">
        <f>MEDIAN(H1192:H1194)</f>
        <v>18.14</v>
      </c>
      <c r="I1190" s="840" t="s">
        <v>2230</v>
      </c>
      <c r="J1190" s="758" t="s">
        <v>2053</v>
      </c>
      <c r="K1190" s="731" t="s">
        <v>2054</v>
      </c>
      <c r="L1190" s="759">
        <f>AVERAGE(H1192:H1194)</f>
        <v>18.26333333</v>
      </c>
      <c r="M1190" s="733"/>
      <c r="N1190" s="760" t="s">
        <v>2055</v>
      </c>
      <c r="O1190" s="454"/>
    </row>
    <row r="1191">
      <c r="A1191" s="727" t="s">
        <v>1717</v>
      </c>
      <c r="B1191" s="728" t="s">
        <v>2056</v>
      </c>
      <c r="C1191" s="728" t="s">
        <v>2057</v>
      </c>
      <c r="D1191" s="727" t="s">
        <v>2058</v>
      </c>
      <c r="E1191" s="727" t="s">
        <v>2059</v>
      </c>
      <c r="F1191" s="729" t="s">
        <v>1537</v>
      </c>
      <c r="G1191" s="727" t="s">
        <v>2060</v>
      </c>
      <c r="H1191" s="727" t="s">
        <v>2061</v>
      </c>
      <c r="I1191" s="841" t="s">
        <v>2062</v>
      </c>
      <c r="J1191" s="301"/>
      <c r="K1191" s="731" t="s">
        <v>2063</v>
      </c>
      <c r="L1191" s="732">
        <f>STDEV(H1192:H1194)</f>
        <v>0.7823255929</v>
      </c>
      <c r="M1191" s="733"/>
      <c r="N1191" s="189"/>
      <c r="O1191" s="454"/>
    </row>
    <row r="1192">
      <c r="A1192" s="734"/>
      <c r="B1192" s="744" t="s">
        <v>2212</v>
      </c>
      <c r="C1192" s="744" t="s">
        <v>3693</v>
      </c>
      <c r="D1192" s="736" t="s">
        <v>2198</v>
      </c>
      <c r="E1192" s="763" t="s">
        <v>2529</v>
      </c>
      <c r="F1192" s="779" t="s">
        <v>3694</v>
      </c>
      <c r="G1192" s="736" t="s">
        <v>1731</v>
      </c>
      <c r="H1192" s="745">
        <v>19.1</v>
      </c>
      <c r="I1192" s="775" t="s">
        <v>3695</v>
      </c>
      <c r="J1192" s="301"/>
      <c r="K1192" s="731" t="s">
        <v>2070</v>
      </c>
      <c r="L1192" s="741">
        <f>L1191/L1190</f>
        <v>0.04283586017</v>
      </c>
      <c r="M1192" s="733"/>
      <c r="N1192" s="742" t="str">
        <f>IF(L1192&lt;25%,"Não","Sim - proceder verificação ao lado")</f>
        <v>Não</v>
      </c>
      <c r="O1192" s="743" t="b">
        <v>1</v>
      </c>
    </row>
    <row r="1193">
      <c r="A1193" s="736" t="s">
        <v>2230</v>
      </c>
      <c r="B1193" s="744" t="s">
        <v>2212</v>
      </c>
      <c r="C1193" s="744" t="s">
        <v>3696</v>
      </c>
      <c r="D1193" s="736" t="s">
        <v>2793</v>
      </c>
      <c r="E1193" s="763" t="s">
        <v>2529</v>
      </c>
      <c r="F1193" s="779" t="s">
        <v>3697</v>
      </c>
      <c r="G1193" s="736" t="s">
        <v>1731</v>
      </c>
      <c r="H1193" s="745">
        <v>17.55</v>
      </c>
      <c r="I1193" s="786" t="s">
        <v>3698</v>
      </c>
      <c r="J1193" s="301"/>
      <c r="K1193" s="731" t="s">
        <v>2075</v>
      </c>
      <c r="L1193" s="746">
        <f>L1190*1.25</f>
        <v>22.82916667</v>
      </c>
      <c r="M1193" s="733"/>
      <c r="N1193" s="301"/>
      <c r="O1193" s="743" t="b">
        <v>1</v>
      </c>
    </row>
    <row r="1194">
      <c r="A1194" s="736" t="s">
        <v>2230</v>
      </c>
      <c r="B1194" s="744" t="s">
        <v>2212</v>
      </c>
      <c r="C1194" s="744" t="s">
        <v>3672</v>
      </c>
      <c r="D1194" s="736" t="s">
        <v>2150</v>
      </c>
      <c r="E1194" s="763" t="s">
        <v>2529</v>
      </c>
      <c r="F1194" s="779" t="s">
        <v>3699</v>
      </c>
      <c r="G1194" s="736" t="s">
        <v>1731</v>
      </c>
      <c r="H1194" s="745">
        <v>18.14</v>
      </c>
      <c r="I1194" s="775" t="s">
        <v>3700</v>
      </c>
      <c r="J1194" s="189"/>
      <c r="K1194" s="731" t="s">
        <v>2080</v>
      </c>
      <c r="L1194" s="746">
        <f>L1190*0.75</f>
        <v>13.6975</v>
      </c>
      <c r="M1194" s="733"/>
      <c r="N1194" s="189"/>
      <c r="O1194" s="743" t="b">
        <v>1</v>
      </c>
    </row>
    <row r="1195">
      <c r="A1195" s="736"/>
      <c r="B1195" s="744"/>
      <c r="C1195" s="744"/>
      <c r="D1195" s="736"/>
      <c r="E1195" s="736"/>
      <c r="F1195" s="779"/>
      <c r="G1195" s="736"/>
      <c r="H1195" s="736"/>
      <c r="I1195" s="824"/>
      <c r="J1195" s="752"/>
      <c r="K1195" s="752"/>
      <c r="L1195" s="752"/>
      <c r="M1195" s="751"/>
      <c r="N1195" s="752"/>
      <c r="O1195" s="753"/>
    </row>
    <row r="1196">
      <c r="A1196" s="837" t="s">
        <v>1326</v>
      </c>
      <c r="B1196" s="838" t="s">
        <v>3701</v>
      </c>
      <c r="C1196" s="36"/>
      <c r="D1196" s="36"/>
      <c r="E1196" s="36"/>
      <c r="F1196" s="36"/>
      <c r="G1196" s="839" t="s">
        <v>1731</v>
      </c>
      <c r="H1196" s="756">
        <f>MEDIAN(H1198:H1200)</f>
        <v>19</v>
      </c>
      <c r="I1196" s="840" t="s">
        <v>2230</v>
      </c>
      <c r="J1196" s="758" t="s">
        <v>2053</v>
      </c>
      <c r="K1196" s="731" t="s">
        <v>2054</v>
      </c>
      <c r="L1196" s="759">
        <f>AVERAGE(H1198:H1200)</f>
        <v>20.94666667</v>
      </c>
      <c r="M1196" s="733"/>
      <c r="N1196" s="760" t="s">
        <v>2055</v>
      </c>
      <c r="O1196" s="454"/>
    </row>
    <row r="1197">
      <c r="A1197" s="727" t="s">
        <v>1717</v>
      </c>
      <c r="B1197" s="728" t="s">
        <v>2056</v>
      </c>
      <c r="C1197" s="728" t="s">
        <v>2057</v>
      </c>
      <c r="D1197" s="727" t="s">
        <v>2058</v>
      </c>
      <c r="E1197" s="727" t="s">
        <v>2059</v>
      </c>
      <c r="F1197" s="729" t="s">
        <v>1537</v>
      </c>
      <c r="G1197" s="727" t="s">
        <v>2060</v>
      </c>
      <c r="H1197" s="727" t="s">
        <v>2061</v>
      </c>
      <c r="I1197" s="841" t="s">
        <v>2062</v>
      </c>
      <c r="J1197" s="301"/>
      <c r="K1197" s="731" t="s">
        <v>2063</v>
      </c>
      <c r="L1197" s="732">
        <f>STDEV(H1198:H1200)</f>
        <v>4.423825645</v>
      </c>
      <c r="M1197" s="733"/>
      <c r="N1197" s="189"/>
      <c r="O1197" s="454"/>
    </row>
    <row r="1198">
      <c r="A1198" s="734"/>
      <c r="B1198" s="744" t="s">
        <v>2212</v>
      </c>
      <c r="C1198" s="744" t="s">
        <v>2168</v>
      </c>
      <c r="D1198" s="736" t="s">
        <v>2169</v>
      </c>
      <c r="E1198" s="763" t="s">
        <v>2529</v>
      </c>
      <c r="F1198" s="779" t="s">
        <v>3702</v>
      </c>
      <c r="G1198" s="736" t="s">
        <v>1731</v>
      </c>
      <c r="H1198" s="745">
        <v>17.83</v>
      </c>
      <c r="I1198" s="786" t="s">
        <v>3703</v>
      </c>
      <c r="J1198" s="301"/>
      <c r="K1198" s="731" t="s">
        <v>2070</v>
      </c>
      <c r="L1198" s="741">
        <f>L1197/L1196</f>
        <v>0.2111947316</v>
      </c>
      <c r="M1198" s="733"/>
      <c r="N1198" s="742" t="str">
        <f>IF(L1198&lt;25%,"Não","Sim - proceder verificação ao lado")</f>
        <v>Não</v>
      </c>
      <c r="O1198" s="743" t="b">
        <v>1</v>
      </c>
    </row>
    <row r="1199">
      <c r="A1199" s="736" t="s">
        <v>2230</v>
      </c>
      <c r="B1199" s="744" t="s">
        <v>2212</v>
      </c>
      <c r="C1199" s="744" t="s">
        <v>3704</v>
      </c>
      <c r="D1199" s="736" t="s">
        <v>3705</v>
      </c>
      <c r="E1199" s="763" t="s">
        <v>2529</v>
      </c>
      <c r="F1199" s="779" t="s">
        <v>3706</v>
      </c>
      <c r="G1199" s="736" t="s">
        <v>1731</v>
      </c>
      <c r="H1199" s="739">
        <v>19.0</v>
      </c>
      <c r="I1199" s="775" t="s">
        <v>3707</v>
      </c>
      <c r="J1199" s="301"/>
      <c r="K1199" s="731" t="s">
        <v>2075</v>
      </c>
      <c r="L1199" s="746">
        <f>L1196*1.25</f>
        <v>26.18333333</v>
      </c>
      <c r="M1199" s="733"/>
      <c r="N1199" s="301"/>
      <c r="O1199" s="743" t="b">
        <v>1</v>
      </c>
    </row>
    <row r="1200">
      <c r="A1200" s="736" t="s">
        <v>2230</v>
      </c>
      <c r="B1200" s="744" t="s">
        <v>2212</v>
      </c>
      <c r="C1200" s="744" t="s">
        <v>3696</v>
      </c>
      <c r="D1200" s="736" t="s">
        <v>2793</v>
      </c>
      <c r="E1200" s="763" t="s">
        <v>2529</v>
      </c>
      <c r="F1200" s="779" t="s">
        <v>3708</v>
      </c>
      <c r="G1200" s="736" t="s">
        <v>1731</v>
      </c>
      <c r="H1200" s="745">
        <v>26.01</v>
      </c>
      <c r="I1200" s="775" t="s">
        <v>3709</v>
      </c>
      <c r="J1200" s="189"/>
      <c r="K1200" s="731" t="s">
        <v>2080</v>
      </c>
      <c r="L1200" s="746">
        <f>L1196*0.75</f>
        <v>15.71</v>
      </c>
      <c r="M1200" s="733"/>
      <c r="N1200" s="189"/>
      <c r="O1200" s="743" t="b">
        <v>1</v>
      </c>
    </row>
    <row r="1201">
      <c r="A1201" s="736"/>
      <c r="B1201" s="744"/>
      <c r="C1201" s="744"/>
      <c r="D1201" s="736"/>
      <c r="E1201" s="736"/>
      <c r="F1201" s="779"/>
      <c r="G1201" s="736"/>
      <c r="H1201" s="736"/>
      <c r="I1201" s="824"/>
      <c r="J1201" s="752"/>
      <c r="K1201" s="752"/>
      <c r="L1201" s="752"/>
      <c r="M1201" s="751"/>
      <c r="N1201" s="752"/>
      <c r="O1201" s="753"/>
    </row>
    <row r="1202">
      <c r="A1202" s="837" t="s">
        <v>1278</v>
      </c>
      <c r="B1202" s="838" t="s">
        <v>3710</v>
      </c>
      <c r="C1202" s="36"/>
      <c r="D1202" s="36"/>
      <c r="E1202" s="36"/>
      <c r="F1202" s="36"/>
      <c r="G1202" s="839" t="s">
        <v>3711</v>
      </c>
      <c r="H1202" s="756">
        <f>MEDIAN(H1204:H1206)</f>
        <v>17.58</v>
      </c>
      <c r="I1202" s="840" t="s">
        <v>2230</v>
      </c>
      <c r="J1202" s="758" t="s">
        <v>2053</v>
      </c>
      <c r="K1202" s="731" t="s">
        <v>2054</v>
      </c>
      <c r="L1202" s="759">
        <f>AVERAGE(H1204:H1206)</f>
        <v>17.73333333</v>
      </c>
      <c r="M1202" s="733"/>
      <c r="N1202" s="760" t="s">
        <v>2055</v>
      </c>
      <c r="O1202" s="454"/>
    </row>
    <row r="1203">
      <c r="A1203" s="727" t="s">
        <v>1717</v>
      </c>
      <c r="B1203" s="728" t="s">
        <v>2056</v>
      </c>
      <c r="C1203" s="728" t="s">
        <v>2057</v>
      </c>
      <c r="D1203" s="727" t="s">
        <v>2058</v>
      </c>
      <c r="E1203" s="727" t="s">
        <v>2059</v>
      </c>
      <c r="F1203" s="729" t="s">
        <v>1537</v>
      </c>
      <c r="G1203" s="727" t="s">
        <v>2060</v>
      </c>
      <c r="H1203" s="727" t="s">
        <v>2061</v>
      </c>
      <c r="I1203" s="841" t="s">
        <v>2062</v>
      </c>
      <c r="J1203" s="301"/>
      <c r="K1203" s="731" t="s">
        <v>2063</v>
      </c>
      <c r="L1203" s="732">
        <f>STDEV(H1204:H1206)</f>
        <v>0.6438426309</v>
      </c>
      <c r="M1203" s="733"/>
      <c r="N1203" s="189"/>
      <c r="O1203" s="454"/>
    </row>
    <row r="1204">
      <c r="A1204" s="734"/>
      <c r="B1204" s="744" t="s">
        <v>2212</v>
      </c>
      <c r="C1204" s="744" t="s">
        <v>3712</v>
      </c>
      <c r="D1204" s="736" t="s">
        <v>3713</v>
      </c>
      <c r="E1204" s="763" t="s">
        <v>2537</v>
      </c>
      <c r="F1204" s="764" t="s">
        <v>3714</v>
      </c>
      <c r="G1204" s="736" t="s">
        <v>3711</v>
      </c>
      <c r="H1204" s="745">
        <v>17.18</v>
      </c>
      <c r="I1204" s="776" t="s">
        <v>3715</v>
      </c>
      <c r="J1204" s="301"/>
      <c r="K1204" s="731" t="s">
        <v>2070</v>
      </c>
      <c r="L1204" s="741">
        <f>L1203/L1202</f>
        <v>0.03630691527</v>
      </c>
      <c r="M1204" s="733"/>
      <c r="N1204" s="742" t="str">
        <f>IF(L1204&lt;25%,"Não","Sim - proceder verificação ao lado")</f>
        <v>Não</v>
      </c>
      <c r="O1204" s="743" t="b">
        <v>1</v>
      </c>
    </row>
    <row r="1205">
      <c r="A1205" s="736" t="s">
        <v>2230</v>
      </c>
      <c r="B1205" s="744" t="s">
        <v>2212</v>
      </c>
      <c r="C1205" s="744" t="s">
        <v>3716</v>
      </c>
      <c r="D1205" s="736" t="s">
        <v>3717</v>
      </c>
      <c r="E1205" s="763" t="s">
        <v>2529</v>
      </c>
      <c r="F1205" s="779" t="s">
        <v>3718</v>
      </c>
      <c r="G1205" s="736" t="s">
        <v>3711</v>
      </c>
      <c r="H1205" s="745">
        <v>18.44</v>
      </c>
      <c r="I1205" s="775" t="s">
        <v>3719</v>
      </c>
      <c r="J1205" s="301"/>
      <c r="K1205" s="731" t="s">
        <v>2075</v>
      </c>
      <c r="L1205" s="746">
        <f>L1202*1.25</f>
        <v>22.16666667</v>
      </c>
      <c r="M1205" s="733"/>
      <c r="N1205" s="301"/>
      <c r="O1205" s="743" t="b">
        <v>1</v>
      </c>
    </row>
    <row r="1206">
      <c r="A1206" s="736" t="s">
        <v>2230</v>
      </c>
      <c r="B1206" s="744" t="s">
        <v>2212</v>
      </c>
      <c r="C1206" s="744" t="s">
        <v>3720</v>
      </c>
      <c r="D1206" s="736" t="s">
        <v>3721</v>
      </c>
      <c r="E1206" s="763" t="s">
        <v>2529</v>
      </c>
      <c r="F1206" s="779" t="s">
        <v>3722</v>
      </c>
      <c r="G1206" s="736" t="s">
        <v>3711</v>
      </c>
      <c r="H1206" s="745">
        <v>17.58</v>
      </c>
      <c r="I1206" s="775" t="s">
        <v>3723</v>
      </c>
      <c r="J1206" s="189"/>
      <c r="K1206" s="731" t="s">
        <v>2080</v>
      </c>
      <c r="L1206" s="746">
        <f>L1202*0.75</f>
        <v>13.3</v>
      </c>
      <c r="M1206" s="733"/>
      <c r="N1206" s="189"/>
      <c r="O1206" s="743" t="b">
        <v>1</v>
      </c>
    </row>
    <row r="1207">
      <c r="A1207" s="736"/>
      <c r="B1207" s="744"/>
      <c r="C1207" s="744"/>
      <c r="D1207" s="736"/>
      <c r="E1207" s="736"/>
      <c r="F1207" s="779"/>
      <c r="G1207" s="736"/>
      <c r="H1207" s="736"/>
      <c r="I1207" s="824"/>
      <c r="J1207" s="752"/>
      <c r="K1207" s="752"/>
      <c r="L1207" s="752"/>
      <c r="M1207" s="751"/>
      <c r="N1207" s="752"/>
      <c r="O1207" s="753"/>
    </row>
    <row r="1208">
      <c r="A1208" s="837" t="s">
        <v>1364</v>
      </c>
      <c r="B1208" s="838" t="s">
        <v>3724</v>
      </c>
      <c r="C1208" s="36"/>
      <c r="D1208" s="36"/>
      <c r="E1208" s="36"/>
      <c r="F1208" s="36"/>
      <c r="G1208" s="839" t="s">
        <v>1757</v>
      </c>
      <c r="H1208" s="756">
        <f>MEDIAN(H1210:H1212)</f>
        <v>172.8</v>
      </c>
      <c r="I1208" s="840" t="s">
        <v>2230</v>
      </c>
      <c r="J1208" s="758" t="s">
        <v>2053</v>
      </c>
      <c r="K1208" s="731" t="s">
        <v>2054</v>
      </c>
      <c r="L1208" s="759">
        <f>AVERAGE(H1210:H1212)</f>
        <v>182.41</v>
      </c>
      <c r="M1208" s="733"/>
      <c r="N1208" s="760" t="s">
        <v>2055</v>
      </c>
      <c r="O1208" s="454"/>
    </row>
    <row r="1209">
      <c r="A1209" s="727" t="s">
        <v>1717</v>
      </c>
      <c r="B1209" s="728" t="s">
        <v>2056</v>
      </c>
      <c r="C1209" s="728" t="s">
        <v>2057</v>
      </c>
      <c r="D1209" s="727" t="s">
        <v>2058</v>
      </c>
      <c r="E1209" s="727" t="s">
        <v>2059</v>
      </c>
      <c r="F1209" s="729" t="s">
        <v>1537</v>
      </c>
      <c r="G1209" s="727" t="s">
        <v>2060</v>
      </c>
      <c r="H1209" s="727" t="s">
        <v>2061</v>
      </c>
      <c r="I1209" s="841" t="s">
        <v>2062</v>
      </c>
      <c r="J1209" s="301"/>
      <c r="K1209" s="731" t="s">
        <v>2063</v>
      </c>
      <c r="L1209" s="732">
        <f>STDEV(H1210:H1212)</f>
        <v>26.04073156</v>
      </c>
      <c r="M1209" s="733"/>
      <c r="N1209" s="189"/>
      <c r="O1209" s="454"/>
    </row>
    <row r="1210">
      <c r="A1210" s="734"/>
      <c r="B1210" s="744" t="s">
        <v>2212</v>
      </c>
      <c r="C1210" s="744" t="s">
        <v>3725</v>
      </c>
      <c r="D1210" s="736" t="s">
        <v>3726</v>
      </c>
      <c r="E1210" s="763" t="s">
        <v>2529</v>
      </c>
      <c r="F1210" s="779" t="s">
        <v>3727</v>
      </c>
      <c r="G1210" s="736" t="s">
        <v>1757</v>
      </c>
      <c r="H1210" s="739">
        <v>172.8</v>
      </c>
      <c r="I1210" s="786" t="s">
        <v>3728</v>
      </c>
      <c r="J1210" s="301"/>
      <c r="K1210" s="731" t="s">
        <v>2070</v>
      </c>
      <c r="L1210" s="741">
        <f>L1209/L1208</f>
        <v>0.1427593419</v>
      </c>
      <c r="M1210" s="733"/>
      <c r="N1210" s="742" t="str">
        <f>IF(L1210&lt;25%,"Não","Sim - proceder verificação ao lado")</f>
        <v>Não</v>
      </c>
      <c r="O1210" s="743" t="b">
        <v>1</v>
      </c>
    </row>
    <row r="1211">
      <c r="A1211" s="736" t="s">
        <v>2230</v>
      </c>
      <c r="B1211" s="744" t="s">
        <v>2212</v>
      </c>
      <c r="C1211" s="744" t="s">
        <v>3729</v>
      </c>
      <c r="D1211" s="736" t="s">
        <v>2471</v>
      </c>
      <c r="E1211" s="763" t="s">
        <v>2529</v>
      </c>
      <c r="F1211" s="779" t="s">
        <v>3730</v>
      </c>
      <c r="G1211" s="736" t="s">
        <v>1757</v>
      </c>
      <c r="H1211" s="739">
        <v>162.54</v>
      </c>
      <c r="I1211" s="786" t="s">
        <v>3731</v>
      </c>
      <c r="J1211" s="301"/>
      <c r="K1211" s="731" t="s">
        <v>2075</v>
      </c>
      <c r="L1211" s="746">
        <f>L1208*1.25</f>
        <v>228.0125</v>
      </c>
      <c r="M1211" s="733"/>
      <c r="N1211" s="301"/>
      <c r="O1211" s="743" t="b">
        <v>1</v>
      </c>
    </row>
    <row r="1212">
      <c r="A1212" s="736" t="s">
        <v>2230</v>
      </c>
      <c r="B1212" s="744" t="s">
        <v>2212</v>
      </c>
      <c r="C1212" s="744" t="s">
        <v>3732</v>
      </c>
      <c r="D1212" s="736" t="s">
        <v>3733</v>
      </c>
      <c r="E1212" s="763" t="s">
        <v>2529</v>
      </c>
      <c r="F1212" s="779" t="s">
        <v>3734</v>
      </c>
      <c r="G1212" s="736" t="s">
        <v>1757</v>
      </c>
      <c r="H1212" s="745">
        <v>211.89</v>
      </c>
      <c r="I1212" s="857" t="s">
        <v>3735</v>
      </c>
      <c r="J1212" s="189"/>
      <c r="K1212" s="731" t="s">
        <v>2080</v>
      </c>
      <c r="L1212" s="746">
        <f>L1208*0.75</f>
        <v>136.8075</v>
      </c>
      <c r="M1212" s="733"/>
      <c r="N1212" s="189"/>
      <c r="O1212" s="743" t="b">
        <v>1</v>
      </c>
    </row>
    <row r="1213">
      <c r="A1213" s="736"/>
      <c r="B1213" s="744"/>
      <c r="C1213" s="744"/>
      <c r="D1213" s="736"/>
      <c r="E1213" s="736"/>
      <c r="F1213" s="779"/>
      <c r="G1213" s="736"/>
      <c r="H1213" s="736"/>
      <c r="I1213" s="824"/>
      <c r="J1213" s="752"/>
      <c r="K1213" s="752"/>
      <c r="L1213" s="752"/>
      <c r="M1213" s="751"/>
      <c r="N1213" s="752"/>
      <c r="O1213" s="753"/>
    </row>
    <row r="1214">
      <c r="A1214" s="837" t="s">
        <v>1366</v>
      </c>
      <c r="B1214" s="838" t="s">
        <v>3736</v>
      </c>
      <c r="C1214" s="36"/>
      <c r="D1214" s="36"/>
      <c r="E1214" s="36"/>
      <c r="F1214" s="36"/>
      <c r="G1214" s="839" t="s">
        <v>1757</v>
      </c>
      <c r="H1214" s="756">
        <f>MEDIAN(H1216:H1218)</f>
        <v>5.19</v>
      </c>
      <c r="I1214" s="840" t="s">
        <v>2230</v>
      </c>
      <c r="J1214" s="758" t="s">
        <v>2053</v>
      </c>
      <c r="K1214" s="731" t="s">
        <v>2054</v>
      </c>
      <c r="L1214" s="759">
        <f>AVERAGE(H1216:H1218)</f>
        <v>5.146666667</v>
      </c>
      <c r="M1214" s="733"/>
      <c r="N1214" s="760" t="s">
        <v>2055</v>
      </c>
      <c r="O1214" s="454"/>
    </row>
    <row r="1215">
      <c r="A1215" s="727" t="s">
        <v>1717</v>
      </c>
      <c r="B1215" s="728" t="s">
        <v>2056</v>
      </c>
      <c r="C1215" s="728" t="s">
        <v>2057</v>
      </c>
      <c r="D1215" s="727" t="s">
        <v>2058</v>
      </c>
      <c r="E1215" s="727" t="s">
        <v>2059</v>
      </c>
      <c r="F1215" s="729" t="s">
        <v>1537</v>
      </c>
      <c r="G1215" s="727" t="s">
        <v>2060</v>
      </c>
      <c r="H1215" s="727" t="s">
        <v>2061</v>
      </c>
      <c r="I1215" s="841" t="s">
        <v>2062</v>
      </c>
      <c r="J1215" s="301"/>
      <c r="K1215" s="731" t="s">
        <v>2063</v>
      </c>
      <c r="L1215" s="732">
        <f>STDEV(H1216:H1218)</f>
        <v>1.225574695</v>
      </c>
      <c r="M1215" s="733"/>
      <c r="N1215" s="189"/>
      <c r="O1215" s="454"/>
    </row>
    <row r="1216">
      <c r="A1216" s="734"/>
      <c r="B1216" s="744" t="s">
        <v>2212</v>
      </c>
      <c r="C1216" s="744" t="s">
        <v>3737</v>
      </c>
      <c r="D1216" s="736" t="s">
        <v>3738</v>
      </c>
      <c r="E1216" s="763" t="s">
        <v>2529</v>
      </c>
      <c r="F1216" s="779" t="s">
        <v>3739</v>
      </c>
      <c r="G1216" s="736" t="s">
        <v>1757</v>
      </c>
      <c r="H1216" s="745">
        <v>3.9</v>
      </c>
      <c r="I1216" s="786" t="s">
        <v>3740</v>
      </c>
      <c r="J1216" s="301"/>
      <c r="K1216" s="731" t="s">
        <v>2070</v>
      </c>
      <c r="L1216" s="741">
        <f>L1215/L1214</f>
        <v>0.2381297983</v>
      </c>
      <c r="M1216" s="733"/>
      <c r="N1216" s="742" t="str">
        <f>IF(L1216&lt;25%,"Não","Sim - proceder verificação ao lado")</f>
        <v>Não</v>
      </c>
      <c r="O1216" s="743" t="b">
        <v>1</v>
      </c>
    </row>
    <row r="1217">
      <c r="A1217" s="736" t="s">
        <v>2230</v>
      </c>
      <c r="B1217" s="744" t="s">
        <v>2212</v>
      </c>
      <c r="C1217" s="744" t="s">
        <v>2244</v>
      </c>
      <c r="D1217" s="736" t="s">
        <v>2245</v>
      </c>
      <c r="E1217" s="763" t="s">
        <v>2529</v>
      </c>
      <c r="F1217" s="779" t="s">
        <v>3741</v>
      </c>
      <c r="G1217" s="736" t="s">
        <v>1757</v>
      </c>
      <c r="H1217" s="745">
        <v>6.35</v>
      </c>
      <c r="I1217" s="775" t="s">
        <v>3742</v>
      </c>
      <c r="J1217" s="301"/>
      <c r="K1217" s="731" t="s">
        <v>2075</v>
      </c>
      <c r="L1217" s="746">
        <f>L1214*1.25</f>
        <v>6.433333333</v>
      </c>
      <c r="M1217" s="733"/>
      <c r="N1217" s="301"/>
      <c r="O1217" s="743" t="b">
        <v>1</v>
      </c>
    </row>
    <row r="1218">
      <c r="A1218" s="736" t="s">
        <v>2230</v>
      </c>
      <c r="B1218" s="744" t="s">
        <v>2212</v>
      </c>
      <c r="C1218" s="744" t="s">
        <v>3743</v>
      </c>
      <c r="D1218" s="736" t="s">
        <v>3744</v>
      </c>
      <c r="E1218" s="763" t="s">
        <v>2529</v>
      </c>
      <c r="F1218" s="779" t="s">
        <v>3745</v>
      </c>
      <c r="G1218" s="736" t="s">
        <v>1757</v>
      </c>
      <c r="H1218" s="745">
        <v>5.19</v>
      </c>
      <c r="I1218" s="775" t="s">
        <v>3746</v>
      </c>
      <c r="J1218" s="189"/>
      <c r="K1218" s="731" t="s">
        <v>2080</v>
      </c>
      <c r="L1218" s="746">
        <f>L1214*0.75</f>
        <v>3.86</v>
      </c>
      <c r="M1218" s="733"/>
      <c r="N1218" s="189"/>
      <c r="O1218" s="743" t="b">
        <v>1</v>
      </c>
    </row>
    <row r="1219">
      <c r="A1219" s="736"/>
      <c r="B1219" s="744"/>
      <c r="C1219" s="744"/>
      <c r="D1219" s="736"/>
      <c r="E1219" s="736"/>
      <c r="F1219" s="779"/>
      <c r="G1219" s="736"/>
      <c r="H1219" s="736"/>
      <c r="I1219" s="824"/>
      <c r="J1219" s="752"/>
      <c r="K1219" s="752"/>
      <c r="L1219" s="752"/>
      <c r="M1219" s="751"/>
      <c r="N1219" s="752"/>
      <c r="O1219" s="753"/>
    </row>
    <row r="1220">
      <c r="A1220" s="837" t="s">
        <v>3747</v>
      </c>
      <c r="B1220" s="838" t="s">
        <v>3748</v>
      </c>
      <c r="C1220" s="36"/>
      <c r="D1220" s="36"/>
      <c r="E1220" s="36"/>
      <c r="F1220" s="36"/>
      <c r="G1220" s="839" t="s">
        <v>3711</v>
      </c>
      <c r="H1220" s="756">
        <f>MEDIAN(H1222:H1224)</f>
        <v>35.86</v>
      </c>
      <c r="I1220" s="840" t="s">
        <v>2230</v>
      </c>
      <c r="J1220" s="758" t="s">
        <v>2053</v>
      </c>
      <c r="K1220" s="731" t="s">
        <v>2054</v>
      </c>
      <c r="L1220" s="759">
        <f>AVERAGE(H1222:H1224)</f>
        <v>36.22</v>
      </c>
      <c r="M1220" s="733"/>
      <c r="N1220" s="760" t="s">
        <v>2055</v>
      </c>
      <c r="O1220" s="454"/>
    </row>
    <row r="1221">
      <c r="A1221" s="727" t="s">
        <v>1717</v>
      </c>
      <c r="B1221" s="728" t="s">
        <v>2056</v>
      </c>
      <c r="C1221" s="728" t="s">
        <v>2057</v>
      </c>
      <c r="D1221" s="727" t="s">
        <v>2058</v>
      </c>
      <c r="E1221" s="727" t="s">
        <v>2059</v>
      </c>
      <c r="F1221" s="729" t="s">
        <v>1537</v>
      </c>
      <c r="G1221" s="727" t="s">
        <v>2060</v>
      </c>
      <c r="H1221" s="727" t="s">
        <v>2061</v>
      </c>
      <c r="I1221" s="841" t="s">
        <v>2062</v>
      </c>
      <c r="J1221" s="301"/>
      <c r="K1221" s="731" t="s">
        <v>2063</v>
      </c>
      <c r="L1221" s="732">
        <f>STDEV(H1222:H1224)</f>
        <v>1.53205744</v>
      </c>
      <c r="M1221" s="733"/>
      <c r="N1221" s="189"/>
      <c r="O1221" s="454"/>
    </row>
    <row r="1222">
      <c r="A1222" s="734"/>
      <c r="B1222" s="761" t="s">
        <v>2064</v>
      </c>
      <c r="C1222" s="767" t="s">
        <v>2276</v>
      </c>
      <c r="D1222" s="858" t="s">
        <v>2134</v>
      </c>
      <c r="E1222" s="763" t="s">
        <v>2529</v>
      </c>
      <c r="F1222" s="764" t="s">
        <v>3749</v>
      </c>
      <c r="G1222" s="736" t="s">
        <v>3711</v>
      </c>
      <c r="H1222" s="745">
        <v>34.9</v>
      </c>
      <c r="I1222" s="842" t="s">
        <v>3750</v>
      </c>
      <c r="J1222" s="301"/>
      <c r="K1222" s="731" t="s">
        <v>2070</v>
      </c>
      <c r="L1222" s="741">
        <f>L1221/L1220</f>
        <v>0.04229865931</v>
      </c>
      <c r="M1222" s="733"/>
      <c r="N1222" s="742" t="str">
        <f>IF(L1222&lt;25%,"Não","Sim - proceder verificação ao lado")</f>
        <v>Não</v>
      </c>
      <c r="O1222" s="743" t="b">
        <v>1</v>
      </c>
    </row>
    <row r="1223">
      <c r="A1223" s="736" t="s">
        <v>2230</v>
      </c>
      <c r="B1223" s="744" t="s">
        <v>2212</v>
      </c>
      <c r="C1223" s="767" t="s">
        <v>3751</v>
      </c>
      <c r="D1223" s="777" t="s">
        <v>2150</v>
      </c>
      <c r="E1223" s="763" t="s">
        <v>2529</v>
      </c>
      <c r="F1223" s="764" t="s">
        <v>3752</v>
      </c>
      <c r="G1223" s="777" t="s">
        <v>3711</v>
      </c>
      <c r="H1223" s="745">
        <v>35.86</v>
      </c>
      <c r="I1223" s="822" t="s">
        <v>3753</v>
      </c>
      <c r="J1223" s="301"/>
      <c r="K1223" s="731" t="s">
        <v>2075</v>
      </c>
      <c r="L1223" s="746">
        <f>L1220*1.25</f>
        <v>45.275</v>
      </c>
      <c r="M1223" s="733"/>
      <c r="N1223" s="301"/>
      <c r="O1223" s="743" t="b">
        <v>1</v>
      </c>
    </row>
    <row r="1224">
      <c r="A1224" s="736" t="s">
        <v>2230</v>
      </c>
      <c r="B1224" s="744" t="s">
        <v>2212</v>
      </c>
      <c r="C1224" s="767" t="s">
        <v>3754</v>
      </c>
      <c r="D1224" s="777" t="s">
        <v>3755</v>
      </c>
      <c r="E1224" s="763" t="s">
        <v>2529</v>
      </c>
      <c r="F1224" s="764" t="s">
        <v>3756</v>
      </c>
      <c r="G1224" s="736" t="s">
        <v>3711</v>
      </c>
      <c r="H1224" s="745">
        <v>37.9</v>
      </c>
      <c r="I1224" s="848" t="s">
        <v>3757</v>
      </c>
      <c r="J1224" s="189"/>
      <c r="K1224" s="731" t="s">
        <v>2080</v>
      </c>
      <c r="L1224" s="746">
        <f>L1220*0.75</f>
        <v>27.165</v>
      </c>
      <c r="M1224" s="733"/>
      <c r="N1224" s="189"/>
      <c r="O1224" s="743" t="b">
        <v>1</v>
      </c>
    </row>
    <row r="1225">
      <c r="A1225" s="736"/>
      <c r="B1225" s="744"/>
      <c r="C1225" s="744"/>
      <c r="D1225" s="736"/>
      <c r="E1225" s="859"/>
      <c r="F1225" s="779"/>
      <c r="G1225" s="736"/>
      <c r="H1225" s="739"/>
      <c r="I1225" s="751"/>
      <c r="J1225" s="753"/>
      <c r="K1225" s="753"/>
      <c r="L1225" s="860"/>
      <c r="M1225" s="771"/>
      <c r="N1225" s="753"/>
      <c r="O1225" s="753"/>
    </row>
    <row r="1226">
      <c r="A1226" s="808" t="s">
        <v>3758</v>
      </c>
      <c r="B1226" s="36"/>
      <c r="C1226" s="36"/>
      <c r="D1226" s="36"/>
      <c r="E1226" s="36"/>
      <c r="F1226" s="36"/>
      <c r="G1226" s="36"/>
      <c r="H1226" s="36"/>
      <c r="I1226" s="36"/>
      <c r="J1226" s="753"/>
      <c r="K1226" s="753"/>
      <c r="L1226" s="860"/>
      <c r="M1226" s="771"/>
      <c r="N1226" s="753"/>
      <c r="O1226" s="454"/>
    </row>
    <row r="1227">
      <c r="A1227" s="736"/>
      <c r="B1227" s="744"/>
      <c r="C1227" s="744"/>
      <c r="D1227" s="736"/>
      <c r="E1227" s="859"/>
      <c r="F1227" s="779"/>
      <c r="G1227" s="736"/>
      <c r="H1227" s="739"/>
      <c r="I1227" s="751"/>
      <c r="J1227" s="752"/>
      <c r="K1227" s="752"/>
      <c r="L1227" s="861"/>
      <c r="M1227" s="751"/>
      <c r="N1227" s="752"/>
    </row>
    <row r="1228">
      <c r="A1228" s="862" t="s">
        <v>1789</v>
      </c>
      <c r="B1228" s="863" t="s">
        <v>3759</v>
      </c>
      <c r="C1228" s="36"/>
      <c r="D1228" s="36"/>
      <c r="E1228" s="36"/>
      <c r="F1228" s="864"/>
      <c r="G1228" s="862" t="s">
        <v>1788</v>
      </c>
      <c r="H1228" s="865">
        <f>MEDIAN(H1230:H1232)</f>
        <v>177.06</v>
      </c>
      <c r="I1228" s="866"/>
      <c r="J1228" s="758" t="s">
        <v>2053</v>
      </c>
      <c r="K1228" s="731" t="s">
        <v>2054</v>
      </c>
      <c r="L1228" s="759">
        <f>AVERAGE(H1230:H1232)</f>
        <v>158.0066667</v>
      </c>
      <c r="M1228" s="733"/>
      <c r="N1228" s="760" t="s">
        <v>2055</v>
      </c>
    </row>
    <row r="1229">
      <c r="A1229" s="727" t="s">
        <v>1717</v>
      </c>
      <c r="B1229" s="728" t="s">
        <v>2056</v>
      </c>
      <c r="C1229" s="728" t="s">
        <v>2057</v>
      </c>
      <c r="D1229" s="727" t="s">
        <v>2058</v>
      </c>
      <c r="E1229" s="727" t="s">
        <v>2059</v>
      </c>
      <c r="F1229" s="867" t="s">
        <v>1537</v>
      </c>
      <c r="G1229" s="727" t="s">
        <v>2060</v>
      </c>
      <c r="H1229" s="868" t="s">
        <v>3760</v>
      </c>
      <c r="I1229" s="869" t="s">
        <v>2062</v>
      </c>
      <c r="J1229" s="301"/>
      <c r="K1229" s="731" t="s">
        <v>2063</v>
      </c>
      <c r="L1229" s="732">
        <f>STDEV(H1230:H1232)</f>
        <v>33.00134139</v>
      </c>
      <c r="M1229" s="733"/>
      <c r="N1229" s="189"/>
      <c r="O1229" s="454"/>
    </row>
    <row r="1230">
      <c r="A1230" s="727"/>
      <c r="B1230" s="744" t="s">
        <v>3761</v>
      </c>
      <c r="C1230" s="744" t="s">
        <v>2286</v>
      </c>
      <c r="D1230" s="736" t="s">
        <v>2150</v>
      </c>
      <c r="E1230" s="763" t="s">
        <v>2529</v>
      </c>
      <c r="F1230" s="870" t="s">
        <v>3762</v>
      </c>
      <c r="G1230" s="736" t="s">
        <v>1788</v>
      </c>
      <c r="H1230" s="745">
        <v>177.06</v>
      </c>
      <c r="I1230" s="780" t="s">
        <v>3763</v>
      </c>
      <c r="J1230" s="301"/>
      <c r="K1230" s="731" t="s">
        <v>2070</v>
      </c>
      <c r="L1230" s="741">
        <f>L1229/L1228</f>
        <v>0.2088604366</v>
      </c>
      <c r="M1230" s="733"/>
      <c r="N1230" s="742" t="str">
        <f>IF(L1230&lt;25%,"Não","Sim - proceder verificação ao lado")</f>
        <v>Não</v>
      </c>
      <c r="O1230" s="743" t="b">
        <v>1</v>
      </c>
    </row>
    <row r="1231">
      <c r="A1231" s="823"/>
      <c r="B1231" s="744" t="s">
        <v>3761</v>
      </c>
      <c r="C1231" s="744" t="s">
        <v>2541</v>
      </c>
      <c r="D1231" s="736" t="s">
        <v>2150</v>
      </c>
      <c r="E1231" s="763" t="s">
        <v>2529</v>
      </c>
      <c r="F1231" s="870" t="s">
        <v>3762</v>
      </c>
      <c r="G1231" s="736" t="s">
        <v>1788</v>
      </c>
      <c r="H1231" s="745">
        <v>177.06</v>
      </c>
      <c r="I1231" s="780" t="s">
        <v>3764</v>
      </c>
      <c r="J1231" s="301"/>
      <c r="K1231" s="731" t="s">
        <v>2075</v>
      </c>
      <c r="L1231" s="746">
        <f>L1228*1.25</f>
        <v>197.5083333</v>
      </c>
      <c r="M1231" s="733"/>
      <c r="N1231" s="301"/>
      <c r="O1231" s="743" t="b">
        <v>1</v>
      </c>
    </row>
    <row r="1232">
      <c r="A1232" s="823"/>
      <c r="B1232" s="744" t="s">
        <v>3761</v>
      </c>
      <c r="C1232" s="747" t="s">
        <v>2276</v>
      </c>
      <c r="D1232" s="802" t="s">
        <v>2134</v>
      </c>
      <c r="E1232" s="763" t="s">
        <v>2529</v>
      </c>
      <c r="F1232" s="870" t="s">
        <v>3762</v>
      </c>
      <c r="G1232" s="736" t="s">
        <v>1788</v>
      </c>
      <c r="H1232" s="745">
        <v>119.9</v>
      </c>
      <c r="I1232" s="776" t="s">
        <v>3765</v>
      </c>
      <c r="J1232" s="189"/>
      <c r="K1232" s="731" t="s">
        <v>2080</v>
      </c>
      <c r="L1232" s="746">
        <f>L1228*0.75</f>
        <v>118.505</v>
      </c>
      <c r="M1232" s="733"/>
      <c r="N1232" s="189"/>
      <c r="O1232" s="743" t="b">
        <v>1</v>
      </c>
    </row>
    <row r="1233">
      <c r="A1233" s="823"/>
      <c r="B1233" s="735"/>
      <c r="C1233" s="735"/>
      <c r="D1233" s="734"/>
      <c r="E1233" s="871"/>
      <c r="F1233" s="750"/>
      <c r="G1233" s="749"/>
      <c r="H1233" s="872"/>
      <c r="I1233" s="824"/>
      <c r="J1233" s="752"/>
      <c r="K1233" s="752"/>
      <c r="L1233" s="861"/>
      <c r="M1233" s="751"/>
      <c r="N1233" s="752"/>
      <c r="O1233" s="753"/>
    </row>
    <row r="1234">
      <c r="A1234" s="862" t="s">
        <v>1797</v>
      </c>
      <c r="B1234" s="863" t="s">
        <v>3766</v>
      </c>
      <c r="C1234" s="36"/>
      <c r="D1234" s="36"/>
      <c r="E1234" s="36"/>
      <c r="F1234" s="864"/>
      <c r="G1234" s="862" t="s">
        <v>1788</v>
      </c>
      <c r="H1234" s="865">
        <f>MEDIAN(H1236:H1238)</f>
        <v>215.8</v>
      </c>
      <c r="I1234" s="866"/>
      <c r="J1234" s="758" t="s">
        <v>2053</v>
      </c>
      <c r="K1234" s="731" t="s">
        <v>2054</v>
      </c>
      <c r="L1234" s="759">
        <f>AVERAGE(H1236:H1238)</f>
        <v>215.4133333</v>
      </c>
      <c r="M1234" s="733"/>
      <c r="N1234" s="760" t="s">
        <v>2055</v>
      </c>
      <c r="O1234" s="454"/>
    </row>
    <row r="1235">
      <c r="A1235" s="727" t="s">
        <v>1717</v>
      </c>
      <c r="B1235" s="728" t="s">
        <v>2056</v>
      </c>
      <c r="C1235" s="728" t="s">
        <v>2057</v>
      </c>
      <c r="D1235" s="727" t="s">
        <v>2058</v>
      </c>
      <c r="E1235" s="727" t="s">
        <v>2059</v>
      </c>
      <c r="F1235" s="867" t="s">
        <v>1537</v>
      </c>
      <c r="G1235" s="727" t="s">
        <v>2060</v>
      </c>
      <c r="H1235" s="868" t="s">
        <v>3760</v>
      </c>
      <c r="I1235" s="869" t="s">
        <v>2062</v>
      </c>
      <c r="J1235" s="301"/>
      <c r="K1235" s="731" t="s">
        <v>2063</v>
      </c>
      <c r="L1235" s="732">
        <f>STDEV(H1236:H1238)</f>
        <v>5.669897118</v>
      </c>
      <c r="M1235" s="733"/>
      <c r="N1235" s="189"/>
      <c r="O1235" s="454"/>
    </row>
    <row r="1236">
      <c r="A1236" s="727"/>
      <c r="B1236" s="744" t="s">
        <v>3761</v>
      </c>
      <c r="C1236" s="744" t="s">
        <v>2541</v>
      </c>
      <c r="D1236" s="736" t="s">
        <v>2150</v>
      </c>
      <c r="E1236" s="763" t="s">
        <v>2529</v>
      </c>
      <c r="F1236" s="870" t="s">
        <v>3767</v>
      </c>
      <c r="G1236" s="736" t="s">
        <v>1788</v>
      </c>
      <c r="H1236" s="745">
        <v>209.56</v>
      </c>
      <c r="I1236" s="775" t="s">
        <v>3768</v>
      </c>
      <c r="J1236" s="301"/>
      <c r="K1236" s="731" t="s">
        <v>2070</v>
      </c>
      <c r="L1236" s="741">
        <f>L1235/L1234</f>
        <v>0.02632101287</v>
      </c>
      <c r="M1236" s="733"/>
      <c r="N1236" s="742" t="str">
        <f>IF(L1236&lt;25%,"Não","Sim - proceder verificação ao lado")</f>
        <v>Não</v>
      </c>
      <c r="O1236" s="743" t="b">
        <v>1</v>
      </c>
    </row>
    <row r="1237">
      <c r="A1237" s="823"/>
      <c r="B1237" s="744" t="s">
        <v>3761</v>
      </c>
      <c r="C1237" s="744" t="s">
        <v>2142</v>
      </c>
      <c r="D1237" s="736" t="s">
        <v>2143</v>
      </c>
      <c r="E1237" s="763" t="s">
        <v>2529</v>
      </c>
      <c r="F1237" s="870" t="s">
        <v>3769</v>
      </c>
      <c r="G1237" s="736" t="s">
        <v>1788</v>
      </c>
      <c r="H1237" s="745">
        <v>220.88</v>
      </c>
      <c r="I1237" s="775" t="s">
        <v>3770</v>
      </c>
      <c r="J1237" s="301"/>
      <c r="K1237" s="731" t="s">
        <v>2075</v>
      </c>
      <c r="L1237" s="746">
        <f>L1234*1.25</f>
        <v>269.2666667</v>
      </c>
      <c r="M1237" s="733"/>
      <c r="N1237" s="301"/>
      <c r="O1237" s="743" t="b">
        <v>1</v>
      </c>
    </row>
    <row r="1238">
      <c r="A1238" s="823"/>
      <c r="B1238" s="744" t="s">
        <v>3761</v>
      </c>
      <c r="C1238" s="747" t="s">
        <v>2276</v>
      </c>
      <c r="D1238" s="802" t="s">
        <v>2134</v>
      </c>
      <c r="E1238" s="763" t="s">
        <v>2529</v>
      </c>
      <c r="F1238" s="870" t="s">
        <v>3769</v>
      </c>
      <c r="G1238" s="736" t="s">
        <v>1788</v>
      </c>
      <c r="H1238" s="745">
        <v>215.8</v>
      </c>
      <c r="I1238" s="775" t="s">
        <v>3771</v>
      </c>
      <c r="J1238" s="189"/>
      <c r="K1238" s="731" t="s">
        <v>2080</v>
      </c>
      <c r="L1238" s="746">
        <f>L1234*0.75</f>
        <v>161.56</v>
      </c>
      <c r="M1238" s="733"/>
      <c r="N1238" s="189"/>
      <c r="O1238" s="743" t="b">
        <v>1</v>
      </c>
    </row>
    <row r="1239">
      <c r="A1239" s="823"/>
      <c r="B1239" s="735"/>
      <c r="C1239" s="735"/>
      <c r="D1239" s="734"/>
      <c r="E1239" s="871"/>
      <c r="F1239" s="750"/>
      <c r="G1239" s="749"/>
      <c r="H1239" s="872"/>
      <c r="I1239" s="824"/>
      <c r="J1239" s="752"/>
      <c r="K1239" s="752"/>
      <c r="L1239" s="861"/>
      <c r="M1239" s="751"/>
      <c r="N1239" s="752"/>
      <c r="O1239" s="753"/>
    </row>
    <row r="1240">
      <c r="A1240" s="862" t="s">
        <v>1804</v>
      </c>
      <c r="B1240" s="863" t="s">
        <v>3772</v>
      </c>
      <c r="C1240" s="36"/>
      <c r="D1240" s="36"/>
      <c r="E1240" s="36"/>
      <c r="F1240" s="864"/>
      <c r="G1240" s="862" t="s">
        <v>1788</v>
      </c>
      <c r="H1240" s="865">
        <f>MEDIAN(H1242:H1244)</f>
        <v>475.86</v>
      </c>
      <c r="I1240" s="866"/>
      <c r="J1240" s="758" t="s">
        <v>2053</v>
      </c>
      <c r="K1240" s="731" t="s">
        <v>2054</v>
      </c>
      <c r="L1240" s="759">
        <f>AVERAGE(H1242:H1244)</f>
        <v>482.4366667</v>
      </c>
      <c r="M1240" s="733"/>
      <c r="N1240" s="760" t="s">
        <v>2055</v>
      </c>
      <c r="O1240" s="454"/>
    </row>
    <row r="1241">
      <c r="A1241" s="727" t="s">
        <v>1717</v>
      </c>
      <c r="B1241" s="728" t="s">
        <v>2056</v>
      </c>
      <c r="C1241" s="728" t="s">
        <v>2057</v>
      </c>
      <c r="D1241" s="727" t="s">
        <v>2058</v>
      </c>
      <c r="E1241" s="727" t="s">
        <v>2059</v>
      </c>
      <c r="F1241" s="867" t="s">
        <v>1537</v>
      </c>
      <c r="G1241" s="727" t="s">
        <v>2060</v>
      </c>
      <c r="H1241" s="868" t="s">
        <v>3760</v>
      </c>
      <c r="I1241" s="869" t="s">
        <v>2062</v>
      </c>
      <c r="J1241" s="301"/>
      <c r="K1241" s="731" t="s">
        <v>2063</v>
      </c>
      <c r="L1241" s="732">
        <f>STDEV(H1242:H1244)</f>
        <v>27.32517216</v>
      </c>
      <c r="M1241" s="733"/>
      <c r="N1241" s="189"/>
      <c r="O1241" s="454"/>
    </row>
    <row r="1242">
      <c r="A1242" s="727"/>
      <c r="B1242" s="744" t="s">
        <v>3761</v>
      </c>
      <c r="C1242" s="744" t="s">
        <v>3773</v>
      </c>
      <c r="D1242" s="736" t="s">
        <v>3774</v>
      </c>
      <c r="E1242" s="763" t="s">
        <v>2529</v>
      </c>
      <c r="F1242" s="870" t="s">
        <v>3775</v>
      </c>
      <c r="G1242" s="736" t="s">
        <v>1788</v>
      </c>
      <c r="H1242" s="745">
        <v>459.0</v>
      </c>
      <c r="I1242" s="780" t="s">
        <v>3776</v>
      </c>
      <c r="J1242" s="301"/>
      <c r="K1242" s="731" t="s">
        <v>2070</v>
      </c>
      <c r="L1242" s="741">
        <f>L1241/L1240</f>
        <v>0.05663991575</v>
      </c>
      <c r="M1242" s="733"/>
      <c r="N1242" s="742" t="str">
        <f>IF(L1242&lt;25%,"Não","Sim - proceder verificação ao lado")</f>
        <v>Não</v>
      </c>
      <c r="O1242" s="743" t="b">
        <v>1</v>
      </c>
    </row>
    <row r="1243">
      <c r="A1243" s="823"/>
      <c r="B1243" s="744" t="s">
        <v>3761</v>
      </c>
      <c r="C1243" s="747" t="s">
        <v>2276</v>
      </c>
      <c r="D1243" s="802" t="s">
        <v>2134</v>
      </c>
      <c r="E1243" s="763" t="s">
        <v>2529</v>
      </c>
      <c r="F1243" s="870" t="s">
        <v>3775</v>
      </c>
      <c r="G1243" s="736" t="s">
        <v>1788</v>
      </c>
      <c r="H1243" s="745">
        <v>512.45</v>
      </c>
      <c r="I1243" s="776" t="s">
        <v>3777</v>
      </c>
      <c r="J1243" s="301"/>
      <c r="K1243" s="731" t="s">
        <v>2075</v>
      </c>
      <c r="L1243" s="746">
        <f>L1240*1.25</f>
        <v>603.0458333</v>
      </c>
      <c r="M1243" s="733"/>
      <c r="N1243" s="301"/>
      <c r="O1243" s="743" t="b">
        <v>1</v>
      </c>
    </row>
    <row r="1244">
      <c r="A1244" s="823"/>
      <c r="B1244" s="744" t="s">
        <v>3761</v>
      </c>
      <c r="C1244" s="767" t="s">
        <v>3778</v>
      </c>
      <c r="D1244" s="777" t="s">
        <v>3779</v>
      </c>
      <c r="E1244" s="763" t="s">
        <v>2529</v>
      </c>
      <c r="F1244" s="764" t="s">
        <v>3780</v>
      </c>
      <c r="G1244" s="736" t="s">
        <v>1788</v>
      </c>
      <c r="H1244" s="745">
        <v>475.86</v>
      </c>
      <c r="I1244" s="842" t="s">
        <v>3781</v>
      </c>
      <c r="J1244" s="189"/>
      <c r="K1244" s="731" t="s">
        <v>2080</v>
      </c>
      <c r="L1244" s="746">
        <f>L1240*0.75</f>
        <v>361.8275</v>
      </c>
      <c r="M1244" s="733"/>
      <c r="N1244" s="189"/>
      <c r="O1244" s="743" t="b">
        <v>1</v>
      </c>
    </row>
    <row r="1245">
      <c r="A1245" s="823"/>
      <c r="B1245" s="735"/>
      <c r="C1245" s="735"/>
      <c r="D1245" s="734"/>
      <c r="E1245" s="871"/>
      <c r="F1245" s="750"/>
      <c r="G1245" s="749"/>
      <c r="H1245" s="872"/>
      <c r="I1245" s="824"/>
      <c r="J1245" s="752"/>
      <c r="K1245" s="752"/>
      <c r="L1245" s="861"/>
      <c r="M1245" s="751"/>
      <c r="N1245" s="752"/>
      <c r="O1245" s="753"/>
    </row>
    <row r="1246">
      <c r="A1246" s="862" t="s">
        <v>1793</v>
      </c>
      <c r="B1246" s="863" t="s">
        <v>3782</v>
      </c>
      <c r="C1246" s="36"/>
      <c r="D1246" s="36"/>
      <c r="E1246" s="36"/>
      <c r="F1246" s="864"/>
      <c r="G1246" s="862" t="s">
        <v>1788</v>
      </c>
      <c r="H1246" s="865">
        <f>MEDIAN(H1248:H1250)</f>
        <v>268.43</v>
      </c>
      <c r="I1246" s="866"/>
      <c r="J1246" s="758" t="s">
        <v>2053</v>
      </c>
      <c r="K1246" s="731" t="s">
        <v>2054</v>
      </c>
      <c r="L1246" s="759">
        <f>AVERAGE(H1248:H1250)</f>
        <v>268.9366667</v>
      </c>
      <c r="M1246" s="733"/>
      <c r="N1246" s="760" t="s">
        <v>2055</v>
      </c>
      <c r="O1246" s="454"/>
    </row>
    <row r="1247">
      <c r="A1247" s="727" t="s">
        <v>1717</v>
      </c>
      <c r="B1247" s="728" t="s">
        <v>2056</v>
      </c>
      <c r="C1247" s="728" t="s">
        <v>2057</v>
      </c>
      <c r="D1247" s="727" t="s">
        <v>2058</v>
      </c>
      <c r="E1247" s="727" t="s">
        <v>2059</v>
      </c>
      <c r="F1247" s="867" t="s">
        <v>1537</v>
      </c>
      <c r="G1247" s="727" t="s">
        <v>2060</v>
      </c>
      <c r="H1247" s="868" t="s">
        <v>3760</v>
      </c>
      <c r="I1247" s="869" t="s">
        <v>2062</v>
      </c>
      <c r="J1247" s="301"/>
      <c r="K1247" s="731" t="s">
        <v>2063</v>
      </c>
      <c r="L1247" s="732">
        <f>STDEV(H1248:H1250)</f>
        <v>0.8775724092</v>
      </c>
      <c r="M1247" s="733"/>
      <c r="N1247" s="189"/>
      <c r="O1247" s="454"/>
    </row>
    <row r="1248">
      <c r="A1248" s="727"/>
      <c r="B1248" s="744" t="s">
        <v>3761</v>
      </c>
      <c r="C1248" s="747" t="s">
        <v>2276</v>
      </c>
      <c r="D1248" s="802" t="s">
        <v>2134</v>
      </c>
      <c r="E1248" s="763" t="s">
        <v>2529</v>
      </c>
      <c r="F1248" s="870" t="s">
        <v>3783</v>
      </c>
      <c r="G1248" s="736" t="s">
        <v>1788</v>
      </c>
      <c r="H1248" s="745">
        <v>269.95</v>
      </c>
      <c r="I1248" s="775" t="s">
        <v>3784</v>
      </c>
      <c r="J1248" s="301"/>
      <c r="K1248" s="731" t="s">
        <v>2070</v>
      </c>
      <c r="L1248" s="741">
        <f>L1247/L1246</f>
        <v>0.003263119232</v>
      </c>
      <c r="M1248" s="733"/>
      <c r="N1248" s="742" t="str">
        <f>IF(L1248&lt;25%,"Não","Sim - proceder verificação ao lado")</f>
        <v>Não</v>
      </c>
      <c r="O1248" s="743" t="b">
        <v>1</v>
      </c>
    </row>
    <row r="1249">
      <c r="A1249" s="823"/>
      <c r="B1249" s="744" t="s">
        <v>3761</v>
      </c>
      <c r="C1249" s="744" t="s">
        <v>2142</v>
      </c>
      <c r="D1249" s="736" t="s">
        <v>2143</v>
      </c>
      <c r="E1249" s="763" t="s">
        <v>2529</v>
      </c>
      <c r="F1249" s="870" t="s">
        <v>3785</v>
      </c>
      <c r="G1249" s="736" t="s">
        <v>1788</v>
      </c>
      <c r="H1249" s="745">
        <v>268.43</v>
      </c>
      <c r="I1249" s="775" t="s">
        <v>3786</v>
      </c>
      <c r="J1249" s="301"/>
      <c r="K1249" s="731" t="s">
        <v>2075</v>
      </c>
      <c r="L1249" s="746">
        <f>L1246*1.25</f>
        <v>336.1708333</v>
      </c>
      <c r="M1249" s="733"/>
      <c r="N1249" s="301"/>
      <c r="O1249" s="743" t="b">
        <v>1</v>
      </c>
    </row>
    <row r="1250">
      <c r="A1250" s="823"/>
      <c r="B1250" s="744" t="s">
        <v>3761</v>
      </c>
      <c r="C1250" s="744" t="s">
        <v>2209</v>
      </c>
      <c r="D1250" s="736" t="s">
        <v>2143</v>
      </c>
      <c r="E1250" s="763" t="s">
        <v>2529</v>
      </c>
      <c r="F1250" s="764" t="s">
        <v>3785</v>
      </c>
      <c r="G1250" s="736" t="s">
        <v>1788</v>
      </c>
      <c r="H1250" s="745">
        <v>268.43</v>
      </c>
      <c r="I1250" s="776" t="s">
        <v>3787</v>
      </c>
      <c r="J1250" s="189"/>
      <c r="K1250" s="731" t="s">
        <v>2080</v>
      </c>
      <c r="L1250" s="746">
        <f>L1246*0.75</f>
        <v>201.7025</v>
      </c>
      <c r="M1250" s="733"/>
      <c r="N1250" s="189"/>
      <c r="O1250" s="743" t="b">
        <v>1</v>
      </c>
    </row>
    <row r="1251">
      <c r="A1251" s="823"/>
      <c r="B1251" s="735"/>
      <c r="C1251" s="735"/>
      <c r="D1251" s="734"/>
      <c r="E1251" s="871"/>
      <c r="F1251" s="750"/>
      <c r="G1251" s="749"/>
      <c r="H1251" s="872"/>
      <c r="I1251" s="824"/>
      <c r="J1251" s="752"/>
      <c r="K1251" s="752"/>
      <c r="L1251" s="861"/>
      <c r="M1251" s="751"/>
      <c r="N1251" s="752"/>
      <c r="O1251" s="753"/>
    </row>
    <row r="1252">
      <c r="A1252" s="862" t="s">
        <v>1829</v>
      </c>
      <c r="B1252" s="863" t="s">
        <v>3788</v>
      </c>
      <c r="C1252" s="36"/>
      <c r="D1252" s="36"/>
      <c r="E1252" s="36"/>
      <c r="F1252" s="36"/>
      <c r="G1252" s="862" t="s">
        <v>1814</v>
      </c>
      <c r="H1252" s="865">
        <f>MEDIAN(H1254:H1256)</f>
        <v>170</v>
      </c>
      <c r="I1252" s="866"/>
      <c r="J1252" s="758" t="s">
        <v>2053</v>
      </c>
      <c r="K1252" s="731" t="s">
        <v>2054</v>
      </c>
      <c r="L1252" s="759">
        <f>AVERAGE(H1254:H1256)</f>
        <v>176.6666667</v>
      </c>
      <c r="M1252" s="733"/>
      <c r="N1252" s="760" t="s">
        <v>2055</v>
      </c>
      <c r="O1252" s="454"/>
    </row>
    <row r="1253">
      <c r="A1253" s="727" t="s">
        <v>1717</v>
      </c>
      <c r="B1253" s="728" t="s">
        <v>2056</v>
      </c>
      <c r="C1253" s="728" t="s">
        <v>2057</v>
      </c>
      <c r="D1253" s="727" t="s">
        <v>2058</v>
      </c>
      <c r="E1253" s="727" t="s">
        <v>2059</v>
      </c>
      <c r="F1253" s="867" t="s">
        <v>1537</v>
      </c>
      <c r="G1253" s="727" t="s">
        <v>2060</v>
      </c>
      <c r="H1253" s="868" t="s">
        <v>3760</v>
      </c>
      <c r="I1253" s="869" t="s">
        <v>2062</v>
      </c>
      <c r="J1253" s="301"/>
      <c r="K1253" s="731" t="s">
        <v>2063</v>
      </c>
      <c r="L1253" s="732">
        <f>STDEV(H1254:H1256)</f>
        <v>24.68467811</v>
      </c>
      <c r="M1253" s="733"/>
      <c r="N1253" s="189"/>
      <c r="O1253" s="454"/>
    </row>
    <row r="1254">
      <c r="A1254" s="736"/>
      <c r="B1254" s="767" t="s">
        <v>2174</v>
      </c>
      <c r="C1254" s="767" t="s">
        <v>3789</v>
      </c>
      <c r="D1254" s="777" t="s">
        <v>3790</v>
      </c>
      <c r="E1254" s="763" t="s">
        <v>3193</v>
      </c>
      <c r="F1254" s="764"/>
      <c r="G1254" s="736" t="s">
        <v>1814</v>
      </c>
      <c r="H1254" s="745">
        <v>204.0</v>
      </c>
      <c r="I1254" s="812"/>
      <c r="J1254" s="301"/>
      <c r="K1254" s="731" t="s">
        <v>2070</v>
      </c>
      <c r="L1254" s="741">
        <f>L1253/L1252</f>
        <v>0.1397245931</v>
      </c>
      <c r="M1254" s="733"/>
      <c r="N1254" s="742" t="str">
        <f>IF(L1254&lt;25%,"Não","Sim - proceder verificação ao lado")</f>
        <v>Não</v>
      </c>
      <c r="O1254" s="743" t="b">
        <v>1</v>
      </c>
    </row>
    <row r="1255">
      <c r="A1255" s="736"/>
      <c r="B1255" s="744" t="s">
        <v>3761</v>
      </c>
      <c r="C1255" s="767" t="s">
        <v>3791</v>
      </c>
      <c r="D1255" s="777" t="s">
        <v>3792</v>
      </c>
      <c r="E1255" s="763" t="s">
        <v>2529</v>
      </c>
      <c r="F1255" s="764" t="s">
        <v>3793</v>
      </c>
      <c r="G1255" s="736" t="s">
        <v>1814</v>
      </c>
      <c r="H1255" s="873">
        <v>170.0</v>
      </c>
      <c r="I1255" s="776" t="s">
        <v>3794</v>
      </c>
      <c r="J1255" s="301"/>
      <c r="K1255" s="731" t="s">
        <v>2075</v>
      </c>
      <c r="L1255" s="746">
        <f>L1252*1.25</f>
        <v>220.8333333</v>
      </c>
      <c r="M1255" s="733"/>
      <c r="N1255" s="301"/>
      <c r="O1255" s="743" t="b">
        <v>1</v>
      </c>
    </row>
    <row r="1256">
      <c r="A1256" s="736"/>
      <c r="B1256" s="744" t="s">
        <v>3761</v>
      </c>
      <c r="C1256" s="744" t="s">
        <v>3795</v>
      </c>
      <c r="D1256" s="736" t="s">
        <v>3796</v>
      </c>
      <c r="E1256" s="763" t="s">
        <v>2529</v>
      </c>
      <c r="F1256" s="870" t="s">
        <v>3797</v>
      </c>
      <c r="G1256" s="736" t="s">
        <v>1814</v>
      </c>
      <c r="H1256" s="745">
        <v>156.0</v>
      </c>
      <c r="I1256" s="776" t="s">
        <v>3798</v>
      </c>
      <c r="J1256" s="189"/>
      <c r="K1256" s="731" t="s">
        <v>2080</v>
      </c>
      <c r="L1256" s="746">
        <f>L1252*0.75</f>
        <v>132.5</v>
      </c>
      <c r="M1256" s="733"/>
      <c r="N1256" s="189"/>
      <c r="O1256" s="743" t="b">
        <v>1</v>
      </c>
    </row>
    <row r="1257">
      <c r="A1257" s="736"/>
      <c r="B1257" s="735"/>
      <c r="C1257" s="735"/>
      <c r="D1257" s="734"/>
      <c r="E1257" s="871"/>
      <c r="F1257" s="750"/>
      <c r="G1257" s="749"/>
      <c r="H1257" s="872"/>
      <c r="I1257" s="824"/>
      <c r="J1257" s="752"/>
      <c r="K1257" s="752"/>
      <c r="L1257" s="861"/>
      <c r="M1257" s="751"/>
      <c r="N1257" s="752"/>
      <c r="O1257" s="753"/>
    </row>
    <row r="1258">
      <c r="A1258" s="862" t="s">
        <v>2012</v>
      </c>
      <c r="B1258" s="874" t="s">
        <v>3799</v>
      </c>
      <c r="C1258" s="36"/>
      <c r="D1258" s="36"/>
      <c r="E1258" s="36"/>
      <c r="F1258" s="36"/>
      <c r="G1258" s="862" t="s">
        <v>1788</v>
      </c>
      <c r="H1258" s="865">
        <f>MEDIAN(H1260:H1262)</f>
        <v>43.33</v>
      </c>
      <c r="I1258" s="866"/>
      <c r="J1258" s="758" t="s">
        <v>2053</v>
      </c>
      <c r="K1258" s="731" t="s">
        <v>2054</v>
      </c>
      <c r="L1258" s="759">
        <f>AVERAGE(H1260:H1262)</f>
        <v>44.45666667</v>
      </c>
      <c r="M1258" s="733"/>
      <c r="N1258" s="760" t="s">
        <v>2055</v>
      </c>
      <c r="O1258" s="454"/>
    </row>
    <row r="1259">
      <c r="A1259" s="727" t="s">
        <v>1717</v>
      </c>
      <c r="B1259" s="728" t="s">
        <v>2056</v>
      </c>
      <c r="C1259" s="728" t="s">
        <v>2057</v>
      </c>
      <c r="D1259" s="727" t="s">
        <v>2058</v>
      </c>
      <c r="E1259" s="727" t="s">
        <v>2059</v>
      </c>
      <c r="F1259" s="867" t="s">
        <v>1537</v>
      </c>
      <c r="G1259" s="727" t="s">
        <v>2060</v>
      </c>
      <c r="H1259" s="868" t="s">
        <v>3760</v>
      </c>
      <c r="I1259" s="869" t="s">
        <v>2062</v>
      </c>
      <c r="J1259" s="301"/>
      <c r="K1259" s="731" t="s">
        <v>2063</v>
      </c>
      <c r="L1259" s="732">
        <f>STDEV(H1260:H1262)</f>
        <v>8.80423383</v>
      </c>
      <c r="M1259" s="733"/>
      <c r="N1259" s="189"/>
      <c r="O1259" s="454"/>
    </row>
    <row r="1260">
      <c r="A1260" s="736"/>
      <c r="B1260" s="744" t="s">
        <v>3761</v>
      </c>
      <c r="C1260" s="767" t="s">
        <v>2597</v>
      </c>
      <c r="D1260" s="777" t="s">
        <v>2281</v>
      </c>
      <c r="E1260" s="763" t="s">
        <v>2529</v>
      </c>
      <c r="F1260" s="764" t="s">
        <v>3800</v>
      </c>
      <c r="G1260" s="748" t="s">
        <v>1788</v>
      </c>
      <c r="H1260" s="745">
        <v>36.27</v>
      </c>
      <c r="I1260" s="776" t="s">
        <v>3801</v>
      </c>
      <c r="J1260" s="301"/>
      <c r="K1260" s="731" t="s">
        <v>2070</v>
      </c>
      <c r="L1260" s="741">
        <f>L1259/L1258</f>
        <v>0.1980408</v>
      </c>
      <c r="M1260" s="733"/>
      <c r="N1260" s="742" t="str">
        <f>IF(L1260&lt;25%,"Não","Sim - proceder verificação ao lado")</f>
        <v>Não</v>
      </c>
      <c r="O1260" s="743" t="b">
        <v>1</v>
      </c>
    </row>
    <row r="1261">
      <c r="A1261" s="736"/>
      <c r="B1261" s="744" t="s">
        <v>3761</v>
      </c>
      <c r="C1261" s="747" t="s">
        <v>3802</v>
      </c>
      <c r="D1261" s="748" t="s">
        <v>3803</v>
      </c>
      <c r="E1261" s="763" t="s">
        <v>2529</v>
      </c>
      <c r="F1261" s="766" t="s">
        <v>3804</v>
      </c>
      <c r="G1261" s="748" t="s">
        <v>1788</v>
      </c>
      <c r="H1261" s="745">
        <v>43.33</v>
      </c>
      <c r="I1261" s="875" t="s">
        <v>3805</v>
      </c>
      <c r="J1261" s="301"/>
      <c r="K1261" s="731" t="s">
        <v>2075</v>
      </c>
      <c r="L1261" s="746">
        <f>L1258*1.25</f>
        <v>55.57083333</v>
      </c>
      <c r="M1261" s="733"/>
      <c r="N1261" s="301"/>
      <c r="O1261" s="743" t="b">
        <v>1</v>
      </c>
    </row>
    <row r="1262">
      <c r="A1262" s="736"/>
      <c r="B1262" s="744" t="s">
        <v>3761</v>
      </c>
      <c r="C1262" s="747" t="s">
        <v>2276</v>
      </c>
      <c r="D1262" s="802" t="s">
        <v>2134</v>
      </c>
      <c r="E1262" s="763" t="s">
        <v>2529</v>
      </c>
      <c r="F1262" s="766" t="s">
        <v>3806</v>
      </c>
      <c r="G1262" s="748" t="s">
        <v>1788</v>
      </c>
      <c r="H1262" s="745">
        <v>53.77</v>
      </c>
      <c r="I1262" s="875" t="s">
        <v>3807</v>
      </c>
      <c r="J1262" s="189"/>
      <c r="K1262" s="731" t="s">
        <v>2080</v>
      </c>
      <c r="L1262" s="746">
        <f>L1258*0.75</f>
        <v>33.3425</v>
      </c>
      <c r="M1262" s="733"/>
      <c r="N1262" s="189"/>
      <c r="O1262" s="743" t="b">
        <v>1</v>
      </c>
    </row>
    <row r="1263">
      <c r="A1263" s="736"/>
      <c r="B1263" s="735"/>
      <c r="C1263" s="735"/>
      <c r="D1263" s="734"/>
      <c r="E1263" s="871"/>
      <c r="F1263" s="750"/>
      <c r="G1263" s="749"/>
      <c r="H1263" s="872"/>
      <c r="I1263" s="824"/>
      <c r="J1263" s="391"/>
      <c r="K1263" s="752"/>
      <c r="L1263" s="861"/>
      <c r="M1263" s="751"/>
      <c r="N1263" s="752"/>
      <c r="O1263" s="753"/>
    </row>
    <row r="1264">
      <c r="A1264" s="862" t="s">
        <v>1832</v>
      </c>
      <c r="B1264" s="863" t="s">
        <v>3808</v>
      </c>
      <c r="C1264" s="36"/>
      <c r="D1264" s="36"/>
      <c r="E1264" s="36"/>
      <c r="F1264" s="36"/>
      <c r="G1264" s="862" t="s">
        <v>1788</v>
      </c>
      <c r="H1264" s="865">
        <f>MEDIAN(H1266:H1268)</f>
        <v>21.99</v>
      </c>
      <c r="I1264" s="866"/>
      <c r="J1264" s="758" t="s">
        <v>2053</v>
      </c>
      <c r="K1264" s="731" t="s">
        <v>2054</v>
      </c>
      <c r="L1264" s="759">
        <f>AVERAGE(H1266:H1268)</f>
        <v>20.21</v>
      </c>
      <c r="M1264" s="733"/>
      <c r="N1264" s="760" t="s">
        <v>2055</v>
      </c>
      <c r="O1264" s="454"/>
    </row>
    <row r="1265">
      <c r="A1265" s="727" t="s">
        <v>1717</v>
      </c>
      <c r="B1265" s="728" t="s">
        <v>2056</v>
      </c>
      <c r="C1265" s="728" t="s">
        <v>2057</v>
      </c>
      <c r="D1265" s="727" t="s">
        <v>2058</v>
      </c>
      <c r="E1265" s="727" t="s">
        <v>2059</v>
      </c>
      <c r="F1265" s="867" t="s">
        <v>1537</v>
      </c>
      <c r="G1265" s="727" t="s">
        <v>2060</v>
      </c>
      <c r="H1265" s="868" t="s">
        <v>3760</v>
      </c>
      <c r="I1265" s="869" t="s">
        <v>2062</v>
      </c>
      <c r="J1265" s="301"/>
      <c r="K1265" s="731" t="s">
        <v>2063</v>
      </c>
      <c r="L1265" s="732">
        <f>STDEV(H1266:H1268)</f>
        <v>3.43528747</v>
      </c>
      <c r="M1265" s="733"/>
      <c r="N1265" s="189"/>
      <c r="O1265" s="454"/>
    </row>
    <row r="1266">
      <c r="A1266" s="736"/>
      <c r="B1266" s="744" t="s">
        <v>3761</v>
      </c>
      <c r="C1266" s="744" t="s">
        <v>2541</v>
      </c>
      <c r="D1266" s="736" t="s">
        <v>2150</v>
      </c>
      <c r="E1266" s="763" t="s">
        <v>2529</v>
      </c>
      <c r="F1266" s="870" t="s">
        <v>3809</v>
      </c>
      <c r="G1266" s="736" t="s">
        <v>1788</v>
      </c>
      <c r="H1266" s="739">
        <v>22.39</v>
      </c>
      <c r="I1266" s="780" t="s">
        <v>3810</v>
      </c>
      <c r="J1266" s="301"/>
      <c r="K1266" s="731" t="s">
        <v>2070</v>
      </c>
      <c r="L1266" s="741">
        <f>L1265/L1264</f>
        <v>0.1699795878</v>
      </c>
      <c r="M1266" s="733"/>
      <c r="N1266" s="742" t="str">
        <f>IF(L1266&lt;25%,"Não","Sim - proceder verificação ao lado")</f>
        <v>Não</v>
      </c>
      <c r="O1266" s="743" t="b">
        <v>1</v>
      </c>
    </row>
    <row r="1267">
      <c r="A1267" s="736"/>
      <c r="B1267" s="744" t="s">
        <v>3761</v>
      </c>
      <c r="C1267" s="744" t="s">
        <v>2833</v>
      </c>
      <c r="D1267" s="736" t="s">
        <v>2834</v>
      </c>
      <c r="E1267" s="763" t="s">
        <v>2529</v>
      </c>
      <c r="F1267" s="870" t="s">
        <v>3811</v>
      </c>
      <c r="G1267" s="736" t="s">
        <v>1788</v>
      </c>
      <c r="H1267" s="745">
        <v>16.25</v>
      </c>
      <c r="I1267" s="775" t="s">
        <v>3812</v>
      </c>
      <c r="J1267" s="301"/>
      <c r="K1267" s="731" t="s">
        <v>2075</v>
      </c>
      <c r="L1267" s="746">
        <f>L1264*1.25</f>
        <v>25.2625</v>
      </c>
      <c r="M1267" s="733"/>
      <c r="N1267" s="301"/>
      <c r="O1267" s="743" t="b">
        <v>1</v>
      </c>
    </row>
    <row r="1268">
      <c r="A1268" s="736"/>
      <c r="B1268" s="744" t="s">
        <v>3761</v>
      </c>
      <c r="C1268" s="747" t="s">
        <v>2276</v>
      </c>
      <c r="D1268" s="802" t="s">
        <v>2134</v>
      </c>
      <c r="E1268" s="763" t="s">
        <v>2529</v>
      </c>
      <c r="F1268" s="870" t="s">
        <v>3813</v>
      </c>
      <c r="G1268" s="736" t="s">
        <v>1788</v>
      </c>
      <c r="H1268" s="745">
        <v>21.99</v>
      </c>
      <c r="I1268" s="780" t="s">
        <v>3814</v>
      </c>
      <c r="J1268" s="189"/>
      <c r="K1268" s="731" t="s">
        <v>2080</v>
      </c>
      <c r="L1268" s="746">
        <f>L1264*0.75</f>
        <v>15.1575</v>
      </c>
      <c r="M1268" s="733"/>
      <c r="N1268" s="189"/>
      <c r="O1268" s="743" t="b">
        <v>1</v>
      </c>
    </row>
    <row r="1269">
      <c r="A1269" s="736"/>
      <c r="B1269" s="735"/>
      <c r="C1269" s="735"/>
      <c r="D1269" s="734"/>
      <c r="E1269" s="871"/>
      <c r="F1269" s="750"/>
      <c r="G1269" s="749"/>
      <c r="H1269" s="872"/>
      <c r="I1269" s="824"/>
      <c r="J1269" s="752"/>
      <c r="K1269" s="752"/>
      <c r="L1269" s="861"/>
      <c r="M1269" s="751"/>
      <c r="N1269" s="752"/>
      <c r="O1269" s="753"/>
    </row>
    <row r="1270">
      <c r="A1270" s="862" t="s">
        <v>1842</v>
      </c>
      <c r="B1270" s="863" t="s">
        <v>3815</v>
      </c>
      <c r="C1270" s="36"/>
      <c r="D1270" s="36"/>
      <c r="E1270" s="36"/>
      <c r="F1270" s="36"/>
      <c r="G1270" s="862" t="s">
        <v>1788</v>
      </c>
      <c r="H1270" s="865">
        <f>MEDIAN(H1272:H1274)</f>
        <v>505.58</v>
      </c>
      <c r="I1270" s="866"/>
      <c r="J1270" s="758" t="s">
        <v>2053</v>
      </c>
      <c r="K1270" s="731" t="s">
        <v>2054</v>
      </c>
      <c r="L1270" s="759">
        <f>AVERAGE(H1272:H1274)</f>
        <v>556.0533333</v>
      </c>
      <c r="M1270" s="733"/>
      <c r="N1270" s="760" t="s">
        <v>2055</v>
      </c>
      <c r="O1270" s="454"/>
    </row>
    <row r="1271">
      <c r="A1271" s="727" t="s">
        <v>1717</v>
      </c>
      <c r="B1271" s="728" t="s">
        <v>2056</v>
      </c>
      <c r="C1271" s="728" t="s">
        <v>2057</v>
      </c>
      <c r="D1271" s="727" t="s">
        <v>2058</v>
      </c>
      <c r="E1271" s="727" t="s">
        <v>2059</v>
      </c>
      <c r="F1271" s="867" t="s">
        <v>1537</v>
      </c>
      <c r="G1271" s="727" t="s">
        <v>2060</v>
      </c>
      <c r="H1271" s="868" t="s">
        <v>3760</v>
      </c>
      <c r="I1271" s="869" t="s">
        <v>2062</v>
      </c>
      <c r="J1271" s="301"/>
      <c r="K1271" s="731" t="s">
        <v>2063</v>
      </c>
      <c r="L1271" s="732">
        <f>STDEV(H1272:H1274)</f>
        <v>96.2839142</v>
      </c>
      <c r="M1271" s="733"/>
      <c r="N1271" s="189"/>
      <c r="O1271" s="454"/>
    </row>
    <row r="1272">
      <c r="A1272" s="736"/>
      <c r="B1272" s="744" t="s">
        <v>3761</v>
      </c>
      <c r="C1272" s="747" t="s">
        <v>2276</v>
      </c>
      <c r="D1272" s="802" t="s">
        <v>2134</v>
      </c>
      <c r="E1272" s="763" t="s">
        <v>2529</v>
      </c>
      <c r="F1272" s="870" t="s">
        <v>3816</v>
      </c>
      <c r="G1272" s="736" t="s">
        <v>1788</v>
      </c>
      <c r="H1272" s="739">
        <v>667.08</v>
      </c>
      <c r="I1272" s="775" t="s">
        <v>3817</v>
      </c>
      <c r="J1272" s="301"/>
      <c r="K1272" s="731" t="s">
        <v>2070</v>
      </c>
      <c r="L1272" s="741">
        <f>L1271/L1270</f>
        <v>0.1731558979</v>
      </c>
      <c r="M1272" s="733"/>
      <c r="N1272" s="742" t="str">
        <f>IF(L1272&lt;25%,"Não","Sim - proceder verificação ao lado")</f>
        <v>Não</v>
      </c>
      <c r="O1272" s="743" t="b">
        <v>1</v>
      </c>
    </row>
    <row r="1273">
      <c r="A1273" s="736"/>
      <c r="B1273" s="744" t="s">
        <v>3761</v>
      </c>
      <c r="C1273" s="744" t="s">
        <v>3818</v>
      </c>
      <c r="D1273" s="777" t="s">
        <v>3819</v>
      </c>
      <c r="E1273" s="763" t="s">
        <v>2529</v>
      </c>
      <c r="F1273" s="870" t="s">
        <v>3820</v>
      </c>
      <c r="G1273" s="736" t="s">
        <v>1788</v>
      </c>
      <c r="H1273" s="745">
        <v>495.5</v>
      </c>
      <c r="I1273" s="775" t="s">
        <v>3821</v>
      </c>
      <c r="J1273" s="301"/>
      <c r="K1273" s="731" t="s">
        <v>2075</v>
      </c>
      <c r="L1273" s="746">
        <f>L1270*1.25</f>
        <v>695.0666667</v>
      </c>
      <c r="M1273" s="733"/>
      <c r="N1273" s="301"/>
      <c r="O1273" s="743" t="b">
        <v>1</v>
      </c>
    </row>
    <row r="1274">
      <c r="A1274" s="736"/>
      <c r="B1274" s="744" t="s">
        <v>3761</v>
      </c>
      <c r="C1274" s="744" t="s">
        <v>2617</v>
      </c>
      <c r="D1274" s="736" t="s">
        <v>2150</v>
      </c>
      <c r="E1274" s="763" t="s">
        <v>2529</v>
      </c>
      <c r="F1274" s="870" t="s">
        <v>3822</v>
      </c>
      <c r="G1274" s="736" t="s">
        <v>1788</v>
      </c>
      <c r="H1274" s="745">
        <v>505.58</v>
      </c>
      <c r="I1274" s="780" t="s">
        <v>3823</v>
      </c>
      <c r="J1274" s="189"/>
      <c r="K1274" s="731" t="s">
        <v>2080</v>
      </c>
      <c r="L1274" s="746">
        <f>L1270*0.75</f>
        <v>417.04</v>
      </c>
      <c r="M1274" s="733"/>
      <c r="N1274" s="189"/>
      <c r="O1274" s="743" t="b">
        <v>1</v>
      </c>
    </row>
    <row r="1275">
      <c r="A1275" s="736"/>
      <c r="B1275" s="735"/>
      <c r="C1275" s="735"/>
      <c r="D1275" s="734"/>
      <c r="E1275" s="871"/>
      <c r="F1275" s="750"/>
      <c r="G1275" s="749"/>
      <c r="H1275" s="872"/>
      <c r="I1275" s="824"/>
      <c r="J1275" s="752"/>
      <c r="K1275" s="752"/>
      <c r="L1275" s="861"/>
      <c r="M1275" s="751"/>
      <c r="N1275" s="752"/>
      <c r="O1275" s="753"/>
    </row>
    <row r="1276">
      <c r="A1276" s="862" t="s">
        <v>1846</v>
      </c>
      <c r="B1276" s="863" t="s">
        <v>3824</v>
      </c>
      <c r="C1276" s="36"/>
      <c r="D1276" s="36"/>
      <c r="E1276" s="36"/>
      <c r="F1276" s="36"/>
      <c r="G1276" s="862" t="s">
        <v>1788</v>
      </c>
      <c r="H1276" s="865">
        <f>MEDIAN(H1278:H1280)</f>
        <v>66.41</v>
      </c>
      <c r="I1276" s="866"/>
      <c r="J1276" s="758" t="s">
        <v>2053</v>
      </c>
      <c r="K1276" s="731" t="s">
        <v>2054</v>
      </c>
      <c r="L1276" s="759">
        <f>AVERAGE(H1278:H1280)</f>
        <v>67</v>
      </c>
      <c r="M1276" s="733"/>
      <c r="N1276" s="760" t="s">
        <v>2055</v>
      </c>
      <c r="O1276" s="454"/>
    </row>
    <row r="1277">
      <c r="A1277" s="727" t="s">
        <v>1717</v>
      </c>
      <c r="B1277" s="728" t="s">
        <v>2056</v>
      </c>
      <c r="C1277" s="728" t="s">
        <v>2057</v>
      </c>
      <c r="D1277" s="727" t="s">
        <v>2058</v>
      </c>
      <c r="E1277" s="727" t="s">
        <v>2059</v>
      </c>
      <c r="F1277" s="867" t="s">
        <v>1537</v>
      </c>
      <c r="G1277" s="727" t="s">
        <v>2060</v>
      </c>
      <c r="H1277" s="868" t="s">
        <v>3760</v>
      </c>
      <c r="I1277" s="869" t="s">
        <v>2062</v>
      </c>
      <c r="J1277" s="301"/>
      <c r="K1277" s="731" t="s">
        <v>2063</v>
      </c>
      <c r="L1277" s="732">
        <f>STDEV(H1278:H1280)</f>
        <v>7.312872213</v>
      </c>
      <c r="M1277" s="733"/>
      <c r="N1277" s="189"/>
      <c r="O1277" s="454"/>
    </row>
    <row r="1278">
      <c r="A1278" s="736"/>
      <c r="B1278" s="744" t="s">
        <v>3761</v>
      </c>
      <c r="C1278" s="744" t="s">
        <v>2617</v>
      </c>
      <c r="D1278" s="736" t="s">
        <v>2150</v>
      </c>
      <c r="E1278" s="763" t="s">
        <v>2529</v>
      </c>
      <c r="F1278" s="870" t="s">
        <v>3825</v>
      </c>
      <c r="G1278" s="736" t="s">
        <v>1788</v>
      </c>
      <c r="H1278" s="745">
        <v>74.59</v>
      </c>
      <c r="I1278" s="780" t="s">
        <v>3826</v>
      </c>
      <c r="J1278" s="301"/>
      <c r="K1278" s="731" t="s">
        <v>2070</v>
      </c>
      <c r="L1278" s="741">
        <f>L1277/L1276</f>
        <v>0.1091473465</v>
      </c>
      <c r="M1278" s="733"/>
      <c r="N1278" s="742" t="str">
        <f>IF(L1278&lt;25%,"Não","Sim - proceder verificação ao lado")</f>
        <v>Não</v>
      </c>
      <c r="O1278" s="743" t="b">
        <v>1</v>
      </c>
    </row>
    <row r="1279">
      <c r="A1279" s="736"/>
      <c r="B1279" s="744" t="s">
        <v>3761</v>
      </c>
      <c r="C1279" s="744" t="s">
        <v>3827</v>
      </c>
      <c r="D1279" s="736" t="s">
        <v>3828</v>
      </c>
      <c r="E1279" s="763" t="s">
        <v>2529</v>
      </c>
      <c r="F1279" s="870" t="s">
        <v>3829</v>
      </c>
      <c r="G1279" s="736" t="s">
        <v>1788</v>
      </c>
      <c r="H1279" s="739">
        <v>66.41</v>
      </c>
      <c r="I1279" s="780" t="s">
        <v>3830</v>
      </c>
      <c r="J1279" s="301"/>
      <c r="K1279" s="731" t="s">
        <v>2075</v>
      </c>
      <c r="L1279" s="746">
        <f>L1276*1.25</f>
        <v>83.75</v>
      </c>
      <c r="M1279" s="733"/>
      <c r="N1279" s="301"/>
      <c r="O1279" s="743" t="b">
        <v>1</v>
      </c>
    </row>
    <row r="1280">
      <c r="A1280" s="736"/>
      <c r="B1280" s="744" t="s">
        <v>3761</v>
      </c>
      <c r="C1280" s="744" t="s">
        <v>2209</v>
      </c>
      <c r="D1280" s="736" t="s">
        <v>2143</v>
      </c>
      <c r="E1280" s="763" t="s">
        <v>2529</v>
      </c>
      <c r="F1280" s="870" t="s">
        <v>3831</v>
      </c>
      <c r="G1280" s="736" t="s">
        <v>1788</v>
      </c>
      <c r="H1280" s="745">
        <v>60.0</v>
      </c>
      <c r="I1280" s="776" t="s">
        <v>3832</v>
      </c>
      <c r="J1280" s="189"/>
      <c r="K1280" s="731" t="s">
        <v>2080</v>
      </c>
      <c r="L1280" s="746">
        <f>L1276*0.75</f>
        <v>50.25</v>
      </c>
      <c r="M1280" s="733"/>
      <c r="N1280" s="189"/>
      <c r="O1280" s="743" t="b">
        <v>1</v>
      </c>
    </row>
    <row r="1281">
      <c r="A1281" s="736"/>
      <c r="B1281" s="735"/>
      <c r="C1281" s="735"/>
      <c r="D1281" s="734"/>
      <c r="E1281" s="871"/>
      <c r="F1281" s="750"/>
      <c r="G1281" s="749"/>
      <c r="H1281" s="872"/>
      <c r="I1281" s="824"/>
      <c r="J1281" s="752"/>
      <c r="K1281" s="752"/>
      <c r="L1281" s="861"/>
      <c r="M1281" s="751"/>
      <c r="N1281" s="752"/>
      <c r="O1281" s="753"/>
    </row>
    <row r="1282">
      <c r="A1282" s="862" t="s">
        <v>1868</v>
      </c>
      <c r="B1282" s="863" t="s">
        <v>3833</v>
      </c>
      <c r="C1282" s="36"/>
      <c r="D1282" s="36"/>
      <c r="E1282" s="36"/>
      <c r="F1282" s="36"/>
      <c r="G1282" s="862" t="s">
        <v>1788</v>
      </c>
      <c r="H1282" s="865">
        <f>MEDIAN(H1284:H1286)</f>
        <v>12.25</v>
      </c>
      <c r="I1282" s="866"/>
      <c r="J1282" s="758" t="s">
        <v>2053</v>
      </c>
      <c r="K1282" s="731" t="s">
        <v>2054</v>
      </c>
      <c r="L1282" s="759">
        <f>AVERAGE(H1284:H1286)</f>
        <v>12.75333333</v>
      </c>
      <c r="M1282" s="733"/>
      <c r="N1282" s="760" t="s">
        <v>2055</v>
      </c>
      <c r="O1282" s="454"/>
    </row>
    <row r="1283">
      <c r="A1283" s="727" t="s">
        <v>1717</v>
      </c>
      <c r="B1283" s="728" t="s">
        <v>2056</v>
      </c>
      <c r="C1283" s="728" t="s">
        <v>2057</v>
      </c>
      <c r="D1283" s="727" t="s">
        <v>2058</v>
      </c>
      <c r="E1283" s="727" t="s">
        <v>2059</v>
      </c>
      <c r="F1283" s="867" t="s">
        <v>1537</v>
      </c>
      <c r="G1283" s="727" t="s">
        <v>2060</v>
      </c>
      <c r="H1283" s="868" t="s">
        <v>3760</v>
      </c>
      <c r="I1283" s="869" t="s">
        <v>2062</v>
      </c>
      <c r="J1283" s="301"/>
      <c r="K1283" s="731" t="s">
        <v>2063</v>
      </c>
      <c r="L1283" s="732">
        <f>STDEV(H1284:H1286)</f>
        <v>1.944487936</v>
      </c>
      <c r="M1283" s="733"/>
      <c r="N1283" s="189"/>
      <c r="O1283" s="454"/>
    </row>
    <row r="1284">
      <c r="A1284" s="736"/>
      <c r="B1284" s="744" t="s">
        <v>3761</v>
      </c>
      <c r="C1284" s="744" t="s">
        <v>2541</v>
      </c>
      <c r="D1284" s="736" t="s">
        <v>2150</v>
      </c>
      <c r="E1284" s="763" t="s">
        <v>2529</v>
      </c>
      <c r="F1284" s="870" t="s">
        <v>3834</v>
      </c>
      <c r="G1284" s="736" t="s">
        <v>1788</v>
      </c>
      <c r="H1284" s="745">
        <v>11.11</v>
      </c>
      <c r="I1284" s="775" t="s">
        <v>3835</v>
      </c>
      <c r="J1284" s="301"/>
      <c r="K1284" s="731" t="s">
        <v>2070</v>
      </c>
      <c r="L1284" s="741">
        <f>L1283/L1282</f>
        <v>0.1524689966</v>
      </c>
      <c r="M1284" s="733"/>
      <c r="N1284" s="742" t="str">
        <f>IF(L1284&lt;25%,"Não","Sim - proceder verificação ao lado")</f>
        <v>Não</v>
      </c>
      <c r="O1284" s="743" t="b">
        <v>1</v>
      </c>
    </row>
    <row r="1285">
      <c r="A1285" s="736"/>
      <c r="B1285" s="744" t="s">
        <v>3761</v>
      </c>
      <c r="C1285" s="744" t="s">
        <v>2145</v>
      </c>
      <c r="D1285" s="736" t="s">
        <v>2143</v>
      </c>
      <c r="E1285" s="763" t="s">
        <v>2529</v>
      </c>
      <c r="F1285" s="764" t="s">
        <v>3836</v>
      </c>
      <c r="G1285" s="736" t="s">
        <v>1788</v>
      </c>
      <c r="H1285" s="745">
        <v>12.25</v>
      </c>
      <c r="I1285" s="776" t="s">
        <v>3837</v>
      </c>
      <c r="J1285" s="301"/>
      <c r="K1285" s="731" t="s">
        <v>2075</v>
      </c>
      <c r="L1285" s="746">
        <f>L1282*1.25</f>
        <v>15.94166667</v>
      </c>
      <c r="M1285" s="733"/>
      <c r="N1285" s="301"/>
      <c r="O1285" s="743" t="b">
        <v>1</v>
      </c>
    </row>
    <row r="1286">
      <c r="A1286" s="736"/>
      <c r="B1286" s="744" t="s">
        <v>3761</v>
      </c>
      <c r="C1286" s="744" t="s">
        <v>3838</v>
      </c>
      <c r="D1286" s="736" t="s">
        <v>3839</v>
      </c>
      <c r="E1286" s="763" t="s">
        <v>2529</v>
      </c>
      <c r="F1286" s="764" t="s">
        <v>3840</v>
      </c>
      <c r="G1286" s="736" t="s">
        <v>1788</v>
      </c>
      <c r="H1286" s="745">
        <v>14.9</v>
      </c>
      <c r="I1286" s="776" t="s">
        <v>3841</v>
      </c>
      <c r="J1286" s="189"/>
      <c r="K1286" s="731" t="s">
        <v>2080</v>
      </c>
      <c r="L1286" s="746">
        <f>L1282*0.75</f>
        <v>9.565</v>
      </c>
      <c r="M1286" s="733"/>
      <c r="N1286" s="189"/>
      <c r="O1286" s="743" t="b">
        <v>1</v>
      </c>
    </row>
    <row r="1287">
      <c r="A1287" s="736"/>
      <c r="B1287" s="735"/>
      <c r="C1287" s="735"/>
      <c r="D1287" s="734"/>
      <c r="E1287" s="871"/>
      <c r="F1287" s="750"/>
      <c r="G1287" s="749"/>
      <c r="H1287" s="872"/>
      <c r="I1287" s="824"/>
      <c r="J1287" s="752"/>
      <c r="K1287" s="752"/>
      <c r="L1287" s="861"/>
      <c r="M1287" s="751"/>
      <c r="N1287" s="752"/>
      <c r="O1287" s="753"/>
    </row>
    <row r="1288">
      <c r="A1288" s="862" t="s">
        <v>1872</v>
      </c>
      <c r="B1288" s="863" t="s">
        <v>3842</v>
      </c>
      <c r="C1288" s="36"/>
      <c r="D1288" s="36"/>
      <c r="E1288" s="36"/>
      <c r="F1288" s="36"/>
      <c r="G1288" s="862" t="s">
        <v>1788</v>
      </c>
      <c r="H1288" s="865">
        <f>MEDIAN(H1290:H1292)</f>
        <v>1352.84</v>
      </c>
      <c r="I1288" s="866"/>
      <c r="J1288" s="758" t="s">
        <v>2053</v>
      </c>
      <c r="K1288" s="731" t="s">
        <v>2054</v>
      </c>
      <c r="L1288" s="759">
        <f>AVERAGE(H1290:H1292)</f>
        <v>1322.413333</v>
      </c>
      <c r="M1288" s="733"/>
      <c r="N1288" s="760" t="s">
        <v>2055</v>
      </c>
      <c r="O1288" s="454"/>
    </row>
    <row r="1289">
      <c r="A1289" s="727" t="s">
        <v>1717</v>
      </c>
      <c r="B1289" s="728" t="s">
        <v>2056</v>
      </c>
      <c r="C1289" s="728" t="s">
        <v>2057</v>
      </c>
      <c r="D1289" s="727" t="s">
        <v>2058</v>
      </c>
      <c r="E1289" s="727" t="s">
        <v>2059</v>
      </c>
      <c r="F1289" s="867" t="s">
        <v>1537</v>
      </c>
      <c r="G1289" s="727" t="s">
        <v>2060</v>
      </c>
      <c r="H1289" s="868" t="s">
        <v>3760</v>
      </c>
      <c r="I1289" s="869" t="s">
        <v>2062</v>
      </c>
      <c r="J1289" s="301"/>
      <c r="K1289" s="731" t="s">
        <v>2063</v>
      </c>
      <c r="L1289" s="732">
        <f>STDEV(H1290:H1292)</f>
        <v>95.50694495</v>
      </c>
      <c r="M1289" s="733"/>
      <c r="N1289" s="189"/>
      <c r="O1289" s="454"/>
    </row>
    <row r="1290">
      <c r="A1290" s="736"/>
      <c r="B1290" s="744" t="s">
        <v>3761</v>
      </c>
      <c r="C1290" s="744" t="s">
        <v>2617</v>
      </c>
      <c r="D1290" s="736" t="s">
        <v>2150</v>
      </c>
      <c r="E1290" s="763" t="s">
        <v>2529</v>
      </c>
      <c r="F1290" s="870" t="s">
        <v>3843</v>
      </c>
      <c r="G1290" s="736" t="s">
        <v>1788</v>
      </c>
      <c r="H1290" s="745">
        <v>1352.84</v>
      </c>
      <c r="I1290" s="775" t="s">
        <v>3844</v>
      </c>
      <c r="J1290" s="301"/>
      <c r="K1290" s="731" t="s">
        <v>2070</v>
      </c>
      <c r="L1290" s="741">
        <f>L1289/L1288</f>
        <v>0.07222170447</v>
      </c>
      <c r="M1290" s="733"/>
      <c r="N1290" s="742" t="str">
        <f>IF(L1290&lt;25%,"Não","Sim - proceder verificação ao lado")</f>
        <v>Não</v>
      </c>
      <c r="O1290" s="743" t="b">
        <v>1</v>
      </c>
    </row>
    <row r="1291">
      <c r="A1291" s="736"/>
      <c r="B1291" s="744" t="s">
        <v>3761</v>
      </c>
      <c r="C1291" s="744" t="s">
        <v>2168</v>
      </c>
      <c r="D1291" s="736" t="s">
        <v>2169</v>
      </c>
      <c r="E1291" s="763" t="s">
        <v>2529</v>
      </c>
      <c r="F1291" s="870" t="s">
        <v>3845</v>
      </c>
      <c r="G1291" s="736" t="s">
        <v>1788</v>
      </c>
      <c r="H1291" s="745">
        <v>1399.0</v>
      </c>
      <c r="I1291" s="780" t="s">
        <v>3846</v>
      </c>
      <c r="J1291" s="301"/>
      <c r="K1291" s="731" t="s">
        <v>2075</v>
      </c>
      <c r="L1291" s="746">
        <f>L1288*1.25</f>
        <v>1653.016667</v>
      </c>
      <c r="M1291" s="733"/>
      <c r="N1291" s="301"/>
      <c r="O1291" s="743" t="b">
        <v>1</v>
      </c>
    </row>
    <row r="1292">
      <c r="A1292" s="736"/>
      <c r="B1292" s="744" t="s">
        <v>3761</v>
      </c>
      <c r="C1292" s="744" t="s">
        <v>3033</v>
      </c>
      <c r="D1292" s="736" t="s">
        <v>3034</v>
      </c>
      <c r="E1292" s="763" t="s">
        <v>2529</v>
      </c>
      <c r="F1292" s="870" t="s">
        <v>3847</v>
      </c>
      <c r="G1292" s="736" t="s">
        <v>1788</v>
      </c>
      <c r="H1292" s="745">
        <v>1215.4</v>
      </c>
      <c r="I1292" s="780" t="s">
        <v>3848</v>
      </c>
      <c r="J1292" s="189"/>
      <c r="K1292" s="731" t="s">
        <v>2080</v>
      </c>
      <c r="L1292" s="746">
        <f>L1288*0.75</f>
        <v>991.81</v>
      </c>
      <c r="M1292" s="733"/>
      <c r="N1292" s="189"/>
      <c r="O1292" s="743" t="b">
        <v>1</v>
      </c>
    </row>
    <row r="1293">
      <c r="A1293" s="736"/>
      <c r="B1293" s="735"/>
      <c r="C1293" s="735"/>
      <c r="D1293" s="734"/>
      <c r="E1293" s="871"/>
      <c r="F1293" s="750"/>
      <c r="G1293" s="749"/>
      <c r="H1293" s="872"/>
      <c r="I1293" s="824"/>
      <c r="J1293" s="752"/>
      <c r="K1293" s="752"/>
      <c r="L1293" s="861"/>
      <c r="M1293" s="751"/>
      <c r="N1293" s="752"/>
      <c r="O1293" s="753"/>
    </row>
    <row r="1294">
      <c r="A1294" s="862" t="s">
        <v>1876</v>
      </c>
      <c r="B1294" s="863" t="s">
        <v>3849</v>
      </c>
      <c r="C1294" s="36"/>
      <c r="D1294" s="36"/>
      <c r="E1294" s="36"/>
      <c r="F1294" s="36"/>
      <c r="G1294" s="862" t="s">
        <v>1788</v>
      </c>
      <c r="H1294" s="865">
        <f>MEDIAN(H1296:H1298)</f>
        <v>8.99</v>
      </c>
      <c r="I1294" s="866"/>
      <c r="J1294" s="758" t="s">
        <v>2053</v>
      </c>
      <c r="K1294" s="731" t="s">
        <v>2054</v>
      </c>
      <c r="L1294" s="759">
        <f>AVERAGE(H1296:H1298)</f>
        <v>9.006666667</v>
      </c>
      <c r="M1294" s="733"/>
      <c r="N1294" s="760" t="s">
        <v>2055</v>
      </c>
      <c r="O1294" s="454"/>
    </row>
    <row r="1295">
      <c r="A1295" s="727" t="s">
        <v>1717</v>
      </c>
      <c r="B1295" s="728" t="s">
        <v>2056</v>
      </c>
      <c r="C1295" s="728" t="s">
        <v>2057</v>
      </c>
      <c r="D1295" s="727" t="s">
        <v>2058</v>
      </c>
      <c r="E1295" s="727" t="s">
        <v>2059</v>
      </c>
      <c r="F1295" s="867" t="s">
        <v>1537</v>
      </c>
      <c r="G1295" s="727" t="s">
        <v>2060</v>
      </c>
      <c r="H1295" s="868" t="s">
        <v>3760</v>
      </c>
      <c r="I1295" s="869" t="s">
        <v>2062</v>
      </c>
      <c r="J1295" s="301"/>
      <c r="K1295" s="731" t="s">
        <v>2063</v>
      </c>
      <c r="L1295" s="732">
        <f>STDEV(H1296:H1298)</f>
        <v>0.1755942292</v>
      </c>
      <c r="M1295" s="733"/>
      <c r="N1295" s="189"/>
      <c r="O1295" s="454"/>
    </row>
    <row r="1296">
      <c r="A1296" s="736"/>
      <c r="B1296" s="744" t="s">
        <v>3761</v>
      </c>
      <c r="C1296" s="744" t="s">
        <v>2833</v>
      </c>
      <c r="D1296" s="736" t="s">
        <v>2834</v>
      </c>
      <c r="E1296" s="763" t="s">
        <v>2529</v>
      </c>
      <c r="F1296" s="870" t="s">
        <v>3850</v>
      </c>
      <c r="G1296" s="736" t="s">
        <v>1788</v>
      </c>
      <c r="H1296" s="745">
        <v>8.84</v>
      </c>
      <c r="I1296" s="775" t="s">
        <v>3851</v>
      </c>
      <c r="J1296" s="301"/>
      <c r="K1296" s="731" t="s">
        <v>2070</v>
      </c>
      <c r="L1296" s="741">
        <f>L1295/L1294</f>
        <v>0.01949602841</v>
      </c>
      <c r="M1296" s="733"/>
      <c r="N1296" s="742" t="str">
        <f>IF(L1296&lt;25%,"Não","Sim - proceder verificação ao lado")</f>
        <v>Não</v>
      </c>
      <c r="O1296" s="743" t="b">
        <v>1</v>
      </c>
    </row>
    <row r="1297">
      <c r="A1297" s="736"/>
      <c r="B1297" s="744" t="s">
        <v>3761</v>
      </c>
      <c r="C1297" s="747" t="s">
        <v>2276</v>
      </c>
      <c r="D1297" s="802" t="s">
        <v>2134</v>
      </c>
      <c r="E1297" s="763" t="s">
        <v>2529</v>
      </c>
      <c r="F1297" s="870" t="s">
        <v>3852</v>
      </c>
      <c r="G1297" s="736" t="s">
        <v>1788</v>
      </c>
      <c r="H1297" s="745">
        <v>8.99</v>
      </c>
      <c r="I1297" s="775" t="s">
        <v>3853</v>
      </c>
      <c r="J1297" s="301"/>
      <c r="K1297" s="731" t="s">
        <v>2075</v>
      </c>
      <c r="L1297" s="746">
        <f>L1294*1.25</f>
        <v>11.25833333</v>
      </c>
      <c r="M1297" s="733"/>
      <c r="N1297" s="301"/>
      <c r="O1297" s="743" t="b">
        <v>1</v>
      </c>
    </row>
    <row r="1298">
      <c r="A1298" s="736"/>
      <c r="B1298" s="744" t="s">
        <v>3761</v>
      </c>
      <c r="C1298" s="744" t="s">
        <v>2142</v>
      </c>
      <c r="D1298" s="736" t="s">
        <v>2143</v>
      </c>
      <c r="E1298" s="763" t="s">
        <v>2529</v>
      </c>
      <c r="F1298" s="764" t="s">
        <v>3854</v>
      </c>
      <c r="G1298" s="736" t="s">
        <v>1788</v>
      </c>
      <c r="H1298" s="745">
        <v>9.19</v>
      </c>
      <c r="I1298" s="776" t="s">
        <v>3855</v>
      </c>
      <c r="J1298" s="189"/>
      <c r="K1298" s="731" t="s">
        <v>2080</v>
      </c>
      <c r="L1298" s="746">
        <f>L1294*0.75</f>
        <v>6.755</v>
      </c>
      <c r="M1298" s="733"/>
      <c r="N1298" s="189"/>
      <c r="O1298" s="743" t="b">
        <v>1</v>
      </c>
    </row>
    <row r="1299">
      <c r="A1299" s="736"/>
      <c r="B1299" s="735"/>
      <c r="C1299" s="735"/>
      <c r="D1299" s="734"/>
      <c r="E1299" s="871"/>
      <c r="F1299" s="750"/>
      <c r="G1299" s="749"/>
      <c r="H1299" s="872"/>
      <c r="I1299" s="824"/>
      <c r="J1299" s="752"/>
      <c r="K1299" s="752"/>
      <c r="L1299" s="861"/>
      <c r="M1299" s="751"/>
      <c r="N1299" s="752"/>
      <c r="O1299" s="753"/>
    </row>
    <row r="1300">
      <c r="A1300" s="862" t="s">
        <v>1881</v>
      </c>
      <c r="B1300" s="863" t="s">
        <v>3856</v>
      </c>
      <c r="C1300" s="36"/>
      <c r="D1300" s="36"/>
      <c r="E1300" s="36"/>
      <c r="F1300" s="36"/>
      <c r="G1300" s="862" t="s">
        <v>1880</v>
      </c>
      <c r="H1300" s="865">
        <f>MEDIAN(H1302:H1304)</f>
        <v>1364.44</v>
      </c>
      <c r="I1300" s="866"/>
      <c r="J1300" s="758" t="s">
        <v>2053</v>
      </c>
      <c r="K1300" s="731" t="s">
        <v>2054</v>
      </c>
      <c r="L1300" s="759">
        <f>AVERAGE(H1302:H1304)</f>
        <v>1370.133333</v>
      </c>
      <c r="M1300" s="733"/>
      <c r="N1300" s="760" t="s">
        <v>2055</v>
      </c>
      <c r="O1300" s="454"/>
    </row>
    <row r="1301">
      <c r="A1301" s="727" t="s">
        <v>1717</v>
      </c>
      <c r="B1301" s="728" t="s">
        <v>2056</v>
      </c>
      <c r="C1301" s="728" t="s">
        <v>2057</v>
      </c>
      <c r="D1301" s="727" t="s">
        <v>2058</v>
      </c>
      <c r="E1301" s="727" t="s">
        <v>2059</v>
      </c>
      <c r="F1301" s="867" t="s">
        <v>1537</v>
      </c>
      <c r="G1301" s="727" t="s">
        <v>2060</v>
      </c>
      <c r="H1301" s="868" t="s">
        <v>3760</v>
      </c>
      <c r="I1301" s="869" t="s">
        <v>2062</v>
      </c>
      <c r="J1301" s="301"/>
      <c r="K1301" s="731" t="s">
        <v>2063</v>
      </c>
      <c r="L1301" s="732">
        <f>STDEV(H1302:H1304)</f>
        <v>9.861142598</v>
      </c>
      <c r="M1301" s="733"/>
      <c r="N1301" s="189"/>
      <c r="O1301" s="454"/>
    </row>
    <row r="1302">
      <c r="A1302" s="876">
        <v>18355.0</v>
      </c>
      <c r="B1302" s="744" t="s">
        <v>3857</v>
      </c>
      <c r="C1302" s="744"/>
      <c r="D1302" s="736"/>
      <c r="E1302" s="763" t="s">
        <v>3858</v>
      </c>
      <c r="F1302" s="764" t="s">
        <v>3859</v>
      </c>
      <c r="G1302" s="736" t="s">
        <v>2178</v>
      </c>
      <c r="H1302" s="739">
        <f>7*194.92</f>
        <v>1364.44</v>
      </c>
      <c r="I1302" s="849" t="s">
        <v>3860</v>
      </c>
      <c r="J1302" s="301"/>
      <c r="K1302" s="731" t="s">
        <v>2070</v>
      </c>
      <c r="L1302" s="741">
        <f>L1301/L1300</f>
        <v>0.007197213846</v>
      </c>
      <c r="M1302" s="733"/>
      <c r="N1302" s="742" t="str">
        <f>IF(L1302&lt;25%,"Não","Sim - proceder verificação ao lado")</f>
        <v>Não</v>
      </c>
      <c r="O1302" s="743" t="b">
        <v>1</v>
      </c>
    </row>
    <row r="1303">
      <c r="A1303" s="777">
        <v>79230.0</v>
      </c>
      <c r="B1303" s="744" t="s">
        <v>3861</v>
      </c>
      <c r="C1303" s="744"/>
      <c r="D1303" s="736"/>
      <c r="E1303" s="763" t="s">
        <v>3862</v>
      </c>
      <c r="F1303" s="870" t="s">
        <v>3863</v>
      </c>
      <c r="G1303" s="736" t="s">
        <v>2178</v>
      </c>
      <c r="H1303" s="739">
        <f>197.36*7</f>
        <v>1381.52</v>
      </c>
      <c r="I1303" s="849" t="s">
        <v>3860</v>
      </c>
      <c r="J1303" s="301"/>
      <c r="K1303" s="731" t="s">
        <v>2075</v>
      </c>
      <c r="L1303" s="746">
        <f>L1300*1.25</f>
        <v>1712.666667</v>
      </c>
      <c r="M1303" s="733"/>
      <c r="N1303" s="301"/>
      <c r="O1303" s="743" t="b">
        <v>1</v>
      </c>
    </row>
    <row r="1304">
      <c r="A1304" s="876" t="s">
        <v>3864</v>
      </c>
      <c r="B1304" s="744" t="s">
        <v>3521</v>
      </c>
      <c r="C1304" s="744"/>
      <c r="D1304" s="736"/>
      <c r="E1304" s="763" t="s">
        <v>3865</v>
      </c>
      <c r="F1304" s="870" t="s">
        <v>3866</v>
      </c>
      <c r="G1304" s="736" t="s">
        <v>2178</v>
      </c>
      <c r="H1304" s="739">
        <f>7*194.92</f>
        <v>1364.44</v>
      </c>
      <c r="I1304" s="849" t="s">
        <v>3860</v>
      </c>
      <c r="J1304" s="189"/>
      <c r="K1304" s="731" t="s">
        <v>2080</v>
      </c>
      <c r="L1304" s="746">
        <f>L1300*0.75</f>
        <v>1027.6</v>
      </c>
      <c r="M1304" s="733"/>
      <c r="N1304" s="189"/>
      <c r="O1304" s="743" t="b">
        <v>1</v>
      </c>
    </row>
    <row r="1305">
      <c r="A1305" s="736"/>
      <c r="B1305" s="735"/>
      <c r="C1305" s="735"/>
      <c r="D1305" s="734"/>
      <c r="E1305" s="871"/>
      <c r="F1305" s="750"/>
      <c r="G1305" s="749"/>
      <c r="H1305" s="872"/>
      <c r="I1305" s="824"/>
      <c r="J1305" s="752"/>
      <c r="K1305" s="752"/>
      <c r="L1305" s="861"/>
      <c r="M1305" s="751"/>
      <c r="N1305" s="752"/>
      <c r="O1305" s="753"/>
    </row>
    <row r="1306">
      <c r="A1306" s="862" t="s">
        <v>1887</v>
      </c>
      <c r="B1306" s="863" t="s">
        <v>3867</v>
      </c>
      <c r="C1306" s="36"/>
      <c r="D1306" s="36"/>
      <c r="E1306" s="36"/>
      <c r="F1306" s="36"/>
      <c r="G1306" s="862" t="s">
        <v>1788</v>
      </c>
      <c r="H1306" s="865">
        <f>MEDIAN(H1308:H1310)</f>
        <v>200.43</v>
      </c>
      <c r="I1306" s="866"/>
      <c r="J1306" s="758" t="s">
        <v>2053</v>
      </c>
      <c r="K1306" s="731" t="s">
        <v>2054</v>
      </c>
      <c r="L1306" s="759">
        <f>AVERAGE(H1308:H1310)</f>
        <v>206.9066667</v>
      </c>
      <c r="M1306" s="733"/>
      <c r="N1306" s="760" t="s">
        <v>2055</v>
      </c>
      <c r="O1306" s="454"/>
    </row>
    <row r="1307">
      <c r="A1307" s="727" t="s">
        <v>1717</v>
      </c>
      <c r="B1307" s="728" t="s">
        <v>2056</v>
      </c>
      <c r="C1307" s="728" t="s">
        <v>2057</v>
      </c>
      <c r="D1307" s="727" t="s">
        <v>2058</v>
      </c>
      <c r="E1307" s="727" t="s">
        <v>2059</v>
      </c>
      <c r="F1307" s="867" t="s">
        <v>1537</v>
      </c>
      <c r="G1307" s="727" t="s">
        <v>2060</v>
      </c>
      <c r="H1307" s="868" t="s">
        <v>3760</v>
      </c>
      <c r="I1307" s="869" t="s">
        <v>2062</v>
      </c>
      <c r="J1307" s="301"/>
      <c r="K1307" s="731" t="s">
        <v>2063</v>
      </c>
      <c r="L1307" s="732">
        <f>STDEV(H1308:H1310)</f>
        <v>45.59134165</v>
      </c>
      <c r="M1307" s="733"/>
      <c r="N1307" s="189"/>
      <c r="O1307" s="454"/>
    </row>
    <row r="1308">
      <c r="A1308" s="736"/>
      <c r="B1308" s="744" t="s">
        <v>3761</v>
      </c>
      <c r="C1308" s="744" t="s">
        <v>3868</v>
      </c>
      <c r="D1308" s="736" t="s">
        <v>3869</v>
      </c>
      <c r="E1308" s="763" t="s">
        <v>2529</v>
      </c>
      <c r="F1308" s="870" t="s">
        <v>3870</v>
      </c>
      <c r="G1308" s="736" t="s">
        <v>1788</v>
      </c>
      <c r="H1308" s="745">
        <v>200.43</v>
      </c>
      <c r="I1308" s="780" t="s">
        <v>3871</v>
      </c>
      <c r="J1308" s="301"/>
      <c r="K1308" s="731" t="s">
        <v>2070</v>
      </c>
      <c r="L1308" s="741">
        <f>L1307/L1306</f>
        <v>0.2203473788</v>
      </c>
      <c r="M1308" s="733"/>
      <c r="N1308" s="742" t="str">
        <f>IF(L1308&lt;25%,"Não","Sim - proceder verificação ao lado")</f>
        <v>Não</v>
      </c>
      <c r="O1308" s="743" t="b">
        <v>1</v>
      </c>
    </row>
    <row r="1309">
      <c r="A1309" s="736"/>
      <c r="B1309" s="744" t="s">
        <v>3761</v>
      </c>
      <c r="C1309" s="744" t="s">
        <v>3872</v>
      </c>
      <c r="D1309" s="777" t="s">
        <v>3873</v>
      </c>
      <c r="E1309" s="763" t="s">
        <v>2529</v>
      </c>
      <c r="F1309" s="870" t="s">
        <v>3874</v>
      </c>
      <c r="G1309" s="736" t="s">
        <v>1788</v>
      </c>
      <c r="H1309" s="745">
        <v>164.9</v>
      </c>
      <c r="I1309" s="775" t="s">
        <v>3875</v>
      </c>
      <c r="J1309" s="301"/>
      <c r="K1309" s="731" t="s">
        <v>2075</v>
      </c>
      <c r="L1309" s="746">
        <f>L1306*1.25</f>
        <v>258.6333333</v>
      </c>
      <c r="M1309" s="733"/>
      <c r="N1309" s="301"/>
      <c r="O1309" s="743" t="b">
        <v>1</v>
      </c>
    </row>
    <row r="1310">
      <c r="A1310" s="736"/>
      <c r="B1310" s="744" t="s">
        <v>3761</v>
      </c>
      <c r="C1310" s="744" t="s">
        <v>3876</v>
      </c>
      <c r="D1310" s="736" t="s">
        <v>3877</v>
      </c>
      <c r="E1310" s="763" t="s">
        <v>2529</v>
      </c>
      <c r="F1310" s="870" t="s">
        <v>3878</v>
      </c>
      <c r="G1310" s="736" t="s">
        <v>1788</v>
      </c>
      <c r="H1310" s="739">
        <v>255.39</v>
      </c>
      <c r="I1310" s="775" t="s">
        <v>3879</v>
      </c>
      <c r="J1310" s="189"/>
      <c r="K1310" s="731" t="s">
        <v>2080</v>
      </c>
      <c r="L1310" s="746">
        <f>L1306*0.75</f>
        <v>155.18</v>
      </c>
      <c r="M1310" s="733"/>
      <c r="N1310" s="189"/>
      <c r="O1310" s="743" t="b">
        <v>1</v>
      </c>
    </row>
    <row r="1311">
      <c r="A1311" s="736"/>
      <c r="B1311" s="735"/>
      <c r="C1311" s="735"/>
      <c r="D1311" s="734"/>
      <c r="E1311" s="871"/>
      <c r="F1311" s="750"/>
      <c r="G1311" s="749"/>
      <c r="H1311" s="872"/>
      <c r="I1311" s="824"/>
      <c r="J1311" s="752"/>
      <c r="K1311" s="752"/>
      <c r="L1311" s="861"/>
      <c r="M1311" s="751"/>
      <c r="N1311" s="752"/>
      <c r="O1311" s="753"/>
    </row>
    <row r="1312">
      <c r="A1312" s="862" t="s">
        <v>1891</v>
      </c>
      <c r="B1312" s="863" t="s">
        <v>3880</v>
      </c>
      <c r="C1312" s="36"/>
      <c r="D1312" s="36"/>
      <c r="E1312" s="36"/>
      <c r="F1312" s="36"/>
      <c r="G1312" s="862" t="s">
        <v>1788</v>
      </c>
      <c r="H1312" s="865">
        <f>MEDIAN(H1314:H1316)</f>
        <v>74.11</v>
      </c>
      <c r="I1312" s="866"/>
      <c r="J1312" s="758" t="s">
        <v>2053</v>
      </c>
      <c r="K1312" s="731" t="s">
        <v>2054</v>
      </c>
      <c r="L1312" s="759">
        <f>AVERAGE(H1314:H1316)</f>
        <v>72.49333333</v>
      </c>
      <c r="M1312" s="733"/>
      <c r="N1312" s="760" t="s">
        <v>2055</v>
      </c>
      <c r="O1312" s="454"/>
    </row>
    <row r="1313">
      <c r="A1313" s="727" t="s">
        <v>1717</v>
      </c>
      <c r="B1313" s="728" t="s">
        <v>2056</v>
      </c>
      <c r="C1313" s="728" t="s">
        <v>2057</v>
      </c>
      <c r="D1313" s="727" t="s">
        <v>2058</v>
      </c>
      <c r="E1313" s="727" t="s">
        <v>2059</v>
      </c>
      <c r="F1313" s="867" t="s">
        <v>1537</v>
      </c>
      <c r="G1313" s="727" t="s">
        <v>2060</v>
      </c>
      <c r="H1313" s="868" t="s">
        <v>3760</v>
      </c>
      <c r="I1313" s="869" t="s">
        <v>2062</v>
      </c>
      <c r="J1313" s="301"/>
      <c r="K1313" s="731" t="s">
        <v>2063</v>
      </c>
      <c r="L1313" s="732">
        <f>STDEV(H1314:H1316)</f>
        <v>8.797126425</v>
      </c>
      <c r="M1313" s="733"/>
      <c r="N1313" s="189"/>
      <c r="O1313" s="454"/>
    </row>
    <row r="1314">
      <c r="A1314" s="876"/>
      <c r="B1314" s="744" t="s">
        <v>3761</v>
      </c>
      <c r="C1314" s="767" t="s">
        <v>3033</v>
      </c>
      <c r="D1314" s="777" t="s">
        <v>3034</v>
      </c>
      <c r="E1314" s="763" t="s">
        <v>2529</v>
      </c>
      <c r="F1314" s="764" t="s">
        <v>3881</v>
      </c>
      <c r="G1314" s="736" t="s">
        <v>1788</v>
      </c>
      <c r="H1314" s="745">
        <v>80.37</v>
      </c>
      <c r="I1314" s="812" t="s">
        <v>3882</v>
      </c>
      <c r="J1314" s="301"/>
      <c r="K1314" s="731" t="s">
        <v>2070</v>
      </c>
      <c r="L1314" s="741">
        <f>L1313/L1312</f>
        <v>0.1213508335</v>
      </c>
      <c r="M1314" s="733"/>
      <c r="N1314" s="742" t="str">
        <f>IF(L1314&lt;25%,"Não","Sim - proceder verificação ao lado")</f>
        <v>Não</v>
      </c>
      <c r="O1314" s="743" t="b">
        <v>1</v>
      </c>
    </row>
    <row r="1315">
      <c r="A1315" s="736"/>
      <c r="B1315" s="744" t="s">
        <v>3761</v>
      </c>
      <c r="C1315" s="744" t="s">
        <v>2541</v>
      </c>
      <c r="D1315" s="736" t="s">
        <v>2150</v>
      </c>
      <c r="E1315" s="763" t="s">
        <v>2529</v>
      </c>
      <c r="F1315" s="870" t="s">
        <v>3883</v>
      </c>
      <c r="G1315" s="736" t="s">
        <v>1788</v>
      </c>
      <c r="H1315" s="739">
        <v>74.11</v>
      </c>
      <c r="I1315" s="775" t="s">
        <v>3884</v>
      </c>
      <c r="J1315" s="301"/>
      <c r="K1315" s="731" t="s">
        <v>2075</v>
      </c>
      <c r="L1315" s="746">
        <f>L1312*1.25</f>
        <v>90.61666667</v>
      </c>
      <c r="M1315" s="733"/>
      <c r="N1315" s="301"/>
      <c r="O1315" s="743" t="b">
        <v>1</v>
      </c>
    </row>
    <row r="1316">
      <c r="A1316" s="736"/>
      <c r="B1316" s="744" t="s">
        <v>3761</v>
      </c>
      <c r="C1316" s="747" t="s">
        <v>2276</v>
      </c>
      <c r="D1316" s="802" t="s">
        <v>2134</v>
      </c>
      <c r="E1316" s="763" t="s">
        <v>2529</v>
      </c>
      <c r="F1316" s="870" t="s">
        <v>3883</v>
      </c>
      <c r="G1316" s="736" t="s">
        <v>1788</v>
      </c>
      <c r="H1316" s="739">
        <v>63.0</v>
      </c>
      <c r="I1316" s="775" t="s">
        <v>3885</v>
      </c>
      <c r="J1316" s="189"/>
      <c r="K1316" s="731" t="s">
        <v>2080</v>
      </c>
      <c r="L1316" s="746">
        <f>L1312*0.75</f>
        <v>54.37</v>
      </c>
      <c r="M1316" s="733"/>
      <c r="N1316" s="189"/>
      <c r="O1316" s="743" t="b">
        <v>1</v>
      </c>
    </row>
    <row r="1317">
      <c r="A1317" s="736"/>
      <c r="B1317" s="735"/>
      <c r="C1317" s="735"/>
      <c r="D1317" s="734"/>
      <c r="E1317" s="871"/>
      <c r="F1317" s="750"/>
      <c r="G1317" s="749"/>
      <c r="H1317" s="872"/>
      <c r="I1317" s="824"/>
      <c r="J1317" s="752"/>
      <c r="K1317" s="752"/>
      <c r="L1317" s="861"/>
      <c r="M1317" s="751"/>
      <c r="N1317" s="752"/>
      <c r="O1317" s="753"/>
    </row>
    <row r="1318">
      <c r="A1318" s="862" t="s">
        <v>1895</v>
      </c>
      <c r="B1318" s="863" t="s">
        <v>3886</v>
      </c>
      <c r="C1318" s="36"/>
      <c r="D1318" s="36"/>
      <c r="E1318" s="36"/>
      <c r="F1318" s="36"/>
      <c r="G1318" s="862" t="s">
        <v>1731</v>
      </c>
      <c r="H1318" s="865">
        <f>MEDIAN(H1320:H1322)</f>
        <v>799.28</v>
      </c>
      <c r="I1318" s="866"/>
      <c r="J1318" s="758" t="s">
        <v>2053</v>
      </c>
      <c r="K1318" s="731" t="s">
        <v>2054</v>
      </c>
      <c r="L1318" s="759">
        <f>AVERAGE(H1320:H1322)</f>
        <v>762.1866667</v>
      </c>
      <c r="M1318" s="733"/>
      <c r="N1318" s="760" t="s">
        <v>2055</v>
      </c>
      <c r="O1318" s="454"/>
    </row>
    <row r="1319">
      <c r="A1319" s="727" t="s">
        <v>1717</v>
      </c>
      <c r="B1319" s="728" t="s">
        <v>2056</v>
      </c>
      <c r="C1319" s="728" t="s">
        <v>2057</v>
      </c>
      <c r="D1319" s="727" t="s">
        <v>2058</v>
      </c>
      <c r="E1319" s="727" t="s">
        <v>2059</v>
      </c>
      <c r="F1319" s="867" t="s">
        <v>1537</v>
      </c>
      <c r="G1319" s="727" t="s">
        <v>2060</v>
      </c>
      <c r="H1319" s="868" t="s">
        <v>3760</v>
      </c>
      <c r="I1319" s="869" t="s">
        <v>2062</v>
      </c>
      <c r="J1319" s="301"/>
      <c r="K1319" s="731" t="s">
        <v>2063</v>
      </c>
      <c r="L1319" s="732">
        <f>STDEV(H1320:H1322)</f>
        <v>64.24753796</v>
      </c>
      <c r="M1319" s="733"/>
      <c r="N1319" s="189"/>
      <c r="O1319" s="454"/>
    </row>
    <row r="1320">
      <c r="A1320" s="876" t="s">
        <v>3887</v>
      </c>
      <c r="B1320" s="744" t="s">
        <v>3521</v>
      </c>
      <c r="C1320" s="744"/>
      <c r="D1320" s="736"/>
      <c r="E1320" s="763" t="s">
        <v>3865</v>
      </c>
      <c r="F1320" s="870" t="s">
        <v>3888</v>
      </c>
      <c r="G1320" s="736" t="s">
        <v>1731</v>
      </c>
      <c r="H1320" s="745">
        <v>799.28</v>
      </c>
      <c r="I1320" s="811"/>
      <c r="J1320" s="301"/>
      <c r="K1320" s="731" t="s">
        <v>2070</v>
      </c>
      <c r="L1320" s="741">
        <f>L1319/L1318</f>
        <v>0.0842937049</v>
      </c>
      <c r="M1320" s="733"/>
      <c r="N1320" s="742" t="str">
        <f>IF(L1320&lt;25%,"Não","Sim - proceder verificação ao lado")</f>
        <v>Não</v>
      </c>
      <c r="O1320" s="743" t="b">
        <v>1</v>
      </c>
    </row>
    <row r="1321">
      <c r="A1321" s="876" t="s">
        <v>3889</v>
      </c>
      <c r="B1321" s="744" t="s">
        <v>3857</v>
      </c>
      <c r="C1321" s="744"/>
      <c r="D1321" s="736"/>
      <c r="E1321" s="763" t="s">
        <v>3858</v>
      </c>
      <c r="F1321" s="870" t="s">
        <v>3890</v>
      </c>
      <c r="G1321" s="736" t="s">
        <v>1731</v>
      </c>
      <c r="H1321" s="745">
        <v>799.28</v>
      </c>
      <c r="I1321" s="811"/>
      <c r="J1321" s="301"/>
      <c r="K1321" s="731" t="s">
        <v>2075</v>
      </c>
      <c r="L1321" s="746">
        <f>L1318*1.25</f>
        <v>952.7333333</v>
      </c>
      <c r="M1321" s="733"/>
      <c r="N1321" s="301"/>
      <c r="O1321" s="743" t="b">
        <v>1</v>
      </c>
    </row>
    <row r="1322">
      <c r="A1322" s="876"/>
      <c r="B1322" s="744" t="s">
        <v>3761</v>
      </c>
      <c r="C1322" s="767" t="s">
        <v>2126</v>
      </c>
      <c r="D1322" s="777" t="s">
        <v>2281</v>
      </c>
      <c r="E1322" s="763" t="s">
        <v>2537</v>
      </c>
      <c r="F1322" s="764" t="s">
        <v>3891</v>
      </c>
      <c r="G1322" s="736" t="s">
        <v>1731</v>
      </c>
      <c r="H1322" s="745">
        <v>688.0</v>
      </c>
      <c r="I1322" s="842" t="s">
        <v>3892</v>
      </c>
      <c r="J1322" s="189"/>
      <c r="K1322" s="731" t="s">
        <v>2080</v>
      </c>
      <c r="L1322" s="746">
        <f>L1318*0.75</f>
        <v>571.64</v>
      </c>
      <c r="M1322" s="733"/>
      <c r="N1322" s="189"/>
      <c r="O1322" s="743" t="b">
        <v>1</v>
      </c>
    </row>
    <row r="1323">
      <c r="A1323" s="736"/>
      <c r="B1323" s="735"/>
      <c r="C1323" s="735"/>
      <c r="D1323" s="734"/>
      <c r="E1323" s="871"/>
      <c r="F1323" s="750"/>
      <c r="G1323" s="749"/>
      <c r="H1323" s="872"/>
      <c r="I1323" s="824"/>
      <c r="J1323" s="752"/>
      <c r="K1323" s="752"/>
      <c r="L1323" s="861"/>
      <c r="M1323" s="751"/>
      <c r="N1323" s="752"/>
      <c r="O1323" s="753"/>
    </row>
    <row r="1324">
      <c r="A1324" s="862" t="s">
        <v>1898</v>
      </c>
      <c r="B1324" s="863" t="s">
        <v>3893</v>
      </c>
      <c r="C1324" s="36"/>
      <c r="D1324" s="36"/>
      <c r="E1324" s="36"/>
      <c r="F1324" s="36"/>
      <c r="G1324" s="862" t="s">
        <v>1788</v>
      </c>
      <c r="H1324" s="865">
        <f>MEDIAN(H1326:H1328)</f>
        <v>204.21</v>
      </c>
      <c r="I1324" s="866"/>
      <c r="J1324" s="758" t="s">
        <v>2053</v>
      </c>
      <c r="K1324" s="731" t="s">
        <v>2054</v>
      </c>
      <c r="L1324" s="759">
        <f>AVERAGE(H1326:H1328)</f>
        <v>199.87</v>
      </c>
      <c r="M1324" s="733"/>
      <c r="N1324" s="760" t="s">
        <v>2055</v>
      </c>
      <c r="O1324" s="454"/>
    </row>
    <row r="1325">
      <c r="A1325" s="727" t="s">
        <v>1717</v>
      </c>
      <c r="B1325" s="728" t="s">
        <v>2056</v>
      </c>
      <c r="C1325" s="728" t="s">
        <v>2057</v>
      </c>
      <c r="D1325" s="727" t="s">
        <v>2058</v>
      </c>
      <c r="E1325" s="727" t="s">
        <v>2059</v>
      </c>
      <c r="F1325" s="867" t="s">
        <v>1537</v>
      </c>
      <c r="G1325" s="727" t="s">
        <v>2060</v>
      </c>
      <c r="H1325" s="868" t="s">
        <v>3760</v>
      </c>
      <c r="I1325" s="869" t="s">
        <v>2062</v>
      </c>
      <c r="J1325" s="301"/>
      <c r="K1325" s="731" t="s">
        <v>2063</v>
      </c>
      <c r="L1325" s="732">
        <f>STDEV(H1326:H1328)</f>
        <v>8.658331248</v>
      </c>
      <c r="M1325" s="733"/>
      <c r="N1325" s="189"/>
      <c r="O1325" s="454"/>
    </row>
    <row r="1326">
      <c r="A1326" s="736"/>
      <c r="B1326" s="744" t="s">
        <v>3761</v>
      </c>
      <c r="C1326" s="744" t="s">
        <v>2168</v>
      </c>
      <c r="D1326" s="736" t="s">
        <v>2169</v>
      </c>
      <c r="E1326" s="763" t="s">
        <v>2529</v>
      </c>
      <c r="F1326" s="870" t="s">
        <v>3893</v>
      </c>
      <c r="G1326" s="736" t="s">
        <v>1788</v>
      </c>
      <c r="H1326" s="739">
        <v>189.9</v>
      </c>
      <c r="I1326" s="775" t="s">
        <v>3894</v>
      </c>
      <c r="J1326" s="301"/>
      <c r="K1326" s="731" t="s">
        <v>2070</v>
      </c>
      <c r="L1326" s="741">
        <f>L1325/L1324</f>
        <v>0.04331981412</v>
      </c>
      <c r="M1326" s="733"/>
      <c r="N1326" s="742" t="str">
        <f>IF(L1326&lt;25%,"Não","Sim - proceder verificação ao lado")</f>
        <v>Não</v>
      </c>
      <c r="O1326" s="743" t="b">
        <v>1</v>
      </c>
    </row>
    <row r="1327">
      <c r="A1327" s="736"/>
      <c r="B1327" s="744" t="s">
        <v>3761</v>
      </c>
      <c r="C1327" s="744" t="s">
        <v>3039</v>
      </c>
      <c r="D1327" s="736" t="s">
        <v>3895</v>
      </c>
      <c r="E1327" s="763" t="s">
        <v>2529</v>
      </c>
      <c r="F1327" s="870" t="s">
        <v>3896</v>
      </c>
      <c r="G1327" s="736" t="s">
        <v>1788</v>
      </c>
      <c r="H1327" s="739">
        <v>204.21</v>
      </c>
      <c r="I1327" s="775" t="s">
        <v>3897</v>
      </c>
      <c r="J1327" s="301"/>
      <c r="K1327" s="731" t="s">
        <v>2075</v>
      </c>
      <c r="L1327" s="746">
        <f>L1324*1.25</f>
        <v>249.8375</v>
      </c>
      <c r="M1327" s="733"/>
      <c r="N1327" s="301"/>
      <c r="O1327" s="743" t="b">
        <v>1</v>
      </c>
    </row>
    <row r="1328">
      <c r="A1328" s="736"/>
      <c r="B1328" s="744" t="s">
        <v>3761</v>
      </c>
      <c r="C1328" s="744" t="s">
        <v>3026</v>
      </c>
      <c r="D1328" s="736" t="s">
        <v>3027</v>
      </c>
      <c r="E1328" s="763" t="s">
        <v>2529</v>
      </c>
      <c r="F1328" s="870" t="s">
        <v>3898</v>
      </c>
      <c r="G1328" s="736" t="s">
        <v>1788</v>
      </c>
      <c r="H1328" s="745">
        <v>205.5</v>
      </c>
      <c r="I1328" s="775" t="s">
        <v>3899</v>
      </c>
      <c r="J1328" s="189"/>
      <c r="K1328" s="731" t="s">
        <v>2080</v>
      </c>
      <c r="L1328" s="746">
        <f>L1324*0.75</f>
        <v>149.9025</v>
      </c>
      <c r="M1328" s="733"/>
      <c r="N1328" s="189"/>
      <c r="O1328" s="743" t="b">
        <v>1</v>
      </c>
    </row>
    <row r="1329">
      <c r="A1329" s="736"/>
      <c r="B1329" s="735"/>
      <c r="C1329" s="735"/>
      <c r="D1329" s="734"/>
      <c r="E1329" s="871"/>
      <c r="F1329" s="750"/>
      <c r="G1329" s="749"/>
      <c r="H1329" s="872"/>
      <c r="I1329" s="824"/>
      <c r="J1329" s="752"/>
      <c r="K1329" s="752"/>
      <c r="L1329" s="861"/>
      <c r="M1329" s="751"/>
      <c r="N1329" s="752"/>
      <c r="O1329" s="753"/>
    </row>
    <row r="1330">
      <c r="A1330" s="862" t="s">
        <v>1905</v>
      </c>
      <c r="B1330" s="863" t="s">
        <v>3900</v>
      </c>
      <c r="C1330" s="36"/>
      <c r="D1330" s="36"/>
      <c r="E1330" s="36"/>
      <c r="F1330" s="864"/>
      <c r="G1330" s="862" t="s">
        <v>1788</v>
      </c>
      <c r="H1330" s="865">
        <f>MEDIAN(H1332:H1334)</f>
        <v>16.59</v>
      </c>
      <c r="I1330" s="866"/>
      <c r="J1330" s="758" t="s">
        <v>2053</v>
      </c>
      <c r="K1330" s="731" t="s">
        <v>2054</v>
      </c>
      <c r="L1330" s="759">
        <f>AVERAGE(H1332:H1334)</f>
        <v>16.29333333</v>
      </c>
      <c r="M1330" s="733"/>
      <c r="N1330" s="760" t="s">
        <v>2055</v>
      </c>
      <c r="O1330" s="454"/>
    </row>
    <row r="1331">
      <c r="A1331" s="727" t="s">
        <v>1717</v>
      </c>
      <c r="B1331" s="728" t="s">
        <v>2056</v>
      </c>
      <c r="C1331" s="728" t="s">
        <v>2057</v>
      </c>
      <c r="D1331" s="727" t="s">
        <v>2058</v>
      </c>
      <c r="E1331" s="727" t="s">
        <v>2059</v>
      </c>
      <c r="F1331" s="867" t="s">
        <v>1537</v>
      </c>
      <c r="G1331" s="727" t="s">
        <v>2060</v>
      </c>
      <c r="H1331" s="868" t="s">
        <v>3760</v>
      </c>
      <c r="I1331" s="869" t="s">
        <v>2062</v>
      </c>
      <c r="J1331" s="301"/>
      <c r="K1331" s="731" t="s">
        <v>2063</v>
      </c>
      <c r="L1331" s="732">
        <f>STDEV(H1332:H1334)</f>
        <v>2.7669538</v>
      </c>
      <c r="M1331" s="733"/>
      <c r="N1331" s="189"/>
      <c r="O1331" s="454"/>
    </row>
    <row r="1332">
      <c r="A1332" s="736"/>
      <c r="B1332" s="744" t="s">
        <v>3761</v>
      </c>
      <c r="C1332" s="744" t="s">
        <v>3901</v>
      </c>
      <c r="D1332" s="736" t="s">
        <v>3902</v>
      </c>
      <c r="E1332" s="763" t="s">
        <v>2529</v>
      </c>
      <c r="F1332" s="870" t="s">
        <v>3903</v>
      </c>
      <c r="G1332" s="736" t="s">
        <v>1788</v>
      </c>
      <c r="H1332" s="745">
        <v>13.39</v>
      </c>
      <c r="I1332" s="775" t="s">
        <v>3904</v>
      </c>
      <c r="J1332" s="301"/>
      <c r="K1332" s="731" t="s">
        <v>2070</v>
      </c>
      <c r="L1332" s="741">
        <f>L1331/L1330</f>
        <v>0.1698212234</v>
      </c>
      <c r="M1332" s="733"/>
      <c r="N1332" s="742" t="str">
        <f>IF(L1332&lt;25%,"Não","Sim - proceder verificação ao lado")</f>
        <v>Não</v>
      </c>
      <c r="O1332" s="743" t="b">
        <v>1</v>
      </c>
    </row>
    <row r="1333">
      <c r="A1333" s="736"/>
      <c r="B1333" s="744" t="s">
        <v>3761</v>
      </c>
      <c r="C1333" s="744" t="s">
        <v>2209</v>
      </c>
      <c r="D1333" s="736" t="s">
        <v>2143</v>
      </c>
      <c r="E1333" s="763" t="s">
        <v>2529</v>
      </c>
      <c r="F1333" s="870" t="s">
        <v>3905</v>
      </c>
      <c r="G1333" s="736" t="s">
        <v>1788</v>
      </c>
      <c r="H1333" s="745">
        <v>16.59</v>
      </c>
      <c r="I1333" s="775" t="s">
        <v>3906</v>
      </c>
      <c r="J1333" s="301"/>
      <c r="K1333" s="731" t="s">
        <v>2075</v>
      </c>
      <c r="L1333" s="746">
        <f>L1330*1.25</f>
        <v>20.36666667</v>
      </c>
      <c r="M1333" s="733"/>
      <c r="N1333" s="301"/>
      <c r="O1333" s="743" t="b">
        <v>1</v>
      </c>
    </row>
    <row r="1334">
      <c r="A1334" s="736"/>
      <c r="B1334" s="744" t="s">
        <v>3761</v>
      </c>
      <c r="C1334" s="744" t="s">
        <v>3907</v>
      </c>
      <c r="D1334" s="736" t="s">
        <v>3908</v>
      </c>
      <c r="E1334" s="763" t="s">
        <v>2529</v>
      </c>
      <c r="F1334" s="870" t="s">
        <v>3909</v>
      </c>
      <c r="G1334" s="736" t="s">
        <v>1788</v>
      </c>
      <c r="H1334" s="739">
        <v>18.9</v>
      </c>
      <c r="I1334" s="775" t="s">
        <v>3910</v>
      </c>
      <c r="J1334" s="189"/>
      <c r="K1334" s="731" t="s">
        <v>2080</v>
      </c>
      <c r="L1334" s="746">
        <f>L1330*0.75</f>
        <v>12.22</v>
      </c>
      <c r="M1334" s="733"/>
      <c r="N1334" s="189"/>
      <c r="O1334" s="743" t="b">
        <v>1</v>
      </c>
    </row>
    <row r="1335">
      <c r="A1335" s="736"/>
      <c r="B1335" s="735"/>
      <c r="C1335" s="735"/>
      <c r="D1335" s="734"/>
      <c r="E1335" s="871"/>
      <c r="F1335" s="750"/>
      <c r="G1335" s="749"/>
      <c r="H1335" s="872"/>
      <c r="I1335" s="824"/>
      <c r="J1335" s="752"/>
      <c r="K1335" s="752"/>
      <c r="L1335" s="861"/>
      <c r="M1335" s="751"/>
      <c r="N1335" s="752"/>
    </row>
    <row r="1336">
      <c r="A1336" s="862" t="s">
        <v>1914</v>
      </c>
      <c r="B1336" s="863" t="s">
        <v>3911</v>
      </c>
      <c r="C1336" s="36"/>
      <c r="D1336" s="36"/>
      <c r="E1336" s="36"/>
      <c r="F1336" s="864"/>
      <c r="G1336" s="862" t="s">
        <v>1788</v>
      </c>
      <c r="H1336" s="865">
        <f>MEDIAN(H1338:H1340)</f>
        <v>284.05</v>
      </c>
      <c r="I1336" s="866"/>
      <c r="J1336" s="758" t="s">
        <v>2053</v>
      </c>
      <c r="K1336" s="731" t="s">
        <v>2054</v>
      </c>
      <c r="L1336" s="759">
        <f>AVERAGE(H1338:H1340)</f>
        <v>274.58</v>
      </c>
      <c r="M1336" s="733"/>
      <c r="N1336" s="760" t="s">
        <v>2055</v>
      </c>
    </row>
    <row r="1337">
      <c r="A1337" s="727" t="s">
        <v>1717</v>
      </c>
      <c r="B1337" s="728" t="s">
        <v>2056</v>
      </c>
      <c r="C1337" s="728" t="s">
        <v>2057</v>
      </c>
      <c r="D1337" s="727" t="s">
        <v>2058</v>
      </c>
      <c r="E1337" s="727" t="s">
        <v>2059</v>
      </c>
      <c r="F1337" s="867" t="s">
        <v>1537</v>
      </c>
      <c r="G1337" s="727" t="s">
        <v>2060</v>
      </c>
      <c r="H1337" s="868" t="s">
        <v>3760</v>
      </c>
      <c r="I1337" s="869" t="s">
        <v>2062</v>
      </c>
      <c r="J1337" s="301"/>
      <c r="K1337" s="731" t="s">
        <v>2063</v>
      </c>
      <c r="L1337" s="732">
        <f>STDEV(H1338:H1340)</f>
        <v>21.75044137</v>
      </c>
      <c r="M1337" s="733"/>
      <c r="N1337" s="189"/>
      <c r="O1337" s="753"/>
    </row>
    <row r="1338">
      <c r="A1338" s="736"/>
      <c r="B1338" s="744" t="s">
        <v>3761</v>
      </c>
      <c r="C1338" s="744" t="s">
        <v>3912</v>
      </c>
      <c r="D1338" s="736" t="s">
        <v>3913</v>
      </c>
      <c r="E1338" s="763" t="s">
        <v>2529</v>
      </c>
      <c r="F1338" s="870" t="s">
        <v>3914</v>
      </c>
      <c r="G1338" s="736" t="s">
        <v>1788</v>
      </c>
      <c r="H1338" s="739">
        <v>289.99</v>
      </c>
      <c r="I1338" s="775" t="s">
        <v>3915</v>
      </c>
      <c r="J1338" s="301"/>
      <c r="K1338" s="731" t="s">
        <v>2070</v>
      </c>
      <c r="L1338" s="741">
        <f>L1337/L1336</f>
        <v>0.0792134947</v>
      </c>
      <c r="M1338" s="733"/>
      <c r="N1338" s="742" t="str">
        <f>IF(L1338&lt;25%,"Não","Sim - proceder verificação ao lado")</f>
        <v>Não</v>
      </c>
      <c r="O1338" s="743" t="b">
        <v>1</v>
      </c>
    </row>
    <row r="1339">
      <c r="A1339" s="736"/>
      <c r="B1339" s="744" t="s">
        <v>3761</v>
      </c>
      <c r="C1339" s="747" t="s">
        <v>2276</v>
      </c>
      <c r="D1339" s="802" t="s">
        <v>2134</v>
      </c>
      <c r="E1339" s="763" t="s">
        <v>2529</v>
      </c>
      <c r="F1339" s="764" t="s">
        <v>3916</v>
      </c>
      <c r="G1339" s="736" t="s">
        <v>1788</v>
      </c>
      <c r="H1339" s="745">
        <v>284.05</v>
      </c>
      <c r="I1339" s="776" t="s">
        <v>3917</v>
      </c>
      <c r="J1339" s="301"/>
      <c r="K1339" s="731" t="s">
        <v>2075</v>
      </c>
      <c r="L1339" s="746">
        <f>L1336*1.25</f>
        <v>343.225</v>
      </c>
      <c r="M1339" s="733"/>
      <c r="N1339" s="301"/>
      <c r="O1339" s="743" t="b">
        <v>1</v>
      </c>
    </row>
    <row r="1340">
      <c r="A1340" s="736"/>
      <c r="B1340" s="744" t="s">
        <v>3761</v>
      </c>
      <c r="C1340" s="744" t="s">
        <v>3918</v>
      </c>
      <c r="D1340" s="736"/>
      <c r="E1340" s="763" t="s">
        <v>2529</v>
      </c>
      <c r="F1340" s="764" t="s">
        <v>3919</v>
      </c>
      <c r="G1340" s="736" t="s">
        <v>1788</v>
      </c>
      <c r="H1340" s="745">
        <v>249.7</v>
      </c>
      <c r="I1340" s="776" t="s">
        <v>3920</v>
      </c>
      <c r="J1340" s="189"/>
      <c r="K1340" s="731" t="s">
        <v>2080</v>
      </c>
      <c r="L1340" s="746">
        <f>L1336*0.75</f>
        <v>205.935</v>
      </c>
      <c r="M1340" s="733"/>
      <c r="N1340" s="189"/>
      <c r="O1340" s="743" t="b">
        <v>1</v>
      </c>
    </row>
    <row r="1341">
      <c r="A1341" s="736"/>
      <c r="B1341" s="735"/>
      <c r="C1341" s="735"/>
      <c r="D1341" s="734"/>
      <c r="E1341" s="871"/>
      <c r="F1341" s="750"/>
      <c r="G1341" s="749"/>
      <c r="H1341" s="872"/>
      <c r="I1341" s="824"/>
      <c r="J1341" s="752"/>
      <c r="K1341" s="752"/>
      <c r="L1341" s="861"/>
      <c r="M1341" s="751"/>
      <c r="N1341" s="752"/>
    </row>
    <row r="1342">
      <c r="A1342" s="862" t="s">
        <v>1918</v>
      </c>
      <c r="B1342" s="863" t="s">
        <v>3921</v>
      </c>
      <c r="C1342" s="36"/>
      <c r="D1342" s="36"/>
      <c r="E1342" s="36"/>
      <c r="F1342" s="36"/>
      <c r="G1342" s="862" t="s">
        <v>1814</v>
      </c>
      <c r="H1342" s="865">
        <f>MEDIAN(H1344:H1346)</f>
        <v>394.73</v>
      </c>
      <c r="I1342" s="866"/>
      <c r="J1342" s="758" t="s">
        <v>2053</v>
      </c>
      <c r="K1342" s="731" t="s">
        <v>2054</v>
      </c>
      <c r="L1342" s="759">
        <f>AVERAGE(H1344:H1346)</f>
        <v>389.47</v>
      </c>
      <c r="M1342" s="733"/>
      <c r="N1342" s="760" t="s">
        <v>2055</v>
      </c>
    </row>
    <row r="1343">
      <c r="A1343" s="727" t="s">
        <v>1717</v>
      </c>
      <c r="B1343" s="728" t="s">
        <v>2056</v>
      </c>
      <c r="C1343" s="728" t="s">
        <v>2057</v>
      </c>
      <c r="D1343" s="727" t="s">
        <v>2058</v>
      </c>
      <c r="E1343" s="727" t="s">
        <v>2059</v>
      </c>
      <c r="F1343" s="867" t="s">
        <v>1537</v>
      </c>
      <c r="G1343" s="727" t="s">
        <v>2060</v>
      </c>
      <c r="H1343" s="868" t="s">
        <v>3760</v>
      </c>
      <c r="I1343" s="869" t="s">
        <v>2062</v>
      </c>
      <c r="J1343" s="301"/>
      <c r="K1343" s="731" t="s">
        <v>2063</v>
      </c>
      <c r="L1343" s="732">
        <f>STDEV(H1344:H1346)</f>
        <v>18.97490711</v>
      </c>
      <c r="M1343" s="733"/>
      <c r="N1343" s="189"/>
      <c r="O1343" s="753"/>
    </row>
    <row r="1344">
      <c r="A1344" s="876"/>
      <c r="B1344" s="767" t="s">
        <v>2174</v>
      </c>
      <c r="C1344" s="767" t="s">
        <v>3922</v>
      </c>
      <c r="D1344" s="777" t="s">
        <v>3923</v>
      </c>
      <c r="E1344" s="763" t="s">
        <v>3193</v>
      </c>
      <c r="F1344" s="764"/>
      <c r="G1344" s="736" t="s">
        <v>1814</v>
      </c>
      <c r="H1344" s="745">
        <v>394.73</v>
      </c>
      <c r="I1344" s="812"/>
      <c r="J1344" s="301"/>
      <c r="K1344" s="731" t="s">
        <v>2070</v>
      </c>
      <c r="L1344" s="741">
        <f>L1343/L1342</f>
        <v>0.04871981697</v>
      </c>
      <c r="M1344" s="733"/>
      <c r="N1344" s="742" t="str">
        <f>IF(L1344&lt;25%,"Não","Sim - proceder verificação ao lado")</f>
        <v>Não</v>
      </c>
      <c r="O1344" s="743" t="b">
        <v>1</v>
      </c>
    </row>
    <row r="1345">
      <c r="A1345" s="736"/>
      <c r="B1345" s="767" t="s">
        <v>2174</v>
      </c>
      <c r="C1345" s="767" t="s">
        <v>3924</v>
      </c>
      <c r="D1345" s="777" t="s">
        <v>3925</v>
      </c>
      <c r="E1345" s="763" t="s">
        <v>3193</v>
      </c>
      <c r="F1345" s="870"/>
      <c r="G1345" s="736" t="s">
        <v>1814</v>
      </c>
      <c r="H1345" s="745">
        <v>405.26</v>
      </c>
      <c r="I1345" s="812"/>
      <c r="J1345" s="301"/>
      <c r="K1345" s="731" t="s">
        <v>2075</v>
      </c>
      <c r="L1345" s="746">
        <f>L1342*1.25</f>
        <v>486.8375</v>
      </c>
      <c r="M1345" s="733"/>
      <c r="N1345" s="301"/>
      <c r="O1345" s="743" t="b">
        <v>1</v>
      </c>
    </row>
    <row r="1346">
      <c r="A1346" s="736"/>
      <c r="B1346" s="767" t="s">
        <v>2174</v>
      </c>
      <c r="C1346" s="767" t="s">
        <v>3926</v>
      </c>
      <c r="D1346" s="803" t="s">
        <v>3927</v>
      </c>
      <c r="E1346" s="763" t="s">
        <v>3193</v>
      </c>
      <c r="F1346" s="870"/>
      <c r="G1346" s="736" t="s">
        <v>1814</v>
      </c>
      <c r="H1346" s="745">
        <v>368.42</v>
      </c>
      <c r="I1346" s="775"/>
      <c r="J1346" s="189"/>
      <c r="K1346" s="731" t="s">
        <v>2080</v>
      </c>
      <c r="L1346" s="746">
        <f>L1342*0.75</f>
        <v>292.1025</v>
      </c>
      <c r="M1346" s="733"/>
      <c r="N1346" s="189"/>
      <c r="O1346" s="743" t="b">
        <v>1</v>
      </c>
    </row>
    <row r="1347">
      <c r="A1347" s="736"/>
      <c r="B1347" s="735"/>
      <c r="C1347" s="735"/>
      <c r="D1347" s="734"/>
      <c r="E1347" s="871"/>
      <c r="F1347" s="750"/>
      <c r="G1347" s="749"/>
      <c r="H1347" s="872"/>
      <c r="I1347" s="824"/>
      <c r="J1347" s="752"/>
      <c r="K1347" s="752"/>
      <c r="L1347" s="861"/>
      <c r="M1347" s="751"/>
      <c r="N1347" s="752"/>
      <c r="O1347" s="753"/>
    </row>
    <row r="1348">
      <c r="A1348" s="862" t="s">
        <v>1921</v>
      </c>
      <c r="B1348" s="863" t="s">
        <v>1920</v>
      </c>
      <c r="C1348" s="36"/>
      <c r="D1348" s="36"/>
      <c r="E1348" s="36"/>
      <c r="F1348" s="864"/>
      <c r="G1348" s="862" t="s">
        <v>1788</v>
      </c>
      <c r="H1348" s="865">
        <f>MEDIAN(H1350:H1352)</f>
        <v>1500</v>
      </c>
      <c r="I1348" s="866"/>
      <c r="J1348" s="758" t="s">
        <v>2053</v>
      </c>
      <c r="K1348" s="731" t="s">
        <v>2054</v>
      </c>
      <c r="L1348" s="759">
        <f>AVERAGE(H1350:H1352)</f>
        <v>1583.666667</v>
      </c>
      <c r="M1348" s="733"/>
      <c r="N1348" s="760" t="s">
        <v>2055</v>
      </c>
      <c r="O1348" s="454"/>
    </row>
    <row r="1349">
      <c r="A1349" s="727" t="s">
        <v>1717</v>
      </c>
      <c r="B1349" s="728" t="s">
        <v>2056</v>
      </c>
      <c r="C1349" s="728" t="s">
        <v>2057</v>
      </c>
      <c r="D1349" s="727" t="s">
        <v>2058</v>
      </c>
      <c r="E1349" s="727" t="s">
        <v>2059</v>
      </c>
      <c r="F1349" s="867" t="s">
        <v>1537</v>
      </c>
      <c r="G1349" s="727" t="s">
        <v>2060</v>
      </c>
      <c r="H1349" s="868" t="s">
        <v>3760</v>
      </c>
      <c r="I1349" s="869" t="s">
        <v>2062</v>
      </c>
      <c r="J1349" s="301"/>
      <c r="K1349" s="731" t="s">
        <v>2063</v>
      </c>
      <c r="L1349" s="732">
        <f>STDEV(H1350:H1352)</f>
        <v>188.9453184</v>
      </c>
      <c r="M1349" s="733"/>
      <c r="N1349" s="189"/>
      <c r="O1349" s="454"/>
    </row>
    <row r="1350">
      <c r="A1350" s="736">
        <v>1.0</v>
      </c>
      <c r="B1350" s="744" t="s">
        <v>3928</v>
      </c>
      <c r="C1350" s="744"/>
      <c r="D1350" s="736"/>
      <c r="E1350" s="823" t="s">
        <v>3929</v>
      </c>
      <c r="F1350" s="870" t="s">
        <v>3930</v>
      </c>
      <c r="G1350" s="736" t="s">
        <v>1788</v>
      </c>
      <c r="H1350" s="739">
        <v>1800.0</v>
      </c>
      <c r="I1350" s="822" t="s">
        <v>3931</v>
      </c>
      <c r="J1350" s="301"/>
      <c r="K1350" s="731" t="s">
        <v>2070</v>
      </c>
      <c r="L1350" s="741">
        <f>L1349/L1348</f>
        <v>0.1193087677</v>
      </c>
      <c r="M1350" s="733"/>
      <c r="N1350" s="742" t="str">
        <f>IF(L1350&lt;25%,"Não","Sim - proceder verificação ao lado")</f>
        <v>Não</v>
      </c>
      <c r="O1350" s="743" t="b">
        <v>1</v>
      </c>
    </row>
    <row r="1351">
      <c r="A1351" s="777" t="s">
        <v>3932</v>
      </c>
      <c r="B1351" s="767" t="s">
        <v>3857</v>
      </c>
      <c r="C1351" s="744"/>
      <c r="D1351" s="736"/>
      <c r="E1351" s="763" t="s">
        <v>3858</v>
      </c>
      <c r="F1351" s="764" t="s">
        <v>3933</v>
      </c>
      <c r="G1351" s="736" t="s">
        <v>1788</v>
      </c>
      <c r="H1351" s="745">
        <v>1451.0</v>
      </c>
      <c r="I1351" s="775"/>
      <c r="J1351" s="301"/>
      <c r="K1351" s="731" t="s">
        <v>2075</v>
      </c>
      <c r="L1351" s="746">
        <f>L1348*1.25</f>
        <v>1979.583333</v>
      </c>
      <c r="M1351" s="733"/>
      <c r="N1351" s="301"/>
      <c r="O1351" s="743" t="b">
        <v>1</v>
      </c>
    </row>
    <row r="1352">
      <c r="A1352" s="777">
        <v>13796.0</v>
      </c>
      <c r="B1352" s="744" t="s">
        <v>3934</v>
      </c>
      <c r="C1352" s="744"/>
      <c r="D1352" s="736"/>
      <c r="E1352" s="763" t="s">
        <v>3858</v>
      </c>
      <c r="F1352" s="870" t="s">
        <v>3935</v>
      </c>
      <c r="G1352" s="736" t="s">
        <v>1788</v>
      </c>
      <c r="H1352" s="739">
        <v>1500.0</v>
      </c>
      <c r="I1352" s="811"/>
      <c r="J1352" s="189"/>
      <c r="K1352" s="731" t="s">
        <v>2080</v>
      </c>
      <c r="L1352" s="746">
        <f>L1348*0.75</f>
        <v>1187.75</v>
      </c>
      <c r="M1352" s="733"/>
      <c r="N1352" s="189"/>
      <c r="O1352" s="743" t="b">
        <v>1</v>
      </c>
    </row>
    <row r="1353">
      <c r="A1353" s="736"/>
      <c r="B1353" s="735"/>
      <c r="C1353" s="735"/>
      <c r="D1353" s="734"/>
      <c r="E1353" s="871"/>
      <c r="F1353" s="750"/>
      <c r="G1353" s="749"/>
      <c r="H1353" s="872"/>
      <c r="I1353" s="824"/>
      <c r="J1353" s="752"/>
      <c r="K1353" s="752"/>
      <c r="L1353" s="861"/>
      <c r="M1353" s="751"/>
      <c r="N1353" s="752"/>
    </row>
    <row r="1354">
      <c r="A1354" s="862" t="s">
        <v>1929</v>
      </c>
      <c r="B1354" s="863" t="s">
        <v>3936</v>
      </c>
      <c r="C1354" s="36"/>
      <c r="D1354" s="36"/>
      <c r="E1354" s="36"/>
      <c r="F1354" s="864"/>
      <c r="G1354" s="862" t="s">
        <v>1788</v>
      </c>
      <c r="H1354" s="865">
        <f>MEDIAN(H1356:H1358)</f>
        <v>51.9</v>
      </c>
      <c r="I1354" s="866"/>
      <c r="J1354" s="758" t="s">
        <v>2053</v>
      </c>
      <c r="K1354" s="731" t="s">
        <v>2054</v>
      </c>
      <c r="L1354" s="759">
        <f>AVERAGE(H1356:H1358)</f>
        <v>57.07666667</v>
      </c>
      <c r="M1354" s="733"/>
      <c r="N1354" s="760" t="s">
        <v>2055</v>
      </c>
      <c r="O1354" s="454"/>
    </row>
    <row r="1355">
      <c r="A1355" s="727" t="s">
        <v>1717</v>
      </c>
      <c r="B1355" s="728" t="s">
        <v>2056</v>
      </c>
      <c r="C1355" s="728" t="s">
        <v>2057</v>
      </c>
      <c r="D1355" s="727" t="s">
        <v>2058</v>
      </c>
      <c r="E1355" s="727" t="s">
        <v>2059</v>
      </c>
      <c r="F1355" s="867" t="s">
        <v>1537</v>
      </c>
      <c r="G1355" s="727" t="s">
        <v>2060</v>
      </c>
      <c r="H1355" s="868" t="s">
        <v>3760</v>
      </c>
      <c r="I1355" s="869" t="s">
        <v>2062</v>
      </c>
      <c r="J1355" s="301"/>
      <c r="K1355" s="731" t="s">
        <v>2063</v>
      </c>
      <c r="L1355" s="732">
        <f>STDEV(H1356:H1358)</f>
        <v>10.65413691</v>
      </c>
      <c r="M1355" s="733"/>
      <c r="N1355" s="189"/>
      <c r="O1355" s="454"/>
    </row>
    <row r="1356">
      <c r="A1356" s="736"/>
      <c r="B1356" s="744" t="s">
        <v>3761</v>
      </c>
      <c r="C1356" s="747" t="s">
        <v>2276</v>
      </c>
      <c r="D1356" s="802" t="s">
        <v>2134</v>
      </c>
      <c r="E1356" s="763" t="s">
        <v>2529</v>
      </c>
      <c r="F1356" s="870" t="s">
        <v>3937</v>
      </c>
      <c r="G1356" s="736" t="s">
        <v>1788</v>
      </c>
      <c r="H1356" s="745">
        <v>51.9</v>
      </c>
      <c r="I1356" s="776" t="s">
        <v>3938</v>
      </c>
      <c r="J1356" s="301"/>
      <c r="K1356" s="731" t="s">
        <v>2070</v>
      </c>
      <c r="L1356" s="741">
        <f>L1355/L1354</f>
        <v>0.1866636146</v>
      </c>
      <c r="M1356" s="733"/>
      <c r="N1356" s="742" t="str">
        <f>IF(L1356&lt;25%,"Não","Sim - proceder verificação ao lado")</f>
        <v>Não</v>
      </c>
      <c r="O1356" s="743" t="b">
        <v>1</v>
      </c>
    </row>
    <row r="1357">
      <c r="A1357" s="736"/>
      <c r="B1357" s="744" t="s">
        <v>3761</v>
      </c>
      <c r="C1357" s="744" t="s">
        <v>3939</v>
      </c>
      <c r="D1357" s="736" t="s">
        <v>2956</v>
      </c>
      <c r="E1357" s="763" t="s">
        <v>2529</v>
      </c>
      <c r="F1357" s="870" t="s">
        <v>3940</v>
      </c>
      <c r="G1357" s="736" t="s">
        <v>1788</v>
      </c>
      <c r="H1357" s="745">
        <v>50.0</v>
      </c>
      <c r="I1357" s="775" t="s">
        <v>3941</v>
      </c>
      <c r="J1357" s="301"/>
      <c r="K1357" s="731" t="s">
        <v>2075</v>
      </c>
      <c r="L1357" s="746">
        <f>L1354*1.25</f>
        <v>71.34583333</v>
      </c>
      <c r="M1357" s="733"/>
      <c r="N1357" s="301"/>
      <c r="O1357" s="743" t="b">
        <v>1</v>
      </c>
    </row>
    <row r="1358">
      <c r="A1358" s="736"/>
      <c r="B1358" s="744" t="s">
        <v>3761</v>
      </c>
      <c r="C1358" s="744" t="s">
        <v>2142</v>
      </c>
      <c r="D1358" s="736" t="s">
        <v>2143</v>
      </c>
      <c r="E1358" s="763" t="s">
        <v>2529</v>
      </c>
      <c r="F1358" s="870" t="s">
        <v>3942</v>
      </c>
      <c r="G1358" s="736" t="s">
        <v>1788</v>
      </c>
      <c r="H1358" s="745">
        <v>69.33</v>
      </c>
      <c r="I1358" s="775" t="s">
        <v>3943</v>
      </c>
      <c r="J1358" s="189"/>
      <c r="K1358" s="731" t="s">
        <v>2080</v>
      </c>
      <c r="L1358" s="746">
        <f>L1354*0.75</f>
        <v>42.8075</v>
      </c>
      <c r="M1358" s="733"/>
      <c r="N1358" s="189"/>
      <c r="O1358" s="743" t="b">
        <v>1</v>
      </c>
    </row>
    <row r="1359">
      <c r="A1359" s="736"/>
      <c r="B1359" s="735"/>
      <c r="C1359" s="735"/>
      <c r="D1359" s="734"/>
      <c r="E1359" s="871"/>
      <c r="F1359" s="750"/>
      <c r="G1359" s="749"/>
      <c r="H1359" s="872"/>
      <c r="I1359" s="824"/>
      <c r="J1359" s="752"/>
      <c r="K1359" s="752"/>
      <c r="L1359" s="861"/>
      <c r="M1359" s="751"/>
      <c r="N1359" s="752"/>
      <c r="O1359" s="753"/>
    </row>
    <row r="1360">
      <c r="A1360" s="862" t="s">
        <v>1933</v>
      </c>
      <c r="B1360" s="863" t="s">
        <v>3944</v>
      </c>
      <c r="C1360" s="36"/>
      <c r="D1360" s="36"/>
      <c r="E1360" s="36"/>
      <c r="F1360" s="36"/>
      <c r="G1360" s="862" t="s">
        <v>1788</v>
      </c>
      <c r="H1360" s="865">
        <f>MEDIAN(H1362:H1364)</f>
        <v>1090.62</v>
      </c>
      <c r="I1360" s="866"/>
      <c r="J1360" s="758" t="s">
        <v>2053</v>
      </c>
      <c r="K1360" s="731" t="s">
        <v>2054</v>
      </c>
      <c r="L1360" s="759">
        <f>AVERAGE(H1362:H1364)</f>
        <v>1076.536667</v>
      </c>
      <c r="M1360" s="733"/>
      <c r="N1360" s="760" t="s">
        <v>2055</v>
      </c>
      <c r="O1360" s="454"/>
    </row>
    <row r="1361">
      <c r="A1361" s="727" t="s">
        <v>1717</v>
      </c>
      <c r="B1361" s="728" t="s">
        <v>2056</v>
      </c>
      <c r="C1361" s="728" t="s">
        <v>2057</v>
      </c>
      <c r="D1361" s="727" t="s">
        <v>2058</v>
      </c>
      <c r="E1361" s="727" t="s">
        <v>2059</v>
      </c>
      <c r="F1361" s="867" t="s">
        <v>1537</v>
      </c>
      <c r="G1361" s="727" t="s">
        <v>2060</v>
      </c>
      <c r="H1361" s="868" t="s">
        <v>3760</v>
      </c>
      <c r="I1361" s="869" t="s">
        <v>2062</v>
      </c>
      <c r="J1361" s="301"/>
      <c r="K1361" s="731" t="s">
        <v>2063</v>
      </c>
      <c r="L1361" s="732">
        <f>STDEV(H1362:H1364)</f>
        <v>32.00967406</v>
      </c>
      <c r="M1361" s="733"/>
      <c r="N1361" s="189"/>
      <c r="O1361" s="454"/>
    </row>
    <row r="1362">
      <c r="A1362" s="736"/>
      <c r="B1362" s="744" t="s">
        <v>3761</v>
      </c>
      <c r="C1362" s="744" t="s">
        <v>2959</v>
      </c>
      <c r="D1362" s="736" t="s">
        <v>3945</v>
      </c>
      <c r="E1362" s="763" t="s">
        <v>2529</v>
      </c>
      <c r="F1362" s="870" t="s">
        <v>3946</v>
      </c>
      <c r="G1362" s="736" t="s">
        <v>1788</v>
      </c>
      <c r="H1362" s="745">
        <v>1039.9</v>
      </c>
      <c r="I1362" s="775" t="s">
        <v>3947</v>
      </c>
      <c r="J1362" s="301"/>
      <c r="K1362" s="731" t="s">
        <v>2070</v>
      </c>
      <c r="L1362" s="741">
        <f>L1361/L1360</f>
        <v>0.02973393759</v>
      </c>
      <c r="M1362" s="733"/>
      <c r="N1362" s="742" t="str">
        <f>IF(L1362&lt;25%,"Não","Sim - proceder verificação ao lado")</f>
        <v>Não</v>
      </c>
      <c r="O1362" s="743" t="b">
        <v>1</v>
      </c>
    </row>
    <row r="1363">
      <c r="A1363" s="736"/>
      <c r="B1363" s="744" t="s">
        <v>3761</v>
      </c>
      <c r="C1363" s="744" t="s">
        <v>3948</v>
      </c>
      <c r="D1363" s="736"/>
      <c r="E1363" s="763" t="s">
        <v>2529</v>
      </c>
      <c r="F1363" s="870" t="s">
        <v>3949</v>
      </c>
      <c r="G1363" s="736" t="s">
        <v>1788</v>
      </c>
      <c r="H1363" s="745">
        <v>1090.62</v>
      </c>
      <c r="I1363" s="775" t="s">
        <v>3950</v>
      </c>
      <c r="J1363" s="301"/>
      <c r="K1363" s="731" t="s">
        <v>2075</v>
      </c>
      <c r="L1363" s="746">
        <f>L1360*1.25</f>
        <v>1345.670833</v>
      </c>
      <c r="M1363" s="733"/>
      <c r="N1363" s="301"/>
      <c r="O1363" s="743" t="b">
        <v>1</v>
      </c>
    </row>
    <row r="1364">
      <c r="A1364" s="736"/>
      <c r="B1364" s="744" t="s">
        <v>3761</v>
      </c>
      <c r="C1364" s="744" t="s">
        <v>2290</v>
      </c>
      <c r="D1364" s="736" t="s">
        <v>2291</v>
      </c>
      <c r="E1364" s="763" t="s">
        <v>2529</v>
      </c>
      <c r="F1364" s="870" t="s">
        <v>3951</v>
      </c>
      <c r="G1364" s="736" t="s">
        <v>1788</v>
      </c>
      <c r="H1364" s="745">
        <v>1099.09</v>
      </c>
      <c r="I1364" s="775" t="s">
        <v>3952</v>
      </c>
      <c r="J1364" s="189"/>
      <c r="K1364" s="731" t="s">
        <v>2080</v>
      </c>
      <c r="L1364" s="746">
        <f>L1360*0.75</f>
        <v>807.4025</v>
      </c>
      <c r="M1364" s="733"/>
      <c r="N1364" s="189"/>
      <c r="O1364" s="743" t="b">
        <v>1</v>
      </c>
    </row>
    <row r="1365">
      <c r="A1365" s="736"/>
      <c r="B1365" s="735"/>
      <c r="C1365" s="735"/>
      <c r="D1365" s="734"/>
      <c r="E1365" s="871"/>
      <c r="F1365" s="750"/>
      <c r="G1365" s="749"/>
      <c r="H1365" s="872"/>
      <c r="I1365" s="824"/>
      <c r="J1365" s="752"/>
      <c r="K1365" s="752"/>
      <c r="L1365" s="861"/>
      <c r="M1365" s="751"/>
      <c r="N1365" s="752"/>
      <c r="O1365" s="753"/>
    </row>
    <row r="1366">
      <c r="A1366" s="862" t="s">
        <v>1937</v>
      </c>
      <c r="B1366" s="863" t="s">
        <v>3953</v>
      </c>
      <c r="C1366" s="36"/>
      <c r="D1366" s="36"/>
      <c r="E1366" s="36"/>
      <c r="F1366" s="864"/>
      <c r="G1366" s="862" t="s">
        <v>1788</v>
      </c>
      <c r="H1366" s="865">
        <f>MEDIAN(H1368:H1370)</f>
        <v>79.9</v>
      </c>
      <c r="I1366" s="866"/>
      <c r="J1366" s="758" t="s">
        <v>2053</v>
      </c>
      <c r="K1366" s="731" t="s">
        <v>2054</v>
      </c>
      <c r="L1366" s="759">
        <f>AVERAGE(H1368:H1370)</f>
        <v>78.59666667</v>
      </c>
      <c r="M1366" s="733"/>
      <c r="N1366" s="760" t="s">
        <v>2055</v>
      </c>
      <c r="O1366" s="454"/>
    </row>
    <row r="1367">
      <c r="A1367" s="727" t="s">
        <v>1717</v>
      </c>
      <c r="B1367" s="728" t="s">
        <v>2056</v>
      </c>
      <c r="C1367" s="728" t="s">
        <v>2057</v>
      </c>
      <c r="D1367" s="727" t="s">
        <v>2058</v>
      </c>
      <c r="E1367" s="727" t="s">
        <v>2059</v>
      </c>
      <c r="F1367" s="867" t="s">
        <v>1537</v>
      </c>
      <c r="G1367" s="727" t="s">
        <v>2060</v>
      </c>
      <c r="H1367" s="868" t="s">
        <v>3760</v>
      </c>
      <c r="I1367" s="869" t="s">
        <v>2062</v>
      </c>
      <c r="J1367" s="301"/>
      <c r="K1367" s="731" t="s">
        <v>2063</v>
      </c>
      <c r="L1367" s="732">
        <f>STDEV(H1368:H1370)</f>
        <v>3.16323147</v>
      </c>
      <c r="M1367" s="733"/>
      <c r="N1367" s="189"/>
      <c r="O1367" s="454"/>
    </row>
    <row r="1368">
      <c r="A1368" s="736"/>
      <c r="B1368" s="744" t="s">
        <v>3761</v>
      </c>
      <c r="C1368" s="744" t="s">
        <v>3954</v>
      </c>
      <c r="D1368" s="736" t="s">
        <v>3955</v>
      </c>
      <c r="E1368" s="763" t="s">
        <v>2529</v>
      </c>
      <c r="F1368" s="870" t="s">
        <v>3956</v>
      </c>
      <c r="G1368" s="736" t="s">
        <v>1788</v>
      </c>
      <c r="H1368" s="739">
        <v>79.9</v>
      </c>
      <c r="I1368" s="775" t="s">
        <v>3957</v>
      </c>
      <c r="J1368" s="301"/>
      <c r="K1368" s="731" t="s">
        <v>2070</v>
      </c>
      <c r="L1368" s="741">
        <f>L1367/L1366</f>
        <v>0.04024638199</v>
      </c>
      <c r="M1368" s="733"/>
      <c r="N1368" s="742" t="str">
        <f>IF(L1368&lt;25%,"Não","Sim - proceder verificação ao lado")</f>
        <v>Não</v>
      </c>
      <c r="O1368" s="743" t="b">
        <v>1</v>
      </c>
    </row>
    <row r="1369">
      <c r="A1369" s="736"/>
      <c r="B1369" s="744" t="s">
        <v>3761</v>
      </c>
      <c r="C1369" s="747" t="s">
        <v>2276</v>
      </c>
      <c r="D1369" s="802" t="s">
        <v>2134</v>
      </c>
      <c r="E1369" s="763" t="s">
        <v>2529</v>
      </c>
      <c r="F1369" s="870" t="s">
        <v>3958</v>
      </c>
      <c r="G1369" s="736" t="s">
        <v>1788</v>
      </c>
      <c r="H1369" s="739">
        <v>74.99</v>
      </c>
      <c r="I1369" s="775" t="s">
        <v>3959</v>
      </c>
      <c r="J1369" s="301"/>
      <c r="K1369" s="731" t="s">
        <v>2075</v>
      </c>
      <c r="L1369" s="746">
        <f>L1366*1.25</f>
        <v>98.24583333</v>
      </c>
      <c r="M1369" s="733"/>
      <c r="N1369" s="301"/>
      <c r="O1369" s="743" t="b">
        <v>1</v>
      </c>
    </row>
    <row r="1370">
      <c r="A1370" s="736"/>
      <c r="B1370" s="744" t="s">
        <v>3761</v>
      </c>
      <c r="C1370" s="744" t="s">
        <v>2168</v>
      </c>
      <c r="D1370" s="736" t="s">
        <v>2169</v>
      </c>
      <c r="E1370" s="763" t="s">
        <v>2529</v>
      </c>
      <c r="F1370" s="764" t="s">
        <v>3960</v>
      </c>
      <c r="G1370" s="736" t="s">
        <v>1788</v>
      </c>
      <c r="H1370" s="745">
        <v>80.9</v>
      </c>
      <c r="I1370" s="776" t="s">
        <v>3961</v>
      </c>
      <c r="J1370" s="189"/>
      <c r="K1370" s="731" t="s">
        <v>2080</v>
      </c>
      <c r="L1370" s="746">
        <f>L1366*0.75</f>
        <v>58.9475</v>
      </c>
      <c r="M1370" s="733"/>
      <c r="N1370" s="189"/>
      <c r="O1370" s="743" t="b">
        <v>1</v>
      </c>
    </row>
    <row r="1371">
      <c r="A1371" s="736"/>
      <c r="B1371" s="735"/>
      <c r="C1371" s="735"/>
      <c r="D1371" s="734"/>
      <c r="E1371" s="871"/>
      <c r="F1371" s="750"/>
      <c r="G1371" s="749"/>
      <c r="H1371" s="872"/>
      <c r="I1371" s="824"/>
      <c r="J1371" s="752"/>
      <c r="K1371" s="752"/>
      <c r="L1371" s="861"/>
      <c r="M1371" s="751"/>
      <c r="N1371" s="752"/>
      <c r="O1371" s="753"/>
    </row>
    <row r="1372">
      <c r="A1372" s="862" t="s">
        <v>1941</v>
      </c>
      <c r="B1372" s="863" t="s">
        <v>3962</v>
      </c>
      <c r="C1372" s="36"/>
      <c r="D1372" s="36"/>
      <c r="E1372" s="36"/>
      <c r="F1372" s="36"/>
      <c r="G1372" s="862" t="s">
        <v>1788</v>
      </c>
      <c r="H1372" s="865">
        <f>MEDIAN(H1374:H1376)</f>
        <v>33.53</v>
      </c>
      <c r="I1372" s="866"/>
      <c r="J1372" s="758" t="s">
        <v>2053</v>
      </c>
      <c r="K1372" s="731" t="s">
        <v>2054</v>
      </c>
      <c r="L1372" s="759">
        <f>AVERAGE(H1374:H1376)</f>
        <v>36.17666667</v>
      </c>
      <c r="M1372" s="733"/>
      <c r="N1372" s="760" t="s">
        <v>2055</v>
      </c>
      <c r="O1372" s="454"/>
    </row>
    <row r="1373">
      <c r="A1373" s="727" t="s">
        <v>1717</v>
      </c>
      <c r="B1373" s="728" t="s">
        <v>2056</v>
      </c>
      <c r="C1373" s="728" t="s">
        <v>2057</v>
      </c>
      <c r="D1373" s="727" t="s">
        <v>2058</v>
      </c>
      <c r="E1373" s="727" t="s">
        <v>2059</v>
      </c>
      <c r="F1373" s="867" t="s">
        <v>1537</v>
      </c>
      <c r="G1373" s="727" t="s">
        <v>2060</v>
      </c>
      <c r="H1373" s="868" t="s">
        <v>3760</v>
      </c>
      <c r="I1373" s="869" t="s">
        <v>2062</v>
      </c>
      <c r="J1373" s="301"/>
      <c r="K1373" s="731" t="s">
        <v>2063</v>
      </c>
      <c r="L1373" s="732">
        <f>STDEV(H1374:H1376)</f>
        <v>6.610115985</v>
      </c>
      <c r="M1373" s="733"/>
      <c r="N1373" s="189"/>
      <c r="O1373" s="454"/>
    </row>
    <row r="1374">
      <c r="A1374" s="736"/>
      <c r="B1374" s="744" t="s">
        <v>3761</v>
      </c>
      <c r="C1374" s="767" t="s">
        <v>3963</v>
      </c>
      <c r="D1374" s="777" t="s">
        <v>3964</v>
      </c>
      <c r="E1374" s="763" t="s">
        <v>2757</v>
      </c>
      <c r="F1374" s="764" t="s">
        <v>3965</v>
      </c>
      <c r="G1374" s="736" t="s">
        <v>1788</v>
      </c>
      <c r="H1374" s="745">
        <v>43.7</v>
      </c>
      <c r="I1374" s="842" t="s">
        <v>3966</v>
      </c>
      <c r="J1374" s="301"/>
      <c r="K1374" s="731" t="s">
        <v>2070</v>
      </c>
      <c r="L1374" s="741">
        <f>L1373/L1372</f>
        <v>0.1827176629</v>
      </c>
      <c r="M1374" s="733"/>
      <c r="N1374" s="742" t="str">
        <f>IF(L1374&lt;25%,"Não","Sim - proceder verificação ao lado")</f>
        <v>Não</v>
      </c>
      <c r="O1374" s="743" t="b">
        <v>1</v>
      </c>
    </row>
    <row r="1375">
      <c r="A1375" s="736"/>
      <c r="B1375" s="744" t="s">
        <v>3761</v>
      </c>
      <c r="C1375" s="744" t="s">
        <v>3967</v>
      </c>
      <c r="D1375" s="736" t="s">
        <v>3968</v>
      </c>
      <c r="E1375" s="763" t="s">
        <v>2529</v>
      </c>
      <c r="F1375" s="870" t="s">
        <v>3969</v>
      </c>
      <c r="G1375" s="736" t="s">
        <v>1788</v>
      </c>
      <c r="H1375" s="745">
        <v>31.3</v>
      </c>
      <c r="I1375" s="775" t="s">
        <v>3970</v>
      </c>
      <c r="J1375" s="301"/>
      <c r="K1375" s="731" t="s">
        <v>2075</v>
      </c>
      <c r="L1375" s="746">
        <f>L1372*1.25</f>
        <v>45.22083333</v>
      </c>
      <c r="M1375" s="733"/>
      <c r="N1375" s="301"/>
      <c r="O1375" s="743" t="b">
        <v>1</v>
      </c>
    </row>
    <row r="1376">
      <c r="A1376" s="734"/>
      <c r="B1376" s="744" t="s">
        <v>3761</v>
      </c>
      <c r="C1376" s="747" t="s">
        <v>2276</v>
      </c>
      <c r="D1376" s="802" t="s">
        <v>2134</v>
      </c>
      <c r="E1376" s="763" t="s">
        <v>2529</v>
      </c>
      <c r="F1376" s="870" t="s">
        <v>3971</v>
      </c>
      <c r="G1376" s="736" t="s">
        <v>1788</v>
      </c>
      <c r="H1376" s="739">
        <v>33.53</v>
      </c>
      <c r="I1376" s="775" t="s">
        <v>3972</v>
      </c>
      <c r="J1376" s="189"/>
      <c r="K1376" s="731" t="s">
        <v>2080</v>
      </c>
      <c r="L1376" s="746">
        <f>L1372*0.75</f>
        <v>27.1325</v>
      </c>
      <c r="M1376" s="733"/>
      <c r="N1376" s="189"/>
      <c r="O1376" s="743" t="b">
        <v>1</v>
      </c>
    </row>
    <row r="1377">
      <c r="A1377" s="734"/>
      <c r="B1377" s="735"/>
      <c r="C1377" s="735"/>
      <c r="D1377" s="734"/>
      <c r="E1377" s="871"/>
      <c r="F1377" s="750"/>
      <c r="G1377" s="749"/>
      <c r="H1377" s="872"/>
      <c r="I1377" s="751"/>
      <c r="J1377" s="752"/>
      <c r="K1377" s="752"/>
      <c r="L1377" s="861"/>
      <c r="M1377" s="751"/>
      <c r="N1377" s="752"/>
      <c r="O1377" s="753"/>
    </row>
    <row r="1378">
      <c r="A1378" s="877" t="s">
        <v>1957</v>
      </c>
      <c r="B1378" s="874" t="s">
        <v>1956</v>
      </c>
      <c r="C1378" s="36"/>
      <c r="D1378" s="36"/>
      <c r="E1378" s="36"/>
      <c r="F1378" s="36"/>
      <c r="G1378" s="877" t="s">
        <v>1788</v>
      </c>
      <c r="H1378" s="865">
        <f>MEDIAN(H1380:H1382)</f>
        <v>364.96</v>
      </c>
      <c r="I1378" s="866"/>
      <c r="J1378" s="758" t="s">
        <v>2053</v>
      </c>
      <c r="K1378" s="731" t="s">
        <v>2054</v>
      </c>
      <c r="L1378" s="759">
        <f>AVERAGE(H1380:H1382)</f>
        <v>365.3866667</v>
      </c>
      <c r="M1378" s="733"/>
      <c r="N1378" s="760" t="s">
        <v>2055</v>
      </c>
      <c r="O1378" s="714"/>
    </row>
    <row r="1379">
      <c r="A1379" s="727" t="s">
        <v>1717</v>
      </c>
      <c r="B1379" s="728" t="s">
        <v>2056</v>
      </c>
      <c r="C1379" s="728" t="s">
        <v>2057</v>
      </c>
      <c r="D1379" s="727" t="s">
        <v>2058</v>
      </c>
      <c r="E1379" s="727" t="s">
        <v>2059</v>
      </c>
      <c r="F1379" s="867" t="s">
        <v>1537</v>
      </c>
      <c r="G1379" s="727" t="s">
        <v>2060</v>
      </c>
      <c r="H1379" s="868" t="s">
        <v>3760</v>
      </c>
      <c r="I1379" s="869" t="s">
        <v>2062</v>
      </c>
      <c r="J1379" s="301"/>
      <c r="K1379" s="731" t="s">
        <v>2063</v>
      </c>
      <c r="L1379" s="732">
        <f>STDEV(H1380:H1382)</f>
        <v>40.80167317</v>
      </c>
      <c r="M1379" s="733"/>
      <c r="N1379" s="189"/>
      <c r="O1379" s="753"/>
    </row>
    <row r="1380">
      <c r="A1380" s="748">
        <v>2691.0</v>
      </c>
      <c r="B1380" s="747" t="s">
        <v>3973</v>
      </c>
      <c r="C1380" s="744"/>
      <c r="D1380" s="736"/>
      <c r="E1380" s="763" t="s">
        <v>3974</v>
      </c>
      <c r="F1380" s="766" t="s">
        <v>3975</v>
      </c>
      <c r="G1380" s="736" t="s">
        <v>1788</v>
      </c>
      <c r="H1380" s="745">
        <v>324.8</v>
      </c>
      <c r="I1380" s="878" t="s">
        <v>3976</v>
      </c>
      <c r="J1380" s="301"/>
      <c r="K1380" s="731" t="s">
        <v>2070</v>
      </c>
      <c r="L1380" s="741">
        <f>L1379/L1378</f>
        <v>0.1116671102</v>
      </c>
      <c r="M1380" s="733"/>
      <c r="N1380" s="742" t="str">
        <f>IF(L1380&lt;25%,"Não","Sim - proceder verificação ao lado")</f>
        <v>Não</v>
      </c>
      <c r="O1380" s="743" t="b">
        <v>1</v>
      </c>
    </row>
    <row r="1381">
      <c r="A1381" s="748" t="s">
        <v>3977</v>
      </c>
      <c r="B1381" s="747" t="s">
        <v>3521</v>
      </c>
      <c r="C1381" s="744"/>
      <c r="D1381" s="736"/>
      <c r="E1381" s="763" t="s">
        <v>3865</v>
      </c>
      <c r="F1381" s="766" t="s">
        <v>3978</v>
      </c>
      <c r="G1381" s="736" t="s">
        <v>1788</v>
      </c>
      <c r="H1381" s="745">
        <v>364.96</v>
      </c>
      <c r="I1381" s="878" t="s">
        <v>3976</v>
      </c>
      <c r="J1381" s="301"/>
      <c r="K1381" s="731" t="s">
        <v>2075</v>
      </c>
      <c r="L1381" s="746">
        <f>L1378*1.25</f>
        <v>456.7333333</v>
      </c>
      <c r="M1381" s="733"/>
      <c r="N1381" s="301"/>
      <c r="O1381" s="743" t="b">
        <v>1</v>
      </c>
    </row>
    <row r="1382">
      <c r="A1382" s="879">
        <v>37264.0</v>
      </c>
      <c r="B1382" s="747" t="s">
        <v>3857</v>
      </c>
      <c r="C1382" s="744"/>
      <c r="D1382" s="736"/>
      <c r="E1382" s="763" t="s">
        <v>3858</v>
      </c>
      <c r="F1382" s="766" t="s">
        <v>3979</v>
      </c>
      <c r="G1382" s="736" t="s">
        <v>1788</v>
      </c>
      <c r="H1382" s="745">
        <v>406.4</v>
      </c>
      <c r="I1382" s="811"/>
      <c r="J1382" s="189"/>
      <c r="K1382" s="731" t="s">
        <v>2080</v>
      </c>
      <c r="L1382" s="746">
        <f>L1378*0.75</f>
        <v>274.04</v>
      </c>
      <c r="M1382" s="733"/>
      <c r="N1382" s="189"/>
      <c r="O1382" s="743" t="b">
        <v>1</v>
      </c>
    </row>
    <row r="1383">
      <c r="A1383" s="734"/>
      <c r="B1383" s="735"/>
      <c r="C1383" s="735"/>
      <c r="D1383" s="734"/>
      <c r="E1383" s="871"/>
      <c r="F1383" s="750"/>
      <c r="G1383" s="749"/>
      <c r="H1383" s="872"/>
      <c r="I1383" s="751"/>
      <c r="J1383" s="752"/>
      <c r="K1383" s="752"/>
      <c r="L1383" s="861"/>
      <c r="M1383" s="751"/>
      <c r="N1383" s="752"/>
      <c r="O1383" s="753"/>
    </row>
    <row r="1384">
      <c r="A1384" s="877" t="s">
        <v>1960</v>
      </c>
      <c r="B1384" s="874" t="s">
        <v>3980</v>
      </c>
      <c r="C1384" s="36"/>
      <c r="D1384" s="36"/>
      <c r="E1384" s="36"/>
      <c r="F1384" s="864"/>
      <c r="G1384" s="877" t="s">
        <v>1788</v>
      </c>
      <c r="H1384" s="865">
        <f>MEDIAN(H1386:H1388)</f>
        <v>31.5</v>
      </c>
      <c r="I1384" s="866"/>
      <c r="J1384" s="758" t="s">
        <v>2053</v>
      </c>
      <c r="K1384" s="731" t="s">
        <v>2054</v>
      </c>
      <c r="L1384" s="759">
        <f>AVERAGE(H1386:H1388)</f>
        <v>31.21666667</v>
      </c>
      <c r="M1384" s="733"/>
      <c r="N1384" s="760" t="s">
        <v>2055</v>
      </c>
      <c r="O1384" s="714"/>
    </row>
    <row r="1385">
      <c r="A1385" s="727" t="s">
        <v>1717</v>
      </c>
      <c r="B1385" s="728" t="s">
        <v>2056</v>
      </c>
      <c r="C1385" s="728" t="s">
        <v>2057</v>
      </c>
      <c r="D1385" s="727" t="s">
        <v>2058</v>
      </c>
      <c r="E1385" s="727" t="s">
        <v>2059</v>
      </c>
      <c r="F1385" s="867" t="s">
        <v>1537</v>
      </c>
      <c r="G1385" s="727" t="s">
        <v>2060</v>
      </c>
      <c r="H1385" s="868" t="s">
        <v>3760</v>
      </c>
      <c r="I1385" s="869" t="s">
        <v>2062</v>
      </c>
      <c r="J1385" s="301"/>
      <c r="K1385" s="731" t="s">
        <v>2063</v>
      </c>
      <c r="L1385" s="732">
        <f>STDEV(H1386:H1388)</f>
        <v>4.831235177</v>
      </c>
      <c r="M1385" s="733"/>
      <c r="N1385" s="189"/>
      <c r="O1385" s="714"/>
    </row>
    <row r="1386">
      <c r="A1386" s="748"/>
      <c r="B1386" s="744" t="s">
        <v>3761</v>
      </c>
      <c r="C1386" s="767" t="s">
        <v>2263</v>
      </c>
      <c r="D1386" s="777" t="s">
        <v>2264</v>
      </c>
      <c r="E1386" s="763" t="s">
        <v>2757</v>
      </c>
      <c r="F1386" s="764" t="s">
        <v>3981</v>
      </c>
      <c r="G1386" s="736" t="s">
        <v>1788</v>
      </c>
      <c r="H1386" s="745">
        <v>35.9</v>
      </c>
      <c r="I1386" s="776" t="s">
        <v>3982</v>
      </c>
      <c r="J1386" s="301"/>
      <c r="K1386" s="731" t="s">
        <v>2070</v>
      </c>
      <c r="L1386" s="741">
        <f>L1385/L1384</f>
        <v>0.1547646079</v>
      </c>
      <c r="M1386" s="733"/>
      <c r="N1386" s="742" t="str">
        <f>IF(L1386&lt;25%,"Não","Sim - proceder verificação ao lado")</f>
        <v>Não</v>
      </c>
      <c r="O1386" s="743" t="b">
        <v>1</v>
      </c>
    </row>
    <row r="1387">
      <c r="A1387" s="748"/>
      <c r="B1387" s="744" t="s">
        <v>3761</v>
      </c>
      <c r="C1387" s="767" t="s">
        <v>3983</v>
      </c>
      <c r="D1387" s="777" t="s">
        <v>2471</v>
      </c>
      <c r="E1387" s="763" t="s">
        <v>2757</v>
      </c>
      <c r="F1387" s="764" t="s">
        <v>3984</v>
      </c>
      <c r="G1387" s="736" t="s">
        <v>1788</v>
      </c>
      <c r="H1387" s="745">
        <v>26.25</v>
      </c>
      <c r="I1387" s="776" t="s">
        <v>3985</v>
      </c>
      <c r="J1387" s="301"/>
      <c r="K1387" s="731" t="s">
        <v>2075</v>
      </c>
      <c r="L1387" s="746">
        <f>L1384*1.25</f>
        <v>39.02083333</v>
      </c>
      <c r="M1387" s="733"/>
      <c r="N1387" s="301"/>
      <c r="O1387" s="743" t="b">
        <v>1</v>
      </c>
    </row>
    <row r="1388">
      <c r="A1388" s="748"/>
      <c r="B1388" s="744" t="s">
        <v>3761</v>
      </c>
      <c r="C1388" s="767" t="s">
        <v>3986</v>
      </c>
      <c r="D1388" s="777" t="s">
        <v>3987</v>
      </c>
      <c r="E1388" s="763" t="s">
        <v>2757</v>
      </c>
      <c r="F1388" s="764" t="s">
        <v>3988</v>
      </c>
      <c r="G1388" s="736" t="s">
        <v>1788</v>
      </c>
      <c r="H1388" s="745">
        <v>31.5</v>
      </c>
      <c r="I1388" s="842" t="s">
        <v>3989</v>
      </c>
      <c r="J1388" s="189"/>
      <c r="K1388" s="731" t="s">
        <v>2080</v>
      </c>
      <c r="L1388" s="746">
        <f>L1384*0.75</f>
        <v>23.4125</v>
      </c>
      <c r="M1388" s="733"/>
      <c r="N1388" s="189"/>
      <c r="O1388" s="743" t="b">
        <v>1</v>
      </c>
    </row>
    <row r="1389">
      <c r="A1389" s="847"/>
      <c r="B1389" s="820"/>
      <c r="C1389" s="735"/>
      <c r="D1389" s="734"/>
      <c r="E1389" s="769"/>
      <c r="F1389" s="821"/>
      <c r="G1389" s="749"/>
      <c r="H1389" s="872"/>
      <c r="I1389" s="824"/>
      <c r="J1389" s="752"/>
      <c r="K1389" s="752"/>
      <c r="L1389" s="861"/>
      <c r="M1389" s="751"/>
      <c r="N1389" s="752"/>
    </row>
    <row r="1390">
      <c r="A1390" s="877" t="s">
        <v>1964</v>
      </c>
      <c r="B1390" s="874" t="s">
        <v>3990</v>
      </c>
      <c r="C1390" s="36"/>
      <c r="D1390" s="36"/>
      <c r="E1390" s="36"/>
      <c r="F1390" s="864"/>
      <c r="G1390" s="877" t="s">
        <v>1788</v>
      </c>
      <c r="H1390" s="865">
        <f>MEDIAN(H1392:H1394)</f>
        <v>11.25</v>
      </c>
      <c r="I1390" s="866"/>
      <c r="J1390" s="758" t="s">
        <v>2053</v>
      </c>
      <c r="K1390" s="731" t="s">
        <v>2054</v>
      </c>
      <c r="L1390" s="759">
        <f>AVERAGE(H1392:H1394)</f>
        <v>10.89333333</v>
      </c>
      <c r="M1390" s="733"/>
      <c r="N1390" s="760" t="s">
        <v>2055</v>
      </c>
    </row>
    <row r="1391">
      <c r="A1391" s="727" t="s">
        <v>1717</v>
      </c>
      <c r="B1391" s="728" t="s">
        <v>2056</v>
      </c>
      <c r="C1391" s="728" t="s">
        <v>2057</v>
      </c>
      <c r="D1391" s="727" t="s">
        <v>2058</v>
      </c>
      <c r="E1391" s="727" t="s">
        <v>2059</v>
      </c>
      <c r="F1391" s="867" t="s">
        <v>1537</v>
      </c>
      <c r="G1391" s="727" t="s">
        <v>2060</v>
      </c>
      <c r="H1391" s="868" t="s">
        <v>3760</v>
      </c>
      <c r="I1391" s="869" t="s">
        <v>2062</v>
      </c>
      <c r="J1391" s="301"/>
      <c r="K1391" s="731" t="s">
        <v>2063</v>
      </c>
      <c r="L1391" s="732">
        <f>STDEV(H1392:H1394)</f>
        <v>0.7788666981</v>
      </c>
      <c r="M1391" s="733"/>
      <c r="N1391" s="189"/>
      <c r="O1391" s="753"/>
    </row>
    <row r="1392">
      <c r="A1392" s="748"/>
      <c r="B1392" s="744" t="s">
        <v>3761</v>
      </c>
      <c r="C1392" s="747" t="s">
        <v>3991</v>
      </c>
      <c r="D1392" s="736"/>
      <c r="E1392" s="763" t="s">
        <v>2529</v>
      </c>
      <c r="F1392" s="766" t="s">
        <v>3992</v>
      </c>
      <c r="G1392" s="736" t="s">
        <v>1788</v>
      </c>
      <c r="H1392" s="739">
        <v>11.43</v>
      </c>
      <c r="I1392" s="780" t="s">
        <v>3993</v>
      </c>
      <c r="J1392" s="301"/>
      <c r="K1392" s="731" t="s">
        <v>2070</v>
      </c>
      <c r="L1392" s="741">
        <f>L1391/L1390</f>
        <v>0.07149939089</v>
      </c>
      <c r="M1392" s="733"/>
      <c r="N1392" s="742" t="str">
        <f>IF(L1392&lt;25%,"Não","Sim - proceder verificação ao lado")</f>
        <v>Não</v>
      </c>
      <c r="O1392" s="743" t="b">
        <v>1</v>
      </c>
    </row>
    <row r="1393">
      <c r="A1393" s="748"/>
      <c r="B1393" s="744" t="s">
        <v>3761</v>
      </c>
      <c r="C1393" s="747" t="s">
        <v>2276</v>
      </c>
      <c r="D1393" s="802" t="s">
        <v>2134</v>
      </c>
      <c r="E1393" s="763" t="s">
        <v>2529</v>
      </c>
      <c r="F1393" s="766" t="s">
        <v>3994</v>
      </c>
      <c r="G1393" s="736" t="s">
        <v>1788</v>
      </c>
      <c r="H1393" s="739">
        <v>10.0</v>
      </c>
      <c r="I1393" s="780" t="s">
        <v>3995</v>
      </c>
      <c r="J1393" s="301"/>
      <c r="K1393" s="731" t="s">
        <v>2075</v>
      </c>
      <c r="L1393" s="746">
        <f>L1390*1.25</f>
        <v>13.61666667</v>
      </c>
      <c r="M1393" s="733"/>
      <c r="N1393" s="301"/>
      <c r="O1393" s="743" t="b">
        <v>1</v>
      </c>
    </row>
    <row r="1394">
      <c r="A1394" s="748"/>
      <c r="B1394" s="744" t="s">
        <v>3761</v>
      </c>
      <c r="C1394" s="747" t="s">
        <v>3996</v>
      </c>
      <c r="D1394" s="748" t="s">
        <v>3997</v>
      </c>
      <c r="E1394" s="763" t="s">
        <v>2529</v>
      </c>
      <c r="F1394" s="766" t="s">
        <v>3998</v>
      </c>
      <c r="G1394" s="736" t="s">
        <v>1788</v>
      </c>
      <c r="H1394" s="745">
        <v>11.25</v>
      </c>
      <c r="I1394" s="780" t="s">
        <v>3999</v>
      </c>
      <c r="J1394" s="189"/>
      <c r="K1394" s="731" t="s">
        <v>2080</v>
      </c>
      <c r="L1394" s="746">
        <f>L1390*0.75</f>
        <v>8.17</v>
      </c>
      <c r="M1394" s="733"/>
      <c r="N1394" s="189"/>
      <c r="O1394" s="743" t="b">
        <v>1</v>
      </c>
    </row>
    <row r="1395">
      <c r="A1395" s="847"/>
      <c r="B1395" s="820"/>
      <c r="C1395" s="735"/>
      <c r="D1395" s="734"/>
      <c r="E1395" s="769"/>
      <c r="F1395" s="821"/>
      <c r="G1395" s="749"/>
      <c r="H1395" s="872"/>
      <c r="I1395" s="824"/>
      <c r="J1395" s="752"/>
      <c r="K1395" s="752"/>
      <c r="L1395" s="861"/>
      <c r="M1395" s="751"/>
      <c r="N1395" s="752"/>
      <c r="O1395" s="753"/>
    </row>
    <row r="1396">
      <c r="A1396" s="877" t="s">
        <v>1971</v>
      </c>
      <c r="B1396" s="874" t="s">
        <v>4000</v>
      </c>
      <c r="C1396" s="36"/>
      <c r="D1396" s="36"/>
      <c r="E1396" s="36"/>
      <c r="F1396" s="864"/>
      <c r="G1396" s="877" t="s">
        <v>1788</v>
      </c>
      <c r="H1396" s="865">
        <f>MEDIAN(H1398:H1400)</f>
        <v>42.51</v>
      </c>
      <c r="I1396" s="866"/>
      <c r="J1396" s="758" t="s">
        <v>2053</v>
      </c>
      <c r="K1396" s="731" t="s">
        <v>2054</v>
      </c>
      <c r="L1396" s="759">
        <f>AVERAGE(H1398:H1400)</f>
        <v>40.2</v>
      </c>
      <c r="M1396" s="733"/>
      <c r="N1396" s="760" t="s">
        <v>2055</v>
      </c>
      <c r="O1396" s="454"/>
    </row>
    <row r="1397">
      <c r="A1397" s="727" t="s">
        <v>1717</v>
      </c>
      <c r="B1397" s="728" t="s">
        <v>2056</v>
      </c>
      <c r="C1397" s="728" t="s">
        <v>2057</v>
      </c>
      <c r="D1397" s="727" t="s">
        <v>2058</v>
      </c>
      <c r="E1397" s="727" t="s">
        <v>2059</v>
      </c>
      <c r="F1397" s="867" t="s">
        <v>1537</v>
      </c>
      <c r="G1397" s="727" t="s">
        <v>2060</v>
      </c>
      <c r="H1397" s="868" t="s">
        <v>3760</v>
      </c>
      <c r="I1397" s="869" t="s">
        <v>2062</v>
      </c>
      <c r="J1397" s="301"/>
      <c r="K1397" s="731" t="s">
        <v>2063</v>
      </c>
      <c r="L1397" s="732">
        <f>STDEV(H1398:H1400)</f>
        <v>4.701818797</v>
      </c>
      <c r="M1397" s="733"/>
      <c r="N1397" s="189"/>
      <c r="O1397" s="454"/>
    </row>
    <row r="1398">
      <c r="A1398" s="748"/>
      <c r="B1398" s="744" t="s">
        <v>3761</v>
      </c>
      <c r="C1398" s="747" t="s">
        <v>3306</v>
      </c>
      <c r="D1398" s="748" t="s">
        <v>4001</v>
      </c>
      <c r="E1398" s="763" t="s">
        <v>2529</v>
      </c>
      <c r="F1398" s="766" t="s">
        <v>4002</v>
      </c>
      <c r="G1398" s="736" t="s">
        <v>1788</v>
      </c>
      <c r="H1398" s="745">
        <v>34.79</v>
      </c>
      <c r="I1398" s="780" t="s">
        <v>4003</v>
      </c>
      <c r="J1398" s="301"/>
      <c r="K1398" s="731" t="s">
        <v>2070</v>
      </c>
      <c r="L1398" s="741">
        <f>L1397/L1396</f>
        <v>0.1169606666</v>
      </c>
      <c r="M1398" s="733"/>
      <c r="N1398" s="742" t="str">
        <f>IF(L1398&lt;25%,"Não","Sim - proceder verificação ao lado")</f>
        <v>Não</v>
      </c>
      <c r="O1398" s="743" t="b">
        <v>1</v>
      </c>
    </row>
    <row r="1399">
      <c r="A1399" s="748"/>
      <c r="B1399" s="744" t="s">
        <v>3761</v>
      </c>
      <c r="C1399" s="747" t="s">
        <v>2470</v>
      </c>
      <c r="D1399" s="736"/>
      <c r="E1399" s="763" t="s">
        <v>2529</v>
      </c>
      <c r="F1399" s="766" t="s">
        <v>4004</v>
      </c>
      <c r="G1399" s="736" t="s">
        <v>1788</v>
      </c>
      <c r="H1399" s="745">
        <v>43.3</v>
      </c>
      <c r="I1399" s="780" t="s">
        <v>4005</v>
      </c>
      <c r="J1399" s="301"/>
      <c r="K1399" s="731" t="s">
        <v>2075</v>
      </c>
      <c r="L1399" s="746">
        <f>L1396*1.25</f>
        <v>50.25</v>
      </c>
      <c r="M1399" s="733"/>
      <c r="N1399" s="301"/>
      <c r="O1399" s="743" t="b">
        <v>1</v>
      </c>
    </row>
    <row r="1400">
      <c r="A1400" s="748"/>
      <c r="B1400" s="744" t="s">
        <v>3761</v>
      </c>
      <c r="C1400" s="747" t="s">
        <v>4006</v>
      </c>
      <c r="D1400" s="748" t="s">
        <v>4007</v>
      </c>
      <c r="E1400" s="763" t="s">
        <v>2529</v>
      </c>
      <c r="F1400" s="764" t="s">
        <v>4008</v>
      </c>
      <c r="G1400" s="736" t="s">
        <v>1788</v>
      </c>
      <c r="H1400" s="745">
        <v>42.51</v>
      </c>
      <c r="I1400" s="776" t="s">
        <v>4009</v>
      </c>
      <c r="J1400" s="189"/>
      <c r="K1400" s="731" t="s">
        <v>2080</v>
      </c>
      <c r="L1400" s="746">
        <f>L1396*0.75</f>
        <v>30.15</v>
      </c>
      <c r="M1400" s="733"/>
      <c r="N1400" s="189"/>
      <c r="O1400" s="743" t="b">
        <v>1</v>
      </c>
    </row>
    <row r="1401">
      <c r="A1401" s="847"/>
      <c r="B1401" s="735"/>
      <c r="C1401" s="820"/>
      <c r="D1401" s="847"/>
      <c r="E1401" s="769"/>
      <c r="F1401" s="821"/>
      <c r="G1401" s="749"/>
      <c r="H1401" s="872"/>
      <c r="I1401" s="880"/>
      <c r="J1401" s="752"/>
      <c r="K1401" s="752"/>
      <c r="L1401" s="861"/>
      <c r="M1401" s="751"/>
      <c r="N1401" s="752"/>
      <c r="O1401" s="753"/>
    </row>
    <row r="1402">
      <c r="A1402" s="877" t="s">
        <v>1978</v>
      </c>
      <c r="B1402" s="874" t="s">
        <v>4010</v>
      </c>
      <c r="C1402" s="36"/>
      <c r="D1402" s="36"/>
      <c r="E1402" s="36"/>
      <c r="F1402" s="864"/>
      <c r="G1402" s="877" t="s">
        <v>1788</v>
      </c>
      <c r="H1402" s="865">
        <f>MEDIAN(H1404:H1406)</f>
        <v>2.74</v>
      </c>
      <c r="I1402" s="866"/>
      <c r="J1402" s="758" t="s">
        <v>2053</v>
      </c>
      <c r="K1402" s="731" t="s">
        <v>2054</v>
      </c>
      <c r="L1402" s="759">
        <f>AVERAGE(H1404:H1406)</f>
        <v>2.813333333</v>
      </c>
      <c r="M1402" s="733"/>
      <c r="N1402" s="760" t="s">
        <v>2055</v>
      </c>
      <c r="O1402" s="454"/>
    </row>
    <row r="1403">
      <c r="A1403" s="727" t="s">
        <v>1717</v>
      </c>
      <c r="B1403" s="728" t="s">
        <v>2056</v>
      </c>
      <c r="C1403" s="728" t="s">
        <v>2057</v>
      </c>
      <c r="D1403" s="727" t="s">
        <v>2058</v>
      </c>
      <c r="E1403" s="727" t="s">
        <v>2059</v>
      </c>
      <c r="F1403" s="867" t="s">
        <v>1537</v>
      </c>
      <c r="G1403" s="727" t="s">
        <v>2060</v>
      </c>
      <c r="H1403" s="868" t="s">
        <v>3760</v>
      </c>
      <c r="I1403" s="869" t="s">
        <v>2062</v>
      </c>
      <c r="J1403" s="301"/>
      <c r="K1403" s="731" t="s">
        <v>2063</v>
      </c>
      <c r="L1403" s="732">
        <f>STDEV(H1404:H1406)</f>
        <v>0.6530951947</v>
      </c>
      <c r="M1403" s="733"/>
      <c r="N1403" s="189"/>
      <c r="O1403" s="454"/>
    </row>
    <row r="1404">
      <c r="A1404" s="748"/>
      <c r="B1404" s="744" t="s">
        <v>3761</v>
      </c>
      <c r="C1404" s="747" t="s">
        <v>4011</v>
      </c>
      <c r="D1404" s="748" t="s">
        <v>4012</v>
      </c>
      <c r="E1404" s="763" t="s">
        <v>2529</v>
      </c>
      <c r="F1404" s="766" t="s">
        <v>4013</v>
      </c>
      <c r="G1404" s="736" t="s">
        <v>1788</v>
      </c>
      <c r="H1404" s="745">
        <v>2.2</v>
      </c>
      <c r="I1404" s="780" t="s">
        <v>4014</v>
      </c>
      <c r="J1404" s="301"/>
      <c r="K1404" s="731" t="s">
        <v>2070</v>
      </c>
      <c r="L1404" s="741">
        <f>L1403/L1402</f>
        <v>0.2321428417</v>
      </c>
      <c r="M1404" s="733"/>
      <c r="N1404" s="742" t="str">
        <f>IF(L1404&lt;25%,"Não","Sim - proceder verificação ao lado")</f>
        <v>Não</v>
      </c>
      <c r="O1404" s="743" t="b">
        <v>1</v>
      </c>
    </row>
    <row r="1405">
      <c r="A1405" s="748"/>
      <c r="B1405" s="744" t="s">
        <v>3761</v>
      </c>
      <c r="C1405" s="747" t="s">
        <v>2379</v>
      </c>
      <c r="D1405" s="748" t="s">
        <v>2380</v>
      </c>
      <c r="E1405" s="763" t="s">
        <v>2529</v>
      </c>
      <c r="F1405" s="766" t="s">
        <v>4015</v>
      </c>
      <c r="G1405" s="736" t="s">
        <v>1788</v>
      </c>
      <c r="H1405" s="739">
        <v>2.74</v>
      </c>
      <c r="I1405" s="780" t="s">
        <v>4016</v>
      </c>
      <c r="J1405" s="301"/>
      <c r="K1405" s="731" t="s">
        <v>2075</v>
      </c>
      <c r="L1405" s="746">
        <f>L1402*1.25</f>
        <v>3.516666667</v>
      </c>
      <c r="M1405" s="733"/>
      <c r="N1405" s="301"/>
      <c r="O1405" s="743" t="b">
        <v>1</v>
      </c>
    </row>
    <row r="1406">
      <c r="A1406" s="748"/>
      <c r="B1406" s="744" t="s">
        <v>3761</v>
      </c>
      <c r="C1406" s="747" t="s">
        <v>4017</v>
      </c>
      <c r="D1406" s="748" t="s">
        <v>4018</v>
      </c>
      <c r="E1406" s="763" t="s">
        <v>2529</v>
      </c>
      <c r="F1406" s="766" t="s">
        <v>4019</v>
      </c>
      <c r="G1406" s="736" t="s">
        <v>1788</v>
      </c>
      <c r="H1406" s="745">
        <v>3.5</v>
      </c>
      <c r="I1406" s="780" t="s">
        <v>4020</v>
      </c>
      <c r="J1406" s="189"/>
      <c r="K1406" s="731" t="s">
        <v>2080</v>
      </c>
      <c r="L1406" s="746">
        <f>L1402*0.75</f>
        <v>2.11</v>
      </c>
      <c r="M1406" s="733"/>
      <c r="N1406" s="189"/>
      <c r="O1406" s="743" t="b">
        <v>1</v>
      </c>
    </row>
    <row r="1407">
      <c r="A1407" s="847"/>
      <c r="B1407" s="735"/>
      <c r="C1407" s="820"/>
      <c r="D1407" s="847"/>
      <c r="E1407" s="769"/>
      <c r="F1407" s="821"/>
      <c r="G1407" s="749"/>
      <c r="H1407" s="872"/>
      <c r="I1407" s="880"/>
      <c r="J1407" s="752"/>
      <c r="K1407" s="752"/>
      <c r="L1407" s="861"/>
      <c r="M1407" s="751"/>
      <c r="N1407" s="752"/>
      <c r="O1407" s="753"/>
    </row>
    <row r="1408">
      <c r="A1408" s="877" t="s">
        <v>1982</v>
      </c>
      <c r="B1408" s="874" t="s">
        <v>4021</v>
      </c>
      <c r="C1408" s="36"/>
      <c r="D1408" s="36"/>
      <c r="E1408" s="36"/>
      <c r="F1408" s="864"/>
      <c r="G1408" s="877" t="s">
        <v>1788</v>
      </c>
      <c r="H1408" s="865">
        <f>MEDIAN(H1410:H1412)</f>
        <v>125.17</v>
      </c>
      <c r="I1408" s="866"/>
      <c r="J1408" s="758" t="s">
        <v>2053</v>
      </c>
      <c r="K1408" s="731" t="s">
        <v>2054</v>
      </c>
      <c r="L1408" s="759">
        <f>AVERAGE(H1410:H1412)</f>
        <v>122.6</v>
      </c>
      <c r="M1408" s="733"/>
      <c r="N1408" s="760" t="s">
        <v>2055</v>
      </c>
    </row>
    <row r="1409">
      <c r="A1409" s="727" t="s">
        <v>1717</v>
      </c>
      <c r="B1409" s="728" t="s">
        <v>2056</v>
      </c>
      <c r="C1409" s="728" t="s">
        <v>2057</v>
      </c>
      <c r="D1409" s="727" t="s">
        <v>2058</v>
      </c>
      <c r="E1409" s="727" t="s">
        <v>2059</v>
      </c>
      <c r="F1409" s="867" t="s">
        <v>1537</v>
      </c>
      <c r="G1409" s="727" t="s">
        <v>2060</v>
      </c>
      <c r="H1409" s="868" t="s">
        <v>3760</v>
      </c>
      <c r="I1409" s="869" t="s">
        <v>2062</v>
      </c>
      <c r="J1409" s="301"/>
      <c r="K1409" s="731" t="s">
        <v>2063</v>
      </c>
      <c r="L1409" s="732">
        <f>STDEV(H1410:H1412)</f>
        <v>7.292921225</v>
      </c>
      <c r="M1409" s="733"/>
      <c r="N1409" s="189"/>
    </row>
    <row r="1410">
      <c r="A1410" s="748"/>
      <c r="B1410" s="744" t="s">
        <v>3761</v>
      </c>
      <c r="C1410" s="747" t="s">
        <v>4022</v>
      </c>
      <c r="D1410" s="748" t="s">
        <v>4023</v>
      </c>
      <c r="E1410" s="763" t="s">
        <v>2529</v>
      </c>
      <c r="F1410" s="766" t="s">
        <v>4021</v>
      </c>
      <c r="G1410" s="736" t="s">
        <v>1788</v>
      </c>
      <c r="H1410" s="745">
        <v>125.17</v>
      </c>
      <c r="I1410" s="776" t="s">
        <v>4024</v>
      </c>
      <c r="J1410" s="301"/>
      <c r="K1410" s="731" t="s">
        <v>2070</v>
      </c>
      <c r="L1410" s="741">
        <f>L1409/L1408</f>
        <v>0.05948549123</v>
      </c>
      <c r="M1410" s="733"/>
      <c r="N1410" s="742" t="str">
        <f>IF(L1410&lt;25%,"Não","Sim - proceder verificação ao lado")</f>
        <v>Não</v>
      </c>
      <c r="O1410" s="743" t="b">
        <v>1</v>
      </c>
    </row>
    <row r="1411">
      <c r="A1411" s="748"/>
      <c r="B1411" s="744" t="s">
        <v>3761</v>
      </c>
      <c r="C1411" s="747" t="s">
        <v>4025</v>
      </c>
      <c r="D1411" s="748" t="s">
        <v>4026</v>
      </c>
      <c r="E1411" s="763" t="s">
        <v>2529</v>
      </c>
      <c r="F1411" s="766" t="s">
        <v>4027</v>
      </c>
      <c r="G1411" s="736" t="s">
        <v>1788</v>
      </c>
      <c r="H1411" s="745">
        <v>114.37</v>
      </c>
      <c r="I1411" s="780" t="s">
        <v>4028</v>
      </c>
      <c r="J1411" s="301"/>
      <c r="K1411" s="731" t="s">
        <v>2075</v>
      </c>
      <c r="L1411" s="746">
        <f>L1408*1.25</f>
        <v>153.25</v>
      </c>
      <c r="M1411" s="733"/>
      <c r="N1411" s="301"/>
      <c r="O1411" s="743" t="b">
        <v>1</v>
      </c>
    </row>
    <row r="1412">
      <c r="A1412" s="748"/>
      <c r="B1412" s="744" t="s">
        <v>3761</v>
      </c>
      <c r="C1412" s="747" t="s">
        <v>4029</v>
      </c>
      <c r="D1412" s="748" t="s">
        <v>4030</v>
      </c>
      <c r="E1412" s="763" t="s">
        <v>2529</v>
      </c>
      <c r="F1412" s="766" t="s">
        <v>4031</v>
      </c>
      <c r="G1412" s="736" t="s">
        <v>1788</v>
      </c>
      <c r="H1412" s="745">
        <v>128.26</v>
      </c>
      <c r="I1412" s="780" t="s">
        <v>4032</v>
      </c>
      <c r="J1412" s="189"/>
      <c r="K1412" s="731" t="s">
        <v>2080</v>
      </c>
      <c r="L1412" s="746">
        <f>L1408*0.75</f>
        <v>91.95</v>
      </c>
      <c r="M1412" s="733"/>
      <c r="N1412" s="189"/>
      <c r="O1412" s="743" t="b">
        <v>1</v>
      </c>
    </row>
    <row r="1413">
      <c r="A1413" s="847"/>
      <c r="B1413" s="735"/>
      <c r="C1413" s="820"/>
      <c r="D1413" s="847"/>
      <c r="E1413" s="769"/>
      <c r="F1413" s="821"/>
      <c r="G1413" s="749"/>
      <c r="H1413" s="872"/>
      <c r="I1413" s="880"/>
      <c r="J1413" s="752"/>
      <c r="K1413" s="752"/>
      <c r="L1413" s="861"/>
      <c r="M1413" s="751"/>
      <c r="N1413" s="752"/>
      <c r="O1413" s="753"/>
    </row>
    <row r="1414">
      <c r="A1414" s="877" t="s">
        <v>1985</v>
      </c>
      <c r="B1414" s="874" t="s">
        <v>4033</v>
      </c>
      <c r="C1414" s="36"/>
      <c r="D1414" s="36"/>
      <c r="E1414" s="36"/>
      <c r="F1414" s="864"/>
      <c r="G1414" s="877" t="s">
        <v>4034</v>
      </c>
      <c r="H1414" s="865">
        <f>MEDIAN(H1416:H1418)</f>
        <v>131.56</v>
      </c>
      <c r="I1414" s="866"/>
      <c r="J1414" s="758" t="s">
        <v>2053</v>
      </c>
      <c r="K1414" s="731" t="s">
        <v>2054</v>
      </c>
      <c r="L1414" s="759">
        <f>AVERAGE(H1416:H1418)</f>
        <v>118.6433333</v>
      </c>
      <c r="M1414" s="733"/>
      <c r="N1414" s="760" t="s">
        <v>2055</v>
      </c>
      <c r="O1414" s="454"/>
    </row>
    <row r="1415">
      <c r="A1415" s="727" t="s">
        <v>1717</v>
      </c>
      <c r="B1415" s="728" t="s">
        <v>2056</v>
      </c>
      <c r="C1415" s="728" t="s">
        <v>2057</v>
      </c>
      <c r="D1415" s="727" t="s">
        <v>2058</v>
      </c>
      <c r="E1415" s="727" t="s">
        <v>2059</v>
      </c>
      <c r="F1415" s="867" t="s">
        <v>1537</v>
      </c>
      <c r="G1415" s="727" t="s">
        <v>2060</v>
      </c>
      <c r="H1415" s="868" t="s">
        <v>3760</v>
      </c>
      <c r="I1415" s="869" t="s">
        <v>2062</v>
      </c>
      <c r="J1415" s="301"/>
      <c r="K1415" s="731" t="s">
        <v>2063</v>
      </c>
      <c r="L1415" s="732">
        <f>STDEV(H1416:H1418)</f>
        <v>27.55747509</v>
      </c>
      <c r="M1415" s="733"/>
      <c r="N1415" s="189"/>
      <c r="O1415" s="454"/>
    </row>
    <row r="1416">
      <c r="A1416" s="748"/>
      <c r="B1416" s="744" t="s">
        <v>3761</v>
      </c>
      <c r="C1416" s="747" t="s">
        <v>2276</v>
      </c>
      <c r="D1416" s="802" t="s">
        <v>2134</v>
      </c>
      <c r="E1416" s="763" t="s">
        <v>2529</v>
      </c>
      <c r="F1416" s="766" t="s">
        <v>4035</v>
      </c>
      <c r="G1416" s="748" t="s">
        <v>4034</v>
      </c>
      <c r="H1416" s="745">
        <v>131.56</v>
      </c>
      <c r="I1416" s="780" t="s">
        <v>4036</v>
      </c>
      <c r="J1416" s="301"/>
      <c r="K1416" s="731" t="s">
        <v>2070</v>
      </c>
      <c r="L1416" s="741">
        <f>L1415/L1414</f>
        <v>0.2322715851</v>
      </c>
      <c r="M1416" s="733"/>
      <c r="N1416" s="742" t="str">
        <f>IF(L1416&lt;25%,"Não","Sim - proceder verificação ao lado")</f>
        <v>Não</v>
      </c>
      <c r="O1416" s="743" t="b">
        <v>1</v>
      </c>
    </row>
    <row r="1417">
      <c r="A1417" s="748"/>
      <c r="B1417" s="744" t="s">
        <v>3761</v>
      </c>
      <c r="C1417" s="767" t="s">
        <v>4037</v>
      </c>
      <c r="D1417" s="777" t="s">
        <v>2185</v>
      </c>
      <c r="E1417" s="763" t="s">
        <v>2529</v>
      </c>
      <c r="F1417" s="764" t="s">
        <v>4038</v>
      </c>
      <c r="G1417" s="748" t="s">
        <v>4034</v>
      </c>
      <c r="H1417" s="745">
        <v>87.0</v>
      </c>
      <c r="I1417" s="776" t="s">
        <v>4039</v>
      </c>
      <c r="J1417" s="301"/>
      <c r="K1417" s="731" t="s">
        <v>2075</v>
      </c>
      <c r="L1417" s="746">
        <f>L1414*1.25</f>
        <v>148.3041667</v>
      </c>
      <c r="M1417" s="733"/>
      <c r="N1417" s="301"/>
      <c r="O1417" s="743" t="b">
        <v>1</v>
      </c>
    </row>
    <row r="1418">
      <c r="A1418" s="748"/>
      <c r="B1418" s="744" t="s">
        <v>3761</v>
      </c>
      <c r="C1418" s="747" t="s">
        <v>2142</v>
      </c>
      <c r="D1418" s="748" t="s">
        <v>2143</v>
      </c>
      <c r="E1418" s="763" t="s">
        <v>2529</v>
      </c>
      <c r="F1418" s="766" t="s">
        <v>4035</v>
      </c>
      <c r="G1418" s="748" t="s">
        <v>4034</v>
      </c>
      <c r="H1418" s="745">
        <v>137.37</v>
      </c>
      <c r="I1418" s="780" t="s">
        <v>4040</v>
      </c>
      <c r="J1418" s="189"/>
      <c r="K1418" s="731" t="s">
        <v>2080</v>
      </c>
      <c r="L1418" s="746">
        <f>L1414*0.75</f>
        <v>88.9825</v>
      </c>
      <c r="M1418" s="733"/>
      <c r="N1418" s="189"/>
      <c r="O1418" s="743" t="b">
        <v>1</v>
      </c>
    </row>
    <row r="1419">
      <c r="A1419" s="847"/>
      <c r="B1419" s="735"/>
      <c r="C1419" s="820"/>
      <c r="D1419" s="847"/>
      <c r="E1419" s="769"/>
      <c r="F1419" s="821"/>
      <c r="G1419" s="881"/>
      <c r="H1419" s="872"/>
      <c r="I1419" s="880"/>
      <c r="J1419" s="752"/>
      <c r="K1419" s="752"/>
      <c r="L1419" s="861"/>
      <c r="M1419" s="751"/>
      <c r="N1419" s="752"/>
    </row>
    <row r="1420">
      <c r="A1420" s="877" t="s">
        <v>1989</v>
      </c>
      <c r="B1420" s="874" t="s">
        <v>4041</v>
      </c>
      <c r="C1420" s="36"/>
      <c r="D1420" s="36"/>
      <c r="E1420" s="36"/>
      <c r="F1420" s="36"/>
      <c r="G1420" s="877" t="s">
        <v>4034</v>
      </c>
      <c r="H1420" s="865">
        <f>MEDIAN(H1422:H1424)</f>
        <v>1133.9</v>
      </c>
      <c r="I1420" s="866"/>
      <c r="J1420" s="758" t="s">
        <v>2053</v>
      </c>
      <c r="K1420" s="731" t="s">
        <v>2054</v>
      </c>
      <c r="L1420" s="759">
        <f>AVERAGE(H1422:H1424)</f>
        <v>1148.81</v>
      </c>
      <c r="M1420" s="733"/>
      <c r="N1420" s="760" t="s">
        <v>2055</v>
      </c>
    </row>
    <row r="1421">
      <c r="A1421" s="727" t="s">
        <v>1717</v>
      </c>
      <c r="B1421" s="728" t="s">
        <v>2056</v>
      </c>
      <c r="C1421" s="728" t="s">
        <v>2057</v>
      </c>
      <c r="D1421" s="727" t="s">
        <v>2058</v>
      </c>
      <c r="E1421" s="727" t="s">
        <v>2059</v>
      </c>
      <c r="F1421" s="867" t="s">
        <v>1537</v>
      </c>
      <c r="G1421" s="727" t="s">
        <v>2060</v>
      </c>
      <c r="H1421" s="868" t="s">
        <v>3760</v>
      </c>
      <c r="I1421" s="869" t="s">
        <v>2062</v>
      </c>
      <c r="J1421" s="301"/>
      <c r="K1421" s="731" t="s">
        <v>2063</v>
      </c>
      <c r="L1421" s="732">
        <f>STDEV(H1422:H1424)</f>
        <v>59.53221229</v>
      </c>
      <c r="M1421" s="733"/>
      <c r="N1421" s="189"/>
      <c r="O1421" s="753"/>
    </row>
    <row r="1422">
      <c r="A1422" s="748"/>
      <c r="B1422" s="744" t="s">
        <v>3761</v>
      </c>
      <c r="C1422" s="747" t="s">
        <v>2276</v>
      </c>
      <c r="D1422" s="802" t="s">
        <v>2134</v>
      </c>
      <c r="E1422" s="763" t="s">
        <v>2529</v>
      </c>
      <c r="F1422" s="766" t="s">
        <v>4042</v>
      </c>
      <c r="G1422" s="748" t="s">
        <v>4034</v>
      </c>
      <c r="H1422" s="745">
        <v>1214.38</v>
      </c>
      <c r="I1422" s="780" t="s">
        <v>4043</v>
      </c>
      <c r="J1422" s="301"/>
      <c r="K1422" s="731" t="s">
        <v>2070</v>
      </c>
      <c r="L1422" s="741">
        <f>L1421/L1420</f>
        <v>0.05182076435</v>
      </c>
      <c r="M1422" s="733"/>
      <c r="N1422" s="742" t="str">
        <f>IF(L1422&lt;25%,"Não","Sim - proceder verificação ao lado")</f>
        <v>Não</v>
      </c>
      <c r="O1422" s="743" t="b">
        <v>1</v>
      </c>
    </row>
    <row r="1423">
      <c r="A1423" s="748"/>
      <c r="B1423" s="744" t="s">
        <v>3761</v>
      </c>
      <c r="C1423" s="747" t="s">
        <v>3827</v>
      </c>
      <c r="D1423" s="748" t="s">
        <v>3828</v>
      </c>
      <c r="E1423" s="763" t="s">
        <v>2529</v>
      </c>
      <c r="F1423" s="766" t="s">
        <v>4044</v>
      </c>
      <c r="G1423" s="748" t="s">
        <v>4034</v>
      </c>
      <c r="H1423" s="745">
        <v>1133.9</v>
      </c>
      <c r="I1423" s="780" t="s">
        <v>4045</v>
      </c>
      <c r="J1423" s="301"/>
      <c r="K1423" s="731" t="s">
        <v>2075</v>
      </c>
      <c r="L1423" s="746">
        <f>L1420*1.25</f>
        <v>1436.0125</v>
      </c>
      <c r="M1423" s="733"/>
      <c r="N1423" s="301"/>
      <c r="O1423" s="743" t="b">
        <v>1</v>
      </c>
    </row>
    <row r="1424">
      <c r="A1424" s="748"/>
      <c r="B1424" s="744" t="s">
        <v>3761</v>
      </c>
      <c r="C1424" s="747" t="s">
        <v>4046</v>
      </c>
      <c r="D1424" s="748" t="s">
        <v>4047</v>
      </c>
      <c r="E1424" s="763" t="s">
        <v>2529</v>
      </c>
      <c r="F1424" s="766" t="s">
        <v>4048</v>
      </c>
      <c r="G1424" s="748" t="s">
        <v>4034</v>
      </c>
      <c r="H1424" s="745">
        <v>1098.15</v>
      </c>
      <c r="I1424" s="780" t="s">
        <v>4049</v>
      </c>
      <c r="J1424" s="189"/>
      <c r="K1424" s="731" t="s">
        <v>2080</v>
      </c>
      <c r="L1424" s="746">
        <f>L1420*0.75</f>
        <v>861.6075</v>
      </c>
      <c r="M1424" s="733"/>
      <c r="N1424" s="189"/>
      <c r="O1424" s="743" t="b">
        <v>1</v>
      </c>
    </row>
    <row r="1425">
      <c r="A1425" s="847"/>
      <c r="B1425" s="735"/>
      <c r="C1425" s="820"/>
      <c r="D1425" s="847"/>
      <c r="E1425" s="769"/>
      <c r="F1425" s="821"/>
      <c r="G1425" s="881"/>
      <c r="H1425" s="872"/>
      <c r="I1425" s="880"/>
      <c r="J1425" s="752"/>
      <c r="K1425" s="752"/>
      <c r="L1425" s="861"/>
      <c r="M1425" s="751"/>
      <c r="N1425" s="752"/>
      <c r="O1425" s="753"/>
    </row>
    <row r="1426">
      <c r="A1426" s="877" t="s">
        <v>1997</v>
      </c>
      <c r="B1426" s="874" t="s">
        <v>4050</v>
      </c>
      <c r="C1426" s="36"/>
      <c r="D1426" s="36"/>
      <c r="E1426" s="36"/>
      <c r="F1426" s="36"/>
      <c r="G1426" s="877" t="s">
        <v>1788</v>
      </c>
      <c r="H1426" s="865">
        <f>MEDIAN(H1428:H1430)</f>
        <v>5.9</v>
      </c>
      <c r="I1426" s="866"/>
      <c r="J1426" s="758" t="s">
        <v>2053</v>
      </c>
      <c r="K1426" s="731" t="s">
        <v>2054</v>
      </c>
      <c r="L1426" s="759">
        <f>AVERAGE(H1428:H1430)</f>
        <v>5.706666667</v>
      </c>
      <c r="M1426" s="733"/>
      <c r="N1426" s="760" t="s">
        <v>2055</v>
      </c>
      <c r="O1426" s="454"/>
    </row>
    <row r="1427">
      <c r="A1427" s="727" t="s">
        <v>1717</v>
      </c>
      <c r="B1427" s="728" t="s">
        <v>2056</v>
      </c>
      <c r="C1427" s="728" t="s">
        <v>2057</v>
      </c>
      <c r="D1427" s="727" t="s">
        <v>2058</v>
      </c>
      <c r="E1427" s="727" t="s">
        <v>2059</v>
      </c>
      <c r="F1427" s="867" t="s">
        <v>1537</v>
      </c>
      <c r="G1427" s="727" t="s">
        <v>2060</v>
      </c>
      <c r="H1427" s="868" t="s">
        <v>3760</v>
      </c>
      <c r="I1427" s="869" t="s">
        <v>2062</v>
      </c>
      <c r="J1427" s="301"/>
      <c r="K1427" s="731" t="s">
        <v>2063</v>
      </c>
      <c r="L1427" s="732">
        <f>STDEV(H1428:H1430)</f>
        <v>0.9351114016</v>
      </c>
      <c r="M1427" s="733"/>
      <c r="N1427" s="189"/>
      <c r="O1427" s="454"/>
    </row>
    <row r="1428">
      <c r="A1428" s="748"/>
      <c r="B1428" s="744" t="s">
        <v>3761</v>
      </c>
      <c r="C1428" s="767" t="s">
        <v>4051</v>
      </c>
      <c r="D1428" s="777" t="s">
        <v>4052</v>
      </c>
      <c r="E1428" s="763" t="s">
        <v>2529</v>
      </c>
      <c r="F1428" s="764" t="s">
        <v>4053</v>
      </c>
      <c r="G1428" s="736" t="s">
        <v>1788</v>
      </c>
      <c r="H1428" s="745">
        <v>4.69</v>
      </c>
      <c r="I1428" s="776" t="s">
        <v>4054</v>
      </c>
      <c r="J1428" s="301"/>
      <c r="K1428" s="731" t="s">
        <v>2070</v>
      </c>
      <c r="L1428" s="741">
        <f>L1427/L1426</f>
        <v>0.1638629792</v>
      </c>
      <c r="M1428" s="733"/>
      <c r="N1428" s="742" t="str">
        <f>IF(L1428&lt;25%,"Não","Sim - proceder verificação ao lado")</f>
        <v>Não</v>
      </c>
      <c r="O1428" s="743" t="b">
        <v>1</v>
      </c>
    </row>
    <row r="1429">
      <c r="A1429" s="748"/>
      <c r="B1429" s="744" t="s">
        <v>3761</v>
      </c>
      <c r="C1429" s="747" t="s">
        <v>4055</v>
      </c>
      <c r="D1429" s="748" t="s">
        <v>4056</v>
      </c>
      <c r="E1429" s="763" t="s">
        <v>2529</v>
      </c>
      <c r="F1429" s="766" t="s">
        <v>4057</v>
      </c>
      <c r="G1429" s="736" t="s">
        <v>1788</v>
      </c>
      <c r="H1429" s="745">
        <v>5.9</v>
      </c>
      <c r="I1429" s="780" t="s">
        <v>4058</v>
      </c>
      <c r="J1429" s="301"/>
      <c r="K1429" s="731" t="s">
        <v>2075</v>
      </c>
      <c r="L1429" s="746">
        <f>L1426*1.25</f>
        <v>7.133333333</v>
      </c>
      <c r="M1429" s="733"/>
      <c r="N1429" s="301"/>
      <c r="O1429" s="743" t="b">
        <v>1</v>
      </c>
    </row>
    <row r="1430">
      <c r="A1430" s="748"/>
      <c r="B1430" s="744" t="s">
        <v>3761</v>
      </c>
      <c r="C1430" s="747" t="s">
        <v>4059</v>
      </c>
      <c r="D1430" s="748" t="s">
        <v>4060</v>
      </c>
      <c r="E1430" s="763" t="s">
        <v>2529</v>
      </c>
      <c r="F1430" s="766" t="s">
        <v>4061</v>
      </c>
      <c r="G1430" s="736" t="s">
        <v>1788</v>
      </c>
      <c r="H1430" s="745">
        <v>6.53</v>
      </c>
      <c r="I1430" s="780" t="s">
        <v>4062</v>
      </c>
      <c r="J1430" s="189"/>
      <c r="K1430" s="731" t="s">
        <v>2080</v>
      </c>
      <c r="L1430" s="746">
        <f>L1426*0.75</f>
        <v>4.28</v>
      </c>
      <c r="M1430" s="733"/>
      <c r="N1430" s="189"/>
      <c r="O1430" s="743" t="b">
        <v>1</v>
      </c>
    </row>
    <row r="1431">
      <c r="A1431" s="847"/>
      <c r="B1431" s="735"/>
      <c r="C1431" s="820"/>
      <c r="D1431" s="847"/>
      <c r="E1431" s="769"/>
      <c r="F1431" s="821"/>
      <c r="G1431" s="749"/>
      <c r="H1431" s="872"/>
      <c r="I1431" s="880"/>
      <c r="J1431" s="752"/>
      <c r="K1431" s="752"/>
      <c r="L1431" s="861"/>
      <c r="M1431" s="751"/>
      <c r="N1431" s="752"/>
      <c r="O1431" s="753"/>
    </row>
    <row r="1432">
      <c r="A1432" s="877" t="s">
        <v>2001</v>
      </c>
      <c r="B1432" s="874" t="s">
        <v>4063</v>
      </c>
      <c r="C1432" s="36"/>
      <c r="D1432" s="36"/>
      <c r="E1432" s="36"/>
      <c r="F1432" s="36"/>
      <c r="G1432" s="877" t="s">
        <v>1788</v>
      </c>
      <c r="H1432" s="865">
        <f>MEDIAN(H1434:H1436)</f>
        <v>19</v>
      </c>
      <c r="I1432" s="866"/>
      <c r="J1432" s="758" t="s">
        <v>2053</v>
      </c>
      <c r="K1432" s="731" t="s">
        <v>2054</v>
      </c>
      <c r="L1432" s="759">
        <f>AVERAGE(H1434:H1436)</f>
        <v>18.57</v>
      </c>
      <c r="M1432" s="733"/>
      <c r="N1432" s="760" t="s">
        <v>2055</v>
      </c>
      <c r="O1432" s="454"/>
    </row>
    <row r="1433">
      <c r="A1433" s="727" t="s">
        <v>1717</v>
      </c>
      <c r="B1433" s="728" t="s">
        <v>2056</v>
      </c>
      <c r="C1433" s="728" t="s">
        <v>2057</v>
      </c>
      <c r="D1433" s="727" t="s">
        <v>2058</v>
      </c>
      <c r="E1433" s="727" t="s">
        <v>2059</v>
      </c>
      <c r="F1433" s="867" t="s">
        <v>1537</v>
      </c>
      <c r="G1433" s="727" t="s">
        <v>2060</v>
      </c>
      <c r="H1433" s="868" t="s">
        <v>3760</v>
      </c>
      <c r="I1433" s="869" t="s">
        <v>2062</v>
      </c>
      <c r="J1433" s="301"/>
      <c r="K1433" s="731" t="s">
        <v>2063</v>
      </c>
      <c r="L1433" s="732">
        <f>STDEV(H1434:H1436)</f>
        <v>1.492213122</v>
      </c>
      <c r="M1433" s="733"/>
      <c r="N1433" s="189"/>
      <c r="O1433" s="454"/>
    </row>
    <row r="1434">
      <c r="A1434" s="748"/>
      <c r="B1434" s="744" t="s">
        <v>3761</v>
      </c>
      <c r="C1434" s="747" t="s">
        <v>2168</v>
      </c>
      <c r="D1434" s="748" t="s">
        <v>2169</v>
      </c>
      <c r="E1434" s="763" t="s">
        <v>2113</v>
      </c>
      <c r="F1434" s="766" t="s">
        <v>4064</v>
      </c>
      <c r="G1434" s="736" t="s">
        <v>1788</v>
      </c>
      <c r="H1434" s="739">
        <v>19.8</v>
      </c>
      <c r="I1434" s="780" t="s">
        <v>4065</v>
      </c>
      <c r="J1434" s="301"/>
      <c r="K1434" s="731" t="s">
        <v>2070</v>
      </c>
      <c r="L1434" s="741">
        <f>L1433/L1432</f>
        <v>0.08035611855</v>
      </c>
      <c r="M1434" s="733"/>
      <c r="N1434" s="742" t="str">
        <f>IF(L1434&lt;25%,"Não","Sim - proceder verificação ao lado")</f>
        <v>Não</v>
      </c>
      <c r="O1434" s="743" t="b">
        <v>1</v>
      </c>
    </row>
    <row r="1435">
      <c r="A1435" s="748"/>
      <c r="B1435" s="744" t="s">
        <v>3761</v>
      </c>
      <c r="C1435" s="747" t="s">
        <v>4006</v>
      </c>
      <c r="D1435" s="748" t="s">
        <v>4007</v>
      </c>
      <c r="E1435" s="763" t="s">
        <v>2113</v>
      </c>
      <c r="F1435" s="764" t="s">
        <v>4066</v>
      </c>
      <c r="G1435" s="736" t="s">
        <v>1788</v>
      </c>
      <c r="H1435" s="745">
        <v>16.91</v>
      </c>
      <c r="I1435" s="776" t="s">
        <v>4067</v>
      </c>
      <c r="J1435" s="301"/>
      <c r="K1435" s="731" t="s">
        <v>2075</v>
      </c>
      <c r="L1435" s="746">
        <f>L1432*1.25</f>
        <v>23.2125</v>
      </c>
      <c r="M1435" s="733"/>
      <c r="N1435" s="301"/>
      <c r="O1435" s="743" t="b">
        <v>1</v>
      </c>
    </row>
    <row r="1436">
      <c r="A1436" s="748"/>
      <c r="B1436" s="744" t="s">
        <v>3761</v>
      </c>
      <c r="C1436" s="747" t="s">
        <v>2276</v>
      </c>
      <c r="D1436" s="802" t="s">
        <v>2134</v>
      </c>
      <c r="E1436" s="763" t="s">
        <v>2113</v>
      </c>
      <c r="F1436" s="766" t="s">
        <v>4068</v>
      </c>
      <c r="G1436" s="736" t="s">
        <v>1788</v>
      </c>
      <c r="H1436" s="739">
        <v>19.0</v>
      </c>
      <c r="I1436" s="780" t="s">
        <v>4069</v>
      </c>
      <c r="J1436" s="189"/>
      <c r="K1436" s="731" t="s">
        <v>2080</v>
      </c>
      <c r="L1436" s="746">
        <f>L1432*0.75</f>
        <v>13.9275</v>
      </c>
      <c r="M1436" s="733"/>
      <c r="N1436" s="189"/>
      <c r="O1436" s="743" t="b">
        <v>1</v>
      </c>
    </row>
    <row r="1437">
      <c r="A1437" s="847"/>
      <c r="B1437" s="735"/>
      <c r="C1437" s="820"/>
      <c r="D1437" s="847"/>
      <c r="E1437" s="769"/>
      <c r="F1437" s="821"/>
      <c r="G1437" s="749"/>
      <c r="H1437" s="872"/>
      <c r="I1437" s="880"/>
      <c r="J1437" s="752"/>
      <c r="K1437" s="752"/>
      <c r="L1437" s="861"/>
      <c r="M1437" s="751"/>
      <c r="N1437" s="752"/>
    </row>
    <row r="1438">
      <c r="A1438" s="877" t="s">
        <v>4070</v>
      </c>
      <c r="B1438" s="874" t="s">
        <v>4071</v>
      </c>
      <c r="C1438" s="36"/>
      <c r="D1438" s="36"/>
      <c r="E1438" s="36"/>
      <c r="F1438" s="36"/>
      <c r="G1438" s="877" t="s">
        <v>1788</v>
      </c>
      <c r="H1438" s="865">
        <f>MEDIAN(H1440:H1442)</f>
        <v>34.48</v>
      </c>
      <c r="I1438" s="866"/>
      <c r="J1438" s="758" t="s">
        <v>2053</v>
      </c>
      <c r="K1438" s="731" t="s">
        <v>2054</v>
      </c>
      <c r="L1438" s="759">
        <f>AVERAGE(H1440:H1442)</f>
        <v>35.38</v>
      </c>
      <c r="M1438" s="733"/>
      <c r="N1438" s="760" t="s">
        <v>2055</v>
      </c>
    </row>
    <row r="1439">
      <c r="A1439" s="727" t="s">
        <v>1717</v>
      </c>
      <c r="B1439" s="728" t="s">
        <v>2056</v>
      </c>
      <c r="C1439" s="728" t="s">
        <v>2057</v>
      </c>
      <c r="D1439" s="727" t="s">
        <v>2058</v>
      </c>
      <c r="E1439" s="727" t="s">
        <v>2059</v>
      </c>
      <c r="F1439" s="867" t="s">
        <v>1537</v>
      </c>
      <c r="G1439" s="727" t="s">
        <v>2060</v>
      </c>
      <c r="H1439" s="868" t="s">
        <v>3760</v>
      </c>
      <c r="I1439" s="869" t="s">
        <v>2062</v>
      </c>
      <c r="J1439" s="301"/>
      <c r="K1439" s="731" t="s">
        <v>2063</v>
      </c>
      <c r="L1439" s="732">
        <f>STDEV(H1440:H1442)</f>
        <v>6.616071342</v>
      </c>
      <c r="M1439" s="733"/>
      <c r="N1439" s="189"/>
      <c r="O1439" s="753"/>
    </row>
    <row r="1440">
      <c r="A1440" s="748"/>
      <c r="B1440" s="744" t="s">
        <v>3761</v>
      </c>
      <c r="C1440" s="747" t="s">
        <v>2276</v>
      </c>
      <c r="D1440" s="802" t="s">
        <v>2134</v>
      </c>
      <c r="E1440" s="763" t="s">
        <v>2113</v>
      </c>
      <c r="F1440" s="766" t="s">
        <v>4072</v>
      </c>
      <c r="G1440" s="736" t="s">
        <v>1788</v>
      </c>
      <c r="H1440" s="745">
        <v>34.48</v>
      </c>
      <c r="I1440" s="780" t="s">
        <v>4073</v>
      </c>
      <c r="J1440" s="301"/>
      <c r="K1440" s="731" t="s">
        <v>2070</v>
      </c>
      <c r="L1440" s="741">
        <f>L1439/L1438</f>
        <v>0.1870003206</v>
      </c>
      <c r="M1440" s="733"/>
      <c r="N1440" s="742" t="str">
        <f>IF(L1440&lt;25%,"Não","Sim - proceder verificação ao lado")</f>
        <v>Não</v>
      </c>
      <c r="O1440" s="743" t="b">
        <v>1</v>
      </c>
    </row>
    <row r="1441">
      <c r="A1441" s="748"/>
      <c r="B1441" s="744" t="s">
        <v>3761</v>
      </c>
      <c r="C1441" s="747" t="s">
        <v>4046</v>
      </c>
      <c r="D1441" s="748" t="s">
        <v>4047</v>
      </c>
      <c r="E1441" s="763" t="s">
        <v>2113</v>
      </c>
      <c r="F1441" s="766" t="s">
        <v>4072</v>
      </c>
      <c r="G1441" s="736" t="s">
        <v>1788</v>
      </c>
      <c r="H1441" s="745">
        <v>29.26</v>
      </c>
      <c r="I1441" s="780" t="s">
        <v>4074</v>
      </c>
      <c r="J1441" s="301"/>
      <c r="K1441" s="731" t="s">
        <v>2075</v>
      </c>
      <c r="L1441" s="746">
        <f>L1438*1.25</f>
        <v>44.225</v>
      </c>
      <c r="M1441" s="733"/>
      <c r="N1441" s="301"/>
      <c r="O1441" s="743" t="b">
        <v>1</v>
      </c>
    </row>
    <row r="1442">
      <c r="A1442" s="748"/>
      <c r="B1442" s="744" t="s">
        <v>3761</v>
      </c>
      <c r="C1442" s="747" t="s">
        <v>3026</v>
      </c>
      <c r="D1442" s="748" t="s">
        <v>3027</v>
      </c>
      <c r="E1442" s="763" t="s">
        <v>2113</v>
      </c>
      <c r="F1442" s="766" t="s">
        <v>4075</v>
      </c>
      <c r="G1442" s="736" t="s">
        <v>1788</v>
      </c>
      <c r="H1442" s="745">
        <v>42.4</v>
      </c>
      <c r="I1442" s="780" t="s">
        <v>4076</v>
      </c>
      <c r="J1442" s="189"/>
      <c r="K1442" s="731" t="s">
        <v>2080</v>
      </c>
      <c r="L1442" s="746">
        <f>L1438*0.75</f>
        <v>26.535</v>
      </c>
      <c r="M1442" s="733"/>
      <c r="N1442" s="189"/>
      <c r="O1442" s="743" t="b">
        <v>1</v>
      </c>
    </row>
    <row r="1443">
      <c r="A1443" s="847"/>
      <c r="B1443" s="735"/>
      <c r="C1443" s="820"/>
      <c r="D1443" s="847"/>
      <c r="E1443" s="769"/>
      <c r="F1443" s="821"/>
      <c r="G1443" s="749"/>
      <c r="H1443" s="872"/>
      <c r="I1443" s="880"/>
      <c r="J1443" s="752"/>
      <c r="K1443" s="752"/>
      <c r="L1443" s="861"/>
      <c r="M1443" s="751"/>
      <c r="N1443" s="752"/>
      <c r="O1443" s="753"/>
    </row>
    <row r="1444">
      <c r="A1444" s="877" t="s">
        <v>2004</v>
      </c>
      <c r="B1444" s="874" t="s">
        <v>4077</v>
      </c>
      <c r="C1444" s="36"/>
      <c r="D1444" s="36"/>
      <c r="E1444" s="36"/>
      <c r="F1444" s="36"/>
      <c r="G1444" s="877" t="s">
        <v>1788</v>
      </c>
      <c r="H1444" s="865">
        <f>MEDIAN(H1446:H1448)</f>
        <v>10.9</v>
      </c>
      <c r="I1444" s="866"/>
      <c r="J1444" s="758" t="s">
        <v>2053</v>
      </c>
      <c r="K1444" s="731" t="s">
        <v>2054</v>
      </c>
      <c r="L1444" s="759">
        <f>AVERAGE(H1446:H1448)</f>
        <v>10.83666667</v>
      </c>
      <c r="M1444" s="733"/>
      <c r="N1444" s="760" t="s">
        <v>2055</v>
      </c>
      <c r="O1444" s="454"/>
    </row>
    <row r="1445">
      <c r="A1445" s="727" t="s">
        <v>1717</v>
      </c>
      <c r="B1445" s="728" t="s">
        <v>2056</v>
      </c>
      <c r="C1445" s="728" t="s">
        <v>2057</v>
      </c>
      <c r="D1445" s="727" t="s">
        <v>2058</v>
      </c>
      <c r="E1445" s="727" t="s">
        <v>2059</v>
      </c>
      <c r="F1445" s="867" t="s">
        <v>1537</v>
      </c>
      <c r="G1445" s="727" t="s">
        <v>2060</v>
      </c>
      <c r="H1445" s="868" t="s">
        <v>3760</v>
      </c>
      <c r="I1445" s="869" t="s">
        <v>2062</v>
      </c>
      <c r="J1445" s="301"/>
      <c r="K1445" s="731" t="s">
        <v>2063</v>
      </c>
      <c r="L1445" s="732">
        <f>STDEV(H1446:H1448)</f>
        <v>2.405625352</v>
      </c>
      <c r="M1445" s="733"/>
      <c r="N1445" s="189"/>
      <c r="O1445" s="454"/>
    </row>
    <row r="1446">
      <c r="A1446" s="748"/>
      <c r="B1446" s="744" t="s">
        <v>3761</v>
      </c>
      <c r="C1446" s="747" t="s">
        <v>2168</v>
      </c>
      <c r="D1446" s="748" t="s">
        <v>2169</v>
      </c>
      <c r="E1446" s="763" t="s">
        <v>2113</v>
      </c>
      <c r="F1446" s="766" t="s">
        <v>4078</v>
      </c>
      <c r="G1446" s="736" t="s">
        <v>1788</v>
      </c>
      <c r="H1446" s="739">
        <v>8.4</v>
      </c>
      <c r="I1446" s="780" t="s">
        <v>4079</v>
      </c>
      <c r="J1446" s="301"/>
      <c r="K1446" s="731" t="s">
        <v>2070</v>
      </c>
      <c r="L1446" s="741">
        <f>L1445/L1444</f>
        <v>0.2219894203</v>
      </c>
      <c r="M1446" s="733"/>
      <c r="N1446" s="742" t="str">
        <f>IF(L1446&lt;25%,"Não","Sim - proceder verificação ao lado")</f>
        <v>Não</v>
      </c>
      <c r="O1446" s="743" t="b">
        <v>1</v>
      </c>
    </row>
    <row r="1447">
      <c r="A1447" s="748"/>
      <c r="B1447" s="744" t="s">
        <v>3761</v>
      </c>
      <c r="C1447" s="747" t="s">
        <v>2276</v>
      </c>
      <c r="D1447" s="802" t="s">
        <v>2134</v>
      </c>
      <c r="E1447" s="763" t="s">
        <v>2113</v>
      </c>
      <c r="F1447" s="764" t="s">
        <v>4080</v>
      </c>
      <c r="G1447" s="736" t="s">
        <v>1788</v>
      </c>
      <c r="H1447" s="745">
        <v>13.21</v>
      </c>
      <c r="I1447" s="776" t="s">
        <v>4081</v>
      </c>
      <c r="J1447" s="301"/>
      <c r="K1447" s="731" t="s">
        <v>2075</v>
      </c>
      <c r="L1447" s="746">
        <f>L1444*1.25</f>
        <v>13.54583333</v>
      </c>
      <c r="M1447" s="733"/>
      <c r="N1447" s="301"/>
      <c r="O1447" s="743" t="b">
        <v>1</v>
      </c>
    </row>
    <row r="1448">
      <c r="A1448" s="748"/>
      <c r="B1448" s="744" t="s">
        <v>3761</v>
      </c>
      <c r="C1448" s="747" t="s">
        <v>4082</v>
      </c>
      <c r="D1448" s="748"/>
      <c r="E1448" s="763" t="s">
        <v>2113</v>
      </c>
      <c r="F1448" s="766" t="s">
        <v>4083</v>
      </c>
      <c r="G1448" s="736" t="s">
        <v>1788</v>
      </c>
      <c r="H1448" s="739">
        <v>10.9</v>
      </c>
      <c r="I1448" s="780" t="s">
        <v>4084</v>
      </c>
      <c r="J1448" s="189"/>
      <c r="K1448" s="731" t="s">
        <v>2080</v>
      </c>
      <c r="L1448" s="746">
        <f>L1444*0.75</f>
        <v>8.1275</v>
      </c>
      <c r="M1448" s="733"/>
      <c r="N1448" s="189"/>
      <c r="O1448" s="743" t="b">
        <v>1</v>
      </c>
    </row>
    <row r="1449">
      <c r="A1449" s="847"/>
      <c r="B1449" s="735"/>
      <c r="C1449" s="820"/>
      <c r="D1449" s="847"/>
      <c r="E1449" s="769"/>
      <c r="F1449" s="821"/>
      <c r="G1449" s="749"/>
      <c r="H1449" s="872"/>
      <c r="I1449" s="880"/>
      <c r="J1449" s="752"/>
      <c r="K1449" s="752"/>
      <c r="L1449" s="861"/>
      <c r="M1449" s="751"/>
      <c r="N1449" s="752"/>
      <c r="O1449" s="753"/>
    </row>
    <row r="1450">
      <c r="A1450" s="877" t="s">
        <v>4085</v>
      </c>
      <c r="B1450" s="874" t="s">
        <v>4086</v>
      </c>
      <c r="C1450" s="36"/>
      <c r="D1450" s="36"/>
      <c r="E1450" s="36"/>
      <c r="F1450" s="36"/>
      <c r="G1450" s="877" t="s">
        <v>1788</v>
      </c>
      <c r="H1450" s="865">
        <f>MEDIAN(H1452:H1454)</f>
        <v>749</v>
      </c>
      <c r="I1450" s="866"/>
      <c r="J1450" s="758" t="s">
        <v>2053</v>
      </c>
      <c r="K1450" s="731" t="s">
        <v>2054</v>
      </c>
      <c r="L1450" s="759">
        <f>AVERAGE(H1452:H1454)</f>
        <v>717.2466667</v>
      </c>
      <c r="M1450" s="733"/>
      <c r="N1450" s="760" t="s">
        <v>2055</v>
      </c>
      <c r="O1450" s="454"/>
    </row>
    <row r="1451">
      <c r="A1451" s="727" t="s">
        <v>1717</v>
      </c>
      <c r="B1451" s="728" t="s">
        <v>2056</v>
      </c>
      <c r="C1451" s="728" t="s">
        <v>2057</v>
      </c>
      <c r="D1451" s="727" t="s">
        <v>2058</v>
      </c>
      <c r="E1451" s="727" t="s">
        <v>2059</v>
      </c>
      <c r="F1451" s="867" t="s">
        <v>1537</v>
      </c>
      <c r="G1451" s="727" t="s">
        <v>2060</v>
      </c>
      <c r="H1451" s="868" t="s">
        <v>3760</v>
      </c>
      <c r="I1451" s="869" t="s">
        <v>2062</v>
      </c>
      <c r="J1451" s="301"/>
      <c r="K1451" s="731" t="s">
        <v>2063</v>
      </c>
      <c r="L1451" s="732">
        <f>STDEV(H1452:H1454)</f>
        <v>70.75268004</v>
      </c>
      <c r="M1451" s="733"/>
      <c r="N1451" s="189"/>
      <c r="O1451" s="454"/>
    </row>
    <row r="1452">
      <c r="A1452" s="748"/>
      <c r="B1452" s="744" t="s">
        <v>3761</v>
      </c>
      <c r="C1452" s="747" t="s">
        <v>4087</v>
      </c>
      <c r="D1452" s="748" t="s">
        <v>2268</v>
      </c>
      <c r="E1452" s="763" t="s">
        <v>2113</v>
      </c>
      <c r="F1452" s="766" t="s">
        <v>4088</v>
      </c>
      <c r="G1452" s="736" t="s">
        <v>1788</v>
      </c>
      <c r="H1452" s="745">
        <v>749.0</v>
      </c>
      <c r="I1452" s="780" t="s">
        <v>4089</v>
      </c>
      <c r="J1452" s="301"/>
      <c r="K1452" s="731" t="s">
        <v>2070</v>
      </c>
      <c r="L1452" s="741">
        <f>L1451/L1450</f>
        <v>0.09864483633</v>
      </c>
      <c r="M1452" s="733"/>
      <c r="N1452" s="742" t="str">
        <f>IF(L1452&lt;25%,"Não","Sim - proceder verificação ao lado")</f>
        <v>Não</v>
      </c>
      <c r="O1452" s="743" t="b">
        <v>1</v>
      </c>
    </row>
    <row r="1453">
      <c r="A1453" s="748"/>
      <c r="B1453" s="744" t="s">
        <v>3761</v>
      </c>
      <c r="C1453" s="747" t="s">
        <v>3138</v>
      </c>
      <c r="D1453" s="748" t="s">
        <v>3139</v>
      </c>
      <c r="E1453" s="763" t="s">
        <v>2113</v>
      </c>
      <c r="F1453" s="766" t="s">
        <v>4090</v>
      </c>
      <c r="G1453" s="736" t="s">
        <v>1788</v>
      </c>
      <c r="H1453" s="745">
        <v>636.18</v>
      </c>
      <c r="I1453" s="780" t="s">
        <v>4091</v>
      </c>
      <c r="J1453" s="301"/>
      <c r="K1453" s="731" t="s">
        <v>2075</v>
      </c>
      <c r="L1453" s="746">
        <f>L1450*1.25</f>
        <v>896.5583333</v>
      </c>
      <c r="M1453" s="733"/>
      <c r="N1453" s="301"/>
      <c r="O1453" s="743" t="b">
        <v>1</v>
      </c>
    </row>
    <row r="1454">
      <c r="A1454" s="748"/>
      <c r="B1454" s="744" t="s">
        <v>3761</v>
      </c>
      <c r="C1454" s="747" t="s">
        <v>2959</v>
      </c>
      <c r="D1454" s="748" t="s">
        <v>2919</v>
      </c>
      <c r="E1454" s="763" t="s">
        <v>2113</v>
      </c>
      <c r="F1454" s="764" t="s">
        <v>4092</v>
      </c>
      <c r="G1454" s="736" t="s">
        <v>1788</v>
      </c>
      <c r="H1454" s="745">
        <v>766.56</v>
      </c>
      <c r="I1454" s="776" t="s">
        <v>4093</v>
      </c>
      <c r="J1454" s="189"/>
      <c r="K1454" s="731" t="s">
        <v>2080</v>
      </c>
      <c r="L1454" s="746">
        <f>L1450*0.75</f>
        <v>537.935</v>
      </c>
      <c r="M1454" s="733"/>
      <c r="N1454" s="189"/>
      <c r="O1454" s="743" t="b">
        <v>1</v>
      </c>
    </row>
    <row r="1455">
      <c r="A1455" s="847"/>
      <c r="B1455" s="735"/>
      <c r="C1455" s="820"/>
      <c r="D1455" s="847"/>
      <c r="E1455" s="769"/>
      <c r="F1455" s="821"/>
      <c r="G1455" s="749"/>
      <c r="H1455" s="872"/>
      <c r="I1455" s="880"/>
      <c r="J1455" s="752"/>
      <c r="K1455" s="752"/>
      <c r="L1455" s="861"/>
      <c r="M1455" s="751"/>
      <c r="N1455" s="752"/>
    </row>
    <row r="1456">
      <c r="A1456" s="877" t="s">
        <v>2008</v>
      </c>
      <c r="B1456" s="874" t="s">
        <v>4094</v>
      </c>
      <c r="C1456" s="36"/>
      <c r="D1456" s="36"/>
      <c r="E1456" s="36"/>
      <c r="F1456" s="36"/>
      <c r="G1456" s="877" t="s">
        <v>1788</v>
      </c>
      <c r="H1456" s="865">
        <f>MEDIAN(H1458:H1460)</f>
        <v>218.9</v>
      </c>
      <c r="I1456" s="866"/>
      <c r="J1456" s="758" t="s">
        <v>2053</v>
      </c>
      <c r="K1456" s="731" t="s">
        <v>2054</v>
      </c>
      <c r="L1456" s="759">
        <f>AVERAGE(H1458:H1460)</f>
        <v>216.82</v>
      </c>
      <c r="M1456" s="733"/>
      <c r="N1456" s="760" t="s">
        <v>2055</v>
      </c>
    </row>
    <row r="1457">
      <c r="A1457" s="727" t="s">
        <v>1717</v>
      </c>
      <c r="B1457" s="728" t="s">
        <v>2056</v>
      </c>
      <c r="C1457" s="728" t="s">
        <v>2057</v>
      </c>
      <c r="D1457" s="727" t="s">
        <v>2058</v>
      </c>
      <c r="E1457" s="727" t="s">
        <v>2059</v>
      </c>
      <c r="F1457" s="867" t="s">
        <v>1537</v>
      </c>
      <c r="G1457" s="727" t="s">
        <v>2060</v>
      </c>
      <c r="H1457" s="868" t="s">
        <v>3760</v>
      </c>
      <c r="I1457" s="869" t="s">
        <v>2062</v>
      </c>
      <c r="J1457" s="301"/>
      <c r="K1457" s="731" t="s">
        <v>2063</v>
      </c>
      <c r="L1457" s="732">
        <f>STDEV(H1458:H1460)</f>
        <v>16.87640957</v>
      </c>
      <c r="M1457" s="733"/>
      <c r="N1457" s="189"/>
      <c r="O1457" s="753"/>
    </row>
    <row r="1458">
      <c r="A1458" s="748"/>
      <c r="B1458" s="744" t="s">
        <v>3761</v>
      </c>
      <c r="C1458" s="747" t="s">
        <v>2276</v>
      </c>
      <c r="D1458" s="802" t="s">
        <v>2134</v>
      </c>
      <c r="E1458" s="763" t="s">
        <v>2113</v>
      </c>
      <c r="F1458" s="766" t="s">
        <v>4095</v>
      </c>
      <c r="G1458" s="736" t="s">
        <v>1788</v>
      </c>
      <c r="H1458" s="739">
        <v>218.9</v>
      </c>
      <c r="I1458" s="780" t="s">
        <v>4096</v>
      </c>
      <c r="J1458" s="301"/>
      <c r="K1458" s="731" t="s">
        <v>2070</v>
      </c>
      <c r="L1458" s="741">
        <f>L1457/L1456</f>
        <v>0.07783603713</v>
      </c>
      <c r="M1458" s="733"/>
      <c r="N1458" s="742" t="str">
        <f>IF(L1458&lt;25%,"Não","Sim - proceder verificação ao lado")</f>
        <v>Não</v>
      </c>
      <c r="O1458" s="743" t="b">
        <v>1</v>
      </c>
    </row>
    <row r="1459">
      <c r="A1459" s="748"/>
      <c r="B1459" s="744" t="s">
        <v>3761</v>
      </c>
      <c r="C1459" s="747" t="s">
        <v>4097</v>
      </c>
      <c r="D1459" s="748" t="s">
        <v>4098</v>
      </c>
      <c r="E1459" s="763" t="s">
        <v>2113</v>
      </c>
      <c r="F1459" s="766" t="s">
        <v>4099</v>
      </c>
      <c r="G1459" s="736" t="s">
        <v>1788</v>
      </c>
      <c r="H1459" s="739">
        <v>199.0</v>
      </c>
      <c r="I1459" s="780" t="s">
        <v>4100</v>
      </c>
      <c r="J1459" s="301"/>
      <c r="K1459" s="731" t="s">
        <v>2075</v>
      </c>
      <c r="L1459" s="746">
        <f>L1456*1.25</f>
        <v>271.025</v>
      </c>
      <c r="M1459" s="733"/>
      <c r="N1459" s="301"/>
      <c r="O1459" s="743" t="b">
        <v>1</v>
      </c>
    </row>
    <row r="1460">
      <c r="A1460" s="748"/>
      <c r="B1460" s="744" t="s">
        <v>3761</v>
      </c>
      <c r="C1460" s="747" t="s">
        <v>4101</v>
      </c>
      <c r="D1460" s="748"/>
      <c r="E1460" s="763" t="s">
        <v>2113</v>
      </c>
      <c r="F1460" s="766" t="s">
        <v>4102</v>
      </c>
      <c r="G1460" s="736" t="s">
        <v>1788</v>
      </c>
      <c r="H1460" s="739">
        <v>232.56</v>
      </c>
      <c r="I1460" s="780" t="s">
        <v>4103</v>
      </c>
      <c r="J1460" s="189"/>
      <c r="K1460" s="731" t="s">
        <v>2080</v>
      </c>
      <c r="L1460" s="746">
        <f>L1456*0.75</f>
        <v>162.615</v>
      </c>
      <c r="M1460" s="733"/>
      <c r="N1460" s="189"/>
      <c r="O1460" s="743" t="b">
        <v>1</v>
      </c>
    </row>
    <row r="1461">
      <c r="A1461" s="847"/>
      <c r="B1461" s="735"/>
      <c r="C1461" s="820"/>
      <c r="D1461" s="802"/>
      <c r="E1461" s="769"/>
      <c r="F1461" s="821"/>
      <c r="G1461" s="749"/>
      <c r="H1461" s="872"/>
      <c r="I1461" s="880"/>
      <c r="J1461" s="752"/>
      <c r="K1461" s="752"/>
      <c r="L1461" s="861"/>
      <c r="M1461" s="824"/>
      <c r="N1461" s="752"/>
      <c r="O1461" s="753"/>
    </row>
    <row r="1462">
      <c r="A1462" s="877" t="s">
        <v>2025</v>
      </c>
      <c r="B1462" s="874" t="s">
        <v>4104</v>
      </c>
      <c r="C1462" s="36"/>
      <c r="D1462" s="36"/>
      <c r="E1462" s="36"/>
      <c r="F1462" s="36"/>
      <c r="G1462" s="862" t="s">
        <v>1788</v>
      </c>
      <c r="H1462" s="865">
        <f>MEDIAN(H1464:H1466)</f>
        <v>9.02</v>
      </c>
      <c r="I1462" s="882"/>
      <c r="J1462" s="758" t="s">
        <v>2053</v>
      </c>
      <c r="K1462" s="731" t="s">
        <v>2054</v>
      </c>
      <c r="L1462" s="759">
        <f>AVERAGE(H1464:H1466)</f>
        <v>9.436666667</v>
      </c>
      <c r="M1462" s="883"/>
      <c r="N1462" s="760" t="s">
        <v>2055</v>
      </c>
      <c r="O1462" s="454"/>
    </row>
    <row r="1463">
      <c r="A1463" s="884" t="s">
        <v>1717</v>
      </c>
      <c r="B1463" s="728" t="s">
        <v>2056</v>
      </c>
      <c r="C1463" s="885" t="s">
        <v>2057</v>
      </c>
      <c r="D1463" s="884" t="s">
        <v>2058</v>
      </c>
      <c r="E1463" s="886" t="s">
        <v>2059</v>
      </c>
      <c r="F1463" s="867" t="s">
        <v>1537</v>
      </c>
      <c r="G1463" s="727" t="s">
        <v>2060</v>
      </c>
      <c r="H1463" s="868" t="s">
        <v>3760</v>
      </c>
      <c r="I1463" s="887" t="s">
        <v>2062</v>
      </c>
      <c r="J1463" s="301"/>
      <c r="K1463" s="731" t="s">
        <v>2063</v>
      </c>
      <c r="L1463" s="732">
        <f>STDEV(H1464:H1466)</f>
        <v>1.257868568</v>
      </c>
      <c r="M1463" s="883"/>
      <c r="N1463" s="189"/>
      <c r="O1463" s="454"/>
    </row>
    <row r="1464">
      <c r="A1464" s="847"/>
      <c r="B1464" s="744" t="s">
        <v>3761</v>
      </c>
      <c r="C1464" s="747" t="s">
        <v>3996</v>
      </c>
      <c r="D1464" s="888" t="s">
        <v>3997</v>
      </c>
      <c r="E1464" s="763" t="s">
        <v>2113</v>
      </c>
      <c r="F1464" s="766" t="s">
        <v>4105</v>
      </c>
      <c r="G1464" s="748" t="s">
        <v>1788</v>
      </c>
      <c r="H1464" s="745">
        <v>8.44</v>
      </c>
      <c r="I1464" s="780" t="s">
        <v>4106</v>
      </c>
      <c r="J1464" s="301"/>
      <c r="K1464" s="731" t="s">
        <v>2070</v>
      </c>
      <c r="L1464" s="741">
        <f>L1463/L1462</f>
        <v>0.1332958567</v>
      </c>
      <c r="M1464" s="883"/>
      <c r="N1464" s="742" t="str">
        <f>IF(L1464&lt;25%,"Não","Sim - proceder verificação ao lado")</f>
        <v>Não</v>
      </c>
      <c r="O1464" s="743" t="b">
        <v>1</v>
      </c>
    </row>
    <row r="1465">
      <c r="A1465" s="847"/>
      <c r="B1465" s="744" t="s">
        <v>3761</v>
      </c>
      <c r="C1465" s="767" t="s">
        <v>4107</v>
      </c>
      <c r="D1465" s="889" t="s">
        <v>4108</v>
      </c>
      <c r="E1465" s="763" t="s">
        <v>2113</v>
      </c>
      <c r="F1465" s="764" t="s">
        <v>4109</v>
      </c>
      <c r="G1465" s="748" t="s">
        <v>1788</v>
      </c>
      <c r="H1465" s="745">
        <v>10.85</v>
      </c>
      <c r="I1465" s="776" t="s">
        <v>4110</v>
      </c>
      <c r="J1465" s="301"/>
      <c r="K1465" s="731" t="s">
        <v>2075</v>
      </c>
      <c r="L1465" s="746">
        <f>L1462*1.25</f>
        <v>11.79583333</v>
      </c>
      <c r="M1465" s="883"/>
      <c r="N1465" s="301"/>
      <c r="O1465" s="743" t="b">
        <v>1</v>
      </c>
    </row>
    <row r="1466">
      <c r="A1466" s="847"/>
      <c r="B1466" s="744" t="s">
        <v>3761</v>
      </c>
      <c r="C1466" s="747" t="s">
        <v>4111</v>
      </c>
      <c r="D1466" s="802" t="s">
        <v>4112</v>
      </c>
      <c r="E1466" s="763" t="s">
        <v>2113</v>
      </c>
      <c r="F1466" s="766" t="s">
        <v>4113</v>
      </c>
      <c r="G1466" s="748" t="s">
        <v>1788</v>
      </c>
      <c r="H1466" s="745">
        <v>9.02</v>
      </c>
      <c r="I1466" s="780" t="s">
        <v>4114</v>
      </c>
      <c r="J1466" s="189"/>
      <c r="K1466" s="731" t="s">
        <v>2080</v>
      </c>
      <c r="L1466" s="746">
        <f>L1462*0.75</f>
        <v>7.0775</v>
      </c>
      <c r="M1466" s="883"/>
      <c r="N1466" s="189"/>
      <c r="O1466" s="743" t="b">
        <v>1</v>
      </c>
    </row>
    <row r="1467">
      <c r="A1467" s="847"/>
      <c r="B1467" s="735"/>
      <c r="C1467" s="820"/>
      <c r="D1467" s="802"/>
      <c r="E1467" s="769"/>
      <c r="F1467" s="821"/>
      <c r="G1467" s="749"/>
      <c r="H1467" s="872"/>
      <c r="I1467" s="880"/>
      <c r="J1467" s="752"/>
      <c r="K1467" s="752"/>
      <c r="L1467" s="861"/>
      <c r="M1467" s="824"/>
      <c r="N1467" s="752"/>
      <c r="O1467" s="753"/>
    </row>
    <row r="1468">
      <c r="A1468" s="877" t="s">
        <v>2029</v>
      </c>
      <c r="B1468" s="874" t="s">
        <v>4115</v>
      </c>
      <c r="C1468" s="36"/>
      <c r="D1468" s="36"/>
      <c r="E1468" s="36"/>
      <c r="F1468" s="36"/>
      <c r="G1468" s="862" t="s">
        <v>1788</v>
      </c>
      <c r="H1468" s="865">
        <f>MEDIAN(H1470:H1472)</f>
        <v>59.8</v>
      </c>
      <c r="I1468" s="882"/>
      <c r="J1468" s="758" t="s">
        <v>2053</v>
      </c>
      <c r="K1468" s="731" t="s">
        <v>2054</v>
      </c>
      <c r="L1468" s="759">
        <f>AVERAGE(H1470:H1472)</f>
        <v>62.45</v>
      </c>
      <c r="M1468" s="883"/>
      <c r="N1468" s="760" t="s">
        <v>2055</v>
      </c>
      <c r="O1468" s="454"/>
    </row>
    <row r="1469">
      <c r="A1469" s="884" t="s">
        <v>1717</v>
      </c>
      <c r="B1469" s="728" t="s">
        <v>2056</v>
      </c>
      <c r="C1469" s="885" t="s">
        <v>2057</v>
      </c>
      <c r="D1469" s="884" t="s">
        <v>2058</v>
      </c>
      <c r="E1469" s="886" t="s">
        <v>2059</v>
      </c>
      <c r="F1469" s="867" t="s">
        <v>1537</v>
      </c>
      <c r="G1469" s="727" t="s">
        <v>2060</v>
      </c>
      <c r="H1469" s="868" t="s">
        <v>3760</v>
      </c>
      <c r="I1469" s="887" t="s">
        <v>2062</v>
      </c>
      <c r="J1469" s="301"/>
      <c r="K1469" s="731" t="s">
        <v>2063</v>
      </c>
      <c r="L1469" s="732">
        <f>STDEV(H1470:H1472)</f>
        <v>5.388181511</v>
      </c>
      <c r="M1469" s="883"/>
      <c r="N1469" s="189"/>
      <c r="O1469" s="454"/>
    </row>
    <row r="1470">
      <c r="A1470" s="847"/>
      <c r="B1470" s="744" t="s">
        <v>3761</v>
      </c>
      <c r="C1470" s="747" t="s">
        <v>2184</v>
      </c>
      <c r="D1470" s="888" t="s">
        <v>2185</v>
      </c>
      <c r="E1470" s="763" t="s">
        <v>2113</v>
      </c>
      <c r="F1470" s="766" t="s">
        <v>4116</v>
      </c>
      <c r="G1470" s="748" t="s">
        <v>1788</v>
      </c>
      <c r="H1470" s="745">
        <v>58.9</v>
      </c>
      <c r="I1470" s="780" t="s">
        <v>4117</v>
      </c>
      <c r="J1470" s="301"/>
      <c r="K1470" s="731" t="s">
        <v>2070</v>
      </c>
      <c r="L1470" s="741">
        <f>L1469/L1468</f>
        <v>0.08627992813</v>
      </c>
      <c r="M1470" s="883"/>
      <c r="N1470" s="742" t="str">
        <f>IF(L1470&lt;25%,"Não","Sim - proceder verificação ao lado")</f>
        <v>Não</v>
      </c>
      <c r="O1470" s="743" t="b">
        <v>1</v>
      </c>
    </row>
    <row r="1471">
      <c r="A1471" s="847"/>
      <c r="B1471" s="744" t="s">
        <v>3761</v>
      </c>
      <c r="C1471" s="747" t="s">
        <v>2541</v>
      </c>
      <c r="D1471" s="888" t="s">
        <v>2150</v>
      </c>
      <c r="E1471" s="763" t="s">
        <v>2113</v>
      </c>
      <c r="F1471" s="766" t="s">
        <v>4116</v>
      </c>
      <c r="G1471" s="748" t="s">
        <v>1788</v>
      </c>
      <c r="H1471" s="739">
        <v>59.8</v>
      </c>
      <c r="I1471" s="780" t="s">
        <v>4118</v>
      </c>
      <c r="J1471" s="301"/>
      <c r="K1471" s="731" t="s">
        <v>2075</v>
      </c>
      <c r="L1471" s="746">
        <f>L1468*1.25</f>
        <v>78.0625</v>
      </c>
      <c r="M1471" s="883"/>
      <c r="N1471" s="301"/>
      <c r="O1471" s="743" t="b">
        <v>1</v>
      </c>
    </row>
    <row r="1472">
      <c r="A1472" s="847"/>
      <c r="B1472" s="744" t="s">
        <v>3761</v>
      </c>
      <c r="C1472" s="747" t="s">
        <v>4111</v>
      </c>
      <c r="D1472" s="802" t="s">
        <v>4112</v>
      </c>
      <c r="E1472" s="763" t="s">
        <v>2113</v>
      </c>
      <c r="F1472" s="766" t="s">
        <v>4119</v>
      </c>
      <c r="G1472" s="748" t="s">
        <v>1788</v>
      </c>
      <c r="H1472" s="739">
        <v>68.65</v>
      </c>
      <c r="I1472" s="780" t="s">
        <v>4120</v>
      </c>
      <c r="J1472" s="189"/>
      <c r="K1472" s="731" t="s">
        <v>2080</v>
      </c>
      <c r="L1472" s="746">
        <f>L1468*0.75</f>
        <v>46.8375</v>
      </c>
      <c r="M1472" s="883"/>
      <c r="N1472" s="189"/>
      <c r="O1472" s="743" t="b">
        <v>1</v>
      </c>
    </row>
    <row r="1473">
      <c r="A1473" s="847"/>
      <c r="B1473" s="735"/>
      <c r="C1473" s="820"/>
      <c r="D1473" s="802"/>
      <c r="E1473" s="769"/>
      <c r="F1473" s="821"/>
      <c r="G1473" s="749"/>
      <c r="H1473" s="872"/>
      <c r="I1473" s="880"/>
      <c r="J1473" s="752"/>
      <c r="K1473" s="752"/>
      <c r="L1473" s="861"/>
      <c r="M1473" s="824"/>
      <c r="N1473" s="752"/>
      <c r="O1473" s="753"/>
    </row>
    <row r="1474">
      <c r="A1474" s="877" t="s">
        <v>2037</v>
      </c>
      <c r="B1474" s="874" t="s">
        <v>4121</v>
      </c>
      <c r="C1474" s="36"/>
      <c r="D1474" s="36"/>
      <c r="E1474" s="36"/>
      <c r="F1474" s="36"/>
      <c r="G1474" s="862" t="s">
        <v>1788</v>
      </c>
      <c r="H1474" s="865">
        <f>MEDIAN(H1476:H1478)</f>
        <v>375.43</v>
      </c>
      <c r="I1474" s="882"/>
      <c r="J1474" s="758" t="s">
        <v>2053</v>
      </c>
      <c r="K1474" s="731" t="s">
        <v>2054</v>
      </c>
      <c r="L1474" s="759">
        <f>AVERAGE(H1476:H1478)</f>
        <v>355.6666667</v>
      </c>
      <c r="M1474" s="883"/>
      <c r="N1474" s="760" t="s">
        <v>2055</v>
      </c>
      <c r="O1474" s="454"/>
    </row>
    <row r="1475">
      <c r="A1475" s="884" t="s">
        <v>1717</v>
      </c>
      <c r="B1475" s="728" t="s">
        <v>2056</v>
      </c>
      <c r="C1475" s="885" t="s">
        <v>2057</v>
      </c>
      <c r="D1475" s="884" t="s">
        <v>2058</v>
      </c>
      <c r="E1475" s="886" t="s">
        <v>2059</v>
      </c>
      <c r="F1475" s="867" t="s">
        <v>1537</v>
      </c>
      <c r="G1475" s="727" t="s">
        <v>2060</v>
      </c>
      <c r="H1475" s="868" t="s">
        <v>3760</v>
      </c>
      <c r="I1475" s="887" t="s">
        <v>2062</v>
      </c>
      <c r="J1475" s="301"/>
      <c r="K1475" s="731" t="s">
        <v>2063</v>
      </c>
      <c r="L1475" s="732">
        <f>STDEV(H1476:H1478)</f>
        <v>40.58095654</v>
      </c>
      <c r="M1475" s="883"/>
      <c r="N1475" s="189"/>
      <c r="O1475" s="454"/>
    </row>
    <row r="1476">
      <c r="A1476" s="847"/>
      <c r="B1476" s="744" t="s">
        <v>3761</v>
      </c>
      <c r="C1476" s="747" t="s">
        <v>4122</v>
      </c>
      <c r="D1476" s="888" t="s">
        <v>4030</v>
      </c>
      <c r="E1476" s="763" t="s">
        <v>2113</v>
      </c>
      <c r="F1476" s="766" t="s">
        <v>4123</v>
      </c>
      <c r="G1476" s="748" t="s">
        <v>1788</v>
      </c>
      <c r="H1476" s="739">
        <v>382.58</v>
      </c>
      <c r="I1476" s="780" t="s">
        <v>4124</v>
      </c>
      <c r="J1476" s="301"/>
      <c r="K1476" s="731" t="s">
        <v>2070</v>
      </c>
      <c r="L1476" s="741">
        <f>L1475/L1474</f>
        <v>0.1140982845</v>
      </c>
      <c r="M1476" s="883"/>
      <c r="N1476" s="742" t="str">
        <f>IF(L1476&lt;25%,"Não","Sim - proceder verificação ao lado")</f>
        <v>Não</v>
      </c>
      <c r="O1476" s="743" t="b">
        <v>1</v>
      </c>
    </row>
    <row r="1477">
      <c r="A1477" s="847"/>
      <c r="B1477" s="744" t="s">
        <v>3761</v>
      </c>
      <c r="C1477" s="747" t="s">
        <v>4125</v>
      </c>
      <c r="D1477" s="888" t="s">
        <v>3334</v>
      </c>
      <c r="E1477" s="763" t="s">
        <v>2113</v>
      </c>
      <c r="F1477" s="766" t="s">
        <v>4126</v>
      </c>
      <c r="G1477" s="748" t="s">
        <v>1788</v>
      </c>
      <c r="H1477" s="745">
        <v>375.43</v>
      </c>
      <c r="I1477" s="780" t="s">
        <v>4127</v>
      </c>
      <c r="J1477" s="301"/>
      <c r="K1477" s="731" t="s">
        <v>2075</v>
      </c>
      <c r="L1477" s="746">
        <f>L1474*1.25</f>
        <v>444.5833333</v>
      </c>
      <c r="M1477" s="883"/>
      <c r="N1477" s="301"/>
      <c r="O1477" s="743" t="b">
        <v>1</v>
      </c>
    </row>
    <row r="1478">
      <c r="A1478" s="847"/>
      <c r="B1478" s="744" t="s">
        <v>3761</v>
      </c>
      <c r="C1478" s="747" t="s">
        <v>4111</v>
      </c>
      <c r="D1478" s="802" t="s">
        <v>4112</v>
      </c>
      <c r="E1478" s="763" t="s">
        <v>2113</v>
      </c>
      <c r="F1478" s="766" t="s">
        <v>4128</v>
      </c>
      <c r="G1478" s="748" t="s">
        <v>1788</v>
      </c>
      <c r="H1478" s="745">
        <v>308.99</v>
      </c>
      <c r="I1478" s="780" t="s">
        <v>4129</v>
      </c>
      <c r="J1478" s="189"/>
      <c r="K1478" s="731" t="s">
        <v>2080</v>
      </c>
      <c r="L1478" s="746">
        <f>L1474*0.75</f>
        <v>266.75</v>
      </c>
      <c r="M1478" s="883"/>
      <c r="N1478" s="189"/>
      <c r="O1478" s="743" t="b">
        <v>1</v>
      </c>
    </row>
    <row r="1479">
      <c r="A1479" s="847"/>
      <c r="B1479" s="735"/>
      <c r="C1479" s="820"/>
      <c r="D1479" s="802"/>
      <c r="E1479" s="769"/>
      <c r="F1479" s="821"/>
      <c r="G1479" s="749"/>
      <c r="H1479" s="872"/>
      <c r="I1479" s="880"/>
      <c r="J1479" s="752"/>
      <c r="K1479" s="752"/>
      <c r="L1479" s="861"/>
      <c r="M1479" s="824"/>
      <c r="N1479" s="752"/>
      <c r="O1479" s="753"/>
    </row>
    <row r="1480">
      <c r="A1480" s="877" t="s">
        <v>4130</v>
      </c>
      <c r="B1480" s="874" t="s">
        <v>4131</v>
      </c>
      <c r="C1480" s="36"/>
      <c r="D1480" s="36"/>
      <c r="E1480" s="36"/>
      <c r="F1480" s="36"/>
      <c r="G1480" s="862" t="s">
        <v>1788</v>
      </c>
      <c r="H1480" s="865">
        <f>MEDIAN(H1482:H1484)</f>
        <v>2800</v>
      </c>
      <c r="I1480" s="882"/>
      <c r="J1480" s="758" t="s">
        <v>2053</v>
      </c>
      <c r="K1480" s="731" t="s">
        <v>2054</v>
      </c>
      <c r="L1480" s="759">
        <f>AVERAGE(H1482:H1484)</f>
        <v>2933.333333</v>
      </c>
      <c r="M1480" s="883"/>
      <c r="N1480" s="760" t="s">
        <v>2055</v>
      </c>
      <c r="O1480" s="454"/>
    </row>
    <row r="1481">
      <c r="A1481" s="884" t="s">
        <v>1717</v>
      </c>
      <c r="B1481" s="728" t="s">
        <v>2056</v>
      </c>
      <c r="C1481" s="885" t="s">
        <v>2057</v>
      </c>
      <c r="D1481" s="884" t="s">
        <v>2058</v>
      </c>
      <c r="E1481" s="886" t="s">
        <v>2059</v>
      </c>
      <c r="F1481" s="867" t="s">
        <v>1537</v>
      </c>
      <c r="G1481" s="727" t="s">
        <v>2060</v>
      </c>
      <c r="H1481" s="868" t="s">
        <v>3760</v>
      </c>
      <c r="I1481" s="887" t="s">
        <v>2062</v>
      </c>
      <c r="J1481" s="301"/>
      <c r="K1481" s="731" t="s">
        <v>2063</v>
      </c>
      <c r="L1481" s="732">
        <f>STDEV(H1482:H1484)</f>
        <v>513.1601439</v>
      </c>
      <c r="M1481" s="883"/>
      <c r="N1481" s="189"/>
      <c r="O1481" s="454"/>
    </row>
    <row r="1482">
      <c r="A1482" s="847"/>
      <c r="B1482" s="747" t="s">
        <v>2174</v>
      </c>
      <c r="C1482" s="747" t="s">
        <v>4132</v>
      </c>
      <c r="D1482" s="888" t="s">
        <v>4133</v>
      </c>
      <c r="E1482" s="763" t="s">
        <v>2757</v>
      </c>
      <c r="F1482" s="766" t="s">
        <v>4134</v>
      </c>
      <c r="G1482" s="748" t="s">
        <v>1788</v>
      </c>
      <c r="H1482" s="890">
        <v>3500.0</v>
      </c>
      <c r="I1482" s="778"/>
      <c r="J1482" s="301"/>
      <c r="K1482" s="731" t="s">
        <v>2070</v>
      </c>
      <c r="L1482" s="741">
        <f>L1481/L1480</f>
        <v>0.1749409582</v>
      </c>
      <c r="M1482" s="883"/>
      <c r="N1482" s="742" t="str">
        <f>IF(L1482&lt;25%,"Não","Sim - proceder verificação ao lado")</f>
        <v>Não</v>
      </c>
      <c r="O1482" s="743" t="b">
        <v>1</v>
      </c>
    </row>
    <row r="1483">
      <c r="A1483" s="847"/>
      <c r="B1483" s="747" t="s">
        <v>2174</v>
      </c>
      <c r="C1483" s="767" t="s">
        <v>4135</v>
      </c>
      <c r="D1483" s="777" t="s">
        <v>4136</v>
      </c>
      <c r="E1483" s="823" t="s">
        <v>4137</v>
      </c>
      <c r="F1483" s="766" t="s">
        <v>4138</v>
      </c>
      <c r="G1483" s="748" t="s">
        <v>1788</v>
      </c>
      <c r="H1483" s="891">
        <v>2800.0</v>
      </c>
      <c r="I1483" s="778"/>
      <c r="J1483" s="301"/>
      <c r="K1483" s="731" t="s">
        <v>2075</v>
      </c>
      <c r="L1483" s="746">
        <f>L1480*1.25</f>
        <v>3666.666667</v>
      </c>
      <c r="M1483" s="883"/>
      <c r="N1483" s="301"/>
      <c r="O1483" s="743" t="b">
        <v>1</v>
      </c>
    </row>
    <row r="1484">
      <c r="A1484" s="847"/>
      <c r="B1484" s="747" t="s">
        <v>2174</v>
      </c>
      <c r="C1484" s="747" t="s">
        <v>4139</v>
      </c>
      <c r="D1484" s="802" t="s">
        <v>4140</v>
      </c>
      <c r="E1484" s="763" t="s">
        <v>4141</v>
      </c>
      <c r="F1484" s="766" t="s">
        <v>4142</v>
      </c>
      <c r="G1484" s="748" t="s">
        <v>1788</v>
      </c>
      <c r="H1484" s="890">
        <v>2500.0</v>
      </c>
      <c r="I1484" s="778"/>
      <c r="J1484" s="189"/>
      <c r="K1484" s="731" t="s">
        <v>2080</v>
      </c>
      <c r="L1484" s="746">
        <f>L1480*0.75</f>
        <v>2200</v>
      </c>
      <c r="M1484" s="883"/>
      <c r="N1484" s="189"/>
      <c r="O1484" s="743" t="b">
        <v>1</v>
      </c>
    </row>
    <row r="1485">
      <c r="A1485" s="847"/>
      <c r="B1485" s="735"/>
      <c r="C1485" s="820"/>
      <c r="D1485" s="802"/>
      <c r="E1485" s="769"/>
      <c r="F1485" s="821"/>
      <c r="G1485" s="749"/>
      <c r="H1485" s="872"/>
      <c r="I1485" s="880"/>
      <c r="J1485" s="752"/>
      <c r="K1485" s="752"/>
      <c r="L1485" s="861"/>
      <c r="M1485" s="824"/>
      <c r="N1485" s="752"/>
      <c r="O1485" s="753"/>
    </row>
    <row r="1486">
      <c r="A1486" s="877" t="s">
        <v>4143</v>
      </c>
      <c r="B1486" s="874" t="s">
        <v>4144</v>
      </c>
      <c r="C1486" s="36"/>
      <c r="D1486" s="36"/>
      <c r="E1486" s="36"/>
      <c r="F1486" s="36"/>
      <c r="G1486" s="862" t="s">
        <v>1788</v>
      </c>
      <c r="H1486" s="865">
        <f>MEDIAN(H1488:H1490)</f>
        <v>2500</v>
      </c>
      <c r="I1486" s="882"/>
      <c r="J1486" s="758" t="s">
        <v>2053</v>
      </c>
      <c r="K1486" s="731" t="s">
        <v>2054</v>
      </c>
      <c r="L1486" s="759">
        <f>AVERAGE(H1488:H1490)</f>
        <v>2633.333333</v>
      </c>
      <c r="M1486" s="883"/>
      <c r="N1486" s="760" t="s">
        <v>2055</v>
      </c>
      <c r="O1486" s="454"/>
    </row>
    <row r="1487">
      <c r="A1487" s="884" t="s">
        <v>1717</v>
      </c>
      <c r="B1487" s="728" t="s">
        <v>2056</v>
      </c>
      <c r="C1487" s="885" t="s">
        <v>2057</v>
      </c>
      <c r="D1487" s="884" t="s">
        <v>2058</v>
      </c>
      <c r="E1487" s="886" t="s">
        <v>2059</v>
      </c>
      <c r="F1487" s="867" t="s">
        <v>1537</v>
      </c>
      <c r="G1487" s="727" t="s">
        <v>2060</v>
      </c>
      <c r="H1487" s="868" t="s">
        <v>3760</v>
      </c>
      <c r="I1487" s="887" t="s">
        <v>2062</v>
      </c>
      <c r="J1487" s="301"/>
      <c r="K1487" s="731" t="s">
        <v>2063</v>
      </c>
      <c r="L1487" s="732">
        <f>STDEV(H1488:H1490)</f>
        <v>230.9401077</v>
      </c>
      <c r="M1487" s="883"/>
      <c r="N1487" s="189"/>
      <c r="O1487" s="454"/>
    </row>
    <row r="1488">
      <c r="A1488" s="847"/>
      <c r="B1488" s="747" t="s">
        <v>2174</v>
      </c>
      <c r="C1488" s="747" t="s">
        <v>4132</v>
      </c>
      <c r="D1488" s="888" t="s">
        <v>4133</v>
      </c>
      <c r="E1488" s="763" t="s">
        <v>2757</v>
      </c>
      <c r="F1488" s="766" t="s">
        <v>4145</v>
      </c>
      <c r="G1488" s="748" t="s">
        <v>1788</v>
      </c>
      <c r="H1488" s="890">
        <v>2500.0</v>
      </c>
      <c r="I1488" s="778"/>
      <c r="J1488" s="301"/>
      <c r="K1488" s="731" t="s">
        <v>2070</v>
      </c>
      <c r="L1488" s="741">
        <f>L1487/L1486</f>
        <v>0.08769877507</v>
      </c>
      <c r="M1488" s="883"/>
      <c r="N1488" s="742" t="str">
        <f>IF(L1488&lt;25%,"Não","Sim - proceder verificação ao lado")</f>
        <v>Não</v>
      </c>
      <c r="O1488" s="743" t="b">
        <v>1</v>
      </c>
    </row>
    <row r="1489">
      <c r="A1489" s="847"/>
      <c r="B1489" s="747" t="s">
        <v>2174</v>
      </c>
      <c r="C1489" s="767" t="s">
        <v>4146</v>
      </c>
      <c r="D1489" s="777" t="s">
        <v>4147</v>
      </c>
      <c r="E1489" s="763" t="s">
        <v>4148</v>
      </c>
      <c r="F1489" s="764" t="s">
        <v>4149</v>
      </c>
      <c r="G1489" s="748" t="s">
        <v>1788</v>
      </c>
      <c r="H1489" s="890">
        <v>2900.0</v>
      </c>
      <c r="I1489" s="778"/>
      <c r="J1489" s="301"/>
      <c r="K1489" s="731" t="s">
        <v>2075</v>
      </c>
      <c r="L1489" s="746">
        <f>L1486*1.25</f>
        <v>3291.666667</v>
      </c>
      <c r="M1489" s="883"/>
      <c r="N1489" s="301"/>
      <c r="O1489" s="743" t="b">
        <v>1</v>
      </c>
    </row>
    <row r="1490">
      <c r="A1490" s="847"/>
      <c r="B1490" s="747" t="s">
        <v>2174</v>
      </c>
      <c r="C1490" s="747" t="s">
        <v>4139</v>
      </c>
      <c r="D1490" s="802" t="s">
        <v>4140</v>
      </c>
      <c r="E1490" s="763" t="s">
        <v>4141</v>
      </c>
      <c r="F1490" s="766" t="s">
        <v>4150</v>
      </c>
      <c r="G1490" s="748" t="s">
        <v>1788</v>
      </c>
      <c r="H1490" s="890">
        <v>2500.0</v>
      </c>
      <c r="I1490" s="778"/>
      <c r="J1490" s="189"/>
      <c r="K1490" s="731" t="s">
        <v>2080</v>
      </c>
      <c r="L1490" s="746">
        <f>L1486*0.75</f>
        <v>1975</v>
      </c>
      <c r="M1490" s="883"/>
      <c r="N1490" s="189"/>
      <c r="O1490" s="743" t="b">
        <v>1</v>
      </c>
    </row>
    <row r="1491">
      <c r="A1491" s="847"/>
      <c r="B1491" s="735"/>
      <c r="C1491" s="820"/>
      <c r="D1491" s="802"/>
      <c r="E1491" s="769"/>
      <c r="F1491" s="821"/>
      <c r="G1491" s="749"/>
      <c r="H1491" s="872"/>
      <c r="I1491" s="880"/>
      <c r="J1491" s="752"/>
      <c r="K1491" s="752"/>
      <c r="L1491" s="861"/>
      <c r="M1491" s="824"/>
      <c r="N1491" s="752"/>
      <c r="O1491" s="753"/>
    </row>
    <row r="1492">
      <c r="A1492" s="877" t="s">
        <v>4151</v>
      </c>
      <c r="B1492" s="874" t="s">
        <v>4152</v>
      </c>
      <c r="C1492" s="36"/>
      <c r="D1492" s="36"/>
      <c r="E1492" s="36"/>
      <c r="F1492" s="36"/>
      <c r="G1492" s="862" t="s">
        <v>1788</v>
      </c>
      <c r="H1492" s="865">
        <f>MEDIAN(H1494:H1496)</f>
        <v>1500</v>
      </c>
      <c r="I1492" s="882"/>
      <c r="J1492" s="758" t="s">
        <v>2053</v>
      </c>
      <c r="K1492" s="731" t="s">
        <v>2054</v>
      </c>
      <c r="L1492" s="759">
        <f>AVERAGE(H1494:H1496)</f>
        <v>1650</v>
      </c>
      <c r="M1492" s="883"/>
      <c r="N1492" s="760" t="s">
        <v>2055</v>
      </c>
      <c r="O1492" s="454"/>
    </row>
    <row r="1493">
      <c r="A1493" s="884" t="s">
        <v>1717</v>
      </c>
      <c r="B1493" s="728" t="s">
        <v>2056</v>
      </c>
      <c r="C1493" s="885" t="s">
        <v>2057</v>
      </c>
      <c r="D1493" s="884" t="s">
        <v>2058</v>
      </c>
      <c r="E1493" s="886" t="s">
        <v>2059</v>
      </c>
      <c r="F1493" s="867" t="s">
        <v>1537</v>
      </c>
      <c r="G1493" s="727" t="s">
        <v>2060</v>
      </c>
      <c r="H1493" s="868" t="s">
        <v>3760</v>
      </c>
      <c r="I1493" s="887" t="s">
        <v>2062</v>
      </c>
      <c r="J1493" s="301"/>
      <c r="K1493" s="731" t="s">
        <v>2063</v>
      </c>
      <c r="L1493" s="732">
        <f>STDEV(H1494:H1496)</f>
        <v>304.1381265</v>
      </c>
      <c r="M1493" s="883"/>
      <c r="N1493" s="189"/>
      <c r="O1493" s="454"/>
    </row>
    <row r="1494">
      <c r="A1494" s="847"/>
      <c r="B1494" s="747" t="s">
        <v>2174</v>
      </c>
      <c r="C1494" s="767" t="s">
        <v>4153</v>
      </c>
      <c r="D1494" s="889" t="s">
        <v>4154</v>
      </c>
      <c r="E1494" s="763" t="s">
        <v>4148</v>
      </c>
      <c r="F1494" s="766" t="s">
        <v>4155</v>
      </c>
      <c r="G1494" s="748" t="s">
        <v>1788</v>
      </c>
      <c r="H1494" s="890">
        <v>1450.0</v>
      </c>
      <c r="I1494" s="778"/>
      <c r="J1494" s="301"/>
      <c r="K1494" s="731" t="s">
        <v>2070</v>
      </c>
      <c r="L1494" s="741">
        <f>L1493/L1492</f>
        <v>0.1843261373</v>
      </c>
      <c r="M1494" s="883"/>
      <c r="N1494" s="742" t="str">
        <f>IF(L1494&lt;25%,"Não","Sim - proceder verificação ao lado")</f>
        <v>Não</v>
      </c>
      <c r="O1494" s="743" t="b">
        <v>1</v>
      </c>
    </row>
    <row r="1495">
      <c r="A1495" s="847"/>
      <c r="B1495" s="747" t="s">
        <v>2174</v>
      </c>
      <c r="C1495" s="767" t="s">
        <v>3522</v>
      </c>
      <c r="D1495" s="777" t="s">
        <v>3523</v>
      </c>
      <c r="E1495" s="763" t="s">
        <v>2366</v>
      </c>
      <c r="F1495" s="766" t="s">
        <v>4156</v>
      </c>
      <c r="G1495" s="748" t="s">
        <v>1788</v>
      </c>
      <c r="H1495" s="890">
        <v>1500.0</v>
      </c>
      <c r="I1495" s="778"/>
      <c r="J1495" s="301"/>
      <c r="K1495" s="731" t="s">
        <v>2075</v>
      </c>
      <c r="L1495" s="746">
        <f>L1492*1.25</f>
        <v>2062.5</v>
      </c>
      <c r="M1495" s="883"/>
      <c r="N1495" s="301"/>
      <c r="O1495" s="743" t="b">
        <v>1</v>
      </c>
    </row>
    <row r="1496">
      <c r="A1496" s="847"/>
      <c r="B1496" s="747" t="s">
        <v>2174</v>
      </c>
      <c r="C1496" s="747" t="s">
        <v>4139</v>
      </c>
      <c r="D1496" s="802" t="s">
        <v>4140</v>
      </c>
      <c r="E1496" s="763" t="s">
        <v>4141</v>
      </c>
      <c r="F1496" s="766" t="s">
        <v>4157</v>
      </c>
      <c r="G1496" s="748" t="s">
        <v>1788</v>
      </c>
      <c r="H1496" s="890">
        <v>2000.0</v>
      </c>
      <c r="I1496" s="778"/>
      <c r="J1496" s="189"/>
      <c r="K1496" s="731" t="s">
        <v>2080</v>
      </c>
      <c r="L1496" s="746">
        <f>L1492*0.75</f>
        <v>1237.5</v>
      </c>
      <c r="M1496" s="883"/>
      <c r="N1496" s="189"/>
      <c r="O1496" s="743" t="b">
        <v>1</v>
      </c>
    </row>
    <row r="1497">
      <c r="A1497" s="847"/>
      <c r="B1497" s="735"/>
      <c r="C1497" s="820"/>
      <c r="D1497" s="802"/>
      <c r="E1497" s="769"/>
      <c r="F1497" s="821"/>
      <c r="G1497" s="749"/>
      <c r="H1497" s="872"/>
      <c r="I1497" s="880"/>
      <c r="J1497" s="752"/>
      <c r="K1497" s="752"/>
      <c r="L1497" s="861"/>
      <c r="M1497" s="824"/>
      <c r="N1497" s="752"/>
      <c r="O1497" s="753"/>
    </row>
    <row r="1498">
      <c r="A1498" s="877" t="s">
        <v>4158</v>
      </c>
      <c r="B1498" s="874" t="s">
        <v>4159</v>
      </c>
      <c r="C1498" s="36"/>
      <c r="D1498" s="36"/>
      <c r="E1498" s="36"/>
      <c r="F1498" s="36"/>
      <c r="G1498" s="862" t="s">
        <v>1788</v>
      </c>
      <c r="H1498" s="865">
        <f>MEDIAN(H1500:H1502)</f>
        <v>1500</v>
      </c>
      <c r="I1498" s="882"/>
      <c r="J1498" s="758" t="s">
        <v>2053</v>
      </c>
      <c r="K1498" s="731" t="s">
        <v>2054</v>
      </c>
      <c r="L1498" s="759">
        <f>AVERAGE(H1500:H1502)</f>
        <v>1650</v>
      </c>
      <c r="M1498" s="883"/>
      <c r="N1498" s="760" t="s">
        <v>2055</v>
      </c>
      <c r="O1498" s="454"/>
    </row>
    <row r="1499">
      <c r="A1499" s="884" t="s">
        <v>1717</v>
      </c>
      <c r="B1499" s="728" t="s">
        <v>2056</v>
      </c>
      <c r="C1499" s="885" t="s">
        <v>2057</v>
      </c>
      <c r="D1499" s="884" t="s">
        <v>2058</v>
      </c>
      <c r="E1499" s="886" t="s">
        <v>2059</v>
      </c>
      <c r="F1499" s="867" t="s">
        <v>1537</v>
      </c>
      <c r="G1499" s="727" t="s">
        <v>2060</v>
      </c>
      <c r="H1499" s="868" t="s">
        <v>3760</v>
      </c>
      <c r="I1499" s="887" t="s">
        <v>2062</v>
      </c>
      <c r="J1499" s="301"/>
      <c r="K1499" s="731" t="s">
        <v>2063</v>
      </c>
      <c r="L1499" s="732">
        <f>STDEV(H1500:H1502)</f>
        <v>304.1381265</v>
      </c>
      <c r="M1499" s="883"/>
      <c r="N1499" s="189"/>
      <c r="O1499" s="454"/>
    </row>
    <row r="1500">
      <c r="A1500" s="847"/>
      <c r="B1500" s="747" t="s">
        <v>2174</v>
      </c>
      <c r="C1500" s="767" t="s">
        <v>4160</v>
      </c>
      <c r="D1500" s="889" t="s">
        <v>4161</v>
      </c>
      <c r="E1500" s="763" t="s">
        <v>4162</v>
      </c>
      <c r="F1500" s="764" t="s">
        <v>4163</v>
      </c>
      <c r="G1500" s="748" t="s">
        <v>1788</v>
      </c>
      <c r="H1500" s="890">
        <v>2000.0</v>
      </c>
      <c r="I1500" s="778"/>
      <c r="J1500" s="301"/>
      <c r="K1500" s="731" t="s">
        <v>2070</v>
      </c>
      <c r="L1500" s="741">
        <f>L1499/L1498</f>
        <v>0.1843261373</v>
      </c>
      <c r="M1500" s="883"/>
      <c r="N1500" s="742" t="str">
        <f>IF(L1500&lt;25%,"Não","Sim - proceder verificação ao lado")</f>
        <v>Não</v>
      </c>
      <c r="O1500" s="743" t="b">
        <v>1</v>
      </c>
    </row>
    <row r="1501">
      <c r="A1501" s="847"/>
      <c r="B1501" s="747" t="s">
        <v>2174</v>
      </c>
      <c r="C1501" s="767" t="s">
        <v>4146</v>
      </c>
      <c r="D1501" s="777" t="s">
        <v>4147</v>
      </c>
      <c r="E1501" s="763" t="s">
        <v>4148</v>
      </c>
      <c r="F1501" s="764" t="s">
        <v>4164</v>
      </c>
      <c r="G1501" s="748" t="s">
        <v>1788</v>
      </c>
      <c r="H1501" s="890">
        <v>1500.0</v>
      </c>
      <c r="I1501" s="778"/>
      <c r="J1501" s="301"/>
      <c r="K1501" s="731" t="s">
        <v>2075</v>
      </c>
      <c r="L1501" s="746">
        <f>L1498*1.25</f>
        <v>2062.5</v>
      </c>
      <c r="M1501" s="883"/>
      <c r="N1501" s="301"/>
      <c r="O1501" s="743" t="b">
        <v>1</v>
      </c>
    </row>
    <row r="1502">
      <c r="A1502" s="847"/>
      <c r="B1502" s="747" t="s">
        <v>2174</v>
      </c>
      <c r="C1502" s="767" t="s">
        <v>4153</v>
      </c>
      <c r="D1502" s="889" t="s">
        <v>4154</v>
      </c>
      <c r="E1502" s="763" t="s">
        <v>4148</v>
      </c>
      <c r="F1502" s="766" t="s">
        <v>4165</v>
      </c>
      <c r="G1502" s="748" t="s">
        <v>1788</v>
      </c>
      <c r="H1502" s="890">
        <v>1450.0</v>
      </c>
      <c r="I1502" s="778"/>
      <c r="J1502" s="189"/>
      <c r="K1502" s="731" t="s">
        <v>2080</v>
      </c>
      <c r="L1502" s="746">
        <f>L1498*0.75</f>
        <v>1237.5</v>
      </c>
      <c r="M1502" s="883"/>
      <c r="N1502" s="189"/>
      <c r="O1502" s="743" t="b">
        <v>1</v>
      </c>
    </row>
    <row r="1503">
      <c r="A1503" s="847"/>
      <c r="B1503" s="735"/>
      <c r="C1503" s="820"/>
      <c r="D1503" s="802"/>
      <c r="E1503" s="769"/>
      <c r="F1503" s="821"/>
      <c r="G1503" s="749"/>
      <c r="H1503" s="872"/>
      <c r="I1503" s="880"/>
      <c r="J1503" s="752"/>
      <c r="K1503" s="752"/>
      <c r="L1503" s="861"/>
      <c r="M1503" s="824"/>
      <c r="N1503" s="752"/>
      <c r="O1503" s="753"/>
    </row>
  </sheetData>
  <mergeCells count="1004">
    <mergeCell ref="J18:J22"/>
    <mergeCell ref="J24:J28"/>
    <mergeCell ref="J30:J34"/>
    <mergeCell ref="J36:J40"/>
    <mergeCell ref="J43:J47"/>
    <mergeCell ref="J49:J53"/>
    <mergeCell ref="J55:J59"/>
    <mergeCell ref="J61:J65"/>
    <mergeCell ref="J67:J71"/>
    <mergeCell ref="J73:J77"/>
    <mergeCell ref="J79:J83"/>
    <mergeCell ref="J85:J89"/>
    <mergeCell ref="J91:J95"/>
    <mergeCell ref="J97:J101"/>
    <mergeCell ref="J103:J107"/>
    <mergeCell ref="J109:J113"/>
    <mergeCell ref="J115:J119"/>
    <mergeCell ref="J121:J125"/>
    <mergeCell ref="J127:J131"/>
    <mergeCell ref="J133:J137"/>
    <mergeCell ref="J139:J143"/>
    <mergeCell ref="J145:J149"/>
    <mergeCell ref="J151:J155"/>
    <mergeCell ref="J157:J161"/>
    <mergeCell ref="J163:J167"/>
    <mergeCell ref="J169:J173"/>
    <mergeCell ref="J175:J179"/>
    <mergeCell ref="J181:J185"/>
    <mergeCell ref="J187:J191"/>
    <mergeCell ref="J193:J197"/>
    <mergeCell ref="J199:J203"/>
    <mergeCell ref="J205:J209"/>
    <mergeCell ref="J211:J215"/>
    <mergeCell ref="J217:J221"/>
    <mergeCell ref="J223:J227"/>
    <mergeCell ref="J229:J233"/>
    <mergeCell ref="J235:J239"/>
    <mergeCell ref="J241:J245"/>
    <mergeCell ref="J247:J251"/>
    <mergeCell ref="J253:J257"/>
    <mergeCell ref="J261:J265"/>
    <mergeCell ref="J269:J273"/>
    <mergeCell ref="J275:J279"/>
    <mergeCell ref="J281:J285"/>
    <mergeCell ref="J287:J291"/>
    <mergeCell ref="J293:J297"/>
    <mergeCell ref="J299:J303"/>
    <mergeCell ref="J305:J309"/>
    <mergeCell ref="J311:J315"/>
    <mergeCell ref="J317:J321"/>
    <mergeCell ref="J323:J327"/>
    <mergeCell ref="J329:J333"/>
    <mergeCell ref="J335:J339"/>
    <mergeCell ref="J341:J345"/>
    <mergeCell ref="J347:J351"/>
    <mergeCell ref="J353:J357"/>
    <mergeCell ref="J359:J363"/>
    <mergeCell ref="J365:J369"/>
    <mergeCell ref="J371:J375"/>
    <mergeCell ref="J377:J381"/>
    <mergeCell ref="J383:J387"/>
    <mergeCell ref="J389:J393"/>
    <mergeCell ref="J395:J399"/>
    <mergeCell ref="J401:J405"/>
    <mergeCell ref="J407:J411"/>
    <mergeCell ref="J413:J417"/>
    <mergeCell ref="J419:J423"/>
    <mergeCell ref="J425:J429"/>
    <mergeCell ref="J431:J435"/>
    <mergeCell ref="J437:J441"/>
    <mergeCell ref="J443:J447"/>
    <mergeCell ref="J449:J453"/>
    <mergeCell ref="J455:J459"/>
    <mergeCell ref="J461:J465"/>
    <mergeCell ref="J467:J471"/>
    <mergeCell ref="J473:J477"/>
    <mergeCell ref="J479:J483"/>
    <mergeCell ref="J485:J489"/>
    <mergeCell ref="J491:J495"/>
    <mergeCell ref="J497:J501"/>
    <mergeCell ref="J503:J507"/>
    <mergeCell ref="J509:J513"/>
    <mergeCell ref="J515:J519"/>
    <mergeCell ref="J521:J525"/>
    <mergeCell ref="J527:J531"/>
    <mergeCell ref="J533:J537"/>
    <mergeCell ref="J539:J543"/>
    <mergeCell ref="J545:J549"/>
    <mergeCell ref="J551:J555"/>
    <mergeCell ref="J557:J561"/>
    <mergeCell ref="J563:J567"/>
    <mergeCell ref="J569:J573"/>
    <mergeCell ref="J575:J579"/>
    <mergeCell ref="J581:J585"/>
    <mergeCell ref="J587:J591"/>
    <mergeCell ref="J593:J597"/>
    <mergeCell ref="J599:J603"/>
    <mergeCell ref="J605:J609"/>
    <mergeCell ref="J611:J615"/>
    <mergeCell ref="J617:J621"/>
    <mergeCell ref="J623:J627"/>
    <mergeCell ref="J629:J633"/>
    <mergeCell ref="J635:J639"/>
    <mergeCell ref="J641:J645"/>
    <mergeCell ref="J647:J651"/>
    <mergeCell ref="J653:J657"/>
    <mergeCell ref="J659:J663"/>
    <mergeCell ref="J665:J669"/>
    <mergeCell ref="J671:J675"/>
    <mergeCell ref="J677:J681"/>
    <mergeCell ref="J683:J687"/>
    <mergeCell ref="J689:J693"/>
    <mergeCell ref="J695:J699"/>
    <mergeCell ref="J701:J705"/>
    <mergeCell ref="J707:J711"/>
    <mergeCell ref="J715:J719"/>
    <mergeCell ref="J721:J725"/>
    <mergeCell ref="J727:J731"/>
    <mergeCell ref="J733:J737"/>
    <mergeCell ref="J739:J743"/>
    <mergeCell ref="J745:J749"/>
    <mergeCell ref="J751:J755"/>
    <mergeCell ref="J757:J761"/>
    <mergeCell ref="J763:J767"/>
    <mergeCell ref="J769:J773"/>
    <mergeCell ref="J775:J779"/>
    <mergeCell ref="J781:J785"/>
    <mergeCell ref="J789:J793"/>
    <mergeCell ref="J795:J799"/>
    <mergeCell ref="J801:J805"/>
    <mergeCell ref="J807:J811"/>
    <mergeCell ref="J813:J817"/>
    <mergeCell ref="J819:J823"/>
    <mergeCell ref="J825:J829"/>
    <mergeCell ref="J831:J835"/>
    <mergeCell ref="J837:J841"/>
    <mergeCell ref="J843:J847"/>
    <mergeCell ref="J849:J853"/>
    <mergeCell ref="J855:J859"/>
    <mergeCell ref="J861:J865"/>
    <mergeCell ref="J867:J871"/>
    <mergeCell ref="J875:J879"/>
    <mergeCell ref="J881:J885"/>
    <mergeCell ref="J889:J893"/>
    <mergeCell ref="J895:J899"/>
    <mergeCell ref="J901:J905"/>
    <mergeCell ref="J907:J911"/>
    <mergeCell ref="J1208:J1212"/>
    <mergeCell ref="J1214:J1218"/>
    <mergeCell ref="J1220:J1224"/>
    <mergeCell ref="J1228:J1232"/>
    <mergeCell ref="J1234:J1238"/>
    <mergeCell ref="J1240:J1244"/>
    <mergeCell ref="J1246:J1250"/>
    <mergeCell ref="J1252:J1256"/>
    <mergeCell ref="J1258:J1262"/>
    <mergeCell ref="J1264:J1268"/>
    <mergeCell ref="J1270:J1274"/>
    <mergeCell ref="J1276:J1280"/>
    <mergeCell ref="J1282:J1286"/>
    <mergeCell ref="J1288:J1292"/>
    <mergeCell ref="J1294:J1298"/>
    <mergeCell ref="J1300:J1304"/>
    <mergeCell ref="J1306:J1310"/>
    <mergeCell ref="J1312:J1316"/>
    <mergeCell ref="J1318:J1322"/>
    <mergeCell ref="J1324:J1328"/>
    <mergeCell ref="J1330:J1334"/>
    <mergeCell ref="J1336:J1340"/>
    <mergeCell ref="J1342:J1346"/>
    <mergeCell ref="J1348:J1352"/>
    <mergeCell ref="J1354:J1358"/>
    <mergeCell ref="J1360:J1364"/>
    <mergeCell ref="J1366:J1370"/>
    <mergeCell ref="J1372:J1376"/>
    <mergeCell ref="J1378:J1382"/>
    <mergeCell ref="J1384:J1388"/>
    <mergeCell ref="J1390:J1394"/>
    <mergeCell ref="J1396:J1400"/>
    <mergeCell ref="J1402:J1406"/>
    <mergeCell ref="J1408:J1412"/>
    <mergeCell ref="J1414:J1418"/>
    <mergeCell ref="J1462:J1466"/>
    <mergeCell ref="J1468:J1472"/>
    <mergeCell ref="J1474:J1478"/>
    <mergeCell ref="J1480:J1484"/>
    <mergeCell ref="J1486:J1490"/>
    <mergeCell ref="J1492:J1496"/>
    <mergeCell ref="J1498:J1502"/>
    <mergeCell ref="J1420:J1424"/>
    <mergeCell ref="J1426:J1430"/>
    <mergeCell ref="J1432:J1436"/>
    <mergeCell ref="J1438:J1442"/>
    <mergeCell ref="J1444:J1448"/>
    <mergeCell ref="J1450:J1454"/>
    <mergeCell ref="J1456:J1460"/>
    <mergeCell ref="J913:J917"/>
    <mergeCell ref="J919:J923"/>
    <mergeCell ref="J925:J929"/>
    <mergeCell ref="J931:J935"/>
    <mergeCell ref="J937:J941"/>
    <mergeCell ref="J943:J947"/>
    <mergeCell ref="J949:J953"/>
    <mergeCell ref="J955:J959"/>
    <mergeCell ref="J961:J965"/>
    <mergeCell ref="J967:J971"/>
    <mergeCell ref="J973:J977"/>
    <mergeCell ref="J979:J983"/>
    <mergeCell ref="J985:J989"/>
    <mergeCell ref="J991:J995"/>
    <mergeCell ref="J997:J1001"/>
    <mergeCell ref="J1003:J1007"/>
    <mergeCell ref="J1009:J1013"/>
    <mergeCell ref="J1015:J1019"/>
    <mergeCell ref="J1021:J1025"/>
    <mergeCell ref="J1027:J1031"/>
    <mergeCell ref="J1033:J1037"/>
    <mergeCell ref="J1039:J1043"/>
    <mergeCell ref="J1045:J1049"/>
    <mergeCell ref="J1051:J1055"/>
    <mergeCell ref="J1057:J1061"/>
    <mergeCell ref="J1063:J1067"/>
    <mergeCell ref="J1069:J1073"/>
    <mergeCell ref="J1075:J1079"/>
    <mergeCell ref="J1081:J1085"/>
    <mergeCell ref="J1087:J1091"/>
    <mergeCell ref="J1093:J1097"/>
    <mergeCell ref="J1099:J1103"/>
    <mergeCell ref="J1105:J1109"/>
    <mergeCell ref="J1111:J1115"/>
    <mergeCell ref="J1117:J1121"/>
    <mergeCell ref="J1123:J1127"/>
    <mergeCell ref="J1129:J1133"/>
    <mergeCell ref="J1135:J1139"/>
    <mergeCell ref="J1142:J1146"/>
    <mergeCell ref="J1148:J1152"/>
    <mergeCell ref="J1154:J1158"/>
    <mergeCell ref="J1160:J1164"/>
    <mergeCell ref="J1166:J1170"/>
    <mergeCell ref="J1172:J1176"/>
    <mergeCell ref="J1178:J1182"/>
    <mergeCell ref="J1184:J1188"/>
    <mergeCell ref="J1190:J1194"/>
    <mergeCell ref="J1196:J1200"/>
    <mergeCell ref="J1202:J1206"/>
    <mergeCell ref="N413:N414"/>
    <mergeCell ref="N415:N417"/>
    <mergeCell ref="N419:N420"/>
    <mergeCell ref="N421:N423"/>
    <mergeCell ref="N425:N426"/>
    <mergeCell ref="N427:N429"/>
    <mergeCell ref="N431:N432"/>
    <mergeCell ref="N433:N435"/>
    <mergeCell ref="N437:N438"/>
    <mergeCell ref="N439:N441"/>
    <mergeCell ref="N443:N444"/>
    <mergeCell ref="N445:N447"/>
    <mergeCell ref="N449:N450"/>
    <mergeCell ref="N451:N453"/>
    <mergeCell ref="N455:N456"/>
    <mergeCell ref="N457:N459"/>
    <mergeCell ref="N461:N462"/>
    <mergeCell ref="N463:N465"/>
    <mergeCell ref="N467:N468"/>
    <mergeCell ref="N469:N471"/>
    <mergeCell ref="N473:N474"/>
    <mergeCell ref="N475:N477"/>
    <mergeCell ref="N479:N480"/>
    <mergeCell ref="N481:N483"/>
    <mergeCell ref="N485:N486"/>
    <mergeCell ref="N487:N489"/>
    <mergeCell ref="N491:N492"/>
    <mergeCell ref="N493:N495"/>
    <mergeCell ref="N497:N498"/>
    <mergeCell ref="N499:N501"/>
    <mergeCell ref="N503:N504"/>
    <mergeCell ref="N505:N507"/>
    <mergeCell ref="N509:N510"/>
    <mergeCell ref="N511:N513"/>
    <mergeCell ref="N515:N516"/>
    <mergeCell ref="N517:N519"/>
    <mergeCell ref="N521:N522"/>
    <mergeCell ref="N523:N525"/>
    <mergeCell ref="N527:N528"/>
    <mergeCell ref="N529:N531"/>
    <mergeCell ref="N533:N534"/>
    <mergeCell ref="N535:N537"/>
    <mergeCell ref="N539:N540"/>
    <mergeCell ref="N541:N543"/>
    <mergeCell ref="N545:N546"/>
    <mergeCell ref="N547:N549"/>
    <mergeCell ref="N551:N552"/>
    <mergeCell ref="N553:N555"/>
    <mergeCell ref="N557:N558"/>
    <mergeCell ref="N559:N561"/>
    <mergeCell ref="N563:N564"/>
    <mergeCell ref="N565:N567"/>
    <mergeCell ref="N569:N570"/>
    <mergeCell ref="N571:N573"/>
    <mergeCell ref="N575:N576"/>
    <mergeCell ref="N577:N579"/>
    <mergeCell ref="N581:N582"/>
    <mergeCell ref="N583:N585"/>
    <mergeCell ref="N587:N588"/>
    <mergeCell ref="N589:N591"/>
    <mergeCell ref="N593:N594"/>
    <mergeCell ref="N595:N597"/>
    <mergeCell ref="N599:N600"/>
    <mergeCell ref="N601:N603"/>
    <mergeCell ref="N605:N606"/>
    <mergeCell ref="N607:N609"/>
    <mergeCell ref="N611:N612"/>
    <mergeCell ref="N613:N615"/>
    <mergeCell ref="N617:N618"/>
    <mergeCell ref="N619:N621"/>
    <mergeCell ref="N623:N624"/>
    <mergeCell ref="N625:N627"/>
    <mergeCell ref="N629:N630"/>
    <mergeCell ref="N631:N633"/>
    <mergeCell ref="N635:N636"/>
    <mergeCell ref="N637:N639"/>
    <mergeCell ref="N641:N642"/>
    <mergeCell ref="N643:N645"/>
    <mergeCell ref="N647:N648"/>
    <mergeCell ref="N649:N651"/>
    <mergeCell ref="N653:N654"/>
    <mergeCell ref="N655:N657"/>
    <mergeCell ref="N659:N660"/>
    <mergeCell ref="N661:N663"/>
    <mergeCell ref="N665:N666"/>
    <mergeCell ref="N667:N669"/>
    <mergeCell ref="N671:N672"/>
    <mergeCell ref="N673:N675"/>
    <mergeCell ref="N677:N678"/>
    <mergeCell ref="N679:N681"/>
    <mergeCell ref="N683:N684"/>
    <mergeCell ref="N685:N687"/>
    <mergeCell ref="N689:N690"/>
    <mergeCell ref="N691:N693"/>
    <mergeCell ref="N695:N696"/>
    <mergeCell ref="N697:N699"/>
    <mergeCell ref="N701:N702"/>
    <mergeCell ref="N703:N705"/>
    <mergeCell ref="B151:F151"/>
    <mergeCell ref="B157:F157"/>
    <mergeCell ref="B163:F163"/>
    <mergeCell ref="B169:F169"/>
    <mergeCell ref="B175:F175"/>
    <mergeCell ref="B181:F181"/>
    <mergeCell ref="B187:F187"/>
    <mergeCell ref="B193:F193"/>
    <mergeCell ref="B199:F199"/>
    <mergeCell ref="B205:F205"/>
    <mergeCell ref="B211:F211"/>
    <mergeCell ref="B217:F217"/>
    <mergeCell ref="B223:F223"/>
    <mergeCell ref="B229:F229"/>
    <mergeCell ref="B235:F235"/>
    <mergeCell ref="B241:F241"/>
    <mergeCell ref="B247:F247"/>
    <mergeCell ref="B253:F253"/>
    <mergeCell ref="A259:I259"/>
    <mergeCell ref="B261:F261"/>
    <mergeCell ref="A267:I267"/>
    <mergeCell ref="B269:F269"/>
    <mergeCell ref="B275:F275"/>
    <mergeCell ref="B281:F281"/>
    <mergeCell ref="B287:F287"/>
    <mergeCell ref="B293:F293"/>
    <mergeCell ref="B299:F299"/>
    <mergeCell ref="B305:F305"/>
    <mergeCell ref="B311:F311"/>
    <mergeCell ref="B317:F317"/>
    <mergeCell ref="B323:F323"/>
    <mergeCell ref="B329:F329"/>
    <mergeCell ref="B335:F335"/>
    <mergeCell ref="B341:F341"/>
    <mergeCell ref="B347:F347"/>
    <mergeCell ref="B353:F353"/>
    <mergeCell ref="B359:F359"/>
    <mergeCell ref="B365:F365"/>
    <mergeCell ref="B371:F371"/>
    <mergeCell ref="B377:F377"/>
    <mergeCell ref="B383:F383"/>
    <mergeCell ref="B389:F389"/>
    <mergeCell ref="B395:F395"/>
    <mergeCell ref="B401:F401"/>
    <mergeCell ref="B407:F407"/>
    <mergeCell ref="B413:F413"/>
    <mergeCell ref="B419:F419"/>
    <mergeCell ref="B425:F425"/>
    <mergeCell ref="B431:F431"/>
    <mergeCell ref="B437:F437"/>
    <mergeCell ref="B443:F443"/>
    <mergeCell ref="B449:F449"/>
    <mergeCell ref="B455:F455"/>
    <mergeCell ref="B461:F461"/>
    <mergeCell ref="B467:F467"/>
    <mergeCell ref="B473:F473"/>
    <mergeCell ref="B479:F479"/>
    <mergeCell ref="B485:F485"/>
    <mergeCell ref="B491:F491"/>
    <mergeCell ref="B497:F497"/>
    <mergeCell ref="B503:F503"/>
    <mergeCell ref="B509:F509"/>
    <mergeCell ref="B515:F515"/>
    <mergeCell ref="B521:F521"/>
    <mergeCell ref="B527:F527"/>
    <mergeCell ref="B533:F533"/>
    <mergeCell ref="B539:F539"/>
    <mergeCell ref="B545:F545"/>
    <mergeCell ref="B551:F551"/>
    <mergeCell ref="B557:F557"/>
    <mergeCell ref="B563:F563"/>
    <mergeCell ref="B569:F569"/>
    <mergeCell ref="B575:F575"/>
    <mergeCell ref="B581:F581"/>
    <mergeCell ref="B587:F587"/>
    <mergeCell ref="B593:F593"/>
    <mergeCell ref="B599:F599"/>
    <mergeCell ref="B605:F605"/>
    <mergeCell ref="B611:F611"/>
    <mergeCell ref="B617:F617"/>
    <mergeCell ref="B623:F623"/>
    <mergeCell ref="B629:F629"/>
    <mergeCell ref="B635:F635"/>
    <mergeCell ref="B641:F641"/>
    <mergeCell ref="B647:F647"/>
    <mergeCell ref="B653:F653"/>
    <mergeCell ref="B659:F659"/>
    <mergeCell ref="B665:F665"/>
    <mergeCell ref="B671:F671"/>
    <mergeCell ref="B677:F677"/>
    <mergeCell ref="B683:F683"/>
    <mergeCell ref="B689:F689"/>
    <mergeCell ref="B695:F695"/>
    <mergeCell ref="B701:F701"/>
    <mergeCell ref="B707:F707"/>
    <mergeCell ref="A713:I713"/>
    <mergeCell ref="B715:F715"/>
    <mergeCell ref="B721:F721"/>
    <mergeCell ref="N707:N708"/>
    <mergeCell ref="N709:N711"/>
    <mergeCell ref="N715:N716"/>
    <mergeCell ref="N717:N719"/>
    <mergeCell ref="N721:N722"/>
    <mergeCell ref="N723:N725"/>
    <mergeCell ref="N727:N728"/>
    <mergeCell ref="N729:N731"/>
    <mergeCell ref="N733:N734"/>
    <mergeCell ref="N735:N737"/>
    <mergeCell ref="N739:N740"/>
    <mergeCell ref="N741:N743"/>
    <mergeCell ref="N745:N746"/>
    <mergeCell ref="N747:N749"/>
    <mergeCell ref="N751:N752"/>
    <mergeCell ref="N753:N755"/>
    <mergeCell ref="N757:N758"/>
    <mergeCell ref="N759:N761"/>
    <mergeCell ref="N763:N764"/>
    <mergeCell ref="N765:N767"/>
    <mergeCell ref="N769:N770"/>
    <mergeCell ref="N771:N773"/>
    <mergeCell ref="N775:N776"/>
    <mergeCell ref="N777:N779"/>
    <mergeCell ref="N781:N782"/>
    <mergeCell ref="N783:N785"/>
    <mergeCell ref="N789:N790"/>
    <mergeCell ref="N791:N793"/>
    <mergeCell ref="N795:N796"/>
    <mergeCell ref="N797:N799"/>
    <mergeCell ref="N801:N802"/>
    <mergeCell ref="N803:N805"/>
    <mergeCell ref="N807:N808"/>
    <mergeCell ref="N809:N811"/>
    <mergeCell ref="N813:N814"/>
    <mergeCell ref="N815:N817"/>
    <mergeCell ref="N819:N820"/>
    <mergeCell ref="N821:N823"/>
    <mergeCell ref="N825:N826"/>
    <mergeCell ref="N827:N829"/>
    <mergeCell ref="N831:N832"/>
    <mergeCell ref="N833:N835"/>
    <mergeCell ref="N837:N838"/>
    <mergeCell ref="N839:N841"/>
    <mergeCell ref="N843:N844"/>
    <mergeCell ref="N845:N847"/>
    <mergeCell ref="N849:N850"/>
    <mergeCell ref="N851:N853"/>
    <mergeCell ref="N855:N856"/>
    <mergeCell ref="N857:N859"/>
    <mergeCell ref="N861:N862"/>
    <mergeCell ref="N863:N865"/>
    <mergeCell ref="N867:N868"/>
    <mergeCell ref="N869:N871"/>
    <mergeCell ref="N875:N876"/>
    <mergeCell ref="N877:N879"/>
    <mergeCell ref="N881:N882"/>
    <mergeCell ref="N883:N885"/>
    <mergeCell ref="N889:N890"/>
    <mergeCell ref="N891:N893"/>
    <mergeCell ref="N895:N896"/>
    <mergeCell ref="N897:N899"/>
    <mergeCell ref="N901:N902"/>
    <mergeCell ref="N903:N905"/>
    <mergeCell ref="N907:N908"/>
    <mergeCell ref="N909:N911"/>
    <mergeCell ref="N913:N914"/>
    <mergeCell ref="N915:N917"/>
    <mergeCell ref="N919:N920"/>
    <mergeCell ref="N921:N923"/>
    <mergeCell ref="N925:N926"/>
    <mergeCell ref="N927:N929"/>
    <mergeCell ref="N931:N932"/>
    <mergeCell ref="N933:N935"/>
    <mergeCell ref="N937:N938"/>
    <mergeCell ref="N939:N941"/>
    <mergeCell ref="N943:N944"/>
    <mergeCell ref="N945:N947"/>
    <mergeCell ref="N949:N950"/>
    <mergeCell ref="N951:N953"/>
    <mergeCell ref="N955:N956"/>
    <mergeCell ref="N957:N959"/>
    <mergeCell ref="N961:N962"/>
    <mergeCell ref="N963:N965"/>
    <mergeCell ref="N967:N968"/>
    <mergeCell ref="N969:N971"/>
    <mergeCell ref="N973:N974"/>
    <mergeCell ref="N975:N977"/>
    <mergeCell ref="N979:N980"/>
    <mergeCell ref="N981:N983"/>
    <mergeCell ref="N985:N986"/>
    <mergeCell ref="N987:N989"/>
    <mergeCell ref="N991:N992"/>
    <mergeCell ref="N993:N995"/>
    <mergeCell ref="N997:N998"/>
    <mergeCell ref="N999:N1001"/>
    <mergeCell ref="N1003:N1004"/>
    <mergeCell ref="N1005:N1007"/>
    <mergeCell ref="N241:N242"/>
    <mergeCell ref="N243:N245"/>
    <mergeCell ref="N247:N248"/>
    <mergeCell ref="N249:N251"/>
    <mergeCell ref="N253:N254"/>
    <mergeCell ref="N255:N257"/>
    <mergeCell ref="N261:N262"/>
    <mergeCell ref="N263:N265"/>
    <mergeCell ref="N269:N270"/>
    <mergeCell ref="N271:N273"/>
    <mergeCell ref="N275:N276"/>
    <mergeCell ref="N277:N279"/>
    <mergeCell ref="N281:N282"/>
    <mergeCell ref="N283:N285"/>
    <mergeCell ref="N1306:N1307"/>
    <mergeCell ref="N1308:N1310"/>
    <mergeCell ref="N1312:N1313"/>
    <mergeCell ref="N1314:N1316"/>
    <mergeCell ref="N1318:N1319"/>
    <mergeCell ref="N1320:N1322"/>
    <mergeCell ref="N1324:N1325"/>
    <mergeCell ref="N1326:N1328"/>
    <mergeCell ref="N1330:N1331"/>
    <mergeCell ref="N1332:N1334"/>
    <mergeCell ref="N1336:N1337"/>
    <mergeCell ref="N1338:N1340"/>
    <mergeCell ref="N1342:N1343"/>
    <mergeCell ref="N1344:N1346"/>
    <mergeCell ref="N1348:N1349"/>
    <mergeCell ref="N1350:N1352"/>
    <mergeCell ref="N1354:N1355"/>
    <mergeCell ref="N1356:N1358"/>
    <mergeCell ref="N1360:N1361"/>
    <mergeCell ref="N1362:N1364"/>
    <mergeCell ref="N1366:N1367"/>
    <mergeCell ref="N1368:N1370"/>
    <mergeCell ref="N1372:N1373"/>
    <mergeCell ref="N1374:N1376"/>
    <mergeCell ref="N1378:N1379"/>
    <mergeCell ref="N1380:N1382"/>
    <mergeCell ref="N1384:N1385"/>
    <mergeCell ref="N1386:N1388"/>
    <mergeCell ref="N1390:N1391"/>
    <mergeCell ref="N1392:N1394"/>
    <mergeCell ref="N1396:N1397"/>
    <mergeCell ref="N1398:N1400"/>
    <mergeCell ref="N1402:N1403"/>
    <mergeCell ref="N1404:N1406"/>
    <mergeCell ref="N1408:N1409"/>
    <mergeCell ref="N1410:N1412"/>
    <mergeCell ref="N1414:N1415"/>
    <mergeCell ref="N1416:N1418"/>
    <mergeCell ref="N1420:N1421"/>
    <mergeCell ref="N1422:N1424"/>
    <mergeCell ref="N1426:N1427"/>
    <mergeCell ref="N1428:N1430"/>
    <mergeCell ref="N1432:N1433"/>
    <mergeCell ref="N1434:N1436"/>
    <mergeCell ref="N1438:N1439"/>
    <mergeCell ref="N1440:N1442"/>
    <mergeCell ref="N1444:N1445"/>
    <mergeCell ref="N1446:N1448"/>
    <mergeCell ref="N1450:N1451"/>
    <mergeCell ref="N1452:N1454"/>
    <mergeCell ref="N1456:N1457"/>
    <mergeCell ref="N1458:N1460"/>
    <mergeCell ref="N1462:N1463"/>
    <mergeCell ref="N1464:N1466"/>
    <mergeCell ref="N1468:N1469"/>
    <mergeCell ref="N1470:N1472"/>
    <mergeCell ref="N115:N116"/>
    <mergeCell ref="N117:N119"/>
    <mergeCell ref="N121:N122"/>
    <mergeCell ref="N123:N125"/>
    <mergeCell ref="N127:N128"/>
    <mergeCell ref="N129:N131"/>
    <mergeCell ref="N133:N134"/>
    <mergeCell ref="N135:N137"/>
    <mergeCell ref="N139:N140"/>
    <mergeCell ref="N141:N143"/>
    <mergeCell ref="N145:N146"/>
    <mergeCell ref="N147:N149"/>
    <mergeCell ref="N151:N152"/>
    <mergeCell ref="N153:N155"/>
    <mergeCell ref="N157:N158"/>
    <mergeCell ref="N159:N161"/>
    <mergeCell ref="N163:N164"/>
    <mergeCell ref="N165:N167"/>
    <mergeCell ref="N169:N170"/>
    <mergeCell ref="N171:N173"/>
    <mergeCell ref="N175:N176"/>
    <mergeCell ref="N177:N179"/>
    <mergeCell ref="N181:N182"/>
    <mergeCell ref="N183:N185"/>
    <mergeCell ref="N187:N188"/>
    <mergeCell ref="N189:N191"/>
    <mergeCell ref="N193:N194"/>
    <mergeCell ref="N195:N197"/>
    <mergeCell ref="N199:N200"/>
    <mergeCell ref="N201:N203"/>
    <mergeCell ref="N205:N206"/>
    <mergeCell ref="N207:N209"/>
    <mergeCell ref="N211:N212"/>
    <mergeCell ref="N213:N215"/>
    <mergeCell ref="N217:N218"/>
    <mergeCell ref="N219:N221"/>
    <mergeCell ref="N223:N224"/>
    <mergeCell ref="N225:N227"/>
    <mergeCell ref="N229:N230"/>
    <mergeCell ref="N231:N233"/>
    <mergeCell ref="N235:N236"/>
    <mergeCell ref="N237:N239"/>
    <mergeCell ref="N1494:N1496"/>
    <mergeCell ref="N1498:N1499"/>
    <mergeCell ref="N1500:N1502"/>
    <mergeCell ref="N1474:N1475"/>
    <mergeCell ref="N1476:N1478"/>
    <mergeCell ref="N1480:N1481"/>
    <mergeCell ref="N1482:N1484"/>
    <mergeCell ref="N1486:N1487"/>
    <mergeCell ref="N1488:N1490"/>
    <mergeCell ref="N1492:N1493"/>
    <mergeCell ref="N1009:N1010"/>
    <mergeCell ref="N1011:N1013"/>
    <mergeCell ref="N1015:N1016"/>
    <mergeCell ref="N1017:N1019"/>
    <mergeCell ref="N1021:N1022"/>
    <mergeCell ref="N1023:N1025"/>
    <mergeCell ref="N1027:N1028"/>
    <mergeCell ref="N1029:N1031"/>
    <mergeCell ref="N1033:N1034"/>
    <mergeCell ref="N1035:N1037"/>
    <mergeCell ref="N1039:N1040"/>
    <mergeCell ref="N1041:N1043"/>
    <mergeCell ref="N1045:N1046"/>
    <mergeCell ref="N1047:N1049"/>
    <mergeCell ref="N1051:N1052"/>
    <mergeCell ref="N1053:N1055"/>
    <mergeCell ref="N1057:N1058"/>
    <mergeCell ref="N1059:N1061"/>
    <mergeCell ref="N1063:N1064"/>
    <mergeCell ref="N1065:N1067"/>
    <mergeCell ref="N1069:N1070"/>
    <mergeCell ref="N1071:N1073"/>
    <mergeCell ref="N1075:N1076"/>
    <mergeCell ref="N1077:N1079"/>
    <mergeCell ref="N1081:N1082"/>
    <mergeCell ref="N1083:N1085"/>
    <mergeCell ref="N1087:N1088"/>
    <mergeCell ref="N1089:N1091"/>
    <mergeCell ref="N1093:N1094"/>
    <mergeCell ref="N1095:N1097"/>
    <mergeCell ref="N1099:N1100"/>
    <mergeCell ref="N1101:N1103"/>
    <mergeCell ref="N1105:N1106"/>
    <mergeCell ref="N1107:N1109"/>
    <mergeCell ref="N1111:N1112"/>
    <mergeCell ref="N1113:N1115"/>
    <mergeCell ref="N1117:N1118"/>
    <mergeCell ref="N1119:N1121"/>
    <mergeCell ref="N1123:N1124"/>
    <mergeCell ref="N1125:N1127"/>
    <mergeCell ref="N1129:N1130"/>
    <mergeCell ref="N1131:N1133"/>
    <mergeCell ref="N1135:N1136"/>
    <mergeCell ref="N1137:N1139"/>
    <mergeCell ref="N1142:N1143"/>
    <mergeCell ref="N1144:N1146"/>
    <mergeCell ref="N1148:N1149"/>
    <mergeCell ref="N1150:N1152"/>
    <mergeCell ref="N1154:N1155"/>
    <mergeCell ref="N1156:N1158"/>
    <mergeCell ref="N1160:N1161"/>
    <mergeCell ref="N1162:N1164"/>
    <mergeCell ref="N1166:N1167"/>
    <mergeCell ref="N1168:N1170"/>
    <mergeCell ref="N1172:N1173"/>
    <mergeCell ref="N1174:N1176"/>
    <mergeCell ref="N1178:N1179"/>
    <mergeCell ref="N1180:N1182"/>
    <mergeCell ref="N1184:N1185"/>
    <mergeCell ref="N1186:N1188"/>
    <mergeCell ref="N1190:N1191"/>
    <mergeCell ref="N1192:N1194"/>
    <mergeCell ref="N1196:N1197"/>
    <mergeCell ref="N1198:N1200"/>
    <mergeCell ref="N1202:N1203"/>
    <mergeCell ref="N1204:N1206"/>
    <mergeCell ref="N1208:N1209"/>
    <mergeCell ref="N1210:N1212"/>
    <mergeCell ref="N1214:N1215"/>
    <mergeCell ref="N1216:N1218"/>
    <mergeCell ref="N1220:N1221"/>
    <mergeCell ref="N1222:N1224"/>
    <mergeCell ref="N1228:N1229"/>
    <mergeCell ref="N1230:N1232"/>
    <mergeCell ref="N1234:N1235"/>
    <mergeCell ref="N1236:N1238"/>
    <mergeCell ref="N1240:N1241"/>
    <mergeCell ref="N1242:N1244"/>
    <mergeCell ref="N1246:N1247"/>
    <mergeCell ref="N1248:N1250"/>
    <mergeCell ref="N1252:N1253"/>
    <mergeCell ref="N1254:N1256"/>
    <mergeCell ref="N1258:N1259"/>
    <mergeCell ref="N1260:N1262"/>
    <mergeCell ref="N1264:N1265"/>
    <mergeCell ref="N1266:N1268"/>
    <mergeCell ref="N1270:N1271"/>
    <mergeCell ref="N1272:N1274"/>
    <mergeCell ref="N1276:N1277"/>
    <mergeCell ref="N1278:N1280"/>
    <mergeCell ref="N1282:N1283"/>
    <mergeCell ref="N1284:N1286"/>
    <mergeCell ref="N1288:N1289"/>
    <mergeCell ref="N1290:N1292"/>
    <mergeCell ref="N1294:N1295"/>
    <mergeCell ref="N1296:N1298"/>
    <mergeCell ref="N1300:N1301"/>
    <mergeCell ref="N1302:N1304"/>
    <mergeCell ref="B727:F727"/>
    <mergeCell ref="B733:F733"/>
    <mergeCell ref="B739:F739"/>
    <mergeCell ref="B745:F745"/>
    <mergeCell ref="B751:F751"/>
    <mergeCell ref="B757:F757"/>
    <mergeCell ref="B763:F763"/>
    <mergeCell ref="B769:F769"/>
    <mergeCell ref="B775:F775"/>
    <mergeCell ref="B781:F781"/>
    <mergeCell ref="A787:I787"/>
    <mergeCell ref="B789:F789"/>
    <mergeCell ref="B795:F795"/>
    <mergeCell ref="B801:F801"/>
    <mergeCell ref="A806:I806"/>
    <mergeCell ref="B807:F807"/>
    <mergeCell ref="B813:F813"/>
    <mergeCell ref="B819:F819"/>
    <mergeCell ref="B825:F825"/>
    <mergeCell ref="B831:F831"/>
    <mergeCell ref="B837:F837"/>
    <mergeCell ref="B843:F843"/>
    <mergeCell ref="B849:F849"/>
    <mergeCell ref="B855:F855"/>
    <mergeCell ref="B861:F861"/>
    <mergeCell ref="B867:F867"/>
    <mergeCell ref="A873:I873"/>
    <mergeCell ref="B875:F875"/>
    <mergeCell ref="B881:F881"/>
    <mergeCell ref="A887:I887"/>
    <mergeCell ref="B889:F889"/>
    <mergeCell ref="B895:F895"/>
    <mergeCell ref="B901:F901"/>
    <mergeCell ref="B907:F907"/>
    <mergeCell ref="B913:F913"/>
    <mergeCell ref="B919:F919"/>
    <mergeCell ref="B925:F925"/>
    <mergeCell ref="B931:F931"/>
    <mergeCell ref="B937:F937"/>
    <mergeCell ref="B943:F943"/>
    <mergeCell ref="B949:F949"/>
    <mergeCell ref="B955:F955"/>
    <mergeCell ref="B961:F961"/>
    <mergeCell ref="B967:F967"/>
    <mergeCell ref="B973:F973"/>
    <mergeCell ref="B979:F979"/>
    <mergeCell ref="B985:F985"/>
    <mergeCell ref="B991:F991"/>
    <mergeCell ref="B997:F997"/>
    <mergeCell ref="B1003:F1003"/>
    <mergeCell ref="B1009:F1009"/>
    <mergeCell ref="B1015:F1015"/>
    <mergeCell ref="B1021:F1021"/>
    <mergeCell ref="B1027:F1027"/>
    <mergeCell ref="B1033:F1033"/>
    <mergeCell ref="B1039:F1039"/>
    <mergeCell ref="B1045:F1045"/>
    <mergeCell ref="B1051:F1051"/>
    <mergeCell ref="B1057:F1057"/>
    <mergeCell ref="B1063:F1063"/>
    <mergeCell ref="B1069:F1069"/>
    <mergeCell ref="B1075:F1075"/>
    <mergeCell ref="B1081:F1081"/>
    <mergeCell ref="B1087:F1087"/>
    <mergeCell ref="B1093:F1093"/>
    <mergeCell ref="B1099:F1099"/>
    <mergeCell ref="B1105:F1105"/>
    <mergeCell ref="B1111:F1111"/>
    <mergeCell ref="B1117:F1117"/>
    <mergeCell ref="B1123:F1123"/>
    <mergeCell ref="B1129:F1129"/>
    <mergeCell ref="B1135:F1135"/>
    <mergeCell ref="B1142:F1142"/>
    <mergeCell ref="B1148:F1148"/>
    <mergeCell ref="B1154:F1154"/>
    <mergeCell ref="B1160:F1160"/>
    <mergeCell ref="B1166:F1166"/>
    <mergeCell ref="B1172:F1172"/>
    <mergeCell ref="B1178:F1178"/>
    <mergeCell ref="B1184:F1184"/>
    <mergeCell ref="B1190:F1190"/>
    <mergeCell ref="B1196:F1196"/>
    <mergeCell ref="B1202:F1202"/>
    <mergeCell ref="B1208:F1208"/>
    <mergeCell ref="B1214:F1214"/>
    <mergeCell ref="B1220:F1220"/>
    <mergeCell ref="A1226:I1226"/>
    <mergeCell ref="B1228:E1228"/>
    <mergeCell ref="B1234:E1234"/>
    <mergeCell ref="B1240:E1240"/>
    <mergeCell ref="B1246:E1246"/>
    <mergeCell ref="B1252:F1252"/>
    <mergeCell ref="B1258:F1258"/>
    <mergeCell ref="B1264:F1264"/>
    <mergeCell ref="B1270:F1270"/>
    <mergeCell ref="B1276:F1276"/>
    <mergeCell ref="B1282:F1282"/>
    <mergeCell ref="B1288:F1288"/>
    <mergeCell ref="B91:F91"/>
    <mergeCell ref="B97:F97"/>
    <mergeCell ref="B49:F49"/>
    <mergeCell ref="B55:F55"/>
    <mergeCell ref="B61:F61"/>
    <mergeCell ref="B67:F67"/>
    <mergeCell ref="B73:F73"/>
    <mergeCell ref="B79:F79"/>
    <mergeCell ref="B85:F85"/>
    <mergeCell ref="N99:N101"/>
    <mergeCell ref="N103:N104"/>
    <mergeCell ref="N105:N107"/>
    <mergeCell ref="N109:N110"/>
    <mergeCell ref="N111:N113"/>
    <mergeCell ref="N81:N83"/>
    <mergeCell ref="N85:N86"/>
    <mergeCell ref="N87:N89"/>
    <mergeCell ref="N91:N92"/>
    <mergeCell ref="N93:N95"/>
    <mergeCell ref="N97:N98"/>
    <mergeCell ref="B103:F103"/>
    <mergeCell ref="A1:B1"/>
    <mergeCell ref="D1:K1"/>
    <mergeCell ref="L1:N1"/>
    <mergeCell ref="A2:N2"/>
    <mergeCell ref="A3:N3"/>
    <mergeCell ref="A5:I5"/>
    <mergeCell ref="B6:F6"/>
    <mergeCell ref="J5:N5"/>
    <mergeCell ref="J6:J10"/>
    <mergeCell ref="N6:N7"/>
    <mergeCell ref="N8:N10"/>
    <mergeCell ref="J12:J16"/>
    <mergeCell ref="N12:N13"/>
    <mergeCell ref="N20:N22"/>
    <mergeCell ref="N14:N16"/>
    <mergeCell ref="N18:N19"/>
    <mergeCell ref="N24:N25"/>
    <mergeCell ref="N26:N28"/>
    <mergeCell ref="N30:N31"/>
    <mergeCell ref="N32:N34"/>
    <mergeCell ref="N36:N37"/>
    <mergeCell ref="B12:F12"/>
    <mergeCell ref="B18:F18"/>
    <mergeCell ref="B24:F24"/>
    <mergeCell ref="B30:F30"/>
    <mergeCell ref="B36:F36"/>
    <mergeCell ref="A42:I42"/>
    <mergeCell ref="B43:F43"/>
    <mergeCell ref="N38:N40"/>
    <mergeCell ref="N43:N44"/>
    <mergeCell ref="N45:N47"/>
    <mergeCell ref="N49:N50"/>
    <mergeCell ref="N51:N53"/>
    <mergeCell ref="N55:N56"/>
    <mergeCell ref="N57:N59"/>
    <mergeCell ref="N61:N62"/>
    <mergeCell ref="N63:N65"/>
    <mergeCell ref="N67:N68"/>
    <mergeCell ref="N69:N71"/>
    <mergeCell ref="N73:N74"/>
    <mergeCell ref="N75:N77"/>
    <mergeCell ref="N79:N80"/>
    <mergeCell ref="B109:F109"/>
    <mergeCell ref="B115:F115"/>
    <mergeCell ref="B121:F121"/>
    <mergeCell ref="B127:F127"/>
    <mergeCell ref="B133:F133"/>
    <mergeCell ref="B139:F139"/>
    <mergeCell ref="B145:F145"/>
    <mergeCell ref="N287:N288"/>
    <mergeCell ref="N289:N291"/>
    <mergeCell ref="N293:N294"/>
    <mergeCell ref="N295:N297"/>
    <mergeCell ref="N299:N300"/>
    <mergeCell ref="N301:N303"/>
    <mergeCell ref="N305:N306"/>
    <mergeCell ref="N307:N309"/>
    <mergeCell ref="N311:N312"/>
    <mergeCell ref="N313:N315"/>
    <mergeCell ref="N317:N318"/>
    <mergeCell ref="N319:N321"/>
    <mergeCell ref="N323:N324"/>
    <mergeCell ref="N325:N327"/>
    <mergeCell ref="N329:N330"/>
    <mergeCell ref="N331:N333"/>
    <mergeCell ref="N335:N336"/>
    <mergeCell ref="N337:N339"/>
    <mergeCell ref="N341:N342"/>
    <mergeCell ref="N343:N345"/>
    <mergeCell ref="N347:N348"/>
    <mergeCell ref="N349:N351"/>
    <mergeCell ref="N353:N354"/>
    <mergeCell ref="N355:N357"/>
    <mergeCell ref="N359:N360"/>
    <mergeCell ref="N361:N363"/>
    <mergeCell ref="N365:N366"/>
    <mergeCell ref="N367:N369"/>
    <mergeCell ref="N371:N372"/>
    <mergeCell ref="N373:N375"/>
    <mergeCell ref="N377:N378"/>
    <mergeCell ref="N379:N381"/>
    <mergeCell ref="N383:N384"/>
    <mergeCell ref="N385:N387"/>
    <mergeCell ref="N389:N390"/>
    <mergeCell ref="N391:N393"/>
    <mergeCell ref="N395:N396"/>
    <mergeCell ref="N397:N399"/>
    <mergeCell ref="N401:N402"/>
    <mergeCell ref="N403:N405"/>
    <mergeCell ref="N407:N408"/>
    <mergeCell ref="N409:N411"/>
    <mergeCell ref="B1294:F1294"/>
    <mergeCell ref="B1300:F1300"/>
    <mergeCell ref="B1306:F1306"/>
    <mergeCell ref="B1312:F1312"/>
    <mergeCell ref="B1318:F1318"/>
    <mergeCell ref="B1324:F1324"/>
    <mergeCell ref="B1330:E1330"/>
    <mergeCell ref="B1336:E1336"/>
    <mergeCell ref="B1342:F1342"/>
    <mergeCell ref="B1348:E1348"/>
    <mergeCell ref="B1354:E1354"/>
    <mergeCell ref="B1360:F1360"/>
    <mergeCell ref="B1366:E1366"/>
    <mergeCell ref="B1372:F1372"/>
    <mergeCell ref="B1378:F1378"/>
    <mergeCell ref="B1384:E1384"/>
    <mergeCell ref="B1390:E1390"/>
    <mergeCell ref="B1396:E1396"/>
    <mergeCell ref="B1402:E1402"/>
    <mergeCell ref="B1408:E1408"/>
    <mergeCell ref="B1414:E1414"/>
    <mergeCell ref="B1462:F1462"/>
    <mergeCell ref="B1468:F1468"/>
    <mergeCell ref="B1474:F1474"/>
    <mergeCell ref="B1480:F1480"/>
    <mergeCell ref="B1486:F1486"/>
    <mergeCell ref="B1492:F1492"/>
    <mergeCell ref="B1498:F1498"/>
    <mergeCell ref="B1420:F1420"/>
    <mergeCell ref="B1426:F1426"/>
    <mergeCell ref="B1432:F1432"/>
    <mergeCell ref="B1438:F1438"/>
    <mergeCell ref="B1444:F1444"/>
    <mergeCell ref="B1450:F1450"/>
    <mergeCell ref="B1456:F1456"/>
  </mergeCells>
  <hyperlinks>
    <hyperlink display="SUMÁRIO" location="'QUADRO RESUMO'!B16:D17" ref="L1"/>
    <hyperlink r:id="rId1" ref="I8"/>
    <hyperlink r:id="rId2" ref="I9"/>
    <hyperlink r:id="rId3" ref="I10"/>
    <hyperlink r:id="rId4" ref="I14"/>
    <hyperlink r:id="rId5" ref="I15"/>
    <hyperlink r:id="rId6" ref="I16"/>
    <hyperlink r:id="rId7" ref="I20"/>
    <hyperlink r:id="rId8" ref="I21"/>
    <hyperlink r:id="rId9" ref="I22"/>
    <hyperlink r:id="rId10" ref="I26"/>
    <hyperlink r:id="rId11" ref="I27"/>
    <hyperlink r:id="rId12" ref="I28"/>
    <hyperlink r:id="rId13" ref="I32"/>
    <hyperlink r:id="rId14" ref="I33"/>
    <hyperlink r:id="rId15" ref="I34"/>
    <hyperlink r:id="rId16" ref="I38"/>
    <hyperlink r:id="rId17" ref="I39"/>
    <hyperlink r:id="rId18" ref="I40"/>
    <hyperlink r:id="rId19" ref="I45"/>
    <hyperlink r:id="rId20" ref="I46"/>
    <hyperlink r:id="rId21" ref="I47"/>
    <hyperlink r:id="rId22" ref="I51"/>
    <hyperlink r:id="rId23" ref="I52"/>
    <hyperlink r:id="rId24" ref="I53"/>
    <hyperlink r:id="rId25" ref="I63"/>
    <hyperlink r:id="rId26" ref="I64"/>
    <hyperlink r:id="rId27" ref="I65"/>
    <hyperlink r:id="rId28" ref="I69"/>
    <hyperlink r:id="rId29" ref="I70"/>
    <hyperlink r:id="rId30" ref="I71"/>
    <hyperlink r:id="rId31" ref="I75"/>
    <hyperlink r:id="rId32" ref="I76"/>
    <hyperlink r:id="rId33" ref="I77"/>
    <hyperlink r:id="rId34" ref="I81"/>
    <hyperlink r:id="rId35" ref="I82"/>
    <hyperlink r:id="rId36" ref="I83"/>
    <hyperlink r:id="rId37" location="7-7" ref="I87"/>
    <hyperlink r:id="rId38" ref="I88"/>
    <hyperlink r:id="rId39" ref="I89"/>
    <hyperlink r:id="rId40" ref="I93"/>
    <hyperlink r:id="rId41" ref="I94"/>
    <hyperlink r:id="rId42" ref="I95"/>
    <hyperlink r:id="rId43" ref="I99"/>
    <hyperlink r:id="rId44" ref="I100"/>
    <hyperlink r:id="rId45" ref="I101"/>
    <hyperlink r:id="rId46" ref="I105"/>
    <hyperlink r:id="rId47" ref="I106"/>
    <hyperlink r:id="rId48" ref="I107"/>
    <hyperlink r:id="rId49" ref="I111"/>
    <hyperlink r:id="rId50" ref="I112"/>
    <hyperlink r:id="rId51" ref="I113"/>
    <hyperlink r:id="rId52" ref="I117"/>
    <hyperlink r:id="rId53" ref="I118"/>
    <hyperlink r:id="rId54" ref="I119"/>
    <hyperlink r:id="rId55" ref="I123"/>
    <hyperlink r:id="rId56" ref="I124"/>
    <hyperlink r:id="rId57" ref="I125"/>
    <hyperlink r:id="rId58" ref="I129"/>
    <hyperlink r:id="rId59" ref="I130"/>
    <hyperlink r:id="rId60" ref="I131"/>
    <hyperlink r:id="rId61" ref="I135"/>
    <hyperlink r:id="rId62" ref="I136"/>
    <hyperlink r:id="rId63" ref="I137"/>
    <hyperlink r:id="rId64" ref="I141"/>
    <hyperlink r:id="rId65" ref="I142"/>
    <hyperlink r:id="rId66" ref="I143"/>
    <hyperlink r:id="rId67" ref="I147"/>
    <hyperlink r:id="rId68" ref="I148"/>
    <hyperlink r:id="rId69" ref="I149"/>
    <hyperlink r:id="rId70" ref="I153"/>
    <hyperlink r:id="rId71" ref="I154"/>
    <hyperlink r:id="rId72" ref="I155"/>
    <hyperlink r:id="rId73" ref="I159"/>
    <hyperlink r:id="rId74" location=".YdhtO_7MKUk" ref="I160"/>
    <hyperlink r:id="rId75" ref="I161"/>
    <hyperlink r:id="rId76" ref="I165"/>
    <hyperlink r:id="rId77" ref="I166"/>
    <hyperlink r:id="rId78" ref="I167"/>
    <hyperlink r:id="rId79" ref="I171"/>
    <hyperlink r:id="rId80" ref="I172"/>
    <hyperlink r:id="rId81" ref="I173"/>
    <hyperlink r:id="rId82" ref="I177"/>
    <hyperlink r:id="rId83" ref="I178"/>
    <hyperlink r:id="rId84" ref="I179"/>
    <hyperlink r:id="rId85" ref="I183"/>
    <hyperlink r:id="rId86" ref="I184"/>
    <hyperlink r:id="rId87" ref="I185"/>
    <hyperlink r:id="rId88" ref="I189"/>
    <hyperlink r:id="rId89" ref="I190"/>
    <hyperlink r:id="rId90" ref="I191"/>
    <hyperlink r:id="rId91" ref="I195"/>
    <hyperlink r:id="rId92" ref="I196"/>
    <hyperlink r:id="rId93" ref="I197"/>
    <hyperlink r:id="rId94" ref="I201"/>
    <hyperlink r:id="rId95" ref="I202"/>
    <hyperlink r:id="rId96" ref="I203"/>
    <hyperlink r:id="rId97" ref="I207"/>
    <hyperlink r:id="rId98" ref="I208"/>
    <hyperlink r:id="rId99" ref="I209"/>
    <hyperlink r:id="rId100" ref="I213"/>
    <hyperlink r:id="rId101" ref="I214"/>
    <hyperlink r:id="rId102" ref="I215"/>
    <hyperlink r:id="rId103" ref="I219"/>
    <hyperlink r:id="rId104" location="searchVariation=67066000021&amp;position=25&amp;search_layout=stack&amp;type=item&amp;tracking_id=37b76be3-a88a-434d-86b9-18a257f5b793" ref="I220"/>
    <hyperlink r:id="rId105" ref="I221"/>
    <hyperlink r:id="rId106" ref="I225"/>
    <hyperlink r:id="rId107" ref="I226"/>
    <hyperlink r:id="rId108" ref="I227"/>
    <hyperlink r:id="rId109" ref="I231"/>
    <hyperlink r:id="rId110" ref="I232"/>
    <hyperlink r:id="rId111" ref="I233"/>
    <hyperlink r:id="rId112" ref="I237"/>
    <hyperlink r:id="rId113" ref="I238"/>
    <hyperlink r:id="rId114" ref="I239"/>
    <hyperlink r:id="rId115" ref="I243"/>
    <hyperlink r:id="rId116" ref="I244"/>
    <hyperlink r:id="rId117" ref="I245"/>
    <hyperlink r:id="rId118" ref="I249"/>
    <hyperlink r:id="rId119" ref="I250"/>
    <hyperlink r:id="rId120" ref="I251"/>
    <hyperlink r:id="rId121" ref="I255"/>
    <hyperlink r:id="rId122" ref="I256"/>
    <hyperlink r:id="rId123" ref="I257"/>
    <hyperlink r:id="rId124" ref="I271"/>
    <hyperlink r:id="rId125" ref="I272"/>
    <hyperlink r:id="rId126" location="position=1&amp;search_layout=stack&amp;type=item&amp;tracking_id=b8c35627-1681-4cfa-a3b7-a684dbf88ff4" ref="I273"/>
    <hyperlink r:id="rId127" ref="I277"/>
    <hyperlink r:id="rId128" ref="I278"/>
    <hyperlink r:id="rId129" ref="I279"/>
    <hyperlink r:id="rId130" ref="I283"/>
    <hyperlink r:id="rId131" ref="I284"/>
    <hyperlink r:id="rId132" ref="I285"/>
    <hyperlink r:id="rId133" ref="I289"/>
    <hyperlink r:id="rId134" ref="I290"/>
    <hyperlink r:id="rId135" ref="I291"/>
    <hyperlink r:id="rId136" ref="I295"/>
    <hyperlink r:id="rId137" ref="I296"/>
    <hyperlink r:id="rId138" ref="I297"/>
    <hyperlink r:id="rId139" ref="I301"/>
    <hyperlink r:id="rId140" ref="I302"/>
    <hyperlink r:id="rId141" ref="I303"/>
    <hyperlink r:id="rId142" ref="I307"/>
    <hyperlink r:id="rId143" location="position=3&amp;search_layout=stack&amp;type=item&amp;tracking_id=5c777f47-ef7f-4503-813a-5b16315d6256" ref="I308"/>
    <hyperlink r:id="rId144" ref="I309"/>
    <hyperlink r:id="rId145" ref="I313"/>
    <hyperlink r:id="rId146" ref="I314"/>
    <hyperlink r:id="rId147" ref="I315"/>
    <hyperlink r:id="rId148" ref="I319"/>
    <hyperlink r:id="rId149" ref="I320"/>
    <hyperlink r:id="rId150" ref="I321"/>
    <hyperlink r:id="rId151" ref="I325"/>
    <hyperlink r:id="rId152" ref="I326"/>
    <hyperlink r:id="rId153" ref="I327"/>
    <hyperlink r:id="rId154" ref="I331"/>
    <hyperlink r:id="rId155" ref="I332"/>
    <hyperlink r:id="rId156" ref="I333"/>
    <hyperlink r:id="rId157" ref="I337"/>
    <hyperlink r:id="rId158" ref="I338"/>
    <hyperlink r:id="rId159" ref="I339"/>
    <hyperlink r:id="rId160" ref="I343"/>
    <hyperlink r:id="rId161" ref="I344"/>
    <hyperlink r:id="rId162" ref="I345"/>
    <hyperlink r:id="rId163" ref="I349"/>
    <hyperlink r:id="rId164" ref="I350"/>
    <hyperlink r:id="rId165" ref="I351"/>
    <hyperlink r:id="rId166" ref="I355"/>
    <hyperlink r:id="rId167" ref="I356"/>
    <hyperlink r:id="rId168" ref="I357"/>
    <hyperlink r:id="rId169" ref="I361"/>
    <hyperlink r:id="rId170" ref="I362"/>
    <hyperlink r:id="rId171" ref="I363"/>
    <hyperlink r:id="rId172" ref="I367"/>
    <hyperlink r:id="rId173" ref="I368"/>
    <hyperlink r:id="rId174" ref="I369"/>
    <hyperlink r:id="rId175" ref="I373"/>
    <hyperlink r:id="rId176" ref="I374"/>
    <hyperlink r:id="rId177" ref="I375"/>
    <hyperlink r:id="rId178" ref="I379"/>
    <hyperlink r:id="rId179" ref="I380"/>
    <hyperlink r:id="rId180" ref="I381"/>
    <hyperlink r:id="rId181" ref="I385"/>
    <hyperlink r:id="rId182" ref="I386"/>
    <hyperlink r:id="rId183" ref="I387"/>
    <hyperlink r:id="rId184" ref="I391"/>
    <hyperlink r:id="rId185" ref="I392"/>
    <hyperlink r:id="rId186" ref="I393"/>
    <hyperlink r:id="rId187" ref="I397"/>
    <hyperlink r:id="rId188" ref="I398"/>
    <hyperlink r:id="rId189" ref="I399"/>
    <hyperlink r:id="rId190" ref="I403"/>
    <hyperlink r:id="rId191" ref="I404"/>
    <hyperlink r:id="rId192" ref="I405"/>
    <hyperlink r:id="rId193" ref="I409"/>
    <hyperlink r:id="rId194" ref="I410"/>
    <hyperlink r:id="rId195" ref="I411"/>
    <hyperlink r:id="rId196" ref="I415"/>
    <hyperlink r:id="rId197" ref="I416"/>
    <hyperlink r:id="rId198" ref="I417"/>
    <hyperlink r:id="rId199" ref="I421"/>
    <hyperlink r:id="rId200" ref="I422"/>
    <hyperlink r:id="rId201" ref="I423"/>
    <hyperlink r:id="rId202" ref="I427"/>
    <hyperlink r:id="rId203" ref="I428"/>
    <hyperlink r:id="rId204" ref="I429"/>
    <hyperlink r:id="rId205" ref="I433"/>
    <hyperlink r:id="rId206" ref="I434"/>
    <hyperlink r:id="rId207" ref="I435"/>
    <hyperlink r:id="rId208" ref="I439"/>
    <hyperlink r:id="rId209" ref="I440"/>
    <hyperlink r:id="rId210" ref="I441"/>
    <hyperlink r:id="rId211" ref="I445"/>
    <hyperlink r:id="rId212" ref="I446"/>
    <hyperlink r:id="rId213" ref="I447"/>
    <hyperlink r:id="rId214" ref="I451"/>
    <hyperlink r:id="rId215" ref="I452"/>
    <hyperlink r:id="rId216" ref="I453"/>
    <hyperlink r:id="rId217" ref="I457"/>
    <hyperlink r:id="rId218" ref="I458"/>
    <hyperlink r:id="rId219" ref="I459"/>
    <hyperlink r:id="rId220" ref="I463"/>
    <hyperlink r:id="rId221" ref="I464"/>
    <hyperlink r:id="rId222" ref="I465"/>
    <hyperlink r:id="rId223" ref="I469"/>
    <hyperlink r:id="rId224" ref="I470"/>
    <hyperlink r:id="rId225" ref="I471"/>
    <hyperlink r:id="rId226" ref="I475"/>
    <hyperlink r:id="rId227" ref="I476"/>
    <hyperlink r:id="rId228" ref="I477"/>
    <hyperlink r:id="rId229" ref="I481"/>
    <hyperlink r:id="rId230" ref="I482"/>
    <hyperlink r:id="rId231" ref="I483"/>
    <hyperlink r:id="rId232" ref="I487"/>
    <hyperlink r:id="rId233" ref="I488"/>
    <hyperlink r:id="rId234" ref="I489"/>
    <hyperlink r:id="rId235" ref="I493"/>
    <hyperlink r:id="rId236" ref="I494"/>
    <hyperlink r:id="rId237" ref="I495"/>
    <hyperlink r:id="rId238" ref="I499"/>
    <hyperlink r:id="rId239" ref="I500"/>
    <hyperlink r:id="rId240" ref="I501"/>
    <hyperlink r:id="rId241" ref="I505"/>
    <hyperlink r:id="rId242" ref="I506"/>
    <hyperlink r:id="rId243" ref="I507"/>
    <hyperlink r:id="rId244" ref="I511"/>
    <hyperlink r:id="rId245" ref="I512"/>
    <hyperlink r:id="rId246" ref="I513"/>
    <hyperlink r:id="rId247" location="position=12&amp;search_layout=stack&amp;type=item&amp;tracking_id=60c4f7b3-ba64-4660-a3eb-2d8251f65b2b" ref="I517"/>
    <hyperlink r:id="rId248" ref="I518"/>
    <hyperlink r:id="rId249" ref="I519"/>
    <hyperlink r:id="rId250" ref="I523"/>
    <hyperlink r:id="rId251" ref="I524"/>
    <hyperlink r:id="rId252" ref="I525"/>
    <hyperlink r:id="rId253" ref="I529"/>
    <hyperlink r:id="rId254" ref="I530"/>
    <hyperlink r:id="rId255" ref="I531"/>
    <hyperlink r:id="rId256" ref="I535"/>
    <hyperlink r:id="rId257" ref="I536"/>
    <hyperlink r:id="rId258" ref="I537"/>
    <hyperlink r:id="rId259" ref="I541"/>
    <hyperlink r:id="rId260" ref="I542"/>
    <hyperlink r:id="rId261" ref="I543"/>
    <hyperlink r:id="rId262" ref="I547"/>
    <hyperlink r:id="rId263" ref="I548"/>
    <hyperlink r:id="rId264" ref="I549"/>
    <hyperlink r:id="rId265" ref="I553"/>
    <hyperlink r:id="rId266" ref="I554"/>
    <hyperlink r:id="rId267" ref="I555"/>
    <hyperlink r:id="rId268" ref="I559"/>
    <hyperlink r:id="rId269" ref="I560"/>
    <hyperlink r:id="rId270" ref="I561"/>
    <hyperlink r:id="rId271" ref="I565"/>
    <hyperlink r:id="rId272" ref="I566"/>
    <hyperlink r:id="rId273" ref="I567"/>
    <hyperlink r:id="rId274" ref="I571"/>
    <hyperlink r:id="rId275" ref="I572"/>
    <hyperlink r:id="rId276" ref="I573"/>
    <hyperlink r:id="rId277" ref="I577"/>
    <hyperlink r:id="rId278" ref="I578"/>
    <hyperlink r:id="rId279" ref="I579"/>
    <hyperlink r:id="rId280" ref="I583"/>
    <hyperlink r:id="rId281" ref="I584"/>
    <hyperlink r:id="rId282" ref="I585"/>
    <hyperlink r:id="rId283" ref="I589"/>
    <hyperlink r:id="rId284" ref="I590"/>
    <hyperlink r:id="rId285" location="position=7&amp;search_layout=stack&amp;type=item&amp;tracking_id=052a9e8c-1707-4814-aea8-57a505f44eba" ref="I591"/>
    <hyperlink r:id="rId286" ref="I595"/>
    <hyperlink r:id="rId287" ref="I596"/>
    <hyperlink r:id="rId288" ref="I597"/>
    <hyperlink r:id="rId289" ref="I601"/>
    <hyperlink r:id="rId290" ref="I602"/>
    <hyperlink r:id="rId291" ref="I603"/>
    <hyperlink r:id="rId292" ref="I607"/>
    <hyperlink r:id="rId293" ref="I608"/>
    <hyperlink r:id="rId294" ref="I609"/>
    <hyperlink r:id="rId295" ref="I613"/>
    <hyperlink r:id="rId296" ref="I614"/>
    <hyperlink r:id="rId297" ref="I615"/>
    <hyperlink r:id="rId298" ref="I619"/>
    <hyperlink r:id="rId299" ref="I620"/>
    <hyperlink r:id="rId300" ref="I621"/>
    <hyperlink r:id="rId301" ref="I625"/>
    <hyperlink r:id="rId302" ref="I626"/>
    <hyperlink r:id="rId303" ref="I627"/>
    <hyperlink r:id="rId304" ref="I631"/>
    <hyperlink r:id="rId305" ref="I632"/>
    <hyperlink r:id="rId306" ref="I633"/>
    <hyperlink r:id="rId307" ref="I637"/>
    <hyperlink r:id="rId308" ref="I638"/>
    <hyperlink r:id="rId309" ref="I639"/>
    <hyperlink r:id="rId310" ref="I643"/>
    <hyperlink r:id="rId311" ref="I644"/>
    <hyperlink r:id="rId312" ref="I645"/>
    <hyperlink r:id="rId313" ref="I649"/>
    <hyperlink r:id="rId314" ref="I650"/>
    <hyperlink r:id="rId315" ref="I651"/>
    <hyperlink r:id="rId316" ref="I655"/>
    <hyperlink r:id="rId317" ref="I656"/>
    <hyperlink r:id="rId318" ref="I657"/>
    <hyperlink r:id="rId319" ref="I661"/>
    <hyperlink r:id="rId320" ref="I662"/>
    <hyperlink r:id="rId321" ref="I663"/>
    <hyperlink r:id="rId322" ref="I667"/>
    <hyperlink r:id="rId323" ref="I668"/>
    <hyperlink r:id="rId324" ref="I669"/>
    <hyperlink r:id="rId325" ref="I673"/>
    <hyperlink r:id="rId326" ref="I674"/>
    <hyperlink r:id="rId327" ref="I675"/>
    <hyperlink r:id="rId328" ref="I679"/>
    <hyperlink r:id="rId329" ref="I680"/>
    <hyperlink r:id="rId330" ref="I681"/>
    <hyperlink r:id="rId331" ref="I685"/>
    <hyperlink r:id="rId332" ref="I686"/>
    <hyperlink r:id="rId333" ref="I687"/>
    <hyperlink r:id="rId334" ref="I691"/>
    <hyperlink r:id="rId335" ref="I692"/>
    <hyperlink r:id="rId336" ref="I693"/>
    <hyperlink r:id="rId337" ref="I697"/>
    <hyperlink r:id="rId338" ref="I698"/>
    <hyperlink r:id="rId339" ref="I699"/>
    <hyperlink r:id="rId340" ref="I703"/>
    <hyperlink r:id="rId341" ref="I704"/>
    <hyperlink r:id="rId342" ref="I705"/>
    <hyperlink r:id="rId343" ref="I709"/>
    <hyperlink r:id="rId344" ref="I710"/>
    <hyperlink r:id="rId345" ref="I711"/>
    <hyperlink r:id="rId346" ref="I847"/>
    <hyperlink r:id="rId347" ref="I852"/>
    <hyperlink r:id="rId348" ref="I859"/>
    <hyperlink r:id="rId349" ref="I865"/>
    <hyperlink r:id="rId350" ref="I870"/>
    <hyperlink r:id="rId351" ref="I871"/>
    <hyperlink r:id="rId352" ref="I891"/>
    <hyperlink r:id="rId353" ref="I893"/>
    <hyperlink r:id="rId354" ref="I897"/>
    <hyperlink r:id="rId355" ref="I898"/>
    <hyperlink r:id="rId356" ref="I899"/>
    <hyperlink r:id="rId357" ref="I903"/>
    <hyperlink r:id="rId358" ref="I904"/>
    <hyperlink r:id="rId359" ref="I905"/>
    <hyperlink r:id="rId360" ref="I909"/>
    <hyperlink r:id="rId361" ref="I910"/>
    <hyperlink r:id="rId362" ref="I911"/>
    <hyperlink r:id="rId363" ref="I915"/>
    <hyperlink r:id="rId364" ref="I916"/>
    <hyperlink r:id="rId365" ref="I917"/>
    <hyperlink r:id="rId366" ref="I921"/>
    <hyperlink r:id="rId367" ref="I922"/>
    <hyperlink r:id="rId368" ref="I923"/>
    <hyperlink r:id="rId369" ref="I927"/>
    <hyperlink r:id="rId370" ref="I928"/>
    <hyperlink r:id="rId371" ref="I929"/>
    <hyperlink r:id="rId372" ref="I933"/>
    <hyperlink r:id="rId373" location="is_advertising=true&amp;position=10&amp;search_layout=stack&amp;type=pad&amp;tracking_id=358baa64-f259-435b-827f-92a71dbe824b&amp;is_advertising=true&amp;ad_domain=VQCATCORE_LST&amp;ad_position=10&amp;ad_click_id=Nzk3ZmE1ZGYtNmQyMy00YjU4LThkZjgtMjJmMDYzYmYwY2E2" ref="I934"/>
    <hyperlink r:id="rId374" ref="I935"/>
    <hyperlink r:id="rId375" ref="I939"/>
    <hyperlink r:id="rId376" ref="I940"/>
    <hyperlink r:id="rId377" ref="I941"/>
    <hyperlink r:id="rId378" ref="I945"/>
    <hyperlink r:id="rId379" ref="I946"/>
    <hyperlink r:id="rId380" ref="I947"/>
    <hyperlink r:id="rId381" ref="I951"/>
    <hyperlink r:id="rId382" ref="I952"/>
    <hyperlink r:id="rId383" ref="I953"/>
    <hyperlink r:id="rId384" ref="I957"/>
    <hyperlink r:id="rId385" ref="I958"/>
    <hyperlink r:id="rId386" ref="I959"/>
    <hyperlink r:id="rId387" ref="I963"/>
    <hyperlink r:id="rId388" ref="I964"/>
    <hyperlink r:id="rId389" ref="I965"/>
    <hyperlink r:id="rId390" ref="I969"/>
    <hyperlink r:id="rId391" ref="I970"/>
    <hyperlink r:id="rId392" ref="I975"/>
    <hyperlink r:id="rId393" ref="I976"/>
    <hyperlink r:id="rId394" ref="I977"/>
    <hyperlink r:id="rId395" ref="I981"/>
    <hyperlink r:id="rId396" ref="I982"/>
    <hyperlink r:id="rId397" ref="I983"/>
    <hyperlink r:id="rId398" ref="I987"/>
    <hyperlink r:id="rId399" ref="I988"/>
    <hyperlink r:id="rId400" ref="I989"/>
    <hyperlink r:id="rId401" ref="I993"/>
    <hyperlink r:id="rId402" ref="I994"/>
    <hyperlink r:id="rId403" ref="I995"/>
    <hyperlink r:id="rId404" ref="I999"/>
    <hyperlink r:id="rId405" ref="I1000"/>
    <hyperlink r:id="rId406" ref="I1001"/>
    <hyperlink r:id="rId407" ref="I1005"/>
    <hyperlink r:id="rId408" ref="I1006"/>
    <hyperlink r:id="rId409" ref="I1011"/>
    <hyperlink r:id="rId410" ref="I1012"/>
    <hyperlink r:id="rId411" ref="I1013"/>
    <hyperlink r:id="rId412" ref="I1017"/>
    <hyperlink r:id="rId413" ref="I1018"/>
    <hyperlink r:id="rId414" ref="I1019"/>
    <hyperlink r:id="rId415" ref="I1023"/>
    <hyperlink r:id="rId416" ref="I1024"/>
    <hyperlink r:id="rId417" ref="I1025"/>
    <hyperlink r:id="rId418" ref="I1029"/>
    <hyperlink r:id="rId419" ref="I1030"/>
    <hyperlink r:id="rId420" ref="I1031"/>
    <hyperlink r:id="rId421" ref="I1035"/>
    <hyperlink r:id="rId422" ref="I1036"/>
    <hyperlink r:id="rId423" ref="I1037"/>
    <hyperlink r:id="rId424" ref="I1041"/>
    <hyperlink r:id="rId425" ref="I1042"/>
    <hyperlink r:id="rId426" ref="I1043"/>
    <hyperlink r:id="rId427" ref="I1047"/>
    <hyperlink r:id="rId428" ref="I1048"/>
    <hyperlink r:id="rId429" ref="I1049"/>
    <hyperlink r:id="rId430" ref="I1072"/>
    <hyperlink r:id="rId431" ref="I1113"/>
    <hyperlink r:id="rId432" ref="I1121"/>
    <hyperlink r:id="rId433" ref="I1125"/>
    <hyperlink r:id="rId434" ref="I1126"/>
    <hyperlink r:id="rId435" ref="I1127"/>
    <hyperlink r:id="rId436" ref="I1131"/>
    <hyperlink r:id="rId437" ref="I1132"/>
    <hyperlink r:id="rId438" ref="I1133"/>
    <hyperlink r:id="rId439" ref="I1137"/>
    <hyperlink r:id="rId440" ref="I1138"/>
    <hyperlink r:id="rId441" ref="I1139"/>
    <hyperlink r:id="rId442" ref="I1144"/>
    <hyperlink r:id="rId443" ref="I1145"/>
    <hyperlink r:id="rId444" ref="I1146"/>
    <hyperlink r:id="rId445" ref="I1150"/>
    <hyperlink r:id="rId446" ref="I1151"/>
    <hyperlink r:id="rId447" ref="I1152"/>
    <hyperlink r:id="rId448" location="is_advertising=true&amp;position=1&amp;search_layout=stack&amp;type=pad&amp;tracking_id=62442b00-3eb8-4874-855a-60f9a0ca6db4&amp;is_advertising=true&amp;ad_domain=VQCATCORE_LST&amp;ad_position=1&amp;ad_click_id=OWUyY2QyODMtMGE5OC00ZTAzLTkzZTEtNDI5MzFjNDUyYzg4" ref="I1156"/>
    <hyperlink r:id="rId449" ref="I1157"/>
    <hyperlink r:id="rId450" ref="I1158"/>
    <hyperlink r:id="rId451" location="position=5&amp;search_layout=stack&amp;type=item&amp;tracking_id=2a7ba336-72bc-45e2-adc8-33e1fbe5171b" ref="I1162"/>
    <hyperlink r:id="rId452" ref="I1163"/>
    <hyperlink r:id="rId453" ref="I1164"/>
    <hyperlink r:id="rId454" ref="I1168"/>
    <hyperlink r:id="rId455" ref="I1169"/>
    <hyperlink r:id="rId456" ref="I1170"/>
    <hyperlink r:id="rId457" ref="I1174"/>
    <hyperlink r:id="rId458" ref="I1175"/>
    <hyperlink r:id="rId459" location="position=3&amp;search_layout=stack&amp;type=item&amp;tracking_id=f6c60ac6-0e19-4521-94e5-b662fcddaa4b" ref="I1176"/>
    <hyperlink r:id="rId460" ref="I1180"/>
    <hyperlink r:id="rId461" ref="I1181"/>
    <hyperlink r:id="rId462" ref="I1182"/>
    <hyperlink r:id="rId463" ref="I1186"/>
    <hyperlink r:id="rId464" ref="I1187"/>
    <hyperlink r:id="rId465" ref="I1188"/>
    <hyperlink r:id="rId466" ref="I1192"/>
    <hyperlink r:id="rId467" ref="I1193"/>
    <hyperlink r:id="rId468" ref="I1194"/>
    <hyperlink r:id="rId469" ref="I1198"/>
    <hyperlink r:id="rId470" ref="I1199"/>
    <hyperlink r:id="rId471" ref="I1200"/>
    <hyperlink r:id="rId472" ref="I1204"/>
    <hyperlink r:id="rId473" ref="I1205"/>
    <hyperlink r:id="rId474" ref="I1206"/>
    <hyperlink r:id="rId475" ref="I1210"/>
    <hyperlink r:id="rId476" ref="I1211"/>
    <hyperlink r:id="rId477" ref="I1212"/>
    <hyperlink r:id="rId478" ref="I1216"/>
    <hyperlink r:id="rId479" ref="I1217"/>
    <hyperlink r:id="rId480" ref="I1218"/>
    <hyperlink r:id="rId481" ref="I1222"/>
    <hyperlink r:id="rId482" ref="I1223"/>
    <hyperlink r:id="rId483" ref="I1224"/>
    <hyperlink r:id="rId484" ref="I1230"/>
    <hyperlink r:id="rId485" ref="I1231"/>
    <hyperlink r:id="rId486" ref="I1232"/>
    <hyperlink r:id="rId487" ref="I1236"/>
    <hyperlink r:id="rId488" ref="I1237"/>
    <hyperlink r:id="rId489" ref="I1238"/>
    <hyperlink r:id="rId490" ref="I1242"/>
    <hyperlink r:id="rId491" ref="I1243"/>
    <hyperlink r:id="rId492" ref="I1244"/>
    <hyperlink r:id="rId493" ref="I1248"/>
    <hyperlink r:id="rId494" ref="I1249"/>
    <hyperlink r:id="rId495" ref="I1250"/>
    <hyperlink r:id="rId496" ref="I1255"/>
    <hyperlink r:id="rId497" ref="I1256"/>
    <hyperlink r:id="rId498" location="searchVariation=MLB21349340&amp;position=5&amp;search_layout=grid&amp;type=product&amp;tracking_id=e103762b-775d-4360-82a2-78c9823330af" ref="I1260"/>
    <hyperlink r:id="rId499" ref="I1261"/>
    <hyperlink r:id="rId500" ref="I1262"/>
    <hyperlink r:id="rId501" ref="I1266"/>
    <hyperlink r:id="rId502" ref="I1267"/>
    <hyperlink r:id="rId503" ref="I1268"/>
    <hyperlink r:id="rId504" ref="I1272"/>
    <hyperlink r:id="rId505" ref="I1273"/>
    <hyperlink r:id="rId506" ref="I1274"/>
    <hyperlink r:id="rId507" ref="I1278"/>
    <hyperlink r:id="rId508" ref="I1279"/>
    <hyperlink r:id="rId509" ref="I1280"/>
    <hyperlink r:id="rId510" ref="I1284"/>
    <hyperlink r:id="rId511" ref="I1285"/>
    <hyperlink r:id="rId512" ref="I1286"/>
    <hyperlink r:id="rId513" ref="I1290"/>
    <hyperlink r:id="rId514" ref="I1291"/>
    <hyperlink r:id="rId515" ref="I1292"/>
    <hyperlink r:id="rId516" ref="I1296"/>
    <hyperlink r:id="rId517" ref="I1297"/>
    <hyperlink r:id="rId518" ref="I1298"/>
    <hyperlink r:id="rId519" ref="I1308"/>
    <hyperlink r:id="rId520" ref="I1309"/>
    <hyperlink r:id="rId521" ref="I1310"/>
    <hyperlink r:id="rId522" ref="I1315"/>
    <hyperlink r:id="rId523" ref="I1316"/>
    <hyperlink r:id="rId524" location="searchVariation=MLB21464037&amp;position=3&amp;search_layout=stack&amp;type=product&amp;tracking_id=752122a9-f32f-4cb4-ba46-d285c2402b77" ref="I1322"/>
    <hyperlink r:id="rId525" ref="I1326"/>
    <hyperlink r:id="rId526" ref="I1327"/>
    <hyperlink r:id="rId527" ref="I1328"/>
    <hyperlink r:id="rId528" ref="I1332"/>
    <hyperlink r:id="rId529" ref="I1333"/>
    <hyperlink r:id="rId530" ref="I1334"/>
    <hyperlink r:id="rId531" ref="I1338"/>
    <hyperlink r:id="rId532" ref="I1339"/>
    <hyperlink r:id="rId533" ref="I1340"/>
    <hyperlink r:id="rId534" ref="I1350"/>
    <hyperlink r:id="rId535" ref="I1356"/>
    <hyperlink r:id="rId536" ref="I1357"/>
    <hyperlink r:id="rId537" ref="I1358"/>
    <hyperlink r:id="rId538" ref="I1362"/>
    <hyperlink r:id="rId539" ref="I1363"/>
    <hyperlink r:id="rId540" ref="I1364"/>
    <hyperlink r:id="rId541" ref="I1368"/>
    <hyperlink r:id="rId542" ref="I1369"/>
    <hyperlink r:id="rId543" ref="I1370"/>
    <hyperlink r:id="rId544" ref="I1374"/>
    <hyperlink r:id="rId545" ref="I1375"/>
    <hyperlink r:id="rId546" ref="I1376"/>
    <hyperlink r:id="rId547" ref="I1386"/>
    <hyperlink r:id="rId548" ref="I1387"/>
    <hyperlink r:id="rId549" ref="I1388"/>
    <hyperlink r:id="rId550" ref="I1392"/>
    <hyperlink r:id="rId551" ref="I1393"/>
    <hyperlink r:id="rId552" ref="I1394"/>
    <hyperlink r:id="rId553" ref="I1398"/>
    <hyperlink r:id="rId554" ref="I1399"/>
    <hyperlink r:id="rId555" ref="I1400"/>
    <hyperlink r:id="rId556" ref="I1404"/>
    <hyperlink r:id="rId557" ref="I1405"/>
    <hyperlink r:id="rId558" ref="I1406"/>
    <hyperlink r:id="rId559" ref="I1410"/>
    <hyperlink r:id="rId560" ref="I1411"/>
    <hyperlink r:id="rId561" ref="I1412"/>
    <hyperlink r:id="rId562" ref="I1416"/>
    <hyperlink r:id="rId563" ref="I1417"/>
    <hyperlink r:id="rId564" ref="I1418"/>
    <hyperlink r:id="rId565" ref="I1422"/>
    <hyperlink r:id="rId566" ref="I1423"/>
    <hyperlink r:id="rId567" ref="I1424"/>
    <hyperlink r:id="rId568" ref="I1428"/>
    <hyperlink r:id="rId569" ref="I1429"/>
    <hyperlink r:id="rId570" ref="I1430"/>
    <hyperlink r:id="rId571" ref="I1434"/>
    <hyperlink r:id="rId572" ref="I1435"/>
    <hyperlink r:id="rId573" ref="I1436"/>
    <hyperlink r:id="rId574" ref="I1440"/>
    <hyperlink r:id="rId575" ref="I1441"/>
    <hyperlink r:id="rId576" ref="I1442"/>
    <hyperlink r:id="rId577" ref="I1446"/>
    <hyperlink r:id="rId578" ref="I1447"/>
    <hyperlink r:id="rId579" ref="I1448"/>
    <hyperlink r:id="rId580" ref="I1452"/>
    <hyperlink r:id="rId581" ref="I1453"/>
    <hyperlink r:id="rId582" ref="I1454"/>
    <hyperlink r:id="rId583" ref="I1458"/>
    <hyperlink r:id="rId584" ref="I1459"/>
    <hyperlink r:id="rId585" ref="I1460"/>
    <hyperlink r:id="rId586" ref="I1464"/>
    <hyperlink r:id="rId587" ref="I1465"/>
    <hyperlink r:id="rId588" ref="I1466"/>
    <hyperlink r:id="rId589" ref="I1470"/>
    <hyperlink r:id="rId590" ref="I1471"/>
    <hyperlink r:id="rId591" ref="I1472"/>
    <hyperlink r:id="rId592" ref="I1476"/>
    <hyperlink r:id="rId593" ref="I1477"/>
    <hyperlink r:id="rId594" ref="I1478"/>
  </hyperlinks>
  <printOptions/>
  <pageMargins bottom="0.75" footer="0.0" header="0.0" left="0.25" right="0.25" top="0.75"/>
  <pageSetup fitToHeight="0" paperSize="9" orientation="landscape"/>
  <drawing r:id="rId595"/>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4.71"/>
    <col customWidth="1" min="2" max="2" width="49.57"/>
    <col customWidth="1" min="3" max="3" width="4.0"/>
    <col customWidth="1" min="4" max="4" width="4.14"/>
    <col customWidth="1" min="5" max="5" width="11.57"/>
    <col customWidth="1" min="6" max="6" width="8.29"/>
    <col customWidth="1" min="7" max="7" width="11.43"/>
    <col customWidth="1" min="8" max="10" width="10.71"/>
    <col customWidth="1" min="11" max="11" width="11.0"/>
    <col customWidth="1" min="12" max="13" width="6.43"/>
    <col customWidth="1" min="14" max="14" width="3.71"/>
  </cols>
  <sheetData>
    <row r="1" ht="54.0" customHeight="1">
      <c r="A1" s="1" t="s">
        <v>4166</v>
      </c>
      <c r="C1" s="892" t="s">
        <v>4167</v>
      </c>
      <c r="D1" s="494"/>
      <c r="E1" s="494"/>
      <c r="F1" s="494"/>
      <c r="G1" s="494"/>
      <c r="H1" s="494"/>
      <c r="I1" s="494"/>
      <c r="J1" s="494"/>
      <c r="K1" s="494"/>
      <c r="L1" s="287" t="s">
        <v>29</v>
      </c>
      <c r="M1" s="44"/>
      <c r="N1" s="714"/>
    </row>
    <row r="2" ht="34.5" customHeight="1">
      <c r="A2" s="893" t="s">
        <v>4168</v>
      </c>
      <c r="N2" s="894"/>
    </row>
    <row r="3" ht="14.25" customHeight="1">
      <c r="A3" s="895" t="s">
        <v>79</v>
      </c>
      <c r="B3" s="896" t="s">
        <v>1537</v>
      </c>
      <c r="C3" s="897" t="s">
        <v>4169</v>
      </c>
      <c r="D3" s="301"/>
      <c r="E3" s="898" t="s">
        <v>4170</v>
      </c>
      <c r="F3" s="899" t="s">
        <v>4171</v>
      </c>
      <c r="G3" s="36"/>
      <c r="H3" s="36"/>
      <c r="I3" s="36"/>
      <c r="J3" s="36"/>
      <c r="K3" s="189"/>
      <c r="L3" s="898" t="s">
        <v>4172</v>
      </c>
      <c r="M3" s="895" t="s">
        <v>89</v>
      </c>
    </row>
    <row r="4" ht="14.25" customHeight="1">
      <c r="A4" s="75"/>
      <c r="B4" s="75"/>
      <c r="C4" s="294"/>
      <c r="D4" s="189"/>
      <c r="E4" s="75"/>
      <c r="F4" s="900" t="s">
        <v>4173</v>
      </c>
      <c r="G4" s="900" t="s">
        <v>4174</v>
      </c>
      <c r="H4" s="900" t="s">
        <v>4175</v>
      </c>
      <c r="I4" s="900" t="s">
        <v>4176</v>
      </c>
      <c r="J4" s="900" t="s">
        <v>4177</v>
      </c>
      <c r="K4" s="900" t="s">
        <v>4178</v>
      </c>
      <c r="L4" s="75"/>
      <c r="M4" s="75"/>
    </row>
    <row r="5" ht="14.25" customHeight="1">
      <c r="A5" s="500">
        <v>1.0</v>
      </c>
      <c r="B5" s="901" t="s">
        <v>4179</v>
      </c>
      <c r="C5" s="902">
        <v>4.0</v>
      </c>
      <c r="D5" s="902" t="s">
        <v>3606</v>
      </c>
      <c r="E5" s="500" t="s">
        <v>4180</v>
      </c>
      <c r="F5" s="500"/>
      <c r="G5" s="500">
        <v>1.0</v>
      </c>
      <c r="H5" s="500"/>
      <c r="I5" s="500"/>
      <c r="J5" s="500"/>
      <c r="K5" s="500"/>
      <c r="L5" s="500">
        <f t="shared" ref="L5:L23" si="1">SUM(F5:K5)</f>
        <v>1</v>
      </c>
      <c r="M5" s="903" t="str">
        <f t="shared" ref="M5:M23" si="2">L5*C5&amp;" "&amp;D5</f>
        <v>4 KG</v>
      </c>
    </row>
    <row r="6" ht="14.25" customHeight="1">
      <c r="A6" s="500">
        <v>2.0</v>
      </c>
      <c r="B6" s="901" t="s">
        <v>4179</v>
      </c>
      <c r="C6" s="902">
        <v>6.0</v>
      </c>
      <c r="D6" s="902" t="s">
        <v>3606</v>
      </c>
      <c r="E6" s="500" t="s">
        <v>4180</v>
      </c>
      <c r="F6" s="500">
        <v>30.0</v>
      </c>
      <c r="G6" s="500"/>
      <c r="H6" s="500">
        <v>5.0</v>
      </c>
      <c r="I6" s="500">
        <v>1.0</v>
      </c>
      <c r="J6" s="500">
        <v>7.0</v>
      </c>
      <c r="K6" s="500">
        <v>24.0</v>
      </c>
      <c r="L6" s="500">
        <f t="shared" si="1"/>
        <v>67</v>
      </c>
      <c r="M6" s="903" t="str">
        <f t="shared" si="2"/>
        <v>402 KG</v>
      </c>
    </row>
    <row r="7" ht="14.25" customHeight="1">
      <c r="A7" s="500">
        <v>3.0</v>
      </c>
      <c r="B7" s="901" t="s">
        <v>4179</v>
      </c>
      <c r="C7" s="902">
        <v>10.0</v>
      </c>
      <c r="D7" s="902" t="s">
        <v>3606</v>
      </c>
      <c r="E7" s="500" t="s">
        <v>4180</v>
      </c>
      <c r="F7" s="500">
        <v>1.0</v>
      </c>
      <c r="G7" s="500"/>
      <c r="H7" s="500"/>
      <c r="I7" s="500"/>
      <c r="J7" s="500"/>
      <c r="K7" s="500"/>
      <c r="L7" s="500">
        <f t="shared" si="1"/>
        <v>1</v>
      </c>
      <c r="M7" s="903" t="str">
        <f t="shared" si="2"/>
        <v>10 KG</v>
      </c>
    </row>
    <row r="8" ht="14.25" customHeight="1">
      <c r="A8" s="500">
        <v>4.0</v>
      </c>
      <c r="B8" s="901" t="s">
        <v>4179</v>
      </c>
      <c r="C8" s="902">
        <v>25.0</v>
      </c>
      <c r="D8" s="902" t="s">
        <v>3606</v>
      </c>
      <c r="E8" s="500" t="s">
        <v>4181</v>
      </c>
      <c r="F8" s="500">
        <v>2.0</v>
      </c>
      <c r="G8" s="500"/>
      <c r="H8" s="500"/>
      <c r="I8" s="500"/>
      <c r="J8" s="500"/>
      <c r="K8" s="500"/>
      <c r="L8" s="500">
        <f t="shared" si="1"/>
        <v>2</v>
      </c>
      <c r="M8" s="903" t="str">
        <f t="shared" si="2"/>
        <v>50 KG</v>
      </c>
    </row>
    <row r="9" ht="14.25" customHeight="1">
      <c r="A9" s="500">
        <v>5.0</v>
      </c>
      <c r="B9" s="901" t="s">
        <v>4182</v>
      </c>
      <c r="C9" s="902">
        <v>4.0</v>
      </c>
      <c r="D9" s="902" t="s">
        <v>3606</v>
      </c>
      <c r="E9" s="500" t="s">
        <v>4183</v>
      </c>
      <c r="F9" s="500">
        <v>16.0</v>
      </c>
      <c r="G9" s="500">
        <v>7.0</v>
      </c>
      <c r="H9" s="500"/>
      <c r="I9" s="500"/>
      <c r="J9" s="500"/>
      <c r="K9" s="500"/>
      <c r="L9" s="500">
        <f t="shared" si="1"/>
        <v>23</v>
      </c>
      <c r="M9" s="903" t="str">
        <f t="shared" si="2"/>
        <v>92 KG</v>
      </c>
    </row>
    <row r="10" ht="14.25" customHeight="1">
      <c r="A10" s="500">
        <v>6.0</v>
      </c>
      <c r="B10" s="901" t="s">
        <v>4184</v>
      </c>
      <c r="C10" s="902">
        <v>4.0</v>
      </c>
      <c r="D10" s="902" t="s">
        <v>3606</v>
      </c>
      <c r="E10" s="500" t="s">
        <v>4185</v>
      </c>
      <c r="F10" s="500"/>
      <c r="G10" s="500">
        <v>5.0</v>
      </c>
      <c r="H10" s="500"/>
      <c r="I10" s="500">
        <v>4.0</v>
      </c>
      <c r="J10" s="500">
        <v>6.0</v>
      </c>
      <c r="K10" s="500"/>
      <c r="L10" s="500">
        <f t="shared" si="1"/>
        <v>15</v>
      </c>
      <c r="M10" s="903" t="str">
        <f t="shared" si="2"/>
        <v>60 KG</v>
      </c>
    </row>
    <row r="11" ht="14.25" customHeight="1">
      <c r="A11" s="500">
        <v>7.0</v>
      </c>
      <c r="B11" s="901" t="s">
        <v>4182</v>
      </c>
      <c r="C11" s="902">
        <v>6.0</v>
      </c>
      <c r="D11" s="902" t="s">
        <v>3606</v>
      </c>
      <c r="E11" s="500" t="s">
        <v>4186</v>
      </c>
      <c r="F11" s="500">
        <v>56.0</v>
      </c>
      <c r="G11" s="500"/>
      <c r="H11" s="500">
        <v>9.0</v>
      </c>
      <c r="I11" s="500"/>
      <c r="J11" s="500"/>
      <c r="K11" s="500"/>
      <c r="L11" s="500">
        <f t="shared" si="1"/>
        <v>65</v>
      </c>
      <c r="M11" s="903" t="str">
        <f t="shared" si="2"/>
        <v>390 KG</v>
      </c>
    </row>
    <row r="12" ht="14.25" customHeight="1">
      <c r="A12" s="500">
        <v>8.0</v>
      </c>
      <c r="B12" s="901" t="s">
        <v>4187</v>
      </c>
      <c r="C12" s="902">
        <v>6.0</v>
      </c>
      <c r="D12" s="902" t="s">
        <v>3606</v>
      </c>
      <c r="E12" s="500" t="s">
        <v>4185</v>
      </c>
      <c r="F12" s="500"/>
      <c r="G12" s="500"/>
      <c r="H12" s="500"/>
      <c r="I12" s="500"/>
      <c r="J12" s="500"/>
      <c r="K12" s="500"/>
      <c r="L12" s="500">
        <f t="shared" si="1"/>
        <v>0</v>
      </c>
      <c r="M12" s="903" t="str">
        <f t="shared" si="2"/>
        <v>0 KG</v>
      </c>
    </row>
    <row r="13" ht="14.25" customHeight="1">
      <c r="A13" s="500">
        <v>9.0</v>
      </c>
      <c r="B13" s="901" t="s">
        <v>4188</v>
      </c>
      <c r="C13" s="902">
        <v>8.0</v>
      </c>
      <c r="D13" s="902" t="s">
        <v>3606</v>
      </c>
      <c r="E13" s="500" t="s">
        <v>4186</v>
      </c>
      <c r="F13" s="500"/>
      <c r="G13" s="500"/>
      <c r="H13" s="500"/>
      <c r="I13" s="500"/>
      <c r="J13" s="500"/>
      <c r="K13" s="500"/>
      <c r="L13" s="500">
        <f t="shared" si="1"/>
        <v>0</v>
      </c>
      <c r="M13" s="903" t="str">
        <f t="shared" si="2"/>
        <v>0 KG</v>
      </c>
    </row>
    <row r="14" ht="14.25" customHeight="1">
      <c r="A14" s="500">
        <v>10.0</v>
      </c>
      <c r="B14" s="901" t="s">
        <v>4187</v>
      </c>
      <c r="C14" s="902">
        <v>8.0</v>
      </c>
      <c r="D14" s="902" t="s">
        <v>3606</v>
      </c>
      <c r="E14" s="500" t="s">
        <v>4189</v>
      </c>
      <c r="F14" s="500"/>
      <c r="G14" s="500"/>
      <c r="H14" s="500"/>
      <c r="I14" s="500"/>
      <c r="J14" s="500"/>
      <c r="K14" s="500"/>
      <c r="L14" s="500">
        <f t="shared" si="1"/>
        <v>0</v>
      </c>
      <c r="M14" s="903" t="str">
        <f t="shared" si="2"/>
        <v>0 KG</v>
      </c>
    </row>
    <row r="15" ht="14.25" customHeight="1">
      <c r="A15" s="500">
        <v>11.0</v>
      </c>
      <c r="B15" s="901" t="s">
        <v>4188</v>
      </c>
      <c r="C15" s="902">
        <v>12.0</v>
      </c>
      <c r="D15" s="902" t="s">
        <v>3606</v>
      </c>
      <c r="E15" s="500" t="s">
        <v>4190</v>
      </c>
      <c r="F15" s="500">
        <v>4.0</v>
      </c>
      <c r="G15" s="500">
        <v>1.0</v>
      </c>
      <c r="H15" s="500"/>
      <c r="I15" s="500"/>
      <c r="J15" s="500"/>
      <c r="K15" s="500"/>
      <c r="L15" s="500">
        <f t="shared" si="1"/>
        <v>5</v>
      </c>
      <c r="M15" s="903" t="str">
        <f t="shared" si="2"/>
        <v>60 KG</v>
      </c>
    </row>
    <row r="16" ht="14.25" customHeight="1">
      <c r="A16" s="500">
        <v>12.0</v>
      </c>
      <c r="B16" s="901" t="s">
        <v>4187</v>
      </c>
      <c r="C16" s="902">
        <v>12.0</v>
      </c>
      <c r="D16" s="902" t="s">
        <v>3606</v>
      </c>
      <c r="E16" s="500" t="s">
        <v>4191</v>
      </c>
      <c r="F16" s="500"/>
      <c r="G16" s="500"/>
      <c r="H16" s="500"/>
      <c r="I16" s="500"/>
      <c r="J16" s="500"/>
      <c r="K16" s="500"/>
      <c r="L16" s="500">
        <f t="shared" si="1"/>
        <v>0</v>
      </c>
      <c r="M16" s="903" t="str">
        <f t="shared" si="2"/>
        <v>0 KG</v>
      </c>
    </row>
    <row r="17" ht="14.25" customHeight="1">
      <c r="A17" s="500">
        <v>13.0</v>
      </c>
      <c r="B17" s="901" t="s">
        <v>4192</v>
      </c>
      <c r="C17" s="902">
        <v>20.0</v>
      </c>
      <c r="D17" s="902" t="s">
        <v>3606</v>
      </c>
      <c r="E17" s="500" t="s">
        <v>4193</v>
      </c>
      <c r="F17" s="500"/>
      <c r="G17" s="500"/>
      <c r="H17" s="500"/>
      <c r="I17" s="500"/>
      <c r="J17" s="500"/>
      <c r="K17" s="500"/>
      <c r="L17" s="500">
        <f t="shared" si="1"/>
        <v>0</v>
      </c>
      <c r="M17" s="903" t="str">
        <f t="shared" si="2"/>
        <v>0 KG</v>
      </c>
    </row>
    <row r="18" ht="14.25" customHeight="1">
      <c r="A18" s="500">
        <v>14.0</v>
      </c>
      <c r="B18" s="901" t="s">
        <v>4194</v>
      </c>
      <c r="C18" s="902">
        <v>20.0</v>
      </c>
      <c r="D18" s="902" t="s">
        <v>3606</v>
      </c>
      <c r="E18" s="500" t="s">
        <v>4195</v>
      </c>
      <c r="F18" s="500">
        <v>1.0</v>
      </c>
      <c r="G18" s="500"/>
      <c r="H18" s="500"/>
      <c r="I18" s="500"/>
      <c r="J18" s="500"/>
      <c r="K18" s="500"/>
      <c r="L18" s="500">
        <f t="shared" si="1"/>
        <v>1</v>
      </c>
      <c r="M18" s="903" t="str">
        <f t="shared" si="2"/>
        <v>20 KG</v>
      </c>
    </row>
    <row r="19" ht="14.25" customHeight="1">
      <c r="A19" s="500">
        <v>15.0</v>
      </c>
      <c r="B19" s="901" t="s">
        <v>4192</v>
      </c>
      <c r="C19" s="902">
        <v>50.0</v>
      </c>
      <c r="D19" s="902" t="s">
        <v>3606</v>
      </c>
      <c r="E19" s="500" t="s">
        <v>4193</v>
      </c>
      <c r="F19" s="500"/>
      <c r="G19" s="500"/>
      <c r="H19" s="500"/>
      <c r="I19" s="500"/>
      <c r="J19" s="500"/>
      <c r="K19" s="500"/>
      <c r="L19" s="500">
        <f t="shared" si="1"/>
        <v>0</v>
      </c>
      <c r="M19" s="903" t="str">
        <f t="shared" si="2"/>
        <v>0 KG</v>
      </c>
    </row>
    <row r="20" ht="14.25" customHeight="1">
      <c r="A20" s="500">
        <v>16.0</v>
      </c>
      <c r="B20" s="901" t="s">
        <v>4194</v>
      </c>
      <c r="C20" s="902">
        <v>50.0</v>
      </c>
      <c r="D20" s="902" t="s">
        <v>3606</v>
      </c>
      <c r="E20" s="500" t="s">
        <v>4195</v>
      </c>
      <c r="F20" s="500">
        <v>1.0</v>
      </c>
      <c r="G20" s="500"/>
      <c r="H20" s="500"/>
      <c r="I20" s="500"/>
      <c r="J20" s="500"/>
      <c r="K20" s="500"/>
      <c r="L20" s="500">
        <f t="shared" si="1"/>
        <v>1</v>
      </c>
      <c r="M20" s="903" t="str">
        <f t="shared" si="2"/>
        <v>50 KG</v>
      </c>
    </row>
    <row r="21" ht="14.25" customHeight="1">
      <c r="A21" s="500">
        <v>17.0</v>
      </c>
      <c r="B21" s="901" t="s">
        <v>4196</v>
      </c>
      <c r="C21" s="902">
        <v>10.0</v>
      </c>
      <c r="D21" s="902" t="s">
        <v>2386</v>
      </c>
      <c r="E21" s="500" t="s">
        <v>4197</v>
      </c>
      <c r="F21" s="500"/>
      <c r="G21" s="500"/>
      <c r="H21" s="500"/>
      <c r="I21" s="500"/>
      <c r="J21" s="500"/>
      <c r="K21" s="500"/>
      <c r="L21" s="500">
        <f t="shared" si="1"/>
        <v>0</v>
      </c>
      <c r="M21" s="903" t="str">
        <f t="shared" si="2"/>
        <v>0 L</v>
      </c>
    </row>
    <row r="22" ht="14.25" customHeight="1">
      <c r="A22" s="500">
        <v>18.0</v>
      </c>
      <c r="B22" s="901" t="s">
        <v>4196</v>
      </c>
      <c r="C22" s="902">
        <v>50.0</v>
      </c>
      <c r="D22" s="902" t="s">
        <v>2386</v>
      </c>
      <c r="E22" s="500" t="s">
        <v>4198</v>
      </c>
      <c r="F22" s="500">
        <v>1.0</v>
      </c>
      <c r="G22" s="500"/>
      <c r="H22" s="500"/>
      <c r="I22" s="500"/>
      <c r="J22" s="500"/>
      <c r="K22" s="500"/>
      <c r="L22" s="500">
        <f t="shared" si="1"/>
        <v>1</v>
      </c>
      <c r="M22" s="903" t="str">
        <f t="shared" si="2"/>
        <v>50 L</v>
      </c>
    </row>
    <row r="23" ht="14.25" customHeight="1">
      <c r="A23" s="500">
        <v>19.0</v>
      </c>
      <c r="B23" s="901" t="s">
        <v>4199</v>
      </c>
      <c r="C23" s="902">
        <v>10.0</v>
      </c>
      <c r="D23" s="902" t="s">
        <v>2386</v>
      </c>
      <c r="E23" s="500" t="s">
        <v>4200</v>
      </c>
      <c r="F23" s="500">
        <v>56.0</v>
      </c>
      <c r="G23" s="500"/>
      <c r="H23" s="500">
        <v>1.0</v>
      </c>
      <c r="I23" s="500">
        <v>2.0</v>
      </c>
      <c r="J23" s="500">
        <v>2.0</v>
      </c>
      <c r="K23" s="500"/>
      <c r="L23" s="500">
        <f t="shared" si="1"/>
        <v>61</v>
      </c>
      <c r="M23" s="903" t="str">
        <f t="shared" si="2"/>
        <v>610 L</v>
      </c>
    </row>
    <row r="24" ht="14.25" customHeight="1">
      <c r="A24" s="904" t="s">
        <v>89</v>
      </c>
      <c r="B24" s="44"/>
      <c r="C24" s="44"/>
      <c r="D24" s="44"/>
      <c r="E24" s="320"/>
      <c r="F24" s="903">
        <f t="shared" ref="F24:L24" si="3">SUM(F5:F23)</f>
        <v>168</v>
      </c>
      <c r="G24" s="903">
        <f t="shared" si="3"/>
        <v>14</v>
      </c>
      <c r="H24" s="903">
        <f t="shared" si="3"/>
        <v>15</v>
      </c>
      <c r="I24" s="903">
        <f t="shared" si="3"/>
        <v>7</v>
      </c>
      <c r="J24" s="903">
        <f t="shared" si="3"/>
        <v>15</v>
      </c>
      <c r="K24" s="903">
        <f t="shared" si="3"/>
        <v>24</v>
      </c>
      <c r="L24" s="903">
        <f t="shared" si="3"/>
        <v>243</v>
      </c>
      <c r="M24" s="503"/>
    </row>
    <row r="25" ht="14.25" customHeight="1"/>
  </sheetData>
  <mergeCells count="12">
    <mergeCell ref="E3:E4"/>
    <mergeCell ref="F3:K3"/>
    <mergeCell ref="A24:E24"/>
    <mergeCell ref="L3:L4"/>
    <mergeCell ref="M3:M4"/>
    <mergeCell ref="A1:B1"/>
    <mergeCell ref="C1:K1"/>
    <mergeCell ref="L1:M1"/>
    <mergeCell ref="A2:M2"/>
    <mergeCell ref="A3:A4"/>
    <mergeCell ref="B3:B4"/>
    <mergeCell ref="C3:D4"/>
  </mergeCells>
  <hyperlinks>
    <hyperlink display="SUMÁRIO" location="'QUADRO RESUMO'!B16:D17" ref="L1"/>
  </hyperlinks>
  <printOptions/>
  <pageMargins bottom="0.787401575" footer="0.0" header="0.0" left="0.511811024" right="0.511811024" top="0.7874015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8.71"/>
    <col customWidth="1" min="2" max="2" width="19.29"/>
    <col customWidth="1" min="3" max="3" width="19.43"/>
    <col customWidth="1" min="4" max="4" width="19.71"/>
    <col customWidth="1" min="5" max="6" width="14.0"/>
    <col customWidth="1" min="7" max="7" width="8.71"/>
    <col customWidth="1" min="8" max="8" width="12.29"/>
    <col customWidth="1" min="9" max="9" width="8.71"/>
  </cols>
  <sheetData>
    <row r="1" ht="52.5" customHeight="1">
      <c r="A1" s="1" t="s">
        <v>4201</v>
      </c>
      <c r="C1" s="892" t="s">
        <v>4202</v>
      </c>
      <c r="D1" s="494"/>
      <c r="E1" s="494"/>
      <c r="F1" s="494"/>
      <c r="G1" s="287" t="s">
        <v>29</v>
      </c>
      <c r="H1" s="44"/>
      <c r="I1" s="44"/>
    </row>
    <row r="2" ht="35.25" customHeight="1">
      <c r="A2" s="905" t="s">
        <v>4203</v>
      </c>
    </row>
    <row r="3" ht="14.25" customHeight="1">
      <c r="A3" s="906" t="s">
        <v>79</v>
      </c>
      <c r="B3" s="907" t="s">
        <v>1537</v>
      </c>
      <c r="C3" s="906" t="s">
        <v>4204</v>
      </c>
      <c r="D3" s="906" t="s">
        <v>4205</v>
      </c>
      <c r="E3" s="906" t="s">
        <v>4206</v>
      </c>
      <c r="F3" s="906" t="s">
        <v>4207</v>
      </c>
      <c r="G3" s="906" t="s">
        <v>4208</v>
      </c>
      <c r="H3" s="908" t="s">
        <v>2060</v>
      </c>
      <c r="I3" s="906" t="s">
        <v>4209</v>
      </c>
    </row>
    <row r="4" ht="14.25" customHeight="1">
      <c r="A4" s="500">
        <v>1.0</v>
      </c>
      <c r="B4" s="902" t="s">
        <v>4210</v>
      </c>
      <c r="C4" s="902" t="s">
        <v>4211</v>
      </c>
      <c r="D4" s="902" t="s">
        <v>4212</v>
      </c>
      <c r="E4" s="902">
        <v>450.0</v>
      </c>
      <c r="F4" s="902" t="s">
        <v>4213</v>
      </c>
      <c r="G4" s="500">
        <v>1.0</v>
      </c>
      <c r="H4" s="500" t="s">
        <v>4173</v>
      </c>
      <c r="I4" s="902" t="s">
        <v>4214</v>
      </c>
    </row>
    <row r="5" ht="14.25" customHeight="1">
      <c r="A5" s="500">
        <v>2.0</v>
      </c>
      <c r="B5" s="902" t="s">
        <v>4210</v>
      </c>
      <c r="C5" s="902" t="s">
        <v>4215</v>
      </c>
      <c r="D5" s="902" t="s">
        <v>4216</v>
      </c>
      <c r="E5" s="902">
        <v>150.0</v>
      </c>
      <c r="F5" s="902"/>
      <c r="G5" s="500">
        <v>1.0</v>
      </c>
      <c r="H5" s="500" t="s">
        <v>4175</v>
      </c>
      <c r="I5" s="902" t="s">
        <v>4217</v>
      </c>
    </row>
    <row r="6" ht="14.25" customHeight="1"/>
  </sheetData>
  <mergeCells count="4">
    <mergeCell ref="A1:B1"/>
    <mergeCell ref="C1:F1"/>
    <mergeCell ref="G1:I1"/>
    <mergeCell ref="A2:I2"/>
  </mergeCells>
  <hyperlinks>
    <hyperlink display="SUMÁRIO" location="'QUADRO RESUMO'!B16:D17" ref="G1"/>
  </hyperlinks>
  <printOptions/>
  <pageMargins bottom="0.787401575" footer="0.0" header="0.0" left="0.511811024" right="0.511811024" top="0.7874015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4.71"/>
    <col customWidth="1" min="2" max="2" width="10.0"/>
    <col customWidth="1" min="3" max="3" width="14.71"/>
    <col customWidth="1" min="4" max="4" width="30.71"/>
    <col customWidth="1" min="5" max="5" width="14.0"/>
    <col customWidth="1" min="6" max="6" width="7.29"/>
    <col customWidth="1" min="7" max="7" width="8.43"/>
    <col customWidth="1" min="8" max="8" width="13.71"/>
    <col customWidth="1" min="9" max="9" width="12.71"/>
    <col customWidth="1" min="10" max="10" width="12.86"/>
    <col customWidth="1" min="11" max="11" width="4.0"/>
  </cols>
  <sheetData>
    <row r="1" ht="55.5" customHeight="1">
      <c r="A1" s="1" t="s">
        <v>4218</v>
      </c>
      <c r="C1" s="892" t="s">
        <v>4219</v>
      </c>
      <c r="D1" s="494"/>
      <c r="E1" s="494"/>
      <c r="F1" s="494"/>
      <c r="G1" s="287" t="s">
        <v>29</v>
      </c>
      <c r="H1" s="44"/>
      <c r="I1" s="44"/>
      <c r="J1" s="44"/>
      <c r="K1" s="894"/>
    </row>
    <row r="2" ht="33.0" customHeight="1">
      <c r="A2" s="909" t="s">
        <v>4220</v>
      </c>
      <c r="B2" s="44"/>
      <c r="C2" s="44"/>
      <c r="D2" s="44"/>
      <c r="E2" s="44"/>
      <c r="F2" s="44"/>
      <c r="G2" s="44"/>
      <c r="H2" s="44"/>
      <c r="I2" s="44"/>
      <c r="J2" s="320"/>
      <c r="K2" s="894"/>
    </row>
    <row r="3" ht="14.25" customHeight="1">
      <c r="A3" s="910" t="s">
        <v>79</v>
      </c>
      <c r="B3" s="911" t="s">
        <v>1537</v>
      </c>
      <c r="C3" s="912" t="s">
        <v>4204</v>
      </c>
      <c r="D3" s="913" t="s">
        <v>4205</v>
      </c>
      <c r="E3" s="913" t="s">
        <v>4206</v>
      </c>
      <c r="F3" s="912" t="s">
        <v>4208</v>
      </c>
      <c r="G3" s="914" t="s">
        <v>4221</v>
      </c>
      <c r="H3" s="914" t="s">
        <v>4222</v>
      </c>
      <c r="I3" s="914" t="s">
        <v>2060</v>
      </c>
      <c r="J3" s="914" t="s">
        <v>4223</v>
      </c>
    </row>
    <row r="4" ht="14.25" customHeight="1">
      <c r="A4" s="500">
        <v>1.0</v>
      </c>
      <c r="B4" s="902" t="s">
        <v>4224</v>
      </c>
      <c r="C4" s="902" t="s">
        <v>4225</v>
      </c>
      <c r="D4" s="902" t="s">
        <v>4226</v>
      </c>
      <c r="E4" s="902">
        <v>60.0</v>
      </c>
      <c r="F4" s="500">
        <v>2.0</v>
      </c>
      <c r="G4" s="500">
        <v>62.0</v>
      </c>
      <c r="H4" s="500">
        <v>100.0</v>
      </c>
      <c r="I4" s="500" t="s">
        <v>4173</v>
      </c>
      <c r="J4" s="500" t="s">
        <v>4227</v>
      </c>
    </row>
    <row r="5" ht="14.25" customHeight="1">
      <c r="A5" s="500">
        <v>2.0</v>
      </c>
      <c r="B5" s="902" t="s">
        <v>4224</v>
      </c>
      <c r="C5" s="902" t="s">
        <v>4225</v>
      </c>
      <c r="D5" s="902" t="s">
        <v>4226</v>
      </c>
      <c r="E5" s="902">
        <v>30.0</v>
      </c>
      <c r="F5" s="500">
        <v>2.0</v>
      </c>
      <c r="G5" s="500">
        <v>124.0</v>
      </c>
      <c r="H5" s="500">
        <v>18.0</v>
      </c>
      <c r="I5" s="500" t="s">
        <v>4173</v>
      </c>
      <c r="J5" s="500" t="s">
        <v>4228</v>
      </c>
    </row>
    <row r="6" ht="14.25" customHeight="1">
      <c r="A6" s="500">
        <v>3.0</v>
      </c>
      <c r="B6" s="902" t="s">
        <v>4224</v>
      </c>
      <c r="C6" s="902" t="s">
        <v>4229</v>
      </c>
      <c r="D6" s="902" t="s">
        <v>4230</v>
      </c>
      <c r="E6" s="902">
        <v>100.0</v>
      </c>
      <c r="F6" s="500">
        <v>1.0</v>
      </c>
      <c r="G6" s="500">
        <v>336.0</v>
      </c>
      <c r="H6" s="500">
        <v>9.0</v>
      </c>
      <c r="I6" s="500" t="s">
        <v>4173</v>
      </c>
      <c r="J6" s="500" t="s">
        <v>4231</v>
      </c>
    </row>
    <row r="7" ht="14.25" customHeight="1">
      <c r="A7" s="500">
        <v>4.0</v>
      </c>
      <c r="B7" s="902" t="s">
        <v>4224</v>
      </c>
      <c r="C7" s="902" t="s">
        <v>4232</v>
      </c>
      <c r="D7" s="902" t="s">
        <v>4233</v>
      </c>
      <c r="E7" s="902">
        <v>40.0</v>
      </c>
      <c r="F7" s="500">
        <v>2.0</v>
      </c>
      <c r="G7" s="500">
        <v>128.0</v>
      </c>
      <c r="H7" s="500">
        <v>9.0</v>
      </c>
      <c r="I7" s="500" t="s">
        <v>4175</v>
      </c>
      <c r="J7" s="500" t="s">
        <v>4234</v>
      </c>
    </row>
    <row r="8" ht="14.25" customHeight="1">
      <c r="A8" s="500">
        <v>6.0</v>
      </c>
      <c r="B8" s="902" t="s">
        <v>4224</v>
      </c>
      <c r="C8" s="902" t="s">
        <v>4235</v>
      </c>
      <c r="D8" s="902" t="s">
        <v>4236</v>
      </c>
      <c r="E8" s="902">
        <v>3.2</v>
      </c>
      <c r="F8" s="500">
        <v>1.0</v>
      </c>
      <c r="G8" s="500">
        <v>32.0</v>
      </c>
      <c r="H8" s="500">
        <v>7.0</v>
      </c>
      <c r="I8" s="500" t="s">
        <v>4174</v>
      </c>
      <c r="J8" s="500" t="s">
        <v>4234</v>
      </c>
    </row>
    <row r="9" ht="14.25" customHeight="1">
      <c r="A9" s="500">
        <v>8.0</v>
      </c>
      <c r="B9" s="902" t="s">
        <v>4224</v>
      </c>
      <c r="C9" s="902" t="s">
        <v>4237</v>
      </c>
      <c r="D9" s="902" t="s">
        <v>4238</v>
      </c>
      <c r="E9" s="902">
        <v>3.2</v>
      </c>
      <c r="F9" s="500">
        <v>2.0</v>
      </c>
      <c r="G9" s="500">
        <v>8.0</v>
      </c>
      <c r="H9" s="500">
        <v>9.0</v>
      </c>
      <c r="I9" s="500" t="s">
        <v>4174</v>
      </c>
      <c r="J9" s="500" t="s">
        <v>4234</v>
      </c>
    </row>
    <row r="10" ht="14.25" customHeight="1">
      <c r="A10" s="500">
        <v>10.0</v>
      </c>
      <c r="B10" s="902" t="s">
        <v>4224</v>
      </c>
      <c r="C10" s="902" t="s">
        <v>4237</v>
      </c>
      <c r="D10" s="902" t="s">
        <v>4239</v>
      </c>
      <c r="E10" s="902">
        <v>20.0</v>
      </c>
      <c r="F10" s="500">
        <v>1.0</v>
      </c>
      <c r="G10" s="500">
        <v>24.0</v>
      </c>
      <c r="H10" s="500">
        <v>45.0</v>
      </c>
      <c r="I10" s="500" t="s">
        <v>4240</v>
      </c>
      <c r="J10" s="500" t="s">
        <v>4234</v>
      </c>
    </row>
    <row r="11" ht="14.25" customHeight="1">
      <c r="A11" s="500">
        <v>12.0</v>
      </c>
      <c r="B11" s="902" t="s">
        <v>4224</v>
      </c>
      <c r="C11" s="902" t="s">
        <v>4241</v>
      </c>
      <c r="D11" s="902" t="s">
        <v>4242</v>
      </c>
      <c r="E11" s="902">
        <v>2.2</v>
      </c>
      <c r="F11" s="500">
        <v>1.0</v>
      </c>
      <c r="G11" s="500">
        <v>4.0</v>
      </c>
      <c r="H11" s="500">
        <v>7.0</v>
      </c>
      <c r="I11" s="500" t="s">
        <v>4240</v>
      </c>
      <c r="J11" s="500" t="s">
        <v>4234</v>
      </c>
    </row>
    <row r="12" ht="14.25" hidden="1" customHeight="1">
      <c r="A12" s="500">
        <v>14.0</v>
      </c>
      <c r="B12" s="902" t="s">
        <v>4224</v>
      </c>
      <c r="C12" s="915" t="s">
        <v>4243</v>
      </c>
      <c r="D12" s="44"/>
      <c r="E12" s="44"/>
      <c r="F12" s="44"/>
      <c r="G12" s="44"/>
      <c r="H12" s="320"/>
      <c r="I12" s="500" t="s">
        <v>4177</v>
      </c>
      <c r="J12" s="500" t="s">
        <v>4234</v>
      </c>
    </row>
    <row r="13" ht="14.25" customHeight="1">
      <c r="A13" s="500">
        <v>16.0</v>
      </c>
      <c r="B13" s="902" t="s">
        <v>4224</v>
      </c>
      <c r="C13" s="902" t="s">
        <v>4244</v>
      </c>
      <c r="D13" s="902"/>
      <c r="E13" s="902">
        <v>6.0</v>
      </c>
      <c r="F13" s="500">
        <v>1.0</v>
      </c>
      <c r="G13" s="500">
        <v>24.0</v>
      </c>
      <c r="H13" s="500">
        <v>45.0</v>
      </c>
      <c r="I13" s="500" t="s">
        <v>4178</v>
      </c>
      <c r="J13" s="500" t="s">
        <v>4234</v>
      </c>
    </row>
    <row r="14" ht="14.25" customHeight="1">
      <c r="G14" s="916"/>
    </row>
  </sheetData>
  <mergeCells count="5">
    <mergeCell ref="A1:B1"/>
    <mergeCell ref="C1:F1"/>
    <mergeCell ref="G1:J1"/>
    <mergeCell ref="A2:J2"/>
    <mergeCell ref="C12:H12"/>
  </mergeCells>
  <hyperlinks>
    <hyperlink display="SUMÁRIO" location="'QUADRO RESUMO'!B16:D17" ref="G1"/>
  </hyperlinks>
  <printOptions/>
  <pageMargins bottom="0.787401575" footer="0.0" header="0.0" left="0.511811024" right="0.511811024" top="0.7874015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4.71"/>
    <col customWidth="1" min="2" max="2" width="15.71"/>
    <col customWidth="1" min="3" max="3" width="13.14"/>
    <col customWidth="1" min="4" max="4" width="5.71"/>
    <col customWidth="1" min="5" max="5" width="9.43"/>
    <col customWidth="1" min="6" max="6" width="12.43"/>
    <col customWidth="1" min="7" max="7" width="12.14"/>
    <col customWidth="1" min="8" max="8" width="12.29"/>
    <col customWidth="1" min="9" max="9" width="13.29"/>
    <col customWidth="1" min="10" max="10" width="13.0"/>
    <col customWidth="1" min="11" max="11" width="6.0"/>
    <col customWidth="1" min="12" max="12" width="4.57"/>
    <col customWidth="1" min="13" max="13" width="8.71"/>
    <col customWidth="1" min="14" max="14" width="15.57"/>
    <col customWidth="1" min="15" max="15" width="13.29"/>
    <col customWidth="1" min="16" max="24" width="8.71"/>
    <col customWidth="1" min="25" max="25" width="4.14"/>
  </cols>
  <sheetData>
    <row r="1" ht="61.5" customHeight="1">
      <c r="A1" s="1" t="s">
        <v>4245</v>
      </c>
      <c r="C1" s="892" t="s">
        <v>4246</v>
      </c>
      <c r="D1" s="494"/>
      <c r="E1" s="494"/>
      <c r="F1" s="494"/>
      <c r="G1" s="494"/>
      <c r="H1" s="494"/>
      <c r="I1" s="494"/>
      <c r="J1" s="494"/>
      <c r="K1" s="494"/>
      <c r="L1" s="494"/>
      <c r="M1" s="494"/>
      <c r="N1" s="494"/>
      <c r="O1" s="494"/>
      <c r="P1" s="494"/>
      <c r="Q1" s="494"/>
      <c r="R1" s="494"/>
      <c r="S1" s="494"/>
      <c r="T1" s="494"/>
      <c r="U1" s="287" t="s">
        <v>29</v>
      </c>
      <c r="V1" s="44"/>
      <c r="W1" s="44"/>
      <c r="X1" s="44"/>
      <c r="Y1" s="894"/>
    </row>
    <row r="2" ht="34.5" customHeight="1">
      <c r="A2" s="917" t="s">
        <v>4247</v>
      </c>
      <c r="B2" s="44"/>
      <c r="C2" s="44"/>
      <c r="D2" s="44"/>
      <c r="E2" s="44"/>
      <c r="F2" s="44"/>
      <c r="G2" s="44"/>
      <c r="H2" s="44"/>
      <c r="I2" s="44"/>
      <c r="J2" s="44"/>
      <c r="K2" s="320"/>
      <c r="L2" s="918"/>
      <c r="M2" s="917" t="s">
        <v>4248</v>
      </c>
      <c r="N2" s="44"/>
      <c r="O2" s="44"/>
      <c r="P2" s="44"/>
      <c r="Q2" s="44"/>
      <c r="R2" s="44"/>
      <c r="S2" s="44"/>
      <c r="T2" s="44"/>
      <c r="U2" s="44"/>
      <c r="V2" s="44"/>
      <c r="W2" s="44"/>
      <c r="X2" s="320"/>
      <c r="Y2" s="894"/>
    </row>
    <row r="3" ht="14.25" customHeight="1">
      <c r="A3" s="919" t="s">
        <v>79</v>
      </c>
      <c r="B3" s="920" t="s">
        <v>1537</v>
      </c>
      <c r="C3" s="921" t="s">
        <v>4169</v>
      </c>
      <c r="D3" s="495"/>
      <c r="E3" s="922" t="s">
        <v>4171</v>
      </c>
      <c r="F3" s="44"/>
      <c r="G3" s="44"/>
      <c r="H3" s="44"/>
      <c r="I3" s="44"/>
      <c r="J3" s="320"/>
      <c r="K3" s="923" t="s">
        <v>89</v>
      </c>
      <c r="L3" s="924"/>
      <c r="M3" s="919" t="s">
        <v>79</v>
      </c>
      <c r="N3" s="920" t="s">
        <v>1537</v>
      </c>
      <c r="O3" s="921" t="s">
        <v>4169</v>
      </c>
      <c r="P3" s="495"/>
      <c r="Q3" s="922" t="s">
        <v>4249</v>
      </c>
      <c r="R3" s="44"/>
      <c r="S3" s="44"/>
      <c r="T3" s="44"/>
      <c r="U3" s="44"/>
      <c r="V3" s="44"/>
      <c r="W3" s="320"/>
      <c r="X3" s="923" t="s">
        <v>89</v>
      </c>
    </row>
    <row r="4" ht="21.0" customHeight="1">
      <c r="A4" s="75"/>
      <c r="B4" s="75"/>
      <c r="C4" s="294"/>
      <c r="D4" s="189"/>
      <c r="E4" s="900" t="s">
        <v>4173</v>
      </c>
      <c r="F4" s="900" t="s">
        <v>4174</v>
      </c>
      <c r="G4" s="900" t="s">
        <v>4175</v>
      </c>
      <c r="H4" s="900" t="s">
        <v>4176</v>
      </c>
      <c r="I4" s="900" t="s">
        <v>4177</v>
      </c>
      <c r="J4" s="900" t="s">
        <v>4178</v>
      </c>
      <c r="K4" s="75"/>
      <c r="L4" s="924"/>
      <c r="M4" s="75"/>
      <c r="N4" s="75"/>
      <c r="O4" s="294"/>
      <c r="P4" s="189"/>
      <c r="Q4" s="900" t="s">
        <v>4250</v>
      </c>
      <c r="R4" s="900" t="s">
        <v>4251</v>
      </c>
      <c r="S4" s="900" t="s">
        <v>4252</v>
      </c>
      <c r="T4" s="900" t="s">
        <v>4253</v>
      </c>
      <c r="U4" s="900" t="s">
        <v>4254</v>
      </c>
      <c r="V4" s="900" t="s">
        <v>4231</v>
      </c>
      <c r="W4" s="900" t="s">
        <v>4255</v>
      </c>
      <c r="X4" s="75"/>
    </row>
    <row r="5" ht="14.25" customHeight="1">
      <c r="A5" s="500">
        <v>1.0</v>
      </c>
      <c r="B5" s="901" t="s">
        <v>4256</v>
      </c>
      <c r="C5" s="902" t="s">
        <v>4257</v>
      </c>
      <c r="D5" s="500">
        <v>9000.0</v>
      </c>
      <c r="E5" s="500">
        <v>18.0</v>
      </c>
      <c r="F5" s="500">
        <v>6.0</v>
      </c>
      <c r="G5" s="500">
        <v>35.0</v>
      </c>
      <c r="H5" s="500">
        <v>3.0</v>
      </c>
      <c r="I5" s="500">
        <v>18.0</v>
      </c>
      <c r="J5" s="500"/>
      <c r="K5" s="903">
        <f t="shared" ref="K5:K24" si="1">SUM(E5:J5)</f>
        <v>80</v>
      </c>
      <c r="L5" s="924"/>
      <c r="M5" s="500">
        <v>1.0</v>
      </c>
      <c r="N5" s="901" t="s">
        <v>4256</v>
      </c>
      <c r="O5" s="902" t="s">
        <v>4257</v>
      </c>
      <c r="P5" s="500">
        <v>9000.0</v>
      </c>
      <c r="Q5" s="500">
        <v>1.0</v>
      </c>
      <c r="R5" s="500">
        <v>2.0</v>
      </c>
      <c r="S5" s="500">
        <v>8.0</v>
      </c>
      <c r="T5" s="500"/>
      <c r="U5" s="500">
        <v>1.0</v>
      </c>
      <c r="V5" s="500"/>
      <c r="W5" s="500">
        <v>6.0</v>
      </c>
      <c r="X5" s="903">
        <f t="shared" ref="X5:X24" si="2">SUM(Q5:W5)</f>
        <v>18</v>
      </c>
    </row>
    <row r="6" ht="14.25" customHeight="1">
      <c r="A6" s="500">
        <v>2.0</v>
      </c>
      <c r="B6" s="901" t="s">
        <v>4256</v>
      </c>
      <c r="C6" s="902" t="s">
        <v>4257</v>
      </c>
      <c r="D6" s="500">
        <v>12000.0</v>
      </c>
      <c r="E6" s="500">
        <v>44.0</v>
      </c>
      <c r="F6" s="500">
        <v>26.0</v>
      </c>
      <c r="G6" s="500">
        <v>13.0</v>
      </c>
      <c r="H6" s="500">
        <v>8.0</v>
      </c>
      <c r="I6" s="500">
        <v>1.0</v>
      </c>
      <c r="J6" s="500">
        <v>3.0</v>
      </c>
      <c r="K6" s="903">
        <f t="shared" si="1"/>
        <v>95</v>
      </c>
      <c r="L6" s="924"/>
      <c r="M6" s="500">
        <v>2.0</v>
      </c>
      <c r="N6" s="901" t="s">
        <v>4256</v>
      </c>
      <c r="O6" s="902" t="s">
        <v>4257</v>
      </c>
      <c r="P6" s="500">
        <v>12000.0</v>
      </c>
      <c r="Q6" s="500">
        <v>2.0</v>
      </c>
      <c r="R6" s="500"/>
      <c r="S6" s="500">
        <v>11.0</v>
      </c>
      <c r="T6" s="500">
        <v>20.0</v>
      </c>
      <c r="U6" s="500">
        <v>2.0</v>
      </c>
      <c r="V6" s="500">
        <v>4.0</v>
      </c>
      <c r="W6" s="500">
        <v>5.0</v>
      </c>
      <c r="X6" s="903">
        <f t="shared" si="2"/>
        <v>44</v>
      </c>
    </row>
    <row r="7" ht="14.25" customHeight="1">
      <c r="A7" s="500">
        <v>3.0</v>
      </c>
      <c r="B7" s="901" t="s">
        <v>4256</v>
      </c>
      <c r="C7" s="902" t="s">
        <v>4257</v>
      </c>
      <c r="D7" s="500">
        <v>18000.0</v>
      </c>
      <c r="E7" s="500">
        <v>4.0</v>
      </c>
      <c r="F7" s="500">
        <v>13.0</v>
      </c>
      <c r="G7" s="500">
        <v>2.0</v>
      </c>
      <c r="H7" s="500"/>
      <c r="I7" s="500">
        <v>5.0</v>
      </c>
      <c r="J7" s="500">
        <v>3.0</v>
      </c>
      <c r="K7" s="903">
        <f t="shared" si="1"/>
        <v>27</v>
      </c>
      <c r="L7" s="924"/>
      <c r="M7" s="500">
        <v>3.0</v>
      </c>
      <c r="N7" s="901" t="s">
        <v>4256</v>
      </c>
      <c r="O7" s="902" t="s">
        <v>4257</v>
      </c>
      <c r="P7" s="500">
        <v>18000.0</v>
      </c>
      <c r="Q7" s="500">
        <v>1.0</v>
      </c>
      <c r="R7" s="500">
        <v>1.0</v>
      </c>
      <c r="S7" s="500">
        <v>2.0</v>
      </c>
      <c r="T7" s="500"/>
      <c r="U7" s="500"/>
      <c r="V7" s="500"/>
      <c r="W7" s="500"/>
      <c r="X7" s="903">
        <f t="shared" si="2"/>
        <v>4</v>
      </c>
    </row>
    <row r="8" ht="14.25" customHeight="1">
      <c r="A8" s="500">
        <v>4.0</v>
      </c>
      <c r="B8" s="901" t="s">
        <v>4256</v>
      </c>
      <c r="C8" s="902" t="s">
        <v>4257</v>
      </c>
      <c r="D8" s="500">
        <v>24000.0</v>
      </c>
      <c r="E8" s="500"/>
      <c r="F8" s="500">
        <v>11.0</v>
      </c>
      <c r="G8" s="500">
        <v>4.0</v>
      </c>
      <c r="H8" s="500"/>
      <c r="I8" s="500">
        <v>1.0</v>
      </c>
      <c r="J8" s="500"/>
      <c r="K8" s="903">
        <f t="shared" si="1"/>
        <v>16</v>
      </c>
      <c r="L8" s="924"/>
      <c r="M8" s="500">
        <v>4.0</v>
      </c>
      <c r="N8" s="901" t="s">
        <v>4256</v>
      </c>
      <c r="O8" s="902" t="s">
        <v>4257</v>
      </c>
      <c r="P8" s="500">
        <v>24000.0</v>
      </c>
      <c r="Q8" s="500"/>
      <c r="R8" s="500"/>
      <c r="S8" s="500"/>
      <c r="T8" s="500"/>
      <c r="U8" s="500"/>
      <c r="V8" s="500"/>
      <c r="W8" s="500"/>
      <c r="X8" s="903">
        <f t="shared" si="2"/>
        <v>0</v>
      </c>
    </row>
    <row r="9" ht="14.25" customHeight="1">
      <c r="A9" s="500">
        <v>5.0</v>
      </c>
      <c r="B9" s="901" t="s">
        <v>4256</v>
      </c>
      <c r="C9" s="902" t="s">
        <v>4257</v>
      </c>
      <c r="D9" s="500">
        <v>30000.0</v>
      </c>
      <c r="E9" s="500">
        <v>3.0</v>
      </c>
      <c r="F9" s="500">
        <v>1.0</v>
      </c>
      <c r="G9" s="500">
        <v>1.0</v>
      </c>
      <c r="H9" s="500">
        <v>3.0</v>
      </c>
      <c r="I9" s="500">
        <v>1.0</v>
      </c>
      <c r="J9" s="500"/>
      <c r="K9" s="903">
        <f t="shared" si="1"/>
        <v>9</v>
      </c>
      <c r="L9" s="924"/>
      <c r="M9" s="500">
        <v>5.0</v>
      </c>
      <c r="N9" s="901" t="s">
        <v>4256</v>
      </c>
      <c r="O9" s="902" t="s">
        <v>4257</v>
      </c>
      <c r="P9" s="500">
        <v>30000.0</v>
      </c>
      <c r="Q9" s="500">
        <v>1.0</v>
      </c>
      <c r="R9" s="500"/>
      <c r="S9" s="500"/>
      <c r="T9" s="500"/>
      <c r="U9" s="500"/>
      <c r="V9" s="500">
        <v>2.0</v>
      </c>
      <c r="W9" s="500"/>
      <c r="X9" s="903">
        <f t="shared" si="2"/>
        <v>3</v>
      </c>
    </row>
    <row r="10" ht="14.25" customHeight="1">
      <c r="A10" s="500">
        <v>6.0</v>
      </c>
      <c r="B10" s="901" t="s">
        <v>4256</v>
      </c>
      <c r="C10" s="902" t="s">
        <v>4257</v>
      </c>
      <c r="D10" s="500">
        <v>36000.0</v>
      </c>
      <c r="E10" s="500"/>
      <c r="F10" s="500">
        <v>1.0</v>
      </c>
      <c r="G10" s="500"/>
      <c r="H10" s="500">
        <v>1.0</v>
      </c>
      <c r="I10" s="500"/>
      <c r="J10" s="500"/>
      <c r="K10" s="903">
        <f t="shared" si="1"/>
        <v>2</v>
      </c>
      <c r="L10" s="924"/>
      <c r="M10" s="500">
        <v>6.0</v>
      </c>
      <c r="N10" s="901" t="s">
        <v>4256</v>
      </c>
      <c r="O10" s="902" t="s">
        <v>4257</v>
      </c>
      <c r="P10" s="500">
        <v>36000.0</v>
      </c>
      <c r="Q10" s="500"/>
      <c r="R10" s="500"/>
      <c r="S10" s="500"/>
      <c r="T10" s="500"/>
      <c r="U10" s="500"/>
      <c r="V10" s="500"/>
      <c r="W10" s="500"/>
      <c r="X10" s="903">
        <f t="shared" si="2"/>
        <v>0</v>
      </c>
    </row>
    <row r="11" ht="14.25" customHeight="1">
      <c r="A11" s="500">
        <v>7.0</v>
      </c>
      <c r="B11" s="901" t="s">
        <v>4256</v>
      </c>
      <c r="C11" s="902" t="s">
        <v>4257</v>
      </c>
      <c r="D11" s="500">
        <v>48000.0</v>
      </c>
      <c r="E11" s="500"/>
      <c r="F11" s="500"/>
      <c r="G11" s="500">
        <v>1.0</v>
      </c>
      <c r="H11" s="500"/>
      <c r="I11" s="500"/>
      <c r="J11" s="500"/>
      <c r="K11" s="903">
        <f t="shared" si="1"/>
        <v>1</v>
      </c>
      <c r="L11" s="924"/>
      <c r="M11" s="500">
        <v>7.0</v>
      </c>
      <c r="N11" s="901" t="s">
        <v>4256</v>
      </c>
      <c r="O11" s="902" t="s">
        <v>4257</v>
      </c>
      <c r="P11" s="500">
        <v>48000.0</v>
      </c>
      <c r="Q11" s="500"/>
      <c r="R11" s="500"/>
      <c r="S11" s="500"/>
      <c r="T11" s="500"/>
      <c r="U11" s="500"/>
      <c r="V11" s="500"/>
      <c r="W11" s="500"/>
      <c r="X11" s="903">
        <f t="shared" si="2"/>
        <v>0</v>
      </c>
    </row>
    <row r="12" ht="14.25" customHeight="1">
      <c r="A12" s="500">
        <v>8.0</v>
      </c>
      <c r="B12" s="901" t="s">
        <v>4256</v>
      </c>
      <c r="C12" s="902" t="s">
        <v>4257</v>
      </c>
      <c r="D12" s="500">
        <v>60000.0</v>
      </c>
      <c r="E12" s="500"/>
      <c r="F12" s="500">
        <v>1.0</v>
      </c>
      <c r="G12" s="500"/>
      <c r="H12" s="500"/>
      <c r="I12" s="500"/>
      <c r="J12" s="500"/>
      <c r="K12" s="903">
        <f t="shared" si="1"/>
        <v>1</v>
      </c>
      <c r="L12" s="924"/>
      <c r="M12" s="500">
        <v>8.0</v>
      </c>
      <c r="N12" s="901" t="s">
        <v>4256</v>
      </c>
      <c r="O12" s="902" t="s">
        <v>4257</v>
      </c>
      <c r="P12" s="500">
        <v>60000.0</v>
      </c>
      <c r="Q12" s="500"/>
      <c r="R12" s="500"/>
      <c r="S12" s="500"/>
      <c r="T12" s="500"/>
      <c r="U12" s="500"/>
      <c r="V12" s="500"/>
      <c r="W12" s="500"/>
      <c r="X12" s="903">
        <f t="shared" si="2"/>
        <v>0</v>
      </c>
    </row>
    <row r="13" ht="14.25" customHeight="1">
      <c r="A13" s="500">
        <v>9.0</v>
      </c>
      <c r="B13" s="901" t="s">
        <v>4256</v>
      </c>
      <c r="C13" s="902" t="s">
        <v>4258</v>
      </c>
      <c r="D13" s="500">
        <v>7000.0</v>
      </c>
      <c r="E13" s="500">
        <v>4.0</v>
      </c>
      <c r="F13" s="500"/>
      <c r="G13" s="500">
        <v>4.0</v>
      </c>
      <c r="H13" s="500"/>
      <c r="I13" s="500"/>
      <c r="J13" s="500"/>
      <c r="K13" s="903">
        <f t="shared" si="1"/>
        <v>8</v>
      </c>
      <c r="L13" s="924"/>
      <c r="M13" s="500">
        <v>9.0</v>
      </c>
      <c r="N13" s="901" t="s">
        <v>4256</v>
      </c>
      <c r="O13" s="902" t="s">
        <v>4258</v>
      </c>
      <c r="P13" s="500">
        <v>7000.0</v>
      </c>
      <c r="Q13" s="500">
        <v>2.0</v>
      </c>
      <c r="R13" s="500"/>
      <c r="S13" s="500"/>
      <c r="T13" s="500">
        <v>1.0</v>
      </c>
      <c r="U13" s="500"/>
      <c r="V13" s="500"/>
      <c r="W13" s="500">
        <v>1.0</v>
      </c>
      <c r="X13" s="903">
        <f t="shared" si="2"/>
        <v>4</v>
      </c>
    </row>
    <row r="14" ht="14.25" customHeight="1">
      <c r="A14" s="500">
        <v>10.0</v>
      </c>
      <c r="B14" s="901" t="s">
        <v>4256</v>
      </c>
      <c r="C14" s="902" t="s">
        <v>4258</v>
      </c>
      <c r="D14" s="500">
        <v>7500.0</v>
      </c>
      <c r="E14" s="500"/>
      <c r="F14" s="500"/>
      <c r="G14" s="500">
        <v>1.0</v>
      </c>
      <c r="H14" s="500"/>
      <c r="I14" s="500"/>
      <c r="J14" s="500">
        <v>7.0</v>
      </c>
      <c r="K14" s="903">
        <f t="shared" si="1"/>
        <v>8</v>
      </c>
      <c r="L14" s="924"/>
      <c r="M14" s="500">
        <v>10.0</v>
      </c>
      <c r="N14" s="901" t="s">
        <v>4256</v>
      </c>
      <c r="O14" s="902" t="s">
        <v>4258</v>
      </c>
      <c r="P14" s="500">
        <v>7500.0</v>
      </c>
      <c r="Q14" s="500"/>
      <c r="R14" s="500"/>
      <c r="S14" s="500"/>
      <c r="T14" s="500"/>
      <c r="U14" s="500"/>
      <c r="V14" s="500"/>
      <c r="W14" s="500"/>
      <c r="X14" s="903">
        <f t="shared" si="2"/>
        <v>0</v>
      </c>
    </row>
    <row r="15" ht="14.25" customHeight="1">
      <c r="A15" s="500">
        <v>11.0</v>
      </c>
      <c r="B15" s="901" t="s">
        <v>4256</v>
      </c>
      <c r="C15" s="902" t="s">
        <v>4258</v>
      </c>
      <c r="D15" s="500">
        <v>9000.0</v>
      </c>
      <c r="E15" s="500"/>
      <c r="F15" s="500"/>
      <c r="G15" s="500"/>
      <c r="H15" s="500"/>
      <c r="I15" s="500"/>
      <c r="J15" s="500"/>
      <c r="K15" s="903">
        <f t="shared" si="1"/>
        <v>0</v>
      </c>
      <c r="L15" s="924"/>
      <c r="M15" s="500">
        <v>11.0</v>
      </c>
      <c r="N15" s="901" t="s">
        <v>4256</v>
      </c>
      <c r="O15" s="902" t="s">
        <v>4258</v>
      </c>
      <c r="P15" s="500">
        <v>9000.0</v>
      </c>
      <c r="Q15" s="500"/>
      <c r="R15" s="500"/>
      <c r="S15" s="500"/>
      <c r="T15" s="500"/>
      <c r="U15" s="500"/>
      <c r="V15" s="500"/>
      <c r="W15" s="500"/>
      <c r="X15" s="903">
        <f t="shared" si="2"/>
        <v>0</v>
      </c>
    </row>
    <row r="16" ht="14.25" customHeight="1">
      <c r="A16" s="500">
        <v>12.0</v>
      </c>
      <c r="B16" s="901" t="s">
        <v>4256</v>
      </c>
      <c r="C16" s="902" t="s">
        <v>4258</v>
      </c>
      <c r="D16" s="500">
        <v>10000.0</v>
      </c>
      <c r="E16" s="500"/>
      <c r="F16" s="500"/>
      <c r="G16" s="500"/>
      <c r="H16" s="500"/>
      <c r="I16" s="500">
        <v>1.0</v>
      </c>
      <c r="J16" s="500"/>
      <c r="K16" s="903">
        <f t="shared" si="1"/>
        <v>1</v>
      </c>
      <c r="L16" s="924"/>
      <c r="M16" s="500">
        <v>12.0</v>
      </c>
      <c r="N16" s="901" t="s">
        <v>4256</v>
      </c>
      <c r="O16" s="902" t="s">
        <v>4258</v>
      </c>
      <c r="P16" s="500">
        <v>10000.0</v>
      </c>
      <c r="Q16" s="500"/>
      <c r="R16" s="500"/>
      <c r="S16" s="500"/>
      <c r="T16" s="500"/>
      <c r="U16" s="500"/>
      <c r="V16" s="500"/>
      <c r="W16" s="500"/>
      <c r="X16" s="903">
        <f t="shared" si="2"/>
        <v>0</v>
      </c>
    </row>
    <row r="17" ht="14.25" customHeight="1">
      <c r="A17" s="500">
        <v>13.0</v>
      </c>
      <c r="B17" s="901" t="s">
        <v>4256</v>
      </c>
      <c r="C17" s="902" t="s">
        <v>4258</v>
      </c>
      <c r="D17" s="500">
        <v>12000.0</v>
      </c>
      <c r="E17" s="500">
        <v>1.0</v>
      </c>
      <c r="F17" s="500"/>
      <c r="G17" s="500">
        <v>2.0</v>
      </c>
      <c r="H17" s="500"/>
      <c r="I17" s="500"/>
      <c r="J17" s="500">
        <v>1.0</v>
      </c>
      <c r="K17" s="903">
        <f t="shared" si="1"/>
        <v>4</v>
      </c>
      <c r="L17" s="924"/>
      <c r="M17" s="500">
        <v>13.0</v>
      </c>
      <c r="N17" s="901" t="s">
        <v>4256</v>
      </c>
      <c r="O17" s="902" t="s">
        <v>4258</v>
      </c>
      <c r="P17" s="500">
        <v>12000.0</v>
      </c>
      <c r="Q17" s="500"/>
      <c r="R17" s="500"/>
      <c r="S17" s="500"/>
      <c r="T17" s="500">
        <v>1.0</v>
      </c>
      <c r="U17" s="500"/>
      <c r="V17" s="500"/>
      <c r="W17" s="500"/>
      <c r="X17" s="903">
        <f t="shared" si="2"/>
        <v>1</v>
      </c>
    </row>
    <row r="18" ht="14.25" customHeight="1">
      <c r="A18" s="500">
        <v>14.0</v>
      </c>
      <c r="B18" s="901" t="s">
        <v>4256</v>
      </c>
      <c r="C18" s="902" t="s">
        <v>4258</v>
      </c>
      <c r="D18" s="500">
        <v>18000.0</v>
      </c>
      <c r="E18" s="500"/>
      <c r="F18" s="500"/>
      <c r="G18" s="500"/>
      <c r="H18" s="500"/>
      <c r="I18" s="500"/>
      <c r="J18" s="500">
        <v>2.0</v>
      </c>
      <c r="K18" s="903">
        <f t="shared" si="1"/>
        <v>2</v>
      </c>
      <c r="L18" s="924"/>
      <c r="M18" s="500">
        <v>14.0</v>
      </c>
      <c r="N18" s="901" t="s">
        <v>4256</v>
      </c>
      <c r="O18" s="902" t="s">
        <v>4258</v>
      </c>
      <c r="P18" s="500">
        <v>18000.0</v>
      </c>
      <c r="Q18" s="500"/>
      <c r="R18" s="500"/>
      <c r="S18" s="500"/>
      <c r="T18" s="500"/>
      <c r="U18" s="500"/>
      <c r="V18" s="500"/>
      <c r="W18" s="500"/>
      <c r="X18" s="903">
        <f t="shared" si="2"/>
        <v>0</v>
      </c>
    </row>
    <row r="19" ht="14.25" customHeight="1">
      <c r="A19" s="500">
        <v>16.0</v>
      </c>
      <c r="B19" s="901" t="s">
        <v>4256</v>
      </c>
      <c r="C19" s="902" t="s">
        <v>4258</v>
      </c>
      <c r="D19" s="500">
        <v>21000.0</v>
      </c>
      <c r="E19" s="500"/>
      <c r="F19" s="500"/>
      <c r="G19" s="500"/>
      <c r="H19" s="500"/>
      <c r="I19" s="500"/>
      <c r="J19" s="500">
        <v>10.0</v>
      </c>
      <c r="K19" s="903">
        <f t="shared" si="1"/>
        <v>10</v>
      </c>
      <c r="L19" s="924"/>
      <c r="M19" s="500">
        <v>16.0</v>
      </c>
      <c r="N19" s="901" t="s">
        <v>4256</v>
      </c>
      <c r="O19" s="902" t="s">
        <v>4258</v>
      </c>
      <c r="P19" s="500">
        <v>21000.0</v>
      </c>
      <c r="Q19" s="500"/>
      <c r="R19" s="500"/>
      <c r="S19" s="500"/>
      <c r="T19" s="500"/>
      <c r="U19" s="500"/>
      <c r="V19" s="500"/>
      <c r="W19" s="500"/>
      <c r="X19" s="903">
        <f t="shared" si="2"/>
        <v>0</v>
      </c>
    </row>
    <row r="20" ht="14.25" customHeight="1">
      <c r="A20" s="500">
        <v>17.0</v>
      </c>
      <c r="B20" s="901" t="s">
        <v>4256</v>
      </c>
      <c r="C20" s="902" t="s">
        <v>4258</v>
      </c>
      <c r="D20" s="500">
        <v>24000.0</v>
      </c>
      <c r="E20" s="500"/>
      <c r="F20" s="500"/>
      <c r="G20" s="500">
        <v>1.0</v>
      </c>
      <c r="H20" s="500"/>
      <c r="I20" s="500"/>
      <c r="J20" s="500"/>
      <c r="K20" s="903">
        <f t="shared" si="1"/>
        <v>1</v>
      </c>
      <c r="L20" s="924"/>
      <c r="M20" s="500">
        <v>17.0</v>
      </c>
      <c r="N20" s="901" t="s">
        <v>4256</v>
      </c>
      <c r="O20" s="902" t="s">
        <v>4258</v>
      </c>
      <c r="P20" s="500">
        <v>24000.0</v>
      </c>
      <c r="Q20" s="500"/>
      <c r="R20" s="500"/>
      <c r="S20" s="500"/>
      <c r="T20" s="500"/>
      <c r="U20" s="500"/>
      <c r="V20" s="500"/>
      <c r="W20" s="500"/>
      <c r="X20" s="903">
        <f t="shared" si="2"/>
        <v>0</v>
      </c>
    </row>
    <row r="21" ht="14.25" customHeight="1">
      <c r="A21" s="500">
        <v>18.0</v>
      </c>
      <c r="B21" s="901" t="s">
        <v>4256</v>
      </c>
      <c r="C21" s="902" t="s">
        <v>4259</v>
      </c>
      <c r="D21" s="500">
        <v>12000.0</v>
      </c>
      <c r="E21" s="500">
        <v>1.0</v>
      </c>
      <c r="F21" s="500"/>
      <c r="G21" s="500"/>
      <c r="H21" s="500"/>
      <c r="I21" s="500"/>
      <c r="J21" s="500"/>
      <c r="K21" s="903">
        <f t="shared" si="1"/>
        <v>1</v>
      </c>
      <c r="L21" s="924"/>
      <c r="M21" s="500">
        <v>18.0</v>
      </c>
      <c r="N21" s="901" t="s">
        <v>4256</v>
      </c>
      <c r="O21" s="902" t="s">
        <v>4259</v>
      </c>
      <c r="P21" s="500">
        <v>12000.0</v>
      </c>
      <c r="Q21" s="500"/>
      <c r="R21" s="500">
        <v>1.0</v>
      </c>
      <c r="S21" s="500"/>
      <c r="T21" s="500"/>
      <c r="U21" s="500"/>
      <c r="V21" s="500"/>
      <c r="W21" s="500"/>
      <c r="X21" s="903">
        <f t="shared" si="2"/>
        <v>1</v>
      </c>
    </row>
    <row r="22" ht="14.25" customHeight="1">
      <c r="A22" s="500">
        <v>19.0</v>
      </c>
      <c r="B22" s="901" t="s">
        <v>4256</v>
      </c>
      <c r="C22" s="902" t="s">
        <v>4259</v>
      </c>
      <c r="D22" s="500">
        <v>18000.0</v>
      </c>
      <c r="E22" s="500"/>
      <c r="F22" s="500"/>
      <c r="G22" s="500"/>
      <c r="H22" s="500"/>
      <c r="I22" s="500"/>
      <c r="J22" s="500"/>
      <c r="K22" s="903">
        <f t="shared" si="1"/>
        <v>0</v>
      </c>
      <c r="L22" s="924"/>
      <c r="M22" s="500">
        <v>19.0</v>
      </c>
      <c r="N22" s="901" t="s">
        <v>4256</v>
      </c>
      <c r="O22" s="902" t="s">
        <v>4259</v>
      </c>
      <c r="P22" s="500">
        <v>18000.0</v>
      </c>
      <c r="Q22" s="500"/>
      <c r="R22" s="500"/>
      <c r="S22" s="500"/>
      <c r="T22" s="500"/>
      <c r="U22" s="500"/>
      <c r="V22" s="500"/>
      <c r="W22" s="500"/>
      <c r="X22" s="903">
        <f t="shared" si="2"/>
        <v>0</v>
      </c>
    </row>
    <row r="23" ht="14.25" customHeight="1">
      <c r="A23" s="500">
        <v>20.0</v>
      </c>
      <c r="B23" s="901" t="s">
        <v>4256</v>
      </c>
      <c r="C23" s="902" t="s">
        <v>4259</v>
      </c>
      <c r="D23" s="500">
        <v>30000.0</v>
      </c>
      <c r="E23" s="500"/>
      <c r="F23" s="500"/>
      <c r="G23" s="500"/>
      <c r="H23" s="500"/>
      <c r="I23" s="500"/>
      <c r="J23" s="500"/>
      <c r="K23" s="903">
        <f t="shared" si="1"/>
        <v>0</v>
      </c>
      <c r="L23" s="924"/>
      <c r="M23" s="500">
        <v>20.0</v>
      </c>
      <c r="N23" s="901" t="s">
        <v>4256</v>
      </c>
      <c r="O23" s="902" t="s">
        <v>4259</v>
      </c>
      <c r="P23" s="500">
        <v>30000.0</v>
      </c>
      <c r="Q23" s="500"/>
      <c r="R23" s="500"/>
      <c r="S23" s="500"/>
      <c r="T23" s="500"/>
      <c r="U23" s="500"/>
      <c r="V23" s="500"/>
      <c r="W23" s="500"/>
      <c r="X23" s="903">
        <f t="shared" si="2"/>
        <v>0</v>
      </c>
    </row>
    <row r="24" ht="14.25" customHeight="1">
      <c r="A24" s="500">
        <v>21.0</v>
      </c>
      <c r="B24" s="901" t="s">
        <v>4256</v>
      </c>
      <c r="C24" s="902" t="s">
        <v>4259</v>
      </c>
      <c r="D24" s="500">
        <v>60000.0</v>
      </c>
      <c r="E24" s="500">
        <v>2.0</v>
      </c>
      <c r="F24" s="500"/>
      <c r="G24" s="500"/>
      <c r="H24" s="500"/>
      <c r="I24" s="500"/>
      <c r="J24" s="500"/>
      <c r="K24" s="903">
        <f t="shared" si="1"/>
        <v>2</v>
      </c>
      <c r="L24" s="924"/>
      <c r="M24" s="500">
        <v>21.0</v>
      </c>
      <c r="N24" s="901" t="s">
        <v>4256</v>
      </c>
      <c r="O24" s="902" t="s">
        <v>4259</v>
      </c>
      <c r="P24" s="500">
        <v>60000.0</v>
      </c>
      <c r="Q24" s="500"/>
      <c r="R24" s="500"/>
      <c r="S24" s="500"/>
      <c r="T24" s="500"/>
      <c r="U24" s="500"/>
      <c r="V24" s="500">
        <v>2.0</v>
      </c>
      <c r="W24" s="500"/>
      <c r="X24" s="903">
        <f t="shared" si="2"/>
        <v>2</v>
      </c>
    </row>
    <row r="25" ht="14.25" customHeight="1">
      <c r="A25" s="904" t="s">
        <v>4260</v>
      </c>
      <c r="B25" s="44"/>
      <c r="C25" s="44"/>
      <c r="D25" s="320"/>
      <c r="E25" s="903">
        <f t="shared" ref="E25:K25" si="3">SUM(E5:E24)</f>
        <v>77</v>
      </c>
      <c r="F25" s="903">
        <f t="shared" si="3"/>
        <v>59</v>
      </c>
      <c r="G25" s="903">
        <f t="shared" si="3"/>
        <v>64</v>
      </c>
      <c r="H25" s="903">
        <f t="shared" si="3"/>
        <v>15</v>
      </c>
      <c r="I25" s="903">
        <f t="shared" si="3"/>
        <v>27</v>
      </c>
      <c r="J25" s="903">
        <f t="shared" si="3"/>
        <v>26</v>
      </c>
      <c r="K25" s="903">
        <f t="shared" si="3"/>
        <v>268</v>
      </c>
      <c r="L25" s="924"/>
      <c r="M25" s="904" t="s">
        <v>4260</v>
      </c>
      <c r="N25" s="44"/>
      <c r="O25" s="44"/>
      <c r="P25" s="320"/>
      <c r="Q25" s="903">
        <f t="shared" ref="Q25:W25" si="4">SUM(Q5:Q23)</f>
        <v>7</v>
      </c>
      <c r="R25" s="903">
        <f t="shared" si="4"/>
        <v>4</v>
      </c>
      <c r="S25" s="903">
        <f t="shared" si="4"/>
        <v>21</v>
      </c>
      <c r="T25" s="903">
        <f t="shared" si="4"/>
        <v>22</v>
      </c>
      <c r="U25" s="903">
        <f t="shared" si="4"/>
        <v>3</v>
      </c>
      <c r="V25" s="903">
        <f t="shared" si="4"/>
        <v>6</v>
      </c>
      <c r="W25" s="903">
        <f t="shared" si="4"/>
        <v>12</v>
      </c>
      <c r="X25" s="903">
        <f>SUM(X5:X24)</f>
        <v>77</v>
      </c>
    </row>
    <row r="26" ht="14.25" customHeight="1">
      <c r="E26" s="916"/>
      <c r="F26" s="916"/>
      <c r="G26" s="916"/>
      <c r="H26" s="916"/>
      <c r="I26" s="916"/>
      <c r="J26" s="916"/>
    </row>
  </sheetData>
  <mergeCells count="17">
    <mergeCell ref="A2:K2"/>
    <mergeCell ref="E3:J3"/>
    <mergeCell ref="A25:D25"/>
    <mergeCell ref="K3:K4"/>
    <mergeCell ref="M3:M4"/>
    <mergeCell ref="N3:N4"/>
    <mergeCell ref="O3:P4"/>
    <mergeCell ref="M25:P25"/>
    <mergeCell ref="Q3:W3"/>
    <mergeCell ref="X3:X4"/>
    <mergeCell ref="A1:B1"/>
    <mergeCell ref="C1:T1"/>
    <mergeCell ref="U1:X1"/>
    <mergeCell ref="M2:X2"/>
    <mergeCell ref="A3:A4"/>
    <mergeCell ref="B3:B4"/>
    <mergeCell ref="C3:D4"/>
  </mergeCells>
  <hyperlinks>
    <hyperlink display="SUMÁRIO" location="'QUADRO RESUMO'!B16:D17" ref="U1"/>
  </hyperlinks>
  <printOptions/>
  <pageMargins bottom="0.787401575" footer="0.0" header="0.0" left="0.511811024" right="0.511811024" top="0.7874015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outlinePr summaryBelow="0" summaryRight="0"/>
    <pageSetUpPr fitToPage="1"/>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9.14"/>
    <col customWidth="1" min="2" max="2" width="10.71"/>
    <col customWidth="1" min="4" max="4" width="48.71"/>
    <col customWidth="1" min="5" max="5" width="15.43"/>
    <col customWidth="1" min="6" max="6" width="15.86"/>
    <col customWidth="1" min="7" max="7" width="78.14"/>
    <col customWidth="1" min="8" max="8" width="9.86"/>
    <col customWidth="1" min="9" max="9" width="9.71"/>
  </cols>
  <sheetData>
    <row r="1">
      <c r="A1" s="1" t="s">
        <v>4261</v>
      </c>
      <c r="D1" s="892" t="s">
        <v>4262</v>
      </c>
      <c r="E1" s="494"/>
      <c r="F1" s="494"/>
      <c r="G1" s="494"/>
      <c r="H1" s="287" t="s">
        <v>29</v>
      </c>
      <c r="I1" s="44"/>
    </row>
    <row r="2">
      <c r="A2" s="925"/>
      <c r="B2" s="925"/>
      <c r="C2" s="925"/>
      <c r="D2" s="926" t="s">
        <v>4263</v>
      </c>
      <c r="E2" s="925"/>
      <c r="F2" s="925"/>
      <c r="G2" s="927" t="s">
        <v>4264</v>
      </c>
      <c r="H2" s="925"/>
      <c r="I2" s="925"/>
    </row>
    <row r="3">
      <c r="A3" s="928" t="s">
        <v>95</v>
      </c>
      <c r="B3" s="928" t="s">
        <v>4265</v>
      </c>
      <c r="C3" s="928" t="s">
        <v>4266</v>
      </c>
      <c r="D3" s="929" t="s">
        <v>4267</v>
      </c>
      <c r="E3" s="930" t="s">
        <v>1717</v>
      </c>
      <c r="F3" s="928" t="s">
        <v>4268</v>
      </c>
      <c r="G3" s="928" t="s">
        <v>4269</v>
      </c>
      <c r="H3" s="928" t="s">
        <v>4270</v>
      </c>
      <c r="I3" s="929" t="s">
        <v>4271</v>
      </c>
    </row>
    <row r="4">
      <c r="A4" s="931" t="s">
        <v>4272</v>
      </c>
      <c r="B4" s="931" t="s">
        <v>4273</v>
      </c>
      <c r="C4" s="932" t="s">
        <v>4274</v>
      </c>
      <c r="D4" s="933" t="s">
        <v>4275</v>
      </c>
      <c r="E4" s="934" t="s">
        <v>1786</v>
      </c>
      <c r="F4" s="935" t="s">
        <v>4276</v>
      </c>
      <c r="G4" s="421" t="str">
        <f>IFERROR(IF(F4="SINAPI-S",VLOOKUP(E4,'20-B.SINAPI-S'!A:J,2,0),IF(F4="SINAPI-I",VLOOKUP(E4,'20-A.SINAPI-I'!A:G,2,0),IF(F4="COMP.EVENTUAL",VLOOKUP(E4,'11.COMPOSIÇÕES GERAIS'!B:I,2,0),VLOOKUP(E4,'12.COT.MERCADO'!A:I,2,0)))),"Em Elaboração")</f>
        <v>FORNECIMENTO E INSTALAÇÃO DE SUPORTE DE PAREDE FIXO PARA TV E MONITOR DE 32 À 80 POLEGADAS</v>
      </c>
      <c r="H4" s="934" t="str">
        <f>IFERROR(IF(F4="SINAPI-S",VLOOKUP(E4,'20-B.SINAPI-S'!A:J,3,0),IF(F4="SINAPI-I",VLOOKUP(E4,'20-A.SINAPI-I'!A:G,3,0),IF(F4="COMP.EVENTUAL",VLOOKUP(E4,'11.COMPOSIÇÕES GERAIS'!B:I,3,0),VLOOKUP(E4,'12.COT.MERCADO'!A:I,7,0)))),"Em Elaboração")</f>
        <v>UN</v>
      </c>
      <c r="I4" s="936">
        <v>1.0</v>
      </c>
    </row>
    <row r="5">
      <c r="A5" s="931" t="s">
        <v>4272</v>
      </c>
      <c r="B5" s="931" t="s">
        <v>4277</v>
      </c>
      <c r="C5" s="932" t="s">
        <v>4274</v>
      </c>
      <c r="D5" s="933" t="s">
        <v>4278</v>
      </c>
      <c r="E5" s="934">
        <v>100903.0</v>
      </c>
      <c r="F5" s="937" t="s">
        <v>218</v>
      </c>
      <c r="G5" s="421" t="str">
        <f>IFERROR(IF(F5="SINAPI-S",VLOOKUP(E5,'20-B.SINAPI-S'!A:J,2,0),IF(F5="SINAPI-I",VLOOKUP(E5,'20-A.SINAPI-I'!A:G,2,0),IF(F5="COMP.EVENTUAL",VLOOKUP(E5,'11.COMPOSIÇÕES GERAIS'!B:I,2,0),VLOOKUP(E5,'12.COT.MERCADO'!A:I,2,0)))),"Em Elaboração")</f>
        <v>LÂMPADA TUBULAR LED DE 18/20 W, BASE G13 - FORNECIMENTO E INSTALAÇÃO. AF_02/2020_PS</v>
      </c>
      <c r="H5" s="934" t="str">
        <f>IFERROR(IF(F5="SINAPI-S",VLOOKUP(E5,'20-B.SINAPI-S'!A:J,3,0),IF(F5="SINAPI-I",VLOOKUP(E5,'20-A.SINAPI-I'!A:G,3,0),IF(F5="COMP.EVENTUAL",VLOOKUP(E5,'11.COMPOSIÇÕES GERAIS'!B:I,3,0),VLOOKUP(E5,'12.COT.MERCADO'!A:I,7,0)))),"Em Elaboração")</f>
        <v>UN</v>
      </c>
      <c r="I5" s="936">
        <v>2.0</v>
      </c>
    </row>
    <row r="6">
      <c r="A6" s="931" t="s">
        <v>4272</v>
      </c>
      <c r="B6" s="931" t="s">
        <v>4279</v>
      </c>
      <c r="C6" s="932" t="s">
        <v>4274</v>
      </c>
      <c r="D6" s="933" t="s">
        <v>4278</v>
      </c>
      <c r="E6" s="934">
        <v>100903.0</v>
      </c>
      <c r="F6" s="937" t="s">
        <v>218</v>
      </c>
      <c r="G6" s="421" t="str">
        <f>IFERROR(IF(F6="SINAPI-S",VLOOKUP(E6,'20-B.SINAPI-S'!A:J,2,0),IF(F6="SINAPI-I",VLOOKUP(E6,'20-A.SINAPI-I'!A:G,2,0),IF(F6="COMP.EVENTUAL",VLOOKUP(E6,'11.COMPOSIÇÕES GERAIS'!B:I,2,0),VLOOKUP(E6,'12.COT.MERCADO'!A:I,2,0)))),"Em Elaboração")</f>
        <v>LÂMPADA TUBULAR LED DE 18/20 W, BASE G13 - FORNECIMENTO E INSTALAÇÃO. AF_02/2020_PS</v>
      </c>
      <c r="H6" s="934" t="str">
        <f>IFERROR(IF(F6="SINAPI-S",VLOOKUP(E6,'20-B.SINAPI-S'!A:J,3,0),IF(F6="SINAPI-I",VLOOKUP(E6,'20-A.SINAPI-I'!A:G,3,0),IF(F6="COMP.EVENTUAL",VLOOKUP(E6,'11.COMPOSIÇÕES GERAIS'!B:I,3,0),VLOOKUP(E6,'12.COT.MERCADO'!A:I,7,0)))),"Em Elaboração")</f>
        <v>UN</v>
      </c>
      <c r="I6" s="936">
        <v>1.0</v>
      </c>
    </row>
    <row r="7">
      <c r="A7" s="931" t="s">
        <v>4272</v>
      </c>
      <c r="B7" s="931" t="s">
        <v>4279</v>
      </c>
      <c r="C7" s="932" t="s">
        <v>4274</v>
      </c>
      <c r="D7" s="933" t="s">
        <v>4280</v>
      </c>
      <c r="E7" s="934">
        <v>91953.0</v>
      </c>
      <c r="F7" s="937" t="s">
        <v>218</v>
      </c>
      <c r="G7" s="421" t="str">
        <f>IFERROR(IF(F7="SINAPI-S",VLOOKUP(E7,'20-B.SINAPI-S'!A:J,2,0),IF(F7="SINAPI-I",VLOOKUP(E7,'20-A.SINAPI-I'!A:G,2,0),IF(F7="COMP.EVENTUAL",VLOOKUP(E7,'11.COMPOSIÇÕES GERAIS'!B:I,2,0),VLOOKUP(E7,'12.COT.MERCADO'!A:I,2,0)))),"Em Elaboração")</f>
        <v>INTERRUPTOR SIMPLES (1 MÓDULO), 10A/250V, INCLUINDO SUPORTE E PLACA - FORNECIMENTO E INSTALAÇÃO. AF_03/2023</v>
      </c>
      <c r="H7" s="934" t="str">
        <f>IFERROR(IF(F7="SINAPI-S",VLOOKUP(E7,'20-B.SINAPI-S'!A:J,3,0),IF(F7="SINAPI-I",VLOOKUP(E7,'20-A.SINAPI-I'!A:G,3,0),IF(F7="COMP.EVENTUAL",VLOOKUP(E7,'11.COMPOSIÇÕES GERAIS'!B:I,3,0),VLOOKUP(E7,'12.COT.MERCADO'!A:I,7,0)))),"Em Elaboração")</f>
        <v>UN</v>
      </c>
      <c r="I7" s="936">
        <v>2.0</v>
      </c>
    </row>
    <row r="8">
      <c r="A8" s="931" t="s">
        <v>4272</v>
      </c>
      <c r="B8" s="931" t="s">
        <v>4281</v>
      </c>
      <c r="C8" s="932" t="s">
        <v>4274</v>
      </c>
      <c r="D8" s="933" t="s">
        <v>4282</v>
      </c>
      <c r="E8" s="934" t="s">
        <v>1791</v>
      </c>
      <c r="F8" s="935" t="s">
        <v>4276</v>
      </c>
      <c r="G8" s="421" t="str">
        <f>IFERROR(IF(F8="SINAPI-S",VLOOKUP(E8,'20-B.SINAPI-S'!A:J,2,0),IF(F8="SINAPI-I",VLOOKUP(E8,'20-A.SINAPI-I'!A:G,2,0),IF(F8="COMP.EVENTUAL",VLOOKUP(E8,'11.COMPOSIÇÕES GERAIS'!B:I,2,0),VLOOKUP(E8,'12.COT.MERCADO'!A:I,2,0)))),"Em Elaboração")</f>
        <v>FORNECIMENTO E INSTALAÇÃO DE CABO DE AÇO 1/8 REVESTIDO COM PVC, TOTAL 50M, PARA PORTA BANDEIRAS</v>
      </c>
      <c r="H8" s="934" t="str">
        <f>IFERROR(IF(F8="SINAPI-S",VLOOKUP(E8,'20-B.SINAPI-S'!A:J,3,0),IF(F8="SINAPI-I",VLOOKUP(E8,'20-A.SINAPI-I'!A:G,3,0),IF(F8="COMP.EVENTUAL",VLOOKUP(E8,'11.COMPOSIÇÕES GERAIS'!B:I,3,0),VLOOKUP(E8,'12.COT.MERCADO'!A:I,7,0)))),"Em Elaboração")</f>
        <v>UN</v>
      </c>
      <c r="I8" s="938">
        <v>1.0</v>
      </c>
    </row>
    <row r="9">
      <c r="A9" s="931" t="s">
        <v>4272</v>
      </c>
      <c r="B9" s="931" t="s">
        <v>4283</v>
      </c>
      <c r="C9" s="932" t="s">
        <v>4274</v>
      </c>
      <c r="D9" s="933" t="s">
        <v>4284</v>
      </c>
      <c r="E9" s="934" t="s">
        <v>1795</v>
      </c>
      <c r="F9" s="935" t="s">
        <v>4276</v>
      </c>
      <c r="G9" s="421" t="str">
        <f>IFERROR(IF(F9="SINAPI-S",VLOOKUP(E9,'20-B.SINAPI-S'!A:J,2,0),IF(F9="SINAPI-I",VLOOKUP(E9,'20-A.SINAPI-I'!A:G,2,0),IF(F9="COMP.EVENTUAL",VLOOKUP(E9,'11.COMPOSIÇÕES GERAIS'!B:I,2,0),VLOOKUP(E9,'12.COT.MERCADO'!A:I,2,0)))),"Em Elaboração")</f>
        <v>FORNECIMENTO E INSTALAÇÃO DE VENTILADOR DE PAREDE 50CM COM 6 PÁS, 200W, BIVOLT</v>
      </c>
      <c r="H9" s="934" t="str">
        <f>IFERROR(IF(F9="SINAPI-S",VLOOKUP(E9,'20-B.SINAPI-S'!A:J,3,0),IF(F9="SINAPI-I",VLOOKUP(E9,'20-A.SINAPI-I'!A:G,3,0),IF(F9="COMP.EVENTUAL",VLOOKUP(E9,'11.COMPOSIÇÕES GERAIS'!B:I,3,0),VLOOKUP(E9,'12.COT.MERCADO'!A:I,7,0)))),"Em Elaboração")</f>
        <v>UN</v>
      </c>
      <c r="I9" s="936">
        <v>2.0</v>
      </c>
    </row>
    <row r="10">
      <c r="A10" s="931" t="s">
        <v>4272</v>
      </c>
      <c r="B10" s="931" t="s">
        <v>4285</v>
      </c>
      <c r="C10" s="932" t="s">
        <v>4274</v>
      </c>
      <c r="D10" s="933" t="s">
        <v>4278</v>
      </c>
      <c r="E10" s="934">
        <v>100903.0</v>
      </c>
      <c r="F10" s="937" t="s">
        <v>218</v>
      </c>
      <c r="G10" s="421" t="str">
        <f>IFERROR(IF(F10="SINAPI-S",VLOOKUP(E10,'20-B.SINAPI-S'!A:J,2,0),IF(F10="SINAPI-I",VLOOKUP(E10,'20-A.SINAPI-I'!A:G,2,0),IF(F10="COMP.EVENTUAL",VLOOKUP(E10,'11.COMPOSIÇÕES GERAIS'!B:I,2,0),VLOOKUP(E10,'12.COT.MERCADO'!A:I,2,0)))),"Em Elaboração")</f>
        <v>LÂMPADA TUBULAR LED DE 18/20 W, BASE G13 - FORNECIMENTO E INSTALAÇÃO. AF_02/2020_PS</v>
      </c>
      <c r="H10" s="934" t="str">
        <f>IFERROR(IF(F10="SINAPI-S",VLOOKUP(E10,'20-B.SINAPI-S'!A:J,3,0),IF(F10="SINAPI-I",VLOOKUP(E10,'20-A.SINAPI-I'!A:G,3,0),IF(F10="COMP.EVENTUAL",VLOOKUP(E10,'11.COMPOSIÇÕES GERAIS'!B:I,3,0),VLOOKUP(E10,'12.COT.MERCADO'!A:I,7,0)))),"Em Elaboração")</f>
        <v>UN</v>
      </c>
      <c r="I10" s="936">
        <v>30.0</v>
      </c>
    </row>
    <row r="11">
      <c r="A11" s="931" t="s">
        <v>4272</v>
      </c>
      <c r="B11" s="931" t="s">
        <v>4286</v>
      </c>
      <c r="C11" s="932" t="s">
        <v>4274</v>
      </c>
      <c r="D11" s="933" t="s">
        <v>4287</v>
      </c>
      <c r="E11" s="934" t="s">
        <v>1799</v>
      </c>
      <c r="F11" s="935" t="s">
        <v>4276</v>
      </c>
      <c r="G11" s="421" t="str">
        <f>IFERROR(IF(F11="SINAPI-S",VLOOKUP(E11,'20-B.SINAPI-S'!A:J,2,0),IF(F11="SINAPI-I",VLOOKUP(E11,'20-A.SINAPI-I'!A:G,2,0),IF(F11="COMP.EVENTUAL",VLOOKUP(E11,'11.COMPOSIÇÕES GERAIS'!B:I,2,0),VLOOKUP(E11,'12.COT.MERCADO'!A:I,2,0)))),"Em Elaboração")</f>
        <v>FORNECIMENTO E INSTALAÇÃO DE PLACAS DE FORRO DE FIBRA MINERAL - EXCLUSIVE ESTRUTURA DE SUSTENTAÇÃO</v>
      </c>
      <c r="H11" s="934" t="str">
        <f>IFERROR(IF(F11="SINAPI-S",VLOOKUP(E11,'20-B.SINAPI-S'!A:J,3,0),IF(F11="SINAPI-I",VLOOKUP(E11,'20-A.SINAPI-I'!A:G,3,0),IF(F11="COMP.EVENTUAL",VLOOKUP(E11,'11.COMPOSIÇÕES GERAIS'!B:I,3,0),VLOOKUP(E11,'12.COT.MERCADO'!A:I,7,0)))),"Em Elaboração")</f>
        <v>UN</v>
      </c>
      <c r="I11" s="936">
        <v>20.0</v>
      </c>
    </row>
    <row r="12">
      <c r="A12" s="931" t="s">
        <v>4272</v>
      </c>
      <c r="B12" s="931" t="s">
        <v>4288</v>
      </c>
      <c r="C12" s="932" t="s">
        <v>4274</v>
      </c>
      <c r="D12" s="933" t="s">
        <v>4289</v>
      </c>
      <c r="E12" s="934" t="s">
        <v>1802</v>
      </c>
      <c r="F12" s="935" t="s">
        <v>4276</v>
      </c>
      <c r="G12" s="421" t="str">
        <f>IFERROR(IF(F12="SINAPI-S",VLOOKUP(E12,'20-B.SINAPI-S'!A:J,2,0),IF(F12="SINAPI-I",VLOOKUP(E12,'20-A.SINAPI-I'!A:G,2,0),IF(F12="COMP.EVENTUAL",VLOOKUP(E12,'11.COMPOSIÇÕES GERAIS'!B:I,2,0),VLOOKUP(E12,'12.COT.MERCADO'!A:I,2,0)))),"Em Elaboração")</f>
        <v>FORNECIMENTO E INSTALAÇÃO DE BATERIA SELADA 12V - 60 AH</v>
      </c>
      <c r="H12" s="934" t="str">
        <f>IFERROR(IF(F12="SINAPI-S",VLOOKUP(E12,'20-B.SINAPI-S'!A:J,3,0),IF(F12="SINAPI-I",VLOOKUP(E12,'20-A.SINAPI-I'!A:G,3,0),IF(F12="COMP.EVENTUAL",VLOOKUP(E12,'11.COMPOSIÇÕES GERAIS'!B:I,3,0),VLOOKUP(E12,'12.COT.MERCADO'!A:I,7,0)))),"Em Elaboração")</f>
        <v>UN</v>
      </c>
      <c r="I12" s="936">
        <v>8.0</v>
      </c>
    </row>
    <row r="13">
      <c r="A13" s="931" t="s">
        <v>4272</v>
      </c>
      <c r="B13" s="931" t="s">
        <v>4290</v>
      </c>
      <c r="C13" s="932" t="s">
        <v>4274</v>
      </c>
      <c r="D13" s="933" t="s">
        <v>4278</v>
      </c>
      <c r="E13" s="934">
        <v>100903.0</v>
      </c>
      <c r="F13" s="937" t="s">
        <v>218</v>
      </c>
      <c r="G13" s="421" t="str">
        <f>IFERROR(IF(F13="SINAPI-S",VLOOKUP(E13,'20-B.SINAPI-S'!A:J,2,0),IF(F13="SINAPI-I",VLOOKUP(E13,'20-A.SINAPI-I'!A:G,2,0),IF(F13="COMP.EVENTUAL",VLOOKUP(E13,'11.COMPOSIÇÕES GERAIS'!B:I,2,0),VLOOKUP(E13,'12.COT.MERCADO'!A:I,2,0)))),"Em Elaboração")</f>
        <v>LÂMPADA TUBULAR LED DE 18/20 W, BASE G13 - FORNECIMENTO E INSTALAÇÃO. AF_02/2020_PS</v>
      </c>
      <c r="H13" s="934" t="str">
        <f>IFERROR(IF(F13="SINAPI-S",VLOOKUP(E13,'20-B.SINAPI-S'!A:J,3,0),IF(F13="SINAPI-I",VLOOKUP(E13,'20-A.SINAPI-I'!A:G,3,0),IF(F13="COMP.EVENTUAL",VLOOKUP(E13,'11.COMPOSIÇÕES GERAIS'!B:I,3,0),VLOOKUP(E13,'12.COT.MERCADO'!A:I,7,0)))),"Em Elaboração")</f>
        <v>UN</v>
      </c>
      <c r="I13" s="936">
        <v>4.0</v>
      </c>
    </row>
    <row r="14">
      <c r="A14" s="931" t="s">
        <v>4291</v>
      </c>
      <c r="B14" s="931" t="s">
        <v>4292</v>
      </c>
      <c r="C14" s="932" t="s">
        <v>4274</v>
      </c>
      <c r="D14" s="933" t="s">
        <v>4293</v>
      </c>
      <c r="E14" s="934" t="s">
        <v>1802</v>
      </c>
      <c r="F14" s="935" t="s">
        <v>4276</v>
      </c>
      <c r="G14" s="421" t="str">
        <f>IFERROR(IF(F14="SINAPI-S",VLOOKUP(E14,'20-B.SINAPI-S'!A:J,2,0),IF(F14="SINAPI-I",VLOOKUP(E14,'20-A.SINAPI-I'!A:G,2,0),IF(F14="COMP.EVENTUAL",VLOOKUP(E14,'11.COMPOSIÇÕES GERAIS'!B:I,2,0),VLOOKUP(E14,'12.COT.MERCADO'!A:I,2,0)))),"Em Elaboração")</f>
        <v>FORNECIMENTO E INSTALAÇÃO DE BATERIA SELADA 12V - 60 AH</v>
      </c>
      <c r="H14" s="934" t="str">
        <f>IFERROR(IF(F14="SINAPI-S",VLOOKUP(E14,'20-B.SINAPI-S'!A:J,3,0),IF(F14="SINAPI-I",VLOOKUP(E14,'20-A.SINAPI-I'!A:G,3,0),IF(F14="COMP.EVENTUAL",VLOOKUP(E14,'11.COMPOSIÇÕES GERAIS'!B:I,3,0),VLOOKUP(E14,'12.COT.MERCADO'!A:I,7,0)))),"Em Elaboração")</f>
        <v>UN</v>
      </c>
      <c r="I14" s="936">
        <v>12.0</v>
      </c>
    </row>
    <row r="15">
      <c r="A15" s="931" t="s">
        <v>4291</v>
      </c>
      <c r="B15" s="931" t="s">
        <v>4294</v>
      </c>
      <c r="C15" s="932" t="s">
        <v>4274</v>
      </c>
      <c r="D15" s="933" t="s">
        <v>4295</v>
      </c>
      <c r="E15" s="934">
        <v>100903.0</v>
      </c>
      <c r="F15" s="937" t="s">
        <v>218</v>
      </c>
      <c r="G15" s="421" t="str">
        <f>IFERROR(IF(F15="SINAPI-S",VLOOKUP(E15,'20-B.SINAPI-S'!A:J,2,0),IF(F15="SINAPI-I",VLOOKUP(E15,'20-A.SINAPI-I'!A:G,2,0),IF(F15="COMP.EVENTUAL",VLOOKUP(E15,'11.COMPOSIÇÕES GERAIS'!B:I,2,0),VLOOKUP(E15,'12.COT.MERCADO'!A:I,2,0)))),"Em Elaboração")</f>
        <v>LÂMPADA TUBULAR LED DE 18/20 W, BASE G13 - FORNECIMENTO E INSTALAÇÃO. AF_02/2020_PS</v>
      </c>
      <c r="H15" s="934" t="str">
        <f>IFERROR(IF(F15="SINAPI-S",VLOOKUP(E15,'20-B.SINAPI-S'!A:J,3,0),IF(F15="SINAPI-I",VLOOKUP(E15,'20-A.SINAPI-I'!A:G,3,0),IF(F15="COMP.EVENTUAL",VLOOKUP(E15,'11.COMPOSIÇÕES GERAIS'!B:I,3,0),VLOOKUP(E15,'12.COT.MERCADO'!A:I,7,0)))),"Em Elaboração")</f>
        <v>UN</v>
      </c>
      <c r="I15" s="936">
        <v>2.0</v>
      </c>
    </row>
    <row r="16">
      <c r="A16" s="931" t="s">
        <v>4291</v>
      </c>
      <c r="B16" s="931" t="s">
        <v>4296</v>
      </c>
      <c r="C16" s="932" t="s">
        <v>4297</v>
      </c>
      <c r="D16" s="933" t="s">
        <v>4298</v>
      </c>
      <c r="E16" s="939">
        <v>88489.0</v>
      </c>
      <c r="F16" s="937" t="s">
        <v>218</v>
      </c>
      <c r="G16" s="421" t="str">
        <f>IFERROR(IF(F16="SINAPI-S",VLOOKUP(E16,'20-B.SINAPI-S'!A:J,2,0),IF(F16="SINAPI-I",VLOOKUP(E16,'20-A.SINAPI-I'!A:G,2,0),IF(F16="COMP.EVENTUAL",VLOOKUP(E16,'11.COMPOSIÇÕES GERAIS'!B:I,2,0),VLOOKUP(E16,'12.COT.MERCADO'!A:I,2,0)))),"Em Elaboração")</f>
        <v>PINTURA LÁTEX ACRÍLICA PREMIUM, APLICAÇÃO MANUAL EM PAREDES, DUAS DEMÃOS. AF_04/2023</v>
      </c>
      <c r="H16" s="934" t="str">
        <f>IFERROR(IF(F16="SINAPI-S",VLOOKUP(E16,'20-B.SINAPI-S'!A:J,3,0),IF(F16="SINAPI-I",VLOOKUP(E16,'20-A.SINAPI-I'!A:G,3,0),IF(F16="COMP.EVENTUAL",VLOOKUP(E16,'11.COMPOSIÇÕES GERAIS'!B:I,3,0),VLOOKUP(E16,'12.COT.MERCADO'!A:I,7,0)))),"Em Elaboração")</f>
        <v>M2</v>
      </c>
      <c r="I16" s="938">
        <v>10.0</v>
      </c>
    </row>
    <row r="17">
      <c r="A17" s="931" t="s">
        <v>4291</v>
      </c>
      <c r="B17" s="931" t="s">
        <v>4296</v>
      </c>
      <c r="C17" s="932" t="s">
        <v>4297</v>
      </c>
      <c r="D17" s="933" t="s">
        <v>4299</v>
      </c>
      <c r="E17" s="934">
        <v>102209.0</v>
      </c>
      <c r="F17" s="937" t="s">
        <v>218</v>
      </c>
      <c r="G17" s="421" t="str">
        <f>IFERROR(IF(F17="SINAPI-S",VLOOKUP(E17,'20-B.SINAPI-S'!A:J,2,0),IF(F17="SINAPI-I",VLOOKUP(E17,'20-A.SINAPI-I'!A:G,2,0),IF(F17="COMP.EVENTUAL",VLOOKUP(E17,'11.COMPOSIÇÕES GERAIS'!B:I,2,0),VLOOKUP(E17,'12.COT.MERCADO'!A:I,2,0)))),"Em Elaboração")</f>
        <v>PINTURA TINTA DE ACABAMENTO (PIGMENTADA) ESMALTE SINTÉTICO ACETINADO EM MADEIRA, 1 DEMÃO. AF_01/2021</v>
      </c>
      <c r="H17" s="934" t="str">
        <f>IFERROR(IF(F17="SINAPI-S",VLOOKUP(E17,'20-B.SINAPI-S'!A:J,3,0),IF(F17="SINAPI-I",VLOOKUP(E17,'20-A.SINAPI-I'!A:G,3,0),IF(F17="COMP.EVENTUAL",VLOOKUP(E17,'11.COMPOSIÇÕES GERAIS'!B:I,3,0),VLOOKUP(E17,'12.COT.MERCADO'!A:I,7,0)))),"Em Elaboração")</f>
        <v>M2</v>
      </c>
      <c r="I17" s="938">
        <v>8.0</v>
      </c>
    </row>
    <row r="18">
      <c r="A18" s="931" t="s">
        <v>4291</v>
      </c>
      <c r="B18" s="931" t="s">
        <v>4300</v>
      </c>
      <c r="C18" s="932" t="s">
        <v>4274</v>
      </c>
      <c r="D18" s="933" t="s">
        <v>4301</v>
      </c>
      <c r="E18" s="934">
        <v>93653.0</v>
      </c>
      <c r="F18" s="937" t="s">
        <v>218</v>
      </c>
      <c r="G18" s="421" t="str">
        <f>IFERROR(IF(F18="SINAPI-S",VLOOKUP(E18,'20-B.SINAPI-S'!A:J,2,0),IF(F18="SINAPI-I",VLOOKUP(E18,'20-A.SINAPI-I'!A:G,2,0),IF(F18="COMP.EVENTUAL",VLOOKUP(E18,'11.COMPOSIÇÕES GERAIS'!B:I,2,0),VLOOKUP(E18,'12.COT.MERCADO'!A:I,2,0)))),"Em Elaboração")</f>
        <v>DISJUNTOR MONOPOLAR TIPO DIN, CORRENTE NOMINAL DE 10A - FORNECIMENTO E INSTALAÇÃO. AF_10/2020</v>
      </c>
      <c r="H18" s="934" t="str">
        <f>IFERROR(IF(F18="SINAPI-S",VLOOKUP(E18,'20-B.SINAPI-S'!A:J,3,0),IF(F18="SINAPI-I",VLOOKUP(E18,'20-A.SINAPI-I'!A:G,3,0),IF(F18="COMP.EVENTUAL",VLOOKUP(E18,'11.COMPOSIÇÕES GERAIS'!B:I,3,0),VLOOKUP(E18,'12.COT.MERCADO'!A:I,7,0)))),"Em Elaboração")</f>
        <v>UN</v>
      </c>
      <c r="I18" s="936">
        <v>1.0</v>
      </c>
    </row>
    <row r="19">
      <c r="A19" s="931" t="s">
        <v>4291</v>
      </c>
      <c r="B19" s="931" t="s">
        <v>4302</v>
      </c>
      <c r="C19" s="932" t="s">
        <v>4297</v>
      </c>
      <c r="D19" s="933" t="s">
        <v>4303</v>
      </c>
      <c r="E19" s="939">
        <v>96358.0</v>
      </c>
      <c r="F19" s="937" t="s">
        <v>218</v>
      </c>
      <c r="G19" s="421" t="str">
        <f>IFERROR(IF(F19="SINAPI-S",VLOOKUP(E19,'20-B.SINAPI-S'!A:J,2,0),IF(F19="SINAPI-I",VLOOKUP(E19,'20-A.SINAPI-I'!A:G,2,0),IF(F19="COMP.EVENTUAL",VLOOKUP(E19,'11.COMPOSIÇÕES GERAIS'!B:I,2,0),VLOOKUP(E19,'12.COT.MERCADO'!A:I,2,0)))),"Em Elaboração")</f>
        <v>PAREDE COM PLACAS DE GESSO ACARTONADO (DRYWALL), PARA USO INTERNO, COM DUAS FACES SIMPLES E ESTRUTURA METÁLICA COM GUIAS SIMPLES, SEM VÃOS. AF_06/2017_PS</v>
      </c>
      <c r="H19" s="934" t="str">
        <f>IFERROR(IF(F19="SINAPI-S",VLOOKUP(E19,'20-B.SINAPI-S'!A:J,3,0),IF(F19="SINAPI-I",VLOOKUP(E19,'20-A.SINAPI-I'!A:G,3,0),IF(F19="COMP.EVENTUAL",VLOOKUP(E19,'11.COMPOSIÇÕES GERAIS'!B:I,3,0),VLOOKUP(E19,'12.COT.MERCADO'!A:I,7,0)))),"Em Elaboração")</f>
        <v>M2</v>
      </c>
      <c r="I19" s="938">
        <v>5.0</v>
      </c>
    </row>
    <row r="20">
      <c r="A20" s="931" t="s">
        <v>4291</v>
      </c>
      <c r="B20" s="931" t="s">
        <v>4302</v>
      </c>
      <c r="C20" s="932" t="s">
        <v>4274</v>
      </c>
      <c r="D20" s="933" t="s">
        <v>4295</v>
      </c>
      <c r="E20" s="934">
        <v>100903.0</v>
      </c>
      <c r="F20" s="937" t="s">
        <v>218</v>
      </c>
      <c r="G20" s="421" t="str">
        <f>IFERROR(IF(F20="SINAPI-S",VLOOKUP(E20,'20-B.SINAPI-S'!A:J,2,0),IF(F20="SINAPI-I",VLOOKUP(E20,'20-A.SINAPI-I'!A:G,2,0),IF(F20="COMP.EVENTUAL",VLOOKUP(E20,'11.COMPOSIÇÕES GERAIS'!B:I,2,0),VLOOKUP(E20,'12.COT.MERCADO'!A:I,2,0)))),"Em Elaboração")</f>
        <v>LÂMPADA TUBULAR LED DE 18/20 W, BASE G13 - FORNECIMENTO E INSTALAÇÃO. AF_02/2020_PS</v>
      </c>
      <c r="H20" s="934" t="str">
        <f>IFERROR(IF(F20="SINAPI-S",VLOOKUP(E20,'20-B.SINAPI-S'!A:J,3,0),IF(F20="SINAPI-I",VLOOKUP(E20,'20-A.SINAPI-I'!A:G,3,0),IF(F20="COMP.EVENTUAL",VLOOKUP(E20,'11.COMPOSIÇÕES GERAIS'!B:I,3,0),VLOOKUP(E20,'12.COT.MERCADO'!A:I,7,0)))),"Em Elaboração")</f>
        <v>UN</v>
      </c>
      <c r="I20" s="936">
        <v>11.0</v>
      </c>
    </row>
    <row r="21">
      <c r="A21" s="931" t="s">
        <v>4291</v>
      </c>
      <c r="B21" s="931" t="s">
        <v>4302</v>
      </c>
      <c r="C21" s="932" t="s">
        <v>4274</v>
      </c>
      <c r="D21" s="933" t="s">
        <v>4304</v>
      </c>
      <c r="E21" s="939">
        <v>97611.0</v>
      </c>
      <c r="F21" s="937" t="s">
        <v>218</v>
      </c>
      <c r="G21" s="421" t="str">
        <f>IFERROR(IF(F21="SINAPI-S",VLOOKUP(E21,'20-B.SINAPI-S'!A:J,2,0),IF(F21="SINAPI-I",VLOOKUP(E21,'20-A.SINAPI-I'!A:G,2,0),IF(F21="COMP.EVENTUAL",VLOOKUP(E21,'11.COMPOSIÇÕES GERAIS'!B:I,2,0),VLOOKUP(E21,'12.COT.MERCADO'!A:I,2,0)))),"Em Elaboração")</f>
        <v>LÂMPADA COMPACTA FLUORESCENTE DE 15 W, BASE E27 - FORNECIMENTO E INSTALAÇÃO. AF_02/2020</v>
      </c>
      <c r="H21" s="934" t="str">
        <f>IFERROR(IF(F21="SINAPI-S",VLOOKUP(E21,'20-B.SINAPI-S'!A:J,3,0),IF(F21="SINAPI-I",VLOOKUP(E21,'20-A.SINAPI-I'!A:G,3,0),IF(F21="COMP.EVENTUAL",VLOOKUP(E21,'11.COMPOSIÇÕES GERAIS'!B:I,3,0),VLOOKUP(E21,'12.COT.MERCADO'!A:I,7,0)))),"Em Elaboração")</f>
        <v>UN</v>
      </c>
      <c r="I21" s="936">
        <v>4.0</v>
      </c>
    </row>
    <row r="22">
      <c r="A22" s="931" t="s">
        <v>4291</v>
      </c>
      <c r="B22" s="931" t="s">
        <v>4305</v>
      </c>
      <c r="C22" s="932" t="s">
        <v>4306</v>
      </c>
      <c r="D22" s="933" t="s">
        <v>4307</v>
      </c>
      <c r="E22" s="939">
        <v>86878.0</v>
      </c>
      <c r="F22" s="937" t="s">
        <v>218</v>
      </c>
      <c r="G22" s="421" t="str">
        <f>IFERROR(IF(F22="SINAPI-S",VLOOKUP(E22,'20-B.SINAPI-S'!A:J,2,0),IF(F22="SINAPI-I",VLOOKUP(E22,'20-A.SINAPI-I'!A:G,2,0),IF(F22="COMP.EVENTUAL",VLOOKUP(E22,'11.COMPOSIÇÕES GERAIS'!B:I,2,0),VLOOKUP(E22,'12.COT.MERCADO'!A:I,2,0)))),"Em Elaboração")</f>
        <v>VÁLVULA EM METAL CROMADO TIPO AMERICANA 3.1/2_x0094_ X 1.1/2_x0094_ PARA PIA - FORNECIMENTO E INSTALAÇÃO. AF_01/2020</v>
      </c>
      <c r="H22" s="934" t="str">
        <f>IFERROR(IF(F22="SINAPI-S",VLOOKUP(E22,'20-B.SINAPI-S'!A:J,3,0),IF(F22="SINAPI-I",VLOOKUP(E22,'20-A.SINAPI-I'!A:G,3,0),IF(F22="COMP.EVENTUAL",VLOOKUP(E22,'11.COMPOSIÇÕES GERAIS'!B:I,3,0),VLOOKUP(E22,'12.COT.MERCADO'!A:I,7,0)))),"Em Elaboração")</f>
        <v>UN</v>
      </c>
      <c r="I22" s="936">
        <v>1.0</v>
      </c>
    </row>
    <row r="23">
      <c r="A23" s="931" t="s">
        <v>4291</v>
      </c>
      <c r="B23" s="931" t="s">
        <v>4305</v>
      </c>
      <c r="C23" s="932" t="s">
        <v>4274</v>
      </c>
      <c r="D23" s="933" t="s">
        <v>4295</v>
      </c>
      <c r="E23" s="934">
        <v>100903.0</v>
      </c>
      <c r="F23" s="937" t="s">
        <v>218</v>
      </c>
      <c r="G23" s="421" t="str">
        <f>IFERROR(IF(F23="SINAPI-S",VLOOKUP(E23,'20-B.SINAPI-S'!A:J,2,0),IF(F23="SINAPI-I",VLOOKUP(E23,'20-A.SINAPI-I'!A:G,2,0),IF(F23="COMP.EVENTUAL",VLOOKUP(E23,'11.COMPOSIÇÕES GERAIS'!B:I,2,0),VLOOKUP(E23,'12.COT.MERCADO'!A:I,2,0)))),"Em Elaboração")</f>
        <v>LÂMPADA TUBULAR LED DE 18/20 W, BASE G13 - FORNECIMENTO E INSTALAÇÃO. AF_02/2020_PS</v>
      </c>
      <c r="H23" s="934" t="str">
        <f>IFERROR(IF(F23="SINAPI-S",VLOOKUP(E23,'20-B.SINAPI-S'!A:J,3,0),IF(F23="SINAPI-I",VLOOKUP(E23,'20-A.SINAPI-I'!A:G,3,0),IF(F23="COMP.EVENTUAL",VLOOKUP(E23,'11.COMPOSIÇÕES GERAIS'!B:I,3,0),VLOOKUP(E23,'12.COT.MERCADO'!A:I,7,0)))),"Em Elaboração")</f>
        <v>UN</v>
      </c>
      <c r="I23" s="936">
        <v>2.0</v>
      </c>
    </row>
    <row r="24">
      <c r="A24" s="931" t="s">
        <v>4291</v>
      </c>
      <c r="B24" s="931" t="s">
        <v>4305</v>
      </c>
      <c r="C24" s="932" t="s">
        <v>4274</v>
      </c>
      <c r="D24" s="933" t="s">
        <v>4304</v>
      </c>
      <c r="E24" s="939">
        <v>97611.0</v>
      </c>
      <c r="F24" s="937" t="s">
        <v>218</v>
      </c>
      <c r="G24" s="421" t="str">
        <f>IFERROR(IF(F24="SINAPI-S",VLOOKUP(E24,'20-B.SINAPI-S'!A:J,2,0),IF(F24="SINAPI-I",VLOOKUP(E24,'20-A.SINAPI-I'!A:G,2,0),IF(F24="COMP.EVENTUAL",VLOOKUP(E24,'11.COMPOSIÇÕES GERAIS'!B:I,2,0),VLOOKUP(E24,'12.COT.MERCADO'!A:I,2,0)))),"Em Elaboração")</f>
        <v>LÂMPADA COMPACTA FLUORESCENTE DE 15 W, BASE E27 - FORNECIMENTO E INSTALAÇÃO. AF_02/2020</v>
      </c>
      <c r="H24" s="934" t="str">
        <f>IFERROR(IF(F24="SINAPI-S",VLOOKUP(E24,'20-B.SINAPI-S'!A:J,3,0),IF(F24="SINAPI-I",VLOOKUP(E24,'20-A.SINAPI-I'!A:G,3,0),IF(F24="COMP.EVENTUAL",VLOOKUP(E24,'11.COMPOSIÇÕES GERAIS'!B:I,3,0),VLOOKUP(E24,'12.COT.MERCADO'!A:I,7,0)))),"Em Elaboração")</f>
        <v>UN</v>
      </c>
      <c r="I24" s="938">
        <v>6.0</v>
      </c>
    </row>
    <row r="25">
      <c r="A25" s="931" t="s">
        <v>4291</v>
      </c>
      <c r="B25" s="931" t="s">
        <v>4308</v>
      </c>
      <c r="C25" s="932" t="s">
        <v>4274</v>
      </c>
      <c r="D25" s="933" t="s">
        <v>4309</v>
      </c>
      <c r="E25" s="934" t="s">
        <v>1830</v>
      </c>
      <c r="F25" s="935" t="s">
        <v>4276</v>
      </c>
      <c r="G25" s="421" t="str">
        <f>IFERROR(IF(F25="SINAPI-S",VLOOKUP(E25,'20-B.SINAPI-S'!A:J,2,0),IF(F25="SINAPI-I",VLOOKUP(E25,'20-A.SINAPI-I'!A:G,2,0),IF(F25="COMP.EVENTUAL",VLOOKUP(E25,'11.COMPOSIÇÕES GERAIS'!B:I,2,0),VLOOKUP(E25,'12.COT.MERCADO'!A:I,2,0)))),"Em Elaboração")</f>
        <v>FORNECIMENTO E INSTALAÇÃO DE EXTENSÃO ELÉTRICA COM CABO  DE COBRE PP CORDPLAST 3 X 2,5MM2, ISOLAMENTO 40/750V COM ISOLAÇÃO PP 70ºC, COMPRIMENTO DE 1,5M</v>
      </c>
      <c r="H25" s="934" t="str">
        <f>IFERROR(IF(F25="SINAPI-S",VLOOKUP(E25,'20-B.SINAPI-S'!A:J,3,0),IF(F25="SINAPI-I",VLOOKUP(E25,'20-A.SINAPI-I'!A:G,3,0),IF(F25="COMP.EVENTUAL",VLOOKUP(E25,'11.COMPOSIÇÕES GERAIS'!B:I,3,0),VLOOKUP(E25,'12.COT.MERCADO'!A:I,7,0)))),"Em Elaboração")</f>
        <v>UN</v>
      </c>
      <c r="I25" s="936">
        <v>1.0</v>
      </c>
    </row>
    <row r="26">
      <c r="A26" s="931" t="s">
        <v>4291</v>
      </c>
      <c r="B26" s="931" t="s">
        <v>4308</v>
      </c>
      <c r="C26" s="932" t="s">
        <v>4274</v>
      </c>
      <c r="D26" s="933" t="s">
        <v>4310</v>
      </c>
      <c r="E26" s="939">
        <v>98296.0</v>
      </c>
      <c r="F26" s="937" t="s">
        <v>218</v>
      </c>
      <c r="G26" s="421" t="str">
        <f>IFERROR(IF(F26="SINAPI-S",VLOOKUP(E26,'20-B.SINAPI-S'!A:J,2,0),IF(F26="SINAPI-I",VLOOKUP(E26,'20-A.SINAPI-I'!A:G,2,0),IF(F26="COMP.EVENTUAL",VLOOKUP(E26,'11.COMPOSIÇÕES GERAIS'!B:I,2,0),VLOOKUP(E26,'12.COT.MERCADO'!A:I,2,0)))),"Em Elaboração")</f>
        <v>CABO ELETRÔNICO CATEGORIA 6, INSTALADO EM EDIFICAÇÃO RESIDENCIAL - FORNECIMENTO E INSTALAÇÃO. AF_11/2019</v>
      </c>
      <c r="H26" s="934" t="str">
        <f>IFERROR(IF(F26="SINAPI-S",VLOOKUP(E26,'20-B.SINAPI-S'!A:J,3,0),IF(F26="SINAPI-I",VLOOKUP(E26,'20-A.SINAPI-I'!A:G,3,0),IF(F26="COMP.EVENTUAL",VLOOKUP(E26,'11.COMPOSIÇÕES GERAIS'!B:I,3,0),VLOOKUP(E26,'12.COT.MERCADO'!A:I,7,0)))),"Em Elaboração")</f>
        <v>M</v>
      </c>
      <c r="I26" s="938">
        <v>30.0</v>
      </c>
    </row>
    <row r="27">
      <c r="A27" s="931" t="s">
        <v>4291</v>
      </c>
      <c r="B27" s="931" t="s">
        <v>4311</v>
      </c>
      <c r="C27" s="932" t="s">
        <v>4274</v>
      </c>
      <c r="D27" s="933" t="s">
        <v>4312</v>
      </c>
      <c r="E27" s="939">
        <v>101657.0</v>
      </c>
      <c r="F27" s="937" t="s">
        <v>218</v>
      </c>
      <c r="G27" s="421" t="str">
        <f>IFERROR(IF(F27="SINAPI-S",VLOOKUP(E27,'20-B.SINAPI-S'!A:J,2,0),IF(F27="SINAPI-I",VLOOKUP(E27,'20-A.SINAPI-I'!A:G,2,0),IF(F27="COMP.EVENTUAL",VLOOKUP(E27,'11.COMPOSIÇÕES GERAIS'!B:I,2,0),VLOOKUP(E27,'12.COT.MERCADO'!A:I,2,0)))),"Em Elaboração")</f>
        <v>LUMINÁRIA DE LED PARA ILUMINAÇÃO PÚBLICA, DE 98 W ATÉ 137 W - FORNECIMENTO E INSTALAÇÃO. AF_08/2020</v>
      </c>
      <c r="H27" s="934" t="str">
        <f>IFERROR(IF(F27="SINAPI-S",VLOOKUP(E27,'20-B.SINAPI-S'!A:J,3,0),IF(F27="SINAPI-I",VLOOKUP(E27,'20-A.SINAPI-I'!A:G,3,0),IF(F27="COMP.EVENTUAL",VLOOKUP(E27,'11.COMPOSIÇÕES GERAIS'!B:I,3,0),VLOOKUP(E27,'12.COT.MERCADO'!A:I,7,0)))),"Em Elaboração")</f>
        <v>UN</v>
      </c>
      <c r="I27" s="936">
        <v>24.0</v>
      </c>
    </row>
    <row r="28">
      <c r="A28" s="931" t="s">
        <v>4291</v>
      </c>
      <c r="B28" s="931" t="s">
        <v>4313</v>
      </c>
      <c r="C28" s="932" t="s">
        <v>4274</v>
      </c>
      <c r="D28" s="933" t="s">
        <v>4314</v>
      </c>
      <c r="E28" s="940">
        <v>101632.0</v>
      </c>
      <c r="F28" s="937" t="s">
        <v>218</v>
      </c>
      <c r="G28" s="421" t="str">
        <f>IFERROR(IF(F28="SINAPI-S",VLOOKUP(E28,'20-B.SINAPI-S'!A:J,2,0),IF(F28="SINAPI-I",VLOOKUP(E28,'20-A.SINAPI-I'!A:G,2,0),IF(F28="COMP.EVENTUAL",VLOOKUP(E28,'11.COMPOSIÇÕES GERAIS'!B:I,2,0),VLOOKUP(E28,'12.COT.MERCADO'!A:I,2,0)))),"Em Elaboração")</f>
        <v>RELÉ FOTOELÉTRICO PARA COMANDO DE ILUMINAÇÃO EXTERNA 1000 W - FORNECIMENTO E INSTALAÇÃO. AF_08/2020</v>
      </c>
      <c r="H28" s="934" t="str">
        <f>IFERROR(IF(F28="SINAPI-S",VLOOKUP(E28,'20-B.SINAPI-S'!A:J,3,0),IF(F28="SINAPI-I",VLOOKUP(E28,'20-A.SINAPI-I'!A:G,3,0),IF(F28="COMP.EVENTUAL",VLOOKUP(E28,'11.COMPOSIÇÕES GERAIS'!B:I,3,0),VLOOKUP(E28,'12.COT.MERCADO'!A:I,7,0)))),"Em Elaboração")</f>
        <v>UN</v>
      </c>
      <c r="I28" s="936">
        <v>1.0</v>
      </c>
    </row>
    <row r="29">
      <c r="A29" s="931" t="s">
        <v>4291</v>
      </c>
      <c r="B29" s="931" t="s">
        <v>4313</v>
      </c>
      <c r="C29" s="932" t="s">
        <v>4297</v>
      </c>
      <c r="D29" s="933" t="s">
        <v>4315</v>
      </c>
      <c r="E29" s="939">
        <v>91306.0</v>
      </c>
      <c r="F29" s="937" t="s">
        <v>218</v>
      </c>
      <c r="G29" s="421" t="str">
        <f>IFERROR(IF(F29="SINAPI-S",VLOOKUP(E29,'20-B.SINAPI-S'!A:J,2,0),IF(F29="SINAPI-I",VLOOKUP(E29,'20-A.SINAPI-I'!A:G,2,0),IF(F29="COMP.EVENTUAL",VLOOKUP(E29,'11.COMPOSIÇÕES GERAIS'!B:I,2,0),VLOOKUP(E29,'12.COT.MERCADO'!A:I,2,0)))),"Em Elaboração")</f>
        <v>FECHADURA DE EMBUTIR PARA PORTAS INTERNAS, COMPLETA, ACABAMENTO PADRÃO MÉDIO, COM EXECUÇÃO DE FURO - FORNECIMENTO E INSTALAÇÃO. AF_12/2019</v>
      </c>
      <c r="H29" s="934" t="str">
        <f>IFERROR(IF(F29="SINAPI-S",VLOOKUP(E29,'20-B.SINAPI-S'!A:J,3,0),IF(F29="SINAPI-I",VLOOKUP(E29,'20-A.SINAPI-I'!A:G,3,0),IF(F29="COMP.EVENTUAL",VLOOKUP(E29,'11.COMPOSIÇÕES GERAIS'!B:I,3,0),VLOOKUP(E29,'12.COT.MERCADO'!A:I,7,0)))),"Em Elaboração")</f>
        <v>UN</v>
      </c>
      <c r="I29" s="936">
        <v>1.0</v>
      </c>
    </row>
    <row r="30">
      <c r="A30" s="931" t="s">
        <v>4291</v>
      </c>
      <c r="B30" s="931" t="s">
        <v>4313</v>
      </c>
      <c r="C30" s="932" t="s">
        <v>4274</v>
      </c>
      <c r="D30" s="933" t="s">
        <v>4295</v>
      </c>
      <c r="E30" s="934">
        <v>100903.0</v>
      </c>
      <c r="F30" s="937" t="s">
        <v>218</v>
      </c>
      <c r="G30" s="421" t="str">
        <f>IFERROR(IF(F30="SINAPI-S",VLOOKUP(E30,'20-B.SINAPI-S'!A:J,2,0),IF(F30="SINAPI-I",VLOOKUP(E30,'20-A.SINAPI-I'!A:G,2,0),IF(F30="COMP.EVENTUAL",VLOOKUP(E30,'11.COMPOSIÇÕES GERAIS'!B:I,2,0),VLOOKUP(E30,'12.COT.MERCADO'!A:I,2,0)))),"Em Elaboração")</f>
        <v>LÂMPADA TUBULAR LED DE 18/20 W, BASE G13 - FORNECIMENTO E INSTALAÇÃO. AF_02/2020_PS</v>
      </c>
      <c r="H30" s="934" t="str">
        <f>IFERROR(IF(F30="SINAPI-S",VLOOKUP(E30,'20-B.SINAPI-S'!A:J,3,0),IF(F30="SINAPI-I",VLOOKUP(E30,'20-A.SINAPI-I'!A:G,3,0),IF(F30="COMP.EVENTUAL",VLOOKUP(E30,'11.COMPOSIÇÕES GERAIS'!B:I,3,0),VLOOKUP(E30,'12.COT.MERCADO'!A:I,7,0)))),"Em Elaboração")</f>
        <v>UN</v>
      </c>
      <c r="I30" s="936">
        <v>2.0</v>
      </c>
    </row>
    <row r="31">
      <c r="A31" s="931" t="s">
        <v>4291</v>
      </c>
      <c r="B31" s="931" t="s">
        <v>4316</v>
      </c>
      <c r="C31" s="932" t="s">
        <v>4297</v>
      </c>
      <c r="D31" s="933" t="s">
        <v>4317</v>
      </c>
      <c r="E31" s="939">
        <v>95547.0</v>
      </c>
      <c r="F31" s="937" t="s">
        <v>218</v>
      </c>
      <c r="G31" s="421" t="str">
        <f>IFERROR(IF(F31="SINAPI-S",VLOOKUP(E31,'20-B.SINAPI-S'!A:J,2,0),IF(F31="SINAPI-I",VLOOKUP(E31,'20-A.SINAPI-I'!A:G,2,0),IF(F31="COMP.EVENTUAL",VLOOKUP(E31,'11.COMPOSIÇÕES GERAIS'!B:I,2,0),VLOOKUP(E31,'12.COT.MERCADO'!A:I,2,0)))),"Em Elaboração")</f>
        <v>SABONETEIRA PLASTICA TIPO DISPENSER PARA SABONETE LIQUIDO COM RESERVATORIO 800 A 1500 ML, INCLUSO FIXAÇÃO. AF_01/2020</v>
      </c>
      <c r="H31" s="934" t="str">
        <f>IFERROR(IF(F31="SINAPI-S",VLOOKUP(E31,'20-B.SINAPI-S'!A:J,3,0),IF(F31="SINAPI-I",VLOOKUP(E31,'20-A.SINAPI-I'!A:G,3,0),IF(F31="COMP.EVENTUAL",VLOOKUP(E31,'11.COMPOSIÇÕES GERAIS'!B:I,3,0),VLOOKUP(E31,'12.COT.MERCADO'!A:I,7,0)))),"Em Elaboração")</f>
        <v>UN</v>
      </c>
      <c r="I31" s="938">
        <v>20.0</v>
      </c>
    </row>
    <row r="32">
      <c r="A32" s="931" t="s">
        <v>4291</v>
      </c>
      <c r="B32" s="931" t="s">
        <v>4316</v>
      </c>
      <c r="C32" s="932" t="s">
        <v>4274</v>
      </c>
      <c r="D32" s="933" t="s">
        <v>4295</v>
      </c>
      <c r="E32" s="939">
        <v>100903.0</v>
      </c>
      <c r="F32" s="937" t="s">
        <v>218</v>
      </c>
      <c r="G32" s="421" t="str">
        <f>IFERROR(IF(F32="SINAPI-S",VLOOKUP(E32,'20-B.SINAPI-S'!A:J,2,0),IF(F32="SINAPI-I",VLOOKUP(E32,'20-A.SINAPI-I'!A:G,2,0),IF(F32="COMP.EVENTUAL",VLOOKUP(E32,'11.COMPOSIÇÕES GERAIS'!B:I,2,0),VLOOKUP(E32,'12.COT.MERCADO'!A:I,2,0)))),"Em Elaboração")</f>
        <v>LÂMPADA TUBULAR LED DE 18/20 W, BASE G13 - FORNECIMENTO E INSTALAÇÃO. AF_02/2020_PS</v>
      </c>
      <c r="H32" s="934" t="str">
        <f>IFERROR(IF(F32="SINAPI-S",VLOOKUP(E32,'20-B.SINAPI-S'!A:J,3,0),IF(F32="SINAPI-I",VLOOKUP(E32,'20-A.SINAPI-I'!A:G,3,0),IF(F32="COMP.EVENTUAL",VLOOKUP(E32,'11.COMPOSIÇÕES GERAIS'!B:I,3,0),VLOOKUP(E32,'12.COT.MERCADO'!A:I,7,0)))),"Em Elaboração")</f>
        <v>UN</v>
      </c>
      <c r="I32" s="936">
        <v>2.0</v>
      </c>
    </row>
    <row r="33">
      <c r="A33" s="931" t="s">
        <v>4291</v>
      </c>
      <c r="B33" s="931" t="s">
        <v>4316</v>
      </c>
      <c r="C33" s="932" t="s">
        <v>4306</v>
      </c>
      <c r="D33" s="933" t="s">
        <v>4318</v>
      </c>
      <c r="E33" s="934" t="s">
        <v>1834</v>
      </c>
      <c r="F33" s="935" t="s">
        <v>4276</v>
      </c>
      <c r="G33" s="421" t="str">
        <f>IFERROR(IF(F33="SINAPI-S",VLOOKUP(E33,'20-B.SINAPI-S'!A:J,2,0),IF(F33="SINAPI-I",VLOOKUP(E33,'20-A.SINAPI-I'!A:G,2,0),IF(F33="COMP.EVENTUAL",VLOOKUP(E33,'11.COMPOSIÇÕES GERAIS'!B:I,2,0),VLOOKUP(E33,'12.COT.MERCADO'!A:I,2,0)))),"Em Elaboração")</f>
        <v>VEDAÇÃO DE ELEMENTOS COM SILICONE PASTOSO</v>
      </c>
      <c r="H33" s="934" t="str">
        <f>IFERROR(IF(F33="SINAPI-S",VLOOKUP(E33,'20-B.SINAPI-S'!A:J,3,0),IF(F33="SINAPI-I",VLOOKUP(E33,'20-A.SINAPI-I'!A:G,3,0),IF(F33="COMP.EVENTUAL",VLOOKUP(E33,'11.COMPOSIÇÕES GERAIS'!B:I,3,0),VLOOKUP(E33,'12.COT.MERCADO'!A:I,7,0)))),"Em Elaboração")</f>
        <v>M</v>
      </c>
      <c r="I33" s="936">
        <v>1.0</v>
      </c>
    </row>
    <row r="34">
      <c r="A34" s="931" t="s">
        <v>4291</v>
      </c>
      <c r="B34" s="931" t="s">
        <v>4316</v>
      </c>
      <c r="C34" s="932" t="s">
        <v>4306</v>
      </c>
      <c r="D34" s="933" t="s">
        <v>4319</v>
      </c>
      <c r="E34" s="934" t="s">
        <v>1854</v>
      </c>
      <c r="F34" s="935" t="s">
        <v>4276</v>
      </c>
      <c r="G34" s="421" t="str">
        <f>IFERROR(IF(F34="SINAPI-S",VLOOKUP(E34,'20-B.SINAPI-S'!A:J,2,0),IF(F34="SINAPI-I",VLOOKUP(E34,'20-A.SINAPI-I'!A:G,2,0),IF(F34="COMP.EVENTUAL",VLOOKUP(E34,'11.COMPOSIÇÕES GERAIS'!B:I,2,0),VLOOKUP(E34,'12.COT.MERCADO'!A:I,2,0)))),"Em Elaboração")</f>
        <v>REPARO DE VAZAMENTO EM BACIAS SANITÁRIAS COM A RETIRADA, COLOCAÇÃO DE NOVAS VEDAÇÕES E REASSENTAMENTO</v>
      </c>
      <c r="H34" s="934" t="str">
        <f>IFERROR(IF(F34="SINAPI-S",VLOOKUP(E34,'20-B.SINAPI-S'!A:J,3,0),IF(F34="SINAPI-I",VLOOKUP(E34,'20-A.SINAPI-I'!A:G,3,0),IF(F34="COMP.EVENTUAL",VLOOKUP(E34,'11.COMPOSIÇÕES GERAIS'!B:I,3,0),VLOOKUP(E34,'12.COT.MERCADO'!A:I,7,0)))),"Em Elaboração")</f>
        <v>UN</v>
      </c>
      <c r="I34" s="936">
        <v>1.0</v>
      </c>
    </row>
    <row r="35">
      <c r="A35" s="931" t="s">
        <v>4291</v>
      </c>
      <c r="B35" s="931" t="s">
        <v>4320</v>
      </c>
      <c r="C35" s="932" t="s">
        <v>4274</v>
      </c>
      <c r="D35" s="933" t="s">
        <v>4321</v>
      </c>
      <c r="E35" s="941">
        <v>101654.0</v>
      </c>
      <c r="F35" s="942" t="s">
        <v>218</v>
      </c>
      <c r="G35" s="421" t="str">
        <f>IFERROR(IF(F35="SINAPI-S",VLOOKUP(E35,'20-B.SINAPI-S'!A:J,2,0),IF(F35="SINAPI-I",VLOOKUP(E35,'20-A.SINAPI-I'!A:G,2,0),IF(F35="COMP.EVENTUAL",VLOOKUP(E35,'11.COMPOSIÇÕES GERAIS'!B:I,2,0),VLOOKUP(E35,'12.COT.MERCADO'!A:I,2,0)))),"Em Elaboração")</f>
        <v>LUMINÁRIA DE LED PARA ILUMINAÇÃO PÚBLICA, DE 33 W ATÉ 50 W - FORNECIMENTO E INSTALAÇÃO. AF_08/2020</v>
      </c>
      <c r="H35" s="934" t="str">
        <f>IFERROR(IF(F35="SINAPI-S",VLOOKUP(E35,'20-B.SINAPI-S'!A:J,3,0),IF(F35="SINAPI-I",VLOOKUP(E35,'20-A.SINAPI-I'!A:G,3,0),IF(F35="COMP.EVENTUAL",VLOOKUP(E35,'11.COMPOSIÇÕES GERAIS'!B:I,3,0),VLOOKUP(E35,'12.COT.MERCADO'!A:I,7,0)))),"Em Elaboração")</f>
        <v>UN</v>
      </c>
      <c r="I35" s="938">
        <v>18.0</v>
      </c>
    </row>
    <row r="36">
      <c r="A36" s="931" t="s">
        <v>4291</v>
      </c>
      <c r="B36" s="931" t="s">
        <v>4322</v>
      </c>
      <c r="C36" s="932" t="s">
        <v>4274</v>
      </c>
      <c r="D36" s="933" t="s">
        <v>4323</v>
      </c>
      <c r="E36" s="940">
        <v>100903.0</v>
      </c>
      <c r="F36" s="937" t="s">
        <v>218</v>
      </c>
      <c r="G36" s="421" t="str">
        <f>IFERROR(IF(F36="SINAPI-S",VLOOKUP(E36,'20-B.SINAPI-S'!A:J,2,0),IF(F36="SINAPI-I",VLOOKUP(E36,'20-A.SINAPI-I'!A:G,2,0),IF(F36="COMP.EVENTUAL",VLOOKUP(E36,'11.COMPOSIÇÕES GERAIS'!B:I,2,0),VLOOKUP(E36,'12.COT.MERCADO'!A:I,2,0)))),"Em Elaboração")</f>
        <v>LÂMPADA TUBULAR LED DE 18/20 W, BASE G13 - FORNECIMENTO E INSTALAÇÃO. AF_02/2020_PS</v>
      </c>
      <c r="H36" s="934" t="str">
        <f>IFERROR(IF(F36="SINAPI-S",VLOOKUP(E36,'20-B.SINAPI-S'!A:J,3,0),IF(F36="SINAPI-I",VLOOKUP(E36,'20-A.SINAPI-I'!A:G,3,0),IF(F36="COMP.EVENTUAL",VLOOKUP(E36,'11.COMPOSIÇÕES GERAIS'!B:I,3,0),VLOOKUP(E36,'12.COT.MERCADO'!A:I,7,0)))),"Em Elaboração")</f>
        <v>UN</v>
      </c>
      <c r="I36" s="938">
        <v>23.0</v>
      </c>
    </row>
    <row r="37">
      <c r="A37" s="931" t="s">
        <v>4291</v>
      </c>
      <c r="B37" s="931" t="s">
        <v>4322</v>
      </c>
      <c r="C37" s="932" t="s">
        <v>4274</v>
      </c>
      <c r="D37" s="933" t="s">
        <v>4324</v>
      </c>
      <c r="E37" s="934" t="s">
        <v>1837</v>
      </c>
      <c r="F37" s="935" t="s">
        <v>4276</v>
      </c>
      <c r="G37" s="421" t="str">
        <f>IFERROR(IF(F37="SINAPI-S",VLOOKUP(E37,'20-B.SINAPI-S'!A:J,2,0),IF(F37="SINAPI-I",VLOOKUP(E37,'20-A.SINAPI-I'!A:G,2,0),IF(F37="COMP.EVENTUAL",VLOOKUP(E37,'11.COMPOSIÇÕES GERAIS'!B:I,2,0),VLOOKUP(E37,'12.COT.MERCADO'!A:I,2,0)))),"Em Elaboração")</f>
        <v>VISITA TÉCNICA DE OFICIAL DE ELÉTRICA E AJUDANTE PARA VERIFICAÇÃO DE PROBLEMA GERAL</v>
      </c>
      <c r="H37" s="934" t="str">
        <f>IFERROR(IF(F37="SINAPI-S",VLOOKUP(E37,'20-B.SINAPI-S'!A:J,3,0),IF(F37="SINAPI-I",VLOOKUP(E37,'20-A.SINAPI-I'!A:G,3,0),IF(F37="COMP.EVENTUAL",VLOOKUP(E37,'11.COMPOSIÇÕES GERAIS'!B:I,3,0),VLOOKUP(E37,'12.COT.MERCADO'!A:I,7,0)))),"Em Elaboração")</f>
        <v>UN</v>
      </c>
      <c r="I37" s="938">
        <v>1.0</v>
      </c>
    </row>
    <row r="38">
      <c r="A38" s="931" t="s">
        <v>4291</v>
      </c>
      <c r="B38" s="931" t="s">
        <v>4322</v>
      </c>
      <c r="C38" s="932" t="s">
        <v>4297</v>
      </c>
      <c r="D38" s="933" t="s">
        <v>4325</v>
      </c>
      <c r="E38" s="939">
        <v>91952.0</v>
      </c>
      <c r="F38" s="937" t="s">
        <v>218</v>
      </c>
      <c r="G38" s="421" t="str">
        <f>IFERROR(IF(F38="SINAPI-S",VLOOKUP(E38,'20-B.SINAPI-S'!A:J,2,0),IF(F38="SINAPI-I",VLOOKUP(E38,'20-A.SINAPI-I'!A:G,2,0),IF(F38="COMP.EVENTUAL",VLOOKUP(E38,'11.COMPOSIÇÕES GERAIS'!B:I,2,0),VLOOKUP(E38,'12.COT.MERCADO'!A:I,2,0)))),"Em Elaboração")</f>
        <v>INTERRUPTOR SIMPLES (1 MÓDULO), 10A/250V, SEM SUPORTE E SEM PLACA - FORNECIMENTO E INSTALAÇÃO. AF_03/2023</v>
      </c>
      <c r="H38" s="934" t="str">
        <f>IFERROR(IF(F38="SINAPI-S",VLOOKUP(E38,'20-B.SINAPI-S'!A:J,3,0),IF(F38="SINAPI-I",VLOOKUP(E38,'20-A.SINAPI-I'!A:G,3,0),IF(F38="COMP.EVENTUAL",VLOOKUP(E38,'11.COMPOSIÇÕES GERAIS'!B:I,3,0),VLOOKUP(E38,'12.COT.MERCADO'!A:I,7,0)))),"Em Elaboração")</f>
        <v>UN</v>
      </c>
      <c r="I38" s="938">
        <v>2.0</v>
      </c>
    </row>
    <row r="39">
      <c r="A39" s="931" t="s">
        <v>4291</v>
      </c>
      <c r="B39" s="931" t="s">
        <v>4322</v>
      </c>
      <c r="C39" s="932" t="s">
        <v>4297</v>
      </c>
      <c r="D39" s="933" t="s">
        <v>4326</v>
      </c>
      <c r="E39" s="940" t="s">
        <v>1949</v>
      </c>
      <c r="F39" s="937" t="s">
        <v>4276</v>
      </c>
      <c r="G39" s="421" t="str">
        <f>IFERROR(IF(F39="SINAPI-S",VLOOKUP(E39,'20-B.SINAPI-S'!A:J,2,0),IF(F39="SINAPI-I",VLOOKUP(E39,'20-A.SINAPI-I'!A:G,2,0),IF(F39="COMP.EVENTUAL",VLOOKUP(E39,'11.COMPOSIÇÕES GERAIS'!B:I,2,0),VLOOKUP(E39,'12.COT.MERCADO'!A:I,2,0)))),"Em Elaboração")</f>
        <v>SERVIÇO DE MONTAGEM DE MÓVEIS/ARMÁRIOS EM MDF</v>
      </c>
      <c r="H39" s="934" t="str">
        <f>IFERROR(IF(F39="SINAPI-S",VLOOKUP(E39,'20-B.SINAPI-S'!A:J,3,0),IF(F39="SINAPI-I",VLOOKUP(E39,'20-A.SINAPI-I'!A:G,3,0),IF(F39="COMP.EVENTUAL",VLOOKUP(E39,'11.COMPOSIÇÕES GERAIS'!B:I,3,0),VLOOKUP(E39,'12.COT.MERCADO'!A:I,7,0)))),"Em Elaboração")</f>
        <v>M2</v>
      </c>
      <c r="I39" s="936">
        <v>2.0</v>
      </c>
    </row>
    <row r="40">
      <c r="A40" s="931" t="s">
        <v>4291</v>
      </c>
      <c r="B40" s="931" t="s">
        <v>4327</v>
      </c>
      <c r="C40" s="932" t="s">
        <v>4297</v>
      </c>
      <c r="D40" s="933" t="s">
        <v>4328</v>
      </c>
      <c r="E40" s="940">
        <v>90831.0</v>
      </c>
      <c r="F40" s="937" t="s">
        <v>218</v>
      </c>
      <c r="G40" s="421" t="str">
        <f>IFERROR(IF(F40="SINAPI-S",VLOOKUP(E40,'20-B.SINAPI-S'!A:J,2,0),IF(F40="SINAPI-I",VLOOKUP(E40,'20-A.SINAPI-I'!A:G,2,0),IF(F40="COMP.EVENTUAL",VLOOKUP(E40,'11.COMPOSIÇÕES GERAIS'!B:I,2,0),VLOOKUP(E40,'12.COT.MERCADO'!A:I,2,0)))),"Em Elaboração")</f>
        <v>FECHADURA DE EMBUTIR PARA PORTA DE BANHEIRO, COMPLETA, ACABAMENTO PADRÃO MÉDIO, INCLUSO EXECUÇÃO DE FURO - FORNECIMENTO E INSTALAÇÃO. AF_12/2019</v>
      </c>
      <c r="H40" s="934" t="str">
        <f>IFERROR(IF(F40="SINAPI-S",VLOOKUP(E40,'20-B.SINAPI-S'!A:J,3,0),IF(F40="SINAPI-I",VLOOKUP(E40,'20-A.SINAPI-I'!A:G,3,0),IF(F40="COMP.EVENTUAL",VLOOKUP(E40,'11.COMPOSIÇÕES GERAIS'!B:I,3,0),VLOOKUP(E40,'12.COT.MERCADO'!A:I,7,0)))),"Em Elaboração")</f>
        <v>UN</v>
      </c>
      <c r="I40" s="936">
        <v>1.0</v>
      </c>
    </row>
    <row r="41">
      <c r="A41" s="931" t="s">
        <v>4291</v>
      </c>
      <c r="B41" s="931" t="s">
        <v>4329</v>
      </c>
      <c r="C41" s="932" t="s">
        <v>4306</v>
      </c>
      <c r="D41" s="933" t="s">
        <v>4330</v>
      </c>
      <c r="E41" s="934" t="s">
        <v>1809</v>
      </c>
      <c r="F41" s="935" t="s">
        <v>4276</v>
      </c>
      <c r="G41" s="421" t="str">
        <f>IFERROR(IF(F41="SINAPI-S",VLOOKUP(E41,'20-B.SINAPI-S'!A:J,2,0),IF(F41="SINAPI-I",VLOOKUP(E41,'20-A.SINAPI-I'!A:G,2,0),IF(F41="COMP.EVENTUAL",VLOOKUP(E41,'11.COMPOSIÇÕES GERAIS'!B:I,2,0),VLOOKUP(E41,'12.COT.MERCADO'!A:I,2,0)))),"Em Elaboração")</f>
        <v>DESENTUPIMENTO DE LOUÇAS</v>
      </c>
      <c r="H41" s="934" t="str">
        <f>IFERROR(IF(F41="SINAPI-S",VLOOKUP(E41,'20-B.SINAPI-S'!A:J,3,0),IF(F41="SINAPI-I",VLOOKUP(E41,'20-A.SINAPI-I'!A:G,3,0),IF(F41="COMP.EVENTUAL",VLOOKUP(E41,'11.COMPOSIÇÕES GERAIS'!B:I,3,0),VLOOKUP(E41,'12.COT.MERCADO'!A:I,7,0)))),"Em Elaboração")</f>
        <v>UN</v>
      </c>
      <c r="I41" s="936">
        <v>1.0</v>
      </c>
    </row>
    <row r="42">
      <c r="A42" s="931" t="s">
        <v>4291</v>
      </c>
      <c r="B42" s="931" t="s">
        <v>4331</v>
      </c>
      <c r="C42" s="932" t="s">
        <v>4274</v>
      </c>
      <c r="D42" s="933" t="s">
        <v>4332</v>
      </c>
      <c r="E42" s="934" t="s">
        <v>1837</v>
      </c>
      <c r="F42" s="935" t="s">
        <v>4276</v>
      </c>
      <c r="G42" s="421" t="str">
        <f>IFERROR(IF(F42="SINAPI-S",VLOOKUP(E42,'20-B.SINAPI-S'!A:J,2,0),IF(F42="SINAPI-I",VLOOKUP(E42,'20-A.SINAPI-I'!A:G,2,0),IF(F42="COMP.EVENTUAL",VLOOKUP(E42,'11.COMPOSIÇÕES GERAIS'!B:I,2,0),VLOOKUP(E42,'12.COT.MERCADO'!A:I,2,0)))),"Em Elaboração")</f>
        <v>VISITA TÉCNICA DE OFICIAL DE ELÉTRICA E AJUDANTE PARA VERIFICAÇÃO DE PROBLEMA GERAL</v>
      </c>
      <c r="H42" s="934" t="str">
        <f>IFERROR(IF(F42="SINAPI-S",VLOOKUP(E42,'20-B.SINAPI-S'!A:J,3,0),IF(F42="SINAPI-I",VLOOKUP(E42,'20-A.SINAPI-I'!A:G,3,0),IF(F42="COMP.EVENTUAL",VLOOKUP(E42,'11.COMPOSIÇÕES GERAIS'!B:I,3,0),VLOOKUP(E42,'12.COT.MERCADO'!A:I,7,0)))),"Em Elaboração")</f>
        <v>UN</v>
      </c>
      <c r="I42" s="936">
        <v>1.0</v>
      </c>
    </row>
    <row r="43">
      <c r="A43" s="931" t="s">
        <v>4291</v>
      </c>
      <c r="B43" s="931" t="s">
        <v>4331</v>
      </c>
      <c r="C43" s="932" t="s">
        <v>4274</v>
      </c>
      <c r="D43" s="933" t="s">
        <v>4333</v>
      </c>
      <c r="E43" s="934" t="s">
        <v>1837</v>
      </c>
      <c r="F43" s="935" t="s">
        <v>4276</v>
      </c>
      <c r="G43" s="421" t="str">
        <f>IFERROR(IF(F43="SINAPI-S",VLOOKUP(E43,'20-B.SINAPI-S'!A:J,2,0),IF(F43="SINAPI-I",VLOOKUP(E43,'20-A.SINAPI-I'!A:G,2,0),IF(F43="COMP.EVENTUAL",VLOOKUP(E43,'11.COMPOSIÇÕES GERAIS'!B:I,2,0),VLOOKUP(E43,'12.COT.MERCADO'!A:I,2,0)))),"Em Elaboração")</f>
        <v>VISITA TÉCNICA DE OFICIAL DE ELÉTRICA E AJUDANTE PARA VERIFICAÇÃO DE PROBLEMA GERAL</v>
      </c>
      <c r="H43" s="934" t="str">
        <f>IFERROR(IF(F43="SINAPI-S",VLOOKUP(E43,'20-B.SINAPI-S'!A:J,3,0),IF(F43="SINAPI-I",VLOOKUP(E43,'20-A.SINAPI-I'!A:G,3,0),IF(F43="COMP.EVENTUAL",VLOOKUP(E43,'11.COMPOSIÇÕES GERAIS'!B:I,3,0),VLOOKUP(E43,'12.COT.MERCADO'!A:I,7,0)))),"Em Elaboração")</f>
        <v>UN</v>
      </c>
      <c r="I43" s="936">
        <v>1.0</v>
      </c>
    </row>
    <row r="44">
      <c r="A44" s="931" t="s">
        <v>4334</v>
      </c>
      <c r="B44" s="931" t="s">
        <v>4335</v>
      </c>
      <c r="C44" s="932" t="s">
        <v>4274</v>
      </c>
      <c r="D44" s="933" t="s">
        <v>4336</v>
      </c>
      <c r="E44" s="939">
        <v>97611.0</v>
      </c>
      <c r="F44" s="937" t="s">
        <v>218</v>
      </c>
      <c r="G44" s="421" t="str">
        <f>IFERROR(IF(F44="SINAPI-S",VLOOKUP(E44,'20-B.SINAPI-S'!A:J,2,0),IF(F44="SINAPI-I",VLOOKUP(E44,'20-A.SINAPI-I'!A:G,2,0),IF(F44="COMP.EVENTUAL",VLOOKUP(E44,'11.COMPOSIÇÕES GERAIS'!B:I,2,0),VLOOKUP(E44,'12.COT.MERCADO'!A:I,2,0)))),"Em Elaboração")</f>
        <v>LÂMPADA COMPACTA FLUORESCENTE DE 15 W, BASE E27 - FORNECIMENTO E INSTALAÇÃO. AF_02/2020</v>
      </c>
      <c r="H44" s="934" t="str">
        <f>IFERROR(IF(F44="SINAPI-S",VLOOKUP(E44,'20-B.SINAPI-S'!A:J,3,0),IF(F44="SINAPI-I",VLOOKUP(E44,'20-A.SINAPI-I'!A:G,3,0),IF(F44="COMP.EVENTUAL",VLOOKUP(E44,'11.COMPOSIÇÕES GERAIS'!B:I,3,0),VLOOKUP(E44,'12.COT.MERCADO'!A:I,7,0)))),"Em Elaboração")</f>
        <v>UN</v>
      </c>
      <c r="I44" s="936">
        <v>12.0</v>
      </c>
    </row>
    <row r="45">
      <c r="A45" s="931" t="s">
        <v>4334</v>
      </c>
      <c r="B45" s="931" t="s">
        <v>4337</v>
      </c>
      <c r="C45" s="932" t="s">
        <v>4306</v>
      </c>
      <c r="D45" s="933" t="s">
        <v>4338</v>
      </c>
      <c r="E45" s="939">
        <v>86906.0</v>
      </c>
      <c r="F45" s="937" t="s">
        <v>218</v>
      </c>
      <c r="G45" s="421" t="str">
        <f>IFERROR(IF(F45="SINAPI-S",VLOOKUP(E45,'20-B.SINAPI-S'!A:J,2,0),IF(F45="SINAPI-I",VLOOKUP(E45,'20-A.SINAPI-I'!A:G,2,0),IF(F45="COMP.EVENTUAL",VLOOKUP(E45,'11.COMPOSIÇÕES GERAIS'!B:I,2,0),VLOOKUP(E45,'12.COT.MERCADO'!A:I,2,0)))),"Em Elaboração")</f>
        <v>TORNEIRA CROMADA DE MESA, 1/2_x0094_ OU 3/4_x0094_, PARA LAVATÓRIO, PADRÃO POPULAR - FORNECIMENTO E INSTALAÇÃO. AF_01/2020</v>
      </c>
      <c r="H45" s="934" t="str">
        <f>IFERROR(IF(F45="SINAPI-S",VLOOKUP(E45,'20-B.SINAPI-S'!A:J,3,0),IF(F45="SINAPI-I",VLOOKUP(E45,'20-A.SINAPI-I'!A:G,3,0),IF(F45="COMP.EVENTUAL",VLOOKUP(E45,'11.COMPOSIÇÕES GERAIS'!B:I,3,0),VLOOKUP(E45,'12.COT.MERCADO'!A:I,7,0)))),"Em Elaboração")</f>
        <v>UN</v>
      </c>
      <c r="I45" s="936">
        <v>1.0</v>
      </c>
    </row>
    <row r="46">
      <c r="A46" s="931" t="s">
        <v>4334</v>
      </c>
      <c r="B46" s="931" t="s">
        <v>4337</v>
      </c>
      <c r="C46" s="932" t="s">
        <v>4306</v>
      </c>
      <c r="D46" s="933" t="s">
        <v>4339</v>
      </c>
      <c r="E46" s="939">
        <v>100849.0</v>
      </c>
      <c r="F46" s="937" t="s">
        <v>218</v>
      </c>
      <c r="G46" s="421" t="str">
        <f>IFERROR(IF(F46="SINAPI-S",VLOOKUP(E46,'20-B.SINAPI-S'!A:J,2,0),IF(F46="SINAPI-I",VLOOKUP(E46,'20-A.SINAPI-I'!A:G,2,0),IF(F46="COMP.EVENTUAL",VLOOKUP(E46,'11.COMPOSIÇÕES GERAIS'!B:I,2,0),VLOOKUP(E46,'12.COT.MERCADO'!A:I,2,0)))),"Em Elaboração")</f>
        <v>ASSENTO SANITÁRIO CONVENCIONAL - FORNECIMENTO E INSTALACAO. AF_01/2020</v>
      </c>
      <c r="H46" s="934" t="str">
        <f>IFERROR(IF(F46="SINAPI-S",VLOOKUP(E46,'20-B.SINAPI-S'!A:J,3,0),IF(F46="SINAPI-I",VLOOKUP(E46,'20-A.SINAPI-I'!A:G,3,0),IF(F46="COMP.EVENTUAL",VLOOKUP(E46,'11.COMPOSIÇÕES GERAIS'!B:I,3,0),VLOOKUP(E46,'12.COT.MERCADO'!A:I,7,0)))),"Em Elaboração")</f>
        <v>UN</v>
      </c>
      <c r="I46" s="936">
        <v>1.0</v>
      </c>
    </row>
    <row r="47">
      <c r="A47" s="931" t="s">
        <v>4334</v>
      </c>
      <c r="B47" s="931" t="s">
        <v>4340</v>
      </c>
      <c r="C47" s="932" t="s">
        <v>4274</v>
      </c>
      <c r="D47" s="933" t="s">
        <v>4341</v>
      </c>
      <c r="E47" s="939">
        <v>97611.0</v>
      </c>
      <c r="F47" s="937" t="s">
        <v>218</v>
      </c>
      <c r="G47" s="421" t="str">
        <f>IFERROR(IF(F47="SINAPI-S",VLOOKUP(E47,'20-B.SINAPI-S'!A:J,2,0),IF(F47="SINAPI-I",VLOOKUP(E47,'20-A.SINAPI-I'!A:G,2,0),IF(F47="COMP.EVENTUAL",VLOOKUP(E47,'11.COMPOSIÇÕES GERAIS'!B:I,2,0),VLOOKUP(E47,'12.COT.MERCADO'!A:I,2,0)))),"Em Elaboração")</f>
        <v>LÂMPADA COMPACTA FLUORESCENTE DE 15 W, BASE E27 - FORNECIMENTO E INSTALAÇÃO. AF_02/2020</v>
      </c>
      <c r="H47" s="934" t="str">
        <f>IFERROR(IF(F47="SINAPI-S",VLOOKUP(E47,'20-B.SINAPI-S'!A:J,3,0),IF(F47="SINAPI-I",VLOOKUP(E47,'20-A.SINAPI-I'!A:G,3,0),IF(F47="COMP.EVENTUAL",VLOOKUP(E47,'11.COMPOSIÇÕES GERAIS'!B:I,3,0),VLOOKUP(E47,'12.COT.MERCADO'!A:I,7,0)))),"Em Elaboração")</f>
        <v>UN</v>
      </c>
      <c r="I47" s="936">
        <v>2.0</v>
      </c>
    </row>
    <row r="48">
      <c r="A48" s="931" t="s">
        <v>4334</v>
      </c>
      <c r="B48" s="931" t="s">
        <v>4342</v>
      </c>
      <c r="C48" s="932" t="s">
        <v>4306</v>
      </c>
      <c r="D48" s="933" t="s">
        <v>4339</v>
      </c>
      <c r="E48" s="939">
        <v>100849.0</v>
      </c>
      <c r="F48" s="937" t="s">
        <v>218</v>
      </c>
      <c r="G48" s="421" t="str">
        <f>IFERROR(IF(F48="SINAPI-S",VLOOKUP(E48,'20-B.SINAPI-S'!A:J,2,0),IF(F48="SINAPI-I",VLOOKUP(E48,'20-A.SINAPI-I'!A:G,2,0),IF(F48="COMP.EVENTUAL",VLOOKUP(E48,'11.COMPOSIÇÕES GERAIS'!B:I,2,0),VLOOKUP(E48,'12.COT.MERCADO'!A:I,2,0)))),"Em Elaboração")</f>
        <v>ASSENTO SANITÁRIO CONVENCIONAL - FORNECIMENTO E INSTALACAO. AF_01/2020</v>
      </c>
      <c r="H48" s="934" t="str">
        <f>IFERROR(IF(F48="SINAPI-S",VLOOKUP(E48,'20-B.SINAPI-S'!A:J,3,0),IF(F48="SINAPI-I",VLOOKUP(E48,'20-A.SINAPI-I'!A:G,3,0),IF(F48="COMP.EVENTUAL",VLOOKUP(E48,'11.COMPOSIÇÕES GERAIS'!B:I,3,0),VLOOKUP(E48,'12.COT.MERCADO'!A:I,7,0)))),"Em Elaboração")</f>
        <v>UN</v>
      </c>
      <c r="I48" s="936">
        <v>1.0</v>
      </c>
    </row>
    <row r="49">
      <c r="A49" s="931" t="s">
        <v>4334</v>
      </c>
      <c r="B49" s="931" t="s">
        <v>4343</v>
      </c>
      <c r="C49" s="932" t="s">
        <v>4274</v>
      </c>
      <c r="D49" s="933" t="s">
        <v>4344</v>
      </c>
      <c r="E49" s="939">
        <v>100903.0</v>
      </c>
      <c r="F49" s="937" t="s">
        <v>218</v>
      </c>
      <c r="G49" s="421" t="str">
        <f>IFERROR(IF(F49="SINAPI-S",VLOOKUP(E49,'20-B.SINAPI-S'!A:J,2,0),IF(F49="SINAPI-I",VLOOKUP(E49,'20-A.SINAPI-I'!A:G,2,0),IF(F49="COMP.EVENTUAL",VLOOKUP(E49,'11.COMPOSIÇÕES GERAIS'!B:I,2,0),VLOOKUP(E49,'12.COT.MERCADO'!A:I,2,0)))),"Em Elaboração")</f>
        <v>LÂMPADA TUBULAR LED DE 18/20 W, BASE G13 - FORNECIMENTO E INSTALAÇÃO. AF_02/2020_PS</v>
      </c>
      <c r="H49" s="934" t="str">
        <f>IFERROR(IF(F49="SINAPI-S",VLOOKUP(E49,'20-B.SINAPI-S'!A:J,3,0),IF(F49="SINAPI-I",VLOOKUP(E49,'20-A.SINAPI-I'!A:G,3,0),IF(F49="COMP.EVENTUAL",VLOOKUP(E49,'11.COMPOSIÇÕES GERAIS'!B:I,3,0),VLOOKUP(E49,'12.COT.MERCADO'!A:I,7,0)))),"Em Elaboração")</f>
        <v>UN</v>
      </c>
      <c r="I49" s="936">
        <v>3.0</v>
      </c>
    </row>
    <row r="50">
      <c r="A50" s="931" t="s">
        <v>4334</v>
      </c>
      <c r="B50" s="931" t="s">
        <v>4345</v>
      </c>
      <c r="C50" s="932" t="s">
        <v>4274</v>
      </c>
      <c r="D50" s="933" t="s">
        <v>4344</v>
      </c>
      <c r="E50" s="939">
        <v>100903.0</v>
      </c>
      <c r="F50" s="937" t="s">
        <v>218</v>
      </c>
      <c r="G50" s="421" t="str">
        <f>IFERROR(IF(F50="SINAPI-S",VLOOKUP(E50,'20-B.SINAPI-S'!A:J,2,0),IF(F50="SINAPI-I",VLOOKUP(E50,'20-A.SINAPI-I'!A:G,2,0),IF(F50="COMP.EVENTUAL",VLOOKUP(E50,'11.COMPOSIÇÕES GERAIS'!B:I,2,0),VLOOKUP(E50,'12.COT.MERCADO'!A:I,2,0)))),"Em Elaboração")</f>
        <v>LÂMPADA TUBULAR LED DE 18/20 W, BASE G13 - FORNECIMENTO E INSTALAÇÃO. AF_02/2020_PS</v>
      </c>
      <c r="H50" s="934" t="str">
        <f>IFERROR(IF(F50="SINAPI-S",VLOOKUP(E50,'20-B.SINAPI-S'!A:J,3,0),IF(F50="SINAPI-I",VLOOKUP(E50,'20-A.SINAPI-I'!A:G,3,0),IF(F50="COMP.EVENTUAL",VLOOKUP(E50,'11.COMPOSIÇÕES GERAIS'!B:I,3,0),VLOOKUP(E50,'12.COT.MERCADO'!A:I,7,0)))),"Em Elaboração")</f>
        <v>UN</v>
      </c>
      <c r="I50" s="936">
        <v>10.0</v>
      </c>
    </row>
    <row r="51">
      <c r="A51" s="931" t="s">
        <v>4334</v>
      </c>
      <c r="B51" s="931" t="s">
        <v>4346</v>
      </c>
      <c r="C51" s="932" t="s">
        <v>4274</v>
      </c>
      <c r="D51" s="933" t="s">
        <v>4347</v>
      </c>
      <c r="E51" s="934" t="s">
        <v>1806</v>
      </c>
      <c r="F51" s="935" t="s">
        <v>4276</v>
      </c>
      <c r="G51" s="421" t="str">
        <f>IFERROR(IF(F51="SINAPI-S",VLOOKUP(E51,'20-B.SINAPI-S'!A:J,2,0),IF(F51="SINAPI-I",VLOOKUP(E51,'20-A.SINAPI-I'!A:G,2,0),IF(F51="COMP.EVENTUAL",VLOOKUP(E51,'11.COMPOSIÇÕES GERAIS'!B:I,2,0),VLOOKUP(E51,'12.COT.MERCADO'!A:I,2,0)))),"Em Elaboração")</f>
        <v>FORNECIMENTO E INSTALAÇÃO DE REFLETOR LED, CORPO DE ALUMÍNIO, VIDRO TEMPERADO, POTÊNCIA 30W, BIVOLT, TEMP. COR 3000K, IP-66</v>
      </c>
      <c r="H51" s="934" t="str">
        <f>IFERROR(IF(F51="SINAPI-S",VLOOKUP(E51,'20-B.SINAPI-S'!A:J,3,0),IF(F51="SINAPI-I",VLOOKUP(E51,'20-A.SINAPI-I'!A:G,3,0),IF(F51="COMP.EVENTUAL",VLOOKUP(E51,'11.COMPOSIÇÕES GERAIS'!B:I,3,0),VLOOKUP(E51,'12.COT.MERCADO'!A:I,7,0)))),"Em Elaboração")</f>
        <v>UN</v>
      </c>
      <c r="I51" s="936">
        <v>6.0</v>
      </c>
    </row>
    <row r="52">
      <c r="A52" s="931" t="s">
        <v>4334</v>
      </c>
      <c r="B52" s="931" t="s">
        <v>4348</v>
      </c>
      <c r="C52" s="932" t="s">
        <v>4274</v>
      </c>
      <c r="D52" s="933" t="s">
        <v>4349</v>
      </c>
      <c r="E52" s="939">
        <v>91926.0</v>
      </c>
      <c r="F52" s="937" t="s">
        <v>218</v>
      </c>
      <c r="G52" s="421" t="str">
        <f>IFERROR(IF(F52="SINAPI-S",VLOOKUP(E52,'20-B.SINAPI-S'!A:J,2,0),IF(F52="SINAPI-I",VLOOKUP(E52,'20-A.SINAPI-I'!A:G,2,0),IF(F52="COMP.EVENTUAL",VLOOKUP(E52,'11.COMPOSIÇÕES GERAIS'!B:I,2,0),VLOOKUP(E52,'12.COT.MERCADO'!A:I,2,0)))),"Em Elaboração")</f>
        <v>CABO DE COBRE FLEXÍVEL ISOLADO, 2,5 MM², ANTI-CHAMA 450/750 V, PARA CIRCUITOS TERMINAIS - FORNECIMENTO E INSTALAÇÃO. AF_03/2023</v>
      </c>
      <c r="H52" s="934" t="str">
        <f>IFERROR(IF(F52="SINAPI-S",VLOOKUP(E52,'20-B.SINAPI-S'!A:J,3,0),IF(F52="SINAPI-I",VLOOKUP(E52,'20-A.SINAPI-I'!A:G,3,0),IF(F52="COMP.EVENTUAL",VLOOKUP(E52,'11.COMPOSIÇÕES GERAIS'!B:I,3,0),VLOOKUP(E52,'12.COT.MERCADO'!A:I,7,0)))),"Em Elaboração")</f>
        <v>M</v>
      </c>
      <c r="I52" s="936">
        <v>60.0</v>
      </c>
    </row>
    <row r="53">
      <c r="A53" s="931" t="s">
        <v>4334</v>
      </c>
      <c r="B53" s="931" t="s">
        <v>4350</v>
      </c>
      <c r="C53" s="932" t="s">
        <v>4274</v>
      </c>
      <c r="D53" s="933" t="s">
        <v>4351</v>
      </c>
      <c r="E53" s="939">
        <v>104476.0</v>
      </c>
      <c r="F53" s="937" t="s">
        <v>218</v>
      </c>
      <c r="G53" s="421" t="str">
        <f>IFERROR(IF(F53="SINAPI-S",VLOOKUP(E53,'20-B.SINAPI-S'!A:J,2,0),IF(F53="SINAPI-I",VLOOKUP(E53,'20-A.SINAPI-I'!A:G,2,0),IF(F53="COMP.EVENTUAL",VLOOKUP(E53,'11.COMPOSIÇÕES GERAIS'!B:I,2,0),VLOOKUP(E53,'12.COT.MERCADO'!A:I,2,0)))),"Em Elaboração")</f>
        <v>COMPOSIÇÃO PARAMÉTRICA DE PONTO ELÉTRICO DE TOMADA DE USO ESPECÍFICO 2P+T (20A/250V) EM EDIFÍCIO RESIDENCIAL COM ELETRODUTO EMBUTIDO EM RASGOS NAS PAREDES, INCLUSO TOMADA, ELETRODUTO, CABO, RASGO, QUEBRA E CHUMBAMENTO (EXCETO CHUVEIRO). AF_11/2022</v>
      </c>
      <c r="H53" s="934" t="str">
        <f>IFERROR(IF(F53="SINAPI-S",VLOOKUP(E53,'20-B.SINAPI-S'!A:J,3,0),IF(F53="SINAPI-I",VLOOKUP(E53,'20-A.SINAPI-I'!A:G,3,0),IF(F53="COMP.EVENTUAL",VLOOKUP(E53,'11.COMPOSIÇÕES GERAIS'!B:I,3,0),VLOOKUP(E53,'12.COT.MERCADO'!A:I,7,0)))),"Em Elaboração")</f>
        <v>UN</v>
      </c>
      <c r="I53" s="936">
        <v>1.0</v>
      </c>
    </row>
    <row r="54">
      <c r="A54" s="931" t="s">
        <v>4334</v>
      </c>
      <c r="B54" s="931" t="s">
        <v>4352</v>
      </c>
      <c r="C54" s="932" t="s">
        <v>4274</v>
      </c>
      <c r="D54" s="933" t="s">
        <v>4353</v>
      </c>
      <c r="E54" s="939">
        <v>97617.0</v>
      </c>
      <c r="F54" s="937" t="s">
        <v>218</v>
      </c>
      <c r="G54" s="421" t="str">
        <f>IFERROR(IF(F54="SINAPI-S",VLOOKUP(E54,'20-B.SINAPI-S'!A:J,2,0),IF(F54="SINAPI-I",VLOOKUP(E54,'20-A.SINAPI-I'!A:G,2,0),IF(F54="COMP.EVENTUAL",VLOOKUP(E54,'11.COMPOSIÇÕES GERAIS'!B:I,2,0),VLOOKUP(E54,'12.COT.MERCADO'!A:I,2,0)))),"Em Elaboração")</f>
        <v>LÂMPADA TUBULAR FLUORESCENTE T10 DE 20/40 W, BASE G13 - FORNECIMENTO E INSTALAÇÃO. AF_02/2020_PS</v>
      </c>
      <c r="H54" s="934" t="str">
        <f>IFERROR(IF(F54="SINAPI-S",VLOOKUP(E54,'20-B.SINAPI-S'!A:J,3,0),IF(F54="SINAPI-I",VLOOKUP(E54,'20-A.SINAPI-I'!A:G,3,0),IF(F54="COMP.EVENTUAL",VLOOKUP(E54,'11.COMPOSIÇÕES GERAIS'!B:I,3,0),VLOOKUP(E54,'12.COT.MERCADO'!A:I,7,0)))),"Em Elaboração")</f>
        <v>UN</v>
      </c>
      <c r="I54" s="938">
        <v>2.0</v>
      </c>
    </row>
    <row r="55">
      <c r="A55" s="931" t="s">
        <v>4334</v>
      </c>
      <c r="B55" s="931" t="s">
        <v>4354</v>
      </c>
      <c r="C55" s="932" t="s">
        <v>4306</v>
      </c>
      <c r="D55" s="933" t="s">
        <v>4355</v>
      </c>
      <c r="E55" s="934" t="s">
        <v>1809</v>
      </c>
      <c r="F55" s="935" t="s">
        <v>4276</v>
      </c>
      <c r="G55" s="421" t="str">
        <f>IFERROR(IF(F55="SINAPI-S",VLOOKUP(E55,'20-B.SINAPI-S'!A:J,2,0),IF(F55="SINAPI-I",VLOOKUP(E55,'20-A.SINAPI-I'!A:G,2,0),IF(F55="COMP.EVENTUAL",VLOOKUP(E55,'11.COMPOSIÇÕES GERAIS'!B:I,2,0),VLOOKUP(E55,'12.COT.MERCADO'!A:I,2,0)))),"Em Elaboração")</f>
        <v>DESENTUPIMENTO DE LOUÇAS</v>
      </c>
      <c r="H55" s="934" t="str">
        <f>IFERROR(IF(F55="SINAPI-S",VLOOKUP(E55,'20-B.SINAPI-S'!A:J,3,0),IF(F55="SINAPI-I",VLOOKUP(E55,'20-A.SINAPI-I'!A:G,3,0),IF(F55="COMP.EVENTUAL",VLOOKUP(E55,'11.COMPOSIÇÕES GERAIS'!B:I,3,0),VLOOKUP(E55,'12.COT.MERCADO'!A:I,7,0)))),"Em Elaboração")</f>
        <v>UN</v>
      </c>
      <c r="I55" s="936">
        <v>1.0</v>
      </c>
    </row>
    <row r="56">
      <c r="A56" s="931" t="s">
        <v>4334</v>
      </c>
      <c r="B56" s="931" t="s">
        <v>4356</v>
      </c>
      <c r="C56" s="932" t="s">
        <v>4297</v>
      </c>
      <c r="D56" s="933" t="s">
        <v>4357</v>
      </c>
      <c r="E56" s="934" t="s">
        <v>1812</v>
      </c>
      <c r="F56" s="935" t="s">
        <v>4276</v>
      </c>
      <c r="G56" s="421" t="str">
        <f>IFERROR(IF(F56="SINAPI-S",VLOOKUP(E56,'20-B.SINAPI-S'!A:J,2,0),IF(F56="SINAPI-I",VLOOKUP(E56,'20-A.SINAPI-I'!A:G,2,0),IF(F56="COMP.EVENTUAL",VLOOKUP(E56,'11.COMPOSIÇÕES GERAIS'!B:I,2,0),VLOOKUP(E56,'12.COT.MERCADO'!A:I,2,0)))),"Em Elaboração")</f>
        <v>RETIRADA E RECOLOCAÇÃO DE DIVISÓRIA NAVAL</v>
      </c>
      <c r="H56" s="934" t="str">
        <f>IFERROR(IF(F56="SINAPI-S",VLOOKUP(E56,'20-B.SINAPI-S'!A:J,3,0),IF(F56="SINAPI-I",VLOOKUP(E56,'20-A.SINAPI-I'!A:G,3,0),IF(F56="COMP.EVENTUAL",VLOOKUP(E56,'11.COMPOSIÇÕES GERAIS'!B:I,3,0),VLOOKUP(E56,'12.COT.MERCADO'!A:I,7,0)))),"Em Elaboração")</f>
        <v>M2</v>
      </c>
      <c r="I56" s="936">
        <v>1.0</v>
      </c>
    </row>
    <row r="57">
      <c r="A57" s="931" t="s">
        <v>4334</v>
      </c>
      <c r="B57" s="931" t="s">
        <v>4358</v>
      </c>
      <c r="C57" s="932" t="s">
        <v>4297</v>
      </c>
      <c r="D57" s="933" t="s">
        <v>4359</v>
      </c>
      <c r="E57" s="939">
        <v>98532.0</v>
      </c>
      <c r="F57" s="937" t="s">
        <v>218</v>
      </c>
      <c r="G57" s="421" t="str">
        <f>IFERROR(IF(F57="SINAPI-S",VLOOKUP(E57,'20-B.SINAPI-S'!A:J,2,0),IF(F57="SINAPI-I",VLOOKUP(E57,'20-A.SINAPI-I'!A:G,2,0),IF(F57="COMP.EVENTUAL",VLOOKUP(E57,'11.COMPOSIÇÕES GERAIS'!B:I,2,0),VLOOKUP(E57,'12.COT.MERCADO'!A:I,2,0)))),"Em Elaboração")</f>
        <v>PODA EM ALTURA DE ÁRVORE COM DIÂMETRO DE TRONCO MENOR QUE 0,20 M.AF_05/2018</v>
      </c>
      <c r="H57" s="934" t="str">
        <f>IFERROR(IF(F57="SINAPI-S",VLOOKUP(E57,'20-B.SINAPI-S'!A:J,3,0),IF(F57="SINAPI-I",VLOOKUP(E57,'20-A.SINAPI-I'!A:G,3,0),IF(F57="COMP.EVENTUAL",VLOOKUP(E57,'11.COMPOSIÇÕES GERAIS'!B:I,3,0),VLOOKUP(E57,'12.COT.MERCADO'!A:I,7,0)))),"Em Elaboração")</f>
        <v>UN</v>
      </c>
      <c r="I57" s="936">
        <v>1.0</v>
      </c>
    </row>
    <row r="58">
      <c r="A58" s="931" t="s">
        <v>4334</v>
      </c>
      <c r="B58" s="931" t="s">
        <v>4358</v>
      </c>
      <c r="C58" s="932" t="s">
        <v>4297</v>
      </c>
      <c r="D58" s="933" t="s">
        <v>4360</v>
      </c>
      <c r="E58" s="934" t="s">
        <v>1816</v>
      </c>
      <c r="F58" s="935" t="s">
        <v>4276</v>
      </c>
      <c r="G58" s="421" t="str">
        <f>IFERROR(IF(F58="SINAPI-S",VLOOKUP(E58,'20-B.SINAPI-S'!A:J,2,0),IF(F58="SINAPI-I",VLOOKUP(E58,'20-A.SINAPI-I'!A:G,2,0),IF(F58="COMP.EVENTUAL",VLOOKUP(E58,'11.COMPOSIÇÕES GERAIS'!B:I,2,0),VLOOKUP(E58,'12.COT.MERCADO'!A:I,2,0)))),"Em Elaboração")</f>
        <v>FORNECIMENTO E INSTALAÇÃO DE PLACA DE SINALIZAÇÃO FOTOLUMINOSCENTE 13x26CM</v>
      </c>
      <c r="H58" s="934" t="str">
        <f>IFERROR(IF(F58="SINAPI-S",VLOOKUP(E58,'20-B.SINAPI-S'!A:J,3,0),IF(F58="SINAPI-I",VLOOKUP(E58,'20-A.SINAPI-I'!A:G,3,0),IF(F58="COMP.EVENTUAL",VLOOKUP(E58,'11.COMPOSIÇÕES GERAIS'!B:I,3,0),VLOOKUP(E58,'12.COT.MERCADO'!A:I,7,0)))),"Em Elaboração")</f>
        <v>UN</v>
      </c>
      <c r="I58" s="936">
        <v>2.0</v>
      </c>
    </row>
    <row r="59">
      <c r="A59" s="931" t="s">
        <v>4334</v>
      </c>
      <c r="B59" s="931" t="s">
        <v>4358</v>
      </c>
      <c r="C59" s="932" t="s">
        <v>4274</v>
      </c>
      <c r="D59" s="933" t="s">
        <v>4361</v>
      </c>
      <c r="E59" s="934" t="s">
        <v>1819</v>
      </c>
      <c r="F59" s="935" t="s">
        <v>4276</v>
      </c>
      <c r="G59" s="421" t="str">
        <f>IFERROR(IF(F59="SINAPI-S",VLOOKUP(E59,'20-B.SINAPI-S'!A:J,2,0),IF(F59="SINAPI-I",VLOOKUP(E59,'20-A.SINAPI-I'!A:G,2,0),IF(F59="COMP.EVENTUAL",VLOOKUP(E59,'11.COMPOSIÇÕES GERAIS'!B:I,2,0),VLOOKUP(E59,'12.COT.MERCADO'!A:I,2,0)))),"Em Elaboração")</f>
        <v>TESTE DE ENERGIZAÇÃO DE CERCA ELÉTRICA</v>
      </c>
      <c r="H59" s="934" t="str">
        <f>IFERROR(IF(F59="SINAPI-S",VLOOKUP(E59,'20-B.SINAPI-S'!A:J,3,0),IF(F59="SINAPI-I",VLOOKUP(E59,'20-A.SINAPI-I'!A:G,3,0),IF(F59="COMP.EVENTUAL",VLOOKUP(E59,'11.COMPOSIÇÕES GERAIS'!B:I,3,0),VLOOKUP(E59,'12.COT.MERCADO'!A:I,7,0)))),"Em Elaboração")</f>
        <v>UN</v>
      </c>
      <c r="I59" s="936">
        <v>1.0</v>
      </c>
    </row>
    <row r="60">
      <c r="A60" s="931" t="s">
        <v>4334</v>
      </c>
      <c r="B60" s="931" t="s">
        <v>4362</v>
      </c>
      <c r="C60" s="932" t="s">
        <v>4306</v>
      </c>
      <c r="D60" s="933" t="s">
        <v>4363</v>
      </c>
      <c r="E60" s="934" t="s">
        <v>1809</v>
      </c>
      <c r="F60" s="937" t="s">
        <v>4276</v>
      </c>
      <c r="G60" s="421" t="str">
        <f>IFERROR(IF(F60="SINAPI-S",VLOOKUP(E60,'20-B.SINAPI-S'!A:J,2,0),IF(F60="SINAPI-I",VLOOKUP(E60,'20-A.SINAPI-I'!A:G,2,0),IF(F60="COMP.EVENTUAL",VLOOKUP(E60,'11.COMPOSIÇÕES GERAIS'!B:I,2,0),VLOOKUP(E60,'12.COT.MERCADO'!A:I,2,0)))),"Em Elaboração")</f>
        <v>DESENTUPIMENTO DE LOUÇAS</v>
      </c>
      <c r="H60" s="934" t="str">
        <f>IFERROR(IF(F60="SINAPI-S",VLOOKUP(E60,'20-B.SINAPI-S'!A:J,3,0),IF(F60="SINAPI-I",VLOOKUP(E60,'20-A.SINAPI-I'!A:G,3,0),IF(F60="COMP.EVENTUAL",VLOOKUP(E60,'11.COMPOSIÇÕES GERAIS'!B:I,3,0),VLOOKUP(E60,'12.COT.MERCADO'!A:I,7,0)))),"Em Elaboração")</f>
        <v>UN</v>
      </c>
      <c r="I60" s="936">
        <v>1.0</v>
      </c>
    </row>
    <row r="61">
      <c r="A61" s="931" t="s">
        <v>4334</v>
      </c>
      <c r="B61" s="931" t="s">
        <v>4364</v>
      </c>
      <c r="C61" s="932" t="s">
        <v>4274</v>
      </c>
      <c r="D61" s="933" t="s">
        <v>4365</v>
      </c>
      <c r="E61" s="934" t="s">
        <v>1822</v>
      </c>
      <c r="F61" s="935" t="s">
        <v>4276</v>
      </c>
      <c r="G61" s="421" t="str">
        <f>IFERROR(IF(F61="SINAPI-S",VLOOKUP(E61,'20-B.SINAPI-S'!A:J,2,0),IF(F61="SINAPI-I",VLOOKUP(E61,'20-A.SINAPI-I'!A:G,2,0),IF(F61="COMP.EVENTUAL",VLOOKUP(E61,'11.COMPOSIÇÕES GERAIS'!B:I,2,0),VLOOKUP(E61,'12.COT.MERCADO'!A:I,2,0)))),"Em Elaboração")</f>
        <v>TESTE FUNCIONAL EM CIRCUITOS</v>
      </c>
      <c r="H61" s="934" t="str">
        <f>IFERROR(IF(F61="SINAPI-S",VLOOKUP(E61,'20-B.SINAPI-S'!A:J,3,0),IF(F61="SINAPI-I",VLOOKUP(E61,'20-A.SINAPI-I'!A:G,3,0),IF(F61="COMP.EVENTUAL",VLOOKUP(E61,'11.COMPOSIÇÕES GERAIS'!B:I,3,0),VLOOKUP(E61,'12.COT.MERCADO'!A:I,7,0)))),"Em Elaboração")</f>
        <v>UN</v>
      </c>
      <c r="I61" s="936">
        <v>1.0</v>
      </c>
    </row>
    <row r="62">
      <c r="A62" s="931" t="s">
        <v>4334</v>
      </c>
      <c r="B62" s="931" t="s">
        <v>4366</v>
      </c>
      <c r="C62" s="932" t="s">
        <v>4274</v>
      </c>
      <c r="D62" s="933" t="s">
        <v>4367</v>
      </c>
      <c r="E62" s="939" t="s">
        <v>1844</v>
      </c>
      <c r="F62" s="935" t="s">
        <v>4276</v>
      </c>
      <c r="G62" s="421" t="str">
        <f>IFERROR(IF(F62="SINAPI-S",VLOOKUP(E62,'20-B.SINAPI-S'!A:J,2,0),IF(F62="SINAPI-I",VLOOKUP(E62,'20-A.SINAPI-I'!A:G,2,0),IF(F62="COMP.EVENTUAL",VLOOKUP(E62,'11.COMPOSIÇÕES GERAIS'!B:I,2,0),VLOOKUP(E62,'12.COT.MERCADO'!A:I,2,0)))),"Em Elaboração")</f>
        <v>FORNECIMENTO E INSTALAÇÃO DE PLACA CENTRAL DE COMANDO UNIVERSAL X2 FULL ST IPEC PARA AUTOMATIZADORES</v>
      </c>
      <c r="H62" s="934" t="str">
        <f>IFERROR(IF(F62="SINAPI-S",VLOOKUP(E62,'20-B.SINAPI-S'!A:J,3,0),IF(F62="SINAPI-I",VLOOKUP(E62,'20-A.SINAPI-I'!A:G,3,0),IF(F62="COMP.EVENTUAL",VLOOKUP(E62,'11.COMPOSIÇÕES GERAIS'!B:I,3,0),VLOOKUP(E62,'12.COT.MERCADO'!A:I,7,0)))),"Em Elaboração")</f>
        <v>UN</v>
      </c>
      <c r="I62" s="936">
        <v>1.0</v>
      </c>
    </row>
    <row r="63">
      <c r="A63" s="931" t="s">
        <v>4334</v>
      </c>
      <c r="B63" s="931" t="s">
        <v>4368</v>
      </c>
      <c r="C63" s="932" t="s">
        <v>4274</v>
      </c>
      <c r="D63" s="933" t="s">
        <v>4369</v>
      </c>
      <c r="E63" s="934" t="s">
        <v>1822</v>
      </c>
      <c r="F63" s="935" t="s">
        <v>4276</v>
      </c>
      <c r="G63" s="421" t="str">
        <f>IFERROR(IF(F63="SINAPI-S",VLOOKUP(E63,'20-B.SINAPI-S'!A:J,2,0),IF(F63="SINAPI-I",VLOOKUP(E63,'20-A.SINAPI-I'!A:G,2,0),IF(F63="COMP.EVENTUAL",VLOOKUP(E63,'11.COMPOSIÇÕES GERAIS'!B:I,2,0),VLOOKUP(E63,'12.COT.MERCADO'!A:I,2,0)))),"Em Elaboração")</f>
        <v>TESTE FUNCIONAL EM CIRCUITOS</v>
      </c>
      <c r="H63" s="934" t="str">
        <f>IFERROR(IF(F63="SINAPI-S",VLOOKUP(E63,'20-B.SINAPI-S'!A:J,3,0),IF(F63="SINAPI-I",VLOOKUP(E63,'20-A.SINAPI-I'!A:G,3,0),IF(F63="COMP.EVENTUAL",VLOOKUP(E63,'11.COMPOSIÇÕES GERAIS'!B:I,3,0),VLOOKUP(E63,'12.COT.MERCADO'!A:I,7,0)))),"Em Elaboração")</f>
        <v>UN</v>
      </c>
      <c r="I63" s="936">
        <v>1.0</v>
      </c>
    </row>
    <row r="64">
      <c r="A64" s="931" t="s">
        <v>4334</v>
      </c>
      <c r="B64" s="931" t="s">
        <v>4370</v>
      </c>
      <c r="C64" s="932" t="s">
        <v>4274</v>
      </c>
      <c r="D64" s="933" t="s">
        <v>4371</v>
      </c>
      <c r="E64" s="934">
        <v>91997.0</v>
      </c>
      <c r="F64" s="937" t="s">
        <v>218</v>
      </c>
      <c r="G64" s="421" t="str">
        <f>IFERROR(IF(F64="SINAPI-S",VLOOKUP(E64,'20-B.SINAPI-S'!A:J,2,0),IF(F64="SINAPI-I",VLOOKUP(E64,'20-A.SINAPI-I'!A:G,2,0),IF(F64="COMP.EVENTUAL",VLOOKUP(E64,'11.COMPOSIÇÕES GERAIS'!B:I,2,0),VLOOKUP(E64,'12.COT.MERCADO'!A:I,2,0)))),"Em Elaboração")</f>
        <v>TOMADA MÉDIA DE EMBUTIR (1 MÓDULO), 2P+T 20 A, INCLUINDO SUPORTE E PLACA - FORNECIMENTO E INSTALAÇÃO. AF_03/2023</v>
      </c>
      <c r="H64" s="934" t="str">
        <f>IFERROR(IF(F64="SINAPI-S",VLOOKUP(E64,'20-B.SINAPI-S'!A:J,3,0),IF(F64="SINAPI-I",VLOOKUP(E64,'20-A.SINAPI-I'!A:G,3,0),IF(F64="COMP.EVENTUAL",VLOOKUP(E64,'11.COMPOSIÇÕES GERAIS'!B:I,3,0),VLOOKUP(E64,'12.COT.MERCADO'!A:I,7,0)))),"Em Elaboração")</f>
        <v>UN</v>
      </c>
      <c r="I64" s="936">
        <v>1.0</v>
      </c>
    </row>
    <row r="65">
      <c r="A65" s="931" t="s">
        <v>4334</v>
      </c>
      <c r="B65" s="931" t="s">
        <v>4372</v>
      </c>
      <c r="C65" s="932" t="s">
        <v>4306</v>
      </c>
      <c r="D65" s="933" t="s">
        <v>4373</v>
      </c>
      <c r="E65" s="943">
        <v>89985.0</v>
      </c>
      <c r="F65" s="937" t="s">
        <v>218</v>
      </c>
      <c r="G65" s="421" t="str">
        <f>IFERROR(IF(F65="SINAPI-S",VLOOKUP(E65,'20-B.SINAPI-S'!A:J,2,0),IF(F65="SINAPI-I",VLOOKUP(E65,'20-A.SINAPI-I'!A:G,2,0),IF(F65="COMP.EVENTUAL",VLOOKUP(E65,'11.COMPOSIÇÕES GERAIS'!B:I,2,0),VLOOKUP(E65,'12.COT.MERCADO'!A:I,2,0)))),"Em Elaboração")</f>
        <v>REGISTRO DE PRESSÃO BRUTO, LATÃO, ROSCÁVEL, 3/4", COM ACABAMENTO E CANOPLA CROMADOS - FORNECIMENTO E INSTALAÇÃO. AF_08/2021</v>
      </c>
      <c r="H65" s="934" t="str">
        <f>IFERROR(IF(F65="SINAPI-S",VLOOKUP(E65,'20-B.SINAPI-S'!A:J,3,0),IF(F65="SINAPI-I",VLOOKUP(E65,'20-A.SINAPI-I'!A:G,3,0),IF(F65="COMP.EVENTUAL",VLOOKUP(E65,'11.COMPOSIÇÕES GERAIS'!B:I,3,0),VLOOKUP(E65,'12.COT.MERCADO'!A:I,7,0)))),"Em Elaboração")</f>
        <v>UN</v>
      </c>
      <c r="I65" s="936">
        <v>2.0</v>
      </c>
    </row>
    <row r="66">
      <c r="A66" s="931" t="s">
        <v>4334</v>
      </c>
      <c r="B66" s="931" t="s">
        <v>4372</v>
      </c>
      <c r="C66" s="932" t="s">
        <v>4274</v>
      </c>
      <c r="D66" s="933" t="s">
        <v>4374</v>
      </c>
      <c r="E66" s="934" t="s">
        <v>1824</v>
      </c>
      <c r="F66" s="935" t="s">
        <v>4276</v>
      </c>
      <c r="G66" s="421" t="str">
        <f>IFERROR(IF(F66="SINAPI-S",VLOOKUP(E66,'20-B.SINAPI-S'!A:J,2,0),IF(F66="SINAPI-I",VLOOKUP(E66,'20-A.SINAPI-I'!A:G,2,0),IF(F66="COMP.EVENTUAL",VLOOKUP(E66,'11.COMPOSIÇÕES GERAIS'!B:I,2,0),VLOOKUP(E66,'12.COT.MERCADO'!A:I,2,0)))),"Em Elaboração")</f>
        <v>RETIRADA DE LÂMPADA E ACONDICIONAMENTO EM CAIXA DE PAPELÃO, EXCLUSIVE FORNECIMENTO DA CAIXA</v>
      </c>
      <c r="H66" s="934" t="str">
        <f>IFERROR(IF(F66="SINAPI-S",VLOOKUP(E66,'20-B.SINAPI-S'!A:J,3,0),IF(F66="SINAPI-I",VLOOKUP(E66,'20-A.SINAPI-I'!A:G,3,0),IF(F66="COMP.EVENTUAL",VLOOKUP(E66,'11.COMPOSIÇÕES GERAIS'!B:I,3,0),VLOOKUP(E66,'12.COT.MERCADO'!A:I,7,0)))),"Em Elaboração")</f>
        <v>UN</v>
      </c>
      <c r="I66" s="936">
        <v>1.0</v>
      </c>
    </row>
    <row r="67">
      <c r="A67" s="931" t="s">
        <v>4334</v>
      </c>
      <c r="B67" s="931" t="s">
        <v>4375</v>
      </c>
      <c r="C67" s="932" t="s">
        <v>4274</v>
      </c>
      <c r="D67" s="933" t="s">
        <v>4344</v>
      </c>
      <c r="E67" s="940">
        <v>100903.0</v>
      </c>
      <c r="F67" s="937" t="s">
        <v>218</v>
      </c>
      <c r="G67" s="421" t="str">
        <f>IFERROR(IF(F67="SINAPI-S",VLOOKUP(E67,'20-B.SINAPI-S'!A:J,2,0),IF(F67="SINAPI-I",VLOOKUP(E67,'20-A.SINAPI-I'!A:G,2,0),IF(F67="COMP.EVENTUAL",VLOOKUP(E67,'11.COMPOSIÇÕES GERAIS'!B:I,2,0),VLOOKUP(E67,'12.COT.MERCADO'!A:I,2,0)))),"Em Elaboração")</f>
        <v>LÂMPADA TUBULAR LED DE 18/20 W, BASE G13 - FORNECIMENTO E INSTALAÇÃO. AF_02/2020_PS</v>
      </c>
      <c r="H67" s="934" t="str">
        <f>IFERROR(IF(F67="SINAPI-S",VLOOKUP(E67,'20-B.SINAPI-S'!A:J,3,0),IF(F67="SINAPI-I",VLOOKUP(E67,'20-A.SINAPI-I'!A:G,3,0),IF(F67="COMP.EVENTUAL",VLOOKUP(E67,'11.COMPOSIÇÕES GERAIS'!B:I,3,0),VLOOKUP(E67,'12.COT.MERCADO'!A:I,7,0)))),"Em Elaboração")</f>
        <v>UN</v>
      </c>
      <c r="I67" s="936">
        <v>10.0</v>
      </c>
    </row>
    <row r="68">
      <c r="A68" s="931" t="s">
        <v>4334</v>
      </c>
      <c r="B68" s="931" t="s">
        <v>4376</v>
      </c>
      <c r="C68" s="932" t="s">
        <v>4274</v>
      </c>
      <c r="D68" s="933" t="s">
        <v>4377</v>
      </c>
      <c r="E68" s="939">
        <v>98297.0</v>
      </c>
      <c r="F68" s="937" t="s">
        <v>218</v>
      </c>
      <c r="G68" s="421" t="str">
        <f>IFERROR(IF(F68="SINAPI-S",VLOOKUP(E68,'20-B.SINAPI-S'!A:J,2,0),IF(F68="SINAPI-I",VLOOKUP(E68,'20-A.SINAPI-I'!A:G,2,0),IF(F68="COMP.EVENTUAL",VLOOKUP(E68,'11.COMPOSIÇÕES GERAIS'!B:I,2,0),VLOOKUP(E68,'12.COT.MERCADO'!A:I,2,0)))),"Em Elaboração")</f>
        <v>CABO ELETRÔNICO CATEGORIA 6, INSTALADO EM EDIFICAÇÃO INSTITUCIONAL - FORNECIMENTO E INSTALAÇÃO. AF_11/2019</v>
      </c>
      <c r="H68" s="934" t="str">
        <f>IFERROR(IF(F68="SINAPI-S",VLOOKUP(E68,'20-B.SINAPI-S'!A:J,3,0),IF(F68="SINAPI-I",VLOOKUP(E68,'20-A.SINAPI-I'!A:G,3,0),IF(F68="COMP.EVENTUAL",VLOOKUP(E68,'11.COMPOSIÇÕES GERAIS'!B:I,3,0),VLOOKUP(E68,'12.COT.MERCADO'!A:I,7,0)))),"Em Elaboração")</f>
        <v>M</v>
      </c>
      <c r="I68" s="936">
        <v>30.0</v>
      </c>
    </row>
    <row r="69">
      <c r="A69" s="931" t="s">
        <v>4334</v>
      </c>
      <c r="B69" s="931" t="s">
        <v>4378</v>
      </c>
      <c r="C69" s="932" t="s">
        <v>4306</v>
      </c>
      <c r="D69" s="933" t="s">
        <v>4379</v>
      </c>
      <c r="E69" s="939">
        <v>86906.0</v>
      </c>
      <c r="F69" s="937" t="s">
        <v>218</v>
      </c>
      <c r="G69" s="421" t="str">
        <f>IFERROR(IF(F69="SINAPI-S",VLOOKUP(E69,'20-B.SINAPI-S'!A:J,2,0),IF(F69="SINAPI-I",VLOOKUP(E69,'20-A.SINAPI-I'!A:G,2,0),IF(F69="COMP.EVENTUAL",VLOOKUP(E69,'11.COMPOSIÇÕES GERAIS'!B:I,2,0),VLOOKUP(E69,'12.COT.MERCADO'!A:I,2,0)))),"Em Elaboração")</f>
        <v>TORNEIRA CROMADA DE MESA, 1/2_x0094_ OU 3/4_x0094_, PARA LAVATÓRIO, PADRÃO POPULAR - FORNECIMENTO E INSTALAÇÃO. AF_01/2020</v>
      </c>
      <c r="H69" s="934" t="str">
        <f>IFERROR(IF(F69="SINAPI-S",VLOOKUP(E69,'20-B.SINAPI-S'!A:J,3,0),IF(F69="SINAPI-I",VLOOKUP(E69,'20-A.SINAPI-I'!A:G,3,0),IF(F69="COMP.EVENTUAL",VLOOKUP(E69,'11.COMPOSIÇÕES GERAIS'!B:I,3,0),VLOOKUP(E69,'12.COT.MERCADO'!A:I,7,0)))),"Em Elaboração")</f>
        <v>UN</v>
      </c>
      <c r="I69" s="936">
        <v>3.0</v>
      </c>
    </row>
    <row r="70">
      <c r="A70" s="931" t="s">
        <v>4334</v>
      </c>
      <c r="B70" s="931" t="s">
        <v>4378</v>
      </c>
      <c r="C70" s="932" t="s">
        <v>4306</v>
      </c>
      <c r="D70" s="933" t="s">
        <v>4380</v>
      </c>
      <c r="E70" s="939">
        <v>100849.0</v>
      </c>
      <c r="F70" s="937" t="s">
        <v>218</v>
      </c>
      <c r="G70" s="421" t="str">
        <f>IFERROR(IF(F70="SINAPI-S",VLOOKUP(E70,'20-B.SINAPI-S'!A:J,2,0),IF(F70="SINAPI-I",VLOOKUP(E70,'20-A.SINAPI-I'!A:G,2,0),IF(F70="COMP.EVENTUAL",VLOOKUP(E70,'11.COMPOSIÇÕES GERAIS'!B:I,2,0),VLOOKUP(E70,'12.COT.MERCADO'!A:I,2,0)))),"Em Elaboração")</f>
        <v>ASSENTO SANITÁRIO CONVENCIONAL - FORNECIMENTO E INSTALACAO. AF_01/2020</v>
      </c>
      <c r="H70" s="934" t="str">
        <f>IFERROR(IF(F70="SINAPI-S",VLOOKUP(E70,'20-B.SINAPI-S'!A:J,3,0),IF(F70="SINAPI-I",VLOOKUP(E70,'20-A.SINAPI-I'!A:G,3,0),IF(F70="COMP.EVENTUAL",VLOOKUP(E70,'11.COMPOSIÇÕES GERAIS'!B:I,3,0),VLOOKUP(E70,'12.COT.MERCADO'!A:I,7,0)))),"Em Elaboração")</f>
        <v>UN</v>
      </c>
      <c r="I70" s="936">
        <v>1.0</v>
      </c>
    </row>
    <row r="71">
      <c r="A71" s="931" t="s">
        <v>4334</v>
      </c>
      <c r="B71" s="931" t="s">
        <v>4378</v>
      </c>
      <c r="C71" s="932" t="s">
        <v>4274</v>
      </c>
      <c r="D71" s="933" t="s">
        <v>4381</v>
      </c>
      <c r="E71" s="934" t="s">
        <v>1809</v>
      </c>
      <c r="F71" s="937" t="s">
        <v>4276</v>
      </c>
      <c r="G71" s="421" t="str">
        <f>IFERROR(IF(F71="SINAPI-S",VLOOKUP(E71,'20-B.SINAPI-S'!A:J,2,0),IF(F71="SINAPI-I",VLOOKUP(E71,'20-A.SINAPI-I'!A:G,2,0),IF(F71="COMP.EVENTUAL",VLOOKUP(E71,'11.COMPOSIÇÕES GERAIS'!B:I,2,0),VLOOKUP(E71,'12.COT.MERCADO'!A:I,2,0)))),"Em Elaboração")</f>
        <v>DESENTUPIMENTO DE LOUÇAS</v>
      </c>
      <c r="H71" s="934" t="str">
        <f>IFERROR(IF(F71="SINAPI-S",VLOOKUP(E71,'20-B.SINAPI-S'!A:J,3,0),IF(F71="SINAPI-I",VLOOKUP(E71,'20-A.SINAPI-I'!A:G,3,0),IF(F71="COMP.EVENTUAL",VLOOKUP(E71,'11.COMPOSIÇÕES GERAIS'!B:I,3,0),VLOOKUP(E71,'12.COT.MERCADO'!A:I,7,0)))),"Em Elaboração")</f>
        <v>UN</v>
      </c>
      <c r="I71" s="938">
        <v>1.0</v>
      </c>
    </row>
    <row r="72">
      <c r="A72" s="931" t="s">
        <v>4334</v>
      </c>
      <c r="B72" s="931" t="s">
        <v>4382</v>
      </c>
      <c r="C72" s="932" t="s">
        <v>4297</v>
      </c>
      <c r="D72" s="933" t="s">
        <v>4383</v>
      </c>
      <c r="E72" s="939">
        <v>96113.0</v>
      </c>
      <c r="F72" s="937" t="s">
        <v>218</v>
      </c>
      <c r="G72" s="421" t="str">
        <f>IFERROR(IF(F72="SINAPI-S",VLOOKUP(E72,'20-B.SINAPI-S'!A:J,2,0),IF(F72="SINAPI-I",VLOOKUP(E72,'20-A.SINAPI-I'!A:G,2,0),IF(F72="COMP.EVENTUAL",VLOOKUP(E72,'11.COMPOSIÇÕES GERAIS'!B:I,2,0),VLOOKUP(E72,'12.COT.MERCADO'!A:I,2,0)))),"Em Elaboração")</f>
        <v>FORRO EM PLACAS DE GESSO, PARA AMBIENTES COMERCIAIS. AF_05/2017_PS</v>
      </c>
      <c r="H72" s="934" t="str">
        <f>IFERROR(IF(F72="SINAPI-S",VLOOKUP(E72,'20-B.SINAPI-S'!A:J,3,0),IF(F72="SINAPI-I",VLOOKUP(E72,'20-A.SINAPI-I'!A:G,3,0),IF(F72="COMP.EVENTUAL",VLOOKUP(E72,'11.COMPOSIÇÕES GERAIS'!B:I,3,0),VLOOKUP(E72,'12.COT.MERCADO'!A:I,7,0)))),"Em Elaboração")</f>
        <v>M2</v>
      </c>
      <c r="I72" s="938">
        <v>2.0</v>
      </c>
    </row>
    <row r="73">
      <c r="A73" s="931" t="s">
        <v>4334</v>
      </c>
      <c r="B73" s="931" t="s">
        <v>4382</v>
      </c>
      <c r="C73" s="932" t="s">
        <v>4274</v>
      </c>
      <c r="D73" s="933" t="s">
        <v>4384</v>
      </c>
      <c r="E73" s="940">
        <v>100903.0</v>
      </c>
      <c r="F73" s="937" t="s">
        <v>218</v>
      </c>
      <c r="G73" s="421" t="str">
        <f>IFERROR(IF(F73="SINAPI-S",VLOOKUP(E73,'20-B.SINAPI-S'!A:J,2,0),IF(F73="SINAPI-I",VLOOKUP(E73,'20-A.SINAPI-I'!A:G,2,0),IF(F73="COMP.EVENTUAL",VLOOKUP(E73,'11.COMPOSIÇÕES GERAIS'!B:I,2,0),VLOOKUP(E73,'12.COT.MERCADO'!A:I,2,0)))),"Em Elaboração")</f>
        <v>LÂMPADA TUBULAR LED DE 18/20 W, BASE G13 - FORNECIMENTO E INSTALAÇÃO. AF_02/2020_PS</v>
      </c>
      <c r="H73" s="934" t="str">
        <f>IFERROR(IF(F73="SINAPI-S",VLOOKUP(E73,'20-B.SINAPI-S'!A:J,3,0),IF(F73="SINAPI-I",VLOOKUP(E73,'20-A.SINAPI-I'!A:G,3,0),IF(F73="COMP.EVENTUAL",VLOOKUP(E73,'11.COMPOSIÇÕES GERAIS'!B:I,3,0),VLOOKUP(E73,'12.COT.MERCADO'!A:I,7,0)))),"Em Elaboração")</f>
        <v>UN</v>
      </c>
      <c r="I73" s="936">
        <v>2.0</v>
      </c>
    </row>
    <row r="74">
      <c r="A74" s="931" t="s">
        <v>4334</v>
      </c>
      <c r="B74" s="931" t="s">
        <v>4385</v>
      </c>
      <c r="C74" s="932" t="s">
        <v>4306</v>
      </c>
      <c r="D74" s="933" t="s">
        <v>4386</v>
      </c>
      <c r="E74" s="934" t="s">
        <v>1809</v>
      </c>
      <c r="F74" s="937" t="s">
        <v>4276</v>
      </c>
      <c r="G74" s="421" t="str">
        <f>IFERROR(IF(F74="SINAPI-S",VLOOKUP(E74,'20-B.SINAPI-S'!A:J,2,0),IF(F74="SINAPI-I",VLOOKUP(E74,'20-A.SINAPI-I'!A:G,2,0),IF(F74="COMP.EVENTUAL",VLOOKUP(E74,'11.COMPOSIÇÕES GERAIS'!B:I,2,0),VLOOKUP(E74,'12.COT.MERCADO'!A:I,2,0)))),"Em Elaboração")</f>
        <v>DESENTUPIMENTO DE LOUÇAS</v>
      </c>
      <c r="H74" s="934" t="str">
        <f>IFERROR(IF(F74="SINAPI-S",VLOOKUP(E74,'20-B.SINAPI-S'!A:J,3,0),IF(F74="SINAPI-I",VLOOKUP(E74,'20-A.SINAPI-I'!A:G,3,0),IF(F74="COMP.EVENTUAL",VLOOKUP(E74,'11.COMPOSIÇÕES GERAIS'!B:I,3,0),VLOOKUP(E74,'12.COT.MERCADO'!A:I,7,0)))),"Em Elaboração")</f>
        <v>UN</v>
      </c>
      <c r="I74" s="938">
        <v>1.0</v>
      </c>
    </row>
    <row r="75">
      <c r="A75" s="931" t="s">
        <v>4334</v>
      </c>
      <c r="B75" s="931" t="s">
        <v>4387</v>
      </c>
      <c r="C75" s="932" t="s">
        <v>4274</v>
      </c>
      <c r="D75" s="933" t="s">
        <v>4388</v>
      </c>
      <c r="E75" s="939">
        <v>97611.0</v>
      </c>
      <c r="F75" s="937" t="s">
        <v>218</v>
      </c>
      <c r="G75" s="421" t="str">
        <f>IFERROR(IF(F75="SINAPI-S",VLOOKUP(E75,'20-B.SINAPI-S'!A:J,2,0),IF(F75="SINAPI-I",VLOOKUP(E75,'20-A.SINAPI-I'!A:G,2,0),IF(F75="COMP.EVENTUAL",VLOOKUP(E75,'11.COMPOSIÇÕES GERAIS'!B:I,2,0),VLOOKUP(E75,'12.COT.MERCADO'!A:I,2,0)))),"Em Elaboração")</f>
        <v>LÂMPADA COMPACTA FLUORESCENTE DE 15 W, BASE E27 - FORNECIMENTO E INSTALAÇÃO. AF_02/2020</v>
      </c>
      <c r="H75" s="934" t="str">
        <f>IFERROR(IF(F75="SINAPI-S",VLOOKUP(E75,'20-B.SINAPI-S'!A:J,3,0),IF(F75="SINAPI-I",VLOOKUP(E75,'20-A.SINAPI-I'!A:G,3,0),IF(F75="COMP.EVENTUAL",VLOOKUP(E75,'11.COMPOSIÇÕES GERAIS'!B:I,3,0),VLOOKUP(E75,'12.COT.MERCADO'!A:I,7,0)))),"Em Elaboração")</f>
        <v>UN</v>
      </c>
      <c r="I75" s="936">
        <v>1.0</v>
      </c>
    </row>
    <row r="76">
      <c r="A76" s="931" t="s">
        <v>4334</v>
      </c>
      <c r="B76" s="931" t="s">
        <v>4389</v>
      </c>
      <c r="C76" s="932" t="s">
        <v>4297</v>
      </c>
      <c r="D76" s="933" t="s">
        <v>4390</v>
      </c>
      <c r="E76" s="934" t="s">
        <v>1827</v>
      </c>
      <c r="F76" s="935" t="s">
        <v>4276</v>
      </c>
      <c r="G76" s="421" t="str">
        <f>IFERROR(IF(F76="SINAPI-S",VLOOKUP(E76,'20-B.SINAPI-S'!A:J,2,0),IF(F76="SINAPI-I",VLOOKUP(E76,'20-A.SINAPI-I'!A:G,2,0),IF(F76="COMP.EVENTUAL",VLOOKUP(E76,'11.COMPOSIÇÕES GERAIS'!B:I,2,0),VLOOKUP(E76,'12.COT.MERCADO'!A:I,2,0)))),"Em Elaboração")</f>
        <v>FORNECIMENTO E INSTALAÇÃO DE PERSIANA EM PVC BRANCO, LÂMINA COM LARGURA DE 89MM, SEM BANDÔ</v>
      </c>
      <c r="H76" s="934" t="str">
        <f>IFERROR(IF(F76="SINAPI-S",VLOOKUP(E76,'20-B.SINAPI-S'!A:J,3,0),IF(F76="SINAPI-I",VLOOKUP(E76,'20-A.SINAPI-I'!A:G,3,0),IF(F76="COMP.EVENTUAL",VLOOKUP(E76,'11.COMPOSIÇÕES GERAIS'!B:I,3,0),VLOOKUP(E76,'12.COT.MERCADO'!A:I,7,0)))),"Em Elaboração")</f>
        <v>M2</v>
      </c>
      <c r="I76" s="936"/>
    </row>
    <row r="77">
      <c r="A77" s="931" t="s">
        <v>4334</v>
      </c>
      <c r="B77" s="931" t="s">
        <v>4391</v>
      </c>
      <c r="C77" s="932" t="s">
        <v>4297</v>
      </c>
      <c r="D77" s="933" t="s">
        <v>4392</v>
      </c>
      <c r="E77" s="939" t="s">
        <v>1809</v>
      </c>
      <c r="F77" s="935" t="s">
        <v>4276</v>
      </c>
      <c r="G77" s="421" t="str">
        <f>IFERROR(IF(F77="SINAPI-S",VLOOKUP(E77,'20-B.SINAPI-S'!A:J,2,0),IF(F77="SINAPI-I",VLOOKUP(E77,'20-A.SINAPI-I'!A:G,2,0),IF(F77="COMP.EVENTUAL",VLOOKUP(E77,'11.COMPOSIÇÕES GERAIS'!B:I,2,0),VLOOKUP(E77,'12.COT.MERCADO'!A:I,2,0)))),"Em Elaboração")</f>
        <v>DESENTUPIMENTO DE LOUÇAS</v>
      </c>
      <c r="H77" s="934" t="str">
        <f>IFERROR(IF(F77="SINAPI-S",VLOOKUP(E77,'20-B.SINAPI-S'!A:J,3,0),IF(F77="SINAPI-I",VLOOKUP(E77,'20-A.SINAPI-I'!A:G,3,0),IF(F77="COMP.EVENTUAL",VLOOKUP(E77,'11.COMPOSIÇÕES GERAIS'!B:I,3,0),VLOOKUP(E77,'12.COT.MERCADO'!A:I,7,0)))),"Em Elaboração")</f>
        <v>UN</v>
      </c>
      <c r="I77" s="936">
        <v>1.0</v>
      </c>
    </row>
    <row r="78">
      <c r="A78" s="931" t="s">
        <v>4334</v>
      </c>
      <c r="B78" s="931" t="s">
        <v>4393</v>
      </c>
      <c r="C78" s="932" t="s">
        <v>4306</v>
      </c>
      <c r="D78" s="933" t="s">
        <v>4394</v>
      </c>
      <c r="E78" s="940">
        <v>96803.0</v>
      </c>
      <c r="F78" s="937" t="s">
        <v>218</v>
      </c>
      <c r="G78" s="421" t="str">
        <f>IFERROR(IF(F78="SINAPI-S",VLOOKUP(E78,'20-B.SINAPI-S'!A:J,2,0),IF(F78="SINAPI-I",VLOOKUP(E78,'20-A.SINAPI-I'!A:G,2,0),IF(F78="COMP.EVENTUAL",VLOOKUP(E78,'11.COMPOSIÇÕES GERAIS'!B:I,2,0),VLOOKUP(E78,'12.COT.MERCADO'!A:I,2,0)))),"Em Elaboração")</f>
        <v>KIT CHASSI PEX, PRÉ-FABRICADO, PARA COZINHA COM CUBA SIMPLES, INCLUSO QUADRO METÁLICO, TUBOS E CONEXÕES POR CRIMPAGEM - FORNECIMENTO E INSTALAÇÃO. AF_02/2023</v>
      </c>
      <c r="H78" s="934" t="str">
        <f>IFERROR(IF(F78="SINAPI-S",VLOOKUP(E78,'20-B.SINAPI-S'!A:J,3,0),IF(F78="SINAPI-I",VLOOKUP(E78,'20-A.SINAPI-I'!A:G,3,0),IF(F78="COMP.EVENTUAL",VLOOKUP(E78,'11.COMPOSIÇÕES GERAIS'!B:I,3,0),VLOOKUP(E78,'12.COT.MERCADO'!A:I,7,0)))),"Em Elaboração")</f>
        <v>UN</v>
      </c>
      <c r="I78" s="936">
        <v>1.0</v>
      </c>
    </row>
    <row r="79">
      <c r="A79" s="931" t="s">
        <v>4334</v>
      </c>
      <c r="B79" s="931" t="s">
        <v>4395</v>
      </c>
      <c r="C79" s="932" t="s">
        <v>4274</v>
      </c>
      <c r="D79" s="933" t="s">
        <v>4396</v>
      </c>
      <c r="E79" s="939" t="s">
        <v>1837</v>
      </c>
      <c r="F79" s="935" t="s">
        <v>4276</v>
      </c>
      <c r="G79" s="421" t="str">
        <f>IFERROR(IF(F79="SINAPI-S",VLOOKUP(E79,'20-B.SINAPI-S'!A:J,2,0),IF(F79="SINAPI-I",VLOOKUP(E79,'20-A.SINAPI-I'!A:G,2,0),IF(F79="COMP.EVENTUAL",VLOOKUP(E79,'11.COMPOSIÇÕES GERAIS'!B:I,2,0),VLOOKUP(E79,'12.COT.MERCADO'!A:I,2,0)))),"Em Elaboração")</f>
        <v>VISITA TÉCNICA DE OFICIAL DE ELÉTRICA E AJUDANTE PARA VERIFICAÇÃO DE PROBLEMA GERAL</v>
      </c>
      <c r="H79" s="934" t="str">
        <f>IFERROR(IF(F79="SINAPI-S",VLOOKUP(E79,'20-B.SINAPI-S'!A:J,3,0),IF(F79="SINAPI-I",VLOOKUP(E79,'20-A.SINAPI-I'!A:G,3,0),IF(F79="COMP.EVENTUAL",VLOOKUP(E79,'11.COMPOSIÇÕES GERAIS'!B:I,3,0),VLOOKUP(E79,'12.COT.MERCADO'!A:I,7,0)))),"Em Elaboração")</f>
        <v>UN</v>
      </c>
      <c r="I79" s="938">
        <v>1.0</v>
      </c>
    </row>
    <row r="80">
      <c r="A80" s="931" t="s">
        <v>4334</v>
      </c>
      <c r="B80" s="931" t="s">
        <v>4397</v>
      </c>
      <c r="C80" s="932" t="s">
        <v>4274</v>
      </c>
      <c r="D80" s="933" t="s">
        <v>4398</v>
      </c>
      <c r="E80" s="939" t="s">
        <v>1857</v>
      </c>
      <c r="F80" s="935" t="s">
        <v>4276</v>
      </c>
      <c r="G80" s="421" t="str">
        <f>IFERROR(IF(F80="SINAPI-S",VLOOKUP(E80,'20-B.SINAPI-S'!A:J,2,0),IF(F80="SINAPI-I",VLOOKUP(E80,'20-A.SINAPI-I'!A:G,2,0),IF(F80="COMP.EVENTUAL",VLOOKUP(E80,'11.COMPOSIÇÕES GERAIS'!B:I,2,0),VLOOKUP(E80,'12.COT.MERCADO'!A:I,2,0)))),"Em Elaboração")</f>
        <v>VERIFICAÇÃO E TESTE DE PONTO/CIRCUITO COM EMISSÃO DE RELATÓRIO</v>
      </c>
      <c r="H80" s="934" t="str">
        <f>IFERROR(IF(F80="SINAPI-S",VLOOKUP(E80,'20-B.SINAPI-S'!A:J,3,0),IF(F80="SINAPI-I",VLOOKUP(E80,'20-A.SINAPI-I'!A:G,3,0),IF(F80="COMP.EVENTUAL",VLOOKUP(E80,'11.COMPOSIÇÕES GERAIS'!B:I,3,0),VLOOKUP(E80,'12.COT.MERCADO'!A:I,7,0)))),"Em Elaboração")</f>
        <v>UN</v>
      </c>
      <c r="I80" s="938">
        <v>1.0</v>
      </c>
    </row>
    <row r="81">
      <c r="A81" s="931" t="s">
        <v>4334</v>
      </c>
      <c r="B81" s="931" t="s">
        <v>4399</v>
      </c>
      <c r="C81" s="932" t="s">
        <v>4274</v>
      </c>
      <c r="D81" s="933" t="s">
        <v>4400</v>
      </c>
      <c r="E81" s="939">
        <v>91971.0</v>
      </c>
      <c r="F81" s="937" t="s">
        <v>218</v>
      </c>
      <c r="G81" s="421" t="str">
        <f>IFERROR(IF(F81="SINAPI-S",VLOOKUP(E81,'20-B.SINAPI-S'!A:J,2,0),IF(F81="SINAPI-I",VLOOKUP(E81,'20-A.SINAPI-I'!A:G,2,0),IF(F81="COMP.EVENTUAL",VLOOKUP(E81,'11.COMPOSIÇÕES GERAIS'!B:I,2,0),VLOOKUP(E81,'12.COT.MERCADO'!A:I,2,0)))),"Em Elaboração")</f>
        <v>INTERRUPTOR SIMPLES (3 MÓDULOS) COM INTERRUPTOR PARALELO (1 MÓDULO), 10A/250V, INCLUINDO SUPORTE E PLACA - FORNECIMENTO E INSTALAÇÃO. AF_03/2023</v>
      </c>
      <c r="H81" s="934" t="str">
        <f>IFERROR(IF(F81="SINAPI-S",VLOOKUP(E81,'20-B.SINAPI-S'!A:J,3,0),IF(F81="SINAPI-I",VLOOKUP(E81,'20-A.SINAPI-I'!A:G,3,0),IF(F81="COMP.EVENTUAL",VLOOKUP(E81,'11.COMPOSIÇÕES GERAIS'!B:I,3,0),VLOOKUP(E81,'12.COT.MERCADO'!A:I,7,0)))),"Em Elaboração")</f>
        <v>UN</v>
      </c>
      <c r="I81" s="936">
        <v>1.0</v>
      </c>
    </row>
    <row r="82">
      <c r="A82" s="931" t="s">
        <v>4334</v>
      </c>
      <c r="B82" s="931" t="s">
        <v>4401</v>
      </c>
      <c r="C82" s="932" t="s">
        <v>4274</v>
      </c>
      <c r="D82" s="933" t="s">
        <v>4402</v>
      </c>
      <c r="E82" s="940">
        <v>100903.0</v>
      </c>
      <c r="F82" s="937" t="s">
        <v>218</v>
      </c>
      <c r="G82" s="421" t="str">
        <f>IFERROR(IF(F82="SINAPI-S",VLOOKUP(E82,'20-B.SINAPI-S'!A:J,2,0),IF(F82="SINAPI-I",VLOOKUP(E82,'20-A.SINAPI-I'!A:G,2,0),IF(F82="COMP.EVENTUAL",VLOOKUP(E82,'11.COMPOSIÇÕES GERAIS'!B:I,2,0),VLOOKUP(E82,'12.COT.MERCADO'!A:I,2,0)))),"Em Elaboração")</f>
        <v>LÂMPADA TUBULAR LED DE 18/20 W, BASE G13 - FORNECIMENTO E INSTALAÇÃO. AF_02/2020_PS</v>
      </c>
      <c r="H82" s="934" t="str">
        <f>IFERROR(IF(F82="SINAPI-S",VLOOKUP(E82,'20-B.SINAPI-S'!A:J,3,0),IF(F82="SINAPI-I",VLOOKUP(E82,'20-A.SINAPI-I'!A:G,3,0),IF(F82="COMP.EVENTUAL",VLOOKUP(E82,'11.COMPOSIÇÕES GERAIS'!B:I,3,0),VLOOKUP(E82,'12.COT.MERCADO'!A:I,7,0)))),"Em Elaboração")</f>
        <v>UN</v>
      </c>
      <c r="I82" s="936">
        <v>2.0</v>
      </c>
    </row>
    <row r="83">
      <c r="A83" s="931" t="s">
        <v>4403</v>
      </c>
      <c r="B83" s="931" t="s">
        <v>4404</v>
      </c>
      <c r="C83" s="932" t="s">
        <v>4274</v>
      </c>
      <c r="D83" s="933" t="s">
        <v>4405</v>
      </c>
      <c r="E83" s="939">
        <v>97665.0</v>
      </c>
      <c r="F83" s="937" t="s">
        <v>218</v>
      </c>
      <c r="G83" s="421" t="str">
        <f>IFERROR(IF(F83="SINAPI-S",VLOOKUP(E83,'20-B.SINAPI-S'!A:J,2,0),IF(F83="SINAPI-I",VLOOKUP(E83,'20-A.SINAPI-I'!A:G,2,0),IF(F83="COMP.EVENTUAL",VLOOKUP(E83,'11.COMPOSIÇÕES GERAIS'!B:I,2,0),VLOOKUP(E83,'12.COT.MERCADO'!A:I,2,0)))),"Em Elaboração")</f>
        <v>REMOÇÃO DE LUMINÁRIAS, DE FORMA MANUAL, SEM REAPROVEITAMENTO. AF_12/2017</v>
      </c>
      <c r="H83" s="934" t="str">
        <f>IFERROR(IF(F83="SINAPI-S",VLOOKUP(E83,'20-B.SINAPI-S'!A:J,3,0),IF(F83="SINAPI-I",VLOOKUP(E83,'20-A.SINAPI-I'!A:G,3,0),IF(F83="COMP.EVENTUAL",VLOOKUP(E83,'11.COMPOSIÇÕES GERAIS'!B:I,3,0),VLOOKUP(E83,'12.COT.MERCADO'!A:I,7,0)))),"Em Elaboração")</f>
        <v>UN</v>
      </c>
      <c r="I83" s="936">
        <v>1.0</v>
      </c>
    </row>
    <row r="84">
      <c r="A84" s="931" t="s">
        <v>4403</v>
      </c>
      <c r="B84" s="931" t="s">
        <v>4406</v>
      </c>
      <c r="C84" s="932" t="s">
        <v>4297</v>
      </c>
      <c r="D84" s="933" t="s">
        <v>4407</v>
      </c>
      <c r="E84" s="940">
        <v>101915.0</v>
      </c>
      <c r="F84" s="937" t="s">
        <v>218</v>
      </c>
      <c r="G84" s="421" t="str">
        <f>IFERROR(IF(F84="SINAPI-S",VLOOKUP(E84,'20-B.SINAPI-S'!A:J,2,0),IF(F84="SINAPI-I",VLOOKUP(E84,'20-A.SINAPI-I'!A:G,2,0),IF(F84="COMP.EVENTUAL",VLOOKUP(E84,'11.COMPOSIÇÕES GERAIS'!B:I,2,0),VLOOKUP(E84,'12.COT.MERCADO'!A:I,2,0)))),"Em Elaboração")</f>
        <v>CONJUNTO DE MANGUEIRA PARA COMBATE A INCÊNDIO EM FIBRA DE POLIESTER PURA, COM 1.1/2", REVESTIDA INTERNAMENTE, COMPRIMENTO DE 15M - FORNECIMENTO E INSTALAÇÃO. AF_10/2020</v>
      </c>
      <c r="H84" s="934" t="str">
        <f>IFERROR(IF(F84="SINAPI-S",VLOOKUP(E84,'20-B.SINAPI-S'!A:J,3,0),IF(F84="SINAPI-I",VLOOKUP(E84,'20-A.SINAPI-I'!A:G,3,0),IF(F84="COMP.EVENTUAL",VLOOKUP(E84,'11.COMPOSIÇÕES GERAIS'!B:I,3,0),VLOOKUP(E84,'12.COT.MERCADO'!A:I,7,0)))),"Em Elaboração")</f>
        <v>UN</v>
      </c>
      <c r="I84" s="938">
        <v>2.0</v>
      </c>
    </row>
    <row r="85">
      <c r="A85" s="931" t="s">
        <v>4403</v>
      </c>
      <c r="B85" s="931" t="s">
        <v>4408</v>
      </c>
      <c r="C85" s="932" t="s">
        <v>4297</v>
      </c>
      <c r="D85" s="933" t="s">
        <v>4409</v>
      </c>
      <c r="E85" s="939">
        <v>87811.0</v>
      </c>
      <c r="F85" s="937" t="s">
        <v>218</v>
      </c>
      <c r="G85" s="421" t="str">
        <f>IFERROR(IF(F85="SINAPI-S",VLOOKUP(E85,'20-B.SINAPI-S'!A:J,2,0),IF(F85="SINAPI-I",VLOOKUP(E85,'20-A.SINAPI-I'!A:G,2,0),IF(F85="COMP.EVENTUAL",VLOOKUP(E85,'11.COMPOSIÇÕES GERAIS'!B:I,2,0),VLOOKUP(E85,'12.COT.MERCADO'!A:I,2,0)))),"Em Elaboração")</f>
        <v>EMBOÇO OU MASSA ÚNICA EM ARGAMASSA TRAÇO 1:2:8, PREPARO MANUAL, APLICADA MANUALMENTE EM SUPERFÍCIES EXTERNAS DA SACADA, ESPESSURA DE 25 MM, SEM USO DE TELA METÁLICA DE REFORÇO CONTRA FISSURAÇÃO. AF_08/2022</v>
      </c>
      <c r="H85" s="934" t="str">
        <f>IFERROR(IF(F85="SINAPI-S",VLOOKUP(E85,'20-B.SINAPI-S'!A:J,3,0),IF(F85="SINAPI-I",VLOOKUP(E85,'20-A.SINAPI-I'!A:G,3,0),IF(F85="COMP.EVENTUAL",VLOOKUP(E85,'11.COMPOSIÇÕES GERAIS'!B:I,3,0),VLOOKUP(E85,'12.COT.MERCADO'!A:I,7,0)))),"Em Elaboração")</f>
        <v>M2</v>
      </c>
      <c r="I85" s="938">
        <v>5.0</v>
      </c>
    </row>
    <row r="86">
      <c r="A86" s="931" t="s">
        <v>4403</v>
      </c>
      <c r="B86" s="931" t="s">
        <v>4408</v>
      </c>
      <c r="C86" s="932" t="s">
        <v>4297</v>
      </c>
      <c r="D86" s="933" t="s">
        <v>4410</v>
      </c>
      <c r="E86" s="939">
        <v>98546.0</v>
      </c>
      <c r="F86" s="937" t="s">
        <v>218</v>
      </c>
      <c r="G86" s="421" t="str">
        <f>IFERROR(IF(F86="SINAPI-S",VLOOKUP(E86,'20-B.SINAPI-S'!A:J,2,0),IF(F86="SINAPI-I",VLOOKUP(E86,'20-A.SINAPI-I'!A:G,2,0),IF(F86="COMP.EVENTUAL",VLOOKUP(E86,'11.COMPOSIÇÕES GERAIS'!B:I,2,0),VLOOKUP(E86,'12.COT.MERCADO'!A:I,2,0)))),"Em Elaboração")</f>
        <v>IMPERMEABILIZAÇÃO DE SUPERFÍCIE COM MANTA ASFÁLTICA, UMA CAMADA, INCLUSIVE APLICAÇÃO DE PRIMER ASFÁLTICO, E=3MM. AF_06/2018</v>
      </c>
      <c r="H86" s="934" t="str">
        <f>IFERROR(IF(F86="SINAPI-S",VLOOKUP(E86,'20-B.SINAPI-S'!A:J,3,0),IF(F86="SINAPI-I",VLOOKUP(E86,'20-A.SINAPI-I'!A:G,3,0),IF(F86="COMP.EVENTUAL",VLOOKUP(E86,'11.COMPOSIÇÕES GERAIS'!B:I,3,0),VLOOKUP(E86,'12.COT.MERCADO'!A:I,7,0)))),"Em Elaboração")</f>
        <v>M2</v>
      </c>
      <c r="I86" s="938">
        <v>2.0</v>
      </c>
    </row>
    <row r="87">
      <c r="A87" s="931" t="s">
        <v>4403</v>
      </c>
      <c r="B87" s="931" t="s">
        <v>4411</v>
      </c>
      <c r="C87" s="932" t="s">
        <v>4297</v>
      </c>
      <c r="D87" s="933" t="s">
        <v>4412</v>
      </c>
      <c r="E87" s="939">
        <v>97644.0</v>
      </c>
      <c r="F87" s="937" t="s">
        <v>218</v>
      </c>
      <c r="G87" s="421" t="str">
        <f>IFERROR(IF(F87="SINAPI-S",VLOOKUP(E87,'20-B.SINAPI-S'!A:J,2,0),IF(F87="SINAPI-I",VLOOKUP(E87,'20-A.SINAPI-I'!A:G,2,0),IF(F87="COMP.EVENTUAL",VLOOKUP(E87,'11.COMPOSIÇÕES GERAIS'!B:I,2,0),VLOOKUP(E87,'12.COT.MERCADO'!A:I,2,0)))),"Em Elaboração")</f>
        <v>REMOÇÃO DE PORTAS, DE FORMA MANUAL, SEM REAPROVEITAMENTO. AF_12/2017</v>
      </c>
      <c r="H87" s="934" t="str">
        <f>IFERROR(IF(F87="SINAPI-S",VLOOKUP(E87,'20-B.SINAPI-S'!A:J,3,0),IF(F87="SINAPI-I",VLOOKUP(E87,'20-A.SINAPI-I'!A:G,3,0),IF(F87="COMP.EVENTUAL",VLOOKUP(E87,'11.COMPOSIÇÕES GERAIS'!B:I,3,0),VLOOKUP(E87,'12.COT.MERCADO'!A:I,7,0)))),"Em Elaboração")</f>
        <v>M2</v>
      </c>
      <c r="I87" s="936">
        <v>1.0</v>
      </c>
    </row>
    <row r="88">
      <c r="A88" s="931" t="s">
        <v>4403</v>
      </c>
      <c r="B88" s="931" t="s">
        <v>4411</v>
      </c>
      <c r="C88" s="932" t="s">
        <v>4297</v>
      </c>
      <c r="D88" s="944" t="s">
        <v>4413</v>
      </c>
      <c r="E88" s="939">
        <v>103323.0</v>
      </c>
      <c r="F88" s="937" t="s">
        <v>218</v>
      </c>
      <c r="G88" s="421" t="str">
        <f>IFERROR(IF(F88="SINAPI-S",VLOOKUP(E88,'20-B.SINAPI-S'!A:J,2,0),IF(F88="SINAPI-I",VLOOKUP(E88,'20-A.SINAPI-I'!A:G,2,0),IF(F88="COMP.EVENTUAL",VLOOKUP(E88,'11.COMPOSIÇÕES GERAIS'!B:I,2,0),VLOOKUP(E88,'12.COT.MERCADO'!A:I,2,0)))),"Em Elaboração")</f>
        <v>ALVENARIA DE VEDAÇÃO DE BLOCOS CERÂMICOS FURADOS NA VERTICAL DE 9X19X39 CM (ESPESSURA 9 CM) E ARGAMASSA DE ASSENTAMENTO COM PREPARO MANUAL. AF_12/2021</v>
      </c>
      <c r="H88" s="934" t="str">
        <f>IFERROR(IF(F88="SINAPI-S",VLOOKUP(E88,'20-B.SINAPI-S'!A:J,3,0),IF(F88="SINAPI-I",VLOOKUP(E88,'20-A.SINAPI-I'!A:G,3,0),IF(F88="COMP.EVENTUAL",VLOOKUP(E88,'11.COMPOSIÇÕES GERAIS'!B:I,3,0),VLOOKUP(E88,'12.COT.MERCADO'!A:I,7,0)))),"Em Elaboração")</f>
        <v>M2</v>
      </c>
      <c r="I88" s="938">
        <v>3.0</v>
      </c>
    </row>
    <row r="89">
      <c r="A89" s="931" t="s">
        <v>4403</v>
      </c>
      <c r="B89" s="931" t="s">
        <v>4411</v>
      </c>
      <c r="C89" s="932" t="s">
        <v>4297</v>
      </c>
      <c r="D89" s="933" t="s">
        <v>4315</v>
      </c>
      <c r="E89" s="939">
        <v>91306.0</v>
      </c>
      <c r="F89" s="937" t="s">
        <v>218</v>
      </c>
      <c r="G89" s="421" t="str">
        <f>IFERROR(IF(F89="SINAPI-S",VLOOKUP(E89,'20-B.SINAPI-S'!A:J,2,0),IF(F89="SINAPI-I",VLOOKUP(E89,'20-A.SINAPI-I'!A:G,2,0),IF(F89="COMP.EVENTUAL",VLOOKUP(E89,'11.COMPOSIÇÕES GERAIS'!B:I,2,0),VLOOKUP(E89,'12.COT.MERCADO'!A:I,2,0)))),"Em Elaboração")</f>
        <v>FECHADURA DE EMBUTIR PARA PORTAS INTERNAS, COMPLETA, ACABAMENTO PADRÃO MÉDIO, COM EXECUÇÃO DE FURO - FORNECIMENTO E INSTALAÇÃO. AF_12/2019</v>
      </c>
      <c r="H89" s="934" t="str">
        <f>IFERROR(IF(F89="SINAPI-S",VLOOKUP(E89,'20-B.SINAPI-S'!A:J,3,0),IF(F89="SINAPI-I",VLOOKUP(E89,'20-A.SINAPI-I'!A:G,3,0),IF(F89="COMP.EVENTUAL",VLOOKUP(E89,'11.COMPOSIÇÕES GERAIS'!B:I,3,0),VLOOKUP(E89,'12.COT.MERCADO'!A:I,7,0)))),"Em Elaboração")</f>
        <v>UN</v>
      </c>
      <c r="I89" s="936">
        <v>1.0</v>
      </c>
    </row>
    <row r="90">
      <c r="A90" s="931" t="s">
        <v>4403</v>
      </c>
      <c r="B90" s="931" t="s">
        <v>4414</v>
      </c>
      <c r="C90" s="932" t="s">
        <v>4274</v>
      </c>
      <c r="D90" s="944" t="s">
        <v>4415</v>
      </c>
      <c r="E90" s="939">
        <v>97583.0</v>
      </c>
      <c r="F90" s="937" t="s">
        <v>218</v>
      </c>
      <c r="G90" s="421" t="str">
        <f>IFERROR(IF(F90="SINAPI-S",VLOOKUP(E90,'20-B.SINAPI-S'!A:J,2,0),IF(F90="SINAPI-I",VLOOKUP(E90,'20-A.SINAPI-I'!A:G,2,0),IF(F90="COMP.EVENTUAL",VLOOKUP(E90,'11.COMPOSIÇÕES GERAIS'!B:I,2,0),VLOOKUP(E90,'12.COT.MERCADO'!A:I,2,0)))),"Em Elaboração")</f>
        <v>LUMINÁRIA TIPO CALHA, DE SOBREPOR, COM 1 LÂMPADA TUBULAR FLUORESCENTE DE 18 W, COM REATOR DE PARTIDA RÁPIDA - FORNECIMENTO E INSTALAÇÃO. AF_02/2020</v>
      </c>
      <c r="H90" s="934" t="str">
        <f>IFERROR(IF(F90="SINAPI-S",VLOOKUP(E90,'20-B.SINAPI-S'!A:J,3,0),IF(F90="SINAPI-I",VLOOKUP(E90,'20-A.SINAPI-I'!A:G,3,0),IF(F90="COMP.EVENTUAL",VLOOKUP(E90,'11.COMPOSIÇÕES GERAIS'!B:I,3,0),VLOOKUP(E90,'12.COT.MERCADO'!A:I,7,0)))),"Em Elaboração")</f>
        <v>UN</v>
      </c>
      <c r="I90" s="936">
        <v>1.0</v>
      </c>
    </row>
    <row r="91">
      <c r="A91" s="931" t="s">
        <v>4403</v>
      </c>
      <c r="B91" s="931" t="s">
        <v>4416</v>
      </c>
      <c r="C91" s="932" t="s">
        <v>4274</v>
      </c>
      <c r="D91" s="933" t="s">
        <v>4417</v>
      </c>
      <c r="E91" s="939">
        <v>100903.0</v>
      </c>
      <c r="F91" s="937" t="s">
        <v>218</v>
      </c>
      <c r="G91" s="421" t="str">
        <f>IFERROR(IF(F91="SINAPI-S",VLOOKUP(E91,'20-B.SINAPI-S'!A:J,2,0),IF(F91="SINAPI-I",VLOOKUP(E91,'20-A.SINAPI-I'!A:G,2,0),IF(F91="COMP.EVENTUAL",VLOOKUP(E91,'11.COMPOSIÇÕES GERAIS'!B:I,2,0),VLOOKUP(E91,'12.COT.MERCADO'!A:I,2,0)))),"Em Elaboração")</f>
        <v>LÂMPADA TUBULAR LED DE 18/20 W, BASE G13 - FORNECIMENTO E INSTALAÇÃO. AF_02/2020_PS</v>
      </c>
      <c r="H91" s="934" t="str">
        <f>IFERROR(IF(F91="SINAPI-S",VLOOKUP(E91,'20-B.SINAPI-S'!A:J,3,0),IF(F91="SINAPI-I",VLOOKUP(E91,'20-A.SINAPI-I'!A:G,3,0),IF(F91="COMP.EVENTUAL",VLOOKUP(E91,'11.COMPOSIÇÕES GERAIS'!B:I,3,0),VLOOKUP(E91,'12.COT.MERCADO'!A:I,7,0)))),"Em Elaboração")</f>
        <v>UN</v>
      </c>
      <c r="I91" s="938">
        <v>2.0</v>
      </c>
    </row>
    <row r="92">
      <c r="A92" s="931" t="s">
        <v>4403</v>
      </c>
      <c r="B92" s="931" t="s">
        <v>4418</v>
      </c>
      <c r="C92" s="932" t="s">
        <v>4306</v>
      </c>
      <c r="D92" s="933" t="s">
        <v>4419</v>
      </c>
      <c r="E92" s="939" t="s">
        <v>1809</v>
      </c>
      <c r="F92" s="937" t="s">
        <v>4276</v>
      </c>
      <c r="G92" s="421" t="str">
        <f>IFERROR(IF(F92="SINAPI-S",VLOOKUP(E92,'20-B.SINAPI-S'!A:J,2,0),IF(F92="SINAPI-I",VLOOKUP(E92,'20-A.SINAPI-I'!A:G,2,0),IF(F92="COMP.EVENTUAL",VLOOKUP(E92,'11.COMPOSIÇÕES GERAIS'!B:I,2,0),VLOOKUP(E92,'12.COT.MERCADO'!A:I,2,0)))),"Em Elaboração")</f>
        <v>DESENTUPIMENTO DE LOUÇAS</v>
      </c>
      <c r="H92" s="934" t="str">
        <f>IFERROR(IF(F92="SINAPI-S",VLOOKUP(E92,'20-B.SINAPI-S'!A:J,3,0),IF(F92="SINAPI-I",VLOOKUP(E92,'20-A.SINAPI-I'!A:G,3,0),IF(F92="COMP.EVENTUAL",VLOOKUP(E92,'11.COMPOSIÇÕES GERAIS'!B:I,3,0),VLOOKUP(E92,'12.COT.MERCADO'!A:I,7,0)))),"Em Elaboração")</f>
        <v>UN</v>
      </c>
      <c r="I92" s="945"/>
    </row>
    <row r="93">
      <c r="A93" s="931" t="s">
        <v>4403</v>
      </c>
      <c r="B93" s="931" t="s">
        <v>4420</v>
      </c>
      <c r="C93" s="932" t="s">
        <v>4306</v>
      </c>
      <c r="D93" s="933" t="s">
        <v>4421</v>
      </c>
      <c r="E93" s="939" t="s">
        <v>1809</v>
      </c>
      <c r="F93" s="937" t="s">
        <v>4276</v>
      </c>
      <c r="G93" s="421" t="str">
        <f>IFERROR(IF(F93="SINAPI-S",VLOOKUP(E93,'20-B.SINAPI-S'!A:J,2,0),IF(F93="SINAPI-I",VLOOKUP(E93,'20-A.SINAPI-I'!A:G,2,0),IF(F93="COMP.EVENTUAL",VLOOKUP(E93,'11.COMPOSIÇÕES GERAIS'!B:I,2,0),VLOOKUP(E93,'12.COT.MERCADO'!A:I,2,0)))),"Em Elaboração")</f>
        <v>DESENTUPIMENTO DE LOUÇAS</v>
      </c>
      <c r="H93" s="934" t="str">
        <f>IFERROR(IF(F93="SINAPI-S",VLOOKUP(E93,'20-B.SINAPI-S'!A:J,3,0),IF(F93="SINAPI-I",VLOOKUP(E93,'20-A.SINAPI-I'!A:G,3,0),IF(F93="COMP.EVENTUAL",VLOOKUP(E93,'11.COMPOSIÇÕES GERAIS'!B:I,3,0),VLOOKUP(E93,'12.COT.MERCADO'!A:I,7,0)))),"Em Elaboração")</f>
        <v>UN</v>
      </c>
      <c r="I93" s="936"/>
    </row>
    <row r="94">
      <c r="A94" s="931" t="s">
        <v>4403</v>
      </c>
      <c r="B94" s="931" t="s">
        <v>4422</v>
      </c>
      <c r="C94" s="932" t="s">
        <v>4306</v>
      </c>
      <c r="D94" s="933" t="s">
        <v>4423</v>
      </c>
      <c r="E94" s="939">
        <v>95547.0</v>
      </c>
      <c r="F94" s="937" t="s">
        <v>218</v>
      </c>
      <c r="G94" s="421" t="str">
        <f>IFERROR(IF(F94="SINAPI-S",VLOOKUP(E94,'20-B.SINAPI-S'!A:J,2,0),IF(F94="SINAPI-I",VLOOKUP(E94,'20-A.SINAPI-I'!A:G,2,0),IF(F94="COMP.EVENTUAL",VLOOKUP(E94,'11.COMPOSIÇÕES GERAIS'!B:I,2,0),VLOOKUP(E94,'12.COT.MERCADO'!A:I,2,0)))),"Em Elaboração")</f>
        <v>SABONETEIRA PLASTICA TIPO DISPENSER PARA SABONETE LIQUIDO COM RESERVATORIO 800 A 1500 ML, INCLUSO FIXAÇÃO. AF_01/2020</v>
      </c>
      <c r="H94" s="934" t="str">
        <f>IFERROR(IF(F94="SINAPI-S",VLOOKUP(E94,'20-B.SINAPI-S'!A:J,3,0),IF(F94="SINAPI-I",VLOOKUP(E94,'20-A.SINAPI-I'!A:G,3,0),IF(F94="COMP.EVENTUAL",VLOOKUP(E94,'11.COMPOSIÇÕES GERAIS'!B:I,3,0),VLOOKUP(E94,'12.COT.MERCADO'!A:I,7,0)))),"Em Elaboração")</f>
        <v>UN</v>
      </c>
      <c r="I94" s="936">
        <v>1.0</v>
      </c>
    </row>
    <row r="95">
      <c r="A95" s="931" t="s">
        <v>4403</v>
      </c>
      <c r="B95" s="931" t="s">
        <v>4424</v>
      </c>
      <c r="C95" s="932" t="s">
        <v>4297</v>
      </c>
      <c r="D95" s="933" t="s">
        <v>4425</v>
      </c>
      <c r="E95" s="939">
        <v>567.0</v>
      </c>
      <c r="F95" s="946" t="s">
        <v>286</v>
      </c>
      <c r="G95" s="421" t="str">
        <f>IFERROR(IF(F95="SINAPI-S",VLOOKUP(E95,'20-B.SINAPI-S'!A:J,2,0),IF(F95="SINAPI-I",VLOOKUP(E95,'20-A.SINAPI-I'!A:G,2,0),IF(F95="COMP.EVENTUAL",VLOOKUP(E95,'11.COMPOSIÇÕES GERAIS'!B:I,2,0),VLOOKUP(E95,'12.COT.MERCADO'!A:I,2,0)))),"Em Elaboração")</f>
        <v>CANTONEIRA (ABAS IGUAIS) EM ACO CARBONO, 25,4 MM X 3,17 MM (L X E), 1,27KG/M</v>
      </c>
      <c r="H95" s="934" t="str">
        <f>IFERROR(IF(F95="SINAPI-S",VLOOKUP(E95,'20-B.SINAPI-S'!A:J,3,0),IF(F95="SINAPI-I",VLOOKUP(E95,'20-A.SINAPI-I'!A:G,3,0),IF(F95="COMP.EVENTUAL",VLOOKUP(E95,'11.COMPOSIÇÕES GERAIS'!B:I,3,0),VLOOKUP(E95,'12.COT.MERCADO'!A:I,7,0)))),"Em Elaboração")</f>
        <v>M</v>
      </c>
      <c r="I95" s="938">
        <v>6.0</v>
      </c>
    </row>
    <row r="96">
      <c r="A96" s="931" t="s">
        <v>4403</v>
      </c>
      <c r="B96" s="931" t="s">
        <v>4424</v>
      </c>
      <c r="C96" s="932" t="s">
        <v>4274</v>
      </c>
      <c r="D96" s="933" t="s">
        <v>4426</v>
      </c>
      <c r="E96" s="939" t="s">
        <v>1844</v>
      </c>
      <c r="F96" s="935" t="s">
        <v>4276</v>
      </c>
      <c r="G96" s="421" t="str">
        <f>IFERROR(IF(F96="SINAPI-S",VLOOKUP(E96,'20-B.SINAPI-S'!A:J,2,0),IF(F96="SINAPI-I",VLOOKUP(E96,'20-A.SINAPI-I'!A:G,2,0),IF(F96="COMP.EVENTUAL",VLOOKUP(E96,'11.COMPOSIÇÕES GERAIS'!B:I,2,0),VLOOKUP(E96,'12.COT.MERCADO'!A:I,2,0)))),"Em Elaboração")</f>
        <v>FORNECIMENTO E INSTALAÇÃO DE PLACA CENTRAL DE COMANDO UNIVERSAL X2 FULL ST IPEC PARA AUTOMATIZADORES</v>
      </c>
      <c r="H96" s="934" t="str">
        <f>IFERROR(IF(F96="SINAPI-S",VLOOKUP(E96,'20-B.SINAPI-S'!A:J,3,0),IF(F96="SINAPI-I",VLOOKUP(E96,'20-A.SINAPI-I'!A:G,3,0),IF(F96="COMP.EVENTUAL",VLOOKUP(E96,'11.COMPOSIÇÕES GERAIS'!B:I,3,0),VLOOKUP(E96,'12.COT.MERCADO'!A:I,7,0)))),"Em Elaboração")</f>
        <v>UN</v>
      </c>
      <c r="I96" s="936">
        <v>1.0</v>
      </c>
    </row>
    <row r="97">
      <c r="A97" s="931" t="s">
        <v>4403</v>
      </c>
      <c r="B97" s="931" t="s">
        <v>4424</v>
      </c>
      <c r="C97" s="932" t="s">
        <v>4274</v>
      </c>
      <c r="D97" s="933" t="s">
        <v>4427</v>
      </c>
      <c r="E97" s="939">
        <v>91989.0</v>
      </c>
      <c r="F97" s="937" t="s">
        <v>218</v>
      </c>
      <c r="G97" s="421" t="str">
        <f>IFERROR(IF(F97="SINAPI-S",VLOOKUP(E97,'20-B.SINAPI-S'!A:J,2,0),IF(F97="SINAPI-I",VLOOKUP(E97,'20-A.SINAPI-I'!A:G,2,0),IF(F97="COMP.EVENTUAL",VLOOKUP(E97,'11.COMPOSIÇÕES GERAIS'!B:I,2,0),VLOOKUP(E97,'12.COT.MERCADO'!A:I,2,0)))),"Em Elaboração")</f>
        <v>INTERRUPTOR PULSADOR MINUTERIA (1 MÓDULO), 10A/250V, INCLUINDO SUPORTE E PLACA - FORNECIMENTO E INSTALAÇÃO. AF_03/2023</v>
      </c>
      <c r="H97" s="934" t="str">
        <f>IFERROR(IF(F97="SINAPI-S",VLOOKUP(E97,'20-B.SINAPI-S'!A:J,3,0),IF(F97="SINAPI-I",VLOOKUP(E97,'20-A.SINAPI-I'!A:G,3,0),IF(F97="COMP.EVENTUAL",VLOOKUP(E97,'11.COMPOSIÇÕES GERAIS'!B:I,3,0),VLOOKUP(E97,'12.COT.MERCADO'!A:I,7,0)))),"Em Elaboração")</f>
        <v>UN</v>
      </c>
      <c r="I97" s="936">
        <v>2.0</v>
      </c>
    </row>
    <row r="98">
      <c r="A98" s="931" t="s">
        <v>4403</v>
      </c>
      <c r="B98" s="931" t="s">
        <v>4428</v>
      </c>
      <c r="C98" s="932" t="s">
        <v>4274</v>
      </c>
      <c r="D98" s="944" t="s">
        <v>4304</v>
      </c>
      <c r="E98" s="939">
        <v>97611.0</v>
      </c>
      <c r="F98" s="937" t="s">
        <v>218</v>
      </c>
      <c r="G98" s="421" t="str">
        <f>IFERROR(IF(F98="SINAPI-S",VLOOKUP(E98,'20-B.SINAPI-S'!A:J,2,0),IF(F98="SINAPI-I",VLOOKUP(E98,'20-A.SINAPI-I'!A:G,2,0),IF(F98="COMP.EVENTUAL",VLOOKUP(E98,'11.COMPOSIÇÕES GERAIS'!B:I,2,0),VLOOKUP(E98,'12.COT.MERCADO'!A:I,2,0)))),"Em Elaboração")</f>
        <v>LÂMPADA COMPACTA FLUORESCENTE DE 15 W, BASE E27 - FORNECIMENTO E INSTALAÇÃO. AF_02/2020</v>
      </c>
      <c r="H98" s="934" t="str">
        <f>IFERROR(IF(F98="SINAPI-S",VLOOKUP(E98,'20-B.SINAPI-S'!A:J,3,0),IF(F98="SINAPI-I",VLOOKUP(E98,'20-A.SINAPI-I'!A:G,3,0),IF(F98="COMP.EVENTUAL",VLOOKUP(E98,'11.COMPOSIÇÕES GERAIS'!B:I,3,0),VLOOKUP(E98,'12.COT.MERCADO'!A:I,7,0)))),"Em Elaboração")</f>
        <v>UN</v>
      </c>
      <c r="I98" s="936">
        <v>13.0</v>
      </c>
    </row>
    <row r="99">
      <c r="A99" s="931" t="s">
        <v>4403</v>
      </c>
      <c r="B99" s="931" t="s">
        <v>4428</v>
      </c>
      <c r="C99" s="932" t="s">
        <v>4274</v>
      </c>
      <c r="D99" s="933" t="s">
        <v>4344</v>
      </c>
      <c r="E99" s="939">
        <v>100903.0</v>
      </c>
      <c r="F99" s="937" t="s">
        <v>218</v>
      </c>
      <c r="G99" s="421" t="str">
        <f>IFERROR(IF(F99="SINAPI-S",VLOOKUP(E99,'20-B.SINAPI-S'!A:J,2,0),IF(F99="SINAPI-I",VLOOKUP(E99,'20-A.SINAPI-I'!A:G,2,0),IF(F99="COMP.EVENTUAL",VLOOKUP(E99,'11.COMPOSIÇÕES GERAIS'!B:I,2,0),VLOOKUP(E99,'12.COT.MERCADO'!A:I,2,0)))),"Em Elaboração")</f>
        <v>LÂMPADA TUBULAR LED DE 18/20 W, BASE G13 - FORNECIMENTO E INSTALAÇÃO. AF_02/2020_PS</v>
      </c>
      <c r="H99" s="934" t="str">
        <f>IFERROR(IF(F99="SINAPI-S",VLOOKUP(E99,'20-B.SINAPI-S'!A:J,3,0),IF(F99="SINAPI-I",VLOOKUP(E99,'20-A.SINAPI-I'!A:G,3,0),IF(F99="COMP.EVENTUAL",VLOOKUP(E99,'11.COMPOSIÇÕES GERAIS'!B:I,3,0),VLOOKUP(E99,'12.COT.MERCADO'!A:I,7,0)))),"Em Elaboração")</f>
        <v>UN</v>
      </c>
      <c r="I99" s="936">
        <v>34.0</v>
      </c>
    </row>
    <row r="100">
      <c r="A100" s="931" t="s">
        <v>4403</v>
      </c>
      <c r="B100" s="931" t="s">
        <v>4428</v>
      </c>
      <c r="C100" s="932" t="s">
        <v>4274</v>
      </c>
      <c r="D100" s="944" t="s">
        <v>4429</v>
      </c>
      <c r="E100" s="934" t="s">
        <v>1806</v>
      </c>
      <c r="F100" s="937" t="s">
        <v>4276</v>
      </c>
      <c r="G100" s="421" t="str">
        <f>IFERROR(IF(F100="SINAPI-S",VLOOKUP(E100,'20-B.SINAPI-S'!A:J,2,0),IF(F100="SINAPI-I",VLOOKUP(E100,'20-A.SINAPI-I'!A:G,2,0),IF(F100="COMP.EVENTUAL",VLOOKUP(E100,'11.COMPOSIÇÕES GERAIS'!B:I,2,0),VLOOKUP(E100,'12.COT.MERCADO'!A:I,2,0)))),"Em Elaboração")</f>
        <v>FORNECIMENTO E INSTALAÇÃO DE REFLETOR LED, CORPO DE ALUMÍNIO, VIDRO TEMPERADO, POTÊNCIA 30W, BIVOLT, TEMP. COR 3000K, IP-66</v>
      </c>
      <c r="H100" s="934" t="str">
        <f>IFERROR(IF(F100="SINAPI-S",VLOOKUP(E100,'20-B.SINAPI-S'!A:J,3,0),IF(F100="SINAPI-I",VLOOKUP(E100,'20-A.SINAPI-I'!A:G,3,0),IF(F100="COMP.EVENTUAL",VLOOKUP(E100,'11.COMPOSIÇÕES GERAIS'!B:I,3,0),VLOOKUP(E100,'12.COT.MERCADO'!A:I,7,0)))),"Em Elaboração")</f>
        <v>UN</v>
      </c>
      <c r="I100" s="936">
        <v>6.0</v>
      </c>
    </row>
    <row r="101">
      <c r="A101" s="931" t="s">
        <v>4403</v>
      </c>
      <c r="B101" s="931" t="s">
        <v>4430</v>
      </c>
      <c r="C101" s="932" t="s">
        <v>4306</v>
      </c>
      <c r="D101" s="933" t="s">
        <v>4431</v>
      </c>
      <c r="E101" s="939">
        <v>95547.0</v>
      </c>
      <c r="F101" s="937" t="s">
        <v>218</v>
      </c>
      <c r="G101" s="421" t="str">
        <f>IFERROR(IF(F101="SINAPI-S",VLOOKUP(E101,'20-B.SINAPI-S'!A:J,2,0),IF(F101="SINAPI-I",VLOOKUP(E101,'20-A.SINAPI-I'!A:G,2,0),IF(F101="COMP.EVENTUAL",VLOOKUP(E101,'11.COMPOSIÇÕES GERAIS'!B:I,2,0),VLOOKUP(E101,'12.COT.MERCADO'!A:I,2,0)))),"Em Elaboração")</f>
        <v>SABONETEIRA PLASTICA TIPO DISPENSER PARA SABONETE LIQUIDO COM RESERVATORIO 800 A 1500 ML, INCLUSO FIXAÇÃO. AF_01/2020</v>
      </c>
      <c r="H101" s="934" t="str">
        <f>IFERROR(IF(F101="SINAPI-S",VLOOKUP(E101,'20-B.SINAPI-S'!A:J,3,0),IF(F101="SINAPI-I",VLOOKUP(E101,'20-A.SINAPI-I'!A:G,3,0),IF(F101="COMP.EVENTUAL",VLOOKUP(E101,'11.COMPOSIÇÕES GERAIS'!B:I,3,0),VLOOKUP(E101,'12.COT.MERCADO'!A:I,7,0)))),"Em Elaboração")</f>
        <v>UN</v>
      </c>
      <c r="I101" s="936">
        <v>1.0</v>
      </c>
    </row>
    <row r="102">
      <c r="A102" s="931" t="s">
        <v>4403</v>
      </c>
      <c r="B102" s="931" t="s">
        <v>4432</v>
      </c>
      <c r="C102" s="932" t="s">
        <v>4306</v>
      </c>
      <c r="D102" s="944" t="s">
        <v>4433</v>
      </c>
      <c r="E102" s="939">
        <v>86937.0</v>
      </c>
      <c r="F102" s="937" t="s">
        <v>218</v>
      </c>
      <c r="G102" s="421" t="str">
        <f>IFERROR(IF(F102="SINAPI-S",VLOOKUP(E102,'20-B.SINAPI-S'!A:J,2,0),IF(F102="SINAPI-I",VLOOKUP(E102,'20-A.SINAPI-I'!A:G,2,0),IF(F102="COMP.EVENTUAL",VLOOKUP(E102,'11.COMPOSIÇÕES GERAIS'!B:I,2,0),VLOOKUP(E102,'12.COT.MERCADO'!A:I,2,0)))),"Em Elaboração")</f>
        <v>CUBA DE EMBUTIR OVAL EM LOUÇA BRANCA, 35 X 50CM OU EQUIVALENTE, INCLUSO VÁLVULA EM METAL CROMADO E SIFÃO FLEXÍVEL EM PVC - FORNECIMENTO E INSTALAÇÃO. AF_01/2020</v>
      </c>
      <c r="H102" s="934" t="str">
        <f>IFERROR(IF(F102="SINAPI-S",VLOOKUP(E102,'20-B.SINAPI-S'!A:J,3,0),IF(F102="SINAPI-I",VLOOKUP(E102,'20-A.SINAPI-I'!A:G,3,0),IF(F102="COMP.EVENTUAL",VLOOKUP(E102,'11.COMPOSIÇÕES GERAIS'!B:I,3,0),VLOOKUP(E102,'12.COT.MERCADO'!A:I,7,0)))),"Em Elaboração")</f>
        <v>UN</v>
      </c>
      <c r="I102" s="936">
        <v>1.0</v>
      </c>
    </row>
    <row r="103">
      <c r="A103" s="931" t="s">
        <v>4403</v>
      </c>
      <c r="B103" s="931" t="s">
        <v>4434</v>
      </c>
      <c r="C103" s="932" t="s">
        <v>4274</v>
      </c>
      <c r="D103" s="933" t="s">
        <v>4344</v>
      </c>
      <c r="E103" s="939">
        <v>100903.0</v>
      </c>
      <c r="F103" s="937" t="s">
        <v>218</v>
      </c>
      <c r="G103" s="421" t="str">
        <f>IFERROR(IF(F103="SINAPI-S",VLOOKUP(E103,'20-B.SINAPI-S'!A:J,2,0),IF(F103="SINAPI-I",VLOOKUP(E103,'20-A.SINAPI-I'!A:G,2,0),IF(F103="COMP.EVENTUAL",VLOOKUP(E103,'11.COMPOSIÇÕES GERAIS'!B:I,2,0),VLOOKUP(E103,'12.COT.MERCADO'!A:I,2,0)))),"Em Elaboração")</f>
        <v>LÂMPADA TUBULAR LED DE 18/20 W, BASE G13 - FORNECIMENTO E INSTALAÇÃO. AF_02/2020_PS</v>
      </c>
      <c r="H103" s="934" t="str">
        <f>IFERROR(IF(F103="SINAPI-S",VLOOKUP(E103,'20-B.SINAPI-S'!A:J,3,0),IF(F103="SINAPI-I",VLOOKUP(E103,'20-A.SINAPI-I'!A:G,3,0),IF(F103="COMP.EVENTUAL",VLOOKUP(E103,'11.COMPOSIÇÕES GERAIS'!B:I,3,0),VLOOKUP(E103,'12.COT.MERCADO'!A:I,7,0)))),"Em Elaboração")</f>
        <v>UN</v>
      </c>
      <c r="I103" s="936">
        <v>12.0</v>
      </c>
    </row>
    <row r="104">
      <c r="A104" s="931" t="s">
        <v>4403</v>
      </c>
      <c r="B104" s="931" t="s">
        <v>4435</v>
      </c>
      <c r="C104" s="932" t="s">
        <v>4306</v>
      </c>
      <c r="D104" s="933" t="s">
        <v>4436</v>
      </c>
      <c r="E104" s="939">
        <v>89969.0</v>
      </c>
      <c r="F104" s="937" t="s">
        <v>218</v>
      </c>
      <c r="G104" s="421" t="str">
        <f>IFERROR(IF(F104="SINAPI-S",VLOOKUP(E104,'20-B.SINAPI-S'!A:J,2,0),IF(F104="SINAPI-I",VLOOKUP(E104,'20-A.SINAPI-I'!A:G,2,0),IF(F104="COMP.EVENTUAL",VLOOKUP(E104,'11.COMPOSIÇÕES GERAIS'!B:I,2,0),VLOOKUP(E104,'12.COT.MERCADO'!A:I,2,0)))),"Em Elaboração")</f>
        <v>KIT DE REGISTRO DE PRESSÃO BRUTO DE LATÃO ½", INCLUSIVE CONEXÕES,  ROSCÁVEL, INSTALADO EM RAMAL DE ÁGUA FRIA - FORNECIMENTO E INSTALAÇÃO. AF_12/2014</v>
      </c>
      <c r="H104" s="934" t="str">
        <f>IFERROR(IF(F104="SINAPI-S",VLOOKUP(E104,'20-B.SINAPI-S'!A:J,3,0),IF(F104="SINAPI-I",VLOOKUP(E104,'20-A.SINAPI-I'!A:G,3,0),IF(F104="COMP.EVENTUAL",VLOOKUP(E104,'11.COMPOSIÇÕES GERAIS'!B:I,3,0),VLOOKUP(E104,'12.COT.MERCADO'!A:I,7,0)))),"Em Elaboração")</f>
        <v>UN</v>
      </c>
      <c r="I104" s="936">
        <v>1.0</v>
      </c>
    </row>
    <row r="105">
      <c r="A105" s="931" t="s">
        <v>4403</v>
      </c>
      <c r="B105" s="931" t="s">
        <v>4437</v>
      </c>
      <c r="C105" s="932" t="s">
        <v>4274</v>
      </c>
      <c r="D105" s="933" t="s">
        <v>4438</v>
      </c>
      <c r="E105" s="939">
        <v>100903.0</v>
      </c>
      <c r="F105" s="937" t="s">
        <v>218</v>
      </c>
      <c r="G105" s="421" t="str">
        <f>IFERROR(IF(F105="SINAPI-S",VLOOKUP(E105,'20-B.SINAPI-S'!A:J,2,0),IF(F105="SINAPI-I",VLOOKUP(E105,'20-A.SINAPI-I'!A:G,2,0),IF(F105="COMP.EVENTUAL",VLOOKUP(E105,'11.COMPOSIÇÕES GERAIS'!B:I,2,0),VLOOKUP(E105,'12.COT.MERCADO'!A:I,2,0)))),"Em Elaboração")</f>
        <v>LÂMPADA TUBULAR LED DE 18/20 W, BASE G13 - FORNECIMENTO E INSTALAÇÃO. AF_02/2020_PS</v>
      </c>
      <c r="H105" s="934" t="str">
        <f>IFERROR(IF(F105="SINAPI-S",VLOOKUP(E105,'20-B.SINAPI-S'!A:J,3,0),IF(F105="SINAPI-I",VLOOKUP(E105,'20-A.SINAPI-I'!A:G,3,0),IF(F105="COMP.EVENTUAL",VLOOKUP(E105,'11.COMPOSIÇÕES GERAIS'!B:I,3,0),VLOOKUP(E105,'12.COT.MERCADO'!A:I,7,0)))),"Em Elaboração")</f>
        <v>UN</v>
      </c>
      <c r="I105" s="936">
        <v>6.0</v>
      </c>
    </row>
    <row r="106">
      <c r="A106" s="931" t="s">
        <v>4403</v>
      </c>
      <c r="B106" s="931" t="s">
        <v>4439</v>
      </c>
      <c r="C106" s="932" t="s">
        <v>4274</v>
      </c>
      <c r="D106" s="933" t="s">
        <v>4440</v>
      </c>
      <c r="E106" s="939">
        <v>98296.0</v>
      </c>
      <c r="F106" s="937" t="s">
        <v>218</v>
      </c>
      <c r="G106" s="421" t="str">
        <f>IFERROR(IF(F106="SINAPI-S",VLOOKUP(E106,'20-B.SINAPI-S'!A:J,2,0),IF(F106="SINAPI-I",VLOOKUP(E106,'20-A.SINAPI-I'!A:G,2,0),IF(F106="COMP.EVENTUAL",VLOOKUP(E106,'11.COMPOSIÇÕES GERAIS'!B:I,2,0),VLOOKUP(E106,'12.COT.MERCADO'!A:I,2,0)))),"Em Elaboração")</f>
        <v>CABO ELETRÔNICO CATEGORIA 6, INSTALADO EM EDIFICAÇÃO RESIDENCIAL - FORNECIMENTO E INSTALAÇÃO. AF_11/2019</v>
      </c>
      <c r="H106" s="934" t="str">
        <f>IFERROR(IF(F106="SINAPI-S",VLOOKUP(E106,'20-B.SINAPI-S'!A:J,3,0),IF(F106="SINAPI-I",VLOOKUP(E106,'20-A.SINAPI-I'!A:G,3,0),IF(F106="COMP.EVENTUAL",VLOOKUP(E106,'11.COMPOSIÇÕES GERAIS'!B:I,3,0),VLOOKUP(E106,'12.COT.MERCADO'!A:I,7,0)))),"Em Elaboração")</f>
        <v>M</v>
      </c>
      <c r="I106" s="938">
        <v>60.0</v>
      </c>
    </row>
    <row r="107">
      <c r="A107" s="931" t="s">
        <v>4403</v>
      </c>
      <c r="B107" s="931" t="s">
        <v>4439</v>
      </c>
      <c r="C107" s="932" t="s">
        <v>4297</v>
      </c>
      <c r="D107" s="933" t="s">
        <v>4441</v>
      </c>
      <c r="E107" s="940">
        <v>104479.0</v>
      </c>
      <c r="F107" s="947" t="s">
        <v>218</v>
      </c>
      <c r="G107" s="421" t="str">
        <f>IFERROR(IF(F107="SINAPI-S",VLOOKUP(E107,'20-B.SINAPI-S'!A:J,2,0),IF(F107="SINAPI-I",VLOOKUP(E107,'20-A.SINAPI-I'!A:G,2,0),IF(F107="COMP.EVENTUAL",VLOOKUP(E107,'11.COMPOSIÇÕES GERAIS'!B:I,2,0),VLOOKUP(E107,'12.COT.MERCADO'!A:I,2,0)))),"Em Elaboração")</f>
        <v>COMPOSIÇÃO PARAMÉTRICA DE PONTO ELÉTRICO DE TOMADA DE USO GERAL 2P+T (10A/250V) EM EDIFÍCIO RESIDENCIAL COM ELETRODUTO EMBUTIDO SEM NECESSIDADE DE RASGOS, INCLUSO TOMADA, ELETRODUTO, CABO E QUEBRA. AF_11/2022</v>
      </c>
      <c r="H107" s="934" t="str">
        <f>IFERROR(IF(F107="SINAPI-S",VLOOKUP(E107,'20-B.SINAPI-S'!A:J,3,0),IF(F107="SINAPI-I",VLOOKUP(E107,'20-A.SINAPI-I'!A:G,3,0),IF(F107="COMP.EVENTUAL",VLOOKUP(E107,'11.COMPOSIÇÕES GERAIS'!B:I,3,0),VLOOKUP(E107,'12.COT.MERCADO'!A:I,7,0)))),"Em Elaboração")</f>
        <v>UN</v>
      </c>
      <c r="I107" s="936">
        <v>1.0</v>
      </c>
    </row>
    <row r="108">
      <c r="A108" s="931" t="s">
        <v>4403</v>
      </c>
      <c r="B108" s="931" t="s">
        <v>4442</v>
      </c>
      <c r="C108" s="932" t="s">
        <v>4274</v>
      </c>
      <c r="D108" s="933" t="s">
        <v>4443</v>
      </c>
      <c r="E108" s="939">
        <v>97600.0</v>
      </c>
      <c r="F108" s="937" t="s">
        <v>218</v>
      </c>
      <c r="G108" s="421" t="str">
        <f>IFERROR(IF(F108="SINAPI-S",VLOOKUP(E108,'20-B.SINAPI-S'!A:J,2,0),IF(F108="SINAPI-I",VLOOKUP(E108,'20-A.SINAPI-I'!A:G,2,0),IF(F108="COMP.EVENTUAL",VLOOKUP(E108,'11.COMPOSIÇÕES GERAIS'!B:I,2,0),VLOOKUP(E108,'12.COT.MERCADO'!A:I,2,0)))),"Em Elaboração")</f>
        <v>REFLETOR EM ALUMÍNIO, DE SUPORTE E ALÇA, COM 1 LÂMPADA VAPOR DE MERCÚRIO DE 125 W, COM REATOR ALTO FATOR DE POTÊNCIA - FORNECIMENTO E INSTALAÇÃO. AF_02/2020</v>
      </c>
      <c r="H108" s="934" t="str">
        <f>IFERROR(IF(F108="SINAPI-S",VLOOKUP(E108,'20-B.SINAPI-S'!A:J,3,0),IF(F108="SINAPI-I",VLOOKUP(E108,'20-A.SINAPI-I'!A:G,3,0),IF(F108="COMP.EVENTUAL",VLOOKUP(E108,'11.COMPOSIÇÕES GERAIS'!B:I,3,0),VLOOKUP(E108,'12.COT.MERCADO'!A:I,7,0)))),"Em Elaboração")</f>
        <v>UN</v>
      </c>
      <c r="I108" s="936">
        <v>2.0</v>
      </c>
    </row>
    <row r="109">
      <c r="A109" s="931" t="s">
        <v>4403</v>
      </c>
      <c r="B109" s="931" t="s">
        <v>4444</v>
      </c>
      <c r="C109" s="932" t="s">
        <v>4274</v>
      </c>
      <c r="D109" s="933" t="s">
        <v>4344</v>
      </c>
      <c r="E109" s="939">
        <v>100903.0</v>
      </c>
      <c r="F109" s="937" t="s">
        <v>218</v>
      </c>
      <c r="G109" s="421" t="str">
        <f>IFERROR(IF(F109="SINAPI-S",VLOOKUP(E109,'20-B.SINAPI-S'!A:J,2,0),IF(F109="SINAPI-I",VLOOKUP(E109,'20-A.SINAPI-I'!A:G,2,0),IF(F109="COMP.EVENTUAL",VLOOKUP(E109,'11.COMPOSIÇÕES GERAIS'!B:I,2,0),VLOOKUP(E109,'12.COT.MERCADO'!A:I,2,0)))),"Em Elaboração")</f>
        <v>LÂMPADA TUBULAR LED DE 18/20 W, BASE G13 - FORNECIMENTO E INSTALAÇÃO. AF_02/2020_PS</v>
      </c>
      <c r="H109" s="934" t="str">
        <f>IFERROR(IF(F109="SINAPI-S",VLOOKUP(E109,'20-B.SINAPI-S'!A:J,3,0),IF(F109="SINAPI-I",VLOOKUP(E109,'20-A.SINAPI-I'!A:G,3,0),IF(F109="COMP.EVENTUAL",VLOOKUP(E109,'11.COMPOSIÇÕES GERAIS'!B:I,3,0),VLOOKUP(E109,'12.COT.MERCADO'!A:I,7,0)))),"Em Elaboração")</f>
        <v>UN</v>
      </c>
      <c r="I109" s="936">
        <v>2.0</v>
      </c>
    </row>
    <row r="110">
      <c r="A110" s="931" t="s">
        <v>4403</v>
      </c>
      <c r="B110" s="931" t="s">
        <v>4445</v>
      </c>
      <c r="C110" s="932" t="s">
        <v>4297</v>
      </c>
      <c r="D110" s="933" t="s">
        <v>4446</v>
      </c>
      <c r="E110" s="939">
        <v>91306.0</v>
      </c>
      <c r="F110" s="937" t="s">
        <v>218</v>
      </c>
      <c r="G110" s="421" t="str">
        <f>IFERROR(IF(F110="SINAPI-S",VLOOKUP(E110,'20-B.SINAPI-S'!A:J,2,0),IF(F110="SINAPI-I",VLOOKUP(E110,'20-A.SINAPI-I'!A:G,2,0),IF(F110="COMP.EVENTUAL",VLOOKUP(E110,'11.COMPOSIÇÕES GERAIS'!B:I,2,0),VLOOKUP(E110,'12.COT.MERCADO'!A:I,2,0)))),"Em Elaboração")</f>
        <v>FECHADURA DE EMBUTIR PARA PORTAS INTERNAS, COMPLETA, ACABAMENTO PADRÃO MÉDIO, COM EXECUÇÃO DE FURO - FORNECIMENTO E INSTALAÇÃO. AF_12/2019</v>
      </c>
      <c r="H110" s="934" t="str">
        <f>IFERROR(IF(F110="SINAPI-S",VLOOKUP(E110,'20-B.SINAPI-S'!A:J,3,0),IF(F110="SINAPI-I",VLOOKUP(E110,'20-A.SINAPI-I'!A:G,3,0),IF(F110="COMP.EVENTUAL",VLOOKUP(E110,'11.COMPOSIÇÕES GERAIS'!B:I,3,0),VLOOKUP(E110,'12.COT.MERCADO'!A:I,7,0)))),"Em Elaboração")</f>
        <v>UN</v>
      </c>
      <c r="I110" s="936">
        <v>1.0</v>
      </c>
    </row>
    <row r="111">
      <c r="A111" s="931" t="s">
        <v>4403</v>
      </c>
      <c r="B111" s="931" t="s">
        <v>4447</v>
      </c>
      <c r="C111" s="932" t="s">
        <v>4306</v>
      </c>
      <c r="D111" s="933" t="s">
        <v>4448</v>
      </c>
      <c r="E111" s="939">
        <v>99818.0</v>
      </c>
      <c r="F111" s="937" t="s">
        <v>218</v>
      </c>
      <c r="G111" s="421" t="str">
        <f>IFERROR(IF(F111="SINAPI-S",VLOOKUP(E111,'20-B.SINAPI-S'!A:J,2,0),IF(F111="SINAPI-I",VLOOKUP(E111,'20-A.SINAPI-I'!A:G,2,0),IF(F111="COMP.EVENTUAL",VLOOKUP(E111,'11.COMPOSIÇÕES GERAIS'!B:I,2,0),VLOOKUP(E111,'12.COT.MERCADO'!A:I,2,0)))),"Em Elaboração")</f>
        <v>LIMPEZA DE BACIA SANITÁRIA, BIDÊ OU MICTÓRIO EM LOUÇA, INCLUSIVE METAIS CORRESPONDENTES. AF_04/2019</v>
      </c>
      <c r="H111" s="934" t="str">
        <f>IFERROR(IF(F111="SINAPI-S",VLOOKUP(E111,'20-B.SINAPI-S'!A:J,3,0),IF(F111="SINAPI-I",VLOOKUP(E111,'20-A.SINAPI-I'!A:G,3,0),IF(F111="COMP.EVENTUAL",VLOOKUP(E111,'11.COMPOSIÇÕES GERAIS'!B:I,3,0),VLOOKUP(E111,'12.COT.MERCADO'!A:I,7,0)))),"Em Elaboração")</f>
        <v>UN</v>
      </c>
      <c r="I111" s="936">
        <v>1.0</v>
      </c>
    </row>
    <row r="112">
      <c r="A112" s="931" t="s">
        <v>4403</v>
      </c>
      <c r="B112" s="931" t="s">
        <v>4447</v>
      </c>
      <c r="C112" s="932" t="s">
        <v>4306</v>
      </c>
      <c r="D112" s="933" t="s">
        <v>4449</v>
      </c>
      <c r="E112" s="939">
        <v>95547.0</v>
      </c>
      <c r="F112" s="937" t="s">
        <v>218</v>
      </c>
      <c r="G112" s="421" t="str">
        <f>IFERROR(IF(F112="SINAPI-S",VLOOKUP(E112,'20-B.SINAPI-S'!A:J,2,0),IF(F112="SINAPI-I",VLOOKUP(E112,'20-A.SINAPI-I'!A:G,2,0),IF(F112="COMP.EVENTUAL",VLOOKUP(E112,'11.COMPOSIÇÕES GERAIS'!B:I,2,0),VLOOKUP(E112,'12.COT.MERCADO'!A:I,2,0)))),"Em Elaboração")</f>
        <v>SABONETEIRA PLASTICA TIPO DISPENSER PARA SABONETE LIQUIDO COM RESERVATORIO 800 A 1500 ML, INCLUSO FIXAÇÃO. AF_01/2020</v>
      </c>
      <c r="H112" s="934" t="str">
        <f>IFERROR(IF(F112="SINAPI-S",VLOOKUP(E112,'20-B.SINAPI-S'!A:J,3,0),IF(F112="SINAPI-I",VLOOKUP(E112,'20-A.SINAPI-I'!A:G,3,0),IF(F112="COMP.EVENTUAL",VLOOKUP(E112,'11.COMPOSIÇÕES GERAIS'!B:I,3,0),VLOOKUP(E112,'12.COT.MERCADO'!A:I,7,0)))),"Em Elaboração")</f>
        <v>UN</v>
      </c>
      <c r="I112" s="936">
        <v>1.0</v>
      </c>
    </row>
    <row r="113">
      <c r="A113" s="931" t="s">
        <v>4403</v>
      </c>
      <c r="B113" s="931" t="s">
        <v>4450</v>
      </c>
      <c r="C113" s="932" t="s">
        <v>4297</v>
      </c>
      <c r="D113" s="933" t="s">
        <v>4451</v>
      </c>
      <c r="E113" s="939" t="s">
        <v>1822</v>
      </c>
      <c r="F113" s="935" t="s">
        <v>4276</v>
      </c>
      <c r="G113" s="421" t="str">
        <f>IFERROR(IF(F113="SINAPI-S",VLOOKUP(E113,'20-B.SINAPI-S'!A:J,2,0),IF(F113="SINAPI-I",VLOOKUP(E113,'20-A.SINAPI-I'!A:G,2,0),IF(F113="COMP.EVENTUAL",VLOOKUP(E113,'11.COMPOSIÇÕES GERAIS'!B:I,2,0),VLOOKUP(E113,'12.COT.MERCADO'!A:I,2,0)))),"Em Elaboração")</f>
        <v>TESTE FUNCIONAL EM CIRCUITOS</v>
      </c>
      <c r="H113" s="934" t="str">
        <f>IFERROR(IF(F113="SINAPI-S",VLOOKUP(E113,'20-B.SINAPI-S'!A:J,3,0),IF(F113="SINAPI-I",VLOOKUP(E113,'20-A.SINAPI-I'!A:G,3,0),IF(F113="COMP.EVENTUAL",VLOOKUP(E113,'11.COMPOSIÇÕES GERAIS'!B:I,3,0),VLOOKUP(E113,'12.COT.MERCADO'!A:I,7,0)))),"Em Elaboração")</f>
        <v>UN</v>
      </c>
      <c r="I113" s="936">
        <v>1.0</v>
      </c>
    </row>
    <row r="114">
      <c r="A114" s="931" t="s">
        <v>4403</v>
      </c>
      <c r="B114" s="931" t="s">
        <v>4452</v>
      </c>
      <c r="C114" s="932" t="s">
        <v>4297</v>
      </c>
      <c r="D114" s="933" t="s">
        <v>4453</v>
      </c>
      <c r="E114" s="939" t="s">
        <v>1799</v>
      </c>
      <c r="F114" s="937" t="s">
        <v>4276</v>
      </c>
      <c r="G114" s="421" t="str">
        <f>IFERROR(IF(F114="SINAPI-S",VLOOKUP(E114,'20-B.SINAPI-S'!A:J,2,0),IF(F114="SINAPI-I",VLOOKUP(E114,'20-A.SINAPI-I'!A:G,2,0),IF(F114="COMP.EVENTUAL",VLOOKUP(E114,'11.COMPOSIÇÕES GERAIS'!B:I,2,0),VLOOKUP(E114,'12.COT.MERCADO'!A:I,2,0)))),"Em Elaboração")</f>
        <v>FORNECIMENTO E INSTALAÇÃO DE PLACAS DE FORRO DE FIBRA MINERAL - EXCLUSIVE ESTRUTURA DE SUSTENTAÇÃO</v>
      </c>
      <c r="H114" s="934" t="str">
        <f>IFERROR(IF(F114="SINAPI-S",VLOOKUP(E114,'20-B.SINAPI-S'!A:J,3,0),IF(F114="SINAPI-I",VLOOKUP(E114,'20-A.SINAPI-I'!A:G,3,0),IF(F114="COMP.EVENTUAL",VLOOKUP(E114,'11.COMPOSIÇÕES GERAIS'!B:I,3,0),VLOOKUP(E114,'12.COT.MERCADO'!A:I,7,0)))),"Em Elaboração")</f>
        <v>UN</v>
      </c>
      <c r="I114" s="938">
        <v>10.0</v>
      </c>
    </row>
    <row r="115">
      <c r="A115" s="931" t="s">
        <v>4403</v>
      </c>
      <c r="B115" s="931" t="s">
        <v>4454</v>
      </c>
      <c r="C115" s="932" t="s">
        <v>4274</v>
      </c>
      <c r="D115" s="933" t="s">
        <v>4455</v>
      </c>
      <c r="E115" s="939" t="s">
        <v>1822</v>
      </c>
      <c r="F115" s="935" t="s">
        <v>4276</v>
      </c>
      <c r="G115" s="421" t="str">
        <f>IFERROR(IF(F115="SINAPI-S",VLOOKUP(E115,'20-B.SINAPI-S'!A:J,2,0),IF(F115="SINAPI-I",VLOOKUP(E115,'20-A.SINAPI-I'!A:G,2,0),IF(F115="COMP.EVENTUAL",VLOOKUP(E115,'11.COMPOSIÇÕES GERAIS'!B:I,2,0),VLOOKUP(E115,'12.COT.MERCADO'!A:I,2,0)))),"Em Elaboração")</f>
        <v>TESTE FUNCIONAL EM CIRCUITOS</v>
      </c>
      <c r="H115" s="934" t="str">
        <f>IFERROR(IF(F115="SINAPI-S",VLOOKUP(E115,'20-B.SINAPI-S'!A:J,3,0),IF(F115="SINAPI-I",VLOOKUP(E115,'20-A.SINAPI-I'!A:G,3,0),IF(F115="COMP.EVENTUAL",VLOOKUP(E115,'11.COMPOSIÇÕES GERAIS'!B:I,3,0),VLOOKUP(E115,'12.COT.MERCADO'!A:I,7,0)))),"Em Elaboração")</f>
        <v>UN</v>
      </c>
      <c r="I115" s="945"/>
    </row>
    <row r="116">
      <c r="A116" s="931" t="s">
        <v>4403</v>
      </c>
      <c r="B116" s="931" t="s">
        <v>4456</v>
      </c>
      <c r="C116" s="932" t="s">
        <v>4274</v>
      </c>
      <c r="D116" s="933" t="s">
        <v>4438</v>
      </c>
      <c r="E116" s="939">
        <v>100903.0</v>
      </c>
      <c r="F116" s="937" t="s">
        <v>218</v>
      </c>
      <c r="G116" s="421" t="str">
        <f>IFERROR(IF(F116="SINAPI-S",VLOOKUP(E116,'20-B.SINAPI-S'!A:J,2,0),IF(F116="SINAPI-I",VLOOKUP(E116,'20-A.SINAPI-I'!A:G,2,0),IF(F116="COMP.EVENTUAL",VLOOKUP(E116,'11.COMPOSIÇÕES GERAIS'!B:I,2,0),VLOOKUP(E116,'12.COT.MERCADO'!A:I,2,0)))),"Em Elaboração")</f>
        <v>LÂMPADA TUBULAR LED DE 18/20 W, BASE G13 - FORNECIMENTO E INSTALAÇÃO. AF_02/2020_PS</v>
      </c>
      <c r="H116" s="934" t="str">
        <f>IFERROR(IF(F116="SINAPI-S",VLOOKUP(E116,'20-B.SINAPI-S'!A:J,3,0),IF(F116="SINAPI-I",VLOOKUP(E116,'20-A.SINAPI-I'!A:G,3,0),IF(F116="COMP.EVENTUAL",VLOOKUP(E116,'11.COMPOSIÇÕES GERAIS'!B:I,3,0),VLOOKUP(E116,'12.COT.MERCADO'!A:I,7,0)))),"Em Elaboração")</f>
        <v>UN</v>
      </c>
      <c r="I116" s="936">
        <v>2.0</v>
      </c>
    </row>
    <row r="117">
      <c r="A117" s="931" t="s">
        <v>4403</v>
      </c>
      <c r="B117" s="931" t="s">
        <v>4457</v>
      </c>
      <c r="C117" s="932" t="s">
        <v>4297</v>
      </c>
      <c r="D117" s="933" t="s">
        <v>4458</v>
      </c>
      <c r="E117" s="939">
        <v>98546.0</v>
      </c>
      <c r="F117" s="937" t="s">
        <v>218</v>
      </c>
      <c r="G117" s="421" t="str">
        <f>IFERROR(IF(F117="SINAPI-S",VLOOKUP(E117,'20-B.SINAPI-S'!A:J,2,0),IF(F117="SINAPI-I",VLOOKUP(E117,'20-A.SINAPI-I'!A:G,2,0),IF(F117="COMP.EVENTUAL",VLOOKUP(E117,'11.COMPOSIÇÕES GERAIS'!B:I,2,0),VLOOKUP(E117,'12.COT.MERCADO'!A:I,2,0)))),"Em Elaboração")</f>
        <v>IMPERMEABILIZAÇÃO DE SUPERFÍCIE COM MANTA ASFÁLTICA, UMA CAMADA, INCLUSIVE APLICAÇÃO DE PRIMER ASFÁLTICO, E=3MM. AF_06/2018</v>
      </c>
      <c r="H117" s="934" t="str">
        <f>IFERROR(IF(F117="SINAPI-S",VLOOKUP(E117,'20-B.SINAPI-S'!A:J,3,0),IF(F117="SINAPI-I",VLOOKUP(E117,'20-A.SINAPI-I'!A:G,3,0),IF(F117="COMP.EVENTUAL",VLOOKUP(E117,'11.COMPOSIÇÕES GERAIS'!B:I,3,0),VLOOKUP(E117,'12.COT.MERCADO'!A:I,7,0)))),"Em Elaboração")</f>
        <v>M2</v>
      </c>
      <c r="I117" s="936">
        <v>2.0</v>
      </c>
    </row>
    <row r="118">
      <c r="A118" s="931" t="s">
        <v>4403</v>
      </c>
      <c r="B118" s="931" t="s">
        <v>4459</v>
      </c>
      <c r="C118" s="932" t="s">
        <v>4306</v>
      </c>
      <c r="D118" s="933" t="s">
        <v>4460</v>
      </c>
      <c r="E118" s="939" t="s">
        <v>1848</v>
      </c>
      <c r="F118" s="935" t="s">
        <v>4276</v>
      </c>
      <c r="G118" s="421" t="str">
        <f>IFERROR(IF(F118="SINAPI-S",VLOOKUP(E118,'20-B.SINAPI-S'!A:J,2,0),IF(F118="SINAPI-I",VLOOKUP(E118,'20-A.SINAPI-I'!A:G,2,0),IF(F118="COMP.EVENTUAL",VLOOKUP(E118,'11.COMPOSIÇÕES GERAIS'!B:I,2,0),VLOOKUP(E118,'12.COT.MERCADO'!A:I,2,0)))),"Em Elaboração")</f>
        <v>DESENTUPIMENTO E LIMPEZA DE BACIAS SANITÁRIAS</v>
      </c>
      <c r="H118" s="934" t="str">
        <f>IFERROR(IF(F118="SINAPI-S",VLOOKUP(E118,'20-B.SINAPI-S'!A:J,3,0),IF(F118="SINAPI-I",VLOOKUP(E118,'20-A.SINAPI-I'!A:G,3,0),IF(F118="COMP.EVENTUAL",VLOOKUP(E118,'11.COMPOSIÇÕES GERAIS'!B:I,3,0),VLOOKUP(E118,'12.COT.MERCADO'!A:I,7,0)))),"Em Elaboração")</f>
        <v>UN</v>
      </c>
      <c r="I118" s="936">
        <v>1.0</v>
      </c>
    </row>
    <row r="119">
      <c r="A119" s="931" t="s">
        <v>4403</v>
      </c>
      <c r="B119" s="931" t="s">
        <v>4461</v>
      </c>
      <c r="C119" s="932" t="s">
        <v>4306</v>
      </c>
      <c r="D119" s="933" t="s">
        <v>4462</v>
      </c>
      <c r="E119" s="939">
        <v>91795.0</v>
      </c>
      <c r="F119" s="937" t="s">
        <v>218</v>
      </c>
      <c r="G119" s="421" t="str">
        <f>IFERROR(IF(F119="SINAPI-S",VLOOKUP(E119,'20-B.SINAPI-S'!A:J,2,0),IF(F119="SINAPI-I",VLOOKUP(E119,'20-A.SINAPI-I'!A:G,2,0),IF(F119="COMP.EVENTUAL",VLOOKUP(E119,'11.COMPOSIÇÕES GERAIS'!B:I,2,0),VLOOKUP(E119,'12.COT.MERCADO'!A:I,2,0)))),"Em Elaboração")</f>
        <v>(COMPOSIÇÃO REPRESENTATIVA) DO SERVIÇO DE INST. TUBO PVC, SÉRIE N, ESGOTO PREDIAL, 100 MM (INST. RAMAL DESCARGA, RAMAL DE ESG. SANIT., PRUMADA ESG. SANIT., VENTILAÇÃO OU SUB-COLETOR AÉREO), INCL. CONEXÕES E CORTES, FIXAÇÕES, P/ PRÉDIOS. AF_10/2015</v>
      </c>
      <c r="H119" s="934" t="str">
        <f>IFERROR(IF(F119="SINAPI-S",VLOOKUP(E119,'20-B.SINAPI-S'!A:J,3,0),IF(F119="SINAPI-I",VLOOKUP(E119,'20-A.SINAPI-I'!A:G,3,0),IF(F119="COMP.EVENTUAL",VLOOKUP(E119,'11.COMPOSIÇÕES GERAIS'!B:I,3,0),VLOOKUP(E119,'12.COT.MERCADO'!A:I,7,0)))),"Em Elaboração")</f>
        <v>M</v>
      </c>
      <c r="I119" s="936">
        <v>6.0</v>
      </c>
    </row>
    <row r="120">
      <c r="A120" s="931" t="s">
        <v>4403</v>
      </c>
      <c r="B120" s="931" t="s">
        <v>4461</v>
      </c>
      <c r="C120" s="932" t="s">
        <v>4297</v>
      </c>
      <c r="D120" s="933" t="s">
        <v>4463</v>
      </c>
      <c r="E120" s="939" t="s">
        <v>1799</v>
      </c>
      <c r="F120" s="935" t="s">
        <v>4276</v>
      </c>
      <c r="G120" s="421" t="str">
        <f>IFERROR(IF(F120="SINAPI-S",VLOOKUP(E120,'20-B.SINAPI-S'!A:J,2,0),IF(F120="SINAPI-I",VLOOKUP(E120,'20-A.SINAPI-I'!A:G,2,0),IF(F120="COMP.EVENTUAL",VLOOKUP(E120,'11.COMPOSIÇÕES GERAIS'!B:I,2,0),VLOOKUP(E120,'12.COT.MERCADO'!A:I,2,0)))),"Em Elaboração")</f>
        <v>FORNECIMENTO E INSTALAÇÃO DE PLACAS DE FORRO DE FIBRA MINERAL - EXCLUSIVE ESTRUTURA DE SUSTENTAÇÃO</v>
      </c>
      <c r="H120" s="934" t="str">
        <f>IFERROR(IF(F120="SINAPI-S",VLOOKUP(E120,'20-B.SINAPI-S'!A:J,3,0),IF(F120="SINAPI-I",VLOOKUP(E120,'20-A.SINAPI-I'!A:G,3,0),IF(F120="COMP.EVENTUAL",VLOOKUP(E120,'11.COMPOSIÇÕES GERAIS'!B:I,3,0),VLOOKUP(E120,'12.COT.MERCADO'!A:I,7,0)))),"Em Elaboração")</f>
        <v>UN</v>
      </c>
      <c r="I120" s="936">
        <v>4.0</v>
      </c>
    </row>
    <row r="121">
      <c r="A121" s="931" t="s">
        <v>4403</v>
      </c>
      <c r="B121" s="931" t="s">
        <v>4464</v>
      </c>
      <c r="C121" s="932" t="s">
        <v>4274</v>
      </c>
      <c r="D121" s="933" t="s">
        <v>4344</v>
      </c>
      <c r="E121" s="939">
        <v>100903.0</v>
      </c>
      <c r="F121" s="937" t="s">
        <v>218</v>
      </c>
      <c r="G121" s="421" t="str">
        <f>IFERROR(IF(F121="SINAPI-S",VLOOKUP(E121,'20-B.SINAPI-S'!A:J,2,0),IF(F121="SINAPI-I",VLOOKUP(E121,'20-A.SINAPI-I'!A:G,2,0),IF(F121="COMP.EVENTUAL",VLOOKUP(E121,'11.COMPOSIÇÕES GERAIS'!B:I,2,0),VLOOKUP(E121,'12.COT.MERCADO'!A:I,2,0)))),"Em Elaboração")</f>
        <v>LÂMPADA TUBULAR LED DE 18/20 W, BASE G13 - FORNECIMENTO E INSTALAÇÃO. AF_02/2020_PS</v>
      </c>
      <c r="H121" s="934" t="str">
        <f>IFERROR(IF(F121="SINAPI-S",VLOOKUP(E121,'20-B.SINAPI-S'!A:J,3,0),IF(F121="SINAPI-I",VLOOKUP(E121,'20-A.SINAPI-I'!A:G,3,0),IF(F121="COMP.EVENTUAL",VLOOKUP(E121,'11.COMPOSIÇÕES GERAIS'!B:I,3,0),VLOOKUP(E121,'12.COT.MERCADO'!A:I,7,0)))),"Em Elaboração")</f>
        <v>UN</v>
      </c>
      <c r="I121" s="936">
        <v>4.0</v>
      </c>
    </row>
    <row r="122">
      <c r="A122" s="931" t="s">
        <v>4403</v>
      </c>
      <c r="B122" s="931" t="s">
        <v>4465</v>
      </c>
      <c r="C122" s="932" t="s">
        <v>4274</v>
      </c>
      <c r="D122" s="933" t="s">
        <v>4344</v>
      </c>
      <c r="E122" s="939">
        <v>100903.0</v>
      </c>
      <c r="F122" s="937" t="s">
        <v>218</v>
      </c>
      <c r="G122" s="421" t="str">
        <f>IFERROR(IF(F122="SINAPI-S",VLOOKUP(E122,'20-B.SINAPI-S'!A:J,2,0),IF(F122="SINAPI-I",VLOOKUP(E122,'20-A.SINAPI-I'!A:G,2,0),IF(F122="COMP.EVENTUAL",VLOOKUP(E122,'11.COMPOSIÇÕES GERAIS'!B:I,2,0),VLOOKUP(E122,'12.COT.MERCADO'!A:I,2,0)))),"Em Elaboração")</f>
        <v>LÂMPADA TUBULAR LED DE 18/20 W, BASE G13 - FORNECIMENTO E INSTALAÇÃO. AF_02/2020_PS</v>
      </c>
      <c r="H122" s="934" t="str">
        <f>IFERROR(IF(F122="SINAPI-S",VLOOKUP(E122,'20-B.SINAPI-S'!A:J,3,0),IF(F122="SINAPI-I",VLOOKUP(E122,'20-A.SINAPI-I'!A:G,3,0),IF(F122="COMP.EVENTUAL",VLOOKUP(E122,'11.COMPOSIÇÕES GERAIS'!B:I,3,0),VLOOKUP(E122,'12.COT.MERCADO'!A:I,7,0)))),"Em Elaboração")</f>
        <v>UN</v>
      </c>
      <c r="I122" s="936">
        <v>4.0</v>
      </c>
    </row>
    <row r="123">
      <c r="A123" s="931" t="s">
        <v>4466</v>
      </c>
      <c r="B123" s="931" t="s">
        <v>4467</v>
      </c>
      <c r="C123" s="932" t="s">
        <v>4297</v>
      </c>
      <c r="D123" s="933" t="s">
        <v>4468</v>
      </c>
      <c r="E123" s="939">
        <v>101913.0</v>
      </c>
      <c r="F123" s="937" t="s">
        <v>218</v>
      </c>
      <c r="G123" s="421" t="str">
        <f>IFERROR(IF(F123="SINAPI-S",VLOOKUP(E123,'20-B.SINAPI-S'!A:J,2,0),IF(F123="SINAPI-I",VLOOKUP(E123,'20-A.SINAPI-I'!A:G,2,0),IF(F123="COMP.EVENTUAL",VLOOKUP(E123,'11.COMPOSIÇÕES GERAIS'!B:I,2,0),VLOOKUP(E123,'12.COT.MERCADO'!A:I,2,0)))),"Em Elaboração")</f>
        <v>CAIXA DE INCÊNDIO 45X75X17CM - FORNECIMENTO E INSTALAÇÃO. AF_10/2020</v>
      </c>
      <c r="H123" s="934" t="str">
        <f>IFERROR(IF(F123="SINAPI-S",VLOOKUP(E123,'20-B.SINAPI-S'!A:J,3,0),IF(F123="SINAPI-I",VLOOKUP(E123,'20-A.SINAPI-I'!A:G,3,0),IF(F123="COMP.EVENTUAL",VLOOKUP(E123,'11.COMPOSIÇÕES GERAIS'!B:I,3,0),VLOOKUP(E123,'12.COT.MERCADO'!A:I,7,0)))),"Em Elaboração")</f>
        <v>UN</v>
      </c>
      <c r="I123" s="936">
        <v>4.0</v>
      </c>
    </row>
    <row r="124">
      <c r="A124" s="931" t="s">
        <v>4466</v>
      </c>
      <c r="B124" s="931" t="s">
        <v>4467</v>
      </c>
      <c r="C124" s="932" t="s">
        <v>4297</v>
      </c>
      <c r="D124" s="933" t="s">
        <v>4469</v>
      </c>
      <c r="E124" s="939">
        <v>11581.0</v>
      </c>
      <c r="F124" s="946" t="s">
        <v>286</v>
      </c>
      <c r="G124" s="421" t="str">
        <f>IFERROR(IF(F124="SINAPI-S",VLOOKUP(E124,'20-B.SINAPI-S'!A:J,2,0),IF(F124="SINAPI-I",VLOOKUP(E124,'20-A.SINAPI-I'!A:G,2,0),IF(F124="COMP.EVENTUAL",VLOOKUP(E124,'11.COMPOSIÇÕES GERAIS'!B:I,2,0),VLOOKUP(E124,'12.COT.MERCADO'!A:I,2,0)))),"Em Elaboração")</f>
        <v>TRILHO PANTOGRAFICO CONCAVO, TIPO U, EM ALUMINIO, COM DIMENSOES DE APROX *35 X 35* MM, PARA ROLDANA DE PORTA DE CORRER</v>
      </c>
      <c r="H124" s="934" t="str">
        <f>IFERROR(IF(F124="SINAPI-S",VLOOKUP(E124,'20-B.SINAPI-S'!A:J,3,0),IF(F124="SINAPI-I",VLOOKUP(E124,'20-A.SINAPI-I'!A:G,3,0),IF(F124="COMP.EVENTUAL",VLOOKUP(E124,'11.COMPOSIÇÕES GERAIS'!B:I,3,0),VLOOKUP(E124,'12.COT.MERCADO'!A:I,7,0)))),"Em Elaboração")</f>
        <v>M</v>
      </c>
      <c r="I124" s="938">
        <v>2.0</v>
      </c>
    </row>
    <row r="125">
      <c r="A125" s="931" t="s">
        <v>4466</v>
      </c>
      <c r="B125" s="931" t="s">
        <v>4467</v>
      </c>
      <c r="C125" s="932" t="s">
        <v>4297</v>
      </c>
      <c r="D125" s="933" t="s">
        <v>4470</v>
      </c>
      <c r="E125" s="939">
        <v>100742.0</v>
      </c>
      <c r="F125" s="937" t="s">
        <v>218</v>
      </c>
      <c r="G125" s="421" t="str">
        <f>IFERROR(IF(F125="SINAPI-S",VLOOKUP(E125,'20-B.SINAPI-S'!A:J,2,0),IF(F125="SINAPI-I",VLOOKUP(E125,'20-A.SINAPI-I'!A:G,2,0),IF(F125="COMP.EVENTUAL",VLOOKUP(E125,'11.COMPOSIÇÕES GERAIS'!B:I,2,0),VLOOKUP(E125,'12.COT.MERCADO'!A:I,2,0)))),"Em Elaboração")</f>
        <v>PINTURA COM TINTA ALQUÍDICA DE ACABAMENTO (ESMALTE SINTÉTICO ACETINADO) APLICADA A ROLO OU PINCEL SOBRE SUPERFÍCIES METÁLICAS (EXCETO PERFIL) EXECUTADO EM OBRA (POR DEMÃO). AF_01/2020</v>
      </c>
      <c r="H125" s="934" t="str">
        <f>IFERROR(IF(F125="SINAPI-S",VLOOKUP(E125,'20-B.SINAPI-S'!A:J,3,0),IF(F125="SINAPI-I",VLOOKUP(E125,'20-A.SINAPI-I'!A:G,3,0),IF(F125="COMP.EVENTUAL",VLOOKUP(E125,'11.COMPOSIÇÕES GERAIS'!B:I,3,0),VLOOKUP(E125,'12.COT.MERCADO'!A:I,7,0)))),"Em Elaboração")</f>
        <v>M2</v>
      </c>
      <c r="I125" s="936">
        <v>16.0</v>
      </c>
    </row>
    <row r="126">
      <c r="A126" s="931" t="s">
        <v>4466</v>
      </c>
      <c r="B126" s="931" t="s">
        <v>4467</v>
      </c>
      <c r="C126" s="932" t="s">
        <v>4297</v>
      </c>
      <c r="D126" s="933" t="s">
        <v>4471</v>
      </c>
      <c r="E126" s="939">
        <v>38179.0</v>
      </c>
      <c r="F126" s="946" t="s">
        <v>286</v>
      </c>
      <c r="G126" s="421" t="str">
        <f>IFERROR(IF(F126="SINAPI-S",VLOOKUP(E126,'20-B.SINAPI-S'!A:J,2,0),IF(F126="SINAPI-I",VLOOKUP(E126,'20-A.SINAPI-I'!A:G,2,0),IF(F126="COMP.EVENTUAL",VLOOKUP(E126,'11.COMPOSIÇÕES GERAIS'!B:I,2,0),VLOOKUP(E126,'12.COT.MERCADO'!A:I,2,0)))),"Em Elaboração")</f>
        <v>ROLDANA CONCAVA DUPLA, 4 RODAS, PARA PORTA DE CORRER, EM ZAMAC COM CHAPA DE ACO,  ROLAMENTO INTERNO BLINDADO DE ACO REVESTIDO EM NYLON</v>
      </c>
      <c r="H126" s="934" t="str">
        <f>IFERROR(IF(F126="SINAPI-S",VLOOKUP(E126,'20-B.SINAPI-S'!A:J,3,0),IF(F126="SINAPI-I",VLOOKUP(E126,'20-A.SINAPI-I'!A:G,3,0),IF(F126="COMP.EVENTUAL",VLOOKUP(E126,'11.COMPOSIÇÕES GERAIS'!B:I,3,0),VLOOKUP(E126,'12.COT.MERCADO'!A:I,7,0)))),"Em Elaboração")</f>
        <v>UN</v>
      </c>
      <c r="I126" s="936">
        <v>4.0</v>
      </c>
    </row>
    <row r="127">
      <c r="A127" s="931" t="s">
        <v>4466</v>
      </c>
      <c r="B127" s="931" t="s">
        <v>4472</v>
      </c>
      <c r="C127" s="932" t="s">
        <v>4274</v>
      </c>
      <c r="D127" s="933" t="s">
        <v>4473</v>
      </c>
      <c r="E127" s="939">
        <v>101657.0</v>
      </c>
      <c r="F127" s="937" t="s">
        <v>218</v>
      </c>
      <c r="G127" s="421" t="str">
        <f>IFERROR(IF(F127="SINAPI-S",VLOOKUP(E127,'20-B.SINAPI-S'!A:J,2,0),IF(F127="SINAPI-I",VLOOKUP(E127,'20-A.SINAPI-I'!A:G,2,0),IF(F127="COMP.EVENTUAL",VLOOKUP(E127,'11.COMPOSIÇÕES GERAIS'!B:I,2,0),VLOOKUP(E127,'12.COT.MERCADO'!A:I,2,0)))),"Em Elaboração")</f>
        <v>LUMINÁRIA DE LED PARA ILUMINAÇÃO PÚBLICA, DE 98 W ATÉ 137 W - FORNECIMENTO E INSTALAÇÃO. AF_08/2020</v>
      </c>
      <c r="H127" s="934" t="str">
        <f>IFERROR(IF(F127="SINAPI-S",VLOOKUP(E127,'20-B.SINAPI-S'!A:J,3,0),IF(F127="SINAPI-I",VLOOKUP(E127,'20-A.SINAPI-I'!A:G,3,0),IF(F127="COMP.EVENTUAL",VLOOKUP(E127,'11.COMPOSIÇÕES GERAIS'!B:I,3,0),VLOOKUP(E127,'12.COT.MERCADO'!A:I,7,0)))),"Em Elaboração")</f>
        <v>UN</v>
      </c>
      <c r="I127" s="936">
        <v>24.0</v>
      </c>
    </row>
    <row r="128">
      <c r="A128" s="931" t="s">
        <v>4466</v>
      </c>
      <c r="B128" s="931" t="s">
        <v>4474</v>
      </c>
      <c r="C128" s="932" t="s">
        <v>4274</v>
      </c>
      <c r="D128" s="933" t="s">
        <v>4475</v>
      </c>
      <c r="E128" s="939" t="s">
        <v>1851</v>
      </c>
      <c r="F128" s="935" t="s">
        <v>4276</v>
      </c>
      <c r="G128" s="421" t="str">
        <f>IFERROR(IF(F128="SINAPI-S",VLOOKUP(E128,'20-B.SINAPI-S'!A:J,2,0),IF(F128="SINAPI-I",VLOOKUP(E128,'20-A.SINAPI-I'!A:G,2,0),IF(F128="COMP.EVENTUAL",VLOOKUP(E128,'11.COMPOSIÇÕES GERAIS'!B:I,2,0),VLOOKUP(E128,'12.COT.MERCADO'!A:I,2,0)))),"Em Elaboração")</f>
        <v>TESTE, LIMPEZA E REAPERTO DOS COMPONENTES PARA QUADROS DE DISTRIBUIÇÃO ATÉ 64 CIRCUITOS</v>
      </c>
      <c r="H128" s="934" t="str">
        <f>IFERROR(IF(F128="SINAPI-S",VLOOKUP(E128,'20-B.SINAPI-S'!A:J,3,0),IF(F128="SINAPI-I",VLOOKUP(E128,'20-A.SINAPI-I'!A:G,3,0),IF(F128="COMP.EVENTUAL",VLOOKUP(E128,'11.COMPOSIÇÕES GERAIS'!B:I,3,0),VLOOKUP(E128,'12.COT.MERCADO'!A:I,7,0)))),"Em Elaboração")</f>
        <v>UN</v>
      </c>
      <c r="I128" s="938">
        <v>4.0</v>
      </c>
    </row>
    <row r="129">
      <c r="A129" s="931" t="s">
        <v>4466</v>
      </c>
      <c r="B129" s="931" t="s">
        <v>4474</v>
      </c>
      <c r="C129" s="932" t="s">
        <v>4274</v>
      </c>
      <c r="D129" s="933" t="s">
        <v>4476</v>
      </c>
      <c r="E129" s="939" t="s">
        <v>1851</v>
      </c>
      <c r="F129" s="935" t="s">
        <v>4276</v>
      </c>
      <c r="G129" s="421" t="str">
        <f>IFERROR(IF(F129="SINAPI-S",VLOOKUP(E129,'20-B.SINAPI-S'!A:J,2,0),IF(F129="SINAPI-I",VLOOKUP(E129,'20-A.SINAPI-I'!A:G,2,0),IF(F129="COMP.EVENTUAL",VLOOKUP(E129,'11.COMPOSIÇÕES GERAIS'!B:I,2,0),VLOOKUP(E129,'12.COT.MERCADO'!A:I,2,0)))),"Em Elaboração")</f>
        <v>TESTE, LIMPEZA E REAPERTO DOS COMPONENTES PARA QUADROS DE DISTRIBUIÇÃO ATÉ 64 CIRCUITOS</v>
      </c>
      <c r="H129" s="934" t="str">
        <f>IFERROR(IF(F129="SINAPI-S",VLOOKUP(E129,'20-B.SINAPI-S'!A:J,3,0),IF(F129="SINAPI-I",VLOOKUP(E129,'20-A.SINAPI-I'!A:G,3,0),IF(F129="COMP.EVENTUAL",VLOOKUP(E129,'11.COMPOSIÇÕES GERAIS'!B:I,3,0),VLOOKUP(E129,'12.COT.MERCADO'!A:I,7,0)))),"Em Elaboração")</f>
        <v>UN</v>
      </c>
      <c r="I129" s="938">
        <v>4.0</v>
      </c>
    </row>
    <row r="130">
      <c r="A130" s="931" t="s">
        <v>4466</v>
      </c>
      <c r="B130" s="931" t="s">
        <v>4477</v>
      </c>
      <c r="C130" s="932" t="s">
        <v>4306</v>
      </c>
      <c r="D130" s="933" t="s">
        <v>4355</v>
      </c>
      <c r="E130" s="939" t="s">
        <v>1848</v>
      </c>
      <c r="F130" s="937" t="s">
        <v>4276</v>
      </c>
      <c r="G130" s="421" t="str">
        <f>IFERROR(IF(F130="SINAPI-S",VLOOKUP(E130,'20-B.SINAPI-S'!A:J,2,0),IF(F130="SINAPI-I",VLOOKUP(E130,'20-A.SINAPI-I'!A:G,2,0),IF(F130="COMP.EVENTUAL",VLOOKUP(E130,'11.COMPOSIÇÕES GERAIS'!B:I,2,0),VLOOKUP(E130,'12.COT.MERCADO'!A:I,2,0)))),"Em Elaboração")</f>
        <v>DESENTUPIMENTO E LIMPEZA DE BACIAS SANITÁRIAS</v>
      </c>
      <c r="H130" s="934" t="str">
        <f>IFERROR(IF(F130="SINAPI-S",VLOOKUP(E130,'20-B.SINAPI-S'!A:J,3,0),IF(F130="SINAPI-I",VLOOKUP(E130,'20-A.SINAPI-I'!A:G,3,0),IF(F130="COMP.EVENTUAL",VLOOKUP(E130,'11.COMPOSIÇÕES GERAIS'!B:I,3,0),VLOOKUP(E130,'12.COT.MERCADO'!A:I,7,0)))),"Em Elaboração")</f>
        <v>UN</v>
      </c>
      <c r="I130" s="936">
        <v>1.0</v>
      </c>
    </row>
    <row r="131">
      <c r="A131" s="931" t="s">
        <v>4466</v>
      </c>
      <c r="B131" s="931" t="s">
        <v>4477</v>
      </c>
      <c r="C131" s="932" t="s">
        <v>4306</v>
      </c>
      <c r="D131" s="933" t="s">
        <v>4478</v>
      </c>
      <c r="E131" s="939">
        <v>100858.0</v>
      </c>
      <c r="F131" s="937" t="s">
        <v>218</v>
      </c>
      <c r="G131" s="421" t="str">
        <f>IFERROR(IF(F131="SINAPI-S",VLOOKUP(E131,'20-B.SINAPI-S'!A:J,2,0),IF(F131="SINAPI-I",VLOOKUP(E131,'20-A.SINAPI-I'!A:G,2,0),IF(F131="COMP.EVENTUAL",VLOOKUP(E131,'11.COMPOSIÇÕES GERAIS'!B:I,2,0),VLOOKUP(E131,'12.COT.MERCADO'!A:I,2,0)))),"Em Elaboração")</f>
        <v>MICTÓRIO SIFONADO LOUÇA BRANCA _x0096_ PADRÃO MÉDIO _x0096_ FORNECIMENTO E INSTALAÇÃO. AF_01/2020</v>
      </c>
      <c r="H131" s="934" t="str">
        <f>IFERROR(IF(F131="SINAPI-S",VLOOKUP(E131,'20-B.SINAPI-S'!A:J,3,0),IF(F131="SINAPI-I",VLOOKUP(E131,'20-A.SINAPI-I'!A:G,3,0),IF(F131="COMP.EVENTUAL",VLOOKUP(E131,'11.COMPOSIÇÕES GERAIS'!B:I,3,0),VLOOKUP(E131,'12.COT.MERCADO'!A:I,7,0)))),"Em Elaboração")</f>
        <v>UN</v>
      </c>
      <c r="I131" s="936">
        <v>1.0</v>
      </c>
    </row>
    <row r="132">
      <c r="A132" s="931" t="s">
        <v>4466</v>
      </c>
      <c r="B132" s="931" t="s">
        <v>4479</v>
      </c>
      <c r="C132" s="932" t="s">
        <v>4297</v>
      </c>
      <c r="D132" s="933" t="s">
        <v>4480</v>
      </c>
      <c r="E132" s="940">
        <v>94213.0</v>
      </c>
      <c r="F132" s="937" t="s">
        <v>218</v>
      </c>
      <c r="G132" s="421" t="str">
        <f>IFERROR(IF(F132="SINAPI-S",VLOOKUP(E132,'20-B.SINAPI-S'!A:J,2,0),IF(F132="SINAPI-I",VLOOKUP(E132,'20-A.SINAPI-I'!A:G,2,0),IF(F132="COMP.EVENTUAL",VLOOKUP(E132,'11.COMPOSIÇÕES GERAIS'!B:I,2,0),VLOOKUP(E132,'12.COT.MERCADO'!A:I,2,0)))),"Em Elaboração")</f>
        <v>TELHAMENTO COM TELHA DE AÇO/ALUMÍNIO E = 0,5 MM, COM ATÉ 2 ÁGUAS, INCLUSO IÇAMENTO. AF_07/2019</v>
      </c>
      <c r="H132" s="934" t="str">
        <f>IFERROR(IF(F132="SINAPI-S",VLOOKUP(E132,'20-B.SINAPI-S'!A:J,3,0),IF(F132="SINAPI-I",VLOOKUP(E132,'20-A.SINAPI-I'!A:G,3,0),IF(F132="COMP.EVENTUAL",VLOOKUP(E132,'11.COMPOSIÇÕES GERAIS'!B:I,3,0),VLOOKUP(E132,'12.COT.MERCADO'!A:I,7,0)))),"Em Elaboração")</f>
        <v>M2</v>
      </c>
      <c r="I132" s="938">
        <v>4.0</v>
      </c>
    </row>
    <row r="133">
      <c r="A133" s="931" t="s">
        <v>4466</v>
      </c>
      <c r="B133" s="931" t="s">
        <v>4481</v>
      </c>
      <c r="C133" s="932" t="s">
        <v>4297</v>
      </c>
      <c r="D133" s="933" t="s">
        <v>4482</v>
      </c>
      <c r="E133" s="939">
        <v>88489.0</v>
      </c>
      <c r="F133" s="937" t="s">
        <v>218</v>
      </c>
      <c r="G133" s="421" t="str">
        <f>IFERROR(IF(F133="SINAPI-S",VLOOKUP(E133,'20-B.SINAPI-S'!A:J,2,0),IF(F133="SINAPI-I",VLOOKUP(E133,'20-A.SINAPI-I'!A:G,2,0),IF(F133="COMP.EVENTUAL",VLOOKUP(E133,'11.COMPOSIÇÕES GERAIS'!B:I,2,0),VLOOKUP(E133,'12.COT.MERCADO'!A:I,2,0)))),"Em Elaboração")</f>
        <v>PINTURA LÁTEX ACRÍLICA PREMIUM, APLICAÇÃO MANUAL EM PAREDES, DUAS DEMÃOS. AF_04/2023</v>
      </c>
      <c r="H133" s="934" t="str">
        <f>IFERROR(IF(F133="SINAPI-S",VLOOKUP(E133,'20-B.SINAPI-S'!A:J,3,0),IF(F133="SINAPI-I",VLOOKUP(E133,'20-A.SINAPI-I'!A:G,3,0),IF(F133="COMP.EVENTUAL",VLOOKUP(E133,'11.COMPOSIÇÕES GERAIS'!B:I,3,0),VLOOKUP(E133,'12.COT.MERCADO'!A:I,7,0)))),"Em Elaboração")</f>
        <v>M2</v>
      </c>
      <c r="I133" s="936">
        <v>30.0</v>
      </c>
    </row>
    <row r="134">
      <c r="A134" s="931" t="s">
        <v>4466</v>
      </c>
      <c r="B134" s="931" t="s">
        <v>4483</v>
      </c>
      <c r="C134" s="932" t="s">
        <v>4306</v>
      </c>
      <c r="D134" s="933" t="s">
        <v>4484</v>
      </c>
      <c r="E134" s="939">
        <v>91785.0</v>
      </c>
      <c r="F134" s="948" t="s">
        <v>218</v>
      </c>
      <c r="G134" s="421" t="str">
        <f>IFERROR(IF(F134="SINAPI-S",VLOOKUP(E134,'20-B.SINAPI-S'!A:J,2,0),IF(F134="SINAPI-I",VLOOKUP(E134,'20-A.SINAPI-I'!A:G,2,0),IF(F134="COMP.EVENTUAL",VLOOKUP(E134,'11.COMPOSIÇÕES GERAIS'!B:I,2,0),VLOOKUP(E134,'12.COT.MERCADO'!A:I,2,0)))),"Em Elaboração")</f>
        <v>(COMPOSIÇÃO REPRESENTATIVA) DO SERVIÇO DE INSTALAÇÃO DE TUBOS DE PVC, SOLDÁVEL, ÁGUA FRIA, DN 25 MM (INSTALADO EM RAMAL, SUB-RAMAL, RAMAL DE DISTRIBUIÇÃO OU PRUMADA), INCLUSIVE CONEXÕES, CORTES E FIXAÇÕES, PARA PRÉDIOS. AF_10/2015</v>
      </c>
      <c r="H134" s="934" t="str">
        <f>IFERROR(IF(F134="SINAPI-S",VLOOKUP(E134,'20-B.SINAPI-S'!A:J,3,0),IF(F134="SINAPI-I",VLOOKUP(E134,'20-A.SINAPI-I'!A:G,3,0),IF(F134="COMP.EVENTUAL",VLOOKUP(E134,'11.COMPOSIÇÕES GERAIS'!B:I,3,0),VLOOKUP(E134,'12.COT.MERCADO'!A:I,7,0)))),"Em Elaboração")</f>
        <v>M</v>
      </c>
      <c r="I134" s="938">
        <v>1.0</v>
      </c>
    </row>
    <row r="135">
      <c r="A135" s="931" t="s">
        <v>4466</v>
      </c>
      <c r="B135" s="931" t="s">
        <v>4485</v>
      </c>
      <c r="C135" s="932" t="s">
        <v>4306</v>
      </c>
      <c r="D135" s="933" t="s">
        <v>4486</v>
      </c>
      <c r="E135" s="939" t="s">
        <v>1854</v>
      </c>
      <c r="F135" s="935" t="s">
        <v>4276</v>
      </c>
      <c r="G135" s="421" t="str">
        <f>IFERROR(IF(F135="SINAPI-S",VLOOKUP(E135,'20-B.SINAPI-S'!A:J,2,0),IF(F135="SINAPI-I",VLOOKUP(E135,'20-A.SINAPI-I'!A:G,2,0),IF(F135="COMP.EVENTUAL",VLOOKUP(E135,'11.COMPOSIÇÕES GERAIS'!B:I,2,0),VLOOKUP(E135,'12.COT.MERCADO'!A:I,2,0)))),"Em Elaboração")</f>
        <v>REPARO DE VAZAMENTO EM BACIAS SANITÁRIAS COM A RETIRADA, COLOCAÇÃO DE NOVAS VEDAÇÕES E REASSENTAMENTO</v>
      </c>
      <c r="H135" s="934" t="str">
        <f>IFERROR(IF(F135="SINAPI-S",VLOOKUP(E135,'20-B.SINAPI-S'!A:J,3,0),IF(F135="SINAPI-I",VLOOKUP(E135,'20-A.SINAPI-I'!A:G,3,0),IF(F135="COMP.EVENTUAL",VLOOKUP(E135,'11.COMPOSIÇÕES GERAIS'!B:I,3,0),VLOOKUP(E135,'12.COT.MERCADO'!A:I,7,0)))),"Em Elaboração")</f>
        <v>UN</v>
      </c>
      <c r="I135" s="936">
        <v>1.0</v>
      </c>
    </row>
    <row r="136">
      <c r="A136" s="931" t="s">
        <v>4466</v>
      </c>
      <c r="B136" s="931" t="s">
        <v>4487</v>
      </c>
      <c r="C136" s="932" t="s">
        <v>4306</v>
      </c>
      <c r="D136" s="933" t="s">
        <v>4488</v>
      </c>
      <c r="E136" s="939">
        <v>86883.0</v>
      </c>
      <c r="F136" s="937" t="s">
        <v>218</v>
      </c>
      <c r="G136" s="421" t="str">
        <f>IFERROR(IF(F136="SINAPI-S",VLOOKUP(E136,'20-B.SINAPI-S'!A:J,2,0),IF(F136="SINAPI-I",VLOOKUP(E136,'20-A.SINAPI-I'!A:G,2,0),IF(F136="COMP.EVENTUAL",VLOOKUP(E136,'11.COMPOSIÇÕES GERAIS'!B:I,2,0),VLOOKUP(E136,'12.COT.MERCADO'!A:I,2,0)))),"Em Elaboração")</f>
        <v>SIFÃO DO TIPO FLEXÍVEL EM PVC 1  X 1.1/2  - FORNECIMENTO E INSTALAÇÃO. AF_01/2020</v>
      </c>
      <c r="H136" s="934" t="str">
        <f>IFERROR(IF(F136="SINAPI-S",VLOOKUP(E136,'20-B.SINAPI-S'!A:J,3,0),IF(F136="SINAPI-I",VLOOKUP(E136,'20-A.SINAPI-I'!A:G,3,0),IF(F136="COMP.EVENTUAL",VLOOKUP(E136,'11.COMPOSIÇÕES GERAIS'!B:I,3,0),VLOOKUP(E136,'12.COT.MERCADO'!A:I,7,0)))),"Em Elaboração")</f>
        <v>UN</v>
      </c>
      <c r="I136" s="936">
        <v>1.0</v>
      </c>
    </row>
    <row r="137">
      <c r="A137" s="931" t="s">
        <v>4466</v>
      </c>
      <c r="B137" s="931" t="s">
        <v>4487</v>
      </c>
      <c r="C137" s="932" t="s">
        <v>4306</v>
      </c>
      <c r="D137" s="933" t="s">
        <v>4489</v>
      </c>
      <c r="E137" s="939">
        <v>95248.0</v>
      </c>
      <c r="F137" s="937" t="s">
        <v>218</v>
      </c>
      <c r="G137" s="421" t="str">
        <f>IFERROR(IF(F137="SINAPI-S",VLOOKUP(E137,'20-B.SINAPI-S'!A:J,2,0),IF(F137="SINAPI-I",VLOOKUP(E137,'20-A.SINAPI-I'!A:G,2,0),IF(F137="COMP.EVENTUAL",VLOOKUP(E137,'11.COMPOSIÇÕES GERAIS'!B:I,2,0),VLOOKUP(E137,'12.COT.MERCADO'!A:I,2,0)))),"Em Elaboração")</f>
        <v>VÁLVULA DE ESFERA BRUTA, BRONZE, ROSCÁVEL, 1/2" - FORNECIMENTO E INSTALAÇÃO. AF_08/2021</v>
      </c>
      <c r="H137" s="934" t="str">
        <f>IFERROR(IF(F137="SINAPI-S",VLOOKUP(E137,'20-B.SINAPI-S'!A:J,3,0),IF(F137="SINAPI-I",VLOOKUP(E137,'20-A.SINAPI-I'!A:G,3,0),IF(F137="COMP.EVENTUAL",VLOOKUP(E137,'11.COMPOSIÇÕES GERAIS'!B:I,3,0),VLOOKUP(E137,'12.COT.MERCADO'!A:I,7,0)))),"Em Elaboração")</f>
        <v>UN</v>
      </c>
      <c r="I137" s="936">
        <v>3.0</v>
      </c>
    </row>
    <row r="138">
      <c r="A138" s="931" t="s">
        <v>4466</v>
      </c>
      <c r="B138" s="931" t="s">
        <v>4490</v>
      </c>
      <c r="C138" s="932" t="s">
        <v>4274</v>
      </c>
      <c r="D138" s="933" t="s">
        <v>4491</v>
      </c>
      <c r="E138" s="939" t="s">
        <v>1857</v>
      </c>
      <c r="F138" s="935" t="s">
        <v>4276</v>
      </c>
      <c r="G138" s="421" t="str">
        <f>IFERROR(IF(F138="SINAPI-S",VLOOKUP(E138,'20-B.SINAPI-S'!A:J,2,0),IF(F138="SINAPI-I",VLOOKUP(E138,'20-A.SINAPI-I'!A:G,2,0),IF(F138="COMP.EVENTUAL",VLOOKUP(E138,'11.COMPOSIÇÕES GERAIS'!B:I,2,0),VLOOKUP(E138,'12.COT.MERCADO'!A:I,2,0)))),"Em Elaboração")</f>
        <v>VERIFICAÇÃO E TESTE DE PONTO/CIRCUITO COM EMISSÃO DE RELATÓRIO</v>
      </c>
      <c r="H138" s="934" t="str">
        <f>IFERROR(IF(F138="SINAPI-S",VLOOKUP(E138,'20-B.SINAPI-S'!A:J,3,0),IF(F138="SINAPI-I",VLOOKUP(E138,'20-A.SINAPI-I'!A:G,3,0),IF(F138="COMP.EVENTUAL",VLOOKUP(E138,'11.COMPOSIÇÕES GERAIS'!B:I,3,0),VLOOKUP(E138,'12.COT.MERCADO'!A:I,7,0)))),"Em Elaboração")</f>
        <v>UN</v>
      </c>
      <c r="I138" s="938">
        <v>1.0</v>
      </c>
    </row>
    <row r="139">
      <c r="A139" s="931" t="s">
        <v>4466</v>
      </c>
      <c r="B139" s="931" t="s">
        <v>4492</v>
      </c>
      <c r="C139" s="932" t="s">
        <v>4297</v>
      </c>
      <c r="D139" s="933" t="s">
        <v>4493</v>
      </c>
      <c r="E139" s="939">
        <v>87411.0</v>
      </c>
      <c r="F139" s="937" t="s">
        <v>218</v>
      </c>
      <c r="G139" s="421" t="str">
        <f>IFERROR(IF(F139="SINAPI-S",VLOOKUP(E139,'20-B.SINAPI-S'!A:J,2,0),IF(F139="SINAPI-I",VLOOKUP(E139,'20-A.SINAPI-I'!A:G,2,0),IF(F139="COMP.EVENTUAL",VLOOKUP(E139,'11.COMPOSIÇÕES GERAIS'!B:I,2,0),VLOOKUP(E139,'12.COT.MERCADO'!A:I,2,0)))),"Em Elaboração")</f>
        <v>APLICAÇÃO MANUAL DE GESSO DESEMPENADO (SEM TALISCAS) EM TETO DE AMBIENTES DE ÁREA MAIOR QUE 10M², ESPESSURA DE 0,5CM. AF_03/2023</v>
      </c>
      <c r="H139" s="934" t="str">
        <f>IFERROR(IF(F139="SINAPI-S",VLOOKUP(E139,'20-B.SINAPI-S'!A:J,3,0),IF(F139="SINAPI-I",VLOOKUP(E139,'20-A.SINAPI-I'!A:G,3,0),IF(F139="COMP.EVENTUAL",VLOOKUP(E139,'11.COMPOSIÇÕES GERAIS'!B:I,3,0),VLOOKUP(E139,'12.COT.MERCADO'!A:I,7,0)))),"Em Elaboração")</f>
        <v>M2</v>
      </c>
      <c r="I139" s="938">
        <v>1.0</v>
      </c>
    </row>
    <row r="140">
      <c r="A140" s="931" t="s">
        <v>4466</v>
      </c>
      <c r="B140" s="931" t="s">
        <v>4492</v>
      </c>
      <c r="C140" s="932" t="s">
        <v>4297</v>
      </c>
      <c r="D140" s="933" t="s">
        <v>4494</v>
      </c>
      <c r="E140" s="939">
        <v>97064.0</v>
      </c>
      <c r="F140" s="937" t="s">
        <v>218</v>
      </c>
      <c r="G140" s="421" t="str">
        <f>IFERROR(IF(F140="SINAPI-S",VLOOKUP(E140,'20-B.SINAPI-S'!A:J,2,0),IF(F140="SINAPI-I",VLOOKUP(E140,'20-A.SINAPI-I'!A:G,2,0),IF(F140="COMP.EVENTUAL",VLOOKUP(E140,'11.COMPOSIÇÕES GERAIS'!B:I,2,0),VLOOKUP(E140,'12.COT.MERCADO'!A:I,2,0)))),"Em Elaboração")</f>
        <v>MONTAGEM E DESMONTAGEM DE ANDAIME TUBULAR TIPO _x0093_TORRE_x0094_ (EXCLUSIVE ANDAIME E LIMPEZA). AF_11/2017</v>
      </c>
      <c r="H140" s="934" t="str">
        <f>IFERROR(IF(F140="SINAPI-S",VLOOKUP(E140,'20-B.SINAPI-S'!A:J,3,0),IF(F140="SINAPI-I",VLOOKUP(E140,'20-A.SINAPI-I'!A:G,3,0),IF(F140="COMP.EVENTUAL",VLOOKUP(E140,'11.COMPOSIÇÕES GERAIS'!B:I,3,0),VLOOKUP(E140,'12.COT.MERCADO'!A:I,7,0)))),"Em Elaboração")</f>
        <v>M</v>
      </c>
      <c r="I140" s="938">
        <v>6.0</v>
      </c>
    </row>
    <row r="141">
      <c r="A141" s="931" t="s">
        <v>4466</v>
      </c>
      <c r="B141" s="931" t="s">
        <v>4495</v>
      </c>
      <c r="C141" s="932" t="s">
        <v>4274</v>
      </c>
      <c r="D141" s="933" t="s">
        <v>4496</v>
      </c>
      <c r="E141" s="939">
        <v>92009.0</v>
      </c>
      <c r="F141" s="937" t="s">
        <v>218</v>
      </c>
      <c r="G141" s="421" t="str">
        <f>IFERROR(IF(F141="SINAPI-S",VLOOKUP(E141,'20-B.SINAPI-S'!A:J,2,0),IF(F141="SINAPI-I",VLOOKUP(E141,'20-A.SINAPI-I'!A:G,2,0),IF(F141="COMP.EVENTUAL",VLOOKUP(E141,'11.COMPOSIÇÕES GERAIS'!B:I,2,0),VLOOKUP(E141,'12.COT.MERCADO'!A:I,2,0)))),"Em Elaboração")</f>
        <v>TOMADA BAIXA DE EMBUTIR (2 MÓDULOS), 2P+T 20 A, INCLUINDO SUPORTE E PLACA - FORNECIMENTO E INSTALAÇÃO. AF_03/2023</v>
      </c>
      <c r="H141" s="934" t="str">
        <f>IFERROR(IF(F141="SINAPI-S",VLOOKUP(E141,'20-B.SINAPI-S'!A:J,3,0),IF(F141="SINAPI-I",VLOOKUP(E141,'20-A.SINAPI-I'!A:G,3,0),IF(F141="COMP.EVENTUAL",VLOOKUP(E141,'11.COMPOSIÇÕES GERAIS'!B:I,3,0),VLOOKUP(E141,'12.COT.MERCADO'!A:I,7,0)))),"Em Elaboração")</f>
        <v>UN</v>
      </c>
      <c r="I141" s="936">
        <v>1.0</v>
      </c>
    </row>
    <row r="142">
      <c r="A142" s="931" t="s">
        <v>4466</v>
      </c>
      <c r="B142" s="931" t="s">
        <v>4497</v>
      </c>
      <c r="C142" s="932" t="s">
        <v>4297</v>
      </c>
      <c r="D142" s="933" t="s">
        <v>4498</v>
      </c>
      <c r="E142" s="939">
        <v>90830.0</v>
      </c>
      <c r="F142" s="937" t="s">
        <v>218</v>
      </c>
      <c r="G142" s="421" t="str">
        <f>IFERROR(IF(F142="SINAPI-S",VLOOKUP(E142,'20-B.SINAPI-S'!A:J,2,0),IF(F142="SINAPI-I",VLOOKUP(E142,'20-A.SINAPI-I'!A:G,2,0),IF(F142="COMP.EVENTUAL",VLOOKUP(E142,'11.COMPOSIÇÕES GERAIS'!B:I,2,0),VLOOKUP(E142,'12.COT.MERCADO'!A:I,2,0)))),"Em Elaboração")</f>
        <v>FECHADURA DE EMBUTIR COM CILINDRO, EXTERNA, COMPLETA, ACABAMENTO PADRÃO MÉDIO, INCLUSO EXECUÇÃO DE FURO - FORNECIMENTO E INSTALAÇÃO. AF_12/2019</v>
      </c>
      <c r="H142" s="934" t="str">
        <f>IFERROR(IF(F142="SINAPI-S",VLOOKUP(E142,'20-B.SINAPI-S'!A:J,3,0),IF(F142="SINAPI-I",VLOOKUP(E142,'20-A.SINAPI-I'!A:G,3,0),IF(F142="COMP.EVENTUAL",VLOOKUP(E142,'11.COMPOSIÇÕES GERAIS'!B:I,3,0),VLOOKUP(E142,'12.COT.MERCADO'!A:I,7,0)))),"Em Elaboração")</f>
        <v>UN</v>
      </c>
      <c r="I142" s="936">
        <v>1.0</v>
      </c>
    </row>
    <row r="143">
      <c r="A143" s="931" t="s">
        <v>4466</v>
      </c>
      <c r="B143" s="931" t="s">
        <v>4499</v>
      </c>
      <c r="C143" s="932" t="s">
        <v>4274</v>
      </c>
      <c r="D143" s="933" t="s">
        <v>4344</v>
      </c>
      <c r="E143" s="939">
        <v>100903.0</v>
      </c>
      <c r="F143" s="937" t="s">
        <v>218</v>
      </c>
      <c r="G143" s="421" t="str">
        <f>IFERROR(IF(F143="SINAPI-S",VLOOKUP(E143,'20-B.SINAPI-S'!A:J,2,0),IF(F143="SINAPI-I",VLOOKUP(E143,'20-A.SINAPI-I'!A:G,2,0),IF(F143="COMP.EVENTUAL",VLOOKUP(E143,'11.COMPOSIÇÕES GERAIS'!B:I,2,0),VLOOKUP(E143,'12.COT.MERCADO'!A:I,2,0)))),"Em Elaboração")</f>
        <v>LÂMPADA TUBULAR LED DE 18/20 W, BASE G13 - FORNECIMENTO E INSTALAÇÃO. AF_02/2020_PS</v>
      </c>
      <c r="H143" s="934" t="str">
        <f>IFERROR(IF(F143="SINAPI-S",VLOOKUP(E143,'20-B.SINAPI-S'!A:J,3,0),IF(F143="SINAPI-I",VLOOKUP(E143,'20-A.SINAPI-I'!A:G,3,0),IF(F143="COMP.EVENTUAL",VLOOKUP(E143,'11.COMPOSIÇÕES GERAIS'!B:I,3,0),VLOOKUP(E143,'12.COT.MERCADO'!A:I,7,0)))),"Em Elaboração")</f>
        <v>UN</v>
      </c>
      <c r="I143" s="936">
        <v>6.0</v>
      </c>
    </row>
    <row r="144">
      <c r="A144" s="931" t="s">
        <v>4466</v>
      </c>
      <c r="B144" s="931" t="s">
        <v>4500</v>
      </c>
      <c r="C144" s="932" t="s">
        <v>4297</v>
      </c>
      <c r="D144" s="933" t="s">
        <v>4501</v>
      </c>
      <c r="E144" s="939">
        <v>102520.0</v>
      </c>
      <c r="F144" s="937" t="s">
        <v>218</v>
      </c>
      <c r="G144" s="421" t="str">
        <f>IFERROR(IF(F144="SINAPI-S",VLOOKUP(E144,'20-B.SINAPI-S'!A:J,2,0),IF(F144="SINAPI-I",VLOOKUP(E144,'20-A.SINAPI-I'!A:G,2,0),IF(F144="COMP.EVENTUAL",VLOOKUP(E144,'11.COMPOSIÇÕES GERAIS'!B:I,2,0),VLOOKUP(E144,'12.COT.MERCADO'!A:I,2,0)))),"Em Elaboração")</f>
        <v>PINTURA DE SINALIZAÇÃO VERTICAL DE SEGURANÇA, FAIXAS AMARELA E PRETA, APLICAÇÃO MANUAL, 2 DEMÃOS. AF_05/2021</v>
      </c>
      <c r="H144" s="934" t="str">
        <f>IFERROR(IF(F144="SINAPI-S",VLOOKUP(E144,'20-B.SINAPI-S'!A:J,3,0),IF(F144="SINAPI-I",VLOOKUP(E144,'20-A.SINAPI-I'!A:G,3,0),IF(F144="COMP.EVENTUAL",VLOOKUP(E144,'11.COMPOSIÇÕES GERAIS'!B:I,3,0),VLOOKUP(E144,'12.COT.MERCADO'!A:I,7,0)))),"Em Elaboração")</f>
        <v>M2</v>
      </c>
      <c r="I144" s="938">
        <v>30.0</v>
      </c>
    </row>
    <row r="145">
      <c r="A145" s="931" t="s">
        <v>4466</v>
      </c>
      <c r="B145" s="931" t="s">
        <v>4502</v>
      </c>
      <c r="C145" s="932" t="s">
        <v>4274</v>
      </c>
      <c r="D145" s="933" t="s">
        <v>4503</v>
      </c>
      <c r="E145" s="939">
        <v>97600.0</v>
      </c>
      <c r="F145" s="937" t="s">
        <v>218</v>
      </c>
      <c r="G145" s="421" t="str">
        <f>IFERROR(IF(F145="SINAPI-S",VLOOKUP(E145,'20-B.SINAPI-S'!A:J,2,0),IF(F145="SINAPI-I",VLOOKUP(E145,'20-A.SINAPI-I'!A:G,2,0),IF(F145="COMP.EVENTUAL",VLOOKUP(E145,'11.COMPOSIÇÕES GERAIS'!B:I,2,0),VLOOKUP(E145,'12.COT.MERCADO'!A:I,2,0)))),"Em Elaboração")</f>
        <v>REFLETOR EM ALUMÍNIO, DE SUPORTE E ALÇA, COM 1 LÂMPADA VAPOR DE MERCÚRIO DE 125 W, COM REATOR ALTO FATOR DE POTÊNCIA - FORNECIMENTO E INSTALAÇÃO. AF_02/2020</v>
      </c>
      <c r="H145" s="934" t="str">
        <f>IFERROR(IF(F145="SINAPI-S",VLOOKUP(E145,'20-B.SINAPI-S'!A:J,3,0),IF(F145="SINAPI-I",VLOOKUP(E145,'20-A.SINAPI-I'!A:G,3,0),IF(F145="COMP.EVENTUAL",VLOOKUP(E145,'11.COMPOSIÇÕES GERAIS'!B:I,3,0),VLOOKUP(E145,'12.COT.MERCADO'!A:I,7,0)))),"Em Elaboração")</f>
        <v>UN</v>
      </c>
      <c r="I145" s="938">
        <v>2.0</v>
      </c>
    </row>
    <row r="146">
      <c r="A146" s="931" t="s">
        <v>4466</v>
      </c>
      <c r="B146" s="931" t="s">
        <v>4504</v>
      </c>
      <c r="C146" s="932" t="s">
        <v>4297</v>
      </c>
      <c r="D146" s="933" t="s">
        <v>4315</v>
      </c>
      <c r="E146" s="939">
        <v>90825.0</v>
      </c>
      <c r="F146" s="937" t="s">
        <v>218</v>
      </c>
      <c r="G146" s="421" t="str">
        <f>IFERROR(IF(F146="SINAPI-S",VLOOKUP(E146,'20-B.SINAPI-S'!A:J,2,0),IF(F146="SINAPI-I",VLOOKUP(E146,'20-A.SINAPI-I'!A:G,2,0),IF(F146="COMP.EVENTUAL",VLOOKUP(E146,'11.COMPOSIÇÕES GERAIS'!B:I,2,0),VLOOKUP(E146,'12.COT.MERCADO'!A:I,2,0)))),"Em Elaboração")</f>
        <v>PORTA DE MADEIRA, MACIÇA (PESADA OU SUPERPESADA), 90X210CM, ESPESSURA DE 3,5CM, INCLUSO DOBRADIÇAS - FORNECIMENTO E INSTALAÇÃO. AF_12/2019</v>
      </c>
      <c r="H146" s="934" t="str">
        <f>IFERROR(IF(F146="SINAPI-S",VLOOKUP(E146,'20-B.SINAPI-S'!A:J,3,0),IF(F146="SINAPI-I",VLOOKUP(E146,'20-A.SINAPI-I'!A:G,3,0),IF(F146="COMP.EVENTUAL",VLOOKUP(E146,'11.COMPOSIÇÕES GERAIS'!B:I,3,0),VLOOKUP(E146,'12.COT.MERCADO'!A:I,7,0)))),"Em Elaboração")</f>
        <v>UN</v>
      </c>
      <c r="I146" s="936">
        <v>1.0</v>
      </c>
    </row>
    <row r="147">
      <c r="A147" s="931" t="s">
        <v>4466</v>
      </c>
      <c r="B147" s="931" t="s">
        <v>4505</v>
      </c>
      <c r="C147" s="932" t="s">
        <v>4274</v>
      </c>
      <c r="D147" s="933" t="s">
        <v>4344</v>
      </c>
      <c r="E147" s="939">
        <v>100903.0</v>
      </c>
      <c r="F147" s="937" t="s">
        <v>218</v>
      </c>
      <c r="G147" s="421" t="str">
        <f>IFERROR(IF(F147="SINAPI-S",VLOOKUP(E147,'20-B.SINAPI-S'!A:J,2,0),IF(F147="SINAPI-I",VLOOKUP(E147,'20-A.SINAPI-I'!A:G,2,0),IF(F147="COMP.EVENTUAL",VLOOKUP(E147,'11.COMPOSIÇÕES GERAIS'!B:I,2,0),VLOOKUP(E147,'12.COT.MERCADO'!A:I,2,0)))),"Em Elaboração")</f>
        <v>LÂMPADA TUBULAR LED DE 18/20 W, BASE G13 - FORNECIMENTO E INSTALAÇÃO. AF_02/2020_PS</v>
      </c>
      <c r="H147" s="934" t="str">
        <f>IFERROR(IF(F147="SINAPI-S",VLOOKUP(E147,'20-B.SINAPI-S'!A:J,3,0),IF(F147="SINAPI-I",VLOOKUP(E147,'20-A.SINAPI-I'!A:G,3,0),IF(F147="COMP.EVENTUAL",VLOOKUP(E147,'11.COMPOSIÇÕES GERAIS'!B:I,3,0),VLOOKUP(E147,'12.COT.MERCADO'!A:I,7,0)))),"Em Elaboração")</f>
        <v>UN</v>
      </c>
      <c r="I147" s="936">
        <v>8.0</v>
      </c>
    </row>
    <row r="148">
      <c r="A148" s="931" t="s">
        <v>4466</v>
      </c>
      <c r="B148" s="931" t="s">
        <v>4506</v>
      </c>
      <c r="C148" s="932" t="s">
        <v>4274</v>
      </c>
      <c r="D148" s="933" t="s">
        <v>4496</v>
      </c>
      <c r="E148" s="939">
        <v>92009.0</v>
      </c>
      <c r="F148" s="937" t="s">
        <v>218</v>
      </c>
      <c r="G148" s="421" t="str">
        <f>IFERROR(IF(F148="SINAPI-S",VLOOKUP(E148,'20-B.SINAPI-S'!A:J,2,0),IF(F148="SINAPI-I",VLOOKUP(E148,'20-A.SINAPI-I'!A:G,2,0),IF(F148="COMP.EVENTUAL",VLOOKUP(E148,'11.COMPOSIÇÕES GERAIS'!B:I,2,0),VLOOKUP(E148,'12.COT.MERCADO'!A:I,2,0)))),"Em Elaboração")</f>
        <v>TOMADA BAIXA DE EMBUTIR (2 MÓDULOS), 2P+T 20 A, INCLUINDO SUPORTE E PLACA - FORNECIMENTO E INSTALAÇÃO. AF_03/2023</v>
      </c>
      <c r="H148" s="934" t="str">
        <f>IFERROR(IF(F148="SINAPI-S",VLOOKUP(E148,'20-B.SINAPI-S'!A:J,3,0),IF(F148="SINAPI-I",VLOOKUP(E148,'20-A.SINAPI-I'!A:G,3,0),IF(F148="COMP.EVENTUAL",VLOOKUP(E148,'11.COMPOSIÇÕES GERAIS'!B:I,3,0),VLOOKUP(E148,'12.COT.MERCADO'!A:I,7,0)))),"Em Elaboração")</f>
        <v>UN</v>
      </c>
      <c r="I148" s="936">
        <v>1.0</v>
      </c>
    </row>
    <row r="149">
      <c r="A149" s="931" t="s">
        <v>4466</v>
      </c>
      <c r="B149" s="931" t="s">
        <v>4507</v>
      </c>
      <c r="C149" s="932" t="s">
        <v>4274</v>
      </c>
      <c r="D149" s="933" t="s">
        <v>4344</v>
      </c>
      <c r="E149" s="939">
        <v>100903.0</v>
      </c>
      <c r="F149" s="937" t="s">
        <v>218</v>
      </c>
      <c r="G149" s="421" t="str">
        <f>IFERROR(IF(F149="SINAPI-S",VLOOKUP(E149,'20-B.SINAPI-S'!A:J,2,0),IF(F149="SINAPI-I",VLOOKUP(E149,'20-A.SINAPI-I'!A:G,2,0),IF(F149="COMP.EVENTUAL",VLOOKUP(E149,'11.COMPOSIÇÕES GERAIS'!B:I,2,0),VLOOKUP(E149,'12.COT.MERCADO'!A:I,2,0)))),"Em Elaboração")</f>
        <v>LÂMPADA TUBULAR LED DE 18/20 W, BASE G13 - FORNECIMENTO E INSTALAÇÃO. AF_02/2020_PS</v>
      </c>
      <c r="H149" s="934" t="str">
        <f>IFERROR(IF(F149="SINAPI-S",VLOOKUP(E149,'20-B.SINAPI-S'!A:J,3,0),IF(F149="SINAPI-I",VLOOKUP(E149,'20-A.SINAPI-I'!A:G,3,0),IF(F149="COMP.EVENTUAL",VLOOKUP(E149,'11.COMPOSIÇÕES GERAIS'!B:I,3,0),VLOOKUP(E149,'12.COT.MERCADO'!A:I,7,0)))),"Em Elaboração")</f>
        <v>UN</v>
      </c>
      <c r="I149" s="936">
        <v>2.0</v>
      </c>
    </row>
    <row r="150">
      <c r="A150" s="931" t="s">
        <v>4466</v>
      </c>
      <c r="B150" s="931" t="s">
        <v>4508</v>
      </c>
      <c r="C150" s="932" t="s">
        <v>4297</v>
      </c>
      <c r="D150" s="933" t="s">
        <v>4326</v>
      </c>
      <c r="E150" s="940" t="s">
        <v>1949</v>
      </c>
      <c r="F150" s="937" t="s">
        <v>4276</v>
      </c>
      <c r="G150" s="421" t="str">
        <f>IFERROR(IF(F150="SINAPI-S",VLOOKUP(E150,'20-B.SINAPI-S'!A:J,2,0),IF(F150="SINAPI-I",VLOOKUP(E150,'20-A.SINAPI-I'!A:G,2,0),IF(F150="COMP.EVENTUAL",VLOOKUP(E150,'11.COMPOSIÇÕES GERAIS'!B:I,2,0),VLOOKUP(E150,'12.COT.MERCADO'!A:I,2,0)))),"Em Elaboração")</f>
        <v>SERVIÇO DE MONTAGEM DE MÓVEIS/ARMÁRIOS EM MDF</v>
      </c>
      <c r="H150" s="934" t="str">
        <f>IFERROR(IF(F150="SINAPI-S",VLOOKUP(E150,'20-B.SINAPI-S'!A:J,3,0),IF(F150="SINAPI-I",VLOOKUP(E150,'20-A.SINAPI-I'!A:G,3,0),IF(F150="COMP.EVENTUAL",VLOOKUP(E150,'11.COMPOSIÇÕES GERAIS'!B:I,3,0),VLOOKUP(E150,'12.COT.MERCADO'!A:I,7,0)))),"Em Elaboração")</f>
        <v>M2</v>
      </c>
      <c r="I150" s="936" t="s">
        <v>4509</v>
      </c>
    </row>
    <row r="151">
      <c r="A151" s="931" t="s">
        <v>4466</v>
      </c>
      <c r="B151" s="931" t="s">
        <v>4510</v>
      </c>
      <c r="C151" s="932" t="s">
        <v>4306</v>
      </c>
      <c r="D151" s="933" t="s">
        <v>4511</v>
      </c>
      <c r="E151" s="939">
        <v>98546.0</v>
      </c>
      <c r="F151" s="937" t="s">
        <v>218</v>
      </c>
      <c r="G151" s="421" t="str">
        <f>IFERROR(IF(F151="SINAPI-S",VLOOKUP(E151,'20-B.SINAPI-S'!A:J,2,0),IF(F151="SINAPI-I",VLOOKUP(E151,'20-A.SINAPI-I'!A:G,2,0),IF(F151="COMP.EVENTUAL",VLOOKUP(E151,'11.COMPOSIÇÕES GERAIS'!B:I,2,0),VLOOKUP(E151,'12.COT.MERCADO'!A:I,2,0)))),"Em Elaboração")</f>
        <v>IMPERMEABILIZAÇÃO DE SUPERFÍCIE COM MANTA ASFÁLTICA, UMA CAMADA, INCLUSIVE APLICAÇÃO DE PRIMER ASFÁLTICO, E=3MM. AF_06/2018</v>
      </c>
      <c r="H151" s="934" t="str">
        <f>IFERROR(IF(F151="SINAPI-S",VLOOKUP(E151,'20-B.SINAPI-S'!A:J,3,0),IF(F151="SINAPI-I",VLOOKUP(E151,'20-A.SINAPI-I'!A:G,3,0),IF(F151="COMP.EVENTUAL",VLOOKUP(E151,'11.COMPOSIÇÕES GERAIS'!B:I,3,0),VLOOKUP(E151,'12.COT.MERCADO'!A:I,7,0)))),"Em Elaboração")</f>
        <v>M2</v>
      </c>
      <c r="I151" s="938">
        <v>1.0</v>
      </c>
    </row>
    <row r="152">
      <c r="A152" s="931" t="s">
        <v>4466</v>
      </c>
      <c r="B152" s="931" t="s">
        <v>4512</v>
      </c>
      <c r="C152" s="932" t="s">
        <v>4274</v>
      </c>
      <c r="D152" s="933" t="s">
        <v>4513</v>
      </c>
      <c r="E152" s="940">
        <v>100903.0</v>
      </c>
      <c r="F152" s="937" t="s">
        <v>218</v>
      </c>
      <c r="G152" s="421" t="str">
        <f>IFERROR(IF(F152="SINAPI-S",VLOOKUP(E152,'20-B.SINAPI-S'!A:J,2,0),IF(F152="SINAPI-I",VLOOKUP(E152,'20-A.SINAPI-I'!A:G,2,0),IF(F152="COMP.EVENTUAL",VLOOKUP(E152,'11.COMPOSIÇÕES GERAIS'!B:I,2,0),VLOOKUP(E152,'12.COT.MERCADO'!A:I,2,0)))),"Em Elaboração")</f>
        <v>LÂMPADA TUBULAR LED DE 18/20 W, BASE G13 - FORNECIMENTO E INSTALAÇÃO. AF_02/2020_PS</v>
      </c>
      <c r="H152" s="934" t="str">
        <f>IFERROR(IF(F152="SINAPI-S",VLOOKUP(E152,'20-B.SINAPI-S'!A:J,3,0),IF(F152="SINAPI-I",VLOOKUP(E152,'20-A.SINAPI-I'!A:G,3,0),IF(F152="COMP.EVENTUAL",VLOOKUP(E152,'11.COMPOSIÇÕES GERAIS'!B:I,3,0),VLOOKUP(E152,'12.COT.MERCADO'!A:I,7,0)))),"Em Elaboração")</f>
        <v>UN</v>
      </c>
      <c r="I152" s="936">
        <v>2.0</v>
      </c>
    </row>
    <row r="153">
      <c r="A153" s="931" t="s">
        <v>4466</v>
      </c>
      <c r="B153" s="931" t="s">
        <v>4514</v>
      </c>
      <c r="C153" s="932" t="s">
        <v>4297</v>
      </c>
      <c r="D153" s="933" t="s">
        <v>4515</v>
      </c>
      <c r="E153" s="940" t="s">
        <v>1812</v>
      </c>
      <c r="F153" s="937" t="s">
        <v>4276</v>
      </c>
      <c r="G153" s="421" t="str">
        <f>IFERROR(IF(F153="SINAPI-S",VLOOKUP(E153,'20-B.SINAPI-S'!A:J,2,0),IF(F153="SINAPI-I",VLOOKUP(E153,'20-A.SINAPI-I'!A:G,2,0),IF(F153="COMP.EVENTUAL",VLOOKUP(E153,'11.COMPOSIÇÕES GERAIS'!B:I,2,0),VLOOKUP(E153,'12.COT.MERCADO'!A:I,2,0)))),"Em Elaboração")</f>
        <v>RETIRADA E RECOLOCAÇÃO DE DIVISÓRIA NAVAL</v>
      </c>
      <c r="H153" s="934" t="str">
        <f>IFERROR(IF(F153="SINAPI-S",VLOOKUP(E153,'20-B.SINAPI-S'!A:J,3,0),IF(F153="SINAPI-I",VLOOKUP(E153,'20-A.SINAPI-I'!A:G,3,0),IF(F153="COMP.EVENTUAL",VLOOKUP(E153,'11.COMPOSIÇÕES GERAIS'!B:I,3,0),VLOOKUP(E153,'12.COT.MERCADO'!A:I,7,0)))),"Em Elaboração")</f>
        <v>M2</v>
      </c>
      <c r="I153" s="938">
        <v>4.0</v>
      </c>
    </row>
    <row r="154">
      <c r="A154" s="931" t="s">
        <v>4466</v>
      </c>
      <c r="B154" s="931" t="s">
        <v>4516</v>
      </c>
      <c r="C154" s="932" t="s">
        <v>4274</v>
      </c>
      <c r="D154" s="933" t="s">
        <v>4517</v>
      </c>
      <c r="E154" s="939">
        <v>100903.0</v>
      </c>
      <c r="F154" s="937" t="s">
        <v>218</v>
      </c>
      <c r="G154" s="421" t="str">
        <f>IFERROR(IF(F154="SINAPI-S",VLOOKUP(E154,'20-B.SINAPI-S'!A:J,2,0),IF(F154="SINAPI-I",VLOOKUP(E154,'20-A.SINAPI-I'!A:G,2,0),IF(F154="COMP.EVENTUAL",VLOOKUP(E154,'11.COMPOSIÇÕES GERAIS'!B:I,2,0),VLOOKUP(E154,'12.COT.MERCADO'!A:I,2,0)))),"Em Elaboração")</f>
        <v>LÂMPADA TUBULAR LED DE 18/20 W, BASE G13 - FORNECIMENTO E INSTALAÇÃO. AF_02/2020_PS</v>
      </c>
      <c r="H154" s="934" t="str">
        <f>IFERROR(IF(F154="SINAPI-S",VLOOKUP(E154,'20-B.SINAPI-S'!A:J,3,0),IF(F154="SINAPI-I",VLOOKUP(E154,'20-A.SINAPI-I'!A:G,3,0),IF(F154="COMP.EVENTUAL",VLOOKUP(E154,'11.COMPOSIÇÕES GERAIS'!B:I,3,0),VLOOKUP(E154,'12.COT.MERCADO'!A:I,7,0)))),"Em Elaboração")</f>
        <v>UN</v>
      </c>
      <c r="I154" s="936">
        <v>8.0</v>
      </c>
    </row>
    <row r="155">
      <c r="A155" s="931" t="s">
        <v>4466</v>
      </c>
      <c r="B155" s="931" t="s">
        <v>4516</v>
      </c>
      <c r="C155" s="932" t="s">
        <v>4297</v>
      </c>
      <c r="D155" s="933" t="s">
        <v>4518</v>
      </c>
      <c r="E155" s="939">
        <v>96113.0</v>
      </c>
      <c r="F155" s="937" t="s">
        <v>218</v>
      </c>
      <c r="G155" s="421" t="str">
        <f>IFERROR(IF(F155="SINAPI-S",VLOOKUP(E155,'20-B.SINAPI-S'!A:J,2,0),IF(F155="SINAPI-I",VLOOKUP(E155,'20-A.SINAPI-I'!A:G,2,0),IF(F155="COMP.EVENTUAL",VLOOKUP(E155,'11.COMPOSIÇÕES GERAIS'!B:I,2,0),VLOOKUP(E155,'12.COT.MERCADO'!A:I,2,0)))),"Em Elaboração")</f>
        <v>FORRO EM PLACAS DE GESSO, PARA AMBIENTES COMERCIAIS. AF_05/2017_PS</v>
      </c>
      <c r="H155" s="934" t="str">
        <f>IFERROR(IF(F155="SINAPI-S",VLOOKUP(E155,'20-B.SINAPI-S'!A:J,3,0),IF(F155="SINAPI-I",VLOOKUP(E155,'20-A.SINAPI-I'!A:G,3,0),IF(F155="COMP.EVENTUAL",VLOOKUP(E155,'11.COMPOSIÇÕES GERAIS'!B:I,3,0),VLOOKUP(E155,'12.COT.MERCADO'!A:I,7,0)))),"Em Elaboração")</f>
        <v>M2</v>
      </c>
      <c r="I155" s="936">
        <v>4.0</v>
      </c>
    </row>
    <row r="156">
      <c r="A156" s="931" t="s">
        <v>4466</v>
      </c>
      <c r="B156" s="931" t="s">
        <v>4519</v>
      </c>
      <c r="C156" s="932" t="s">
        <v>4274</v>
      </c>
      <c r="D156" s="933" t="s">
        <v>4520</v>
      </c>
      <c r="E156" s="939">
        <v>97611.0</v>
      </c>
      <c r="F156" s="937" t="s">
        <v>218</v>
      </c>
      <c r="G156" s="421" t="str">
        <f>IFERROR(IF(F156="SINAPI-S",VLOOKUP(E156,'20-B.SINAPI-S'!A:J,2,0),IF(F156="SINAPI-I",VLOOKUP(E156,'20-A.SINAPI-I'!A:G,2,0),IF(F156="COMP.EVENTUAL",VLOOKUP(E156,'11.COMPOSIÇÕES GERAIS'!B:I,2,0),VLOOKUP(E156,'12.COT.MERCADO'!A:I,2,0)))),"Em Elaboração")</f>
        <v>LÂMPADA COMPACTA FLUORESCENTE DE 15 W, BASE E27 - FORNECIMENTO E INSTALAÇÃO. AF_02/2020</v>
      </c>
      <c r="H156" s="934" t="str">
        <f>IFERROR(IF(F156="SINAPI-S",VLOOKUP(E156,'20-B.SINAPI-S'!A:J,3,0),IF(F156="SINAPI-I",VLOOKUP(E156,'20-A.SINAPI-I'!A:G,3,0),IF(F156="COMP.EVENTUAL",VLOOKUP(E156,'11.COMPOSIÇÕES GERAIS'!B:I,3,0),VLOOKUP(E156,'12.COT.MERCADO'!A:I,7,0)))),"Em Elaboração")</f>
        <v>UN</v>
      </c>
      <c r="I156" s="936">
        <v>2.0</v>
      </c>
    </row>
    <row r="157">
      <c r="A157" s="931" t="s">
        <v>4466</v>
      </c>
      <c r="B157" s="931" t="s">
        <v>4521</v>
      </c>
      <c r="C157" s="932" t="s">
        <v>4274</v>
      </c>
      <c r="D157" s="933" t="s">
        <v>4522</v>
      </c>
      <c r="E157" s="939">
        <v>100860.0</v>
      </c>
      <c r="F157" s="937" t="s">
        <v>218</v>
      </c>
      <c r="G157" s="421" t="str">
        <f>IFERROR(IF(F157="SINAPI-S",VLOOKUP(E157,'20-B.SINAPI-S'!A:J,2,0),IF(F157="SINAPI-I",VLOOKUP(E157,'20-A.SINAPI-I'!A:G,2,0),IF(F157="COMP.EVENTUAL",VLOOKUP(E157,'11.COMPOSIÇÕES GERAIS'!B:I,2,0),VLOOKUP(E157,'12.COT.MERCADO'!A:I,2,0)))),"Em Elaboração")</f>
        <v>CHUVEIRO ELÉTRICO COMUM CORPO PLÁSTICO, TIPO DUCHA _x0096_ FORNECIMENTO E INSTALAÇÃO. AF_01/2020</v>
      </c>
      <c r="H157" s="934" t="str">
        <f>IFERROR(IF(F157="SINAPI-S",VLOOKUP(E157,'20-B.SINAPI-S'!A:J,3,0),IF(F157="SINAPI-I",VLOOKUP(E157,'20-A.SINAPI-I'!A:G,3,0),IF(F157="COMP.EVENTUAL",VLOOKUP(E157,'11.COMPOSIÇÕES GERAIS'!B:I,3,0),VLOOKUP(E157,'12.COT.MERCADO'!A:I,7,0)))),"Em Elaboração")</f>
        <v>UN</v>
      </c>
      <c r="I157" s="936">
        <v>1.0</v>
      </c>
    </row>
    <row r="158">
      <c r="A158" s="931" t="s">
        <v>4466</v>
      </c>
      <c r="B158" s="931" t="s">
        <v>4523</v>
      </c>
      <c r="C158" s="932" t="s">
        <v>4274</v>
      </c>
      <c r="D158" s="933" t="s">
        <v>4295</v>
      </c>
      <c r="E158" s="939">
        <v>100903.0</v>
      </c>
      <c r="F158" s="937" t="s">
        <v>218</v>
      </c>
      <c r="G158" s="421" t="str">
        <f>IFERROR(IF(F158="SINAPI-S",VLOOKUP(E158,'20-B.SINAPI-S'!A:J,2,0),IF(F158="SINAPI-I",VLOOKUP(E158,'20-A.SINAPI-I'!A:G,2,0),IF(F158="COMP.EVENTUAL",VLOOKUP(E158,'11.COMPOSIÇÕES GERAIS'!B:I,2,0),VLOOKUP(E158,'12.COT.MERCADO'!A:I,2,0)))),"Em Elaboração")</f>
        <v>LÂMPADA TUBULAR LED DE 18/20 W, BASE G13 - FORNECIMENTO E INSTALAÇÃO. AF_02/2020_PS</v>
      </c>
      <c r="H158" s="934" t="str">
        <f>IFERROR(IF(F158="SINAPI-S",VLOOKUP(E158,'20-B.SINAPI-S'!A:J,3,0),IF(F158="SINAPI-I",VLOOKUP(E158,'20-A.SINAPI-I'!A:G,3,0),IF(F158="COMP.EVENTUAL",VLOOKUP(E158,'11.COMPOSIÇÕES GERAIS'!B:I,3,0),VLOOKUP(E158,'12.COT.MERCADO'!A:I,7,0)))),"Em Elaboração")</f>
        <v>UN</v>
      </c>
      <c r="I158" s="936">
        <v>6.0</v>
      </c>
    </row>
    <row r="159">
      <c r="A159" s="931" t="s">
        <v>4466</v>
      </c>
      <c r="B159" s="931" t="s">
        <v>4523</v>
      </c>
      <c r="C159" s="932" t="s">
        <v>4274</v>
      </c>
      <c r="D159" s="933" t="s">
        <v>4520</v>
      </c>
      <c r="E159" s="939">
        <v>97611.0</v>
      </c>
      <c r="F159" s="937" t="s">
        <v>218</v>
      </c>
      <c r="G159" s="421" t="str">
        <f>IFERROR(IF(F159="SINAPI-S",VLOOKUP(E159,'20-B.SINAPI-S'!A:J,2,0),IF(F159="SINAPI-I",VLOOKUP(E159,'20-A.SINAPI-I'!A:G,2,0),IF(F159="COMP.EVENTUAL",VLOOKUP(E159,'11.COMPOSIÇÕES GERAIS'!B:I,2,0),VLOOKUP(E159,'12.COT.MERCADO'!A:I,2,0)))),"Em Elaboração")</f>
        <v>LÂMPADA COMPACTA FLUORESCENTE DE 15 W, BASE E27 - FORNECIMENTO E INSTALAÇÃO. AF_02/2020</v>
      </c>
      <c r="H159" s="934" t="str">
        <f>IFERROR(IF(F159="SINAPI-S",VLOOKUP(E159,'20-B.SINAPI-S'!A:J,3,0),IF(F159="SINAPI-I",VLOOKUP(E159,'20-A.SINAPI-I'!A:G,3,0),IF(F159="COMP.EVENTUAL",VLOOKUP(E159,'11.COMPOSIÇÕES GERAIS'!B:I,3,0),VLOOKUP(E159,'12.COT.MERCADO'!A:I,7,0)))),"Em Elaboração")</f>
        <v>UN</v>
      </c>
      <c r="I159" s="936">
        <v>2.0</v>
      </c>
    </row>
    <row r="160">
      <c r="A160" s="931" t="s">
        <v>4466</v>
      </c>
      <c r="B160" s="931" t="s">
        <v>4524</v>
      </c>
      <c r="C160" s="932" t="s">
        <v>4274</v>
      </c>
      <c r="D160" s="933" t="s">
        <v>4295</v>
      </c>
      <c r="E160" s="939">
        <v>100903.0</v>
      </c>
      <c r="F160" s="937" t="s">
        <v>218</v>
      </c>
      <c r="G160" s="421" t="str">
        <f>IFERROR(IF(F160="SINAPI-S",VLOOKUP(E160,'20-B.SINAPI-S'!A:J,2,0),IF(F160="SINAPI-I",VLOOKUP(E160,'20-A.SINAPI-I'!A:G,2,0),IF(F160="COMP.EVENTUAL",VLOOKUP(E160,'11.COMPOSIÇÕES GERAIS'!B:I,2,0),VLOOKUP(E160,'12.COT.MERCADO'!A:I,2,0)))),"Em Elaboração")</f>
        <v>LÂMPADA TUBULAR LED DE 18/20 W, BASE G13 - FORNECIMENTO E INSTALAÇÃO. AF_02/2020_PS</v>
      </c>
      <c r="H160" s="934" t="str">
        <f>IFERROR(IF(F160="SINAPI-S",VLOOKUP(E160,'20-B.SINAPI-S'!A:J,3,0),IF(F160="SINAPI-I",VLOOKUP(E160,'20-A.SINAPI-I'!A:G,3,0),IF(F160="COMP.EVENTUAL",VLOOKUP(E160,'11.COMPOSIÇÕES GERAIS'!B:I,3,0),VLOOKUP(E160,'12.COT.MERCADO'!A:I,7,0)))),"Em Elaboração")</f>
        <v>UN</v>
      </c>
      <c r="I160" s="936">
        <v>8.0</v>
      </c>
    </row>
    <row r="161">
      <c r="A161" s="931" t="s">
        <v>4466</v>
      </c>
      <c r="B161" s="931" t="s">
        <v>4525</v>
      </c>
      <c r="C161" s="932" t="s">
        <v>4274</v>
      </c>
      <c r="D161" s="933" t="s">
        <v>4295</v>
      </c>
      <c r="E161" s="939">
        <v>100903.0</v>
      </c>
      <c r="F161" s="937" t="s">
        <v>218</v>
      </c>
      <c r="G161" s="421" t="str">
        <f>IFERROR(IF(F161="SINAPI-S",VLOOKUP(E161,'20-B.SINAPI-S'!A:J,2,0),IF(F161="SINAPI-I",VLOOKUP(E161,'20-A.SINAPI-I'!A:G,2,0),IF(F161="COMP.EVENTUAL",VLOOKUP(E161,'11.COMPOSIÇÕES GERAIS'!B:I,2,0),VLOOKUP(E161,'12.COT.MERCADO'!A:I,2,0)))),"Em Elaboração")</f>
        <v>LÂMPADA TUBULAR LED DE 18/20 W, BASE G13 - FORNECIMENTO E INSTALAÇÃO. AF_02/2020_PS</v>
      </c>
      <c r="H161" s="934" t="str">
        <f>IFERROR(IF(F161="SINAPI-S",VLOOKUP(E161,'20-B.SINAPI-S'!A:J,3,0),IF(F161="SINAPI-I",VLOOKUP(E161,'20-A.SINAPI-I'!A:G,3,0),IF(F161="COMP.EVENTUAL",VLOOKUP(E161,'11.COMPOSIÇÕES GERAIS'!B:I,3,0),VLOOKUP(E161,'12.COT.MERCADO'!A:I,7,0)))),"Em Elaboração")</f>
        <v>UN</v>
      </c>
      <c r="I161" s="936">
        <v>6.0</v>
      </c>
    </row>
    <row r="162">
      <c r="A162" s="931" t="s">
        <v>4466</v>
      </c>
      <c r="B162" s="931" t="s">
        <v>4526</v>
      </c>
      <c r="C162" s="932" t="s">
        <v>4306</v>
      </c>
      <c r="D162" s="933" t="s">
        <v>4527</v>
      </c>
      <c r="E162" s="939">
        <v>90825.0</v>
      </c>
      <c r="F162" s="937" t="s">
        <v>218</v>
      </c>
      <c r="G162" s="421" t="str">
        <f>IFERROR(IF(F162="SINAPI-S",VLOOKUP(E162,'20-B.SINAPI-S'!A:J,2,0),IF(F162="SINAPI-I",VLOOKUP(E162,'20-A.SINAPI-I'!A:G,2,0),IF(F162="COMP.EVENTUAL",VLOOKUP(E162,'11.COMPOSIÇÕES GERAIS'!B:I,2,0),VLOOKUP(E162,'12.COT.MERCADO'!A:I,2,0)))),"Em Elaboração")</f>
        <v>PORTA DE MADEIRA, MACIÇA (PESADA OU SUPERPESADA), 90X210CM, ESPESSURA DE 3,5CM, INCLUSO DOBRADIÇAS - FORNECIMENTO E INSTALAÇÃO. AF_12/2019</v>
      </c>
      <c r="H162" s="934" t="str">
        <f>IFERROR(IF(F162="SINAPI-S",VLOOKUP(E162,'20-B.SINAPI-S'!A:J,3,0),IF(F162="SINAPI-I",VLOOKUP(E162,'20-A.SINAPI-I'!A:G,3,0),IF(F162="COMP.EVENTUAL",VLOOKUP(E162,'11.COMPOSIÇÕES GERAIS'!B:I,3,0),VLOOKUP(E162,'12.COT.MERCADO'!A:I,7,0)))),"Em Elaboração")</f>
        <v>UN</v>
      </c>
      <c r="I162" s="936">
        <v>1.0</v>
      </c>
    </row>
    <row r="163">
      <c r="A163" s="931" t="s">
        <v>4466</v>
      </c>
      <c r="B163" s="931" t="s">
        <v>4528</v>
      </c>
      <c r="C163" s="932" t="s">
        <v>4274</v>
      </c>
      <c r="D163" s="933" t="s">
        <v>4295</v>
      </c>
      <c r="E163" s="939">
        <v>100903.0</v>
      </c>
      <c r="F163" s="937" t="s">
        <v>218</v>
      </c>
      <c r="G163" s="421" t="str">
        <f>IFERROR(IF(F163="SINAPI-S",VLOOKUP(E163,'20-B.SINAPI-S'!A:J,2,0),IF(F163="SINAPI-I",VLOOKUP(E163,'20-A.SINAPI-I'!A:G,2,0),IF(F163="COMP.EVENTUAL",VLOOKUP(E163,'11.COMPOSIÇÕES GERAIS'!B:I,2,0),VLOOKUP(E163,'12.COT.MERCADO'!A:I,2,0)))),"Em Elaboração")</f>
        <v>LÂMPADA TUBULAR LED DE 18/20 W, BASE G13 - FORNECIMENTO E INSTALAÇÃO. AF_02/2020_PS</v>
      </c>
      <c r="H163" s="934" t="str">
        <f>IFERROR(IF(F163="SINAPI-S",VLOOKUP(E163,'20-B.SINAPI-S'!A:J,3,0),IF(F163="SINAPI-I",VLOOKUP(E163,'20-A.SINAPI-I'!A:G,3,0),IF(F163="COMP.EVENTUAL",VLOOKUP(E163,'11.COMPOSIÇÕES GERAIS'!B:I,3,0),VLOOKUP(E163,'12.COT.MERCADO'!A:I,7,0)))),"Em Elaboração")</f>
        <v>UN</v>
      </c>
      <c r="I163" s="936">
        <v>4.0</v>
      </c>
    </row>
    <row r="164">
      <c r="A164" s="931" t="s">
        <v>4529</v>
      </c>
      <c r="B164" s="931" t="s">
        <v>4530</v>
      </c>
      <c r="C164" s="932" t="s">
        <v>4297</v>
      </c>
      <c r="D164" s="933" t="s">
        <v>4531</v>
      </c>
      <c r="E164" s="939" t="s">
        <v>1860</v>
      </c>
      <c r="F164" s="935" t="s">
        <v>4276</v>
      </c>
      <c r="G164" s="421" t="str">
        <f>IFERROR(IF(F164="SINAPI-S",VLOOKUP(E164,'20-B.SINAPI-S'!A:J,2,0),IF(F164="SINAPI-I",VLOOKUP(E164,'20-A.SINAPI-I'!A:G,2,0),IF(F164="COMP.EVENTUAL",VLOOKUP(E164,'11.COMPOSIÇÕES GERAIS'!B:I,2,0),VLOOKUP(E164,'12.COT.MERCADO'!A:I,2,0)))),"Em Elaboração")</f>
        <v>RETIRADA E RECOLOCAÇÃO DE PORTA DE DIVISÓRIA, UM MÓDULO</v>
      </c>
      <c r="H164" s="934" t="str">
        <f>IFERROR(IF(F164="SINAPI-S",VLOOKUP(E164,'20-B.SINAPI-S'!A:J,3,0),IF(F164="SINAPI-I",VLOOKUP(E164,'20-A.SINAPI-I'!A:G,3,0),IF(F164="COMP.EVENTUAL",VLOOKUP(E164,'11.COMPOSIÇÕES GERAIS'!B:I,3,0),VLOOKUP(E164,'12.COT.MERCADO'!A:I,7,0)))),"Em Elaboração")</f>
        <v>UN</v>
      </c>
      <c r="I164" s="938">
        <v>2.0</v>
      </c>
    </row>
    <row r="165">
      <c r="A165" s="931" t="s">
        <v>4529</v>
      </c>
      <c r="B165" s="931" t="s">
        <v>4530</v>
      </c>
      <c r="C165" s="932" t="s">
        <v>4297</v>
      </c>
      <c r="D165" s="933" t="s">
        <v>4532</v>
      </c>
      <c r="E165" s="939">
        <v>96358.0</v>
      </c>
      <c r="F165" s="937" t="s">
        <v>218</v>
      </c>
      <c r="G165" s="421" t="str">
        <f>IFERROR(IF(F165="SINAPI-S",VLOOKUP(E165,'20-B.SINAPI-S'!A:J,2,0),IF(F165="SINAPI-I",VLOOKUP(E165,'20-A.SINAPI-I'!A:G,2,0),IF(F165="COMP.EVENTUAL",VLOOKUP(E165,'11.COMPOSIÇÕES GERAIS'!B:I,2,0),VLOOKUP(E165,'12.COT.MERCADO'!A:I,2,0)))),"Em Elaboração")</f>
        <v>PAREDE COM PLACAS DE GESSO ACARTONADO (DRYWALL), PARA USO INTERNO, COM DUAS FACES SIMPLES E ESTRUTURA METÁLICA COM GUIAS SIMPLES, SEM VÃOS. AF_06/2017_PS</v>
      </c>
      <c r="H165" s="934" t="str">
        <f>IFERROR(IF(F165="SINAPI-S",VLOOKUP(E165,'20-B.SINAPI-S'!A:J,3,0),IF(F165="SINAPI-I",VLOOKUP(E165,'20-A.SINAPI-I'!A:G,3,0),IF(F165="COMP.EVENTUAL",VLOOKUP(E165,'11.COMPOSIÇÕES GERAIS'!B:I,3,0),VLOOKUP(E165,'12.COT.MERCADO'!A:I,7,0)))),"Em Elaboração")</f>
        <v>M2</v>
      </c>
      <c r="I165" s="938">
        <v>8.0</v>
      </c>
    </row>
    <row r="166">
      <c r="A166" s="931" t="s">
        <v>4529</v>
      </c>
      <c r="B166" s="931" t="s">
        <v>4533</v>
      </c>
      <c r="C166" s="932" t="s">
        <v>4274</v>
      </c>
      <c r="D166" s="933" t="s">
        <v>4534</v>
      </c>
      <c r="E166" s="939">
        <v>101903.0</v>
      </c>
      <c r="F166" s="937" t="s">
        <v>218</v>
      </c>
      <c r="G166" s="421" t="str">
        <f>IFERROR(IF(F166="SINAPI-S",VLOOKUP(E166,'20-B.SINAPI-S'!A:J,2,0),IF(F166="SINAPI-I",VLOOKUP(E166,'20-A.SINAPI-I'!A:G,2,0),IF(F166="COMP.EVENTUAL",VLOOKUP(E166,'11.COMPOSIÇÕES GERAIS'!B:I,2,0),VLOOKUP(E166,'12.COT.MERCADO'!A:I,2,0)))),"Em Elaboração")</f>
        <v>CONTATOR TRIPOLAR I NOMINAL 38A - FORNECIMENTO E INSTALAÇÃO. AF_10/2020</v>
      </c>
      <c r="H166" s="934" t="str">
        <f>IFERROR(IF(F166="SINAPI-S",VLOOKUP(E166,'20-B.SINAPI-S'!A:J,3,0),IF(F166="SINAPI-I",VLOOKUP(E166,'20-A.SINAPI-I'!A:G,3,0),IF(F166="COMP.EVENTUAL",VLOOKUP(E166,'11.COMPOSIÇÕES GERAIS'!B:I,3,0),VLOOKUP(E166,'12.COT.MERCADO'!A:I,7,0)))),"Em Elaboração")</f>
        <v>UN</v>
      </c>
      <c r="I166" s="938">
        <v>4.0</v>
      </c>
    </row>
    <row r="167">
      <c r="A167" s="931" t="s">
        <v>4529</v>
      </c>
      <c r="B167" s="931" t="s">
        <v>4533</v>
      </c>
      <c r="C167" s="932" t="s">
        <v>4274</v>
      </c>
      <c r="D167" s="949" t="s">
        <v>4535</v>
      </c>
      <c r="E167" s="950">
        <v>101632.0</v>
      </c>
      <c r="F167" s="937" t="s">
        <v>218</v>
      </c>
      <c r="G167" s="421" t="str">
        <f>IFERROR(IF(F167="SINAPI-S",VLOOKUP(E167,'20-B.SINAPI-S'!A:J,2,0),IF(F167="SINAPI-I",VLOOKUP(E167,'20-A.SINAPI-I'!A:G,2,0),IF(F167="COMP.EVENTUAL",VLOOKUP(E167,'11.COMPOSIÇÕES GERAIS'!B:I,2,0),VLOOKUP(E167,'12.COT.MERCADO'!A:I,2,0)))),"Em Elaboração")</f>
        <v>RELÉ FOTOELÉTRICO PARA COMANDO DE ILUMINAÇÃO EXTERNA 1000 W - FORNECIMENTO E INSTALAÇÃO. AF_08/2020</v>
      </c>
      <c r="H167" s="934" t="str">
        <f>IFERROR(IF(F167="SINAPI-S",VLOOKUP(E167,'20-B.SINAPI-S'!A:J,3,0),IF(F167="SINAPI-I",VLOOKUP(E167,'20-A.SINAPI-I'!A:G,3,0),IF(F167="COMP.EVENTUAL",VLOOKUP(E167,'11.COMPOSIÇÕES GERAIS'!B:I,3,0),VLOOKUP(E167,'12.COT.MERCADO'!A:I,7,0)))),"Em Elaboração")</f>
        <v>UN</v>
      </c>
      <c r="I167" s="938">
        <v>2.0</v>
      </c>
    </row>
    <row r="168">
      <c r="A168" s="931" t="s">
        <v>4529</v>
      </c>
      <c r="B168" s="931" t="s">
        <v>4536</v>
      </c>
      <c r="C168" s="932" t="s">
        <v>4274</v>
      </c>
      <c r="D168" s="933" t="s">
        <v>4295</v>
      </c>
      <c r="E168" s="939">
        <v>100903.0</v>
      </c>
      <c r="F168" s="937" t="s">
        <v>218</v>
      </c>
      <c r="G168" s="421" t="str">
        <f>IFERROR(IF(F168="SINAPI-S",VLOOKUP(E168,'20-B.SINAPI-S'!A:J,2,0),IF(F168="SINAPI-I",VLOOKUP(E168,'20-A.SINAPI-I'!A:G,2,0),IF(F168="COMP.EVENTUAL",VLOOKUP(E168,'11.COMPOSIÇÕES GERAIS'!B:I,2,0),VLOOKUP(E168,'12.COT.MERCADO'!A:I,2,0)))),"Em Elaboração")</f>
        <v>LÂMPADA TUBULAR LED DE 18/20 W, BASE G13 - FORNECIMENTO E INSTALAÇÃO. AF_02/2020_PS</v>
      </c>
      <c r="H168" s="934" t="str">
        <f>IFERROR(IF(F168="SINAPI-S",VLOOKUP(E168,'20-B.SINAPI-S'!A:J,3,0),IF(F168="SINAPI-I",VLOOKUP(E168,'20-A.SINAPI-I'!A:G,3,0),IF(F168="COMP.EVENTUAL",VLOOKUP(E168,'11.COMPOSIÇÕES GERAIS'!B:I,3,0),VLOOKUP(E168,'12.COT.MERCADO'!A:I,7,0)))),"Em Elaboração")</f>
        <v>UN</v>
      </c>
      <c r="I168" s="936">
        <v>8.0</v>
      </c>
    </row>
    <row r="169">
      <c r="A169" s="931" t="s">
        <v>4529</v>
      </c>
      <c r="B169" s="931" t="s">
        <v>4536</v>
      </c>
      <c r="C169" s="932" t="s">
        <v>4274</v>
      </c>
      <c r="D169" s="933" t="s">
        <v>4537</v>
      </c>
      <c r="E169" s="939">
        <v>92008.0</v>
      </c>
      <c r="F169" s="937" t="s">
        <v>218</v>
      </c>
      <c r="G169" s="421" t="str">
        <f>IFERROR(IF(F169="SINAPI-S",VLOOKUP(E169,'20-B.SINAPI-S'!A:J,2,0),IF(F169="SINAPI-I",VLOOKUP(E169,'20-A.SINAPI-I'!A:G,2,0),IF(F169="COMP.EVENTUAL",VLOOKUP(E169,'11.COMPOSIÇÕES GERAIS'!B:I,2,0),VLOOKUP(E169,'12.COT.MERCADO'!A:I,2,0)))),"Em Elaboração")</f>
        <v>TOMADA BAIXA DE EMBUTIR (2 MÓDULOS), 2P+T 10 A, INCLUINDO SUPORTE E PLACA - FORNECIMENTO E INSTALAÇÃO. AF_03/2023</v>
      </c>
      <c r="H169" s="934" t="str">
        <f>IFERROR(IF(F169="SINAPI-S",VLOOKUP(E169,'20-B.SINAPI-S'!A:J,3,0),IF(F169="SINAPI-I",VLOOKUP(E169,'20-A.SINAPI-I'!A:G,3,0),IF(F169="COMP.EVENTUAL",VLOOKUP(E169,'11.COMPOSIÇÕES GERAIS'!B:I,3,0),VLOOKUP(E169,'12.COT.MERCADO'!A:I,7,0)))),"Em Elaboração")</f>
        <v>UN</v>
      </c>
      <c r="I169" s="936">
        <v>6.0</v>
      </c>
    </row>
    <row r="170">
      <c r="A170" s="931" t="s">
        <v>4529</v>
      </c>
      <c r="B170" s="931" t="s">
        <v>4536</v>
      </c>
      <c r="C170" s="932" t="s">
        <v>4274</v>
      </c>
      <c r="D170" s="933" t="s">
        <v>4538</v>
      </c>
      <c r="E170" s="939">
        <v>98307.0</v>
      </c>
      <c r="F170" s="937" t="s">
        <v>218</v>
      </c>
      <c r="G170" s="421" t="str">
        <f>IFERROR(IF(F170="SINAPI-S",VLOOKUP(E170,'20-B.SINAPI-S'!A:J,2,0),IF(F170="SINAPI-I",VLOOKUP(E170,'20-A.SINAPI-I'!A:G,2,0),IF(F170="COMP.EVENTUAL",VLOOKUP(E170,'11.COMPOSIÇÕES GERAIS'!B:I,2,0),VLOOKUP(E170,'12.COT.MERCADO'!A:I,2,0)))),"Em Elaboração")</f>
        <v>TOMADA DE REDE RJ45 - FORNECIMENTO E INSTALAÇÃO. AF_11/2019</v>
      </c>
      <c r="H170" s="934" t="str">
        <f>IFERROR(IF(F170="SINAPI-S",VLOOKUP(E170,'20-B.SINAPI-S'!A:J,3,0),IF(F170="SINAPI-I",VLOOKUP(E170,'20-A.SINAPI-I'!A:G,3,0),IF(F170="COMP.EVENTUAL",VLOOKUP(E170,'11.COMPOSIÇÕES GERAIS'!B:I,3,0),VLOOKUP(E170,'12.COT.MERCADO'!A:I,7,0)))),"Em Elaboração")</f>
        <v>UN</v>
      </c>
      <c r="I170" s="936">
        <v>3.0</v>
      </c>
    </row>
    <row r="171">
      <c r="A171" s="931" t="s">
        <v>4529</v>
      </c>
      <c r="B171" s="931" t="s">
        <v>4536</v>
      </c>
      <c r="C171" s="932" t="s">
        <v>4274</v>
      </c>
      <c r="D171" s="933" t="s">
        <v>4539</v>
      </c>
      <c r="E171" s="939">
        <v>91952.0</v>
      </c>
      <c r="F171" s="937" t="s">
        <v>218</v>
      </c>
      <c r="G171" s="421" t="str">
        <f>IFERROR(IF(F171="SINAPI-S",VLOOKUP(E171,'20-B.SINAPI-S'!A:J,2,0),IF(F171="SINAPI-I",VLOOKUP(E171,'20-A.SINAPI-I'!A:G,2,0),IF(F171="COMP.EVENTUAL",VLOOKUP(E171,'11.COMPOSIÇÕES GERAIS'!B:I,2,0),VLOOKUP(E171,'12.COT.MERCADO'!A:I,2,0)))),"Em Elaboração")</f>
        <v>INTERRUPTOR SIMPLES (1 MÓDULO), 10A/250V, SEM SUPORTE E SEM PLACA - FORNECIMENTO E INSTALAÇÃO. AF_03/2023</v>
      </c>
      <c r="H171" s="934" t="str">
        <f>IFERROR(IF(F171="SINAPI-S",VLOOKUP(E171,'20-B.SINAPI-S'!A:J,3,0),IF(F171="SINAPI-I",VLOOKUP(E171,'20-A.SINAPI-I'!A:G,3,0),IF(F171="COMP.EVENTUAL",VLOOKUP(E171,'11.COMPOSIÇÕES GERAIS'!B:I,3,0),VLOOKUP(E171,'12.COT.MERCADO'!A:I,7,0)))),"Em Elaboração")</f>
        <v>UN</v>
      </c>
      <c r="I171" s="936">
        <v>2.0</v>
      </c>
    </row>
    <row r="172">
      <c r="A172" s="931" t="s">
        <v>4529</v>
      </c>
      <c r="B172" s="931" t="s">
        <v>4540</v>
      </c>
      <c r="C172" s="932" t="s">
        <v>4297</v>
      </c>
      <c r="D172" s="933" t="s">
        <v>4541</v>
      </c>
      <c r="E172" s="939">
        <v>98546.0</v>
      </c>
      <c r="F172" s="937" t="s">
        <v>218</v>
      </c>
      <c r="G172" s="421" t="str">
        <f>IFERROR(IF(F172="SINAPI-S",VLOOKUP(E172,'20-B.SINAPI-S'!A:J,2,0),IF(F172="SINAPI-I",VLOOKUP(E172,'20-A.SINAPI-I'!A:G,2,0),IF(F172="COMP.EVENTUAL",VLOOKUP(E172,'11.COMPOSIÇÕES GERAIS'!B:I,2,0),VLOOKUP(E172,'12.COT.MERCADO'!A:I,2,0)))),"Em Elaboração")</f>
        <v>IMPERMEABILIZAÇÃO DE SUPERFÍCIE COM MANTA ASFÁLTICA, UMA CAMADA, INCLUSIVE APLICAÇÃO DE PRIMER ASFÁLTICO, E=3MM. AF_06/2018</v>
      </c>
      <c r="H172" s="934" t="str">
        <f>IFERROR(IF(F172="SINAPI-S",VLOOKUP(E172,'20-B.SINAPI-S'!A:J,3,0),IF(F172="SINAPI-I",VLOOKUP(E172,'20-A.SINAPI-I'!A:G,3,0),IF(F172="COMP.EVENTUAL",VLOOKUP(E172,'11.COMPOSIÇÕES GERAIS'!B:I,3,0),VLOOKUP(E172,'12.COT.MERCADO'!A:I,7,0)))),"Em Elaboração")</f>
        <v>M2</v>
      </c>
      <c r="I172" s="938">
        <v>1.0</v>
      </c>
    </row>
    <row r="173">
      <c r="A173" s="931" t="s">
        <v>4529</v>
      </c>
      <c r="B173" s="931" t="s">
        <v>4542</v>
      </c>
      <c r="C173" s="932" t="s">
        <v>4274</v>
      </c>
      <c r="D173" s="933" t="s">
        <v>4543</v>
      </c>
      <c r="E173" s="939" t="s">
        <v>1822</v>
      </c>
      <c r="F173" s="947" t="s">
        <v>4276</v>
      </c>
      <c r="G173" s="421" t="str">
        <f>IFERROR(IF(F173="SINAPI-S",VLOOKUP(E173,'20-B.SINAPI-S'!A:J,2,0),IF(F173="SINAPI-I",VLOOKUP(E173,'20-A.SINAPI-I'!A:G,2,0),IF(F173="COMP.EVENTUAL",VLOOKUP(E173,'11.COMPOSIÇÕES GERAIS'!B:I,2,0),VLOOKUP(E173,'12.COT.MERCADO'!A:I,2,0)))),"Em Elaboração")</f>
        <v>TESTE FUNCIONAL EM CIRCUITOS</v>
      </c>
      <c r="H173" s="934" t="str">
        <f>IFERROR(IF(F173="SINAPI-S",VLOOKUP(E173,'20-B.SINAPI-S'!A:J,3,0),IF(F173="SINAPI-I",VLOOKUP(E173,'20-A.SINAPI-I'!A:G,3,0),IF(F173="COMP.EVENTUAL",VLOOKUP(E173,'11.COMPOSIÇÕES GERAIS'!B:I,3,0),VLOOKUP(E173,'12.COT.MERCADO'!A:I,7,0)))),"Em Elaboração")</f>
        <v>UN</v>
      </c>
      <c r="I173" s="938">
        <v>2.0</v>
      </c>
    </row>
    <row r="174">
      <c r="A174" s="931" t="s">
        <v>4529</v>
      </c>
      <c r="B174" s="931" t="s">
        <v>4542</v>
      </c>
      <c r="C174" s="932" t="s">
        <v>4274</v>
      </c>
      <c r="D174" s="933" t="s">
        <v>4544</v>
      </c>
      <c r="E174" s="939">
        <v>93653.0</v>
      </c>
      <c r="F174" s="937" t="s">
        <v>218</v>
      </c>
      <c r="G174" s="421" t="str">
        <f>IFERROR(IF(F174="SINAPI-S",VLOOKUP(E174,'20-B.SINAPI-S'!A:J,2,0),IF(F174="SINAPI-I",VLOOKUP(E174,'20-A.SINAPI-I'!A:G,2,0),IF(F174="COMP.EVENTUAL",VLOOKUP(E174,'11.COMPOSIÇÕES GERAIS'!B:I,2,0),VLOOKUP(E174,'12.COT.MERCADO'!A:I,2,0)))),"Em Elaboração")</f>
        <v>DISJUNTOR MONOPOLAR TIPO DIN, CORRENTE NOMINAL DE 10A - FORNECIMENTO E INSTALAÇÃO. AF_10/2020</v>
      </c>
      <c r="H174" s="934" t="str">
        <f>IFERROR(IF(F174="SINAPI-S",VLOOKUP(E174,'20-B.SINAPI-S'!A:J,3,0),IF(F174="SINAPI-I",VLOOKUP(E174,'20-A.SINAPI-I'!A:G,3,0),IF(F174="COMP.EVENTUAL",VLOOKUP(E174,'11.COMPOSIÇÕES GERAIS'!B:I,3,0),VLOOKUP(E174,'12.COT.MERCADO'!A:I,7,0)))),"Em Elaboração")</f>
        <v>UN</v>
      </c>
      <c r="I174" s="938">
        <v>8.0</v>
      </c>
    </row>
    <row r="175">
      <c r="A175" s="931" t="s">
        <v>4529</v>
      </c>
      <c r="B175" s="931" t="s">
        <v>4542</v>
      </c>
      <c r="C175" s="932" t="s">
        <v>4274</v>
      </c>
      <c r="D175" s="944" t="s">
        <v>4545</v>
      </c>
      <c r="E175" s="940" t="s">
        <v>1851</v>
      </c>
      <c r="F175" s="935" t="s">
        <v>4276</v>
      </c>
      <c r="G175" s="421" t="str">
        <f>IFERROR(IF(F175="SINAPI-S",VLOOKUP(E175,'20-B.SINAPI-S'!A:J,2,0),IF(F175="SINAPI-I",VLOOKUP(E175,'20-A.SINAPI-I'!A:G,2,0),IF(F175="COMP.EVENTUAL",VLOOKUP(E175,'11.COMPOSIÇÕES GERAIS'!B:I,2,0),VLOOKUP(E175,'12.COT.MERCADO'!A:I,2,0)))),"Em Elaboração")</f>
        <v>TESTE, LIMPEZA E REAPERTO DOS COMPONENTES PARA QUADROS DE DISTRIBUIÇÃO ATÉ 64 CIRCUITOS</v>
      </c>
      <c r="H175" s="934" t="str">
        <f>IFERROR(IF(F175="SINAPI-S",VLOOKUP(E175,'20-B.SINAPI-S'!A:J,3,0),IF(F175="SINAPI-I",VLOOKUP(E175,'20-A.SINAPI-I'!A:G,3,0),IF(F175="COMP.EVENTUAL",VLOOKUP(E175,'11.COMPOSIÇÕES GERAIS'!B:I,3,0),VLOOKUP(E175,'12.COT.MERCADO'!A:I,7,0)))),"Em Elaboração")</f>
        <v>UN</v>
      </c>
      <c r="I175" s="938">
        <v>2.0</v>
      </c>
    </row>
    <row r="176">
      <c r="A176" s="931" t="s">
        <v>4529</v>
      </c>
      <c r="B176" s="931" t="s">
        <v>4542</v>
      </c>
      <c r="C176" s="932" t="s">
        <v>4274</v>
      </c>
      <c r="D176" s="944" t="s">
        <v>4546</v>
      </c>
      <c r="E176" s="940" t="s">
        <v>1851</v>
      </c>
      <c r="F176" s="942" t="s">
        <v>4276</v>
      </c>
      <c r="G176" s="421" t="str">
        <f>IFERROR(IF(F176="SINAPI-S",VLOOKUP(E176,'20-B.SINAPI-S'!A:J,2,0),IF(F176="SINAPI-I",VLOOKUP(E176,'20-A.SINAPI-I'!A:G,2,0),IF(F176="COMP.EVENTUAL",VLOOKUP(E176,'11.COMPOSIÇÕES GERAIS'!B:I,2,0),VLOOKUP(E176,'12.COT.MERCADO'!A:I,2,0)))),"Em Elaboração")</f>
        <v>TESTE, LIMPEZA E REAPERTO DOS COMPONENTES PARA QUADROS DE DISTRIBUIÇÃO ATÉ 64 CIRCUITOS</v>
      </c>
      <c r="H176" s="934" t="str">
        <f>IFERROR(IF(F176="SINAPI-S",VLOOKUP(E176,'20-B.SINAPI-S'!A:J,3,0),IF(F176="SINAPI-I",VLOOKUP(E176,'20-A.SINAPI-I'!A:G,3,0),IF(F176="COMP.EVENTUAL",VLOOKUP(E176,'11.COMPOSIÇÕES GERAIS'!B:I,3,0),VLOOKUP(E176,'12.COT.MERCADO'!A:I,7,0)))),"Em Elaboração")</f>
        <v>UN</v>
      </c>
      <c r="I176" s="938">
        <v>2.0</v>
      </c>
    </row>
    <row r="177">
      <c r="A177" s="931" t="s">
        <v>4529</v>
      </c>
      <c r="B177" s="931" t="s">
        <v>4547</v>
      </c>
      <c r="C177" s="932" t="s">
        <v>4274</v>
      </c>
      <c r="D177" s="933" t="s">
        <v>4548</v>
      </c>
      <c r="E177" s="939">
        <v>94991.0</v>
      </c>
      <c r="F177" s="937" t="s">
        <v>218</v>
      </c>
      <c r="G177" s="421" t="str">
        <f>IFERROR(IF(F177="SINAPI-S",VLOOKUP(E177,'20-B.SINAPI-S'!A:J,2,0),IF(F177="SINAPI-I",VLOOKUP(E177,'20-A.SINAPI-I'!A:G,2,0),IF(F177="COMP.EVENTUAL",VLOOKUP(E177,'11.COMPOSIÇÕES GERAIS'!B:I,2,0),VLOOKUP(E177,'12.COT.MERCADO'!A:I,2,0)))),"Em Elaboração")</f>
        <v>EXECUÇÃO DE PASSEIO (CALÇADA) OU PISO DE CONCRETO COM CONCRETO MOLDADO IN LOCO, USINADO C20, ACABAMENTO CONVENCIONAL, NÃO ARMADO. AF_08/2022</v>
      </c>
      <c r="H177" s="934" t="str">
        <f>IFERROR(IF(F177="SINAPI-S",VLOOKUP(E177,'20-B.SINAPI-S'!A:J,3,0),IF(F177="SINAPI-I",VLOOKUP(E177,'20-A.SINAPI-I'!A:G,3,0),IF(F177="COMP.EVENTUAL",VLOOKUP(E177,'11.COMPOSIÇÕES GERAIS'!B:I,3,0),VLOOKUP(E177,'12.COT.MERCADO'!A:I,7,0)))),"Em Elaboração")</f>
        <v>M3</v>
      </c>
      <c r="I177" s="938">
        <v>2.0</v>
      </c>
    </row>
    <row r="178">
      <c r="A178" s="931" t="s">
        <v>4529</v>
      </c>
      <c r="B178" s="931" t="s">
        <v>4547</v>
      </c>
      <c r="C178" s="932" t="s">
        <v>4274</v>
      </c>
      <c r="D178" s="933" t="s">
        <v>4549</v>
      </c>
      <c r="E178" s="939">
        <v>89969.0</v>
      </c>
      <c r="F178" s="937" t="s">
        <v>218</v>
      </c>
      <c r="G178" s="421" t="str">
        <f>IFERROR(IF(F178="SINAPI-S",VLOOKUP(E178,'20-B.SINAPI-S'!A:J,2,0),IF(F178="SINAPI-I",VLOOKUP(E178,'20-A.SINAPI-I'!A:G,2,0),IF(F178="COMP.EVENTUAL",VLOOKUP(E178,'11.COMPOSIÇÕES GERAIS'!B:I,2,0),VLOOKUP(E178,'12.COT.MERCADO'!A:I,2,0)))),"Em Elaboração")</f>
        <v>KIT DE REGISTRO DE PRESSÃO BRUTO DE LATÃO ½", INCLUSIVE CONEXÕES,  ROSCÁVEL, INSTALADO EM RAMAL DE ÁGUA FRIA - FORNECIMENTO E INSTALAÇÃO. AF_12/2014</v>
      </c>
      <c r="H178" s="934" t="str">
        <f>IFERROR(IF(F178="SINAPI-S",VLOOKUP(E178,'20-B.SINAPI-S'!A:J,3,0),IF(F178="SINAPI-I",VLOOKUP(E178,'20-A.SINAPI-I'!A:G,3,0),IF(F178="COMP.EVENTUAL",VLOOKUP(E178,'11.COMPOSIÇÕES GERAIS'!B:I,3,0),VLOOKUP(E178,'12.COT.MERCADO'!A:I,7,0)))),"Em Elaboração")</f>
        <v>UN</v>
      </c>
      <c r="I178" s="938">
        <v>2.0</v>
      </c>
    </row>
    <row r="179">
      <c r="A179" s="931" t="s">
        <v>4529</v>
      </c>
      <c r="B179" s="931" t="s">
        <v>4547</v>
      </c>
      <c r="C179" s="932" t="s">
        <v>4306</v>
      </c>
      <c r="D179" s="933" t="s">
        <v>4550</v>
      </c>
      <c r="E179" s="939" t="s">
        <v>1863</v>
      </c>
      <c r="F179" s="935" t="s">
        <v>4276</v>
      </c>
      <c r="G179" s="421" t="str">
        <f>IFERROR(IF(F179="SINAPI-S",VLOOKUP(E179,'20-B.SINAPI-S'!A:J,2,0),IF(F179="SINAPI-I",VLOOKUP(E179,'20-A.SINAPI-I'!A:G,2,0),IF(F179="COMP.EVENTUAL",VLOOKUP(E179,'11.COMPOSIÇÕES GERAIS'!B:I,2,0),VLOOKUP(E179,'12.COT.MERCADO'!A:I,2,0)))),"Em Elaboração")</f>
        <v>VERIFICAÇÃO DE VAZAMENTO EM INSTALAÇÕES INTERNAS POR RAMAL</v>
      </c>
      <c r="H179" s="934" t="str">
        <f>IFERROR(IF(F179="SINAPI-S",VLOOKUP(E179,'20-B.SINAPI-S'!A:J,3,0),IF(F179="SINAPI-I",VLOOKUP(E179,'20-A.SINAPI-I'!A:G,3,0),IF(F179="COMP.EVENTUAL",VLOOKUP(E179,'11.COMPOSIÇÕES GERAIS'!B:I,3,0),VLOOKUP(E179,'12.COT.MERCADO'!A:I,7,0)))),"Em Elaboração")</f>
        <v>UN</v>
      </c>
      <c r="I179" s="938">
        <v>1.0</v>
      </c>
    </row>
    <row r="180">
      <c r="A180" s="931" t="s">
        <v>4529</v>
      </c>
      <c r="B180" s="931" t="s">
        <v>4551</v>
      </c>
      <c r="C180" s="932" t="s">
        <v>4274</v>
      </c>
      <c r="D180" s="933" t="s">
        <v>4552</v>
      </c>
      <c r="E180" s="939">
        <v>91928.0</v>
      </c>
      <c r="F180" s="937" t="s">
        <v>218</v>
      </c>
      <c r="G180" s="421" t="str">
        <f>IFERROR(IF(F180="SINAPI-S",VLOOKUP(E180,'20-B.SINAPI-S'!A:J,2,0),IF(F180="SINAPI-I",VLOOKUP(E180,'20-A.SINAPI-I'!A:G,2,0),IF(F180="COMP.EVENTUAL",VLOOKUP(E180,'11.COMPOSIÇÕES GERAIS'!B:I,2,0),VLOOKUP(E180,'12.COT.MERCADO'!A:I,2,0)))),"Em Elaboração")</f>
        <v>CABO DE COBRE FLEXÍVEL ISOLADO, 4 MM², ANTI-CHAMA 450/750 V, PARA CIRCUITOS TERMINAIS - FORNECIMENTO E INSTALAÇÃO. AF_03/2023</v>
      </c>
      <c r="H180" s="934" t="str">
        <f>IFERROR(IF(F180="SINAPI-S",VLOOKUP(E180,'20-B.SINAPI-S'!A:J,3,0),IF(F180="SINAPI-I",VLOOKUP(E180,'20-A.SINAPI-I'!A:G,3,0),IF(F180="COMP.EVENTUAL",VLOOKUP(E180,'11.COMPOSIÇÕES GERAIS'!B:I,3,0),VLOOKUP(E180,'12.COT.MERCADO'!A:I,7,0)))),"Em Elaboração")</f>
        <v>M</v>
      </c>
      <c r="I180" s="938">
        <v>60.0</v>
      </c>
    </row>
    <row r="181">
      <c r="A181" s="931" t="s">
        <v>4529</v>
      </c>
      <c r="B181" s="931" t="s">
        <v>4551</v>
      </c>
      <c r="C181" s="932" t="s">
        <v>4274</v>
      </c>
      <c r="D181" s="933" t="s">
        <v>4553</v>
      </c>
      <c r="E181" s="939">
        <v>104480.0</v>
      </c>
      <c r="F181" s="937" t="s">
        <v>218</v>
      </c>
      <c r="G181" s="421" t="str">
        <f>IFERROR(IF(F181="SINAPI-S",VLOOKUP(E181,'20-B.SINAPI-S'!A:J,2,0),IF(F181="SINAPI-I",VLOOKUP(E181,'20-A.SINAPI-I'!A:G,2,0),IF(F181="COMP.EVENTUAL",VLOOKUP(E181,'11.COMPOSIÇÕES GERAIS'!B:I,2,0),VLOOKUP(E181,'12.COT.MERCADO'!A:I,2,0)))),"Em Elaboração")</f>
        <v>COMPOSIÇÃO PARAMÉTRICA DE PONTO ELÉTRICO DE TOMADA DE USO ESPECÍFICO 2P+T (20A/250V) EM EDIFÍCIO RESIDENCIAL COM ELETRODUTO EMBUTIDO SEM NECESSIDADE DE RASGOS, INCLUSO TOMADA, ELETRODUTO, CABO E QUEBRA (EXCETO CHUVEIRO). AF_11/2022</v>
      </c>
      <c r="H181" s="934" t="str">
        <f>IFERROR(IF(F181="SINAPI-S",VLOOKUP(E181,'20-B.SINAPI-S'!A:J,3,0),IF(F181="SINAPI-I",VLOOKUP(E181,'20-A.SINAPI-I'!A:G,3,0),IF(F181="COMP.EVENTUAL",VLOOKUP(E181,'11.COMPOSIÇÕES GERAIS'!B:I,3,0),VLOOKUP(E181,'12.COT.MERCADO'!A:I,7,0)))),"Em Elaboração")</f>
        <v>UN</v>
      </c>
      <c r="I181" s="938">
        <v>1.0</v>
      </c>
    </row>
    <row r="182">
      <c r="A182" s="931" t="s">
        <v>4529</v>
      </c>
      <c r="B182" s="931" t="s">
        <v>4554</v>
      </c>
      <c r="C182" s="932" t="s">
        <v>4274</v>
      </c>
      <c r="D182" s="933" t="s">
        <v>4555</v>
      </c>
      <c r="E182" s="939">
        <v>100903.0</v>
      </c>
      <c r="F182" s="937" t="s">
        <v>218</v>
      </c>
      <c r="G182" s="421" t="str">
        <f>IFERROR(IF(F182="SINAPI-S",VLOOKUP(E182,'20-B.SINAPI-S'!A:J,2,0),IF(F182="SINAPI-I",VLOOKUP(E182,'20-A.SINAPI-I'!A:G,2,0),IF(F182="COMP.EVENTUAL",VLOOKUP(E182,'11.COMPOSIÇÕES GERAIS'!B:I,2,0),VLOOKUP(E182,'12.COT.MERCADO'!A:I,2,0)))),"Em Elaboração")</f>
        <v>LÂMPADA TUBULAR LED DE 18/20 W, BASE G13 - FORNECIMENTO E INSTALAÇÃO. AF_02/2020_PS</v>
      </c>
      <c r="H182" s="934" t="str">
        <f>IFERROR(IF(F182="SINAPI-S",VLOOKUP(E182,'20-B.SINAPI-S'!A:J,3,0),IF(F182="SINAPI-I",VLOOKUP(E182,'20-A.SINAPI-I'!A:G,3,0),IF(F182="COMP.EVENTUAL",VLOOKUP(E182,'11.COMPOSIÇÕES GERAIS'!B:I,3,0),VLOOKUP(E182,'12.COT.MERCADO'!A:I,7,0)))),"Em Elaboração")</f>
        <v>UN</v>
      </c>
      <c r="I182" s="938">
        <v>2.0</v>
      </c>
    </row>
    <row r="183">
      <c r="A183" s="931" t="s">
        <v>4529</v>
      </c>
      <c r="B183" s="931" t="s">
        <v>4556</v>
      </c>
      <c r="C183" s="932" t="s">
        <v>4274</v>
      </c>
      <c r="D183" s="933" t="s">
        <v>4310</v>
      </c>
      <c r="E183" s="939">
        <v>98297.0</v>
      </c>
      <c r="F183" s="937" t="s">
        <v>218</v>
      </c>
      <c r="G183" s="421" t="str">
        <f>IFERROR(IF(F183="SINAPI-S",VLOOKUP(E183,'20-B.SINAPI-S'!A:J,2,0),IF(F183="SINAPI-I",VLOOKUP(E183,'20-A.SINAPI-I'!A:G,2,0),IF(F183="COMP.EVENTUAL",VLOOKUP(E183,'11.COMPOSIÇÕES GERAIS'!B:I,2,0),VLOOKUP(E183,'12.COT.MERCADO'!A:I,2,0)))),"Em Elaboração")</f>
        <v>CABO ELETRÔNICO CATEGORIA 6, INSTALADO EM EDIFICAÇÃO INSTITUCIONAL - FORNECIMENTO E INSTALAÇÃO. AF_11/2019</v>
      </c>
      <c r="H183" s="934" t="str">
        <f>IFERROR(IF(F183="SINAPI-S",VLOOKUP(E183,'20-B.SINAPI-S'!A:J,3,0),IF(F183="SINAPI-I",VLOOKUP(E183,'20-A.SINAPI-I'!A:G,3,0),IF(F183="COMP.EVENTUAL",VLOOKUP(E183,'11.COMPOSIÇÕES GERAIS'!B:I,3,0),VLOOKUP(E183,'12.COT.MERCADO'!A:I,7,0)))),"Em Elaboração")</f>
        <v>M</v>
      </c>
      <c r="I183" s="938">
        <v>85.0</v>
      </c>
    </row>
    <row r="184">
      <c r="A184" s="931" t="s">
        <v>4529</v>
      </c>
      <c r="B184" s="931" t="s">
        <v>4557</v>
      </c>
      <c r="C184" s="932" t="s">
        <v>4297</v>
      </c>
      <c r="D184" s="933" t="s">
        <v>4558</v>
      </c>
      <c r="E184" s="939">
        <v>98546.0</v>
      </c>
      <c r="F184" s="937" t="s">
        <v>218</v>
      </c>
      <c r="G184" s="421" t="str">
        <f>IFERROR(IF(F184="SINAPI-S",VLOOKUP(E184,'20-B.SINAPI-S'!A:J,2,0),IF(F184="SINAPI-I",VLOOKUP(E184,'20-A.SINAPI-I'!A:G,2,0),IF(F184="COMP.EVENTUAL",VLOOKUP(E184,'11.COMPOSIÇÕES GERAIS'!B:I,2,0),VLOOKUP(E184,'12.COT.MERCADO'!A:I,2,0)))),"Em Elaboração")</f>
        <v>IMPERMEABILIZAÇÃO DE SUPERFÍCIE COM MANTA ASFÁLTICA, UMA CAMADA, INCLUSIVE APLICAÇÃO DE PRIMER ASFÁLTICO, E=3MM. AF_06/2018</v>
      </c>
      <c r="H184" s="934" t="str">
        <f>IFERROR(IF(F184="SINAPI-S",VLOOKUP(E184,'20-B.SINAPI-S'!A:J,3,0),IF(F184="SINAPI-I",VLOOKUP(E184,'20-A.SINAPI-I'!A:G,3,0),IF(F184="COMP.EVENTUAL",VLOOKUP(E184,'11.COMPOSIÇÕES GERAIS'!B:I,3,0),VLOOKUP(E184,'12.COT.MERCADO'!A:I,7,0)))),"Em Elaboração")</f>
        <v>M2</v>
      </c>
      <c r="I184" s="938">
        <v>5.0</v>
      </c>
    </row>
    <row r="185">
      <c r="A185" s="931" t="s">
        <v>4529</v>
      </c>
      <c r="B185" s="931" t="s">
        <v>4559</v>
      </c>
      <c r="C185" s="932" t="s">
        <v>4297</v>
      </c>
      <c r="D185" s="933" t="s">
        <v>4560</v>
      </c>
      <c r="E185" s="939">
        <v>103307.0</v>
      </c>
      <c r="F185" s="937" t="s">
        <v>218</v>
      </c>
      <c r="G185" s="421" t="str">
        <f>IFERROR(IF(F185="SINAPI-S",VLOOKUP(E185,'20-B.SINAPI-S'!A:J,2,0),IF(F185="SINAPI-I",VLOOKUP(E185,'20-A.SINAPI-I'!A:G,2,0),IF(F185="COMP.EVENTUAL",VLOOKUP(E185,'11.COMPOSIÇÕES GERAIS'!B:I,2,0),VLOOKUP(E185,'12.COT.MERCADO'!A:I,2,0)))),"Em Elaboração")</f>
        <v>INSTALAÇÃO DE LIXEIRA METÁLICA DUPLA, CAPACIDADE DE 60 L, EM TUBO DE AÇO CARBONO E CESTOS EM CHAPA DE AÇO COM PINTURA ELETROSTÁTICA, SOBRE PISO DE CONCRETO EXISTENTE. AF_11/2021</v>
      </c>
      <c r="H185" s="934" t="str">
        <f>IFERROR(IF(F185="SINAPI-S",VLOOKUP(E185,'20-B.SINAPI-S'!A:J,3,0),IF(F185="SINAPI-I",VLOOKUP(E185,'20-A.SINAPI-I'!A:G,3,0),IF(F185="COMP.EVENTUAL",VLOOKUP(E185,'11.COMPOSIÇÕES GERAIS'!B:I,3,0),VLOOKUP(E185,'12.COT.MERCADO'!A:I,7,0)))),"Em Elaboração")</f>
        <v>UN</v>
      </c>
      <c r="I185" s="938">
        <v>4.0</v>
      </c>
    </row>
    <row r="186">
      <c r="A186" s="931" t="s">
        <v>4529</v>
      </c>
      <c r="B186" s="931" t="s">
        <v>4561</v>
      </c>
      <c r="C186" s="932" t="s">
        <v>4274</v>
      </c>
      <c r="D186" s="933" t="s">
        <v>4562</v>
      </c>
      <c r="E186" s="940">
        <v>97585.0</v>
      </c>
      <c r="F186" s="937" t="s">
        <v>218</v>
      </c>
      <c r="G186" s="421" t="str">
        <f>IFERROR(IF(F186="SINAPI-S",VLOOKUP(E186,'20-B.SINAPI-S'!A:J,2,0),IF(F186="SINAPI-I",VLOOKUP(E186,'20-A.SINAPI-I'!A:G,2,0),IF(F186="COMP.EVENTUAL",VLOOKUP(E186,'11.COMPOSIÇÕES GERAIS'!B:I,2,0),VLOOKUP(E186,'12.COT.MERCADO'!A:I,2,0)))),"Em Elaboração")</f>
        <v>LUMINÁRIA TIPO CALHA, DE SOBREPOR, COM 2 LÂMPADAS TUBULARES FLUORESCENTES DE 18 W, COM REATOR DE PARTIDA RÁPIDA - FORNECIMENTO E INSTALAÇÃO. AF_02/2020</v>
      </c>
      <c r="H186" s="934" t="str">
        <f>IFERROR(IF(F186="SINAPI-S",VLOOKUP(E186,'20-B.SINAPI-S'!A:J,3,0),IF(F186="SINAPI-I",VLOOKUP(E186,'20-A.SINAPI-I'!A:G,3,0),IF(F186="COMP.EVENTUAL",VLOOKUP(E186,'11.COMPOSIÇÕES GERAIS'!B:I,3,0),VLOOKUP(E186,'12.COT.MERCADO'!A:I,7,0)))),"Em Elaboração")</f>
        <v>UN</v>
      </c>
      <c r="I186" s="936">
        <v>3.0</v>
      </c>
    </row>
    <row r="187">
      <c r="A187" s="931" t="s">
        <v>4529</v>
      </c>
      <c r="B187" s="931" t="s">
        <v>4561</v>
      </c>
      <c r="C187" s="932" t="s">
        <v>4274</v>
      </c>
      <c r="D187" s="933" t="s">
        <v>4563</v>
      </c>
      <c r="E187" s="939">
        <v>100903.0</v>
      </c>
      <c r="F187" s="937" t="s">
        <v>218</v>
      </c>
      <c r="G187" s="421" t="str">
        <f>IFERROR(IF(F187="SINAPI-S",VLOOKUP(E187,'20-B.SINAPI-S'!A:J,2,0),IF(F187="SINAPI-I",VLOOKUP(E187,'20-A.SINAPI-I'!A:G,2,0),IF(F187="COMP.EVENTUAL",VLOOKUP(E187,'11.COMPOSIÇÕES GERAIS'!B:I,2,0),VLOOKUP(E187,'12.COT.MERCADO'!A:I,2,0)))),"Em Elaboração")</f>
        <v>LÂMPADA TUBULAR LED DE 18/20 W, BASE G13 - FORNECIMENTO E INSTALAÇÃO. AF_02/2020_PS</v>
      </c>
      <c r="H187" s="934" t="str">
        <f>IFERROR(IF(F187="SINAPI-S",VLOOKUP(E187,'20-B.SINAPI-S'!A:J,3,0),IF(F187="SINAPI-I",VLOOKUP(E187,'20-A.SINAPI-I'!A:G,3,0),IF(F187="COMP.EVENTUAL",VLOOKUP(E187,'11.COMPOSIÇÕES GERAIS'!B:I,3,0),VLOOKUP(E187,'12.COT.MERCADO'!A:I,7,0)))),"Em Elaboração")</f>
        <v>UN</v>
      </c>
      <c r="I187" s="936">
        <v>6.0</v>
      </c>
    </row>
    <row r="188">
      <c r="A188" s="931" t="s">
        <v>4529</v>
      </c>
      <c r="B188" s="931" t="s">
        <v>4564</v>
      </c>
      <c r="C188" s="932" t="s">
        <v>4274</v>
      </c>
      <c r="D188" s="933" t="s">
        <v>4295</v>
      </c>
      <c r="E188" s="939">
        <v>100903.0</v>
      </c>
      <c r="F188" s="937" t="s">
        <v>218</v>
      </c>
      <c r="G188" s="421" t="str">
        <f>IFERROR(IF(F188="SINAPI-S",VLOOKUP(E188,'20-B.SINAPI-S'!A:J,2,0),IF(F188="SINAPI-I",VLOOKUP(E188,'20-A.SINAPI-I'!A:G,2,0),IF(F188="COMP.EVENTUAL",VLOOKUP(E188,'11.COMPOSIÇÕES GERAIS'!B:I,2,0),VLOOKUP(E188,'12.COT.MERCADO'!A:I,2,0)))),"Em Elaboração")</f>
        <v>LÂMPADA TUBULAR LED DE 18/20 W, BASE G13 - FORNECIMENTO E INSTALAÇÃO. AF_02/2020_PS</v>
      </c>
      <c r="H188" s="934" t="str">
        <f>IFERROR(IF(F188="SINAPI-S",VLOOKUP(E188,'20-B.SINAPI-S'!A:J,3,0),IF(F188="SINAPI-I",VLOOKUP(E188,'20-A.SINAPI-I'!A:G,3,0),IF(F188="COMP.EVENTUAL",VLOOKUP(E188,'11.COMPOSIÇÕES GERAIS'!B:I,3,0),VLOOKUP(E188,'12.COT.MERCADO'!A:I,7,0)))),"Em Elaboração")</f>
        <v>UN</v>
      </c>
      <c r="I188" s="936">
        <v>2.0</v>
      </c>
    </row>
    <row r="189">
      <c r="A189" s="931" t="s">
        <v>4529</v>
      </c>
      <c r="B189" s="931" t="s">
        <v>4565</v>
      </c>
      <c r="C189" s="932" t="s">
        <v>4274</v>
      </c>
      <c r="D189" s="933" t="s">
        <v>4566</v>
      </c>
      <c r="E189" s="939">
        <v>101648.0</v>
      </c>
      <c r="F189" s="937" t="s">
        <v>218</v>
      </c>
      <c r="G189" s="421" t="str">
        <f>IFERROR(IF(F189="SINAPI-S",VLOOKUP(E189,'20-B.SINAPI-S'!A:J,2,0),IF(F189="SINAPI-I",VLOOKUP(E189,'20-A.SINAPI-I'!A:G,2,0),IF(F189="COMP.EVENTUAL",VLOOKUP(E189,'11.COMPOSIÇÕES GERAIS'!B:I,2,0),VLOOKUP(E189,'12.COT.MERCADO'!A:I,2,0)))),"Em Elaboração")</f>
        <v>LÂMPADA VAPOR DE SÓDIO 150 W - FORNECIMENTO E INSTALAÇÃO. AF_08/2020</v>
      </c>
      <c r="H189" s="934" t="str">
        <f>IFERROR(IF(F189="SINAPI-S",VLOOKUP(E189,'20-B.SINAPI-S'!A:J,3,0),IF(F189="SINAPI-I",VLOOKUP(E189,'20-A.SINAPI-I'!A:G,3,0),IF(F189="COMP.EVENTUAL",VLOOKUP(E189,'11.COMPOSIÇÕES GERAIS'!B:I,3,0),VLOOKUP(E189,'12.COT.MERCADO'!A:I,7,0)))),"Em Elaboração")</f>
        <v>UN</v>
      </c>
      <c r="I189" s="936">
        <v>1.0</v>
      </c>
    </row>
    <row r="190">
      <c r="A190" s="931" t="s">
        <v>4529</v>
      </c>
      <c r="B190" s="931" t="s">
        <v>4565</v>
      </c>
      <c r="C190" s="932" t="s">
        <v>4274</v>
      </c>
      <c r="D190" s="933" t="s">
        <v>4567</v>
      </c>
      <c r="E190" s="939">
        <v>101627.0</v>
      </c>
      <c r="F190" s="937" t="s">
        <v>218</v>
      </c>
      <c r="G190" s="421" t="str">
        <f>IFERROR(IF(F190="SINAPI-S",VLOOKUP(E190,'20-B.SINAPI-S'!A:J,2,0),IF(F190="SINAPI-I",VLOOKUP(E190,'20-A.SINAPI-I'!A:G,2,0),IF(F190="COMP.EVENTUAL",VLOOKUP(E190,'11.COMPOSIÇÕES GERAIS'!B:I,2,0),VLOOKUP(E190,'12.COT.MERCADO'!A:I,2,0)))),"Em Elaboração")</f>
        <v>REATOR PARA LÂMPADA VAPOR DE SÓDIO 250 W, USO EXTERNO - FORNECIMENTO E INSTALAÇÃO. AF_08/2020</v>
      </c>
      <c r="H190" s="934" t="str">
        <f>IFERROR(IF(F190="SINAPI-S",VLOOKUP(E190,'20-B.SINAPI-S'!A:J,3,0),IF(F190="SINAPI-I",VLOOKUP(E190,'20-A.SINAPI-I'!A:G,3,0),IF(F190="COMP.EVENTUAL",VLOOKUP(E190,'11.COMPOSIÇÕES GERAIS'!B:I,3,0),VLOOKUP(E190,'12.COT.MERCADO'!A:I,7,0)))),"Em Elaboração")</f>
        <v>UN</v>
      </c>
      <c r="I190" s="936">
        <v>1.0</v>
      </c>
    </row>
    <row r="191">
      <c r="A191" s="931" t="s">
        <v>4529</v>
      </c>
      <c r="B191" s="931" t="s">
        <v>4565</v>
      </c>
      <c r="C191" s="932" t="s">
        <v>4274</v>
      </c>
      <c r="D191" s="933" t="s">
        <v>4568</v>
      </c>
      <c r="E191" s="939">
        <v>101632.0</v>
      </c>
      <c r="F191" s="937" t="s">
        <v>218</v>
      </c>
      <c r="G191" s="421" t="str">
        <f>IFERROR(IF(F191="SINAPI-S",VLOOKUP(E191,'20-B.SINAPI-S'!A:J,2,0),IF(F191="SINAPI-I",VLOOKUP(E191,'20-A.SINAPI-I'!A:G,2,0),IF(F191="COMP.EVENTUAL",VLOOKUP(E191,'11.COMPOSIÇÕES GERAIS'!B:I,2,0),VLOOKUP(E191,'12.COT.MERCADO'!A:I,2,0)))),"Em Elaboração")</f>
        <v>RELÉ FOTOELÉTRICO PARA COMANDO DE ILUMINAÇÃO EXTERNA 1000 W - FORNECIMENTO E INSTALAÇÃO. AF_08/2020</v>
      </c>
      <c r="H191" s="934" t="str">
        <f>IFERROR(IF(F191="SINAPI-S",VLOOKUP(E191,'20-B.SINAPI-S'!A:J,3,0),IF(F191="SINAPI-I",VLOOKUP(E191,'20-A.SINAPI-I'!A:G,3,0),IF(F191="COMP.EVENTUAL",VLOOKUP(E191,'11.COMPOSIÇÕES GERAIS'!B:I,3,0),VLOOKUP(E191,'12.COT.MERCADO'!A:I,7,0)))),"Em Elaboração")</f>
        <v>UN</v>
      </c>
      <c r="I191" s="936">
        <v>2.0</v>
      </c>
    </row>
    <row r="192">
      <c r="A192" s="931" t="s">
        <v>4529</v>
      </c>
      <c r="B192" s="931" t="s">
        <v>4569</v>
      </c>
      <c r="C192" s="932" t="s">
        <v>4274</v>
      </c>
      <c r="D192" s="933" t="s">
        <v>4295</v>
      </c>
      <c r="E192" s="939">
        <v>100903.0</v>
      </c>
      <c r="F192" s="937" t="s">
        <v>218</v>
      </c>
      <c r="G192" s="421" t="str">
        <f>IFERROR(IF(F192="SINAPI-S",VLOOKUP(E192,'20-B.SINAPI-S'!A:J,2,0),IF(F192="SINAPI-I",VLOOKUP(E192,'20-A.SINAPI-I'!A:G,2,0),IF(F192="COMP.EVENTUAL",VLOOKUP(E192,'11.COMPOSIÇÕES GERAIS'!B:I,2,0),VLOOKUP(E192,'12.COT.MERCADO'!A:I,2,0)))),"Em Elaboração")</f>
        <v>LÂMPADA TUBULAR LED DE 18/20 W, BASE G13 - FORNECIMENTO E INSTALAÇÃO. AF_02/2020_PS</v>
      </c>
      <c r="H192" s="934" t="str">
        <f>IFERROR(IF(F192="SINAPI-S",VLOOKUP(E192,'20-B.SINAPI-S'!A:J,3,0),IF(F192="SINAPI-I",VLOOKUP(E192,'20-A.SINAPI-I'!A:G,3,0),IF(F192="COMP.EVENTUAL",VLOOKUP(E192,'11.COMPOSIÇÕES GERAIS'!B:I,3,0),VLOOKUP(E192,'12.COT.MERCADO'!A:I,7,0)))),"Em Elaboração")</f>
        <v>UN</v>
      </c>
      <c r="I192" s="938">
        <v>2.0</v>
      </c>
    </row>
    <row r="193">
      <c r="A193" s="931" t="s">
        <v>4529</v>
      </c>
      <c r="B193" s="931" t="s">
        <v>4570</v>
      </c>
      <c r="C193" s="932" t="s">
        <v>4306</v>
      </c>
      <c r="D193" s="933" t="s">
        <v>4571</v>
      </c>
      <c r="E193" s="939">
        <v>86935.0</v>
      </c>
      <c r="F193" s="937" t="s">
        <v>218</v>
      </c>
      <c r="G193" s="421" t="str">
        <f>IFERROR(IF(F193="SINAPI-S",VLOOKUP(E193,'20-B.SINAPI-S'!A:J,2,0),IF(F193="SINAPI-I",VLOOKUP(E193,'20-A.SINAPI-I'!A:G,2,0),IF(F193="COMP.EVENTUAL",VLOOKUP(E193,'11.COMPOSIÇÕES GERAIS'!B:I,2,0),VLOOKUP(E193,'12.COT.MERCADO'!A:I,2,0)))),"Em Elaboração")</f>
        <v>CUBA DE EMBUTIR DE AÇO INOXIDÁVEL MÉDIA, INCLUSO VÁLVULA TIPO AMERICANA EM METAL CROMADO E SIFÃO FLEXÍVEL EM PVC - FORNECIMENTO E INSTALAÇÃO. AF_01/2020</v>
      </c>
      <c r="H193" s="934" t="str">
        <f>IFERROR(IF(F193="SINAPI-S",VLOOKUP(E193,'20-B.SINAPI-S'!A:J,3,0),IF(F193="SINAPI-I",VLOOKUP(E193,'20-A.SINAPI-I'!A:G,3,0),IF(F193="COMP.EVENTUAL",VLOOKUP(E193,'11.COMPOSIÇÕES GERAIS'!B:I,3,0),VLOOKUP(E193,'12.COT.MERCADO'!A:I,7,0)))),"Em Elaboração")</f>
        <v>UN</v>
      </c>
      <c r="I193" s="938">
        <v>1.0</v>
      </c>
    </row>
    <row r="194">
      <c r="A194" s="931" t="s">
        <v>4529</v>
      </c>
      <c r="B194" s="931" t="s">
        <v>4572</v>
      </c>
      <c r="C194" s="932" t="s">
        <v>4274</v>
      </c>
      <c r="D194" s="933" t="s">
        <v>4573</v>
      </c>
      <c r="E194" s="939" t="s">
        <v>1866</v>
      </c>
      <c r="F194" s="935" t="s">
        <v>4276</v>
      </c>
      <c r="G194" s="421" t="str">
        <f>IFERROR(IF(F194="SINAPI-S",VLOOKUP(E194,'20-B.SINAPI-S'!A:J,2,0),IF(F194="SINAPI-I",VLOOKUP(E194,'20-A.SINAPI-I'!A:G,2,0),IF(F194="COMP.EVENTUAL",VLOOKUP(E194,'11.COMPOSIÇÕES GERAIS'!B:I,2,0),VLOOKUP(E194,'12.COT.MERCADO'!A:I,2,0)))),"Em Elaboração")</f>
        <v>FORNECIMENTO E INSTALAÇÃO DE CANALETA EM PVC PARA INSTALAÇÃO ELÉTRICA APARENTE, INCLUSIVE CONEXÕES, DIMENSÕES 20 X 10 MM</v>
      </c>
      <c r="H194" s="934" t="str">
        <f>IFERROR(IF(F194="SINAPI-S",VLOOKUP(E194,'20-B.SINAPI-S'!A:J,3,0),IF(F194="SINAPI-I",VLOOKUP(E194,'20-A.SINAPI-I'!A:G,3,0),IF(F194="COMP.EVENTUAL",VLOOKUP(E194,'11.COMPOSIÇÕES GERAIS'!B:I,3,0),VLOOKUP(E194,'12.COT.MERCADO'!A:I,7,0)))),"Em Elaboração")</f>
        <v>M</v>
      </c>
      <c r="I194" s="938">
        <v>3.0</v>
      </c>
    </row>
    <row r="195">
      <c r="A195" s="931" t="s">
        <v>4529</v>
      </c>
      <c r="B195" s="931" t="s">
        <v>4574</v>
      </c>
      <c r="C195" s="932" t="s">
        <v>4306</v>
      </c>
      <c r="D195" s="933" t="s">
        <v>4575</v>
      </c>
      <c r="E195" s="939">
        <v>99634.0</v>
      </c>
      <c r="F195" s="937" t="s">
        <v>218</v>
      </c>
      <c r="G195" s="421" t="str">
        <f>IFERROR(IF(F195="SINAPI-S",VLOOKUP(E195,'20-B.SINAPI-S'!A:J,2,0),IF(F195="SINAPI-I",VLOOKUP(E195,'20-A.SINAPI-I'!A:G,2,0),IF(F195="COMP.EVENTUAL",VLOOKUP(E195,'11.COMPOSIÇÕES GERAIS'!B:I,2,0),VLOOKUP(E195,'12.COT.MERCADO'!A:I,2,0)))),"Em Elaboração")</f>
        <v>VÁLVULA DE RETENÇÃO VERTICAL, DE BRONZE, ROSCÁVEL, 4" - FORNECIMENTO E INSTALAÇÃO. AF_08/2021</v>
      </c>
      <c r="H195" s="934" t="str">
        <f>IFERROR(IF(F195="SINAPI-S",VLOOKUP(E195,'20-B.SINAPI-S'!A:J,3,0),IF(F195="SINAPI-I",VLOOKUP(E195,'20-A.SINAPI-I'!A:G,3,0),IF(F195="COMP.EVENTUAL",VLOOKUP(E195,'11.COMPOSIÇÕES GERAIS'!B:I,3,0),VLOOKUP(E195,'12.COT.MERCADO'!A:I,7,0)))),"Em Elaboração")</f>
        <v>UN</v>
      </c>
      <c r="I195" s="936">
        <v>2.0</v>
      </c>
    </row>
    <row r="196">
      <c r="A196" s="931" t="s">
        <v>4529</v>
      </c>
      <c r="B196" s="931" t="s">
        <v>4576</v>
      </c>
      <c r="C196" s="932" t="s">
        <v>4274</v>
      </c>
      <c r="D196" s="933" t="s">
        <v>4577</v>
      </c>
      <c r="E196" s="939" t="s">
        <v>1870</v>
      </c>
      <c r="F196" s="935" t="s">
        <v>4276</v>
      </c>
      <c r="G196" s="421" t="str">
        <f>IFERROR(IF(F196="SINAPI-S",VLOOKUP(E196,'20-B.SINAPI-S'!A:J,2,0),IF(F196="SINAPI-I",VLOOKUP(E196,'20-A.SINAPI-I'!A:G,2,0),IF(F196="COMP.EVENTUAL",VLOOKUP(E196,'11.COMPOSIÇÕES GERAIS'!B:I,2,0),VLOOKUP(E196,'12.COT.MERCADO'!A:I,2,0)))),"Em Elaboração")</f>
        <v>FORNECIMENTO E INSTALAÇÃO DE FECHADURA BIOMÉTRICA PARA PORTA, ABERTURA TIPO SENHA OU CHAVEIRO DE PROXIMIDADE. REF: INTELBRAS FR 320 OU SIMILAR</v>
      </c>
      <c r="H196" s="934" t="str">
        <f>IFERROR(IF(F196="SINAPI-S",VLOOKUP(E196,'20-B.SINAPI-S'!A:J,3,0),IF(F196="SINAPI-I",VLOOKUP(E196,'20-A.SINAPI-I'!A:G,3,0),IF(F196="COMP.EVENTUAL",VLOOKUP(E196,'11.COMPOSIÇÕES GERAIS'!B:I,3,0),VLOOKUP(E196,'12.COT.MERCADO'!A:I,7,0)))),"Em Elaboração")</f>
        <v>UN</v>
      </c>
      <c r="I196" s="936">
        <v>3.0</v>
      </c>
    </row>
    <row r="197">
      <c r="A197" s="931" t="s">
        <v>4529</v>
      </c>
      <c r="B197" s="931" t="s">
        <v>4578</v>
      </c>
      <c r="C197" s="932" t="s">
        <v>4274</v>
      </c>
      <c r="D197" s="933" t="s">
        <v>4579</v>
      </c>
      <c r="E197" s="940" t="s">
        <v>1949</v>
      </c>
      <c r="F197" s="937" t="s">
        <v>4276</v>
      </c>
      <c r="G197" s="421" t="str">
        <f>IFERROR(IF(F197="SINAPI-S",VLOOKUP(E197,'20-B.SINAPI-S'!A:J,2,0),IF(F197="SINAPI-I",VLOOKUP(E197,'20-A.SINAPI-I'!A:G,2,0),IF(F197="COMP.EVENTUAL",VLOOKUP(E197,'11.COMPOSIÇÕES GERAIS'!B:I,2,0),VLOOKUP(E197,'12.COT.MERCADO'!A:I,2,0)))),"Em Elaboração")</f>
        <v>SERVIÇO DE MONTAGEM DE MÓVEIS/ARMÁRIOS EM MDF</v>
      </c>
      <c r="H197" s="934" t="str">
        <f>IFERROR(IF(F197="SINAPI-S",VLOOKUP(E197,'20-B.SINAPI-S'!A:J,3,0),IF(F197="SINAPI-I",VLOOKUP(E197,'20-A.SINAPI-I'!A:G,3,0),IF(F197="COMP.EVENTUAL",VLOOKUP(E197,'11.COMPOSIÇÕES GERAIS'!B:I,3,0),VLOOKUP(E197,'12.COT.MERCADO'!A:I,7,0)))),"Em Elaboração")</f>
        <v>M2</v>
      </c>
      <c r="I197" s="936" t="s">
        <v>4509</v>
      </c>
    </row>
    <row r="198">
      <c r="A198" s="931" t="s">
        <v>4529</v>
      </c>
      <c r="B198" s="931" t="s">
        <v>4580</v>
      </c>
      <c r="C198" s="932" t="s">
        <v>4306</v>
      </c>
      <c r="D198" s="933" t="s">
        <v>4581</v>
      </c>
      <c r="E198" s="939">
        <v>86877.0</v>
      </c>
      <c r="F198" s="937" t="s">
        <v>218</v>
      </c>
      <c r="G198" s="421" t="str">
        <f>IFERROR(IF(F198="SINAPI-S",VLOOKUP(E198,'20-B.SINAPI-S'!A:J,2,0),IF(F198="SINAPI-I",VLOOKUP(E198,'20-A.SINAPI-I'!A:G,2,0),IF(F198="COMP.EVENTUAL",VLOOKUP(E198,'11.COMPOSIÇÕES GERAIS'!B:I,2,0),VLOOKUP(E198,'12.COT.MERCADO'!A:I,2,0)))),"Em Elaboração")</f>
        <v>VÁLVULA EM METAL CROMADO 1.1/2_x0094_ X 1.1/2_x0094_ PARA TANQUE OU LAVATÓRIO, COM OU SEM LADRÃO - FORNECIMENTO E INSTALAÇÃO. AF_01/2020</v>
      </c>
      <c r="H198" s="934" t="str">
        <f>IFERROR(IF(F198="SINAPI-S",VLOOKUP(E198,'20-B.SINAPI-S'!A:J,3,0),IF(F198="SINAPI-I",VLOOKUP(E198,'20-A.SINAPI-I'!A:G,3,0),IF(F198="COMP.EVENTUAL",VLOOKUP(E198,'11.COMPOSIÇÕES GERAIS'!B:I,3,0),VLOOKUP(E198,'12.COT.MERCADO'!A:I,7,0)))),"Em Elaboração")</f>
        <v>UN</v>
      </c>
      <c r="I198" s="938">
        <v>2.0</v>
      </c>
    </row>
    <row r="199">
      <c r="A199" s="931" t="s">
        <v>4529</v>
      </c>
      <c r="B199" s="931" t="s">
        <v>4582</v>
      </c>
      <c r="C199" s="932" t="s">
        <v>4274</v>
      </c>
      <c r="D199" s="944" t="s">
        <v>4315</v>
      </c>
      <c r="E199" s="940">
        <v>90830.0</v>
      </c>
      <c r="F199" s="947" t="s">
        <v>218</v>
      </c>
      <c r="G199" s="421" t="str">
        <f>IFERROR(IF(F199="SINAPI-S",VLOOKUP(E199,'20-B.SINAPI-S'!A:J,2,0),IF(F199="SINAPI-I",VLOOKUP(E199,'20-A.SINAPI-I'!A:G,2,0),IF(F199="COMP.EVENTUAL",VLOOKUP(E199,'11.COMPOSIÇÕES GERAIS'!B:I,2,0),VLOOKUP(E199,'12.COT.MERCADO'!A:I,2,0)))),"Em Elaboração")</f>
        <v>FECHADURA DE EMBUTIR COM CILINDRO, EXTERNA, COMPLETA, ACABAMENTO PADRÃO MÉDIO, INCLUSO EXECUÇÃO DE FURO - FORNECIMENTO E INSTALAÇÃO. AF_12/2019</v>
      </c>
      <c r="H199" s="934" t="str">
        <f>IFERROR(IF(F199="SINAPI-S",VLOOKUP(E199,'20-B.SINAPI-S'!A:J,3,0),IF(F199="SINAPI-I",VLOOKUP(E199,'20-A.SINAPI-I'!A:G,3,0),IF(F199="COMP.EVENTUAL",VLOOKUP(E199,'11.COMPOSIÇÕES GERAIS'!B:I,3,0),VLOOKUP(E199,'12.COT.MERCADO'!A:I,7,0)))),"Em Elaboração")</f>
        <v>UN</v>
      </c>
      <c r="I199" s="936">
        <v>1.0</v>
      </c>
    </row>
    <row r="200">
      <c r="A200" s="931" t="s">
        <v>4529</v>
      </c>
      <c r="B200" s="931" t="s">
        <v>4583</v>
      </c>
      <c r="C200" s="932" t="s">
        <v>4274</v>
      </c>
      <c r="D200" s="933" t="s">
        <v>4295</v>
      </c>
      <c r="E200" s="939">
        <v>100903.0</v>
      </c>
      <c r="F200" s="937" t="s">
        <v>218</v>
      </c>
      <c r="G200" s="421" t="str">
        <f>IFERROR(IF(F200="SINAPI-S",VLOOKUP(E200,'20-B.SINAPI-S'!A:J,2,0),IF(F200="SINAPI-I",VLOOKUP(E200,'20-A.SINAPI-I'!A:G,2,0),IF(F200="COMP.EVENTUAL",VLOOKUP(E200,'11.COMPOSIÇÕES GERAIS'!B:I,2,0),VLOOKUP(E200,'12.COT.MERCADO'!A:I,2,0)))),"Em Elaboração")</f>
        <v>LÂMPADA TUBULAR LED DE 18/20 W, BASE G13 - FORNECIMENTO E INSTALAÇÃO. AF_02/2020_PS</v>
      </c>
      <c r="H200" s="934" t="str">
        <f>IFERROR(IF(F200="SINAPI-S",VLOOKUP(E200,'20-B.SINAPI-S'!A:J,3,0),IF(F200="SINAPI-I",VLOOKUP(E200,'20-A.SINAPI-I'!A:G,3,0),IF(F200="COMP.EVENTUAL",VLOOKUP(E200,'11.COMPOSIÇÕES GERAIS'!B:I,3,0),VLOOKUP(E200,'12.COT.MERCADO'!A:I,7,0)))),"Em Elaboração")</f>
        <v>UN</v>
      </c>
      <c r="I200" s="936">
        <v>8.0</v>
      </c>
    </row>
    <row r="201">
      <c r="A201" s="931" t="s">
        <v>4529</v>
      </c>
      <c r="B201" s="931" t="s">
        <v>4584</v>
      </c>
      <c r="C201" s="932" t="s">
        <v>4297</v>
      </c>
      <c r="D201" s="933" t="s">
        <v>4326</v>
      </c>
      <c r="E201" s="940" t="s">
        <v>1949</v>
      </c>
      <c r="F201" s="937" t="s">
        <v>4276</v>
      </c>
      <c r="G201" s="421" t="str">
        <f>IFERROR(IF(F201="SINAPI-S",VLOOKUP(E201,'20-B.SINAPI-S'!A:J,2,0),IF(F201="SINAPI-I",VLOOKUP(E201,'20-A.SINAPI-I'!A:G,2,0),IF(F201="COMP.EVENTUAL",VLOOKUP(E201,'11.COMPOSIÇÕES GERAIS'!B:I,2,0),VLOOKUP(E201,'12.COT.MERCADO'!A:I,2,0)))),"Em Elaboração")</f>
        <v>SERVIÇO DE MONTAGEM DE MÓVEIS/ARMÁRIOS EM MDF</v>
      </c>
      <c r="H201" s="934" t="str">
        <f>IFERROR(IF(F201="SINAPI-S",VLOOKUP(E201,'20-B.SINAPI-S'!A:J,3,0),IF(F201="SINAPI-I",VLOOKUP(E201,'20-A.SINAPI-I'!A:G,3,0),IF(F201="COMP.EVENTUAL",VLOOKUP(E201,'11.COMPOSIÇÕES GERAIS'!B:I,3,0),VLOOKUP(E201,'12.COT.MERCADO'!A:I,7,0)))),"Em Elaboração")</f>
        <v>M2</v>
      </c>
      <c r="I201" s="936" t="s">
        <v>4509</v>
      </c>
    </row>
    <row r="202">
      <c r="A202" s="931" t="s">
        <v>4529</v>
      </c>
      <c r="B202" s="931" t="s">
        <v>4585</v>
      </c>
      <c r="C202" s="932" t="s">
        <v>4274</v>
      </c>
      <c r="D202" s="933" t="s">
        <v>4586</v>
      </c>
      <c r="E202" s="939" t="s">
        <v>1802</v>
      </c>
      <c r="F202" s="935" t="s">
        <v>4276</v>
      </c>
      <c r="G202" s="421" t="str">
        <f>IFERROR(IF(F202="SINAPI-S",VLOOKUP(E202,'20-B.SINAPI-S'!A:J,2,0),IF(F202="SINAPI-I",VLOOKUP(E202,'20-A.SINAPI-I'!A:G,2,0),IF(F202="COMP.EVENTUAL",VLOOKUP(E202,'11.COMPOSIÇÕES GERAIS'!B:I,2,0),VLOOKUP(E202,'12.COT.MERCADO'!A:I,2,0)))),"Em Elaboração")</f>
        <v>FORNECIMENTO E INSTALAÇÃO DE BATERIA SELADA 12V - 60 AH</v>
      </c>
      <c r="H202" s="934" t="str">
        <f>IFERROR(IF(F202="SINAPI-S",VLOOKUP(E202,'20-B.SINAPI-S'!A:J,3,0),IF(F202="SINAPI-I",VLOOKUP(E202,'20-A.SINAPI-I'!A:G,3,0),IF(F202="COMP.EVENTUAL",VLOOKUP(E202,'11.COMPOSIÇÕES GERAIS'!B:I,3,0),VLOOKUP(E202,'12.COT.MERCADO'!A:I,7,0)))),"Em Elaboração")</f>
        <v>UN</v>
      </c>
      <c r="I202" s="936" t="s">
        <v>4509</v>
      </c>
    </row>
    <row r="203">
      <c r="A203" s="931" t="s">
        <v>4529</v>
      </c>
      <c r="B203" s="931" t="s">
        <v>4587</v>
      </c>
      <c r="C203" s="932" t="s">
        <v>4297</v>
      </c>
      <c r="D203" s="933" t="s">
        <v>4588</v>
      </c>
      <c r="E203" s="939">
        <v>103029.0</v>
      </c>
      <c r="F203" s="937" t="s">
        <v>218</v>
      </c>
      <c r="G203" s="421" t="str">
        <f>IFERROR(IF(F203="SINAPI-S",VLOOKUP(E203,'20-B.SINAPI-S'!A:J,2,0),IF(F203="SINAPI-I",VLOOKUP(E203,'20-A.SINAPI-I'!A:G,2,0),IF(F203="COMP.EVENTUAL",VLOOKUP(E203,'11.COMPOSIÇÕES GERAIS'!B:I,2,0),VLOOKUP(E203,'12.COT.MERCADO'!A:I,2,0)))),"Em Elaboração")</f>
        <v>REGISTRO OU REGULADOR DE GÁS DE COZINHA - FORNECIMENTO E INSTALAÇÃO. AF_08/2021</v>
      </c>
      <c r="H203" s="934" t="str">
        <f>IFERROR(IF(F203="SINAPI-S",VLOOKUP(E203,'20-B.SINAPI-S'!A:J,3,0),IF(F203="SINAPI-I",VLOOKUP(E203,'20-A.SINAPI-I'!A:G,3,0),IF(F203="COMP.EVENTUAL",VLOOKUP(E203,'11.COMPOSIÇÕES GERAIS'!B:I,3,0),VLOOKUP(E203,'12.COT.MERCADO'!A:I,7,0)))),"Em Elaboração")</f>
        <v>UN</v>
      </c>
      <c r="I203" s="938">
        <v>1.0</v>
      </c>
    </row>
    <row r="204">
      <c r="A204" s="931" t="s">
        <v>4529</v>
      </c>
      <c r="B204" s="931" t="s">
        <v>4589</v>
      </c>
      <c r="C204" s="932" t="s">
        <v>4274</v>
      </c>
      <c r="D204" s="933" t="s">
        <v>4590</v>
      </c>
      <c r="E204" s="940" t="s">
        <v>1799</v>
      </c>
      <c r="F204" s="937" t="s">
        <v>4276</v>
      </c>
      <c r="G204" s="421" t="str">
        <f>IFERROR(IF(F204="SINAPI-S",VLOOKUP(E204,'20-B.SINAPI-S'!A:J,2,0),IF(F204="SINAPI-I",VLOOKUP(E204,'20-A.SINAPI-I'!A:G,2,0),IF(F204="COMP.EVENTUAL",VLOOKUP(E204,'11.COMPOSIÇÕES GERAIS'!B:I,2,0),VLOOKUP(E204,'12.COT.MERCADO'!A:I,2,0)))),"Em Elaboração")</f>
        <v>FORNECIMENTO E INSTALAÇÃO DE PLACAS DE FORRO DE FIBRA MINERAL - EXCLUSIVE ESTRUTURA DE SUSTENTAÇÃO</v>
      </c>
      <c r="H204" s="934" t="str">
        <f>IFERROR(IF(F204="SINAPI-S",VLOOKUP(E204,'20-B.SINAPI-S'!A:J,3,0),IF(F204="SINAPI-I",VLOOKUP(E204,'20-A.SINAPI-I'!A:G,3,0),IF(F204="COMP.EVENTUAL",VLOOKUP(E204,'11.COMPOSIÇÕES GERAIS'!B:I,3,0),VLOOKUP(E204,'12.COT.MERCADO'!A:I,7,0)))),"Em Elaboração")</f>
        <v>UN</v>
      </c>
      <c r="I204" s="938">
        <v>8.0</v>
      </c>
    </row>
    <row r="205">
      <c r="A205" s="931" t="s">
        <v>4529</v>
      </c>
      <c r="B205" s="931" t="s">
        <v>4591</v>
      </c>
      <c r="C205" s="932" t="s">
        <v>4297</v>
      </c>
      <c r="D205" s="933" t="s">
        <v>4592</v>
      </c>
      <c r="E205" s="940" t="s">
        <v>1791</v>
      </c>
      <c r="F205" s="947" t="s">
        <v>4276</v>
      </c>
      <c r="G205" s="421" t="str">
        <f>IFERROR(IF(F205="SINAPI-S",VLOOKUP(E205,'20-B.SINAPI-S'!A:J,2,0),IF(F205="SINAPI-I",VLOOKUP(E205,'20-A.SINAPI-I'!A:G,2,0),IF(F205="COMP.EVENTUAL",VLOOKUP(E205,'11.COMPOSIÇÕES GERAIS'!B:I,2,0),VLOOKUP(E205,'12.COT.MERCADO'!A:I,2,0)))),"Em Elaboração")</f>
        <v>FORNECIMENTO E INSTALAÇÃO DE CABO DE AÇO 1/8 REVESTIDO COM PVC, TOTAL 50M, PARA PORTA BANDEIRAS</v>
      </c>
      <c r="H205" s="934" t="str">
        <f>IFERROR(IF(F205="SINAPI-S",VLOOKUP(E205,'20-B.SINAPI-S'!A:J,3,0),IF(F205="SINAPI-I",VLOOKUP(E205,'20-A.SINAPI-I'!A:G,3,0),IF(F205="COMP.EVENTUAL",VLOOKUP(E205,'11.COMPOSIÇÕES GERAIS'!B:I,3,0),VLOOKUP(E205,'12.COT.MERCADO'!A:I,7,0)))),"Em Elaboração")</f>
        <v>UN</v>
      </c>
      <c r="I205" s="938">
        <v>1.0</v>
      </c>
    </row>
    <row r="206">
      <c r="A206" s="931" t="s">
        <v>4529</v>
      </c>
      <c r="B206" s="931" t="s">
        <v>4593</v>
      </c>
      <c r="C206" s="932" t="s">
        <v>4274</v>
      </c>
      <c r="D206" s="933" t="s">
        <v>4594</v>
      </c>
      <c r="E206" s="939" t="s">
        <v>1874</v>
      </c>
      <c r="F206" s="935" t="s">
        <v>4276</v>
      </c>
      <c r="G206" s="421" t="str">
        <f>IFERROR(IF(F206="SINAPI-S",VLOOKUP(E206,'20-B.SINAPI-S'!A:J,2,0),IF(F206="SINAPI-I",VLOOKUP(E206,'20-A.SINAPI-I'!A:G,2,0),IF(F206="COMP.EVENTUAL",VLOOKUP(E206,'11.COMPOSIÇÕES GERAIS'!B:I,2,0),VLOOKUP(E206,'12.COT.MERCADO'!A:I,2,0)))),"Em Elaboração")</f>
        <v>SUBSTITUIÇÃO DE PLUGUE 2P+T DE 20A, 250V</v>
      </c>
      <c r="H206" s="934" t="str">
        <f>IFERROR(IF(F206="SINAPI-S",VLOOKUP(E206,'20-B.SINAPI-S'!A:J,3,0),IF(F206="SINAPI-I",VLOOKUP(E206,'20-A.SINAPI-I'!A:G,3,0),IF(F206="COMP.EVENTUAL",VLOOKUP(E206,'11.COMPOSIÇÕES GERAIS'!B:I,3,0),VLOOKUP(E206,'12.COT.MERCADO'!A:I,7,0)))),"Em Elaboração")</f>
        <v>UN</v>
      </c>
      <c r="I206" s="936">
        <v>1.0</v>
      </c>
    </row>
    <row r="207">
      <c r="A207" s="931" t="s">
        <v>4529</v>
      </c>
      <c r="B207" s="931" t="s">
        <v>4595</v>
      </c>
      <c r="C207" s="932" t="s">
        <v>4306</v>
      </c>
      <c r="D207" s="933" t="s">
        <v>4596</v>
      </c>
      <c r="E207" s="939">
        <v>102137.0</v>
      </c>
      <c r="F207" s="937" t="s">
        <v>218</v>
      </c>
      <c r="G207" s="421" t="str">
        <f>IFERROR(IF(F207="SINAPI-S",VLOOKUP(E207,'20-B.SINAPI-S'!A:J,2,0),IF(F207="SINAPI-I",VLOOKUP(E207,'20-A.SINAPI-I'!A:G,2,0),IF(F207="COMP.EVENTUAL",VLOOKUP(E207,'11.COMPOSIÇÕES GERAIS'!B:I,2,0),VLOOKUP(E207,'12.COT.MERCADO'!A:I,2,0)))),"Em Elaboração")</f>
        <v>CHAVE DE BOIA AUTOMÁTICA SUPERIOR/INFERIOR 15A/250V - FORNECIMENTO E INSTALAÇÃO. AF_12/2020</v>
      </c>
      <c r="H207" s="934" t="str">
        <f>IFERROR(IF(F207="SINAPI-S",VLOOKUP(E207,'20-B.SINAPI-S'!A:J,3,0),IF(F207="SINAPI-I",VLOOKUP(E207,'20-A.SINAPI-I'!A:G,3,0),IF(F207="COMP.EVENTUAL",VLOOKUP(E207,'11.COMPOSIÇÕES GERAIS'!B:I,3,0),VLOOKUP(E207,'12.COT.MERCADO'!A:I,7,0)))),"Em Elaboração")</f>
        <v>UN</v>
      </c>
      <c r="I207" s="936">
        <v>1.0</v>
      </c>
    </row>
    <row r="208">
      <c r="A208" s="931" t="s">
        <v>4529</v>
      </c>
      <c r="B208" s="931" t="s">
        <v>4597</v>
      </c>
      <c r="C208" s="932" t="s">
        <v>4274</v>
      </c>
      <c r="D208" s="933" t="s">
        <v>4520</v>
      </c>
      <c r="E208" s="939">
        <v>97611.0</v>
      </c>
      <c r="F208" s="937" t="s">
        <v>218</v>
      </c>
      <c r="G208" s="421" t="str">
        <f>IFERROR(IF(F208="SINAPI-S",VLOOKUP(E208,'20-B.SINAPI-S'!A:J,2,0),IF(F208="SINAPI-I",VLOOKUP(E208,'20-A.SINAPI-I'!A:G,2,0),IF(F208="COMP.EVENTUAL",VLOOKUP(E208,'11.COMPOSIÇÕES GERAIS'!B:I,2,0),VLOOKUP(E208,'12.COT.MERCADO'!A:I,2,0)))),"Em Elaboração")</f>
        <v>LÂMPADA COMPACTA FLUORESCENTE DE 15 W, BASE E27 - FORNECIMENTO E INSTALAÇÃO. AF_02/2020</v>
      </c>
      <c r="H208" s="934" t="str">
        <f>IFERROR(IF(F208="SINAPI-S",VLOOKUP(E208,'20-B.SINAPI-S'!A:J,3,0),IF(F208="SINAPI-I",VLOOKUP(E208,'20-A.SINAPI-I'!A:G,3,0),IF(F208="COMP.EVENTUAL",VLOOKUP(E208,'11.COMPOSIÇÕES GERAIS'!B:I,3,0),VLOOKUP(E208,'12.COT.MERCADO'!A:I,7,0)))),"Em Elaboração")</f>
        <v>UN</v>
      </c>
      <c r="I208" s="936">
        <v>1.0</v>
      </c>
    </row>
    <row r="209">
      <c r="A209" s="931" t="s">
        <v>4529</v>
      </c>
      <c r="B209" s="931" t="s">
        <v>4598</v>
      </c>
      <c r="C209" s="932" t="s">
        <v>4306</v>
      </c>
      <c r="D209" s="933" t="s">
        <v>4599</v>
      </c>
      <c r="E209" s="939" t="s">
        <v>1863</v>
      </c>
      <c r="F209" s="935" t="s">
        <v>4276</v>
      </c>
      <c r="G209" s="421" t="str">
        <f>IFERROR(IF(F209="SINAPI-S",VLOOKUP(E209,'20-B.SINAPI-S'!A:J,2,0),IF(F209="SINAPI-I",VLOOKUP(E209,'20-A.SINAPI-I'!A:G,2,0),IF(F209="COMP.EVENTUAL",VLOOKUP(E209,'11.COMPOSIÇÕES GERAIS'!B:I,2,0),VLOOKUP(E209,'12.COT.MERCADO'!A:I,2,0)))),"Em Elaboração")</f>
        <v>VERIFICAÇÃO DE VAZAMENTO EM INSTALAÇÕES INTERNAS POR RAMAL</v>
      </c>
      <c r="H209" s="934" t="str">
        <f>IFERROR(IF(F209="SINAPI-S",VLOOKUP(E209,'20-B.SINAPI-S'!A:J,3,0),IF(F209="SINAPI-I",VLOOKUP(E209,'20-A.SINAPI-I'!A:G,3,0),IF(F209="COMP.EVENTUAL",VLOOKUP(E209,'11.COMPOSIÇÕES GERAIS'!B:I,3,0),VLOOKUP(E209,'12.COT.MERCADO'!A:I,7,0)))),"Em Elaboração")</f>
        <v>UN</v>
      </c>
      <c r="I209" s="938">
        <v>2.0</v>
      </c>
    </row>
    <row r="210">
      <c r="A210" s="931" t="s">
        <v>4529</v>
      </c>
      <c r="B210" s="931" t="s">
        <v>4600</v>
      </c>
      <c r="C210" s="932" t="s">
        <v>4306</v>
      </c>
      <c r="D210" s="933" t="s">
        <v>4601</v>
      </c>
      <c r="E210" s="934" t="s">
        <v>1809</v>
      </c>
      <c r="F210" s="937" t="s">
        <v>4276</v>
      </c>
      <c r="G210" s="421" t="str">
        <f>IFERROR(IF(F210="SINAPI-S",VLOOKUP(E210,'20-B.SINAPI-S'!A:J,2,0),IF(F210="SINAPI-I",VLOOKUP(E210,'20-A.SINAPI-I'!A:G,2,0),IF(F210="COMP.EVENTUAL",VLOOKUP(E210,'11.COMPOSIÇÕES GERAIS'!B:I,2,0),VLOOKUP(E210,'12.COT.MERCADO'!A:I,2,0)))),"Em Elaboração")</f>
        <v>DESENTUPIMENTO DE LOUÇAS</v>
      </c>
      <c r="H210" s="934" t="str">
        <f>IFERROR(IF(F210="SINAPI-S",VLOOKUP(E210,'20-B.SINAPI-S'!A:J,3,0),IF(F210="SINAPI-I",VLOOKUP(E210,'20-A.SINAPI-I'!A:G,3,0),IF(F210="COMP.EVENTUAL",VLOOKUP(E210,'11.COMPOSIÇÕES GERAIS'!B:I,3,0),VLOOKUP(E210,'12.COT.MERCADO'!A:I,7,0)))),"Em Elaboração")</f>
        <v>UN</v>
      </c>
      <c r="I210" s="936">
        <v>1.0</v>
      </c>
    </row>
    <row r="211">
      <c r="A211" s="931" t="s">
        <v>4529</v>
      </c>
      <c r="B211" s="931" t="s">
        <v>4602</v>
      </c>
      <c r="C211" s="932" t="s">
        <v>4274</v>
      </c>
      <c r="D211" s="933" t="s">
        <v>4310</v>
      </c>
      <c r="E211" s="934">
        <v>98296.0</v>
      </c>
      <c r="F211" s="937" t="s">
        <v>218</v>
      </c>
      <c r="G211" s="421" t="str">
        <f>IFERROR(IF(F211="SINAPI-S",VLOOKUP(E211,'20-B.SINAPI-S'!A:J,2,0),IF(F211="SINAPI-I",VLOOKUP(E211,'20-A.SINAPI-I'!A:G,2,0),IF(F211="COMP.EVENTUAL",VLOOKUP(E211,'11.COMPOSIÇÕES GERAIS'!B:I,2,0),VLOOKUP(E211,'12.COT.MERCADO'!A:I,2,0)))),"Em Elaboração")</f>
        <v>CABO ELETRÔNICO CATEGORIA 6, INSTALADO EM EDIFICAÇÃO RESIDENCIAL - FORNECIMENTO E INSTALAÇÃO. AF_11/2019</v>
      </c>
      <c r="H211" s="934" t="str">
        <f>IFERROR(IF(F211="SINAPI-S",VLOOKUP(E211,'20-B.SINAPI-S'!A:J,3,0),IF(F211="SINAPI-I",VLOOKUP(E211,'20-A.SINAPI-I'!A:G,3,0),IF(F211="COMP.EVENTUAL",VLOOKUP(E211,'11.COMPOSIÇÕES GERAIS'!B:I,3,0),VLOOKUP(E211,'12.COT.MERCADO'!A:I,7,0)))),"Em Elaboração")</f>
        <v>M</v>
      </c>
      <c r="I211" s="936">
        <v>60.0</v>
      </c>
    </row>
    <row r="212">
      <c r="A212" s="931" t="s">
        <v>4529</v>
      </c>
      <c r="B212" s="931" t="s">
        <v>4603</v>
      </c>
      <c r="C212" s="932" t="s">
        <v>4274</v>
      </c>
      <c r="D212" s="933" t="s">
        <v>4295</v>
      </c>
      <c r="E212" s="939">
        <v>100903.0</v>
      </c>
      <c r="F212" s="937" t="s">
        <v>218</v>
      </c>
      <c r="G212" s="421" t="str">
        <f>IFERROR(IF(F212="SINAPI-S",VLOOKUP(E212,'20-B.SINAPI-S'!A:J,2,0),IF(F212="SINAPI-I",VLOOKUP(E212,'20-A.SINAPI-I'!A:G,2,0),IF(F212="COMP.EVENTUAL",VLOOKUP(E212,'11.COMPOSIÇÕES GERAIS'!B:I,2,0),VLOOKUP(E212,'12.COT.MERCADO'!A:I,2,0)))),"Em Elaboração")</f>
        <v>LÂMPADA TUBULAR LED DE 18/20 W, BASE G13 - FORNECIMENTO E INSTALAÇÃO. AF_02/2020_PS</v>
      </c>
      <c r="H212" s="934" t="str">
        <f>IFERROR(IF(F212="SINAPI-S",VLOOKUP(E212,'20-B.SINAPI-S'!A:J,3,0),IF(F212="SINAPI-I",VLOOKUP(E212,'20-A.SINAPI-I'!A:G,3,0),IF(F212="COMP.EVENTUAL",VLOOKUP(E212,'11.COMPOSIÇÕES GERAIS'!B:I,3,0),VLOOKUP(E212,'12.COT.MERCADO'!A:I,7,0)))),"Em Elaboração")</f>
        <v>UN</v>
      </c>
      <c r="I212" s="936">
        <v>2.0</v>
      </c>
    </row>
    <row r="213">
      <c r="A213" s="931" t="s">
        <v>4529</v>
      </c>
      <c r="B213" s="931" t="s">
        <v>4604</v>
      </c>
      <c r="C213" s="932" t="s">
        <v>4274</v>
      </c>
      <c r="D213" s="933" t="s">
        <v>4295</v>
      </c>
      <c r="E213" s="939">
        <v>100903.0</v>
      </c>
      <c r="F213" s="937" t="s">
        <v>218</v>
      </c>
      <c r="G213" s="421" t="str">
        <f>IFERROR(IF(F213="SINAPI-S",VLOOKUP(E213,'20-B.SINAPI-S'!A:J,2,0),IF(F213="SINAPI-I",VLOOKUP(E213,'20-A.SINAPI-I'!A:G,2,0),IF(F213="COMP.EVENTUAL",VLOOKUP(E213,'11.COMPOSIÇÕES GERAIS'!B:I,2,0),VLOOKUP(E213,'12.COT.MERCADO'!A:I,2,0)))),"Em Elaboração")</f>
        <v>LÂMPADA TUBULAR LED DE 18/20 W, BASE G13 - FORNECIMENTO E INSTALAÇÃO. AF_02/2020_PS</v>
      </c>
      <c r="H213" s="934" t="str">
        <f>IFERROR(IF(F213="SINAPI-S",VLOOKUP(E213,'20-B.SINAPI-S'!A:J,3,0),IF(F213="SINAPI-I",VLOOKUP(E213,'20-A.SINAPI-I'!A:G,3,0),IF(F213="COMP.EVENTUAL",VLOOKUP(E213,'11.COMPOSIÇÕES GERAIS'!B:I,3,0),VLOOKUP(E213,'12.COT.MERCADO'!A:I,7,0)))),"Em Elaboração")</f>
        <v>UN</v>
      </c>
      <c r="I213" s="936">
        <v>2.0</v>
      </c>
    </row>
    <row r="214">
      <c r="A214" s="931" t="s">
        <v>4529</v>
      </c>
      <c r="B214" s="931" t="s">
        <v>4605</v>
      </c>
      <c r="C214" s="932" t="s">
        <v>4274</v>
      </c>
      <c r="D214" s="933" t="s">
        <v>4606</v>
      </c>
      <c r="E214" s="939" t="s">
        <v>1844</v>
      </c>
      <c r="F214" s="947" t="s">
        <v>4276</v>
      </c>
      <c r="G214" s="421" t="str">
        <f>IFERROR(IF(F214="SINAPI-S",VLOOKUP(E214,'20-B.SINAPI-S'!A:J,2,0),IF(F214="SINAPI-I",VLOOKUP(E214,'20-A.SINAPI-I'!A:G,2,0),IF(F214="COMP.EVENTUAL",VLOOKUP(E214,'11.COMPOSIÇÕES GERAIS'!B:I,2,0),VLOOKUP(E214,'12.COT.MERCADO'!A:I,2,0)))),"Em Elaboração")</f>
        <v>FORNECIMENTO E INSTALAÇÃO DE PLACA CENTRAL DE COMANDO UNIVERSAL X2 FULL ST IPEC PARA AUTOMATIZADORES</v>
      </c>
      <c r="H214" s="934" t="str">
        <f>IFERROR(IF(F214="SINAPI-S",VLOOKUP(E214,'20-B.SINAPI-S'!A:J,3,0),IF(F214="SINAPI-I",VLOOKUP(E214,'20-A.SINAPI-I'!A:G,3,0),IF(F214="COMP.EVENTUAL",VLOOKUP(E214,'11.COMPOSIÇÕES GERAIS'!B:I,3,0),VLOOKUP(E214,'12.COT.MERCADO'!A:I,7,0)))),"Em Elaboração")</f>
        <v>UN</v>
      </c>
      <c r="I214" s="936">
        <v>1.0</v>
      </c>
    </row>
    <row r="215">
      <c r="A215" s="931" t="s">
        <v>4529</v>
      </c>
      <c r="B215" s="931" t="s">
        <v>4607</v>
      </c>
      <c r="C215" s="932" t="s">
        <v>4274</v>
      </c>
      <c r="D215" s="933" t="s">
        <v>4295</v>
      </c>
      <c r="E215" s="939">
        <v>100903.0</v>
      </c>
      <c r="F215" s="937" t="s">
        <v>218</v>
      </c>
      <c r="G215" s="421" t="str">
        <f>IFERROR(IF(F215="SINAPI-S",VLOOKUP(E215,'20-B.SINAPI-S'!A:J,2,0),IF(F215="SINAPI-I",VLOOKUP(E215,'20-A.SINAPI-I'!A:G,2,0),IF(F215="COMP.EVENTUAL",VLOOKUP(E215,'11.COMPOSIÇÕES GERAIS'!B:I,2,0),VLOOKUP(E215,'12.COT.MERCADO'!A:I,2,0)))),"Em Elaboração")</f>
        <v>LÂMPADA TUBULAR LED DE 18/20 W, BASE G13 - FORNECIMENTO E INSTALAÇÃO. AF_02/2020_PS</v>
      </c>
      <c r="H215" s="934" t="str">
        <f>IFERROR(IF(F215="SINAPI-S",VLOOKUP(E215,'20-B.SINAPI-S'!A:J,3,0),IF(F215="SINAPI-I",VLOOKUP(E215,'20-A.SINAPI-I'!A:G,3,0),IF(F215="COMP.EVENTUAL",VLOOKUP(E215,'11.COMPOSIÇÕES GERAIS'!B:I,3,0),VLOOKUP(E215,'12.COT.MERCADO'!A:I,7,0)))),"Em Elaboração")</f>
        <v>UN</v>
      </c>
      <c r="I215" s="936">
        <v>6.0</v>
      </c>
    </row>
    <row r="216">
      <c r="A216" s="931" t="s">
        <v>4529</v>
      </c>
      <c r="B216" s="931" t="s">
        <v>4608</v>
      </c>
      <c r="C216" s="932" t="s">
        <v>4274</v>
      </c>
      <c r="D216" s="933" t="s">
        <v>4609</v>
      </c>
      <c r="E216" s="940" t="s">
        <v>1851</v>
      </c>
      <c r="F216" s="947" t="s">
        <v>4276</v>
      </c>
      <c r="G216" s="421" t="str">
        <f>IFERROR(IF(F216="SINAPI-S",VLOOKUP(E216,'20-B.SINAPI-S'!A:J,2,0),IF(F216="SINAPI-I",VLOOKUP(E216,'20-A.SINAPI-I'!A:G,2,0),IF(F216="COMP.EVENTUAL",VLOOKUP(E216,'11.COMPOSIÇÕES GERAIS'!B:I,2,0),VLOOKUP(E216,'12.COT.MERCADO'!A:I,2,0)))),"Em Elaboração")</f>
        <v>TESTE, LIMPEZA E REAPERTO DOS COMPONENTES PARA QUADROS DE DISTRIBUIÇÃO ATÉ 64 CIRCUITOS</v>
      </c>
      <c r="H216" s="934" t="str">
        <f>IFERROR(IF(F216="SINAPI-S",VLOOKUP(E216,'20-B.SINAPI-S'!A:J,3,0),IF(F216="SINAPI-I",VLOOKUP(E216,'20-A.SINAPI-I'!A:G,3,0),IF(F216="COMP.EVENTUAL",VLOOKUP(E216,'11.COMPOSIÇÕES GERAIS'!B:I,3,0),VLOOKUP(E216,'12.COT.MERCADO'!A:I,7,0)))),"Em Elaboração")</f>
        <v>UN</v>
      </c>
      <c r="I216" s="938">
        <v>1.0</v>
      </c>
    </row>
    <row r="217">
      <c r="A217" s="931" t="s">
        <v>4529</v>
      </c>
      <c r="B217" s="931" t="s">
        <v>4610</v>
      </c>
      <c r="C217" s="932" t="s">
        <v>4274</v>
      </c>
      <c r="D217" s="933" t="s">
        <v>4295</v>
      </c>
      <c r="E217" s="939">
        <v>100903.0</v>
      </c>
      <c r="F217" s="937" t="s">
        <v>218</v>
      </c>
      <c r="G217" s="421" t="str">
        <f>IFERROR(IF(F217="SINAPI-S",VLOOKUP(E217,'20-B.SINAPI-S'!A:J,2,0),IF(F217="SINAPI-I",VLOOKUP(E217,'20-A.SINAPI-I'!A:G,2,0),IF(F217="COMP.EVENTUAL",VLOOKUP(E217,'11.COMPOSIÇÕES GERAIS'!B:I,2,0),VLOOKUP(E217,'12.COT.MERCADO'!A:I,2,0)))),"Em Elaboração")</f>
        <v>LÂMPADA TUBULAR LED DE 18/20 W, BASE G13 - FORNECIMENTO E INSTALAÇÃO. AF_02/2020_PS</v>
      </c>
      <c r="H217" s="934" t="str">
        <f>IFERROR(IF(F217="SINAPI-S",VLOOKUP(E217,'20-B.SINAPI-S'!A:J,3,0),IF(F217="SINAPI-I",VLOOKUP(E217,'20-A.SINAPI-I'!A:G,3,0),IF(F217="COMP.EVENTUAL",VLOOKUP(E217,'11.COMPOSIÇÕES GERAIS'!B:I,3,0),VLOOKUP(E217,'12.COT.MERCADO'!A:I,7,0)))),"Em Elaboração")</f>
        <v>UN</v>
      </c>
      <c r="I217" s="936">
        <v>4.0</v>
      </c>
    </row>
    <row r="218">
      <c r="A218" s="931" t="s">
        <v>4611</v>
      </c>
      <c r="B218" s="931" t="s">
        <v>4612</v>
      </c>
      <c r="C218" s="932" t="s">
        <v>4297</v>
      </c>
      <c r="D218" s="933" t="s">
        <v>4613</v>
      </c>
      <c r="E218" s="934">
        <v>100748.0</v>
      </c>
      <c r="F218" s="937" t="s">
        <v>218</v>
      </c>
      <c r="G218" s="421" t="str">
        <f>IFERROR(IF(F218="SINAPI-S",VLOOKUP(E218,'20-B.SINAPI-S'!A:J,2,0),IF(F218="SINAPI-I",VLOOKUP(E218,'20-A.SINAPI-I'!A:G,2,0),IF(F218="COMP.EVENTUAL",VLOOKUP(E218,'11.COMPOSIÇÕES GERAIS'!B:I,2,0),VLOOKUP(E218,'12.COT.MERCADO'!A:I,2,0)))),"Em Elaboração")</f>
        <v>PINTURA COM TINTA ALQUÍDICA DE ACABAMENTO (ESMALTE SINTÉTICO FOSCO) APLICADA A ROLO OU PINCEL SOBRE PERFIL METÁLICO EXECUTADO EM FÁBRICA (POR DEMÃO). AF_01/2020</v>
      </c>
      <c r="H218" s="934" t="str">
        <f>IFERROR(IF(F218="SINAPI-S",VLOOKUP(E218,'20-B.SINAPI-S'!A:J,3,0),IF(F218="SINAPI-I",VLOOKUP(E218,'20-A.SINAPI-I'!A:G,3,0),IF(F218="COMP.EVENTUAL",VLOOKUP(E218,'11.COMPOSIÇÕES GERAIS'!B:I,3,0),VLOOKUP(E218,'12.COT.MERCADO'!A:I,7,0)))),"Em Elaboração")</f>
        <v>M2</v>
      </c>
      <c r="I218" s="941">
        <v>10.0</v>
      </c>
    </row>
    <row r="219">
      <c r="A219" s="931" t="s">
        <v>4611</v>
      </c>
      <c r="B219" s="931" t="s">
        <v>4614</v>
      </c>
      <c r="C219" s="932" t="s">
        <v>4297</v>
      </c>
      <c r="D219" s="933" t="s">
        <v>4615</v>
      </c>
      <c r="E219" s="934">
        <v>90830.0</v>
      </c>
      <c r="F219" s="937" t="s">
        <v>218</v>
      </c>
      <c r="G219" s="421" t="str">
        <f>IFERROR(IF(F219="SINAPI-S",VLOOKUP(E219,'20-B.SINAPI-S'!A:J,2,0),IF(F219="SINAPI-I",VLOOKUP(E219,'20-A.SINAPI-I'!A:G,2,0),IF(F219="COMP.EVENTUAL",VLOOKUP(E219,'11.COMPOSIÇÕES GERAIS'!B:I,2,0),VLOOKUP(E219,'12.COT.MERCADO'!A:I,2,0)))),"Em Elaboração")</f>
        <v>FECHADURA DE EMBUTIR COM CILINDRO, EXTERNA, COMPLETA, ACABAMENTO PADRÃO MÉDIO, INCLUSO EXECUÇÃO DE FURO - FORNECIMENTO E INSTALAÇÃO. AF_12/2019</v>
      </c>
      <c r="H219" s="934" t="str">
        <f>IFERROR(IF(F219="SINAPI-S",VLOOKUP(E219,'20-B.SINAPI-S'!A:J,3,0),IF(F219="SINAPI-I",VLOOKUP(E219,'20-A.SINAPI-I'!A:G,3,0),IF(F219="COMP.EVENTUAL",VLOOKUP(E219,'11.COMPOSIÇÕES GERAIS'!B:I,3,0),VLOOKUP(E219,'12.COT.MERCADO'!A:I,7,0)))),"Em Elaboração")</f>
        <v>UN</v>
      </c>
      <c r="I219" s="934">
        <v>8.0</v>
      </c>
    </row>
    <row r="220">
      <c r="A220" s="931" t="s">
        <v>4611</v>
      </c>
      <c r="B220" s="931" t="s">
        <v>4616</v>
      </c>
      <c r="C220" s="932" t="s">
        <v>4274</v>
      </c>
      <c r="D220" s="933" t="s">
        <v>4617</v>
      </c>
      <c r="E220" s="934">
        <v>101654.0</v>
      </c>
      <c r="F220" s="937" t="s">
        <v>218</v>
      </c>
      <c r="G220" s="421" t="str">
        <f>IFERROR(IF(F220="SINAPI-S",VLOOKUP(E220,'20-B.SINAPI-S'!A:J,2,0),IF(F220="SINAPI-I",VLOOKUP(E220,'20-A.SINAPI-I'!A:G,2,0),IF(F220="COMP.EVENTUAL",VLOOKUP(E220,'11.COMPOSIÇÕES GERAIS'!B:I,2,0),VLOOKUP(E220,'12.COT.MERCADO'!A:I,2,0)))),"Em Elaboração")</f>
        <v>LUMINÁRIA DE LED PARA ILUMINAÇÃO PÚBLICA, DE 33 W ATÉ 50 W - FORNECIMENTO E INSTALAÇÃO. AF_08/2020</v>
      </c>
      <c r="H220" s="934" t="str">
        <f>IFERROR(IF(F220="SINAPI-S",VLOOKUP(E220,'20-B.SINAPI-S'!A:J,3,0),IF(F220="SINAPI-I",VLOOKUP(E220,'20-A.SINAPI-I'!A:G,3,0),IF(F220="COMP.EVENTUAL",VLOOKUP(E220,'11.COMPOSIÇÕES GERAIS'!B:I,3,0),VLOOKUP(E220,'12.COT.MERCADO'!A:I,7,0)))),"Em Elaboração")</f>
        <v>UN</v>
      </c>
      <c r="I220" s="934">
        <v>24.0</v>
      </c>
    </row>
    <row r="221">
      <c r="A221" s="931" t="s">
        <v>4611</v>
      </c>
      <c r="B221" s="931" t="s">
        <v>4618</v>
      </c>
      <c r="C221" s="932" t="s">
        <v>4306</v>
      </c>
      <c r="D221" s="933" t="s">
        <v>4619</v>
      </c>
      <c r="E221" s="934">
        <v>86910.0</v>
      </c>
      <c r="F221" s="937" t="s">
        <v>218</v>
      </c>
      <c r="G221" s="421" t="str">
        <f>IFERROR(IF(F221="SINAPI-S",VLOOKUP(E221,'20-B.SINAPI-S'!A:J,2,0),IF(F221="SINAPI-I",VLOOKUP(E221,'20-A.SINAPI-I'!A:G,2,0),IF(F221="COMP.EVENTUAL",VLOOKUP(E221,'11.COMPOSIÇÕES GERAIS'!B:I,2,0),VLOOKUP(E221,'12.COT.MERCADO'!A:I,2,0)))),"Em Elaboração")</f>
        <v>TORNEIRA CROMADA TUBO MÓVEL, DE PAREDE, 1/2_x0094_ OU 3/4_x0094_, PARA PIA DE COZINHA, PADRÃO MÉDIO - FORNECIMENTO E INSTALAÇÃO. AF_01/2020</v>
      </c>
      <c r="H221" s="934" t="str">
        <f>IFERROR(IF(F221="SINAPI-S",VLOOKUP(E221,'20-B.SINAPI-S'!A:J,3,0),IF(F221="SINAPI-I",VLOOKUP(E221,'20-A.SINAPI-I'!A:G,3,0),IF(F221="COMP.EVENTUAL",VLOOKUP(E221,'11.COMPOSIÇÕES GERAIS'!B:I,3,0),VLOOKUP(E221,'12.COT.MERCADO'!A:I,7,0)))),"Em Elaboração")</f>
        <v>UN</v>
      </c>
      <c r="I221" s="934">
        <v>1.0</v>
      </c>
    </row>
    <row r="222">
      <c r="A222" s="931" t="s">
        <v>4611</v>
      </c>
      <c r="B222" s="931" t="s">
        <v>4620</v>
      </c>
      <c r="C222" s="932" t="s">
        <v>4274</v>
      </c>
      <c r="D222" s="933" t="s">
        <v>4621</v>
      </c>
      <c r="E222" s="934" t="s">
        <v>1866</v>
      </c>
      <c r="F222" s="935" t="s">
        <v>4276</v>
      </c>
      <c r="G222" s="421" t="str">
        <f>IFERROR(IF(F222="SINAPI-S",VLOOKUP(E222,'20-B.SINAPI-S'!A:J,2,0),IF(F222="SINAPI-I",VLOOKUP(E222,'20-A.SINAPI-I'!A:G,2,0),IF(F222="COMP.EVENTUAL",VLOOKUP(E222,'11.COMPOSIÇÕES GERAIS'!B:I,2,0),VLOOKUP(E222,'12.COT.MERCADO'!A:I,2,0)))),"Em Elaboração")</f>
        <v>FORNECIMENTO E INSTALAÇÃO DE CANALETA EM PVC PARA INSTALAÇÃO ELÉTRICA APARENTE, INCLUSIVE CONEXÕES, DIMENSÕES 20 X 10 MM</v>
      </c>
      <c r="H222" s="934" t="str">
        <f>IFERROR(IF(F222="SINAPI-S",VLOOKUP(E222,'20-B.SINAPI-S'!A:J,3,0),IF(F222="SINAPI-I",VLOOKUP(E222,'20-A.SINAPI-I'!A:G,3,0),IF(F222="COMP.EVENTUAL",VLOOKUP(E222,'11.COMPOSIÇÕES GERAIS'!B:I,3,0),VLOOKUP(E222,'12.COT.MERCADO'!A:I,7,0)))),"Em Elaboração")</f>
        <v>M</v>
      </c>
      <c r="I222" s="941">
        <v>3.0</v>
      </c>
    </row>
    <row r="223">
      <c r="A223" s="931" t="s">
        <v>4611</v>
      </c>
      <c r="B223" s="931" t="s">
        <v>4622</v>
      </c>
      <c r="C223" s="932" t="s">
        <v>4274</v>
      </c>
      <c r="D223" s="933" t="s">
        <v>4623</v>
      </c>
      <c r="E223" s="934">
        <v>104475.0</v>
      </c>
      <c r="F223" s="937" t="s">
        <v>218</v>
      </c>
      <c r="G223" s="421" t="str">
        <f>IFERROR(IF(F223="SINAPI-S",VLOOKUP(E223,'20-B.SINAPI-S'!A:J,2,0),IF(F223="SINAPI-I",VLOOKUP(E223,'20-A.SINAPI-I'!A:G,2,0),IF(F223="COMP.EVENTUAL",VLOOKUP(E223,'11.COMPOSIÇÕES GERAIS'!B:I,2,0),VLOOKUP(E223,'12.COT.MERCADO'!A:I,2,0)))),"Em Elaboração")</f>
        <v>COMPOSIÇÃO PARAMÉTRICA DE PONTO ELÉTRICO DE TOMADA DE USO GERAL 2P+T (10A/250V) EM EDIFÍCIO RESIDENCIAL COM ELETRODUTO EMBUTIDO EM RASGOS NAS PAREDES, INCLUSO TOMADA, ELETRODUTO, CABO, RASGO, QUEBRA E CHUMBAMENTO. AF_11/2022</v>
      </c>
      <c r="H223" s="934" t="str">
        <f>IFERROR(IF(F223="SINAPI-S",VLOOKUP(E223,'20-B.SINAPI-S'!A:J,3,0),IF(F223="SINAPI-I",VLOOKUP(E223,'20-A.SINAPI-I'!A:G,3,0),IF(F223="COMP.EVENTUAL",VLOOKUP(E223,'11.COMPOSIÇÕES GERAIS'!B:I,3,0),VLOOKUP(E223,'12.COT.MERCADO'!A:I,7,0)))),"Em Elaboração")</f>
        <v>UN</v>
      </c>
      <c r="I223" s="934">
        <v>1.0</v>
      </c>
    </row>
    <row r="224">
      <c r="A224" s="931" t="s">
        <v>4611</v>
      </c>
      <c r="B224" s="931" t="s">
        <v>4624</v>
      </c>
      <c r="C224" s="932" t="s">
        <v>4274</v>
      </c>
      <c r="D224" s="933" t="s">
        <v>4625</v>
      </c>
      <c r="E224" s="934" t="s">
        <v>1844</v>
      </c>
      <c r="F224" s="935" t="s">
        <v>4276</v>
      </c>
      <c r="G224" s="421" t="str">
        <f>IFERROR(IF(F224="SINAPI-S",VLOOKUP(E224,'20-B.SINAPI-S'!A:J,2,0),IF(F224="SINAPI-I",VLOOKUP(E224,'20-A.SINAPI-I'!A:G,2,0),IF(F224="COMP.EVENTUAL",VLOOKUP(E224,'11.COMPOSIÇÕES GERAIS'!B:I,2,0),VLOOKUP(E224,'12.COT.MERCADO'!A:I,2,0)))),"Em Elaboração")</f>
        <v>FORNECIMENTO E INSTALAÇÃO DE PLACA CENTRAL DE COMANDO UNIVERSAL X2 FULL ST IPEC PARA AUTOMATIZADORES</v>
      </c>
      <c r="H224" s="934" t="str">
        <f>IFERROR(IF(F224="SINAPI-S",VLOOKUP(E224,'20-B.SINAPI-S'!A:J,3,0),IF(F224="SINAPI-I",VLOOKUP(E224,'20-A.SINAPI-I'!A:G,3,0),IF(F224="COMP.EVENTUAL",VLOOKUP(E224,'11.COMPOSIÇÕES GERAIS'!B:I,3,0),VLOOKUP(E224,'12.COT.MERCADO'!A:I,7,0)))),"Em Elaboração")</f>
        <v>UN</v>
      </c>
      <c r="I224" s="934">
        <v>1.0</v>
      </c>
    </row>
    <row r="225">
      <c r="A225" s="931" t="s">
        <v>4611</v>
      </c>
      <c r="B225" s="931" t="s">
        <v>4626</v>
      </c>
      <c r="C225" s="932" t="s">
        <v>4297</v>
      </c>
      <c r="D225" s="933" t="s">
        <v>4627</v>
      </c>
      <c r="E225" s="934" t="s">
        <v>1878</v>
      </c>
      <c r="F225" s="935" t="s">
        <v>4276</v>
      </c>
      <c r="G225" s="421" t="str">
        <f>IFERROR(IF(F225="SINAPI-S",VLOOKUP(E225,'20-B.SINAPI-S'!A:J,2,0),IF(F225="SINAPI-I",VLOOKUP(E225,'20-A.SINAPI-I'!A:G,2,0),IF(F225="COMP.EVENTUAL",VLOOKUP(E225,'11.COMPOSIÇÕES GERAIS'!B:I,2,0),VLOOKUP(E225,'12.COT.MERCADO'!A:I,2,0)))),"Em Elaboração")</f>
        <v>SERVIÇO DE LIMPEZA DE FOSSA SÉPTICA OU SUMIDOURO - VIAGEM DE 7M3</v>
      </c>
      <c r="H225" s="934" t="str">
        <f>IFERROR(IF(F225="SINAPI-S",VLOOKUP(E225,'20-B.SINAPI-S'!A:J,3,0),IF(F225="SINAPI-I",VLOOKUP(E225,'20-A.SINAPI-I'!A:G,3,0),IF(F225="COMP.EVENTUAL",VLOOKUP(E225,'11.COMPOSIÇÕES GERAIS'!B:I,3,0),VLOOKUP(E225,'12.COT.MERCADO'!A:I,7,0)))),"Em Elaboração")</f>
        <v>VG</v>
      </c>
      <c r="I225" s="934">
        <v>1.0</v>
      </c>
    </row>
    <row r="226">
      <c r="A226" s="931" t="s">
        <v>4611</v>
      </c>
      <c r="B226" s="931" t="s">
        <v>4628</v>
      </c>
      <c r="C226" s="932" t="s">
        <v>4274</v>
      </c>
      <c r="D226" s="933" t="s">
        <v>4278</v>
      </c>
      <c r="E226" s="934">
        <v>100903.0</v>
      </c>
      <c r="F226" s="937" t="s">
        <v>218</v>
      </c>
      <c r="G226" s="421" t="str">
        <f>IFERROR(IF(F226="SINAPI-S",VLOOKUP(E226,'20-B.SINAPI-S'!A:J,2,0),IF(F226="SINAPI-I",VLOOKUP(E226,'20-A.SINAPI-I'!A:G,2,0),IF(F226="COMP.EVENTUAL",VLOOKUP(E226,'11.COMPOSIÇÕES GERAIS'!B:I,2,0),VLOOKUP(E226,'12.COT.MERCADO'!A:I,2,0)))),"Em Elaboração")</f>
        <v>LÂMPADA TUBULAR LED DE 18/20 W, BASE G13 - FORNECIMENTO E INSTALAÇÃO. AF_02/2020_PS</v>
      </c>
      <c r="H226" s="934" t="str">
        <f>IFERROR(IF(F226="SINAPI-S",VLOOKUP(E226,'20-B.SINAPI-S'!A:J,3,0),IF(F226="SINAPI-I",VLOOKUP(E226,'20-A.SINAPI-I'!A:G,3,0),IF(F226="COMP.EVENTUAL",VLOOKUP(E226,'11.COMPOSIÇÕES GERAIS'!B:I,3,0),VLOOKUP(E226,'12.COT.MERCADO'!A:I,7,0)))),"Em Elaboração")</f>
        <v>UN</v>
      </c>
      <c r="I226" s="934">
        <v>8.0</v>
      </c>
    </row>
    <row r="227">
      <c r="A227" s="931" t="s">
        <v>4611</v>
      </c>
      <c r="B227" s="931" t="s">
        <v>4629</v>
      </c>
      <c r="C227" s="932" t="s">
        <v>4297</v>
      </c>
      <c r="D227" s="933" t="s">
        <v>4630</v>
      </c>
      <c r="E227" s="934">
        <v>90830.0</v>
      </c>
      <c r="F227" s="937" t="s">
        <v>218</v>
      </c>
      <c r="G227" s="421" t="str">
        <f>IFERROR(IF(F227="SINAPI-S",VLOOKUP(E227,'20-B.SINAPI-S'!A:J,2,0),IF(F227="SINAPI-I",VLOOKUP(E227,'20-A.SINAPI-I'!A:G,2,0),IF(F227="COMP.EVENTUAL",VLOOKUP(E227,'11.COMPOSIÇÕES GERAIS'!B:I,2,0),VLOOKUP(E227,'12.COT.MERCADO'!A:I,2,0)))),"Em Elaboração")</f>
        <v>FECHADURA DE EMBUTIR COM CILINDRO, EXTERNA, COMPLETA, ACABAMENTO PADRÃO MÉDIO, INCLUSO EXECUÇÃO DE FURO - FORNECIMENTO E INSTALAÇÃO. AF_12/2019</v>
      </c>
      <c r="H227" s="934" t="str">
        <f>IFERROR(IF(F227="SINAPI-S",VLOOKUP(E227,'20-B.SINAPI-S'!A:J,3,0),IF(F227="SINAPI-I",VLOOKUP(E227,'20-A.SINAPI-I'!A:G,3,0),IF(F227="COMP.EVENTUAL",VLOOKUP(E227,'11.COMPOSIÇÕES GERAIS'!B:I,3,0),VLOOKUP(E227,'12.COT.MERCADO'!A:I,7,0)))),"Em Elaboração")</f>
        <v>UN</v>
      </c>
      <c r="I227" s="934">
        <v>1.0</v>
      </c>
    </row>
    <row r="228">
      <c r="A228" s="931" t="s">
        <v>4611</v>
      </c>
      <c r="B228" s="931" t="s">
        <v>4631</v>
      </c>
      <c r="C228" s="932" t="s">
        <v>4274</v>
      </c>
      <c r="D228" s="933" t="s">
        <v>4632</v>
      </c>
      <c r="E228" s="951">
        <v>98297.0</v>
      </c>
      <c r="F228" s="937" t="s">
        <v>218</v>
      </c>
      <c r="G228" s="421" t="str">
        <f>IFERROR(IF(F228="SINAPI-S",VLOOKUP(E228,'20-B.SINAPI-S'!A:J,2,0),IF(F228="SINAPI-I",VLOOKUP(E228,'20-A.SINAPI-I'!A:G,2,0),IF(F228="COMP.EVENTUAL",VLOOKUP(E228,'11.COMPOSIÇÕES GERAIS'!B:I,2,0),VLOOKUP(E228,'12.COT.MERCADO'!A:I,2,0)))),"Em Elaboração")</f>
        <v>CABO ELETRÔNICO CATEGORIA 6, INSTALADO EM EDIFICAÇÃO INSTITUCIONAL - FORNECIMENTO E INSTALAÇÃO. AF_11/2019</v>
      </c>
      <c r="H228" s="934" t="str">
        <f>IFERROR(IF(F228="SINAPI-S",VLOOKUP(E228,'20-B.SINAPI-S'!A:J,3,0),IF(F228="SINAPI-I",VLOOKUP(E228,'20-A.SINAPI-I'!A:G,3,0),IF(F228="COMP.EVENTUAL",VLOOKUP(E228,'11.COMPOSIÇÕES GERAIS'!B:I,3,0),VLOOKUP(E228,'12.COT.MERCADO'!A:I,7,0)))),"Em Elaboração")</f>
        <v>M</v>
      </c>
      <c r="I228" s="934">
        <v>30.0</v>
      </c>
    </row>
    <row r="229">
      <c r="A229" s="931" t="s">
        <v>4611</v>
      </c>
      <c r="B229" s="931" t="s">
        <v>4633</v>
      </c>
      <c r="C229" s="932" t="s">
        <v>4297</v>
      </c>
      <c r="D229" s="933" t="s">
        <v>4634</v>
      </c>
      <c r="E229" s="934" t="s">
        <v>1882</v>
      </c>
      <c r="F229" s="935" t="s">
        <v>4276</v>
      </c>
      <c r="G229" s="421" t="str">
        <f>IFERROR(IF(F229="SINAPI-S",VLOOKUP(E229,'20-B.SINAPI-S'!A:J,2,0),IF(F229="SINAPI-I",VLOOKUP(E229,'20-A.SINAPI-I'!A:G,2,0),IF(F229="COMP.EVENTUAL",VLOOKUP(E229,'11.COMPOSIÇÕES GERAIS'!B:I,2,0),VLOOKUP(E229,'12.COT.MERCADO'!A:I,2,0)))),"Em Elaboração")</f>
        <v>TAMPA DE CONCRETO ARMADO PARA CAIXAS DE PASSAGEM 0,60X0,60X0,07M</v>
      </c>
      <c r="H229" s="934" t="str">
        <f>IFERROR(IF(F229="SINAPI-S",VLOOKUP(E229,'20-B.SINAPI-S'!A:J,3,0),IF(F229="SINAPI-I",VLOOKUP(E229,'20-A.SINAPI-I'!A:G,3,0),IF(F229="COMP.EVENTUAL",VLOOKUP(E229,'11.COMPOSIÇÕES GERAIS'!B:I,3,0),VLOOKUP(E229,'12.COT.MERCADO'!A:I,7,0)))),"Em Elaboração")</f>
        <v>UN</v>
      </c>
      <c r="I229" s="941">
        <v>8.0</v>
      </c>
    </row>
    <row r="230">
      <c r="A230" s="931" t="s">
        <v>4611</v>
      </c>
      <c r="B230" s="931" t="s">
        <v>4635</v>
      </c>
      <c r="C230" s="932" t="s">
        <v>4274</v>
      </c>
      <c r="D230" s="933" t="s">
        <v>4636</v>
      </c>
      <c r="E230" s="934">
        <v>99627.0</v>
      </c>
      <c r="F230" s="937" t="s">
        <v>218</v>
      </c>
      <c r="G230" s="421" t="str">
        <f>IFERROR(IF(F230="SINAPI-S",VLOOKUP(E230,'20-B.SINAPI-S'!A:J,2,0),IF(F230="SINAPI-I",VLOOKUP(E230,'20-A.SINAPI-I'!A:G,2,0),IF(F230="COMP.EVENTUAL",VLOOKUP(E230,'11.COMPOSIÇÕES GERAIS'!B:I,2,0),VLOOKUP(E230,'12.COT.MERCADO'!A:I,2,0)))),"Em Elaboração")</f>
        <v>VÁLVULA DE RETENÇÃO VERTICAL, DE BRONZE, ROSCÁVEL, 1/2" - FORNECIMENTO E INSTALAÇÃO. AF_08/2021</v>
      </c>
      <c r="H230" s="934" t="str">
        <f>IFERROR(IF(F230="SINAPI-S",VLOOKUP(E230,'20-B.SINAPI-S'!A:J,3,0),IF(F230="SINAPI-I",VLOOKUP(E230,'20-A.SINAPI-I'!A:G,3,0),IF(F230="COMP.EVENTUAL",VLOOKUP(E230,'11.COMPOSIÇÕES GERAIS'!B:I,3,0),VLOOKUP(E230,'12.COT.MERCADO'!A:I,7,0)))),"Em Elaboração")</f>
        <v>UN</v>
      </c>
      <c r="I230" s="934">
        <v>1.0</v>
      </c>
    </row>
    <row r="231">
      <c r="A231" s="931" t="s">
        <v>4611</v>
      </c>
      <c r="B231" s="931" t="s">
        <v>4637</v>
      </c>
      <c r="C231" s="932" t="s">
        <v>4274</v>
      </c>
      <c r="D231" s="933" t="s">
        <v>4638</v>
      </c>
      <c r="E231" s="934" t="s">
        <v>1844</v>
      </c>
      <c r="F231" s="942" t="s">
        <v>4276</v>
      </c>
      <c r="G231" s="421" t="str">
        <f>IFERROR(IF(F231="SINAPI-S",VLOOKUP(E231,'20-B.SINAPI-S'!A:J,2,0),IF(F231="SINAPI-I",VLOOKUP(E231,'20-A.SINAPI-I'!A:G,2,0),IF(F231="COMP.EVENTUAL",VLOOKUP(E231,'11.COMPOSIÇÕES GERAIS'!B:I,2,0),VLOOKUP(E231,'12.COT.MERCADO'!A:I,2,0)))),"Em Elaboração")</f>
        <v>FORNECIMENTO E INSTALAÇÃO DE PLACA CENTRAL DE COMANDO UNIVERSAL X2 FULL ST IPEC PARA AUTOMATIZADORES</v>
      </c>
      <c r="H231" s="934" t="str">
        <f>IFERROR(IF(F231="SINAPI-S",VLOOKUP(E231,'20-B.SINAPI-S'!A:J,3,0),IF(F231="SINAPI-I",VLOOKUP(E231,'20-A.SINAPI-I'!A:G,3,0),IF(F231="COMP.EVENTUAL",VLOOKUP(E231,'11.COMPOSIÇÕES GERAIS'!B:I,3,0),VLOOKUP(E231,'12.COT.MERCADO'!A:I,7,0)))),"Em Elaboração")</f>
        <v>UN</v>
      </c>
      <c r="I231" s="934">
        <v>1.0</v>
      </c>
    </row>
    <row r="232">
      <c r="A232" s="931" t="s">
        <v>4611</v>
      </c>
      <c r="B232" s="931" t="s">
        <v>4639</v>
      </c>
      <c r="C232" s="932" t="s">
        <v>4306</v>
      </c>
      <c r="D232" s="933" t="s">
        <v>4640</v>
      </c>
      <c r="E232" s="934" t="s">
        <v>1809</v>
      </c>
      <c r="F232" s="935" t="s">
        <v>4276</v>
      </c>
      <c r="G232" s="421" t="str">
        <f>IFERROR(IF(F232="SINAPI-S",VLOOKUP(E232,'20-B.SINAPI-S'!A:J,2,0),IF(F232="SINAPI-I",VLOOKUP(E232,'20-A.SINAPI-I'!A:G,2,0),IF(F232="COMP.EVENTUAL",VLOOKUP(E232,'11.COMPOSIÇÕES GERAIS'!B:I,2,0),VLOOKUP(E232,'12.COT.MERCADO'!A:I,2,0)))),"Em Elaboração")</f>
        <v>DESENTUPIMENTO DE LOUÇAS</v>
      </c>
      <c r="H232" s="934" t="str">
        <f>IFERROR(IF(F232="SINAPI-S",VLOOKUP(E232,'20-B.SINAPI-S'!A:J,3,0),IF(F232="SINAPI-I",VLOOKUP(E232,'20-A.SINAPI-I'!A:G,3,0),IF(F232="COMP.EVENTUAL",VLOOKUP(E232,'11.COMPOSIÇÕES GERAIS'!B:I,3,0),VLOOKUP(E232,'12.COT.MERCADO'!A:I,7,0)))),"Em Elaboração")</f>
        <v>UN</v>
      </c>
      <c r="I232" s="934">
        <v>1.0</v>
      </c>
    </row>
    <row r="233">
      <c r="A233" s="931" t="s">
        <v>4611</v>
      </c>
      <c r="B233" s="931" t="s">
        <v>4641</v>
      </c>
      <c r="C233" s="932" t="s">
        <v>4274</v>
      </c>
      <c r="D233" s="933" t="s">
        <v>4642</v>
      </c>
      <c r="E233" s="934" t="s">
        <v>1840</v>
      </c>
      <c r="F233" s="935" t="s">
        <v>4276</v>
      </c>
      <c r="G233" s="421" t="str">
        <f>IFERROR(IF(F233="SINAPI-S",VLOOKUP(E233,'20-B.SINAPI-S'!A:J,2,0),IF(F233="SINAPI-I",VLOOKUP(E233,'20-A.SINAPI-I'!A:G,2,0),IF(F233="COMP.EVENTUAL",VLOOKUP(E233,'11.COMPOSIÇÕES GERAIS'!B:I,2,0),VLOOKUP(E233,'12.COT.MERCADO'!A:I,2,0)))),"Em Elaboração")</f>
        <v>FORNECIMENTO E INSTALAÇÃO DE KIT MOTOR PPA 1/4HP, 500KG, DESLIZANTE, INCLUÍNDO 2 CONTROLE E 5M DE CREMALHEIRA, NÃO INCLUSO EXECUÇÃO DE BASE DE FIXAÇÃO E GUIA</v>
      </c>
      <c r="H233" s="934" t="str">
        <f>IFERROR(IF(F233="SINAPI-S",VLOOKUP(E233,'20-B.SINAPI-S'!A:J,3,0),IF(F233="SINAPI-I",VLOOKUP(E233,'20-A.SINAPI-I'!A:G,3,0),IF(F233="COMP.EVENTUAL",VLOOKUP(E233,'11.COMPOSIÇÕES GERAIS'!B:I,3,0),VLOOKUP(E233,'12.COT.MERCADO'!A:I,7,0)))),"Em Elaboração")</f>
        <v>UN</v>
      </c>
      <c r="I233" s="934">
        <v>1.0</v>
      </c>
    </row>
    <row r="234">
      <c r="A234" s="931" t="s">
        <v>4611</v>
      </c>
      <c r="B234" s="931" t="s">
        <v>4643</v>
      </c>
      <c r="C234" s="932" t="s">
        <v>4297</v>
      </c>
      <c r="D234" s="933" t="s">
        <v>4644</v>
      </c>
      <c r="E234" s="934">
        <v>90801.0</v>
      </c>
      <c r="F234" s="937" t="s">
        <v>218</v>
      </c>
      <c r="G234" s="421" t="str">
        <f>IFERROR(IF(F234="SINAPI-S",VLOOKUP(E234,'20-B.SINAPI-S'!A:J,2,0),IF(F234="SINAPI-I",VLOOKUP(E234,'20-A.SINAPI-I'!A:G,2,0),IF(F234="COMP.EVENTUAL",VLOOKUP(E234,'11.COMPOSIÇÕES GERAIS'!B:I,2,0),VLOOKUP(E234,'12.COT.MERCADO'!A:I,2,0)))),"Em Elaboração")</f>
        <v>BATENTE PARA PORTA DE MADEIRA, PADRÃO MÉDIO - FORNECIMENTO E MONTAGEM. AF_12/2019</v>
      </c>
      <c r="H234" s="934" t="str">
        <f>IFERROR(IF(F234="SINAPI-S",VLOOKUP(E234,'20-B.SINAPI-S'!A:J,3,0),IF(F234="SINAPI-I",VLOOKUP(E234,'20-A.SINAPI-I'!A:G,3,0),IF(F234="COMP.EVENTUAL",VLOOKUP(E234,'11.COMPOSIÇÕES GERAIS'!B:I,3,0),VLOOKUP(E234,'12.COT.MERCADO'!A:I,7,0)))),"Em Elaboração")</f>
        <v>UN</v>
      </c>
      <c r="I234" s="934">
        <v>1.0</v>
      </c>
    </row>
    <row r="235">
      <c r="A235" s="931" t="s">
        <v>4611</v>
      </c>
      <c r="B235" s="931" t="s">
        <v>4645</v>
      </c>
      <c r="C235" s="932" t="s">
        <v>4274</v>
      </c>
      <c r="D235" s="933" t="s">
        <v>4280</v>
      </c>
      <c r="E235" s="934">
        <v>91953.0</v>
      </c>
      <c r="F235" s="937" t="s">
        <v>218</v>
      </c>
      <c r="G235" s="421" t="str">
        <f>IFERROR(IF(F235="SINAPI-S",VLOOKUP(E235,'20-B.SINAPI-S'!A:J,2,0),IF(F235="SINAPI-I",VLOOKUP(E235,'20-A.SINAPI-I'!A:G,2,0),IF(F235="COMP.EVENTUAL",VLOOKUP(E235,'11.COMPOSIÇÕES GERAIS'!B:I,2,0),VLOOKUP(E235,'12.COT.MERCADO'!A:I,2,0)))),"Em Elaboração")</f>
        <v>INTERRUPTOR SIMPLES (1 MÓDULO), 10A/250V, INCLUINDO SUPORTE E PLACA - FORNECIMENTO E INSTALAÇÃO. AF_03/2023</v>
      </c>
      <c r="H235" s="934" t="str">
        <f>IFERROR(IF(F235="SINAPI-S",VLOOKUP(E235,'20-B.SINAPI-S'!A:J,3,0),IF(F235="SINAPI-I",VLOOKUP(E235,'20-A.SINAPI-I'!A:G,3,0),IF(F235="COMP.EVENTUAL",VLOOKUP(E235,'11.COMPOSIÇÕES GERAIS'!B:I,3,0),VLOOKUP(E235,'12.COT.MERCADO'!A:I,7,0)))),"Em Elaboração")</f>
        <v>UN</v>
      </c>
      <c r="I235" s="934">
        <v>1.0</v>
      </c>
    </row>
    <row r="236">
      <c r="A236" s="931" t="s">
        <v>4611</v>
      </c>
      <c r="B236" s="931" t="s">
        <v>4646</v>
      </c>
      <c r="C236" s="932" t="s">
        <v>4274</v>
      </c>
      <c r="D236" s="933" t="s">
        <v>4647</v>
      </c>
      <c r="E236" s="934">
        <v>101895.0</v>
      </c>
      <c r="F236" s="937" t="s">
        <v>218</v>
      </c>
      <c r="G236" s="421" t="str">
        <f>IFERROR(IF(F236="SINAPI-S",VLOOKUP(E236,'20-B.SINAPI-S'!A:J,2,0),IF(F236="SINAPI-I",VLOOKUP(E236,'20-A.SINAPI-I'!A:G,2,0),IF(F236="COMP.EVENTUAL",VLOOKUP(E236,'11.COMPOSIÇÕES GERAIS'!B:I,2,0),VLOOKUP(E236,'12.COT.MERCADO'!A:I,2,0)))),"Em Elaboração")</f>
        <v>DISJUNTOR TERMOMAGNÉTICO TRIPOLAR , CORRENTE NOMINAL DE 125A - FORNECIMENTO E INSTALAÇÃO. AF_10/2020</v>
      </c>
      <c r="H236" s="934" t="str">
        <f>IFERROR(IF(F236="SINAPI-S",VLOOKUP(E236,'20-B.SINAPI-S'!A:J,3,0),IF(F236="SINAPI-I",VLOOKUP(E236,'20-A.SINAPI-I'!A:G,3,0),IF(F236="COMP.EVENTUAL",VLOOKUP(E236,'11.COMPOSIÇÕES GERAIS'!B:I,3,0),VLOOKUP(E236,'12.COT.MERCADO'!A:I,7,0)))),"Em Elaboração")</f>
        <v>UN</v>
      </c>
      <c r="I236" s="934">
        <v>1.0</v>
      </c>
    </row>
    <row r="237">
      <c r="A237" s="931" t="s">
        <v>4611</v>
      </c>
      <c r="B237" s="931" t="s">
        <v>4648</v>
      </c>
      <c r="C237" s="932" t="s">
        <v>4297</v>
      </c>
      <c r="D237" s="933" t="s">
        <v>4630</v>
      </c>
      <c r="E237" s="934">
        <v>90830.0</v>
      </c>
      <c r="F237" s="937" t="s">
        <v>218</v>
      </c>
      <c r="G237" s="421" t="str">
        <f>IFERROR(IF(F237="SINAPI-S",VLOOKUP(E237,'20-B.SINAPI-S'!A:J,2,0),IF(F237="SINAPI-I",VLOOKUP(E237,'20-A.SINAPI-I'!A:G,2,0),IF(F237="COMP.EVENTUAL",VLOOKUP(E237,'11.COMPOSIÇÕES GERAIS'!B:I,2,0),VLOOKUP(E237,'12.COT.MERCADO'!A:I,2,0)))),"Em Elaboração")</f>
        <v>FECHADURA DE EMBUTIR COM CILINDRO, EXTERNA, COMPLETA, ACABAMENTO PADRÃO MÉDIO, INCLUSO EXECUÇÃO DE FURO - FORNECIMENTO E INSTALAÇÃO. AF_12/2019</v>
      </c>
      <c r="H237" s="934" t="str">
        <f>IFERROR(IF(F237="SINAPI-S",VLOOKUP(E237,'20-B.SINAPI-S'!A:J,3,0),IF(F237="SINAPI-I",VLOOKUP(E237,'20-A.SINAPI-I'!A:G,3,0),IF(F237="COMP.EVENTUAL",VLOOKUP(E237,'11.COMPOSIÇÕES GERAIS'!B:I,3,0),VLOOKUP(E237,'12.COT.MERCADO'!A:I,7,0)))),"Em Elaboração")</f>
        <v>UN</v>
      </c>
      <c r="I237" s="934">
        <v>2.0</v>
      </c>
    </row>
    <row r="238">
      <c r="A238" s="931" t="s">
        <v>4611</v>
      </c>
      <c r="B238" s="931" t="s">
        <v>4649</v>
      </c>
      <c r="C238" s="932" t="s">
        <v>4297</v>
      </c>
      <c r="D238" s="933" t="s">
        <v>4650</v>
      </c>
      <c r="E238" s="934">
        <v>88489.0</v>
      </c>
      <c r="F238" s="937" t="s">
        <v>218</v>
      </c>
      <c r="G238" s="421" t="str">
        <f>IFERROR(IF(F238="SINAPI-S",VLOOKUP(E238,'20-B.SINAPI-S'!A:J,2,0),IF(F238="SINAPI-I",VLOOKUP(E238,'20-A.SINAPI-I'!A:G,2,0),IF(F238="COMP.EVENTUAL",VLOOKUP(E238,'11.COMPOSIÇÕES GERAIS'!B:I,2,0),VLOOKUP(E238,'12.COT.MERCADO'!A:I,2,0)))),"Em Elaboração")</f>
        <v>PINTURA LÁTEX ACRÍLICA PREMIUM, APLICAÇÃO MANUAL EM PAREDES, DUAS DEMÃOS. AF_04/2023</v>
      </c>
      <c r="H238" s="934" t="str">
        <f>IFERROR(IF(F238="SINAPI-S",VLOOKUP(E238,'20-B.SINAPI-S'!A:J,3,0),IF(F238="SINAPI-I",VLOOKUP(E238,'20-A.SINAPI-I'!A:G,3,0),IF(F238="COMP.EVENTUAL",VLOOKUP(E238,'11.COMPOSIÇÕES GERAIS'!B:I,3,0),VLOOKUP(E238,'12.COT.MERCADO'!A:I,7,0)))),"Em Elaboração")</f>
        <v>M2</v>
      </c>
      <c r="I238" s="941">
        <v>4.0</v>
      </c>
    </row>
    <row r="239">
      <c r="A239" s="931" t="s">
        <v>4611</v>
      </c>
      <c r="B239" s="931" t="s">
        <v>4651</v>
      </c>
      <c r="C239" s="932" t="s">
        <v>4274</v>
      </c>
      <c r="D239" s="933" t="s">
        <v>4652</v>
      </c>
      <c r="E239" s="941" t="s">
        <v>1837</v>
      </c>
      <c r="F239" s="947" t="s">
        <v>4276</v>
      </c>
      <c r="G239" s="421" t="str">
        <f>IFERROR(IF(F239="SINAPI-S",VLOOKUP(E239,'20-B.SINAPI-S'!A:J,2,0),IF(F239="SINAPI-I",VLOOKUP(E239,'20-A.SINAPI-I'!A:G,2,0),IF(F239="COMP.EVENTUAL",VLOOKUP(E239,'11.COMPOSIÇÕES GERAIS'!B:I,2,0),VLOOKUP(E239,'12.COT.MERCADO'!A:I,2,0)))),"Em Elaboração")</f>
        <v>VISITA TÉCNICA DE OFICIAL DE ELÉTRICA E AJUDANTE PARA VERIFICAÇÃO DE PROBLEMA GERAL</v>
      </c>
      <c r="H239" s="934" t="str">
        <f>IFERROR(IF(F239="SINAPI-S",VLOOKUP(E239,'20-B.SINAPI-S'!A:J,3,0),IF(F239="SINAPI-I",VLOOKUP(E239,'20-A.SINAPI-I'!A:G,3,0),IF(F239="COMP.EVENTUAL",VLOOKUP(E239,'11.COMPOSIÇÕES GERAIS'!B:I,3,0),VLOOKUP(E239,'12.COT.MERCADO'!A:I,7,0)))),"Em Elaboração")</f>
        <v>UN</v>
      </c>
      <c r="I239" s="934">
        <v>1.0</v>
      </c>
    </row>
    <row r="240">
      <c r="A240" s="931" t="s">
        <v>4611</v>
      </c>
      <c r="B240" s="931" t="s">
        <v>4653</v>
      </c>
      <c r="C240" s="932" t="s">
        <v>4297</v>
      </c>
      <c r="D240" s="933" t="s">
        <v>4654</v>
      </c>
      <c r="E240" s="934" t="s">
        <v>1885</v>
      </c>
      <c r="F240" s="935" t="s">
        <v>4276</v>
      </c>
      <c r="G240" s="421" t="str">
        <f>IFERROR(IF(F240="SINAPI-S",VLOOKUP(E240,'20-B.SINAPI-S'!A:J,2,0),IF(F240="SINAPI-I",VLOOKUP(E240,'20-A.SINAPI-I'!A:G,2,0),IF(F240="COMP.EVENTUAL",VLOOKUP(E240,'11.COMPOSIÇÕES GERAIS'!B:I,2,0),VLOOKUP(E240,'12.COT.MERCADO'!A:I,2,0)))),"Em Elaboração")</f>
        <v>FORNECIMENTO E INSTALAÇÃO DE LIXEIRA EM PLÁSTICO POLIPROPILENO (PP) COM PROTEÇÃO UV, COM CAPACIDADE DE 50L, PARA COLETA SELETIVA COM SUPORTE (POSTE)</v>
      </c>
      <c r="H240" s="934" t="str">
        <f>IFERROR(IF(F240="SINAPI-S",VLOOKUP(E240,'20-B.SINAPI-S'!A:J,3,0),IF(F240="SINAPI-I",VLOOKUP(E240,'20-A.SINAPI-I'!A:G,3,0),IF(F240="COMP.EVENTUAL",VLOOKUP(E240,'11.COMPOSIÇÕES GERAIS'!B:I,3,0),VLOOKUP(E240,'12.COT.MERCADO'!A:I,7,0)))),"Em Elaboração")</f>
        <v>UN</v>
      </c>
      <c r="I240" s="941">
        <v>4.0</v>
      </c>
    </row>
    <row r="241">
      <c r="A241" s="931" t="s">
        <v>4611</v>
      </c>
      <c r="B241" s="931" t="s">
        <v>4655</v>
      </c>
      <c r="C241" s="932" t="s">
        <v>4274</v>
      </c>
      <c r="D241" s="933" t="s">
        <v>4656</v>
      </c>
      <c r="E241" s="934">
        <v>4221.0</v>
      </c>
      <c r="F241" s="946" t="s">
        <v>286</v>
      </c>
      <c r="G241" s="421" t="str">
        <f>IFERROR(IF(F241="SINAPI-S",VLOOKUP(E241,'20-B.SINAPI-S'!A:J,2,0),IF(F241="SINAPI-I",VLOOKUP(E241,'20-A.SINAPI-I'!A:G,2,0),IF(F241="COMP.EVENTUAL",VLOOKUP(E241,'11.COMPOSIÇÕES GERAIS'!B:I,2,0),VLOOKUP(E241,'12.COT.MERCADO'!A:I,2,0)))),"Em Elaboração")</f>
        <v>OLEO DIESEL COMBUSTIVEL COMUM</v>
      </c>
      <c r="H241" s="934" t="str">
        <f>IFERROR(IF(F241="SINAPI-S",VLOOKUP(E241,'20-B.SINAPI-S'!A:J,3,0),IF(F241="SINAPI-I",VLOOKUP(E241,'20-A.SINAPI-I'!A:G,3,0),IF(F241="COMP.EVENTUAL",VLOOKUP(E241,'11.COMPOSIÇÕES GERAIS'!B:I,3,0),VLOOKUP(E241,'12.COT.MERCADO'!A:I,7,0)))),"Em Elaboração")</f>
        <v>L</v>
      </c>
      <c r="I241" s="934">
        <v>50.0</v>
      </c>
    </row>
    <row r="242">
      <c r="A242" s="931" t="s">
        <v>4611</v>
      </c>
      <c r="B242" s="931" t="s">
        <v>4657</v>
      </c>
      <c r="C242" s="932" t="s">
        <v>4274</v>
      </c>
      <c r="D242" s="933" t="s">
        <v>4658</v>
      </c>
      <c r="E242" s="934">
        <v>98297.0</v>
      </c>
      <c r="F242" s="937" t="s">
        <v>218</v>
      </c>
      <c r="G242" s="421" t="str">
        <f>IFERROR(IF(F242="SINAPI-S",VLOOKUP(E242,'20-B.SINAPI-S'!A:J,2,0),IF(F242="SINAPI-I",VLOOKUP(E242,'20-A.SINAPI-I'!A:G,2,0),IF(F242="COMP.EVENTUAL",VLOOKUP(E242,'11.COMPOSIÇÕES GERAIS'!B:I,2,0),VLOOKUP(E242,'12.COT.MERCADO'!A:I,2,0)))),"Em Elaboração")</f>
        <v>CABO ELETRÔNICO CATEGORIA 6, INSTALADO EM EDIFICAÇÃO INSTITUCIONAL - FORNECIMENTO E INSTALAÇÃO. AF_11/2019</v>
      </c>
      <c r="H242" s="934" t="str">
        <f>IFERROR(IF(F242="SINAPI-S",VLOOKUP(E242,'20-B.SINAPI-S'!A:J,3,0),IF(F242="SINAPI-I",VLOOKUP(E242,'20-A.SINAPI-I'!A:G,3,0),IF(F242="COMP.EVENTUAL",VLOOKUP(E242,'11.COMPOSIÇÕES GERAIS'!B:I,3,0),VLOOKUP(E242,'12.COT.MERCADO'!A:I,7,0)))),"Em Elaboração")</f>
        <v>M</v>
      </c>
      <c r="I242" s="934">
        <v>30.0</v>
      </c>
    </row>
    <row r="243">
      <c r="A243" s="931" t="s">
        <v>4611</v>
      </c>
      <c r="B243" s="931" t="s">
        <v>4659</v>
      </c>
      <c r="C243" s="932" t="s">
        <v>4274</v>
      </c>
      <c r="D243" s="933" t="s">
        <v>4658</v>
      </c>
      <c r="E243" s="934">
        <v>98297.0</v>
      </c>
      <c r="F243" s="937" t="s">
        <v>218</v>
      </c>
      <c r="G243" s="421" t="str">
        <f>IFERROR(IF(F243="SINAPI-S",VLOOKUP(E243,'20-B.SINAPI-S'!A:J,2,0),IF(F243="SINAPI-I",VLOOKUP(E243,'20-A.SINAPI-I'!A:G,2,0),IF(F243="COMP.EVENTUAL",VLOOKUP(E243,'11.COMPOSIÇÕES GERAIS'!B:I,2,0),VLOOKUP(E243,'12.COT.MERCADO'!A:I,2,0)))),"Em Elaboração")</f>
        <v>CABO ELETRÔNICO CATEGORIA 6, INSTALADO EM EDIFICAÇÃO INSTITUCIONAL - FORNECIMENTO E INSTALAÇÃO. AF_11/2019</v>
      </c>
      <c r="H243" s="934" t="str">
        <f>IFERROR(IF(F243="SINAPI-S",VLOOKUP(E243,'20-B.SINAPI-S'!A:J,3,0),IF(F243="SINAPI-I",VLOOKUP(E243,'20-A.SINAPI-I'!A:G,3,0),IF(F243="COMP.EVENTUAL",VLOOKUP(E243,'11.COMPOSIÇÕES GERAIS'!B:I,3,0),VLOOKUP(E243,'12.COT.MERCADO'!A:I,7,0)))),"Em Elaboração")</f>
        <v>M</v>
      </c>
      <c r="I243" s="934">
        <v>60.0</v>
      </c>
    </row>
    <row r="244">
      <c r="A244" s="931" t="s">
        <v>4611</v>
      </c>
      <c r="B244" s="931" t="s">
        <v>4660</v>
      </c>
      <c r="C244" s="932" t="s">
        <v>4297</v>
      </c>
      <c r="D244" s="933" t="s">
        <v>4661</v>
      </c>
      <c r="E244" s="934">
        <v>11186.0</v>
      </c>
      <c r="F244" s="946" t="s">
        <v>286</v>
      </c>
      <c r="G244" s="421" t="str">
        <f>IFERROR(IF(F244="SINAPI-S",VLOOKUP(E244,'20-B.SINAPI-S'!A:J,2,0),IF(F244="SINAPI-I",VLOOKUP(E244,'20-A.SINAPI-I'!A:G,2,0),IF(F244="COMP.EVENTUAL",VLOOKUP(E244,'11.COMPOSIÇÕES GERAIS'!B:I,2,0),VLOOKUP(E244,'12.COT.MERCADO'!A:I,2,0)))),"Em Elaboração")</f>
        <v>ESPELHO CRISTAL E = 4 MM</v>
      </c>
      <c r="H244" s="934" t="str">
        <f>IFERROR(IF(F244="SINAPI-S",VLOOKUP(E244,'20-B.SINAPI-S'!A:J,3,0),IF(F244="SINAPI-I",VLOOKUP(E244,'20-A.SINAPI-I'!A:G,3,0),IF(F244="COMP.EVENTUAL",VLOOKUP(E244,'11.COMPOSIÇÕES GERAIS'!B:I,3,0),VLOOKUP(E244,'12.COT.MERCADO'!A:I,7,0)))),"Em Elaboração")</f>
        <v>M2</v>
      </c>
      <c r="I244" s="934">
        <v>1.0</v>
      </c>
    </row>
    <row r="245">
      <c r="A245" s="931" t="s">
        <v>4611</v>
      </c>
      <c r="B245" s="931" t="s">
        <v>4662</v>
      </c>
      <c r="C245" s="932" t="s">
        <v>4297</v>
      </c>
      <c r="D245" s="933" t="s">
        <v>4663</v>
      </c>
      <c r="E245" s="934">
        <v>100742.0</v>
      </c>
      <c r="F245" s="937" t="s">
        <v>218</v>
      </c>
      <c r="G245" s="421" t="str">
        <f>IFERROR(IF(F245="SINAPI-S",VLOOKUP(E245,'20-B.SINAPI-S'!A:J,2,0),IF(F245="SINAPI-I",VLOOKUP(E245,'20-A.SINAPI-I'!A:G,2,0),IF(F245="COMP.EVENTUAL",VLOOKUP(E245,'11.COMPOSIÇÕES GERAIS'!B:I,2,0),VLOOKUP(E245,'12.COT.MERCADO'!A:I,2,0)))),"Em Elaboração")</f>
        <v>PINTURA COM TINTA ALQUÍDICA DE ACABAMENTO (ESMALTE SINTÉTICO ACETINADO) APLICADA A ROLO OU PINCEL SOBRE SUPERFÍCIES METÁLICAS (EXCETO PERFIL) EXECUTADO EM OBRA (POR DEMÃO). AF_01/2020</v>
      </c>
      <c r="H245" s="934" t="str">
        <f>IFERROR(IF(F245="SINAPI-S",VLOOKUP(E245,'20-B.SINAPI-S'!A:J,3,0),IF(F245="SINAPI-I",VLOOKUP(E245,'20-A.SINAPI-I'!A:G,3,0),IF(F245="COMP.EVENTUAL",VLOOKUP(E245,'11.COMPOSIÇÕES GERAIS'!B:I,3,0),VLOOKUP(E245,'12.COT.MERCADO'!A:I,7,0)))),"Em Elaboração")</f>
        <v>M2</v>
      </c>
      <c r="I245" s="934">
        <v>40.0</v>
      </c>
    </row>
    <row r="246">
      <c r="A246" s="931" t="s">
        <v>4611</v>
      </c>
      <c r="B246" s="931" t="s">
        <v>4664</v>
      </c>
      <c r="C246" s="932" t="s">
        <v>4306</v>
      </c>
      <c r="D246" s="933" t="s">
        <v>4640</v>
      </c>
      <c r="E246" s="934" t="s">
        <v>1809</v>
      </c>
      <c r="F246" s="935" t="s">
        <v>4276</v>
      </c>
      <c r="G246" s="421" t="str">
        <f>IFERROR(IF(F246="SINAPI-S",VLOOKUP(E246,'20-B.SINAPI-S'!A:J,2,0),IF(F246="SINAPI-I",VLOOKUP(E246,'20-A.SINAPI-I'!A:G,2,0),IF(F246="COMP.EVENTUAL",VLOOKUP(E246,'11.COMPOSIÇÕES GERAIS'!B:I,2,0),VLOOKUP(E246,'12.COT.MERCADO'!A:I,2,0)))),"Em Elaboração")</f>
        <v>DESENTUPIMENTO DE LOUÇAS</v>
      </c>
      <c r="H246" s="934" t="str">
        <f>IFERROR(IF(F246="SINAPI-S",VLOOKUP(E246,'20-B.SINAPI-S'!A:J,3,0),IF(F246="SINAPI-I",VLOOKUP(E246,'20-A.SINAPI-I'!A:G,3,0),IF(F246="COMP.EVENTUAL",VLOOKUP(E246,'11.COMPOSIÇÕES GERAIS'!B:I,3,0),VLOOKUP(E246,'12.COT.MERCADO'!A:I,7,0)))),"Em Elaboração")</f>
        <v>UN</v>
      </c>
      <c r="I246" s="952">
        <v>1.0</v>
      </c>
    </row>
    <row r="247">
      <c r="A247" s="931" t="s">
        <v>4611</v>
      </c>
      <c r="B247" s="931" t="s">
        <v>4665</v>
      </c>
      <c r="C247" s="932" t="s">
        <v>4306</v>
      </c>
      <c r="D247" s="944" t="s">
        <v>4666</v>
      </c>
      <c r="E247" s="934" t="s">
        <v>1889</v>
      </c>
      <c r="F247" s="935" t="s">
        <v>4276</v>
      </c>
      <c r="G247" s="421" t="str">
        <f>IFERROR(IF(F247="SINAPI-S",VLOOKUP(E247,'20-B.SINAPI-S'!A:J,2,0),IF(F247="SINAPI-I",VLOOKUP(E247,'20-A.SINAPI-I'!A:G,2,0),IF(F247="COMP.EVENTUAL",VLOOKUP(E247,'11.COMPOSIÇÕES GERAIS'!B:I,2,0),VLOOKUP(E247,'12.COT.MERCADO'!A:I,2,0)))),"Em Elaboração")</f>
        <v>REPARO PARA VÁLVULA DE DESCARGA, COMPLETO - FORNECIMENTO E INSTALAÇÃO</v>
      </c>
      <c r="H247" s="934" t="str">
        <f>IFERROR(IF(F247="SINAPI-S",VLOOKUP(E247,'20-B.SINAPI-S'!A:J,3,0),IF(F247="SINAPI-I",VLOOKUP(E247,'20-A.SINAPI-I'!A:G,3,0),IF(F247="COMP.EVENTUAL",VLOOKUP(E247,'11.COMPOSIÇÕES GERAIS'!B:I,3,0),VLOOKUP(E247,'12.COT.MERCADO'!A:I,7,0)))),"Em Elaboração")</f>
        <v>UN</v>
      </c>
      <c r="I247" s="952">
        <v>1.0</v>
      </c>
    </row>
    <row r="248">
      <c r="A248" s="931" t="s">
        <v>4611</v>
      </c>
      <c r="B248" s="931" t="s">
        <v>4667</v>
      </c>
      <c r="C248" s="932" t="s">
        <v>4274</v>
      </c>
      <c r="D248" s="933" t="s">
        <v>4522</v>
      </c>
      <c r="E248" s="934">
        <v>100860.0</v>
      </c>
      <c r="F248" s="937" t="s">
        <v>218</v>
      </c>
      <c r="G248" s="421" t="str">
        <f>IFERROR(IF(F248="SINAPI-S",VLOOKUP(E248,'20-B.SINAPI-S'!A:J,2,0),IF(F248="SINAPI-I",VLOOKUP(E248,'20-A.SINAPI-I'!A:G,2,0),IF(F248="COMP.EVENTUAL",VLOOKUP(E248,'11.COMPOSIÇÕES GERAIS'!B:I,2,0),VLOOKUP(E248,'12.COT.MERCADO'!A:I,2,0)))),"Em Elaboração")</f>
        <v>CHUVEIRO ELÉTRICO COMUM CORPO PLÁSTICO, TIPO DUCHA _x0096_ FORNECIMENTO E INSTALAÇÃO. AF_01/2020</v>
      </c>
      <c r="H248" s="934" t="str">
        <f>IFERROR(IF(F248="SINAPI-S",VLOOKUP(E248,'20-B.SINAPI-S'!A:J,3,0),IF(F248="SINAPI-I",VLOOKUP(E248,'20-A.SINAPI-I'!A:G,3,0),IF(F248="COMP.EVENTUAL",VLOOKUP(E248,'11.COMPOSIÇÕES GERAIS'!B:I,3,0),VLOOKUP(E248,'12.COT.MERCADO'!A:I,7,0)))),"Em Elaboração")</f>
        <v>UN</v>
      </c>
      <c r="I248" s="952">
        <v>1.0</v>
      </c>
    </row>
    <row r="249">
      <c r="A249" s="931" t="s">
        <v>4611</v>
      </c>
      <c r="B249" s="931" t="s">
        <v>4668</v>
      </c>
      <c r="C249" s="932" t="s">
        <v>4274</v>
      </c>
      <c r="D249" s="933" t="s">
        <v>4278</v>
      </c>
      <c r="E249" s="934">
        <v>100903.0</v>
      </c>
      <c r="F249" s="937" t="s">
        <v>218</v>
      </c>
      <c r="G249" s="421" t="str">
        <f>IFERROR(IF(F249="SINAPI-S",VLOOKUP(E249,'20-B.SINAPI-S'!A:J,2,0),IF(F249="SINAPI-I",VLOOKUP(E249,'20-A.SINAPI-I'!A:G,2,0),IF(F249="COMP.EVENTUAL",VLOOKUP(E249,'11.COMPOSIÇÕES GERAIS'!B:I,2,0),VLOOKUP(E249,'12.COT.MERCADO'!A:I,2,0)))),"Em Elaboração")</f>
        <v>LÂMPADA TUBULAR LED DE 18/20 W, BASE G13 - FORNECIMENTO E INSTALAÇÃO. AF_02/2020_PS</v>
      </c>
      <c r="H249" s="934" t="str">
        <f>IFERROR(IF(F249="SINAPI-S",VLOOKUP(E249,'20-B.SINAPI-S'!A:J,3,0),IF(F249="SINAPI-I",VLOOKUP(E249,'20-A.SINAPI-I'!A:G,3,0),IF(F249="COMP.EVENTUAL",VLOOKUP(E249,'11.COMPOSIÇÕES GERAIS'!B:I,3,0),VLOOKUP(E249,'12.COT.MERCADO'!A:I,7,0)))),"Em Elaboração")</f>
        <v>UN</v>
      </c>
      <c r="I249" s="934">
        <v>2.0</v>
      </c>
    </row>
    <row r="250">
      <c r="A250" s="931" t="s">
        <v>4611</v>
      </c>
      <c r="B250" s="931" t="s">
        <v>4669</v>
      </c>
      <c r="C250" s="932" t="s">
        <v>4274</v>
      </c>
      <c r="D250" s="944" t="s">
        <v>4670</v>
      </c>
      <c r="E250" s="934">
        <v>100860.0</v>
      </c>
      <c r="F250" s="947" t="s">
        <v>218</v>
      </c>
      <c r="G250" s="421" t="str">
        <f>IFERROR(IF(F250="SINAPI-S",VLOOKUP(E250,'20-B.SINAPI-S'!A:J,2,0),IF(F250="SINAPI-I",VLOOKUP(E250,'20-A.SINAPI-I'!A:G,2,0),IF(F250="COMP.EVENTUAL",VLOOKUP(E250,'11.COMPOSIÇÕES GERAIS'!B:I,2,0),VLOOKUP(E250,'12.COT.MERCADO'!A:I,2,0)))),"Em Elaboração")</f>
        <v>CHUVEIRO ELÉTRICO COMUM CORPO PLÁSTICO, TIPO DUCHA _x0096_ FORNECIMENTO E INSTALAÇÃO. AF_01/2020</v>
      </c>
      <c r="H250" s="934" t="str">
        <f>IFERROR(IF(F250="SINAPI-S",VLOOKUP(E250,'20-B.SINAPI-S'!A:J,3,0),IF(F250="SINAPI-I",VLOOKUP(E250,'20-A.SINAPI-I'!A:G,3,0),IF(F250="COMP.EVENTUAL",VLOOKUP(E250,'11.COMPOSIÇÕES GERAIS'!B:I,3,0),VLOOKUP(E250,'12.COT.MERCADO'!A:I,7,0)))),"Em Elaboração")</f>
        <v>UN</v>
      </c>
      <c r="I250" s="952">
        <v>1.0</v>
      </c>
    </row>
    <row r="251">
      <c r="A251" s="931" t="s">
        <v>4611</v>
      </c>
      <c r="B251" s="931" t="s">
        <v>4671</v>
      </c>
      <c r="C251" s="932" t="s">
        <v>4297</v>
      </c>
      <c r="D251" s="933" t="s">
        <v>4672</v>
      </c>
      <c r="E251" s="934">
        <v>100750.0</v>
      </c>
      <c r="F251" s="937" t="s">
        <v>218</v>
      </c>
      <c r="G251" s="421" t="str">
        <f>IFERROR(IF(F251="SINAPI-S",VLOOKUP(E251,'20-B.SINAPI-S'!A:J,2,0),IF(F251="SINAPI-I",VLOOKUP(E251,'20-A.SINAPI-I'!A:G,2,0),IF(F251="COMP.EVENTUAL",VLOOKUP(E251,'11.COMPOSIÇÕES GERAIS'!B:I,2,0),VLOOKUP(E251,'12.COT.MERCADO'!A:I,2,0)))),"Em Elaboração")</f>
        <v>PINTURA COM TINTA ALQUÍDICA DE ACABAMENTO (ESMALTE SINTÉTICO FOSCO) APLICADA A ROLO OU PINCEL SOBRE SUPERFÍCIES METÁLICAS (EXCETO PERFIL) EXECUTADO EM OBRA (POR DEMÃO). AF_01/2020</v>
      </c>
      <c r="H251" s="934" t="str">
        <f>IFERROR(IF(F251="SINAPI-S",VLOOKUP(E251,'20-B.SINAPI-S'!A:J,3,0),IF(F251="SINAPI-I",VLOOKUP(E251,'20-A.SINAPI-I'!A:G,3,0),IF(F251="COMP.EVENTUAL",VLOOKUP(E251,'11.COMPOSIÇÕES GERAIS'!B:I,3,0),VLOOKUP(E251,'12.COT.MERCADO'!A:I,7,0)))),"Em Elaboração")</f>
        <v>M2</v>
      </c>
      <c r="I251" s="941">
        <v>12.0</v>
      </c>
    </row>
    <row r="252">
      <c r="A252" s="931" t="s">
        <v>4611</v>
      </c>
      <c r="B252" s="931" t="s">
        <v>4673</v>
      </c>
      <c r="C252" s="932" t="s">
        <v>4297</v>
      </c>
      <c r="D252" s="933" t="s">
        <v>4674</v>
      </c>
      <c r="E252" s="934" t="s">
        <v>1786</v>
      </c>
      <c r="F252" s="935" t="s">
        <v>4276</v>
      </c>
      <c r="G252" s="421" t="str">
        <f>IFERROR(IF(F252="SINAPI-S",VLOOKUP(E252,'20-B.SINAPI-S'!A:J,2,0),IF(F252="SINAPI-I",VLOOKUP(E252,'20-A.SINAPI-I'!A:G,2,0),IF(F252="COMP.EVENTUAL",VLOOKUP(E252,'11.COMPOSIÇÕES GERAIS'!B:I,2,0),VLOOKUP(E252,'12.COT.MERCADO'!A:I,2,0)))),"Em Elaboração")</f>
        <v>FORNECIMENTO E INSTALAÇÃO DE SUPORTE DE PAREDE FIXO PARA TV E MONITOR DE 32 À 80 POLEGADAS</v>
      </c>
      <c r="H252" s="934" t="str">
        <f>IFERROR(IF(F252="SINAPI-S",VLOOKUP(E252,'20-B.SINAPI-S'!A:J,3,0),IF(F252="SINAPI-I",VLOOKUP(E252,'20-A.SINAPI-I'!A:G,3,0),IF(F252="COMP.EVENTUAL",VLOOKUP(E252,'11.COMPOSIÇÕES GERAIS'!B:I,3,0),VLOOKUP(E252,'12.COT.MERCADO'!A:I,7,0)))),"Em Elaboração")</f>
        <v>UN</v>
      </c>
      <c r="I252" s="952">
        <v>1.0</v>
      </c>
    </row>
    <row r="253">
      <c r="A253" s="931" t="s">
        <v>4611</v>
      </c>
      <c r="B253" s="931" t="s">
        <v>4675</v>
      </c>
      <c r="C253" s="932" t="s">
        <v>4274</v>
      </c>
      <c r="D253" s="933" t="s">
        <v>4658</v>
      </c>
      <c r="E253" s="934">
        <v>98297.0</v>
      </c>
      <c r="F253" s="937" t="s">
        <v>218</v>
      </c>
      <c r="G253" s="421" t="str">
        <f>IFERROR(IF(F253="SINAPI-S",VLOOKUP(E253,'20-B.SINAPI-S'!A:J,2,0),IF(F253="SINAPI-I",VLOOKUP(E253,'20-A.SINAPI-I'!A:G,2,0),IF(F253="COMP.EVENTUAL",VLOOKUP(E253,'11.COMPOSIÇÕES GERAIS'!B:I,2,0),VLOOKUP(E253,'12.COT.MERCADO'!A:I,2,0)))),"Em Elaboração")</f>
        <v>CABO ELETRÔNICO CATEGORIA 6, INSTALADO EM EDIFICAÇÃO INSTITUCIONAL - FORNECIMENTO E INSTALAÇÃO. AF_11/2019</v>
      </c>
      <c r="H253" s="934" t="str">
        <f>IFERROR(IF(F253="SINAPI-S",VLOOKUP(E253,'20-B.SINAPI-S'!A:J,3,0),IF(F253="SINAPI-I",VLOOKUP(E253,'20-A.SINAPI-I'!A:G,3,0),IF(F253="COMP.EVENTUAL",VLOOKUP(E253,'11.COMPOSIÇÕES GERAIS'!B:I,3,0),VLOOKUP(E253,'12.COT.MERCADO'!A:I,7,0)))),"Em Elaboração")</f>
        <v>M</v>
      </c>
      <c r="I253" s="934">
        <v>300.0</v>
      </c>
    </row>
    <row r="254">
      <c r="A254" s="931" t="s">
        <v>4611</v>
      </c>
      <c r="B254" s="931" t="s">
        <v>4676</v>
      </c>
      <c r="C254" s="932" t="s">
        <v>4274</v>
      </c>
      <c r="D254" s="933" t="s">
        <v>4677</v>
      </c>
      <c r="E254" s="934">
        <v>97585.0</v>
      </c>
      <c r="F254" s="937" t="s">
        <v>218</v>
      </c>
      <c r="G254" s="421" t="str">
        <f>IFERROR(IF(F254="SINAPI-S",VLOOKUP(E254,'20-B.SINAPI-S'!A:J,2,0),IF(F254="SINAPI-I",VLOOKUP(E254,'20-A.SINAPI-I'!A:G,2,0),IF(F254="COMP.EVENTUAL",VLOOKUP(E254,'11.COMPOSIÇÕES GERAIS'!B:I,2,0),VLOOKUP(E254,'12.COT.MERCADO'!A:I,2,0)))),"Em Elaboração")</f>
        <v>LUMINÁRIA TIPO CALHA, DE SOBREPOR, COM 2 LÂMPADAS TUBULARES FLUORESCENTES DE 18 W, COM REATOR DE PARTIDA RÁPIDA - FORNECIMENTO E INSTALAÇÃO. AF_02/2020</v>
      </c>
      <c r="H254" s="934" t="str">
        <f>IFERROR(IF(F254="SINAPI-S",VLOOKUP(E254,'20-B.SINAPI-S'!A:J,3,0),IF(F254="SINAPI-I",VLOOKUP(E254,'20-A.SINAPI-I'!A:G,3,0),IF(F254="COMP.EVENTUAL",VLOOKUP(E254,'11.COMPOSIÇÕES GERAIS'!B:I,3,0),VLOOKUP(E254,'12.COT.MERCADO'!A:I,7,0)))),"Em Elaboração")</f>
        <v>UN</v>
      </c>
      <c r="I254" s="934">
        <v>2.0</v>
      </c>
    </row>
    <row r="255">
      <c r="A255" s="931" t="s">
        <v>4678</v>
      </c>
      <c r="B255" s="931" t="s">
        <v>4679</v>
      </c>
      <c r="C255" s="932" t="s">
        <v>4297</v>
      </c>
      <c r="D255" s="933" t="s">
        <v>4680</v>
      </c>
      <c r="E255" s="953" t="s">
        <v>4130</v>
      </c>
      <c r="F255" s="954" t="s">
        <v>110</v>
      </c>
      <c r="G255" s="955" t="str">
        <f>IFERROR(IF(F255="SINAPI-S",VLOOKUP(E255,'20-B.SINAPI-S'!A:J,2,0),IF(F255="SINAPI-I",VLOOKUP(E255,'20-A.SINAPI-I'!A:G,2,0),IF(F255="COMP.EVENTUAL",VLOOKUP(E255,'11.COMPOSIÇÕES GERAIS'!B:I,2,0),VLOOKUP(E255,'12.COT.MERCADO'!A:I,2,0)))),"Em Elaboração")</f>
        <v>EXECUÇÃO DO TESTE DE ESTANQUEIDADE PNEUMÁTICO EM CHUVEIRO AUTOMÁTICO SPRINKLER + ELABORAÇÃO DO RELATÓRIO TÉCNICO/LAUDO E FORNECIMENO DE ART</v>
      </c>
      <c r="H255" s="956" t="str">
        <f>IFERROR(IF(F255="SINAPI-S",VLOOKUP(E255,'20-B.SINAPI-S'!A:J,3,0),IF(F255="SINAPI-I",VLOOKUP(E255,'20-A.SINAPI-I'!A:G,3,0),IF(F255="COMP.EVENTUAL",VLOOKUP(E255,'11.COMPOSIÇÕES GERAIS'!B:I,3,0),VLOOKUP(E255,'12.COT.MERCADO'!A:I,7,0)))),"Em Elaboração")</f>
        <v>UN</v>
      </c>
      <c r="I255" s="957">
        <v>1.0</v>
      </c>
    </row>
    <row r="256">
      <c r="A256" s="931" t="s">
        <v>4678</v>
      </c>
      <c r="B256" s="931" t="s">
        <v>4681</v>
      </c>
      <c r="C256" s="932" t="s">
        <v>4297</v>
      </c>
      <c r="D256" s="933" t="s">
        <v>4682</v>
      </c>
      <c r="E256" s="953" t="s">
        <v>4143</v>
      </c>
      <c r="F256" s="954" t="s">
        <v>110</v>
      </c>
      <c r="G256" s="955" t="str">
        <f>IFERROR(IF(F256="SINAPI-S",VLOOKUP(E256,'20-B.SINAPI-S'!A:J,2,0),IF(F256="SINAPI-I",VLOOKUP(E256,'20-A.SINAPI-I'!A:G,2,0),IF(F256="COMP.EVENTUAL",VLOOKUP(E256,'11.COMPOSIÇÕES GERAIS'!B:I,2,0),VLOOKUP(E256,'12.COT.MERCADO'!A:I,2,0)))),"Em Elaboração")</f>
        <v>EXECUÇÃO DE TESTE HIDROSTÁTICO EM HIDRANTES + ELABORAÇÃO DO RELATÓRIO TÉCNICO/LAUDO E FORNECIMENO DE ART</v>
      </c>
      <c r="H256" s="956" t="str">
        <f>IFERROR(IF(F256="SINAPI-S",VLOOKUP(E256,'20-B.SINAPI-S'!A:J,3,0),IF(F256="SINAPI-I",VLOOKUP(E256,'20-A.SINAPI-I'!A:G,3,0),IF(F256="COMP.EVENTUAL",VLOOKUP(E256,'11.COMPOSIÇÕES GERAIS'!B:I,3,0),VLOOKUP(E256,'12.COT.MERCADO'!A:I,7,0)))),"Em Elaboração")</f>
        <v>UN</v>
      </c>
      <c r="I256" s="957">
        <v>8.0</v>
      </c>
    </row>
    <row r="257">
      <c r="A257" s="931" t="s">
        <v>4678</v>
      </c>
      <c r="B257" s="931" t="s">
        <v>4683</v>
      </c>
      <c r="C257" s="932" t="s">
        <v>4297</v>
      </c>
      <c r="D257" s="933" t="s">
        <v>4684</v>
      </c>
      <c r="E257" s="953" t="s">
        <v>4151</v>
      </c>
      <c r="F257" s="954" t="s">
        <v>110</v>
      </c>
      <c r="G257" s="955" t="str">
        <f>IFERROR(IF(F257="SINAPI-S",VLOOKUP(E257,'20-B.SINAPI-S'!A:J,2,0),IF(F257="SINAPI-I",VLOOKUP(E257,'20-A.SINAPI-I'!A:G,2,0),IF(F257="COMP.EVENTUAL",VLOOKUP(E257,'11.COMPOSIÇÕES GERAIS'!B:I,2,0),VLOOKUP(E257,'12.COT.MERCADO'!A:I,2,0)))),"Em Elaboração")</f>
        <v>EXECUÇÃO DE TESTE EM SISTEMAS DE ALARME DE INCÊNDIO + ELABORAÇÃO DO RELATÓRIO TÉCNICO/LAUDO E FORNECIMENO DE ART</v>
      </c>
      <c r="H257" s="956" t="str">
        <f>IFERROR(IF(F257="SINAPI-S",VLOOKUP(E257,'20-B.SINAPI-S'!A:J,3,0),IF(F257="SINAPI-I",VLOOKUP(E257,'20-A.SINAPI-I'!A:G,3,0),IF(F257="COMP.EVENTUAL",VLOOKUP(E257,'11.COMPOSIÇÕES GERAIS'!B:I,3,0),VLOOKUP(E257,'12.COT.MERCADO'!A:I,7,0)))),"Em Elaboração")</f>
        <v>UN</v>
      </c>
      <c r="I257" s="957">
        <v>1.0</v>
      </c>
    </row>
    <row r="258">
      <c r="A258" s="931" t="s">
        <v>4678</v>
      </c>
      <c r="B258" s="931" t="s">
        <v>4685</v>
      </c>
      <c r="C258" s="932" t="s">
        <v>4297</v>
      </c>
      <c r="D258" s="933" t="s">
        <v>4686</v>
      </c>
      <c r="E258" s="953" t="s">
        <v>4158</v>
      </c>
      <c r="F258" s="954" t="s">
        <v>110</v>
      </c>
      <c r="G258" s="955" t="str">
        <f>IFERROR(IF(F258="SINAPI-S",VLOOKUP(E258,'20-B.SINAPI-S'!A:J,2,0),IF(F258="SINAPI-I",VLOOKUP(E258,'20-A.SINAPI-I'!A:G,2,0),IF(F258="COMP.EVENTUAL",VLOOKUP(E258,'11.COMPOSIÇÕES GERAIS'!B:I,2,0),VLOOKUP(E258,'12.COT.MERCADO'!A:I,2,0)))),"Em Elaboração")</f>
        <v>TESTE CMAR - ACABAMENTOS E REVESTIMENTOS + ELABORAÇÃO DO RELATÓRIO TÉCNICO/LAUDO E FORNECIMENO DE ART</v>
      </c>
      <c r="H258" s="956" t="str">
        <f>IFERROR(IF(F258="SINAPI-S",VLOOKUP(E258,'20-B.SINAPI-S'!A:J,3,0),IF(F258="SINAPI-I",VLOOKUP(E258,'20-A.SINAPI-I'!A:G,3,0),IF(F258="COMP.EVENTUAL",VLOOKUP(E258,'11.COMPOSIÇÕES GERAIS'!B:I,3,0),VLOOKUP(E258,'12.COT.MERCADO'!A:I,7,0)))),"Em Elaboração")</f>
        <v>UN</v>
      </c>
      <c r="I258" s="957">
        <v>1.0</v>
      </c>
    </row>
    <row r="259">
      <c r="A259" s="931" t="s">
        <v>4678</v>
      </c>
      <c r="B259" s="931" t="s">
        <v>4687</v>
      </c>
      <c r="C259" s="932" t="s">
        <v>4297</v>
      </c>
      <c r="D259" s="933" t="s">
        <v>4688</v>
      </c>
      <c r="E259" s="934">
        <v>99855.0</v>
      </c>
      <c r="F259" s="937" t="s">
        <v>218</v>
      </c>
      <c r="G259" s="421" t="str">
        <f>IFERROR(IF(F259="SINAPI-S",VLOOKUP(E259,'20-B.SINAPI-S'!A:J,2,0),IF(F259="SINAPI-I",VLOOKUP(E259,'20-A.SINAPI-I'!A:G,2,0),IF(F259="COMP.EVENTUAL",VLOOKUP(E259,'11.COMPOSIÇÕES GERAIS'!B:I,2,0),VLOOKUP(E259,'12.COT.MERCADO'!A:I,2,0)))),"Em Elaboração")</f>
        <v>CORRIMÃO SIMPLES, DIÂMETRO EXTERNO = 1 1/2_x0094_, EM AÇO GALVANIZADO. AF_04/2019_PS</v>
      </c>
      <c r="H259" s="934" t="str">
        <f>IFERROR(IF(F259="SINAPI-S",VLOOKUP(E259,'20-B.SINAPI-S'!A:J,3,0),IF(F259="SINAPI-I",VLOOKUP(E259,'20-A.SINAPI-I'!A:G,3,0),IF(F259="COMP.EVENTUAL",VLOOKUP(E259,'11.COMPOSIÇÕES GERAIS'!B:I,3,0),VLOOKUP(E259,'12.COT.MERCADO'!A:I,7,0)))),"Em Elaboração")</f>
        <v>M</v>
      </c>
      <c r="I259" s="941">
        <v>12.0</v>
      </c>
    </row>
    <row r="260">
      <c r="A260" s="931" t="s">
        <v>4678</v>
      </c>
      <c r="B260" s="931" t="s">
        <v>4689</v>
      </c>
      <c r="C260" s="932" t="s">
        <v>4297</v>
      </c>
      <c r="D260" s="933" t="s">
        <v>4690</v>
      </c>
      <c r="E260" s="952">
        <v>99855.0</v>
      </c>
      <c r="F260" s="947" t="s">
        <v>218</v>
      </c>
      <c r="G260" s="421" t="str">
        <f>IFERROR(IF(F260="SINAPI-S",VLOOKUP(E260,'20-B.SINAPI-S'!A:J,2,0),IF(F260="SINAPI-I",VLOOKUP(E260,'20-A.SINAPI-I'!A:G,2,0),IF(F260="COMP.EVENTUAL",VLOOKUP(E260,'11.COMPOSIÇÕES GERAIS'!B:I,2,0),VLOOKUP(E260,'12.COT.MERCADO'!A:I,2,0)))),"Em Elaboração")</f>
        <v>CORRIMÃO SIMPLES, DIÂMETRO EXTERNO = 1 1/2_x0094_, EM AÇO GALVANIZADO. AF_04/2019_PS</v>
      </c>
      <c r="H260" s="934" t="str">
        <f>IFERROR(IF(F260="SINAPI-S",VLOOKUP(E260,'20-B.SINAPI-S'!A:J,3,0),IF(F260="SINAPI-I",VLOOKUP(E260,'20-A.SINAPI-I'!A:G,3,0),IF(F260="COMP.EVENTUAL",VLOOKUP(E260,'11.COMPOSIÇÕES GERAIS'!B:I,3,0),VLOOKUP(E260,'12.COT.MERCADO'!A:I,7,0)))),"Em Elaboração")</f>
        <v>M</v>
      </c>
      <c r="I260" s="941">
        <v>6.0</v>
      </c>
    </row>
    <row r="261">
      <c r="A261" s="931" t="s">
        <v>4678</v>
      </c>
      <c r="B261" s="931" t="s">
        <v>4691</v>
      </c>
      <c r="C261" s="932" t="s">
        <v>4297</v>
      </c>
      <c r="D261" s="933" t="s">
        <v>4692</v>
      </c>
      <c r="E261" s="934">
        <v>100742.0</v>
      </c>
      <c r="F261" s="937" t="s">
        <v>218</v>
      </c>
      <c r="G261" s="421" t="str">
        <f>IFERROR(IF(F261="SINAPI-S",VLOOKUP(E261,'20-B.SINAPI-S'!A:J,2,0),IF(F261="SINAPI-I",VLOOKUP(E261,'20-A.SINAPI-I'!A:G,2,0),IF(F261="COMP.EVENTUAL",VLOOKUP(E261,'11.COMPOSIÇÕES GERAIS'!B:I,2,0),VLOOKUP(E261,'12.COT.MERCADO'!A:I,2,0)))),"Em Elaboração")</f>
        <v>PINTURA COM TINTA ALQUÍDICA DE ACABAMENTO (ESMALTE SINTÉTICO ACETINADO) APLICADA A ROLO OU PINCEL SOBRE SUPERFÍCIES METÁLICAS (EXCETO PERFIL) EXECUTADO EM OBRA (POR DEMÃO). AF_01/2020</v>
      </c>
      <c r="H261" s="934" t="str">
        <f>IFERROR(IF(F261="SINAPI-S",VLOOKUP(E261,'20-B.SINAPI-S'!A:J,3,0),IF(F261="SINAPI-I",VLOOKUP(E261,'20-A.SINAPI-I'!A:G,3,0),IF(F261="COMP.EVENTUAL",VLOOKUP(E261,'11.COMPOSIÇÕES GERAIS'!B:I,3,0),VLOOKUP(E261,'12.COT.MERCADO'!A:I,7,0)))),"Em Elaboração")</f>
        <v>M2</v>
      </c>
      <c r="I261" s="934">
        <v>6.0</v>
      </c>
    </row>
    <row r="262">
      <c r="A262" s="931" t="s">
        <v>4678</v>
      </c>
      <c r="B262" s="931" t="s">
        <v>4693</v>
      </c>
      <c r="C262" s="932" t="s">
        <v>4274</v>
      </c>
      <c r="D262" s="933" t="s">
        <v>4694</v>
      </c>
      <c r="E262" s="934" t="s">
        <v>1896</v>
      </c>
      <c r="F262" s="935" t="s">
        <v>4276</v>
      </c>
      <c r="G262" s="421" t="str">
        <f>IFERROR(IF(F262="SINAPI-S",VLOOKUP(E262,'20-B.SINAPI-S'!A:J,2,0),IF(F262="SINAPI-I",VLOOKUP(E262,'20-A.SINAPI-I'!A:G,2,0),IF(F262="COMP.EVENTUAL",VLOOKUP(E262,'11.COMPOSIÇÕES GERAIS'!B:I,2,0),VLOOKUP(E262,'12.COT.MERCADO'!A:I,2,0)))),"Em Elaboração")</f>
        <v>FORNECIMENTO E INSTALAÇÃO DE PORTEIRO ELETRONICO. REF.: INTELBRAS IPR 8010 OU SIMILAR</v>
      </c>
      <c r="H262" s="934" t="str">
        <f>IFERROR(IF(F262="SINAPI-S",VLOOKUP(E262,'20-B.SINAPI-S'!A:J,3,0),IF(F262="SINAPI-I",VLOOKUP(E262,'20-A.SINAPI-I'!A:G,3,0),IF(F262="COMP.EVENTUAL",VLOOKUP(E262,'11.COMPOSIÇÕES GERAIS'!B:I,3,0),VLOOKUP(E262,'12.COT.MERCADO'!A:I,7,0)))),"Em Elaboração")</f>
        <v>UN</v>
      </c>
      <c r="I262" s="934">
        <v>1.0</v>
      </c>
    </row>
    <row r="263">
      <c r="A263" s="931" t="s">
        <v>4678</v>
      </c>
      <c r="B263" s="931" t="s">
        <v>4695</v>
      </c>
      <c r="C263" s="932" t="s">
        <v>4297</v>
      </c>
      <c r="D263" s="933" t="s">
        <v>4696</v>
      </c>
      <c r="E263" s="934" t="s">
        <v>1893</v>
      </c>
      <c r="F263" s="935" t="s">
        <v>4276</v>
      </c>
      <c r="G263" s="421" t="str">
        <f>IFERROR(IF(F263="SINAPI-S",VLOOKUP(E263,'20-B.SINAPI-S'!A:J,2,0),IF(F263="SINAPI-I",VLOOKUP(E263,'20-A.SINAPI-I'!A:G,2,0),IF(F263="COMP.EVENTUAL",VLOOKUP(E263,'11.COMPOSIÇÕES GERAIS'!B:I,2,0),VLOOKUP(E263,'12.COT.MERCADO'!A:I,2,0)))),"Em Elaboração")</f>
        <v>ESCADA DO TIPO MARINHEIRO EM AÇO GALVANIZADO COM PROTEÇÃO </v>
      </c>
      <c r="H263" s="934" t="str">
        <f>IFERROR(IF(F263="SINAPI-S",VLOOKUP(E263,'20-B.SINAPI-S'!A:J,3,0),IF(F263="SINAPI-I",VLOOKUP(E263,'20-A.SINAPI-I'!A:G,3,0),IF(F263="COMP.EVENTUAL",VLOOKUP(E263,'11.COMPOSIÇÕES GERAIS'!B:I,3,0),VLOOKUP(E263,'12.COT.MERCADO'!A:I,7,0)))),"Em Elaboração")</f>
        <v>M</v>
      </c>
      <c r="I263" s="934">
        <v>2.0</v>
      </c>
    </row>
    <row r="264">
      <c r="A264" s="931" t="s">
        <v>4678</v>
      </c>
      <c r="B264" s="931" t="s">
        <v>4697</v>
      </c>
      <c r="C264" s="932" t="s">
        <v>4297</v>
      </c>
      <c r="D264" s="933" t="s">
        <v>4698</v>
      </c>
      <c r="E264" s="941" t="s">
        <v>1949</v>
      </c>
      <c r="F264" s="947" t="s">
        <v>4276</v>
      </c>
      <c r="G264" s="421" t="str">
        <f>IFERROR(IF(F264="SINAPI-S",VLOOKUP(E264,'20-B.SINAPI-S'!A:J,2,0),IF(F264="SINAPI-I",VLOOKUP(E264,'20-A.SINAPI-I'!A:G,2,0),IF(F264="COMP.EVENTUAL",VLOOKUP(E264,'11.COMPOSIÇÕES GERAIS'!B:I,2,0),VLOOKUP(E264,'12.COT.MERCADO'!A:I,2,0)))),"Em Elaboração")</f>
        <v>SERVIÇO DE MONTAGEM DE MÓVEIS/ARMÁRIOS EM MDF</v>
      </c>
      <c r="H264" s="934" t="str">
        <f>IFERROR(IF(F264="SINAPI-S",VLOOKUP(E264,'20-B.SINAPI-S'!A:J,3,0),IF(F264="SINAPI-I",VLOOKUP(E264,'20-A.SINAPI-I'!A:G,3,0),IF(F264="COMP.EVENTUAL",VLOOKUP(E264,'11.COMPOSIÇÕES GERAIS'!B:I,3,0),VLOOKUP(E264,'12.COT.MERCADO'!A:I,7,0)))),"Em Elaboração")</f>
        <v>M2</v>
      </c>
      <c r="I264" s="934">
        <v>3.0</v>
      </c>
    </row>
    <row r="265">
      <c r="A265" s="931" t="s">
        <v>4678</v>
      </c>
      <c r="B265" s="931" t="s">
        <v>4699</v>
      </c>
      <c r="C265" s="932" t="s">
        <v>4274</v>
      </c>
      <c r="D265" s="933" t="s">
        <v>4700</v>
      </c>
      <c r="E265" s="934" t="s">
        <v>1806</v>
      </c>
      <c r="F265" s="935" t="s">
        <v>4276</v>
      </c>
      <c r="G265" s="421" t="str">
        <f>IFERROR(IF(F265="SINAPI-S",VLOOKUP(E265,'20-B.SINAPI-S'!A:J,2,0),IF(F265="SINAPI-I",VLOOKUP(E265,'20-A.SINAPI-I'!A:G,2,0),IF(F265="COMP.EVENTUAL",VLOOKUP(E265,'11.COMPOSIÇÕES GERAIS'!B:I,2,0),VLOOKUP(E265,'12.COT.MERCADO'!A:I,2,0)))),"Em Elaboração")</f>
        <v>FORNECIMENTO E INSTALAÇÃO DE REFLETOR LED, CORPO DE ALUMÍNIO, VIDRO TEMPERADO, POTÊNCIA 30W, BIVOLT, TEMP. COR 3000K, IP-66</v>
      </c>
      <c r="H265" s="934" t="str">
        <f>IFERROR(IF(F265="SINAPI-S",VLOOKUP(E265,'20-B.SINAPI-S'!A:J,3,0),IF(F265="SINAPI-I",VLOOKUP(E265,'20-A.SINAPI-I'!A:G,3,0),IF(F265="COMP.EVENTUAL",VLOOKUP(E265,'11.COMPOSIÇÕES GERAIS'!B:I,3,0),VLOOKUP(E265,'12.COT.MERCADO'!A:I,7,0)))),"Em Elaboração")</f>
        <v>UN</v>
      </c>
      <c r="I265" s="934">
        <v>10.0</v>
      </c>
    </row>
    <row r="266">
      <c r="A266" s="931" t="s">
        <v>4678</v>
      </c>
      <c r="B266" s="931" t="s">
        <v>4701</v>
      </c>
      <c r="C266" s="932" t="s">
        <v>4297</v>
      </c>
      <c r="D266" s="933" t="s">
        <v>4702</v>
      </c>
      <c r="E266" s="934" t="s">
        <v>1900</v>
      </c>
      <c r="F266" s="935" t="s">
        <v>4276</v>
      </c>
      <c r="G266" s="421" t="str">
        <f>IFERROR(IF(F266="SINAPI-S",VLOOKUP(E266,'20-B.SINAPI-S'!A:J,2,0),IF(F266="SINAPI-I",VLOOKUP(E266,'20-A.SINAPI-I'!A:G,2,0),IF(F266="COMP.EVENTUAL",VLOOKUP(E266,'11.COMPOSIÇÕES GERAIS'!B:I,2,0),VLOOKUP(E266,'12.COT.MERCADO'!A:I,2,0)))),"Em Elaboração")</f>
        <v>TRATAMENTO DE FISSURAS ESTÁVEIS (NÃO ATIVAS) EM ELEMENTO DE CONCRETO</v>
      </c>
      <c r="H266" s="934" t="str">
        <f>IFERROR(IF(F266="SINAPI-S",VLOOKUP(E266,'20-B.SINAPI-S'!A:J,3,0),IF(F266="SINAPI-I",VLOOKUP(E266,'20-A.SINAPI-I'!A:G,3,0),IF(F266="COMP.EVENTUAL",VLOOKUP(E266,'11.COMPOSIÇÕES GERAIS'!B:I,3,0),VLOOKUP(E266,'12.COT.MERCADO'!A:I,7,0)))),"Em Elaboração")</f>
        <v>M</v>
      </c>
      <c r="I266" s="934">
        <v>40.0</v>
      </c>
    </row>
    <row r="267">
      <c r="A267" s="931" t="s">
        <v>4678</v>
      </c>
      <c r="B267" s="931" t="s">
        <v>4701</v>
      </c>
      <c r="C267" s="932" t="s">
        <v>4297</v>
      </c>
      <c r="D267" s="933" t="s">
        <v>4703</v>
      </c>
      <c r="E267" s="934">
        <v>98554.0</v>
      </c>
      <c r="F267" s="937" t="s">
        <v>218</v>
      </c>
      <c r="G267" s="421" t="str">
        <f>IFERROR(IF(F267="SINAPI-S",VLOOKUP(E267,'20-B.SINAPI-S'!A:J,2,0),IF(F267="SINAPI-I",VLOOKUP(E267,'20-A.SINAPI-I'!A:G,2,0),IF(F267="COMP.EVENTUAL",VLOOKUP(E267,'11.COMPOSIÇÕES GERAIS'!B:I,2,0),VLOOKUP(E267,'12.COT.MERCADO'!A:I,2,0)))),"Em Elaboração")</f>
        <v>IMPERMEABILIZAÇÃO DE SUPERFÍCIE COM MEMBRANA À BASE DE RESINA ACRÍLICA, 3 DEMÃOS. AF_06/2018</v>
      </c>
      <c r="H267" s="934" t="str">
        <f>IFERROR(IF(F267="SINAPI-S",VLOOKUP(E267,'20-B.SINAPI-S'!A:J,3,0),IF(F267="SINAPI-I",VLOOKUP(E267,'20-A.SINAPI-I'!A:G,3,0),IF(F267="COMP.EVENTUAL",VLOOKUP(E267,'11.COMPOSIÇÕES GERAIS'!B:I,3,0),VLOOKUP(E267,'12.COT.MERCADO'!A:I,7,0)))),"Em Elaboração")</f>
        <v>M2</v>
      </c>
      <c r="I267" s="934">
        <v>40.0</v>
      </c>
    </row>
    <row r="268">
      <c r="A268" s="931" t="s">
        <v>4678</v>
      </c>
      <c r="B268" s="931" t="s">
        <v>4701</v>
      </c>
      <c r="C268" s="932" t="s">
        <v>4297</v>
      </c>
      <c r="D268" s="933" t="s">
        <v>4704</v>
      </c>
      <c r="E268" s="934" t="s">
        <v>1903</v>
      </c>
      <c r="F268" s="935" t="s">
        <v>4276</v>
      </c>
      <c r="G268" s="421" t="str">
        <f>IFERROR(IF(F268="SINAPI-S",VLOOKUP(E268,'20-B.SINAPI-S'!A:J,2,0),IF(F268="SINAPI-I",VLOOKUP(E268,'20-A.SINAPI-I'!A:G,2,0),IF(F268="COMP.EVENTUAL",VLOOKUP(E268,'11.COMPOSIÇÕES GERAIS'!B:I,2,0),VLOOKUP(E268,'12.COT.MERCADO'!A:I,2,0)))),"Em Elaboração")</f>
        <v>LIMPEZA DE CAIXA D'AGUA OU CISTERNA, COM CAPACIDADE DE 2001 A 20000L, INCLUSIVE DESINFECCAO CONFORME NORMAS DA SANEPAR</v>
      </c>
      <c r="H268" s="934" t="str">
        <f>IFERROR(IF(F268="SINAPI-S",VLOOKUP(E268,'20-B.SINAPI-S'!A:J,3,0),IF(F268="SINAPI-I",VLOOKUP(E268,'20-A.SINAPI-I'!A:G,3,0),IF(F268="COMP.EVENTUAL",VLOOKUP(E268,'11.COMPOSIÇÕES GERAIS'!B:I,3,0),VLOOKUP(E268,'12.COT.MERCADO'!A:I,7,0)))),"Em Elaboração")</f>
        <v>UN</v>
      </c>
      <c r="I268" s="941">
        <v>10.0</v>
      </c>
    </row>
    <row r="269">
      <c r="A269" s="931" t="s">
        <v>4678</v>
      </c>
      <c r="B269" s="931" t="s">
        <v>4705</v>
      </c>
      <c r="C269" s="932" t="s">
        <v>4274</v>
      </c>
      <c r="D269" s="933" t="s">
        <v>4315</v>
      </c>
      <c r="E269" s="934">
        <v>90830.0</v>
      </c>
      <c r="F269" s="937" t="s">
        <v>218</v>
      </c>
      <c r="G269" s="421" t="str">
        <f>IFERROR(IF(F269="SINAPI-S",VLOOKUP(E269,'20-B.SINAPI-S'!A:J,2,0),IF(F269="SINAPI-I",VLOOKUP(E269,'20-A.SINAPI-I'!A:G,2,0),IF(F269="COMP.EVENTUAL",VLOOKUP(E269,'11.COMPOSIÇÕES GERAIS'!B:I,2,0),VLOOKUP(E269,'12.COT.MERCADO'!A:I,2,0)))),"Em Elaboração")</f>
        <v>FECHADURA DE EMBUTIR COM CILINDRO, EXTERNA, COMPLETA, ACABAMENTO PADRÃO MÉDIO, INCLUSO EXECUÇÃO DE FURO - FORNECIMENTO E INSTALAÇÃO. AF_12/2019</v>
      </c>
      <c r="H269" s="934" t="str">
        <f>IFERROR(IF(F269="SINAPI-S",VLOOKUP(E269,'20-B.SINAPI-S'!A:J,3,0),IF(F269="SINAPI-I",VLOOKUP(E269,'20-A.SINAPI-I'!A:G,3,0),IF(F269="COMP.EVENTUAL",VLOOKUP(E269,'11.COMPOSIÇÕES GERAIS'!B:I,3,0),VLOOKUP(E269,'12.COT.MERCADO'!A:I,7,0)))),"Em Elaboração")</f>
        <v>UN</v>
      </c>
      <c r="I269" s="934">
        <v>2.0</v>
      </c>
    </row>
    <row r="270">
      <c r="A270" s="931" t="s">
        <v>4678</v>
      </c>
      <c r="B270" s="931" t="s">
        <v>4706</v>
      </c>
      <c r="C270" s="932" t="s">
        <v>4274</v>
      </c>
      <c r="D270" s="933" t="s">
        <v>4707</v>
      </c>
      <c r="E270" s="941" t="s">
        <v>1949</v>
      </c>
      <c r="F270" s="947" t="s">
        <v>4276</v>
      </c>
      <c r="G270" s="421" t="str">
        <f>IFERROR(IF(F270="SINAPI-S",VLOOKUP(E270,'20-B.SINAPI-S'!A:J,2,0),IF(F270="SINAPI-I",VLOOKUP(E270,'20-A.SINAPI-I'!A:G,2,0),IF(F270="COMP.EVENTUAL",VLOOKUP(E270,'11.COMPOSIÇÕES GERAIS'!B:I,2,0),VLOOKUP(E270,'12.COT.MERCADO'!A:I,2,0)))),"Em Elaboração")</f>
        <v>SERVIÇO DE MONTAGEM DE MÓVEIS/ARMÁRIOS EM MDF</v>
      </c>
      <c r="H270" s="934" t="str">
        <f>IFERROR(IF(F270="SINAPI-S",VLOOKUP(E270,'20-B.SINAPI-S'!A:J,3,0),IF(F270="SINAPI-I",VLOOKUP(E270,'20-A.SINAPI-I'!A:G,3,0),IF(F270="COMP.EVENTUAL",VLOOKUP(E270,'11.COMPOSIÇÕES GERAIS'!B:I,3,0),VLOOKUP(E270,'12.COT.MERCADO'!A:I,7,0)))),"Em Elaboração")</f>
        <v>M2</v>
      </c>
      <c r="I270" s="934">
        <v>2.0</v>
      </c>
    </row>
    <row r="271">
      <c r="A271" s="931" t="s">
        <v>4678</v>
      </c>
      <c r="B271" s="931" t="s">
        <v>4708</v>
      </c>
      <c r="C271" s="932" t="s">
        <v>4274</v>
      </c>
      <c r="D271" s="933" t="s">
        <v>4709</v>
      </c>
      <c r="E271" s="934">
        <v>100903.0</v>
      </c>
      <c r="F271" s="937" t="s">
        <v>218</v>
      </c>
      <c r="G271" s="421" t="str">
        <f>IFERROR(IF(F271="SINAPI-S",VLOOKUP(E271,'20-B.SINAPI-S'!A:J,2,0),IF(F271="SINAPI-I",VLOOKUP(E271,'20-A.SINAPI-I'!A:G,2,0),IF(F271="COMP.EVENTUAL",VLOOKUP(E271,'11.COMPOSIÇÕES GERAIS'!B:I,2,0),VLOOKUP(E271,'12.COT.MERCADO'!A:I,2,0)))),"Em Elaboração")</f>
        <v>LÂMPADA TUBULAR LED DE 18/20 W, BASE G13 - FORNECIMENTO E INSTALAÇÃO. AF_02/2020_PS</v>
      </c>
      <c r="H271" s="934" t="str">
        <f>IFERROR(IF(F271="SINAPI-S",VLOOKUP(E271,'20-B.SINAPI-S'!A:J,3,0),IF(F271="SINAPI-I",VLOOKUP(E271,'20-A.SINAPI-I'!A:G,3,0),IF(F271="COMP.EVENTUAL",VLOOKUP(E271,'11.COMPOSIÇÕES GERAIS'!B:I,3,0),VLOOKUP(E271,'12.COT.MERCADO'!A:I,7,0)))),"Em Elaboração")</f>
        <v>UN</v>
      </c>
      <c r="I271" s="934">
        <v>2.0</v>
      </c>
    </row>
    <row r="272">
      <c r="A272" s="931" t="s">
        <v>4678</v>
      </c>
      <c r="B272" s="931" t="s">
        <v>4710</v>
      </c>
      <c r="C272" s="932" t="s">
        <v>4297</v>
      </c>
      <c r="D272" s="933" t="s">
        <v>4711</v>
      </c>
      <c r="E272" s="934" t="s">
        <v>1816</v>
      </c>
      <c r="F272" s="935" t="s">
        <v>4276</v>
      </c>
      <c r="G272" s="421" t="str">
        <f>IFERROR(IF(F272="SINAPI-S",VLOOKUP(E272,'20-B.SINAPI-S'!A:J,2,0),IF(F272="SINAPI-I",VLOOKUP(E272,'20-A.SINAPI-I'!A:G,2,0),IF(F272="COMP.EVENTUAL",VLOOKUP(E272,'11.COMPOSIÇÕES GERAIS'!B:I,2,0),VLOOKUP(E272,'12.COT.MERCADO'!A:I,2,0)))),"Em Elaboração")</f>
        <v>FORNECIMENTO E INSTALAÇÃO DE PLACA DE SINALIZAÇÃO FOTOLUMINOSCENTE 13x26CM</v>
      </c>
      <c r="H272" s="934" t="str">
        <f>IFERROR(IF(F272="SINAPI-S",VLOOKUP(E272,'20-B.SINAPI-S'!A:J,3,0),IF(F272="SINAPI-I",VLOOKUP(E272,'20-A.SINAPI-I'!A:G,3,0),IF(F272="COMP.EVENTUAL",VLOOKUP(E272,'11.COMPOSIÇÕES GERAIS'!B:I,3,0),VLOOKUP(E272,'12.COT.MERCADO'!A:I,7,0)))),"Em Elaboração")</f>
        <v>UN</v>
      </c>
      <c r="I272" s="952">
        <v>4.0</v>
      </c>
    </row>
    <row r="273">
      <c r="A273" s="931" t="s">
        <v>4678</v>
      </c>
      <c r="B273" s="931" t="s">
        <v>4712</v>
      </c>
      <c r="C273" s="932" t="s">
        <v>4274</v>
      </c>
      <c r="D273" s="933" t="s">
        <v>4713</v>
      </c>
      <c r="E273" s="934" t="s">
        <v>1906</v>
      </c>
      <c r="F273" s="935" t="s">
        <v>4276</v>
      </c>
      <c r="G273" s="421" t="str">
        <f>IFERROR(IF(F273="SINAPI-S",VLOOKUP(E273,'20-B.SINAPI-S'!A:J,2,0),IF(F273="SINAPI-I",VLOOKUP(E273,'20-A.SINAPI-I'!A:G,2,0),IF(F273="COMP.EVENTUAL",VLOOKUP(E273,'11.COMPOSIÇÕES GERAIS'!B:I,2,0),VLOOKUP(E273,'12.COT.MERCADO'!A:I,2,0)))),"Em Elaboração")</f>
        <v>LIMPEZA DE CAIXA DE PASSAGEM OU DE GORDURA</v>
      </c>
      <c r="H273" s="934" t="str">
        <f>IFERROR(IF(F273="SINAPI-S",VLOOKUP(E273,'20-B.SINAPI-S'!A:J,3,0),IF(F273="SINAPI-I",VLOOKUP(E273,'20-A.SINAPI-I'!A:G,3,0),IF(F273="COMP.EVENTUAL",VLOOKUP(E273,'11.COMPOSIÇÕES GERAIS'!B:I,3,0),VLOOKUP(E273,'12.COT.MERCADO'!A:I,7,0)))),"Em Elaboração")</f>
        <v>UN</v>
      </c>
      <c r="I273" s="952">
        <v>3.0</v>
      </c>
    </row>
    <row r="274">
      <c r="A274" s="931" t="s">
        <v>4678</v>
      </c>
      <c r="B274" s="931" t="s">
        <v>4714</v>
      </c>
      <c r="C274" s="932" t="s">
        <v>4297</v>
      </c>
      <c r="D274" s="933" t="s">
        <v>4715</v>
      </c>
      <c r="E274" s="934">
        <v>100742.0</v>
      </c>
      <c r="F274" s="937" t="s">
        <v>218</v>
      </c>
      <c r="G274" s="421" t="str">
        <f>IFERROR(IF(F274="SINAPI-S",VLOOKUP(E274,'20-B.SINAPI-S'!A:J,2,0),IF(F274="SINAPI-I",VLOOKUP(E274,'20-A.SINAPI-I'!A:G,2,0),IF(F274="COMP.EVENTUAL",VLOOKUP(E274,'11.COMPOSIÇÕES GERAIS'!B:I,2,0),VLOOKUP(E274,'12.COT.MERCADO'!A:I,2,0)))),"Em Elaboração")</f>
        <v>PINTURA COM TINTA ALQUÍDICA DE ACABAMENTO (ESMALTE SINTÉTICO ACETINADO) APLICADA A ROLO OU PINCEL SOBRE SUPERFÍCIES METÁLICAS (EXCETO PERFIL) EXECUTADO EM OBRA (POR DEMÃO). AF_01/2020</v>
      </c>
      <c r="H274" s="934" t="str">
        <f>IFERROR(IF(F274="SINAPI-S",VLOOKUP(E274,'20-B.SINAPI-S'!A:J,3,0),IF(F274="SINAPI-I",VLOOKUP(E274,'20-A.SINAPI-I'!A:G,3,0),IF(F274="COMP.EVENTUAL",VLOOKUP(E274,'11.COMPOSIÇÕES GERAIS'!B:I,3,0),VLOOKUP(E274,'12.COT.MERCADO'!A:I,7,0)))),"Em Elaboração")</f>
        <v>M2</v>
      </c>
      <c r="I274" s="934">
        <v>20.0</v>
      </c>
    </row>
    <row r="275">
      <c r="A275" s="931" t="s">
        <v>4678</v>
      </c>
      <c r="B275" s="931" t="s">
        <v>4716</v>
      </c>
      <c r="C275" s="932" t="s">
        <v>4274</v>
      </c>
      <c r="D275" s="933" t="s">
        <v>4709</v>
      </c>
      <c r="E275" s="934">
        <v>100903.0</v>
      </c>
      <c r="F275" s="937" t="s">
        <v>218</v>
      </c>
      <c r="G275" s="421" t="str">
        <f>IFERROR(IF(F275="SINAPI-S",VLOOKUP(E275,'20-B.SINAPI-S'!A:J,2,0),IF(F275="SINAPI-I",VLOOKUP(E275,'20-A.SINAPI-I'!A:G,2,0),IF(F275="COMP.EVENTUAL",VLOOKUP(E275,'11.COMPOSIÇÕES GERAIS'!B:I,2,0),VLOOKUP(E275,'12.COT.MERCADO'!A:I,2,0)))),"Em Elaboração")</f>
        <v>LÂMPADA TUBULAR LED DE 18/20 W, BASE G13 - FORNECIMENTO E INSTALAÇÃO. AF_02/2020_PS</v>
      </c>
      <c r="H275" s="934" t="str">
        <f>IFERROR(IF(F275="SINAPI-S",VLOOKUP(E275,'20-B.SINAPI-S'!A:J,3,0),IF(F275="SINAPI-I",VLOOKUP(E275,'20-A.SINAPI-I'!A:G,3,0),IF(F275="COMP.EVENTUAL",VLOOKUP(E275,'11.COMPOSIÇÕES GERAIS'!B:I,3,0),VLOOKUP(E275,'12.COT.MERCADO'!A:I,7,0)))),"Em Elaboração")</f>
        <v>UN</v>
      </c>
      <c r="I275" s="934">
        <v>17.0</v>
      </c>
    </row>
    <row r="276">
      <c r="A276" s="931" t="s">
        <v>4678</v>
      </c>
      <c r="B276" s="931" t="s">
        <v>4717</v>
      </c>
      <c r="C276" s="932" t="s">
        <v>4297</v>
      </c>
      <c r="D276" s="933" t="s">
        <v>4718</v>
      </c>
      <c r="E276" s="934">
        <v>88489.0</v>
      </c>
      <c r="F276" s="937" t="s">
        <v>218</v>
      </c>
      <c r="G276" s="421" t="str">
        <f>IFERROR(IF(F276="SINAPI-S",VLOOKUP(E276,'20-B.SINAPI-S'!A:J,2,0),IF(F276="SINAPI-I",VLOOKUP(E276,'20-A.SINAPI-I'!A:G,2,0),IF(F276="COMP.EVENTUAL",VLOOKUP(E276,'11.COMPOSIÇÕES GERAIS'!B:I,2,0),VLOOKUP(E276,'12.COT.MERCADO'!A:I,2,0)))),"Em Elaboração")</f>
        <v>PINTURA LÁTEX ACRÍLICA PREMIUM, APLICAÇÃO MANUAL EM PAREDES, DUAS DEMÃOS. AF_04/2023</v>
      </c>
      <c r="H276" s="934" t="str">
        <f>IFERROR(IF(F276="SINAPI-S",VLOOKUP(E276,'20-B.SINAPI-S'!A:J,3,0),IF(F276="SINAPI-I",VLOOKUP(E276,'20-A.SINAPI-I'!A:G,3,0),IF(F276="COMP.EVENTUAL",VLOOKUP(E276,'11.COMPOSIÇÕES GERAIS'!B:I,3,0),VLOOKUP(E276,'12.COT.MERCADO'!A:I,7,0)))),"Em Elaboração")</f>
        <v>M2</v>
      </c>
      <c r="I276" s="934">
        <v>20.0</v>
      </c>
    </row>
    <row r="277">
      <c r="A277" s="931" t="s">
        <v>4678</v>
      </c>
      <c r="B277" s="931" t="s">
        <v>4719</v>
      </c>
      <c r="C277" s="932" t="s">
        <v>4297</v>
      </c>
      <c r="D277" s="933" t="s">
        <v>4720</v>
      </c>
      <c r="E277" s="934" t="s">
        <v>1786</v>
      </c>
      <c r="F277" s="935" t="s">
        <v>4276</v>
      </c>
      <c r="G277" s="421" t="str">
        <f>IFERROR(IF(F277="SINAPI-S",VLOOKUP(E277,'20-B.SINAPI-S'!A:J,2,0),IF(F277="SINAPI-I",VLOOKUP(E277,'20-A.SINAPI-I'!A:G,2,0),IF(F277="COMP.EVENTUAL",VLOOKUP(E277,'11.COMPOSIÇÕES GERAIS'!B:I,2,0),VLOOKUP(E277,'12.COT.MERCADO'!A:I,2,0)))),"Em Elaboração")</f>
        <v>FORNECIMENTO E INSTALAÇÃO DE SUPORTE DE PAREDE FIXO PARA TV E MONITOR DE 32 À 80 POLEGADAS</v>
      </c>
      <c r="H277" s="934" t="str">
        <f>IFERROR(IF(F277="SINAPI-S",VLOOKUP(E277,'20-B.SINAPI-S'!A:J,3,0),IF(F277="SINAPI-I",VLOOKUP(E277,'20-A.SINAPI-I'!A:G,3,0),IF(F277="COMP.EVENTUAL",VLOOKUP(E277,'11.COMPOSIÇÕES GERAIS'!B:I,3,0),VLOOKUP(E277,'12.COT.MERCADO'!A:I,7,0)))),"Em Elaboração")</f>
        <v>UN</v>
      </c>
      <c r="I277" s="934">
        <v>1.0</v>
      </c>
    </row>
    <row r="278">
      <c r="A278" s="931" t="s">
        <v>4678</v>
      </c>
      <c r="B278" s="931" t="s">
        <v>4721</v>
      </c>
      <c r="C278" s="932" t="s">
        <v>4274</v>
      </c>
      <c r="D278" s="933" t="s">
        <v>4722</v>
      </c>
      <c r="E278" s="934">
        <v>97587.0</v>
      </c>
      <c r="F278" s="937" t="s">
        <v>218</v>
      </c>
      <c r="G278" s="421" t="str">
        <f>IFERROR(IF(F278="SINAPI-S",VLOOKUP(E278,'20-B.SINAPI-S'!A:J,2,0),IF(F278="SINAPI-I",VLOOKUP(E278,'20-A.SINAPI-I'!A:G,2,0),IF(F278="COMP.EVENTUAL",VLOOKUP(E278,'11.COMPOSIÇÕES GERAIS'!B:I,2,0),VLOOKUP(E278,'12.COT.MERCADO'!A:I,2,0)))),"Em Elaboração")</f>
        <v>LUMINÁRIA TIPO CALHA, DE EMBUTIR, COM 2 LÂMPADAS FLUORESCENTES DE 14 W, COM REATOR DE PARTIDA RÁPIDA - FORNECIMENTO E INSTALAÇÃO. AF_02/2020</v>
      </c>
      <c r="H278" s="934" t="str">
        <f>IFERROR(IF(F278="SINAPI-S",VLOOKUP(E278,'20-B.SINAPI-S'!A:J,3,0),IF(F278="SINAPI-I",VLOOKUP(E278,'20-A.SINAPI-I'!A:G,3,0),IF(F278="COMP.EVENTUAL",VLOOKUP(E278,'11.COMPOSIÇÕES GERAIS'!B:I,3,0),VLOOKUP(E278,'12.COT.MERCADO'!A:I,7,0)))),"Em Elaboração")</f>
        <v>UN</v>
      </c>
      <c r="I278" s="934">
        <v>1.0</v>
      </c>
    </row>
    <row r="279">
      <c r="A279" s="931" t="s">
        <v>4678</v>
      </c>
      <c r="B279" s="931" t="s">
        <v>4723</v>
      </c>
      <c r="C279" s="932" t="s">
        <v>4297</v>
      </c>
      <c r="D279" s="933" t="s">
        <v>4724</v>
      </c>
      <c r="E279" s="934">
        <v>100742.0</v>
      </c>
      <c r="F279" s="937" t="s">
        <v>218</v>
      </c>
      <c r="G279" s="421" t="str">
        <f>IFERROR(IF(F279="SINAPI-S",VLOOKUP(E279,'20-B.SINAPI-S'!A:J,2,0),IF(F279="SINAPI-I",VLOOKUP(E279,'20-A.SINAPI-I'!A:G,2,0),IF(F279="COMP.EVENTUAL",VLOOKUP(E279,'11.COMPOSIÇÕES GERAIS'!B:I,2,0),VLOOKUP(E279,'12.COT.MERCADO'!A:I,2,0)))),"Em Elaboração")</f>
        <v>PINTURA COM TINTA ALQUÍDICA DE ACABAMENTO (ESMALTE SINTÉTICO ACETINADO) APLICADA A ROLO OU PINCEL SOBRE SUPERFÍCIES METÁLICAS (EXCETO PERFIL) EXECUTADO EM OBRA (POR DEMÃO). AF_01/2020</v>
      </c>
      <c r="H279" s="934" t="str">
        <f>IFERROR(IF(F279="SINAPI-S",VLOOKUP(E279,'20-B.SINAPI-S'!A:J,3,0),IF(F279="SINAPI-I",VLOOKUP(E279,'20-A.SINAPI-I'!A:G,3,0),IF(F279="COMP.EVENTUAL",VLOOKUP(E279,'11.COMPOSIÇÕES GERAIS'!B:I,3,0),VLOOKUP(E279,'12.COT.MERCADO'!A:I,7,0)))),"Em Elaboração")</f>
        <v>M2</v>
      </c>
      <c r="I279" s="934">
        <v>20.0</v>
      </c>
    </row>
    <row r="280">
      <c r="A280" s="931" t="s">
        <v>4678</v>
      </c>
      <c r="B280" s="931" t="s">
        <v>4725</v>
      </c>
      <c r="C280" s="932" t="s">
        <v>4297</v>
      </c>
      <c r="D280" s="933" t="s">
        <v>4726</v>
      </c>
      <c r="E280" s="934" t="s">
        <v>1786</v>
      </c>
      <c r="F280" s="935" t="s">
        <v>4276</v>
      </c>
      <c r="G280" s="421" t="str">
        <f>IFERROR(IF(F280="SINAPI-S",VLOOKUP(E280,'20-B.SINAPI-S'!A:J,2,0),IF(F280="SINAPI-I",VLOOKUP(E280,'20-A.SINAPI-I'!A:G,2,0),IF(F280="COMP.EVENTUAL",VLOOKUP(E280,'11.COMPOSIÇÕES GERAIS'!B:I,2,0),VLOOKUP(E280,'12.COT.MERCADO'!A:I,2,0)))),"Em Elaboração")</f>
        <v>FORNECIMENTO E INSTALAÇÃO DE SUPORTE DE PAREDE FIXO PARA TV E MONITOR DE 32 À 80 POLEGADAS</v>
      </c>
      <c r="H280" s="934" t="str">
        <f>IFERROR(IF(F280="SINAPI-S",VLOOKUP(E280,'20-B.SINAPI-S'!A:J,3,0),IF(F280="SINAPI-I",VLOOKUP(E280,'20-A.SINAPI-I'!A:G,3,0),IF(F280="COMP.EVENTUAL",VLOOKUP(E280,'11.COMPOSIÇÕES GERAIS'!B:I,3,0),VLOOKUP(E280,'12.COT.MERCADO'!A:I,7,0)))),"Em Elaboração")</f>
        <v>UN</v>
      </c>
      <c r="I280" s="934">
        <v>1.0</v>
      </c>
    </row>
    <row r="281">
      <c r="A281" s="931" t="s">
        <v>4678</v>
      </c>
      <c r="B281" s="931" t="s">
        <v>4727</v>
      </c>
      <c r="C281" s="932" t="s">
        <v>4274</v>
      </c>
      <c r="D281" s="933" t="s">
        <v>4722</v>
      </c>
      <c r="E281" s="934">
        <v>97587.0</v>
      </c>
      <c r="F281" s="937" t="s">
        <v>218</v>
      </c>
      <c r="G281" s="421" t="str">
        <f>IFERROR(IF(F281="SINAPI-S",VLOOKUP(E281,'20-B.SINAPI-S'!A:J,2,0),IF(F281="SINAPI-I",VLOOKUP(E281,'20-A.SINAPI-I'!A:G,2,0),IF(F281="COMP.EVENTUAL",VLOOKUP(E281,'11.COMPOSIÇÕES GERAIS'!B:I,2,0),VLOOKUP(E281,'12.COT.MERCADO'!A:I,2,0)))),"Em Elaboração")</f>
        <v>LUMINÁRIA TIPO CALHA, DE EMBUTIR, COM 2 LÂMPADAS FLUORESCENTES DE 14 W, COM REATOR DE PARTIDA RÁPIDA - FORNECIMENTO E INSTALAÇÃO. AF_02/2020</v>
      </c>
      <c r="H281" s="934" t="str">
        <f>IFERROR(IF(F281="SINAPI-S",VLOOKUP(E281,'20-B.SINAPI-S'!A:J,3,0),IF(F281="SINAPI-I",VLOOKUP(E281,'20-A.SINAPI-I'!A:G,3,0),IF(F281="COMP.EVENTUAL",VLOOKUP(E281,'11.COMPOSIÇÕES GERAIS'!B:I,3,0),VLOOKUP(E281,'12.COT.MERCADO'!A:I,7,0)))),"Em Elaboração")</f>
        <v>UN</v>
      </c>
      <c r="I281" s="934">
        <v>4.0</v>
      </c>
    </row>
    <row r="282">
      <c r="A282" s="931" t="s">
        <v>4678</v>
      </c>
      <c r="B282" s="931" t="s">
        <v>4727</v>
      </c>
      <c r="C282" s="932" t="s">
        <v>4274</v>
      </c>
      <c r="D282" s="933" t="s">
        <v>4728</v>
      </c>
      <c r="E282" s="934">
        <v>92008.0</v>
      </c>
      <c r="F282" s="937" t="s">
        <v>218</v>
      </c>
      <c r="G282" s="421" t="str">
        <f>IFERROR(IF(F282="SINAPI-S",VLOOKUP(E282,'20-B.SINAPI-S'!A:J,2,0),IF(F282="SINAPI-I",VLOOKUP(E282,'20-A.SINAPI-I'!A:G,2,0),IF(F282="COMP.EVENTUAL",VLOOKUP(E282,'11.COMPOSIÇÕES GERAIS'!B:I,2,0),VLOOKUP(E282,'12.COT.MERCADO'!A:I,2,0)))),"Em Elaboração")</f>
        <v>TOMADA BAIXA DE EMBUTIR (2 MÓDULOS), 2P+T 10 A, INCLUINDO SUPORTE E PLACA - FORNECIMENTO E INSTALAÇÃO. AF_03/2023</v>
      </c>
      <c r="H282" s="934" t="str">
        <f>IFERROR(IF(F282="SINAPI-S",VLOOKUP(E282,'20-B.SINAPI-S'!A:J,3,0),IF(F282="SINAPI-I",VLOOKUP(E282,'20-A.SINAPI-I'!A:G,3,0),IF(F282="COMP.EVENTUAL",VLOOKUP(E282,'11.COMPOSIÇÕES GERAIS'!B:I,3,0),VLOOKUP(E282,'12.COT.MERCADO'!A:I,7,0)))),"Em Elaboração")</f>
        <v>UN</v>
      </c>
      <c r="I282" s="934">
        <v>2.0</v>
      </c>
    </row>
    <row r="283">
      <c r="A283" s="931" t="s">
        <v>4678</v>
      </c>
      <c r="B283" s="931" t="s">
        <v>4727</v>
      </c>
      <c r="C283" s="932" t="s">
        <v>4274</v>
      </c>
      <c r="D283" s="933" t="s">
        <v>4722</v>
      </c>
      <c r="E283" s="934">
        <v>97587.0</v>
      </c>
      <c r="F283" s="937" t="s">
        <v>218</v>
      </c>
      <c r="G283" s="421" t="str">
        <f>IFERROR(IF(F283="SINAPI-S",VLOOKUP(E283,'20-B.SINAPI-S'!A:J,2,0),IF(F283="SINAPI-I",VLOOKUP(E283,'20-A.SINAPI-I'!A:G,2,0),IF(F283="COMP.EVENTUAL",VLOOKUP(E283,'11.COMPOSIÇÕES GERAIS'!B:I,2,0),VLOOKUP(E283,'12.COT.MERCADO'!A:I,2,0)))),"Em Elaboração")</f>
        <v>LUMINÁRIA TIPO CALHA, DE EMBUTIR, COM 2 LÂMPADAS FLUORESCENTES DE 14 W, COM REATOR DE PARTIDA RÁPIDA - FORNECIMENTO E INSTALAÇÃO. AF_02/2020</v>
      </c>
      <c r="H283" s="934" t="str">
        <f>IFERROR(IF(F283="SINAPI-S",VLOOKUP(E283,'20-B.SINAPI-S'!A:J,3,0),IF(F283="SINAPI-I",VLOOKUP(E283,'20-A.SINAPI-I'!A:G,3,0),IF(F283="COMP.EVENTUAL",VLOOKUP(E283,'11.COMPOSIÇÕES GERAIS'!B:I,3,0),VLOOKUP(E283,'12.COT.MERCADO'!A:I,7,0)))),"Em Elaboração")</f>
        <v>UN</v>
      </c>
      <c r="I283" s="934">
        <v>4.0</v>
      </c>
    </row>
    <row r="284">
      <c r="A284" s="931" t="s">
        <v>4678</v>
      </c>
      <c r="B284" s="931" t="s">
        <v>4729</v>
      </c>
      <c r="C284" s="932" t="s">
        <v>4274</v>
      </c>
      <c r="D284" s="933" t="s">
        <v>4730</v>
      </c>
      <c r="E284" s="934" t="s">
        <v>1830</v>
      </c>
      <c r="F284" s="935" t="s">
        <v>4276</v>
      </c>
      <c r="G284" s="421" t="str">
        <f>IFERROR(IF(F284="SINAPI-S",VLOOKUP(E284,'20-B.SINAPI-S'!A:J,2,0),IF(F284="SINAPI-I",VLOOKUP(E284,'20-A.SINAPI-I'!A:G,2,0),IF(F284="COMP.EVENTUAL",VLOOKUP(E284,'11.COMPOSIÇÕES GERAIS'!B:I,2,0),VLOOKUP(E284,'12.COT.MERCADO'!A:I,2,0)))),"Em Elaboração")</f>
        <v>FORNECIMENTO E INSTALAÇÃO DE EXTENSÃO ELÉTRICA COM CABO  DE COBRE PP CORDPLAST 3 X 2,5MM2, ISOLAMENTO 40/750V COM ISOLAÇÃO PP 70ºC, COMPRIMENTO DE 1,5M</v>
      </c>
      <c r="H284" s="934" t="str">
        <f>IFERROR(IF(F284="SINAPI-S",VLOOKUP(E284,'20-B.SINAPI-S'!A:J,3,0),IF(F284="SINAPI-I",VLOOKUP(E284,'20-A.SINAPI-I'!A:G,3,0),IF(F284="COMP.EVENTUAL",VLOOKUP(E284,'11.COMPOSIÇÕES GERAIS'!B:I,3,0),VLOOKUP(E284,'12.COT.MERCADO'!A:I,7,0)))),"Em Elaboração")</f>
        <v>UN</v>
      </c>
      <c r="I284" s="934">
        <v>20.0</v>
      </c>
    </row>
    <row r="285">
      <c r="A285" s="931" t="s">
        <v>4678</v>
      </c>
      <c r="B285" s="931" t="s">
        <v>4729</v>
      </c>
      <c r="C285" s="932" t="s">
        <v>4274</v>
      </c>
      <c r="D285" s="933" t="s">
        <v>4731</v>
      </c>
      <c r="E285" s="934">
        <v>104475.0</v>
      </c>
      <c r="F285" s="937" t="s">
        <v>218</v>
      </c>
      <c r="G285" s="421" t="str">
        <f>IFERROR(IF(F285="SINAPI-S",VLOOKUP(E285,'20-B.SINAPI-S'!A:J,2,0),IF(F285="SINAPI-I",VLOOKUP(E285,'20-A.SINAPI-I'!A:G,2,0),IF(F285="COMP.EVENTUAL",VLOOKUP(E285,'11.COMPOSIÇÕES GERAIS'!B:I,2,0),VLOOKUP(E285,'12.COT.MERCADO'!A:I,2,0)))),"Em Elaboração")</f>
        <v>COMPOSIÇÃO PARAMÉTRICA DE PONTO ELÉTRICO DE TOMADA DE USO GERAL 2P+T (10A/250V) EM EDIFÍCIO RESIDENCIAL COM ELETRODUTO EMBUTIDO EM RASGOS NAS PAREDES, INCLUSO TOMADA, ELETRODUTO, CABO, RASGO, QUEBRA E CHUMBAMENTO. AF_11/2022</v>
      </c>
      <c r="H285" s="934" t="str">
        <f>IFERROR(IF(F285="SINAPI-S",VLOOKUP(E285,'20-B.SINAPI-S'!A:J,3,0),IF(F285="SINAPI-I",VLOOKUP(E285,'20-A.SINAPI-I'!A:G,3,0),IF(F285="COMP.EVENTUAL",VLOOKUP(E285,'11.COMPOSIÇÕES GERAIS'!B:I,3,0),VLOOKUP(E285,'12.COT.MERCADO'!A:I,7,0)))),"Em Elaboração")</f>
        <v>UN</v>
      </c>
      <c r="I285" s="941">
        <v>4.0</v>
      </c>
    </row>
    <row r="286">
      <c r="A286" s="931" t="s">
        <v>4678</v>
      </c>
      <c r="B286" s="931" t="s">
        <v>4732</v>
      </c>
      <c r="C286" s="932" t="s">
        <v>4274</v>
      </c>
      <c r="D286" s="933" t="s">
        <v>4733</v>
      </c>
      <c r="E286" s="934">
        <v>104475.0</v>
      </c>
      <c r="F286" s="937" t="s">
        <v>218</v>
      </c>
      <c r="G286" s="421" t="str">
        <f>IFERROR(IF(F286="SINAPI-S",VLOOKUP(E286,'20-B.SINAPI-S'!A:J,2,0),IF(F286="SINAPI-I",VLOOKUP(E286,'20-A.SINAPI-I'!A:G,2,0),IF(F286="COMP.EVENTUAL",VLOOKUP(E286,'11.COMPOSIÇÕES GERAIS'!B:I,2,0),VLOOKUP(E286,'12.COT.MERCADO'!A:I,2,0)))),"Em Elaboração")</f>
        <v>COMPOSIÇÃO PARAMÉTRICA DE PONTO ELÉTRICO DE TOMADA DE USO GERAL 2P+T (10A/250V) EM EDIFÍCIO RESIDENCIAL COM ELETRODUTO EMBUTIDO EM RASGOS NAS PAREDES, INCLUSO TOMADA, ELETRODUTO, CABO, RASGO, QUEBRA E CHUMBAMENTO. AF_11/2022</v>
      </c>
      <c r="H286" s="934" t="str">
        <f>IFERROR(IF(F286="SINAPI-S",VLOOKUP(E286,'20-B.SINAPI-S'!A:J,3,0),IF(F286="SINAPI-I",VLOOKUP(E286,'20-A.SINAPI-I'!A:G,3,0),IF(F286="COMP.EVENTUAL",VLOOKUP(E286,'11.COMPOSIÇÕES GERAIS'!B:I,3,0),VLOOKUP(E286,'12.COT.MERCADO'!A:I,7,0)))),"Em Elaboração")</f>
        <v>UN</v>
      </c>
      <c r="I286" s="941">
        <v>3.0</v>
      </c>
    </row>
    <row r="287">
      <c r="A287" s="931" t="s">
        <v>4678</v>
      </c>
      <c r="B287" s="931" t="s">
        <v>4734</v>
      </c>
      <c r="C287" s="932" t="s">
        <v>4274</v>
      </c>
      <c r="D287" s="933" t="s">
        <v>4632</v>
      </c>
      <c r="E287" s="934">
        <v>98297.0</v>
      </c>
      <c r="F287" s="937" t="s">
        <v>218</v>
      </c>
      <c r="G287" s="421" t="str">
        <f>IFERROR(IF(F287="SINAPI-S",VLOOKUP(E287,'20-B.SINAPI-S'!A:J,2,0),IF(F287="SINAPI-I",VLOOKUP(E287,'20-A.SINAPI-I'!A:G,2,0),IF(F287="COMP.EVENTUAL",VLOOKUP(E287,'11.COMPOSIÇÕES GERAIS'!B:I,2,0),VLOOKUP(E287,'12.COT.MERCADO'!A:I,2,0)))),"Em Elaboração")</f>
        <v>CABO ELETRÔNICO CATEGORIA 6, INSTALADO EM EDIFICAÇÃO INSTITUCIONAL - FORNECIMENTO E INSTALAÇÃO. AF_11/2019</v>
      </c>
      <c r="H287" s="934" t="str">
        <f>IFERROR(IF(F287="SINAPI-S",VLOOKUP(E287,'20-B.SINAPI-S'!A:J,3,0),IF(F287="SINAPI-I",VLOOKUP(E287,'20-A.SINAPI-I'!A:G,3,0),IF(F287="COMP.EVENTUAL",VLOOKUP(E287,'11.COMPOSIÇÕES GERAIS'!B:I,3,0),VLOOKUP(E287,'12.COT.MERCADO'!A:I,7,0)))),"Em Elaboração")</f>
        <v>M</v>
      </c>
      <c r="I287" s="934">
        <v>20.0</v>
      </c>
    </row>
    <row r="288">
      <c r="A288" s="931" t="s">
        <v>4678</v>
      </c>
      <c r="B288" s="931" t="s">
        <v>4734</v>
      </c>
      <c r="C288" s="932" t="s">
        <v>4297</v>
      </c>
      <c r="D288" s="933" t="s">
        <v>4735</v>
      </c>
      <c r="E288" s="934" t="s">
        <v>1799</v>
      </c>
      <c r="F288" s="935" t="s">
        <v>4276</v>
      </c>
      <c r="G288" s="421" t="str">
        <f>IFERROR(IF(F288="SINAPI-S",VLOOKUP(E288,'20-B.SINAPI-S'!A:J,2,0),IF(F288="SINAPI-I",VLOOKUP(E288,'20-A.SINAPI-I'!A:G,2,0),IF(F288="COMP.EVENTUAL",VLOOKUP(E288,'11.COMPOSIÇÕES GERAIS'!B:I,2,0),VLOOKUP(E288,'12.COT.MERCADO'!A:I,2,0)))),"Em Elaboração")</f>
        <v>FORNECIMENTO E INSTALAÇÃO DE PLACAS DE FORRO DE FIBRA MINERAL - EXCLUSIVE ESTRUTURA DE SUSTENTAÇÃO</v>
      </c>
      <c r="H288" s="934" t="str">
        <f>IFERROR(IF(F288="SINAPI-S",VLOOKUP(E288,'20-B.SINAPI-S'!A:J,3,0),IF(F288="SINAPI-I",VLOOKUP(E288,'20-A.SINAPI-I'!A:G,3,0),IF(F288="COMP.EVENTUAL",VLOOKUP(E288,'11.COMPOSIÇÕES GERAIS'!B:I,3,0),VLOOKUP(E288,'12.COT.MERCADO'!A:I,7,0)))),"Em Elaboração")</f>
        <v>UN</v>
      </c>
      <c r="I288" s="934">
        <v>4.0</v>
      </c>
    </row>
    <row r="289">
      <c r="A289" s="931" t="s">
        <v>4678</v>
      </c>
      <c r="B289" s="931" t="s">
        <v>4736</v>
      </c>
      <c r="C289" s="932" t="s">
        <v>4297</v>
      </c>
      <c r="D289" s="933" t="s">
        <v>4737</v>
      </c>
      <c r="E289" s="934" t="s">
        <v>1906</v>
      </c>
      <c r="F289" s="935" t="s">
        <v>4276</v>
      </c>
      <c r="G289" s="421" t="str">
        <f>IFERROR(IF(F289="SINAPI-S",VLOOKUP(E289,'20-B.SINAPI-S'!A:J,2,0),IF(F289="SINAPI-I",VLOOKUP(E289,'20-A.SINAPI-I'!A:G,2,0),IF(F289="COMP.EVENTUAL",VLOOKUP(E289,'11.COMPOSIÇÕES GERAIS'!B:I,2,0),VLOOKUP(E289,'12.COT.MERCADO'!A:I,2,0)))),"Em Elaboração")</f>
        <v>LIMPEZA DE CAIXA DE PASSAGEM OU DE GORDURA</v>
      </c>
      <c r="H289" s="934" t="str">
        <f>IFERROR(IF(F289="SINAPI-S",VLOOKUP(E289,'20-B.SINAPI-S'!A:J,3,0),IF(F289="SINAPI-I",VLOOKUP(E289,'20-A.SINAPI-I'!A:G,3,0),IF(F289="COMP.EVENTUAL",VLOOKUP(E289,'11.COMPOSIÇÕES GERAIS'!B:I,3,0),VLOOKUP(E289,'12.COT.MERCADO'!A:I,7,0)))),"Em Elaboração")</f>
        <v>UN</v>
      </c>
      <c r="I289" s="934">
        <v>3.0</v>
      </c>
    </row>
    <row r="290">
      <c r="A290" s="931" t="s">
        <v>4678</v>
      </c>
      <c r="B290" s="931" t="s">
        <v>4738</v>
      </c>
      <c r="C290" s="932" t="s">
        <v>4274</v>
      </c>
      <c r="D290" s="933" t="s">
        <v>4730</v>
      </c>
      <c r="E290" s="934" t="s">
        <v>1830</v>
      </c>
      <c r="F290" s="935" t="s">
        <v>4276</v>
      </c>
      <c r="G290" s="421" t="str">
        <f>IFERROR(IF(F290="SINAPI-S",VLOOKUP(E290,'20-B.SINAPI-S'!A:J,2,0),IF(F290="SINAPI-I",VLOOKUP(E290,'20-A.SINAPI-I'!A:G,2,0),IF(F290="COMP.EVENTUAL",VLOOKUP(E290,'11.COMPOSIÇÕES GERAIS'!B:I,2,0),VLOOKUP(E290,'12.COT.MERCADO'!A:I,2,0)))),"Em Elaboração")</f>
        <v>FORNECIMENTO E INSTALAÇÃO DE EXTENSÃO ELÉTRICA COM CABO  DE COBRE PP CORDPLAST 3 X 2,5MM2, ISOLAMENTO 40/750V COM ISOLAÇÃO PP 70ºC, COMPRIMENTO DE 1,5M</v>
      </c>
      <c r="H290" s="934" t="str">
        <f>IFERROR(IF(F290="SINAPI-S",VLOOKUP(E290,'20-B.SINAPI-S'!A:J,3,0),IF(F290="SINAPI-I",VLOOKUP(E290,'20-A.SINAPI-I'!A:G,3,0),IF(F290="COMP.EVENTUAL",VLOOKUP(E290,'11.COMPOSIÇÕES GERAIS'!B:I,3,0),VLOOKUP(E290,'12.COT.MERCADO'!A:I,7,0)))),"Em Elaboração")</f>
        <v>UN</v>
      </c>
      <c r="I290" s="934">
        <v>1.0</v>
      </c>
    </row>
    <row r="291">
      <c r="A291" s="931" t="s">
        <v>4678</v>
      </c>
      <c r="B291" s="931" t="s">
        <v>4739</v>
      </c>
      <c r="C291" s="932" t="s">
        <v>4274</v>
      </c>
      <c r="D291" s="933" t="s">
        <v>4740</v>
      </c>
      <c r="E291" s="934">
        <v>100860.0</v>
      </c>
      <c r="F291" s="937" t="s">
        <v>218</v>
      </c>
      <c r="G291" s="421" t="str">
        <f>IFERROR(IF(F291="SINAPI-S",VLOOKUP(E291,'20-B.SINAPI-S'!A:J,2,0),IF(F291="SINAPI-I",VLOOKUP(E291,'20-A.SINAPI-I'!A:G,2,0),IF(F291="COMP.EVENTUAL",VLOOKUP(E291,'11.COMPOSIÇÕES GERAIS'!B:I,2,0),VLOOKUP(E291,'12.COT.MERCADO'!A:I,2,0)))),"Em Elaboração")</f>
        <v>CHUVEIRO ELÉTRICO COMUM CORPO PLÁSTICO, TIPO DUCHA _x0096_ FORNECIMENTO E INSTALAÇÃO. AF_01/2020</v>
      </c>
      <c r="H291" s="934" t="str">
        <f>IFERROR(IF(F291="SINAPI-S",VLOOKUP(E291,'20-B.SINAPI-S'!A:J,3,0),IF(F291="SINAPI-I",VLOOKUP(E291,'20-A.SINAPI-I'!A:G,3,0),IF(F291="COMP.EVENTUAL",VLOOKUP(E291,'11.COMPOSIÇÕES GERAIS'!B:I,3,0),VLOOKUP(E291,'12.COT.MERCADO'!A:I,7,0)))),"Em Elaboração")</f>
        <v>UN</v>
      </c>
      <c r="I291" s="934">
        <v>1.0</v>
      </c>
    </row>
    <row r="292">
      <c r="A292" s="931" t="s">
        <v>4678</v>
      </c>
      <c r="B292" s="931" t="s">
        <v>4741</v>
      </c>
      <c r="C292" s="932" t="s">
        <v>4297</v>
      </c>
      <c r="D292" s="933" t="s">
        <v>4742</v>
      </c>
      <c r="E292" s="934">
        <v>97638.0</v>
      </c>
      <c r="F292" s="937" t="s">
        <v>218</v>
      </c>
      <c r="G292" s="421" t="str">
        <f>IFERROR(IF(F292="SINAPI-S",VLOOKUP(E292,'20-B.SINAPI-S'!A:J,2,0),IF(F292="SINAPI-I",VLOOKUP(E292,'20-A.SINAPI-I'!A:G,2,0),IF(F292="COMP.EVENTUAL",VLOOKUP(E292,'11.COMPOSIÇÕES GERAIS'!B:I,2,0),VLOOKUP(E292,'12.COT.MERCADO'!A:I,2,0)))),"Em Elaboração")</f>
        <v>REMOÇÃO DE CHAPAS E PERFIS DE DRYWALL, DE FORMA MANUAL, SEM REAPROVEITAMENTO. AF_12/2017</v>
      </c>
      <c r="H292" s="934" t="str">
        <f>IFERROR(IF(F292="SINAPI-S",VLOOKUP(E292,'20-B.SINAPI-S'!A:J,3,0),IF(F292="SINAPI-I",VLOOKUP(E292,'20-A.SINAPI-I'!A:G,3,0),IF(F292="COMP.EVENTUAL",VLOOKUP(E292,'11.COMPOSIÇÕES GERAIS'!B:I,3,0),VLOOKUP(E292,'12.COT.MERCADO'!A:I,7,0)))),"Em Elaboração")</f>
        <v>M2</v>
      </c>
      <c r="I292" s="934">
        <v>8.0</v>
      </c>
    </row>
    <row r="293">
      <c r="A293" s="931" t="s">
        <v>4678</v>
      </c>
      <c r="B293" s="931" t="s">
        <v>4743</v>
      </c>
      <c r="C293" s="932" t="s">
        <v>4274</v>
      </c>
      <c r="D293" s="933" t="s">
        <v>4744</v>
      </c>
      <c r="E293" s="934">
        <v>97600.0</v>
      </c>
      <c r="F293" s="937" t="s">
        <v>218</v>
      </c>
      <c r="G293" s="421" t="str">
        <f>IFERROR(IF(F293="SINAPI-S",VLOOKUP(E293,'20-B.SINAPI-S'!A:J,2,0),IF(F293="SINAPI-I",VLOOKUP(E293,'20-A.SINAPI-I'!A:G,2,0),IF(F293="COMP.EVENTUAL",VLOOKUP(E293,'11.COMPOSIÇÕES GERAIS'!B:I,2,0),VLOOKUP(E293,'12.COT.MERCADO'!A:I,2,0)))),"Em Elaboração")</f>
        <v>REFLETOR EM ALUMÍNIO, DE SUPORTE E ALÇA, COM 1 LÂMPADA VAPOR DE MERCÚRIO DE 125 W, COM REATOR ALTO FATOR DE POTÊNCIA - FORNECIMENTO E INSTALAÇÃO. AF_02/2020</v>
      </c>
      <c r="H293" s="934" t="str">
        <f>IFERROR(IF(F293="SINAPI-S",VLOOKUP(E293,'20-B.SINAPI-S'!A:J,3,0),IF(F293="SINAPI-I",VLOOKUP(E293,'20-A.SINAPI-I'!A:G,3,0),IF(F293="COMP.EVENTUAL",VLOOKUP(E293,'11.COMPOSIÇÕES GERAIS'!B:I,3,0),VLOOKUP(E293,'12.COT.MERCADO'!A:I,7,0)))),"Em Elaboração")</f>
        <v>UN</v>
      </c>
      <c r="I293" s="934">
        <v>2.0</v>
      </c>
    </row>
    <row r="294">
      <c r="A294" s="931" t="s">
        <v>4678</v>
      </c>
      <c r="B294" s="931" t="s">
        <v>4745</v>
      </c>
      <c r="C294" s="932" t="s">
        <v>4274</v>
      </c>
      <c r="D294" s="933" t="s">
        <v>4632</v>
      </c>
      <c r="E294" s="934">
        <v>98297.0</v>
      </c>
      <c r="F294" s="937" t="s">
        <v>218</v>
      </c>
      <c r="G294" s="421" t="str">
        <f>IFERROR(IF(F294="SINAPI-S",VLOOKUP(E294,'20-B.SINAPI-S'!A:J,2,0),IF(F294="SINAPI-I",VLOOKUP(E294,'20-A.SINAPI-I'!A:G,2,0),IF(F294="COMP.EVENTUAL",VLOOKUP(E294,'11.COMPOSIÇÕES GERAIS'!B:I,2,0),VLOOKUP(E294,'12.COT.MERCADO'!A:I,2,0)))),"Em Elaboração")</f>
        <v>CABO ELETRÔNICO CATEGORIA 6, INSTALADO EM EDIFICAÇÃO INSTITUCIONAL - FORNECIMENTO E INSTALAÇÃO. AF_11/2019</v>
      </c>
      <c r="H294" s="934" t="str">
        <f>IFERROR(IF(F294="SINAPI-S",VLOOKUP(E294,'20-B.SINAPI-S'!A:J,3,0),IF(F294="SINAPI-I",VLOOKUP(E294,'20-A.SINAPI-I'!A:G,3,0),IF(F294="COMP.EVENTUAL",VLOOKUP(E294,'11.COMPOSIÇÕES GERAIS'!B:I,3,0),VLOOKUP(E294,'12.COT.MERCADO'!A:I,7,0)))),"Em Elaboração")</f>
        <v>M</v>
      </c>
      <c r="I294" s="934">
        <v>100.0</v>
      </c>
    </row>
    <row r="295">
      <c r="A295" s="931" t="s">
        <v>4746</v>
      </c>
      <c r="B295" s="931" t="s">
        <v>4747</v>
      </c>
      <c r="C295" s="932" t="s">
        <v>4274</v>
      </c>
      <c r="D295" s="933" t="s">
        <v>4748</v>
      </c>
      <c r="E295" s="939">
        <v>92988.0</v>
      </c>
      <c r="F295" s="937" t="s">
        <v>218</v>
      </c>
      <c r="G295" s="421" t="str">
        <f>IFERROR(IF(F295="SINAPI-S",VLOOKUP(E295,'20-B.SINAPI-S'!A:J,2,0),IF(F295="SINAPI-I",VLOOKUP(E295,'20-A.SINAPI-I'!A:G,2,0),IF(F295="COMP.EVENTUAL",VLOOKUP(E295,'11.COMPOSIÇÕES GERAIS'!B:I,2,0),VLOOKUP(E295,'12.COT.MERCADO'!A:I,2,0)))),"Em Elaboração")</f>
        <v>CABO DE COBRE FLEXÍVEL ISOLADO, 50 MM², ANTI-CHAMA 0,6/1,0 KV, PARA REDE ENTERRADA DE DISTRIBUIÇÃO DE ENERGIA ELÉTRICA - FORNECIMENTO E INSTALAÇÃO. AF_12/2021</v>
      </c>
      <c r="H295" s="934" t="str">
        <f>IFERROR(IF(F295="SINAPI-S",VLOOKUP(E295,'20-B.SINAPI-S'!A:J,3,0),IF(F295="SINAPI-I",VLOOKUP(E295,'20-A.SINAPI-I'!A:G,3,0),IF(F295="COMP.EVENTUAL",VLOOKUP(E295,'11.COMPOSIÇÕES GERAIS'!B:I,3,0),VLOOKUP(E295,'12.COT.MERCADO'!A:I,7,0)))),"Em Elaboração")</f>
        <v>M</v>
      </c>
      <c r="I295" s="939">
        <v>125.0</v>
      </c>
    </row>
    <row r="296">
      <c r="A296" s="931" t="s">
        <v>4746</v>
      </c>
      <c r="B296" s="931" t="s">
        <v>4749</v>
      </c>
      <c r="C296" s="932" t="s">
        <v>4297</v>
      </c>
      <c r="D296" s="933" t="s">
        <v>4750</v>
      </c>
      <c r="E296" s="939">
        <v>11186.0</v>
      </c>
      <c r="F296" s="946" t="s">
        <v>286</v>
      </c>
      <c r="G296" s="421" t="str">
        <f>IFERROR(IF(F296="SINAPI-S",VLOOKUP(E296,'20-B.SINAPI-S'!A:J,2,0),IF(F296="SINAPI-I",VLOOKUP(E296,'20-A.SINAPI-I'!A:G,2,0),IF(F296="COMP.EVENTUAL",VLOOKUP(E296,'11.COMPOSIÇÕES GERAIS'!B:I,2,0),VLOOKUP(E296,'12.COT.MERCADO'!A:I,2,0)))),"Em Elaboração")</f>
        <v>ESPELHO CRISTAL E = 4 MM</v>
      </c>
      <c r="H296" s="934" t="str">
        <f>IFERROR(IF(F296="SINAPI-S",VLOOKUP(E296,'20-B.SINAPI-S'!A:J,3,0),IF(F296="SINAPI-I",VLOOKUP(E296,'20-A.SINAPI-I'!A:G,3,0),IF(F296="COMP.EVENTUAL",VLOOKUP(E296,'11.COMPOSIÇÕES GERAIS'!B:I,3,0),VLOOKUP(E296,'12.COT.MERCADO'!A:I,7,0)))),"Em Elaboração")</f>
        <v>M2</v>
      </c>
      <c r="I296" s="939">
        <v>1.0</v>
      </c>
    </row>
    <row r="297">
      <c r="A297" s="931" t="s">
        <v>4746</v>
      </c>
      <c r="B297" s="931" t="s">
        <v>4751</v>
      </c>
      <c r="C297" s="932" t="s">
        <v>4297</v>
      </c>
      <c r="D297" s="933" t="s">
        <v>4752</v>
      </c>
      <c r="E297" s="939">
        <v>100702.0</v>
      </c>
      <c r="F297" s="937" t="s">
        <v>218</v>
      </c>
      <c r="G297" s="421" t="str">
        <f>IFERROR(IF(F297="SINAPI-S",VLOOKUP(E297,'20-B.SINAPI-S'!A:J,2,0),IF(F297="SINAPI-I",VLOOKUP(E297,'20-A.SINAPI-I'!A:G,2,0),IF(F297="COMP.EVENTUAL",VLOOKUP(E297,'11.COMPOSIÇÕES GERAIS'!B:I,2,0),VLOOKUP(E297,'12.COT.MERCADO'!A:I,2,0)))),"Em Elaboração")</f>
        <v>PORTA DE CORRER DE ALUMÍNIO, COM DUAS FOLHAS PARA VIDRO, INCLUSO VIDRO LISO INCOLOR, FECHADURA E PUXADOR, SEM ALIZAR. AF_12/2019</v>
      </c>
      <c r="H297" s="934" t="str">
        <f>IFERROR(IF(F297="SINAPI-S",VLOOKUP(E297,'20-B.SINAPI-S'!A:J,3,0),IF(F297="SINAPI-I",VLOOKUP(E297,'20-A.SINAPI-I'!A:G,3,0),IF(F297="COMP.EVENTUAL",VLOOKUP(E297,'11.COMPOSIÇÕES GERAIS'!B:I,3,0),VLOOKUP(E297,'12.COT.MERCADO'!A:I,7,0)))),"Em Elaboração")</f>
        <v>M2</v>
      </c>
      <c r="I297" s="939">
        <v>1.0</v>
      </c>
    </row>
    <row r="298">
      <c r="A298" s="931" t="s">
        <v>4746</v>
      </c>
      <c r="B298" s="931" t="s">
        <v>4753</v>
      </c>
      <c r="C298" s="932" t="s">
        <v>4306</v>
      </c>
      <c r="D298" s="933" t="s">
        <v>4754</v>
      </c>
      <c r="E298" s="939" t="s">
        <v>1903</v>
      </c>
      <c r="F298" s="935" t="s">
        <v>4276</v>
      </c>
      <c r="G298" s="421" t="str">
        <f>IFERROR(IF(F298="SINAPI-S",VLOOKUP(E298,'20-B.SINAPI-S'!A:J,2,0),IF(F298="SINAPI-I",VLOOKUP(E298,'20-A.SINAPI-I'!A:G,2,0),IF(F298="COMP.EVENTUAL",VLOOKUP(E298,'11.COMPOSIÇÕES GERAIS'!B:I,2,0),VLOOKUP(E298,'12.COT.MERCADO'!A:I,2,0)))),"Em Elaboração")</f>
        <v>LIMPEZA DE CAIXA D'AGUA OU CISTERNA, COM CAPACIDADE DE 2001 A 20000L, INCLUSIVE DESINFECCAO CONFORME NORMAS DA SANEPAR</v>
      </c>
      <c r="H298" s="934" t="str">
        <f>IFERROR(IF(F298="SINAPI-S",VLOOKUP(E298,'20-B.SINAPI-S'!A:J,3,0),IF(F298="SINAPI-I",VLOOKUP(E298,'20-A.SINAPI-I'!A:G,3,0),IF(F298="COMP.EVENTUAL",VLOOKUP(E298,'11.COMPOSIÇÕES GERAIS'!B:I,3,0),VLOOKUP(E298,'12.COT.MERCADO'!A:I,7,0)))),"Em Elaboração")</f>
        <v>UN</v>
      </c>
      <c r="I298" s="940">
        <v>10.0</v>
      </c>
    </row>
    <row r="299">
      <c r="A299" s="931" t="s">
        <v>4746</v>
      </c>
      <c r="B299" s="931" t="s">
        <v>4753</v>
      </c>
      <c r="C299" s="932" t="s">
        <v>4306</v>
      </c>
      <c r="D299" s="933" t="s">
        <v>4755</v>
      </c>
      <c r="E299" s="939">
        <v>94798.0</v>
      </c>
      <c r="F299" s="937" t="s">
        <v>218</v>
      </c>
      <c r="G299" s="421" t="str">
        <f>IFERROR(IF(F299="SINAPI-S",VLOOKUP(E299,'20-B.SINAPI-S'!A:J,2,0),IF(F299="SINAPI-I",VLOOKUP(E299,'20-A.SINAPI-I'!A:G,2,0),IF(F299="COMP.EVENTUAL",VLOOKUP(E299,'11.COMPOSIÇÕES GERAIS'!B:I,2,0),VLOOKUP(E299,'12.COT.MERCADO'!A:I,2,0)))),"Em Elaboração")</f>
        <v>TORNEIRA DE BOIA PARA CAIXA D'ÁGUA, ROSCÁVEL, 1 1/4" - FORNECIMENTO E INSTALAÇÃO. AF_08/2021</v>
      </c>
      <c r="H299" s="934" t="str">
        <f>IFERROR(IF(F299="SINAPI-S",VLOOKUP(E299,'20-B.SINAPI-S'!A:J,3,0),IF(F299="SINAPI-I",VLOOKUP(E299,'20-A.SINAPI-I'!A:G,3,0),IF(F299="COMP.EVENTUAL",VLOOKUP(E299,'11.COMPOSIÇÕES GERAIS'!B:I,3,0),VLOOKUP(E299,'12.COT.MERCADO'!A:I,7,0)))),"Em Elaboração")</f>
        <v>UN</v>
      </c>
      <c r="I299" s="939">
        <v>1.0</v>
      </c>
    </row>
    <row r="300">
      <c r="A300" s="931" t="s">
        <v>4746</v>
      </c>
      <c r="B300" s="931" t="s">
        <v>4756</v>
      </c>
      <c r="C300" s="932" t="s">
        <v>4274</v>
      </c>
      <c r="D300" s="933" t="s">
        <v>4757</v>
      </c>
      <c r="E300" s="939">
        <v>100903.0</v>
      </c>
      <c r="F300" s="937" t="s">
        <v>218</v>
      </c>
      <c r="G300" s="421" t="str">
        <f>IFERROR(IF(F300="SINAPI-S",VLOOKUP(E300,'20-B.SINAPI-S'!A:J,2,0),IF(F300="SINAPI-I",VLOOKUP(E300,'20-A.SINAPI-I'!A:G,2,0),IF(F300="COMP.EVENTUAL",VLOOKUP(E300,'11.COMPOSIÇÕES GERAIS'!B:I,2,0),VLOOKUP(E300,'12.COT.MERCADO'!A:I,2,0)))),"Em Elaboração")</f>
        <v>LÂMPADA TUBULAR LED DE 18/20 W, BASE G13 - FORNECIMENTO E INSTALAÇÃO. AF_02/2020_PS</v>
      </c>
      <c r="H300" s="934" t="str">
        <f>IFERROR(IF(F300="SINAPI-S",VLOOKUP(E300,'20-B.SINAPI-S'!A:J,3,0),IF(F300="SINAPI-I",VLOOKUP(E300,'20-A.SINAPI-I'!A:G,3,0),IF(F300="COMP.EVENTUAL",VLOOKUP(E300,'11.COMPOSIÇÕES GERAIS'!B:I,3,0),VLOOKUP(E300,'12.COT.MERCADO'!A:I,7,0)))),"Em Elaboração")</f>
        <v>UN</v>
      </c>
      <c r="I300" s="939">
        <v>2.0</v>
      </c>
    </row>
    <row r="301">
      <c r="A301" s="931" t="s">
        <v>4746</v>
      </c>
      <c r="B301" s="931" t="s">
        <v>4758</v>
      </c>
      <c r="C301" s="932" t="s">
        <v>4274</v>
      </c>
      <c r="D301" s="933" t="s">
        <v>4759</v>
      </c>
      <c r="E301" s="939">
        <v>91995.0</v>
      </c>
      <c r="F301" s="937" t="s">
        <v>218</v>
      </c>
      <c r="G301" s="421" t="str">
        <f>IFERROR(IF(F301="SINAPI-S",VLOOKUP(E301,'20-B.SINAPI-S'!A:J,2,0),IF(F301="SINAPI-I",VLOOKUP(E301,'20-A.SINAPI-I'!A:G,2,0),IF(F301="COMP.EVENTUAL",VLOOKUP(E301,'11.COMPOSIÇÕES GERAIS'!B:I,2,0),VLOOKUP(E301,'12.COT.MERCADO'!A:I,2,0)))),"Em Elaboração")</f>
        <v>TOMADA MÉDIA DE EMBUTIR (1 MÓDULO), 2P+T 20 A, SEM SUPORTE E SEM PLACA - FORNECIMENTO E INSTALAÇÃO. AF_03/2023</v>
      </c>
      <c r="H301" s="934" t="str">
        <f>IFERROR(IF(F301="SINAPI-S",VLOOKUP(E301,'20-B.SINAPI-S'!A:J,3,0),IF(F301="SINAPI-I",VLOOKUP(E301,'20-A.SINAPI-I'!A:G,3,0),IF(F301="COMP.EVENTUAL",VLOOKUP(E301,'11.COMPOSIÇÕES GERAIS'!B:I,3,0),VLOOKUP(E301,'12.COT.MERCADO'!A:I,7,0)))),"Em Elaboração")</f>
        <v>UN</v>
      </c>
      <c r="I301" s="939">
        <v>1.0</v>
      </c>
    </row>
    <row r="302">
      <c r="A302" s="931" t="s">
        <v>4746</v>
      </c>
      <c r="B302" s="931" t="s">
        <v>4760</v>
      </c>
      <c r="C302" s="932" t="s">
        <v>4297</v>
      </c>
      <c r="D302" s="933" t="s">
        <v>4761</v>
      </c>
      <c r="E302" s="939" t="s">
        <v>1903</v>
      </c>
      <c r="F302" s="935" t="s">
        <v>4276</v>
      </c>
      <c r="G302" s="421" t="str">
        <f>IFERROR(IF(F302="SINAPI-S",VLOOKUP(E302,'20-B.SINAPI-S'!A:J,2,0),IF(F302="SINAPI-I",VLOOKUP(E302,'20-A.SINAPI-I'!A:G,2,0),IF(F302="COMP.EVENTUAL",VLOOKUP(E302,'11.COMPOSIÇÕES GERAIS'!B:I,2,0),VLOOKUP(E302,'12.COT.MERCADO'!A:I,2,0)))),"Em Elaboração")</f>
        <v>LIMPEZA DE CAIXA D'AGUA OU CISTERNA, COM CAPACIDADE DE 2001 A 20000L, INCLUSIVE DESINFECCAO CONFORME NORMAS DA SANEPAR</v>
      </c>
      <c r="H302" s="934" t="str">
        <f>IFERROR(IF(F302="SINAPI-S",VLOOKUP(E302,'20-B.SINAPI-S'!A:J,3,0),IF(F302="SINAPI-I",VLOOKUP(E302,'20-A.SINAPI-I'!A:G,3,0),IF(F302="COMP.EVENTUAL",VLOOKUP(E302,'11.COMPOSIÇÕES GERAIS'!B:I,3,0),VLOOKUP(E302,'12.COT.MERCADO'!A:I,7,0)))),"Em Elaboração")</f>
        <v>UN</v>
      </c>
      <c r="I302" s="940">
        <v>10.0</v>
      </c>
    </row>
    <row r="303">
      <c r="A303" s="931" t="s">
        <v>4746</v>
      </c>
      <c r="B303" s="931" t="s">
        <v>4762</v>
      </c>
      <c r="C303" s="932" t="s">
        <v>4274</v>
      </c>
      <c r="D303" s="933" t="s">
        <v>4763</v>
      </c>
      <c r="E303" s="939">
        <v>102255.0</v>
      </c>
      <c r="F303" s="937" t="s">
        <v>218</v>
      </c>
      <c r="G303" s="421" t="str">
        <f>IFERROR(IF(F303="SINAPI-S",VLOOKUP(E303,'20-B.SINAPI-S'!A:J,2,0),IF(F303="SINAPI-I",VLOOKUP(E303,'20-A.SINAPI-I'!A:G,2,0),IF(F303="COMP.EVENTUAL",VLOOKUP(E303,'11.COMPOSIÇÕES GERAIS'!B:I,2,0),VLOOKUP(E303,'12.COT.MERCADO'!A:I,2,0)))),"Em Elaboração")</f>
        <v>TAPA VISTA DE MICTÓRIO EM GRANITO CINZA POLIDO, ESP = 3CM, ASSENTADO COM ARGAMASSA COLANTE AC III-E . AF_01/2021</v>
      </c>
      <c r="H303" s="934" t="str">
        <f>IFERROR(IF(F303="SINAPI-S",VLOOKUP(E303,'20-B.SINAPI-S'!A:J,3,0),IF(F303="SINAPI-I",VLOOKUP(E303,'20-A.SINAPI-I'!A:G,3,0),IF(F303="COMP.EVENTUAL",VLOOKUP(E303,'11.COMPOSIÇÕES GERAIS'!B:I,3,0),VLOOKUP(E303,'12.COT.MERCADO'!A:I,7,0)))),"Em Elaboração")</f>
        <v>M2</v>
      </c>
      <c r="I303" s="939">
        <v>1.0</v>
      </c>
    </row>
    <row r="304">
      <c r="A304" s="931" t="s">
        <v>4746</v>
      </c>
      <c r="B304" s="931" t="s">
        <v>4764</v>
      </c>
      <c r="C304" s="932" t="s">
        <v>4274</v>
      </c>
      <c r="D304" s="933" t="s">
        <v>4757</v>
      </c>
      <c r="E304" s="939">
        <v>100903.0</v>
      </c>
      <c r="F304" s="937" t="s">
        <v>218</v>
      </c>
      <c r="G304" s="421" t="str">
        <f>IFERROR(IF(F304="SINAPI-S",VLOOKUP(E304,'20-B.SINAPI-S'!A:J,2,0),IF(F304="SINAPI-I",VLOOKUP(E304,'20-A.SINAPI-I'!A:G,2,0),IF(F304="COMP.EVENTUAL",VLOOKUP(E304,'11.COMPOSIÇÕES GERAIS'!B:I,2,0),VLOOKUP(E304,'12.COT.MERCADO'!A:I,2,0)))),"Em Elaboração")</f>
        <v>LÂMPADA TUBULAR LED DE 18/20 W, BASE G13 - FORNECIMENTO E INSTALAÇÃO. AF_02/2020_PS</v>
      </c>
      <c r="H304" s="934" t="str">
        <f>IFERROR(IF(F304="SINAPI-S",VLOOKUP(E304,'20-B.SINAPI-S'!A:J,3,0),IF(F304="SINAPI-I",VLOOKUP(E304,'20-A.SINAPI-I'!A:G,3,0),IF(F304="COMP.EVENTUAL",VLOOKUP(E304,'11.COMPOSIÇÕES GERAIS'!B:I,3,0),VLOOKUP(E304,'12.COT.MERCADO'!A:I,7,0)))),"Em Elaboração")</f>
        <v>UN</v>
      </c>
      <c r="I304" s="939">
        <v>6.0</v>
      </c>
    </row>
    <row r="305">
      <c r="A305" s="931" t="s">
        <v>4746</v>
      </c>
      <c r="B305" s="931" t="s">
        <v>4764</v>
      </c>
      <c r="C305" s="932" t="s">
        <v>4274</v>
      </c>
      <c r="D305" s="933" t="s">
        <v>4765</v>
      </c>
      <c r="E305" s="939">
        <v>100903.0</v>
      </c>
      <c r="F305" s="937" t="s">
        <v>218</v>
      </c>
      <c r="G305" s="421" t="str">
        <f>IFERROR(IF(F305="SINAPI-S",VLOOKUP(E305,'20-B.SINAPI-S'!A:J,2,0),IF(F305="SINAPI-I",VLOOKUP(E305,'20-A.SINAPI-I'!A:G,2,0),IF(F305="COMP.EVENTUAL",VLOOKUP(E305,'11.COMPOSIÇÕES GERAIS'!B:I,2,0),VLOOKUP(E305,'12.COT.MERCADO'!A:I,2,0)))),"Em Elaboração")</f>
        <v>LÂMPADA TUBULAR LED DE 18/20 W, BASE G13 - FORNECIMENTO E INSTALAÇÃO. AF_02/2020_PS</v>
      </c>
      <c r="H305" s="934" t="str">
        <f>IFERROR(IF(F305="SINAPI-S",VLOOKUP(E305,'20-B.SINAPI-S'!A:J,3,0),IF(F305="SINAPI-I",VLOOKUP(E305,'20-A.SINAPI-I'!A:G,3,0),IF(F305="COMP.EVENTUAL",VLOOKUP(E305,'11.COMPOSIÇÕES GERAIS'!B:I,3,0),VLOOKUP(E305,'12.COT.MERCADO'!A:I,7,0)))),"Em Elaboração")</f>
        <v>UN</v>
      </c>
      <c r="I305" s="939">
        <v>2.0</v>
      </c>
    </row>
    <row r="306">
      <c r="A306" s="931" t="s">
        <v>4746</v>
      </c>
      <c r="B306" s="931" t="s">
        <v>4766</v>
      </c>
      <c r="C306" s="932" t="s">
        <v>4274</v>
      </c>
      <c r="D306" s="933" t="s">
        <v>4767</v>
      </c>
      <c r="E306" s="939">
        <v>4221.0</v>
      </c>
      <c r="F306" s="946" t="s">
        <v>286</v>
      </c>
      <c r="G306" s="421" t="str">
        <f>IFERROR(IF(F306="SINAPI-S",VLOOKUP(E306,'20-B.SINAPI-S'!A:J,2,0),IF(F306="SINAPI-I",VLOOKUP(E306,'20-A.SINAPI-I'!A:G,2,0),IF(F306="COMP.EVENTUAL",VLOOKUP(E306,'11.COMPOSIÇÕES GERAIS'!B:I,2,0),VLOOKUP(E306,'12.COT.MERCADO'!A:I,2,0)))),"Em Elaboração")</f>
        <v>OLEO DIESEL COMBUSTIVEL COMUM</v>
      </c>
      <c r="H306" s="934" t="str">
        <f>IFERROR(IF(F306="SINAPI-S",VLOOKUP(E306,'20-B.SINAPI-S'!A:J,3,0),IF(F306="SINAPI-I",VLOOKUP(E306,'20-A.SINAPI-I'!A:G,3,0),IF(F306="COMP.EVENTUAL",VLOOKUP(E306,'11.COMPOSIÇÕES GERAIS'!B:I,3,0),VLOOKUP(E306,'12.COT.MERCADO'!A:I,7,0)))),"Em Elaboração")</f>
        <v>L</v>
      </c>
      <c r="I306" s="939">
        <v>50.0</v>
      </c>
    </row>
    <row r="307">
      <c r="A307" s="931" t="s">
        <v>4746</v>
      </c>
      <c r="B307" s="931" t="s">
        <v>4768</v>
      </c>
      <c r="C307" s="932" t="s">
        <v>4306</v>
      </c>
      <c r="D307" s="933" t="s">
        <v>4769</v>
      </c>
      <c r="E307" s="940" t="s">
        <v>1809</v>
      </c>
      <c r="F307" s="937" t="s">
        <v>4276</v>
      </c>
      <c r="G307" s="421" t="str">
        <f>IFERROR(IF(F307="SINAPI-S",VLOOKUP(E307,'20-B.SINAPI-S'!A:J,2,0),IF(F307="SINAPI-I",VLOOKUP(E307,'20-A.SINAPI-I'!A:G,2,0),IF(F307="COMP.EVENTUAL",VLOOKUP(E307,'11.COMPOSIÇÕES GERAIS'!B:I,2,0),VLOOKUP(E307,'12.COT.MERCADO'!A:I,2,0)))),"Em Elaboração")</f>
        <v>DESENTUPIMENTO DE LOUÇAS</v>
      </c>
      <c r="H307" s="934" t="str">
        <f>IFERROR(IF(F307="SINAPI-S",VLOOKUP(E307,'20-B.SINAPI-S'!A:J,3,0),IF(F307="SINAPI-I",VLOOKUP(E307,'20-A.SINAPI-I'!A:G,3,0),IF(F307="COMP.EVENTUAL",VLOOKUP(E307,'11.COMPOSIÇÕES GERAIS'!B:I,3,0),VLOOKUP(E307,'12.COT.MERCADO'!A:I,7,0)))),"Em Elaboração")</f>
        <v>UN</v>
      </c>
      <c r="I307" s="939">
        <v>1.0</v>
      </c>
    </row>
    <row r="308">
      <c r="A308" s="931" t="s">
        <v>4746</v>
      </c>
      <c r="B308" s="931" t="s">
        <v>4770</v>
      </c>
      <c r="C308" s="932" t="s">
        <v>4297</v>
      </c>
      <c r="D308" s="933" t="s">
        <v>4771</v>
      </c>
      <c r="E308" s="939" t="s">
        <v>1909</v>
      </c>
      <c r="F308" s="935" t="s">
        <v>4276</v>
      </c>
      <c r="G308" s="421" t="str">
        <f>IFERROR(IF(F308="SINAPI-S",VLOOKUP(E308,'20-B.SINAPI-S'!A:J,2,0),IF(F308="SINAPI-I",VLOOKUP(E308,'20-A.SINAPI-I'!A:G,2,0),IF(F308="COMP.EVENTUAL",VLOOKUP(E308,'11.COMPOSIÇÕES GERAIS'!B:I,2,0),VLOOKUP(E308,'12.COT.MERCADO'!A:I,2,0)))),"Em Elaboração")</f>
        <v>LUBRIFICAÇÃO DE FERRAGEM</v>
      </c>
      <c r="H308" s="934" t="str">
        <f>IFERROR(IF(F308="SINAPI-S",VLOOKUP(E308,'20-B.SINAPI-S'!A:J,3,0),IF(F308="SINAPI-I",VLOOKUP(E308,'20-A.SINAPI-I'!A:G,3,0),IF(F308="COMP.EVENTUAL",VLOOKUP(E308,'11.COMPOSIÇÕES GERAIS'!B:I,3,0),VLOOKUP(E308,'12.COT.MERCADO'!A:I,7,0)))),"Em Elaboração")</f>
        <v>UN</v>
      </c>
      <c r="I308" s="939">
        <v>1.0</v>
      </c>
    </row>
    <row r="309">
      <c r="A309" s="931" t="s">
        <v>4746</v>
      </c>
      <c r="B309" s="931" t="s">
        <v>4772</v>
      </c>
      <c r="C309" s="932" t="s">
        <v>4297</v>
      </c>
      <c r="D309" s="933" t="s">
        <v>4773</v>
      </c>
      <c r="E309" s="939">
        <v>91306.0</v>
      </c>
      <c r="F309" s="937" t="s">
        <v>218</v>
      </c>
      <c r="G309" s="421" t="str">
        <f>IFERROR(IF(F309="SINAPI-S",VLOOKUP(E309,'20-B.SINAPI-S'!A:J,2,0),IF(F309="SINAPI-I",VLOOKUP(E309,'20-A.SINAPI-I'!A:G,2,0),IF(F309="COMP.EVENTUAL",VLOOKUP(E309,'11.COMPOSIÇÕES GERAIS'!B:I,2,0),VLOOKUP(E309,'12.COT.MERCADO'!A:I,2,0)))),"Em Elaboração")</f>
        <v>FECHADURA DE EMBUTIR PARA PORTAS INTERNAS, COMPLETA, ACABAMENTO PADRÃO MÉDIO, COM EXECUÇÃO DE FURO - FORNECIMENTO E INSTALAÇÃO. AF_12/2019</v>
      </c>
      <c r="H309" s="934" t="str">
        <f>IFERROR(IF(F309="SINAPI-S",VLOOKUP(E309,'20-B.SINAPI-S'!A:J,3,0),IF(F309="SINAPI-I",VLOOKUP(E309,'20-A.SINAPI-I'!A:G,3,0),IF(F309="COMP.EVENTUAL",VLOOKUP(E309,'11.COMPOSIÇÕES GERAIS'!B:I,3,0),VLOOKUP(E309,'12.COT.MERCADO'!A:I,7,0)))),"Em Elaboração")</f>
        <v>UN</v>
      </c>
      <c r="I309" s="939">
        <v>1.0</v>
      </c>
    </row>
    <row r="310">
      <c r="A310" s="931" t="s">
        <v>4746</v>
      </c>
      <c r="B310" s="931" t="s">
        <v>4774</v>
      </c>
      <c r="C310" s="932" t="s">
        <v>4297</v>
      </c>
      <c r="D310" s="933" t="s">
        <v>4482</v>
      </c>
      <c r="E310" s="939">
        <v>88488.0</v>
      </c>
      <c r="F310" s="937" t="s">
        <v>218</v>
      </c>
      <c r="G310" s="421" t="str">
        <f>IFERROR(IF(F310="SINAPI-S",VLOOKUP(E310,'20-B.SINAPI-S'!A:J,2,0),IF(F310="SINAPI-I",VLOOKUP(E310,'20-A.SINAPI-I'!A:G,2,0),IF(F310="COMP.EVENTUAL",VLOOKUP(E310,'11.COMPOSIÇÕES GERAIS'!B:I,2,0),VLOOKUP(E310,'12.COT.MERCADO'!A:I,2,0)))),"Em Elaboração")</f>
        <v>PINTURA LÁTEX ACRÍLICA PREMIUM, APLICAÇÃO MANUAL EM TETO, DUAS DEMÃOS. AF_04/2023</v>
      </c>
      <c r="H310" s="934" t="str">
        <f>IFERROR(IF(F310="SINAPI-S",VLOOKUP(E310,'20-B.SINAPI-S'!A:J,3,0),IF(F310="SINAPI-I",VLOOKUP(E310,'20-A.SINAPI-I'!A:G,3,0),IF(F310="COMP.EVENTUAL",VLOOKUP(E310,'11.COMPOSIÇÕES GERAIS'!B:I,3,0),VLOOKUP(E310,'12.COT.MERCADO'!A:I,7,0)))),"Em Elaboração")</f>
        <v>M2</v>
      </c>
      <c r="I310" s="939">
        <v>4.0</v>
      </c>
    </row>
    <row r="311">
      <c r="A311" s="931" t="s">
        <v>4746</v>
      </c>
      <c r="B311" s="931" t="s">
        <v>4775</v>
      </c>
      <c r="C311" s="932" t="s">
        <v>4306</v>
      </c>
      <c r="D311" s="933" t="s">
        <v>4776</v>
      </c>
      <c r="E311" s="939">
        <v>86915.0</v>
      </c>
      <c r="F311" s="937" t="s">
        <v>218</v>
      </c>
      <c r="G311" s="421" t="str">
        <f>IFERROR(IF(F311="SINAPI-S",VLOOKUP(E311,'20-B.SINAPI-S'!A:J,2,0),IF(F311="SINAPI-I",VLOOKUP(E311,'20-A.SINAPI-I'!A:G,2,0),IF(F311="COMP.EVENTUAL",VLOOKUP(E311,'11.COMPOSIÇÕES GERAIS'!B:I,2,0),VLOOKUP(E311,'12.COT.MERCADO'!A:I,2,0)))),"Em Elaboração")</f>
        <v>TORNEIRA CROMADA DE MESA, 1/2_x0094_ OU 3/4_x0094_, PARA LAVATÓRIO, PADRÃO MÉDIO - FORNECIMENTO E INSTALAÇÃO. AF_01/2020</v>
      </c>
      <c r="H311" s="934" t="str">
        <f>IFERROR(IF(F311="SINAPI-S",VLOOKUP(E311,'20-B.SINAPI-S'!A:J,3,0),IF(F311="SINAPI-I",VLOOKUP(E311,'20-A.SINAPI-I'!A:G,3,0),IF(F311="COMP.EVENTUAL",VLOOKUP(E311,'11.COMPOSIÇÕES GERAIS'!B:I,3,0),VLOOKUP(E311,'12.COT.MERCADO'!A:I,7,0)))),"Em Elaboração")</f>
        <v>UN</v>
      </c>
      <c r="I311" s="939">
        <v>1.0</v>
      </c>
    </row>
    <row r="312">
      <c r="A312" s="931" t="s">
        <v>4746</v>
      </c>
      <c r="B312" s="931" t="s">
        <v>4775</v>
      </c>
      <c r="C312" s="932" t="s">
        <v>4306</v>
      </c>
      <c r="D312" s="933" t="s">
        <v>4777</v>
      </c>
      <c r="E312" s="939">
        <v>86885.0</v>
      </c>
      <c r="F312" s="937" t="s">
        <v>218</v>
      </c>
      <c r="G312" s="421" t="str">
        <f>IFERROR(IF(F312="SINAPI-S",VLOOKUP(E312,'20-B.SINAPI-S'!A:J,2,0),IF(F312="SINAPI-I",VLOOKUP(E312,'20-A.SINAPI-I'!A:G,2,0),IF(F312="COMP.EVENTUAL",VLOOKUP(E312,'11.COMPOSIÇÕES GERAIS'!B:I,2,0),VLOOKUP(E312,'12.COT.MERCADO'!A:I,2,0)))),"Em Elaboração")</f>
        <v>ENGATE FLEXÍVEL EM PLÁSTICO BRANCO, 1/2_x0094_ X 40CM - FORNECIMENTO E INSTALAÇÃO. AF_01/2020</v>
      </c>
      <c r="H312" s="934" t="str">
        <f>IFERROR(IF(F312="SINAPI-S",VLOOKUP(E312,'20-B.SINAPI-S'!A:J,3,0),IF(F312="SINAPI-I",VLOOKUP(E312,'20-A.SINAPI-I'!A:G,3,0),IF(F312="COMP.EVENTUAL",VLOOKUP(E312,'11.COMPOSIÇÕES GERAIS'!B:I,3,0),VLOOKUP(E312,'12.COT.MERCADO'!A:I,7,0)))),"Em Elaboração")</f>
        <v>UN</v>
      </c>
      <c r="I312" s="939">
        <v>1.0</v>
      </c>
    </row>
    <row r="313">
      <c r="A313" s="931" t="s">
        <v>4746</v>
      </c>
      <c r="B313" s="931" t="s">
        <v>4778</v>
      </c>
      <c r="C313" s="932" t="s">
        <v>4306</v>
      </c>
      <c r="D313" s="933" t="s">
        <v>4779</v>
      </c>
      <c r="E313" s="939">
        <v>100857.0</v>
      </c>
      <c r="F313" s="937" t="s">
        <v>218</v>
      </c>
      <c r="G313" s="421" t="str">
        <f>IFERROR(IF(F313="SINAPI-S",VLOOKUP(E313,'20-B.SINAPI-S'!A:J,2,0),IF(F313="SINAPI-I",VLOOKUP(E313,'20-A.SINAPI-I'!A:G,2,0),IF(F313="COMP.EVENTUAL",VLOOKUP(E313,'11.COMPOSIÇÕES GERAIS'!B:I,2,0),VLOOKUP(E313,'12.COT.MERCADO'!A:I,2,0)))),"Em Elaboração")</f>
        <v>ACABAMENTO MONOCOMANDO PARA CHUVEIRO _x0096_ FORNECIMENTO E INSTALAÇÃO. AF_01/2020</v>
      </c>
      <c r="H313" s="934" t="str">
        <f>IFERROR(IF(F313="SINAPI-S",VLOOKUP(E313,'20-B.SINAPI-S'!A:J,3,0),IF(F313="SINAPI-I",VLOOKUP(E313,'20-A.SINAPI-I'!A:G,3,0),IF(F313="COMP.EVENTUAL",VLOOKUP(E313,'11.COMPOSIÇÕES GERAIS'!B:I,3,0),VLOOKUP(E313,'12.COT.MERCADO'!A:I,7,0)))),"Em Elaboração")</f>
        <v>UN</v>
      </c>
      <c r="I313" s="939">
        <v>3.0</v>
      </c>
    </row>
    <row r="314">
      <c r="A314" s="931" t="s">
        <v>4746</v>
      </c>
      <c r="B314" s="931" t="s">
        <v>4780</v>
      </c>
      <c r="C314" s="932" t="s">
        <v>4306</v>
      </c>
      <c r="D314" s="933" t="s">
        <v>4781</v>
      </c>
      <c r="E314" s="939">
        <v>86878.0</v>
      </c>
      <c r="F314" s="937" t="s">
        <v>218</v>
      </c>
      <c r="G314" s="421" t="str">
        <f>IFERROR(IF(F314="SINAPI-S",VLOOKUP(E314,'20-B.SINAPI-S'!A:J,2,0),IF(F314="SINAPI-I",VLOOKUP(E314,'20-A.SINAPI-I'!A:G,2,0),IF(F314="COMP.EVENTUAL",VLOOKUP(E314,'11.COMPOSIÇÕES GERAIS'!B:I,2,0),VLOOKUP(E314,'12.COT.MERCADO'!A:I,2,0)))),"Em Elaboração")</f>
        <v>VÁLVULA EM METAL CROMADO TIPO AMERICANA 3.1/2_x0094_ X 1.1/2_x0094_ PARA PIA - FORNECIMENTO E INSTALAÇÃO. AF_01/2020</v>
      </c>
      <c r="H314" s="934" t="str">
        <f>IFERROR(IF(F314="SINAPI-S",VLOOKUP(E314,'20-B.SINAPI-S'!A:J,3,0),IF(F314="SINAPI-I",VLOOKUP(E314,'20-A.SINAPI-I'!A:G,3,0),IF(F314="COMP.EVENTUAL",VLOOKUP(E314,'11.COMPOSIÇÕES GERAIS'!B:I,3,0),VLOOKUP(E314,'12.COT.MERCADO'!A:I,7,0)))),"Em Elaboração")</f>
        <v>UN</v>
      </c>
      <c r="I314" s="939">
        <v>3.0</v>
      </c>
    </row>
    <row r="315">
      <c r="A315" s="931" t="s">
        <v>4746</v>
      </c>
      <c r="B315" s="931" t="s">
        <v>4782</v>
      </c>
      <c r="C315" s="932" t="s">
        <v>4297</v>
      </c>
      <c r="D315" s="933" t="s">
        <v>4783</v>
      </c>
      <c r="E315" s="940">
        <v>102210.0</v>
      </c>
      <c r="F315" s="937" t="s">
        <v>218</v>
      </c>
      <c r="G315" s="421" t="str">
        <f>IFERROR(IF(F315="SINAPI-S",VLOOKUP(E315,'20-B.SINAPI-S'!A:J,2,0),IF(F315="SINAPI-I",VLOOKUP(E315,'20-A.SINAPI-I'!A:G,2,0),IF(F315="COMP.EVENTUAL",VLOOKUP(E315,'11.COMPOSIÇÕES GERAIS'!B:I,2,0),VLOOKUP(E315,'12.COT.MERCADO'!A:I,2,0)))),"Em Elaboração")</f>
        <v>PINTURA TINTA DE ACABAMENTO (PIGMENTADA) ESMALTE SINTÉTICO BRILHANTE EM MADEIRA, 1 DEMÃO. AF_01/2021</v>
      </c>
      <c r="H315" s="934" t="str">
        <f>IFERROR(IF(F315="SINAPI-S",VLOOKUP(E315,'20-B.SINAPI-S'!A:J,3,0),IF(F315="SINAPI-I",VLOOKUP(E315,'20-A.SINAPI-I'!A:G,3,0),IF(F315="COMP.EVENTUAL",VLOOKUP(E315,'11.COMPOSIÇÕES GERAIS'!B:I,3,0),VLOOKUP(E315,'12.COT.MERCADO'!A:I,7,0)))),"Em Elaboração")</f>
        <v>M2</v>
      </c>
      <c r="I315" s="940">
        <v>4.0</v>
      </c>
    </row>
    <row r="316">
      <c r="A316" s="931" t="s">
        <v>4746</v>
      </c>
      <c r="B316" s="931" t="s">
        <v>4782</v>
      </c>
      <c r="C316" s="932" t="s">
        <v>4297</v>
      </c>
      <c r="D316" s="933" t="s">
        <v>4784</v>
      </c>
      <c r="E316" s="940">
        <v>100751.0</v>
      </c>
      <c r="F316" s="937" t="s">
        <v>218</v>
      </c>
      <c r="G316" s="421" t="str">
        <f>IFERROR(IF(F316="SINAPI-S",VLOOKUP(E316,'20-B.SINAPI-S'!A:J,2,0),IF(F316="SINAPI-I",VLOOKUP(E316,'20-A.SINAPI-I'!A:G,2,0),IF(F316="COMP.EVENTUAL",VLOOKUP(E316,'11.COMPOSIÇÕES GERAIS'!B:I,2,0),VLOOKUP(E316,'12.COT.MERCADO'!A:I,2,0)))),"Em Elaboração")</f>
        <v>PINTURA COM TINTA EPOXÍDICA DE ACABAMENTO PULVERIZADA SOBRE PERFIL METÁLICO EXECUTADO EM FÁBRICA (02 DEMÃOS). AF_01/2020_PE</v>
      </c>
      <c r="H316" s="934" t="str">
        <f>IFERROR(IF(F316="SINAPI-S",VLOOKUP(E316,'20-B.SINAPI-S'!A:J,3,0),IF(F316="SINAPI-I",VLOOKUP(E316,'20-A.SINAPI-I'!A:G,3,0),IF(F316="COMP.EVENTUAL",VLOOKUP(E316,'11.COMPOSIÇÕES GERAIS'!B:I,3,0),VLOOKUP(E316,'12.COT.MERCADO'!A:I,7,0)))),"Em Elaboração")</f>
        <v>M2</v>
      </c>
      <c r="I316" s="940">
        <v>4.0</v>
      </c>
    </row>
    <row r="317">
      <c r="A317" s="931" t="s">
        <v>4746</v>
      </c>
      <c r="B317" s="931" t="s">
        <v>4782</v>
      </c>
      <c r="C317" s="932" t="s">
        <v>4297</v>
      </c>
      <c r="D317" s="933" t="s">
        <v>4785</v>
      </c>
      <c r="E317" s="939">
        <v>88488.0</v>
      </c>
      <c r="F317" s="937" t="s">
        <v>218</v>
      </c>
      <c r="G317" s="421" t="str">
        <f>IFERROR(IF(F317="SINAPI-S",VLOOKUP(E317,'20-B.SINAPI-S'!A:J,2,0),IF(F317="SINAPI-I",VLOOKUP(E317,'20-A.SINAPI-I'!A:G,2,0),IF(F317="COMP.EVENTUAL",VLOOKUP(E317,'11.COMPOSIÇÕES GERAIS'!B:I,2,0),VLOOKUP(E317,'12.COT.MERCADO'!A:I,2,0)))),"Em Elaboração")</f>
        <v>PINTURA LÁTEX ACRÍLICA PREMIUM, APLICAÇÃO MANUAL EM TETO, DUAS DEMÃOS. AF_04/2023</v>
      </c>
      <c r="H317" s="934" t="str">
        <f>IFERROR(IF(F317="SINAPI-S",VLOOKUP(E317,'20-B.SINAPI-S'!A:J,3,0),IF(F317="SINAPI-I",VLOOKUP(E317,'20-A.SINAPI-I'!A:G,3,0),IF(F317="COMP.EVENTUAL",VLOOKUP(E317,'11.COMPOSIÇÕES GERAIS'!B:I,3,0),VLOOKUP(E317,'12.COT.MERCADO'!A:I,7,0)))),"Em Elaboração")</f>
        <v>M2</v>
      </c>
      <c r="I317" s="940">
        <v>12.0</v>
      </c>
    </row>
    <row r="318">
      <c r="A318" s="931" t="s">
        <v>4746</v>
      </c>
      <c r="B318" s="931" t="s">
        <v>4786</v>
      </c>
      <c r="C318" s="932" t="s">
        <v>4274</v>
      </c>
      <c r="D318" s="944" t="s">
        <v>4787</v>
      </c>
      <c r="E318" s="939">
        <v>98297.0</v>
      </c>
      <c r="F318" s="937" t="s">
        <v>218</v>
      </c>
      <c r="G318" s="421" t="str">
        <f>IFERROR(IF(F318="SINAPI-S",VLOOKUP(E318,'20-B.SINAPI-S'!A:J,2,0),IF(F318="SINAPI-I",VLOOKUP(E318,'20-A.SINAPI-I'!A:G,2,0),IF(F318="COMP.EVENTUAL",VLOOKUP(E318,'11.COMPOSIÇÕES GERAIS'!B:I,2,0),VLOOKUP(E318,'12.COT.MERCADO'!A:I,2,0)))),"Em Elaboração")</f>
        <v>CABO ELETRÔNICO CATEGORIA 6, INSTALADO EM EDIFICAÇÃO INSTITUCIONAL - FORNECIMENTO E INSTALAÇÃO. AF_11/2019</v>
      </c>
      <c r="H318" s="934" t="str">
        <f>IFERROR(IF(F318="SINAPI-S",VLOOKUP(E318,'20-B.SINAPI-S'!A:J,3,0),IF(F318="SINAPI-I",VLOOKUP(E318,'20-A.SINAPI-I'!A:G,3,0),IF(F318="COMP.EVENTUAL",VLOOKUP(E318,'11.COMPOSIÇÕES GERAIS'!B:I,3,0),VLOOKUP(E318,'12.COT.MERCADO'!A:I,7,0)))),"Em Elaboração")</f>
        <v>M</v>
      </c>
      <c r="I318" s="940">
        <v>15.0</v>
      </c>
    </row>
    <row r="319">
      <c r="A319" s="931" t="s">
        <v>4746</v>
      </c>
      <c r="B319" s="931" t="s">
        <v>4732</v>
      </c>
      <c r="C319" s="932" t="s">
        <v>4297</v>
      </c>
      <c r="D319" s="933" t="s">
        <v>4788</v>
      </c>
      <c r="E319" s="939" t="s">
        <v>1903</v>
      </c>
      <c r="F319" s="935" t="s">
        <v>4276</v>
      </c>
      <c r="G319" s="421" t="str">
        <f>IFERROR(IF(F319="SINAPI-S",VLOOKUP(E319,'20-B.SINAPI-S'!A:J,2,0),IF(F319="SINAPI-I",VLOOKUP(E319,'20-A.SINAPI-I'!A:G,2,0),IF(F319="COMP.EVENTUAL",VLOOKUP(E319,'11.COMPOSIÇÕES GERAIS'!B:I,2,0),VLOOKUP(E319,'12.COT.MERCADO'!A:I,2,0)))),"Em Elaboração")</f>
        <v>LIMPEZA DE CAIXA D'AGUA OU CISTERNA, COM CAPACIDADE DE 2001 A 20000L, INCLUSIVE DESINFECCAO CONFORME NORMAS DA SANEPAR</v>
      </c>
      <c r="H319" s="934" t="str">
        <f>IFERROR(IF(F319="SINAPI-S",VLOOKUP(E319,'20-B.SINAPI-S'!A:J,3,0),IF(F319="SINAPI-I",VLOOKUP(E319,'20-A.SINAPI-I'!A:G,3,0),IF(F319="COMP.EVENTUAL",VLOOKUP(E319,'11.COMPOSIÇÕES GERAIS'!B:I,3,0),VLOOKUP(E319,'12.COT.MERCADO'!A:I,7,0)))),"Em Elaboração")</f>
        <v>UN</v>
      </c>
      <c r="I319" s="940">
        <v>5.0</v>
      </c>
    </row>
    <row r="320">
      <c r="A320" s="931" t="s">
        <v>4746</v>
      </c>
      <c r="B320" s="931" t="s">
        <v>4789</v>
      </c>
      <c r="C320" s="932" t="s">
        <v>4274</v>
      </c>
      <c r="D320" s="933" t="s">
        <v>4790</v>
      </c>
      <c r="E320" s="939">
        <v>91929.0</v>
      </c>
      <c r="F320" s="937" t="s">
        <v>218</v>
      </c>
      <c r="G320" s="421" t="str">
        <f>IFERROR(IF(F320="SINAPI-S",VLOOKUP(E320,'20-B.SINAPI-S'!A:J,2,0),IF(F320="SINAPI-I",VLOOKUP(E320,'20-A.SINAPI-I'!A:G,2,0),IF(F320="COMP.EVENTUAL",VLOOKUP(E320,'11.COMPOSIÇÕES GERAIS'!B:I,2,0),VLOOKUP(E320,'12.COT.MERCADO'!A:I,2,0)))),"Em Elaboração")</f>
        <v>CABO DE COBRE FLEXÍVEL ISOLADO, 4 MM², ANTI-CHAMA 0,6/1,0 KV, PARA CIRCUITOS TERMINAIS - FORNECIMENTO E INSTALAÇÃO. AF_03/2023</v>
      </c>
      <c r="H320" s="934" t="str">
        <f>IFERROR(IF(F320="SINAPI-S",VLOOKUP(E320,'20-B.SINAPI-S'!A:J,3,0),IF(F320="SINAPI-I",VLOOKUP(E320,'20-A.SINAPI-I'!A:G,3,0),IF(F320="COMP.EVENTUAL",VLOOKUP(E320,'11.COMPOSIÇÕES GERAIS'!B:I,3,0),VLOOKUP(E320,'12.COT.MERCADO'!A:I,7,0)))),"Em Elaboração")</f>
        <v>M</v>
      </c>
      <c r="I320" s="940">
        <v>80.0</v>
      </c>
    </row>
    <row r="321">
      <c r="A321" s="931" t="s">
        <v>4746</v>
      </c>
      <c r="B321" s="931" t="s">
        <v>4789</v>
      </c>
      <c r="C321" s="932" t="s">
        <v>4274</v>
      </c>
      <c r="D321" s="933" t="s">
        <v>4791</v>
      </c>
      <c r="E321" s="939">
        <v>93656.0</v>
      </c>
      <c r="F321" s="937" t="s">
        <v>218</v>
      </c>
      <c r="G321" s="421" t="str">
        <f>IFERROR(IF(F321="SINAPI-S",VLOOKUP(E321,'20-B.SINAPI-S'!A:J,2,0),IF(F321="SINAPI-I",VLOOKUP(E321,'20-A.SINAPI-I'!A:G,2,0),IF(F321="COMP.EVENTUAL",VLOOKUP(E321,'11.COMPOSIÇÕES GERAIS'!B:I,2,0),VLOOKUP(E321,'12.COT.MERCADO'!A:I,2,0)))),"Em Elaboração")</f>
        <v>DISJUNTOR MONOPOLAR TIPO DIN, CORRENTE NOMINAL DE 25A - FORNECIMENTO E INSTALAÇÃO. AF_10/2020</v>
      </c>
      <c r="H321" s="934" t="str">
        <f>IFERROR(IF(F321="SINAPI-S",VLOOKUP(E321,'20-B.SINAPI-S'!A:J,3,0),IF(F321="SINAPI-I",VLOOKUP(E321,'20-A.SINAPI-I'!A:G,3,0),IF(F321="COMP.EVENTUAL",VLOOKUP(E321,'11.COMPOSIÇÕES GERAIS'!B:I,3,0),VLOOKUP(E321,'12.COT.MERCADO'!A:I,7,0)))),"Em Elaboração")</f>
        <v>UN</v>
      </c>
      <c r="I321" s="939">
        <v>1.0</v>
      </c>
    </row>
    <row r="322">
      <c r="A322" s="931" t="s">
        <v>4746</v>
      </c>
      <c r="B322" s="931" t="s">
        <v>4792</v>
      </c>
      <c r="C322" s="932" t="s">
        <v>4274</v>
      </c>
      <c r="D322" s="933" t="s">
        <v>4793</v>
      </c>
      <c r="E322" s="939">
        <v>100903.0</v>
      </c>
      <c r="F322" s="937" t="s">
        <v>218</v>
      </c>
      <c r="G322" s="421" t="str">
        <f>IFERROR(IF(F322="SINAPI-S",VLOOKUP(E322,'20-B.SINAPI-S'!A:J,2,0),IF(F322="SINAPI-I",VLOOKUP(E322,'20-A.SINAPI-I'!A:G,2,0),IF(F322="COMP.EVENTUAL",VLOOKUP(E322,'11.COMPOSIÇÕES GERAIS'!B:I,2,0),VLOOKUP(E322,'12.COT.MERCADO'!A:I,2,0)))),"Em Elaboração")</f>
        <v>LÂMPADA TUBULAR LED DE 18/20 W, BASE G13 - FORNECIMENTO E INSTALAÇÃO. AF_02/2020_PS</v>
      </c>
      <c r="H322" s="934" t="str">
        <f>IFERROR(IF(F322="SINAPI-S",VLOOKUP(E322,'20-B.SINAPI-S'!A:J,3,0),IF(F322="SINAPI-I",VLOOKUP(E322,'20-A.SINAPI-I'!A:G,3,0),IF(F322="COMP.EVENTUAL",VLOOKUP(E322,'11.COMPOSIÇÕES GERAIS'!B:I,3,0),VLOOKUP(E322,'12.COT.MERCADO'!A:I,7,0)))),"Em Elaboração")</f>
        <v>UN</v>
      </c>
      <c r="I322" s="940">
        <v>8.0</v>
      </c>
    </row>
    <row r="323">
      <c r="A323" s="931" t="s">
        <v>4746</v>
      </c>
      <c r="B323" s="931" t="s">
        <v>4794</v>
      </c>
      <c r="C323" s="932" t="s">
        <v>4306</v>
      </c>
      <c r="D323" s="933" t="s">
        <v>4795</v>
      </c>
      <c r="E323" s="939" t="s">
        <v>1809</v>
      </c>
      <c r="F323" s="935" t="s">
        <v>4276</v>
      </c>
      <c r="G323" s="421" t="str">
        <f>IFERROR(IF(F323="SINAPI-S",VLOOKUP(E323,'20-B.SINAPI-S'!A:J,2,0),IF(F323="SINAPI-I",VLOOKUP(E323,'20-A.SINAPI-I'!A:G,2,0),IF(F323="COMP.EVENTUAL",VLOOKUP(E323,'11.COMPOSIÇÕES GERAIS'!B:I,2,0),VLOOKUP(E323,'12.COT.MERCADO'!A:I,2,0)))),"Em Elaboração")</f>
        <v>DESENTUPIMENTO DE LOUÇAS</v>
      </c>
      <c r="H323" s="934" t="str">
        <f>IFERROR(IF(F323="SINAPI-S",VLOOKUP(E323,'20-B.SINAPI-S'!A:J,3,0),IF(F323="SINAPI-I",VLOOKUP(E323,'20-A.SINAPI-I'!A:G,3,0),IF(F323="COMP.EVENTUAL",VLOOKUP(E323,'11.COMPOSIÇÕES GERAIS'!B:I,3,0),VLOOKUP(E323,'12.COT.MERCADO'!A:I,7,0)))),"Em Elaboração")</f>
        <v>UN</v>
      </c>
      <c r="I323" s="939">
        <v>1.0</v>
      </c>
    </row>
    <row r="324">
      <c r="A324" s="931" t="s">
        <v>4746</v>
      </c>
      <c r="B324" s="931" t="s">
        <v>4794</v>
      </c>
      <c r="C324" s="932" t="s">
        <v>4306</v>
      </c>
      <c r="D324" s="933" t="s">
        <v>4796</v>
      </c>
      <c r="E324" s="939">
        <v>100849.0</v>
      </c>
      <c r="F324" s="937" t="s">
        <v>218</v>
      </c>
      <c r="G324" s="421" t="str">
        <f>IFERROR(IF(F324="SINAPI-S",VLOOKUP(E324,'20-B.SINAPI-S'!A:J,2,0),IF(F324="SINAPI-I",VLOOKUP(E324,'20-A.SINAPI-I'!A:G,2,0),IF(F324="COMP.EVENTUAL",VLOOKUP(E324,'11.COMPOSIÇÕES GERAIS'!B:I,2,0),VLOOKUP(E324,'12.COT.MERCADO'!A:I,2,0)))),"Em Elaboração")</f>
        <v>ASSENTO SANITÁRIO CONVENCIONAL - FORNECIMENTO E INSTALACAO. AF_01/2020</v>
      </c>
      <c r="H324" s="934" t="str">
        <f>IFERROR(IF(F324="SINAPI-S",VLOOKUP(E324,'20-B.SINAPI-S'!A:J,3,0),IF(F324="SINAPI-I",VLOOKUP(E324,'20-A.SINAPI-I'!A:G,3,0),IF(F324="COMP.EVENTUAL",VLOOKUP(E324,'11.COMPOSIÇÕES GERAIS'!B:I,3,0),VLOOKUP(E324,'12.COT.MERCADO'!A:I,7,0)))),"Em Elaboração")</f>
        <v>UN</v>
      </c>
      <c r="I324" s="939">
        <v>1.0</v>
      </c>
    </row>
    <row r="325">
      <c r="A325" s="931" t="s">
        <v>4746</v>
      </c>
      <c r="B325" s="931" t="s">
        <v>4794</v>
      </c>
      <c r="C325" s="932" t="s">
        <v>4306</v>
      </c>
      <c r="D325" s="933" t="s">
        <v>4797</v>
      </c>
      <c r="E325" s="939">
        <v>89969.0</v>
      </c>
      <c r="F325" s="942" t="s">
        <v>218</v>
      </c>
      <c r="G325" s="421" t="str">
        <f>IFERROR(IF(F325="SINAPI-S",VLOOKUP(E325,'20-B.SINAPI-S'!A:J,2,0),IF(F325="SINAPI-I",VLOOKUP(E325,'20-A.SINAPI-I'!A:G,2,0),IF(F325="COMP.EVENTUAL",VLOOKUP(E325,'11.COMPOSIÇÕES GERAIS'!B:I,2,0),VLOOKUP(E325,'12.COT.MERCADO'!A:I,2,0)))),"Em Elaboração")</f>
        <v>KIT DE REGISTRO DE PRESSÃO BRUTO DE LATÃO ½", INCLUSIVE CONEXÕES,  ROSCÁVEL, INSTALADO EM RAMAL DE ÁGUA FRIA - FORNECIMENTO E INSTALAÇÃO. AF_12/2014</v>
      </c>
      <c r="H325" s="934" t="str">
        <f>IFERROR(IF(F325="SINAPI-S",VLOOKUP(E325,'20-B.SINAPI-S'!A:J,3,0),IF(F325="SINAPI-I",VLOOKUP(E325,'20-A.SINAPI-I'!A:G,3,0),IF(F325="COMP.EVENTUAL",VLOOKUP(E325,'11.COMPOSIÇÕES GERAIS'!B:I,3,0),VLOOKUP(E325,'12.COT.MERCADO'!A:I,7,0)))),"Em Elaboração")</f>
        <v>UN</v>
      </c>
      <c r="I325" s="939">
        <v>1.0</v>
      </c>
    </row>
    <row r="326">
      <c r="A326" s="931" t="s">
        <v>4746</v>
      </c>
      <c r="B326" s="931" t="s">
        <v>4798</v>
      </c>
      <c r="C326" s="932" t="s">
        <v>4274</v>
      </c>
      <c r="D326" s="933" t="s">
        <v>4799</v>
      </c>
      <c r="E326" s="939">
        <v>100903.0</v>
      </c>
      <c r="F326" s="937" t="s">
        <v>218</v>
      </c>
      <c r="G326" s="421" t="str">
        <f>IFERROR(IF(F326="SINAPI-S",VLOOKUP(E326,'20-B.SINAPI-S'!A:J,2,0),IF(F326="SINAPI-I",VLOOKUP(E326,'20-A.SINAPI-I'!A:G,2,0),IF(F326="COMP.EVENTUAL",VLOOKUP(E326,'11.COMPOSIÇÕES GERAIS'!B:I,2,0),VLOOKUP(E326,'12.COT.MERCADO'!A:I,2,0)))),"Em Elaboração")</f>
        <v>LÂMPADA TUBULAR LED DE 18/20 W, BASE G13 - FORNECIMENTO E INSTALAÇÃO. AF_02/2020_PS</v>
      </c>
      <c r="H326" s="934" t="str">
        <f>IFERROR(IF(F326="SINAPI-S",VLOOKUP(E326,'20-B.SINAPI-S'!A:J,3,0),IF(F326="SINAPI-I",VLOOKUP(E326,'20-A.SINAPI-I'!A:G,3,0),IF(F326="COMP.EVENTUAL",VLOOKUP(E326,'11.COMPOSIÇÕES GERAIS'!B:I,3,0),VLOOKUP(E326,'12.COT.MERCADO'!A:I,7,0)))),"Em Elaboração")</f>
        <v>UN</v>
      </c>
      <c r="I326" s="940">
        <v>2.0</v>
      </c>
    </row>
    <row r="327">
      <c r="A327" s="931" t="s">
        <v>4746</v>
      </c>
      <c r="B327" s="931" t="s">
        <v>4798</v>
      </c>
      <c r="C327" s="932" t="s">
        <v>4274</v>
      </c>
      <c r="D327" s="933" t="s">
        <v>4759</v>
      </c>
      <c r="E327" s="939">
        <v>91995.0</v>
      </c>
      <c r="F327" s="937" t="s">
        <v>218</v>
      </c>
      <c r="G327" s="421" t="str">
        <f>IFERROR(IF(F327="SINAPI-S",VLOOKUP(E327,'20-B.SINAPI-S'!A:J,2,0),IF(F327="SINAPI-I",VLOOKUP(E327,'20-A.SINAPI-I'!A:G,2,0),IF(F327="COMP.EVENTUAL",VLOOKUP(E327,'11.COMPOSIÇÕES GERAIS'!B:I,2,0),VLOOKUP(E327,'12.COT.MERCADO'!A:I,2,0)))),"Em Elaboração")</f>
        <v>TOMADA MÉDIA DE EMBUTIR (1 MÓDULO), 2P+T 20 A, SEM SUPORTE E SEM PLACA - FORNECIMENTO E INSTALAÇÃO. AF_03/2023</v>
      </c>
      <c r="H327" s="934" t="str">
        <f>IFERROR(IF(F327="SINAPI-S",VLOOKUP(E327,'20-B.SINAPI-S'!A:J,3,0),IF(F327="SINAPI-I",VLOOKUP(E327,'20-A.SINAPI-I'!A:G,3,0),IF(F327="COMP.EVENTUAL",VLOOKUP(E327,'11.COMPOSIÇÕES GERAIS'!B:I,3,0),VLOOKUP(E327,'12.COT.MERCADO'!A:I,7,0)))),"Em Elaboração")</f>
        <v>UN</v>
      </c>
      <c r="I327" s="939">
        <v>3.0</v>
      </c>
    </row>
    <row r="328">
      <c r="A328" s="931" t="s">
        <v>4746</v>
      </c>
      <c r="B328" s="931" t="s">
        <v>4800</v>
      </c>
      <c r="C328" s="932" t="s">
        <v>4306</v>
      </c>
      <c r="D328" s="933" t="s">
        <v>4796</v>
      </c>
      <c r="E328" s="939">
        <v>100849.0</v>
      </c>
      <c r="F328" s="937" t="s">
        <v>218</v>
      </c>
      <c r="G328" s="421" t="str">
        <f>IFERROR(IF(F328="SINAPI-S",VLOOKUP(E328,'20-B.SINAPI-S'!A:J,2,0),IF(F328="SINAPI-I",VLOOKUP(E328,'20-A.SINAPI-I'!A:G,2,0),IF(F328="COMP.EVENTUAL",VLOOKUP(E328,'11.COMPOSIÇÕES GERAIS'!B:I,2,0),VLOOKUP(E328,'12.COT.MERCADO'!A:I,2,0)))),"Em Elaboração")</f>
        <v>ASSENTO SANITÁRIO CONVENCIONAL - FORNECIMENTO E INSTALACAO. AF_01/2020</v>
      </c>
      <c r="H328" s="934" t="str">
        <f>IFERROR(IF(F328="SINAPI-S",VLOOKUP(E328,'20-B.SINAPI-S'!A:J,3,0),IF(F328="SINAPI-I",VLOOKUP(E328,'20-A.SINAPI-I'!A:G,3,0),IF(F328="COMP.EVENTUAL",VLOOKUP(E328,'11.COMPOSIÇÕES GERAIS'!B:I,3,0),VLOOKUP(E328,'12.COT.MERCADO'!A:I,7,0)))),"Em Elaboração")</f>
        <v>UN</v>
      </c>
      <c r="I328" s="939">
        <v>1.0</v>
      </c>
    </row>
    <row r="329">
      <c r="A329" s="931" t="s">
        <v>4746</v>
      </c>
      <c r="B329" s="931" t="s">
        <v>4800</v>
      </c>
      <c r="C329" s="932" t="s">
        <v>4297</v>
      </c>
      <c r="D329" s="933" t="s">
        <v>4801</v>
      </c>
      <c r="E329" s="939">
        <v>95545.0</v>
      </c>
      <c r="F329" s="937" t="s">
        <v>218</v>
      </c>
      <c r="G329" s="421" t="str">
        <f>IFERROR(IF(F329="SINAPI-S",VLOOKUP(E329,'20-B.SINAPI-S'!A:J,2,0),IF(F329="SINAPI-I",VLOOKUP(E329,'20-A.SINAPI-I'!A:G,2,0),IF(F329="COMP.EVENTUAL",VLOOKUP(E329,'11.COMPOSIÇÕES GERAIS'!B:I,2,0),VLOOKUP(E329,'12.COT.MERCADO'!A:I,2,0)))),"Em Elaboração")</f>
        <v>SABONETEIRA DE PAREDE EM METAL CROMADO, INCLUSO FIXAÇÃO. AF_01/2020</v>
      </c>
      <c r="H329" s="934" t="str">
        <f>IFERROR(IF(F329="SINAPI-S",VLOOKUP(E329,'20-B.SINAPI-S'!A:J,3,0),IF(F329="SINAPI-I",VLOOKUP(E329,'20-A.SINAPI-I'!A:G,3,0),IF(F329="COMP.EVENTUAL",VLOOKUP(E329,'11.COMPOSIÇÕES GERAIS'!B:I,3,0),VLOOKUP(E329,'12.COT.MERCADO'!A:I,7,0)))),"Em Elaboração")</f>
        <v>UN</v>
      </c>
      <c r="I329" s="939">
        <v>1.0</v>
      </c>
    </row>
    <row r="330">
      <c r="A330" s="931" t="s">
        <v>4746</v>
      </c>
      <c r="B330" s="931" t="s">
        <v>4802</v>
      </c>
      <c r="C330" s="932" t="s">
        <v>4274</v>
      </c>
      <c r="D330" s="933" t="s">
        <v>4803</v>
      </c>
      <c r="E330" s="939">
        <v>100903.0</v>
      </c>
      <c r="F330" s="937" t="s">
        <v>218</v>
      </c>
      <c r="G330" s="421" t="str">
        <f>IFERROR(IF(F330="SINAPI-S",VLOOKUP(E330,'20-B.SINAPI-S'!A:J,2,0),IF(F330="SINAPI-I",VLOOKUP(E330,'20-A.SINAPI-I'!A:G,2,0),IF(F330="COMP.EVENTUAL",VLOOKUP(E330,'11.COMPOSIÇÕES GERAIS'!B:I,2,0),VLOOKUP(E330,'12.COT.MERCADO'!A:I,2,0)))),"Em Elaboração")</f>
        <v>LÂMPADA TUBULAR LED DE 18/20 W, BASE G13 - FORNECIMENTO E INSTALAÇÃO. AF_02/2020_PS</v>
      </c>
      <c r="H330" s="934" t="str">
        <f>IFERROR(IF(F330="SINAPI-S",VLOOKUP(E330,'20-B.SINAPI-S'!A:J,3,0),IF(F330="SINAPI-I",VLOOKUP(E330,'20-A.SINAPI-I'!A:G,3,0),IF(F330="COMP.EVENTUAL",VLOOKUP(E330,'11.COMPOSIÇÕES GERAIS'!B:I,3,0),VLOOKUP(E330,'12.COT.MERCADO'!A:I,7,0)))),"Em Elaboração")</f>
        <v>UN</v>
      </c>
      <c r="I330" s="940">
        <v>2.0</v>
      </c>
    </row>
    <row r="331">
      <c r="A331" s="931" t="s">
        <v>4746</v>
      </c>
      <c r="B331" s="931" t="s">
        <v>4804</v>
      </c>
      <c r="C331" s="932" t="s">
        <v>4306</v>
      </c>
      <c r="D331" s="933" t="s">
        <v>4805</v>
      </c>
      <c r="E331" s="940">
        <v>86916.0</v>
      </c>
      <c r="F331" s="937" t="s">
        <v>218</v>
      </c>
      <c r="G331" s="421" t="str">
        <f>IFERROR(IF(F331="SINAPI-S",VLOOKUP(E331,'20-B.SINAPI-S'!A:J,2,0),IF(F331="SINAPI-I",VLOOKUP(E331,'20-A.SINAPI-I'!A:G,2,0),IF(F331="COMP.EVENTUAL",VLOOKUP(E331,'11.COMPOSIÇÕES GERAIS'!B:I,2,0),VLOOKUP(E331,'12.COT.MERCADO'!A:I,2,0)))),"Em Elaboração")</f>
        <v>TORNEIRA PLÁSTICA 3/4_x0094_ PARA TANQUE - FORNECIMENTO E INSTALAÇÃO. AF_01/2020</v>
      </c>
      <c r="H331" s="934" t="str">
        <f>IFERROR(IF(F331="SINAPI-S",VLOOKUP(E331,'20-B.SINAPI-S'!A:J,3,0),IF(F331="SINAPI-I",VLOOKUP(E331,'20-A.SINAPI-I'!A:G,3,0),IF(F331="COMP.EVENTUAL",VLOOKUP(E331,'11.COMPOSIÇÕES GERAIS'!B:I,3,0),VLOOKUP(E331,'12.COT.MERCADO'!A:I,7,0)))),"Em Elaboração")</f>
        <v>UN</v>
      </c>
      <c r="I331" s="939">
        <v>1.0</v>
      </c>
    </row>
    <row r="332">
      <c r="A332" s="931" t="s">
        <v>4746</v>
      </c>
      <c r="B332" s="931" t="s">
        <v>4806</v>
      </c>
      <c r="C332" s="932" t="s">
        <v>4274</v>
      </c>
      <c r="D332" s="933" t="s">
        <v>4759</v>
      </c>
      <c r="E332" s="939">
        <v>91995.0</v>
      </c>
      <c r="F332" s="937" t="s">
        <v>218</v>
      </c>
      <c r="G332" s="421" t="str">
        <f>IFERROR(IF(F332="SINAPI-S",VLOOKUP(E332,'20-B.SINAPI-S'!A:J,2,0),IF(F332="SINAPI-I",VLOOKUP(E332,'20-A.SINAPI-I'!A:G,2,0),IF(F332="COMP.EVENTUAL",VLOOKUP(E332,'11.COMPOSIÇÕES GERAIS'!B:I,2,0),VLOOKUP(E332,'12.COT.MERCADO'!A:I,2,0)))),"Em Elaboração")</f>
        <v>TOMADA MÉDIA DE EMBUTIR (1 MÓDULO), 2P+T 20 A, SEM SUPORTE E SEM PLACA - FORNECIMENTO E INSTALAÇÃO. AF_03/2023</v>
      </c>
      <c r="H332" s="934" t="str">
        <f>IFERROR(IF(F332="SINAPI-S",VLOOKUP(E332,'20-B.SINAPI-S'!A:J,3,0),IF(F332="SINAPI-I",VLOOKUP(E332,'20-A.SINAPI-I'!A:G,3,0),IF(F332="COMP.EVENTUAL",VLOOKUP(E332,'11.COMPOSIÇÕES GERAIS'!B:I,3,0),VLOOKUP(E332,'12.COT.MERCADO'!A:I,7,0)))),"Em Elaboração")</f>
        <v>UN</v>
      </c>
      <c r="I332" s="939">
        <v>1.0</v>
      </c>
    </row>
    <row r="333">
      <c r="A333" s="931" t="s">
        <v>4746</v>
      </c>
      <c r="B333" s="931" t="s">
        <v>4807</v>
      </c>
      <c r="C333" s="932" t="s">
        <v>4274</v>
      </c>
      <c r="D333" s="933" t="s">
        <v>4757</v>
      </c>
      <c r="E333" s="939">
        <v>100903.0</v>
      </c>
      <c r="F333" s="937" t="s">
        <v>218</v>
      </c>
      <c r="G333" s="421" t="str">
        <f>IFERROR(IF(F333="SINAPI-S",VLOOKUP(E333,'20-B.SINAPI-S'!A:J,2,0),IF(F333="SINAPI-I",VLOOKUP(E333,'20-A.SINAPI-I'!A:G,2,0),IF(F333="COMP.EVENTUAL",VLOOKUP(E333,'11.COMPOSIÇÕES GERAIS'!B:I,2,0),VLOOKUP(E333,'12.COT.MERCADO'!A:I,2,0)))),"Em Elaboração")</f>
        <v>LÂMPADA TUBULAR LED DE 18/20 W, BASE G13 - FORNECIMENTO E INSTALAÇÃO. AF_02/2020_PS</v>
      </c>
      <c r="H333" s="934" t="str">
        <f>IFERROR(IF(F333="SINAPI-S",VLOOKUP(E333,'20-B.SINAPI-S'!A:J,3,0),IF(F333="SINAPI-I",VLOOKUP(E333,'20-A.SINAPI-I'!A:G,3,0),IF(F333="COMP.EVENTUAL",VLOOKUP(E333,'11.COMPOSIÇÕES GERAIS'!B:I,3,0),VLOOKUP(E333,'12.COT.MERCADO'!A:I,7,0)))),"Em Elaboração")</f>
        <v>UN</v>
      </c>
      <c r="I333" s="939">
        <v>2.0</v>
      </c>
    </row>
    <row r="334">
      <c r="A334" s="931" t="s">
        <v>4746</v>
      </c>
      <c r="B334" s="931" t="s">
        <v>4808</v>
      </c>
      <c r="C334" s="932" t="s">
        <v>4306</v>
      </c>
      <c r="D334" s="933" t="s">
        <v>4809</v>
      </c>
      <c r="E334" s="940">
        <v>86916.0</v>
      </c>
      <c r="F334" s="937" t="s">
        <v>218</v>
      </c>
      <c r="G334" s="421" t="str">
        <f>IFERROR(IF(F334="SINAPI-S",VLOOKUP(E334,'20-B.SINAPI-S'!A:J,2,0),IF(F334="SINAPI-I",VLOOKUP(E334,'20-A.SINAPI-I'!A:G,2,0),IF(F334="COMP.EVENTUAL",VLOOKUP(E334,'11.COMPOSIÇÕES GERAIS'!B:I,2,0),VLOOKUP(E334,'12.COT.MERCADO'!A:I,2,0)))),"Em Elaboração")</f>
        <v>TORNEIRA PLÁSTICA 3/4_x0094_ PARA TANQUE - FORNECIMENTO E INSTALAÇÃO. AF_01/2020</v>
      </c>
      <c r="H334" s="934" t="str">
        <f>IFERROR(IF(F334="SINAPI-S",VLOOKUP(E334,'20-B.SINAPI-S'!A:J,3,0),IF(F334="SINAPI-I",VLOOKUP(E334,'20-A.SINAPI-I'!A:G,3,0),IF(F334="COMP.EVENTUAL",VLOOKUP(E334,'11.COMPOSIÇÕES GERAIS'!B:I,3,0),VLOOKUP(E334,'12.COT.MERCADO'!A:I,7,0)))),"Em Elaboração")</f>
        <v>UN</v>
      </c>
      <c r="I334" s="939">
        <v>1.0</v>
      </c>
    </row>
    <row r="335">
      <c r="A335" s="931" t="s">
        <v>4746</v>
      </c>
      <c r="B335" s="931" t="s">
        <v>4810</v>
      </c>
      <c r="C335" s="932" t="s">
        <v>4274</v>
      </c>
      <c r="D335" s="933" t="s">
        <v>4811</v>
      </c>
      <c r="E335" s="939">
        <v>100903.0</v>
      </c>
      <c r="F335" s="937" t="s">
        <v>218</v>
      </c>
      <c r="G335" s="421" t="str">
        <f>IFERROR(IF(F335="SINAPI-S",VLOOKUP(E335,'20-B.SINAPI-S'!A:J,2,0),IF(F335="SINAPI-I",VLOOKUP(E335,'20-A.SINAPI-I'!A:G,2,0),IF(F335="COMP.EVENTUAL",VLOOKUP(E335,'11.COMPOSIÇÕES GERAIS'!B:I,2,0),VLOOKUP(E335,'12.COT.MERCADO'!A:I,2,0)))),"Em Elaboração")</f>
        <v>LÂMPADA TUBULAR LED DE 18/20 W, BASE G13 - FORNECIMENTO E INSTALAÇÃO. AF_02/2020_PS</v>
      </c>
      <c r="H335" s="934" t="str">
        <f>IFERROR(IF(F335="SINAPI-S",VLOOKUP(E335,'20-B.SINAPI-S'!A:J,3,0),IF(F335="SINAPI-I",VLOOKUP(E335,'20-A.SINAPI-I'!A:G,3,0),IF(F335="COMP.EVENTUAL",VLOOKUP(E335,'11.COMPOSIÇÕES GERAIS'!B:I,3,0),VLOOKUP(E335,'12.COT.MERCADO'!A:I,7,0)))),"Em Elaboração")</f>
        <v>UN</v>
      </c>
      <c r="I335" s="939">
        <v>4.0</v>
      </c>
    </row>
    <row r="336">
      <c r="A336" s="931" t="s">
        <v>4746</v>
      </c>
      <c r="B336" s="931" t="s">
        <v>4812</v>
      </c>
      <c r="C336" s="932" t="s">
        <v>4297</v>
      </c>
      <c r="D336" s="933" t="s">
        <v>4813</v>
      </c>
      <c r="E336" s="939">
        <v>88488.0</v>
      </c>
      <c r="F336" s="937" t="s">
        <v>218</v>
      </c>
      <c r="G336" s="421" t="str">
        <f>IFERROR(IF(F336="SINAPI-S",VLOOKUP(E336,'20-B.SINAPI-S'!A:J,2,0),IF(F336="SINAPI-I",VLOOKUP(E336,'20-A.SINAPI-I'!A:G,2,0),IF(F336="COMP.EVENTUAL",VLOOKUP(E336,'11.COMPOSIÇÕES GERAIS'!B:I,2,0),VLOOKUP(E336,'12.COT.MERCADO'!A:I,2,0)))),"Em Elaboração")</f>
        <v>PINTURA LÁTEX ACRÍLICA PREMIUM, APLICAÇÃO MANUAL EM TETO, DUAS DEMÃOS. AF_04/2023</v>
      </c>
      <c r="H336" s="934" t="str">
        <f>IFERROR(IF(F336="SINAPI-S",VLOOKUP(E336,'20-B.SINAPI-S'!A:J,3,0),IF(F336="SINAPI-I",VLOOKUP(E336,'20-A.SINAPI-I'!A:G,3,0),IF(F336="COMP.EVENTUAL",VLOOKUP(E336,'11.COMPOSIÇÕES GERAIS'!B:I,3,0),VLOOKUP(E336,'12.COT.MERCADO'!A:I,7,0)))),"Em Elaboração")</f>
        <v>M2</v>
      </c>
      <c r="I336" s="940">
        <v>4.0</v>
      </c>
    </row>
    <row r="337">
      <c r="A337" s="931" t="s">
        <v>4814</v>
      </c>
      <c r="B337" s="931" t="s">
        <v>4815</v>
      </c>
      <c r="C337" s="932" t="s">
        <v>4274</v>
      </c>
      <c r="D337" s="933" t="s">
        <v>4816</v>
      </c>
      <c r="E337" s="939" t="s">
        <v>1912</v>
      </c>
      <c r="F337" s="935" t="s">
        <v>4276</v>
      </c>
      <c r="G337" s="421" t="str">
        <f>IFERROR(IF(F337="SINAPI-S",VLOOKUP(E337,'20-B.SINAPI-S'!A:J,2,0),IF(F337="SINAPI-I",VLOOKUP(E337,'20-A.SINAPI-I'!A:G,2,0),IF(F337="COMP.EVENTUAL",VLOOKUP(E337,'11.COMPOSIÇÕES GERAIS'!B:I,2,0),VLOOKUP(E337,'12.COT.MERCADO'!A:I,2,0)))),"Em Elaboração")</f>
        <v>FORNECIMENTO E INSTALAÇÃO DE REFLETOR LED 400W, CORPO DE ALUMÍNIO, VIDRO TEMPERADO, BIVOLT, TEMP. COR BRANCO FRIO COM PROTEÇÃO IP-67</v>
      </c>
      <c r="H337" s="934" t="str">
        <f>IFERROR(IF(F337="SINAPI-S",VLOOKUP(E337,'20-B.SINAPI-S'!A:J,3,0),IF(F337="SINAPI-I",VLOOKUP(E337,'20-A.SINAPI-I'!A:G,3,0),IF(F337="COMP.EVENTUAL",VLOOKUP(E337,'11.COMPOSIÇÕES GERAIS'!B:I,3,0),VLOOKUP(E337,'12.COT.MERCADO'!A:I,7,0)))),"Em Elaboração")</f>
        <v>UN</v>
      </c>
      <c r="I337" s="939">
        <v>3.0</v>
      </c>
    </row>
    <row r="338">
      <c r="A338" s="931" t="s">
        <v>4814</v>
      </c>
      <c r="B338" s="931" t="s">
        <v>4817</v>
      </c>
      <c r="C338" s="932" t="s">
        <v>4297</v>
      </c>
      <c r="D338" s="933" t="s">
        <v>4818</v>
      </c>
      <c r="E338" s="939" t="s">
        <v>1816</v>
      </c>
      <c r="F338" s="935" t="s">
        <v>4276</v>
      </c>
      <c r="G338" s="421" t="str">
        <f>IFERROR(IF(F338="SINAPI-S",VLOOKUP(E338,'20-B.SINAPI-S'!A:J,2,0),IF(F338="SINAPI-I",VLOOKUP(E338,'20-A.SINAPI-I'!A:G,2,0),IF(F338="COMP.EVENTUAL",VLOOKUP(E338,'11.COMPOSIÇÕES GERAIS'!B:I,2,0),VLOOKUP(E338,'12.COT.MERCADO'!A:I,2,0)))),"Em Elaboração")</f>
        <v>FORNECIMENTO E INSTALAÇÃO DE PLACA DE SINALIZAÇÃO FOTOLUMINOSCENTE 13x26CM</v>
      </c>
      <c r="H338" s="934" t="str">
        <f>IFERROR(IF(F338="SINAPI-S",VLOOKUP(E338,'20-B.SINAPI-S'!A:J,3,0),IF(F338="SINAPI-I",VLOOKUP(E338,'20-A.SINAPI-I'!A:G,3,0),IF(F338="COMP.EVENTUAL",VLOOKUP(E338,'11.COMPOSIÇÕES GERAIS'!B:I,3,0),VLOOKUP(E338,'12.COT.MERCADO'!A:I,7,0)))),"Em Elaboração")</f>
        <v>UN</v>
      </c>
      <c r="I338" s="940">
        <v>8.0</v>
      </c>
    </row>
    <row r="339">
      <c r="A339" s="931" t="s">
        <v>4814</v>
      </c>
      <c r="B339" s="931" t="s">
        <v>4819</v>
      </c>
      <c r="C339" s="932" t="s">
        <v>4297</v>
      </c>
      <c r="D339" s="933" t="s">
        <v>4820</v>
      </c>
      <c r="E339" s="939">
        <v>103304.0</v>
      </c>
      <c r="F339" s="937" t="s">
        <v>218</v>
      </c>
      <c r="G339" s="421" t="str">
        <f>IFERROR(IF(F339="SINAPI-S",VLOOKUP(E339,'20-B.SINAPI-S'!A:J,2,0),IF(F339="SINAPI-I",VLOOKUP(E339,'20-A.SINAPI-I'!A:G,2,0),IF(F339="COMP.EVENTUAL",VLOOKUP(E339,'11.COMPOSIÇÕES GERAIS'!B:I,2,0),VLOOKUP(E339,'12.COT.MERCADO'!A:I,2,0)))),"Em Elaboração")</f>
        <v>INSTALAÇÃO DE BANCO METÁLICO COM ENCOSTO, 1,60 M DE COMPRIMENTO, EM TUBO DE AÇO CARBONO COM PINTURA ELETROSTÁTICA, SOBRE PISO DE CONCRETO EXISTENTE. AF_11/2021</v>
      </c>
      <c r="H339" s="934" t="str">
        <f>IFERROR(IF(F339="SINAPI-S",VLOOKUP(E339,'20-B.SINAPI-S'!A:J,3,0),IF(F339="SINAPI-I",VLOOKUP(E339,'20-A.SINAPI-I'!A:G,3,0),IF(F339="COMP.EVENTUAL",VLOOKUP(E339,'11.COMPOSIÇÕES GERAIS'!B:I,3,0),VLOOKUP(E339,'12.COT.MERCADO'!A:I,7,0)))),"Em Elaboração")</f>
        <v>UN</v>
      </c>
      <c r="I339" s="939">
        <v>1.0</v>
      </c>
    </row>
    <row r="340">
      <c r="A340" s="931" t="s">
        <v>4814</v>
      </c>
      <c r="B340" s="931" t="s">
        <v>4821</v>
      </c>
      <c r="C340" s="932" t="s">
        <v>4297</v>
      </c>
      <c r="D340" s="933" t="s">
        <v>4822</v>
      </c>
      <c r="E340" s="939" t="s">
        <v>1893</v>
      </c>
      <c r="F340" s="935" t="s">
        <v>4276</v>
      </c>
      <c r="G340" s="421" t="str">
        <f>IFERROR(IF(F340="SINAPI-S",VLOOKUP(E340,'20-B.SINAPI-S'!A:J,2,0),IF(F340="SINAPI-I",VLOOKUP(E340,'20-A.SINAPI-I'!A:G,2,0),IF(F340="COMP.EVENTUAL",VLOOKUP(E340,'11.COMPOSIÇÕES GERAIS'!B:I,2,0),VLOOKUP(E340,'12.COT.MERCADO'!A:I,2,0)))),"Em Elaboração")</f>
        <v>ESCADA DO TIPO MARINHEIRO EM AÇO GALVANIZADO COM PROTEÇÃO </v>
      </c>
      <c r="H340" s="934" t="str">
        <f>IFERROR(IF(F340="SINAPI-S",VLOOKUP(E340,'20-B.SINAPI-S'!A:J,3,0),IF(F340="SINAPI-I",VLOOKUP(E340,'20-A.SINAPI-I'!A:G,3,0),IF(F340="COMP.EVENTUAL",VLOOKUP(E340,'11.COMPOSIÇÕES GERAIS'!B:I,3,0),VLOOKUP(E340,'12.COT.MERCADO'!A:I,7,0)))),"Em Elaboração")</f>
        <v>M</v>
      </c>
      <c r="I340" s="939">
        <v>2.0</v>
      </c>
    </row>
    <row r="341">
      <c r="A341" s="931" t="s">
        <v>4814</v>
      </c>
      <c r="B341" s="931" t="s">
        <v>4823</v>
      </c>
      <c r="C341" s="932" t="s">
        <v>4297</v>
      </c>
      <c r="D341" s="933" t="s">
        <v>4824</v>
      </c>
      <c r="E341" s="939">
        <v>102167.0</v>
      </c>
      <c r="F341" s="937" t="s">
        <v>218</v>
      </c>
      <c r="G341" s="421" t="str">
        <f>IFERROR(IF(F341="SINAPI-S",VLOOKUP(E341,'20-B.SINAPI-S'!A:J,2,0),IF(F341="SINAPI-I",VLOOKUP(E341,'20-A.SINAPI-I'!A:G,2,0),IF(F341="COMP.EVENTUAL",VLOOKUP(E341,'11.COMPOSIÇÕES GERAIS'!B:I,2,0),VLOOKUP(E341,'12.COT.MERCADO'!A:I,2,0)))),"Em Elaboração")</f>
        <v>INSTALAÇÃO DE VIDRO LISO FUME, E = 6 MM, EM ESQUADRIA DE ALUMÍNIO OU PVC, FIXADO COM BAGUETE. AF_01/2021_PS</v>
      </c>
      <c r="H341" s="934" t="str">
        <f>IFERROR(IF(F341="SINAPI-S",VLOOKUP(E341,'20-B.SINAPI-S'!A:J,3,0),IF(F341="SINAPI-I",VLOOKUP(E341,'20-A.SINAPI-I'!A:G,3,0),IF(F341="COMP.EVENTUAL",VLOOKUP(E341,'11.COMPOSIÇÕES GERAIS'!B:I,3,0),VLOOKUP(E341,'12.COT.MERCADO'!A:I,7,0)))),"Em Elaboração")</f>
        <v>M2</v>
      </c>
      <c r="I341" s="940">
        <v>2.0</v>
      </c>
    </row>
    <row r="342">
      <c r="A342" s="931" t="s">
        <v>4814</v>
      </c>
      <c r="B342" s="931" t="s">
        <v>4825</v>
      </c>
      <c r="C342" s="932" t="s">
        <v>4297</v>
      </c>
      <c r="D342" s="933" t="s">
        <v>4826</v>
      </c>
      <c r="E342" s="939">
        <v>98397.0</v>
      </c>
      <c r="F342" s="937" t="s">
        <v>218</v>
      </c>
      <c r="G342" s="421" t="str">
        <f>IFERROR(IF(F342="SINAPI-S",VLOOKUP(E342,'20-B.SINAPI-S'!A:J,2,0),IF(F342="SINAPI-I",VLOOKUP(E342,'20-A.SINAPI-I'!A:G,2,0),IF(F342="COMP.EVENTUAL",VLOOKUP(E342,'11.COMPOSIÇÕES GERAIS'!B:I,2,0),VLOOKUP(E342,'12.COT.MERCADO'!A:I,2,0)))),"Em Elaboração")</f>
        <v>PINTURA ANTICORROSIVA DE DUTO METÁLICO. AF_04/2018</v>
      </c>
      <c r="H342" s="934" t="str">
        <f>IFERROR(IF(F342="SINAPI-S",VLOOKUP(E342,'20-B.SINAPI-S'!A:J,3,0),IF(F342="SINAPI-I",VLOOKUP(E342,'20-A.SINAPI-I'!A:G,3,0),IF(F342="COMP.EVENTUAL",VLOOKUP(E342,'11.COMPOSIÇÕES GERAIS'!B:I,3,0),VLOOKUP(E342,'12.COT.MERCADO'!A:I,7,0)))),"Em Elaboração")</f>
        <v>M2</v>
      </c>
      <c r="I342" s="939">
        <v>3.0</v>
      </c>
    </row>
    <row r="343">
      <c r="A343" s="931" t="s">
        <v>4814</v>
      </c>
      <c r="B343" s="931" t="s">
        <v>4827</v>
      </c>
      <c r="C343" s="932" t="s">
        <v>4297</v>
      </c>
      <c r="D343" s="933" t="s">
        <v>4828</v>
      </c>
      <c r="E343" s="939" t="s">
        <v>1834</v>
      </c>
      <c r="F343" s="935" t="s">
        <v>4276</v>
      </c>
      <c r="G343" s="421" t="str">
        <f>IFERROR(IF(F343="SINAPI-S",VLOOKUP(E343,'20-B.SINAPI-S'!A:J,2,0),IF(F343="SINAPI-I",VLOOKUP(E343,'20-A.SINAPI-I'!A:G,2,0),IF(F343="COMP.EVENTUAL",VLOOKUP(E343,'11.COMPOSIÇÕES GERAIS'!B:I,2,0),VLOOKUP(E343,'12.COT.MERCADO'!A:I,2,0)))),"Em Elaboração")</f>
        <v>VEDAÇÃO DE ELEMENTOS COM SILICONE PASTOSO</v>
      </c>
      <c r="H343" s="934" t="str">
        <f>IFERROR(IF(F343="SINAPI-S",VLOOKUP(E343,'20-B.SINAPI-S'!A:J,3,0),IF(F343="SINAPI-I",VLOOKUP(E343,'20-A.SINAPI-I'!A:G,3,0),IF(F343="COMP.EVENTUAL",VLOOKUP(E343,'11.COMPOSIÇÕES GERAIS'!B:I,3,0),VLOOKUP(E343,'12.COT.MERCADO'!A:I,7,0)))),"Em Elaboração")</f>
        <v>M</v>
      </c>
      <c r="I343" s="940">
        <v>6.0</v>
      </c>
    </row>
    <row r="344">
      <c r="A344" s="931" t="s">
        <v>4814</v>
      </c>
      <c r="B344" s="931" t="s">
        <v>4827</v>
      </c>
      <c r="C344" s="932" t="s">
        <v>4297</v>
      </c>
      <c r="D344" s="933" t="s">
        <v>4829</v>
      </c>
      <c r="E344" s="939">
        <v>102156.0</v>
      </c>
      <c r="F344" s="937" t="s">
        <v>218</v>
      </c>
      <c r="G344" s="421" t="str">
        <f>IFERROR(IF(F344="SINAPI-S",VLOOKUP(E344,'20-B.SINAPI-S'!A:J,2,0),IF(F344="SINAPI-I",VLOOKUP(E344,'20-A.SINAPI-I'!A:G,2,0),IF(F344="COMP.EVENTUAL",VLOOKUP(E344,'11.COMPOSIÇÕES GERAIS'!B:I,2,0),VLOOKUP(E344,'12.COT.MERCADO'!A:I,2,0)))),"Em Elaboração")</f>
        <v>INSTALAÇÃO DE VIDRO LISO INCOLOR, E = 6 MM, EM ESQUADRIA DE MADEIRA, FIXADO COM BAGUETE. AF_01/2021</v>
      </c>
      <c r="H344" s="934" t="str">
        <f>IFERROR(IF(F344="SINAPI-S",VLOOKUP(E344,'20-B.SINAPI-S'!A:J,3,0),IF(F344="SINAPI-I",VLOOKUP(E344,'20-A.SINAPI-I'!A:G,3,0),IF(F344="COMP.EVENTUAL",VLOOKUP(E344,'11.COMPOSIÇÕES GERAIS'!B:I,3,0),VLOOKUP(E344,'12.COT.MERCADO'!A:I,7,0)))),"Em Elaboração")</f>
        <v>M2</v>
      </c>
      <c r="I344" s="940">
        <v>2.0</v>
      </c>
    </row>
    <row r="345">
      <c r="A345" s="931" t="s">
        <v>4814</v>
      </c>
      <c r="B345" s="931" t="s">
        <v>4830</v>
      </c>
      <c r="C345" s="932" t="s">
        <v>4297</v>
      </c>
      <c r="D345" s="933" t="s">
        <v>4831</v>
      </c>
      <c r="E345" s="939" t="s">
        <v>1916</v>
      </c>
      <c r="F345" s="935" t="s">
        <v>4276</v>
      </c>
      <c r="G345" s="421" t="str">
        <f>IFERROR(IF(F345="SINAPI-S",VLOOKUP(E345,'20-B.SINAPI-S'!A:J,2,0),IF(F345="SINAPI-I",VLOOKUP(E345,'20-A.SINAPI-I'!A:G,2,0),IF(F345="COMP.EVENTUAL",VLOOKUP(E345,'11.COMPOSIÇÕES GERAIS'!B:I,2,0),VLOOKUP(E345,'12.COT.MERCADO'!A:I,2,0)))),"Em Elaboração")</f>
        <v>FORNECIMENTO E INSTALAÇÃO DE BOX PARA BANHEIRO EM ALUMÍNIO BRANCO E VIDRO TEMPERADO INCOLOR 8MM, INCLUSIVE FERRAGENS, COMPLETO</v>
      </c>
      <c r="H345" s="934" t="str">
        <f>IFERROR(IF(F345="SINAPI-S",VLOOKUP(E345,'20-B.SINAPI-S'!A:J,3,0),IF(F345="SINAPI-I",VLOOKUP(E345,'20-A.SINAPI-I'!A:G,3,0),IF(F345="COMP.EVENTUAL",VLOOKUP(E345,'11.COMPOSIÇÕES GERAIS'!B:I,3,0),VLOOKUP(E345,'12.COT.MERCADO'!A:I,7,0)))),"Em Elaboração")</f>
        <v>M2</v>
      </c>
      <c r="I345" s="940">
        <v>2.0</v>
      </c>
    </row>
    <row r="346">
      <c r="A346" s="931" t="s">
        <v>4814</v>
      </c>
      <c r="B346" s="931" t="s">
        <v>4830</v>
      </c>
      <c r="C346" s="932" t="s">
        <v>4274</v>
      </c>
      <c r="D346" s="933" t="s">
        <v>4832</v>
      </c>
      <c r="E346" s="939">
        <v>100860.0</v>
      </c>
      <c r="F346" s="937" t="s">
        <v>218</v>
      </c>
      <c r="G346" s="421" t="str">
        <f>IFERROR(IF(F346="SINAPI-S",VLOOKUP(E346,'20-B.SINAPI-S'!A:J,2,0),IF(F346="SINAPI-I",VLOOKUP(E346,'20-A.SINAPI-I'!A:G,2,0),IF(F346="COMP.EVENTUAL",VLOOKUP(E346,'11.COMPOSIÇÕES GERAIS'!B:I,2,0),VLOOKUP(E346,'12.COT.MERCADO'!A:I,2,0)))),"Em Elaboração")</f>
        <v>CHUVEIRO ELÉTRICO COMUM CORPO PLÁSTICO, TIPO DUCHA _x0096_ FORNECIMENTO E INSTALAÇÃO. AF_01/2020</v>
      </c>
      <c r="H346" s="934" t="str">
        <f>IFERROR(IF(F346="SINAPI-S",VLOOKUP(E346,'20-B.SINAPI-S'!A:J,3,0),IF(F346="SINAPI-I",VLOOKUP(E346,'20-A.SINAPI-I'!A:G,3,0),IF(F346="COMP.EVENTUAL",VLOOKUP(E346,'11.COMPOSIÇÕES GERAIS'!B:I,3,0),VLOOKUP(E346,'12.COT.MERCADO'!A:I,7,0)))),"Em Elaboração")</f>
        <v>UN</v>
      </c>
      <c r="I346" s="939">
        <v>1.0</v>
      </c>
    </row>
    <row r="347">
      <c r="A347" s="931" t="s">
        <v>4814</v>
      </c>
      <c r="B347" s="931" t="s">
        <v>4833</v>
      </c>
      <c r="C347" s="932" t="s">
        <v>4274</v>
      </c>
      <c r="D347" s="933" t="s">
        <v>4803</v>
      </c>
      <c r="E347" s="939">
        <v>100903.0</v>
      </c>
      <c r="F347" s="937" t="s">
        <v>218</v>
      </c>
      <c r="G347" s="421" t="str">
        <f>IFERROR(IF(F347="SINAPI-S",VLOOKUP(E347,'20-B.SINAPI-S'!A:J,2,0),IF(F347="SINAPI-I",VLOOKUP(E347,'20-A.SINAPI-I'!A:G,2,0),IF(F347="COMP.EVENTUAL",VLOOKUP(E347,'11.COMPOSIÇÕES GERAIS'!B:I,2,0),VLOOKUP(E347,'12.COT.MERCADO'!A:I,2,0)))),"Em Elaboração")</f>
        <v>LÂMPADA TUBULAR LED DE 18/20 W, BASE G13 - FORNECIMENTO E INSTALAÇÃO. AF_02/2020_PS</v>
      </c>
      <c r="H347" s="934" t="str">
        <f>IFERROR(IF(F347="SINAPI-S",VLOOKUP(E347,'20-B.SINAPI-S'!A:J,3,0),IF(F347="SINAPI-I",VLOOKUP(E347,'20-A.SINAPI-I'!A:G,3,0),IF(F347="COMP.EVENTUAL",VLOOKUP(E347,'11.COMPOSIÇÕES GERAIS'!B:I,3,0),VLOOKUP(E347,'12.COT.MERCADO'!A:I,7,0)))),"Em Elaboração")</f>
        <v>UN</v>
      </c>
      <c r="I347" s="939">
        <v>4.0</v>
      </c>
    </row>
    <row r="348">
      <c r="A348" s="931" t="s">
        <v>4814</v>
      </c>
      <c r="B348" s="931" t="s">
        <v>4834</v>
      </c>
      <c r="C348" s="932" t="s">
        <v>4274</v>
      </c>
      <c r="D348" s="933" t="s">
        <v>4835</v>
      </c>
      <c r="E348" s="939">
        <v>91958.0</v>
      </c>
      <c r="F348" s="937" t="s">
        <v>218</v>
      </c>
      <c r="G348" s="421" t="str">
        <f>IFERROR(IF(F348="SINAPI-S",VLOOKUP(E348,'20-B.SINAPI-S'!A:J,2,0),IF(F348="SINAPI-I",VLOOKUP(E348,'20-A.SINAPI-I'!A:G,2,0),IF(F348="COMP.EVENTUAL",VLOOKUP(E348,'11.COMPOSIÇÕES GERAIS'!B:I,2,0),VLOOKUP(E348,'12.COT.MERCADO'!A:I,2,0)))),"Em Elaboração")</f>
        <v>INTERRUPTOR SIMPLES (2 MÓDULOS), 10A/250V, SEM SUPORTE E SEM PLACA - FORNECIMENTO E INSTALAÇÃO. AF_03/2023</v>
      </c>
      <c r="H348" s="934" t="str">
        <f>IFERROR(IF(F348="SINAPI-S",VLOOKUP(E348,'20-B.SINAPI-S'!A:J,3,0),IF(F348="SINAPI-I",VLOOKUP(E348,'20-A.SINAPI-I'!A:G,3,0),IF(F348="COMP.EVENTUAL",VLOOKUP(E348,'11.COMPOSIÇÕES GERAIS'!B:I,3,0),VLOOKUP(E348,'12.COT.MERCADO'!A:I,7,0)))),"Em Elaboração")</f>
        <v>UN</v>
      </c>
      <c r="I348" s="939">
        <v>1.0</v>
      </c>
    </row>
    <row r="349">
      <c r="A349" s="931" t="s">
        <v>4814</v>
      </c>
      <c r="B349" s="931" t="s">
        <v>4836</v>
      </c>
      <c r="C349" s="932" t="s">
        <v>4274</v>
      </c>
      <c r="D349" s="933" t="s">
        <v>4803</v>
      </c>
      <c r="E349" s="939">
        <v>100903.0</v>
      </c>
      <c r="F349" s="937" t="s">
        <v>218</v>
      </c>
      <c r="G349" s="421" t="str">
        <f>IFERROR(IF(F349="SINAPI-S",VLOOKUP(E349,'20-B.SINAPI-S'!A:J,2,0),IF(F349="SINAPI-I",VLOOKUP(E349,'20-A.SINAPI-I'!A:G,2,0),IF(F349="COMP.EVENTUAL",VLOOKUP(E349,'11.COMPOSIÇÕES GERAIS'!B:I,2,0),VLOOKUP(E349,'12.COT.MERCADO'!A:I,2,0)))),"Em Elaboração")</f>
        <v>LÂMPADA TUBULAR LED DE 18/20 W, BASE G13 - FORNECIMENTO E INSTALAÇÃO. AF_02/2020_PS</v>
      </c>
      <c r="H349" s="934" t="str">
        <f>IFERROR(IF(F349="SINAPI-S",VLOOKUP(E349,'20-B.SINAPI-S'!A:J,3,0),IF(F349="SINAPI-I",VLOOKUP(E349,'20-A.SINAPI-I'!A:G,3,0),IF(F349="COMP.EVENTUAL",VLOOKUP(E349,'11.COMPOSIÇÕES GERAIS'!B:I,3,0),VLOOKUP(E349,'12.COT.MERCADO'!A:I,7,0)))),"Em Elaboração")</f>
        <v>UN</v>
      </c>
      <c r="I349" s="939">
        <v>2.0</v>
      </c>
    </row>
    <row r="350">
      <c r="A350" s="931" t="s">
        <v>4814</v>
      </c>
      <c r="B350" s="931" t="s">
        <v>4837</v>
      </c>
      <c r="C350" s="932" t="s">
        <v>4274</v>
      </c>
      <c r="D350" s="933" t="s">
        <v>4838</v>
      </c>
      <c r="E350" s="939">
        <v>88488.0</v>
      </c>
      <c r="F350" s="937" t="s">
        <v>218</v>
      </c>
      <c r="G350" s="421" t="str">
        <f>IFERROR(IF(F350="SINAPI-S",VLOOKUP(E350,'20-B.SINAPI-S'!A:J,2,0),IF(F350="SINAPI-I",VLOOKUP(E350,'20-A.SINAPI-I'!A:G,2,0),IF(F350="COMP.EVENTUAL",VLOOKUP(E350,'11.COMPOSIÇÕES GERAIS'!B:I,2,0),VLOOKUP(E350,'12.COT.MERCADO'!A:I,2,0)))),"Em Elaboração")</f>
        <v>PINTURA LÁTEX ACRÍLICA PREMIUM, APLICAÇÃO MANUAL EM TETO, DUAS DEMÃOS. AF_04/2023</v>
      </c>
      <c r="H350" s="934" t="str">
        <f>IFERROR(IF(F350="SINAPI-S",VLOOKUP(E350,'20-B.SINAPI-S'!A:J,3,0),IF(F350="SINAPI-I",VLOOKUP(E350,'20-A.SINAPI-I'!A:G,3,0),IF(F350="COMP.EVENTUAL",VLOOKUP(E350,'11.COMPOSIÇÕES GERAIS'!B:I,3,0),VLOOKUP(E350,'12.COT.MERCADO'!A:I,7,0)))),"Em Elaboração")</f>
        <v>M2</v>
      </c>
      <c r="I350" s="940">
        <v>40.0</v>
      </c>
    </row>
    <row r="351">
      <c r="A351" s="931" t="s">
        <v>4814</v>
      </c>
      <c r="B351" s="931" t="s">
        <v>4839</v>
      </c>
      <c r="C351" s="932" t="s">
        <v>4297</v>
      </c>
      <c r="D351" s="933" t="s">
        <v>4840</v>
      </c>
      <c r="E351" s="939">
        <v>98297.0</v>
      </c>
      <c r="F351" s="937" t="s">
        <v>218</v>
      </c>
      <c r="G351" s="421" t="str">
        <f>IFERROR(IF(F351="SINAPI-S",VLOOKUP(E351,'20-B.SINAPI-S'!A:J,2,0),IF(F351="SINAPI-I",VLOOKUP(E351,'20-A.SINAPI-I'!A:G,2,0),IF(F351="COMP.EVENTUAL",VLOOKUP(E351,'11.COMPOSIÇÕES GERAIS'!B:I,2,0),VLOOKUP(E351,'12.COT.MERCADO'!A:I,2,0)))),"Em Elaboração")</f>
        <v>CABO ELETRÔNICO CATEGORIA 6, INSTALADO EM EDIFICAÇÃO INSTITUCIONAL - FORNECIMENTO E INSTALAÇÃO. AF_11/2019</v>
      </c>
      <c r="H351" s="934" t="str">
        <f>IFERROR(IF(F351="SINAPI-S",VLOOKUP(E351,'20-B.SINAPI-S'!A:J,3,0),IF(F351="SINAPI-I",VLOOKUP(E351,'20-A.SINAPI-I'!A:G,3,0),IF(F351="COMP.EVENTUAL",VLOOKUP(E351,'11.COMPOSIÇÕES GERAIS'!B:I,3,0),VLOOKUP(E351,'12.COT.MERCADO'!A:I,7,0)))),"Em Elaboração")</f>
        <v>M</v>
      </c>
      <c r="I351" s="940">
        <v>35.0</v>
      </c>
    </row>
    <row r="352">
      <c r="A352" s="931" t="s">
        <v>4814</v>
      </c>
      <c r="B352" s="931" t="s">
        <v>4841</v>
      </c>
      <c r="C352" s="932" t="s">
        <v>4297</v>
      </c>
      <c r="D352" s="933" t="s">
        <v>4842</v>
      </c>
      <c r="E352" s="939" t="s">
        <v>1878</v>
      </c>
      <c r="F352" s="935" t="s">
        <v>4276</v>
      </c>
      <c r="G352" s="421" t="str">
        <f>IFERROR(IF(F352="SINAPI-S",VLOOKUP(E352,'20-B.SINAPI-S'!A:J,2,0),IF(F352="SINAPI-I",VLOOKUP(E352,'20-A.SINAPI-I'!A:G,2,0),IF(F352="COMP.EVENTUAL",VLOOKUP(E352,'11.COMPOSIÇÕES GERAIS'!B:I,2,0),VLOOKUP(E352,'12.COT.MERCADO'!A:I,2,0)))),"Em Elaboração")</f>
        <v>SERVIÇO DE LIMPEZA DE FOSSA SÉPTICA OU SUMIDOURO - VIAGEM DE 7M3</v>
      </c>
      <c r="H352" s="934" t="str">
        <f>IFERROR(IF(F352="SINAPI-S",VLOOKUP(E352,'20-B.SINAPI-S'!A:J,3,0),IF(F352="SINAPI-I",VLOOKUP(E352,'20-A.SINAPI-I'!A:G,3,0),IF(F352="COMP.EVENTUAL",VLOOKUP(E352,'11.COMPOSIÇÕES GERAIS'!B:I,3,0),VLOOKUP(E352,'12.COT.MERCADO'!A:I,7,0)))),"Em Elaboração")</f>
        <v>VG</v>
      </c>
      <c r="I352" s="940">
        <v>1.0</v>
      </c>
    </row>
    <row r="353">
      <c r="A353" s="931" t="s">
        <v>4814</v>
      </c>
      <c r="B353" s="931" t="s">
        <v>4843</v>
      </c>
      <c r="C353" s="932" t="s">
        <v>4274</v>
      </c>
      <c r="D353" s="933" t="s">
        <v>4844</v>
      </c>
      <c r="E353" s="939">
        <v>97600.0</v>
      </c>
      <c r="F353" s="937" t="s">
        <v>218</v>
      </c>
      <c r="G353" s="421" t="str">
        <f>IFERROR(IF(F353="SINAPI-S",VLOOKUP(E353,'20-B.SINAPI-S'!A:J,2,0),IF(F353="SINAPI-I",VLOOKUP(E353,'20-A.SINAPI-I'!A:G,2,0),IF(F353="COMP.EVENTUAL",VLOOKUP(E353,'11.COMPOSIÇÕES GERAIS'!B:I,2,0),VLOOKUP(E353,'12.COT.MERCADO'!A:I,2,0)))),"Em Elaboração")</f>
        <v>REFLETOR EM ALUMÍNIO, DE SUPORTE E ALÇA, COM 1 LÂMPADA VAPOR DE MERCÚRIO DE 125 W, COM REATOR ALTO FATOR DE POTÊNCIA - FORNECIMENTO E INSTALAÇÃO. AF_02/2020</v>
      </c>
      <c r="H353" s="934" t="str">
        <f>IFERROR(IF(F353="SINAPI-S",VLOOKUP(E353,'20-B.SINAPI-S'!A:J,3,0),IF(F353="SINAPI-I",VLOOKUP(E353,'20-A.SINAPI-I'!A:G,3,0),IF(F353="COMP.EVENTUAL",VLOOKUP(E353,'11.COMPOSIÇÕES GERAIS'!B:I,3,0),VLOOKUP(E353,'12.COT.MERCADO'!A:I,7,0)))),"Em Elaboração")</f>
        <v>UN</v>
      </c>
      <c r="I353" s="939">
        <v>1.0</v>
      </c>
    </row>
    <row r="354">
      <c r="A354" s="931" t="s">
        <v>4814</v>
      </c>
      <c r="B354" s="931" t="s">
        <v>4843</v>
      </c>
      <c r="C354" s="932" t="s">
        <v>4274</v>
      </c>
      <c r="D354" s="933" t="s">
        <v>4845</v>
      </c>
      <c r="E354" s="939">
        <v>100903.0</v>
      </c>
      <c r="F354" s="937" t="s">
        <v>218</v>
      </c>
      <c r="G354" s="421" t="str">
        <f>IFERROR(IF(F354="SINAPI-S",VLOOKUP(E354,'20-B.SINAPI-S'!A:J,2,0),IF(F354="SINAPI-I",VLOOKUP(E354,'20-A.SINAPI-I'!A:G,2,0),IF(F354="COMP.EVENTUAL",VLOOKUP(E354,'11.COMPOSIÇÕES GERAIS'!B:I,2,0),VLOOKUP(E354,'12.COT.MERCADO'!A:I,2,0)))),"Em Elaboração")</f>
        <v>LÂMPADA TUBULAR LED DE 18/20 W, BASE G13 - FORNECIMENTO E INSTALAÇÃO. AF_02/2020_PS</v>
      </c>
      <c r="H354" s="934" t="str">
        <f>IFERROR(IF(F354="SINAPI-S",VLOOKUP(E354,'20-B.SINAPI-S'!A:J,3,0),IF(F354="SINAPI-I",VLOOKUP(E354,'20-A.SINAPI-I'!A:G,3,0),IF(F354="COMP.EVENTUAL",VLOOKUP(E354,'11.COMPOSIÇÕES GERAIS'!B:I,3,0),VLOOKUP(E354,'12.COT.MERCADO'!A:I,7,0)))),"Em Elaboração")</f>
        <v>UN</v>
      </c>
      <c r="I354" s="939">
        <v>3.0</v>
      </c>
    </row>
    <row r="355">
      <c r="A355" s="931" t="s">
        <v>4814</v>
      </c>
      <c r="B355" s="931" t="s">
        <v>4846</v>
      </c>
      <c r="C355" s="932" t="s">
        <v>4274</v>
      </c>
      <c r="D355" s="933" t="s">
        <v>4847</v>
      </c>
      <c r="E355" s="939">
        <v>91926.0</v>
      </c>
      <c r="F355" s="937" t="s">
        <v>218</v>
      </c>
      <c r="G355" s="421" t="str">
        <f>IFERROR(IF(F355="SINAPI-S",VLOOKUP(E355,'20-B.SINAPI-S'!A:J,2,0),IF(F355="SINAPI-I",VLOOKUP(E355,'20-A.SINAPI-I'!A:G,2,0),IF(F355="COMP.EVENTUAL",VLOOKUP(E355,'11.COMPOSIÇÕES GERAIS'!B:I,2,0),VLOOKUP(E355,'12.COT.MERCADO'!A:I,2,0)))),"Em Elaboração")</f>
        <v>CABO DE COBRE FLEXÍVEL ISOLADO, 2,5 MM², ANTI-CHAMA 450/750 V, PARA CIRCUITOS TERMINAIS - FORNECIMENTO E INSTALAÇÃO. AF_03/2023</v>
      </c>
      <c r="H355" s="934" t="str">
        <f>IFERROR(IF(F355="SINAPI-S",VLOOKUP(E355,'20-B.SINAPI-S'!A:J,3,0),IF(F355="SINAPI-I",VLOOKUP(E355,'20-A.SINAPI-I'!A:G,3,0),IF(F355="COMP.EVENTUAL",VLOOKUP(E355,'11.COMPOSIÇÕES GERAIS'!B:I,3,0),VLOOKUP(E355,'12.COT.MERCADO'!A:I,7,0)))),"Em Elaboração")</f>
        <v>M</v>
      </c>
      <c r="I355" s="940">
        <v>22.0</v>
      </c>
    </row>
    <row r="356">
      <c r="A356" s="931" t="s">
        <v>4814</v>
      </c>
      <c r="B356" s="931" t="s">
        <v>4848</v>
      </c>
      <c r="C356" s="932" t="s">
        <v>4297</v>
      </c>
      <c r="D356" s="944" t="s">
        <v>4849</v>
      </c>
      <c r="E356" s="939" t="s">
        <v>1827</v>
      </c>
      <c r="F356" s="935" t="s">
        <v>4276</v>
      </c>
      <c r="G356" s="421" t="str">
        <f>IFERROR(IF(F356="SINAPI-S",VLOOKUP(E356,'20-B.SINAPI-S'!A:J,2,0),IF(F356="SINAPI-I",VLOOKUP(E356,'20-A.SINAPI-I'!A:G,2,0),IF(F356="COMP.EVENTUAL",VLOOKUP(E356,'11.COMPOSIÇÕES GERAIS'!B:I,2,0),VLOOKUP(E356,'12.COT.MERCADO'!A:I,2,0)))),"Em Elaboração")</f>
        <v>FORNECIMENTO E INSTALAÇÃO DE PERSIANA EM PVC BRANCO, LÂMINA COM LARGURA DE 89MM, SEM BANDÔ</v>
      </c>
      <c r="H356" s="934" t="str">
        <f>IFERROR(IF(F356="SINAPI-S",VLOOKUP(E356,'20-B.SINAPI-S'!A:J,3,0),IF(F356="SINAPI-I",VLOOKUP(E356,'20-A.SINAPI-I'!A:G,3,0),IF(F356="COMP.EVENTUAL",VLOOKUP(E356,'11.COMPOSIÇÕES GERAIS'!B:I,3,0),VLOOKUP(E356,'12.COT.MERCADO'!A:I,7,0)))),"Em Elaboração")</f>
        <v>M2</v>
      </c>
      <c r="I356" s="940">
        <v>2.0</v>
      </c>
    </row>
    <row r="357">
      <c r="A357" s="931" t="s">
        <v>4814</v>
      </c>
      <c r="B357" s="931" t="s">
        <v>4850</v>
      </c>
      <c r="C357" s="932" t="s">
        <v>4297</v>
      </c>
      <c r="D357" s="933" t="s">
        <v>4851</v>
      </c>
      <c r="E357" s="939" t="s">
        <v>1786</v>
      </c>
      <c r="F357" s="935" t="s">
        <v>4276</v>
      </c>
      <c r="G357" s="421" t="str">
        <f>IFERROR(IF(F357="SINAPI-S",VLOOKUP(E357,'20-B.SINAPI-S'!A:J,2,0),IF(F357="SINAPI-I",VLOOKUP(E357,'20-A.SINAPI-I'!A:G,2,0),IF(F357="COMP.EVENTUAL",VLOOKUP(E357,'11.COMPOSIÇÕES GERAIS'!B:I,2,0),VLOOKUP(E357,'12.COT.MERCADO'!A:I,2,0)))),"Em Elaboração")</f>
        <v>FORNECIMENTO E INSTALAÇÃO DE SUPORTE DE PAREDE FIXO PARA TV E MONITOR DE 32 À 80 POLEGADAS</v>
      </c>
      <c r="H357" s="934" t="str">
        <f>IFERROR(IF(F357="SINAPI-S",VLOOKUP(E357,'20-B.SINAPI-S'!A:J,3,0),IF(F357="SINAPI-I",VLOOKUP(E357,'20-A.SINAPI-I'!A:G,3,0),IF(F357="COMP.EVENTUAL",VLOOKUP(E357,'11.COMPOSIÇÕES GERAIS'!B:I,3,0),VLOOKUP(E357,'12.COT.MERCADO'!A:I,7,0)))),"Em Elaboração")</f>
        <v>UN</v>
      </c>
      <c r="I357" s="939">
        <v>1.0</v>
      </c>
    </row>
    <row r="358">
      <c r="A358" s="931" t="s">
        <v>4814</v>
      </c>
      <c r="B358" s="931" t="s">
        <v>4852</v>
      </c>
      <c r="C358" s="932" t="s">
        <v>4306</v>
      </c>
      <c r="D358" s="933" t="s">
        <v>4853</v>
      </c>
      <c r="E358" s="939">
        <v>86883.0</v>
      </c>
      <c r="F358" s="937" t="s">
        <v>218</v>
      </c>
      <c r="G358" s="421" t="str">
        <f>IFERROR(IF(F358="SINAPI-S",VLOOKUP(E358,'20-B.SINAPI-S'!A:J,2,0),IF(F358="SINAPI-I",VLOOKUP(E358,'20-A.SINAPI-I'!A:G,2,0),IF(F358="COMP.EVENTUAL",VLOOKUP(E358,'11.COMPOSIÇÕES GERAIS'!B:I,2,0),VLOOKUP(E358,'12.COT.MERCADO'!A:I,2,0)))),"Em Elaboração")</f>
        <v>SIFÃO DO TIPO FLEXÍVEL EM PVC 1  X 1.1/2  - FORNECIMENTO E INSTALAÇÃO. AF_01/2020</v>
      </c>
      <c r="H358" s="934" t="str">
        <f>IFERROR(IF(F358="SINAPI-S",VLOOKUP(E358,'20-B.SINAPI-S'!A:J,3,0),IF(F358="SINAPI-I",VLOOKUP(E358,'20-A.SINAPI-I'!A:G,3,0),IF(F358="COMP.EVENTUAL",VLOOKUP(E358,'11.COMPOSIÇÕES GERAIS'!B:I,3,0),VLOOKUP(E358,'12.COT.MERCADO'!A:I,7,0)))),"Em Elaboração")</f>
        <v>UN</v>
      </c>
      <c r="I358" s="939">
        <v>2.0</v>
      </c>
    </row>
    <row r="359">
      <c r="A359" s="931" t="s">
        <v>4814</v>
      </c>
      <c r="B359" s="931" t="s">
        <v>4854</v>
      </c>
      <c r="C359" s="932" t="s">
        <v>4297</v>
      </c>
      <c r="D359" s="933" t="s">
        <v>4855</v>
      </c>
      <c r="E359" s="939" t="s">
        <v>1893</v>
      </c>
      <c r="F359" s="935" t="s">
        <v>4276</v>
      </c>
      <c r="G359" s="421" t="str">
        <f>IFERROR(IF(F359="SINAPI-S",VLOOKUP(E359,'20-B.SINAPI-S'!A:J,2,0),IF(F359="SINAPI-I",VLOOKUP(E359,'20-A.SINAPI-I'!A:G,2,0),IF(F359="COMP.EVENTUAL",VLOOKUP(E359,'11.COMPOSIÇÕES GERAIS'!B:I,2,0),VLOOKUP(E359,'12.COT.MERCADO'!A:I,2,0)))),"Em Elaboração")</f>
        <v>ESCADA DO TIPO MARINHEIRO EM AÇO GALVANIZADO COM PROTEÇÃO </v>
      </c>
      <c r="H359" s="934" t="str">
        <f>IFERROR(IF(F359="SINAPI-S",VLOOKUP(E359,'20-B.SINAPI-S'!A:J,3,0),IF(F359="SINAPI-I",VLOOKUP(E359,'20-A.SINAPI-I'!A:G,3,0),IF(F359="COMP.EVENTUAL",VLOOKUP(E359,'11.COMPOSIÇÕES GERAIS'!B:I,3,0),VLOOKUP(E359,'12.COT.MERCADO'!A:I,7,0)))),"Em Elaboração")</f>
        <v>M</v>
      </c>
      <c r="I359" s="939">
        <v>1.0</v>
      </c>
    </row>
    <row r="360">
      <c r="A360" s="931" t="s">
        <v>4814</v>
      </c>
      <c r="B360" s="931" t="s">
        <v>4856</v>
      </c>
      <c r="C360" s="932" t="s">
        <v>4306</v>
      </c>
      <c r="D360" s="933" t="s">
        <v>4857</v>
      </c>
      <c r="E360" s="939">
        <v>3267.0</v>
      </c>
      <c r="F360" s="946" t="s">
        <v>286</v>
      </c>
      <c r="G360" s="421" t="str">
        <f>IFERROR(IF(F360="SINAPI-S",VLOOKUP(E360,'20-B.SINAPI-S'!A:J,2,0),IF(F360="SINAPI-I",VLOOKUP(E360,'20-A.SINAPI-I'!A:G,2,0),IF(F360="COMP.EVENTUAL",VLOOKUP(E360,'11.COMPOSIÇÕES GERAIS'!B:I,2,0),VLOOKUP(E360,'12.COT.MERCADO'!A:I,2,0)))),"Em Elaboração")</f>
        <v>FLANGE SEXTAVADO DE FERRO GALVANIZADO, COM ROSCA BSP, DE 2 1/2"</v>
      </c>
      <c r="H360" s="934" t="str">
        <f>IFERROR(IF(F360="SINAPI-S",VLOOKUP(E360,'20-B.SINAPI-S'!A:J,3,0),IF(F360="SINAPI-I",VLOOKUP(E360,'20-A.SINAPI-I'!A:G,3,0),IF(F360="COMP.EVENTUAL",VLOOKUP(E360,'11.COMPOSIÇÕES GERAIS'!B:I,3,0),VLOOKUP(E360,'12.COT.MERCADO'!A:I,7,0)))),"Em Elaboração")</f>
        <v>UN</v>
      </c>
      <c r="I360" s="939">
        <v>1.0</v>
      </c>
    </row>
    <row r="361">
      <c r="A361" s="931" t="s">
        <v>4814</v>
      </c>
      <c r="B361" s="931" t="s">
        <v>4858</v>
      </c>
      <c r="C361" s="932" t="s">
        <v>4274</v>
      </c>
      <c r="D361" s="944" t="s">
        <v>4859</v>
      </c>
      <c r="E361" s="939">
        <v>98297.0</v>
      </c>
      <c r="F361" s="937" t="s">
        <v>218</v>
      </c>
      <c r="G361" s="421" t="str">
        <f>IFERROR(IF(F361="SINAPI-S",VLOOKUP(E361,'20-B.SINAPI-S'!A:J,2,0),IF(F361="SINAPI-I",VLOOKUP(E361,'20-A.SINAPI-I'!A:G,2,0),IF(F361="COMP.EVENTUAL",VLOOKUP(E361,'11.COMPOSIÇÕES GERAIS'!B:I,2,0),VLOOKUP(E361,'12.COT.MERCADO'!A:I,2,0)))),"Em Elaboração")</f>
        <v>CABO ELETRÔNICO CATEGORIA 6, INSTALADO EM EDIFICAÇÃO INSTITUCIONAL - FORNECIMENTO E INSTALAÇÃO. AF_11/2019</v>
      </c>
      <c r="H361" s="934" t="str">
        <f>IFERROR(IF(F361="SINAPI-S",VLOOKUP(E361,'20-B.SINAPI-S'!A:J,3,0),IF(F361="SINAPI-I",VLOOKUP(E361,'20-A.SINAPI-I'!A:G,3,0),IF(F361="COMP.EVENTUAL",VLOOKUP(E361,'11.COMPOSIÇÕES GERAIS'!B:I,3,0),VLOOKUP(E361,'12.COT.MERCADO'!A:I,7,0)))),"Em Elaboração")</f>
        <v>M</v>
      </c>
      <c r="I361" s="940">
        <v>40.0</v>
      </c>
    </row>
    <row r="362">
      <c r="A362" s="931" t="s">
        <v>4814</v>
      </c>
      <c r="B362" s="931" t="s">
        <v>4860</v>
      </c>
      <c r="C362" s="932" t="s">
        <v>4274</v>
      </c>
      <c r="D362" s="933" t="s">
        <v>4861</v>
      </c>
      <c r="E362" s="939">
        <v>100903.0</v>
      </c>
      <c r="F362" s="937" t="s">
        <v>218</v>
      </c>
      <c r="G362" s="421" t="str">
        <f>IFERROR(IF(F362="SINAPI-S",VLOOKUP(E362,'20-B.SINAPI-S'!A:J,2,0),IF(F362="SINAPI-I",VLOOKUP(E362,'20-A.SINAPI-I'!A:G,2,0),IF(F362="COMP.EVENTUAL",VLOOKUP(E362,'11.COMPOSIÇÕES GERAIS'!B:I,2,0),VLOOKUP(E362,'12.COT.MERCADO'!A:I,2,0)))),"Em Elaboração")</f>
        <v>LÂMPADA TUBULAR LED DE 18/20 W, BASE G13 - FORNECIMENTO E INSTALAÇÃO. AF_02/2020_PS</v>
      </c>
      <c r="H362" s="934" t="str">
        <f>IFERROR(IF(F362="SINAPI-S",VLOOKUP(E362,'20-B.SINAPI-S'!A:J,3,0),IF(F362="SINAPI-I",VLOOKUP(E362,'20-A.SINAPI-I'!A:G,3,0),IF(F362="COMP.EVENTUAL",VLOOKUP(E362,'11.COMPOSIÇÕES GERAIS'!B:I,3,0),VLOOKUP(E362,'12.COT.MERCADO'!A:I,7,0)))),"Em Elaboração")</f>
        <v>UN</v>
      </c>
      <c r="I362" s="939">
        <v>4.0</v>
      </c>
    </row>
    <row r="363">
      <c r="A363" s="931" t="s">
        <v>4814</v>
      </c>
      <c r="B363" s="931" t="s">
        <v>4862</v>
      </c>
      <c r="C363" s="932" t="s">
        <v>4306</v>
      </c>
      <c r="D363" s="933" t="s">
        <v>4863</v>
      </c>
      <c r="E363" s="939">
        <v>86878.0</v>
      </c>
      <c r="F363" s="937" t="s">
        <v>218</v>
      </c>
      <c r="G363" s="421" t="str">
        <f>IFERROR(IF(F363="SINAPI-S",VLOOKUP(E363,'20-B.SINAPI-S'!A:J,2,0),IF(F363="SINAPI-I",VLOOKUP(E363,'20-A.SINAPI-I'!A:G,2,0),IF(F363="COMP.EVENTUAL",VLOOKUP(E363,'11.COMPOSIÇÕES GERAIS'!B:I,2,0),VLOOKUP(E363,'12.COT.MERCADO'!A:I,2,0)))),"Em Elaboração")</f>
        <v>VÁLVULA EM METAL CROMADO TIPO AMERICANA 3.1/2_x0094_ X 1.1/2_x0094_ PARA PIA - FORNECIMENTO E INSTALAÇÃO. AF_01/2020</v>
      </c>
      <c r="H363" s="934" t="str">
        <f>IFERROR(IF(F363="SINAPI-S",VLOOKUP(E363,'20-B.SINAPI-S'!A:J,3,0),IF(F363="SINAPI-I",VLOOKUP(E363,'20-A.SINAPI-I'!A:G,3,0),IF(F363="COMP.EVENTUAL",VLOOKUP(E363,'11.COMPOSIÇÕES GERAIS'!B:I,3,0),VLOOKUP(E363,'12.COT.MERCADO'!A:I,7,0)))),"Em Elaboração")</f>
        <v>UN</v>
      </c>
      <c r="I363" s="939">
        <v>1.0</v>
      </c>
    </row>
    <row r="364">
      <c r="A364" s="931" t="s">
        <v>4814</v>
      </c>
      <c r="B364" s="931" t="s">
        <v>4864</v>
      </c>
      <c r="C364" s="932" t="s">
        <v>4306</v>
      </c>
      <c r="D364" s="933" t="s">
        <v>4803</v>
      </c>
      <c r="E364" s="939">
        <v>100903.0</v>
      </c>
      <c r="F364" s="937" t="s">
        <v>218</v>
      </c>
      <c r="G364" s="421" t="str">
        <f>IFERROR(IF(F364="SINAPI-S",VLOOKUP(E364,'20-B.SINAPI-S'!A:J,2,0),IF(F364="SINAPI-I",VLOOKUP(E364,'20-A.SINAPI-I'!A:G,2,0),IF(F364="COMP.EVENTUAL",VLOOKUP(E364,'11.COMPOSIÇÕES GERAIS'!B:I,2,0),VLOOKUP(E364,'12.COT.MERCADO'!A:I,2,0)))),"Em Elaboração")</f>
        <v>LÂMPADA TUBULAR LED DE 18/20 W, BASE G13 - FORNECIMENTO E INSTALAÇÃO. AF_02/2020_PS</v>
      </c>
      <c r="H364" s="934" t="str">
        <f>IFERROR(IF(F364="SINAPI-S",VLOOKUP(E364,'20-B.SINAPI-S'!A:J,3,0),IF(F364="SINAPI-I",VLOOKUP(E364,'20-A.SINAPI-I'!A:G,3,0),IF(F364="COMP.EVENTUAL",VLOOKUP(E364,'11.COMPOSIÇÕES GERAIS'!B:I,3,0),VLOOKUP(E364,'12.COT.MERCADO'!A:I,7,0)))),"Em Elaboração")</f>
        <v>UN</v>
      </c>
      <c r="I364" s="939">
        <v>10.0</v>
      </c>
    </row>
    <row r="365">
      <c r="A365" s="931" t="s">
        <v>4814</v>
      </c>
      <c r="B365" s="931" t="s">
        <v>4864</v>
      </c>
      <c r="C365" s="932" t="s">
        <v>4306</v>
      </c>
      <c r="D365" s="933" t="s">
        <v>4865</v>
      </c>
      <c r="E365" s="939" t="s">
        <v>1848</v>
      </c>
      <c r="F365" s="935" t="s">
        <v>4276</v>
      </c>
      <c r="G365" s="421" t="str">
        <f>IFERROR(IF(F365="SINAPI-S",VLOOKUP(E365,'20-B.SINAPI-S'!A:J,2,0),IF(F365="SINAPI-I",VLOOKUP(E365,'20-A.SINAPI-I'!A:G,2,0),IF(F365="COMP.EVENTUAL",VLOOKUP(E365,'11.COMPOSIÇÕES GERAIS'!B:I,2,0),VLOOKUP(E365,'12.COT.MERCADO'!A:I,2,0)))),"Em Elaboração")</f>
        <v>DESENTUPIMENTO E LIMPEZA DE BACIAS SANITÁRIAS</v>
      </c>
      <c r="H365" s="934" t="str">
        <f>IFERROR(IF(F365="SINAPI-S",VLOOKUP(E365,'20-B.SINAPI-S'!A:J,3,0),IF(F365="SINAPI-I",VLOOKUP(E365,'20-A.SINAPI-I'!A:G,3,0),IF(F365="COMP.EVENTUAL",VLOOKUP(E365,'11.COMPOSIÇÕES GERAIS'!B:I,3,0),VLOOKUP(E365,'12.COT.MERCADO'!A:I,7,0)))),"Em Elaboração")</f>
        <v>UN</v>
      </c>
      <c r="I365" s="939">
        <v>1.0</v>
      </c>
    </row>
    <row r="366">
      <c r="A366" s="931" t="s">
        <v>4814</v>
      </c>
      <c r="B366" s="931" t="s">
        <v>4866</v>
      </c>
      <c r="C366" s="932" t="s">
        <v>4274</v>
      </c>
      <c r="D366" s="933" t="s">
        <v>4867</v>
      </c>
      <c r="E366" s="939">
        <v>93656.0</v>
      </c>
      <c r="F366" s="937" t="s">
        <v>218</v>
      </c>
      <c r="G366" s="421" t="str">
        <f>IFERROR(IF(F366="SINAPI-S",VLOOKUP(E366,'20-B.SINAPI-S'!A:J,2,0),IF(F366="SINAPI-I",VLOOKUP(E366,'20-A.SINAPI-I'!A:G,2,0),IF(F366="COMP.EVENTUAL",VLOOKUP(E366,'11.COMPOSIÇÕES GERAIS'!B:I,2,0),VLOOKUP(E366,'12.COT.MERCADO'!A:I,2,0)))),"Em Elaboração")</f>
        <v>DISJUNTOR MONOPOLAR TIPO DIN, CORRENTE NOMINAL DE 25A - FORNECIMENTO E INSTALAÇÃO. AF_10/2020</v>
      </c>
      <c r="H366" s="934" t="str">
        <f>IFERROR(IF(F366="SINAPI-S",VLOOKUP(E366,'20-B.SINAPI-S'!A:J,3,0),IF(F366="SINAPI-I",VLOOKUP(E366,'20-A.SINAPI-I'!A:G,3,0),IF(F366="COMP.EVENTUAL",VLOOKUP(E366,'11.COMPOSIÇÕES GERAIS'!B:I,3,0),VLOOKUP(E366,'12.COT.MERCADO'!A:I,7,0)))),"Em Elaboração")</f>
        <v>UN</v>
      </c>
      <c r="I366" s="939">
        <v>1.0</v>
      </c>
    </row>
    <row r="367">
      <c r="A367" s="931" t="s">
        <v>4868</v>
      </c>
      <c r="B367" s="931" t="s">
        <v>4869</v>
      </c>
      <c r="C367" s="932" t="s">
        <v>4297</v>
      </c>
      <c r="D367" s="933" t="s">
        <v>4870</v>
      </c>
      <c r="E367" s="939">
        <v>102166.0</v>
      </c>
      <c r="F367" s="937" t="s">
        <v>218</v>
      </c>
      <c r="G367" s="421" t="str">
        <f>IFERROR(IF(F367="SINAPI-S",VLOOKUP(E367,'20-B.SINAPI-S'!A:J,2,0),IF(F367="SINAPI-I",VLOOKUP(E367,'20-A.SINAPI-I'!A:G,2,0),IF(F367="COMP.EVENTUAL",VLOOKUP(E367,'11.COMPOSIÇÕES GERAIS'!B:I,2,0),VLOOKUP(E367,'12.COT.MERCADO'!A:I,2,0)))),"Em Elaboração")</f>
        <v>INSTALAÇÃO DE VIDRO LISO INCOLOR, E = 6 MM, EM ESQUADRIA DE ALUMÍNIO OU PVC, FIXADO COM BAGUETE. AF_01/2021_PS</v>
      </c>
      <c r="H367" s="934" t="str">
        <f>IFERROR(IF(F367="SINAPI-S",VLOOKUP(E367,'20-B.SINAPI-S'!A:J,3,0),IF(F367="SINAPI-I",VLOOKUP(E367,'20-A.SINAPI-I'!A:G,3,0),IF(F367="COMP.EVENTUAL",VLOOKUP(E367,'11.COMPOSIÇÕES GERAIS'!B:I,3,0),VLOOKUP(E367,'12.COT.MERCADO'!A:I,7,0)))),"Em Elaboração")</f>
        <v>M2</v>
      </c>
      <c r="I367" s="934">
        <v>1.0</v>
      </c>
    </row>
    <row r="368">
      <c r="A368" s="931" t="s">
        <v>4868</v>
      </c>
      <c r="B368" s="931" t="s">
        <v>4871</v>
      </c>
      <c r="C368" s="932" t="s">
        <v>4274</v>
      </c>
      <c r="D368" s="933" t="s">
        <v>4872</v>
      </c>
      <c r="E368" s="939">
        <v>101632.0</v>
      </c>
      <c r="F368" s="937" t="s">
        <v>218</v>
      </c>
      <c r="G368" s="421" t="str">
        <f>IFERROR(IF(F368="SINAPI-S",VLOOKUP(E368,'20-B.SINAPI-S'!A:J,2,0),IF(F368="SINAPI-I",VLOOKUP(E368,'20-A.SINAPI-I'!A:G,2,0),IF(F368="COMP.EVENTUAL",VLOOKUP(E368,'11.COMPOSIÇÕES GERAIS'!B:I,2,0),VLOOKUP(E368,'12.COT.MERCADO'!A:I,2,0)))),"Em Elaboração")</f>
        <v>RELÉ FOTOELÉTRICO PARA COMANDO DE ILUMINAÇÃO EXTERNA 1000 W - FORNECIMENTO E INSTALAÇÃO. AF_08/2020</v>
      </c>
      <c r="H368" s="934" t="str">
        <f>IFERROR(IF(F368="SINAPI-S",VLOOKUP(E368,'20-B.SINAPI-S'!A:J,3,0),IF(F368="SINAPI-I",VLOOKUP(E368,'20-A.SINAPI-I'!A:G,3,0),IF(F368="COMP.EVENTUAL",VLOOKUP(E368,'11.COMPOSIÇÕES GERAIS'!B:I,3,0),VLOOKUP(E368,'12.COT.MERCADO'!A:I,7,0)))),"Em Elaboração")</f>
        <v>UN</v>
      </c>
      <c r="I368" s="934">
        <v>1.0</v>
      </c>
    </row>
    <row r="369">
      <c r="A369" s="931" t="s">
        <v>4868</v>
      </c>
      <c r="B369" s="931" t="s">
        <v>4871</v>
      </c>
      <c r="C369" s="932" t="s">
        <v>4274</v>
      </c>
      <c r="D369" s="933" t="s">
        <v>4873</v>
      </c>
      <c r="E369" s="958" t="s">
        <v>1958</v>
      </c>
      <c r="F369" s="947" t="s">
        <v>4276</v>
      </c>
      <c r="G369" s="421" t="str">
        <f>IFERROR(IF(F369="SINAPI-S",VLOOKUP(E369,'20-B.SINAPI-S'!A:J,2,0),IF(F369="SINAPI-I",VLOOKUP(E369,'20-A.SINAPI-I'!A:G,2,0),IF(F369="COMP.EVENTUAL",VLOOKUP(E369,'11.COMPOSIÇÕES GERAIS'!B:I,2,0),VLOOKUP(E369,'12.COT.MERCADO'!A:I,2,0)))),"Em Elaboração")</f>
        <v>FORNECIMENTO E INSTALAÇÃO DE FUSÍVEL TIPO NH 00 DE 6A ATÉ 125A</v>
      </c>
      <c r="H369" s="934" t="str">
        <f>IFERROR(IF(F369="SINAPI-S",VLOOKUP(E369,'20-B.SINAPI-S'!A:J,3,0),IF(F369="SINAPI-I",VLOOKUP(E369,'20-A.SINAPI-I'!A:G,3,0),IF(F369="COMP.EVENTUAL",VLOOKUP(E369,'11.COMPOSIÇÕES GERAIS'!B:I,3,0),VLOOKUP(E369,'12.COT.MERCADO'!A:I,7,0)))),"Em Elaboração")</f>
        <v>UN</v>
      </c>
      <c r="I369" s="934">
        <v>3.0</v>
      </c>
    </row>
    <row r="370">
      <c r="A370" s="931" t="s">
        <v>4868</v>
      </c>
      <c r="B370" s="931" t="s">
        <v>4874</v>
      </c>
      <c r="C370" s="932" t="s">
        <v>4274</v>
      </c>
      <c r="D370" s="933" t="s">
        <v>4875</v>
      </c>
      <c r="E370" s="939" t="s">
        <v>1919</v>
      </c>
      <c r="F370" s="935" t="s">
        <v>4276</v>
      </c>
      <c r="G370" s="421" t="str">
        <f>IFERROR(IF(F370="SINAPI-S",VLOOKUP(E370,'20-B.SINAPI-S'!A:J,2,0),IF(F370="SINAPI-I",VLOOKUP(E370,'20-A.SINAPI-I'!A:G,2,0),IF(F370="COMP.EVENTUAL",VLOOKUP(E370,'11.COMPOSIÇÕES GERAIS'!B:I,2,0),VLOOKUP(E370,'12.COT.MERCADO'!A:I,2,0)))),"Em Elaboração")</f>
        <v>LAUDO TECNICO SPDA CONFORME NBR 5419, INCLUSIVE EMISSÃO DE ART</v>
      </c>
      <c r="H370" s="934" t="str">
        <f>IFERROR(IF(F370="SINAPI-S",VLOOKUP(E370,'20-B.SINAPI-S'!A:J,3,0),IF(F370="SINAPI-I",VLOOKUP(E370,'20-A.SINAPI-I'!A:G,3,0),IF(F370="COMP.EVENTUAL",VLOOKUP(E370,'11.COMPOSIÇÕES GERAIS'!B:I,3,0),VLOOKUP(E370,'12.COT.MERCADO'!A:I,7,0)))),"Em Elaboração")</f>
        <v>UN</v>
      </c>
      <c r="I370" s="934" t="s">
        <v>4509</v>
      </c>
    </row>
    <row r="371">
      <c r="A371" s="931" t="s">
        <v>4868</v>
      </c>
      <c r="B371" s="931" t="s">
        <v>4876</v>
      </c>
      <c r="C371" s="932" t="s">
        <v>4297</v>
      </c>
      <c r="D371" s="933" t="s">
        <v>4877</v>
      </c>
      <c r="E371" s="939">
        <v>98115.0</v>
      </c>
      <c r="F371" s="937" t="s">
        <v>218</v>
      </c>
      <c r="G371" s="421" t="str">
        <f>IFERROR(IF(F371="SINAPI-S",VLOOKUP(E371,'20-B.SINAPI-S'!A:J,2,0),IF(F371="SINAPI-I",VLOOKUP(E371,'20-A.SINAPI-I'!A:G,2,0),IF(F371="COMP.EVENTUAL",VLOOKUP(E371,'11.COMPOSIÇÕES GERAIS'!B:I,2,0),VLOOKUP(E371,'12.COT.MERCADO'!A:I,2,0)))),"Em Elaboração")</f>
        <v>TAMPA CIRCULAR PARA ESGOTO E DRENAGEM, EM CONCRETO PRÉ-MOLDADO, DIÂMETRO INTERNO = 0,60 M E ALTURA = 0,10 M. AF_12/2020</v>
      </c>
      <c r="H371" s="934" t="str">
        <f>IFERROR(IF(F371="SINAPI-S",VLOOKUP(E371,'20-B.SINAPI-S'!A:J,3,0),IF(F371="SINAPI-I",VLOOKUP(E371,'20-A.SINAPI-I'!A:G,3,0),IF(F371="COMP.EVENTUAL",VLOOKUP(E371,'11.COMPOSIÇÕES GERAIS'!B:I,3,0),VLOOKUP(E371,'12.COT.MERCADO'!A:I,7,0)))),"Em Elaboração")</f>
        <v>UN</v>
      </c>
      <c r="I371" s="934">
        <v>1.0</v>
      </c>
    </row>
    <row r="372">
      <c r="A372" s="931" t="s">
        <v>4868</v>
      </c>
      <c r="B372" s="931" t="s">
        <v>4878</v>
      </c>
      <c r="C372" s="932" t="s">
        <v>4274</v>
      </c>
      <c r="D372" s="933" t="s">
        <v>4879</v>
      </c>
      <c r="E372" s="939">
        <v>97583.0</v>
      </c>
      <c r="F372" s="937" t="s">
        <v>218</v>
      </c>
      <c r="G372" s="421" t="str">
        <f>IFERROR(IF(F372="SINAPI-S",VLOOKUP(E372,'20-B.SINAPI-S'!A:J,2,0),IF(F372="SINAPI-I",VLOOKUP(E372,'20-A.SINAPI-I'!A:G,2,0),IF(F372="COMP.EVENTUAL",VLOOKUP(E372,'11.COMPOSIÇÕES GERAIS'!B:I,2,0),VLOOKUP(E372,'12.COT.MERCADO'!A:I,2,0)))),"Em Elaboração")</f>
        <v>LUMINÁRIA TIPO CALHA, DE SOBREPOR, COM 1 LÂMPADA TUBULAR FLUORESCENTE DE 18 W, COM REATOR DE PARTIDA RÁPIDA - FORNECIMENTO E INSTALAÇÃO. AF_02/2020</v>
      </c>
      <c r="H372" s="934" t="str">
        <f>IFERROR(IF(F372="SINAPI-S",VLOOKUP(E372,'20-B.SINAPI-S'!A:J,3,0),IF(F372="SINAPI-I",VLOOKUP(E372,'20-A.SINAPI-I'!A:G,3,0),IF(F372="COMP.EVENTUAL",VLOOKUP(E372,'11.COMPOSIÇÕES GERAIS'!B:I,3,0),VLOOKUP(E372,'12.COT.MERCADO'!A:I,7,0)))),"Em Elaboração")</f>
        <v>UN</v>
      </c>
      <c r="I372" s="934">
        <v>1.0</v>
      </c>
    </row>
    <row r="373">
      <c r="A373" s="931" t="s">
        <v>4868</v>
      </c>
      <c r="B373" s="931" t="s">
        <v>4880</v>
      </c>
      <c r="C373" s="932" t="s">
        <v>4274</v>
      </c>
      <c r="D373" s="933" t="s">
        <v>4881</v>
      </c>
      <c r="E373" s="939">
        <v>98297.0</v>
      </c>
      <c r="F373" s="937" t="s">
        <v>218</v>
      </c>
      <c r="G373" s="421" t="str">
        <f>IFERROR(IF(F373="SINAPI-S",VLOOKUP(E373,'20-B.SINAPI-S'!A:J,2,0),IF(F373="SINAPI-I",VLOOKUP(E373,'20-A.SINAPI-I'!A:G,2,0),IF(F373="COMP.EVENTUAL",VLOOKUP(E373,'11.COMPOSIÇÕES GERAIS'!B:I,2,0),VLOOKUP(E373,'12.COT.MERCADO'!A:I,2,0)))),"Em Elaboração")</f>
        <v>CABO ELETRÔNICO CATEGORIA 6, INSTALADO EM EDIFICAÇÃO INSTITUCIONAL - FORNECIMENTO E INSTALAÇÃO. AF_11/2019</v>
      </c>
      <c r="H373" s="934" t="str">
        <f>IFERROR(IF(F373="SINAPI-S",VLOOKUP(E373,'20-B.SINAPI-S'!A:J,3,0),IF(F373="SINAPI-I",VLOOKUP(E373,'20-A.SINAPI-I'!A:G,3,0),IF(F373="COMP.EVENTUAL",VLOOKUP(E373,'11.COMPOSIÇÕES GERAIS'!B:I,3,0),VLOOKUP(E373,'12.COT.MERCADO'!A:I,7,0)))),"Em Elaboração")</f>
        <v>M</v>
      </c>
      <c r="I373" s="941">
        <v>30.0</v>
      </c>
    </row>
    <row r="374">
      <c r="A374" s="931" t="s">
        <v>4868</v>
      </c>
      <c r="B374" s="931" t="s">
        <v>4882</v>
      </c>
      <c r="C374" s="932" t="s">
        <v>4297</v>
      </c>
      <c r="D374" s="933" t="s">
        <v>4883</v>
      </c>
      <c r="E374" s="939">
        <v>96113.0</v>
      </c>
      <c r="F374" s="937" t="s">
        <v>218</v>
      </c>
      <c r="G374" s="421" t="str">
        <f>IFERROR(IF(F374="SINAPI-S",VLOOKUP(E374,'20-B.SINAPI-S'!A:J,2,0),IF(F374="SINAPI-I",VLOOKUP(E374,'20-A.SINAPI-I'!A:G,2,0),IF(F374="COMP.EVENTUAL",VLOOKUP(E374,'11.COMPOSIÇÕES GERAIS'!B:I,2,0),VLOOKUP(E374,'12.COT.MERCADO'!A:I,2,0)))),"Em Elaboração")</f>
        <v>FORRO EM PLACAS DE GESSO, PARA AMBIENTES COMERCIAIS. AF_05/2017_PS</v>
      </c>
      <c r="H374" s="934" t="str">
        <f>IFERROR(IF(F374="SINAPI-S",VLOOKUP(E374,'20-B.SINAPI-S'!A:J,3,0),IF(F374="SINAPI-I",VLOOKUP(E374,'20-A.SINAPI-I'!A:G,3,0),IF(F374="COMP.EVENTUAL",VLOOKUP(E374,'11.COMPOSIÇÕES GERAIS'!B:I,3,0),VLOOKUP(E374,'12.COT.MERCADO'!A:I,7,0)))),"Em Elaboração")</f>
        <v>M2</v>
      </c>
      <c r="I374" s="941">
        <v>1.0</v>
      </c>
    </row>
    <row r="375">
      <c r="A375" s="931" t="s">
        <v>4868</v>
      </c>
      <c r="B375" s="931" t="s">
        <v>4882</v>
      </c>
      <c r="C375" s="932" t="s">
        <v>4297</v>
      </c>
      <c r="D375" s="933" t="s">
        <v>4884</v>
      </c>
      <c r="E375" s="939">
        <v>88489.0</v>
      </c>
      <c r="F375" s="937" t="s">
        <v>218</v>
      </c>
      <c r="G375" s="421" t="str">
        <f>IFERROR(IF(F375="SINAPI-S",VLOOKUP(E375,'20-B.SINAPI-S'!A:J,2,0),IF(F375="SINAPI-I",VLOOKUP(E375,'20-A.SINAPI-I'!A:G,2,0),IF(F375="COMP.EVENTUAL",VLOOKUP(E375,'11.COMPOSIÇÕES GERAIS'!B:I,2,0),VLOOKUP(E375,'12.COT.MERCADO'!A:I,2,0)))),"Em Elaboração")</f>
        <v>PINTURA LÁTEX ACRÍLICA PREMIUM, APLICAÇÃO MANUAL EM PAREDES, DUAS DEMÃOS. AF_04/2023</v>
      </c>
      <c r="H375" s="934" t="str">
        <f>IFERROR(IF(F375="SINAPI-S",VLOOKUP(E375,'20-B.SINAPI-S'!A:J,3,0),IF(F375="SINAPI-I",VLOOKUP(E375,'20-A.SINAPI-I'!A:G,3,0),IF(F375="COMP.EVENTUAL",VLOOKUP(E375,'11.COMPOSIÇÕES GERAIS'!B:I,3,0),VLOOKUP(E375,'12.COT.MERCADO'!A:I,7,0)))),"Em Elaboração")</f>
        <v>M2</v>
      </c>
      <c r="I375" s="941">
        <v>2.0</v>
      </c>
    </row>
    <row r="376">
      <c r="A376" s="931" t="s">
        <v>4868</v>
      </c>
      <c r="B376" s="931" t="s">
        <v>4885</v>
      </c>
      <c r="C376" s="932" t="s">
        <v>4297</v>
      </c>
      <c r="D376" s="933" t="s">
        <v>4886</v>
      </c>
      <c r="E376" s="939">
        <v>102201.0</v>
      </c>
      <c r="F376" s="937" t="s">
        <v>218</v>
      </c>
      <c r="G376" s="421" t="str">
        <f>IFERROR(IF(F376="SINAPI-S",VLOOKUP(E376,'20-B.SINAPI-S'!A:J,2,0),IF(F376="SINAPI-I",VLOOKUP(E376,'20-A.SINAPI-I'!A:G,2,0),IF(F376="COMP.EVENTUAL",VLOOKUP(E376,'11.COMPOSIÇÕES GERAIS'!B:I,2,0),VLOOKUP(E376,'12.COT.MERCADO'!A:I,2,0)))),"Em Elaboração")</f>
        <v>APLICAÇÃO MASSA ACRÍLICA PARA MADEIRA, PARA PINTURA COM TINTA DE ACABAMENTO (PIGMENTADA). AF_01/2021</v>
      </c>
      <c r="H376" s="934" t="str">
        <f>IFERROR(IF(F376="SINAPI-S",VLOOKUP(E376,'20-B.SINAPI-S'!A:J,3,0),IF(F376="SINAPI-I",VLOOKUP(E376,'20-A.SINAPI-I'!A:G,3,0),IF(F376="COMP.EVENTUAL",VLOOKUP(E376,'11.COMPOSIÇÕES GERAIS'!B:I,3,0),VLOOKUP(E376,'12.COT.MERCADO'!A:I,7,0)))),"Em Elaboração")</f>
        <v>M2</v>
      </c>
      <c r="I376" s="941">
        <v>2.0</v>
      </c>
    </row>
    <row r="377">
      <c r="A377" s="931" t="s">
        <v>4868</v>
      </c>
      <c r="B377" s="931" t="s">
        <v>4887</v>
      </c>
      <c r="C377" s="932" t="s">
        <v>4274</v>
      </c>
      <c r="D377" s="933" t="s">
        <v>4888</v>
      </c>
      <c r="E377" s="939">
        <v>101564.0</v>
      </c>
      <c r="F377" s="937" t="s">
        <v>218</v>
      </c>
      <c r="G377" s="421" t="str">
        <f>IFERROR(IF(F377="SINAPI-S",VLOOKUP(E377,'20-B.SINAPI-S'!A:J,2,0),IF(F377="SINAPI-I",VLOOKUP(E377,'20-A.SINAPI-I'!A:G,2,0),IF(F377="COMP.EVENTUAL",VLOOKUP(E377,'11.COMPOSIÇÕES GERAIS'!B:I,2,0),VLOOKUP(E377,'12.COT.MERCADO'!A:I,2,0)))),"Em Elaboração")</f>
        <v>CABO DE COBRE FLEXÍVEL ISOLADO, 50 MM², 0,6/1,0 KV, PARA REDE AÉREA DE DISTRIBUIÇÃO DE ENERGIA ELÉTRICA DE BAIXA TENSÃO - FORNECIMENTO E INSTALAÇÃO. AF_07/2020</v>
      </c>
      <c r="H377" s="934" t="str">
        <f>IFERROR(IF(F377="SINAPI-S",VLOOKUP(E377,'20-B.SINAPI-S'!A:J,3,0),IF(F377="SINAPI-I",VLOOKUP(E377,'20-A.SINAPI-I'!A:G,3,0),IF(F377="COMP.EVENTUAL",VLOOKUP(E377,'11.COMPOSIÇÕES GERAIS'!B:I,3,0),VLOOKUP(E377,'12.COT.MERCADO'!A:I,7,0)))),"Em Elaboração")</f>
        <v>M</v>
      </c>
      <c r="I377" s="941">
        <v>225.0</v>
      </c>
    </row>
    <row r="378">
      <c r="A378" s="931" t="s">
        <v>4868</v>
      </c>
      <c r="B378" s="931" t="s">
        <v>4889</v>
      </c>
      <c r="C378" s="932" t="s">
        <v>4274</v>
      </c>
      <c r="D378" s="933" t="s">
        <v>4890</v>
      </c>
      <c r="E378" s="939" t="s">
        <v>1844</v>
      </c>
      <c r="F378" s="935" t="s">
        <v>4276</v>
      </c>
      <c r="G378" s="421" t="str">
        <f>IFERROR(IF(F378="SINAPI-S",VLOOKUP(E378,'20-B.SINAPI-S'!A:J,2,0),IF(F378="SINAPI-I",VLOOKUP(E378,'20-A.SINAPI-I'!A:G,2,0),IF(F378="COMP.EVENTUAL",VLOOKUP(E378,'11.COMPOSIÇÕES GERAIS'!B:I,2,0),VLOOKUP(E378,'12.COT.MERCADO'!A:I,2,0)))),"Em Elaboração")</f>
        <v>FORNECIMENTO E INSTALAÇÃO DE PLACA CENTRAL DE COMANDO UNIVERSAL X2 FULL ST IPEC PARA AUTOMATIZADORES</v>
      </c>
      <c r="H378" s="934" t="str">
        <f>IFERROR(IF(F378="SINAPI-S",VLOOKUP(E378,'20-B.SINAPI-S'!A:J,3,0),IF(F378="SINAPI-I",VLOOKUP(E378,'20-A.SINAPI-I'!A:G,3,0),IF(F378="COMP.EVENTUAL",VLOOKUP(E378,'11.COMPOSIÇÕES GERAIS'!B:I,3,0),VLOOKUP(E378,'12.COT.MERCADO'!A:I,7,0)))),"Em Elaboração")</f>
        <v>UN</v>
      </c>
      <c r="I378" s="941">
        <v>1.0</v>
      </c>
    </row>
    <row r="379">
      <c r="A379" s="931" t="s">
        <v>4868</v>
      </c>
      <c r="B379" s="931" t="s">
        <v>4891</v>
      </c>
      <c r="C379" s="932" t="s">
        <v>4297</v>
      </c>
      <c r="D379" s="933" t="s">
        <v>4892</v>
      </c>
      <c r="E379" s="939" t="s">
        <v>1924</v>
      </c>
      <c r="F379" s="935" t="s">
        <v>4276</v>
      </c>
      <c r="G379" s="421" t="str">
        <f>IFERROR(IF(F379="SINAPI-S",VLOOKUP(E379,'20-B.SINAPI-S'!A:J,2,0),IF(F379="SINAPI-I",VLOOKUP(E379,'20-A.SINAPI-I'!A:G,2,0),IF(F379="COMP.EVENTUAL",VLOOKUP(E379,'11.COMPOSIÇÕES GERAIS'!B:I,2,0),VLOOKUP(E379,'12.COT.MERCADO'!A:I,2,0)))),"Em Elaboração")</f>
        <v>LIMPEZA E DESOBSTRUÇÃO DE CALHAS DE ZINCO</v>
      </c>
      <c r="H379" s="934" t="str">
        <f>IFERROR(IF(F379="SINAPI-S",VLOOKUP(E379,'20-B.SINAPI-S'!A:J,3,0),IF(F379="SINAPI-I",VLOOKUP(E379,'20-A.SINAPI-I'!A:G,3,0),IF(F379="COMP.EVENTUAL",VLOOKUP(E379,'11.COMPOSIÇÕES GERAIS'!B:I,3,0),VLOOKUP(E379,'12.COT.MERCADO'!A:I,7,0)))),"Em Elaboração")</f>
        <v>M</v>
      </c>
      <c r="I379" s="941">
        <v>30.0</v>
      </c>
    </row>
    <row r="380">
      <c r="A380" s="931" t="s">
        <v>4868</v>
      </c>
      <c r="B380" s="931" t="s">
        <v>4891</v>
      </c>
      <c r="C380" s="932" t="s">
        <v>4297</v>
      </c>
      <c r="D380" s="933" t="s">
        <v>4893</v>
      </c>
      <c r="E380" s="939">
        <v>98575.0</v>
      </c>
      <c r="F380" s="937" t="s">
        <v>218</v>
      </c>
      <c r="G380" s="421" t="str">
        <f>IFERROR(IF(F380="SINAPI-S",VLOOKUP(E380,'20-B.SINAPI-S'!A:J,2,0),IF(F380="SINAPI-I",VLOOKUP(E380,'20-A.SINAPI-I'!A:G,2,0),IF(F380="COMP.EVENTUAL",VLOOKUP(E380,'11.COMPOSIÇÕES GERAIS'!B:I,2,0),VLOOKUP(E380,'12.COT.MERCADO'!A:I,2,0)))),"Em Elaboração")</f>
        <v>TRATAMENTO DE JUNTA DE DILATAÇÃO, COM TARUGO DE POLIETILENO E SELANTE PU, INCLUSO PREENCHIMENTO COM ESPUMA EXPANSIVA PU. AF_06/2018</v>
      </c>
      <c r="H380" s="934" t="str">
        <f>IFERROR(IF(F380="SINAPI-S",VLOOKUP(E380,'20-B.SINAPI-S'!A:J,3,0),IF(F380="SINAPI-I",VLOOKUP(E380,'20-A.SINAPI-I'!A:G,3,0),IF(F380="COMP.EVENTUAL",VLOOKUP(E380,'11.COMPOSIÇÕES GERAIS'!B:I,3,0),VLOOKUP(E380,'12.COT.MERCADO'!A:I,7,0)))),"Em Elaboração")</f>
        <v>M</v>
      </c>
      <c r="I380" s="941">
        <v>1.0</v>
      </c>
    </row>
    <row r="381">
      <c r="A381" s="931" t="s">
        <v>4868</v>
      </c>
      <c r="B381" s="931" t="s">
        <v>4894</v>
      </c>
      <c r="C381" s="932" t="s">
        <v>4297</v>
      </c>
      <c r="D381" s="933" t="s">
        <v>4895</v>
      </c>
      <c r="E381" s="939">
        <v>37400.0</v>
      </c>
      <c r="F381" s="946" t="s">
        <v>286</v>
      </c>
      <c r="G381" s="421" t="str">
        <f>IFERROR(IF(F381="SINAPI-S",VLOOKUP(E381,'20-B.SINAPI-S'!A:J,2,0),IF(F381="SINAPI-I",VLOOKUP(E381,'20-A.SINAPI-I'!A:G,2,0),IF(F381="COMP.EVENTUAL",VLOOKUP(E381,'11.COMPOSIÇÕES GERAIS'!B:I,2,0),VLOOKUP(E381,'12.COT.MERCADO'!A:I,2,0)))),"Em Elaboração")</f>
        <v>PAPELEIRA PLASTICA TIPO DISPENSER PARA PAPEL HIGIENICO ROLAO</v>
      </c>
      <c r="H381" s="934" t="str">
        <f>IFERROR(IF(F381="SINAPI-S",VLOOKUP(E381,'20-B.SINAPI-S'!A:J,3,0),IF(F381="SINAPI-I",VLOOKUP(E381,'20-A.SINAPI-I'!A:G,3,0),IF(F381="COMP.EVENTUAL",VLOOKUP(E381,'11.COMPOSIÇÕES GERAIS'!B:I,3,0),VLOOKUP(E381,'12.COT.MERCADO'!A:I,7,0)))),"Em Elaboração")</f>
        <v>UN</v>
      </c>
      <c r="I381" s="934">
        <v>3.0</v>
      </c>
    </row>
    <row r="382">
      <c r="A382" s="931" t="s">
        <v>4868</v>
      </c>
      <c r="B382" s="931" t="s">
        <v>4894</v>
      </c>
      <c r="C382" s="932" t="s">
        <v>4297</v>
      </c>
      <c r="D382" s="933" t="s">
        <v>4896</v>
      </c>
      <c r="E382" s="939">
        <v>102156.0</v>
      </c>
      <c r="F382" s="937" t="s">
        <v>218</v>
      </c>
      <c r="G382" s="421" t="str">
        <f>IFERROR(IF(F382="SINAPI-S",VLOOKUP(E382,'20-B.SINAPI-S'!A:J,2,0),IF(F382="SINAPI-I",VLOOKUP(E382,'20-A.SINAPI-I'!A:G,2,0),IF(F382="COMP.EVENTUAL",VLOOKUP(E382,'11.COMPOSIÇÕES GERAIS'!B:I,2,0),VLOOKUP(E382,'12.COT.MERCADO'!A:I,2,0)))),"Em Elaboração")</f>
        <v>INSTALAÇÃO DE VIDRO LISO INCOLOR, E = 6 MM, EM ESQUADRIA DE MADEIRA, FIXADO COM BAGUETE. AF_01/2021</v>
      </c>
      <c r="H382" s="934" t="str">
        <f>IFERROR(IF(F382="SINAPI-S",VLOOKUP(E382,'20-B.SINAPI-S'!A:J,3,0),IF(F382="SINAPI-I",VLOOKUP(E382,'20-A.SINAPI-I'!A:G,3,0),IF(F382="COMP.EVENTUAL",VLOOKUP(E382,'11.COMPOSIÇÕES GERAIS'!B:I,3,0),VLOOKUP(E382,'12.COT.MERCADO'!A:I,7,0)))),"Em Elaboração")</f>
        <v>M2</v>
      </c>
      <c r="I382" s="941">
        <v>1.0</v>
      </c>
    </row>
    <row r="383">
      <c r="A383" s="931" t="s">
        <v>4868</v>
      </c>
      <c r="B383" s="931" t="s">
        <v>4897</v>
      </c>
      <c r="C383" s="932" t="s">
        <v>4274</v>
      </c>
      <c r="D383" s="933" t="s">
        <v>4898</v>
      </c>
      <c r="E383" s="939">
        <v>92009.0</v>
      </c>
      <c r="F383" s="937" t="s">
        <v>218</v>
      </c>
      <c r="G383" s="421" t="str">
        <f>IFERROR(IF(F383="SINAPI-S",VLOOKUP(E383,'20-B.SINAPI-S'!A:J,2,0),IF(F383="SINAPI-I",VLOOKUP(E383,'20-A.SINAPI-I'!A:G,2,0),IF(F383="COMP.EVENTUAL",VLOOKUP(E383,'11.COMPOSIÇÕES GERAIS'!B:I,2,0),VLOOKUP(E383,'12.COT.MERCADO'!A:I,2,0)))),"Em Elaboração")</f>
        <v>TOMADA BAIXA DE EMBUTIR (2 MÓDULOS), 2P+T 20 A, INCLUINDO SUPORTE E PLACA - FORNECIMENTO E INSTALAÇÃO. AF_03/2023</v>
      </c>
      <c r="H383" s="934" t="str">
        <f>IFERROR(IF(F383="SINAPI-S",VLOOKUP(E383,'20-B.SINAPI-S'!A:J,3,0),IF(F383="SINAPI-I",VLOOKUP(E383,'20-A.SINAPI-I'!A:G,3,0),IF(F383="COMP.EVENTUAL",VLOOKUP(E383,'11.COMPOSIÇÕES GERAIS'!B:I,3,0),VLOOKUP(E383,'12.COT.MERCADO'!A:I,7,0)))),"Em Elaboração")</f>
        <v>UN</v>
      </c>
      <c r="I383" s="934">
        <v>1.0</v>
      </c>
    </row>
    <row r="384">
      <c r="A384" s="931" t="s">
        <v>4868</v>
      </c>
      <c r="B384" s="931" t="s">
        <v>4899</v>
      </c>
      <c r="C384" s="932" t="s">
        <v>4274</v>
      </c>
      <c r="D384" s="933" t="s">
        <v>4900</v>
      </c>
      <c r="E384" s="939" t="s">
        <v>1844</v>
      </c>
      <c r="F384" s="935" t="s">
        <v>4276</v>
      </c>
      <c r="G384" s="421" t="str">
        <f>IFERROR(IF(F384="SINAPI-S",VLOOKUP(E384,'20-B.SINAPI-S'!A:J,2,0),IF(F384="SINAPI-I",VLOOKUP(E384,'20-A.SINAPI-I'!A:G,2,0),IF(F384="COMP.EVENTUAL",VLOOKUP(E384,'11.COMPOSIÇÕES GERAIS'!B:I,2,0),VLOOKUP(E384,'12.COT.MERCADO'!A:I,2,0)))),"Em Elaboração")</f>
        <v>FORNECIMENTO E INSTALAÇÃO DE PLACA CENTRAL DE COMANDO UNIVERSAL X2 FULL ST IPEC PARA AUTOMATIZADORES</v>
      </c>
      <c r="H384" s="934" t="str">
        <f>IFERROR(IF(F384="SINAPI-S",VLOOKUP(E384,'20-B.SINAPI-S'!A:J,3,0),IF(F384="SINAPI-I",VLOOKUP(E384,'20-A.SINAPI-I'!A:G,3,0),IF(F384="COMP.EVENTUAL",VLOOKUP(E384,'11.COMPOSIÇÕES GERAIS'!B:I,3,0),VLOOKUP(E384,'12.COT.MERCADO'!A:I,7,0)))),"Em Elaboração")</f>
        <v>UN</v>
      </c>
      <c r="I384" s="934">
        <v>1.0</v>
      </c>
    </row>
    <row r="385">
      <c r="A385" s="931" t="s">
        <v>4868</v>
      </c>
      <c r="B385" s="931" t="s">
        <v>4899</v>
      </c>
      <c r="C385" s="932" t="s">
        <v>4274</v>
      </c>
      <c r="D385" s="933" t="s">
        <v>4901</v>
      </c>
      <c r="E385" s="939" t="s">
        <v>1922</v>
      </c>
      <c r="F385" s="935" t="s">
        <v>4276</v>
      </c>
      <c r="G385" s="421" t="str">
        <f>IFERROR(IF(F385="SINAPI-S",VLOOKUP(E385,'20-B.SINAPI-S'!A:J,2,0),IF(F385="SINAPI-I",VLOOKUP(E385,'20-A.SINAPI-I'!A:G,2,0),IF(F385="COMP.EVENTUAL",VLOOKUP(E385,'11.COMPOSIÇÕES GERAIS'!B:I,2,0),VLOOKUP(E385,'12.COT.MERCADO'!A:I,2,0)))),"Em Elaboração")</f>
        <v>FORNECIMENTO E INSTALAÇÃO DE PONTO DE ATERRAMENTO, INCLUÍNDO 1M DE CABO DE COBRE NU 50MM2, HASTE E CAIXA DE INSPEÇÃO</v>
      </c>
      <c r="H385" s="934" t="str">
        <f>IFERROR(IF(F385="SINAPI-S",VLOOKUP(E385,'20-B.SINAPI-S'!A:J,3,0),IF(F385="SINAPI-I",VLOOKUP(E385,'20-A.SINAPI-I'!A:G,3,0),IF(F385="COMP.EVENTUAL",VLOOKUP(E385,'11.COMPOSIÇÕES GERAIS'!B:I,3,0),VLOOKUP(E385,'12.COT.MERCADO'!A:I,7,0)))),"Em Elaboração")</f>
        <v>UN</v>
      </c>
      <c r="I385" s="939">
        <v>1.0</v>
      </c>
    </row>
    <row r="386">
      <c r="A386" s="931" t="s">
        <v>4868</v>
      </c>
      <c r="B386" s="931" t="s">
        <v>4902</v>
      </c>
      <c r="C386" s="932" t="s">
        <v>4297</v>
      </c>
      <c r="D386" s="933" t="s">
        <v>4903</v>
      </c>
      <c r="E386" s="939">
        <v>90825.0</v>
      </c>
      <c r="F386" s="937" t="s">
        <v>218</v>
      </c>
      <c r="G386" s="421" t="str">
        <f>IFERROR(IF(F386="SINAPI-S",VLOOKUP(E386,'20-B.SINAPI-S'!A:J,2,0),IF(F386="SINAPI-I",VLOOKUP(E386,'20-A.SINAPI-I'!A:G,2,0),IF(F386="COMP.EVENTUAL",VLOOKUP(E386,'11.COMPOSIÇÕES GERAIS'!B:I,2,0),VLOOKUP(E386,'12.COT.MERCADO'!A:I,2,0)))),"Em Elaboração")</f>
        <v>PORTA DE MADEIRA, MACIÇA (PESADA OU SUPERPESADA), 90X210CM, ESPESSURA DE 3,5CM, INCLUSO DOBRADIÇAS - FORNECIMENTO E INSTALAÇÃO. AF_12/2019</v>
      </c>
      <c r="H386" s="934" t="str">
        <f>IFERROR(IF(F386="SINAPI-S",VLOOKUP(E386,'20-B.SINAPI-S'!A:J,3,0),IF(F386="SINAPI-I",VLOOKUP(E386,'20-A.SINAPI-I'!A:G,3,0),IF(F386="COMP.EVENTUAL",VLOOKUP(E386,'11.COMPOSIÇÕES GERAIS'!B:I,3,0),VLOOKUP(E386,'12.COT.MERCADO'!A:I,7,0)))),"Em Elaboração")</f>
        <v>UN</v>
      </c>
      <c r="I386" s="934">
        <v>1.0</v>
      </c>
    </row>
    <row r="387">
      <c r="A387" s="931" t="s">
        <v>4868</v>
      </c>
      <c r="B387" s="931" t="s">
        <v>4904</v>
      </c>
      <c r="C387" s="932" t="s">
        <v>4274</v>
      </c>
      <c r="D387" s="933" t="s">
        <v>4905</v>
      </c>
      <c r="E387" s="939" t="s">
        <v>1919</v>
      </c>
      <c r="F387" s="947" t="s">
        <v>4276</v>
      </c>
      <c r="G387" s="421" t="str">
        <f>IFERROR(IF(F387="SINAPI-S",VLOOKUP(E387,'20-B.SINAPI-S'!A:J,2,0),IF(F387="SINAPI-I",VLOOKUP(E387,'20-A.SINAPI-I'!A:G,2,0),IF(F387="COMP.EVENTUAL",VLOOKUP(E387,'11.COMPOSIÇÕES GERAIS'!B:I,2,0),VLOOKUP(E387,'12.COT.MERCADO'!A:I,2,0)))),"Em Elaboração")</f>
        <v>LAUDO TECNICO SPDA CONFORME NBR 5419, INCLUSIVE EMISSÃO DE ART</v>
      </c>
      <c r="H387" s="934" t="str">
        <f>IFERROR(IF(F387="SINAPI-S",VLOOKUP(E387,'20-B.SINAPI-S'!A:J,3,0),IF(F387="SINAPI-I",VLOOKUP(E387,'20-A.SINAPI-I'!A:G,3,0),IF(F387="COMP.EVENTUAL",VLOOKUP(E387,'11.COMPOSIÇÕES GERAIS'!B:I,3,0),VLOOKUP(E387,'12.COT.MERCADO'!A:I,7,0)))),"Em Elaboração")</f>
        <v>UN</v>
      </c>
      <c r="I387" s="934">
        <v>1.0</v>
      </c>
    </row>
    <row r="388">
      <c r="A388" s="931" t="s">
        <v>4868</v>
      </c>
      <c r="B388" s="931" t="s">
        <v>4906</v>
      </c>
      <c r="C388" s="932" t="s">
        <v>4306</v>
      </c>
      <c r="D388" s="933" t="s">
        <v>4907</v>
      </c>
      <c r="E388" s="939">
        <v>97662.0</v>
      </c>
      <c r="F388" s="937" t="s">
        <v>218</v>
      </c>
      <c r="G388" s="421" t="str">
        <f>IFERROR(IF(F388="SINAPI-S",VLOOKUP(E388,'20-B.SINAPI-S'!A:J,2,0),IF(F388="SINAPI-I",VLOOKUP(E388,'20-A.SINAPI-I'!A:G,2,0),IF(F388="COMP.EVENTUAL",VLOOKUP(E388,'11.COMPOSIÇÕES GERAIS'!B:I,2,0),VLOOKUP(E388,'12.COT.MERCADO'!A:I,2,0)))),"Em Elaboração")</f>
        <v>REMOÇÃO DE TUBULAÇÕES (TUBOS E CONEXÕES) DE ÁGUA FRIA, DE FORMA MANUAL, SEM REAPROVEITAMENTO. AF_12/2017</v>
      </c>
      <c r="H388" s="934" t="str">
        <f>IFERROR(IF(F388="SINAPI-S",VLOOKUP(E388,'20-B.SINAPI-S'!A:J,3,0),IF(F388="SINAPI-I",VLOOKUP(E388,'20-A.SINAPI-I'!A:G,3,0),IF(F388="COMP.EVENTUAL",VLOOKUP(E388,'11.COMPOSIÇÕES GERAIS'!B:I,3,0),VLOOKUP(E388,'12.COT.MERCADO'!A:I,7,0)))),"Em Elaboração")</f>
        <v>M</v>
      </c>
      <c r="I388" s="934">
        <v>20.0</v>
      </c>
    </row>
    <row r="389">
      <c r="A389" s="931" t="s">
        <v>4868</v>
      </c>
      <c r="B389" s="931" t="s">
        <v>4906</v>
      </c>
      <c r="C389" s="932" t="s">
        <v>4306</v>
      </c>
      <c r="D389" s="933" t="s">
        <v>4908</v>
      </c>
      <c r="E389" s="939">
        <v>96718.0</v>
      </c>
      <c r="F389" s="937" t="s">
        <v>218</v>
      </c>
      <c r="G389" s="421" t="str">
        <f>IFERROR(IF(F389="SINAPI-S",VLOOKUP(E389,'20-B.SINAPI-S'!A:J,2,0),IF(F389="SINAPI-I",VLOOKUP(E389,'20-A.SINAPI-I'!A:G,2,0),IF(F389="COMP.EVENTUAL",VLOOKUP(E389,'11.COMPOSIÇÕES GERAIS'!B:I,2,0),VLOOKUP(E389,'12.COT.MERCADO'!A:I,2,0)))),"Em Elaboração")</f>
        <v>TUBO, PPR, DN 20, CLASSE PN 20,  INSTALADO EM RESERVAÇÃO DE ÁGUA DE EDIFICAÇÃO QUE POSSUA RESERVATÓRIO DE FIBRA/FIBROCIMENTO _x0096_ FORNECIMENTO E INSTALAÇÃO. AF_06/2016</v>
      </c>
      <c r="H389" s="934" t="str">
        <f>IFERROR(IF(F389="SINAPI-S",VLOOKUP(E389,'20-B.SINAPI-S'!A:J,3,0),IF(F389="SINAPI-I",VLOOKUP(E389,'20-A.SINAPI-I'!A:G,3,0),IF(F389="COMP.EVENTUAL",VLOOKUP(E389,'11.COMPOSIÇÕES GERAIS'!B:I,3,0),VLOOKUP(E389,'12.COT.MERCADO'!A:I,7,0)))),"Em Elaboração")</f>
        <v>M</v>
      </c>
      <c r="I389" s="934">
        <v>20.0</v>
      </c>
    </row>
    <row r="390">
      <c r="A390" s="931" t="s">
        <v>4868</v>
      </c>
      <c r="B390" s="931" t="s">
        <v>4906</v>
      </c>
      <c r="C390" s="932" t="s">
        <v>4297</v>
      </c>
      <c r="D390" s="933" t="s">
        <v>4909</v>
      </c>
      <c r="E390" s="939" t="s">
        <v>1903</v>
      </c>
      <c r="F390" s="935" t="s">
        <v>4276</v>
      </c>
      <c r="G390" s="421" t="str">
        <f>IFERROR(IF(F390="SINAPI-S",VLOOKUP(E390,'20-B.SINAPI-S'!A:J,2,0),IF(F390="SINAPI-I",VLOOKUP(E390,'20-A.SINAPI-I'!A:G,2,0),IF(F390="COMP.EVENTUAL",VLOOKUP(E390,'11.COMPOSIÇÕES GERAIS'!B:I,2,0),VLOOKUP(E390,'12.COT.MERCADO'!A:I,2,0)))),"Em Elaboração")</f>
        <v>LIMPEZA DE CAIXA D'AGUA OU CISTERNA, COM CAPACIDADE DE 2001 A 20000L, INCLUSIVE DESINFECCAO CONFORME NORMAS DA SANEPAR</v>
      </c>
      <c r="H390" s="934" t="str">
        <f>IFERROR(IF(F390="SINAPI-S",VLOOKUP(E390,'20-B.SINAPI-S'!A:J,3,0),IF(F390="SINAPI-I",VLOOKUP(E390,'20-A.SINAPI-I'!A:G,3,0),IF(F390="COMP.EVENTUAL",VLOOKUP(E390,'11.COMPOSIÇÕES GERAIS'!B:I,3,0),VLOOKUP(E390,'12.COT.MERCADO'!A:I,7,0)))),"Em Elaboração")</f>
        <v>UN</v>
      </c>
      <c r="I390" s="934">
        <v>1.0</v>
      </c>
    </row>
    <row r="391">
      <c r="A391" s="931" t="s">
        <v>4868</v>
      </c>
      <c r="B391" s="931" t="s">
        <v>4906</v>
      </c>
      <c r="C391" s="932" t="s">
        <v>4306</v>
      </c>
      <c r="D391" s="933" t="s">
        <v>4910</v>
      </c>
      <c r="E391" s="939">
        <v>5901.0</v>
      </c>
      <c r="F391" s="937" t="s">
        <v>218</v>
      </c>
      <c r="G391" s="421" t="str">
        <f>IFERROR(IF(F391="SINAPI-S",VLOOKUP(E391,'20-B.SINAPI-S'!A:J,2,0),IF(F391="SINAPI-I",VLOOKUP(E391,'20-A.SINAPI-I'!A:G,2,0),IF(F391="COMP.EVENTUAL",VLOOKUP(E391,'11.COMPOSIÇÕES GERAIS'!B:I,2,0),VLOOKUP(E391,'12.COT.MERCADO'!A:I,2,0)))),"Em Elaboração")</f>
        <v>CAMINHÃO PIPA 10.000 L TRUCADO, PESO BRUTO TOTAL 23.000 KG, CARGA ÚTIL MÁXIMA 15.935 KG, DISTÂNCIA ENTRE EIXOS 4,8 M, POTÊNCIA 230 CV, INCLUSIVE TANQUE DE AÇO PARA TRANSPORTE DE ÁGUA - CHP DIURNO. AF_06/2014</v>
      </c>
      <c r="H391" s="934" t="str">
        <f>IFERROR(IF(F391="SINAPI-S",VLOOKUP(E391,'20-B.SINAPI-S'!A:J,3,0),IF(F391="SINAPI-I",VLOOKUP(E391,'20-A.SINAPI-I'!A:G,3,0),IF(F391="COMP.EVENTUAL",VLOOKUP(E391,'11.COMPOSIÇÕES GERAIS'!B:I,3,0),VLOOKUP(E391,'12.COT.MERCADO'!A:I,7,0)))),"Em Elaboração")</f>
        <v>CHP</v>
      </c>
      <c r="I391" s="934">
        <v>1.0</v>
      </c>
    </row>
    <row r="392">
      <c r="A392" s="931" t="s">
        <v>4868</v>
      </c>
      <c r="B392" s="931" t="s">
        <v>4911</v>
      </c>
      <c r="C392" s="932" t="s">
        <v>4274</v>
      </c>
      <c r="D392" s="933" t="s">
        <v>4912</v>
      </c>
      <c r="E392" s="939" t="s">
        <v>1922</v>
      </c>
      <c r="F392" s="935" t="s">
        <v>4276</v>
      </c>
      <c r="G392" s="421" t="str">
        <f>IFERROR(IF(F392="SINAPI-S",VLOOKUP(E392,'20-B.SINAPI-S'!A:J,2,0),IF(F392="SINAPI-I",VLOOKUP(E392,'20-A.SINAPI-I'!A:G,2,0),IF(F392="COMP.EVENTUAL",VLOOKUP(E392,'11.COMPOSIÇÕES GERAIS'!B:I,2,0),VLOOKUP(E392,'12.COT.MERCADO'!A:I,2,0)))),"Em Elaboração")</f>
        <v>FORNECIMENTO E INSTALAÇÃO DE PONTO DE ATERRAMENTO, INCLUÍNDO 1M DE CABO DE COBRE NU 50MM2, HASTE E CAIXA DE INSPEÇÃO</v>
      </c>
      <c r="H392" s="934" t="str">
        <f>IFERROR(IF(F392="SINAPI-S",VLOOKUP(E392,'20-B.SINAPI-S'!A:J,3,0),IF(F392="SINAPI-I",VLOOKUP(E392,'20-A.SINAPI-I'!A:G,3,0),IF(F392="COMP.EVENTUAL",VLOOKUP(E392,'11.COMPOSIÇÕES GERAIS'!B:I,3,0),VLOOKUP(E392,'12.COT.MERCADO'!A:I,7,0)))),"Em Elaboração")</f>
        <v>UN</v>
      </c>
      <c r="I392" s="934">
        <v>1.0</v>
      </c>
    </row>
    <row r="393">
      <c r="A393" s="931" t="s">
        <v>4868</v>
      </c>
      <c r="B393" s="931" t="s">
        <v>4913</v>
      </c>
      <c r="C393" s="932" t="s">
        <v>4297</v>
      </c>
      <c r="D393" s="933" t="s">
        <v>4914</v>
      </c>
      <c r="E393" s="939">
        <v>97062.0</v>
      </c>
      <c r="F393" s="937" t="s">
        <v>218</v>
      </c>
      <c r="G393" s="421" t="str">
        <f>IFERROR(IF(F393="SINAPI-S",VLOOKUP(E393,'20-B.SINAPI-S'!A:J,2,0),IF(F393="SINAPI-I",VLOOKUP(E393,'20-A.SINAPI-I'!A:G,2,0),IF(F393="COMP.EVENTUAL",VLOOKUP(E393,'11.COMPOSIÇÕES GERAIS'!B:I,2,0),VLOOKUP(E393,'12.COT.MERCADO'!A:I,2,0)))),"Em Elaboração")</f>
        <v>COLOCAÇÃO DE TELA EM ANDAIME FACHADEIRO. AF_11/2017</v>
      </c>
      <c r="H393" s="934" t="str">
        <f>IFERROR(IF(F393="SINAPI-S",VLOOKUP(E393,'20-B.SINAPI-S'!A:J,3,0),IF(F393="SINAPI-I",VLOOKUP(E393,'20-A.SINAPI-I'!A:G,3,0),IF(F393="COMP.EVENTUAL",VLOOKUP(E393,'11.COMPOSIÇÕES GERAIS'!B:I,3,0),VLOOKUP(E393,'12.COT.MERCADO'!A:I,7,0)))),"Em Elaboração")</f>
        <v>M2</v>
      </c>
      <c r="I393" s="934">
        <v>6.0</v>
      </c>
    </row>
    <row r="394">
      <c r="A394" s="931" t="s">
        <v>4868</v>
      </c>
      <c r="B394" s="931" t="s">
        <v>4915</v>
      </c>
      <c r="C394" s="932" t="s">
        <v>4274</v>
      </c>
      <c r="D394" s="933" t="s">
        <v>4344</v>
      </c>
      <c r="E394" s="939">
        <v>97617.0</v>
      </c>
      <c r="F394" s="937" t="s">
        <v>218</v>
      </c>
      <c r="G394" s="421" t="str">
        <f>IFERROR(IF(F394="SINAPI-S",VLOOKUP(E394,'20-B.SINAPI-S'!A:J,2,0),IF(F394="SINAPI-I",VLOOKUP(E394,'20-A.SINAPI-I'!A:G,2,0),IF(F394="COMP.EVENTUAL",VLOOKUP(E394,'11.COMPOSIÇÕES GERAIS'!B:I,2,0),VLOOKUP(E394,'12.COT.MERCADO'!A:I,2,0)))),"Em Elaboração")</f>
        <v>LÂMPADA TUBULAR FLUORESCENTE T10 DE 20/40 W, BASE G13 - FORNECIMENTO E INSTALAÇÃO. AF_02/2020_PS</v>
      </c>
      <c r="H394" s="934" t="str">
        <f>IFERROR(IF(F394="SINAPI-S",VLOOKUP(E394,'20-B.SINAPI-S'!A:J,3,0),IF(F394="SINAPI-I",VLOOKUP(E394,'20-A.SINAPI-I'!A:G,3,0),IF(F394="COMP.EVENTUAL",VLOOKUP(E394,'11.COMPOSIÇÕES GERAIS'!B:I,3,0),VLOOKUP(E394,'12.COT.MERCADO'!A:I,7,0)))),"Em Elaboração")</f>
        <v>UN</v>
      </c>
      <c r="I394" s="934">
        <v>2.0</v>
      </c>
    </row>
    <row r="395">
      <c r="A395" s="931" t="s">
        <v>4868</v>
      </c>
      <c r="B395" s="931" t="s">
        <v>4916</v>
      </c>
      <c r="C395" s="932" t="s">
        <v>4274</v>
      </c>
      <c r="D395" s="933" t="s">
        <v>4917</v>
      </c>
      <c r="E395" s="939" t="s">
        <v>1851</v>
      </c>
      <c r="F395" s="935" t="s">
        <v>4276</v>
      </c>
      <c r="G395" s="421" t="str">
        <f>IFERROR(IF(F395="SINAPI-S",VLOOKUP(E395,'20-B.SINAPI-S'!A:J,2,0),IF(F395="SINAPI-I",VLOOKUP(E395,'20-A.SINAPI-I'!A:G,2,0),IF(F395="COMP.EVENTUAL",VLOOKUP(E395,'11.COMPOSIÇÕES GERAIS'!B:I,2,0),VLOOKUP(E395,'12.COT.MERCADO'!A:I,2,0)))),"Em Elaboração")</f>
        <v>TESTE, LIMPEZA E REAPERTO DOS COMPONENTES PARA QUADROS DE DISTRIBUIÇÃO ATÉ 64 CIRCUITOS</v>
      </c>
      <c r="H395" s="934" t="str">
        <f>IFERROR(IF(F395="SINAPI-S",VLOOKUP(E395,'20-B.SINAPI-S'!A:J,3,0),IF(F395="SINAPI-I",VLOOKUP(E395,'20-A.SINAPI-I'!A:G,3,0),IF(F395="COMP.EVENTUAL",VLOOKUP(E395,'11.COMPOSIÇÕES GERAIS'!B:I,3,0),VLOOKUP(E395,'12.COT.MERCADO'!A:I,7,0)))),"Em Elaboração")</f>
        <v>UN</v>
      </c>
      <c r="I395" s="934">
        <v>1.0</v>
      </c>
    </row>
    <row r="396">
      <c r="A396" s="931" t="s">
        <v>4868</v>
      </c>
      <c r="B396" s="931" t="s">
        <v>4918</v>
      </c>
      <c r="C396" s="932" t="s">
        <v>4274</v>
      </c>
      <c r="D396" s="933" t="s">
        <v>4344</v>
      </c>
      <c r="E396" s="939">
        <v>97617.0</v>
      </c>
      <c r="F396" s="937" t="s">
        <v>218</v>
      </c>
      <c r="G396" s="421" t="str">
        <f>IFERROR(IF(F396="SINAPI-S",VLOOKUP(E396,'20-B.SINAPI-S'!A:J,2,0),IF(F396="SINAPI-I",VLOOKUP(E396,'20-A.SINAPI-I'!A:G,2,0),IF(F396="COMP.EVENTUAL",VLOOKUP(E396,'11.COMPOSIÇÕES GERAIS'!B:I,2,0),VLOOKUP(E396,'12.COT.MERCADO'!A:I,2,0)))),"Em Elaboração")</f>
        <v>LÂMPADA TUBULAR FLUORESCENTE T10 DE 20/40 W, BASE G13 - FORNECIMENTO E INSTALAÇÃO. AF_02/2020_PS</v>
      </c>
      <c r="H396" s="934" t="str">
        <f>IFERROR(IF(F396="SINAPI-S",VLOOKUP(E396,'20-B.SINAPI-S'!A:J,3,0),IF(F396="SINAPI-I",VLOOKUP(E396,'20-A.SINAPI-I'!A:G,3,0),IF(F396="COMP.EVENTUAL",VLOOKUP(E396,'11.COMPOSIÇÕES GERAIS'!B:I,3,0),VLOOKUP(E396,'12.COT.MERCADO'!A:I,7,0)))),"Em Elaboração")</f>
        <v>UN</v>
      </c>
      <c r="I396" s="934">
        <v>6.0</v>
      </c>
    </row>
    <row r="397">
      <c r="A397" s="931" t="s">
        <v>4868</v>
      </c>
      <c r="B397" s="931" t="s">
        <v>4919</v>
      </c>
      <c r="C397" s="932" t="s">
        <v>4274</v>
      </c>
      <c r="D397" s="933" t="s">
        <v>4920</v>
      </c>
      <c r="E397" s="939" t="s">
        <v>1922</v>
      </c>
      <c r="F397" s="935" t="s">
        <v>4276</v>
      </c>
      <c r="G397" s="421" t="str">
        <f>IFERROR(IF(F397="SINAPI-S",VLOOKUP(E397,'20-B.SINAPI-S'!A:J,2,0),IF(F397="SINAPI-I",VLOOKUP(E397,'20-A.SINAPI-I'!A:G,2,0),IF(F397="COMP.EVENTUAL",VLOOKUP(E397,'11.COMPOSIÇÕES GERAIS'!B:I,2,0),VLOOKUP(E397,'12.COT.MERCADO'!A:I,2,0)))),"Em Elaboração")</f>
        <v>FORNECIMENTO E INSTALAÇÃO DE PONTO DE ATERRAMENTO, INCLUÍNDO 1M DE CABO DE COBRE NU 50MM2, HASTE E CAIXA DE INSPEÇÃO</v>
      </c>
      <c r="H397" s="934" t="str">
        <f>IFERROR(IF(F397="SINAPI-S",VLOOKUP(E397,'20-B.SINAPI-S'!A:J,3,0),IF(F397="SINAPI-I",VLOOKUP(E397,'20-A.SINAPI-I'!A:G,3,0),IF(F397="COMP.EVENTUAL",VLOOKUP(E397,'11.COMPOSIÇÕES GERAIS'!B:I,3,0),VLOOKUP(E397,'12.COT.MERCADO'!A:I,7,0)))),"Em Elaboração")</f>
        <v>UN</v>
      </c>
      <c r="I397" s="934">
        <v>1.0</v>
      </c>
    </row>
    <row r="398">
      <c r="A398" s="931" t="s">
        <v>4868</v>
      </c>
      <c r="B398" s="931" t="s">
        <v>4919</v>
      </c>
      <c r="C398" s="932" t="s">
        <v>4274</v>
      </c>
      <c r="D398" s="933" t="s">
        <v>4921</v>
      </c>
      <c r="E398" s="939" t="s">
        <v>1922</v>
      </c>
      <c r="F398" s="935" t="s">
        <v>4276</v>
      </c>
      <c r="G398" s="421" t="str">
        <f>IFERROR(IF(F398="SINAPI-S",VLOOKUP(E398,'20-B.SINAPI-S'!A:J,2,0),IF(F398="SINAPI-I",VLOOKUP(E398,'20-A.SINAPI-I'!A:G,2,0),IF(F398="COMP.EVENTUAL",VLOOKUP(E398,'11.COMPOSIÇÕES GERAIS'!B:I,2,0),VLOOKUP(E398,'12.COT.MERCADO'!A:I,2,0)))),"Em Elaboração")</f>
        <v>FORNECIMENTO E INSTALAÇÃO DE PONTO DE ATERRAMENTO, INCLUÍNDO 1M DE CABO DE COBRE NU 50MM2, HASTE E CAIXA DE INSPEÇÃO</v>
      </c>
      <c r="H398" s="934" t="str">
        <f>IFERROR(IF(F398="SINAPI-S",VLOOKUP(E398,'20-B.SINAPI-S'!A:J,3,0),IF(F398="SINAPI-I",VLOOKUP(E398,'20-A.SINAPI-I'!A:G,3,0),IF(F398="COMP.EVENTUAL",VLOOKUP(E398,'11.COMPOSIÇÕES GERAIS'!B:I,3,0),VLOOKUP(E398,'12.COT.MERCADO'!A:I,7,0)))),"Em Elaboração")</f>
        <v>UN</v>
      </c>
      <c r="I398" s="934">
        <v>1.0</v>
      </c>
    </row>
    <row r="399">
      <c r="A399" s="931" t="s">
        <v>4868</v>
      </c>
      <c r="B399" s="931" t="s">
        <v>4919</v>
      </c>
      <c r="C399" s="932" t="s">
        <v>4274</v>
      </c>
      <c r="D399" s="933" t="s">
        <v>4922</v>
      </c>
      <c r="E399" s="939">
        <v>97664.0</v>
      </c>
      <c r="F399" s="937" t="s">
        <v>218</v>
      </c>
      <c r="G399" s="421" t="str">
        <f>IFERROR(IF(F399="SINAPI-S",VLOOKUP(E399,'20-B.SINAPI-S'!A:J,2,0),IF(F399="SINAPI-I",VLOOKUP(E399,'20-A.SINAPI-I'!A:G,2,0),IF(F399="COMP.EVENTUAL",VLOOKUP(E399,'11.COMPOSIÇÕES GERAIS'!B:I,2,0),VLOOKUP(E399,'12.COT.MERCADO'!A:I,2,0)))),"Em Elaboração")</f>
        <v>REMOÇÃO DE ACESSÓRIOS, DE FORMA MANUAL, SEM REAPROVEITAMENTO. AF_12/2017</v>
      </c>
      <c r="H399" s="934" t="str">
        <f>IFERROR(IF(F399="SINAPI-S",VLOOKUP(E399,'20-B.SINAPI-S'!A:J,3,0),IF(F399="SINAPI-I",VLOOKUP(E399,'20-A.SINAPI-I'!A:G,3,0),IF(F399="COMP.EVENTUAL",VLOOKUP(E399,'11.COMPOSIÇÕES GERAIS'!B:I,3,0),VLOOKUP(E399,'12.COT.MERCADO'!A:I,7,0)))),"Em Elaboração")</f>
        <v>UN</v>
      </c>
      <c r="I399" s="934">
        <v>1.0</v>
      </c>
    </row>
    <row r="400">
      <c r="A400" s="931" t="s">
        <v>4868</v>
      </c>
      <c r="B400" s="931" t="s">
        <v>4919</v>
      </c>
      <c r="C400" s="932" t="s">
        <v>4274</v>
      </c>
      <c r="D400" s="933" t="s">
        <v>4923</v>
      </c>
      <c r="E400" s="939">
        <v>96985.0</v>
      </c>
      <c r="F400" s="937" t="s">
        <v>218</v>
      </c>
      <c r="G400" s="421" t="str">
        <f>IFERROR(IF(F400="SINAPI-S",VLOOKUP(E400,'20-B.SINAPI-S'!A:J,2,0),IF(F400="SINAPI-I",VLOOKUP(E400,'20-A.SINAPI-I'!A:G,2,0),IF(F400="COMP.EVENTUAL",VLOOKUP(E400,'11.COMPOSIÇÕES GERAIS'!B:I,2,0),VLOOKUP(E400,'12.COT.MERCADO'!A:I,2,0)))),"Em Elaboração")</f>
        <v>HASTE DE ATERRAMENTO 5/8  PARA SPDA - FORNECIMENTO E INSTALAÇÃO. AF_12/2017</v>
      </c>
      <c r="H400" s="934" t="str">
        <f>IFERROR(IF(F400="SINAPI-S",VLOOKUP(E400,'20-B.SINAPI-S'!A:J,3,0),IF(F400="SINAPI-I",VLOOKUP(E400,'20-A.SINAPI-I'!A:G,3,0),IF(F400="COMP.EVENTUAL",VLOOKUP(E400,'11.COMPOSIÇÕES GERAIS'!B:I,3,0),VLOOKUP(E400,'12.COT.MERCADO'!A:I,7,0)))),"Em Elaboração")</f>
        <v>UN</v>
      </c>
      <c r="I400" s="934">
        <v>8.0</v>
      </c>
    </row>
    <row r="401">
      <c r="A401" s="931" t="s">
        <v>4868</v>
      </c>
      <c r="B401" s="931" t="s">
        <v>4924</v>
      </c>
      <c r="C401" s="932" t="s">
        <v>4274</v>
      </c>
      <c r="D401" s="933" t="s">
        <v>4925</v>
      </c>
      <c r="E401" s="939">
        <v>104476.0</v>
      </c>
      <c r="F401" s="937" t="s">
        <v>218</v>
      </c>
      <c r="G401" s="421" t="str">
        <f>IFERROR(IF(F401="SINAPI-S",VLOOKUP(E401,'20-B.SINAPI-S'!A:J,2,0),IF(F401="SINAPI-I",VLOOKUP(E401,'20-A.SINAPI-I'!A:G,2,0),IF(F401="COMP.EVENTUAL",VLOOKUP(E401,'11.COMPOSIÇÕES GERAIS'!B:I,2,0),VLOOKUP(E401,'12.COT.MERCADO'!A:I,2,0)))),"Em Elaboração")</f>
        <v>COMPOSIÇÃO PARAMÉTRICA DE PONTO ELÉTRICO DE TOMADA DE USO ESPECÍFICO 2P+T (20A/250V) EM EDIFÍCIO RESIDENCIAL COM ELETRODUTO EMBUTIDO EM RASGOS NAS PAREDES, INCLUSO TOMADA, ELETRODUTO, CABO, RASGO, QUEBRA E CHUMBAMENTO (EXCETO CHUVEIRO). AF_11/2022</v>
      </c>
      <c r="H401" s="934" t="str">
        <f>IFERROR(IF(F401="SINAPI-S",VLOOKUP(E401,'20-B.SINAPI-S'!A:J,3,0),IF(F401="SINAPI-I",VLOOKUP(E401,'20-A.SINAPI-I'!A:G,3,0),IF(F401="COMP.EVENTUAL",VLOOKUP(E401,'11.COMPOSIÇÕES GERAIS'!B:I,3,0),VLOOKUP(E401,'12.COT.MERCADO'!A:I,7,0)))),"Em Elaboração")</f>
        <v>UN</v>
      </c>
      <c r="I401" s="934">
        <v>1.0</v>
      </c>
    </row>
    <row r="402">
      <c r="A402" s="931" t="s">
        <v>4868</v>
      </c>
      <c r="B402" s="931" t="s">
        <v>4926</v>
      </c>
      <c r="C402" s="932" t="s">
        <v>4306</v>
      </c>
      <c r="D402" s="933" t="s">
        <v>4927</v>
      </c>
      <c r="E402" s="939">
        <v>103019.0</v>
      </c>
      <c r="F402" s="937" t="s">
        <v>218</v>
      </c>
      <c r="G402" s="421" t="str">
        <f>IFERROR(IF(F402="SINAPI-S",VLOOKUP(E402,'20-B.SINAPI-S'!A:J,2,0),IF(F402="SINAPI-I",VLOOKUP(E402,'20-A.SINAPI-I'!A:G,2,0),IF(F402="COMP.EVENTUAL",VLOOKUP(E402,'11.COMPOSIÇÕES GERAIS'!B:I,2,0),VLOOKUP(E402,'12.COT.MERCADO'!A:I,2,0)))),"Em Elaboração")</f>
        <v>REGISTRO OU VÁLVULA GLOBO ANGULAR EM LATÃO, PARA HIDRANTES EM INSTALAÇÃO PREDIAL DE INCÊNDIO, 45 GRAUS, 2 1/2" - FORNECIMENTO E INSTALAÇÃO. AF_08/2021</v>
      </c>
      <c r="H402" s="934" t="str">
        <f>IFERROR(IF(F402="SINAPI-S",VLOOKUP(E402,'20-B.SINAPI-S'!A:J,3,0),IF(F402="SINAPI-I",VLOOKUP(E402,'20-A.SINAPI-I'!A:G,3,0),IF(F402="COMP.EVENTUAL",VLOOKUP(E402,'11.COMPOSIÇÕES GERAIS'!B:I,3,0),VLOOKUP(E402,'12.COT.MERCADO'!A:I,7,0)))),"Em Elaboração")</f>
        <v>UN</v>
      </c>
      <c r="I402" s="934">
        <v>2.0</v>
      </c>
    </row>
    <row r="403">
      <c r="A403" s="931" t="s">
        <v>4868</v>
      </c>
      <c r="B403" s="931" t="s">
        <v>4928</v>
      </c>
      <c r="C403" s="932" t="s">
        <v>4297</v>
      </c>
      <c r="D403" s="933" t="s">
        <v>4929</v>
      </c>
      <c r="E403" s="939" t="s">
        <v>1924</v>
      </c>
      <c r="F403" s="935" t="s">
        <v>4276</v>
      </c>
      <c r="G403" s="421" t="str">
        <f>IFERROR(IF(F403="SINAPI-S",VLOOKUP(E403,'20-B.SINAPI-S'!A:J,2,0),IF(F403="SINAPI-I",VLOOKUP(E403,'20-A.SINAPI-I'!A:G,2,0),IF(F403="COMP.EVENTUAL",VLOOKUP(E403,'11.COMPOSIÇÕES GERAIS'!B:I,2,0),VLOOKUP(E403,'12.COT.MERCADO'!A:I,2,0)))),"Em Elaboração")</f>
        <v>LIMPEZA E DESOBSTRUÇÃO DE CALHAS DE ZINCO</v>
      </c>
      <c r="H403" s="934" t="str">
        <f>IFERROR(IF(F403="SINAPI-S",VLOOKUP(E403,'20-B.SINAPI-S'!A:J,3,0),IF(F403="SINAPI-I",VLOOKUP(E403,'20-A.SINAPI-I'!A:G,3,0),IF(F403="COMP.EVENTUAL",VLOOKUP(E403,'11.COMPOSIÇÕES GERAIS'!B:I,3,0),VLOOKUP(E403,'12.COT.MERCADO'!A:I,7,0)))),"Em Elaboração")</f>
        <v>M</v>
      </c>
      <c r="I403" s="934">
        <v>40.0</v>
      </c>
    </row>
    <row r="404">
      <c r="A404" s="931" t="s">
        <v>4868</v>
      </c>
      <c r="B404" s="931" t="s">
        <v>4930</v>
      </c>
      <c r="C404" s="932" t="s">
        <v>4274</v>
      </c>
      <c r="D404" s="933" t="s">
        <v>4931</v>
      </c>
      <c r="E404" s="939">
        <v>97609.0</v>
      </c>
      <c r="F404" s="937" t="s">
        <v>218</v>
      </c>
      <c r="G404" s="421" t="str">
        <f>IFERROR(IF(F404="SINAPI-S",VLOOKUP(E404,'20-B.SINAPI-S'!A:J,2,0),IF(F404="SINAPI-I",VLOOKUP(E404,'20-A.SINAPI-I'!A:G,2,0),IF(F404="COMP.EVENTUAL",VLOOKUP(E404,'11.COMPOSIÇÕES GERAIS'!B:I,2,0),VLOOKUP(E404,'12.COT.MERCADO'!A:I,2,0)))),"Em Elaboração")</f>
        <v>LÂMPADA COMPACTA DE LED 6 W, BASE E27 - FORNECIMENTO E INSTALAÇÃO. AF_02/2020</v>
      </c>
      <c r="H404" s="934" t="str">
        <f>IFERROR(IF(F404="SINAPI-S",VLOOKUP(E404,'20-B.SINAPI-S'!A:J,3,0),IF(F404="SINAPI-I",VLOOKUP(E404,'20-A.SINAPI-I'!A:G,3,0),IF(F404="COMP.EVENTUAL",VLOOKUP(E404,'11.COMPOSIÇÕES GERAIS'!B:I,3,0),VLOOKUP(E404,'12.COT.MERCADO'!A:I,7,0)))),"Em Elaboração")</f>
        <v>UN</v>
      </c>
      <c r="I404" s="934">
        <v>14.0</v>
      </c>
    </row>
    <row r="405">
      <c r="A405" s="931" t="s">
        <v>4868</v>
      </c>
      <c r="B405" s="931" t="s">
        <v>4932</v>
      </c>
      <c r="C405" s="932" t="s">
        <v>4306</v>
      </c>
      <c r="D405" s="933" t="s">
        <v>4933</v>
      </c>
      <c r="E405" s="939" t="s">
        <v>1848</v>
      </c>
      <c r="F405" s="937" t="s">
        <v>4276</v>
      </c>
      <c r="G405" s="421" t="str">
        <f>IFERROR(IF(F405="SINAPI-S",VLOOKUP(E405,'20-B.SINAPI-S'!A:J,2,0),IF(F405="SINAPI-I",VLOOKUP(E405,'20-A.SINAPI-I'!A:G,2,0),IF(F405="COMP.EVENTUAL",VLOOKUP(E405,'11.COMPOSIÇÕES GERAIS'!B:I,2,0),VLOOKUP(E405,'12.COT.MERCADO'!A:I,2,0)))),"Em Elaboração")</f>
        <v>DESENTUPIMENTO E LIMPEZA DE BACIAS SANITÁRIAS</v>
      </c>
      <c r="H405" s="934" t="str">
        <f>IFERROR(IF(F405="SINAPI-S",VLOOKUP(E405,'20-B.SINAPI-S'!A:J,3,0),IF(F405="SINAPI-I",VLOOKUP(E405,'20-A.SINAPI-I'!A:G,3,0),IF(F405="COMP.EVENTUAL",VLOOKUP(E405,'11.COMPOSIÇÕES GERAIS'!B:I,3,0),VLOOKUP(E405,'12.COT.MERCADO'!A:I,7,0)))),"Em Elaboração")</f>
        <v>UN</v>
      </c>
      <c r="I405" s="934">
        <v>1.0</v>
      </c>
    </row>
    <row r="406">
      <c r="A406" s="931" t="s">
        <v>4868</v>
      </c>
      <c r="B406" s="931" t="s">
        <v>4934</v>
      </c>
      <c r="C406" s="932" t="s">
        <v>4274</v>
      </c>
      <c r="D406" s="933" t="s">
        <v>4935</v>
      </c>
      <c r="E406" s="939" t="s">
        <v>1844</v>
      </c>
      <c r="F406" s="935" t="s">
        <v>4276</v>
      </c>
      <c r="G406" s="421" t="str">
        <f>IFERROR(IF(F406="SINAPI-S",VLOOKUP(E406,'20-B.SINAPI-S'!A:J,2,0),IF(F406="SINAPI-I",VLOOKUP(E406,'20-A.SINAPI-I'!A:G,2,0),IF(F406="COMP.EVENTUAL",VLOOKUP(E406,'11.COMPOSIÇÕES GERAIS'!B:I,2,0),VLOOKUP(E406,'12.COT.MERCADO'!A:I,2,0)))),"Em Elaboração")</f>
        <v>FORNECIMENTO E INSTALAÇÃO DE PLACA CENTRAL DE COMANDO UNIVERSAL X2 FULL ST IPEC PARA AUTOMATIZADORES</v>
      </c>
      <c r="H406" s="934" t="str">
        <f>IFERROR(IF(F406="SINAPI-S",VLOOKUP(E406,'20-B.SINAPI-S'!A:J,3,0),IF(F406="SINAPI-I",VLOOKUP(E406,'20-A.SINAPI-I'!A:G,3,0),IF(F406="COMP.EVENTUAL",VLOOKUP(E406,'11.COMPOSIÇÕES GERAIS'!B:I,3,0),VLOOKUP(E406,'12.COT.MERCADO'!A:I,7,0)))),"Em Elaboração")</f>
        <v>UN</v>
      </c>
      <c r="I406" s="934">
        <v>1.0</v>
      </c>
    </row>
    <row r="407">
      <c r="A407" s="931" t="s">
        <v>4868</v>
      </c>
      <c r="B407" s="931" t="s">
        <v>4936</v>
      </c>
      <c r="C407" s="932" t="s">
        <v>4274</v>
      </c>
      <c r="D407" s="933" t="s">
        <v>4937</v>
      </c>
      <c r="E407" s="939">
        <v>100903.0</v>
      </c>
      <c r="F407" s="937" t="s">
        <v>218</v>
      </c>
      <c r="G407" s="421" t="str">
        <f>IFERROR(IF(F407="SINAPI-S",VLOOKUP(E407,'20-B.SINAPI-S'!A:J,2,0),IF(F407="SINAPI-I",VLOOKUP(E407,'20-A.SINAPI-I'!A:G,2,0),IF(F407="COMP.EVENTUAL",VLOOKUP(E407,'11.COMPOSIÇÕES GERAIS'!B:I,2,0),VLOOKUP(E407,'12.COT.MERCADO'!A:I,2,0)))),"Em Elaboração")</f>
        <v>LÂMPADA TUBULAR LED DE 18/20 W, BASE G13 - FORNECIMENTO E INSTALAÇÃO. AF_02/2020_PS</v>
      </c>
      <c r="H407" s="934" t="str">
        <f>IFERROR(IF(F407="SINAPI-S",VLOOKUP(E407,'20-B.SINAPI-S'!A:J,3,0),IF(F407="SINAPI-I",VLOOKUP(E407,'20-A.SINAPI-I'!A:G,3,0),IF(F407="COMP.EVENTUAL",VLOOKUP(E407,'11.COMPOSIÇÕES GERAIS'!B:I,3,0),VLOOKUP(E407,'12.COT.MERCADO'!A:I,7,0)))),"Em Elaboração")</f>
        <v>UN</v>
      </c>
      <c r="I407" s="934">
        <v>2.0</v>
      </c>
    </row>
    <row r="408">
      <c r="A408" s="931" t="s">
        <v>4868</v>
      </c>
      <c r="B408" s="931" t="s">
        <v>4938</v>
      </c>
      <c r="C408" s="932" t="s">
        <v>4274</v>
      </c>
      <c r="D408" s="933" t="s">
        <v>4937</v>
      </c>
      <c r="E408" s="959">
        <v>100903.0</v>
      </c>
      <c r="F408" s="937" t="s">
        <v>218</v>
      </c>
      <c r="G408" s="421" t="str">
        <f>IFERROR(IF(F408="SINAPI-S",VLOOKUP(E408,'20-B.SINAPI-S'!A:J,2,0),IF(F408="SINAPI-I",VLOOKUP(E408,'20-A.SINAPI-I'!A:G,2,0),IF(F408="COMP.EVENTUAL",VLOOKUP(E408,'11.COMPOSIÇÕES GERAIS'!B:I,2,0),VLOOKUP(E408,'12.COT.MERCADO'!A:I,2,0)))),"Em Elaboração")</f>
        <v>LÂMPADA TUBULAR LED DE 18/20 W, BASE G13 - FORNECIMENTO E INSTALAÇÃO. AF_02/2020_PS</v>
      </c>
      <c r="H408" s="934" t="str">
        <f>IFERROR(IF(F408="SINAPI-S",VLOOKUP(E408,'20-B.SINAPI-S'!A:J,3,0),IF(F408="SINAPI-I",VLOOKUP(E408,'20-A.SINAPI-I'!A:G,3,0),IF(F408="COMP.EVENTUAL",VLOOKUP(E408,'11.COMPOSIÇÕES GERAIS'!B:I,3,0),VLOOKUP(E408,'12.COT.MERCADO'!A:I,7,0)))),"Em Elaboração")</f>
        <v>UN</v>
      </c>
      <c r="I408" s="934">
        <v>2.0</v>
      </c>
    </row>
    <row r="409">
      <c r="A409" s="931" t="s">
        <v>4939</v>
      </c>
      <c r="B409" s="931" t="s">
        <v>4940</v>
      </c>
      <c r="C409" s="932" t="s">
        <v>4297</v>
      </c>
      <c r="D409" s="933" t="s">
        <v>4941</v>
      </c>
      <c r="E409" s="959" t="s">
        <v>1812</v>
      </c>
      <c r="F409" s="935" t="s">
        <v>4276</v>
      </c>
      <c r="G409" s="421" t="str">
        <f>IFERROR(IF(F409="SINAPI-S",VLOOKUP(E409,'20-B.SINAPI-S'!A:J,2,0),IF(F409="SINAPI-I",VLOOKUP(E409,'20-A.SINAPI-I'!A:G,2,0),IF(F409="COMP.EVENTUAL",VLOOKUP(E409,'11.COMPOSIÇÕES GERAIS'!B:I,2,0),VLOOKUP(E409,'12.COT.MERCADO'!A:I,2,0)))),"Em Elaboração")</f>
        <v>RETIRADA E RECOLOCAÇÃO DE DIVISÓRIA NAVAL</v>
      </c>
      <c r="H409" s="934" t="str">
        <f>IFERROR(IF(F409="SINAPI-S",VLOOKUP(E409,'20-B.SINAPI-S'!A:J,3,0),IF(F409="SINAPI-I",VLOOKUP(E409,'20-A.SINAPI-I'!A:G,3,0),IF(F409="COMP.EVENTUAL",VLOOKUP(E409,'11.COMPOSIÇÕES GERAIS'!B:I,3,0),VLOOKUP(E409,'12.COT.MERCADO'!A:I,7,0)))),"Em Elaboração")</f>
        <v>M2</v>
      </c>
      <c r="I409" s="960">
        <v>8.0</v>
      </c>
    </row>
    <row r="410">
      <c r="A410" s="931" t="s">
        <v>4939</v>
      </c>
      <c r="B410" s="931" t="s">
        <v>4942</v>
      </c>
      <c r="C410" s="932" t="s">
        <v>4297</v>
      </c>
      <c r="D410" s="933" t="s">
        <v>4943</v>
      </c>
      <c r="E410" s="961" t="s">
        <v>1966</v>
      </c>
      <c r="F410" s="937" t="s">
        <v>4276</v>
      </c>
      <c r="G410" s="421" t="str">
        <f>IFERROR(IF(F410="SINAPI-S",VLOOKUP(E410,'20-B.SINAPI-S'!A:J,2,0),IF(F410="SINAPI-I",VLOOKUP(E410,'20-A.SINAPI-I'!A:G,2,0),IF(F410="COMP.EVENTUAL",VLOOKUP(E410,'11.COMPOSIÇÕES GERAIS'!B:I,2,0),VLOOKUP(E410,'12.COT.MERCADO'!A:I,2,0)))),"Em Elaboração")</f>
        <v>FORNECIMENTO E INSTALAÇÃO DE  MOLA HIDRÁULICA AÉREA PARA PORTAS ATÉ 950MM E PESO DE ATÉ 65KG, COM CORPO EM ALUMÍNIO E BRAÇO DE AÇO, SEM BRAÇO DE PARADA</v>
      </c>
      <c r="H410" s="934" t="str">
        <f>IFERROR(IF(F410="SINAPI-S",VLOOKUP(E410,'20-B.SINAPI-S'!A:J,3,0),IF(F410="SINAPI-I",VLOOKUP(E410,'20-A.SINAPI-I'!A:G,3,0),IF(F410="COMP.EVENTUAL",VLOOKUP(E410,'11.COMPOSIÇÕES GERAIS'!B:I,3,0),VLOOKUP(E410,'12.COT.MERCADO'!A:I,7,0)))),"Em Elaboração")</f>
        <v>UN</v>
      </c>
      <c r="I410" s="962">
        <v>3.0</v>
      </c>
    </row>
    <row r="411">
      <c r="A411" s="931" t="s">
        <v>4939</v>
      </c>
      <c r="B411" s="931" t="s">
        <v>4944</v>
      </c>
      <c r="C411" s="932" t="s">
        <v>4297</v>
      </c>
      <c r="D411" s="933" t="s">
        <v>4945</v>
      </c>
      <c r="E411" s="961">
        <v>87244.0</v>
      </c>
      <c r="F411" s="937" t="s">
        <v>218</v>
      </c>
      <c r="G411" s="421" t="str">
        <f>IFERROR(IF(F411="SINAPI-S",VLOOKUP(E411,'20-B.SINAPI-S'!A:J,2,0),IF(F411="SINAPI-I",VLOOKUP(E411,'20-A.SINAPI-I'!A:G,2,0),IF(F411="COMP.EVENTUAL",VLOOKUP(E411,'11.COMPOSIÇÕES GERAIS'!B:I,2,0),VLOOKUP(E411,'12.COT.MERCADO'!A:I,2,0)))),"Em Elaboração")</f>
        <v>REVESTIMENTO CERÂMICO PARA PAREDES EXTERNAS EM PASTILHAS DE PORCELANA 5 X 5 CM (PLACAS DE 30 X 30 CM), ALINHADAS A PRUMO. AF_02/2023</v>
      </c>
      <c r="H411" s="934" t="str">
        <f>IFERROR(IF(F411="SINAPI-S",VLOOKUP(E411,'20-B.SINAPI-S'!A:J,3,0),IF(F411="SINAPI-I",VLOOKUP(E411,'20-A.SINAPI-I'!A:G,3,0),IF(F411="COMP.EVENTUAL",VLOOKUP(E411,'11.COMPOSIÇÕES GERAIS'!B:I,3,0),VLOOKUP(E411,'12.COT.MERCADO'!A:I,7,0)))),"Em Elaboração")</f>
        <v>M2</v>
      </c>
      <c r="I411" s="960">
        <v>2.0</v>
      </c>
    </row>
    <row r="412">
      <c r="A412" s="931" t="s">
        <v>4939</v>
      </c>
      <c r="B412" s="931" t="s">
        <v>4946</v>
      </c>
      <c r="C412" s="932" t="s">
        <v>4297</v>
      </c>
      <c r="D412" s="933" t="s">
        <v>4947</v>
      </c>
      <c r="E412" s="959">
        <v>88488.0</v>
      </c>
      <c r="F412" s="937" t="s">
        <v>218</v>
      </c>
      <c r="G412" s="421" t="str">
        <f>IFERROR(IF(F412="SINAPI-S",VLOOKUP(E412,'20-B.SINAPI-S'!A:J,2,0),IF(F412="SINAPI-I",VLOOKUP(E412,'20-A.SINAPI-I'!A:G,2,0),IF(F412="COMP.EVENTUAL",VLOOKUP(E412,'11.COMPOSIÇÕES GERAIS'!B:I,2,0),VLOOKUP(E412,'12.COT.MERCADO'!A:I,2,0)))),"Em Elaboração")</f>
        <v>PINTURA LÁTEX ACRÍLICA PREMIUM, APLICAÇÃO MANUAL EM TETO, DUAS DEMÃOS. AF_04/2023</v>
      </c>
      <c r="H412" s="934" t="str">
        <f>IFERROR(IF(F412="SINAPI-S",VLOOKUP(E412,'20-B.SINAPI-S'!A:J,3,0),IF(F412="SINAPI-I",VLOOKUP(E412,'20-A.SINAPI-I'!A:G,3,0),IF(F412="COMP.EVENTUAL",VLOOKUP(E412,'11.COMPOSIÇÕES GERAIS'!B:I,3,0),VLOOKUP(E412,'12.COT.MERCADO'!A:I,7,0)))),"Em Elaboração")</f>
        <v>M2</v>
      </c>
      <c r="I412" s="960">
        <v>6.0</v>
      </c>
    </row>
    <row r="413">
      <c r="A413" s="931" t="s">
        <v>4939</v>
      </c>
      <c r="B413" s="931" t="s">
        <v>4946</v>
      </c>
      <c r="C413" s="932" t="s">
        <v>4297</v>
      </c>
      <c r="D413" s="933" t="s">
        <v>4948</v>
      </c>
      <c r="E413" s="934" t="s">
        <v>1816</v>
      </c>
      <c r="F413" s="937" t="s">
        <v>4276</v>
      </c>
      <c r="G413" s="421" t="str">
        <f>IFERROR(IF(F413="SINAPI-S",VLOOKUP(E413,'20-B.SINAPI-S'!A:J,2,0),IF(F413="SINAPI-I",VLOOKUP(E413,'20-A.SINAPI-I'!A:G,2,0),IF(F413="COMP.EVENTUAL",VLOOKUP(E413,'11.COMPOSIÇÕES GERAIS'!B:I,2,0),VLOOKUP(E413,'12.COT.MERCADO'!A:I,2,0)))),"Em Elaboração")</f>
        <v>FORNECIMENTO E INSTALAÇÃO DE PLACA DE SINALIZAÇÃO FOTOLUMINOSCENTE 13x26CM</v>
      </c>
      <c r="H413" s="934" t="str">
        <f>IFERROR(IF(F413="SINAPI-S",VLOOKUP(E413,'20-B.SINAPI-S'!A:J,3,0),IF(F413="SINAPI-I",VLOOKUP(E413,'20-A.SINAPI-I'!A:G,3,0),IF(F413="COMP.EVENTUAL",VLOOKUP(E413,'11.COMPOSIÇÕES GERAIS'!B:I,3,0),VLOOKUP(E413,'12.COT.MERCADO'!A:I,7,0)))),"Em Elaboração")</f>
        <v>UN</v>
      </c>
      <c r="I413" s="960">
        <v>10.0</v>
      </c>
    </row>
    <row r="414">
      <c r="A414" s="931" t="s">
        <v>4939</v>
      </c>
      <c r="B414" s="931" t="s">
        <v>4949</v>
      </c>
      <c r="C414" s="932" t="s">
        <v>4274</v>
      </c>
      <c r="D414" s="933" t="s">
        <v>4950</v>
      </c>
      <c r="E414" s="959">
        <v>97599.0</v>
      </c>
      <c r="F414" s="937" t="s">
        <v>218</v>
      </c>
      <c r="G414" s="421" t="str">
        <f>IFERROR(IF(F414="SINAPI-S",VLOOKUP(E414,'20-B.SINAPI-S'!A:J,2,0),IF(F414="SINAPI-I",VLOOKUP(E414,'20-A.SINAPI-I'!A:G,2,0),IF(F414="COMP.EVENTUAL",VLOOKUP(E414,'11.COMPOSIÇÕES GERAIS'!B:I,2,0),VLOOKUP(E414,'12.COT.MERCADO'!A:I,2,0)))),"Em Elaboração")</f>
        <v>LUMINÁRIA DE EMERGÊNCIA, COM 30 LÂMPADAS LED DE 2 W, SEM REATOR - FORNECIMENTO E INSTALAÇÃO. AF_02/2020</v>
      </c>
      <c r="H414" s="934" t="str">
        <f>IFERROR(IF(F414="SINAPI-S",VLOOKUP(E414,'20-B.SINAPI-S'!A:J,3,0),IF(F414="SINAPI-I",VLOOKUP(E414,'20-A.SINAPI-I'!A:G,3,0),IF(F414="COMP.EVENTUAL",VLOOKUP(E414,'11.COMPOSIÇÕES GERAIS'!B:I,3,0),VLOOKUP(E414,'12.COT.MERCADO'!A:I,7,0)))),"Em Elaboração")</f>
        <v>UN</v>
      </c>
      <c r="I414" s="962">
        <v>6.0</v>
      </c>
    </row>
    <row r="415">
      <c r="A415" s="931" t="s">
        <v>4939</v>
      </c>
      <c r="B415" s="931" t="s">
        <v>4951</v>
      </c>
      <c r="C415" s="932" t="s">
        <v>4274</v>
      </c>
      <c r="D415" s="933" t="s">
        <v>4950</v>
      </c>
      <c r="E415" s="959">
        <v>97599.0</v>
      </c>
      <c r="F415" s="937" t="s">
        <v>218</v>
      </c>
      <c r="G415" s="421" t="str">
        <f>IFERROR(IF(F415="SINAPI-S",VLOOKUP(E415,'20-B.SINAPI-S'!A:J,2,0),IF(F415="SINAPI-I",VLOOKUP(E415,'20-A.SINAPI-I'!A:G,2,0),IF(F415="COMP.EVENTUAL",VLOOKUP(E415,'11.COMPOSIÇÕES GERAIS'!B:I,2,0),VLOOKUP(E415,'12.COT.MERCADO'!A:I,2,0)))),"Em Elaboração")</f>
        <v>LUMINÁRIA DE EMERGÊNCIA, COM 30 LÂMPADAS LED DE 2 W, SEM REATOR - FORNECIMENTO E INSTALAÇÃO. AF_02/2020</v>
      </c>
      <c r="H415" s="934" t="str">
        <f>IFERROR(IF(F415="SINAPI-S",VLOOKUP(E415,'20-B.SINAPI-S'!A:J,3,0),IF(F415="SINAPI-I",VLOOKUP(E415,'20-A.SINAPI-I'!A:G,3,0),IF(F415="COMP.EVENTUAL",VLOOKUP(E415,'11.COMPOSIÇÕES GERAIS'!B:I,3,0),VLOOKUP(E415,'12.COT.MERCADO'!A:I,7,0)))),"Em Elaboração")</f>
        <v>UN</v>
      </c>
      <c r="I415" s="962">
        <v>6.0</v>
      </c>
    </row>
    <row r="416">
      <c r="A416" s="931" t="s">
        <v>4939</v>
      </c>
      <c r="B416" s="931" t="s">
        <v>4952</v>
      </c>
      <c r="C416" s="932" t="s">
        <v>4297</v>
      </c>
      <c r="D416" s="933" t="s">
        <v>4493</v>
      </c>
      <c r="E416" s="959">
        <v>87411.0</v>
      </c>
      <c r="F416" s="937" t="s">
        <v>218</v>
      </c>
      <c r="G416" s="421" t="str">
        <f>IFERROR(IF(F416="SINAPI-S",VLOOKUP(E416,'20-B.SINAPI-S'!A:J,2,0),IF(F416="SINAPI-I",VLOOKUP(E416,'20-A.SINAPI-I'!A:G,2,0),IF(F416="COMP.EVENTUAL",VLOOKUP(E416,'11.COMPOSIÇÕES GERAIS'!B:I,2,0),VLOOKUP(E416,'12.COT.MERCADO'!A:I,2,0)))),"Em Elaboração")</f>
        <v>APLICAÇÃO MANUAL DE GESSO DESEMPENADO (SEM TALISCAS) EM TETO DE AMBIENTES DE ÁREA MAIOR QUE 10M², ESPESSURA DE 0,5CM. AF_03/2023</v>
      </c>
      <c r="H416" s="934" t="str">
        <f>IFERROR(IF(F416="SINAPI-S",VLOOKUP(E416,'20-B.SINAPI-S'!A:J,3,0),IF(F416="SINAPI-I",VLOOKUP(E416,'20-A.SINAPI-I'!A:G,3,0),IF(F416="COMP.EVENTUAL",VLOOKUP(E416,'11.COMPOSIÇÕES GERAIS'!B:I,3,0),VLOOKUP(E416,'12.COT.MERCADO'!A:I,7,0)))),"Em Elaboração")</f>
        <v>M2</v>
      </c>
      <c r="I416" s="960">
        <v>1.0</v>
      </c>
    </row>
    <row r="417">
      <c r="A417" s="931" t="s">
        <v>4939</v>
      </c>
      <c r="B417" s="931" t="s">
        <v>4953</v>
      </c>
      <c r="C417" s="932" t="s">
        <v>4274</v>
      </c>
      <c r="D417" s="933" t="s">
        <v>4954</v>
      </c>
      <c r="E417" s="959" t="s">
        <v>1927</v>
      </c>
      <c r="F417" s="935" t="s">
        <v>4276</v>
      </c>
      <c r="G417" s="421" t="str">
        <f>IFERROR(IF(F417="SINAPI-S",VLOOKUP(E417,'20-B.SINAPI-S'!A:J,2,0),IF(F417="SINAPI-I",VLOOKUP(E417,'20-A.SINAPI-I'!A:G,2,0),IF(F417="COMP.EVENTUAL",VLOOKUP(E417,'11.COMPOSIÇÕES GERAIS'!B:I,2,0),VLOOKUP(E417,'12.COT.MERCADO'!A:I,2,0)))),"Em Elaboração")</f>
        <v>SUBSTITUIÇÃO DE MANGUEIRA PARA COMPRESSOR DO TIPO ENGATE RÁPIDO - FORNECIMENTO E INSTALAÇÃO</v>
      </c>
      <c r="H417" s="934" t="str">
        <f>IFERROR(IF(F417="SINAPI-S",VLOOKUP(E417,'20-B.SINAPI-S'!A:J,3,0),IF(F417="SINAPI-I",VLOOKUP(E417,'20-A.SINAPI-I'!A:G,3,0),IF(F417="COMP.EVENTUAL",VLOOKUP(E417,'11.COMPOSIÇÕES GERAIS'!B:I,3,0),VLOOKUP(E417,'12.COT.MERCADO'!A:I,7,0)))),"Em Elaboração")</f>
        <v>UN</v>
      </c>
      <c r="I417" s="962">
        <v>1.0</v>
      </c>
    </row>
    <row r="418">
      <c r="A418" s="931" t="s">
        <v>4939</v>
      </c>
      <c r="B418" s="931" t="s">
        <v>4953</v>
      </c>
      <c r="C418" s="932" t="s">
        <v>4274</v>
      </c>
      <c r="D418" s="933" t="s">
        <v>4955</v>
      </c>
      <c r="E418" s="959" t="s">
        <v>1931</v>
      </c>
      <c r="F418" s="935" t="s">
        <v>4276</v>
      </c>
      <c r="G418" s="421" t="str">
        <f>IFERROR(IF(F418="SINAPI-S",VLOOKUP(E418,'20-B.SINAPI-S'!A:J,2,0),IF(F418="SINAPI-I",VLOOKUP(E418,'20-A.SINAPI-I'!A:G,2,0),IF(F418="COMP.EVENTUAL",VLOOKUP(E418,'11.COMPOSIÇÕES GERAIS'!B:I,2,0),VLOOKUP(E418,'12.COT.MERCADO'!A:I,2,0)))),"Em Elaboração")</f>
        <v>CALIBRADOR ELETRÔNICO PARA PNEUS, BIVOLT, BLINDADO. REF. STOKAIR-M2000 OU SIMILAR - FORNECIMENTO E INSTALAÇÃO</v>
      </c>
      <c r="H418" s="934" t="str">
        <f>IFERROR(IF(F418="SINAPI-S",VLOOKUP(E418,'20-B.SINAPI-S'!A:J,3,0),IF(F418="SINAPI-I",VLOOKUP(E418,'20-A.SINAPI-I'!A:G,3,0),IF(F418="COMP.EVENTUAL",VLOOKUP(E418,'11.COMPOSIÇÕES GERAIS'!B:I,3,0),VLOOKUP(E418,'12.COT.MERCADO'!A:I,7,0)))),"Em Elaboração")</f>
        <v>UN</v>
      </c>
      <c r="I418" s="962">
        <v>1.0</v>
      </c>
    </row>
    <row r="419">
      <c r="A419" s="931" t="s">
        <v>4939</v>
      </c>
      <c r="B419" s="931" t="s">
        <v>4956</v>
      </c>
      <c r="C419" s="932" t="s">
        <v>4274</v>
      </c>
      <c r="D419" s="933" t="s">
        <v>4957</v>
      </c>
      <c r="E419" s="959" t="s">
        <v>1795</v>
      </c>
      <c r="F419" s="935" t="s">
        <v>4276</v>
      </c>
      <c r="G419" s="421" t="str">
        <f>IFERROR(IF(F419="SINAPI-S",VLOOKUP(E419,'20-B.SINAPI-S'!A:J,2,0),IF(F419="SINAPI-I",VLOOKUP(E419,'20-A.SINAPI-I'!A:G,2,0),IF(F419="COMP.EVENTUAL",VLOOKUP(E419,'11.COMPOSIÇÕES GERAIS'!B:I,2,0),VLOOKUP(E419,'12.COT.MERCADO'!A:I,2,0)))),"Em Elaboração")</f>
        <v>FORNECIMENTO E INSTALAÇÃO DE VENTILADOR DE PAREDE 50CM COM 6 PÁS, 200W, BIVOLT</v>
      </c>
      <c r="H419" s="934" t="str">
        <f>IFERROR(IF(F419="SINAPI-S",VLOOKUP(E419,'20-B.SINAPI-S'!A:J,3,0),IF(F419="SINAPI-I",VLOOKUP(E419,'20-A.SINAPI-I'!A:G,3,0),IF(F419="COMP.EVENTUAL",VLOOKUP(E419,'11.COMPOSIÇÕES GERAIS'!B:I,3,0),VLOOKUP(E419,'12.COT.MERCADO'!A:I,7,0)))),"Em Elaboração")</f>
        <v>UN</v>
      </c>
      <c r="I419" s="960">
        <v>2.0</v>
      </c>
    </row>
    <row r="420">
      <c r="A420" s="931" t="s">
        <v>4939</v>
      </c>
      <c r="B420" s="931" t="s">
        <v>4958</v>
      </c>
      <c r="C420" s="932" t="s">
        <v>4306</v>
      </c>
      <c r="D420" s="933" t="s">
        <v>4959</v>
      </c>
      <c r="E420" s="959">
        <v>86910.0</v>
      </c>
      <c r="F420" s="937" t="s">
        <v>218</v>
      </c>
      <c r="G420" s="421" t="str">
        <f>IFERROR(IF(F420="SINAPI-S",VLOOKUP(E420,'20-B.SINAPI-S'!A:J,2,0),IF(F420="SINAPI-I",VLOOKUP(E420,'20-A.SINAPI-I'!A:G,2,0),IF(F420="COMP.EVENTUAL",VLOOKUP(E420,'11.COMPOSIÇÕES GERAIS'!B:I,2,0),VLOOKUP(E420,'12.COT.MERCADO'!A:I,2,0)))),"Em Elaboração")</f>
        <v>TORNEIRA CROMADA TUBO MÓVEL, DE PAREDE, 1/2_x0094_ OU 3/4_x0094_, PARA PIA DE COZINHA, PADRÃO MÉDIO - FORNECIMENTO E INSTALAÇÃO. AF_01/2020</v>
      </c>
      <c r="H420" s="934" t="str">
        <f>IFERROR(IF(F420="SINAPI-S",VLOOKUP(E420,'20-B.SINAPI-S'!A:J,3,0),IF(F420="SINAPI-I",VLOOKUP(E420,'20-A.SINAPI-I'!A:G,3,0),IF(F420="COMP.EVENTUAL",VLOOKUP(E420,'11.COMPOSIÇÕES GERAIS'!B:I,3,0),VLOOKUP(E420,'12.COT.MERCADO'!A:I,7,0)))),"Em Elaboração")</f>
        <v>UN</v>
      </c>
      <c r="I420" s="962">
        <v>1.0</v>
      </c>
    </row>
    <row r="421">
      <c r="A421" s="931" t="s">
        <v>4939</v>
      </c>
      <c r="B421" s="931" t="s">
        <v>4960</v>
      </c>
      <c r="C421" s="932" t="s">
        <v>4274</v>
      </c>
      <c r="D421" s="944" t="s">
        <v>4861</v>
      </c>
      <c r="E421" s="959">
        <v>100903.0</v>
      </c>
      <c r="F421" s="937" t="s">
        <v>218</v>
      </c>
      <c r="G421" s="421" t="str">
        <f>IFERROR(IF(F421="SINAPI-S",VLOOKUP(E421,'20-B.SINAPI-S'!A:J,2,0),IF(F421="SINAPI-I",VLOOKUP(E421,'20-A.SINAPI-I'!A:G,2,0),IF(F421="COMP.EVENTUAL",VLOOKUP(E421,'11.COMPOSIÇÕES GERAIS'!B:I,2,0),VLOOKUP(E421,'12.COT.MERCADO'!A:I,2,0)))),"Em Elaboração")</f>
        <v>LÂMPADA TUBULAR LED DE 18/20 W, BASE G13 - FORNECIMENTO E INSTALAÇÃO. AF_02/2020_PS</v>
      </c>
      <c r="H421" s="934" t="str">
        <f>IFERROR(IF(F421="SINAPI-S",VLOOKUP(E421,'20-B.SINAPI-S'!A:J,3,0),IF(F421="SINAPI-I",VLOOKUP(E421,'20-A.SINAPI-I'!A:G,3,0),IF(F421="COMP.EVENTUAL",VLOOKUP(E421,'11.COMPOSIÇÕES GERAIS'!B:I,3,0),VLOOKUP(E421,'12.COT.MERCADO'!A:I,7,0)))),"Em Elaboração")</f>
        <v>UN</v>
      </c>
      <c r="I421" s="962">
        <v>2.0</v>
      </c>
    </row>
    <row r="422">
      <c r="A422" s="931" t="s">
        <v>4939</v>
      </c>
      <c r="B422" s="931" t="s">
        <v>4961</v>
      </c>
      <c r="C422" s="932" t="s">
        <v>4274</v>
      </c>
      <c r="D422" s="944" t="s">
        <v>4962</v>
      </c>
      <c r="E422" s="959">
        <v>100903.0</v>
      </c>
      <c r="F422" s="937" t="s">
        <v>218</v>
      </c>
      <c r="G422" s="421" t="str">
        <f>IFERROR(IF(F422="SINAPI-S",VLOOKUP(E422,'20-B.SINAPI-S'!A:J,2,0),IF(F422="SINAPI-I",VLOOKUP(E422,'20-A.SINAPI-I'!A:G,2,0),IF(F422="COMP.EVENTUAL",VLOOKUP(E422,'11.COMPOSIÇÕES GERAIS'!B:I,2,0),VLOOKUP(E422,'12.COT.MERCADO'!A:I,2,0)))),"Em Elaboração")</f>
        <v>LÂMPADA TUBULAR LED DE 18/20 W, BASE G13 - FORNECIMENTO E INSTALAÇÃO. AF_02/2020_PS</v>
      </c>
      <c r="H422" s="934" t="str">
        <f>IFERROR(IF(F422="SINAPI-S",VLOOKUP(E422,'20-B.SINAPI-S'!A:J,3,0),IF(F422="SINAPI-I",VLOOKUP(E422,'20-A.SINAPI-I'!A:G,3,0),IF(F422="COMP.EVENTUAL",VLOOKUP(E422,'11.COMPOSIÇÕES GERAIS'!B:I,3,0),VLOOKUP(E422,'12.COT.MERCADO'!A:I,7,0)))),"Em Elaboração")</f>
        <v>UN</v>
      </c>
      <c r="I422" s="962">
        <v>2.0</v>
      </c>
    </row>
    <row r="423">
      <c r="A423" s="931" t="s">
        <v>4939</v>
      </c>
      <c r="B423" s="931" t="s">
        <v>4963</v>
      </c>
      <c r="C423" s="932" t="s">
        <v>4297</v>
      </c>
      <c r="D423" s="933" t="s">
        <v>4964</v>
      </c>
      <c r="E423" s="959">
        <v>93203.0</v>
      </c>
      <c r="F423" s="937" t="s">
        <v>218</v>
      </c>
      <c r="G423" s="421" t="str">
        <f>IFERROR(IF(F423="SINAPI-S",VLOOKUP(E423,'20-B.SINAPI-S'!A:J,2,0),IF(F423="SINAPI-I",VLOOKUP(E423,'20-A.SINAPI-I'!A:G,2,0),IF(F423="COMP.EVENTUAL",VLOOKUP(E423,'11.COMPOSIÇÕES GERAIS'!B:I,2,0),VLOOKUP(E423,'12.COT.MERCADO'!A:I,2,0)))),"Em Elaboração")</f>
        <v>FIXAÇÃO (ENCUNHAMENTO) DE ALVENARIA DE VEDAÇÃO COM ESPUMA DE POLIURETANO EXPANSIVA. AF_03/2016</v>
      </c>
      <c r="H423" s="934" t="str">
        <f>IFERROR(IF(F423="SINAPI-S",VLOOKUP(E423,'20-B.SINAPI-S'!A:J,3,0),IF(F423="SINAPI-I",VLOOKUP(E423,'20-A.SINAPI-I'!A:G,3,0),IF(F423="COMP.EVENTUAL",VLOOKUP(E423,'11.COMPOSIÇÕES GERAIS'!B:I,3,0),VLOOKUP(E423,'12.COT.MERCADO'!A:I,7,0)))),"Em Elaboração")</f>
        <v>M</v>
      </c>
      <c r="I423" s="962">
        <v>1.0</v>
      </c>
    </row>
    <row r="424">
      <c r="A424" s="931" t="s">
        <v>4939</v>
      </c>
      <c r="B424" s="931" t="s">
        <v>4965</v>
      </c>
      <c r="C424" s="932" t="s">
        <v>4297</v>
      </c>
      <c r="D424" s="933" t="s">
        <v>4966</v>
      </c>
      <c r="E424" s="959">
        <v>93203.0</v>
      </c>
      <c r="F424" s="937" t="s">
        <v>218</v>
      </c>
      <c r="G424" s="421" t="str">
        <f>IFERROR(IF(F424="SINAPI-S",VLOOKUP(E424,'20-B.SINAPI-S'!A:J,2,0),IF(F424="SINAPI-I",VLOOKUP(E424,'20-A.SINAPI-I'!A:G,2,0),IF(F424="COMP.EVENTUAL",VLOOKUP(E424,'11.COMPOSIÇÕES GERAIS'!B:I,2,0),VLOOKUP(E424,'12.COT.MERCADO'!A:I,2,0)))),"Em Elaboração")</f>
        <v>FIXAÇÃO (ENCUNHAMENTO) DE ALVENARIA DE VEDAÇÃO COM ESPUMA DE POLIURETANO EXPANSIVA. AF_03/2016</v>
      </c>
      <c r="H424" s="934" t="str">
        <f>IFERROR(IF(F424="SINAPI-S",VLOOKUP(E424,'20-B.SINAPI-S'!A:J,3,0),IF(F424="SINAPI-I",VLOOKUP(E424,'20-A.SINAPI-I'!A:G,3,0),IF(F424="COMP.EVENTUAL",VLOOKUP(E424,'11.COMPOSIÇÕES GERAIS'!B:I,3,0),VLOOKUP(E424,'12.COT.MERCADO'!A:I,7,0)))),"Em Elaboração")</f>
        <v>M</v>
      </c>
      <c r="I424" s="960">
        <v>4.0</v>
      </c>
    </row>
    <row r="425">
      <c r="A425" s="931" t="s">
        <v>4939</v>
      </c>
      <c r="B425" s="931" t="s">
        <v>4967</v>
      </c>
      <c r="C425" s="932" t="s">
        <v>4274</v>
      </c>
      <c r="D425" s="933" t="s">
        <v>4950</v>
      </c>
      <c r="E425" s="959">
        <v>97599.0</v>
      </c>
      <c r="F425" s="937" t="s">
        <v>218</v>
      </c>
      <c r="G425" s="421" t="str">
        <f>IFERROR(IF(F425="SINAPI-S",VLOOKUP(E425,'20-B.SINAPI-S'!A:J,2,0),IF(F425="SINAPI-I",VLOOKUP(E425,'20-A.SINAPI-I'!A:G,2,0),IF(F425="COMP.EVENTUAL",VLOOKUP(E425,'11.COMPOSIÇÕES GERAIS'!B:I,2,0),VLOOKUP(E425,'12.COT.MERCADO'!A:I,2,0)))),"Em Elaboração")</f>
        <v>LUMINÁRIA DE EMERGÊNCIA, COM 30 LÂMPADAS LED DE 2 W, SEM REATOR - FORNECIMENTO E INSTALAÇÃO. AF_02/2020</v>
      </c>
      <c r="H425" s="934" t="str">
        <f>IFERROR(IF(F425="SINAPI-S",VLOOKUP(E425,'20-B.SINAPI-S'!A:J,3,0),IF(F425="SINAPI-I",VLOOKUP(E425,'20-A.SINAPI-I'!A:G,3,0),IF(F425="COMP.EVENTUAL",VLOOKUP(E425,'11.COMPOSIÇÕES GERAIS'!B:I,3,0),VLOOKUP(E425,'12.COT.MERCADO'!A:I,7,0)))),"Em Elaboração")</f>
        <v>UN</v>
      </c>
      <c r="I425" s="962">
        <v>6.0</v>
      </c>
    </row>
    <row r="426">
      <c r="A426" s="931" t="s">
        <v>4939</v>
      </c>
      <c r="B426" s="931" t="s">
        <v>4956</v>
      </c>
      <c r="C426" s="932" t="s">
        <v>4297</v>
      </c>
      <c r="D426" s="933" t="s">
        <v>4968</v>
      </c>
      <c r="E426" s="959" t="s">
        <v>1935</v>
      </c>
      <c r="F426" s="935" t="s">
        <v>4276</v>
      </c>
      <c r="G426" s="421" t="str">
        <f>IFERROR(IF(F426="SINAPI-S",VLOOKUP(E426,'20-B.SINAPI-S'!A:J,2,0),IF(F426="SINAPI-I",VLOOKUP(E426,'20-A.SINAPI-I'!A:G,2,0),IF(F426="COMP.EVENTUAL",VLOOKUP(E426,'11.COMPOSIÇÕES GERAIS'!B:I,2,0),VLOOKUP(E426,'12.COT.MERCADO'!A:I,2,0)))),"Em Elaboração")</f>
        <v>FECHADURA DE SOBREPOR PAR APORTA CORTA FOGO (SEM CHAVE) - FORNECIMENTO E INSTALAÇÃO</v>
      </c>
      <c r="H426" s="934" t="str">
        <f>IFERROR(IF(F426="SINAPI-S",VLOOKUP(E426,'20-B.SINAPI-S'!A:J,3,0),IF(F426="SINAPI-I",VLOOKUP(E426,'20-A.SINAPI-I'!A:G,3,0),IF(F426="COMP.EVENTUAL",VLOOKUP(E426,'11.COMPOSIÇÕES GERAIS'!B:I,3,0),VLOOKUP(E426,'12.COT.MERCADO'!A:I,7,0)))),"Em Elaboração")</f>
        <v>UN</v>
      </c>
      <c r="I426" s="960">
        <v>2.0</v>
      </c>
    </row>
    <row r="427">
      <c r="A427" s="931" t="s">
        <v>4939</v>
      </c>
      <c r="B427" s="931" t="s">
        <v>4969</v>
      </c>
      <c r="C427" s="932" t="s">
        <v>4274</v>
      </c>
      <c r="D427" s="933" t="s">
        <v>4970</v>
      </c>
      <c r="E427" s="959" t="s">
        <v>1939</v>
      </c>
      <c r="F427" s="935" t="s">
        <v>4276</v>
      </c>
      <c r="G427" s="421" t="str">
        <f>IFERROR(IF(F427="SINAPI-S",VLOOKUP(E427,'20-B.SINAPI-S'!A:J,2,0),IF(F427="SINAPI-I",VLOOKUP(E427,'20-A.SINAPI-I'!A:G,2,0),IF(F427="COMP.EVENTUAL",VLOOKUP(E427,'11.COMPOSIÇÕES GERAIS'!B:I,2,0),VLOOKUP(E427,'12.COT.MERCADO'!A:I,2,0)))),"Em Elaboração")</f>
        <v>BOTOEIRA COM RETENÇÃO PARA QUADRO/PAINEL</v>
      </c>
      <c r="H427" s="934" t="str">
        <f>IFERROR(IF(F427="SINAPI-S",VLOOKUP(E427,'20-B.SINAPI-S'!A:J,3,0),IF(F427="SINAPI-I",VLOOKUP(E427,'20-A.SINAPI-I'!A:G,3,0),IF(F427="COMP.EVENTUAL",VLOOKUP(E427,'11.COMPOSIÇÕES GERAIS'!B:I,3,0),VLOOKUP(E427,'12.COT.MERCADO'!A:I,7,0)))),"Em Elaboração")</f>
        <v>UN</v>
      </c>
      <c r="I427" s="962">
        <v>1.0</v>
      </c>
    </row>
    <row r="428">
      <c r="A428" s="931" t="s">
        <v>4939</v>
      </c>
      <c r="B428" s="931" t="s">
        <v>4971</v>
      </c>
      <c r="C428" s="932" t="s">
        <v>4274</v>
      </c>
      <c r="D428" s="933" t="s">
        <v>4972</v>
      </c>
      <c r="E428" s="959">
        <v>100903.0</v>
      </c>
      <c r="F428" s="937" t="s">
        <v>218</v>
      </c>
      <c r="G428" s="421" t="str">
        <f>IFERROR(IF(F428="SINAPI-S",VLOOKUP(E428,'20-B.SINAPI-S'!A:J,2,0),IF(F428="SINAPI-I",VLOOKUP(E428,'20-A.SINAPI-I'!A:G,2,0),IF(F428="COMP.EVENTUAL",VLOOKUP(E428,'11.COMPOSIÇÕES GERAIS'!B:I,2,0),VLOOKUP(E428,'12.COT.MERCADO'!A:I,2,0)))),"Em Elaboração")</f>
        <v>LÂMPADA TUBULAR LED DE 18/20 W, BASE G13 - FORNECIMENTO E INSTALAÇÃO. AF_02/2020_PS</v>
      </c>
      <c r="H428" s="934" t="str">
        <f>IFERROR(IF(F428="SINAPI-S",VLOOKUP(E428,'20-B.SINAPI-S'!A:J,3,0),IF(F428="SINAPI-I",VLOOKUP(E428,'20-A.SINAPI-I'!A:G,3,0),IF(F428="COMP.EVENTUAL",VLOOKUP(E428,'11.COMPOSIÇÕES GERAIS'!B:I,3,0),VLOOKUP(E428,'12.COT.MERCADO'!A:I,7,0)))),"Em Elaboração")</f>
        <v>UN</v>
      </c>
      <c r="I428" s="952">
        <v>2.0</v>
      </c>
    </row>
    <row r="429">
      <c r="A429" s="931" t="s">
        <v>4939</v>
      </c>
      <c r="B429" s="931" t="s">
        <v>4973</v>
      </c>
      <c r="C429" s="932" t="s">
        <v>4274</v>
      </c>
      <c r="D429" s="933" t="s">
        <v>4974</v>
      </c>
      <c r="E429" s="959">
        <v>101914.0</v>
      </c>
      <c r="F429" s="937" t="s">
        <v>218</v>
      </c>
      <c r="G429" s="421" t="str">
        <f>IFERROR(IF(F429="SINAPI-S",VLOOKUP(E429,'20-B.SINAPI-S'!A:J,2,0),IF(F429="SINAPI-I",VLOOKUP(E429,'20-A.SINAPI-I'!A:G,2,0),IF(F429="COMP.EVENTUAL",VLOOKUP(E429,'11.COMPOSIÇÕES GERAIS'!B:I,2,0),VLOOKUP(E429,'12.COT.MERCADO'!A:I,2,0)))),"Em Elaboração")</f>
        <v>CAIXA DE INCÊNDIO 60X90X17CM - FORNECIMENTO E INSTALAÇÃO. AF_10/2020</v>
      </c>
      <c r="H429" s="934" t="str">
        <f>IFERROR(IF(F429="SINAPI-S",VLOOKUP(E429,'20-B.SINAPI-S'!A:J,3,0),IF(F429="SINAPI-I",VLOOKUP(E429,'20-A.SINAPI-I'!A:G,3,0),IF(F429="COMP.EVENTUAL",VLOOKUP(E429,'11.COMPOSIÇÕES GERAIS'!B:I,3,0),VLOOKUP(E429,'12.COT.MERCADO'!A:I,7,0)))),"Em Elaboração")</f>
        <v>UN</v>
      </c>
      <c r="I429" s="962">
        <v>1.0</v>
      </c>
    </row>
    <row r="430">
      <c r="A430" s="931" t="s">
        <v>4939</v>
      </c>
      <c r="B430" s="931" t="s">
        <v>4973</v>
      </c>
      <c r="C430" s="932" t="s">
        <v>4274</v>
      </c>
      <c r="D430" s="933" t="s">
        <v>4975</v>
      </c>
      <c r="E430" s="959" t="s">
        <v>1844</v>
      </c>
      <c r="F430" s="935" t="s">
        <v>4276</v>
      </c>
      <c r="G430" s="421" t="str">
        <f>IFERROR(IF(F430="SINAPI-S",VLOOKUP(E430,'20-B.SINAPI-S'!A:J,2,0),IF(F430="SINAPI-I",VLOOKUP(E430,'20-A.SINAPI-I'!A:G,2,0),IF(F430="COMP.EVENTUAL",VLOOKUP(E430,'11.COMPOSIÇÕES GERAIS'!B:I,2,0),VLOOKUP(E430,'12.COT.MERCADO'!A:I,2,0)))),"Em Elaboração")</f>
        <v>FORNECIMENTO E INSTALAÇÃO DE PLACA CENTRAL DE COMANDO UNIVERSAL X2 FULL ST IPEC PARA AUTOMATIZADORES</v>
      </c>
      <c r="H430" s="934" t="str">
        <f>IFERROR(IF(F430="SINAPI-S",VLOOKUP(E430,'20-B.SINAPI-S'!A:J,3,0),IF(F430="SINAPI-I",VLOOKUP(E430,'20-A.SINAPI-I'!A:G,3,0),IF(F430="COMP.EVENTUAL",VLOOKUP(E430,'11.COMPOSIÇÕES GERAIS'!B:I,3,0),VLOOKUP(E430,'12.COT.MERCADO'!A:I,7,0)))),"Em Elaboração")</f>
        <v>UN</v>
      </c>
      <c r="I430" s="962">
        <v>1.0</v>
      </c>
    </row>
    <row r="431">
      <c r="A431" s="931" t="s">
        <v>4939</v>
      </c>
      <c r="B431" s="931" t="s">
        <v>4976</v>
      </c>
      <c r="C431" s="932" t="s">
        <v>4297</v>
      </c>
      <c r="D431" s="933" t="s">
        <v>4977</v>
      </c>
      <c r="E431" s="959">
        <v>102153.0</v>
      </c>
      <c r="F431" s="937" t="s">
        <v>218</v>
      </c>
      <c r="G431" s="421" t="str">
        <f>IFERROR(IF(F431="SINAPI-S",VLOOKUP(E431,'20-B.SINAPI-S'!A:J,2,0),IF(F431="SINAPI-I",VLOOKUP(E431,'20-A.SINAPI-I'!A:G,2,0),IF(F431="COMP.EVENTUAL",VLOOKUP(E431,'11.COMPOSIÇÕES GERAIS'!B:I,2,0),VLOOKUP(E431,'12.COT.MERCADO'!A:I,2,0)))),"Em Elaboração")</f>
        <v>INSTALAÇÃO DE VIDRO LISO FUME, E = 4 MM, EM ESQUADRIA DE MADEIRA, FIXADO COM BAGUETE. AF_01/2021</v>
      </c>
      <c r="H431" s="934" t="str">
        <f>IFERROR(IF(F431="SINAPI-S",VLOOKUP(E431,'20-B.SINAPI-S'!A:J,3,0),IF(F431="SINAPI-I",VLOOKUP(E431,'20-A.SINAPI-I'!A:G,3,0),IF(F431="COMP.EVENTUAL",VLOOKUP(E431,'11.COMPOSIÇÕES GERAIS'!B:I,3,0),VLOOKUP(E431,'12.COT.MERCADO'!A:I,7,0)))),"Em Elaboração")</f>
        <v>M2</v>
      </c>
      <c r="I431" s="962">
        <v>1.0</v>
      </c>
    </row>
    <row r="432">
      <c r="A432" s="931" t="s">
        <v>4939</v>
      </c>
      <c r="B432" s="931" t="s">
        <v>4978</v>
      </c>
      <c r="C432" s="932" t="s">
        <v>4274</v>
      </c>
      <c r="D432" s="933" t="s">
        <v>4979</v>
      </c>
      <c r="E432" s="961">
        <v>101657.0</v>
      </c>
      <c r="F432" s="937" t="s">
        <v>218</v>
      </c>
      <c r="G432" s="421" t="str">
        <f>IFERROR(IF(F432="SINAPI-S",VLOOKUP(E432,'20-B.SINAPI-S'!A:J,2,0),IF(F432="SINAPI-I",VLOOKUP(E432,'20-A.SINAPI-I'!A:G,2,0),IF(F432="COMP.EVENTUAL",VLOOKUP(E432,'11.COMPOSIÇÕES GERAIS'!B:I,2,0),VLOOKUP(E432,'12.COT.MERCADO'!A:I,2,0)))),"Em Elaboração")</f>
        <v>LUMINÁRIA DE LED PARA ILUMINAÇÃO PÚBLICA, DE 98 W ATÉ 137 W - FORNECIMENTO E INSTALAÇÃO. AF_08/2020</v>
      </c>
      <c r="H432" s="934" t="str">
        <f>IFERROR(IF(F432="SINAPI-S",VLOOKUP(E432,'20-B.SINAPI-S'!A:J,3,0),IF(F432="SINAPI-I",VLOOKUP(E432,'20-A.SINAPI-I'!A:G,3,0),IF(F432="COMP.EVENTUAL",VLOOKUP(E432,'11.COMPOSIÇÕES GERAIS'!B:I,3,0),VLOOKUP(E432,'12.COT.MERCADO'!A:I,7,0)))),"Em Elaboração")</f>
        <v>UN</v>
      </c>
      <c r="I432" s="962">
        <v>1.0</v>
      </c>
    </row>
    <row r="433">
      <c r="A433" s="931" t="s">
        <v>4939</v>
      </c>
      <c r="B433" s="931" t="s">
        <v>4980</v>
      </c>
      <c r="C433" s="932" t="s">
        <v>4297</v>
      </c>
      <c r="D433" s="933" t="s">
        <v>4981</v>
      </c>
      <c r="E433" s="959">
        <v>95305.0</v>
      </c>
      <c r="F433" s="937" t="s">
        <v>218</v>
      </c>
      <c r="G433" s="421" t="str">
        <f>IFERROR(IF(F433="SINAPI-S",VLOOKUP(E433,'20-B.SINAPI-S'!A:J,2,0),IF(F433="SINAPI-I",VLOOKUP(E433,'20-A.SINAPI-I'!A:G,2,0),IF(F433="COMP.EVENTUAL",VLOOKUP(E433,'11.COMPOSIÇÕES GERAIS'!B:I,2,0),VLOOKUP(E433,'12.COT.MERCADO'!A:I,2,0)))),"Em Elaboração")</f>
        <v>TEXTURA ACRÍLICA, APLICAÇÃO MANUAL EM PAREDE, UMA DEMÃO. AF_04/2023</v>
      </c>
      <c r="H433" s="934" t="str">
        <f>IFERROR(IF(F433="SINAPI-S",VLOOKUP(E433,'20-B.SINAPI-S'!A:J,3,0),IF(F433="SINAPI-I",VLOOKUP(E433,'20-A.SINAPI-I'!A:G,3,0),IF(F433="COMP.EVENTUAL",VLOOKUP(E433,'11.COMPOSIÇÕES GERAIS'!B:I,3,0),VLOOKUP(E433,'12.COT.MERCADO'!A:I,7,0)))),"Em Elaboração")</f>
        <v>M2</v>
      </c>
      <c r="I433" s="960">
        <v>10.0</v>
      </c>
    </row>
    <row r="434">
      <c r="A434" s="931" t="s">
        <v>4939</v>
      </c>
      <c r="B434" s="931" t="s">
        <v>4982</v>
      </c>
      <c r="C434" s="932" t="s">
        <v>4274</v>
      </c>
      <c r="D434" s="933" t="s">
        <v>4983</v>
      </c>
      <c r="E434" s="959">
        <v>98297.0</v>
      </c>
      <c r="F434" s="937" t="s">
        <v>218</v>
      </c>
      <c r="G434" s="421" t="str">
        <f>IFERROR(IF(F434="SINAPI-S",VLOOKUP(E434,'20-B.SINAPI-S'!A:J,2,0),IF(F434="SINAPI-I",VLOOKUP(E434,'20-A.SINAPI-I'!A:G,2,0),IF(F434="COMP.EVENTUAL",VLOOKUP(E434,'11.COMPOSIÇÕES GERAIS'!B:I,2,0),VLOOKUP(E434,'12.COT.MERCADO'!A:I,2,0)))),"Em Elaboração")</f>
        <v>CABO ELETRÔNICO CATEGORIA 6, INSTALADO EM EDIFICAÇÃO INSTITUCIONAL - FORNECIMENTO E INSTALAÇÃO. AF_11/2019</v>
      </c>
      <c r="H434" s="934" t="str">
        <f>IFERROR(IF(F434="SINAPI-S",VLOOKUP(E434,'20-B.SINAPI-S'!A:J,3,0),IF(F434="SINAPI-I",VLOOKUP(E434,'20-A.SINAPI-I'!A:G,3,0),IF(F434="COMP.EVENTUAL",VLOOKUP(E434,'11.COMPOSIÇÕES GERAIS'!B:I,3,0),VLOOKUP(E434,'12.COT.MERCADO'!A:I,7,0)))),"Em Elaboração")</f>
        <v>M</v>
      </c>
      <c r="I434" s="960">
        <v>30.0</v>
      </c>
    </row>
    <row r="435">
      <c r="A435" s="931" t="s">
        <v>4939</v>
      </c>
      <c r="B435" s="931" t="s">
        <v>4984</v>
      </c>
      <c r="C435" s="932" t="s">
        <v>4306</v>
      </c>
      <c r="D435" s="944" t="s">
        <v>4985</v>
      </c>
      <c r="E435" s="963" t="s">
        <v>1983</v>
      </c>
      <c r="F435" s="937" t="s">
        <v>4276</v>
      </c>
      <c r="G435" s="421" t="str">
        <f>IFERROR(IF(F435="SINAPI-S",VLOOKUP(E435,'20-B.SINAPI-S'!A:J,2,0),IF(F435="SINAPI-I",VLOOKUP(E435,'20-A.SINAPI-I'!A:G,2,0),IF(F435="COMP.EVENTUAL",VLOOKUP(E435,'11.COMPOSIÇÕES GERAIS'!B:I,2,0),VLOOKUP(E435,'12.COT.MERCADO'!A:I,2,0)))),"Em Elaboração")</f>
        <v>KIT COMPLETO UNIVERSAL PARA REPARO EM CAIXA ACOPLADA - FORNECIMENTO E INSTALAÇÃO</v>
      </c>
      <c r="H435" s="934" t="str">
        <f>IFERROR(IF(F435="SINAPI-S",VLOOKUP(E435,'20-B.SINAPI-S'!A:J,3,0),IF(F435="SINAPI-I",VLOOKUP(E435,'20-A.SINAPI-I'!A:G,3,0),IF(F435="COMP.EVENTUAL",VLOOKUP(E435,'11.COMPOSIÇÕES GERAIS'!B:I,3,0),VLOOKUP(E435,'12.COT.MERCADO'!A:I,7,0)))),"Em Elaboração")</f>
        <v>UN</v>
      </c>
      <c r="I435" s="962">
        <v>1.0</v>
      </c>
    </row>
    <row r="436">
      <c r="A436" s="931" t="s">
        <v>4939</v>
      </c>
      <c r="B436" s="931" t="s">
        <v>4986</v>
      </c>
      <c r="C436" s="932" t="s">
        <v>4297</v>
      </c>
      <c r="D436" s="933" t="s">
        <v>4987</v>
      </c>
      <c r="E436" s="959" t="s">
        <v>1827</v>
      </c>
      <c r="F436" s="935" t="s">
        <v>4276</v>
      </c>
      <c r="G436" s="421" t="str">
        <f>IFERROR(IF(F436="SINAPI-S",VLOOKUP(E436,'20-B.SINAPI-S'!A:J,2,0),IF(F436="SINAPI-I",VLOOKUP(E436,'20-A.SINAPI-I'!A:G,2,0),IF(F436="COMP.EVENTUAL",VLOOKUP(E436,'11.COMPOSIÇÕES GERAIS'!B:I,2,0),VLOOKUP(E436,'12.COT.MERCADO'!A:I,2,0)))),"Em Elaboração")</f>
        <v>FORNECIMENTO E INSTALAÇÃO DE PERSIANA EM PVC BRANCO, LÂMINA COM LARGURA DE 89MM, SEM BANDÔ</v>
      </c>
      <c r="H436" s="934" t="str">
        <f>IFERROR(IF(F436="SINAPI-S",VLOOKUP(E436,'20-B.SINAPI-S'!A:J,3,0),IF(F436="SINAPI-I",VLOOKUP(E436,'20-A.SINAPI-I'!A:G,3,0),IF(F436="COMP.EVENTUAL",VLOOKUP(E436,'11.COMPOSIÇÕES GERAIS'!B:I,3,0),VLOOKUP(E436,'12.COT.MERCADO'!A:I,7,0)))),"Em Elaboração")</f>
        <v>M2</v>
      </c>
      <c r="I436" s="962">
        <v>1.0</v>
      </c>
    </row>
    <row r="437">
      <c r="A437" s="931" t="s">
        <v>4939</v>
      </c>
      <c r="B437" s="931" t="s">
        <v>4988</v>
      </c>
      <c r="C437" s="932" t="s">
        <v>4274</v>
      </c>
      <c r="D437" s="933" t="s">
        <v>4989</v>
      </c>
      <c r="E437" s="959">
        <v>97614.0</v>
      </c>
      <c r="F437" s="937" t="s">
        <v>218</v>
      </c>
      <c r="G437" s="421" t="str">
        <f>IFERROR(IF(F437="SINAPI-S",VLOOKUP(E437,'20-B.SINAPI-S'!A:J,2,0),IF(F437="SINAPI-I",VLOOKUP(E437,'20-A.SINAPI-I'!A:G,2,0),IF(F437="COMP.EVENTUAL",VLOOKUP(E437,'11.COMPOSIÇÕES GERAIS'!B:I,2,0),VLOOKUP(E437,'12.COT.MERCADO'!A:I,2,0)))),"Em Elaboração")</f>
        <v>LÂMPADA COMPACTA DE VAPOR METÁLICO OVOIDE 150 W, BASE E27 - FORNECIMENTO E INSTALAÇÃO. AF_02/2020</v>
      </c>
      <c r="H437" s="934" t="str">
        <f>IFERROR(IF(F437="SINAPI-S",VLOOKUP(E437,'20-B.SINAPI-S'!A:J,3,0),IF(F437="SINAPI-I",VLOOKUP(E437,'20-A.SINAPI-I'!A:G,3,0),IF(F437="COMP.EVENTUAL",VLOOKUP(E437,'11.COMPOSIÇÕES GERAIS'!B:I,3,0),VLOOKUP(E437,'12.COT.MERCADO'!A:I,7,0)))),"Em Elaboração")</f>
        <v>UN</v>
      </c>
      <c r="I437" s="962">
        <v>24.0</v>
      </c>
    </row>
    <row r="438">
      <c r="A438" s="931" t="s">
        <v>4939</v>
      </c>
      <c r="B438" s="931" t="s">
        <v>4988</v>
      </c>
      <c r="C438" s="932" t="s">
        <v>4274</v>
      </c>
      <c r="D438" s="933" t="s">
        <v>4990</v>
      </c>
      <c r="E438" s="959">
        <v>101657.0</v>
      </c>
      <c r="F438" s="937" t="s">
        <v>218</v>
      </c>
      <c r="G438" s="421" t="str">
        <f>IFERROR(IF(F438="SINAPI-S",VLOOKUP(E438,'20-B.SINAPI-S'!A:J,2,0),IF(F438="SINAPI-I",VLOOKUP(E438,'20-A.SINAPI-I'!A:G,2,0),IF(F438="COMP.EVENTUAL",VLOOKUP(E438,'11.COMPOSIÇÕES GERAIS'!B:I,2,0),VLOOKUP(E438,'12.COT.MERCADO'!A:I,2,0)))),"Em Elaboração")</f>
        <v>LUMINÁRIA DE LED PARA ILUMINAÇÃO PÚBLICA, DE 98 W ATÉ 137 W - FORNECIMENTO E INSTALAÇÃO. AF_08/2020</v>
      </c>
      <c r="H438" s="934" t="str">
        <f>IFERROR(IF(F438="SINAPI-S",VLOOKUP(E438,'20-B.SINAPI-S'!A:J,3,0),IF(F438="SINAPI-I",VLOOKUP(E438,'20-A.SINAPI-I'!A:G,3,0),IF(F438="COMP.EVENTUAL",VLOOKUP(E438,'11.COMPOSIÇÕES GERAIS'!B:I,3,0),VLOOKUP(E438,'12.COT.MERCADO'!A:I,7,0)))),"Em Elaboração")</f>
        <v>UN</v>
      </c>
      <c r="I438" s="960">
        <v>24.0</v>
      </c>
    </row>
    <row r="439">
      <c r="A439" s="931" t="s">
        <v>4939</v>
      </c>
      <c r="B439" s="931" t="s">
        <v>4988</v>
      </c>
      <c r="C439" s="932" t="s">
        <v>4274</v>
      </c>
      <c r="D439" s="933" t="s">
        <v>4991</v>
      </c>
      <c r="E439" s="959">
        <v>101632.0</v>
      </c>
      <c r="F439" s="937" t="s">
        <v>218</v>
      </c>
      <c r="G439" s="421" t="str">
        <f>IFERROR(IF(F439="SINAPI-S",VLOOKUP(E439,'20-B.SINAPI-S'!A:J,2,0),IF(F439="SINAPI-I",VLOOKUP(E439,'20-A.SINAPI-I'!A:G,2,0),IF(F439="COMP.EVENTUAL",VLOOKUP(E439,'11.COMPOSIÇÕES GERAIS'!B:I,2,0),VLOOKUP(E439,'12.COT.MERCADO'!A:I,2,0)))),"Em Elaboração")</f>
        <v>RELÉ FOTOELÉTRICO PARA COMANDO DE ILUMINAÇÃO EXTERNA 1000 W - FORNECIMENTO E INSTALAÇÃO. AF_08/2020</v>
      </c>
      <c r="H439" s="934" t="str">
        <f>IFERROR(IF(F439="SINAPI-S",VLOOKUP(E439,'20-B.SINAPI-S'!A:J,3,0),IF(F439="SINAPI-I",VLOOKUP(E439,'20-A.SINAPI-I'!A:G,3,0),IF(F439="COMP.EVENTUAL",VLOOKUP(E439,'11.COMPOSIÇÕES GERAIS'!B:I,3,0),VLOOKUP(E439,'12.COT.MERCADO'!A:I,7,0)))),"Em Elaboração")</f>
        <v>UN</v>
      </c>
      <c r="I439" s="960">
        <v>2.0</v>
      </c>
    </row>
    <row r="440">
      <c r="A440" s="931" t="s">
        <v>4939</v>
      </c>
      <c r="B440" s="931" t="s">
        <v>4992</v>
      </c>
      <c r="C440" s="932" t="s">
        <v>4297</v>
      </c>
      <c r="D440" s="933" t="s">
        <v>4993</v>
      </c>
      <c r="E440" s="959">
        <v>93203.0</v>
      </c>
      <c r="F440" s="937" t="s">
        <v>218</v>
      </c>
      <c r="G440" s="421" t="str">
        <f>IFERROR(IF(F440="SINAPI-S",VLOOKUP(E440,'20-B.SINAPI-S'!A:J,2,0),IF(F440="SINAPI-I",VLOOKUP(E440,'20-A.SINAPI-I'!A:G,2,0),IF(F440="COMP.EVENTUAL",VLOOKUP(E440,'11.COMPOSIÇÕES GERAIS'!B:I,2,0),VLOOKUP(E440,'12.COT.MERCADO'!A:I,2,0)))),"Em Elaboração")</f>
        <v>FIXAÇÃO (ENCUNHAMENTO) DE ALVENARIA DE VEDAÇÃO COM ESPUMA DE POLIURETANO EXPANSIVA. AF_03/2016</v>
      </c>
      <c r="H440" s="934" t="str">
        <f>IFERROR(IF(F440="SINAPI-S",VLOOKUP(E440,'20-B.SINAPI-S'!A:J,3,0),IF(F440="SINAPI-I",VLOOKUP(E440,'20-A.SINAPI-I'!A:G,3,0),IF(F440="COMP.EVENTUAL",VLOOKUP(E440,'11.COMPOSIÇÕES GERAIS'!B:I,3,0),VLOOKUP(E440,'12.COT.MERCADO'!A:I,7,0)))),"Em Elaboração")</f>
        <v>M</v>
      </c>
      <c r="I440" s="962">
        <v>1.0</v>
      </c>
    </row>
    <row r="441">
      <c r="A441" s="931" t="s">
        <v>4939</v>
      </c>
      <c r="B441" s="931" t="s">
        <v>4994</v>
      </c>
      <c r="C441" s="932" t="s">
        <v>4274</v>
      </c>
      <c r="D441" s="933" t="s">
        <v>4995</v>
      </c>
      <c r="E441" s="959">
        <v>100903.0</v>
      </c>
      <c r="F441" s="937" t="s">
        <v>218</v>
      </c>
      <c r="G441" s="421" t="str">
        <f>IFERROR(IF(F441="SINAPI-S",VLOOKUP(E441,'20-B.SINAPI-S'!A:J,2,0),IF(F441="SINAPI-I",VLOOKUP(E441,'20-A.SINAPI-I'!A:G,2,0),IF(F441="COMP.EVENTUAL",VLOOKUP(E441,'11.COMPOSIÇÕES GERAIS'!B:I,2,0),VLOOKUP(E441,'12.COT.MERCADO'!A:I,2,0)))),"Em Elaboração")</f>
        <v>LÂMPADA TUBULAR LED DE 18/20 W, BASE G13 - FORNECIMENTO E INSTALAÇÃO. AF_02/2020_PS</v>
      </c>
      <c r="H441" s="934" t="str">
        <f>IFERROR(IF(F441="SINAPI-S",VLOOKUP(E441,'20-B.SINAPI-S'!A:J,3,0),IF(F441="SINAPI-I",VLOOKUP(E441,'20-A.SINAPI-I'!A:G,3,0),IF(F441="COMP.EVENTUAL",VLOOKUP(E441,'11.COMPOSIÇÕES GERAIS'!B:I,3,0),VLOOKUP(E441,'12.COT.MERCADO'!A:I,7,0)))),"Em Elaboração")</f>
        <v>UN</v>
      </c>
      <c r="I441" s="962">
        <v>4.0</v>
      </c>
    </row>
    <row r="442">
      <c r="A442" s="931" t="s">
        <v>4939</v>
      </c>
      <c r="B442" s="931" t="s">
        <v>4996</v>
      </c>
      <c r="C442" s="932" t="s">
        <v>4306</v>
      </c>
      <c r="D442" s="933" t="s">
        <v>4997</v>
      </c>
      <c r="E442" s="959">
        <v>100860.0</v>
      </c>
      <c r="F442" s="937" t="s">
        <v>218</v>
      </c>
      <c r="G442" s="421" t="str">
        <f>IFERROR(IF(F442="SINAPI-S",VLOOKUP(E442,'20-B.SINAPI-S'!A:J,2,0),IF(F442="SINAPI-I",VLOOKUP(E442,'20-A.SINAPI-I'!A:G,2,0),IF(F442="COMP.EVENTUAL",VLOOKUP(E442,'11.COMPOSIÇÕES GERAIS'!B:I,2,0),VLOOKUP(E442,'12.COT.MERCADO'!A:I,2,0)))),"Em Elaboração")</f>
        <v>CHUVEIRO ELÉTRICO COMUM CORPO PLÁSTICO, TIPO DUCHA _x0096_ FORNECIMENTO E INSTALAÇÃO. AF_01/2020</v>
      </c>
      <c r="H442" s="934" t="str">
        <f>IFERROR(IF(F442="SINAPI-S",VLOOKUP(E442,'20-B.SINAPI-S'!A:J,3,0),IF(F442="SINAPI-I",VLOOKUP(E442,'20-A.SINAPI-I'!A:G,3,0),IF(F442="COMP.EVENTUAL",VLOOKUP(E442,'11.COMPOSIÇÕES GERAIS'!B:I,3,0),VLOOKUP(E442,'12.COT.MERCADO'!A:I,7,0)))),"Em Elaboração")</f>
        <v>UN</v>
      </c>
      <c r="I442" s="962">
        <v>1.0</v>
      </c>
    </row>
    <row r="443">
      <c r="A443" s="931" t="s">
        <v>4939</v>
      </c>
      <c r="B443" s="931" t="s">
        <v>4996</v>
      </c>
      <c r="C443" s="932" t="s">
        <v>4306</v>
      </c>
      <c r="D443" s="933" t="s">
        <v>4998</v>
      </c>
      <c r="E443" s="959" t="s">
        <v>1943</v>
      </c>
      <c r="F443" s="935" t="s">
        <v>4276</v>
      </c>
      <c r="G443" s="421" t="str">
        <f>IFERROR(IF(F443="SINAPI-S",VLOOKUP(E443,'20-B.SINAPI-S'!A:J,2,0),IF(F443="SINAPI-I",VLOOKUP(E443,'20-A.SINAPI-I'!A:G,2,0),IF(F443="COMP.EVENTUAL",VLOOKUP(E443,'11.COMPOSIÇÕES GERAIS'!B:I,2,0),VLOOKUP(E443,'12.COT.MERCADO'!A:I,2,0)))),"Em Elaboração")</f>
        <v>DUCHA HIGIÊNCIA PLÁSTICA COM REGISTRO METÁLICO 1/2" - FORNECIMENTO E INSTALAÇÃO</v>
      </c>
      <c r="H443" s="934" t="str">
        <f>IFERROR(IF(F443="SINAPI-S",VLOOKUP(E443,'20-B.SINAPI-S'!A:J,3,0),IF(F443="SINAPI-I",VLOOKUP(E443,'20-A.SINAPI-I'!A:G,3,0),IF(F443="COMP.EVENTUAL",VLOOKUP(E443,'11.COMPOSIÇÕES GERAIS'!B:I,3,0),VLOOKUP(E443,'12.COT.MERCADO'!A:I,7,0)))),"Em Elaboração")</f>
        <v>UN</v>
      </c>
      <c r="I443" s="960">
        <v>1.0</v>
      </c>
    </row>
    <row r="444">
      <c r="A444" s="931" t="s">
        <v>4939</v>
      </c>
      <c r="B444" s="931" t="s">
        <v>4996</v>
      </c>
      <c r="C444" s="932" t="s">
        <v>4306</v>
      </c>
      <c r="D444" s="933" t="s">
        <v>4999</v>
      </c>
      <c r="E444" s="959">
        <v>86906.0</v>
      </c>
      <c r="F444" s="937" t="s">
        <v>218</v>
      </c>
      <c r="G444" s="421" t="str">
        <f>IFERROR(IF(F444="SINAPI-S",VLOOKUP(E444,'20-B.SINAPI-S'!A:J,2,0),IF(F444="SINAPI-I",VLOOKUP(E444,'20-A.SINAPI-I'!A:G,2,0),IF(F444="COMP.EVENTUAL",VLOOKUP(E444,'11.COMPOSIÇÕES GERAIS'!B:I,2,0),VLOOKUP(E444,'12.COT.MERCADO'!A:I,2,0)))),"Em Elaboração")</f>
        <v>TORNEIRA CROMADA DE MESA, 1/2_x0094_ OU 3/4_x0094_, PARA LAVATÓRIO, PADRÃO POPULAR - FORNECIMENTO E INSTALAÇÃO. AF_01/2020</v>
      </c>
      <c r="H444" s="934" t="str">
        <f>IFERROR(IF(F444="SINAPI-S",VLOOKUP(E444,'20-B.SINAPI-S'!A:J,3,0),IF(F444="SINAPI-I",VLOOKUP(E444,'20-A.SINAPI-I'!A:G,3,0),IF(F444="COMP.EVENTUAL",VLOOKUP(E444,'11.COMPOSIÇÕES GERAIS'!B:I,3,0),VLOOKUP(E444,'12.COT.MERCADO'!A:I,7,0)))),"Em Elaboração")</f>
        <v>UN</v>
      </c>
      <c r="I444" s="962">
        <v>1.0</v>
      </c>
    </row>
    <row r="445">
      <c r="A445" s="931" t="s">
        <v>4939</v>
      </c>
      <c r="B445" s="931" t="s">
        <v>5000</v>
      </c>
      <c r="C445" s="932" t="s">
        <v>4297</v>
      </c>
      <c r="D445" s="933" t="s">
        <v>5001</v>
      </c>
      <c r="E445" s="959">
        <v>100849.0</v>
      </c>
      <c r="F445" s="937" t="s">
        <v>218</v>
      </c>
      <c r="G445" s="421" t="str">
        <f>IFERROR(IF(F445="SINAPI-S",VLOOKUP(E445,'20-B.SINAPI-S'!A:J,2,0),IF(F445="SINAPI-I",VLOOKUP(E445,'20-A.SINAPI-I'!A:G,2,0),IF(F445="COMP.EVENTUAL",VLOOKUP(E445,'11.COMPOSIÇÕES GERAIS'!B:I,2,0),VLOOKUP(E445,'12.COT.MERCADO'!A:I,2,0)))),"Em Elaboração")</f>
        <v>ASSENTO SANITÁRIO CONVENCIONAL - FORNECIMENTO E INSTALACAO. AF_01/2020</v>
      </c>
      <c r="H445" s="934" t="str">
        <f>IFERROR(IF(F445="SINAPI-S",VLOOKUP(E445,'20-B.SINAPI-S'!A:J,3,0),IF(F445="SINAPI-I",VLOOKUP(E445,'20-A.SINAPI-I'!A:G,3,0),IF(F445="COMP.EVENTUAL",VLOOKUP(E445,'11.COMPOSIÇÕES GERAIS'!B:I,3,0),VLOOKUP(E445,'12.COT.MERCADO'!A:I,7,0)))),"Em Elaboração")</f>
        <v>UN</v>
      </c>
      <c r="I445" s="962">
        <v>1.0</v>
      </c>
    </row>
    <row r="446">
      <c r="A446" s="931" t="s">
        <v>4939</v>
      </c>
      <c r="B446" s="931" t="s">
        <v>5000</v>
      </c>
      <c r="C446" s="932" t="s">
        <v>4306</v>
      </c>
      <c r="D446" s="933" t="s">
        <v>5002</v>
      </c>
      <c r="E446" s="959">
        <v>86888.0</v>
      </c>
      <c r="F446" s="937" t="s">
        <v>218</v>
      </c>
      <c r="G446" s="421" t="str">
        <f>IFERROR(IF(F446="SINAPI-S",VLOOKUP(E446,'20-B.SINAPI-S'!A:J,2,0),IF(F446="SINAPI-I",VLOOKUP(E446,'20-A.SINAPI-I'!A:G,2,0),IF(F446="COMP.EVENTUAL",VLOOKUP(E446,'11.COMPOSIÇÕES GERAIS'!B:I,2,0),VLOOKUP(E446,'12.COT.MERCADO'!A:I,2,0)))),"Em Elaboração")</f>
        <v>VASO SANITÁRIO SIFONADO COM CAIXA ACOPLADA LOUÇA BRANCA - FORNECIMENTO E INSTALAÇÃO. AF_01/2020</v>
      </c>
      <c r="H446" s="934" t="str">
        <f>IFERROR(IF(F446="SINAPI-S",VLOOKUP(E446,'20-B.SINAPI-S'!A:J,3,0),IF(F446="SINAPI-I",VLOOKUP(E446,'20-A.SINAPI-I'!A:G,3,0),IF(F446="COMP.EVENTUAL",VLOOKUP(E446,'11.COMPOSIÇÕES GERAIS'!B:I,3,0),VLOOKUP(E446,'12.COT.MERCADO'!A:I,7,0)))),"Em Elaboração")</f>
        <v>UN</v>
      </c>
      <c r="I446" s="962">
        <v>1.0</v>
      </c>
    </row>
    <row r="447">
      <c r="A447" s="931" t="s">
        <v>4939</v>
      </c>
      <c r="B447" s="931" t="s">
        <v>5003</v>
      </c>
      <c r="C447" s="932" t="s">
        <v>4274</v>
      </c>
      <c r="D447" s="933" t="s">
        <v>4793</v>
      </c>
      <c r="E447" s="959">
        <v>100903.0</v>
      </c>
      <c r="F447" s="937" t="s">
        <v>218</v>
      </c>
      <c r="G447" s="421" t="str">
        <f>IFERROR(IF(F447="SINAPI-S",VLOOKUP(E447,'20-B.SINAPI-S'!A:J,2,0),IF(F447="SINAPI-I",VLOOKUP(E447,'20-A.SINAPI-I'!A:G,2,0),IF(F447="COMP.EVENTUAL",VLOOKUP(E447,'11.COMPOSIÇÕES GERAIS'!B:I,2,0),VLOOKUP(E447,'12.COT.MERCADO'!A:I,2,0)))),"Em Elaboração")</f>
        <v>LÂMPADA TUBULAR LED DE 18/20 W, BASE G13 - FORNECIMENTO E INSTALAÇÃO. AF_02/2020_PS</v>
      </c>
      <c r="H447" s="934" t="str">
        <f>IFERROR(IF(F447="SINAPI-S",VLOOKUP(E447,'20-B.SINAPI-S'!A:J,3,0),IF(F447="SINAPI-I",VLOOKUP(E447,'20-A.SINAPI-I'!A:G,3,0),IF(F447="COMP.EVENTUAL",VLOOKUP(E447,'11.COMPOSIÇÕES GERAIS'!B:I,3,0),VLOOKUP(E447,'12.COT.MERCADO'!A:I,7,0)))),"Em Elaboração")</f>
        <v>UN</v>
      </c>
      <c r="I447" s="962">
        <v>2.0</v>
      </c>
    </row>
    <row r="448">
      <c r="A448" s="931" t="s">
        <v>4939</v>
      </c>
      <c r="B448" s="931" t="s">
        <v>5004</v>
      </c>
      <c r="C448" s="932" t="s">
        <v>4274</v>
      </c>
      <c r="D448" s="933" t="s">
        <v>5005</v>
      </c>
      <c r="E448" s="959">
        <v>4221.0</v>
      </c>
      <c r="F448" s="946" t="s">
        <v>286</v>
      </c>
      <c r="G448" s="421" t="str">
        <f>IFERROR(IF(F448="SINAPI-S",VLOOKUP(E448,'20-B.SINAPI-S'!A:J,2,0),IF(F448="SINAPI-I",VLOOKUP(E448,'20-A.SINAPI-I'!A:G,2,0),IF(F448="COMP.EVENTUAL",VLOOKUP(E448,'11.COMPOSIÇÕES GERAIS'!B:I,2,0),VLOOKUP(E448,'12.COT.MERCADO'!A:I,2,0)))),"Em Elaboração")</f>
        <v>OLEO DIESEL COMBUSTIVEL COMUM</v>
      </c>
      <c r="H448" s="934" t="str">
        <f>IFERROR(IF(F448="SINAPI-S",VLOOKUP(E448,'20-B.SINAPI-S'!A:J,3,0),IF(F448="SINAPI-I",VLOOKUP(E448,'20-A.SINAPI-I'!A:G,3,0),IF(F448="COMP.EVENTUAL",VLOOKUP(E448,'11.COMPOSIÇÕES GERAIS'!B:I,3,0),VLOOKUP(E448,'12.COT.MERCADO'!A:I,7,0)))),"Em Elaboração")</f>
        <v>L</v>
      </c>
      <c r="I448" s="962">
        <v>50.0</v>
      </c>
    </row>
    <row r="449">
      <c r="A449" s="931" t="s">
        <v>4272</v>
      </c>
      <c r="B449" s="931" t="s">
        <v>5006</v>
      </c>
      <c r="C449" s="932" t="s">
        <v>4297</v>
      </c>
      <c r="D449" s="933" t="s">
        <v>5007</v>
      </c>
      <c r="E449" s="959">
        <v>98575.0</v>
      </c>
      <c r="F449" s="937" t="s">
        <v>218</v>
      </c>
      <c r="G449" s="421" t="str">
        <f>IFERROR(IF(F449="SINAPI-S",VLOOKUP(E449,'20-B.SINAPI-S'!A:J,2,0),IF(F449="SINAPI-I",VLOOKUP(E449,'20-A.SINAPI-I'!A:G,2,0),IF(F449="COMP.EVENTUAL",VLOOKUP(E449,'11.COMPOSIÇÕES GERAIS'!B:I,2,0),VLOOKUP(E449,'12.COT.MERCADO'!A:I,2,0)))),"Em Elaboração")</f>
        <v>TRATAMENTO DE JUNTA DE DILATAÇÃO, COM TARUGO DE POLIETILENO E SELANTE PU, INCLUSO PREENCHIMENTO COM ESPUMA EXPANSIVA PU. AF_06/2018</v>
      </c>
      <c r="H449" s="934" t="str">
        <f>IFERROR(IF(F449="SINAPI-S",VLOOKUP(E449,'20-B.SINAPI-S'!A:J,3,0),IF(F449="SINAPI-I",VLOOKUP(E449,'20-A.SINAPI-I'!A:G,3,0),IF(F449="COMP.EVENTUAL",VLOOKUP(E449,'11.COMPOSIÇÕES GERAIS'!B:I,3,0),VLOOKUP(E449,'12.COT.MERCADO'!A:I,7,0)))),"Em Elaboração")</f>
        <v>M</v>
      </c>
      <c r="I449" s="962">
        <v>1.0</v>
      </c>
    </row>
    <row r="450">
      <c r="A450" s="931" t="s">
        <v>4272</v>
      </c>
      <c r="B450" s="931" t="s">
        <v>5008</v>
      </c>
      <c r="C450" s="932" t="s">
        <v>4297</v>
      </c>
      <c r="D450" s="933" t="s">
        <v>5009</v>
      </c>
      <c r="E450" s="959">
        <v>98575.0</v>
      </c>
      <c r="F450" s="937" t="s">
        <v>218</v>
      </c>
      <c r="G450" s="421" t="str">
        <f>IFERROR(IF(F450="SINAPI-S",VLOOKUP(E450,'20-B.SINAPI-S'!A:J,2,0),IF(F450="SINAPI-I",VLOOKUP(E450,'20-A.SINAPI-I'!A:G,2,0),IF(F450="COMP.EVENTUAL",VLOOKUP(E450,'11.COMPOSIÇÕES GERAIS'!B:I,2,0),VLOOKUP(E450,'12.COT.MERCADO'!A:I,2,0)))),"Em Elaboração")</f>
        <v>TRATAMENTO DE JUNTA DE DILATAÇÃO, COM TARUGO DE POLIETILENO E SELANTE PU, INCLUSO PREENCHIMENTO COM ESPUMA EXPANSIVA PU. AF_06/2018</v>
      </c>
      <c r="H450" s="934" t="str">
        <f>IFERROR(IF(F450="SINAPI-S",VLOOKUP(E450,'20-B.SINAPI-S'!A:J,3,0),IF(F450="SINAPI-I",VLOOKUP(E450,'20-A.SINAPI-I'!A:G,3,0),IF(F450="COMP.EVENTUAL",VLOOKUP(E450,'11.COMPOSIÇÕES GERAIS'!B:I,3,0),VLOOKUP(E450,'12.COT.MERCADO'!A:I,7,0)))),"Em Elaboração")</f>
        <v>M</v>
      </c>
      <c r="I450" s="962">
        <v>1.0</v>
      </c>
    </row>
    <row r="451">
      <c r="A451" s="931" t="s">
        <v>4272</v>
      </c>
      <c r="B451" s="931" t="s">
        <v>5008</v>
      </c>
      <c r="C451" s="932" t="s">
        <v>4297</v>
      </c>
      <c r="D451" s="933" t="s">
        <v>5010</v>
      </c>
      <c r="E451" s="959">
        <v>98576.0</v>
      </c>
      <c r="F451" s="937" t="s">
        <v>218</v>
      </c>
      <c r="G451" s="421" t="str">
        <f>IFERROR(IF(F451="SINAPI-S",VLOOKUP(E451,'20-B.SINAPI-S'!A:J,2,0),IF(F451="SINAPI-I",VLOOKUP(E451,'20-A.SINAPI-I'!A:G,2,0),IF(F451="COMP.EVENTUAL",VLOOKUP(E451,'11.COMPOSIÇÕES GERAIS'!B:I,2,0),VLOOKUP(E451,'12.COT.MERCADO'!A:I,2,0)))),"Em Elaboração")</f>
        <v>TRATAMENTO DE JUNTA DE DILATAÇÃO COM MANTA ASFÁLTICA ADERIDA COM MAÇARICO. AF_06/2018</v>
      </c>
      <c r="H451" s="934" t="str">
        <f>IFERROR(IF(F451="SINAPI-S",VLOOKUP(E451,'20-B.SINAPI-S'!A:J,3,0),IF(F451="SINAPI-I",VLOOKUP(E451,'20-A.SINAPI-I'!A:G,3,0),IF(F451="COMP.EVENTUAL",VLOOKUP(E451,'11.COMPOSIÇÕES GERAIS'!B:I,3,0),VLOOKUP(E451,'12.COT.MERCADO'!A:I,7,0)))),"Em Elaboração")</f>
        <v>M</v>
      </c>
      <c r="I451" s="962">
        <v>1.0</v>
      </c>
    </row>
    <row r="452">
      <c r="A452" s="931" t="s">
        <v>4272</v>
      </c>
      <c r="B452" s="931" t="s">
        <v>5011</v>
      </c>
      <c r="C452" s="932" t="s">
        <v>4274</v>
      </c>
      <c r="D452" s="944" t="s">
        <v>5012</v>
      </c>
      <c r="E452" s="959">
        <v>100903.0</v>
      </c>
      <c r="F452" s="937" t="s">
        <v>218</v>
      </c>
      <c r="G452" s="421" t="str">
        <f>IFERROR(IF(F452="SINAPI-S",VLOOKUP(E452,'20-B.SINAPI-S'!A:J,2,0),IF(F452="SINAPI-I",VLOOKUP(E452,'20-A.SINAPI-I'!A:G,2,0),IF(F452="COMP.EVENTUAL",VLOOKUP(E452,'11.COMPOSIÇÕES GERAIS'!B:I,2,0),VLOOKUP(E452,'12.COT.MERCADO'!A:I,2,0)))),"Em Elaboração")</f>
        <v>LÂMPADA TUBULAR LED DE 18/20 W, BASE G13 - FORNECIMENTO E INSTALAÇÃO. AF_02/2020_PS</v>
      </c>
      <c r="H452" s="934" t="str">
        <f>IFERROR(IF(F452="SINAPI-S",VLOOKUP(E452,'20-B.SINAPI-S'!A:J,3,0),IF(F452="SINAPI-I",VLOOKUP(E452,'20-A.SINAPI-I'!A:G,3,0),IF(F452="COMP.EVENTUAL",VLOOKUP(E452,'11.COMPOSIÇÕES GERAIS'!B:I,3,0),VLOOKUP(E452,'12.COT.MERCADO'!A:I,7,0)))),"Em Elaboração")</f>
        <v>UN</v>
      </c>
      <c r="I452" s="962">
        <v>2.0</v>
      </c>
    </row>
    <row r="453">
      <c r="A453" s="931" t="s">
        <v>4272</v>
      </c>
      <c r="B453" s="931" t="s">
        <v>5013</v>
      </c>
      <c r="C453" s="932" t="s">
        <v>4274</v>
      </c>
      <c r="D453" s="933" t="s">
        <v>5014</v>
      </c>
      <c r="E453" s="959">
        <v>100903.0</v>
      </c>
      <c r="F453" s="937" t="s">
        <v>218</v>
      </c>
      <c r="G453" s="421" t="str">
        <f>IFERROR(IF(F453="SINAPI-S",VLOOKUP(E453,'20-B.SINAPI-S'!A:J,2,0),IF(F453="SINAPI-I",VLOOKUP(E453,'20-A.SINAPI-I'!A:G,2,0),IF(F453="COMP.EVENTUAL",VLOOKUP(E453,'11.COMPOSIÇÕES GERAIS'!B:I,2,0),VLOOKUP(E453,'12.COT.MERCADO'!A:I,2,0)))),"Em Elaboração")</f>
        <v>LÂMPADA TUBULAR LED DE 18/20 W, BASE G13 - FORNECIMENTO E INSTALAÇÃO. AF_02/2020_PS</v>
      </c>
      <c r="H453" s="934" t="str">
        <f>IFERROR(IF(F453="SINAPI-S",VLOOKUP(E453,'20-B.SINAPI-S'!A:J,3,0),IF(F453="SINAPI-I",VLOOKUP(E453,'20-A.SINAPI-I'!A:G,3,0),IF(F453="COMP.EVENTUAL",VLOOKUP(E453,'11.COMPOSIÇÕES GERAIS'!B:I,3,0),VLOOKUP(E453,'12.COT.MERCADO'!A:I,7,0)))),"Em Elaboração")</f>
        <v>UN</v>
      </c>
      <c r="I453" s="962">
        <v>31.0</v>
      </c>
    </row>
    <row r="454">
      <c r="A454" s="931" t="s">
        <v>4272</v>
      </c>
      <c r="B454" s="931" t="s">
        <v>5015</v>
      </c>
      <c r="C454" s="932" t="s">
        <v>4274</v>
      </c>
      <c r="D454" s="933" t="s">
        <v>5014</v>
      </c>
      <c r="E454" s="959">
        <v>100903.0</v>
      </c>
      <c r="F454" s="937" t="s">
        <v>218</v>
      </c>
      <c r="G454" s="421" t="str">
        <f>IFERROR(IF(F454="SINAPI-S",VLOOKUP(E454,'20-B.SINAPI-S'!A:J,2,0),IF(F454="SINAPI-I",VLOOKUP(E454,'20-A.SINAPI-I'!A:G,2,0),IF(F454="COMP.EVENTUAL",VLOOKUP(E454,'11.COMPOSIÇÕES GERAIS'!B:I,2,0),VLOOKUP(E454,'12.COT.MERCADO'!A:I,2,0)))),"Em Elaboração")</f>
        <v>LÂMPADA TUBULAR LED DE 18/20 W, BASE G13 - FORNECIMENTO E INSTALAÇÃO. AF_02/2020_PS</v>
      </c>
      <c r="H454" s="934" t="str">
        <f>IFERROR(IF(F454="SINAPI-S",VLOOKUP(E454,'20-B.SINAPI-S'!A:J,3,0),IF(F454="SINAPI-I",VLOOKUP(E454,'20-A.SINAPI-I'!A:G,3,0),IF(F454="COMP.EVENTUAL",VLOOKUP(E454,'11.COMPOSIÇÕES GERAIS'!B:I,3,0),VLOOKUP(E454,'12.COT.MERCADO'!A:I,7,0)))),"Em Elaboração")</f>
        <v>UN</v>
      </c>
      <c r="I454" s="962">
        <v>2.0</v>
      </c>
    </row>
    <row r="455">
      <c r="A455" s="931" t="s">
        <v>4272</v>
      </c>
      <c r="B455" s="931" t="s">
        <v>5016</v>
      </c>
      <c r="C455" s="932" t="s">
        <v>4274</v>
      </c>
      <c r="D455" s="933" t="s">
        <v>5017</v>
      </c>
      <c r="E455" s="959" t="s">
        <v>1857</v>
      </c>
      <c r="F455" s="935" t="s">
        <v>4276</v>
      </c>
      <c r="G455" s="421" t="str">
        <f>IFERROR(IF(F455="SINAPI-S",VLOOKUP(E455,'20-B.SINAPI-S'!A:J,2,0),IF(F455="SINAPI-I",VLOOKUP(E455,'20-A.SINAPI-I'!A:G,2,0),IF(F455="COMP.EVENTUAL",VLOOKUP(E455,'11.COMPOSIÇÕES GERAIS'!B:I,2,0),VLOOKUP(E455,'12.COT.MERCADO'!A:I,2,0)))),"Em Elaboração")</f>
        <v>VERIFICAÇÃO E TESTE DE PONTO/CIRCUITO COM EMISSÃO DE RELATÓRIO</v>
      </c>
      <c r="H455" s="934" t="str">
        <f>IFERROR(IF(F455="SINAPI-S",VLOOKUP(E455,'20-B.SINAPI-S'!A:J,3,0),IF(F455="SINAPI-I",VLOOKUP(E455,'20-A.SINAPI-I'!A:G,3,0),IF(F455="COMP.EVENTUAL",VLOOKUP(E455,'11.COMPOSIÇÕES GERAIS'!B:I,3,0),VLOOKUP(E455,'12.COT.MERCADO'!A:I,7,0)))),"Em Elaboração")</f>
        <v>UN</v>
      </c>
      <c r="I455" s="952">
        <v>2.0</v>
      </c>
    </row>
    <row r="456">
      <c r="A456" s="931" t="s">
        <v>4272</v>
      </c>
      <c r="B456" s="931" t="s">
        <v>5016</v>
      </c>
      <c r="C456" s="932" t="s">
        <v>4274</v>
      </c>
      <c r="D456" s="933" t="s">
        <v>5018</v>
      </c>
      <c r="E456" s="959">
        <v>92001.0</v>
      </c>
      <c r="F456" s="937" t="s">
        <v>218</v>
      </c>
      <c r="G456" s="421" t="str">
        <f>IFERROR(IF(F456="SINAPI-S",VLOOKUP(E456,'20-B.SINAPI-S'!A:J,2,0),IF(F456="SINAPI-I",VLOOKUP(E456,'20-A.SINAPI-I'!A:G,2,0),IF(F456="COMP.EVENTUAL",VLOOKUP(E456,'11.COMPOSIÇÕES GERAIS'!B:I,2,0),VLOOKUP(E456,'12.COT.MERCADO'!A:I,2,0)))),"Em Elaboração")</f>
        <v>TOMADA BAIXA DE EMBUTIR (1 MÓDULO), 2P+T 20 A, INCLUINDO SUPORTE E PLACA - FORNECIMENTO E INSTALAÇÃO. AF_03/2023</v>
      </c>
      <c r="H456" s="934" t="str">
        <f>IFERROR(IF(F456="SINAPI-S",VLOOKUP(E456,'20-B.SINAPI-S'!A:J,3,0),IF(F456="SINAPI-I",VLOOKUP(E456,'20-A.SINAPI-I'!A:G,3,0),IF(F456="COMP.EVENTUAL",VLOOKUP(E456,'11.COMPOSIÇÕES GERAIS'!B:I,3,0),VLOOKUP(E456,'12.COT.MERCADO'!A:I,7,0)))),"Em Elaboração")</f>
        <v>UN</v>
      </c>
      <c r="I456" s="960">
        <v>4.0</v>
      </c>
    </row>
    <row r="457">
      <c r="A457" s="931" t="s">
        <v>4272</v>
      </c>
      <c r="B457" s="931" t="s">
        <v>5019</v>
      </c>
      <c r="C457" s="932" t="s">
        <v>4274</v>
      </c>
      <c r="D457" s="933" t="s">
        <v>5020</v>
      </c>
      <c r="E457" s="959">
        <v>97615.0</v>
      </c>
      <c r="F457" s="937" t="s">
        <v>218</v>
      </c>
      <c r="G457" s="421" t="str">
        <f>IFERROR(IF(F457="SINAPI-S",VLOOKUP(E457,'20-B.SINAPI-S'!A:J,2,0),IF(F457="SINAPI-I",VLOOKUP(E457,'20-A.SINAPI-I'!A:G,2,0),IF(F457="COMP.EVENTUAL",VLOOKUP(E457,'11.COMPOSIÇÕES GERAIS'!B:I,2,0),VLOOKUP(E457,'12.COT.MERCADO'!A:I,2,0)))),"Em Elaboração")</f>
        <v>LÂMPADA TUBULAR FLUORESCENTE T8 DE 16/18 W, BASE G13 - FORNECIMENTO E INSTALAÇÃO. AF_02/2020_PS</v>
      </c>
      <c r="H457" s="934" t="str">
        <f>IFERROR(IF(F457="SINAPI-S",VLOOKUP(E457,'20-B.SINAPI-S'!A:J,3,0),IF(F457="SINAPI-I",VLOOKUP(E457,'20-A.SINAPI-I'!A:G,3,0),IF(F457="COMP.EVENTUAL",VLOOKUP(E457,'11.COMPOSIÇÕES GERAIS'!B:I,3,0),VLOOKUP(E457,'12.COT.MERCADO'!A:I,7,0)))),"Em Elaboração")</f>
        <v>UN</v>
      </c>
      <c r="I457" s="962">
        <v>2.0</v>
      </c>
    </row>
    <row r="458">
      <c r="A458" s="931" t="s">
        <v>4272</v>
      </c>
      <c r="B458" s="931" t="s">
        <v>5021</v>
      </c>
      <c r="C458" s="932" t="s">
        <v>4306</v>
      </c>
      <c r="D458" s="933" t="s">
        <v>5022</v>
      </c>
      <c r="E458" s="959">
        <v>86881.0</v>
      </c>
      <c r="F458" s="937" t="s">
        <v>218</v>
      </c>
      <c r="G458" s="421" t="str">
        <f>IFERROR(IF(F458="SINAPI-S",VLOOKUP(E458,'20-B.SINAPI-S'!A:J,2,0),IF(F458="SINAPI-I",VLOOKUP(E458,'20-A.SINAPI-I'!A:G,2,0),IF(F458="COMP.EVENTUAL",VLOOKUP(E458,'11.COMPOSIÇÕES GERAIS'!B:I,2,0),VLOOKUP(E458,'12.COT.MERCADO'!A:I,2,0)))),"Em Elaboração")</f>
        <v>SIFÃO DO TIPO GARRAFA EM METAL CROMADO 1 X 1.1/2_x0094_ - FORNECIMENTO E INSTALAÇÃO. AF_01/2020</v>
      </c>
      <c r="H458" s="934" t="str">
        <f>IFERROR(IF(F458="SINAPI-S",VLOOKUP(E458,'20-B.SINAPI-S'!A:J,3,0),IF(F458="SINAPI-I",VLOOKUP(E458,'20-A.SINAPI-I'!A:G,3,0),IF(F458="COMP.EVENTUAL",VLOOKUP(E458,'11.COMPOSIÇÕES GERAIS'!B:I,3,0),VLOOKUP(E458,'12.COT.MERCADO'!A:I,7,0)))),"Em Elaboração")</f>
        <v>UN</v>
      </c>
      <c r="I458" s="962">
        <v>1.0</v>
      </c>
    </row>
    <row r="459">
      <c r="A459" s="931" t="s">
        <v>4272</v>
      </c>
      <c r="B459" s="931" t="s">
        <v>5023</v>
      </c>
      <c r="C459" s="932" t="s">
        <v>4297</v>
      </c>
      <c r="D459" s="933" t="s">
        <v>5024</v>
      </c>
      <c r="E459" s="959">
        <v>90801.0</v>
      </c>
      <c r="F459" s="937" t="s">
        <v>218</v>
      </c>
      <c r="G459" s="421" t="str">
        <f>IFERROR(IF(F459="SINAPI-S",VLOOKUP(E459,'20-B.SINAPI-S'!A:J,2,0),IF(F459="SINAPI-I",VLOOKUP(E459,'20-A.SINAPI-I'!A:G,2,0),IF(F459="COMP.EVENTUAL",VLOOKUP(E459,'11.COMPOSIÇÕES GERAIS'!B:I,2,0),VLOOKUP(E459,'12.COT.MERCADO'!A:I,2,0)))),"Em Elaboração")</f>
        <v>BATENTE PARA PORTA DE MADEIRA, PADRÃO MÉDIO - FORNECIMENTO E MONTAGEM. AF_12/2019</v>
      </c>
      <c r="H459" s="934" t="str">
        <f>IFERROR(IF(F459="SINAPI-S",VLOOKUP(E459,'20-B.SINAPI-S'!A:J,3,0),IF(F459="SINAPI-I",VLOOKUP(E459,'20-A.SINAPI-I'!A:G,3,0),IF(F459="COMP.EVENTUAL",VLOOKUP(E459,'11.COMPOSIÇÕES GERAIS'!B:I,3,0),VLOOKUP(E459,'12.COT.MERCADO'!A:I,7,0)))),"Em Elaboração")</f>
        <v>UN</v>
      </c>
      <c r="I459" s="962">
        <v>1.0</v>
      </c>
    </row>
    <row r="460">
      <c r="A460" s="931" t="s">
        <v>4272</v>
      </c>
      <c r="B460" s="931" t="s">
        <v>5025</v>
      </c>
      <c r="C460" s="932" t="s">
        <v>4274</v>
      </c>
      <c r="D460" s="933" t="s">
        <v>5020</v>
      </c>
      <c r="E460" s="959">
        <v>97615.0</v>
      </c>
      <c r="F460" s="937" t="s">
        <v>218</v>
      </c>
      <c r="G460" s="421" t="str">
        <f>IFERROR(IF(F460="SINAPI-S",VLOOKUP(E460,'20-B.SINAPI-S'!A:J,2,0),IF(F460="SINAPI-I",VLOOKUP(E460,'20-A.SINAPI-I'!A:G,2,0),IF(F460="COMP.EVENTUAL",VLOOKUP(E460,'11.COMPOSIÇÕES GERAIS'!B:I,2,0),VLOOKUP(E460,'12.COT.MERCADO'!A:I,2,0)))),"Em Elaboração")</f>
        <v>LÂMPADA TUBULAR FLUORESCENTE T8 DE 16/18 W, BASE G13 - FORNECIMENTO E INSTALAÇÃO. AF_02/2020_PS</v>
      </c>
      <c r="H460" s="934" t="str">
        <f>IFERROR(IF(F460="SINAPI-S",VLOOKUP(E460,'20-B.SINAPI-S'!A:J,3,0),IF(F460="SINAPI-I",VLOOKUP(E460,'20-A.SINAPI-I'!A:G,3,0),IF(F460="COMP.EVENTUAL",VLOOKUP(E460,'11.COMPOSIÇÕES GERAIS'!B:I,3,0),VLOOKUP(E460,'12.COT.MERCADO'!A:I,7,0)))),"Em Elaboração")</f>
        <v>UN</v>
      </c>
      <c r="I460" s="962">
        <v>2.0</v>
      </c>
    </row>
  </sheetData>
  <mergeCells count="3">
    <mergeCell ref="A1:C1"/>
    <mergeCell ref="D1:G1"/>
    <mergeCell ref="H1:I1"/>
  </mergeCells>
  <conditionalFormatting sqref="A4:D460 A4:D460">
    <cfRule type="expression" dxfId="0" priority="1">
      <formula>$C4="Elétrica" </formula>
    </cfRule>
  </conditionalFormatting>
  <conditionalFormatting sqref="A4:D460 A4:D460">
    <cfRule type="expression" dxfId="1" priority="2">
      <formula>$C4="CIVIL"</formula>
    </cfRule>
  </conditionalFormatting>
  <conditionalFormatting sqref="A4:D460 A4:D460">
    <cfRule type="expression" dxfId="2" priority="3">
      <formula>$C4="HIDRÁULICA"</formula>
    </cfRule>
  </conditionalFormatting>
  <conditionalFormatting sqref="E4:E166 G4:I460 E168:E460">
    <cfRule type="expression" dxfId="3" priority="4">
      <formula>$F4="SINAPI-S"</formula>
    </cfRule>
  </conditionalFormatting>
  <conditionalFormatting sqref="E4:E166 G4:I460 E168:E460">
    <cfRule type="expression" dxfId="4" priority="5">
      <formula>$F4="COMP.EVENTUAL"</formula>
    </cfRule>
  </conditionalFormatting>
  <conditionalFormatting sqref="E4:E166 G4:I460 E168:E460">
    <cfRule type="expression" dxfId="5" priority="6">
      <formula>$F4="SINAPI-I"</formula>
    </cfRule>
  </conditionalFormatting>
  <dataValidations>
    <dataValidation type="list" allowBlank="1" showErrorMessage="1" sqref="F4:F460">
      <formula1>"SINAPI-I,SINAPI-S,COMP.EVENTUAL,Em Elaboração,COT.MERCADO"</formula1>
    </dataValidation>
    <dataValidation type="list" allowBlank="1" showErrorMessage="1" sqref="C4:C460">
      <formula1>"ELÉTRICA,HIDRÁULICA,CIVIL,REFRIGERAÇÃO"</formula1>
    </dataValidation>
  </dataValidations>
  <hyperlinks>
    <hyperlink display="SUMÁRIO" location="'QUADRO RESUMO'!B16:D17" ref="H1"/>
  </hyperlink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34343"/>
    <outlinePr summaryBelow="0" summaryRight="0"/>
    <pageSetUpPr fitToPage="1"/>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8.29"/>
    <col customWidth="1" min="2" max="2" width="15.86"/>
    <col customWidth="1" min="3" max="3" width="9.71"/>
    <col customWidth="1" min="4" max="4" width="20.0"/>
    <col customWidth="1" min="5" max="5" width="50.86"/>
    <col customWidth="1" min="6" max="7" width="12.29"/>
    <col customWidth="1" min="8" max="8" width="10.43"/>
    <col customWidth="1" min="9" max="9" width="12.29"/>
    <col customWidth="1" min="10" max="10" width="14.57"/>
    <col customWidth="1" min="11" max="11" width="12.29"/>
    <col customWidth="1" min="12" max="12" width="10.29"/>
    <col customWidth="1" min="13" max="13" width="15.0"/>
    <col customWidth="1" min="14" max="14" width="15.86"/>
    <col customWidth="1" min="15" max="15" width="14.14"/>
    <col customWidth="1" min="16" max="16" width="12.0"/>
  </cols>
  <sheetData>
    <row r="1" ht="52.5" customHeight="1">
      <c r="A1" s="1" t="s">
        <v>54</v>
      </c>
      <c r="D1" s="1"/>
      <c r="E1" s="126" t="s">
        <v>55</v>
      </c>
      <c r="F1" s="127"/>
      <c r="G1" s="127"/>
      <c r="H1" s="127"/>
      <c r="I1" s="127"/>
      <c r="J1" s="127"/>
      <c r="K1" s="127"/>
      <c r="L1" s="127"/>
      <c r="M1" s="127"/>
      <c r="N1" s="128">
        <f>SUM(O22,O24,O29,O49,O94,O402)</f>
        <v>1278324.084</v>
      </c>
      <c r="O1" s="127"/>
      <c r="P1" s="127"/>
    </row>
    <row r="2" ht="10.5" customHeight="1">
      <c r="A2" s="129"/>
      <c r="B2" s="130"/>
      <c r="C2" s="130"/>
      <c r="D2" s="130"/>
      <c r="E2" s="130"/>
      <c r="F2" s="130"/>
      <c r="G2" s="131"/>
      <c r="H2" s="131"/>
      <c r="I2" s="131"/>
      <c r="J2" s="131"/>
      <c r="K2" s="131"/>
      <c r="L2" s="131"/>
      <c r="M2" s="131"/>
      <c r="N2" s="131"/>
      <c r="O2" s="131"/>
      <c r="P2" s="132"/>
    </row>
    <row r="3" ht="10.5" customHeight="1">
      <c r="A3" s="133"/>
      <c r="B3" s="134" t="s">
        <v>56</v>
      </c>
      <c r="C3" s="135"/>
      <c r="D3" s="136"/>
      <c r="E3" s="137"/>
      <c r="F3" s="138" t="s">
        <v>57</v>
      </c>
      <c r="G3" s="139"/>
      <c r="H3" s="140"/>
      <c r="I3" s="141"/>
      <c r="J3" s="142" t="s">
        <v>58</v>
      </c>
      <c r="K3" s="143"/>
      <c r="L3" s="143"/>
      <c r="M3" s="143"/>
      <c r="N3" s="143"/>
      <c r="O3" s="144"/>
      <c r="P3" s="145"/>
    </row>
    <row r="4" ht="10.5" customHeight="1">
      <c r="A4" s="133"/>
      <c r="B4" s="146" t="s">
        <v>59</v>
      </c>
      <c r="C4" s="146"/>
      <c r="D4" s="147"/>
      <c r="E4" s="137"/>
      <c r="F4" s="148" t="s">
        <v>60</v>
      </c>
      <c r="G4" s="8"/>
      <c r="H4" s="9"/>
      <c r="I4" s="141"/>
      <c r="J4" s="149" t="s">
        <v>61</v>
      </c>
      <c r="K4" s="150" t="s">
        <v>62</v>
      </c>
      <c r="L4" s="150" t="s">
        <v>63</v>
      </c>
      <c r="M4" s="150" t="s">
        <v>64</v>
      </c>
      <c r="N4" s="150" t="s">
        <v>65</v>
      </c>
      <c r="O4" s="150" t="s">
        <v>66</v>
      </c>
      <c r="P4" s="145"/>
    </row>
    <row r="5" ht="10.5" customHeight="1">
      <c r="A5" s="133"/>
      <c r="B5" s="134" t="s">
        <v>67</v>
      </c>
      <c r="C5" s="135"/>
      <c r="D5" s="136"/>
      <c r="E5" s="151"/>
      <c r="F5" s="141"/>
      <c r="G5" s="141"/>
      <c r="H5" s="141"/>
      <c r="I5" s="141"/>
      <c r="J5" s="152">
        <f>'7. BDI SERVIÇOS'!K5</f>
        <v>0.17392297</v>
      </c>
      <c r="K5" s="152">
        <f>'7. BDI SERVIÇOS'!K64</f>
        <v>0.1486201794</v>
      </c>
      <c r="L5" s="152">
        <f>'7. BDI SERVIÇOS'!K83</f>
        <v>0.1486201794</v>
      </c>
      <c r="M5" s="152">
        <f>'7. BDI SERVIÇOS'!K102</f>
        <v>0.17392297</v>
      </c>
      <c r="N5" s="152">
        <f>'7. BDI SERVIÇOS'!K121</f>
        <v>0.17392297</v>
      </c>
      <c r="O5" s="153">
        <f>'7. BDI SERVIÇOS'!K140</f>
        <v>0.1611337449</v>
      </c>
      <c r="P5" s="145"/>
    </row>
    <row r="6" ht="10.5" customHeight="1">
      <c r="A6" s="133"/>
      <c r="B6" s="154" t="s">
        <v>68</v>
      </c>
      <c r="C6" s="155"/>
      <c r="D6" s="156"/>
      <c r="E6" s="137"/>
      <c r="F6" s="157"/>
      <c r="G6" s="141"/>
      <c r="H6" s="141"/>
      <c r="I6" s="141"/>
      <c r="J6" s="152"/>
      <c r="K6" s="141"/>
      <c r="L6" s="141"/>
      <c r="M6" s="141"/>
      <c r="N6" s="141"/>
      <c r="O6" s="141"/>
      <c r="P6" s="145"/>
    </row>
    <row r="7" ht="10.5" customHeight="1">
      <c r="A7" s="133"/>
      <c r="B7" s="154" t="s">
        <v>69</v>
      </c>
      <c r="C7" s="155"/>
      <c r="D7" s="158"/>
      <c r="E7" s="137"/>
      <c r="F7" s="157"/>
      <c r="G7" s="141"/>
      <c r="H7" s="141"/>
      <c r="I7" s="141"/>
      <c r="J7" s="142" t="s">
        <v>70</v>
      </c>
      <c r="K7" s="143"/>
      <c r="L7" s="143"/>
      <c r="M7" s="143"/>
      <c r="N7" s="143"/>
      <c r="O7" s="144"/>
      <c r="P7" s="145"/>
    </row>
    <row r="8" ht="10.5" customHeight="1">
      <c r="A8" s="133"/>
      <c r="B8" s="159" t="s">
        <v>71</v>
      </c>
      <c r="C8" s="160"/>
      <c r="D8" s="161"/>
      <c r="E8" s="162"/>
      <c r="F8" s="157"/>
      <c r="G8" s="141"/>
      <c r="H8" s="141"/>
      <c r="I8" s="141"/>
      <c r="J8" s="163">
        <f>'8. BDI MERO FORNECIMENTO'!K5</f>
        <v>0.1713345851</v>
      </c>
      <c r="K8" s="8"/>
      <c r="L8" s="8"/>
      <c r="M8" s="8"/>
      <c r="N8" s="8"/>
      <c r="O8" s="9"/>
      <c r="P8" s="145"/>
    </row>
    <row r="9" ht="10.5" customHeight="1">
      <c r="A9" s="133"/>
      <c r="B9" s="146"/>
      <c r="C9" s="164"/>
      <c r="D9" s="165"/>
      <c r="E9" s="156"/>
      <c r="F9" s="157"/>
      <c r="G9" s="141"/>
      <c r="H9" s="141"/>
      <c r="I9" s="141"/>
      <c r="J9" s="142" t="s">
        <v>72</v>
      </c>
      <c r="K9" s="143"/>
      <c r="L9" s="143"/>
      <c r="M9" s="143"/>
      <c r="N9" s="143"/>
      <c r="O9" s="144"/>
      <c r="P9" s="145"/>
    </row>
    <row r="10" ht="10.5" customHeight="1">
      <c r="A10" s="133"/>
      <c r="B10" s="146"/>
      <c r="C10" s="164"/>
      <c r="D10" s="165"/>
      <c r="E10" s="156"/>
      <c r="F10" s="157"/>
      <c r="G10" s="141"/>
      <c r="H10" s="141"/>
      <c r="I10" s="141"/>
      <c r="J10" s="163">
        <f>'8. BDI MERO FORNECIMENTO'!K24</f>
        <v>0.1806916232</v>
      </c>
      <c r="K10" s="8"/>
      <c r="L10" s="8"/>
      <c r="M10" s="8"/>
      <c r="N10" s="8"/>
      <c r="O10" s="9"/>
      <c r="P10" s="145"/>
    </row>
    <row r="11" ht="10.5" customHeight="1">
      <c r="A11" s="133"/>
      <c r="B11" s="146"/>
      <c r="C11" s="164"/>
      <c r="D11" s="165"/>
      <c r="E11" s="156"/>
      <c r="F11" s="157"/>
      <c r="G11" s="141"/>
      <c r="H11" s="141"/>
      <c r="I11" s="141"/>
      <c r="J11" s="166" t="s">
        <v>73</v>
      </c>
      <c r="K11" s="143"/>
      <c r="L11" s="143"/>
      <c r="M11" s="143"/>
      <c r="N11" s="143"/>
      <c r="O11" s="144"/>
      <c r="P11" s="145"/>
    </row>
    <row r="12" ht="10.5" customHeight="1">
      <c r="A12" s="133"/>
      <c r="B12" s="146"/>
      <c r="C12" s="164"/>
      <c r="D12" s="165"/>
      <c r="E12" s="156"/>
      <c r="F12" s="157"/>
      <c r="G12" s="141"/>
      <c r="H12" s="141"/>
      <c r="I12" s="141"/>
      <c r="J12" s="163">
        <f>'8. BDI MERO FORNECIMENTO'!K43</f>
        <v>0.05347986532</v>
      </c>
      <c r="K12" s="8"/>
      <c r="L12" s="8"/>
      <c r="M12" s="8"/>
      <c r="N12" s="8"/>
      <c r="O12" s="9"/>
      <c r="P12" s="145"/>
    </row>
    <row r="13" ht="10.5" customHeight="1">
      <c r="A13" s="133"/>
      <c r="B13" s="146" t="s">
        <v>74</v>
      </c>
      <c r="C13" s="164"/>
      <c r="D13" s="165"/>
      <c r="E13" s="137"/>
      <c r="F13" s="157"/>
      <c r="G13" s="141"/>
      <c r="H13" s="141"/>
      <c r="I13" s="141"/>
      <c r="J13" s="167" t="s">
        <v>75</v>
      </c>
      <c r="K13" s="36"/>
      <c r="L13" s="36"/>
      <c r="M13" s="36"/>
      <c r="N13" s="36"/>
      <c r="O13" s="36"/>
      <c r="P13" s="145"/>
    </row>
    <row r="14" ht="9.0" customHeight="1">
      <c r="A14" s="133"/>
      <c r="B14" s="154" t="s">
        <v>76</v>
      </c>
      <c r="C14" s="155"/>
      <c r="D14" s="158"/>
      <c r="E14" s="156"/>
      <c r="F14" s="157"/>
      <c r="G14" s="141"/>
      <c r="H14" s="141"/>
      <c r="I14" s="141"/>
      <c r="J14" s="168">
        <f>'7. BDI SERVIÇOS'!K45</f>
        <v>0.1134823446</v>
      </c>
      <c r="P14" s="145"/>
    </row>
    <row r="15" ht="9.75" customHeight="1">
      <c r="A15" s="169"/>
      <c r="B15" s="170"/>
      <c r="C15" s="171"/>
      <c r="D15" s="172"/>
      <c r="E15" s="173"/>
      <c r="F15" s="174"/>
      <c r="G15" s="175"/>
      <c r="H15" s="175"/>
      <c r="I15" s="175"/>
      <c r="J15" s="176" t="s">
        <v>77</v>
      </c>
      <c r="K15" s="36"/>
      <c r="L15" s="36"/>
      <c r="M15" s="36"/>
      <c r="N15" s="36"/>
      <c r="O15" s="36"/>
      <c r="P15" s="177"/>
    </row>
    <row r="16" ht="10.5" customHeight="1">
      <c r="A16" s="169"/>
      <c r="B16" s="170"/>
      <c r="C16" s="171"/>
      <c r="D16" s="172"/>
      <c r="E16" s="173"/>
      <c r="F16" s="174"/>
      <c r="G16" s="175"/>
      <c r="H16" s="175"/>
      <c r="I16" s="175"/>
      <c r="J16" s="168">
        <f>'7. BDI SERVIÇOS'!K25</f>
        <v>0.1486371045</v>
      </c>
      <c r="P16" s="177"/>
    </row>
    <row r="17" ht="10.5" customHeight="1">
      <c r="A17" s="169"/>
      <c r="B17" s="170"/>
      <c r="C17" s="171"/>
      <c r="D17" s="172"/>
      <c r="E17" s="173"/>
      <c r="F17" s="174"/>
      <c r="G17" s="175"/>
      <c r="H17" s="175"/>
      <c r="I17" s="175"/>
      <c r="J17" s="142" t="s">
        <v>78</v>
      </c>
      <c r="K17" s="143"/>
      <c r="L17" s="143"/>
      <c r="M17" s="143"/>
      <c r="N17" s="143"/>
      <c r="O17" s="144"/>
      <c r="P17" s="177"/>
    </row>
    <row r="18" ht="10.5" customHeight="1">
      <c r="A18" s="169"/>
      <c r="B18" s="170"/>
      <c r="C18" s="171"/>
      <c r="D18" s="172"/>
      <c r="E18" s="173"/>
      <c r="F18" s="174"/>
      <c r="G18" s="175"/>
      <c r="H18" s="175"/>
      <c r="I18" s="175"/>
      <c r="J18" s="163">
        <f>'8. BDI MERO FORNECIMENTO'!K62</f>
        <v>0.09557952109</v>
      </c>
      <c r="K18" s="8"/>
      <c r="L18" s="8"/>
      <c r="M18" s="8"/>
      <c r="N18" s="8"/>
      <c r="O18" s="9"/>
      <c r="P18" s="177"/>
    </row>
    <row r="19" ht="10.5" customHeight="1">
      <c r="A19" s="178"/>
      <c r="B19" s="179"/>
      <c r="C19" s="180"/>
      <c r="D19" s="180"/>
      <c r="E19" s="181"/>
      <c r="F19" s="181"/>
      <c r="G19" s="182"/>
      <c r="H19" s="182"/>
      <c r="I19" s="182"/>
      <c r="J19" s="182"/>
      <c r="K19" s="182"/>
      <c r="L19" s="182"/>
      <c r="M19" s="182"/>
      <c r="N19" s="182"/>
      <c r="O19" s="182"/>
      <c r="P19" s="183"/>
    </row>
    <row r="20">
      <c r="A20" s="184" t="s">
        <v>79</v>
      </c>
      <c r="B20" s="185" t="s">
        <v>80</v>
      </c>
      <c r="C20" s="186" t="s">
        <v>81</v>
      </c>
      <c r="D20" s="186" t="s">
        <v>82</v>
      </c>
      <c r="E20" s="187" t="s">
        <v>8</v>
      </c>
      <c r="F20" s="185" t="s">
        <v>83</v>
      </c>
      <c r="G20" s="185" t="s">
        <v>11</v>
      </c>
      <c r="H20" s="188" t="s">
        <v>84</v>
      </c>
      <c r="I20" s="189"/>
      <c r="J20" s="188" t="s">
        <v>85</v>
      </c>
      <c r="K20" s="36"/>
      <c r="L20" s="189"/>
      <c r="M20" s="188" t="s">
        <v>86</v>
      </c>
      <c r="N20" s="36"/>
      <c r="O20" s="189"/>
      <c r="P20" s="190"/>
    </row>
    <row r="21">
      <c r="B21" s="75"/>
      <c r="C21" s="75"/>
      <c r="D21" s="75"/>
      <c r="E21" s="75"/>
      <c r="F21" s="75"/>
      <c r="G21" s="75"/>
      <c r="H21" s="191" t="s">
        <v>87</v>
      </c>
      <c r="I21" s="191" t="s">
        <v>88</v>
      </c>
      <c r="J21" s="191" t="s">
        <v>87</v>
      </c>
      <c r="K21" s="191" t="s">
        <v>88</v>
      </c>
      <c r="L21" s="191" t="s">
        <v>89</v>
      </c>
      <c r="M21" s="191" t="s">
        <v>87</v>
      </c>
      <c r="N21" s="191" t="s">
        <v>88</v>
      </c>
      <c r="O21" s="191" t="s">
        <v>89</v>
      </c>
      <c r="P21" s="192" t="s">
        <v>90</v>
      </c>
    </row>
    <row r="22" ht="44.25" customHeight="1">
      <c r="A22" s="193" t="s">
        <v>15</v>
      </c>
      <c r="B22" s="194" t="s">
        <v>91</v>
      </c>
      <c r="C22" s="44"/>
      <c r="D22" s="44"/>
      <c r="E22" s="44"/>
      <c r="F22" s="44"/>
      <c r="G22" s="44"/>
      <c r="H22" s="44"/>
      <c r="I22" s="44"/>
      <c r="J22" s="44"/>
      <c r="K22" s="44"/>
      <c r="L22" s="44"/>
      <c r="M22" s="195">
        <f t="shared" ref="M22:O22" si="1">SUM(M23)</f>
        <v>143476.4476</v>
      </c>
      <c r="N22" s="195">
        <f t="shared" si="1"/>
        <v>1719.152723</v>
      </c>
      <c r="O22" s="195">
        <f t="shared" si="1"/>
        <v>145195.6003</v>
      </c>
      <c r="P22" s="196">
        <f t="shared" ref="P22:P1096" si="2">O22/$N$1</f>
        <v>0.1135827777</v>
      </c>
    </row>
    <row r="23">
      <c r="A23" s="197" t="s">
        <v>92</v>
      </c>
      <c r="B23" s="198" t="s">
        <v>93</v>
      </c>
      <c r="C23" s="199"/>
      <c r="D23" s="200" t="s">
        <v>94</v>
      </c>
      <c r="E23" s="201" t="str">
        <f>'1.SUPERVISAO_TECNICA'!A2</f>
        <v>ENGENHEIRO ELETRICISTA - SR/PF/PR</v>
      </c>
      <c r="F23" s="202" t="s">
        <v>95</v>
      </c>
      <c r="G23" s="203">
        <v>12.0</v>
      </c>
      <c r="H23" s="204">
        <f>'1.SUPERVISAO_TECNICA'!D124</f>
        <v>10737.81788</v>
      </c>
      <c r="I23" s="204">
        <f>'1.SUPERVISAO_TECNICA'!D126</f>
        <v>135.99</v>
      </c>
      <c r="J23" s="204">
        <f>H23*(1+$J$14)</f>
        <v>11956.37063</v>
      </c>
      <c r="K23" s="205">
        <f>I23*(1+$J$12)</f>
        <v>143.2627269</v>
      </c>
      <c r="L23" s="205">
        <f>SUM(J23:K23)</f>
        <v>12099.63336</v>
      </c>
      <c r="M23" s="205">
        <f>J23*G23</f>
        <v>143476.4476</v>
      </c>
      <c r="N23" s="204">
        <f>K23*G23</f>
        <v>1719.152723</v>
      </c>
      <c r="O23" s="205">
        <f>SUM(M23:N23)</f>
        <v>145195.6003</v>
      </c>
      <c r="P23" s="206">
        <f t="shared" si="2"/>
        <v>0.1135827777</v>
      </c>
    </row>
    <row r="24" ht="44.25" customHeight="1">
      <c r="A24" s="193" t="s">
        <v>18</v>
      </c>
      <c r="B24" s="207" t="s">
        <v>96</v>
      </c>
      <c r="C24" s="44"/>
      <c r="D24" s="44"/>
      <c r="E24" s="44"/>
      <c r="F24" s="44"/>
      <c r="G24" s="44"/>
      <c r="H24" s="44"/>
      <c r="I24" s="44"/>
      <c r="J24" s="44"/>
      <c r="K24" s="44"/>
      <c r="L24" s="44"/>
      <c r="M24" s="195">
        <f t="shared" ref="M24:O24" si="3">SUM(M25:M28)</f>
        <v>353764.5782</v>
      </c>
      <c r="N24" s="195">
        <f t="shared" si="3"/>
        <v>19433.17043</v>
      </c>
      <c r="O24" s="195">
        <f t="shared" si="3"/>
        <v>373197.7487</v>
      </c>
      <c r="P24" s="196">
        <f t="shared" si="2"/>
        <v>0.2919429847</v>
      </c>
    </row>
    <row r="25">
      <c r="A25" s="197" t="s">
        <v>97</v>
      </c>
      <c r="B25" s="208" t="s">
        <v>98</v>
      </c>
      <c r="C25" s="199"/>
      <c r="D25" s="200" t="s">
        <v>94</v>
      </c>
      <c r="E25" s="201" t="str">
        <f>'2.EQUIPE_RESIDENTE'!F2</f>
        <v>OFICIAL DE MANUTENÇÃO ELETRICISTA - SR/PF/PR</v>
      </c>
      <c r="F25" s="202" t="s">
        <v>95</v>
      </c>
      <c r="G25" s="203">
        <v>12.0</v>
      </c>
      <c r="H25" s="204">
        <f>'2.EQUIPE_RESIDENTE'!I124</f>
        <v>6680.626724</v>
      </c>
      <c r="I25" s="204">
        <f>'2.EQUIPE_RESIDENTE'!I126</f>
        <v>376.19</v>
      </c>
      <c r="J25" s="204">
        <f t="shared" ref="J25:J28" si="4">H25*(1+$J$16)</f>
        <v>7673.615736</v>
      </c>
      <c r="K25" s="205">
        <f t="shared" ref="K25:K28" si="5">I25*(1+$J$18)</f>
        <v>412.14606</v>
      </c>
      <c r="L25" s="205">
        <f t="shared" ref="L25:L28" si="6">SUM(J25:K25)</f>
        <v>8085.761796</v>
      </c>
      <c r="M25" s="205">
        <f t="shared" ref="M25:M28" si="7">J25*G25</f>
        <v>92083.38883</v>
      </c>
      <c r="N25" s="204">
        <f t="shared" ref="N25:N28" si="8">K25*G25</f>
        <v>4945.75272</v>
      </c>
      <c r="O25" s="205">
        <f t="shared" ref="O25:O28" si="9">SUM(M25:N25)</f>
        <v>97029.14155</v>
      </c>
      <c r="P25" s="206">
        <f t="shared" si="2"/>
        <v>0.07590339785</v>
      </c>
    </row>
    <row r="26">
      <c r="A26" s="197" t="s">
        <v>99</v>
      </c>
      <c r="B26" s="208" t="s">
        <v>100</v>
      </c>
      <c r="C26" s="199"/>
      <c r="D26" s="200" t="s">
        <v>94</v>
      </c>
      <c r="E26" s="201" t="str">
        <f>'2.EQUIPE_RESIDENTE'!K2</f>
        <v>OFICIAL DE MANUTENÇÃO PEDREIRO - SR/PF/PR</v>
      </c>
      <c r="F26" s="202" t="s">
        <v>95</v>
      </c>
      <c r="G26" s="203">
        <v>12.0</v>
      </c>
      <c r="H26" s="204">
        <f>'2.EQUIPE_RESIDENTE'!N124</f>
        <v>6680.583772</v>
      </c>
      <c r="I26" s="204">
        <f>'2.EQUIPE_RESIDENTE'!N126</f>
        <v>379.63</v>
      </c>
      <c r="J26" s="204">
        <f t="shared" si="4"/>
        <v>7673.5664</v>
      </c>
      <c r="K26" s="205">
        <f t="shared" si="5"/>
        <v>415.9148536</v>
      </c>
      <c r="L26" s="205">
        <f t="shared" si="6"/>
        <v>8089.481253</v>
      </c>
      <c r="M26" s="205">
        <f t="shared" si="7"/>
        <v>92082.7968</v>
      </c>
      <c r="N26" s="204">
        <f t="shared" si="8"/>
        <v>4990.978243</v>
      </c>
      <c r="O26" s="205">
        <f t="shared" si="9"/>
        <v>97073.77504</v>
      </c>
      <c r="P26" s="206">
        <f t="shared" si="2"/>
        <v>0.07593831348</v>
      </c>
    </row>
    <row r="27">
      <c r="A27" s="197" t="s">
        <v>101</v>
      </c>
      <c r="B27" s="198" t="s">
        <v>102</v>
      </c>
      <c r="C27" s="199"/>
      <c r="D27" s="200" t="s">
        <v>94</v>
      </c>
      <c r="E27" s="201" t="str">
        <f>'2.EQUIPE_RESIDENTE'!P2</f>
        <v>SERVENTE - SR/PF/PR</v>
      </c>
      <c r="F27" s="202" t="s">
        <v>95</v>
      </c>
      <c r="G27" s="203">
        <v>12.0</v>
      </c>
      <c r="H27" s="204">
        <f>'2.EQUIPE_RESIDENTE'!S124</f>
        <v>4978.920461</v>
      </c>
      <c r="I27" s="204">
        <f>'2.EQUIPE_RESIDENTE'!S126</f>
        <v>346.14</v>
      </c>
      <c r="J27" s="204">
        <f t="shared" si="4"/>
        <v>5718.972782</v>
      </c>
      <c r="K27" s="205">
        <f t="shared" si="5"/>
        <v>379.2238954</v>
      </c>
      <c r="L27" s="205">
        <f t="shared" si="6"/>
        <v>6098.196677</v>
      </c>
      <c r="M27" s="205">
        <f t="shared" si="7"/>
        <v>68627.67338</v>
      </c>
      <c r="N27" s="204">
        <f t="shared" si="8"/>
        <v>4550.686745</v>
      </c>
      <c r="O27" s="205">
        <f t="shared" si="9"/>
        <v>73178.36013</v>
      </c>
      <c r="P27" s="206">
        <f t="shared" si="2"/>
        <v>0.05724554597</v>
      </c>
    </row>
    <row r="28">
      <c r="A28" s="197" t="s">
        <v>103</v>
      </c>
      <c r="B28" s="208" t="s">
        <v>104</v>
      </c>
      <c r="C28" s="199"/>
      <c r="D28" s="200" t="s">
        <v>94</v>
      </c>
      <c r="E28" s="201" t="str">
        <f>'2.EQUIPE_RESIDENTE'!U2</f>
        <v>OFICIAL DE MANUTENÇÃO - MECÂNICO DE REFRIGERAÇÃO - SR/PF/PR</v>
      </c>
      <c r="F28" s="202" t="s">
        <v>95</v>
      </c>
      <c r="G28" s="203">
        <v>12.0</v>
      </c>
      <c r="H28" s="204">
        <f>'2.EQUIPE_RESIDENTE'!X124</f>
        <v>7325.40031</v>
      </c>
      <c r="I28" s="204">
        <f>'2.EQUIPE_RESIDENTE'!X126</f>
        <v>376.19</v>
      </c>
      <c r="J28" s="204">
        <f t="shared" si="4"/>
        <v>8414.226601</v>
      </c>
      <c r="K28" s="205">
        <f t="shared" si="5"/>
        <v>412.14606</v>
      </c>
      <c r="L28" s="205">
        <f t="shared" si="6"/>
        <v>8826.372661</v>
      </c>
      <c r="M28" s="205">
        <f t="shared" si="7"/>
        <v>100970.7192</v>
      </c>
      <c r="N28" s="204">
        <f t="shared" si="8"/>
        <v>4945.75272</v>
      </c>
      <c r="O28" s="205">
        <f t="shared" si="9"/>
        <v>105916.4719</v>
      </c>
      <c r="P28" s="206">
        <f t="shared" si="2"/>
        <v>0.08285572745</v>
      </c>
    </row>
    <row r="29" ht="39.0" customHeight="1">
      <c r="A29" s="193" t="s">
        <v>19</v>
      </c>
      <c r="B29" s="209" t="s">
        <v>105</v>
      </c>
      <c r="C29" s="44"/>
      <c r="D29" s="44"/>
      <c r="E29" s="44"/>
      <c r="F29" s="44"/>
      <c r="G29" s="44"/>
      <c r="H29" s="44"/>
      <c r="I29" s="44"/>
      <c r="J29" s="44"/>
      <c r="K29" s="44"/>
      <c r="L29" s="44"/>
      <c r="M29" s="210">
        <f t="shared" ref="M29:O29" si="10">SUM(M30,M32,M36,M38,M40,M42,M44,M47)</f>
        <v>0</v>
      </c>
      <c r="N29" s="210">
        <f t="shared" si="10"/>
        <v>179994.1592</v>
      </c>
      <c r="O29" s="210">
        <f t="shared" si="10"/>
        <v>179994.1592</v>
      </c>
      <c r="P29" s="211">
        <f t="shared" si="2"/>
        <v>0.1408047939</v>
      </c>
    </row>
    <row r="30">
      <c r="A30" s="212" t="s">
        <v>106</v>
      </c>
      <c r="B30" s="213" t="s">
        <v>107</v>
      </c>
      <c r="C30" s="44"/>
      <c r="D30" s="44"/>
      <c r="E30" s="44"/>
      <c r="F30" s="44"/>
      <c r="G30" s="44"/>
      <c r="H30" s="44"/>
      <c r="I30" s="44"/>
      <c r="J30" s="44"/>
      <c r="K30" s="44"/>
      <c r="L30" s="44"/>
      <c r="M30" s="214">
        <f t="shared" ref="M30:O30" si="11">SUM(M31)</f>
        <v>0</v>
      </c>
      <c r="N30" s="214">
        <f t="shared" si="11"/>
        <v>42349.04714</v>
      </c>
      <c r="O30" s="214">
        <f t="shared" si="11"/>
        <v>42349.04714</v>
      </c>
      <c r="P30" s="215">
        <f t="shared" si="2"/>
        <v>0.03312856862</v>
      </c>
    </row>
    <row r="31">
      <c r="A31" s="216" t="s">
        <v>108</v>
      </c>
      <c r="B31" s="217" t="s">
        <v>109</v>
      </c>
      <c r="C31" s="218" t="str">
        <f>IF(OR(D31="SINAPI-S",D31="SINAPI-I"),"SINAPI","PRÓPRIO")</f>
        <v>PRÓPRIO</v>
      </c>
      <c r="D31" s="219" t="s">
        <v>110</v>
      </c>
      <c r="E31" s="220" t="str">
        <f>IFERROR(IF(D31="SINAPI-S",VLOOKUP(B31,'20-B.SINAPI-S'!A:J,2,0),IF(D31="SINAPI-I",VLOOKUP(B31,'20-A.SINAPI-I'!A:G,2,0),IF(D31="COMPOSIÇÕES",VLOOKUP(B31,'11.COMPOSIÇÕES GERAIS'!B:I,2,0),VLOOKUP(B31,'12.COT.MERCADO'!A:I,2,0)))),"Em Elaboração")</f>
        <v>SERVIÇO DE MANUTENÇÃO PREVENTIVA, CORRETIVA E EMERGENCIAL PARA GRUPO GERADOR SCANIA 450KVA MAQUIGERAL (WEG GTA 315), MOTOR SCANIA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v>
      </c>
      <c r="F31" s="221" t="str">
        <f>IFERROR(IF(D31="SINAPI-S",VLOOKUP(B31,'20-B.SINAPI-S'!A:J,3,0),IF(D31="SINAPI-I",VLOOKUP(B31,'20-A.SINAPI-I'!A:G,3,0),IF(D31="COMPOSIÇÕES",VLOOKUP(B31,'11.COMPOSIÇÕES GERAIS'!B:I,3,0),VLOOKUP(B31,'12.COT.MERCADO'!A:I,7,0)))),"Em Elaboração")</f>
        <v>MÊS</v>
      </c>
      <c r="G31" s="217">
        <v>12.0</v>
      </c>
      <c r="H31" s="222">
        <f>IFERROR(IF(D31="SINAPI-S",VLOOKUP(B31,'20-B.SINAPI-S'!A:J,5,0),IF(D31="SINAPI-I",VLOOKUP(B31,'20-A.SINAPI-I'!A:G,6,0),IF(D31="COMPOSIÇÕES",VLOOKUP(B31,'11.COMPOSIÇÕES GERAIS'!B:I,7,0),0))),"Em Elaboração")</f>
        <v>0</v>
      </c>
      <c r="I31" s="222">
        <f>IFERROR(IF(D31="SINAPI-S",VLOOKUP(B31,'20-B.SINAPI-S'!A:J,6,0),IF(D31="SINAPI-I",VLOOKUP(B31,'20-A.SINAPI-I'!A:G,7,0),IF(D31="COMPOSIÇÕES",VLOOKUP(B31,'11.COMPOSIÇÕES GERAIS'!B:I,8,0),VLOOKUP(B31,'12.COT.MERCADO'!A:I,8,0)))),"Em Elaboração")</f>
        <v>2989</v>
      </c>
      <c r="J31" s="222">
        <f>H31*(1+$J$5)</f>
        <v>0</v>
      </c>
      <c r="K31" s="222">
        <f>I31*(1+$J$10)</f>
        <v>3529.087262</v>
      </c>
      <c r="L31" s="222">
        <f>SUM(J31:K31)</f>
        <v>3529.087262</v>
      </c>
      <c r="M31" s="222">
        <f>J31*G31</f>
        <v>0</v>
      </c>
      <c r="N31" s="222">
        <f>K31*G31</f>
        <v>42349.04714</v>
      </c>
      <c r="O31" s="222">
        <f>SUM(M31:N31)</f>
        <v>42349.04714</v>
      </c>
      <c r="P31" s="223">
        <f t="shared" si="2"/>
        <v>0.03312856862</v>
      </c>
    </row>
    <row r="32">
      <c r="A32" s="212" t="s">
        <v>111</v>
      </c>
      <c r="B32" s="213" t="s">
        <v>112</v>
      </c>
      <c r="C32" s="44"/>
      <c r="D32" s="44"/>
      <c r="E32" s="44"/>
      <c r="F32" s="44"/>
      <c r="G32" s="44"/>
      <c r="H32" s="44"/>
      <c r="I32" s="44"/>
      <c r="J32" s="44"/>
      <c r="K32" s="44"/>
      <c r="L32" s="44"/>
      <c r="M32" s="214">
        <f t="shared" ref="M32:O32" si="12">SUM(M33:M35)</f>
        <v>0</v>
      </c>
      <c r="N32" s="214">
        <f t="shared" si="12"/>
        <v>8052.31687</v>
      </c>
      <c r="O32" s="214">
        <f t="shared" si="12"/>
        <v>8052.31687</v>
      </c>
      <c r="P32" s="215">
        <f t="shared" si="2"/>
        <v>0.00629912005</v>
      </c>
    </row>
    <row r="33">
      <c r="A33" s="216" t="s">
        <v>113</v>
      </c>
      <c r="B33" s="217" t="s">
        <v>114</v>
      </c>
      <c r="C33" s="224" t="str">
        <f t="shared" ref="C33:C35" si="13">IF(OR(D33="SINAPI-S",D33="SINAPI-I"),"SINAPI","PRÓPRIO")</f>
        <v>PRÓPRIO</v>
      </c>
      <c r="D33" s="225" t="s">
        <v>110</v>
      </c>
      <c r="E33" s="226" t="str">
        <f>IFERROR(IF(D33="SINAPI-S",VLOOKUP(B33,'20-B.SINAPI-S'!A:J,2,0),IF(D33="SINAPI-I",VLOOKUP(B33,'20-A.SINAPI-I'!A:G,2,0),IF(D33="COMPOSIÇÕES",VLOOKUP(B33,'11.COMPOSIÇÕES GERAIS'!B:I,2,0),VLOOKUP(B33,'12.COT.MERCADO'!A:I,2,0)))),"Em Elaboração")</f>
        <v>Serviço de Manutenção Preventiva de Nobreak de 30 KVA, revisão e limpeza geral conforme rotina estipulada em TR</v>
      </c>
      <c r="F33" s="221" t="str">
        <f>IFERROR(IF(D33="SINAPI-S",VLOOKUP(B33,'20-B.SINAPI-S'!A:J,3,0),IF(D33="SINAPI-I",VLOOKUP(B33,'20-A.SINAPI-I'!A:G,3,0),IF(D33="COMPOSIÇÕES",VLOOKUP(B33,'11.COMPOSIÇÕES GERAIS'!B:I,3,0),VLOOKUP(B33,'12.COT.MERCADO'!A:I,7,0)))),"Em Elaboração")</f>
        <v>UN </v>
      </c>
      <c r="G33" s="217">
        <v>1.0</v>
      </c>
      <c r="H33" s="222">
        <f>IFERROR(IF(D33="SINAPI-S",VLOOKUP(B33,'20-B.SINAPI-S'!A:J,5,0),IF(D33="SINAPI-I",VLOOKUP(B33,'20-A.SINAPI-I'!A:G,6,0),IF(D33="COMPOSIÇÕES",VLOOKUP(B33,'11.COMPOSIÇÕES GERAIS'!B:I,7,0),0))),"Em Elaboração")</f>
        <v>0</v>
      </c>
      <c r="I33" s="222">
        <f>IFERROR(IF(D33="SINAPI-S",VLOOKUP(B33,'20-B.SINAPI-S'!A:J,6,0),IF(D33="SINAPI-I",VLOOKUP(B33,'20-A.SINAPI-I'!A:G,7,0),IF(D33="COMPOSIÇÕES",VLOOKUP(B33,'11.COMPOSIÇÕES GERAIS'!B:I,8,0),VLOOKUP(B33,'12.COT.MERCADO'!A:I,8,0)))),"Em Elaboração")</f>
        <v>1140</v>
      </c>
      <c r="J33" s="222">
        <f t="shared" ref="J33:J35" si="14">H33*(1+$J$5)</f>
        <v>0</v>
      </c>
      <c r="K33" s="222">
        <f t="shared" ref="K33:K35" si="15">I33*(1+$J$10)</f>
        <v>1345.98845</v>
      </c>
      <c r="L33" s="222">
        <f t="shared" ref="L33:L35" si="16">SUM(J33:K33)</f>
        <v>1345.98845</v>
      </c>
      <c r="M33" s="222">
        <f t="shared" ref="M33:M35" si="17">J33*G33</f>
        <v>0</v>
      </c>
      <c r="N33" s="222">
        <f t="shared" ref="N33:N35" si="18">K33*G33</f>
        <v>1345.98845</v>
      </c>
      <c r="O33" s="222">
        <f t="shared" ref="O33:O35" si="19">SUM(M33:N33)</f>
        <v>1345.98845</v>
      </c>
      <c r="P33" s="223">
        <f t="shared" si="2"/>
        <v>0.00105293209</v>
      </c>
    </row>
    <row r="34">
      <c r="A34" s="216" t="s">
        <v>115</v>
      </c>
      <c r="B34" s="217" t="s">
        <v>116</v>
      </c>
      <c r="C34" s="227" t="str">
        <f t="shared" si="13"/>
        <v>PRÓPRIO</v>
      </c>
      <c r="D34" s="228" t="s">
        <v>110</v>
      </c>
      <c r="E34" s="226" t="str">
        <f>IFERROR(IF(D34="SINAPI-S",VLOOKUP(B34,'20-B.SINAPI-S'!A:J,2,0),IF(D34="SINAPI-I",VLOOKUP(B34,'20-A.SINAPI-I'!A:G,2,0),IF(D34="COMPOSIÇÕES",VLOOKUP(B34,'11.COMPOSIÇÕES GERAIS'!B:I,2,0),VLOOKUP(B34,'12.COT.MERCADO'!A:I,2,0)))),"Em Elaboração")</f>
        <v>Serviço de Manutenção Preventiva de Nobreak de 60 KVA, revisão e limpeza geral conforme rotina estipulada em TR</v>
      </c>
      <c r="F34" s="221" t="str">
        <f>IFERROR(IF(D34="SINAPI-S",VLOOKUP(B34,'20-B.SINAPI-S'!A:J,3,0),IF(D34="SINAPI-I",VLOOKUP(B34,'20-A.SINAPI-I'!A:G,3,0),IF(D34="COMPOSIÇÕES",VLOOKUP(B34,'11.COMPOSIÇÕES GERAIS'!B:I,3,0),VLOOKUP(B34,'12.COT.MERCADO'!A:I,7,0)))),"Em Elaboração")</f>
        <v>UN </v>
      </c>
      <c r="G34" s="217">
        <v>1.0</v>
      </c>
      <c r="H34" s="222">
        <f>IFERROR(IF(D34="SINAPI-S",VLOOKUP(B34,'20-B.SINAPI-S'!A:J,5,0),IF(D34="SINAPI-I",VLOOKUP(B34,'20-A.SINAPI-I'!A:G,6,0),IF(D34="COMPOSIÇÕES",VLOOKUP(B34,'11.COMPOSIÇÕES GERAIS'!B:I,7,0),0))),"Em Elaboração")</f>
        <v>0</v>
      </c>
      <c r="I34" s="222">
        <f>IFERROR(IF(D34="SINAPI-S",VLOOKUP(B34,'20-B.SINAPI-S'!A:J,6,0),IF(D34="SINAPI-I",VLOOKUP(B34,'20-A.SINAPI-I'!A:G,7,0),IF(D34="COMPOSIÇÕES",VLOOKUP(B34,'11.COMPOSIÇÕES GERAIS'!B:I,8,0),VLOOKUP(B34,'12.COT.MERCADO'!A:I,8,0)))),"Em Elaboração")</f>
        <v>2390</v>
      </c>
      <c r="J34" s="222">
        <f t="shared" si="14"/>
        <v>0</v>
      </c>
      <c r="K34" s="222">
        <f t="shared" si="15"/>
        <v>2821.852979</v>
      </c>
      <c r="L34" s="222">
        <f t="shared" si="16"/>
        <v>2821.852979</v>
      </c>
      <c r="M34" s="222">
        <f t="shared" si="17"/>
        <v>0</v>
      </c>
      <c r="N34" s="222">
        <f t="shared" si="18"/>
        <v>2821.852979</v>
      </c>
      <c r="O34" s="222">
        <f t="shared" si="19"/>
        <v>2821.852979</v>
      </c>
      <c r="P34" s="223">
        <f t="shared" si="2"/>
        <v>0.002207462891</v>
      </c>
    </row>
    <row r="35">
      <c r="A35" s="216" t="s">
        <v>117</v>
      </c>
      <c r="B35" s="217" t="s">
        <v>118</v>
      </c>
      <c r="C35" s="218" t="str">
        <f t="shared" si="13"/>
        <v>PRÓPRIO</v>
      </c>
      <c r="D35" s="219" t="s">
        <v>110</v>
      </c>
      <c r="E35" s="220" t="str">
        <f>IFERROR(IF(D35="SINAPI-S",VLOOKUP(B35,'20-B.SINAPI-S'!A:J,2,0),IF(D35="SINAPI-I",VLOOKUP(B35,'20-A.SINAPI-I'!A:G,2,0),IF(D35="COMPOSIÇÕES",VLOOKUP(B35,'11.COMPOSIÇÕES GERAIS'!B:I,2,0),VLOOKUP(B35,'12.COT.MERCADO'!A:I,2,0)))),"Em Elaboração")</f>
        <v>Serviço de Manutenção Preventiva de Nobreak de 100 KVA,revisão e limpeza geral conforme rotina estipulada em TR</v>
      </c>
      <c r="F35" s="221" t="str">
        <f>IFERROR(IF(D35="SINAPI-S",VLOOKUP(B35,'20-B.SINAPI-S'!A:J,3,0),IF(D35="SINAPI-I",VLOOKUP(B35,'20-A.SINAPI-I'!A:G,3,0),IF(D35="COMPOSIÇÕES",VLOOKUP(B35,'11.COMPOSIÇÕES GERAIS'!B:I,3,0),VLOOKUP(B35,'12.COT.MERCADO'!A:I,7,0)))),"Em Elaboração")</f>
        <v>UN </v>
      </c>
      <c r="G35" s="217">
        <v>1.0</v>
      </c>
      <c r="H35" s="222">
        <f>IFERROR(IF(D35="SINAPI-S",VLOOKUP(B35,'20-B.SINAPI-S'!A:J,5,0),IF(D35="SINAPI-I",VLOOKUP(B35,'20-A.SINAPI-I'!A:G,6,0),IF(D35="COMPOSIÇÕES",VLOOKUP(B35,'11.COMPOSIÇÕES GERAIS'!B:I,7,0),0))),"Em Elaboração")</f>
        <v>0</v>
      </c>
      <c r="I35" s="222">
        <f>IFERROR(IF(D35="SINAPI-S",VLOOKUP(B35,'20-B.SINAPI-S'!A:J,6,0),IF(D35="SINAPI-I",VLOOKUP(B35,'20-A.SINAPI-I'!A:G,7,0),IF(D35="COMPOSIÇÕES",VLOOKUP(B35,'11.COMPOSIÇÕES GERAIS'!B:I,8,0),VLOOKUP(B35,'12.COT.MERCADO'!A:I,8,0)))),"Em Elaboração")</f>
        <v>3290</v>
      </c>
      <c r="J35" s="222">
        <f t="shared" si="14"/>
        <v>0</v>
      </c>
      <c r="K35" s="222">
        <f t="shared" si="15"/>
        <v>3884.47544</v>
      </c>
      <c r="L35" s="222">
        <f t="shared" si="16"/>
        <v>3884.47544</v>
      </c>
      <c r="M35" s="222">
        <f t="shared" si="17"/>
        <v>0</v>
      </c>
      <c r="N35" s="222">
        <f t="shared" si="18"/>
        <v>3884.47544</v>
      </c>
      <c r="O35" s="222">
        <f t="shared" si="19"/>
        <v>3884.47544</v>
      </c>
      <c r="P35" s="223">
        <f t="shared" si="2"/>
        <v>0.003038725068</v>
      </c>
    </row>
    <row r="36">
      <c r="A36" s="212" t="s">
        <v>119</v>
      </c>
      <c r="B36" s="213" t="s">
        <v>120</v>
      </c>
      <c r="C36" s="44"/>
      <c r="D36" s="44"/>
      <c r="E36" s="44"/>
      <c r="F36" s="44"/>
      <c r="G36" s="44"/>
      <c r="H36" s="44"/>
      <c r="I36" s="44"/>
      <c r="J36" s="44"/>
      <c r="K36" s="44"/>
      <c r="L36" s="44"/>
      <c r="M36" s="214">
        <f t="shared" ref="M36:O36" si="20">SUM(M37)</f>
        <v>0</v>
      </c>
      <c r="N36" s="214">
        <f t="shared" si="20"/>
        <v>80230.43983</v>
      </c>
      <c r="O36" s="214">
        <f t="shared" si="20"/>
        <v>80230.43983</v>
      </c>
      <c r="P36" s="215">
        <f t="shared" si="2"/>
        <v>0.06276220624</v>
      </c>
    </row>
    <row r="37">
      <c r="A37" s="216" t="s">
        <v>121</v>
      </c>
      <c r="B37" s="217" t="s">
        <v>122</v>
      </c>
      <c r="C37" s="224" t="str">
        <f>IF(OR(D37="SINAPI-S",D37="SINAPI-I"),"SINAPI","PRÓPRIO")</f>
        <v>PRÓPRIO</v>
      </c>
      <c r="D37" s="225" t="s">
        <v>110</v>
      </c>
      <c r="E37" s="226" t="str">
        <f>IFERROR(IF(D37="SINAPI-S",VLOOKUP(B37,'20-B.SINAPI-S'!A:J,2,0),IF(D37="SINAPI-I",VLOOKUP(B37,'20-A.SINAPI-I'!A:G,2,0),IF(D37="COMPOSIÇÕES",VLOOKUP(B37,'11.COMPOSIÇÕES GERAIS'!B:I,2,0),VLOOKUP(B37,'12.COT.MERCADO'!A:I,2,0)))),"Em Elaboração")</f>
        <v>SERVIÇO DE MANUTENÇÃO QUADRIMESTRAL contendo: 01 (um) Sistema de climatização central composto por 04 chillers (Marca HITACHI) com as seguintes capacidades: 01 chiller de 260 TR - RCU 260AZ4ATP; 01 chiller de 210 TR - RCU 210AZ4ATP; 02 chillers de 30 TR (apenas um funcionando) - RCU 030AS2ATP e 030AS2ATP; </v>
      </c>
      <c r="F37" s="221" t="str">
        <f>IFERROR(IF(D37="SINAPI-S",VLOOKUP(B37,'20-B.SINAPI-S'!A:J,3,0),IF(D37="SINAPI-I",VLOOKUP(B37,'20-A.SINAPI-I'!A:G,3,0),IF(D37="COMPOSIÇÕES",VLOOKUP(B37,'11.COMPOSIÇÕES GERAIS'!B:I,3,0),VLOOKUP(B37,'12.COT.MERCADO'!A:I,7,0)))),"Em Elaboração")</f>
        <v>ANO </v>
      </c>
      <c r="G37" s="217">
        <v>1.0</v>
      </c>
      <c r="H37" s="222">
        <f>IFERROR(IF(D37="SINAPI-S",VLOOKUP(B37,'20-B.SINAPI-S'!A:J,5,0),IF(D37="SINAPI-I",VLOOKUP(B37,'20-A.SINAPI-I'!A:G,6,0),IF(D37="COMPOSIÇÕES",VLOOKUP(B37,'11.COMPOSIÇÕES GERAIS'!B:I,7,0),0))),"Em Elaboração")</f>
        <v>0</v>
      </c>
      <c r="I37" s="222">
        <f>IFERROR(IF(D37="SINAPI-S",VLOOKUP(B37,'20-B.SINAPI-S'!A:J,6,0),IF(D37="SINAPI-I",VLOOKUP(B37,'20-A.SINAPI-I'!A:G,7,0),IF(D37="COMPOSIÇÕES",VLOOKUP(B37,'11.COMPOSIÇÕES GERAIS'!B:I,8,0),VLOOKUP(B37,'12.COT.MERCADO'!A:I,8,0)))),"Em Elaboração")</f>
        <v>67952.07</v>
      </c>
      <c r="J37" s="222">
        <f>H37*(1+$J$5)</f>
        <v>0</v>
      </c>
      <c r="K37" s="222">
        <f>I37*(1+$J$10)</f>
        <v>80230.43983</v>
      </c>
      <c r="L37" s="222">
        <f>SUM(J37:K37)</f>
        <v>80230.43983</v>
      </c>
      <c r="M37" s="222">
        <f>J37*G37</f>
        <v>0</v>
      </c>
      <c r="N37" s="222">
        <f>K37*G37</f>
        <v>80230.43983</v>
      </c>
      <c r="O37" s="222">
        <f>SUM(M37:N37)</f>
        <v>80230.43983</v>
      </c>
      <c r="P37" s="223">
        <f t="shared" si="2"/>
        <v>0.06276220624</v>
      </c>
    </row>
    <row r="38">
      <c r="A38" s="212" t="s">
        <v>123</v>
      </c>
      <c r="B38" s="213" t="s">
        <v>124</v>
      </c>
      <c r="C38" s="44"/>
      <c r="D38" s="44"/>
      <c r="E38" s="44"/>
      <c r="F38" s="44"/>
      <c r="G38" s="44"/>
      <c r="H38" s="44"/>
      <c r="I38" s="44"/>
      <c r="J38" s="44"/>
      <c r="K38" s="44"/>
      <c r="L38" s="44"/>
      <c r="M38" s="214">
        <f t="shared" ref="M38:O38" si="21">SUM(M39)</f>
        <v>0</v>
      </c>
      <c r="N38" s="214">
        <f t="shared" si="21"/>
        <v>42349.04714</v>
      </c>
      <c r="O38" s="214">
        <f t="shared" si="21"/>
        <v>42349.04714</v>
      </c>
      <c r="P38" s="215">
        <f t="shared" si="2"/>
        <v>0.03312856862</v>
      </c>
    </row>
    <row r="39">
      <c r="A39" s="216" t="s">
        <v>125</v>
      </c>
      <c r="B39" s="217" t="s">
        <v>126</v>
      </c>
      <c r="C39" s="227" t="str">
        <f>IF(OR(D39="SINAPI-S",D39="SINAPI-I"),"SINAPI","PRÓPRIO")</f>
        <v>PRÓPRIO</v>
      </c>
      <c r="D39" s="228" t="s">
        <v>110</v>
      </c>
      <c r="E39" s="226" t="str">
        <f>IFERROR(IF(D39="SINAPI-S",VLOOKUP(B39,'20-B.SINAPI-S'!A:J,2,0),IF(D39="SINAPI-I",VLOOKUP(B39,'20-A.SINAPI-I'!A:G,2,0),IF(D39="COMPOSIÇÕES",VLOOKUP(B39,'11.COMPOSIÇÕES GERAIS'!B:I,2,0),VLOOKUP(B39,'12.COT.MERCADO'!A:I,2,0)))),"Em Elaboração")</f>
        <v>SERVIÇO DE MANUTENÇÃO PREVENTIVA, CORRETIVA E EMERGENCIAL PARA GRUPO GERADOR STEMAC 150KVA (DS 7320), MOTOR MWM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v>
      </c>
      <c r="F39" s="221" t="str">
        <f>IFERROR(IF(D39="SINAPI-S",VLOOKUP(B39,'20-B.SINAPI-S'!A:J,3,0),IF(D39="SINAPI-I",VLOOKUP(B39,'20-A.SINAPI-I'!A:G,3,0),IF(D39="COMPOSIÇÕES",VLOOKUP(B39,'11.COMPOSIÇÕES GERAIS'!B:I,3,0),VLOOKUP(B39,'12.COT.MERCADO'!A:I,7,0)))),"Em Elaboração")</f>
        <v>MÊS</v>
      </c>
      <c r="G39" s="217">
        <v>12.0</v>
      </c>
      <c r="H39" s="222">
        <f>IFERROR(IF(D39="SINAPI-S",VLOOKUP(B39,'20-B.SINAPI-S'!A:J,5,0),IF(D39="SINAPI-I",VLOOKUP(B39,'20-A.SINAPI-I'!A:G,6,0),IF(D39="COMPOSIÇÕES",VLOOKUP(B39,'11.COMPOSIÇÕES GERAIS'!B:I,7,0),0))),"Em Elaboração")</f>
        <v>0</v>
      </c>
      <c r="I39" s="222">
        <f>IFERROR(IF(D39="SINAPI-S",VLOOKUP(B39,'20-B.SINAPI-S'!A:J,6,0),IF(D39="SINAPI-I",VLOOKUP(B39,'20-A.SINAPI-I'!A:G,7,0),IF(D39="COMPOSIÇÕES",VLOOKUP(B39,'11.COMPOSIÇÕES GERAIS'!B:I,8,0),VLOOKUP(B39,'12.COT.MERCADO'!A:I,8,0)))),"Em Elaboração")</f>
        <v>2989</v>
      </c>
      <c r="J39" s="222">
        <f>H39*(1+$J$5)</f>
        <v>0</v>
      </c>
      <c r="K39" s="222">
        <f>I39*(1+$J$10)</f>
        <v>3529.087262</v>
      </c>
      <c r="L39" s="222">
        <f>SUM(J39:K39)</f>
        <v>3529.087262</v>
      </c>
      <c r="M39" s="222">
        <f>J39*G39</f>
        <v>0</v>
      </c>
      <c r="N39" s="222">
        <f>K39*G39</f>
        <v>42349.04714</v>
      </c>
      <c r="O39" s="222">
        <f>SUM(M39:N39)</f>
        <v>42349.04714</v>
      </c>
      <c r="P39" s="223">
        <f t="shared" si="2"/>
        <v>0.03312856862</v>
      </c>
    </row>
    <row r="40">
      <c r="A40" s="212" t="s">
        <v>127</v>
      </c>
      <c r="B40" s="213" t="s">
        <v>128</v>
      </c>
      <c r="C40" s="44"/>
      <c r="D40" s="44"/>
      <c r="E40" s="44"/>
      <c r="F40" s="44"/>
      <c r="G40" s="44"/>
      <c r="H40" s="44"/>
      <c r="I40" s="44"/>
      <c r="J40" s="44"/>
      <c r="K40" s="44"/>
      <c r="L40" s="44"/>
      <c r="M40" s="214">
        <f t="shared" ref="M40:O40" si="22">SUM(M41)</f>
        <v>0</v>
      </c>
      <c r="N40" s="214">
        <f t="shared" si="22"/>
        <v>1794.651267</v>
      </c>
      <c r="O40" s="214">
        <f t="shared" si="22"/>
        <v>1794.651267</v>
      </c>
      <c r="P40" s="215">
        <f t="shared" si="2"/>
        <v>0.001403909454</v>
      </c>
    </row>
    <row r="41">
      <c r="A41" s="216" t="s">
        <v>129</v>
      </c>
      <c r="B41" s="217" t="s">
        <v>130</v>
      </c>
      <c r="C41" s="227" t="str">
        <f>IF(OR(D41="SINAPI-S",D41="SINAPI-I"),"SINAPI","PRÓPRIO")</f>
        <v>PRÓPRIO</v>
      </c>
      <c r="D41" s="228" t="s">
        <v>110</v>
      </c>
      <c r="E41" s="226" t="str">
        <f>IFERROR(IF(D41="SINAPI-S",VLOOKUP(B41,'20-B.SINAPI-S'!A:J,2,0),IF(D41="SINAPI-I",VLOOKUP(B41,'20-A.SINAPI-I'!A:G,2,0),IF(D41="COMPOSIÇÕES",VLOOKUP(B41,'11.COMPOSIÇÕES GERAIS'!B:I,2,0),VLOOKUP(B41,'12.COT.MERCADO'!A:I,2,0)))),"Em Elaboração")</f>
        <v>Serviço de Manutenção Preventiva de Nobreak de 40 KVA, revisão e limpeza geral conforme rotina estipulada em TR</v>
      </c>
      <c r="F41" s="221" t="str">
        <f>IFERROR(IF(D41="SINAPI-S",VLOOKUP(B41,'20-B.SINAPI-S'!A:J,3,0),IF(D41="SINAPI-I",VLOOKUP(B41,'20-A.SINAPI-I'!A:G,3,0),IF(D41="COMPOSIÇÕES",VLOOKUP(B41,'11.COMPOSIÇÕES GERAIS'!B:I,3,0),VLOOKUP(B41,'12.COT.MERCADO'!A:I,7,0)))),"Em Elaboração")</f>
        <v>UN </v>
      </c>
      <c r="G41" s="217">
        <v>1.0</v>
      </c>
      <c r="H41" s="222">
        <f>IFERROR(IF(D41="SINAPI-S",VLOOKUP(B41,'20-B.SINAPI-S'!A:J,5,0),IF(D41="SINAPI-I",VLOOKUP(B41,'20-A.SINAPI-I'!A:G,6,0),IF(D41="COMPOSIÇÕES",VLOOKUP(B41,'11.COMPOSIÇÕES GERAIS'!B:I,7,0),0))),"Em Elaboração")</f>
        <v>0</v>
      </c>
      <c r="I41" s="222">
        <f>IFERROR(IF(D41="SINAPI-S",VLOOKUP(B41,'20-B.SINAPI-S'!A:J,6,0),IF(D41="SINAPI-I",VLOOKUP(B41,'20-A.SINAPI-I'!A:G,7,0),IF(D41="COMPOSIÇÕES",VLOOKUP(B41,'11.COMPOSIÇÕES GERAIS'!B:I,8,0),VLOOKUP(B41,'12.COT.MERCADO'!A:I,8,0)))),"Em Elaboração")</f>
        <v>1520</v>
      </c>
      <c r="J41" s="222">
        <f>H41*(1+$J$5)</f>
        <v>0</v>
      </c>
      <c r="K41" s="222">
        <f>I41*(1+$J$10)</f>
        <v>1794.651267</v>
      </c>
      <c r="L41" s="222">
        <f>SUM(J41:K41)</f>
        <v>1794.651267</v>
      </c>
      <c r="M41" s="222">
        <f>J41*G41</f>
        <v>0</v>
      </c>
      <c r="N41" s="222">
        <f>K41*G41</f>
        <v>1794.651267</v>
      </c>
      <c r="O41" s="222">
        <f>SUM(M41:N41)</f>
        <v>1794.651267</v>
      </c>
      <c r="P41" s="223">
        <f t="shared" si="2"/>
        <v>0.001403909454</v>
      </c>
    </row>
    <row r="42">
      <c r="A42" s="212" t="s">
        <v>131</v>
      </c>
      <c r="B42" s="213" t="s">
        <v>132</v>
      </c>
      <c r="C42" s="44"/>
      <c r="D42" s="44"/>
      <c r="E42" s="44"/>
      <c r="F42" s="44"/>
      <c r="G42" s="44"/>
      <c r="H42" s="44"/>
      <c r="I42" s="44"/>
      <c r="J42" s="44"/>
      <c r="K42" s="44"/>
      <c r="L42" s="44"/>
      <c r="M42" s="214">
        <f t="shared" ref="M42:O42" si="23">SUM(M43)</f>
        <v>0</v>
      </c>
      <c r="N42" s="214">
        <f t="shared" si="23"/>
        <v>1487.671445</v>
      </c>
      <c r="O42" s="214">
        <f t="shared" si="23"/>
        <v>1487.671445</v>
      </c>
      <c r="P42" s="215">
        <f t="shared" si="2"/>
        <v>0.001163767047</v>
      </c>
    </row>
    <row r="43">
      <c r="A43" s="216" t="s">
        <v>133</v>
      </c>
      <c r="B43" s="217" t="s">
        <v>134</v>
      </c>
      <c r="C43" s="227" t="str">
        <f>IF(OR(D43="SINAPI-S",D43="SINAPI-I"),"SINAPI","PRÓPRIO")</f>
        <v>PRÓPRIO</v>
      </c>
      <c r="D43" s="228" t="s">
        <v>110</v>
      </c>
      <c r="E43" s="226" t="str">
        <f>IFERROR(IF(D43="SINAPI-S",VLOOKUP(B43,'20-B.SINAPI-S'!A:J,2,0),IF(D43="SINAPI-I",VLOOKUP(B43,'20-A.SINAPI-I'!A:G,2,0),IF(D43="COMPOSIÇÕES",VLOOKUP(B43,'11.COMPOSIÇÕES GERAIS'!B:I,2,0),VLOOKUP(B43,'12.COT.MERCADO'!A:I,2,0)))),"Em Elaboração")</f>
        <v>Serviço de Manutenção Preventiva de Nobreak até 5 KVA, revisão e limpeza geral conforme rotina estipulada em TR</v>
      </c>
      <c r="F43" s="221" t="str">
        <f>IFERROR(IF(D43="SINAPI-S",VLOOKUP(B43,'20-B.SINAPI-S'!A:J,3,0),IF(D43="SINAPI-I",VLOOKUP(B43,'20-A.SINAPI-I'!A:G,3,0),IF(D43="COMPOSIÇÕES",VLOOKUP(B43,'11.COMPOSIÇÕES GERAIS'!B:I,3,0),VLOOKUP(B43,'12.COT.MERCADO'!A:I,7,0)))),"Em Elaboração")</f>
        <v>UN </v>
      </c>
      <c r="G43" s="217">
        <v>1.0</v>
      </c>
      <c r="H43" s="222">
        <f>IFERROR(IF(D43="SINAPI-S",VLOOKUP(B43,'20-B.SINAPI-S'!A:J,5,0),IF(D43="SINAPI-I",VLOOKUP(B43,'20-A.SINAPI-I'!A:G,6,0),IF(D43="COMPOSIÇÕES",VLOOKUP(B43,'11.COMPOSIÇÕES GERAIS'!B:I,7,0),0))),"Em Elaboração")</f>
        <v>0</v>
      </c>
      <c r="I43" s="222">
        <f>IFERROR(IF(D43="SINAPI-S",VLOOKUP(B43,'20-B.SINAPI-S'!A:J,6,0),IF(D43="SINAPI-I",VLOOKUP(B43,'20-A.SINAPI-I'!A:G,7,0),IF(D43="COMPOSIÇÕES",VLOOKUP(B43,'11.COMPOSIÇÕES GERAIS'!B:I,8,0),VLOOKUP(B43,'12.COT.MERCADO'!A:I,8,0)))),"Em Elaboração")</f>
        <v>1260</v>
      </c>
      <c r="J43" s="222">
        <f>H43*(1+$J$5)</f>
        <v>0</v>
      </c>
      <c r="K43" s="222">
        <f>I43*(1+$J$10)</f>
        <v>1487.671445</v>
      </c>
      <c r="L43" s="222">
        <f>SUM(J43:K43)</f>
        <v>1487.671445</v>
      </c>
      <c r="M43" s="222">
        <f>J43*G43</f>
        <v>0</v>
      </c>
      <c r="N43" s="222">
        <f>K43*G43</f>
        <v>1487.671445</v>
      </c>
      <c r="O43" s="222">
        <f>SUM(M43:N43)</f>
        <v>1487.671445</v>
      </c>
      <c r="P43" s="223">
        <f t="shared" si="2"/>
        <v>0.001163767047</v>
      </c>
    </row>
    <row r="44">
      <c r="A44" s="212" t="s">
        <v>135</v>
      </c>
      <c r="B44" s="213" t="s">
        <v>136</v>
      </c>
      <c r="C44" s="44"/>
      <c r="D44" s="44"/>
      <c r="E44" s="44"/>
      <c r="F44" s="44"/>
      <c r="G44" s="44"/>
      <c r="H44" s="44"/>
      <c r="I44" s="44"/>
      <c r="J44" s="44"/>
      <c r="K44" s="44"/>
      <c r="L44" s="44"/>
      <c r="M44" s="214">
        <f t="shared" ref="M44:O44" si="24">SUM(M45:M46)</f>
        <v>0</v>
      </c>
      <c r="N44" s="214">
        <f t="shared" si="24"/>
        <v>2609.328487</v>
      </c>
      <c r="O44" s="214">
        <f t="shared" si="24"/>
        <v>2609.328487</v>
      </c>
      <c r="P44" s="215">
        <f t="shared" si="2"/>
        <v>0.002041210456</v>
      </c>
    </row>
    <row r="45">
      <c r="A45" s="216" t="s">
        <v>137</v>
      </c>
      <c r="B45" s="217" t="s">
        <v>134</v>
      </c>
      <c r="C45" s="227" t="str">
        <f t="shared" ref="C45:C46" si="25">IF(OR(D45="SINAPI-S",D45="SINAPI-I"),"SINAPI","PRÓPRIO")</f>
        <v>PRÓPRIO</v>
      </c>
      <c r="D45" s="228" t="s">
        <v>110</v>
      </c>
      <c r="E45" s="226" t="str">
        <f>IFERROR(IF(D45="SINAPI-S",VLOOKUP(B45,'20-B.SINAPI-S'!A:J,2,0),IF(D45="SINAPI-I",VLOOKUP(B45,'20-A.SINAPI-I'!A:G,2,0),IF(D45="COMPOSIÇÕES",VLOOKUP(B45,'11.COMPOSIÇÕES GERAIS'!B:I,2,0),VLOOKUP(B45,'12.COT.MERCADO'!A:I,2,0)))),"Em Elaboração")</f>
        <v>Serviço de Manutenção Preventiva de Nobreak até 5 KVA, revisão e limpeza geral conforme rotina estipulada em TR</v>
      </c>
      <c r="F45" s="221" t="str">
        <f>IFERROR(IF(D45="SINAPI-S",VLOOKUP(B45,'20-B.SINAPI-S'!A:J,3,0),IF(D45="SINAPI-I",VLOOKUP(B45,'20-A.SINAPI-I'!A:G,3,0),IF(D45="COMPOSIÇÕES",VLOOKUP(B45,'11.COMPOSIÇÕES GERAIS'!B:I,3,0),VLOOKUP(B45,'12.COT.MERCADO'!A:I,7,0)))),"Em Elaboração")</f>
        <v>UN </v>
      </c>
      <c r="G45" s="217">
        <v>1.0</v>
      </c>
      <c r="H45" s="222">
        <f>IFERROR(IF(D45="SINAPI-S",VLOOKUP(B45,'20-B.SINAPI-S'!A:J,5,0),IF(D45="SINAPI-I",VLOOKUP(B45,'20-A.SINAPI-I'!A:G,6,0),IF(D45="COMPOSIÇÕES",VLOOKUP(B45,'11.COMPOSIÇÕES GERAIS'!B:I,7,0),0))),"Em Elaboração")</f>
        <v>0</v>
      </c>
      <c r="I45" s="222">
        <f>IFERROR(IF(D45="SINAPI-S",VLOOKUP(B45,'20-B.SINAPI-S'!A:J,6,0),IF(D45="SINAPI-I",VLOOKUP(B45,'20-A.SINAPI-I'!A:G,7,0),IF(D45="COMPOSIÇÕES",VLOOKUP(B45,'11.COMPOSIÇÕES GERAIS'!B:I,8,0),VLOOKUP(B45,'12.COT.MERCADO'!A:I,8,0)))),"Em Elaboração")</f>
        <v>1260</v>
      </c>
      <c r="J45" s="222">
        <f t="shared" ref="J45:J46" si="26">H45*(1+$J$5)</f>
        <v>0</v>
      </c>
      <c r="K45" s="222">
        <f t="shared" ref="K45:K46" si="27">I45*(1+$J$10)</f>
        <v>1487.671445</v>
      </c>
      <c r="L45" s="222">
        <f t="shared" ref="L45:L46" si="28">SUM(J45:K45)</f>
        <v>1487.671445</v>
      </c>
      <c r="M45" s="222">
        <f t="shared" ref="M45:M46" si="29">J45*G45</f>
        <v>0</v>
      </c>
      <c r="N45" s="222">
        <f t="shared" ref="N45:N46" si="30">K45*G45</f>
        <v>1487.671445</v>
      </c>
      <c r="O45" s="222">
        <f t="shared" ref="O45:O46" si="31">SUM(M45:N45)</f>
        <v>1487.671445</v>
      </c>
      <c r="P45" s="223">
        <f t="shared" si="2"/>
        <v>0.001163767047</v>
      </c>
    </row>
    <row r="46">
      <c r="A46" s="216" t="s">
        <v>138</v>
      </c>
      <c r="B46" s="217" t="s">
        <v>139</v>
      </c>
      <c r="C46" s="227" t="str">
        <f t="shared" si="25"/>
        <v>PRÓPRIO</v>
      </c>
      <c r="D46" s="228" t="s">
        <v>110</v>
      </c>
      <c r="E46" s="226" t="str">
        <f>IFERROR(IF(D46="SINAPI-S",VLOOKUP(B46,'20-B.SINAPI-S'!A:J,2,0),IF(D46="SINAPI-I",VLOOKUP(B46,'20-A.SINAPI-I'!A:G,2,0),IF(D46="COMPOSIÇÕES",VLOOKUP(B46,'11.COMPOSIÇÕES GERAIS'!B:I,2,0),VLOOKUP(B46,'12.COT.MERCADO'!A:I,2,0)))),"Em Elaboração")</f>
        <v>Serviço de Manutenção Preventiva de Nobreak de 20 KVA, revisão e limpeza geral conforme rotina estipulada em TR</v>
      </c>
      <c r="F46" s="221" t="str">
        <f>IFERROR(IF(D46="SINAPI-S",VLOOKUP(B46,'20-B.SINAPI-S'!A:J,3,0),IF(D46="SINAPI-I",VLOOKUP(B46,'20-A.SINAPI-I'!A:G,3,0),IF(D46="COMPOSIÇÕES",VLOOKUP(B46,'11.COMPOSIÇÕES GERAIS'!B:I,3,0),VLOOKUP(B46,'12.COT.MERCADO'!A:I,7,0)))),"Em Elaboração")</f>
        <v>UN </v>
      </c>
      <c r="G46" s="217">
        <v>1.0</v>
      </c>
      <c r="H46" s="222">
        <f>IFERROR(IF(D46="SINAPI-S",VLOOKUP(B46,'20-B.SINAPI-S'!A:J,5,0),IF(D46="SINAPI-I",VLOOKUP(B46,'20-A.SINAPI-I'!A:G,6,0),IF(D46="COMPOSIÇÕES",VLOOKUP(B46,'11.COMPOSIÇÕES GERAIS'!B:I,7,0),0))),"Em Elaboração")</f>
        <v>0</v>
      </c>
      <c r="I46" s="222">
        <f>IFERROR(IF(D46="SINAPI-S",VLOOKUP(B46,'20-B.SINAPI-S'!A:J,6,0),IF(D46="SINAPI-I",VLOOKUP(B46,'20-A.SINAPI-I'!A:G,7,0),IF(D46="COMPOSIÇÕES",VLOOKUP(B46,'11.COMPOSIÇÕES GERAIS'!B:I,8,0),VLOOKUP(B46,'12.COT.MERCADO'!A:I,8,0)))),"Em Elaboração")</f>
        <v>950</v>
      </c>
      <c r="J46" s="222">
        <f t="shared" si="26"/>
        <v>0</v>
      </c>
      <c r="K46" s="222">
        <f t="shared" si="27"/>
        <v>1121.657042</v>
      </c>
      <c r="L46" s="222">
        <f t="shared" si="28"/>
        <v>1121.657042</v>
      </c>
      <c r="M46" s="222">
        <f t="shared" si="29"/>
        <v>0</v>
      </c>
      <c r="N46" s="222">
        <f t="shared" si="30"/>
        <v>1121.657042</v>
      </c>
      <c r="O46" s="222">
        <f t="shared" si="31"/>
        <v>1121.657042</v>
      </c>
      <c r="P46" s="223">
        <f t="shared" si="2"/>
        <v>0.0008774434087</v>
      </c>
    </row>
    <row r="47">
      <c r="A47" s="212" t="s">
        <v>140</v>
      </c>
      <c r="B47" s="213" t="s">
        <v>141</v>
      </c>
      <c r="C47" s="44"/>
      <c r="D47" s="44"/>
      <c r="E47" s="44"/>
      <c r="F47" s="44"/>
      <c r="G47" s="44"/>
      <c r="H47" s="44"/>
      <c r="I47" s="44"/>
      <c r="J47" s="44"/>
      <c r="K47" s="44"/>
      <c r="L47" s="44"/>
      <c r="M47" s="214">
        <f t="shared" ref="M47:O47" si="32">SUM(M48)</f>
        <v>0</v>
      </c>
      <c r="N47" s="214">
        <f t="shared" si="32"/>
        <v>1121.657042</v>
      </c>
      <c r="O47" s="214">
        <f t="shared" si="32"/>
        <v>1121.657042</v>
      </c>
      <c r="P47" s="215">
        <f t="shared" si="2"/>
        <v>0.0008774434087</v>
      </c>
    </row>
    <row r="48">
      <c r="A48" s="216" t="s">
        <v>142</v>
      </c>
      <c r="B48" s="217" t="s">
        <v>139</v>
      </c>
      <c r="C48" s="227" t="str">
        <f>IF(OR(D48="SINAPI-S",D48="SINAPI-I"),"SINAPI","PRÓPRIO")</f>
        <v>PRÓPRIO</v>
      </c>
      <c r="D48" s="228" t="s">
        <v>110</v>
      </c>
      <c r="E48" s="226" t="str">
        <f>IFERROR(IF(D48="SINAPI-S",VLOOKUP(B48,'20-B.SINAPI-S'!A:J,2,0),IF(D48="SINAPI-I",VLOOKUP(B48,'20-A.SINAPI-I'!A:G,2,0),IF(D48="COMPOSIÇÕES",VLOOKUP(B48,'11.COMPOSIÇÕES GERAIS'!B:I,2,0),VLOOKUP(B48,'12.COT.MERCADO'!A:I,2,0)))),"Em Elaboração")</f>
        <v>Serviço de Manutenção Preventiva de Nobreak de 20 KVA, revisão e limpeza geral conforme rotina estipulada em TR</v>
      </c>
      <c r="F48" s="221" t="str">
        <f>IFERROR(IF(D48="SINAPI-S",VLOOKUP(B48,'20-B.SINAPI-S'!A:J,3,0),IF(D48="SINAPI-I",VLOOKUP(B48,'20-A.SINAPI-I'!A:G,3,0),IF(D48="COMPOSIÇÕES",VLOOKUP(B48,'11.COMPOSIÇÕES GERAIS'!B:I,3,0),VLOOKUP(B48,'12.COT.MERCADO'!A:I,7,0)))),"Em Elaboração")</f>
        <v>UN </v>
      </c>
      <c r="G48" s="217">
        <v>1.0</v>
      </c>
      <c r="H48" s="222">
        <f>IFERROR(IF(D48="SINAPI-S",VLOOKUP(B48,'20-B.SINAPI-S'!A:J,5,0),IF(D48="SINAPI-I",VLOOKUP(B48,'20-A.SINAPI-I'!A:G,6,0),IF(D48="COMPOSIÇÕES",VLOOKUP(B48,'11.COMPOSIÇÕES GERAIS'!B:I,7,0),0))),"Em Elaboração")</f>
        <v>0</v>
      </c>
      <c r="I48" s="222">
        <f>IFERROR(IF(D48="SINAPI-S",VLOOKUP(B48,'20-B.SINAPI-S'!A:J,6,0),IF(D48="SINAPI-I",VLOOKUP(B48,'20-A.SINAPI-I'!A:G,7,0),IF(D48="COMPOSIÇÕES",VLOOKUP(B48,'11.COMPOSIÇÕES GERAIS'!B:I,8,0),VLOOKUP(B48,'12.COT.MERCADO'!A:I,8,0)))),"Em Elaboração")</f>
        <v>950</v>
      </c>
      <c r="J48" s="222">
        <f>H48*(1+$J$5)</f>
        <v>0</v>
      </c>
      <c r="K48" s="222">
        <f>I48*(1+$J$10)</f>
        <v>1121.657042</v>
      </c>
      <c r="L48" s="222">
        <f>SUM(J48:K48)</f>
        <v>1121.657042</v>
      </c>
      <c r="M48" s="222">
        <f>J48*G48</f>
        <v>0</v>
      </c>
      <c r="N48" s="222">
        <f>K48*G48</f>
        <v>1121.657042</v>
      </c>
      <c r="O48" s="222">
        <f>SUM(M48:N48)</f>
        <v>1121.657042</v>
      </c>
      <c r="P48" s="223">
        <f t="shared" si="2"/>
        <v>0.0008774434087</v>
      </c>
    </row>
    <row r="49" ht="44.25" customHeight="1">
      <c r="A49" s="193" t="s">
        <v>20</v>
      </c>
      <c r="B49" s="209" t="s">
        <v>143</v>
      </c>
      <c r="C49" s="44"/>
      <c r="D49" s="44"/>
      <c r="E49" s="44"/>
      <c r="F49" s="44"/>
      <c r="G49" s="44"/>
      <c r="H49" s="44"/>
      <c r="I49" s="44"/>
      <c r="J49" s="44"/>
      <c r="K49" s="44"/>
      <c r="L49" s="44"/>
      <c r="M49" s="210">
        <f t="shared" ref="M49:O49" si="33">SUM(M50,M61,M65,M69,M71,M76,M79,M83,M86,M90,M92)</f>
        <v>0</v>
      </c>
      <c r="N49" s="210">
        <f t="shared" si="33"/>
        <v>84673.05966</v>
      </c>
      <c r="O49" s="210">
        <f t="shared" si="33"/>
        <v>84673.05966</v>
      </c>
      <c r="P49" s="211">
        <f t="shared" si="2"/>
        <v>0.06623755329</v>
      </c>
    </row>
    <row r="50">
      <c r="A50" s="212" t="s">
        <v>144</v>
      </c>
      <c r="B50" s="213" t="s">
        <v>145</v>
      </c>
      <c r="C50" s="44"/>
      <c r="D50" s="44"/>
      <c r="E50" s="44"/>
      <c r="F50" s="44"/>
      <c r="G50" s="44"/>
      <c r="H50" s="44"/>
      <c r="I50" s="44"/>
      <c r="J50" s="44"/>
      <c r="K50" s="44"/>
      <c r="L50" s="44"/>
      <c r="M50" s="214">
        <f t="shared" ref="M50:O50" si="34">SUM(M51:M60)</f>
        <v>0</v>
      </c>
      <c r="N50" s="214">
        <f t="shared" si="34"/>
        <v>9555.571845</v>
      </c>
      <c r="O50" s="214">
        <f t="shared" si="34"/>
        <v>9555.571845</v>
      </c>
      <c r="P50" s="215">
        <f t="shared" si="2"/>
        <v>0.007475077691</v>
      </c>
    </row>
    <row r="51">
      <c r="A51" s="216" t="s">
        <v>146</v>
      </c>
      <c r="B51" s="217" t="s">
        <v>147</v>
      </c>
      <c r="C51" s="227" t="str">
        <f t="shared" ref="C51:C60" si="35">IF(OR(D51="SINAPI-S",D51="SINAPI-I"),"SINAPI","PRÓPRIO")</f>
        <v>PRÓPRIO</v>
      </c>
      <c r="D51" s="228" t="s">
        <v>110</v>
      </c>
      <c r="E51" s="226" t="str">
        <f>IFERROR(IF(D51="SINAPI-S",VLOOKUP(B51,'20-B.SINAPI-S'!A:J,2,0),IF(D51="SINAPI-I",VLOOKUP(B51,'20-A.SINAPI-I'!A:G,2,0),IF(D51="COMPOSIÇÕES",VLOOKUP(B51,'11.COMPOSIÇÕES GERAIS'!B:I,2,0),VLOOKUP(B51,'12.COT.MERCADO'!A:I,2,0)))),"Em Elaboração")</f>
        <v>Recarga de extintor de gás carbônico (CO2) classe AB - 6Kg</v>
      </c>
      <c r="F51" s="221" t="str">
        <f>IFERROR(IF(D51="SINAPI-S",VLOOKUP(B51,'20-B.SINAPI-S'!A:J,3,0),IF(D51="SINAPI-I",VLOOKUP(B51,'20-A.SINAPI-I'!A:G,3,0),IF(D51="COMPOSIÇÕES",VLOOKUP(B51,'11.COMPOSIÇÕES GERAIS'!B:I,3,0),VLOOKUP(B51,'12.COT.MERCADO'!A:I,7,0)))),"Em Elaboração")</f>
        <v>UN </v>
      </c>
      <c r="G51" s="217">
        <v>30.0</v>
      </c>
      <c r="H51" s="222">
        <f>IFERROR(IF(D51="SINAPI-S",VLOOKUP(B51,'20-B.SINAPI-S'!A:J,5,0),IF(D51="SINAPI-I",VLOOKUP(B51,'20-A.SINAPI-I'!A:G,6,0),IF(D51="COMPOSIÇÕES",VLOOKUP(B51,'11.COMPOSIÇÕES GERAIS'!B:I,7,0),0))),"Em Elaboração")</f>
        <v>0</v>
      </c>
      <c r="I51" s="222">
        <f>IFERROR(IF(D51="SINAPI-S",VLOOKUP(B51,'20-B.SINAPI-S'!A:J,6,0),IF(D51="SINAPI-I",VLOOKUP(B51,'20-A.SINAPI-I'!A:G,7,0),IF(D51="COMPOSIÇÕES",VLOOKUP(B51,'11.COMPOSIÇÕES GERAIS'!B:I,8,0),VLOOKUP(B51,'12.COT.MERCADO'!A:I,8,0)))),"Em Elaboração")</f>
        <v>60</v>
      </c>
      <c r="J51" s="222">
        <f t="shared" ref="J51:J60" si="36">H51*(1+$J$5)</f>
        <v>0</v>
      </c>
      <c r="K51" s="222">
        <f t="shared" ref="K51:K60" si="37">I51*(1+$J$8)</f>
        <v>70.28007511</v>
      </c>
      <c r="L51" s="222">
        <f t="shared" ref="L51:L60" si="38">SUM(J51:K51)</f>
        <v>70.28007511</v>
      </c>
      <c r="M51" s="222">
        <f t="shared" ref="M51:M60" si="39">J51*G51</f>
        <v>0</v>
      </c>
      <c r="N51" s="222">
        <f t="shared" ref="N51:N60" si="40">K51*G51</f>
        <v>2108.402253</v>
      </c>
      <c r="O51" s="222">
        <f t="shared" ref="O51:O60" si="41">SUM(M51:N51)</f>
        <v>2108.402253</v>
      </c>
      <c r="P51" s="223">
        <f t="shared" si="2"/>
        <v>0.001649348768</v>
      </c>
    </row>
    <row r="52">
      <c r="A52" s="216" t="s">
        <v>148</v>
      </c>
      <c r="B52" s="217" t="s">
        <v>149</v>
      </c>
      <c r="C52" s="227" t="str">
        <f t="shared" si="35"/>
        <v>PRÓPRIO</v>
      </c>
      <c r="D52" s="228" t="s">
        <v>110</v>
      </c>
      <c r="E52" s="226" t="str">
        <f>IFERROR(IF(D52="SINAPI-S",VLOOKUP(B52,'20-B.SINAPI-S'!A:J,2,0),IF(D52="SINAPI-I",VLOOKUP(B52,'20-A.SINAPI-I'!A:G,2,0),IF(D52="COMPOSIÇÕES",VLOOKUP(B52,'11.COMPOSIÇÕES GERAIS'!B:I,2,0),VLOOKUP(B52,'12.COT.MERCADO'!A:I,2,0)))),"Em Elaboração")</f>
        <v>Recarga de extintor de gás carbônico (CO2) classe AB - 10Kg</v>
      </c>
      <c r="F52" s="221" t="str">
        <f>IFERROR(IF(D52="SINAPI-S",VLOOKUP(B52,'20-B.SINAPI-S'!A:J,3,0),IF(D52="SINAPI-I",VLOOKUP(B52,'20-A.SINAPI-I'!A:G,3,0),IF(D52="COMPOSIÇÕES",VLOOKUP(B52,'11.COMPOSIÇÕES GERAIS'!B:I,3,0),VLOOKUP(B52,'12.COT.MERCADO'!A:I,7,0)))),"Em Elaboração")</f>
        <v>UN </v>
      </c>
      <c r="G52" s="217">
        <v>1.0</v>
      </c>
      <c r="H52" s="222">
        <f>IFERROR(IF(D52="SINAPI-S",VLOOKUP(B52,'20-B.SINAPI-S'!A:J,5,0),IF(D52="SINAPI-I",VLOOKUP(B52,'20-A.SINAPI-I'!A:G,6,0),IF(D52="COMPOSIÇÕES",VLOOKUP(B52,'11.COMPOSIÇÕES GERAIS'!B:I,7,0),0))),"Em Elaboração")</f>
        <v>0</v>
      </c>
      <c r="I52" s="222">
        <f>IFERROR(IF(D52="SINAPI-S",VLOOKUP(B52,'20-B.SINAPI-S'!A:J,6,0),IF(D52="SINAPI-I",VLOOKUP(B52,'20-A.SINAPI-I'!A:G,7,0),IF(D52="COMPOSIÇÕES",VLOOKUP(B52,'11.COMPOSIÇÕES GERAIS'!B:I,8,0),VLOOKUP(B52,'12.COT.MERCADO'!A:I,8,0)))),"Em Elaboração")</f>
        <v>100</v>
      </c>
      <c r="J52" s="222">
        <f t="shared" si="36"/>
        <v>0</v>
      </c>
      <c r="K52" s="222">
        <f t="shared" si="37"/>
        <v>117.1334585</v>
      </c>
      <c r="L52" s="222">
        <f t="shared" si="38"/>
        <v>117.1334585</v>
      </c>
      <c r="M52" s="222">
        <f t="shared" si="39"/>
        <v>0</v>
      </c>
      <c r="N52" s="222">
        <f t="shared" si="40"/>
        <v>117.1334585</v>
      </c>
      <c r="O52" s="222">
        <f t="shared" si="41"/>
        <v>117.1334585</v>
      </c>
      <c r="P52" s="223">
        <f t="shared" si="2"/>
        <v>0.00009163048709</v>
      </c>
    </row>
    <row r="53">
      <c r="A53" s="216" t="s">
        <v>150</v>
      </c>
      <c r="B53" s="217" t="s">
        <v>151</v>
      </c>
      <c r="C53" s="227" t="str">
        <f t="shared" si="35"/>
        <v>PRÓPRIO</v>
      </c>
      <c r="D53" s="228" t="s">
        <v>110</v>
      </c>
      <c r="E53" s="226" t="str">
        <f>IFERROR(IF(D53="SINAPI-S",VLOOKUP(B53,'20-B.SINAPI-S'!A:J,2,0),IF(D53="SINAPI-I",VLOOKUP(B53,'20-A.SINAPI-I'!A:G,2,0),IF(D53="COMPOSIÇÕES",VLOOKUP(B53,'11.COMPOSIÇÕES GERAIS'!B:I,2,0),VLOOKUP(B53,'12.COT.MERCADO'!A:I,2,0)))),"Em Elaboração")</f>
        <v>Recarga de extintor de gás carbônico (CO2) classe AB - 25Kg</v>
      </c>
      <c r="F53" s="221" t="str">
        <f>IFERROR(IF(D53="SINAPI-S",VLOOKUP(B53,'20-B.SINAPI-S'!A:J,3,0),IF(D53="SINAPI-I",VLOOKUP(B53,'20-A.SINAPI-I'!A:G,3,0),IF(D53="COMPOSIÇÕES",VLOOKUP(B53,'11.COMPOSIÇÕES GERAIS'!B:I,3,0),VLOOKUP(B53,'12.COT.MERCADO'!A:I,7,0)))),"Em Elaboração")</f>
        <v>UN </v>
      </c>
      <c r="G53" s="217">
        <v>2.0</v>
      </c>
      <c r="H53" s="222">
        <f>IFERROR(IF(D53="SINAPI-S",VLOOKUP(B53,'20-B.SINAPI-S'!A:J,5,0),IF(D53="SINAPI-I",VLOOKUP(B53,'20-A.SINAPI-I'!A:G,6,0),IF(D53="COMPOSIÇÕES",VLOOKUP(B53,'11.COMPOSIÇÕES GERAIS'!B:I,7,0),0))),"Em Elaboração")</f>
        <v>0</v>
      </c>
      <c r="I53" s="222">
        <f>IFERROR(IF(D53="SINAPI-S",VLOOKUP(B53,'20-B.SINAPI-S'!A:J,6,0),IF(D53="SINAPI-I",VLOOKUP(B53,'20-A.SINAPI-I'!A:G,7,0),IF(D53="COMPOSIÇÕES",VLOOKUP(B53,'11.COMPOSIÇÕES GERAIS'!B:I,8,0),VLOOKUP(B53,'12.COT.MERCADO'!A:I,8,0)))),"Em Elaboração")</f>
        <v>220</v>
      </c>
      <c r="J53" s="222">
        <f t="shared" si="36"/>
        <v>0</v>
      </c>
      <c r="K53" s="222">
        <f t="shared" si="37"/>
        <v>257.6936087</v>
      </c>
      <c r="L53" s="222">
        <f t="shared" si="38"/>
        <v>257.6936087</v>
      </c>
      <c r="M53" s="222">
        <f t="shared" si="39"/>
        <v>0</v>
      </c>
      <c r="N53" s="222">
        <f t="shared" si="40"/>
        <v>515.3872175</v>
      </c>
      <c r="O53" s="222">
        <f t="shared" si="41"/>
        <v>515.3872175</v>
      </c>
      <c r="P53" s="223">
        <f t="shared" si="2"/>
        <v>0.0004031741432</v>
      </c>
    </row>
    <row r="54">
      <c r="A54" s="216" t="s">
        <v>152</v>
      </c>
      <c r="B54" s="217" t="s">
        <v>153</v>
      </c>
      <c r="C54" s="227" t="str">
        <f t="shared" si="35"/>
        <v>PRÓPRIO</v>
      </c>
      <c r="D54" s="228" t="s">
        <v>110</v>
      </c>
      <c r="E54" s="226" t="str">
        <f>IFERROR(IF(D54="SINAPI-S",VLOOKUP(B54,'20-B.SINAPI-S'!A:J,2,0),IF(D54="SINAPI-I",VLOOKUP(B54,'20-A.SINAPI-I'!A:G,2,0),IF(D54="COMPOSIÇÕES",VLOOKUP(B54,'11.COMPOSIÇÕES GERAIS'!B:I,2,0),VLOOKUP(B54,'12.COT.MERCADO'!A:I,2,0)))),"Em Elaboração")</f>
        <v>Recarga de extintor de pó químico seco (PQS) classe ABC - 4Kg</v>
      </c>
      <c r="F54" s="221" t="str">
        <f>IFERROR(IF(D54="SINAPI-S",VLOOKUP(B54,'20-B.SINAPI-S'!A:J,3,0),IF(D54="SINAPI-I",VLOOKUP(B54,'20-A.SINAPI-I'!A:G,3,0),IF(D54="COMPOSIÇÕES",VLOOKUP(B54,'11.COMPOSIÇÕES GERAIS'!B:I,3,0),VLOOKUP(B54,'12.COT.MERCADO'!A:I,7,0)))),"Em Elaboração")</f>
        <v>UN </v>
      </c>
      <c r="G54" s="217">
        <v>16.0</v>
      </c>
      <c r="H54" s="222">
        <f>IFERROR(IF(D54="SINAPI-S",VLOOKUP(B54,'20-B.SINAPI-S'!A:J,5,0),IF(D54="SINAPI-I",VLOOKUP(B54,'20-A.SINAPI-I'!A:G,6,0),IF(D54="COMPOSIÇÕES",VLOOKUP(B54,'11.COMPOSIÇÕES GERAIS'!B:I,7,0),0))),"Em Elaboração")</f>
        <v>0</v>
      </c>
      <c r="I54" s="222">
        <f>IFERROR(IF(D54="SINAPI-S",VLOOKUP(B54,'20-B.SINAPI-S'!A:J,6,0),IF(D54="SINAPI-I",VLOOKUP(B54,'20-A.SINAPI-I'!A:G,7,0),IF(D54="COMPOSIÇÕES",VLOOKUP(B54,'11.COMPOSIÇÕES GERAIS'!B:I,8,0),VLOOKUP(B54,'12.COT.MERCADO'!A:I,8,0)))),"Em Elaboração")</f>
        <v>36.4</v>
      </c>
      <c r="J54" s="222">
        <f t="shared" si="36"/>
        <v>0</v>
      </c>
      <c r="K54" s="222">
        <f t="shared" si="37"/>
        <v>42.6365789</v>
      </c>
      <c r="L54" s="222">
        <f t="shared" si="38"/>
        <v>42.6365789</v>
      </c>
      <c r="M54" s="222">
        <f t="shared" si="39"/>
        <v>0</v>
      </c>
      <c r="N54" s="222">
        <f t="shared" si="40"/>
        <v>682.1852624</v>
      </c>
      <c r="O54" s="222">
        <f t="shared" si="41"/>
        <v>682.1852624</v>
      </c>
      <c r="P54" s="223">
        <f t="shared" si="2"/>
        <v>0.0005336559568</v>
      </c>
    </row>
    <row r="55">
      <c r="A55" s="216" t="s">
        <v>154</v>
      </c>
      <c r="B55" s="217" t="s">
        <v>155</v>
      </c>
      <c r="C55" s="227" t="str">
        <f t="shared" si="35"/>
        <v>PRÓPRIO</v>
      </c>
      <c r="D55" s="228" t="s">
        <v>110</v>
      </c>
      <c r="E55" s="226" t="str">
        <f>IFERROR(IF(D55="SINAPI-S",VLOOKUP(B55,'20-B.SINAPI-S'!A:J,2,0),IF(D55="SINAPI-I",VLOOKUP(B55,'20-A.SINAPI-I'!A:G,2,0),IF(D55="COMPOSIÇÕES",VLOOKUP(B55,'11.COMPOSIÇÕES GERAIS'!B:I,2,0),VLOOKUP(B55,'12.COT.MERCADO'!A:I,2,0)))),"Em Elaboração")</f>
        <v>Recarga de extintor de pó químico seco (PQS) classe ABC - 6Kg</v>
      </c>
      <c r="F55" s="221" t="str">
        <f>IFERROR(IF(D55="SINAPI-S",VLOOKUP(B55,'20-B.SINAPI-S'!A:J,3,0),IF(D55="SINAPI-I",VLOOKUP(B55,'20-A.SINAPI-I'!A:G,3,0),IF(D55="COMPOSIÇÕES",VLOOKUP(B55,'11.COMPOSIÇÕES GERAIS'!B:I,3,0),VLOOKUP(B55,'12.COT.MERCADO'!A:I,7,0)))),"Em Elaboração")</f>
        <v>UN </v>
      </c>
      <c r="G55" s="217">
        <v>56.0</v>
      </c>
      <c r="H55" s="222">
        <f>IFERROR(IF(D55="SINAPI-S",VLOOKUP(B55,'20-B.SINAPI-S'!A:J,5,0),IF(D55="SINAPI-I",VLOOKUP(B55,'20-A.SINAPI-I'!A:G,6,0),IF(D55="COMPOSIÇÕES",VLOOKUP(B55,'11.COMPOSIÇÕES GERAIS'!B:I,7,0),0))),"Em Elaboração")</f>
        <v>0</v>
      </c>
      <c r="I55" s="222">
        <f>IFERROR(IF(D55="SINAPI-S",VLOOKUP(B55,'20-B.SINAPI-S'!A:J,6,0),IF(D55="SINAPI-I",VLOOKUP(B55,'20-A.SINAPI-I'!A:G,7,0),IF(D55="COMPOSIÇÕES",VLOOKUP(B55,'11.COMPOSIÇÕES GERAIS'!B:I,8,0),VLOOKUP(B55,'12.COT.MERCADO'!A:I,8,0)))),"Em Elaboração")</f>
        <v>48</v>
      </c>
      <c r="J55" s="222">
        <f t="shared" si="36"/>
        <v>0</v>
      </c>
      <c r="K55" s="222">
        <f t="shared" si="37"/>
        <v>56.22406009</v>
      </c>
      <c r="L55" s="222">
        <f t="shared" si="38"/>
        <v>56.22406009</v>
      </c>
      <c r="M55" s="222">
        <f t="shared" si="39"/>
        <v>0</v>
      </c>
      <c r="N55" s="222">
        <f t="shared" si="40"/>
        <v>3148.547365</v>
      </c>
      <c r="O55" s="222">
        <f t="shared" si="41"/>
        <v>3148.547365</v>
      </c>
      <c r="P55" s="223">
        <f t="shared" si="2"/>
        <v>0.002463027493</v>
      </c>
    </row>
    <row r="56">
      <c r="A56" s="216" t="s">
        <v>156</v>
      </c>
      <c r="B56" s="217" t="s">
        <v>157</v>
      </c>
      <c r="C56" s="227" t="str">
        <f t="shared" si="35"/>
        <v>PRÓPRIO</v>
      </c>
      <c r="D56" s="228" t="s">
        <v>110</v>
      </c>
      <c r="E56" s="226" t="str">
        <f>IFERROR(IF(D56="SINAPI-S",VLOOKUP(B56,'20-B.SINAPI-S'!A:J,2,0),IF(D56="SINAPI-I",VLOOKUP(B56,'20-A.SINAPI-I'!A:G,2,0),IF(D56="COMPOSIÇÕES",VLOOKUP(B56,'11.COMPOSIÇÕES GERAIS'!B:I,2,0),VLOOKUP(B56,'12.COT.MERCADO'!A:I,2,0)))),"Em Elaboração")</f>
        <v>Recarga de extintor de pó químico seco (PQS) classe ABC - 12Kg</v>
      </c>
      <c r="F56" s="221" t="str">
        <f>IFERROR(IF(D56="SINAPI-S",VLOOKUP(B56,'20-B.SINAPI-S'!A:J,3,0),IF(D56="SINAPI-I",VLOOKUP(B56,'20-A.SINAPI-I'!A:G,3,0),IF(D56="COMPOSIÇÕES",VLOOKUP(B56,'11.COMPOSIÇÕES GERAIS'!B:I,3,0),VLOOKUP(B56,'12.COT.MERCADO'!A:I,7,0)))),"Em Elaboração")</f>
        <v>UN </v>
      </c>
      <c r="G56" s="217">
        <v>4.0</v>
      </c>
      <c r="H56" s="222">
        <f>IFERROR(IF(D56="SINAPI-S",VLOOKUP(B56,'20-B.SINAPI-S'!A:J,5,0),IF(D56="SINAPI-I",VLOOKUP(B56,'20-A.SINAPI-I'!A:G,6,0),IF(D56="COMPOSIÇÕES",VLOOKUP(B56,'11.COMPOSIÇÕES GERAIS'!B:I,7,0),0))),"Em Elaboração")</f>
        <v>0</v>
      </c>
      <c r="I56" s="222">
        <f>IFERROR(IF(D56="SINAPI-S",VLOOKUP(B56,'20-B.SINAPI-S'!A:J,6,0),IF(D56="SINAPI-I",VLOOKUP(B56,'20-A.SINAPI-I'!A:G,7,0),IF(D56="COMPOSIÇÕES",VLOOKUP(B56,'11.COMPOSIÇÕES GERAIS'!B:I,8,0),VLOOKUP(B56,'12.COT.MERCADO'!A:I,8,0)))),"Em Elaboração")</f>
        <v>80.5</v>
      </c>
      <c r="J56" s="222">
        <f t="shared" si="36"/>
        <v>0</v>
      </c>
      <c r="K56" s="222">
        <f t="shared" si="37"/>
        <v>94.2924341</v>
      </c>
      <c r="L56" s="222">
        <f t="shared" si="38"/>
        <v>94.2924341</v>
      </c>
      <c r="M56" s="222">
        <f t="shared" si="39"/>
        <v>0</v>
      </c>
      <c r="N56" s="222">
        <f t="shared" si="40"/>
        <v>377.1697364</v>
      </c>
      <c r="O56" s="222">
        <f t="shared" si="41"/>
        <v>377.1697364</v>
      </c>
      <c r="P56" s="223">
        <f t="shared" si="2"/>
        <v>0.0002950501684</v>
      </c>
    </row>
    <row r="57">
      <c r="A57" s="216" t="s">
        <v>158</v>
      </c>
      <c r="B57" s="217" t="s">
        <v>159</v>
      </c>
      <c r="C57" s="227" t="str">
        <f t="shared" si="35"/>
        <v>PRÓPRIO</v>
      </c>
      <c r="D57" s="228" t="s">
        <v>110</v>
      </c>
      <c r="E57" s="226" t="str">
        <f>IFERROR(IF(D57="SINAPI-S",VLOOKUP(B57,'20-B.SINAPI-S'!A:J,2,0),IF(D57="SINAPI-I",VLOOKUP(B57,'20-A.SINAPI-I'!A:G,2,0),IF(D57="COMPOSIÇÕES",VLOOKUP(B57,'11.COMPOSIÇÕES GERAIS'!B:I,2,0),VLOOKUP(B57,'12.COT.MERCADO'!A:I,2,0)))),"Em Elaboração")</f>
        <v>Recarga de extintor de pó químico seco (PQS) classe BC - 20Kg</v>
      </c>
      <c r="F57" s="221" t="str">
        <f>IFERROR(IF(D57="SINAPI-S",VLOOKUP(B57,'20-B.SINAPI-S'!A:J,3,0),IF(D57="SINAPI-I",VLOOKUP(B57,'20-A.SINAPI-I'!A:G,3,0),IF(D57="COMPOSIÇÕES",VLOOKUP(B57,'11.COMPOSIÇÕES GERAIS'!B:I,3,0),VLOOKUP(B57,'12.COT.MERCADO'!A:I,7,0)))),"Em Elaboração")</f>
        <v>UN </v>
      </c>
      <c r="G57" s="217">
        <v>1.0</v>
      </c>
      <c r="H57" s="222">
        <f>IFERROR(IF(D57="SINAPI-S",VLOOKUP(B57,'20-B.SINAPI-S'!A:J,5,0),IF(D57="SINAPI-I",VLOOKUP(B57,'20-A.SINAPI-I'!A:G,6,0),IF(D57="COMPOSIÇÕES",VLOOKUP(B57,'11.COMPOSIÇÕES GERAIS'!B:I,7,0),0))),"Em Elaboração")</f>
        <v>0</v>
      </c>
      <c r="I57" s="222">
        <f>IFERROR(IF(D57="SINAPI-S",VLOOKUP(B57,'20-B.SINAPI-S'!A:J,6,0),IF(D57="SINAPI-I",VLOOKUP(B57,'20-A.SINAPI-I'!A:G,7,0),IF(D57="COMPOSIÇÕES",VLOOKUP(B57,'11.COMPOSIÇÕES GERAIS'!B:I,8,0),VLOOKUP(B57,'12.COT.MERCADO'!A:I,8,0)))),"Em Elaboração")</f>
        <v>112.75</v>
      </c>
      <c r="J57" s="222">
        <f t="shared" si="36"/>
        <v>0</v>
      </c>
      <c r="K57" s="222">
        <f t="shared" si="37"/>
        <v>132.0679745</v>
      </c>
      <c r="L57" s="222">
        <f t="shared" si="38"/>
        <v>132.0679745</v>
      </c>
      <c r="M57" s="222">
        <f t="shared" si="39"/>
        <v>0</v>
      </c>
      <c r="N57" s="222">
        <f t="shared" si="40"/>
        <v>132.0679745</v>
      </c>
      <c r="O57" s="222">
        <f t="shared" si="41"/>
        <v>132.0679745</v>
      </c>
      <c r="P57" s="223">
        <f t="shared" si="2"/>
        <v>0.0001033133742</v>
      </c>
    </row>
    <row r="58">
      <c r="A58" s="216" t="s">
        <v>160</v>
      </c>
      <c r="B58" s="217" t="s">
        <v>161</v>
      </c>
      <c r="C58" s="227" t="str">
        <f t="shared" si="35"/>
        <v>PRÓPRIO</v>
      </c>
      <c r="D58" s="228" t="s">
        <v>110</v>
      </c>
      <c r="E58" s="226" t="str">
        <f>IFERROR(IF(D58="SINAPI-S",VLOOKUP(B58,'20-B.SINAPI-S'!A:J,2,0),IF(D58="SINAPI-I",VLOOKUP(B58,'20-A.SINAPI-I'!A:G,2,0),IF(D58="COMPOSIÇÕES",VLOOKUP(B58,'11.COMPOSIÇÕES GERAIS'!B:I,2,0),VLOOKUP(B58,'12.COT.MERCADO'!A:I,2,0)))),"Em Elaboração")</f>
        <v>Recarga de extintor de pó químico seco (PQS) classe BC - 50Kg</v>
      </c>
      <c r="F58" s="221" t="str">
        <f>IFERROR(IF(D58="SINAPI-S",VLOOKUP(B58,'20-B.SINAPI-S'!A:J,3,0),IF(D58="SINAPI-I",VLOOKUP(B58,'20-A.SINAPI-I'!A:G,3,0),IF(D58="COMPOSIÇÕES",VLOOKUP(B58,'11.COMPOSIÇÕES GERAIS'!B:I,3,0),VLOOKUP(B58,'12.COT.MERCADO'!A:I,7,0)))),"Em Elaboração")</f>
        <v>UN </v>
      </c>
      <c r="G58" s="217">
        <v>1.0</v>
      </c>
      <c r="H58" s="222">
        <f>IFERROR(IF(D58="SINAPI-S",VLOOKUP(B58,'20-B.SINAPI-S'!A:J,5,0),IF(D58="SINAPI-I",VLOOKUP(B58,'20-A.SINAPI-I'!A:G,6,0),IF(D58="COMPOSIÇÕES",VLOOKUP(B58,'11.COMPOSIÇÕES GERAIS'!B:I,7,0),0))),"Em Elaboração")</f>
        <v>0</v>
      </c>
      <c r="I58" s="222">
        <f>IFERROR(IF(D58="SINAPI-S",VLOOKUP(B58,'20-B.SINAPI-S'!A:J,6,0),IF(D58="SINAPI-I",VLOOKUP(B58,'20-A.SINAPI-I'!A:G,7,0),IF(D58="COMPOSIÇÕES",VLOOKUP(B58,'11.COMPOSIÇÕES GERAIS'!B:I,8,0),VLOOKUP(B58,'12.COT.MERCADO'!A:I,8,0)))),"Em Elaboração")</f>
        <v>206.5</v>
      </c>
      <c r="J58" s="222">
        <f t="shared" si="36"/>
        <v>0</v>
      </c>
      <c r="K58" s="222">
        <f t="shared" si="37"/>
        <v>241.8805918</v>
      </c>
      <c r="L58" s="222">
        <f t="shared" si="38"/>
        <v>241.8805918</v>
      </c>
      <c r="M58" s="222">
        <f t="shared" si="39"/>
        <v>0</v>
      </c>
      <c r="N58" s="222">
        <f t="shared" si="40"/>
        <v>241.8805918</v>
      </c>
      <c r="O58" s="222">
        <f t="shared" si="41"/>
        <v>241.8805918</v>
      </c>
      <c r="P58" s="223">
        <f t="shared" si="2"/>
        <v>0.0001892169559</v>
      </c>
    </row>
    <row r="59">
      <c r="A59" s="216" t="s">
        <v>162</v>
      </c>
      <c r="B59" s="217" t="s">
        <v>163</v>
      </c>
      <c r="C59" s="227" t="str">
        <f t="shared" si="35"/>
        <v>PRÓPRIO</v>
      </c>
      <c r="D59" s="228" t="s">
        <v>110</v>
      </c>
      <c r="E59" s="226" t="str">
        <f>IFERROR(IF(D59="SINAPI-S",VLOOKUP(B59,'20-B.SINAPI-S'!A:J,2,0),IF(D59="SINAPI-I",VLOOKUP(B59,'20-A.SINAPI-I'!A:G,2,0),IF(D59="COMPOSIÇÕES",VLOOKUP(B59,'11.COMPOSIÇÕES GERAIS'!B:I,2,0),VLOOKUP(B59,'12.COT.MERCADO'!A:I,2,0)))),"Em Elaboração")</f>
        <v>Recarga de extintor de espuma mecânica classe AB - 50 L</v>
      </c>
      <c r="F59" s="221" t="str">
        <f>IFERROR(IF(D59="SINAPI-S",VLOOKUP(B59,'20-B.SINAPI-S'!A:J,3,0),IF(D59="SINAPI-I",VLOOKUP(B59,'20-A.SINAPI-I'!A:G,3,0),IF(D59="COMPOSIÇÕES",VLOOKUP(B59,'11.COMPOSIÇÕES GERAIS'!B:I,3,0),VLOOKUP(B59,'12.COT.MERCADO'!A:I,7,0)))),"Em Elaboração")</f>
        <v>UN </v>
      </c>
      <c r="G59" s="217">
        <v>1.0</v>
      </c>
      <c r="H59" s="222">
        <f>IFERROR(IF(D59="SINAPI-S",VLOOKUP(B59,'20-B.SINAPI-S'!A:J,5,0),IF(D59="SINAPI-I",VLOOKUP(B59,'20-A.SINAPI-I'!A:G,6,0),IF(D59="COMPOSIÇÕES",VLOOKUP(B59,'11.COMPOSIÇÕES GERAIS'!B:I,7,0),0))),"Em Elaboração")</f>
        <v>0</v>
      </c>
      <c r="I59" s="222">
        <f>IFERROR(IF(D59="SINAPI-S",VLOOKUP(B59,'20-B.SINAPI-S'!A:J,6,0),IF(D59="SINAPI-I",VLOOKUP(B59,'20-A.SINAPI-I'!A:G,7,0),IF(D59="COMPOSIÇÕES",VLOOKUP(B59,'11.COMPOSIÇÕES GERAIS'!B:I,8,0),VLOOKUP(B59,'12.COT.MERCADO'!A:I,8,0)))),"Em Elaboração")</f>
        <v>299</v>
      </c>
      <c r="J59" s="222">
        <f t="shared" si="36"/>
        <v>0</v>
      </c>
      <c r="K59" s="222">
        <f t="shared" si="37"/>
        <v>350.229041</v>
      </c>
      <c r="L59" s="222">
        <f t="shared" si="38"/>
        <v>350.229041</v>
      </c>
      <c r="M59" s="222">
        <f t="shared" si="39"/>
        <v>0</v>
      </c>
      <c r="N59" s="222">
        <f t="shared" si="40"/>
        <v>350.229041</v>
      </c>
      <c r="O59" s="222">
        <f t="shared" si="41"/>
        <v>350.229041</v>
      </c>
      <c r="P59" s="223">
        <f t="shared" si="2"/>
        <v>0.0002739751564</v>
      </c>
    </row>
    <row r="60">
      <c r="A60" s="216" t="s">
        <v>164</v>
      </c>
      <c r="B60" s="217" t="s">
        <v>165</v>
      </c>
      <c r="C60" s="227" t="str">
        <f t="shared" si="35"/>
        <v>PRÓPRIO</v>
      </c>
      <c r="D60" s="228" t="s">
        <v>110</v>
      </c>
      <c r="E60" s="226" t="str">
        <f>IFERROR(IF(D60="SINAPI-S",VLOOKUP(B60,'20-B.SINAPI-S'!A:J,2,0),IF(D60="SINAPI-I",VLOOKUP(B60,'20-A.SINAPI-I'!A:G,2,0),IF(D60="COMPOSIÇÕES",VLOOKUP(B60,'11.COMPOSIÇÕES GERAIS'!B:I,2,0),VLOOKUP(B60,'12.COT.MERCADO'!A:I,2,0)))),"Em Elaboração")</f>
        <v>Recarga de extintor de água pressurizada classe A - 10 L</v>
      </c>
      <c r="F60" s="221" t="str">
        <f>IFERROR(IF(D60="SINAPI-S",VLOOKUP(B60,'20-B.SINAPI-S'!A:J,3,0),IF(D60="SINAPI-I",VLOOKUP(B60,'20-A.SINAPI-I'!A:G,3,0),IF(D60="COMPOSIÇÕES",VLOOKUP(B60,'11.COMPOSIÇÕES GERAIS'!B:I,3,0),VLOOKUP(B60,'12.COT.MERCADO'!A:I,7,0)))),"Em Elaboração")</f>
        <v>UN </v>
      </c>
      <c r="G60" s="217">
        <v>56.0</v>
      </c>
      <c r="H60" s="222">
        <f>IFERROR(IF(D60="SINAPI-S",VLOOKUP(B60,'20-B.SINAPI-S'!A:J,5,0),IF(D60="SINAPI-I",VLOOKUP(B60,'20-A.SINAPI-I'!A:G,6,0),IF(D60="COMPOSIÇÕES",VLOOKUP(B60,'11.COMPOSIÇÕES GERAIS'!B:I,7,0),0))),"Em Elaboração")</f>
        <v>0</v>
      </c>
      <c r="I60" s="222">
        <f>IFERROR(IF(D60="SINAPI-S",VLOOKUP(B60,'20-B.SINAPI-S'!A:J,6,0),IF(D60="SINAPI-I",VLOOKUP(B60,'20-A.SINAPI-I'!A:G,7,0),IF(D60="COMPOSIÇÕES",VLOOKUP(B60,'11.COMPOSIÇÕES GERAIS'!B:I,8,0),VLOOKUP(B60,'12.COT.MERCADO'!A:I,8,0)))),"Em Elaboração")</f>
        <v>28.7</v>
      </c>
      <c r="J60" s="222">
        <f t="shared" si="36"/>
        <v>0</v>
      </c>
      <c r="K60" s="222">
        <f t="shared" si="37"/>
        <v>33.61730259</v>
      </c>
      <c r="L60" s="222">
        <f t="shared" si="38"/>
        <v>33.61730259</v>
      </c>
      <c r="M60" s="222">
        <f t="shared" si="39"/>
        <v>0</v>
      </c>
      <c r="N60" s="222">
        <f t="shared" si="40"/>
        <v>1882.568945</v>
      </c>
      <c r="O60" s="222">
        <f t="shared" si="41"/>
        <v>1882.568945</v>
      </c>
      <c r="P60" s="223">
        <f t="shared" si="2"/>
        <v>0.001472685189</v>
      </c>
    </row>
    <row r="61">
      <c r="A61" s="212" t="s">
        <v>166</v>
      </c>
      <c r="B61" s="213" t="s">
        <v>112</v>
      </c>
      <c r="C61" s="44"/>
      <c r="D61" s="44"/>
      <c r="E61" s="44"/>
      <c r="F61" s="44"/>
      <c r="G61" s="44"/>
      <c r="H61" s="44"/>
      <c r="I61" s="44"/>
      <c r="J61" s="44"/>
      <c r="K61" s="44"/>
      <c r="L61" s="44"/>
      <c r="M61" s="214">
        <f t="shared" ref="M61:O61" si="42">SUM(M62:M64)</f>
        <v>0</v>
      </c>
      <c r="N61" s="214">
        <f t="shared" si="42"/>
        <v>56080.16163</v>
      </c>
      <c r="O61" s="214">
        <f t="shared" si="42"/>
        <v>56080.16163</v>
      </c>
      <c r="P61" s="215">
        <f t="shared" si="2"/>
        <v>0.04387006575</v>
      </c>
    </row>
    <row r="62">
      <c r="A62" s="216" t="s">
        <v>167</v>
      </c>
      <c r="B62" s="217" t="s">
        <v>168</v>
      </c>
      <c r="C62" s="227" t="str">
        <f t="shared" ref="C62:C64" si="43">IF(OR(D62="SINAPI-S",D62="SINAPI-I"),"SINAPI","PRÓPRIO")</f>
        <v>PRÓPRIO</v>
      </c>
      <c r="D62" s="228" t="s">
        <v>110</v>
      </c>
      <c r="E62" s="226" t="str">
        <f>IFERROR(IF(D62="SINAPI-S",VLOOKUP(B62,'20-B.SINAPI-S'!A:J,2,0),IF(D62="SINAPI-I",VLOOKUP(B62,'20-A.SINAPI-I'!A:G,2,0),IF(D62="COMPOSIÇÕES",VLOOKUP(B62,'11.COMPOSIÇÕES GERAIS'!B:I,2,0),VLOOKUP(B62,'12.COT.MERCADO'!A:I,2,0)))),"Em Elaboração")</f>
        <v>Substituição de banco de baterias composto por 62 unidades de 100 Ah - Mão de obra e Material</v>
      </c>
      <c r="F62" s="221" t="str">
        <f>IFERROR(IF(D62="SINAPI-S",VLOOKUP(B62,'20-B.SINAPI-S'!A:J,3,0),IF(D62="SINAPI-I",VLOOKUP(B62,'20-A.SINAPI-I'!A:G,3,0),IF(D62="COMPOSIÇÕES",VLOOKUP(B62,'11.COMPOSIÇÕES GERAIS'!B:I,3,0),VLOOKUP(B62,'12.COT.MERCADO'!A:I,7,0)))),"Em Elaboração")</f>
        <v>UN </v>
      </c>
      <c r="G62" s="217">
        <v>13.0</v>
      </c>
      <c r="H62" s="222">
        <f>IFERROR(IF(D62="SINAPI-S",VLOOKUP(B62,'20-B.SINAPI-S'!A:J,5,0),IF(D62="SINAPI-I",VLOOKUP(B62,'20-A.SINAPI-I'!A:G,6,0),IF(D62="COMPOSIÇÕES",VLOOKUP(B62,'11.COMPOSIÇÕES GERAIS'!B:I,7,0),0))),"Em Elaboração")</f>
        <v>0</v>
      </c>
      <c r="I62" s="222">
        <f>IFERROR(IF(D62="SINAPI-S",VLOOKUP(B62,'20-B.SINAPI-S'!A:J,6,0),IF(D62="SINAPI-I",VLOOKUP(B62,'20-A.SINAPI-I'!A:G,7,0),IF(D62="COMPOSIÇÕES",VLOOKUP(B62,'11.COMPOSIÇÕES GERAIS'!B:I,8,0),VLOOKUP(B62,'12.COT.MERCADO'!A:I,8,0)))),"Em Elaboração")</f>
        <v>2051</v>
      </c>
      <c r="J62" s="222">
        <f t="shared" ref="J62:J64" si="44">H62*(1+$J$5)</f>
        <v>0</v>
      </c>
      <c r="K62" s="222">
        <f t="shared" ref="K62:K64" si="45">I62*(1+$J$8)</f>
        <v>2402.407234</v>
      </c>
      <c r="L62" s="222">
        <f t="shared" ref="L62:L64" si="46">SUM(J62:K62)</f>
        <v>2402.407234</v>
      </c>
      <c r="M62" s="222">
        <f t="shared" ref="M62:M64" si="47">J62*G62</f>
        <v>0</v>
      </c>
      <c r="N62" s="222">
        <f t="shared" ref="N62:N64" si="48">K62*G62</f>
        <v>31231.29404</v>
      </c>
      <c r="O62" s="222">
        <f t="shared" ref="O62:O64" si="49">SUM(M62:N62)</f>
        <v>31231.29404</v>
      </c>
      <c r="P62" s="223">
        <f t="shared" si="2"/>
        <v>0.02443143677</v>
      </c>
    </row>
    <row r="63">
      <c r="A63" s="216" t="s">
        <v>169</v>
      </c>
      <c r="B63" s="217" t="s">
        <v>170</v>
      </c>
      <c r="C63" s="227" t="str">
        <f t="shared" si="43"/>
        <v>PRÓPRIO</v>
      </c>
      <c r="D63" s="228" t="s">
        <v>110</v>
      </c>
      <c r="E63" s="226" t="str">
        <f>IFERROR(IF(D63="SINAPI-S",VLOOKUP(B63,'20-B.SINAPI-S'!A:J,2,0),IF(D63="SINAPI-I",VLOOKUP(B63,'20-A.SINAPI-I'!A:G,2,0),IF(D63="COMPOSIÇÕES",VLOOKUP(B63,'11.COMPOSIÇÕES GERAIS'!B:I,2,0),VLOOKUP(B63,'12.COT.MERCADO'!A:I,2,0)))),"Em Elaboração")</f>
        <v>Substituição de banco de baterias composto por 124 unidades de 18 Ah - Mão de obra e Material</v>
      </c>
      <c r="F63" s="221" t="str">
        <f>IFERROR(IF(D63="SINAPI-S",VLOOKUP(B63,'20-B.SINAPI-S'!A:J,3,0),IF(D63="SINAPI-I",VLOOKUP(B63,'20-A.SINAPI-I'!A:G,3,0),IF(D63="COMPOSIÇÕES",VLOOKUP(B63,'11.COMPOSIÇÕES GERAIS'!B:I,3,0),VLOOKUP(B63,'12.COT.MERCADO'!A:I,7,0)))),"Em Elaboração")</f>
        <v>UN </v>
      </c>
      <c r="G63" s="217">
        <v>25.0</v>
      </c>
      <c r="H63" s="222">
        <f>IFERROR(IF(D63="SINAPI-S",VLOOKUP(B63,'20-B.SINAPI-S'!A:J,5,0),IF(D63="SINAPI-I",VLOOKUP(B63,'20-A.SINAPI-I'!A:G,6,0),IF(D63="COMPOSIÇÕES",VLOOKUP(B63,'11.COMPOSIÇÕES GERAIS'!B:I,7,0),0))),"Em Elaboração")</f>
        <v>0</v>
      </c>
      <c r="I63" s="222">
        <f>IFERROR(IF(D63="SINAPI-S",VLOOKUP(B63,'20-B.SINAPI-S'!A:J,6,0),IF(D63="SINAPI-I",VLOOKUP(B63,'20-A.SINAPI-I'!A:G,7,0),IF(D63="COMPOSIÇÕES",VLOOKUP(B63,'11.COMPOSIÇÕES GERAIS'!B:I,8,0),VLOOKUP(B63,'12.COT.MERCADO'!A:I,8,0)))),"Em Elaboração")</f>
        <v>349.99</v>
      </c>
      <c r="J63" s="222">
        <f t="shared" si="44"/>
        <v>0</v>
      </c>
      <c r="K63" s="222">
        <f t="shared" si="45"/>
        <v>409.9553915</v>
      </c>
      <c r="L63" s="222">
        <f t="shared" si="46"/>
        <v>409.9553915</v>
      </c>
      <c r="M63" s="222">
        <f t="shared" si="47"/>
        <v>0</v>
      </c>
      <c r="N63" s="222">
        <f t="shared" si="48"/>
        <v>10248.88479</v>
      </c>
      <c r="O63" s="222">
        <f t="shared" si="49"/>
        <v>10248.88479</v>
      </c>
      <c r="P63" s="223">
        <f t="shared" si="2"/>
        <v>0.008017438545</v>
      </c>
    </row>
    <row r="64">
      <c r="A64" s="216" t="s">
        <v>171</v>
      </c>
      <c r="B64" s="217" t="s">
        <v>172</v>
      </c>
      <c r="C64" s="227" t="str">
        <f t="shared" si="43"/>
        <v>PRÓPRIO</v>
      </c>
      <c r="D64" s="228" t="s">
        <v>110</v>
      </c>
      <c r="E64" s="226" t="str">
        <f>IFERROR(IF(D64="SINAPI-S",VLOOKUP(B64,'20-B.SINAPI-S'!A:J,2,0),IF(D64="SINAPI-I",VLOOKUP(B64,'20-A.SINAPI-I'!A:G,2,0),IF(D64="COMPOSIÇÕES",VLOOKUP(B64,'11.COMPOSIÇÕES GERAIS'!B:I,2,0),VLOOKUP(B64,'12.COT.MERCADO'!A:I,2,0)))),"Em Elaboração")</f>
        <v>Substituição de banco de baterias composto por 336 unidades de 9 Ah - Mão de obra e Material</v>
      </c>
      <c r="F64" s="221" t="str">
        <f>IFERROR(IF(D64="SINAPI-S",VLOOKUP(B64,'20-B.SINAPI-S'!A:J,3,0),IF(D64="SINAPI-I",VLOOKUP(B64,'20-A.SINAPI-I'!A:G,3,0),IF(D64="COMPOSIÇÕES",VLOOKUP(B64,'11.COMPOSIÇÕES GERAIS'!B:I,3,0),VLOOKUP(B64,'12.COT.MERCADO'!A:I,7,0)))),"Em Elaboração")</f>
        <v>UN </v>
      </c>
      <c r="G64" s="217">
        <v>68.0</v>
      </c>
      <c r="H64" s="222">
        <f>IFERROR(IF(D64="SINAPI-S",VLOOKUP(B64,'20-B.SINAPI-S'!A:J,5,0),IF(D64="SINAPI-I",VLOOKUP(B64,'20-A.SINAPI-I'!A:G,6,0),IF(D64="COMPOSIÇÕES",VLOOKUP(B64,'11.COMPOSIÇÕES GERAIS'!B:I,7,0),0))),"Em Elaboração")</f>
        <v>0</v>
      </c>
      <c r="I64" s="222">
        <f>IFERROR(IF(D64="SINAPI-S",VLOOKUP(B64,'20-B.SINAPI-S'!A:J,6,0),IF(D64="SINAPI-I",VLOOKUP(B64,'20-A.SINAPI-I'!A:G,7,0),IF(D64="COMPOSIÇÕES",VLOOKUP(B64,'11.COMPOSIÇÕES GERAIS'!B:I,8,0),VLOOKUP(B64,'12.COT.MERCADO'!A:I,8,0)))),"Em Elaboração")</f>
        <v>183.3</v>
      </c>
      <c r="J64" s="222">
        <f t="shared" si="44"/>
        <v>0</v>
      </c>
      <c r="K64" s="222">
        <f t="shared" si="45"/>
        <v>214.7056295</v>
      </c>
      <c r="L64" s="222">
        <f t="shared" si="46"/>
        <v>214.7056295</v>
      </c>
      <c r="M64" s="222">
        <f t="shared" si="47"/>
        <v>0</v>
      </c>
      <c r="N64" s="222">
        <f t="shared" si="48"/>
        <v>14599.9828</v>
      </c>
      <c r="O64" s="222">
        <f t="shared" si="49"/>
        <v>14599.9828</v>
      </c>
      <c r="P64" s="223">
        <f t="shared" si="2"/>
        <v>0.01142119043</v>
      </c>
    </row>
    <row r="65">
      <c r="A65" s="212" t="s">
        <v>173</v>
      </c>
      <c r="B65" s="213" t="s">
        <v>174</v>
      </c>
      <c r="C65" s="44"/>
      <c r="D65" s="44"/>
      <c r="E65" s="44"/>
      <c r="F65" s="44"/>
      <c r="G65" s="44"/>
      <c r="H65" s="44"/>
      <c r="I65" s="44"/>
      <c r="J65" s="44"/>
      <c r="K65" s="44"/>
      <c r="L65" s="44"/>
      <c r="M65" s="214">
        <f t="shared" ref="M65:O65" si="50">SUM(M66:M68)</f>
        <v>0</v>
      </c>
      <c r="N65" s="214">
        <f t="shared" si="50"/>
        <v>891.0342189</v>
      </c>
      <c r="O65" s="214">
        <f t="shared" si="50"/>
        <v>891.0342189</v>
      </c>
      <c r="P65" s="215">
        <f t="shared" si="2"/>
        <v>0.0006970331153</v>
      </c>
    </row>
    <row r="66">
      <c r="A66" s="216" t="s">
        <v>175</v>
      </c>
      <c r="B66" s="217" t="s">
        <v>147</v>
      </c>
      <c r="C66" s="227" t="str">
        <f t="shared" ref="C66:C68" si="51">IF(OR(D66="SINAPI-S",D66="SINAPI-I"),"SINAPI","PRÓPRIO")</f>
        <v>PRÓPRIO</v>
      </c>
      <c r="D66" s="228" t="s">
        <v>110</v>
      </c>
      <c r="E66" s="226" t="str">
        <f>IFERROR(IF(D66="SINAPI-S",VLOOKUP(B66,'20-B.SINAPI-S'!A:J,2,0),IF(D66="SINAPI-I",VLOOKUP(B66,'20-A.SINAPI-I'!A:G,2,0),IF(D66="COMPOSIÇÕES",VLOOKUP(B66,'11.COMPOSIÇÕES GERAIS'!B:I,2,0),VLOOKUP(B66,'12.COT.MERCADO'!A:I,2,0)))),"Em Elaboração")</f>
        <v>Recarga de extintor de gás carbônico (CO2) classe AB - 6Kg</v>
      </c>
      <c r="F66" s="221" t="str">
        <f>IFERROR(IF(D66="SINAPI-S",VLOOKUP(B66,'20-B.SINAPI-S'!A:J,3,0),IF(D66="SINAPI-I",VLOOKUP(B66,'20-A.SINAPI-I'!A:G,3,0),IF(D66="COMPOSIÇÕES",VLOOKUP(B66,'11.COMPOSIÇÕES GERAIS'!B:I,3,0),VLOOKUP(B66,'12.COT.MERCADO'!A:I,7,0)))),"Em Elaboração")</f>
        <v>UN </v>
      </c>
      <c r="G66" s="217">
        <v>5.0</v>
      </c>
      <c r="H66" s="222">
        <f>IFERROR(IF(D66="SINAPI-S",VLOOKUP(B66,'20-B.SINAPI-S'!A:J,5,0),IF(D66="SINAPI-I",VLOOKUP(B66,'20-A.SINAPI-I'!A:G,6,0),IF(D66="COMPOSIÇÕES",VLOOKUP(B66,'11.COMPOSIÇÕES GERAIS'!B:I,7,0),0))),"Em Elaboração")</f>
        <v>0</v>
      </c>
      <c r="I66" s="222">
        <f>IFERROR(IF(D66="SINAPI-S",VLOOKUP(B66,'20-B.SINAPI-S'!A:J,6,0),IF(D66="SINAPI-I",VLOOKUP(B66,'20-A.SINAPI-I'!A:G,7,0),IF(D66="COMPOSIÇÕES",VLOOKUP(B66,'11.COMPOSIÇÕES GERAIS'!B:I,8,0),VLOOKUP(B66,'12.COT.MERCADO'!A:I,8,0)))),"Em Elaboração")</f>
        <v>60</v>
      </c>
      <c r="J66" s="222">
        <f t="shared" ref="J66:J68" si="52">H66*(1+$J$5)</f>
        <v>0</v>
      </c>
      <c r="K66" s="222">
        <f t="shared" ref="K66:K68" si="53">I66*(1+$J$8)</f>
        <v>70.28007511</v>
      </c>
      <c r="L66" s="222">
        <f t="shared" ref="L66:L68" si="54">SUM(J66:K66)</f>
        <v>70.28007511</v>
      </c>
      <c r="M66" s="222">
        <f t="shared" ref="M66:M68" si="55">J66*G66</f>
        <v>0</v>
      </c>
      <c r="N66" s="222">
        <f t="shared" ref="N66:N68" si="56">K66*G66</f>
        <v>351.4003755</v>
      </c>
      <c r="O66" s="222">
        <f t="shared" ref="O66:O68" si="57">SUM(M66:N66)</f>
        <v>351.4003755</v>
      </c>
      <c r="P66" s="223">
        <f t="shared" si="2"/>
        <v>0.0002748914613</v>
      </c>
    </row>
    <row r="67">
      <c r="A67" s="216" t="s">
        <v>176</v>
      </c>
      <c r="B67" s="217" t="s">
        <v>155</v>
      </c>
      <c r="C67" s="227" t="str">
        <f t="shared" si="51"/>
        <v>PRÓPRIO</v>
      </c>
      <c r="D67" s="228" t="s">
        <v>110</v>
      </c>
      <c r="E67" s="226" t="str">
        <f>IFERROR(IF(D67="SINAPI-S",VLOOKUP(B67,'20-B.SINAPI-S'!A:J,2,0),IF(D67="SINAPI-I",VLOOKUP(B67,'20-A.SINAPI-I'!A:G,2,0),IF(D67="COMPOSIÇÕES",VLOOKUP(B67,'11.COMPOSIÇÕES GERAIS'!B:I,2,0),VLOOKUP(B67,'12.COT.MERCADO'!A:I,2,0)))),"Em Elaboração")</f>
        <v>Recarga de extintor de pó químico seco (PQS) classe ABC - 6Kg</v>
      </c>
      <c r="F67" s="221" t="str">
        <f>IFERROR(IF(D67="SINAPI-S",VLOOKUP(B67,'20-B.SINAPI-S'!A:J,3,0),IF(D67="SINAPI-I",VLOOKUP(B67,'20-A.SINAPI-I'!A:G,3,0),IF(D67="COMPOSIÇÕES",VLOOKUP(B67,'11.COMPOSIÇÕES GERAIS'!B:I,3,0),VLOOKUP(B67,'12.COT.MERCADO'!A:I,7,0)))),"Em Elaboração")</f>
        <v>UN </v>
      </c>
      <c r="G67" s="217">
        <v>9.0</v>
      </c>
      <c r="H67" s="222">
        <f>IFERROR(IF(D67="SINAPI-S",VLOOKUP(B67,'20-B.SINAPI-S'!A:J,5,0),IF(D67="SINAPI-I",VLOOKUP(B67,'20-A.SINAPI-I'!A:G,6,0),IF(D67="COMPOSIÇÕES",VLOOKUP(B67,'11.COMPOSIÇÕES GERAIS'!B:I,7,0),0))),"Em Elaboração")</f>
        <v>0</v>
      </c>
      <c r="I67" s="222">
        <f>IFERROR(IF(D67="SINAPI-S",VLOOKUP(B67,'20-B.SINAPI-S'!A:J,6,0),IF(D67="SINAPI-I",VLOOKUP(B67,'20-A.SINAPI-I'!A:G,7,0),IF(D67="COMPOSIÇÕES",VLOOKUP(B67,'11.COMPOSIÇÕES GERAIS'!B:I,8,0),VLOOKUP(B67,'12.COT.MERCADO'!A:I,8,0)))),"Em Elaboração")</f>
        <v>48</v>
      </c>
      <c r="J67" s="222">
        <f t="shared" si="52"/>
        <v>0</v>
      </c>
      <c r="K67" s="222">
        <f t="shared" si="53"/>
        <v>56.22406009</v>
      </c>
      <c r="L67" s="222">
        <f t="shared" si="54"/>
        <v>56.22406009</v>
      </c>
      <c r="M67" s="222">
        <f t="shared" si="55"/>
        <v>0</v>
      </c>
      <c r="N67" s="222">
        <f t="shared" si="56"/>
        <v>506.0165408</v>
      </c>
      <c r="O67" s="222">
        <f t="shared" si="57"/>
        <v>506.0165408</v>
      </c>
      <c r="P67" s="223">
        <f t="shared" si="2"/>
        <v>0.0003958437042</v>
      </c>
    </row>
    <row r="68">
      <c r="A68" s="216" t="s">
        <v>177</v>
      </c>
      <c r="B68" s="217" t="s">
        <v>165</v>
      </c>
      <c r="C68" s="227" t="str">
        <f t="shared" si="51"/>
        <v>PRÓPRIO</v>
      </c>
      <c r="D68" s="228" t="s">
        <v>110</v>
      </c>
      <c r="E68" s="226" t="str">
        <f>IFERROR(IF(D68="SINAPI-S",VLOOKUP(B68,'20-B.SINAPI-S'!A:J,2,0),IF(D68="SINAPI-I",VLOOKUP(B68,'20-A.SINAPI-I'!A:G,2,0),IF(D68="COMPOSIÇÕES",VLOOKUP(B68,'11.COMPOSIÇÕES GERAIS'!B:I,2,0),VLOOKUP(B68,'12.COT.MERCADO'!A:I,2,0)))),"Em Elaboração")</f>
        <v>Recarga de extintor de água pressurizada classe A - 10 L</v>
      </c>
      <c r="F68" s="221" t="str">
        <f>IFERROR(IF(D68="SINAPI-S",VLOOKUP(B68,'20-B.SINAPI-S'!A:J,3,0),IF(D68="SINAPI-I",VLOOKUP(B68,'20-A.SINAPI-I'!A:G,3,0),IF(D68="COMPOSIÇÕES",VLOOKUP(B68,'11.COMPOSIÇÕES GERAIS'!B:I,3,0),VLOOKUP(B68,'12.COT.MERCADO'!A:I,7,0)))),"Em Elaboração")</f>
        <v>UN </v>
      </c>
      <c r="G68" s="217">
        <v>1.0</v>
      </c>
      <c r="H68" s="222">
        <f>IFERROR(IF(D68="SINAPI-S",VLOOKUP(B68,'20-B.SINAPI-S'!A:J,5,0),IF(D68="SINAPI-I",VLOOKUP(B68,'20-A.SINAPI-I'!A:G,6,0),IF(D68="COMPOSIÇÕES",VLOOKUP(B68,'11.COMPOSIÇÕES GERAIS'!B:I,7,0),0))),"Em Elaboração")</f>
        <v>0</v>
      </c>
      <c r="I68" s="222">
        <f>IFERROR(IF(D68="SINAPI-S",VLOOKUP(B68,'20-B.SINAPI-S'!A:J,6,0),IF(D68="SINAPI-I",VLOOKUP(B68,'20-A.SINAPI-I'!A:G,7,0),IF(D68="COMPOSIÇÕES",VLOOKUP(B68,'11.COMPOSIÇÕES GERAIS'!B:I,8,0),VLOOKUP(B68,'12.COT.MERCADO'!A:I,8,0)))),"Em Elaboração")</f>
        <v>28.7</v>
      </c>
      <c r="J68" s="222">
        <f t="shared" si="52"/>
        <v>0</v>
      </c>
      <c r="K68" s="222">
        <f t="shared" si="53"/>
        <v>33.61730259</v>
      </c>
      <c r="L68" s="222">
        <f t="shared" si="54"/>
        <v>33.61730259</v>
      </c>
      <c r="M68" s="222">
        <f t="shared" si="55"/>
        <v>0</v>
      </c>
      <c r="N68" s="222">
        <f t="shared" si="56"/>
        <v>33.61730259</v>
      </c>
      <c r="O68" s="222">
        <f t="shared" si="57"/>
        <v>33.61730259</v>
      </c>
      <c r="P68" s="223">
        <f t="shared" si="2"/>
        <v>0.0000262979498</v>
      </c>
    </row>
    <row r="69">
      <c r="A69" s="212" t="s">
        <v>178</v>
      </c>
      <c r="B69" s="213" t="s">
        <v>128</v>
      </c>
      <c r="C69" s="44"/>
      <c r="D69" s="44"/>
      <c r="E69" s="44"/>
      <c r="F69" s="44"/>
      <c r="G69" s="44"/>
      <c r="H69" s="44"/>
      <c r="I69" s="44"/>
      <c r="J69" s="44"/>
      <c r="K69" s="44"/>
      <c r="L69" s="44"/>
      <c r="M69" s="214">
        <f t="shared" ref="M69:O69" si="58">SUM(M70)</f>
        <v>0</v>
      </c>
      <c r="N69" s="214">
        <f t="shared" si="58"/>
        <v>6417.789045</v>
      </c>
      <c r="O69" s="214">
        <f t="shared" si="58"/>
        <v>6417.789045</v>
      </c>
      <c r="P69" s="215">
        <f t="shared" si="2"/>
        <v>0.00502047104</v>
      </c>
    </row>
    <row r="70">
      <c r="A70" s="216" t="s">
        <v>179</v>
      </c>
      <c r="B70" s="217" t="s">
        <v>180</v>
      </c>
      <c r="C70" s="227" t="str">
        <f>IF(OR(D70="SINAPI-S",D70="SINAPI-I"),"SINAPI","PRÓPRIO")</f>
        <v>PRÓPRIO</v>
      </c>
      <c r="D70" s="228" t="s">
        <v>110</v>
      </c>
      <c r="E70" s="226" t="str">
        <f>IFERROR(IF(D70="SINAPI-S",VLOOKUP(B70,'20-B.SINAPI-S'!A:J,2,0),IF(D70="SINAPI-I",VLOOKUP(B70,'20-A.SINAPI-I'!A:G,2,0),IF(D70="COMPOSIÇÕES",VLOOKUP(B70,'11.COMPOSIÇÕES GERAIS'!B:I,2,0),VLOOKUP(B70,'12.COT.MERCADO'!A:I,2,0)))),"Em Elaboração")</f>
        <v>Substituição de banco de baterias composto por 128 unidades de 9 Ah - Mão de obra e Material</v>
      </c>
      <c r="F70" s="221" t="str">
        <f>IFERROR(IF(D70="SINAPI-S",VLOOKUP(B70,'20-B.SINAPI-S'!A:J,3,0),IF(D70="SINAPI-I",VLOOKUP(B70,'20-A.SINAPI-I'!A:G,3,0),IF(D70="COMPOSIÇÕES",VLOOKUP(B70,'11.COMPOSIÇÕES GERAIS'!B:I,3,0),VLOOKUP(B70,'12.COT.MERCADO'!A:I,7,0)))),"Em Elaboração")</f>
        <v>UN </v>
      </c>
      <c r="G70" s="217">
        <v>32.0</v>
      </c>
      <c r="H70" s="222">
        <f>IFERROR(IF(D70="SINAPI-S",VLOOKUP(B70,'20-B.SINAPI-S'!A:J,5,0),IF(D70="SINAPI-I",VLOOKUP(B70,'20-A.SINAPI-I'!A:G,6,0),IF(D70="COMPOSIÇÕES",VLOOKUP(B70,'11.COMPOSIÇÕES GERAIS'!B:I,7,0),0))),"Em Elaboração")</f>
        <v>0</v>
      </c>
      <c r="I70" s="222">
        <f>IFERROR(IF(D70="SINAPI-S",VLOOKUP(B70,'20-B.SINAPI-S'!A:J,6,0),IF(D70="SINAPI-I",VLOOKUP(B70,'20-A.SINAPI-I'!A:G,7,0),IF(D70="COMPOSIÇÕES",VLOOKUP(B70,'11.COMPOSIÇÕES GERAIS'!B:I,8,0),VLOOKUP(B70,'12.COT.MERCADO'!A:I,8,0)))),"Em Elaboração")</f>
        <v>171.22</v>
      </c>
      <c r="J70" s="222">
        <f>H70*(1+$J$5)</f>
        <v>0</v>
      </c>
      <c r="K70" s="222">
        <f>I70*(1+$J$8)</f>
        <v>200.5559077</v>
      </c>
      <c r="L70" s="222">
        <f>SUM(J70:K70)</f>
        <v>200.5559077</v>
      </c>
      <c r="M70" s="222">
        <f>J70*G70</f>
        <v>0</v>
      </c>
      <c r="N70" s="222">
        <f>K70*G70</f>
        <v>6417.789045</v>
      </c>
      <c r="O70" s="222">
        <f>SUM(M70:N70)</f>
        <v>6417.789045</v>
      </c>
      <c r="P70" s="223">
        <f t="shared" si="2"/>
        <v>0.00502047104</v>
      </c>
    </row>
    <row r="71">
      <c r="A71" s="212" t="s">
        <v>181</v>
      </c>
      <c r="B71" s="213" t="s">
        <v>182</v>
      </c>
      <c r="C71" s="44"/>
      <c r="D71" s="44"/>
      <c r="E71" s="44"/>
      <c r="F71" s="44"/>
      <c r="G71" s="44"/>
      <c r="H71" s="44"/>
      <c r="I71" s="44"/>
      <c r="J71" s="44"/>
      <c r="K71" s="44"/>
      <c r="L71" s="44"/>
      <c r="M71" s="214">
        <f t="shared" ref="M71:O71" si="59">SUM(M72:M75)</f>
        <v>0</v>
      </c>
      <c r="N71" s="214">
        <f t="shared" si="59"/>
        <v>679.7254598</v>
      </c>
      <c r="O71" s="214">
        <f t="shared" si="59"/>
        <v>679.7254598</v>
      </c>
      <c r="P71" s="215">
        <f t="shared" si="2"/>
        <v>0.0005317317166</v>
      </c>
    </row>
    <row r="72">
      <c r="A72" s="216" t="s">
        <v>183</v>
      </c>
      <c r="B72" s="217" t="s">
        <v>184</v>
      </c>
      <c r="C72" s="227" t="str">
        <f t="shared" ref="C72:C75" si="60">IF(OR(D72="SINAPI-S",D72="SINAPI-I"),"SINAPI","PRÓPRIO")</f>
        <v>PRÓPRIO</v>
      </c>
      <c r="D72" s="228" t="s">
        <v>110</v>
      </c>
      <c r="E72" s="226" t="str">
        <f>IFERROR(IF(D72="SINAPI-S",VLOOKUP(B72,'20-B.SINAPI-S'!A:J,2,0),IF(D72="SINAPI-I",VLOOKUP(B72,'20-A.SINAPI-I'!A:G,2,0),IF(D72="COMPOSIÇÕES",VLOOKUP(B72,'11.COMPOSIÇÕES GERAIS'!B:I,2,0),VLOOKUP(B72,'12.COT.MERCADO'!A:I,2,0)))),"Em Elaboração")</f>
        <v>Recarga de extintor de gás carbônico (CO2) classe AB - 4Kg</v>
      </c>
      <c r="F72" s="221" t="str">
        <f>IFERROR(IF(D72="SINAPI-S",VLOOKUP(B72,'20-B.SINAPI-S'!A:J,3,0),IF(D72="SINAPI-I",VLOOKUP(B72,'20-A.SINAPI-I'!A:G,3,0),IF(D72="COMPOSIÇÕES",VLOOKUP(B72,'11.COMPOSIÇÕES GERAIS'!B:I,3,0),VLOOKUP(B72,'12.COT.MERCADO'!A:I,7,0)))),"Em Elaboração")</f>
        <v>UN </v>
      </c>
      <c r="G72" s="217">
        <v>1.0</v>
      </c>
      <c r="H72" s="222">
        <f>IFERROR(IF(D72="SINAPI-S",VLOOKUP(B72,'20-B.SINAPI-S'!A:J,5,0),IF(D72="SINAPI-I",VLOOKUP(B72,'20-A.SINAPI-I'!A:G,6,0),IF(D72="COMPOSIÇÕES",VLOOKUP(B72,'11.COMPOSIÇÕES GERAIS'!B:I,7,0),0))),"Em Elaboração")</f>
        <v>0</v>
      </c>
      <c r="I72" s="222">
        <f>IFERROR(IF(D72="SINAPI-S",VLOOKUP(B72,'20-B.SINAPI-S'!A:J,6,0),IF(D72="SINAPI-I",VLOOKUP(B72,'20-A.SINAPI-I'!A:G,7,0),IF(D72="COMPOSIÇÕES",VLOOKUP(B72,'11.COMPOSIÇÕES GERAIS'!B:I,8,0),VLOOKUP(B72,'12.COT.MERCADO'!A:I,8,0)))),"Em Elaboração")</f>
        <v>45</v>
      </c>
      <c r="J72" s="222">
        <f t="shared" ref="J72:J75" si="61">H72*(1+$J$5)</f>
        <v>0</v>
      </c>
      <c r="K72" s="222">
        <f t="shared" ref="K72:K75" si="62">I72*(1+$J$8)</f>
        <v>52.71005633</v>
      </c>
      <c r="L72" s="222">
        <f t="shared" ref="L72:L75" si="63">SUM(J72:K72)</f>
        <v>52.71005633</v>
      </c>
      <c r="M72" s="222">
        <f t="shared" ref="M72:M75" si="64">J72*G72</f>
        <v>0</v>
      </c>
      <c r="N72" s="222">
        <f t="shared" ref="N72:N75" si="65">K72*G72</f>
        <v>52.71005633</v>
      </c>
      <c r="O72" s="222">
        <f t="shared" ref="O72:O75" si="66">SUM(M72:N72)</f>
        <v>52.71005633</v>
      </c>
      <c r="P72" s="223">
        <f t="shared" si="2"/>
        <v>0.00004123371919</v>
      </c>
    </row>
    <row r="73">
      <c r="A73" s="216" t="s">
        <v>185</v>
      </c>
      <c r="B73" s="217" t="s">
        <v>153</v>
      </c>
      <c r="C73" s="227" t="str">
        <f t="shared" si="60"/>
        <v>PRÓPRIO</v>
      </c>
      <c r="D73" s="228" t="s">
        <v>110</v>
      </c>
      <c r="E73" s="226" t="str">
        <f>IFERROR(IF(D73="SINAPI-S",VLOOKUP(B73,'20-B.SINAPI-S'!A:J,2,0),IF(D73="SINAPI-I",VLOOKUP(B73,'20-A.SINAPI-I'!A:G,2,0),IF(D73="COMPOSIÇÕES",VLOOKUP(B73,'11.COMPOSIÇÕES GERAIS'!B:I,2,0),VLOOKUP(B73,'12.COT.MERCADO'!A:I,2,0)))),"Em Elaboração")</f>
        <v>Recarga de extintor de pó químico seco (PQS) classe ABC - 4Kg</v>
      </c>
      <c r="F73" s="221" t="str">
        <f>IFERROR(IF(D73="SINAPI-S",VLOOKUP(B73,'20-B.SINAPI-S'!A:J,3,0),IF(D73="SINAPI-I",VLOOKUP(B73,'20-A.SINAPI-I'!A:G,3,0),IF(D73="COMPOSIÇÕES",VLOOKUP(B73,'11.COMPOSIÇÕES GERAIS'!B:I,3,0),VLOOKUP(B73,'12.COT.MERCADO'!A:I,7,0)))),"Em Elaboração")</f>
        <v>UN </v>
      </c>
      <c r="G73" s="217">
        <v>7.0</v>
      </c>
      <c r="H73" s="222">
        <f>IFERROR(IF(D73="SINAPI-S",VLOOKUP(B73,'20-B.SINAPI-S'!A:J,5,0),IF(D73="SINAPI-I",VLOOKUP(B73,'20-A.SINAPI-I'!A:G,6,0),IF(D73="COMPOSIÇÕES",VLOOKUP(B73,'11.COMPOSIÇÕES GERAIS'!B:I,7,0),0))),"Em Elaboração")</f>
        <v>0</v>
      </c>
      <c r="I73" s="222">
        <f>IFERROR(IF(D73="SINAPI-S",VLOOKUP(B73,'20-B.SINAPI-S'!A:J,6,0),IF(D73="SINAPI-I",VLOOKUP(B73,'20-A.SINAPI-I'!A:G,7,0),IF(D73="COMPOSIÇÕES",VLOOKUP(B73,'11.COMPOSIÇÕES GERAIS'!B:I,8,0),VLOOKUP(B73,'12.COT.MERCADO'!A:I,8,0)))),"Em Elaboração")</f>
        <v>36.4</v>
      </c>
      <c r="J73" s="222">
        <f t="shared" si="61"/>
        <v>0</v>
      </c>
      <c r="K73" s="222">
        <f t="shared" si="62"/>
        <v>42.6365789</v>
      </c>
      <c r="L73" s="222">
        <f t="shared" si="63"/>
        <v>42.6365789</v>
      </c>
      <c r="M73" s="222">
        <f t="shared" si="64"/>
        <v>0</v>
      </c>
      <c r="N73" s="222">
        <f t="shared" si="65"/>
        <v>298.4560523</v>
      </c>
      <c r="O73" s="222">
        <f t="shared" si="66"/>
        <v>298.4560523</v>
      </c>
      <c r="P73" s="223">
        <f t="shared" si="2"/>
        <v>0.0002334744811</v>
      </c>
    </row>
    <row r="74">
      <c r="A74" s="216" t="s">
        <v>186</v>
      </c>
      <c r="B74" s="217" t="s">
        <v>187</v>
      </c>
      <c r="C74" s="227" t="str">
        <f t="shared" si="60"/>
        <v>PRÓPRIO</v>
      </c>
      <c r="D74" s="228" t="s">
        <v>110</v>
      </c>
      <c r="E74" s="226" t="str">
        <f>IFERROR(IF(D74="SINAPI-S",VLOOKUP(B74,'20-B.SINAPI-S'!A:J,2,0),IF(D74="SINAPI-I",VLOOKUP(B74,'20-A.SINAPI-I'!A:G,2,0),IF(D74="COMPOSIÇÕES",VLOOKUP(B74,'11.COMPOSIÇÕES GERAIS'!B:I,2,0),VLOOKUP(B74,'12.COT.MERCADO'!A:I,2,0)))),"Em Elaboração")</f>
        <v>Recarga de extintor de pó químico seco (PQS) classe BC - 4Kg</v>
      </c>
      <c r="F74" s="221" t="str">
        <f>IFERROR(IF(D74="SINAPI-S",VLOOKUP(B74,'20-B.SINAPI-S'!A:J,3,0),IF(D74="SINAPI-I",VLOOKUP(B74,'20-A.SINAPI-I'!A:G,3,0),IF(D74="COMPOSIÇÕES",VLOOKUP(B74,'11.COMPOSIÇÕES GERAIS'!B:I,3,0),VLOOKUP(B74,'12.COT.MERCADO'!A:I,7,0)))),"Em Elaboração")</f>
        <v>UN </v>
      </c>
      <c r="G74" s="217">
        <v>5.0</v>
      </c>
      <c r="H74" s="222">
        <f>IFERROR(IF(D74="SINAPI-S",VLOOKUP(B74,'20-B.SINAPI-S'!A:J,5,0),IF(D74="SINAPI-I",VLOOKUP(B74,'20-A.SINAPI-I'!A:G,6,0),IF(D74="COMPOSIÇÕES",VLOOKUP(B74,'11.COMPOSIÇÕES GERAIS'!B:I,7,0),0))),"Em Elaboração")</f>
        <v>0</v>
      </c>
      <c r="I74" s="222">
        <f>IFERROR(IF(D74="SINAPI-S",VLOOKUP(B74,'20-B.SINAPI-S'!A:J,6,0),IF(D74="SINAPI-I",VLOOKUP(B74,'20-A.SINAPI-I'!A:G,7,0),IF(D74="COMPOSIÇÕES",VLOOKUP(B74,'11.COMPOSIÇÕES GERAIS'!B:I,8,0),VLOOKUP(B74,'12.COT.MERCADO'!A:I,8,0)))),"Em Elaboração")</f>
        <v>40</v>
      </c>
      <c r="J74" s="222">
        <f t="shared" si="61"/>
        <v>0</v>
      </c>
      <c r="K74" s="222">
        <f t="shared" si="62"/>
        <v>46.85338341</v>
      </c>
      <c r="L74" s="222">
        <f t="shared" si="63"/>
        <v>46.85338341</v>
      </c>
      <c r="M74" s="222">
        <f t="shared" si="64"/>
        <v>0</v>
      </c>
      <c r="N74" s="222">
        <f t="shared" si="65"/>
        <v>234.266917</v>
      </c>
      <c r="O74" s="222">
        <f t="shared" si="66"/>
        <v>234.266917</v>
      </c>
      <c r="P74" s="223">
        <f t="shared" si="2"/>
        <v>0.0001832609742</v>
      </c>
    </row>
    <row r="75">
      <c r="A75" s="216" t="s">
        <v>188</v>
      </c>
      <c r="B75" s="217" t="s">
        <v>157</v>
      </c>
      <c r="C75" s="227" t="str">
        <f t="shared" si="60"/>
        <v>PRÓPRIO</v>
      </c>
      <c r="D75" s="228" t="s">
        <v>110</v>
      </c>
      <c r="E75" s="226" t="str">
        <f>IFERROR(IF(D75="SINAPI-S",VLOOKUP(B75,'20-B.SINAPI-S'!A:J,2,0),IF(D75="SINAPI-I",VLOOKUP(B75,'20-A.SINAPI-I'!A:G,2,0),IF(D75="COMPOSIÇÕES",VLOOKUP(B75,'11.COMPOSIÇÕES GERAIS'!B:I,2,0),VLOOKUP(B75,'12.COT.MERCADO'!A:I,2,0)))),"Em Elaboração")</f>
        <v>Recarga de extintor de pó químico seco (PQS) classe ABC - 12Kg</v>
      </c>
      <c r="F75" s="221" t="str">
        <f>IFERROR(IF(D75="SINAPI-S",VLOOKUP(B75,'20-B.SINAPI-S'!A:J,3,0),IF(D75="SINAPI-I",VLOOKUP(B75,'20-A.SINAPI-I'!A:G,3,0),IF(D75="COMPOSIÇÕES",VLOOKUP(B75,'11.COMPOSIÇÕES GERAIS'!B:I,3,0),VLOOKUP(B75,'12.COT.MERCADO'!A:I,7,0)))),"Em Elaboração")</f>
        <v>UN </v>
      </c>
      <c r="G75" s="217">
        <v>1.0</v>
      </c>
      <c r="H75" s="222">
        <f>IFERROR(IF(D75="SINAPI-S",VLOOKUP(B75,'20-B.SINAPI-S'!A:J,5,0),IF(D75="SINAPI-I",VLOOKUP(B75,'20-A.SINAPI-I'!A:G,6,0),IF(D75="COMPOSIÇÕES",VLOOKUP(B75,'11.COMPOSIÇÕES GERAIS'!B:I,7,0),0))),"Em Elaboração")</f>
        <v>0</v>
      </c>
      <c r="I75" s="222">
        <f>IFERROR(IF(D75="SINAPI-S",VLOOKUP(B75,'20-B.SINAPI-S'!A:J,6,0),IF(D75="SINAPI-I",VLOOKUP(B75,'20-A.SINAPI-I'!A:G,7,0),IF(D75="COMPOSIÇÕES",VLOOKUP(B75,'11.COMPOSIÇÕES GERAIS'!B:I,8,0),VLOOKUP(B75,'12.COT.MERCADO'!A:I,8,0)))),"Em Elaboração")</f>
        <v>80.5</v>
      </c>
      <c r="J75" s="222">
        <f t="shared" si="61"/>
        <v>0</v>
      </c>
      <c r="K75" s="222">
        <f t="shared" si="62"/>
        <v>94.2924341</v>
      </c>
      <c r="L75" s="222">
        <f t="shared" si="63"/>
        <v>94.2924341</v>
      </c>
      <c r="M75" s="222">
        <f t="shared" si="64"/>
        <v>0</v>
      </c>
      <c r="N75" s="222">
        <f t="shared" si="65"/>
        <v>94.2924341</v>
      </c>
      <c r="O75" s="222">
        <f t="shared" si="66"/>
        <v>94.2924341</v>
      </c>
      <c r="P75" s="223">
        <f t="shared" si="2"/>
        <v>0.00007376254211</v>
      </c>
    </row>
    <row r="76">
      <c r="A76" s="212" t="s">
        <v>189</v>
      </c>
      <c r="B76" s="213" t="s">
        <v>128</v>
      </c>
      <c r="C76" s="44"/>
      <c r="D76" s="44"/>
      <c r="E76" s="44"/>
      <c r="F76" s="44"/>
      <c r="G76" s="44"/>
      <c r="H76" s="44"/>
      <c r="I76" s="44"/>
      <c r="J76" s="44"/>
      <c r="K76" s="44"/>
      <c r="L76" s="44"/>
      <c r="M76" s="214">
        <f t="shared" ref="M76:O76" si="67">SUM(M77:M78)</f>
        <v>0</v>
      </c>
      <c r="N76" s="214">
        <f t="shared" si="67"/>
        <v>1596.341626</v>
      </c>
      <c r="O76" s="214">
        <f t="shared" si="67"/>
        <v>1596.341626</v>
      </c>
      <c r="P76" s="215">
        <f t="shared" si="2"/>
        <v>0.00124877693</v>
      </c>
    </row>
    <row r="77">
      <c r="A77" s="216" t="s">
        <v>190</v>
      </c>
      <c r="B77" s="217" t="s">
        <v>191</v>
      </c>
      <c r="C77" s="227" t="str">
        <f t="shared" ref="C77:C78" si="68">IF(OR(D77="SINAPI-S",D77="SINAPI-I"),"SINAPI","PRÓPRIO")</f>
        <v>PRÓPRIO</v>
      </c>
      <c r="D77" s="228" t="s">
        <v>110</v>
      </c>
      <c r="E77" s="226" t="str">
        <f>IFERROR(IF(D77="SINAPI-S",VLOOKUP(B77,'20-B.SINAPI-S'!A:J,2,0),IF(D77="SINAPI-I",VLOOKUP(B77,'20-A.SINAPI-I'!A:G,2,0),IF(D77="COMPOSIÇÕES",VLOOKUP(B77,'11.COMPOSIÇÕES GERAIS'!B:I,2,0),VLOOKUP(B77,'12.COT.MERCADO'!A:I,2,0)))),"Em Elaboração")</f>
        <v>Substituição de banco de baterias composto por 32 unidades de 7 Ah - Mão de obra e Material</v>
      </c>
      <c r="F77" s="221" t="str">
        <f>IFERROR(IF(D77="SINAPI-S",VLOOKUP(B77,'20-B.SINAPI-S'!A:J,3,0),IF(D77="SINAPI-I",VLOOKUP(B77,'20-A.SINAPI-I'!A:G,3,0),IF(D77="COMPOSIÇÕES",VLOOKUP(B77,'11.COMPOSIÇÕES GERAIS'!B:I,3,0),VLOOKUP(B77,'12.COT.MERCADO'!A:I,7,0)))),"Em Elaboração")</f>
        <v>UN </v>
      </c>
      <c r="G77" s="217">
        <v>8.0</v>
      </c>
      <c r="H77" s="222">
        <f>IFERROR(IF(D77="SINAPI-S",VLOOKUP(B77,'20-B.SINAPI-S'!A:J,5,0),IF(D77="SINAPI-I",VLOOKUP(B77,'20-A.SINAPI-I'!A:G,6,0),IF(D77="COMPOSIÇÕES",VLOOKUP(B77,'11.COMPOSIÇÕES GERAIS'!B:I,7,0),0))),"Em Elaboração")</f>
        <v>0</v>
      </c>
      <c r="I77" s="222">
        <f>IFERROR(IF(D77="SINAPI-S",VLOOKUP(B77,'20-B.SINAPI-S'!A:J,6,0),IF(D77="SINAPI-I",VLOOKUP(B77,'20-A.SINAPI-I'!A:G,7,0),IF(D77="COMPOSIÇÕES",VLOOKUP(B77,'11.COMPOSIÇÕES GERAIS'!B:I,8,0),VLOOKUP(B77,'12.COT.MERCADO'!A:I,8,0)))),"Em Elaboração")</f>
        <v>121.38</v>
      </c>
      <c r="J77" s="222">
        <f t="shared" ref="J77:J78" si="69">H77*(1+$J$5)</f>
        <v>0</v>
      </c>
      <c r="K77" s="222">
        <f t="shared" ref="K77:K78" si="70">I77*(1+$J$8)</f>
        <v>142.1765919</v>
      </c>
      <c r="L77" s="222">
        <f t="shared" ref="L77:L78" si="71">SUM(J77:K77)</f>
        <v>142.1765919</v>
      </c>
      <c r="M77" s="222">
        <f t="shared" ref="M77:M78" si="72">J77*G77</f>
        <v>0</v>
      </c>
      <c r="N77" s="222">
        <f t="shared" ref="N77:N78" si="73">K77*G77</f>
        <v>1137.412736</v>
      </c>
      <c r="O77" s="222">
        <f t="shared" ref="O77:O78" si="74">SUM(M77:N77)</f>
        <v>1137.412736</v>
      </c>
      <c r="P77" s="223">
        <f t="shared" si="2"/>
        <v>0.0008897686819</v>
      </c>
    </row>
    <row r="78">
      <c r="A78" s="216" t="s">
        <v>192</v>
      </c>
      <c r="B78" s="217" t="s">
        <v>193</v>
      </c>
      <c r="C78" s="227" t="str">
        <f t="shared" si="68"/>
        <v>PRÓPRIO</v>
      </c>
      <c r="D78" s="228" t="s">
        <v>110</v>
      </c>
      <c r="E78" s="226" t="str">
        <f>IFERROR(IF(D78="SINAPI-S",VLOOKUP(B78,'20-B.SINAPI-S'!A:J,2,0),IF(D78="SINAPI-I",VLOOKUP(B78,'20-A.SINAPI-I'!A:G,2,0),IF(D78="COMPOSIÇÕES",VLOOKUP(B78,'11.COMPOSIÇÕES GERAIS'!B:I,2,0),VLOOKUP(B78,'12.COT.MERCADO'!A:I,2,0)))),"Em Elaboração")</f>
        <v>Substituição de banco de baterias composto por 8 unidades de 9 Ah - Mão de obra e Material</v>
      </c>
      <c r="F78" s="221" t="str">
        <f>IFERROR(IF(D78="SINAPI-S",VLOOKUP(B78,'20-B.SINAPI-S'!A:J,3,0),IF(D78="SINAPI-I",VLOOKUP(B78,'20-A.SINAPI-I'!A:G,3,0),IF(D78="COMPOSIÇÕES",VLOOKUP(B78,'11.COMPOSIÇÕES GERAIS'!B:I,3,0),VLOOKUP(B78,'12.COT.MERCADO'!A:I,7,0)))),"Em Elaboração")</f>
        <v>UN </v>
      </c>
      <c r="G78" s="217">
        <v>2.0</v>
      </c>
      <c r="H78" s="222">
        <f>IFERROR(IF(D78="SINAPI-S",VLOOKUP(B78,'20-B.SINAPI-S'!A:J,5,0),IF(D78="SINAPI-I",VLOOKUP(B78,'20-A.SINAPI-I'!A:G,6,0),IF(D78="COMPOSIÇÕES",VLOOKUP(B78,'11.COMPOSIÇÕES GERAIS'!B:I,7,0),0))),"Em Elaboração")</f>
        <v>0</v>
      </c>
      <c r="I78" s="222">
        <f>IFERROR(IF(D78="SINAPI-S",VLOOKUP(B78,'20-B.SINAPI-S'!A:J,6,0),IF(D78="SINAPI-I",VLOOKUP(B78,'20-A.SINAPI-I'!A:G,7,0),IF(D78="COMPOSIÇÕES",VLOOKUP(B78,'11.COMPOSIÇÕES GERAIS'!B:I,8,0),VLOOKUP(B78,'12.COT.MERCADO'!A:I,8,0)))),"Em Elaboração")</f>
        <v>195.9</v>
      </c>
      <c r="J78" s="222">
        <f t="shared" si="69"/>
        <v>0</v>
      </c>
      <c r="K78" s="222">
        <f t="shared" si="70"/>
        <v>229.4644452</v>
      </c>
      <c r="L78" s="222">
        <f t="shared" si="71"/>
        <v>229.4644452</v>
      </c>
      <c r="M78" s="222">
        <f t="shared" si="72"/>
        <v>0</v>
      </c>
      <c r="N78" s="222">
        <f t="shared" si="73"/>
        <v>458.9288905</v>
      </c>
      <c r="O78" s="222">
        <f t="shared" si="74"/>
        <v>458.9288905</v>
      </c>
      <c r="P78" s="223">
        <f t="shared" si="2"/>
        <v>0.0003590082484</v>
      </c>
    </row>
    <row r="79">
      <c r="A79" s="212" t="s">
        <v>194</v>
      </c>
      <c r="B79" s="213" t="s">
        <v>195</v>
      </c>
      <c r="C79" s="44"/>
      <c r="D79" s="44"/>
      <c r="E79" s="44"/>
      <c r="F79" s="44"/>
      <c r="G79" s="44"/>
      <c r="H79" s="44"/>
      <c r="I79" s="44"/>
      <c r="J79" s="44"/>
      <c r="K79" s="44"/>
      <c r="L79" s="44"/>
      <c r="M79" s="214">
        <f t="shared" ref="M79:O79" si="75">SUM(M80:M82)</f>
        <v>0</v>
      </c>
      <c r="N79" s="214">
        <f t="shared" si="75"/>
        <v>324.9282139</v>
      </c>
      <c r="O79" s="214">
        <f t="shared" si="75"/>
        <v>324.9282139</v>
      </c>
      <c r="P79" s="215">
        <f t="shared" si="2"/>
        <v>0.0002541829712</v>
      </c>
    </row>
    <row r="80">
      <c r="A80" s="216" t="s">
        <v>196</v>
      </c>
      <c r="B80" s="217" t="s">
        <v>147</v>
      </c>
      <c r="C80" s="227" t="str">
        <f t="shared" ref="C80:C82" si="76">IF(OR(D80="SINAPI-S",D80="SINAPI-I"),"SINAPI","PRÓPRIO")</f>
        <v>PRÓPRIO</v>
      </c>
      <c r="D80" s="228" t="s">
        <v>110</v>
      </c>
      <c r="E80" s="226" t="str">
        <f>IFERROR(IF(D80="SINAPI-S",VLOOKUP(B80,'20-B.SINAPI-S'!A:J,2,0),IF(D80="SINAPI-I",VLOOKUP(B80,'20-A.SINAPI-I'!A:G,2,0),IF(D80="COMPOSIÇÕES",VLOOKUP(B80,'11.COMPOSIÇÕES GERAIS'!B:I,2,0),VLOOKUP(B80,'12.COT.MERCADO'!A:I,2,0)))),"Em Elaboração")</f>
        <v>Recarga de extintor de gás carbônico (CO2) classe AB - 6Kg</v>
      </c>
      <c r="F80" s="221" t="str">
        <f>IFERROR(IF(D80="SINAPI-S",VLOOKUP(B80,'20-B.SINAPI-S'!A:J,3,0),IF(D80="SINAPI-I",VLOOKUP(B80,'20-A.SINAPI-I'!A:G,3,0),IF(D80="COMPOSIÇÕES",VLOOKUP(B80,'11.COMPOSIÇÕES GERAIS'!B:I,3,0),VLOOKUP(B80,'12.COT.MERCADO'!A:I,7,0)))),"Em Elaboração")</f>
        <v>UN </v>
      </c>
      <c r="G80" s="217">
        <v>1.0</v>
      </c>
      <c r="H80" s="222">
        <f>IFERROR(IF(D80="SINAPI-S",VLOOKUP(B80,'20-B.SINAPI-S'!A:J,5,0),IF(D80="SINAPI-I",VLOOKUP(B80,'20-A.SINAPI-I'!A:G,6,0),IF(D80="COMPOSIÇÕES",VLOOKUP(B80,'11.COMPOSIÇÕES GERAIS'!B:I,7,0),0))),"Em Elaboração")</f>
        <v>0</v>
      </c>
      <c r="I80" s="222">
        <f>IFERROR(IF(D80="SINAPI-S",VLOOKUP(B80,'20-B.SINAPI-S'!A:J,6,0),IF(D80="SINAPI-I",VLOOKUP(B80,'20-A.SINAPI-I'!A:G,7,0),IF(D80="COMPOSIÇÕES",VLOOKUP(B80,'11.COMPOSIÇÕES GERAIS'!B:I,8,0),VLOOKUP(B80,'12.COT.MERCADO'!A:I,8,0)))),"Em Elaboração")</f>
        <v>60</v>
      </c>
      <c r="J80" s="222">
        <f t="shared" ref="J80:J82" si="77">H80*(1+$J$5)</f>
        <v>0</v>
      </c>
      <c r="K80" s="222">
        <f t="shared" ref="K80:K82" si="78">I80*(1+$J$8)</f>
        <v>70.28007511</v>
      </c>
      <c r="L80" s="222">
        <f t="shared" ref="L80:L82" si="79">SUM(J80:K80)</f>
        <v>70.28007511</v>
      </c>
      <c r="M80" s="222">
        <f t="shared" ref="M80:M82" si="80">J80*G80</f>
        <v>0</v>
      </c>
      <c r="N80" s="222">
        <f t="shared" ref="N80:N82" si="81">K80*G80</f>
        <v>70.28007511</v>
      </c>
      <c r="O80" s="222">
        <f t="shared" ref="O80:O82" si="82">SUM(M80:N80)</f>
        <v>70.28007511</v>
      </c>
      <c r="P80" s="223">
        <f t="shared" si="2"/>
        <v>0.00005497829226</v>
      </c>
    </row>
    <row r="81">
      <c r="A81" s="216" t="s">
        <v>197</v>
      </c>
      <c r="B81" s="217" t="s">
        <v>187</v>
      </c>
      <c r="C81" s="227" t="str">
        <f t="shared" si="76"/>
        <v>PRÓPRIO</v>
      </c>
      <c r="D81" s="228" t="s">
        <v>110</v>
      </c>
      <c r="E81" s="226" t="str">
        <f>IFERROR(IF(D81="SINAPI-S",VLOOKUP(B81,'20-B.SINAPI-S'!A:J,2,0),IF(D81="SINAPI-I",VLOOKUP(B81,'20-A.SINAPI-I'!A:G,2,0),IF(D81="COMPOSIÇÕES",VLOOKUP(B81,'11.COMPOSIÇÕES GERAIS'!B:I,2,0),VLOOKUP(B81,'12.COT.MERCADO'!A:I,2,0)))),"Em Elaboração")</f>
        <v>Recarga de extintor de pó químico seco (PQS) classe BC - 4Kg</v>
      </c>
      <c r="F81" s="221" t="str">
        <f>IFERROR(IF(D81="SINAPI-S",VLOOKUP(B81,'20-B.SINAPI-S'!A:J,3,0),IF(D81="SINAPI-I",VLOOKUP(B81,'20-A.SINAPI-I'!A:G,3,0),IF(D81="COMPOSIÇÕES",VLOOKUP(B81,'11.COMPOSIÇÕES GERAIS'!B:I,3,0),VLOOKUP(B81,'12.COT.MERCADO'!A:I,7,0)))),"Em Elaboração")</f>
        <v>UN </v>
      </c>
      <c r="G81" s="217">
        <v>4.0</v>
      </c>
      <c r="H81" s="222">
        <f>IFERROR(IF(D81="SINAPI-S",VLOOKUP(B81,'20-B.SINAPI-S'!A:J,5,0),IF(D81="SINAPI-I",VLOOKUP(B81,'20-A.SINAPI-I'!A:G,6,0),IF(D81="COMPOSIÇÕES",VLOOKUP(B81,'11.COMPOSIÇÕES GERAIS'!B:I,7,0),0))),"Em Elaboração")</f>
        <v>0</v>
      </c>
      <c r="I81" s="222">
        <f>IFERROR(IF(D81="SINAPI-S",VLOOKUP(B81,'20-B.SINAPI-S'!A:J,6,0),IF(D81="SINAPI-I",VLOOKUP(B81,'20-A.SINAPI-I'!A:G,7,0),IF(D81="COMPOSIÇÕES",VLOOKUP(B81,'11.COMPOSIÇÕES GERAIS'!B:I,8,0),VLOOKUP(B81,'12.COT.MERCADO'!A:I,8,0)))),"Em Elaboração")</f>
        <v>40</v>
      </c>
      <c r="J81" s="222">
        <f t="shared" si="77"/>
        <v>0</v>
      </c>
      <c r="K81" s="222">
        <f t="shared" si="78"/>
        <v>46.85338341</v>
      </c>
      <c r="L81" s="222">
        <f t="shared" si="79"/>
        <v>46.85338341</v>
      </c>
      <c r="M81" s="222">
        <f t="shared" si="80"/>
        <v>0</v>
      </c>
      <c r="N81" s="222">
        <f t="shared" si="81"/>
        <v>187.4135336</v>
      </c>
      <c r="O81" s="222">
        <f t="shared" si="82"/>
        <v>187.4135336</v>
      </c>
      <c r="P81" s="223">
        <f t="shared" si="2"/>
        <v>0.0001466087794</v>
      </c>
    </row>
    <row r="82">
      <c r="A82" s="216" t="s">
        <v>198</v>
      </c>
      <c r="B82" s="217" t="s">
        <v>165</v>
      </c>
      <c r="C82" s="227" t="str">
        <f t="shared" si="76"/>
        <v>PRÓPRIO</v>
      </c>
      <c r="D82" s="228" t="s">
        <v>110</v>
      </c>
      <c r="E82" s="226" t="str">
        <f>IFERROR(IF(D82="SINAPI-S",VLOOKUP(B82,'20-B.SINAPI-S'!A:J,2,0),IF(D82="SINAPI-I",VLOOKUP(B82,'20-A.SINAPI-I'!A:G,2,0),IF(D82="COMPOSIÇÕES",VLOOKUP(B82,'11.COMPOSIÇÕES GERAIS'!B:I,2,0),VLOOKUP(B82,'12.COT.MERCADO'!A:I,2,0)))),"Em Elaboração")</f>
        <v>Recarga de extintor de água pressurizada classe A - 10 L</v>
      </c>
      <c r="F82" s="221" t="str">
        <f>IFERROR(IF(D82="SINAPI-S",VLOOKUP(B82,'20-B.SINAPI-S'!A:J,3,0),IF(D82="SINAPI-I",VLOOKUP(B82,'20-A.SINAPI-I'!A:G,3,0),IF(D82="COMPOSIÇÕES",VLOOKUP(B82,'11.COMPOSIÇÕES GERAIS'!B:I,3,0),VLOOKUP(B82,'12.COT.MERCADO'!A:I,7,0)))),"Em Elaboração")</f>
        <v>UN </v>
      </c>
      <c r="G82" s="217">
        <v>2.0</v>
      </c>
      <c r="H82" s="222">
        <f>IFERROR(IF(D82="SINAPI-S",VLOOKUP(B82,'20-B.SINAPI-S'!A:J,5,0),IF(D82="SINAPI-I",VLOOKUP(B82,'20-A.SINAPI-I'!A:G,6,0),IF(D82="COMPOSIÇÕES",VLOOKUP(B82,'11.COMPOSIÇÕES GERAIS'!B:I,7,0),0))),"Em Elaboração")</f>
        <v>0</v>
      </c>
      <c r="I82" s="222">
        <f>IFERROR(IF(D82="SINAPI-S",VLOOKUP(B82,'20-B.SINAPI-S'!A:J,6,0),IF(D82="SINAPI-I",VLOOKUP(B82,'20-A.SINAPI-I'!A:G,7,0),IF(D82="COMPOSIÇÕES",VLOOKUP(B82,'11.COMPOSIÇÕES GERAIS'!B:I,8,0),VLOOKUP(B82,'12.COT.MERCADO'!A:I,8,0)))),"Em Elaboração")</f>
        <v>28.7</v>
      </c>
      <c r="J82" s="222">
        <f t="shared" si="77"/>
        <v>0</v>
      </c>
      <c r="K82" s="222">
        <f t="shared" si="78"/>
        <v>33.61730259</v>
      </c>
      <c r="L82" s="222">
        <f t="shared" si="79"/>
        <v>33.61730259</v>
      </c>
      <c r="M82" s="222">
        <f t="shared" si="80"/>
        <v>0</v>
      </c>
      <c r="N82" s="222">
        <f t="shared" si="81"/>
        <v>67.23460519</v>
      </c>
      <c r="O82" s="222">
        <f t="shared" si="82"/>
        <v>67.23460519</v>
      </c>
      <c r="P82" s="223">
        <f t="shared" si="2"/>
        <v>0.00005259589959</v>
      </c>
    </row>
    <row r="83">
      <c r="A83" s="212" t="s">
        <v>199</v>
      </c>
      <c r="B83" s="213" t="s">
        <v>136</v>
      </c>
      <c r="C83" s="44"/>
      <c r="D83" s="44"/>
      <c r="E83" s="44"/>
      <c r="F83" s="44"/>
      <c r="G83" s="44"/>
      <c r="H83" s="44"/>
      <c r="I83" s="44"/>
      <c r="J83" s="44"/>
      <c r="K83" s="44"/>
      <c r="L83" s="44"/>
      <c r="M83" s="214">
        <f t="shared" ref="M83:O83" si="83">SUM(M84:M85)</f>
        <v>0</v>
      </c>
      <c r="N83" s="214">
        <f t="shared" si="83"/>
        <v>3353.530917</v>
      </c>
      <c r="O83" s="214">
        <f t="shared" si="83"/>
        <v>3353.530917</v>
      </c>
      <c r="P83" s="215">
        <f t="shared" si="2"/>
        <v>0.002623380846</v>
      </c>
    </row>
    <row r="84">
      <c r="A84" s="216" t="s">
        <v>200</v>
      </c>
      <c r="B84" s="217" t="s">
        <v>201</v>
      </c>
      <c r="C84" s="227" t="str">
        <f t="shared" ref="C84:C85" si="84">IF(OR(D84="SINAPI-S",D84="SINAPI-I"),"SINAPI","PRÓPRIO")</f>
        <v>PRÓPRIO</v>
      </c>
      <c r="D84" s="228" t="s">
        <v>110</v>
      </c>
      <c r="E84" s="226" t="str">
        <f>IFERROR(IF(D84="SINAPI-S",VLOOKUP(B84,'20-B.SINAPI-S'!A:J,2,0),IF(D84="SINAPI-I",VLOOKUP(B84,'20-A.SINAPI-I'!A:G,2,0),IF(D84="COMPOSIÇÕES",VLOOKUP(B84,'11.COMPOSIÇÕES GERAIS'!B:I,2,0),VLOOKUP(B84,'12.COT.MERCADO'!A:I,2,0)))),"Em Elaboração")</f>
        <v>Substituição de banco de baterias composto por 24 unidades de 45 Ah - Mão de obra e Material</v>
      </c>
      <c r="F84" s="221" t="str">
        <f>IFERROR(IF(D84="SINAPI-S",VLOOKUP(B84,'20-B.SINAPI-S'!A:J,3,0),IF(D84="SINAPI-I",VLOOKUP(B84,'20-A.SINAPI-I'!A:G,3,0),IF(D84="COMPOSIÇÕES",VLOOKUP(B84,'11.COMPOSIÇÕES GERAIS'!B:I,3,0),VLOOKUP(B84,'12.COT.MERCADO'!A:I,7,0)))),"Em Elaboração")</f>
        <v>UN </v>
      </c>
      <c r="G84" s="217">
        <v>6.0</v>
      </c>
      <c r="H84" s="222">
        <f>IFERROR(IF(D84="SINAPI-S",VLOOKUP(B84,'20-B.SINAPI-S'!A:J,5,0),IF(D84="SINAPI-I",VLOOKUP(B84,'20-A.SINAPI-I'!A:G,6,0),IF(D84="COMPOSIÇÕES",VLOOKUP(B84,'11.COMPOSIÇÕES GERAIS'!B:I,7,0),0))),"Em Elaboração")</f>
        <v>0</v>
      </c>
      <c r="I84" s="222">
        <f>IFERROR(IF(D84="SINAPI-S",VLOOKUP(B84,'20-B.SINAPI-S'!A:J,6,0),IF(D84="SINAPI-I",VLOOKUP(B84,'20-A.SINAPI-I'!A:G,7,0),IF(D84="COMPOSIÇÕES",VLOOKUP(B84,'11.COMPOSIÇÕES GERAIS'!B:I,8,0),VLOOKUP(B84,'12.COT.MERCADO'!A:I,8,0)))),"Em Elaboração")</f>
        <v>462</v>
      </c>
      <c r="J84" s="222">
        <f t="shared" ref="J84:J85" si="85">H84*(1+$J$5)</f>
        <v>0</v>
      </c>
      <c r="K84" s="222">
        <f t="shared" ref="K84:K85" si="86">I84*(1+$J$8)</f>
        <v>541.1565783</v>
      </c>
      <c r="L84" s="222">
        <f t="shared" ref="L84:L85" si="87">SUM(J84:K84)</f>
        <v>541.1565783</v>
      </c>
      <c r="M84" s="222">
        <f t="shared" ref="M84:M85" si="88">J84*G84</f>
        <v>0</v>
      </c>
      <c r="N84" s="222">
        <f t="shared" ref="N84:N85" si="89">K84*G84</f>
        <v>3246.93947</v>
      </c>
      <c r="O84" s="222">
        <f t="shared" ref="O84:O85" si="90">SUM(M84:N84)</f>
        <v>3246.93947</v>
      </c>
      <c r="P84" s="223">
        <f t="shared" si="2"/>
        <v>0.002539997102</v>
      </c>
    </row>
    <row r="85">
      <c r="A85" s="216" t="s">
        <v>202</v>
      </c>
      <c r="B85" s="217" t="s">
        <v>203</v>
      </c>
      <c r="C85" s="227" t="str">
        <f t="shared" si="84"/>
        <v>PRÓPRIO</v>
      </c>
      <c r="D85" s="228" t="s">
        <v>110</v>
      </c>
      <c r="E85" s="226" t="str">
        <f>IFERROR(IF(D85="SINAPI-S",VLOOKUP(B85,'20-B.SINAPI-S'!A:J,2,0),IF(D85="SINAPI-I",VLOOKUP(B85,'20-A.SINAPI-I'!A:G,2,0),IF(D85="COMPOSIÇÕES",VLOOKUP(B85,'11.COMPOSIÇÕES GERAIS'!B:I,2,0),VLOOKUP(B85,'12.COT.MERCADO'!A:I,2,0)))),"Em Elaboração")</f>
        <v>Substituição de banco de baterias composto por 4 unidades de 7 Ah - Mão de obra e Material</v>
      </c>
      <c r="F85" s="221" t="str">
        <f>IFERROR(IF(D85="SINAPI-S",VLOOKUP(B85,'20-B.SINAPI-S'!A:J,3,0),IF(D85="SINAPI-I",VLOOKUP(B85,'20-A.SINAPI-I'!A:G,3,0),IF(D85="COMPOSIÇÕES",VLOOKUP(B85,'11.COMPOSIÇÕES GERAIS'!B:I,3,0),VLOOKUP(B85,'12.COT.MERCADO'!A:I,7,0)))),"Em Elaboração")</f>
        <v>UN </v>
      </c>
      <c r="G85" s="217">
        <v>1.0</v>
      </c>
      <c r="H85" s="222">
        <f>IFERROR(IF(D85="SINAPI-S",VLOOKUP(B85,'20-B.SINAPI-S'!A:J,5,0),IF(D85="SINAPI-I",VLOOKUP(B85,'20-A.SINAPI-I'!A:G,6,0),IF(D85="COMPOSIÇÕES",VLOOKUP(B85,'11.COMPOSIÇÕES GERAIS'!B:I,7,0),0))),"Em Elaboração")</f>
        <v>0</v>
      </c>
      <c r="I85" s="222">
        <f>IFERROR(IF(D85="SINAPI-S",VLOOKUP(B85,'20-B.SINAPI-S'!A:J,6,0),IF(D85="SINAPI-I",VLOOKUP(B85,'20-A.SINAPI-I'!A:G,7,0),IF(D85="COMPOSIÇÕES",VLOOKUP(B85,'11.COMPOSIÇÕES GERAIS'!B:I,8,0),VLOOKUP(B85,'12.COT.MERCADO'!A:I,8,0)))),"Em Elaboração")</f>
        <v>91</v>
      </c>
      <c r="J85" s="222">
        <f t="shared" si="85"/>
        <v>0</v>
      </c>
      <c r="K85" s="222">
        <f t="shared" si="86"/>
        <v>106.5914472</v>
      </c>
      <c r="L85" s="222">
        <f t="shared" si="87"/>
        <v>106.5914472</v>
      </c>
      <c r="M85" s="222">
        <f t="shared" si="88"/>
        <v>0</v>
      </c>
      <c r="N85" s="222">
        <f t="shared" si="89"/>
        <v>106.5914472</v>
      </c>
      <c r="O85" s="222">
        <f t="shared" si="90"/>
        <v>106.5914472</v>
      </c>
      <c r="P85" s="223">
        <f t="shared" si="2"/>
        <v>0.00008338374326</v>
      </c>
    </row>
    <row r="86">
      <c r="A86" s="212" t="s">
        <v>204</v>
      </c>
      <c r="B86" s="213" t="s">
        <v>205</v>
      </c>
      <c r="C86" s="44"/>
      <c r="D86" s="44"/>
      <c r="E86" s="44"/>
      <c r="F86" s="44"/>
      <c r="G86" s="44"/>
      <c r="H86" s="44"/>
      <c r="I86" s="44"/>
      <c r="J86" s="44"/>
      <c r="K86" s="44"/>
      <c r="L86" s="44"/>
      <c r="M86" s="214">
        <f t="shared" ref="M86:O86" si="91">SUM(M87:M89)</f>
        <v>0</v>
      </c>
      <c r="N86" s="214">
        <f t="shared" si="91"/>
        <v>840.3154314</v>
      </c>
      <c r="O86" s="214">
        <f t="shared" si="91"/>
        <v>840.3154314</v>
      </c>
      <c r="P86" s="215">
        <f t="shared" si="2"/>
        <v>0.0006573571144</v>
      </c>
    </row>
    <row r="87">
      <c r="A87" s="216" t="s">
        <v>206</v>
      </c>
      <c r="B87" s="217" t="s">
        <v>147</v>
      </c>
      <c r="C87" s="227" t="str">
        <f t="shared" ref="C87:C89" si="92">IF(OR(D87="SINAPI-S",D87="SINAPI-I"),"SINAPI","PRÓPRIO")</f>
        <v>PRÓPRIO</v>
      </c>
      <c r="D87" s="228" t="s">
        <v>110</v>
      </c>
      <c r="E87" s="226" t="str">
        <f>IFERROR(IF(D87="SINAPI-S",VLOOKUP(B87,'20-B.SINAPI-S'!A:J,2,0),IF(D87="SINAPI-I",VLOOKUP(B87,'20-A.SINAPI-I'!A:G,2,0),IF(D87="COMPOSIÇÕES",VLOOKUP(B87,'11.COMPOSIÇÕES GERAIS'!B:I,2,0),VLOOKUP(B87,'12.COT.MERCADO'!A:I,2,0)))),"Em Elaboração")</f>
        <v>Recarga de extintor de gás carbônico (CO2) classe AB - 6Kg</v>
      </c>
      <c r="F87" s="221" t="str">
        <f>IFERROR(IF(D87="SINAPI-S",VLOOKUP(B87,'20-B.SINAPI-S'!A:J,3,0),IF(D87="SINAPI-I",VLOOKUP(B87,'20-A.SINAPI-I'!A:G,3,0),IF(D87="COMPOSIÇÕES",VLOOKUP(B87,'11.COMPOSIÇÕES GERAIS'!B:I,3,0),VLOOKUP(B87,'12.COT.MERCADO'!A:I,7,0)))),"Em Elaboração")</f>
        <v>UN </v>
      </c>
      <c r="G87" s="217">
        <v>7.0</v>
      </c>
      <c r="H87" s="222">
        <f>IFERROR(IF(D87="SINAPI-S",VLOOKUP(B87,'20-B.SINAPI-S'!A:J,5,0),IF(D87="SINAPI-I",VLOOKUP(B87,'20-A.SINAPI-I'!A:G,6,0),IF(D87="COMPOSIÇÕES",VLOOKUP(B87,'11.COMPOSIÇÕES GERAIS'!B:I,7,0),0))),"Em Elaboração")</f>
        <v>0</v>
      </c>
      <c r="I87" s="222">
        <f>IFERROR(IF(D87="SINAPI-S",VLOOKUP(B87,'20-B.SINAPI-S'!A:J,6,0),IF(D87="SINAPI-I",VLOOKUP(B87,'20-A.SINAPI-I'!A:G,7,0),IF(D87="COMPOSIÇÕES",VLOOKUP(B87,'11.COMPOSIÇÕES GERAIS'!B:I,8,0),VLOOKUP(B87,'12.COT.MERCADO'!A:I,8,0)))),"Em Elaboração")</f>
        <v>60</v>
      </c>
      <c r="J87" s="222">
        <f t="shared" ref="J87:J89" si="93">H87*(1+$J$5)</f>
        <v>0</v>
      </c>
      <c r="K87" s="222">
        <f t="shared" ref="K87:K89" si="94">I87*(1+$J$8)</f>
        <v>70.28007511</v>
      </c>
      <c r="L87" s="222">
        <f t="shared" ref="L87:L89" si="95">SUM(J87:K87)</f>
        <v>70.28007511</v>
      </c>
      <c r="M87" s="222">
        <f t="shared" ref="M87:M89" si="96">J87*G87</f>
        <v>0</v>
      </c>
      <c r="N87" s="222">
        <f t="shared" ref="N87:N89" si="97">K87*G87</f>
        <v>491.9605258</v>
      </c>
      <c r="O87" s="222">
        <f t="shared" ref="O87:O89" si="98">SUM(M87:N87)</f>
        <v>491.9605258</v>
      </c>
      <c r="P87" s="223">
        <f t="shared" si="2"/>
        <v>0.0003848480458</v>
      </c>
    </row>
    <row r="88">
      <c r="A88" s="216" t="s">
        <v>207</v>
      </c>
      <c r="B88" s="217" t="s">
        <v>187</v>
      </c>
      <c r="C88" s="227" t="str">
        <f t="shared" si="92"/>
        <v>PRÓPRIO</v>
      </c>
      <c r="D88" s="228" t="s">
        <v>110</v>
      </c>
      <c r="E88" s="226" t="str">
        <f>IFERROR(IF(D88="SINAPI-S",VLOOKUP(B88,'20-B.SINAPI-S'!A:J,2,0),IF(D88="SINAPI-I",VLOOKUP(B88,'20-A.SINAPI-I'!A:G,2,0),IF(D88="COMPOSIÇÕES",VLOOKUP(B88,'11.COMPOSIÇÕES GERAIS'!B:I,2,0),VLOOKUP(B88,'12.COT.MERCADO'!A:I,2,0)))),"Em Elaboração")</f>
        <v>Recarga de extintor de pó químico seco (PQS) classe BC - 4Kg</v>
      </c>
      <c r="F88" s="221" t="str">
        <f>IFERROR(IF(D88="SINAPI-S",VLOOKUP(B88,'20-B.SINAPI-S'!A:J,3,0),IF(D88="SINAPI-I",VLOOKUP(B88,'20-A.SINAPI-I'!A:G,3,0),IF(D88="COMPOSIÇÕES",VLOOKUP(B88,'11.COMPOSIÇÕES GERAIS'!B:I,3,0),VLOOKUP(B88,'12.COT.MERCADO'!A:I,7,0)))),"Em Elaboração")</f>
        <v>UN </v>
      </c>
      <c r="G88" s="217">
        <v>6.0</v>
      </c>
      <c r="H88" s="222">
        <f>IFERROR(IF(D88="SINAPI-S",VLOOKUP(B88,'20-B.SINAPI-S'!A:J,5,0),IF(D88="SINAPI-I",VLOOKUP(B88,'20-A.SINAPI-I'!A:G,6,0),IF(D88="COMPOSIÇÕES",VLOOKUP(B88,'11.COMPOSIÇÕES GERAIS'!B:I,7,0),0))),"Em Elaboração")</f>
        <v>0</v>
      </c>
      <c r="I88" s="222">
        <f>IFERROR(IF(D88="SINAPI-S",VLOOKUP(B88,'20-B.SINAPI-S'!A:J,6,0),IF(D88="SINAPI-I",VLOOKUP(B88,'20-A.SINAPI-I'!A:G,7,0),IF(D88="COMPOSIÇÕES",VLOOKUP(B88,'11.COMPOSIÇÕES GERAIS'!B:I,8,0),VLOOKUP(B88,'12.COT.MERCADO'!A:I,8,0)))),"Em Elaboração")</f>
        <v>40</v>
      </c>
      <c r="J88" s="222">
        <f t="shared" si="93"/>
        <v>0</v>
      </c>
      <c r="K88" s="222">
        <f t="shared" si="94"/>
        <v>46.85338341</v>
      </c>
      <c r="L88" s="222">
        <f t="shared" si="95"/>
        <v>46.85338341</v>
      </c>
      <c r="M88" s="222">
        <f t="shared" si="96"/>
        <v>0</v>
      </c>
      <c r="N88" s="222">
        <f t="shared" si="97"/>
        <v>281.1203004</v>
      </c>
      <c r="O88" s="222">
        <f t="shared" si="98"/>
        <v>281.1203004</v>
      </c>
      <c r="P88" s="223">
        <f t="shared" si="2"/>
        <v>0.000219913169</v>
      </c>
    </row>
    <row r="89">
      <c r="A89" s="216" t="s">
        <v>208</v>
      </c>
      <c r="B89" s="217" t="s">
        <v>165</v>
      </c>
      <c r="C89" s="227" t="str">
        <f t="shared" si="92"/>
        <v>PRÓPRIO</v>
      </c>
      <c r="D89" s="228" t="s">
        <v>110</v>
      </c>
      <c r="E89" s="226" t="str">
        <f>IFERROR(IF(D89="SINAPI-S",VLOOKUP(B89,'20-B.SINAPI-S'!A:J,2,0),IF(D89="SINAPI-I",VLOOKUP(B89,'20-A.SINAPI-I'!A:G,2,0),IF(D89="COMPOSIÇÕES",VLOOKUP(B89,'11.COMPOSIÇÕES GERAIS'!B:I,2,0),VLOOKUP(B89,'12.COT.MERCADO'!A:I,2,0)))),"Em Elaboração")</f>
        <v>Recarga de extintor de água pressurizada classe A - 10 L</v>
      </c>
      <c r="F89" s="221" t="str">
        <f>IFERROR(IF(D89="SINAPI-S",VLOOKUP(B89,'20-B.SINAPI-S'!A:J,3,0),IF(D89="SINAPI-I",VLOOKUP(B89,'20-A.SINAPI-I'!A:G,3,0),IF(D89="COMPOSIÇÕES",VLOOKUP(B89,'11.COMPOSIÇÕES GERAIS'!B:I,3,0),VLOOKUP(B89,'12.COT.MERCADO'!A:I,7,0)))),"Em Elaboração")</f>
        <v>UN </v>
      </c>
      <c r="G89" s="217">
        <v>2.0</v>
      </c>
      <c r="H89" s="222">
        <f>IFERROR(IF(D89="SINAPI-S",VLOOKUP(B89,'20-B.SINAPI-S'!A:J,5,0),IF(D89="SINAPI-I",VLOOKUP(B89,'20-A.SINAPI-I'!A:G,6,0),IF(D89="COMPOSIÇÕES",VLOOKUP(B89,'11.COMPOSIÇÕES GERAIS'!B:I,7,0),0))),"Em Elaboração")</f>
        <v>0</v>
      </c>
      <c r="I89" s="222">
        <f>IFERROR(IF(D89="SINAPI-S",VLOOKUP(B89,'20-B.SINAPI-S'!A:J,6,0),IF(D89="SINAPI-I",VLOOKUP(B89,'20-A.SINAPI-I'!A:G,7,0),IF(D89="COMPOSIÇÕES",VLOOKUP(B89,'11.COMPOSIÇÕES GERAIS'!B:I,8,0),VLOOKUP(B89,'12.COT.MERCADO'!A:I,8,0)))),"Em Elaboração")</f>
        <v>28.7</v>
      </c>
      <c r="J89" s="222">
        <f t="shared" si="93"/>
        <v>0</v>
      </c>
      <c r="K89" s="222">
        <f t="shared" si="94"/>
        <v>33.61730259</v>
      </c>
      <c r="L89" s="222">
        <f t="shared" si="95"/>
        <v>33.61730259</v>
      </c>
      <c r="M89" s="222">
        <f t="shared" si="96"/>
        <v>0</v>
      </c>
      <c r="N89" s="222">
        <f t="shared" si="97"/>
        <v>67.23460519</v>
      </c>
      <c r="O89" s="222">
        <f t="shared" si="98"/>
        <v>67.23460519</v>
      </c>
      <c r="P89" s="223">
        <f t="shared" si="2"/>
        <v>0.00005259589959</v>
      </c>
    </row>
    <row r="90">
      <c r="A90" s="212" t="s">
        <v>209</v>
      </c>
      <c r="B90" s="213" t="s">
        <v>210</v>
      </c>
      <c r="C90" s="44"/>
      <c r="D90" s="44"/>
      <c r="E90" s="44"/>
      <c r="F90" s="44"/>
      <c r="G90" s="44"/>
      <c r="H90" s="44"/>
      <c r="I90" s="44"/>
      <c r="J90" s="44"/>
      <c r="K90" s="44"/>
      <c r="L90" s="44"/>
      <c r="M90" s="214">
        <f t="shared" ref="M90:O90" si="99">SUM(M91)</f>
        <v>0</v>
      </c>
      <c r="N90" s="214">
        <f t="shared" si="99"/>
        <v>1686.721803</v>
      </c>
      <c r="O90" s="214">
        <f t="shared" si="99"/>
        <v>1686.721803</v>
      </c>
      <c r="P90" s="215">
        <f t="shared" si="2"/>
        <v>0.001319479014</v>
      </c>
    </row>
    <row r="91">
      <c r="A91" s="216" t="s">
        <v>211</v>
      </c>
      <c r="B91" s="217" t="s">
        <v>147</v>
      </c>
      <c r="C91" s="227" t="str">
        <f>IF(OR(D91="SINAPI-S",D91="SINAPI-I"),"SINAPI","PRÓPRIO")</f>
        <v>PRÓPRIO</v>
      </c>
      <c r="D91" s="228" t="s">
        <v>110</v>
      </c>
      <c r="E91" s="226" t="str">
        <f>IFERROR(IF(D91="SINAPI-S",VLOOKUP(B91,'20-B.SINAPI-S'!A:J,2,0),IF(D91="SINAPI-I",VLOOKUP(B91,'20-A.SINAPI-I'!A:G,2,0),IF(D91="COMPOSIÇÕES",VLOOKUP(B91,'11.COMPOSIÇÕES GERAIS'!B:I,2,0),VLOOKUP(B91,'12.COT.MERCADO'!A:I,2,0)))),"Em Elaboração")</f>
        <v>Recarga de extintor de gás carbônico (CO2) classe AB - 6Kg</v>
      </c>
      <c r="F91" s="221" t="str">
        <f>IFERROR(IF(D91="SINAPI-S",VLOOKUP(B91,'20-B.SINAPI-S'!A:J,3,0),IF(D91="SINAPI-I",VLOOKUP(B91,'20-A.SINAPI-I'!A:G,3,0),IF(D91="COMPOSIÇÕES",VLOOKUP(B91,'11.COMPOSIÇÕES GERAIS'!B:I,3,0),VLOOKUP(B91,'12.COT.MERCADO'!A:I,7,0)))),"Em Elaboração")</f>
        <v>UN </v>
      </c>
      <c r="G91" s="217">
        <v>24.0</v>
      </c>
      <c r="H91" s="222">
        <f>IFERROR(IF(D91="SINAPI-S",VLOOKUP(B91,'20-B.SINAPI-S'!A:J,5,0),IF(D91="SINAPI-I",VLOOKUP(B91,'20-A.SINAPI-I'!A:G,6,0),IF(D91="COMPOSIÇÕES",VLOOKUP(B91,'11.COMPOSIÇÕES GERAIS'!B:I,7,0),0))),"Em Elaboração")</f>
        <v>0</v>
      </c>
      <c r="I91" s="222">
        <f>IFERROR(IF(D91="SINAPI-S",VLOOKUP(B91,'20-B.SINAPI-S'!A:J,6,0),IF(D91="SINAPI-I",VLOOKUP(B91,'20-A.SINAPI-I'!A:G,7,0),IF(D91="COMPOSIÇÕES",VLOOKUP(B91,'11.COMPOSIÇÕES GERAIS'!B:I,8,0),VLOOKUP(B91,'12.COT.MERCADO'!A:I,8,0)))),"Em Elaboração")</f>
        <v>60</v>
      </c>
      <c r="J91" s="222">
        <f>H91*(1+$J$5)</f>
        <v>0</v>
      </c>
      <c r="K91" s="222">
        <f>I91*(1+$J$8)</f>
        <v>70.28007511</v>
      </c>
      <c r="L91" s="222">
        <f>SUM(J91:K91)</f>
        <v>70.28007511</v>
      </c>
      <c r="M91" s="222">
        <f>J91*G91</f>
        <v>0</v>
      </c>
      <c r="N91" s="222">
        <f>K91*G91</f>
        <v>1686.721803</v>
      </c>
      <c r="O91" s="222">
        <f>SUM(M91:N91)</f>
        <v>1686.721803</v>
      </c>
      <c r="P91" s="223">
        <f t="shared" si="2"/>
        <v>0.001319479014</v>
      </c>
    </row>
    <row r="92">
      <c r="A92" s="212" t="s">
        <v>212</v>
      </c>
      <c r="B92" s="213" t="s">
        <v>213</v>
      </c>
      <c r="C92" s="44"/>
      <c r="D92" s="44"/>
      <c r="E92" s="44"/>
      <c r="F92" s="44"/>
      <c r="G92" s="44"/>
      <c r="H92" s="44"/>
      <c r="I92" s="44"/>
      <c r="J92" s="44"/>
      <c r="K92" s="44"/>
      <c r="L92" s="44"/>
      <c r="M92" s="214">
        <f t="shared" ref="M92:O92" si="100">SUM(M93)</f>
        <v>0</v>
      </c>
      <c r="N92" s="214">
        <f t="shared" si="100"/>
        <v>3246.93947</v>
      </c>
      <c r="O92" s="214">
        <f t="shared" si="100"/>
        <v>3246.93947</v>
      </c>
      <c r="P92" s="215">
        <f t="shared" si="2"/>
        <v>0.002539997102</v>
      </c>
    </row>
    <row r="93">
      <c r="A93" s="216" t="s">
        <v>214</v>
      </c>
      <c r="B93" s="217" t="s">
        <v>201</v>
      </c>
      <c r="C93" s="227" t="str">
        <f>IF(OR(D93="SINAPI-S",D93="SINAPI-I"),"SINAPI","PRÓPRIO")</f>
        <v>PRÓPRIO</v>
      </c>
      <c r="D93" s="228" t="s">
        <v>110</v>
      </c>
      <c r="E93" s="226" t="str">
        <f>IFERROR(IF(D93="SINAPI-S",VLOOKUP(B93,'20-B.SINAPI-S'!A:J,2,0),IF(D93="SINAPI-I",VLOOKUP(B93,'20-A.SINAPI-I'!A:G,2,0),IF(D93="COMPOSIÇÕES",VLOOKUP(B93,'11.COMPOSIÇÕES GERAIS'!B:I,2,0),VLOOKUP(B93,'12.COT.MERCADO'!A:I,2,0)))),"Em Elaboração")</f>
        <v>Substituição de banco de baterias composto por 24 unidades de 45 Ah - Mão de obra e Material</v>
      </c>
      <c r="F93" s="221" t="str">
        <f>IFERROR(IF(D93="SINAPI-S",VLOOKUP(B93,'20-B.SINAPI-S'!A:J,3,0),IF(D93="SINAPI-I",VLOOKUP(B93,'20-A.SINAPI-I'!A:G,3,0),IF(D93="COMPOSIÇÕES",VLOOKUP(B93,'11.COMPOSIÇÕES GERAIS'!B:I,3,0),VLOOKUP(B93,'12.COT.MERCADO'!A:I,7,0)))),"Em Elaboração")</f>
        <v>UN </v>
      </c>
      <c r="G93" s="217">
        <v>6.0</v>
      </c>
      <c r="H93" s="222">
        <f>IFERROR(IF(D93="SINAPI-S",VLOOKUP(B93,'20-B.SINAPI-S'!A:J,5,0),IF(D93="SINAPI-I",VLOOKUP(B93,'20-A.SINAPI-I'!A:G,6,0),IF(D93="COMPOSIÇÕES",VLOOKUP(B93,'11.COMPOSIÇÕES GERAIS'!B:I,7,0),0))),"Em Elaboração")</f>
        <v>0</v>
      </c>
      <c r="I93" s="222">
        <f>IFERROR(IF(D93="SINAPI-S",VLOOKUP(B93,'20-B.SINAPI-S'!A:J,6,0),IF(D93="SINAPI-I",VLOOKUP(B93,'20-A.SINAPI-I'!A:G,7,0),IF(D93="COMPOSIÇÕES",VLOOKUP(B93,'11.COMPOSIÇÕES GERAIS'!B:I,8,0),VLOOKUP(B93,'12.COT.MERCADO'!A:I,8,0)))),"Em Elaboração")</f>
        <v>462</v>
      </c>
      <c r="J93" s="222">
        <f>H93*(1+$J$5)</f>
        <v>0</v>
      </c>
      <c r="K93" s="222">
        <f>I93*(1+$J$8)</f>
        <v>541.1565783</v>
      </c>
      <c r="L93" s="222">
        <f>SUM(J93:K93)</f>
        <v>541.1565783</v>
      </c>
      <c r="M93" s="222">
        <f>J93*G93</f>
        <v>0</v>
      </c>
      <c r="N93" s="222">
        <f>K93*G93</f>
        <v>3246.93947</v>
      </c>
      <c r="O93" s="222">
        <f>SUM(M93:N93)</f>
        <v>3246.93947</v>
      </c>
      <c r="P93" s="223">
        <f t="shared" si="2"/>
        <v>0.002539997102</v>
      </c>
    </row>
    <row r="94" ht="44.25" customHeight="1">
      <c r="A94" s="193" t="s">
        <v>21</v>
      </c>
      <c r="B94" s="229" t="s">
        <v>215</v>
      </c>
      <c r="C94" s="44"/>
      <c r="D94" s="44"/>
      <c r="E94" s="44"/>
      <c r="F94" s="44"/>
      <c r="G94" s="44"/>
      <c r="H94" s="44"/>
      <c r="I94" s="44"/>
      <c r="J94" s="44"/>
      <c r="K94" s="44"/>
      <c r="L94" s="44"/>
      <c r="M94" s="230">
        <f t="shared" ref="M94:O94" si="101">M95+M106+M374</f>
        <v>58237.80867</v>
      </c>
      <c r="N94" s="230">
        <f t="shared" si="101"/>
        <v>253583.0934</v>
      </c>
      <c r="O94" s="230">
        <f t="shared" si="101"/>
        <v>311820.9021</v>
      </c>
      <c r="P94" s="231">
        <f t="shared" si="2"/>
        <v>0.2439294588</v>
      </c>
    </row>
    <row r="95">
      <c r="A95" s="232">
        <v>44931.0</v>
      </c>
      <c r="B95" s="233" t="s">
        <v>216</v>
      </c>
      <c r="C95" s="44"/>
      <c r="D95" s="44"/>
      <c r="E95" s="44"/>
      <c r="F95" s="44"/>
      <c r="G95" s="44"/>
      <c r="H95" s="44"/>
      <c r="I95" s="44"/>
      <c r="J95" s="44"/>
      <c r="K95" s="44"/>
      <c r="L95" s="44"/>
      <c r="M95" s="234">
        <f t="shared" ref="M95:O95" si="102">SUM(M96:M105)</f>
        <v>15941.75654</v>
      </c>
      <c r="N95" s="234">
        <f t="shared" si="102"/>
        <v>1112.240755</v>
      </c>
      <c r="O95" s="234">
        <f t="shared" si="102"/>
        <v>17053.9973</v>
      </c>
      <c r="P95" s="235">
        <f t="shared" si="2"/>
        <v>0.01334090275</v>
      </c>
    </row>
    <row r="96">
      <c r="A96" s="236" t="s">
        <v>217</v>
      </c>
      <c r="B96" s="237">
        <v>88309.0</v>
      </c>
      <c r="C96" s="238" t="str">
        <f t="shared" ref="C96:C105" si="103">IF(OR(D96="SINAPI-S",D96="SINAPI-I"),"SINAPI","PRÓPRIO")</f>
        <v>SINAPI</v>
      </c>
      <c r="D96" s="238" t="s">
        <v>218</v>
      </c>
      <c r="E96" s="239" t="str">
        <f>IFERROR(IF(D96="SINAPI-S",VLOOKUP(B96,'20-B.SINAPI-S'!A:J,2,0),IF(D96="SINAPI-I",VLOOKUP(B96,'20-A.SINAPI-I'!A:G,2,0),IF(D96="COMPOSIÇÕES",VLOOKUP(B96,'11.COMPOSIÇÕES GERAIS'!B:I,2,0),VLOOKUP(B96,'12.COT.MERCADO'!A:I,2,0)))),"Em Elaboração")</f>
        <v>PEDREIRO COM ENCARGOS COMPLEMENTARES</v>
      </c>
      <c r="F96" s="240" t="str">
        <f>IFERROR(IF(D96="SINAPI-S",VLOOKUP(B96,'20-B.SINAPI-S'!A:J,3,0),IF(D96="SINAPI-I",VLOOKUP(B96,'20-A.SINAPI-I'!A:G,3,0),IF(D96="COMPOSIÇÕES",VLOOKUP(B96,'11.COMPOSIÇÕES GERAIS'!B:I,3,0),VLOOKUP(B96,'12.COT.MERCADO'!A:I,7,0)))),"Em Elaboração")</f>
        <v>H</v>
      </c>
      <c r="G96" s="237">
        <v>20.0</v>
      </c>
      <c r="H96" s="241">
        <f>IFERROR(IF(D96="SINAPI-S",VLOOKUP(B96,'20-B.SINAPI-S'!A:J,5,0),IF(D96="SINAPI-I",VLOOKUP(B96,'20-A.SINAPI-I'!A:G,6,0),IF(D96="COMPOSIÇÕES",VLOOKUP(B96,'11.COMPOSIÇÕES GERAIS'!B:I,7,0),0))),"Em Elaboração")</f>
        <v>24.68</v>
      </c>
      <c r="I96" s="241">
        <f>IFERROR(IF(D96="SINAPI-S",VLOOKUP(B96,'20-B.SINAPI-S'!A:J,6,0),IF(D96="SINAPI-I",VLOOKUP(B96,'20-A.SINAPI-I'!A:G,7,0),IF(D96="COMPOSIÇÕES",VLOOKUP(B96,'11.COMPOSIÇÕES GERAIS'!B:I,8,0),VLOOKUP(B96,'12.COT.MERCADO'!A:I,8,0)))),"Em Elaboração")</f>
        <v>7.87</v>
      </c>
      <c r="J96" s="241">
        <f t="shared" ref="J96:J105" si="104">H96*(1+$J$5)</f>
        <v>28.9724189</v>
      </c>
      <c r="K96" s="241">
        <f t="shared" ref="K96:K105" si="105">I96*(1+$J$8)</f>
        <v>9.218403185</v>
      </c>
      <c r="L96" s="241">
        <f t="shared" ref="L96:L105" si="106">SUM(J96:K96)</f>
        <v>38.19082208</v>
      </c>
      <c r="M96" s="241">
        <f t="shared" ref="M96:M105" si="107">J96*G96</f>
        <v>579.448378</v>
      </c>
      <c r="N96" s="241">
        <f t="shared" ref="N96:N105" si="108">K96*G96</f>
        <v>184.3680637</v>
      </c>
      <c r="O96" s="241">
        <f t="shared" ref="O96:O105" si="109">SUM(M96:N96)</f>
        <v>763.8164417</v>
      </c>
      <c r="P96" s="242">
        <f t="shared" si="2"/>
        <v>0.0005975139255</v>
      </c>
    </row>
    <row r="97">
      <c r="A97" s="236" t="s">
        <v>219</v>
      </c>
      <c r="B97" s="237">
        <v>88325.0</v>
      </c>
      <c r="C97" s="238" t="str">
        <f t="shared" si="103"/>
        <v>SINAPI</v>
      </c>
      <c r="D97" s="238" t="s">
        <v>218</v>
      </c>
      <c r="E97" s="239" t="str">
        <f>IFERROR(IF(D97="SINAPI-S",VLOOKUP(B97,'20-B.SINAPI-S'!A:J,2,0),IF(D97="SINAPI-I",VLOOKUP(B97,'20-A.SINAPI-I'!A:G,2,0),IF(D97="COMPOSIÇÕES",VLOOKUP(B97,'11.COMPOSIÇÕES GERAIS'!B:I,2,0),VLOOKUP(B97,'12.COT.MERCADO'!A:I,2,0)))),"Em Elaboração")</f>
        <v>VIDRACEIRO COM ENCARGOS COMPLEMENTARES</v>
      </c>
      <c r="F97" s="240" t="str">
        <f>IFERROR(IF(D97="SINAPI-S",VLOOKUP(B97,'20-B.SINAPI-S'!A:J,3,0),IF(D97="SINAPI-I",VLOOKUP(B97,'20-A.SINAPI-I'!A:G,3,0),IF(D97="COMPOSIÇÕES",VLOOKUP(B97,'11.COMPOSIÇÕES GERAIS'!B:I,3,0),VLOOKUP(B97,'12.COT.MERCADO'!A:I,7,0)))),"Em Elaboração")</f>
        <v>H</v>
      </c>
      <c r="G97" s="237">
        <v>10.0</v>
      </c>
      <c r="H97" s="241">
        <f>IFERROR(IF(D97="SINAPI-S",VLOOKUP(B97,'20-B.SINAPI-S'!A:J,5,0),IF(D97="SINAPI-I",VLOOKUP(B97,'20-A.SINAPI-I'!A:G,6,0),IF(D97="COMPOSIÇÕES",VLOOKUP(B97,'11.COMPOSIÇÕES GERAIS'!B:I,7,0),0))),"Em Elaboração")</f>
        <v>24.86</v>
      </c>
      <c r="I97" s="241">
        <f>IFERROR(IF(D97="SINAPI-S",VLOOKUP(B97,'20-B.SINAPI-S'!A:J,6,0),IF(D97="SINAPI-I",VLOOKUP(B97,'20-A.SINAPI-I'!A:G,7,0),IF(D97="COMPOSIÇÕES",VLOOKUP(B97,'11.COMPOSIÇÕES GERAIS'!B:I,8,0),VLOOKUP(B97,'12.COT.MERCADO'!A:I,8,0)))),"Em Elaboração")</f>
        <v>7.87</v>
      </c>
      <c r="J97" s="241">
        <f t="shared" si="104"/>
        <v>29.18372503</v>
      </c>
      <c r="K97" s="241">
        <f t="shared" si="105"/>
        <v>9.218403185</v>
      </c>
      <c r="L97" s="241">
        <f t="shared" si="106"/>
        <v>38.40212822</v>
      </c>
      <c r="M97" s="241">
        <f t="shared" si="107"/>
        <v>291.8372503</v>
      </c>
      <c r="N97" s="241">
        <f t="shared" si="108"/>
        <v>92.18403185</v>
      </c>
      <c r="O97" s="241">
        <f t="shared" si="109"/>
        <v>384.0212822</v>
      </c>
      <c r="P97" s="242">
        <f t="shared" si="2"/>
        <v>0.0003004099562</v>
      </c>
    </row>
    <row r="98">
      <c r="A98" s="236" t="s">
        <v>220</v>
      </c>
      <c r="B98" s="237">
        <v>88310.0</v>
      </c>
      <c r="C98" s="238" t="str">
        <f t="shared" si="103"/>
        <v>SINAPI</v>
      </c>
      <c r="D98" s="238" t="s">
        <v>218</v>
      </c>
      <c r="E98" s="239" t="str">
        <f>IFERROR(IF(D98="SINAPI-S",VLOOKUP(B98,'20-B.SINAPI-S'!A:J,2,0),IF(D98="SINAPI-I",VLOOKUP(B98,'20-A.SINAPI-I'!A:G,2,0),IF(D98="COMPOSIÇÕES",VLOOKUP(B98,'11.COMPOSIÇÕES GERAIS'!B:I,2,0),VLOOKUP(B98,'12.COT.MERCADO'!A:I,2,0)))),"Em Elaboração")</f>
        <v>PINTOR COM ENCARGOS COMPLEMENTARES</v>
      </c>
      <c r="F98" s="240" t="str">
        <f>IFERROR(IF(D98="SINAPI-S",VLOOKUP(B98,'20-B.SINAPI-S'!A:J,3,0),IF(D98="SINAPI-I",VLOOKUP(B98,'20-A.SINAPI-I'!A:G,3,0),IF(D98="COMPOSIÇÕES",VLOOKUP(B98,'11.COMPOSIÇÕES GERAIS'!B:I,3,0),VLOOKUP(B98,'12.COT.MERCADO'!A:I,7,0)))),"Em Elaboração")</f>
        <v>H</v>
      </c>
      <c r="G98" s="237">
        <v>10.0</v>
      </c>
      <c r="H98" s="241">
        <f>IFERROR(IF(D98="SINAPI-S",VLOOKUP(B98,'20-B.SINAPI-S'!A:J,5,0),IF(D98="SINAPI-I",VLOOKUP(B98,'20-A.SINAPI-I'!A:G,6,0),IF(D98="COMPOSIÇÕES",VLOOKUP(B98,'11.COMPOSIÇÕES GERAIS'!B:I,7,0),0))),"Em Elaboração")</f>
        <v>24.52</v>
      </c>
      <c r="I98" s="241">
        <f>IFERROR(IF(D98="SINAPI-S",VLOOKUP(B98,'20-B.SINAPI-S'!A:J,6,0),IF(D98="SINAPI-I",VLOOKUP(B98,'20-A.SINAPI-I'!A:G,7,0),IF(D98="COMPOSIÇÕES",VLOOKUP(B98,'11.COMPOSIÇÕES GERAIS'!B:I,8,0),VLOOKUP(B98,'12.COT.MERCADO'!A:I,8,0)))),"Em Elaboração")</f>
        <v>9.22</v>
      </c>
      <c r="J98" s="241">
        <f t="shared" si="104"/>
        <v>28.78459122</v>
      </c>
      <c r="K98" s="241">
        <f t="shared" si="105"/>
        <v>10.79970487</v>
      </c>
      <c r="L98" s="241">
        <f t="shared" si="106"/>
        <v>39.5842961</v>
      </c>
      <c r="M98" s="241">
        <f t="shared" si="107"/>
        <v>287.8459122</v>
      </c>
      <c r="N98" s="241">
        <f t="shared" si="108"/>
        <v>107.9970487</v>
      </c>
      <c r="O98" s="241">
        <f t="shared" si="109"/>
        <v>395.842961</v>
      </c>
      <c r="P98" s="242">
        <f t="shared" si="2"/>
        <v>0.000309657751</v>
      </c>
    </row>
    <row r="99">
      <c r="A99" s="236" t="s">
        <v>221</v>
      </c>
      <c r="B99" s="237">
        <v>88267.0</v>
      </c>
      <c r="C99" s="238" t="str">
        <f t="shared" si="103"/>
        <v>SINAPI</v>
      </c>
      <c r="D99" s="238" t="s">
        <v>218</v>
      </c>
      <c r="E99" s="239" t="str">
        <f>IFERROR(IF(D99="SINAPI-S",VLOOKUP(B99,'20-B.SINAPI-S'!A:J,2,0),IF(D99="SINAPI-I",VLOOKUP(B99,'20-A.SINAPI-I'!A:G,2,0),IF(D99="COMPOSIÇÕES",VLOOKUP(B99,'11.COMPOSIÇÕES GERAIS'!B:I,2,0),VLOOKUP(B99,'12.COT.MERCADO'!A:I,2,0)))),"Em Elaboração")</f>
        <v>ENCANADOR OU BOMBEIRO HIDRÁULICO COM ENCARGOS COMPLEMENTARES</v>
      </c>
      <c r="F99" s="240" t="str">
        <f>IFERROR(IF(D99="SINAPI-S",VLOOKUP(B99,'20-B.SINAPI-S'!A:J,3,0),IF(D99="SINAPI-I",VLOOKUP(B99,'20-A.SINAPI-I'!A:G,3,0),IF(D99="COMPOSIÇÕES",VLOOKUP(B99,'11.COMPOSIÇÕES GERAIS'!B:I,3,0),VLOOKUP(B99,'12.COT.MERCADO'!A:I,7,0)))),"Em Elaboração")</f>
        <v>H</v>
      </c>
      <c r="G99" s="237">
        <v>10.0</v>
      </c>
      <c r="H99" s="241">
        <f>IFERROR(IF(D99="SINAPI-S",VLOOKUP(B99,'20-B.SINAPI-S'!A:J,5,0),IF(D99="SINAPI-I",VLOOKUP(B99,'20-A.SINAPI-I'!A:G,6,0),IF(D99="COMPOSIÇÕES",VLOOKUP(B99,'11.COMPOSIÇÕES GERAIS'!B:I,7,0),0))),"Em Elaboração")</f>
        <v>24.6</v>
      </c>
      <c r="I99" s="241">
        <f>IFERROR(IF(D99="SINAPI-S",VLOOKUP(B99,'20-B.SINAPI-S'!A:J,6,0),IF(D99="SINAPI-I",VLOOKUP(B99,'20-A.SINAPI-I'!A:G,7,0),IF(D99="COMPOSIÇÕES",VLOOKUP(B99,'11.COMPOSIÇÕES GERAIS'!B:I,8,0),VLOOKUP(B99,'12.COT.MERCADO'!A:I,8,0)))),"Em Elaboração")</f>
        <v>7.19</v>
      </c>
      <c r="J99" s="241">
        <f t="shared" si="104"/>
        <v>28.87850506</v>
      </c>
      <c r="K99" s="241">
        <f t="shared" si="105"/>
        <v>8.421895667</v>
      </c>
      <c r="L99" s="241">
        <f t="shared" si="106"/>
        <v>37.30040073</v>
      </c>
      <c r="M99" s="241">
        <f t="shared" si="107"/>
        <v>288.7850506</v>
      </c>
      <c r="N99" s="241">
        <f t="shared" si="108"/>
        <v>84.21895667</v>
      </c>
      <c r="O99" s="241">
        <f t="shared" si="109"/>
        <v>373.0040073</v>
      </c>
      <c r="P99" s="242">
        <f t="shared" si="2"/>
        <v>0.0002917914259</v>
      </c>
    </row>
    <row r="100">
      <c r="A100" s="236" t="s">
        <v>222</v>
      </c>
      <c r="B100" s="237">
        <v>88273.0</v>
      </c>
      <c r="C100" s="238" t="str">
        <f t="shared" si="103"/>
        <v>SINAPI</v>
      </c>
      <c r="D100" s="238" t="s">
        <v>218</v>
      </c>
      <c r="E100" s="239" t="str">
        <f>IFERROR(IF(D100="SINAPI-S",VLOOKUP(B100,'20-B.SINAPI-S'!A:J,2,0),IF(D100="SINAPI-I",VLOOKUP(B100,'20-A.SINAPI-I'!A:G,2,0),IF(D100="COMPOSIÇÕES",VLOOKUP(B100,'11.COMPOSIÇÕES GERAIS'!B:I,2,0),VLOOKUP(B100,'12.COT.MERCADO'!A:I,2,0)))),"Em Elaboração")</f>
        <v>MARCENEIRO COM ENCARGOS COMPLEMENTARES</v>
      </c>
      <c r="F100" s="240" t="str">
        <f>IFERROR(IF(D100="SINAPI-S",VLOOKUP(B100,'20-B.SINAPI-S'!A:J,3,0),IF(D100="SINAPI-I",VLOOKUP(B100,'20-A.SINAPI-I'!A:G,3,0),IF(D100="COMPOSIÇÕES",VLOOKUP(B100,'11.COMPOSIÇÕES GERAIS'!B:I,3,0),VLOOKUP(B100,'12.COT.MERCADO'!A:I,7,0)))),"Em Elaboração")</f>
        <v>H</v>
      </c>
      <c r="G100" s="237">
        <v>10.0</v>
      </c>
      <c r="H100" s="241">
        <f>IFERROR(IF(D100="SINAPI-S",VLOOKUP(B100,'20-B.SINAPI-S'!A:J,5,0),IF(D100="SINAPI-I",VLOOKUP(B100,'20-A.SINAPI-I'!A:G,6,0),IF(D100="COMPOSIÇÕES",VLOOKUP(B100,'11.COMPOSIÇÕES GERAIS'!B:I,7,0),0))),"Em Elaboração")</f>
        <v>22.47</v>
      </c>
      <c r="I100" s="241">
        <f>IFERROR(IF(D100="SINAPI-S",VLOOKUP(B100,'20-B.SINAPI-S'!A:J,6,0),IF(D100="SINAPI-I",VLOOKUP(B100,'20-A.SINAPI-I'!A:G,7,0),IF(D100="COMPOSIÇÕES",VLOOKUP(B100,'11.COMPOSIÇÕES GERAIS'!B:I,8,0),VLOOKUP(B100,'12.COT.MERCADO'!A:I,8,0)))),"Em Elaboração")</f>
        <v>7.69</v>
      </c>
      <c r="J100" s="241">
        <f t="shared" si="104"/>
        <v>26.37804914</v>
      </c>
      <c r="K100" s="241">
        <f t="shared" si="105"/>
        <v>9.00756296</v>
      </c>
      <c r="L100" s="241">
        <f t="shared" si="106"/>
        <v>35.3856121</v>
      </c>
      <c r="M100" s="241">
        <f t="shared" si="107"/>
        <v>263.7804914</v>
      </c>
      <c r="N100" s="241">
        <f t="shared" si="108"/>
        <v>90.0756296</v>
      </c>
      <c r="O100" s="241">
        <f t="shared" si="109"/>
        <v>353.856121</v>
      </c>
      <c r="P100" s="242">
        <f t="shared" si="2"/>
        <v>0.0002768125277</v>
      </c>
    </row>
    <row r="101">
      <c r="A101" s="236" t="s">
        <v>223</v>
      </c>
      <c r="B101" s="237">
        <v>88317.0</v>
      </c>
      <c r="C101" s="238" t="str">
        <f t="shared" si="103"/>
        <v>SINAPI</v>
      </c>
      <c r="D101" s="238" t="s">
        <v>218</v>
      </c>
      <c r="E101" s="239" t="str">
        <f>IFERROR(IF(D101="SINAPI-S",VLOOKUP(B101,'20-B.SINAPI-S'!A:J,2,0),IF(D101="SINAPI-I",VLOOKUP(B101,'20-A.SINAPI-I'!A:G,2,0),IF(D101="COMPOSIÇÕES",VLOOKUP(B101,'11.COMPOSIÇÕES GERAIS'!B:I,2,0),VLOOKUP(B101,'12.COT.MERCADO'!A:I,2,0)))),"Em Elaboração")</f>
        <v>SOLDADOR COM ENCARGOS COMPLEMENTARES</v>
      </c>
      <c r="F101" s="240" t="str">
        <f>IFERROR(IF(D101="SINAPI-S",VLOOKUP(B101,'20-B.SINAPI-S'!A:J,3,0),IF(D101="SINAPI-I",VLOOKUP(B101,'20-A.SINAPI-I'!A:G,3,0),IF(D101="COMPOSIÇÕES",VLOOKUP(B101,'11.COMPOSIÇÕES GERAIS'!B:I,3,0),VLOOKUP(B101,'12.COT.MERCADO'!A:I,7,0)))),"Em Elaboração")</f>
        <v>H</v>
      </c>
      <c r="G101" s="237">
        <v>5.0</v>
      </c>
      <c r="H101" s="241">
        <f>IFERROR(IF(D101="SINAPI-S",VLOOKUP(B101,'20-B.SINAPI-S'!A:J,5,0),IF(D101="SINAPI-I",VLOOKUP(B101,'20-A.SINAPI-I'!A:G,6,0),IF(D101="COMPOSIÇÕES",VLOOKUP(B101,'11.COMPOSIÇÕES GERAIS'!B:I,7,0),0))),"Em Elaboração")</f>
        <v>25.12</v>
      </c>
      <c r="I101" s="241">
        <f>IFERROR(IF(D101="SINAPI-S",VLOOKUP(B101,'20-B.SINAPI-S'!A:J,6,0),IF(D101="SINAPI-I",VLOOKUP(B101,'20-A.SINAPI-I'!A:G,7,0),IF(D101="COMPOSIÇÕES",VLOOKUP(B101,'11.COMPOSIÇÕES GERAIS'!B:I,8,0),VLOOKUP(B101,'12.COT.MERCADO'!A:I,8,0)))),"Em Elaboração")</f>
        <v>8.71</v>
      </c>
      <c r="J101" s="241">
        <f t="shared" si="104"/>
        <v>29.48894501</v>
      </c>
      <c r="K101" s="241">
        <f t="shared" si="105"/>
        <v>10.20232424</v>
      </c>
      <c r="L101" s="241">
        <f t="shared" si="106"/>
        <v>39.69126924</v>
      </c>
      <c r="M101" s="241">
        <f t="shared" si="107"/>
        <v>147.444725</v>
      </c>
      <c r="N101" s="241">
        <f t="shared" si="108"/>
        <v>51.01162118</v>
      </c>
      <c r="O101" s="241">
        <f t="shared" si="109"/>
        <v>198.4563462</v>
      </c>
      <c r="P101" s="242">
        <f t="shared" si="2"/>
        <v>0.0001552472872</v>
      </c>
    </row>
    <row r="102">
      <c r="A102" s="236" t="s">
        <v>224</v>
      </c>
      <c r="B102" s="237">
        <v>88315.0</v>
      </c>
      <c r="C102" s="238" t="str">
        <f t="shared" si="103"/>
        <v>SINAPI</v>
      </c>
      <c r="D102" s="238" t="s">
        <v>218</v>
      </c>
      <c r="E102" s="239" t="str">
        <f>IFERROR(IF(D102="SINAPI-S",VLOOKUP(B102,'20-B.SINAPI-S'!A:J,2,0),IF(D102="SINAPI-I",VLOOKUP(B102,'20-A.SINAPI-I'!A:G,2,0),IF(D102="COMPOSIÇÕES",VLOOKUP(B102,'11.COMPOSIÇÕES GERAIS'!B:I,2,0),VLOOKUP(B102,'12.COT.MERCADO'!A:I,2,0)))),"Em Elaboração")</f>
        <v>SERRALHEIRO COM ENCARGOS COMPLEMENTARES</v>
      </c>
      <c r="F102" s="240" t="str">
        <f>IFERROR(IF(D102="SINAPI-S",VLOOKUP(B102,'20-B.SINAPI-S'!A:J,3,0),IF(D102="SINAPI-I",VLOOKUP(B102,'20-A.SINAPI-I'!A:G,3,0),IF(D102="COMPOSIÇÕES",VLOOKUP(B102,'11.COMPOSIÇÕES GERAIS'!B:I,3,0),VLOOKUP(B102,'12.COT.MERCADO'!A:I,7,0)))),"Em Elaboração")</f>
        <v>H</v>
      </c>
      <c r="G102" s="237">
        <v>10.0</v>
      </c>
      <c r="H102" s="241">
        <f>IFERROR(IF(D102="SINAPI-S",VLOOKUP(B102,'20-B.SINAPI-S'!A:J,5,0),IF(D102="SINAPI-I",VLOOKUP(B102,'20-A.SINAPI-I'!A:G,6,0),IF(D102="COMPOSIÇÕES",VLOOKUP(B102,'11.COMPOSIÇÕES GERAIS'!B:I,7,0),0))),"Em Elaboração")</f>
        <v>24.44</v>
      </c>
      <c r="I102" s="241">
        <f>IFERROR(IF(D102="SINAPI-S",VLOOKUP(B102,'20-B.SINAPI-S'!A:J,6,0),IF(D102="SINAPI-I",VLOOKUP(B102,'20-A.SINAPI-I'!A:G,7,0),IF(D102="COMPOSIÇÕES",VLOOKUP(B102,'11.COMPOSIÇÕES GERAIS'!B:I,8,0),VLOOKUP(B102,'12.COT.MERCADO'!A:I,8,0)))),"Em Elaboração")</f>
        <v>7.87</v>
      </c>
      <c r="J102" s="241">
        <f t="shared" si="104"/>
        <v>28.69067739</v>
      </c>
      <c r="K102" s="241">
        <f t="shared" si="105"/>
        <v>9.218403185</v>
      </c>
      <c r="L102" s="241">
        <f t="shared" si="106"/>
        <v>37.90908057</v>
      </c>
      <c r="M102" s="241">
        <f t="shared" si="107"/>
        <v>286.9067739</v>
      </c>
      <c r="N102" s="241">
        <f t="shared" si="108"/>
        <v>92.18403185</v>
      </c>
      <c r="O102" s="241">
        <f t="shared" si="109"/>
        <v>379.0908057</v>
      </c>
      <c r="P102" s="242">
        <f t="shared" si="2"/>
        <v>0.0002965529715</v>
      </c>
    </row>
    <row r="103">
      <c r="A103" s="236" t="s">
        <v>225</v>
      </c>
      <c r="B103" s="237">
        <v>88264.0</v>
      </c>
      <c r="C103" s="238" t="str">
        <f t="shared" si="103"/>
        <v>SINAPI</v>
      </c>
      <c r="D103" s="238" t="s">
        <v>218</v>
      </c>
      <c r="E103" s="239" t="str">
        <f>IFERROR(IF(D103="SINAPI-S",VLOOKUP(B103,'20-B.SINAPI-S'!A:J,2,0),IF(D103="SINAPI-I",VLOOKUP(B103,'20-A.SINAPI-I'!A:G,2,0),IF(D103="COMPOSIÇÕES",VLOOKUP(B103,'11.COMPOSIÇÕES GERAIS'!B:I,2,0),VLOOKUP(B103,'12.COT.MERCADO'!A:I,2,0)))),"Em Elaboração")</f>
        <v>ELETRICISTA COM ENCARGOS COMPLEMENTARES</v>
      </c>
      <c r="F103" s="240" t="str">
        <f>IFERROR(IF(D103="SINAPI-S",VLOOKUP(B103,'20-B.SINAPI-S'!A:J,3,0),IF(D103="SINAPI-I",VLOOKUP(B103,'20-A.SINAPI-I'!A:G,3,0),IF(D103="COMPOSIÇÕES",VLOOKUP(B103,'11.COMPOSIÇÕES GERAIS'!B:I,3,0),VLOOKUP(B103,'12.COT.MERCADO'!A:I,7,0)))),"Em Elaboração")</f>
        <v>H</v>
      </c>
      <c r="G103" s="237">
        <v>20.0</v>
      </c>
      <c r="H103" s="241">
        <f>IFERROR(IF(D103="SINAPI-S",VLOOKUP(B103,'20-B.SINAPI-S'!A:J,5,0),IF(D103="SINAPI-I",VLOOKUP(B103,'20-A.SINAPI-I'!A:G,6,0),IF(D103="COMPOSIÇÕES",VLOOKUP(B103,'11.COMPOSIÇÕES GERAIS'!B:I,7,0),0))),"Em Elaboração")</f>
        <v>25.09</v>
      </c>
      <c r="I103" s="241">
        <f>IFERROR(IF(D103="SINAPI-S",VLOOKUP(B103,'20-B.SINAPI-S'!A:J,6,0),IF(D103="SINAPI-I",VLOOKUP(B103,'20-A.SINAPI-I'!A:G,7,0),IF(D103="COMPOSIÇÕES",VLOOKUP(B103,'11.COMPOSIÇÕES GERAIS'!B:I,8,0),VLOOKUP(B103,'12.COT.MERCADO'!A:I,8,0)))),"Em Elaboração")</f>
        <v>7.86</v>
      </c>
      <c r="J103" s="241">
        <f t="shared" si="104"/>
        <v>29.45372732</v>
      </c>
      <c r="K103" s="241">
        <f t="shared" si="105"/>
        <v>9.206689839</v>
      </c>
      <c r="L103" s="241">
        <f t="shared" si="106"/>
        <v>38.66041716</v>
      </c>
      <c r="M103" s="241">
        <f t="shared" si="107"/>
        <v>589.0745463</v>
      </c>
      <c r="N103" s="241">
        <f t="shared" si="108"/>
        <v>184.1337968</v>
      </c>
      <c r="O103" s="241">
        <f t="shared" si="109"/>
        <v>773.2083431</v>
      </c>
      <c r="P103" s="242">
        <f t="shared" si="2"/>
        <v>0.000604860968</v>
      </c>
    </row>
    <row r="104">
      <c r="A104" s="236" t="s">
        <v>226</v>
      </c>
      <c r="B104" s="237">
        <v>90777.0</v>
      </c>
      <c r="C104" s="238" t="str">
        <f t="shared" si="103"/>
        <v>SINAPI</v>
      </c>
      <c r="D104" s="238" t="s">
        <v>218</v>
      </c>
      <c r="E104" s="239" t="str">
        <f>IFERROR(IF(D104="SINAPI-S",VLOOKUP(B104,'20-B.SINAPI-S'!A:J,2,0),IF(D104="SINAPI-I",VLOOKUP(B104,'20-A.SINAPI-I'!A:G,2,0),IF(D104="COMPOSIÇÕES",VLOOKUP(B104,'11.COMPOSIÇÕES GERAIS'!B:I,2,0),VLOOKUP(B104,'12.COT.MERCADO'!A:I,2,0)))),"Em Elaboração")</f>
        <v>ENGENHEIRO CIVIL DE OBRA JUNIOR COM ENCARGOS COMPLEMENTARES</v>
      </c>
      <c r="F104" s="240" t="str">
        <f>IFERROR(IF(D104="SINAPI-S",VLOOKUP(B104,'20-B.SINAPI-S'!A:J,3,0),IF(D104="SINAPI-I",VLOOKUP(B104,'20-A.SINAPI-I'!A:G,3,0),IF(D104="COMPOSIÇÕES",VLOOKUP(B104,'11.COMPOSIÇÕES GERAIS'!B:I,3,0),VLOOKUP(B104,'12.COT.MERCADO'!A:I,7,0)))),"Em Elaboração")</f>
        <v>H</v>
      </c>
      <c r="G104" s="237">
        <v>80.0</v>
      </c>
      <c r="H104" s="241">
        <f>IFERROR(IF(D104="SINAPI-S",VLOOKUP(B104,'20-B.SINAPI-S'!A:J,5,0),IF(D104="SINAPI-I",VLOOKUP(B104,'20-A.SINAPI-I'!A:G,6,0),IF(D104="COMPOSIÇÕES",VLOOKUP(B104,'11.COMPOSIÇÕES GERAIS'!B:I,7,0),0))),"Em Elaboração")</f>
        <v>112.38</v>
      </c>
      <c r="I104" s="241">
        <f>IFERROR(IF(D104="SINAPI-S",VLOOKUP(B104,'20-B.SINAPI-S'!A:J,6,0),IF(D104="SINAPI-I",VLOOKUP(B104,'20-A.SINAPI-I'!A:G,7,0),IF(D104="COMPOSIÇÕES",VLOOKUP(B104,'11.COMPOSIÇÕES GERAIS'!B:I,8,0),VLOOKUP(B104,'12.COT.MERCADO'!A:I,8,0)))),"Em Elaboração")</f>
        <v>1.93</v>
      </c>
      <c r="J104" s="241">
        <f t="shared" si="104"/>
        <v>131.9254634</v>
      </c>
      <c r="K104" s="241">
        <f t="shared" si="105"/>
        <v>2.260675749</v>
      </c>
      <c r="L104" s="241">
        <f t="shared" si="106"/>
        <v>134.1861391</v>
      </c>
      <c r="M104" s="241">
        <f t="shared" si="107"/>
        <v>10554.03707</v>
      </c>
      <c r="N104" s="241">
        <f t="shared" si="108"/>
        <v>180.8540599</v>
      </c>
      <c r="O104" s="241">
        <f t="shared" si="109"/>
        <v>10734.89113</v>
      </c>
      <c r="P104" s="242">
        <f t="shared" si="2"/>
        <v>0.008397628787</v>
      </c>
    </row>
    <row r="105">
      <c r="A105" s="236" t="s">
        <v>227</v>
      </c>
      <c r="B105" s="237">
        <v>91677.0</v>
      </c>
      <c r="C105" s="238" t="str">
        <f t="shared" si="103"/>
        <v>SINAPI</v>
      </c>
      <c r="D105" s="238" t="s">
        <v>218</v>
      </c>
      <c r="E105" s="239" t="str">
        <f>IFERROR(IF(D105="SINAPI-S",VLOOKUP(B105,'20-B.SINAPI-S'!A:J,2,0),IF(D105="SINAPI-I",VLOOKUP(B105,'20-A.SINAPI-I'!A:G,2,0),IF(D105="COMPOSIÇÕES",VLOOKUP(B105,'11.COMPOSIÇÕES GERAIS'!B:I,2,0),VLOOKUP(B105,'12.COT.MERCADO'!A:I,2,0)))),"Em Elaboração")</f>
        <v>ENGENHEIRO ELETRICISTA COM ENCARGOS COMPLEMENTARES</v>
      </c>
      <c r="F105" s="240" t="str">
        <f>IFERROR(IF(D105="SINAPI-S",VLOOKUP(B105,'20-B.SINAPI-S'!A:J,3,0),IF(D105="SINAPI-I",VLOOKUP(B105,'20-A.SINAPI-I'!A:G,3,0),IF(D105="COMPOSIÇÕES",VLOOKUP(B105,'11.COMPOSIÇÕES GERAIS'!B:I,3,0),VLOOKUP(B105,'12.COT.MERCADO'!A:I,7,0)))),"Em Elaboração")</f>
        <v>H</v>
      </c>
      <c r="G105" s="237">
        <v>20.0</v>
      </c>
      <c r="H105" s="241">
        <f>IFERROR(IF(D105="SINAPI-S",VLOOKUP(B105,'20-B.SINAPI-S'!A:J,5,0),IF(D105="SINAPI-I",VLOOKUP(B105,'20-A.SINAPI-I'!A:G,6,0),IF(D105="COMPOSIÇÕES",VLOOKUP(B105,'11.COMPOSIÇÕES GERAIS'!B:I,7,0),0))),"Em Elaboração")</f>
        <v>112.98</v>
      </c>
      <c r="I105" s="241">
        <f>IFERROR(IF(D105="SINAPI-S",VLOOKUP(B105,'20-B.SINAPI-S'!A:J,6,0),IF(D105="SINAPI-I",VLOOKUP(B105,'20-A.SINAPI-I'!A:G,7,0),IF(D105="COMPOSIÇÕES",VLOOKUP(B105,'11.COMPOSIÇÕES GERAIS'!B:I,8,0),VLOOKUP(B105,'12.COT.MERCADO'!A:I,8,0)))),"Em Elaboração")</f>
        <v>1.93</v>
      </c>
      <c r="J105" s="241">
        <f t="shared" si="104"/>
        <v>132.6298172</v>
      </c>
      <c r="K105" s="241">
        <f t="shared" si="105"/>
        <v>2.260675749</v>
      </c>
      <c r="L105" s="241">
        <f t="shared" si="106"/>
        <v>134.8904929</v>
      </c>
      <c r="M105" s="241">
        <f t="shared" si="107"/>
        <v>2652.596343</v>
      </c>
      <c r="N105" s="241">
        <f t="shared" si="108"/>
        <v>45.21351499</v>
      </c>
      <c r="O105" s="241">
        <f t="shared" si="109"/>
        <v>2697.809858</v>
      </c>
      <c r="P105" s="242">
        <f t="shared" si="2"/>
        <v>0.002110427153</v>
      </c>
    </row>
    <row r="106">
      <c r="A106" s="232">
        <v>44962.0</v>
      </c>
      <c r="B106" s="233" t="s">
        <v>228</v>
      </c>
      <c r="C106" s="44"/>
      <c r="D106" s="44"/>
      <c r="E106" s="44"/>
      <c r="F106" s="44"/>
      <c r="G106" s="44"/>
      <c r="H106" s="44"/>
      <c r="I106" s="44"/>
      <c r="J106" s="44"/>
      <c r="K106" s="44"/>
      <c r="L106" s="44"/>
      <c r="M106" s="234">
        <f t="shared" ref="M106:O106" si="110">SUM(M107:M373)</f>
        <v>42119.25526</v>
      </c>
      <c r="N106" s="234">
        <f t="shared" si="110"/>
        <v>166606.5086</v>
      </c>
      <c r="O106" s="234">
        <f t="shared" si="110"/>
        <v>208725.7638</v>
      </c>
      <c r="P106" s="235">
        <f t="shared" si="2"/>
        <v>0.163280788</v>
      </c>
    </row>
    <row r="107">
      <c r="A107" s="236" t="s">
        <v>229</v>
      </c>
      <c r="B107" s="237" t="str">
        <f>' 19.ARRED_HIST_CONSOLIDADO_E_ME'!H6</f>
        <v>MAN_PR_001</v>
      </c>
      <c r="C107" s="238" t="str">
        <f t="shared" ref="C107:C373" si="111">IF(OR(D107="SINAPI-S",D107="SINAPI-I"),"SINAPI","PRÓPRIO")</f>
        <v>PRÓPRIO</v>
      </c>
      <c r="D107" s="243" t="s">
        <v>230</v>
      </c>
      <c r="E107" s="239" t="str">
        <f>IFERROR(IF(D107="SINAPI-S",VLOOKUP(B107,'20-B.SINAPI-S'!A:J,2,0),IF(D107="SINAPI-I",VLOOKUP(B107,'20-A.SINAPI-I'!A:G,2,0),IF(D107="COMPOSIÇÕES",VLOOKUP(B107,'11.COMPOSIÇÕES GERAIS'!B:I,2,0),VLOOKUP(B107,'12.COT.MERCADO'!A:I,2,0)))),"Em Elaboração")</f>
        <v>FORNECIMENTO E INSTALAÇÃO DE SUPORTE DE PAREDE FIXO PARA TV E MONITOR DE 32 À 80 POLEGADAS</v>
      </c>
      <c r="F107" s="240" t="str">
        <f>IFERROR(IF(D107="SINAPI-S",VLOOKUP(B107,'20-B.SINAPI-S'!A:J,3,0),IF(D107="SINAPI-I",VLOOKUP(B107,'20-A.SINAPI-I'!A:G,3,0),IF(D107="COMPOSIÇÕES",VLOOKUP(B107,'11.COMPOSIÇÕES GERAIS'!B:I,3,0),VLOOKUP(B107,'12.COT.MERCADO'!A:I,7,0)))),"Em Elaboração")</f>
        <v>UN</v>
      </c>
      <c r="G107" s="244">
        <f>VLOOKUP(B107,' 19.ARRED_HIST_CONSOLIDADO_E_ME'!H:O,8,0)</f>
        <v>3</v>
      </c>
      <c r="H107" s="241">
        <f>IFERROR(IF(D107="SINAPI-S",VLOOKUP(B107,'20-B.SINAPI-S'!A:J,5,0),IF(D107="SINAPI-I",VLOOKUP(B107,'20-A.SINAPI-I'!A:G,6,0),IF(D107="COMPOSIÇÕES",VLOOKUP(B107,'11.COMPOSIÇÕES GERAIS'!B:I,7,0),0))),"Em Elaboração")</f>
        <v>62.72</v>
      </c>
      <c r="I107" s="241">
        <f>IFERROR(IF(D107="SINAPI-S",VLOOKUP(B107,'20-B.SINAPI-S'!A:J,6,0),IF(D107="SINAPI-I",VLOOKUP(B107,'20-A.SINAPI-I'!A:G,7,0),IF(D107="COMPOSIÇÕES",VLOOKUP(B107,'11.COMPOSIÇÕES GERAIS'!B:I,8,0),VLOOKUP(B107,'12.COT.MERCADO'!A:I,8,0)))),"Em Elaboração")</f>
        <v>197.26</v>
      </c>
      <c r="J107" s="241">
        <f t="shared" ref="J107:J373" si="112">H107*(1+$J$5)</f>
        <v>73.62844868</v>
      </c>
      <c r="K107" s="241">
        <f t="shared" ref="K107:K373" si="113">I107*(1+$J$8)</f>
        <v>231.0574603</v>
      </c>
      <c r="L107" s="241">
        <f t="shared" ref="L107:L373" si="114">SUM(J107:K107)</f>
        <v>304.6859089</v>
      </c>
      <c r="M107" s="241">
        <f t="shared" ref="M107:M373" si="115">J107*G107</f>
        <v>220.885346</v>
      </c>
      <c r="N107" s="241">
        <f t="shared" ref="N107:N373" si="116">K107*G107</f>
        <v>693.1723808</v>
      </c>
      <c r="O107" s="241">
        <f t="shared" ref="O107:O373" si="117">SUM(M107:N107)</f>
        <v>914.0577268</v>
      </c>
      <c r="P107" s="242">
        <f t="shared" si="2"/>
        <v>0.0007150438125</v>
      </c>
    </row>
    <row r="108">
      <c r="A108" s="236" t="s">
        <v>231</v>
      </c>
      <c r="B108" s="237">
        <f>' 19.ARRED_HIST_CONSOLIDADO_E_ME'!H7</f>
        <v>100903</v>
      </c>
      <c r="C108" s="238" t="str">
        <f t="shared" si="111"/>
        <v>SINAPI</v>
      </c>
      <c r="D108" s="243" t="s">
        <v>218</v>
      </c>
      <c r="E108" s="239" t="str">
        <f>IFERROR(IF(D108="SINAPI-S",VLOOKUP(B108,'20-B.SINAPI-S'!A:J,2,0),IF(D108="SINAPI-I",VLOOKUP(B108,'20-A.SINAPI-I'!A:G,2,0),IF(D108="COMPOSIÇÕES",VLOOKUP(B108,'11.COMPOSIÇÕES GERAIS'!B:I,2,0),VLOOKUP(B108,'12.COT.MERCADO'!A:I,2,0)))),"Em Elaboração")</f>
        <v>LÂMPADA TUBULAR LED DE 18/20 W, BASE G13 - FORNECIMENTO E INSTALAÇÃO. AF_02/2020_PS</v>
      </c>
      <c r="F108" s="240" t="str">
        <f>IFERROR(IF(D108="SINAPI-S",VLOOKUP(B108,'20-B.SINAPI-S'!A:J,3,0),IF(D108="SINAPI-I",VLOOKUP(B108,'20-A.SINAPI-I'!A:G,3,0),IF(D108="COMPOSIÇÕES",VLOOKUP(B108,'11.COMPOSIÇÕES GERAIS'!B:I,3,0),VLOOKUP(B108,'12.COT.MERCADO'!A:I,7,0)))),"Em Elaboração")</f>
        <v>UN</v>
      </c>
      <c r="G108" s="244">
        <f>VLOOKUP(B108,' 19.ARRED_HIST_CONSOLIDADO_E_ME'!H:O,8,0)</f>
        <v>227</v>
      </c>
      <c r="H108" s="241">
        <f>IFERROR(IF(D108="SINAPI-S",VLOOKUP(B108,'20-B.SINAPI-S'!A:J,5,0),IF(D108="SINAPI-I",VLOOKUP(B108,'20-A.SINAPI-I'!A:G,6,0),IF(D108="COMPOSIÇÕES",VLOOKUP(B108,'11.COMPOSIÇÕES GERAIS'!B:I,7,0),0))),"Em Elaboração")</f>
        <v>8.2</v>
      </c>
      <c r="I108" s="241">
        <f>IFERROR(IF(D108="SINAPI-S",VLOOKUP(B108,'20-B.SINAPI-S'!A:J,6,0),IF(D108="SINAPI-I",VLOOKUP(B108,'20-A.SINAPI-I'!A:G,7,0),IF(D108="COMPOSIÇÕES",VLOOKUP(B108,'11.COMPOSIÇÕES GERAIS'!B:I,8,0),VLOOKUP(B108,'12.COT.MERCADO'!A:I,8,0)))),"Em Elaboração")</f>
        <v>24.04</v>
      </c>
      <c r="J108" s="241">
        <f t="shared" si="112"/>
        <v>9.626168354</v>
      </c>
      <c r="K108" s="241">
        <f t="shared" si="113"/>
        <v>28.15888343</v>
      </c>
      <c r="L108" s="241">
        <f t="shared" si="114"/>
        <v>37.78505178</v>
      </c>
      <c r="M108" s="241">
        <f t="shared" si="115"/>
        <v>2185.140216</v>
      </c>
      <c r="N108" s="241">
        <f t="shared" si="116"/>
        <v>6392.066538</v>
      </c>
      <c r="O108" s="241">
        <f t="shared" si="117"/>
        <v>8577.206754</v>
      </c>
      <c r="P108" s="242">
        <f t="shared" si="2"/>
        <v>0.006709727885</v>
      </c>
    </row>
    <row r="109">
      <c r="A109" s="236" t="s">
        <v>232</v>
      </c>
      <c r="B109" s="237">
        <f>' 19.ARRED_HIST_CONSOLIDADO_E_ME'!H8</f>
        <v>91953</v>
      </c>
      <c r="C109" s="238" t="str">
        <f t="shared" si="111"/>
        <v>SINAPI</v>
      </c>
      <c r="D109" s="238" t="s">
        <v>218</v>
      </c>
      <c r="E109" s="239" t="str">
        <f>IFERROR(IF(D109="SINAPI-S",VLOOKUP(B109,'20-B.SINAPI-S'!A:J,2,0),IF(D109="SINAPI-I",VLOOKUP(B109,'20-A.SINAPI-I'!A:G,2,0),IF(D109="COMPOSIÇÕES",VLOOKUP(B109,'11.COMPOSIÇÕES GERAIS'!B:I,2,0),VLOOKUP(B109,'12.COT.MERCADO'!A:I,2,0)))),"Em Elaboração")</f>
        <v>INTERRUPTOR SIMPLES (1 MÓDULO), 10A/250V, INCLUINDO SUPORTE E PLACA - FORNECIMENTO E INSTALAÇÃO. AF_03/2023</v>
      </c>
      <c r="F109" s="240" t="str">
        <f>IFERROR(IF(D109="SINAPI-S",VLOOKUP(B109,'20-B.SINAPI-S'!A:J,3,0),IF(D109="SINAPI-I",VLOOKUP(B109,'20-A.SINAPI-I'!A:G,3,0),IF(D109="COMPOSIÇÕES",VLOOKUP(B109,'11.COMPOSIÇÕES GERAIS'!B:I,3,0),VLOOKUP(B109,'12.COT.MERCADO'!A:I,7,0)))),"Em Elaboração")</f>
        <v>UN</v>
      </c>
      <c r="G109" s="244">
        <f>VLOOKUP(B109,' 19.ARRED_HIST_CONSOLIDADO_E_ME'!H:O,8,0)</f>
        <v>1</v>
      </c>
      <c r="H109" s="241">
        <f>IFERROR(IF(D109="SINAPI-S",VLOOKUP(B109,'20-B.SINAPI-S'!A:J,5,0),IF(D109="SINAPI-I",VLOOKUP(B109,'20-A.SINAPI-I'!A:G,6,0),IF(D109="COMPOSIÇÕES",VLOOKUP(B109,'11.COMPOSIÇÕES GERAIS'!B:I,7,0),0))),"Em Elaboração")</f>
        <v>15.98</v>
      </c>
      <c r="I109" s="241">
        <f>IFERROR(IF(D109="SINAPI-S",VLOOKUP(B109,'20-B.SINAPI-S'!A:J,6,0),IF(D109="SINAPI-I",VLOOKUP(B109,'20-A.SINAPI-I'!A:G,7,0),IF(D109="COMPOSIÇÕES",VLOOKUP(B109,'11.COMPOSIÇÕES GERAIS'!B:I,8,0),VLOOKUP(B109,'12.COT.MERCADO'!A:I,8,0)))),"Em Elaboração")</f>
        <v>17.79</v>
      </c>
      <c r="J109" s="241">
        <f t="shared" si="112"/>
        <v>18.75928906</v>
      </c>
      <c r="K109" s="241">
        <f t="shared" si="113"/>
        <v>20.83804227</v>
      </c>
      <c r="L109" s="241">
        <f t="shared" si="114"/>
        <v>39.59733133</v>
      </c>
      <c r="M109" s="241">
        <f t="shared" si="115"/>
        <v>18.75928906</v>
      </c>
      <c r="N109" s="241">
        <f t="shared" si="116"/>
        <v>20.83804227</v>
      </c>
      <c r="O109" s="241">
        <f t="shared" si="117"/>
        <v>39.59733133</v>
      </c>
      <c r="P109" s="242">
        <f t="shared" si="2"/>
        <v>0.00003097597222</v>
      </c>
    </row>
    <row r="110">
      <c r="A110" s="236" t="s">
        <v>233</v>
      </c>
      <c r="B110" s="237" t="str">
        <f>' 19.ARRED_HIST_CONSOLIDADO_E_ME'!H9</f>
        <v>MAN_PR_002</v>
      </c>
      <c r="C110" s="238" t="str">
        <f t="shared" si="111"/>
        <v>PRÓPRIO</v>
      </c>
      <c r="D110" s="243" t="s">
        <v>230</v>
      </c>
      <c r="E110" s="239" t="str">
        <f>IFERROR(IF(D110="SINAPI-S",VLOOKUP(B110,'20-B.SINAPI-S'!A:J,2,0),IF(D110="SINAPI-I",VLOOKUP(B110,'20-A.SINAPI-I'!A:G,2,0),IF(D110="COMPOSIÇÕES",VLOOKUP(B110,'11.COMPOSIÇÕES GERAIS'!B:I,2,0),VLOOKUP(B110,'12.COT.MERCADO'!A:I,2,0)))),"Em Elaboração")</f>
        <v>FORNECIMENTO E INSTALAÇÃO DE CABO DE AÇO 1/8 REVESTIDO COM PVC, TOTAL 50M, PARA PORTA BANDEIRAS</v>
      </c>
      <c r="F110" s="240" t="str">
        <f>IFERROR(IF(D110="SINAPI-S",VLOOKUP(B110,'20-B.SINAPI-S'!A:J,3,0),IF(D110="SINAPI-I",VLOOKUP(B110,'20-A.SINAPI-I'!A:G,3,0),IF(D110="COMPOSIÇÕES",VLOOKUP(B110,'11.COMPOSIÇÕES GERAIS'!B:I,3,0),VLOOKUP(B110,'12.COT.MERCADO'!A:I,7,0)))),"Em Elaboração")</f>
        <v>UN</v>
      </c>
      <c r="G110" s="244">
        <f>VLOOKUP(B110,' 19.ARRED_HIST_CONSOLIDADO_E_ME'!H:O,8,0)</f>
        <v>2</v>
      </c>
      <c r="H110" s="241">
        <f>IFERROR(IF(D110="SINAPI-S",VLOOKUP(B110,'20-B.SINAPI-S'!A:J,5,0),IF(D110="SINAPI-I",VLOOKUP(B110,'20-A.SINAPI-I'!A:G,6,0),IF(D110="COMPOSIÇÕES",VLOOKUP(B110,'11.COMPOSIÇÕES GERAIS'!B:I,7,0),0))),"Em Elaboração")</f>
        <v>252.625</v>
      </c>
      <c r="I110" s="241">
        <f>IFERROR(IF(D110="SINAPI-S",VLOOKUP(B110,'20-B.SINAPI-S'!A:J,6,0),IF(D110="SINAPI-I",VLOOKUP(B110,'20-A.SINAPI-I'!A:G,7,0),IF(D110="COMPOSIÇÕES",VLOOKUP(B110,'11.COMPOSIÇÕES GERAIS'!B:I,8,0),VLOOKUP(B110,'12.COT.MERCADO'!A:I,8,0)))),"Em Elaboração")</f>
        <v>528.2825</v>
      </c>
      <c r="J110" s="241">
        <f t="shared" si="112"/>
        <v>296.5622903</v>
      </c>
      <c r="K110" s="241">
        <f t="shared" si="113"/>
        <v>618.795563</v>
      </c>
      <c r="L110" s="241">
        <f t="shared" si="114"/>
        <v>915.3578533</v>
      </c>
      <c r="M110" s="241">
        <f t="shared" si="115"/>
        <v>593.1245806</v>
      </c>
      <c r="N110" s="241">
        <f t="shared" si="116"/>
        <v>1237.591126</v>
      </c>
      <c r="O110" s="241">
        <f t="shared" si="117"/>
        <v>1830.715707</v>
      </c>
      <c r="P110" s="242">
        <f t="shared" si="2"/>
        <v>0.001432121736</v>
      </c>
    </row>
    <row r="111">
      <c r="A111" s="236" t="s">
        <v>234</v>
      </c>
      <c r="B111" s="237" t="str">
        <f>' 19.ARRED_HIST_CONSOLIDADO_E_ME'!H10</f>
        <v>MAN_PR_003</v>
      </c>
      <c r="C111" s="238" t="str">
        <f t="shared" si="111"/>
        <v>PRÓPRIO</v>
      </c>
      <c r="D111" s="243" t="s">
        <v>230</v>
      </c>
      <c r="E111" s="239" t="str">
        <f>IFERROR(IF(D111="SINAPI-S",VLOOKUP(B111,'20-B.SINAPI-S'!A:J,2,0),IF(D111="SINAPI-I",VLOOKUP(B111,'20-A.SINAPI-I'!A:G,2,0),IF(D111="COMPOSIÇÕES",VLOOKUP(B111,'11.COMPOSIÇÕES GERAIS'!B:I,2,0),VLOOKUP(B111,'12.COT.MERCADO'!A:I,2,0)))),"Em Elaboração")</f>
        <v>FORNECIMENTO E INSTALAÇÃO DE VENTILADOR DE PAREDE 50CM COM 6 PÁS, 200W, BIVOLT</v>
      </c>
      <c r="F111" s="240" t="str">
        <f>IFERROR(IF(D111="SINAPI-S",VLOOKUP(B111,'20-B.SINAPI-S'!A:J,3,0),IF(D111="SINAPI-I",VLOOKUP(B111,'20-A.SINAPI-I'!A:G,3,0),IF(D111="COMPOSIÇÕES",VLOOKUP(B111,'11.COMPOSIÇÕES GERAIS'!B:I,3,0),VLOOKUP(B111,'12.COT.MERCADO'!A:I,7,0)))),"Em Elaboração")</f>
        <v>UN</v>
      </c>
      <c r="G111" s="244">
        <f>VLOOKUP(B111,' 19.ARRED_HIST_CONSOLIDADO_E_ME'!H:O,8,0)</f>
        <v>4</v>
      </c>
      <c r="H111" s="241">
        <f>IFERROR(IF(D111="SINAPI-S",VLOOKUP(B111,'20-B.SINAPI-S'!A:J,5,0),IF(D111="SINAPI-I",VLOOKUP(B111,'20-A.SINAPI-I'!A:G,6,0),IF(D111="COMPOSIÇÕES",VLOOKUP(B111,'11.COMPOSIÇÕES GERAIS'!B:I,7,0),0))),"Em Elaboração")</f>
        <v>44.29</v>
      </c>
      <c r="I111" s="241">
        <f>IFERROR(IF(D111="SINAPI-S",VLOOKUP(B111,'20-B.SINAPI-S'!A:J,6,0),IF(D111="SINAPI-I",VLOOKUP(B111,'20-A.SINAPI-I'!A:G,7,0),IF(D111="COMPOSIÇÕES",VLOOKUP(B111,'11.COMPOSIÇÕES GERAIS'!B:I,8,0),VLOOKUP(B111,'12.COT.MERCADO'!A:I,8,0)))),"Em Elaboração")</f>
        <v>231.52</v>
      </c>
      <c r="J111" s="241">
        <f t="shared" si="112"/>
        <v>51.99304834</v>
      </c>
      <c r="K111" s="241">
        <f t="shared" si="113"/>
        <v>271.1873832</v>
      </c>
      <c r="L111" s="241">
        <f t="shared" si="114"/>
        <v>323.1804315</v>
      </c>
      <c r="M111" s="241">
        <f t="shared" si="115"/>
        <v>207.9721934</v>
      </c>
      <c r="N111" s="241">
        <f t="shared" si="116"/>
        <v>1084.749533</v>
      </c>
      <c r="O111" s="241">
        <f t="shared" si="117"/>
        <v>1292.721726</v>
      </c>
      <c r="P111" s="242">
        <f t="shared" si="2"/>
        <v>0.001011262904</v>
      </c>
    </row>
    <row r="112">
      <c r="A112" s="236" t="s">
        <v>235</v>
      </c>
      <c r="B112" s="237" t="str">
        <f>' 19.ARRED_HIST_CONSOLIDADO_E_ME'!H11</f>
        <v>MAN_PR_004</v>
      </c>
      <c r="C112" s="238" t="str">
        <f t="shared" si="111"/>
        <v>PRÓPRIO</v>
      </c>
      <c r="D112" s="243" t="s">
        <v>230</v>
      </c>
      <c r="E112" s="239" t="str">
        <f>IFERROR(IF(D112="SINAPI-S",VLOOKUP(B112,'20-B.SINAPI-S'!A:J,2,0),IF(D112="SINAPI-I",VLOOKUP(B112,'20-A.SINAPI-I'!A:G,2,0),IF(D112="COMPOSIÇÕES",VLOOKUP(B112,'11.COMPOSIÇÕES GERAIS'!B:I,2,0),VLOOKUP(B112,'12.COT.MERCADO'!A:I,2,0)))),"Em Elaboração")</f>
        <v>FORNECIMENTO E INSTALAÇÃO DE PLACAS DE FORRO DE FIBRA MINERAL - EXCLUSIVE ESTRUTURA DE SUSTENTAÇÃO</v>
      </c>
      <c r="F112" s="240" t="str">
        <f>IFERROR(IF(D112="SINAPI-S",VLOOKUP(B112,'20-B.SINAPI-S'!A:J,3,0),IF(D112="SINAPI-I",VLOOKUP(B112,'20-A.SINAPI-I'!A:G,3,0),IF(D112="COMPOSIÇÕES",VLOOKUP(B112,'11.COMPOSIÇÕES GERAIS'!B:I,3,0),VLOOKUP(B112,'12.COT.MERCADO'!A:I,7,0)))),"Em Elaboração")</f>
        <v>UN</v>
      </c>
      <c r="G112" s="244">
        <f>VLOOKUP(B112,' 19.ARRED_HIST_CONSOLIDADO_E_ME'!H:O,8,0)</f>
        <v>35</v>
      </c>
      <c r="H112" s="241">
        <f>IFERROR(IF(D112="SINAPI-S",VLOOKUP(B112,'20-B.SINAPI-S'!A:J,5,0),IF(D112="SINAPI-I",VLOOKUP(B112,'20-A.SINAPI-I'!A:G,6,0),IF(D112="COMPOSIÇÕES",VLOOKUP(B112,'11.COMPOSIÇÕES GERAIS'!B:I,7,0),0))),"Em Elaboração")</f>
        <v>4.98273</v>
      </c>
      <c r="I112" s="241">
        <f>IFERROR(IF(D112="SINAPI-S",VLOOKUP(B112,'20-B.SINAPI-S'!A:J,6,0),IF(D112="SINAPI-I",VLOOKUP(B112,'20-A.SINAPI-I'!A:G,7,0),IF(D112="COMPOSIÇÕES",VLOOKUP(B112,'11.COMPOSIÇÕES GERAIS'!B:I,8,0),VLOOKUP(B112,'12.COT.MERCADO'!A:I,8,0)))),"Em Elaboração")</f>
        <v>47.27397</v>
      </c>
      <c r="J112" s="241">
        <f t="shared" si="112"/>
        <v>5.8493412</v>
      </c>
      <c r="K112" s="241">
        <f t="shared" si="113"/>
        <v>55.37363604</v>
      </c>
      <c r="L112" s="241">
        <f t="shared" si="114"/>
        <v>61.22297724</v>
      </c>
      <c r="M112" s="241">
        <f t="shared" si="115"/>
        <v>204.726942</v>
      </c>
      <c r="N112" s="241">
        <f t="shared" si="116"/>
        <v>1938.077261</v>
      </c>
      <c r="O112" s="241">
        <f t="shared" si="117"/>
        <v>2142.804203</v>
      </c>
      <c r="P112" s="242">
        <f t="shared" si="2"/>
        <v>0.001676260527</v>
      </c>
    </row>
    <row r="113">
      <c r="A113" s="236" t="s">
        <v>236</v>
      </c>
      <c r="B113" s="237" t="str">
        <f>' 19.ARRED_HIST_CONSOLIDADO_E_ME'!H12</f>
        <v>MAN_PR_005</v>
      </c>
      <c r="C113" s="238" t="str">
        <f t="shared" si="111"/>
        <v>PRÓPRIO</v>
      </c>
      <c r="D113" s="243" t="s">
        <v>230</v>
      </c>
      <c r="E113" s="239" t="str">
        <f>IFERROR(IF(D113="SINAPI-S",VLOOKUP(B113,'20-B.SINAPI-S'!A:J,2,0),IF(D113="SINAPI-I",VLOOKUP(B113,'20-A.SINAPI-I'!A:G,2,0),IF(D113="COMPOSIÇÕES",VLOOKUP(B113,'11.COMPOSIÇÕES GERAIS'!B:I,2,0),VLOOKUP(B113,'12.COT.MERCADO'!A:I,2,0)))),"Em Elaboração")</f>
        <v>FORNECIMENTO E INSTALAÇÃO DE BATERIA SELADA 12V - 60 AH</v>
      </c>
      <c r="F113" s="240" t="str">
        <f>IFERROR(IF(D113="SINAPI-S",VLOOKUP(B113,'20-B.SINAPI-S'!A:J,3,0),IF(D113="SINAPI-I",VLOOKUP(B113,'20-A.SINAPI-I'!A:G,3,0),IF(D113="COMPOSIÇÕES",VLOOKUP(B113,'11.COMPOSIÇÕES GERAIS'!B:I,3,0),VLOOKUP(B113,'12.COT.MERCADO'!A:I,7,0)))),"Em Elaboração")</f>
        <v>UN</v>
      </c>
      <c r="G113" s="244">
        <f>VLOOKUP(B113,' 19.ARRED_HIST_CONSOLIDADO_E_ME'!H:O,8,0)</f>
        <v>9</v>
      </c>
      <c r="H113" s="241">
        <f>IFERROR(IF(D113="SINAPI-S",VLOOKUP(B113,'20-B.SINAPI-S'!A:J,5,0),IF(D113="SINAPI-I",VLOOKUP(B113,'20-A.SINAPI-I'!A:G,6,0),IF(D113="COMPOSIÇÕES",VLOOKUP(B113,'11.COMPOSIÇÕES GERAIS'!B:I,7,0),0))),"Em Elaboração")</f>
        <v>22.145</v>
      </c>
      <c r="I113" s="241">
        <f>IFERROR(IF(D113="SINAPI-S",VLOOKUP(B113,'20-B.SINAPI-S'!A:J,6,0),IF(D113="SINAPI-I",VLOOKUP(B113,'20-A.SINAPI-I'!A:G,7,0),IF(D113="COMPOSIÇÕES",VLOOKUP(B113,'11.COMPOSIÇÕES GERAIS'!B:I,8,0),VLOOKUP(B113,'12.COT.MERCADO'!A:I,8,0)))),"Em Elaboração")</f>
        <v>483.72</v>
      </c>
      <c r="J113" s="241">
        <f t="shared" si="112"/>
        <v>25.99652417</v>
      </c>
      <c r="K113" s="241">
        <f t="shared" si="113"/>
        <v>566.5979655</v>
      </c>
      <c r="L113" s="241">
        <f t="shared" si="114"/>
        <v>592.5944897</v>
      </c>
      <c r="M113" s="241">
        <f t="shared" si="115"/>
        <v>233.9687175</v>
      </c>
      <c r="N113" s="241">
        <f t="shared" si="116"/>
        <v>5099.38169</v>
      </c>
      <c r="O113" s="241">
        <f t="shared" si="117"/>
        <v>5333.350407</v>
      </c>
      <c r="P113" s="242">
        <f t="shared" si="2"/>
        <v>0.00417214263</v>
      </c>
    </row>
    <row r="114">
      <c r="A114" s="236" t="s">
        <v>237</v>
      </c>
      <c r="B114" s="237">
        <f>' 19.ARRED_HIST_CONSOLIDADO_E_ME'!H13</f>
        <v>88489</v>
      </c>
      <c r="C114" s="238" t="str">
        <f t="shared" si="111"/>
        <v>SINAPI</v>
      </c>
      <c r="D114" s="238" t="s">
        <v>218</v>
      </c>
      <c r="E114" s="239" t="str">
        <f>IFERROR(IF(D114="SINAPI-S",VLOOKUP(B114,'20-B.SINAPI-S'!A:J,2,0),IF(D114="SINAPI-I",VLOOKUP(B114,'20-A.SINAPI-I'!A:G,2,0),IF(D114="COMPOSIÇÕES",VLOOKUP(B114,'11.COMPOSIÇÕES GERAIS'!B:I,2,0),VLOOKUP(B114,'12.COT.MERCADO'!A:I,2,0)))),"Em Elaboração")</f>
        <v>PINTURA LÁTEX ACRÍLICA PREMIUM, APLICAÇÃO MANUAL EM PAREDES, DUAS DEMÃOS. AF_04/2023</v>
      </c>
      <c r="F114" s="240" t="str">
        <f>IFERROR(IF(D114="SINAPI-S",VLOOKUP(B114,'20-B.SINAPI-S'!A:J,3,0),IF(D114="SINAPI-I",VLOOKUP(B114,'20-A.SINAPI-I'!A:G,3,0),IF(D114="COMPOSIÇÕES",VLOOKUP(B114,'11.COMPOSIÇÕES GERAIS'!B:I,3,0),VLOOKUP(B114,'12.COT.MERCADO'!A:I,7,0)))),"Em Elaboração")</f>
        <v>M2</v>
      </c>
      <c r="G114" s="244">
        <f>VLOOKUP(B114,' 19.ARRED_HIST_CONSOLIDADO_E_ME'!H:O,8,0)</f>
        <v>50</v>
      </c>
      <c r="H114" s="241">
        <f>IFERROR(IF(D114="SINAPI-S",VLOOKUP(B114,'20-B.SINAPI-S'!A:J,5,0),IF(D114="SINAPI-I",VLOOKUP(B114,'20-A.SINAPI-I'!A:G,6,0),IF(D114="COMPOSIÇÕES",VLOOKUP(B114,'11.COMPOSIÇÕES GERAIS'!B:I,7,0),0))),"Em Elaboração")</f>
        <v>4.95</v>
      </c>
      <c r="I114" s="241">
        <f>IFERROR(IF(D114="SINAPI-S",VLOOKUP(B114,'20-B.SINAPI-S'!A:J,6,0),IF(D114="SINAPI-I",VLOOKUP(B114,'20-A.SINAPI-I'!A:G,7,0),IF(D114="COMPOSIÇÕES",VLOOKUP(B114,'11.COMPOSIÇÕES GERAIS'!B:I,8,0),VLOOKUP(B114,'12.COT.MERCADO'!A:I,8,0)))),"Em Elaboração")</f>
        <v>8.21</v>
      </c>
      <c r="J114" s="241">
        <f t="shared" si="112"/>
        <v>5.810918702</v>
      </c>
      <c r="K114" s="241">
        <f t="shared" si="113"/>
        <v>9.616656944</v>
      </c>
      <c r="L114" s="241">
        <f t="shared" si="114"/>
        <v>15.42757565</v>
      </c>
      <c r="M114" s="241">
        <f t="shared" si="115"/>
        <v>290.5459351</v>
      </c>
      <c r="N114" s="241">
        <f t="shared" si="116"/>
        <v>480.8328472</v>
      </c>
      <c r="O114" s="241">
        <f t="shared" si="117"/>
        <v>771.3787823</v>
      </c>
      <c r="P114" s="242">
        <f t="shared" si="2"/>
        <v>0.0006034297497</v>
      </c>
    </row>
    <row r="115">
      <c r="A115" s="236" t="s">
        <v>238</v>
      </c>
      <c r="B115" s="237">
        <f>' 19.ARRED_HIST_CONSOLIDADO_E_ME'!H14</f>
        <v>102209</v>
      </c>
      <c r="C115" s="238" t="str">
        <f t="shared" si="111"/>
        <v>SINAPI</v>
      </c>
      <c r="D115" s="238" t="s">
        <v>218</v>
      </c>
      <c r="E115" s="239" t="str">
        <f>IFERROR(IF(D115="SINAPI-S",VLOOKUP(B115,'20-B.SINAPI-S'!A:J,2,0),IF(D115="SINAPI-I",VLOOKUP(B115,'20-A.SINAPI-I'!A:G,2,0),IF(D115="COMPOSIÇÕES",VLOOKUP(B115,'11.COMPOSIÇÕES GERAIS'!B:I,2,0),VLOOKUP(B115,'12.COT.MERCADO'!A:I,2,0)))),"Em Elaboração")</f>
        <v>PINTURA TINTA DE ACABAMENTO (PIGMENTADA) ESMALTE SINTÉTICO ACETINADO EM MADEIRA, 1 DEMÃO. AF_01/2021</v>
      </c>
      <c r="F115" s="240" t="str">
        <f>IFERROR(IF(D115="SINAPI-S",VLOOKUP(B115,'20-B.SINAPI-S'!A:J,3,0),IF(D115="SINAPI-I",VLOOKUP(B115,'20-A.SINAPI-I'!A:G,3,0),IF(D115="COMPOSIÇÕES",VLOOKUP(B115,'11.COMPOSIÇÕES GERAIS'!B:I,3,0),VLOOKUP(B115,'12.COT.MERCADO'!A:I,7,0)))),"Em Elaboração")</f>
        <v>M2</v>
      </c>
      <c r="G115" s="244">
        <f>VLOOKUP(B115,' 19.ARRED_HIST_CONSOLIDADO_E_ME'!H:O,8,0)</f>
        <v>3</v>
      </c>
      <c r="H115" s="241">
        <f>IFERROR(IF(D115="SINAPI-S",VLOOKUP(B115,'20-B.SINAPI-S'!A:J,5,0),IF(D115="SINAPI-I",VLOOKUP(B115,'20-A.SINAPI-I'!A:G,6,0),IF(D115="COMPOSIÇÕES",VLOOKUP(B115,'11.COMPOSIÇÕES GERAIS'!B:I,7,0),0))),"Em Elaboração")</f>
        <v>4.69</v>
      </c>
      <c r="I115" s="241">
        <f>IFERROR(IF(D115="SINAPI-S",VLOOKUP(B115,'20-B.SINAPI-S'!A:J,6,0),IF(D115="SINAPI-I",VLOOKUP(B115,'20-A.SINAPI-I'!A:G,7,0),IF(D115="COMPOSIÇÕES",VLOOKUP(B115,'11.COMPOSIÇÕES GERAIS'!B:I,8,0),VLOOKUP(B115,'12.COT.MERCADO'!A:I,8,0)))),"Em Elaboração")</f>
        <v>4.62</v>
      </c>
      <c r="J115" s="241">
        <f t="shared" si="112"/>
        <v>5.505698729</v>
      </c>
      <c r="K115" s="241">
        <f t="shared" si="113"/>
        <v>5.411565783</v>
      </c>
      <c r="L115" s="241">
        <f t="shared" si="114"/>
        <v>10.91726451</v>
      </c>
      <c r="M115" s="241">
        <f t="shared" si="115"/>
        <v>16.51709619</v>
      </c>
      <c r="N115" s="241">
        <f t="shared" si="116"/>
        <v>16.23469735</v>
      </c>
      <c r="O115" s="241">
        <f t="shared" si="117"/>
        <v>32.75179354</v>
      </c>
      <c r="P115" s="242">
        <f t="shared" si="2"/>
        <v>0.00002562088436</v>
      </c>
    </row>
    <row r="116">
      <c r="A116" s="236" t="s">
        <v>239</v>
      </c>
      <c r="B116" s="237">
        <f>' 19.ARRED_HIST_CONSOLIDADO_E_ME'!H15</f>
        <v>93653</v>
      </c>
      <c r="C116" s="238" t="str">
        <f t="shared" si="111"/>
        <v>SINAPI</v>
      </c>
      <c r="D116" s="238" t="s">
        <v>218</v>
      </c>
      <c r="E116" s="239" t="str">
        <f>IFERROR(IF(D116="SINAPI-S",VLOOKUP(B116,'20-B.SINAPI-S'!A:J,2,0),IF(D116="SINAPI-I",VLOOKUP(B116,'20-A.SINAPI-I'!A:G,2,0),IF(D116="COMPOSIÇÕES",VLOOKUP(B116,'11.COMPOSIÇÕES GERAIS'!B:I,2,0),VLOOKUP(B116,'12.COT.MERCADO'!A:I,2,0)))),"Em Elaboração")</f>
        <v>DISJUNTOR MONOPOLAR TIPO DIN, CORRENTE NOMINAL DE 10A - FORNECIMENTO E INSTALAÇÃO. AF_10/2020</v>
      </c>
      <c r="F116" s="240" t="str">
        <f>IFERROR(IF(D116="SINAPI-S",VLOOKUP(B116,'20-B.SINAPI-S'!A:J,3,0),IF(D116="SINAPI-I",VLOOKUP(B116,'20-A.SINAPI-I'!A:G,3,0),IF(D116="COMPOSIÇÕES",VLOOKUP(B116,'11.COMPOSIÇÕES GERAIS'!B:I,3,0),VLOOKUP(B116,'12.COT.MERCADO'!A:I,7,0)))),"Em Elaboração")</f>
        <v>UN</v>
      </c>
      <c r="G116" s="244">
        <f>VLOOKUP(B116,' 19.ARRED_HIST_CONSOLIDADO_E_ME'!H:O,8,0)</f>
        <v>4</v>
      </c>
      <c r="H116" s="241">
        <f>IFERROR(IF(D116="SINAPI-S",VLOOKUP(B116,'20-B.SINAPI-S'!A:J,5,0),IF(D116="SINAPI-I",VLOOKUP(B116,'20-A.SINAPI-I'!A:G,6,0),IF(D116="COMPOSIÇÕES",VLOOKUP(B116,'11.COMPOSIÇÕES GERAIS'!B:I,7,0),0))),"Em Elaboração")</f>
        <v>1.55</v>
      </c>
      <c r="I116" s="241">
        <f>IFERROR(IF(D116="SINAPI-S",VLOOKUP(B116,'20-B.SINAPI-S'!A:J,6,0),IF(D116="SINAPI-I",VLOOKUP(B116,'20-A.SINAPI-I'!A:G,7,0),IF(D116="COMPOSIÇÕES",VLOOKUP(B116,'11.COMPOSIÇÕES GERAIS'!B:I,8,0),VLOOKUP(B116,'12.COT.MERCADO'!A:I,8,0)))),"Em Elaboração")</f>
        <v>10.73</v>
      </c>
      <c r="J116" s="241">
        <f t="shared" si="112"/>
        <v>1.819580604</v>
      </c>
      <c r="K116" s="241">
        <f t="shared" si="113"/>
        <v>12.5684201</v>
      </c>
      <c r="L116" s="241">
        <f t="shared" si="114"/>
        <v>14.3880007</v>
      </c>
      <c r="M116" s="241">
        <f t="shared" si="115"/>
        <v>7.278322414</v>
      </c>
      <c r="N116" s="241">
        <f t="shared" si="116"/>
        <v>50.27368039</v>
      </c>
      <c r="O116" s="241">
        <f t="shared" si="117"/>
        <v>57.55200281</v>
      </c>
      <c r="P116" s="242">
        <f t="shared" si="2"/>
        <v>0.00004502144919</v>
      </c>
    </row>
    <row r="117">
      <c r="A117" s="236" t="s">
        <v>240</v>
      </c>
      <c r="B117" s="237">
        <f>' 19.ARRED_HIST_CONSOLIDADO_E_ME'!H16</f>
        <v>96358</v>
      </c>
      <c r="C117" s="238" t="str">
        <f t="shared" si="111"/>
        <v>SINAPI</v>
      </c>
      <c r="D117" s="238" t="s">
        <v>218</v>
      </c>
      <c r="E117" s="239" t="str">
        <f>IFERROR(IF(D117="SINAPI-S",VLOOKUP(B117,'20-B.SINAPI-S'!A:J,2,0),IF(D117="SINAPI-I",VLOOKUP(B117,'20-A.SINAPI-I'!A:G,2,0),IF(D117="COMPOSIÇÕES",VLOOKUP(B117,'11.COMPOSIÇÕES GERAIS'!B:I,2,0),VLOOKUP(B117,'12.COT.MERCADO'!A:I,2,0)))),"Em Elaboração")</f>
        <v>PAREDE COM PLACAS DE GESSO ACARTONADO (DRYWALL), PARA USO INTERNO, COM DUAS FACES SIMPLES E ESTRUTURA METÁLICA COM GUIAS SIMPLES, SEM VÃOS. AF_06/2017_PS</v>
      </c>
      <c r="F117" s="240" t="str">
        <f>IFERROR(IF(D117="SINAPI-S",VLOOKUP(B117,'20-B.SINAPI-S'!A:J,3,0),IF(D117="SINAPI-I",VLOOKUP(B117,'20-A.SINAPI-I'!A:G,3,0),IF(D117="COMPOSIÇÕES",VLOOKUP(B117,'11.COMPOSIÇÕES GERAIS'!B:I,3,0),VLOOKUP(B117,'12.COT.MERCADO'!A:I,7,0)))),"Em Elaboração")</f>
        <v>M2</v>
      </c>
      <c r="G117" s="244">
        <f>VLOOKUP(B117,' 19.ARRED_HIST_CONSOLIDADO_E_ME'!H:O,8,0)</f>
        <v>6</v>
      </c>
      <c r="H117" s="241">
        <f>IFERROR(IF(D117="SINAPI-S",VLOOKUP(B117,'20-B.SINAPI-S'!A:J,5,0),IF(D117="SINAPI-I",VLOOKUP(B117,'20-A.SINAPI-I'!A:G,6,0),IF(D117="COMPOSIÇÕES",VLOOKUP(B117,'11.COMPOSIÇÕES GERAIS'!B:I,7,0),0))),"Em Elaboração")</f>
        <v>14.91</v>
      </c>
      <c r="I117" s="241">
        <f>IFERROR(IF(D117="SINAPI-S",VLOOKUP(B117,'20-B.SINAPI-S'!A:J,6,0),IF(D117="SINAPI-I",VLOOKUP(B117,'20-A.SINAPI-I'!A:G,7,0),IF(D117="COMPOSIÇÕES",VLOOKUP(B117,'11.COMPOSIÇÕES GERAIS'!B:I,8,0),VLOOKUP(B117,'12.COT.MERCADO'!A:I,8,0)))),"Em Elaboração")</f>
        <v>82.3</v>
      </c>
      <c r="J117" s="241">
        <f t="shared" si="112"/>
        <v>17.50319148</v>
      </c>
      <c r="K117" s="241">
        <f t="shared" si="113"/>
        <v>96.40083636</v>
      </c>
      <c r="L117" s="241">
        <f t="shared" si="114"/>
        <v>113.9040278</v>
      </c>
      <c r="M117" s="241">
        <f t="shared" si="115"/>
        <v>105.0191489</v>
      </c>
      <c r="N117" s="241">
        <f t="shared" si="116"/>
        <v>578.4050181</v>
      </c>
      <c r="O117" s="241">
        <f t="shared" si="117"/>
        <v>683.424167</v>
      </c>
      <c r="P117" s="242">
        <f t="shared" si="2"/>
        <v>0.00053462512</v>
      </c>
    </row>
    <row r="118">
      <c r="A118" s="236" t="s">
        <v>241</v>
      </c>
      <c r="B118" s="237">
        <f>' 19.ARRED_HIST_CONSOLIDADO_E_ME'!H17</f>
        <v>97611</v>
      </c>
      <c r="C118" s="238" t="str">
        <f t="shared" si="111"/>
        <v>SINAPI</v>
      </c>
      <c r="D118" s="238" t="s">
        <v>218</v>
      </c>
      <c r="E118" s="239" t="str">
        <f>IFERROR(IF(D118="SINAPI-S",VLOOKUP(B118,'20-B.SINAPI-S'!A:J,2,0),IF(D118="SINAPI-I",VLOOKUP(B118,'20-A.SINAPI-I'!A:G,2,0),IF(D118="COMPOSIÇÕES",VLOOKUP(B118,'11.COMPOSIÇÕES GERAIS'!B:I,2,0),VLOOKUP(B118,'12.COT.MERCADO'!A:I,2,0)))),"Em Elaboração")</f>
        <v>LÂMPADA COMPACTA FLUORESCENTE DE 15 W, BASE E27 - FORNECIMENTO E INSTALAÇÃO. AF_02/2020</v>
      </c>
      <c r="F118" s="240" t="str">
        <f>IFERROR(IF(D118="SINAPI-S",VLOOKUP(B118,'20-B.SINAPI-S'!A:J,3,0),IF(D118="SINAPI-I",VLOOKUP(B118,'20-A.SINAPI-I'!A:G,3,0),IF(D118="COMPOSIÇÕES",VLOOKUP(B118,'11.COMPOSIÇÕES GERAIS'!B:I,3,0),VLOOKUP(B118,'12.COT.MERCADO'!A:I,7,0)))),"Em Elaboração")</f>
        <v>UN</v>
      </c>
      <c r="G118" s="244">
        <f>VLOOKUP(B118,' 19.ARRED_HIST_CONSOLIDADO_E_ME'!H:O,8,0)</f>
        <v>45</v>
      </c>
      <c r="H118" s="241">
        <f>IFERROR(IF(D118="SINAPI-S",VLOOKUP(B118,'20-B.SINAPI-S'!A:J,5,0),IF(D118="SINAPI-I",VLOOKUP(B118,'20-A.SINAPI-I'!A:G,6,0),IF(D118="COMPOSIÇÕES",VLOOKUP(B118,'11.COMPOSIÇÕES GERAIS'!B:I,7,0),0))),"Em Elaboração")</f>
        <v>5.46</v>
      </c>
      <c r="I118" s="241">
        <f>IFERROR(IF(D118="SINAPI-S",VLOOKUP(B118,'20-B.SINAPI-S'!A:J,6,0),IF(D118="SINAPI-I",VLOOKUP(B118,'20-A.SINAPI-I'!A:G,7,0),IF(D118="COMPOSIÇÕES",VLOOKUP(B118,'11.COMPOSIÇÕES GERAIS'!B:I,8,0),VLOOKUP(B118,'12.COT.MERCADO'!A:I,8,0)))),"Em Elaboração")</f>
        <v>20.19</v>
      </c>
      <c r="J118" s="241">
        <f t="shared" si="112"/>
        <v>6.409619416</v>
      </c>
      <c r="K118" s="241">
        <f t="shared" si="113"/>
        <v>23.64924527</v>
      </c>
      <c r="L118" s="241">
        <f t="shared" si="114"/>
        <v>30.05886469</v>
      </c>
      <c r="M118" s="241">
        <f t="shared" si="115"/>
        <v>288.4328737</v>
      </c>
      <c r="N118" s="241">
        <f t="shared" si="116"/>
        <v>1064.216037</v>
      </c>
      <c r="O118" s="241">
        <f t="shared" si="117"/>
        <v>1352.648911</v>
      </c>
      <c r="P118" s="242">
        <f t="shared" si="2"/>
        <v>0.001058142397</v>
      </c>
    </row>
    <row r="119">
      <c r="A119" s="236" t="s">
        <v>242</v>
      </c>
      <c r="B119" s="237">
        <f>' 19.ARRED_HIST_CONSOLIDADO_E_ME'!H18</f>
        <v>86878</v>
      </c>
      <c r="C119" s="238" t="str">
        <f t="shared" si="111"/>
        <v>SINAPI</v>
      </c>
      <c r="D119" s="238" t="s">
        <v>218</v>
      </c>
      <c r="E119" s="239" t="str">
        <f>IFERROR(IF(D119="SINAPI-S",VLOOKUP(B119,'20-B.SINAPI-S'!A:J,2,0),IF(D119="SINAPI-I",VLOOKUP(B119,'20-A.SINAPI-I'!A:G,2,0),IF(D119="COMPOSIÇÕES",VLOOKUP(B119,'11.COMPOSIÇÕES GERAIS'!B:I,2,0),VLOOKUP(B119,'12.COT.MERCADO'!A:I,2,0)))),"Em Elaboração")</f>
        <v>VÁLVULA EM METAL CROMADO TIPO AMERICANA 3.1/2_x0094_ X 1.1/2_x0094_ PARA PIA - FORNECIMENTO E INSTALAÇÃO. AF_01/2020</v>
      </c>
      <c r="F119" s="240" t="str">
        <f>IFERROR(IF(D119="SINAPI-S",VLOOKUP(B119,'20-B.SINAPI-S'!A:J,3,0),IF(D119="SINAPI-I",VLOOKUP(B119,'20-A.SINAPI-I'!A:G,3,0),IF(D119="COMPOSIÇÕES",VLOOKUP(B119,'11.COMPOSIÇÕES GERAIS'!B:I,3,0),VLOOKUP(B119,'12.COT.MERCADO'!A:I,7,0)))),"Em Elaboração")</f>
        <v>UN</v>
      </c>
      <c r="G119" s="244">
        <f>VLOOKUP(B119,' 19.ARRED_HIST_CONSOLIDADO_E_ME'!H:O,8,0)</f>
        <v>3</v>
      </c>
      <c r="H119" s="241">
        <f>IFERROR(IF(D119="SINAPI-S",VLOOKUP(B119,'20-B.SINAPI-S'!A:J,5,0),IF(D119="SINAPI-I",VLOOKUP(B119,'20-A.SINAPI-I'!A:G,6,0),IF(D119="COMPOSIÇÕES",VLOOKUP(B119,'11.COMPOSIÇÕES GERAIS'!B:I,7,0),0))),"Em Elaboração")</f>
        <v>5.22</v>
      </c>
      <c r="I119" s="241">
        <f>IFERROR(IF(D119="SINAPI-S",VLOOKUP(B119,'20-B.SINAPI-S'!A:J,6,0),IF(D119="SINAPI-I",VLOOKUP(B119,'20-A.SINAPI-I'!A:G,7,0),IF(D119="COMPOSIÇÕES",VLOOKUP(B119,'11.COMPOSIÇÕES GERAIS'!B:I,8,0),VLOOKUP(B119,'12.COT.MERCADO'!A:I,8,0)))),"Em Elaboração")</f>
        <v>94.96</v>
      </c>
      <c r="J119" s="241">
        <f t="shared" si="112"/>
        <v>6.127877903</v>
      </c>
      <c r="K119" s="241">
        <f t="shared" si="113"/>
        <v>111.2299322</v>
      </c>
      <c r="L119" s="241">
        <f t="shared" si="114"/>
        <v>117.3578101</v>
      </c>
      <c r="M119" s="241">
        <f t="shared" si="115"/>
        <v>18.38363371</v>
      </c>
      <c r="N119" s="241">
        <f t="shared" si="116"/>
        <v>333.6897966</v>
      </c>
      <c r="O119" s="241">
        <f t="shared" si="117"/>
        <v>352.0734303</v>
      </c>
      <c r="P119" s="242">
        <f t="shared" si="2"/>
        <v>0.0002754179747</v>
      </c>
    </row>
    <row r="120">
      <c r="A120" s="236" t="s">
        <v>243</v>
      </c>
      <c r="B120" s="237" t="str">
        <f>' 19.ARRED_HIST_CONSOLIDADO_E_ME'!H19</f>
        <v>MAN_PR_014</v>
      </c>
      <c r="C120" s="238" t="str">
        <f t="shared" si="111"/>
        <v>PRÓPRIO</v>
      </c>
      <c r="D120" s="243" t="s">
        <v>230</v>
      </c>
      <c r="E120" s="239" t="str">
        <f>IFERROR(IF(D120="SINAPI-S",VLOOKUP(B120,'20-B.SINAPI-S'!A:J,2,0),IF(D120="SINAPI-I",VLOOKUP(B120,'20-A.SINAPI-I'!A:G,2,0),IF(D120="COMPOSIÇÕES",VLOOKUP(B120,'11.COMPOSIÇÕES GERAIS'!B:I,2,0),VLOOKUP(B120,'12.COT.MERCADO'!A:I,2,0)))),"Em Elaboração")</f>
        <v>FORNECIMENTO E INSTALAÇÃO DE EXTENSÃO ELÉTRICA COM CABO  DE COBRE PP CORDPLAST 3 X 2,5MM2, ISOLAMENTO 40/750V COM ISOLAÇÃO PP 70ºC, COMPRIMENTO DE 1,5M</v>
      </c>
      <c r="F120" s="240" t="str">
        <f>IFERROR(IF(D120="SINAPI-S",VLOOKUP(B120,'20-B.SINAPI-S'!A:J,3,0),IF(D120="SINAPI-I",VLOOKUP(B120,'20-A.SINAPI-I'!A:G,3,0),IF(D120="COMPOSIÇÕES",VLOOKUP(B120,'11.COMPOSIÇÕES GERAIS'!B:I,3,0),VLOOKUP(B120,'12.COT.MERCADO'!A:I,7,0)))),"Em Elaboração")</f>
        <v>UN</v>
      </c>
      <c r="G120" s="244">
        <f>VLOOKUP(B120,' 19.ARRED_HIST_CONSOLIDADO_E_ME'!H:O,8,0)</f>
        <v>11</v>
      </c>
      <c r="H120" s="241">
        <f>IFERROR(IF(D120="SINAPI-S",VLOOKUP(B120,'20-B.SINAPI-S'!A:J,5,0),IF(D120="SINAPI-I",VLOOKUP(B120,'20-A.SINAPI-I'!A:G,6,0),IF(D120="COMPOSIÇÕES",VLOOKUP(B120,'11.COMPOSIÇÕES GERAIS'!B:I,7,0),0))),"Em Elaboração")</f>
        <v>15.5015</v>
      </c>
      <c r="I120" s="241">
        <f>IFERROR(IF(D120="SINAPI-S",VLOOKUP(B120,'20-B.SINAPI-S'!A:J,6,0),IF(D120="SINAPI-I",VLOOKUP(B120,'20-A.SINAPI-I'!A:G,7,0),IF(D120="COMPOSIÇÕES",VLOOKUP(B120,'11.COMPOSIÇÕES GERAIS'!B:I,8,0),VLOOKUP(B120,'12.COT.MERCADO'!A:I,8,0)))),"Em Elaboração")</f>
        <v>40.842</v>
      </c>
      <c r="J120" s="241">
        <f t="shared" si="112"/>
        <v>18.19756692</v>
      </c>
      <c r="K120" s="241">
        <f t="shared" si="113"/>
        <v>47.83964713</v>
      </c>
      <c r="L120" s="241">
        <f t="shared" si="114"/>
        <v>66.03721405</v>
      </c>
      <c r="M120" s="241">
        <f t="shared" si="115"/>
        <v>200.1732361</v>
      </c>
      <c r="N120" s="241">
        <f t="shared" si="116"/>
        <v>526.2361184</v>
      </c>
      <c r="O120" s="241">
        <f t="shared" si="117"/>
        <v>726.4093545</v>
      </c>
      <c r="P120" s="242">
        <f t="shared" si="2"/>
        <v>0.0005682513248</v>
      </c>
    </row>
    <row r="121">
      <c r="A121" s="236" t="s">
        <v>244</v>
      </c>
      <c r="B121" s="237">
        <f>' 19.ARRED_HIST_CONSOLIDADO_E_ME'!H20</f>
        <v>98296</v>
      </c>
      <c r="C121" s="238" t="str">
        <f t="shared" si="111"/>
        <v>SINAPI</v>
      </c>
      <c r="D121" s="238" t="s">
        <v>218</v>
      </c>
      <c r="E121" s="239" t="str">
        <f>IFERROR(IF(D121="SINAPI-S",VLOOKUP(B121,'20-B.SINAPI-S'!A:J,2,0),IF(D121="SINAPI-I",VLOOKUP(B121,'20-A.SINAPI-I'!A:G,2,0),IF(D121="COMPOSIÇÕES",VLOOKUP(B121,'11.COMPOSIÇÕES GERAIS'!B:I,2,0),VLOOKUP(B121,'12.COT.MERCADO'!A:I,2,0)))),"Em Elaboração")</f>
        <v>CABO ELETRÔNICO CATEGORIA 6, INSTALADO EM EDIFICAÇÃO RESIDENCIAL - FORNECIMENTO E INSTALAÇÃO. AF_11/2019</v>
      </c>
      <c r="F121" s="240" t="str">
        <f>IFERROR(IF(D121="SINAPI-S",VLOOKUP(B121,'20-B.SINAPI-S'!A:J,3,0),IF(D121="SINAPI-I",VLOOKUP(B121,'20-A.SINAPI-I'!A:G,3,0),IF(D121="COMPOSIÇÕES",VLOOKUP(B121,'11.COMPOSIÇÕES GERAIS'!B:I,3,0),VLOOKUP(B121,'12.COT.MERCADO'!A:I,7,0)))),"Em Elaboração")</f>
        <v>M</v>
      </c>
      <c r="G121" s="244">
        <f>VLOOKUP(B121,' 19.ARRED_HIST_CONSOLIDADO_E_ME'!H:O,8,0)</f>
        <v>64</v>
      </c>
      <c r="H121" s="241">
        <f>IFERROR(IF(D121="SINAPI-S",VLOOKUP(B121,'20-B.SINAPI-S'!A:J,5,0),IF(D121="SINAPI-I",VLOOKUP(B121,'20-A.SINAPI-I'!A:G,6,0),IF(D121="COMPOSIÇÕES",VLOOKUP(B121,'11.COMPOSIÇÕES GERAIS'!B:I,7,0),0))),"Em Elaboração")</f>
        <v>1.16</v>
      </c>
      <c r="I121" s="241">
        <f>IFERROR(IF(D121="SINAPI-S",VLOOKUP(B121,'20-B.SINAPI-S'!A:J,6,0),IF(D121="SINAPI-I",VLOOKUP(B121,'20-A.SINAPI-I'!A:G,7,0),IF(D121="COMPOSIÇÕES",VLOOKUP(B121,'11.COMPOSIÇÕES GERAIS'!B:I,8,0),VLOOKUP(B121,'12.COT.MERCADO'!A:I,8,0)))),"Em Elaboração")</f>
        <v>8.83</v>
      </c>
      <c r="J121" s="241">
        <f t="shared" si="112"/>
        <v>1.361750645</v>
      </c>
      <c r="K121" s="241">
        <f t="shared" si="113"/>
        <v>10.34288439</v>
      </c>
      <c r="L121" s="241">
        <f t="shared" si="114"/>
        <v>11.70463503</v>
      </c>
      <c r="M121" s="241">
        <f t="shared" si="115"/>
        <v>87.15204129</v>
      </c>
      <c r="N121" s="241">
        <f t="shared" si="116"/>
        <v>661.9446008</v>
      </c>
      <c r="O121" s="241">
        <f t="shared" si="117"/>
        <v>749.096642</v>
      </c>
      <c r="P121" s="242">
        <f t="shared" si="2"/>
        <v>0.0005859990054</v>
      </c>
    </row>
    <row r="122">
      <c r="A122" s="236" t="s">
        <v>245</v>
      </c>
      <c r="B122" s="237">
        <f>' 19.ARRED_HIST_CONSOLIDADO_E_ME'!H21</f>
        <v>101657</v>
      </c>
      <c r="C122" s="238" t="str">
        <f t="shared" si="111"/>
        <v>SINAPI</v>
      </c>
      <c r="D122" s="238" t="s">
        <v>218</v>
      </c>
      <c r="E122" s="239" t="str">
        <f>IFERROR(IF(D122="SINAPI-S",VLOOKUP(B122,'20-B.SINAPI-S'!A:J,2,0),IF(D122="SINAPI-I",VLOOKUP(B122,'20-A.SINAPI-I'!A:G,2,0),IF(D122="COMPOSIÇÕES",VLOOKUP(B122,'11.COMPOSIÇÕES GERAIS'!B:I,2,0),VLOOKUP(B122,'12.COT.MERCADO'!A:I,2,0)))),"Em Elaboração")</f>
        <v>LUMINÁRIA DE LED PARA ILUMINAÇÃO PÚBLICA, DE 98 W ATÉ 137 W - FORNECIMENTO E INSTALAÇÃO. AF_08/2020</v>
      </c>
      <c r="F122" s="240" t="str">
        <f>IFERROR(IF(D122="SINAPI-S",VLOOKUP(B122,'20-B.SINAPI-S'!A:J,3,0),IF(D122="SINAPI-I",VLOOKUP(B122,'20-A.SINAPI-I'!A:G,3,0),IF(D122="COMPOSIÇÕES",VLOOKUP(B122,'11.COMPOSIÇÕES GERAIS'!B:I,3,0),VLOOKUP(B122,'12.COT.MERCADO'!A:I,7,0)))),"Em Elaboração")</f>
        <v>UN</v>
      </c>
      <c r="G122" s="244">
        <f>VLOOKUP(B122,' 19.ARRED_HIST_CONSOLIDADO_E_ME'!H:O,8,0)</f>
        <v>33</v>
      </c>
      <c r="H122" s="241">
        <f>IFERROR(IF(D122="SINAPI-S",VLOOKUP(B122,'20-B.SINAPI-S'!A:J,5,0),IF(D122="SINAPI-I",VLOOKUP(B122,'20-A.SINAPI-I'!A:G,6,0),IF(D122="COMPOSIÇÕES",VLOOKUP(B122,'11.COMPOSIÇÕES GERAIS'!B:I,7,0),0))),"Em Elaboração")</f>
        <v>17.26</v>
      </c>
      <c r="I122" s="241">
        <f>IFERROR(IF(D122="SINAPI-S",VLOOKUP(B122,'20-B.SINAPI-S'!A:J,6,0),IF(D122="SINAPI-I",VLOOKUP(B122,'20-A.SINAPI-I'!A:G,7,0),IF(D122="COMPOSIÇÕES",VLOOKUP(B122,'11.COMPOSIÇÕES GERAIS'!B:I,8,0),VLOOKUP(B122,'12.COT.MERCADO'!A:I,8,0)))),"Em Elaboração")</f>
        <v>530.42</v>
      </c>
      <c r="J122" s="241">
        <f t="shared" si="112"/>
        <v>20.26191046</v>
      </c>
      <c r="K122" s="241">
        <f t="shared" si="113"/>
        <v>621.2992906</v>
      </c>
      <c r="L122" s="241">
        <f t="shared" si="114"/>
        <v>641.5612011</v>
      </c>
      <c r="M122" s="241">
        <f t="shared" si="115"/>
        <v>668.6430453</v>
      </c>
      <c r="N122" s="241">
        <f t="shared" si="116"/>
        <v>20502.87659</v>
      </c>
      <c r="O122" s="241">
        <f t="shared" si="117"/>
        <v>21171.51964</v>
      </c>
      <c r="P122" s="242">
        <f t="shared" si="2"/>
        <v>0.01656193441</v>
      </c>
    </row>
    <row r="123">
      <c r="A123" s="236" t="s">
        <v>246</v>
      </c>
      <c r="B123" s="237">
        <f>' 19.ARRED_HIST_CONSOLIDADO_E_ME'!H22</f>
        <v>101632</v>
      </c>
      <c r="C123" s="238" t="str">
        <f t="shared" si="111"/>
        <v>SINAPI</v>
      </c>
      <c r="D123" s="238" t="s">
        <v>218</v>
      </c>
      <c r="E123" s="239" t="str">
        <f>IFERROR(IF(D123="SINAPI-S",VLOOKUP(B123,'20-B.SINAPI-S'!A:J,2,0),IF(D123="SINAPI-I",VLOOKUP(B123,'20-A.SINAPI-I'!A:G,2,0),IF(D123="COMPOSIÇÕES",VLOOKUP(B123,'11.COMPOSIÇÕES GERAIS'!B:I,2,0),VLOOKUP(B123,'12.COT.MERCADO'!A:I,2,0)))),"Em Elaboração")</f>
        <v>RELÉ FOTOELÉTRICO PARA COMANDO DE ILUMINAÇÃO EXTERNA 1000 W - FORNECIMENTO E INSTALAÇÃO. AF_08/2020</v>
      </c>
      <c r="F123" s="240" t="str">
        <f>IFERROR(IF(D123="SINAPI-S",VLOOKUP(B123,'20-B.SINAPI-S'!A:J,3,0),IF(D123="SINAPI-I",VLOOKUP(B123,'20-A.SINAPI-I'!A:G,3,0),IF(D123="COMPOSIÇÕES",VLOOKUP(B123,'11.COMPOSIÇÕES GERAIS'!B:I,3,0),VLOOKUP(B123,'12.COT.MERCADO'!A:I,7,0)))),"Em Elaboração")</f>
        <v>UN</v>
      </c>
      <c r="G123" s="244">
        <f>VLOOKUP(B123,' 19.ARRED_HIST_CONSOLIDADO_E_ME'!H:O,8,0)</f>
        <v>4</v>
      </c>
      <c r="H123" s="241">
        <f>IFERROR(IF(D123="SINAPI-S",VLOOKUP(B123,'20-B.SINAPI-S'!A:J,5,0),IF(D123="SINAPI-I",VLOOKUP(B123,'20-A.SINAPI-I'!A:G,6,0),IF(D123="COMPOSIÇÕES",VLOOKUP(B123,'11.COMPOSIÇÕES GERAIS'!B:I,7,0),0))),"Em Elaboração")</f>
        <v>0.73</v>
      </c>
      <c r="I123" s="241">
        <f>IFERROR(IF(D123="SINAPI-S",VLOOKUP(B123,'20-B.SINAPI-S'!A:J,6,0),IF(D123="SINAPI-I",VLOOKUP(B123,'20-A.SINAPI-I'!A:G,7,0),IF(D123="COMPOSIÇÕES",VLOOKUP(B123,'11.COMPOSIÇÕES GERAIS'!B:I,8,0),VLOOKUP(B123,'12.COT.MERCADO'!A:I,8,0)))),"Em Elaboração")</f>
        <v>34.67</v>
      </c>
      <c r="J123" s="241">
        <f t="shared" si="112"/>
        <v>0.8569637681</v>
      </c>
      <c r="K123" s="241">
        <f t="shared" si="113"/>
        <v>40.61017007</v>
      </c>
      <c r="L123" s="241">
        <f t="shared" si="114"/>
        <v>41.46713383</v>
      </c>
      <c r="M123" s="241">
        <f t="shared" si="115"/>
        <v>3.427855072</v>
      </c>
      <c r="N123" s="241">
        <f t="shared" si="116"/>
        <v>162.4406803</v>
      </c>
      <c r="O123" s="241">
        <f t="shared" si="117"/>
        <v>165.8685353</v>
      </c>
      <c r="P123" s="242">
        <f t="shared" si="2"/>
        <v>0.0001297546822</v>
      </c>
    </row>
    <row r="124">
      <c r="A124" s="236" t="s">
        <v>247</v>
      </c>
      <c r="B124" s="237">
        <f>' 19.ARRED_HIST_CONSOLIDADO_E_ME'!H23</f>
        <v>91306</v>
      </c>
      <c r="C124" s="238" t="str">
        <f t="shared" si="111"/>
        <v>SINAPI</v>
      </c>
      <c r="D124" s="238" t="s">
        <v>218</v>
      </c>
      <c r="E124" s="239" t="str">
        <f>IFERROR(IF(D124="SINAPI-S",VLOOKUP(B124,'20-B.SINAPI-S'!A:J,2,0),IF(D124="SINAPI-I",VLOOKUP(B124,'20-A.SINAPI-I'!A:G,2,0),IF(D124="COMPOSIÇÕES",VLOOKUP(B124,'11.COMPOSIÇÕES GERAIS'!B:I,2,0),VLOOKUP(B124,'12.COT.MERCADO'!A:I,2,0)))),"Em Elaboração")</f>
        <v>FECHADURA DE EMBUTIR PARA PORTAS INTERNAS, COMPLETA, ACABAMENTO PADRÃO MÉDIO, COM EXECUÇÃO DE FURO - FORNECIMENTO E INSTALAÇÃO. AF_12/2019</v>
      </c>
      <c r="F124" s="240" t="str">
        <f>IFERROR(IF(D124="SINAPI-S",VLOOKUP(B124,'20-B.SINAPI-S'!A:J,3,0),IF(D124="SINAPI-I",VLOOKUP(B124,'20-A.SINAPI-I'!A:G,3,0),IF(D124="COMPOSIÇÕES",VLOOKUP(B124,'11.COMPOSIÇÕES GERAIS'!B:I,3,0),VLOOKUP(B124,'12.COT.MERCADO'!A:I,7,0)))),"Em Elaboração")</f>
        <v>UN</v>
      </c>
      <c r="G124" s="244">
        <f>VLOOKUP(B124,' 19.ARRED_HIST_CONSOLIDADO_E_ME'!H:O,8,0)</f>
        <v>3</v>
      </c>
      <c r="H124" s="241">
        <f>IFERROR(IF(D124="SINAPI-S",VLOOKUP(B124,'20-B.SINAPI-S'!A:J,5,0),IF(D124="SINAPI-I",VLOOKUP(B124,'20-A.SINAPI-I'!A:G,6,0),IF(D124="COMPOSIÇÕES",VLOOKUP(B124,'11.COMPOSIÇÕES GERAIS'!B:I,7,0),0))),"Em Elaboração")</f>
        <v>24.39</v>
      </c>
      <c r="I124" s="241">
        <f>IFERROR(IF(D124="SINAPI-S",VLOOKUP(B124,'20-B.SINAPI-S'!A:J,6,0),IF(D124="SINAPI-I",VLOOKUP(B124,'20-A.SINAPI-I'!A:G,7,0),IF(D124="COMPOSIÇÕES",VLOOKUP(B124,'11.COMPOSIÇÕES GERAIS'!B:I,8,0),VLOOKUP(B124,'12.COT.MERCADO'!A:I,8,0)))),"Em Elaboração")</f>
        <v>133.19</v>
      </c>
      <c r="J124" s="241">
        <f t="shared" si="112"/>
        <v>28.63198124</v>
      </c>
      <c r="K124" s="241">
        <f t="shared" si="113"/>
        <v>156.0100534</v>
      </c>
      <c r="L124" s="241">
        <f t="shared" si="114"/>
        <v>184.6420346</v>
      </c>
      <c r="M124" s="241">
        <f t="shared" si="115"/>
        <v>85.89594372</v>
      </c>
      <c r="N124" s="241">
        <f t="shared" si="116"/>
        <v>468.0301602</v>
      </c>
      <c r="O124" s="241">
        <f t="shared" si="117"/>
        <v>553.9261039</v>
      </c>
      <c r="P124" s="242">
        <f t="shared" si="2"/>
        <v>0.0004333221213</v>
      </c>
    </row>
    <row r="125">
      <c r="A125" s="236" t="s">
        <v>248</v>
      </c>
      <c r="B125" s="237">
        <f>' 19.ARRED_HIST_CONSOLIDADO_E_ME'!H24</f>
        <v>95547</v>
      </c>
      <c r="C125" s="238" t="str">
        <f t="shared" si="111"/>
        <v>SINAPI</v>
      </c>
      <c r="D125" s="238" t="s">
        <v>218</v>
      </c>
      <c r="E125" s="239" t="str">
        <f>IFERROR(IF(D125="SINAPI-S",VLOOKUP(B125,'20-B.SINAPI-S'!A:J,2,0),IF(D125="SINAPI-I",VLOOKUP(B125,'20-A.SINAPI-I'!A:G,2,0),IF(D125="COMPOSIÇÕES",VLOOKUP(B125,'11.COMPOSIÇÕES GERAIS'!B:I,2,0),VLOOKUP(B125,'12.COT.MERCADO'!A:I,2,0)))),"Em Elaboração")</f>
        <v>SABONETEIRA PLASTICA TIPO DISPENSER PARA SABONETE LIQUIDO COM RESERVATORIO 800 A 1500 ML, INCLUSO FIXAÇÃO. AF_01/2020</v>
      </c>
      <c r="F125" s="240" t="str">
        <f>IFERROR(IF(D125="SINAPI-S",VLOOKUP(B125,'20-B.SINAPI-S'!A:J,3,0),IF(D125="SINAPI-I",VLOOKUP(B125,'20-A.SINAPI-I'!A:G,3,0),IF(D125="COMPOSIÇÕES",VLOOKUP(B125,'11.COMPOSIÇÕES GERAIS'!B:I,3,0),VLOOKUP(B125,'12.COT.MERCADO'!A:I,7,0)))),"Em Elaboração")</f>
        <v>UN</v>
      </c>
      <c r="G125" s="244">
        <f>VLOOKUP(B125,' 19.ARRED_HIST_CONSOLIDADO_E_ME'!H:O,8,0)</f>
        <v>10</v>
      </c>
      <c r="H125" s="241">
        <f>IFERROR(IF(D125="SINAPI-S",VLOOKUP(B125,'20-B.SINAPI-S'!A:J,5,0),IF(D125="SINAPI-I",VLOOKUP(B125,'20-A.SINAPI-I'!A:G,6,0),IF(D125="COMPOSIÇÕES",VLOOKUP(B125,'11.COMPOSIÇÕES GERAIS'!B:I,7,0),0))),"Em Elaboração")</f>
        <v>9.5</v>
      </c>
      <c r="I125" s="241">
        <f>IFERROR(IF(D125="SINAPI-S",VLOOKUP(B125,'20-B.SINAPI-S'!A:J,6,0),IF(D125="SINAPI-I",VLOOKUP(B125,'20-A.SINAPI-I'!A:G,7,0),IF(D125="COMPOSIÇÕES",VLOOKUP(B125,'11.COMPOSIÇÕES GERAIS'!B:I,8,0),VLOOKUP(B125,'12.COT.MERCADO'!A:I,8,0)))),"Em Elaboração")</f>
        <v>47.94</v>
      </c>
      <c r="J125" s="241">
        <f t="shared" si="112"/>
        <v>11.15226822</v>
      </c>
      <c r="K125" s="241">
        <f t="shared" si="113"/>
        <v>56.15378001</v>
      </c>
      <c r="L125" s="241">
        <f t="shared" si="114"/>
        <v>67.30604823</v>
      </c>
      <c r="M125" s="241">
        <f t="shared" si="115"/>
        <v>111.5226822</v>
      </c>
      <c r="N125" s="241">
        <f t="shared" si="116"/>
        <v>561.5378001</v>
      </c>
      <c r="O125" s="241">
        <f t="shared" si="117"/>
        <v>673.0604823</v>
      </c>
      <c r="P125" s="242">
        <f t="shared" si="2"/>
        <v>0.0005265178764</v>
      </c>
    </row>
    <row r="126">
      <c r="A126" s="236" t="s">
        <v>249</v>
      </c>
      <c r="B126" s="237" t="str">
        <f>' 19.ARRED_HIST_CONSOLIDADO_E_ME'!H25</f>
        <v>MAN_PR_015</v>
      </c>
      <c r="C126" s="238" t="str">
        <f t="shared" si="111"/>
        <v>PRÓPRIO</v>
      </c>
      <c r="D126" s="243" t="s">
        <v>230</v>
      </c>
      <c r="E126" s="239" t="str">
        <f>IFERROR(IF(D126="SINAPI-S",VLOOKUP(B126,'20-B.SINAPI-S'!A:J,2,0),IF(D126="SINAPI-I",VLOOKUP(B126,'20-A.SINAPI-I'!A:G,2,0),IF(D126="COMPOSIÇÕES",VLOOKUP(B126,'11.COMPOSIÇÕES GERAIS'!B:I,2,0),VLOOKUP(B126,'12.COT.MERCADO'!A:I,2,0)))),"Em Elaboração")</f>
        <v>VEDAÇÃO DE ELEMENTOS COM SILICONE PASTOSO</v>
      </c>
      <c r="F126" s="240" t="str">
        <f>IFERROR(IF(D126="SINAPI-S",VLOOKUP(B126,'20-B.SINAPI-S'!A:J,3,0),IF(D126="SINAPI-I",VLOOKUP(B126,'20-A.SINAPI-I'!A:G,3,0),IF(D126="COMPOSIÇÕES",VLOOKUP(B126,'11.COMPOSIÇÕES GERAIS'!B:I,3,0),VLOOKUP(B126,'12.COT.MERCADO'!A:I,7,0)))),"Em Elaboração")</f>
        <v>M</v>
      </c>
      <c r="G126" s="244">
        <f>VLOOKUP(B126,' 19.ARRED_HIST_CONSOLIDADO_E_ME'!H:O,8,0)</f>
        <v>3</v>
      </c>
      <c r="H126" s="241">
        <f>IFERROR(IF(D126="SINAPI-S",VLOOKUP(B126,'20-B.SINAPI-S'!A:J,5,0),IF(D126="SINAPI-I",VLOOKUP(B126,'20-A.SINAPI-I'!A:G,6,0),IF(D126="COMPOSIÇÕES",VLOOKUP(B126,'11.COMPOSIÇÕES GERAIS'!B:I,7,0),0))),"Em Elaboração")</f>
        <v>1.16714</v>
      </c>
      <c r="I126" s="241">
        <f>IFERROR(IF(D126="SINAPI-S",VLOOKUP(B126,'20-B.SINAPI-S'!A:J,6,0),IF(D126="SINAPI-I",VLOOKUP(B126,'20-A.SINAPI-I'!A:G,7,0),IF(D126="COMPOSIÇÕES",VLOOKUP(B126,'11.COMPOSIÇÕES GERAIS'!B:I,8,0),VLOOKUP(B126,'12.COT.MERCADO'!A:I,8,0)))),"Em Elaboração")</f>
        <v>0.9589</v>
      </c>
      <c r="J126" s="241">
        <f t="shared" si="112"/>
        <v>1.370132455</v>
      </c>
      <c r="K126" s="241">
        <f t="shared" si="113"/>
        <v>1.123192734</v>
      </c>
      <c r="L126" s="241">
        <f t="shared" si="114"/>
        <v>2.493325189</v>
      </c>
      <c r="M126" s="241">
        <f t="shared" si="115"/>
        <v>4.110397366</v>
      </c>
      <c r="N126" s="241">
        <f t="shared" si="116"/>
        <v>3.369578201</v>
      </c>
      <c r="O126" s="241">
        <f t="shared" si="117"/>
        <v>7.479975567</v>
      </c>
      <c r="P126" s="242">
        <f t="shared" si="2"/>
        <v>0.000005851392193</v>
      </c>
    </row>
    <row r="127">
      <c r="A127" s="236" t="s">
        <v>250</v>
      </c>
      <c r="B127" s="237" t="str">
        <f>' 19.ARRED_HIST_CONSOLIDADO_E_ME'!H26</f>
        <v>MAN_PR_021</v>
      </c>
      <c r="C127" s="238" t="str">
        <f t="shared" si="111"/>
        <v>PRÓPRIO</v>
      </c>
      <c r="D127" s="243" t="s">
        <v>230</v>
      </c>
      <c r="E127" s="239" t="str">
        <f>IFERROR(IF(D127="SINAPI-S",VLOOKUP(B127,'20-B.SINAPI-S'!A:J,2,0),IF(D127="SINAPI-I",VLOOKUP(B127,'20-A.SINAPI-I'!A:G,2,0),IF(D127="COMPOSIÇÕES",VLOOKUP(B127,'11.COMPOSIÇÕES GERAIS'!B:I,2,0),VLOOKUP(B127,'12.COT.MERCADO'!A:I,2,0)))),"Em Elaboração")</f>
        <v>REPARO DE VAZAMENTO EM BACIAS SANITÁRIAS COM A RETIRADA, COLOCAÇÃO DE NOVAS VEDAÇÕES E REASSENTAMENTO</v>
      </c>
      <c r="F127" s="240" t="str">
        <f>IFERROR(IF(D127="SINAPI-S",VLOOKUP(B127,'20-B.SINAPI-S'!A:J,3,0),IF(D127="SINAPI-I",VLOOKUP(B127,'20-A.SINAPI-I'!A:G,3,0),IF(D127="COMPOSIÇÕES",VLOOKUP(B127,'11.COMPOSIÇÕES GERAIS'!B:I,3,0),VLOOKUP(B127,'12.COT.MERCADO'!A:I,7,0)))),"Em Elaboração")</f>
        <v>UN</v>
      </c>
      <c r="G127" s="244">
        <f>VLOOKUP(B127,' 19.ARRED_HIST_CONSOLIDADO_E_ME'!H:O,8,0)</f>
        <v>1</v>
      </c>
      <c r="H127" s="241">
        <f>IFERROR(IF(D127="SINAPI-S",VLOOKUP(B127,'20-B.SINAPI-S'!A:J,5,0),IF(D127="SINAPI-I",VLOOKUP(B127,'20-A.SINAPI-I'!A:G,6,0),IF(D127="COMPOSIÇÕES",VLOOKUP(B127,'11.COMPOSIÇÕES GERAIS'!B:I,7,0),0))),"Em Elaboração")</f>
        <v>84.04</v>
      </c>
      <c r="I127" s="241">
        <f>IFERROR(IF(D127="SINAPI-S",VLOOKUP(B127,'20-B.SINAPI-S'!A:J,6,0),IF(D127="SINAPI-I",VLOOKUP(B127,'20-A.SINAPI-I'!A:G,7,0),IF(D127="COMPOSIÇÕES",VLOOKUP(B127,'11.COMPOSIÇÕES GERAIS'!B:I,8,0),VLOOKUP(B127,'12.COT.MERCADO'!A:I,8,0)))),"Em Elaboração")</f>
        <v>48.963668</v>
      </c>
      <c r="J127" s="241">
        <f t="shared" si="112"/>
        <v>98.6564864</v>
      </c>
      <c r="K127" s="241">
        <f t="shared" si="113"/>
        <v>57.35283774</v>
      </c>
      <c r="L127" s="241">
        <f t="shared" si="114"/>
        <v>156.0093241</v>
      </c>
      <c r="M127" s="241">
        <f t="shared" si="115"/>
        <v>98.6564864</v>
      </c>
      <c r="N127" s="241">
        <f t="shared" si="116"/>
        <v>57.35283774</v>
      </c>
      <c r="O127" s="241">
        <f t="shared" si="117"/>
        <v>156.0093241</v>
      </c>
      <c r="P127" s="242">
        <f t="shared" si="2"/>
        <v>0.0001220420753</v>
      </c>
    </row>
    <row r="128">
      <c r="A128" s="236" t="s">
        <v>251</v>
      </c>
      <c r="B128" s="237">
        <f>' 19.ARRED_HIST_CONSOLIDADO_E_ME'!H27</f>
        <v>101654</v>
      </c>
      <c r="C128" s="238" t="str">
        <f t="shared" si="111"/>
        <v>SINAPI</v>
      </c>
      <c r="D128" s="238" t="s">
        <v>218</v>
      </c>
      <c r="E128" s="239" t="str">
        <f>IFERROR(IF(D128="SINAPI-S",VLOOKUP(B128,'20-B.SINAPI-S'!A:J,2,0),IF(D128="SINAPI-I",VLOOKUP(B128,'20-A.SINAPI-I'!A:G,2,0),IF(D128="COMPOSIÇÕES",VLOOKUP(B128,'11.COMPOSIÇÕES GERAIS'!B:I,2,0),VLOOKUP(B128,'12.COT.MERCADO'!A:I,2,0)))),"Em Elaboração")</f>
        <v>LUMINÁRIA DE LED PARA ILUMINAÇÃO PÚBLICA, DE 33 W ATÉ 50 W - FORNECIMENTO E INSTALAÇÃO. AF_08/2020</v>
      </c>
      <c r="F128" s="240" t="str">
        <f>IFERROR(IF(D128="SINAPI-S",VLOOKUP(B128,'20-B.SINAPI-S'!A:J,3,0),IF(D128="SINAPI-I",VLOOKUP(B128,'20-A.SINAPI-I'!A:G,3,0),IF(D128="COMPOSIÇÕES",VLOOKUP(B128,'11.COMPOSIÇÕES GERAIS'!B:I,3,0),VLOOKUP(B128,'12.COT.MERCADO'!A:I,7,0)))),"Em Elaboração")</f>
        <v>UN</v>
      </c>
      <c r="G128" s="244">
        <f>VLOOKUP(B128,' 19.ARRED_HIST_CONSOLIDADO_E_ME'!H:O,8,0)</f>
        <v>18</v>
      </c>
      <c r="H128" s="241">
        <f>IFERROR(IF(D128="SINAPI-S",VLOOKUP(B128,'20-B.SINAPI-S'!A:J,5,0),IF(D128="SINAPI-I",VLOOKUP(B128,'20-A.SINAPI-I'!A:G,6,0),IF(D128="COMPOSIÇÕES",VLOOKUP(B128,'11.COMPOSIÇÕES GERAIS'!B:I,7,0),0))),"Em Elaboração")</f>
        <v>17.26</v>
      </c>
      <c r="I128" s="241">
        <f>IFERROR(IF(D128="SINAPI-S",VLOOKUP(B128,'20-B.SINAPI-S'!A:J,6,0),IF(D128="SINAPI-I",VLOOKUP(B128,'20-A.SINAPI-I'!A:G,7,0),IF(D128="COMPOSIÇÕES",VLOOKUP(B128,'11.COMPOSIÇÕES GERAIS'!B:I,8,0),VLOOKUP(B128,'12.COT.MERCADO'!A:I,8,0)))),"Em Elaboração")</f>
        <v>247.65</v>
      </c>
      <c r="J128" s="241">
        <f t="shared" si="112"/>
        <v>20.26191046</v>
      </c>
      <c r="K128" s="241">
        <f t="shared" si="113"/>
        <v>290.08101</v>
      </c>
      <c r="L128" s="241">
        <f t="shared" si="114"/>
        <v>310.3429205</v>
      </c>
      <c r="M128" s="241">
        <f t="shared" si="115"/>
        <v>364.7143883</v>
      </c>
      <c r="N128" s="241">
        <f t="shared" si="116"/>
        <v>5221.45818</v>
      </c>
      <c r="O128" s="241">
        <f t="shared" si="117"/>
        <v>5586.172568</v>
      </c>
      <c r="P128" s="242">
        <f t="shared" si="2"/>
        <v>0.004369918894</v>
      </c>
    </row>
    <row r="129">
      <c r="A129" s="236" t="s">
        <v>252</v>
      </c>
      <c r="B129" s="237" t="str">
        <f>' 19.ARRED_HIST_CONSOLIDADO_E_ME'!H28</f>
        <v>MAN_PR_016</v>
      </c>
      <c r="C129" s="238" t="str">
        <f t="shared" si="111"/>
        <v>PRÓPRIO</v>
      </c>
      <c r="D129" s="243" t="s">
        <v>230</v>
      </c>
      <c r="E129" s="239" t="str">
        <f>IFERROR(IF(D129="SINAPI-S",VLOOKUP(B129,'20-B.SINAPI-S'!A:J,2,0),IF(D129="SINAPI-I",VLOOKUP(B129,'20-A.SINAPI-I'!A:G,2,0),IF(D129="COMPOSIÇÕES",VLOOKUP(B129,'11.COMPOSIÇÕES GERAIS'!B:I,2,0),VLOOKUP(B129,'12.COT.MERCADO'!A:I,2,0)))),"Em Elaboração")</f>
        <v>VISITA TÉCNICA DE OFICIAL DE ELÉTRICA E AJUDANTE PARA VERIFICAÇÃO DE PROBLEMA GERAL</v>
      </c>
      <c r="F129" s="240" t="str">
        <f>IFERROR(IF(D129="SINAPI-S",VLOOKUP(B129,'20-B.SINAPI-S'!A:J,3,0),IF(D129="SINAPI-I",VLOOKUP(B129,'20-A.SINAPI-I'!A:G,3,0),IF(D129="COMPOSIÇÕES",VLOOKUP(B129,'11.COMPOSIÇÕES GERAIS'!B:I,3,0),VLOOKUP(B129,'12.COT.MERCADO'!A:I,7,0)))),"Em Elaboração")</f>
        <v>UN</v>
      </c>
      <c r="G129" s="244">
        <f>VLOOKUP(B129,' 19.ARRED_HIST_CONSOLIDADO_E_ME'!H:O,8,0)</f>
        <v>2</v>
      </c>
      <c r="H129" s="241">
        <f>IFERROR(IF(D129="SINAPI-S",VLOOKUP(B129,'20-B.SINAPI-S'!A:J,5,0),IF(D129="SINAPI-I",VLOOKUP(B129,'20-A.SINAPI-I'!A:G,6,0),IF(D129="COMPOSIÇÕES",VLOOKUP(B129,'11.COMPOSIÇÕES GERAIS'!B:I,7,0),0))),"Em Elaboração")</f>
        <v>66.435</v>
      </c>
      <c r="I129" s="241">
        <f>IFERROR(IF(D129="SINAPI-S",VLOOKUP(B129,'20-B.SINAPI-S'!A:J,6,0),IF(D129="SINAPI-I",VLOOKUP(B129,'20-A.SINAPI-I'!A:G,7,0),IF(D129="COMPOSIÇÕES",VLOOKUP(B129,'11.COMPOSIÇÕES GERAIS'!B:I,8,0),VLOOKUP(B129,'12.COT.MERCADO'!A:I,8,0)))),"Em Elaboração")</f>
        <v>34.13625</v>
      </c>
      <c r="J129" s="241">
        <f t="shared" si="112"/>
        <v>77.98957251</v>
      </c>
      <c r="K129" s="241">
        <f t="shared" si="113"/>
        <v>39.98497023</v>
      </c>
      <c r="L129" s="241">
        <f t="shared" si="114"/>
        <v>117.9745427</v>
      </c>
      <c r="M129" s="241">
        <f t="shared" si="115"/>
        <v>155.979145</v>
      </c>
      <c r="N129" s="241">
        <f t="shared" si="116"/>
        <v>79.96994046</v>
      </c>
      <c r="O129" s="241">
        <f t="shared" si="117"/>
        <v>235.9490855</v>
      </c>
      <c r="P129" s="242">
        <f t="shared" si="2"/>
        <v>0.0001845768912</v>
      </c>
    </row>
    <row r="130">
      <c r="A130" s="236" t="s">
        <v>253</v>
      </c>
      <c r="B130" s="237">
        <f>' 19.ARRED_HIST_CONSOLIDADO_E_ME'!H29</f>
        <v>91952</v>
      </c>
      <c r="C130" s="238" t="str">
        <f t="shared" si="111"/>
        <v>SINAPI</v>
      </c>
      <c r="D130" s="238" t="s">
        <v>218</v>
      </c>
      <c r="E130" s="239" t="str">
        <f>IFERROR(IF(D130="SINAPI-S",VLOOKUP(B130,'20-B.SINAPI-S'!A:J,2,0),IF(D130="SINAPI-I",VLOOKUP(B130,'20-A.SINAPI-I'!A:G,2,0),IF(D130="COMPOSIÇÕES",VLOOKUP(B130,'11.COMPOSIÇÕES GERAIS'!B:I,2,0),VLOOKUP(B130,'12.COT.MERCADO'!A:I,2,0)))),"Em Elaboração")</f>
        <v>INTERRUPTOR SIMPLES (1 MÓDULO), 10A/250V, SEM SUPORTE E SEM PLACA - FORNECIMENTO E INSTALAÇÃO. AF_03/2023</v>
      </c>
      <c r="F130" s="240" t="str">
        <f>IFERROR(IF(D130="SINAPI-S",VLOOKUP(B130,'20-B.SINAPI-S'!A:J,3,0),IF(D130="SINAPI-I",VLOOKUP(B130,'20-A.SINAPI-I'!A:G,3,0),IF(D130="COMPOSIÇÕES",VLOOKUP(B130,'11.COMPOSIÇÕES GERAIS'!B:I,3,0),VLOOKUP(B130,'12.COT.MERCADO'!A:I,7,0)))),"Em Elaboração")</f>
        <v>UN</v>
      </c>
      <c r="G130" s="244">
        <f>VLOOKUP(B130,' 19.ARRED_HIST_CONSOLIDADO_E_ME'!H:O,8,0)</f>
        <v>2</v>
      </c>
      <c r="H130" s="241">
        <f>IFERROR(IF(D130="SINAPI-S",VLOOKUP(B130,'20-B.SINAPI-S'!A:J,5,0),IF(D130="SINAPI-I",VLOOKUP(B130,'20-A.SINAPI-I'!A:G,6,0),IF(D130="COMPOSIÇÕES",VLOOKUP(B130,'11.COMPOSIÇÕES GERAIS'!B:I,7,0),0))),"Em Elaboração")</f>
        <v>10.29</v>
      </c>
      <c r="I130" s="241">
        <f>IFERROR(IF(D130="SINAPI-S",VLOOKUP(B130,'20-B.SINAPI-S'!A:J,6,0),IF(D130="SINAPI-I",VLOOKUP(B130,'20-A.SINAPI-I'!A:G,7,0),IF(D130="COMPOSIÇÕES",VLOOKUP(B130,'11.COMPOSIÇÕES GERAIS'!B:I,8,0),VLOOKUP(B130,'12.COT.MERCADO'!A:I,8,0)))),"Em Elaboração")</f>
        <v>11.02</v>
      </c>
      <c r="J130" s="241">
        <f t="shared" si="112"/>
        <v>12.07966736</v>
      </c>
      <c r="K130" s="241">
        <f t="shared" si="113"/>
        <v>12.90810713</v>
      </c>
      <c r="L130" s="241">
        <f t="shared" si="114"/>
        <v>24.98777449</v>
      </c>
      <c r="M130" s="241">
        <f t="shared" si="115"/>
        <v>24.15933472</v>
      </c>
      <c r="N130" s="241">
        <f t="shared" si="116"/>
        <v>25.81621426</v>
      </c>
      <c r="O130" s="241">
        <f t="shared" si="117"/>
        <v>49.97554898</v>
      </c>
      <c r="P130" s="242">
        <f t="shared" si="2"/>
        <v>0.00003909458454</v>
      </c>
    </row>
    <row r="131">
      <c r="A131" s="236" t="s">
        <v>254</v>
      </c>
      <c r="B131" s="237" t="str">
        <f>' 19.ARRED_HIST_CONSOLIDADO_E_ME'!H30</f>
        <v>MAN_PR_051</v>
      </c>
      <c r="C131" s="238" t="str">
        <f t="shared" si="111"/>
        <v>PRÓPRIO</v>
      </c>
      <c r="D131" s="243" t="s">
        <v>230</v>
      </c>
      <c r="E131" s="239" t="str">
        <f>IFERROR(IF(D131="SINAPI-S",VLOOKUP(B131,'20-B.SINAPI-S'!A:J,2,0),IF(D131="SINAPI-I",VLOOKUP(B131,'20-A.SINAPI-I'!A:G,2,0),IF(D131="COMPOSIÇÕES",VLOOKUP(B131,'11.COMPOSIÇÕES GERAIS'!B:I,2,0),VLOOKUP(B131,'12.COT.MERCADO'!A:I,2,0)))),"Em Elaboração")</f>
        <v>SERVIÇO DE MONTAGEM DE MÓVEIS/ARMÁRIOS EM MDF</v>
      </c>
      <c r="F131" s="240" t="str">
        <f>IFERROR(IF(D131="SINAPI-S",VLOOKUP(B131,'20-B.SINAPI-S'!A:J,3,0),IF(D131="SINAPI-I",VLOOKUP(B131,'20-A.SINAPI-I'!A:G,3,0),IF(D131="COMPOSIÇÕES",VLOOKUP(B131,'11.COMPOSIÇÕES GERAIS'!B:I,3,0),VLOOKUP(B131,'12.COT.MERCADO'!A:I,7,0)))),"Em Elaboração")</f>
        <v>M2</v>
      </c>
      <c r="G131" s="244">
        <f>VLOOKUP(B131,' 19.ARRED_HIST_CONSOLIDADO_E_ME'!H:O,8,0)</f>
        <v>3</v>
      </c>
      <c r="H131" s="241">
        <f>IFERROR(IF(D131="SINAPI-S",VLOOKUP(B131,'20-B.SINAPI-S'!A:J,5,0),IF(D131="SINAPI-I",VLOOKUP(B131,'20-A.SINAPI-I'!A:G,6,0),IF(D131="COMPOSIÇÕES",VLOOKUP(B131,'11.COMPOSIÇÕES GERAIS'!B:I,7,0),0))),"Em Elaboração")</f>
        <v>21.6</v>
      </c>
      <c r="I131" s="241">
        <f>IFERROR(IF(D131="SINAPI-S",VLOOKUP(B131,'20-B.SINAPI-S'!A:J,6,0),IF(D131="SINAPI-I",VLOOKUP(B131,'20-A.SINAPI-I'!A:G,7,0),IF(D131="COMPOSIÇÕES",VLOOKUP(B131,'11.COMPOSIÇÕES GERAIS'!B:I,8,0),VLOOKUP(B131,'12.COT.MERCADO'!A:I,8,0)))),"Em Elaboração")</f>
        <v>7.69</v>
      </c>
      <c r="J131" s="241">
        <f t="shared" si="112"/>
        <v>25.35673615</v>
      </c>
      <c r="K131" s="241">
        <f t="shared" si="113"/>
        <v>9.00756296</v>
      </c>
      <c r="L131" s="241">
        <f t="shared" si="114"/>
        <v>34.36429911</v>
      </c>
      <c r="M131" s="241">
        <f t="shared" si="115"/>
        <v>76.07020846</v>
      </c>
      <c r="N131" s="241">
        <f t="shared" si="116"/>
        <v>27.02268888</v>
      </c>
      <c r="O131" s="241">
        <f t="shared" si="117"/>
        <v>103.0928973</v>
      </c>
      <c r="P131" s="242">
        <f t="shared" si="2"/>
        <v>0.00008064691779</v>
      </c>
    </row>
    <row r="132">
      <c r="A132" s="236" t="s">
        <v>255</v>
      </c>
      <c r="B132" s="237">
        <f>' 19.ARRED_HIST_CONSOLIDADO_E_ME'!H31</f>
        <v>90831</v>
      </c>
      <c r="C132" s="238" t="str">
        <f t="shared" si="111"/>
        <v>SINAPI</v>
      </c>
      <c r="D132" s="238" t="s">
        <v>218</v>
      </c>
      <c r="E132" s="239" t="str">
        <f>IFERROR(IF(D132="SINAPI-S",VLOOKUP(B132,'20-B.SINAPI-S'!A:J,2,0),IF(D132="SINAPI-I",VLOOKUP(B132,'20-A.SINAPI-I'!A:G,2,0),IF(D132="COMPOSIÇÕES",VLOOKUP(B132,'11.COMPOSIÇÕES GERAIS'!B:I,2,0),VLOOKUP(B132,'12.COT.MERCADO'!A:I,2,0)))),"Em Elaboração")</f>
        <v>FECHADURA DE EMBUTIR PARA PORTA DE BANHEIRO, COMPLETA, ACABAMENTO PADRÃO MÉDIO, INCLUSO EXECUÇÃO DE FURO - FORNECIMENTO E INSTALAÇÃO. AF_12/2019</v>
      </c>
      <c r="F132" s="240" t="str">
        <f>IFERROR(IF(D132="SINAPI-S",VLOOKUP(B132,'20-B.SINAPI-S'!A:J,3,0),IF(D132="SINAPI-I",VLOOKUP(B132,'20-A.SINAPI-I'!A:G,3,0),IF(D132="COMPOSIÇÕES",VLOOKUP(B132,'11.COMPOSIÇÕES GERAIS'!B:I,3,0),VLOOKUP(B132,'12.COT.MERCADO'!A:I,7,0)))),"Em Elaboração")</f>
        <v>UN</v>
      </c>
      <c r="G132" s="244">
        <f>VLOOKUP(B132,' 19.ARRED_HIST_CONSOLIDADO_E_ME'!H:O,8,0)</f>
        <v>1</v>
      </c>
      <c r="H132" s="241">
        <f>IFERROR(IF(D132="SINAPI-S",VLOOKUP(B132,'20-B.SINAPI-S'!A:J,5,0),IF(D132="SINAPI-I",VLOOKUP(B132,'20-A.SINAPI-I'!A:G,6,0),IF(D132="COMPOSIÇÕES",VLOOKUP(B132,'11.COMPOSIÇÕES GERAIS'!B:I,7,0),0))),"Em Elaboração")</f>
        <v>24.39</v>
      </c>
      <c r="I132" s="241">
        <f>IFERROR(IF(D132="SINAPI-S",VLOOKUP(B132,'20-B.SINAPI-S'!A:J,6,0),IF(D132="SINAPI-I",VLOOKUP(B132,'20-A.SINAPI-I'!A:G,7,0),IF(D132="COMPOSIÇÕES",VLOOKUP(B132,'11.COMPOSIÇÕES GERAIS'!B:I,8,0),VLOOKUP(B132,'12.COT.MERCADO'!A:I,8,0)))),"Em Elaboração")</f>
        <v>133.19</v>
      </c>
      <c r="J132" s="241">
        <f t="shared" si="112"/>
        <v>28.63198124</v>
      </c>
      <c r="K132" s="241">
        <f t="shared" si="113"/>
        <v>156.0100534</v>
      </c>
      <c r="L132" s="241">
        <f t="shared" si="114"/>
        <v>184.6420346</v>
      </c>
      <c r="M132" s="241">
        <f t="shared" si="115"/>
        <v>28.63198124</v>
      </c>
      <c r="N132" s="241">
        <f t="shared" si="116"/>
        <v>156.0100534</v>
      </c>
      <c r="O132" s="241">
        <f t="shared" si="117"/>
        <v>184.6420346</v>
      </c>
      <c r="P132" s="242">
        <f t="shared" si="2"/>
        <v>0.0001444407071</v>
      </c>
    </row>
    <row r="133">
      <c r="A133" s="236" t="s">
        <v>256</v>
      </c>
      <c r="B133" s="237" t="str">
        <f>' 19.ARRED_HIST_CONSOLIDADO_E_ME'!H32</f>
        <v>MAN_PR_007</v>
      </c>
      <c r="C133" s="238" t="str">
        <f t="shared" si="111"/>
        <v>PRÓPRIO</v>
      </c>
      <c r="D133" s="243" t="s">
        <v>230</v>
      </c>
      <c r="E133" s="239" t="str">
        <f>IFERROR(IF(D133="SINAPI-S",VLOOKUP(B133,'20-B.SINAPI-S'!A:J,2,0),IF(D133="SINAPI-I",VLOOKUP(B133,'20-A.SINAPI-I'!A:G,2,0),IF(D133="COMPOSIÇÕES",VLOOKUP(B133,'11.COMPOSIÇÕES GERAIS'!B:I,2,0),VLOOKUP(B133,'12.COT.MERCADO'!A:I,2,0)))),"Em Elaboração")</f>
        <v>DESENTUPIMENTO DE LOUÇAS</v>
      </c>
      <c r="F133" s="240" t="str">
        <f>IFERROR(IF(D133="SINAPI-S",VLOOKUP(B133,'20-B.SINAPI-S'!A:J,3,0),IF(D133="SINAPI-I",VLOOKUP(B133,'20-A.SINAPI-I'!A:G,3,0),IF(D133="COMPOSIÇÕES",VLOOKUP(B133,'11.COMPOSIÇÕES GERAIS'!B:I,3,0),VLOOKUP(B133,'12.COT.MERCADO'!A:I,7,0)))),"Em Elaboração")</f>
        <v>UN</v>
      </c>
      <c r="G133" s="244">
        <f>VLOOKUP(B133,' 19.ARRED_HIST_CONSOLIDADO_E_ME'!H:O,8,0)</f>
        <v>6</v>
      </c>
      <c r="H133" s="241">
        <f>IFERROR(IF(D133="SINAPI-S",VLOOKUP(B133,'20-B.SINAPI-S'!A:J,5,0),IF(D133="SINAPI-I",VLOOKUP(B133,'20-A.SINAPI-I'!A:G,6,0),IF(D133="COMPOSIÇÕES",VLOOKUP(B133,'11.COMPOSIÇÕES GERAIS'!B:I,7,0),0))),"Em Elaboração")</f>
        <v>67.891718</v>
      </c>
      <c r="I133" s="241">
        <f>IFERROR(IF(D133="SINAPI-S",VLOOKUP(B133,'20-B.SINAPI-S'!A:J,6,0),IF(D133="SINAPI-I",VLOOKUP(B133,'20-A.SINAPI-I'!A:G,7,0),IF(D133="COMPOSIÇÕES",VLOOKUP(B133,'11.COMPOSIÇÕES GERAIS'!B:I,8,0),VLOOKUP(B133,'12.COT.MERCADO'!A:I,8,0)))),"Em Elaboração")</f>
        <v>24.91129</v>
      </c>
      <c r="J133" s="241">
        <f t="shared" si="112"/>
        <v>79.69964723</v>
      </c>
      <c r="K133" s="241">
        <f t="shared" si="113"/>
        <v>29.17945554</v>
      </c>
      <c r="L133" s="241">
        <f t="shared" si="114"/>
        <v>108.8791028</v>
      </c>
      <c r="M133" s="241">
        <f t="shared" si="115"/>
        <v>478.1978834</v>
      </c>
      <c r="N133" s="241">
        <f t="shared" si="116"/>
        <v>175.0767332</v>
      </c>
      <c r="O133" s="241">
        <f t="shared" si="117"/>
        <v>653.2746166</v>
      </c>
      <c r="P133" s="242">
        <f t="shared" si="2"/>
        <v>0.0005110399034</v>
      </c>
    </row>
    <row r="134">
      <c r="A134" s="236" t="s">
        <v>257</v>
      </c>
      <c r="B134" s="237">
        <f>' 19.ARRED_HIST_CONSOLIDADO_E_ME'!H33</f>
        <v>86906</v>
      </c>
      <c r="C134" s="238" t="str">
        <f t="shared" si="111"/>
        <v>SINAPI</v>
      </c>
      <c r="D134" s="238" t="s">
        <v>218</v>
      </c>
      <c r="E134" s="239" t="str">
        <f>IFERROR(IF(D134="SINAPI-S",VLOOKUP(B134,'20-B.SINAPI-S'!A:J,2,0),IF(D134="SINAPI-I",VLOOKUP(B134,'20-A.SINAPI-I'!A:G,2,0),IF(D134="COMPOSIÇÕES",VLOOKUP(B134,'11.COMPOSIÇÕES GERAIS'!B:I,2,0),VLOOKUP(B134,'12.COT.MERCADO'!A:I,2,0)))),"Em Elaboração")</f>
        <v>TORNEIRA CROMADA DE MESA, 1/2_x0094_ OU 3/4_x0094_, PARA LAVATÓRIO, PADRÃO POPULAR - FORNECIMENTO E INSTALAÇÃO. AF_01/2020</v>
      </c>
      <c r="F134" s="240" t="str">
        <f>IFERROR(IF(D134="SINAPI-S",VLOOKUP(B134,'20-B.SINAPI-S'!A:J,3,0),IF(D134="SINAPI-I",VLOOKUP(B134,'20-A.SINAPI-I'!A:G,3,0),IF(D134="COMPOSIÇÕES",VLOOKUP(B134,'11.COMPOSIÇÕES GERAIS'!B:I,3,0),VLOOKUP(B134,'12.COT.MERCADO'!A:I,7,0)))),"Em Elaboração")</f>
        <v>UN</v>
      </c>
      <c r="G134" s="244">
        <f>VLOOKUP(B134,' 19.ARRED_HIST_CONSOLIDADO_E_ME'!H:O,8,0)</f>
        <v>3</v>
      </c>
      <c r="H134" s="241">
        <f>IFERROR(IF(D134="SINAPI-S",VLOOKUP(B134,'20-B.SINAPI-S'!A:J,5,0),IF(D134="SINAPI-I",VLOOKUP(B134,'20-A.SINAPI-I'!A:G,6,0),IF(D134="COMPOSIÇÕES",VLOOKUP(B134,'11.COMPOSIÇÕES GERAIS'!B:I,7,0),0))),"Em Elaboração")</f>
        <v>2.87</v>
      </c>
      <c r="I134" s="241">
        <f>IFERROR(IF(D134="SINAPI-S",VLOOKUP(B134,'20-B.SINAPI-S'!A:J,6,0),IF(D134="SINAPI-I",VLOOKUP(B134,'20-A.SINAPI-I'!A:G,7,0),IF(D134="COMPOSIÇÕES",VLOOKUP(B134,'11.COMPOSIÇÕES GERAIS'!B:I,8,0),VLOOKUP(B134,'12.COT.MERCADO'!A:I,8,0)))),"Em Elaboração")</f>
        <v>60.96</v>
      </c>
      <c r="J134" s="241">
        <f t="shared" si="112"/>
        <v>3.369158924</v>
      </c>
      <c r="K134" s="241">
        <f t="shared" si="113"/>
        <v>71.40455631</v>
      </c>
      <c r="L134" s="241">
        <f t="shared" si="114"/>
        <v>74.77371523</v>
      </c>
      <c r="M134" s="241">
        <f t="shared" si="115"/>
        <v>10.10747677</v>
      </c>
      <c r="N134" s="241">
        <f t="shared" si="116"/>
        <v>214.2136689</v>
      </c>
      <c r="O134" s="241">
        <f t="shared" si="117"/>
        <v>224.3211457</v>
      </c>
      <c r="P134" s="242">
        <f t="shared" si="2"/>
        <v>0.0001754806535</v>
      </c>
    </row>
    <row r="135">
      <c r="A135" s="236" t="s">
        <v>258</v>
      </c>
      <c r="B135" s="237">
        <f>' 19.ARRED_HIST_CONSOLIDADO_E_ME'!H34</f>
        <v>100849</v>
      </c>
      <c r="C135" s="238" t="str">
        <f t="shared" si="111"/>
        <v>SINAPI</v>
      </c>
      <c r="D135" s="238" t="s">
        <v>218</v>
      </c>
      <c r="E135" s="239" t="str">
        <f>IFERROR(IF(D135="SINAPI-S",VLOOKUP(B135,'20-B.SINAPI-S'!A:J,2,0),IF(D135="SINAPI-I",VLOOKUP(B135,'20-A.SINAPI-I'!A:G,2,0),IF(D135="COMPOSIÇÕES",VLOOKUP(B135,'11.COMPOSIÇÕES GERAIS'!B:I,2,0),VLOOKUP(B135,'12.COT.MERCADO'!A:I,2,0)))),"Em Elaboração")</f>
        <v>ASSENTO SANITÁRIO CONVENCIONAL - FORNECIMENTO E INSTALACAO. AF_01/2020</v>
      </c>
      <c r="F135" s="240" t="str">
        <f>IFERROR(IF(D135="SINAPI-S",VLOOKUP(B135,'20-B.SINAPI-S'!A:J,3,0),IF(D135="SINAPI-I",VLOOKUP(B135,'20-A.SINAPI-I'!A:G,3,0),IF(D135="COMPOSIÇÕES",VLOOKUP(B135,'11.COMPOSIÇÕES GERAIS'!B:I,3,0),VLOOKUP(B135,'12.COT.MERCADO'!A:I,7,0)))),"Em Elaboração")</f>
        <v>UN</v>
      </c>
      <c r="G135" s="244">
        <f>VLOOKUP(B135,' 19.ARRED_HIST_CONSOLIDADO_E_ME'!H:O,8,0)</f>
        <v>4</v>
      </c>
      <c r="H135" s="241">
        <f>IFERROR(IF(D135="SINAPI-S",VLOOKUP(B135,'20-B.SINAPI-S'!A:J,5,0),IF(D135="SINAPI-I",VLOOKUP(B135,'20-A.SINAPI-I'!A:G,6,0),IF(D135="COMPOSIÇÕES",VLOOKUP(B135,'11.COMPOSIÇÕES GERAIS'!B:I,7,0),0))),"Em Elaboração")</f>
        <v>4.59</v>
      </c>
      <c r="I135" s="241">
        <f>IFERROR(IF(D135="SINAPI-S",VLOOKUP(B135,'20-B.SINAPI-S'!A:J,6,0),IF(D135="SINAPI-I",VLOOKUP(B135,'20-A.SINAPI-I'!A:G,7,0),IF(D135="COMPOSIÇÕES",VLOOKUP(B135,'11.COMPOSIÇÕES GERAIS'!B:I,8,0),VLOOKUP(B135,'12.COT.MERCADO'!A:I,8,0)))),"Em Elaboração")</f>
        <v>40.49</v>
      </c>
      <c r="J135" s="241">
        <f t="shared" si="112"/>
        <v>5.388306432</v>
      </c>
      <c r="K135" s="241">
        <f t="shared" si="113"/>
        <v>47.42733735</v>
      </c>
      <c r="L135" s="241">
        <f t="shared" si="114"/>
        <v>52.81564378</v>
      </c>
      <c r="M135" s="241">
        <f t="shared" si="115"/>
        <v>21.55322573</v>
      </c>
      <c r="N135" s="241">
        <f t="shared" si="116"/>
        <v>189.7093494</v>
      </c>
      <c r="O135" s="241">
        <f t="shared" si="117"/>
        <v>211.2625751</v>
      </c>
      <c r="P135" s="242">
        <f t="shared" si="2"/>
        <v>0.0001652652701</v>
      </c>
    </row>
    <row r="136">
      <c r="A136" s="236" t="s">
        <v>259</v>
      </c>
      <c r="B136" s="237" t="str">
        <f>' 19.ARRED_HIST_CONSOLIDADO_E_ME'!H35</f>
        <v>MAN_PR_006</v>
      </c>
      <c r="C136" s="238" t="str">
        <f t="shared" si="111"/>
        <v>PRÓPRIO</v>
      </c>
      <c r="D136" s="243" t="s">
        <v>230</v>
      </c>
      <c r="E136" s="239" t="str">
        <f>IFERROR(IF(D136="SINAPI-S",VLOOKUP(B136,'20-B.SINAPI-S'!A:J,2,0),IF(D136="SINAPI-I",VLOOKUP(B136,'20-A.SINAPI-I'!A:G,2,0),IF(D136="COMPOSIÇÕES",VLOOKUP(B136,'11.COMPOSIÇÕES GERAIS'!B:I,2,0),VLOOKUP(B136,'12.COT.MERCADO'!A:I,2,0)))),"Em Elaboração")</f>
        <v>FORNECIMENTO E INSTALAÇÃO DE REFLETOR LED, CORPO DE ALUMÍNIO, VIDRO TEMPERADO, POTÊNCIA 30W, BIVOLT, TEMP. COR 3000K, IP-66</v>
      </c>
      <c r="F136" s="240" t="str">
        <f>IFERROR(IF(D136="SINAPI-S",VLOOKUP(B136,'20-B.SINAPI-S'!A:J,3,0),IF(D136="SINAPI-I",VLOOKUP(B136,'20-A.SINAPI-I'!A:G,3,0),IF(D136="COMPOSIÇÕES",VLOOKUP(B136,'11.COMPOSIÇÕES GERAIS'!B:I,3,0),VLOOKUP(B136,'12.COT.MERCADO'!A:I,7,0)))),"Em Elaboração")</f>
        <v>UN</v>
      </c>
      <c r="G136" s="244">
        <f>VLOOKUP(B136,' 19.ARRED_HIST_CONSOLIDADO_E_ME'!H:O,8,0)</f>
        <v>18</v>
      </c>
      <c r="H136" s="241">
        <f>IFERROR(IF(D136="SINAPI-S",VLOOKUP(B136,'20-B.SINAPI-S'!A:J,5,0),IF(D136="SINAPI-I",VLOOKUP(B136,'20-A.SINAPI-I'!A:G,6,0),IF(D136="COMPOSIÇÕES",VLOOKUP(B136,'11.COMPOSIÇÕES GERAIS'!B:I,7,0),0))),"Em Elaboração")</f>
        <v>18.305</v>
      </c>
      <c r="I136" s="241">
        <f>IFERROR(IF(D136="SINAPI-S",VLOOKUP(B136,'20-B.SINAPI-S'!A:J,6,0),IF(D136="SINAPI-I",VLOOKUP(B136,'20-A.SINAPI-I'!A:G,7,0),IF(D136="COMPOSIÇÕES",VLOOKUP(B136,'11.COMPOSIÇÕES GERAIS'!B:I,8,0),VLOOKUP(B136,'12.COT.MERCADO'!A:I,8,0)))),"Em Elaboração")</f>
        <v>45.478</v>
      </c>
      <c r="J136" s="241">
        <f t="shared" si="112"/>
        <v>21.48865997</v>
      </c>
      <c r="K136" s="241">
        <f t="shared" si="113"/>
        <v>53.26995426</v>
      </c>
      <c r="L136" s="241">
        <f t="shared" si="114"/>
        <v>74.75861423</v>
      </c>
      <c r="M136" s="241">
        <f t="shared" si="115"/>
        <v>386.7958794</v>
      </c>
      <c r="N136" s="241">
        <f t="shared" si="116"/>
        <v>958.8591767</v>
      </c>
      <c r="O136" s="241">
        <f t="shared" si="117"/>
        <v>1345.655056</v>
      </c>
      <c r="P136" s="242">
        <f t="shared" si="2"/>
        <v>0.001052671285</v>
      </c>
    </row>
    <row r="137">
      <c r="A137" s="236" t="s">
        <v>260</v>
      </c>
      <c r="B137" s="237">
        <f>' 19.ARRED_HIST_CONSOLIDADO_E_ME'!H36</f>
        <v>91926</v>
      </c>
      <c r="C137" s="238" t="str">
        <f t="shared" si="111"/>
        <v>SINAPI</v>
      </c>
      <c r="D137" s="238" t="s">
        <v>218</v>
      </c>
      <c r="E137" s="239" t="str">
        <f>IFERROR(IF(D137="SINAPI-S",VLOOKUP(B137,'20-B.SINAPI-S'!A:J,2,0),IF(D137="SINAPI-I",VLOOKUP(B137,'20-A.SINAPI-I'!A:G,2,0),IF(D137="COMPOSIÇÕES",VLOOKUP(B137,'11.COMPOSIÇÕES GERAIS'!B:I,2,0),VLOOKUP(B137,'12.COT.MERCADO'!A:I,2,0)))),"Em Elaboração")</f>
        <v>CABO DE COBRE FLEXÍVEL ISOLADO, 2,5 MM², ANTI-CHAMA 450/750 V, PARA CIRCUITOS TERMINAIS - FORNECIMENTO E INSTALAÇÃO. AF_03/2023</v>
      </c>
      <c r="F137" s="240" t="str">
        <f>IFERROR(IF(D137="SINAPI-S",VLOOKUP(B137,'20-B.SINAPI-S'!A:J,3,0),IF(D137="SINAPI-I",VLOOKUP(B137,'20-A.SINAPI-I'!A:G,3,0),IF(D137="COMPOSIÇÕES",VLOOKUP(B137,'11.COMPOSIÇÕES GERAIS'!B:I,3,0),VLOOKUP(B137,'12.COT.MERCADO'!A:I,7,0)))),"Em Elaboração")</f>
        <v>M</v>
      </c>
      <c r="G137" s="244">
        <f>VLOOKUP(B137,' 19.ARRED_HIST_CONSOLIDADO_E_ME'!H:O,8,0)</f>
        <v>35</v>
      </c>
      <c r="H137" s="241">
        <f>IFERROR(IF(D137="SINAPI-S",VLOOKUP(B137,'20-B.SINAPI-S'!A:J,5,0),IF(D137="SINAPI-I",VLOOKUP(B137,'20-A.SINAPI-I'!A:G,6,0),IF(D137="COMPOSIÇÕES",VLOOKUP(B137,'11.COMPOSIÇÕES GERAIS'!B:I,7,0),0))),"Em Elaboração")</f>
        <v>1.28</v>
      </c>
      <c r="I137" s="241">
        <f>IFERROR(IF(D137="SINAPI-S",VLOOKUP(B137,'20-B.SINAPI-S'!A:J,6,0),IF(D137="SINAPI-I",VLOOKUP(B137,'20-A.SINAPI-I'!A:G,7,0),IF(D137="COMPOSIÇÕES",VLOOKUP(B137,'11.COMPOSIÇÕES GERAIS'!B:I,8,0),VLOOKUP(B137,'12.COT.MERCADO'!A:I,8,0)))),"Em Elaboração")</f>
        <v>3.17</v>
      </c>
      <c r="J137" s="241">
        <f t="shared" si="112"/>
        <v>1.502621402</v>
      </c>
      <c r="K137" s="241">
        <f t="shared" si="113"/>
        <v>3.713130635</v>
      </c>
      <c r="L137" s="241">
        <f t="shared" si="114"/>
        <v>5.215752036</v>
      </c>
      <c r="M137" s="241">
        <f t="shared" si="115"/>
        <v>52.59174906</v>
      </c>
      <c r="N137" s="241">
        <f t="shared" si="116"/>
        <v>129.9595722</v>
      </c>
      <c r="O137" s="241">
        <f t="shared" si="117"/>
        <v>182.5513213</v>
      </c>
      <c r="P137" s="242">
        <f t="shared" si="2"/>
        <v>0.0001428051959</v>
      </c>
    </row>
    <row r="138">
      <c r="A138" s="236" t="s">
        <v>261</v>
      </c>
      <c r="B138" s="237">
        <f>' 19.ARRED_HIST_CONSOLIDADO_E_ME'!H37</f>
        <v>104476</v>
      </c>
      <c r="C138" s="238" t="str">
        <f t="shared" si="111"/>
        <v>SINAPI</v>
      </c>
      <c r="D138" s="238" t="s">
        <v>218</v>
      </c>
      <c r="E138" s="239" t="str">
        <f>IFERROR(IF(D138="SINAPI-S",VLOOKUP(B138,'20-B.SINAPI-S'!A:J,2,0),IF(D138="SINAPI-I",VLOOKUP(B138,'20-A.SINAPI-I'!A:G,2,0),IF(D138="COMPOSIÇÕES",VLOOKUP(B138,'11.COMPOSIÇÕES GERAIS'!B:I,2,0),VLOOKUP(B138,'12.COT.MERCADO'!A:I,2,0)))),"Em Elaboração")</f>
        <v>COMPOSIÇÃO PARAMÉTRICA DE PONTO ELÉTRICO DE TOMADA DE USO ESPECÍFICO 2P+T (20A/250V) EM EDIFÍCIO RESIDENCIAL COM ELETRODUTO EMBUTIDO EM RASGOS NAS PAREDES, INCLUSO TOMADA, ELETRODUTO, CABO, RASGO, QUEBRA E CHUMBAMENTO (EXCETO CHUVEIRO). AF_11/2022</v>
      </c>
      <c r="F138" s="240" t="str">
        <f>IFERROR(IF(D138="SINAPI-S",VLOOKUP(B138,'20-B.SINAPI-S'!A:J,3,0),IF(D138="SINAPI-I",VLOOKUP(B138,'20-A.SINAPI-I'!A:G,3,0),IF(D138="COMPOSIÇÕES",VLOOKUP(B138,'11.COMPOSIÇÕES GERAIS'!B:I,3,0),VLOOKUP(B138,'12.COT.MERCADO'!A:I,7,0)))),"Em Elaboração")</f>
        <v>UN</v>
      </c>
      <c r="G138" s="244">
        <f>VLOOKUP(B138,' 19.ARRED_HIST_CONSOLIDADO_E_ME'!H:O,8,0)</f>
        <v>1</v>
      </c>
      <c r="H138" s="241">
        <f>IFERROR(IF(D138="SINAPI-S",VLOOKUP(B138,'20-B.SINAPI-S'!A:J,5,0),IF(D138="SINAPI-I",VLOOKUP(B138,'20-A.SINAPI-I'!A:G,6,0),IF(D138="COMPOSIÇÕES",VLOOKUP(B138,'11.COMPOSIÇÕES GERAIS'!B:I,7,0),0))),"Em Elaboração")</f>
        <v>99.85</v>
      </c>
      <c r="I138" s="241">
        <f>IFERROR(IF(D138="SINAPI-S",VLOOKUP(B138,'20-B.SINAPI-S'!A:J,6,0),IF(D138="SINAPI-I",VLOOKUP(B138,'20-A.SINAPI-I'!A:G,7,0),IF(D138="COMPOSIÇÕES",VLOOKUP(B138,'11.COMPOSIÇÕES GERAIS'!B:I,8,0),VLOOKUP(B138,'12.COT.MERCADO'!A:I,8,0)))),"Em Elaboração")</f>
        <v>102.03</v>
      </c>
      <c r="J138" s="241">
        <f t="shared" si="112"/>
        <v>117.2162086</v>
      </c>
      <c r="K138" s="241">
        <f t="shared" si="113"/>
        <v>119.5112677</v>
      </c>
      <c r="L138" s="241">
        <f t="shared" si="114"/>
        <v>236.7274763</v>
      </c>
      <c r="M138" s="241">
        <f t="shared" si="115"/>
        <v>117.2162086</v>
      </c>
      <c r="N138" s="241">
        <f t="shared" si="116"/>
        <v>119.5112677</v>
      </c>
      <c r="O138" s="241">
        <f t="shared" si="117"/>
        <v>236.7274763</v>
      </c>
      <c r="P138" s="242">
        <f t="shared" si="2"/>
        <v>0.0001851858063</v>
      </c>
    </row>
    <row r="139">
      <c r="A139" s="236" t="s">
        <v>262</v>
      </c>
      <c r="B139" s="237">
        <f>' 19.ARRED_HIST_CONSOLIDADO_E_ME'!H38</f>
        <v>97617</v>
      </c>
      <c r="C139" s="238" t="str">
        <f t="shared" si="111"/>
        <v>SINAPI</v>
      </c>
      <c r="D139" s="238" t="s">
        <v>218</v>
      </c>
      <c r="E139" s="239" t="str">
        <f>IFERROR(IF(D139="SINAPI-S",VLOOKUP(B139,'20-B.SINAPI-S'!A:J,2,0),IF(D139="SINAPI-I",VLOOKUP(B139,'20-A.SINAPI-I'!A:G,2,0),IF(D139="COMPOSIÇÕES",VLOOKUP(B139,'11.COMPOSIÇÕES GERAIS'!B:I,2,0),VLOOKUP(B139,'12.COT.MERCADO'!A:I,2,0)))),"Em Elaboração")</f>
        <v>LÂMPADA TUBULAR FLUORESCENTE T10 DE 20/40 W, BASE G13 - FORNECIMENTO E INSTALAÇÃO. AF_02/2020_PS</v>
      </c>
      <c r="F139" s="240" t="str">
        <f>IFERROR(IF(D139="SINAPI-S",VLOOKUP(B139,'20-B.SINAPI-S'!A:J,3,0),IF(D139="SINAPI-I",VLOOKUP(B139,'20-A.SINAPI-I'!A:G,3,0),IF(D139="COMPOSIÇÕES",VLOOKUP(B139,'11.COMPOSIÇÕES GERAIS'!B:I,3,0),VLOOKUP(B139,'12.COT.MERCADO'!A:I,7,0)))),"Em Elaboração")</f>
        <v>UN</v>
      </c>
      <c r="G139" s="244">
        <f>VLOOKUP(B139,' 19.ARRED_HIST_CONSOLIDADO_E_ME'!H:O,8,0)</f>
        <v>4</v>
      </c>
      <c r="H139" s="241">
        <f>IFERROR(IF(D139="SINAPI-S",VLOOKUP(B139,'20-B.SINAPI-S'!A:J,5,0),IF(D139="SINAPI-I",VLOOKUP(B139,'20-A.SINAPI-I'!A:G,6,0),IF(D139="COMPOSIÇÕES",VLOOKUP(B139,'11.COMPOSIÇÕES GERAIS'!B:I,7,0),0))),"Em Elaboração")</f>
        <v>8.19</v>
      </c>
      <c r="I139" s="241">
        <f>IFERROR(IF(D139="SINAPI-S",VLOOKUP(B139,'20-B.SINAPI-S'!A:J,6,0),IF(D139="SINAPI-I",VLOOKUP(B139,'20-A.SINAPI-I'!A:G,7,0),IF(D139="COMPOSIÇÕES",VLOOKUP(B139,'11.COMPOSIÇÕES GERAIS'!B:I,8,0),VLOOKUP(B139,'12.COT.MERCADO'!A:I,8,0)))),"Em Elaboração")</f>
        <v>53.4</v>
      </c>
      <c r="J139" s="241">
        <f t="shared" si="112"/>
        <v>9.614429124</v>
      </c>
      <c r="K139" s="241">
        <f t="shared" si="113"/>
        <v>62.54926685</v>
      </c>
      <c r="L139" s="241">
        <f t="shared" si="114"/>
        <v>72.16369597</v>
      </c>
      <c r="M139" s="241">
        <f t="shared" si="115"/>
        <v>38.4577165</v>
      </c>
      <c r="N139" s="241">
        <f t="shared" si="116"/>
        <v>250.1970674</v>
      </c>
      <c r="O139" s="241">
        <f t="shared" si="117"/>
        <v>288.6547839</v>
      </c>
      <c r="P139" s="242">
        <f t="shared" si="2"/>
        <v>0.0002258072013</v>
      </c>
    </row>
    <row r="140">
      <c r="A140" s="236" t="s">
        <v>263</v>
      </c>
      <c r="B140" s="237" t="str">
        <f>' 19.ARRED_HIST_CONSOLIDADO_E_ME'!H39</f>
        <v>MAN_PR_008</v>
      </c>
      <c r="C140" s="238" t="str">
        <f t="shared" si="111"/>
        <v>PRÓPRIO</v>
      </c>
      <c r="D140" s="243" t="s">
        <v>230</v>
      </c>
      <c r="E140" s="239" t="str">
        <f>IFERROR(IF(D140="SINAPI-S",VLOOKUP(B140,'20-B.SINAPI-S'!A:J,2,0),IF(D140="SINAPI-I",VLOOKUP(B140,'20-A.SINAPI-I'!A:G,2,0),IF(D140="COMPOSIÇÕES",VLOOKUP(B140,'11.COMPOSIÇÕES GERAIS'!B:I,2,0),VLOOKUP(B140,'12.COT.MERCADO'!A:I,2,0)))),"Em Elaboração")</f>
        <v>RETIRADA E RECOLOCAÇÃO DE DIVISÓRIA NAVAL</v>
      </c>
      <c r="F140" s="240" t="str">
        <f>IFERROR(IF(D140="SINAPI-S",VLOOKUP(B140,'20-B.SINAPI-S'!A:J,3,0),IF(D140="SINAPI-I",VLOOKUP(B140,'20-A.SINAPI-I'!A:G,3,0),IF(D140="COMPOSIÇÕES",VLOOKUP(B140,'11.COMPOSIÇÕES GERAIS'!B:I,3,0),VLOOKUP(B140,'12.COT.MERCADO'!A:I,7,0)))),"Em Elaboração")</f>
        <v>M2</v>
      </c>
      <c r="G140" s="244">
        <f>VLOOKUP(B140,' 19.ARRED_HIST_CONSOLIDADO_E_ME'!H:O,8,0)</f>
        <v>6</v>
      </c>
      <c r="H140" s="241">
        <f>IFERROR(IF(D140="SINAPI-S",VLOOKUP(B140,'20-B.SINAPI-S'!A:J,5,0),IF(D140="SINAPI-I",VLOOKUP(B140,'20-A.SINAPI-I'!A:G,6,0),IF(D140="COMPOSIÇÕES",VLOOKUP(B140,'11.COMPOSIÇÕES GERAIS'!B:I,7,0),0))),"Em Elaboração")</f>
        <v>47.963</v>
      </c>
      <c r="I140" s="241">
        <f>IFERROR(IF(D140="SINAPI-S",VLOOKUP(B140,'20-B.SINAPI-S'!A:J,6,0),IF(D140="SINAPI-I",VLOOKUP(B140,'20-A.SINAPI-I'!A:G,7,0),IF(D140="COMPOSIÇÕES",VLOOKUP(B140,'11.COMPOSIÇÕES GERAIS'!B:I,8,0),VLOOKUP(B140,'12.COT.MERCADO'!A:I,8,0)))),"Em Elaboração")</f>
        <v>16.923</v>
      </c>
      <c r="J140" s="241">
        <f t="shared" si="112"/>
        <v>56.30486741</v>
      </c>
      <c r="K140" s="241">
        <f t="shared" si="113"/>
        <v>19.82249518</v>
      </c>
      <c r="L140" s="241">
        <f t="shared" si="114"/>
        <v>76.12736259</v>
      </c>
      <c r="M140" s="241">
        <f t="shared" si="115"/>
        <v>337.8292045</v>
      </c>
      <c r="N140" s="241">
        <f t="shared" si="116"/>
        <v>118.9349711</v>
      </c>
      <c r="O140" s="241">
        <f t="shared" si="117"/>
        <v>456.7641756</v>
      </c>
      <c r="P140" s="242">
        <f t="shared" si="2"/>
        <v>0.0003573148477</v>
      </c>
    </row>
    <row r="141">
      <c r="A141" s="236" t="s">
        <v>264</v>
      </c>
      <c r="B141" s="237">
        <f>' 19.ARRED_HIST_CONSOLIDADO_E_ME'!H40</f>
        <v>98532</v>
      </c>
      <c r="C141" s="238" t="str">
        <f t="shared" si="111"/>
        <v>SINAPI</v>
      </c>
      <c r="D141" s="238" t="s">
        <v>218</v>
      </c>
      <c r="E141" s="239" t="str">
        <f>IFERROR(IF(D141="SINAPI-S",VLOOKUP(B141,'20-B.SINAPI-S'!A:J,2,0),IF(D141="SINAPI-I",VLOOKUP(B141,'20-A.SINAPI-I'!A:G,2,0),IF(D141="COMPOSIÇÕES",VLOOKUP(B141,'11.COMPOSIÇÕES GERAIS'!B:I,2,0),VLOOKUP(B141,'12.COT.MERCADO'!A:I,2,0)))),"Em Elaboração")</f>
        <v>PODA EM ALTURA DE ÁRVORE COM DIÂMETRO DE TRONCO MENOR QUE 0,20 M.AF_05/2018</v>
      </c>
      <c r="F141" s="240" t="str">
        <f>IFERROR(IF(D141="SINAPI-S",VLOOKUP(B141,'20-B.SINAPI-S'!A:J,3,0),IF(D141="SINAPI-I",VLOOKUP(B141,'20-A.SINAPI-I'!A:G,3,0),IF(D141="COMPOSIÇÕES",VLOOKUP(B141,'11.COMPOSIÇÕES GERAIS'!B:I,3,0),VLOOKUP(B141,'12.COT.MERCADO'!A:I,7,0)))),"Em Elaboração")</f>
        <v>UN</v>
      </c>
      <c r="G141" s="244">
        <f>VLOOKUP(B141,' 19.ARRED_HIST_CONSOLIDADO_E_ME'!H:O,8,0)</f>
        <v>1</v>
      </c>
      <c r="H141" s="241">
        <f>IFERROR(IF(D141="SINAPI-S",VLOOKUP(B141,'20-B.SINAPI-S'!A:J,5,0),IF(D141="SINAPI-I",VLOOKUP(B141,'20-A.SINAPI-I'!A:G,6,0),IF(D141="COMPOSIÇÕES",VLOOKUP(B141,'11.COMPOSIÇÕES GERAIS'!B:I,7,0),0))),"Em Elaboração")</f>
        <v>44.27</v>
      </c>
      <c r="I141" s="241">
        <f>IFERROR(IF(D141="SINAPI-S",VLOOKUP(B141,'20-B.SINAPI-S'!A:J,6,0),IF(D141="SINAPI-I",VLOOKUP(B141,'20-A.SINAPI-I'!A:G,7,0),IF(D141="COMPOSIÇÕES",VLOOKUP(B141,'11.COMPOSIÇÕES GERAIS'!B:I,8,0),VLOOKUP(B141,'12.COT.MERCADO'!A:I,8,0)))),"Em Elaboração")</f>
        <v>75.49</v>
      </c>
      <c r="J141" s="241">
        <f t="shared" si="112"/>
        <v>51.96956988</v>
      </c>
      <c r="K141" s="241">
        <f t="shared" si="113"/>
        <v>88.42404783</v>
      </c>
      <c r="L141" s="241">
        <f t="shared" si="114"/>
        <v>140.3936177</v>
      </c>
      <c r="M141" s="241">
        <f t="shared" si="115"/>
        <v>51.96956988</v>
      </c>
      <c r="N141" s="241">
        <f t="shared" si="116"/>
        <v>88.42404783</v>
      </c>
      <c r="O141" s="241">
        <f t="shared" si="117"/>
        <v>140.3936177</v>
      </c>
      <c r="P141" s="242">
        <f t="shared" si="2"/>
        <v>0.0001098263104</v>
      </c>
    </row>
    <row r="142">
      <c r="A142" s="236" t="s">
        <v>265</v>
      </c>
      <c r="B142" s="237" t="str">
        <f>' 19.ARRED_HIST_CONSOLIDADO_E_ME'!H41</f>
        <v>MAN_PR_009</v>
      </c>
      <c r="C142" s="238" t="str">
        <f t="shared" si="111"/>
        <v>PRÓPRIO</v>
      </c>
      <c r="D142" s="243" t="s">
        <v>230</v>
      </c>
      <c r="E142" s="239" t="str">
        <f>IFERROR(IF(D142="SINAPI-S",VLOOKUP(B142,'20-B.SINAPI-S'!A:J,2,0),IF(D142="SINAPI-I",VLOOKUP(B142,'20-A.SINAPI-I'!A:G,2,0),IF(D142="COMPOSIÇÕES",VLOOKUP(B142,'11.COMPOSIÇÕES GERAIS'!B:I,2,0),VLOOKUP(B142,'12.COT.MERCADO'!A:I,2,0)))),"Em Elaboração")</f>
        <v>FORNECIMENTO E INSTALAÇÃO DE PLACA DE SINALIZAÇÃO FOTOLUMINOSCENTE 13x26CM</v>
      </c>
      <c r="F142" s="240" t="str">
        <f>IFERROR(IF(D142="SINAPI-S",VLOOKUP(B142,'20-B.SINAPI-S'!A:J,3,0),IF(D142="SINAPI-I",VLOOKUP(B142,'20-A.SINAPI-I'!A:G,3,0),IF(D142="COMPOSIÇÕES",VLOOKUP(B142,'11.COMPOSIÇÕES GERAIS'!B:I,3,0),VLOOKUP(B142,'12.COT.MERCADO'!A:I,7,0)))),"Em Elaboração")</f>
        <v>UN</v>
      </c>
      <c r="G142" s="244">
        <f>VLOOKUP(B142,' 19.ARRED_HIST_CONSOLIDADO_E_ME'!H:O,8,0)</f>
        <v>10</v>
      </c>
      <c r="H142" s="241">
        <f>IFERROR(IF(D142="SINAPI-S",VLOOKUP(B142,'20-B.SINAPI-S'!A:J,5,0),IF(D142="SINAPI-I",VLOOKUP(B142,'20-A.SINAPI-I'!A:G,6,0),IF(D142="COMPOSIÇÕES",VLOOKUP(B142,'11.COMPOSIÇÕES GERAIS'!B:I,7,0),0))),"Em Elaboração")</f>
        <v>8.394</v>
      </c>
      <c r="I142" s="241">
        <f>IFERROR(IF(D142="SINAPI-S",VLOOKUP(B142,'20-B.SINAPI-S'!A:J,6,0),IF(D142="SINAPI-I",VLOOKUP(B142,'20-A.SINAPI-I'!A:G,7,0),IF(D142="COMPOSIÇÕES",VLOOKUP(B142,'11.COMPOSIÇÕES GERAIS'!B:I,8,0),VLOOKUP(B142,'12.COT.MERCADO'!A:I,8,0)))),"Em Elaboração")</f>
        <v>13.148</v>
      </c>
      <c r="J142" s="241">
        <f t="shared" si="112"/>
        <v>9.85390941</v>
      </c>
      <c r="K142" s="241">
        <f t="shared" si="113"/>
        <v>15.40070713</v>
      </c>
      <c r="L142" s="241">
        <f t="shared" si="114"/>
        <v>25.25461654</v>
      </c>
      <c r="M142" s="241">
        <f t="shared" si="115"/>
        <v>98.5390941</v>
      </c>
      <c r="N142" s="241">
        <f t="shared" si="116"/>
        <v>154.0070713</v>
      </c>
      <c r="O142" s="241">
        <f t="shared" si="117"/>
        <v>252.5461654</v>
      </c>
      <c r="P142" s="242">
        <f t="shared" si="2"/>
        <v>0.0001975603593</v>
      </c>
    </row>
    <row r="143">
      <c r="A143" s="236" t="s">
        <v>266</v>
      </c>
      <c r="B143" s="237" t="str">
        <f>' 19.ARRED_HIST_CONSOLIDADO_E_ME'!H42</f>
        <v>MAN_PR_010</v>
      </c>
      <c r="C143" s="238" t="str">
        <f t="shared" si="111"/>
        <v>PRÓPRIO</v>
      </c>
      <c r="D143" s="243" t="s">
        <v>230</v>
      </c>
      <c r="E143" s="239" t="str">
        <f>IFERROR(IF(D143="SINAPI-S",VLOOKUP(B143,'20-B.SINAPI-S'!A:J,2,0),IF(D143="SINAPI-I",VLOOKUP(B143,'20-A.SINAPI-I'!A:G,2,0),IF(D143="COMPOSIÇÕES",VLOOKUP(B143,'11.COMPOSIÇÕES GERAIS'!B:I,2,0),VLOOKUP(B143,'12.COT.MERCADO'!A:I,2,0)))),"Em Elaboração")</f>
        <v>TESTE DE ENERGIZAÇÃO DE CERCA ELÉTRICA</v>
      </c>
      <c r="F143" s="240" t="str">
        <f>IFERROR(IF(D143="SINAPI-S",VLOOKUP(B143,'20-B.SINAPI-S'!A:J,3,0),IF(D143="SINAPI-I",VLOOKUP(B143,'20-A.SINAPI-I'!A:G,3,0),IF(D143="COMPOSIÇÕES",VLOOKUP(B143,'11.COMPOSIÇÕES GERAIS'!B:I,3,0),VLOOKUP(B143,'12.COT.MERCADO'!A:I,7,0)))),"Em Elaboração")</f>
        <v>UN</v>
      </c>
      <c r="G143" s="244">
        <f>VLOOKUP(B143,' 19.ARRED_HIST_CONSOLIDADO_E_ME'!H:O,8,0)</f>
        <v>1</v>
      </c>
      <c r="H143" s="241">
        <f>IFERROR(IF(D143="SINAPI-S",VLOOKUP(B143,'20-B.SINAPI-S'!A:J,5,0),IF(D143="SINAPI-I",VLOOKUP(B143,'20-A.SINAPI-I'!A:G,6,0),IF(D143="COMPOSIÇÕES",VLOOKUP(B143,'11.COMPOSIÇÕES GERAIS'!B:I,7,0),0))),"Em Elaboração")</f>
        <v>28.225</v>
      </c>
      <c r="I143" s="241">
        <f>IFERROR(IF(D143="SINAPI-S",VLOOKUP(B143,'20-B.SINAPI-S'!A:J,6,0),IF(D143="SINAPI-I",VLOOKUP(B143,'20-A.SINAPI-I'!A:G,7,0),IF(D143="COMPOSIÇÕES",VLOOKUP(B143,'11.COMPOSIÇÕES GERAIS'!B:I,8,0),VLOOKUP(B143,'12.COT.MERCADO'!A:I,8,0)))),"Em Elaboração")</f>
        <v>7.86</v>
      </c>
      <c r="J143" s="241">
        <f t="shared" si="112"/>
        <v>33.13397583</v>
      </c>
      <c r="K143" s="241">
        <f t="shared" si="113"/>
        <v>9.206689839</v>
      </c>
      <c r="L143" s="241">
        <f t="shared" si="114"/>
        <v>42.34066567</v>
      </c>
      <c r="M143" s="241">
        <f t="shared" si="115"/>
        <v>33.13397583</v>
      </c>
      <c r="N143" s="241">
        <f t="shared" si="116"/>
        <v>9.206689839</v>
      </c>
      <c r="O143" s="241">
        <f t="shared" si="117"/>
        <v>42.34066567</v>
      </c>
      <c r="P143" s="242">
        <f t="shared" si="2"/>
        <v>0.000033122012</v>
      </c>
    </row>
    <row r="144">
      <c r="A144" s="236" t="s">
        <v>267</v>
      </c>
      <c r="B144" s="237" t="str">
        <f>' 19.ARRED_HIST_CONSOLIDADO_E_ME'!H43</f>
        <v>MAN_PR_011</v>
      </c>
      <c r="C144" s="238" t="str">
        <f t="shared" si="111"/>
        <v>PRÓPRIO</v>
      </c>
      <c r="D144" s="243" t="s">
        <v>230</v>
      </c>
      <c r="E144" s="239" t="str">
        <f>IFERROR(IF(D144="SINAPI-S",VLOOKUP(B144,'20-B.SINAPI-S'!A:J,2,0),IF(D144="SINAPI-I",VLOOKUP(B144,'20-A.SINAPI-I'!A:G,2,0),IF(D144="COMPOSIÇÕES",VLOOKUP(B144,'11.COMPOSIÇÕES GERAIS'!B:I,2,0),VLOOKUP(B144,'12.COT.MERCADO'!A:I,2,0)))),"Em Elaboração")</f>
        <v>TESTE FUNCIONAL EM CIRCUITOS</v>
      </c>
      <c r="F144" s="240" t="str">
        <f>IFERROR(IF(D144="SINAPI-S",VLOOKUP(B144,'20-B.SINAPI-S'!A:J,3,0),IF(D144="SINAPI-I",VLOOKUP(B144,'20-A.SINAPI-I'!A:G,3,0),IF(D144="COMPOSIÇÕES",VLOOKUP(B144,'11.COMPOSIÇÕES GERAIS'!B:I,3,0),VLOOKUP(B144,'12.COT.MERCADO'!A:I,7,0)))),"Em Elaboração")</f>
        <v>UN</v>
      </c>
      <c r="G144" s="244">
        <f>VLOOKUP(B144,' 19.ARRED_HIST_CONSOLIDADO_E_ME'!H:O,8,0)</f>
        <v>3</v>
      </c>
      <c r="H144" s="241">
        <f>IFERROR(IF(D144="SINAPI-S",VLOOKUP(B144,'20-B.SINAPI-S'!A:J,5,0),IF(D144="SINAPI-I",VLOOKUP(B144,'20-A.SINAPI-I'!A:G,6,0),IF(D144="COMPOSIÇÕES",VLOOKUP(B144,'11.COMPOSIÇÕES GERAIS'!B:I,7,0),0))),"Em Elaboração")</f>
        <v>28.225</v>
      </c>
      <c r="I144" s="241">
        <f>IFERROR(IF(D144="SINAPI-S",VLOOKUP(B144,'20-B.SINAPI-S'!A:J,6,0),IF(D144="SINAPI-I",VLOOKUP(B144,'20-A.SINAPI-I'!A:G,7,0),IF(D144="COMPOSIÇÕES",VLOOKUP(B144,'11.COMPOSIÇÕES GERAIS'!B:I,8,0),VLOOKUP(B144,'12.COT.MERCADO'!A:I,8,0)))),"Em Elaboração")</f>
        <v>7.86</v>
      </c>
      <c r="J144" s="241">
        <f t="shared" si="112"/>
        <v>33.13397583</v>
      </c>
      <c r="K144" s="241">
        <f t="shared" si="113"/>
        <v>9.206689839</v>
      </c>
      <c r="L144" s="241">
        <f t="shared" si="114"/>
        <v>42.34066567</v>
      </c>
      <c r="M144" s="241">
        <f t="shared" si="115"/>
        <v>99.40192749</v>
      </c>
      <c r="N144" s="241">
        <f t="shared" si="116"/>
        <v>27.62006952</v>
      </c>
      <c r="O144" s="241">
        <f t="shared" si="117"/>
        <v>127.021997</v>
      </c>
      <c r="P144" s="242">
        <f t="shared" si="2"/>
        <v>0.00009936603601</v>
      </c>
    </row>
    <row r="145">
      <c r="A145" s="236" t="s">
        <v>268</v>
      </c>
      <c r="B145" s="237" t="str">
        <f>' 19.ARRED_HIST_CONSOLIDADO_E_ME'!H44</f>
        <v>MAN_PR_018</v>
      </c>
      <c r="C145" s="238" t="str">
        <f t="shared" si="111"/>
        <v>PRÓPRIO</v>
      </c>
      <c r="D145" s="243" t="s">
        <v>230</v>
      </c>
      <c r="E145" s="239" t="str">
        <f>IFERROR(IF(D145="SINAPI-S",VLOOKUP(B145,'20-B.SINAPI-S'!A:J,2,0),IF(D145="SINAPI-I",VLOOKUP(B145,'20-A.SINAPI-I'!A:G,2,0),IF(D145="COMPOSIÇÕES",VLOOKUP(B145,'11.COMPOSIÇÕES GERAIS'!B:I,2,0),VLOOKUP(B145,'12.COT.MERCADO'!A:I,2,0)))),"Em Elaboração")</f>
        <v>FORNECIMENTO E INSTALAÇÃO DE PLACA CENTRAL DE COMANDO UNIVERSAL X2 FULL ST IPEC PARA AUTOMATIZADORES</v>
      </c>
      <c r="F145" s="240" t="str">
        <f>IFERROR(IF(D145="SINAPI-S",VLOOKUP(B145,'20-B.SINAPI-S'!A:J,3,0),IF(D145="SINAPI-I",VLOOKUP(B145,'20-A.SINAPI-I'!A:G,3,0),IF(D145="COMPOSIÇÕES",VLOOKUP(B145,'11.COMPOSIÇÕES GERAIS'!B:I,3,0),VLOOKUP(B145,'12.COT.MERCADO'!A:I,7,0)))),"Em Elaboração")</f>
        <v>UN</v>
      </c>
      <c r="G145" s="244">
        <f>VLOOKUP(B145,' 19.ARRED_HIST_CONSOLIDADO_E_ME'!H:O,8,0)</f>
        <v>4</v>
      </c>
      <c r="H145" s="241">
        <f>IFERROR(IF(D145="SINAPI-S",VLOOKUP(B145,'20-B.SINAPI-S'!A:J,5,0),IF(D145="SINAPI-I",VLOOKUP(B145,'20-A.SINAPI-I'!A:G,6,0),IF(D145="COMPOSIÇÕES",VLOOKUP(B145,'11.COMPOSIÇÕES GERAIS'!B:I,7,0),0))),"Em Elaboração")</f>
        <v>13.287</v>
      </c>
      <c r="I145" s="241">
        <f>IFERROR(IF(D145="SINAPI-S",VLOOKUP(B145,'20-B.SINAPI-S'!A:J,6,0),IF(D145="SINAPI-I",VLOOKUP(B145,'20-A.SINAPI-I'!A:G,7,0),IF(D145="COMPOSIÇÕES",VLOOKUP(B145,'11.COMPOSIÇÕES GERAIS'!B:I,8,0),VLOOKUP(B145,'12.COT.MERCADO'!A:I,8,0)))),"Em Elaboração")</f>
        <v>71.126</v>
      </c>
      <c r="J145" s="241">
        <f t="shared" si="112"/>
        <v>15.5979145</v>
      </c>
      <c r="K145" s="241">
        <f t="shared" si="113"/>
        <v>83.3123437</v>
      </c>
      <c r="L145" s="241">
        <f t="shared" si="114"/>
        <v>98.9102582</v>
      </c>
      <c r="M145" s="241">
        <f t="shared" si="115"/>
        <v>62.39165801</v>
      </c>
      <c r="N145" s="241">
        <f t="shared" si="116"/>
        <v>333.2493748</v>
      </c>
      <c r="O145" s="241">
        <f t="shared" si="117"/>
        <v>395.6410328</v>
      </c>
      <c r="P145" s="242">
        <f t="shared" si="2"/>
        <v>0.0003094997878</v>
      </c>
    </row>
    <row r="146">
      <c r="A146" s="236" t="s">
        <v>269</v>
      </c>
      <c r="B146" s="237">
        <f>' 19.ARRED_HIST_CONSOLIDADO_E_ME'!H45</f>
        <v>91997</v>
      </c>
      <c r="C146" s="238" t="str">
        <f t="shared" si="111"/>
        <v>SINAPI</v>
      </c>
      <c r="D146" s="238" t="s">
        <v>218</v>
      </c>
      <c r="E146" s="239" t="str">
        <f>IFERROR(IF(D146="SINAPI-S",VLOOKUP(B146,'20-B.SINAPI-S'!A:J,2,0),IF(D146="SINAPI-I",VLOOKUP(B146,'20-A.SINAPI-I'!A:G,2,0),IF(D146="COMPOSIÇÕES",VLOOKUP(B146,'11.COMPOSIÇÕES GERAIS'!B:I,2,0),VLOOKUP(B146,'12.COT.MERCADO'!A:I,2,0)))),"Em Elaboração")</f>
        <v>TOMADA MÉDIA DE EMBUTIR (1 MÓDULO), 2P+T 20 A, INCLUINDO SUPORTE E PLACA - FORNECIMENTO E INSTALAÇÃO. AF_03/2023</v>
      </c>
      <c r="F146" s="240" t="str">
        <f>IFERROR(IF(D146="SINAPI-S",VLOOKUP(B146,'20-B.SINAPI-S'!A:J,3,0),IF(D146="SINAPI-I",VLOOKUP(B146,'20-A.SINAPI-I'!A:G,3,0),IF(D146="COMPOSIÇÕES",VLOOKUP(B146,'11.COMPOSIÇÕES GERAIS'!B:I,3,0),VLOOKUP(B146,'12.COT.MERCADO'!A:I,7,0)))),"Em Elaboração")</f>
        <v>UN</v>
      </c>
      <c r="G146" s="244">
        <f>VLOOKUP(B146,' 19.ARRED_HIST_CONSOLIDADO_E_ME'!H:O,8,0)</f>
        <v>1</v>
      </c>
      <c r="H146" s="241">
        <f>IFERROR(IF(D146="SINAPI-S",VLOOKUP(B146,'20-B.SINAPI-S'!A:J,5,0),IF(D146="SINAPI-I",VLOOKUP(B146,'20-A.SINAPI-I'!A:G,6,0),IF(D146="COMPOSIÇÕES",VLOOKUP(B146,'11.COMPOSIÇÕES GERAIS'!B:I,7,0),0))),"Em Elaboração")</f>
        <v>19.71</v>
      </c>
      <c r="I146" s="241">
        <f>IFERROR(IF(D146="SINAPI-S",VLOOKUP(B146,'20-B.SINAPI-S'!A:J,6,0),IF(D146="SINAPI-I",VLOOKUP(B146,'20-A.SINAPI-I'!A:G,7,0),IF(D146="COMPOSIÇÕES",VLOOKUP(B146,'11.COMPOSIÇÕES GERAIS'!B:I,8,0),VLOOKUP(B146,'12.COT.MERCADO'!A:I,8,0)))),"Em Elaboração")</f>
        <v>22.54</v>
      </c>
      <c r="J146" s="241">
        <f t="shared" si="112"/>
        <v>23.13802174</v>
      </c>
      <c r="K146" s="241">
        <f t="shared" si="113"/>
        <v>26.40188155</v>
      </c>
      <c r="L146" s="241">
        <f t="shared" si="114"/>
        <v>49.53990329</v>
      </c>
      <c r="M146" s="241">
        <f t="shared" si="115"/>
        <v>23.13802174</v>
      </c>
      <c r="N146" s="241">
        <f t="shared" si="116"/>
        <v>26.40188155</v>
      </c>
      <c r="O146" s="241">
        <f t="shared" si="117"/>
        <v>49.53990329</v>
      </c>
      <c r="P146" s="242">
        <f t="shared" si="2"/>
        <v>0.00003875379013</v>
      </c>
    </row>
    <row r="147">
      <c r="A147" s="236" t="s">
        <v>270</v>
      </c>
      <c r="B147" s="237">
        <f>' 19.ARRED_HIST_CONSOLIDADO_E_ME'!H46</f>
        <v>89985</v>
      </c>
      <c r="C147" s="238" t="str">
        <f t="shared" si="111"/>
        <v>SINAPI</v>
      </c>
      <c r="D147" s="238" t="s">
        <v>218</v>
      </c>
      <c r="E147" s="239" t="str">
        <f>IFERROR(IF(D147="SINAPI-S",VLOOKUP(B147,'20-B.SINAPI-S'!A:J,2,0),IF(D147="SINAPI-I",VLOOKUP(B147,'20-A.SINAPI-I'!A:G,2,0),IF(D147="COMPOSIÇÕES",VLOOKUP(B147,'11.COMPOSIÇÕES GERAIS'!B:I,2,0),VLOOKUP(B147,'12.COT.MERCADO'!A:I,2,0)))),"Em Elaboração")</f>
        <v>REGISTRO DE PRESSÃO BRUTO, LATÃO, ROSCÁVEL, 3/4", COM ACABAMENTO E CANOPLA CROMADOS - FORNECIMENTO E INSTALAÇÃO. AF_08/2021</v>
      </c>
      <c r="F147" s="240" t="str">
        <f>IFERROR(IF(D147="SINAPI-S",VLOOKUP(B147,'20-B.SINAPI-S'!A:J,3,0),IF(D147="SINAPI-I",VLOOKUP(B147,'20-A.SINAPI-I'!A:G,3,0),IF(D147="COMPOSIÇÕES",VLOOKUP(B147,'11.COMPOSIÇÕES GERAIS'!B:I,3,0),VLOOKUP(B147,'12.COT.MERCADO'!A:I,7,0)))),"Em Elaboração")</f>
        <v>UN</v>
      </c>
      <c r="G147" s="244">
        <f>VLOOKUP(B147,' 19.ARRED_HIST_CONSOLIDADO_E_ME'!H:O,8,0)</f>
        <v>1</v>
      </c>
      <c r="H147" s="241">
        <f>IFERROR(IF(D147="SINAPI-S",VLOOKUP(B147,'20-B.SINAPI-S'!A:J,5,0),IF(D147="SINAPI-I",VLOOKUP(B147,'20-A.SINAPI-I'!A:G,6,0),IF(D147="COMPOSIÇÕES",VLOOKUP(B147,'11.COMPOSIÇÕES GERAIS'!B:I,7,0),0))),"Em Elaboração")</f>
        <v>9.58</v>
      </c>
      <c r="I147" s="241">
        <f>IFERROR(IF(D147="SINAPI-S",VLOOKUP(B147,'20-B.SINAPI-S'!A:J,6,0),IF(D147="SINAPI-I",VLOOKUP(B147,'20-A.SINAPI-I'!A:G,7,0),IF(D147="COMPOSIÇÕES",VLOOKUP(B147,'11.COMPOSIÇÕES GERAIS'!B:I,8,0),VLOOKUP(B147,'12.COT.MERCADO'!A:I,8,0)))),"Em Elaboração")</f>
        <v>91.98</v>
      </c>
      <c r="J147" s="241">
        <f t="shared" si="112"/>
        <v>11.24618205</v>
      </c>
      <c r="K147" s="241">
        <f t="shared" si="113"/>
        <v>107.7393551</v>
      </c>
      <c r="L147" s="241">
        <f t="shared" si="114"/>
        <v>118.9855372</v>
      </c>
      <c r="M147" s="241">
        <f t="shared" si="115"/>
        <v>11.24618205</v>
      </c>
      <c r="N147" s="241">
        <f t="shared" si="116"/>
        <v>107.7393551</v>
      </c>
      <c r="O147" s="241">
        <f t="shared" si="117"/>
        <v>118.9855372</v>
      </c>
      <c r="P147" s="242">
        <f t="shared" si="2"/>
        <v>0.00009307932053</v>
      </c>
    </row>
    <row r="148">
      <c r="A148" s="236" t="s">
        <v>271</v>
      </c>
      <c r="B148" s="237" t="str">
        <f>' 19.ARRED_HIST_CONSOLIDADO_E_ME'!H47</f>
        <v>MAN_PR_012</v>
      </c>
      <c r="C148" s="238" t="str">
        <f t="shared" si="111"/>
        <v>PRÓPRIO</v>
      </c>
      <c r="D148" s="243" t="s">
        <v>230</v>
      </c>
      <c r="E148" s="239" t="str">
        <f>IFERROR(IF(D148="SINAPI-S",VLOOKUP(B148,'20-B.SINAPI-S'!A:J,2,0),IF(D148="SINAPI-I",VLOOKUP(B148,'20-A.SINAPI-I'!A:G,2,0),IF(D148="COMPOSIÇÕES",VLOOKUP(B148,'11.COMPOSIÇÕES GERAIS'!B:I,2,0),VLOOKUP(B148,'12.COT.MERCADO'!A:I,2,0)))),"Em Elaboração")</f>
        <v>RETIRADA DE LÂMPADA E ACONDICIONAMENTO EM CAIXA DE PAPELÃO, EXCLUSIVE FORNECIMENTO DA CAIXA</v>
      </c>
      <c r="F148" s="240" t="str">
        <f>IFERROR(IF(D148="SINAPI-S",VLOOKUP(B148,'20-B.SINAPI-S'!A:J,3,0),IF(D148="SINAPI-I",VLOOKUP(B148,'20-A.SINAPI-I'!A:G,3,0),IF(D148="COMPOSIÇÕES",VLOOKUP(B148,'11.COMPOSIÇÕES GERAIS'!B:I,3,0),VLOOKUP(B148,'12.COT.MERCADO'!A:I,7,0)))),"Em Elaboração")</f>
        <v>UN</v>
      </c>
      <c r="G148" s="244">
        <f>VLOOKUP(B148,' 19.ARRED_HIST_CONSOLIDADO_E_ME'!H:O,8,0)</f>
        <v>1</v>
      </c>
      <c r="H148" s="241">
        <f>IFERROR(IF(D148="SINAPI-S",VLOOKUP(B148,'20-B.SINAPI-S'!A:J,5,0),IF(D148="SINAPI-I",VLOOKUP(B148,'20-A.SINAPI-I'!A:G,6,0),IF(D148="COMPOSIÇÕES",VLOOKUP(B148,'11.COMPOSIÇÕES GERAIS'!B:I,7,0),0))),"Em Elaboração")</f>
        <v>9.6</v>
      </c>
      <c r="I148" s="241">
        <f>IFERROR(IF(D148="SINAPI-S",VLOOKUP(B148,'20-B.SINAPI-S'!A:J,6,0),IF(D148="SINAPI-I",VLOOKUP(B148,'20-A.SINAPI-I'!A:G,7,0),IF(D148="COMPOSIÇÕES",VLOOKUP(B148,'11.COMPOSIÇÕES GERAIS'!B:I,8,0),VLOOKUP(B148,'12.COT.MERCADO'!A:I,8,0)))),"Em Elaboração")</f>
        <v>3.93</v>
      </c>
      <c r="J148" s="241">
        <f t="shared" si="112"/>
        <v>11.26966051</v>
      </c>
      <c r="K148" s="241">
        <f t="shared" si="113"/>
        <v>4.60334492</v>
      </c>
      <c r="L148" s="241">
        <f t="shared" si="114"/>
        <v>15.87300543</v>
      </c>
      <c r="M148" s="241">
        <f t="shared" si="115"/>
        <v>11.26966051</v>
      </c>
      <c r="N148" s="241">
        <f t="shared" si="116"/>
        <v>4.60334492</v>
      </c>
      <c r="O148" s="241">
        <f t="shared" si="117"/>
        <v>15.87300543</v>
      </c>
      <c r="P148" s="242">
        <f t="shared" si="2"/>
        <v>0.00001241704324</v>
      </c>
    </row>
    <row r="149">
      <c r="A149" s="236" t="s">
        <v>272</v>
      </c>
      <c r="B149" s="237">
        <f>' 19.ARRED_HIST_CONSOLIDADO_E_ME'!H48</f>
        <v>98297</v>
      </c>
      <c r="C149" s="238" t="str">
        <f t="shared" si="111"/>
        <v>SINAPI</v>
      </c>
      <c r="D149" s="238" t="s">
        <v>218</v>
      </c>
      <c r="E149" s="239" t="str">
        <f>IFERROR(IF(D149="SINAPI-S",VLOOKUP(B149,'20-B.SINAPI-S'!A:J,2,0),IF(D149="SINAPI-I",VLOOKUP(B149,'20-A.SINAPI-I'!A:G,2,0),IF(D149="COMPOSIÇÕES",VLOOKUP(B149,'11.COMPOSIÇÕES GERAIS'!B:I,2,0),VLOOKUP(B149,'12.COT.MERCADO'!A:I,2,0)))),"Em Elaboração")</f>
        <v>CABO ELETRÔNICO CATEGORIA 6, INSTALADO EM EDIFICAÇÃO INSTITUCIONAL - FORNECIMENTO E INSTALAÇÃO. AF_11/2019</v>
      </c>
      <c r="F149" s="240" t="str">
        <f>IFERROR(IF(D149="SINAPI-S",VLOOKUP(B149,'20-B.SINAPI-S'!A:J,3,0),IF(D149="SINAPI-I",VLOOKUP(B149,'20-A.SINAPI-I'!A:G,3,0),IF(D149="COMPOSIÇÕES",VLOOKUP(B149,'11.COMPOSIÇÕES GERAIS'!B:I,3,0),VLOOKUP(B149,'12.COT.MERCADO'!A:I,7,0)))),"Em Elaboração")</f>
        <v>M</v>
      </c>
      <c r="G149" s="244">
        <f>VLOOKUP(B149,' 19.ARRED_HIST_CONSOLIDADO_E_ME'!H:O,8,0)</f>
        <v>363</v>
      </c>
      <c r="H149" s="241">
        <f>IFERROR(IF(D149="SINAPI-S",VLOOKUP(B149,'20-B.SINAPI-S'!A:J,5,0),IF(D149="SINAPI-I",VLOOKUP(B149,'20-A.SINAPI-I'!A:G,6,0),IF(D149="COMPOSIÇÕES",VLOOKUP(B149,'11.COMPOSIÇÕES GERAIS'!B:I,7,0),0))),"Em Elaboração")</f>
        <v>0.18</v>
      </c>
      <c r="I149" s="241">
        <f>IFERROR(IF(D149="SINAPI-S",VLOOKUP(B149,'20-B.SINAPI-S'!A:J,6,0),IF(D149="SINAPI-I",VLOOKUP(B149,'20-A.SINAPI-I'!A:G,7,0),IF(D149="COMPOSIÇÕES",VLOOKUP(B149,'11.COMPOSIÇÕES GERAIS'!B:I,8,0),VLOOKUP(B149,'12.COT.MERCADO'!A:I,8,0)))),"Em Elaboração")</f>
        <v>8.47</v>
      </c>
      <c r="J149" s="241">
        <f t="shared" si="112"/>
        <v>0.2113061346</v>
      </c>
      <c r="K149" s="241">
        <f t="shared" si="113"/>
        <v>9.921203936</v>
      </c>
      <c r="L149" s="241">
        <f t="shared" si="114"/>
        <v>10.13251007</v>
      </c>
      <c r="M149" s="241">
        <f t="shared" si="115"/>
        <v>76.70412686</v>
      </c>
      <c r="N149" s="241">
        <f t="shared" si="116"/>
        <v>3601.397029</v>
      </c>
      <c r="O149" s="241">
        <f t="shared" si="117"/>
        <v>3678.101156</v>
      </c>
      <c r="P149" s="242">
        <f t="shared" si="2"/>
        <v>0.002877283782</v>
      </c>
    </row>
    <row r="150">
      <c r="A150" s="236" t="s">
        <v>273</v>
      </c>
      <c r="B150" s="237">
        <f>' 19.ARRED_HIST_CONSOLIDADO_E_ME'!H49</f>
        <v>96113</v>
      </c>
      <c r="C150" s="238" t="str">
        <f t="shared" si="111"/>
        <v>SINAPI</v>
      </c>
      <c r="D150" s="238" t="s">
        <v>218</v>
      </c>
      <c r="E150" s="239" t="str">
        <f>IFERROR(IF(D150="SINAPI-S",VLOOKUP(B150,'20-B.SINAPI-S'!A:J,2,0),IF(D150="SINAPI-I",VLOOKUP(B150,'20-A.SINAPI-I'!A:G,2,0),IF(D150="COMPOSIÇÕES",VLOOKUP(B150,'11.COMPOSIÇÕES GERAIS'!B:I,2,0),VLOOKUP(B150,'12.COT.MERCADO'!A:I,2,0)))),"Em Elaboração")</f>
        <v>FORRO EM PLACAS DE GESSO, PARA AMBIENTES COMERCIAIS. AF_05/2017_PS</v>
      </c>
      <c r="F150" s="240" t="str">
        <f>IFERROR(IF(D150="SINAPI-S",VLOOKUP(B150,'20-B.SINAPI-S'!A:J,3,0),IF(D150="SINAPI-I",VLOOKUP(B150,'20-A.SINAPI-I'!A:G,3,0),IF(D150="COMPOSIÇÕES",VLOOKUP(B150,'11.COMPOSIÇÕES GERAIS'!B:I,3,0),VLOOKUP(B150,'12.COT.MERCADO'!A:I,7,0)))),"Em Elaboração")</f>
        <v>M2</v>
      </c>
      <c r="G150" s="244">
        <f>VLOOKUP(B150,' 19.ARRED_HIST_CONSOLIDADO_E_ME'!H:O,8,0)</f>
        <v>3</v>
      </c>
      <c r="H150" s="241">
        <f>IFERROR(IF(D150="SINAPI-S",VLOOKUP(B150,'20-B.SINAPI-S'!A:J,5,0),IF(D150="SINAPI-I",VLOOKUP(B150,'20-A.SINAPI-I'!A:G,6,0),IF(D150="COMPOSIÇÕES",VLOOKUP(B150,'11.COMPOSIÇÕES GERAIS'!B:I,7,0),0))),"Em Elaboração")</f>
        <v>20.21</v>
      </c>
      <c r="I150" s="241">
        <f>IFERROR(IF(D150="SINAPI-S",VLOOKUP(B150,'20-B.SINAPI-S'!A:J,6,0),IF(D150="SINAPI-I",VLOOKUP(B150,'20-A.SINAPI-I'!A:G,7,0),IF(D150="COMPOSIÇÕES",VLOOKUP(B150,'11.COMPOSIÇÕES GERAIS'!B:I,8,0),VLOOKUP(B150,'12.COT.MERCADO'!A:I,8,0)))),"Em Elaboração")</f>
        <v>21.76</v>
      </c>
      <c r="J150" s="241">
        <f t="shared" si="112"/>
        <v>23.72498322</v>
      </c>
      <c r="K150" s="241">
        <f t="shared" si="113"/>
        <v>25.48824057</v>
      </c>
      <c r="L150" s="241">
        <f t="shared" si="114"/>
        <v>49.2132238</v>
      </c>
      <c r="M150" s="241">
        <f t="shared" si="115"/>
        <v>71.17494967</v>
      </c>
      <c r="N150" s="241">
        <f t="shared" si="116"/>
        <v>76.46472172</v>
      </c>
      <c r="O150" s="241">
        <f t="shared" si="117"/>
        <v>147.6396714</v>
      </c>
      <c r="P150" s="242">
        <f t="shared" si="2"/>
        <v>0.0001154947116</v>
      </c>
    </row>
    <row r="151">
      <c r="A151" s="236" t="s">
        <v>274</v>
      </c>
      <c r="B151" s="237" t="str">
        <f>' 19.ARRED_HIST_CONSOLIDADO_E_ME'!H50</f>
        <v>MAN_PR_013</v>
      </c>
      <c r="C151" s="238" t="str">
        <f t="shared" si="111"/>
        <v>PRÓPRIO</v>
      </c>
      <c r="D151" s="243" t="s">
        <v>230</v>
      </c>
      <c r="E151" s="239" t="str">
        <f>IFERROR(IF(D151="SINAPI-S",VLOOKUP(B151,'20-B.SINAPI-S'!A:J,2,0),IF(D151="SINAPI-I",VLOOKUP(B151,'20-A.SINAPI-I'!A:G,2,0),IF(D151="COMPOSIÇÕES",VLOOKUP(B151,'11.COMPOSIÇÕES GERAIS'!B:I,2,0),VLOOKUP(B151,'12.COT.MERCADO'!A:I,2,0)))),"Em Elaboração")</f>
        <v>FORNECIMENTO E INSTALAÇÃO DE PERSIANA EM PVC BRANCO, LÂMINA COM LARGURA DE 89MM, SEM BANDÔ</v>
      </c>
      <c r="F151" s="240" t="str">
        <f>IFERROR(IF(D151="SINAPI-S",VLOOKUP(B151,'20-B.SINAPI-S'!A:J,3,0),IF(D151="SINAPI-I",VLOOKUP(B151,'20-A.SINAPI-I'!A:G,3,0),IF(D151="COMPOSIÇÕES",VLOOKUP(B151,'11.COMPOSIÇÕES GERAIS'!B:I,3,0),VLOOKUP(B151,'12.COT.MERCADO'!A:I,7,0)))),"Em Elaboração")</f>
        <v>M2</v>
      </c>
      <c r="G151" s="244">
        <f>VLOOKUP(B151,' 19.ARRED_HIST_CONSOLIDADO_E_ME'!H:O,8,0)</f>
        <v>1</v>
      </c>
      <c r="H151" s="241">
        <f>IFERROR(IF(D151="SINAPI-S",VLOOKUP(B151,'20-B.SINAPI-S'!A:J,5,0),IF(D151="SINAPI-I",VLOOKUP(B151,'20-A.SINAPI-I'!A:G,6,0),IF(D151="COMPOSIÇÕES",VLOOKUP(B151,'11.COMPOSIÇÕES GERAIS'!B:I,7,0),0))),"Em Elaboração")</f>
        <v>0</v>
      </c>
      <c r="I151" s="241">
        <f>IFERROR(IF(D151="SINAPI-S",VLOOKUP(B151,'20-B.SINAPI-S'!A:J,6,0),IF(D151="SINAPI-I",VLOOKUP(B151,'20-A.SINAPI-I'!A:G,7,0),IF(D151="COMPOSIÇÕES",VLOOKUP(B151,'11.COMPOSIÇÕES GERAIS'!B:I,8,0),VLOOKUP(B151,'12.COT.MERCADO'!A:I,8,0)))),"Em Elaboração")</f>
        <v>170</v>
      </c>
      <c r="J151" s="241">
        <f t="shared" si="112"/>
        <v>0</v>
      </c>
      <c r="K151" s="241">
        <f t="shared" si="113"/>
        <v>199.1268795</v>
      </c>
      <c r="L151" s="241">
        <f t="shared" si="114"/>
        <v>199.1268795</v>
      </c>
      <c r="M151" s="241">
        <f t="shared" si="115"/>
        <v>0</v>
      </c>
      <c r="N151" s="241">
        <f t="shared" si="116"/>
        <v>199.1268795</v>
      </c>
      <c r="O151" s="241">
        <f t="shared" si="117"/>
        <v>199.1268795</v>
      </c>
      <c r="P151" s="242">
        <f t="shared" si="2"/>
        <v>0.0001557718281</v>
      </c>
    </row>
    <row r="152">
      <c r="A152" s="236" t="s">
        <v>275</v>
      </c>
      <c r="B152" s="237">
        <f>' 19.ARRED_HIST_CONSOLIDADO_E_ME'!H51</f>
        <v>96803</v>
      </c>
      <c r="C152" s="238" t="str">
        <f t="shared" si="111"/>
        <v>SINAPI</v>
      </c>
      <c r="D152" s="238" t="s">
        <v>218</v>
      </c>
      <c r="E152" s="239" t="str">
        <f>IFERROR(IF(D152="SINAPI-S",VLOOKUP(B152,'20-B.SINAPI-S'!A:J,2,0),IF(D152="SINAPI-I",VLOOKUP(B152,'20-A.SINAPI-I'!A:G,2,0),IF(D152="COMPOSIÇÕES",VLOOKUP(B152,'11.COMPOSIÇÕES GERAIS'!B:I,2,0),VLOOKUP(B152,'12.COT.MERCADO'!A:I,2,0)))),"Em Elaboração")</f>
        <v>KIT CHASSI PEX, PRÉ-FABRICADO, PARA COZINHA COM CUBA SIMPLES, INCLUSO QUADRO METÁLICO, TUBOS E CONEXÕES POR CRIMPAGEM - FORNECIMENTO E INSTALAÇÃO. AF_02/2023</v>
      </c>
      <c r="F152" s="240" t="str">
        <f>IFERROR(IF(D152="SINAPI-S",VLOOKUP(B152,'20-B.SINAPI-S'!A:J,3,0),IF(D152="SINAPI-I",VLOOKUP(B152,'20-A.SINAPI-I'!A:G,3,0),IF(D152="COMPOSIÇÕES",VLOOKUP(B152,'11.COMPOSIÇÕES GERAIS'!B:I,3,0),VLOOKUP(B152,'12.COT.MERCADO'!A:I,7,0)))),"Em Elaboração")</f>
        <v>UN</v>
      </c>
      <c r="G152" s="244">
        <f>VLOOKUP(B152,' 19.ARRED_HIST_CONSOLIDADO_E_ME'!H:O,8,0)</f>
        <v>1</v>
      </c>
      <c r="H152" s="241">
        <f>IFERROR(IF(D152="SINAPI-S",VLOOKUP(B152,'20-B.SINAPI-S'!A:J,5,0),IF(D152="SINAPI-I",VLOOKUP(B152,'20-A.SINAPI-I'!A:G,6,0),IF(D152="COMPOSIÇÕES",VLOOKUP(B152,'11.COMPOSIÇÕES GERAIS'!B:I,7,0),0))),"Em Elaboração")</f>
        <v>14.09</v>
      </c>
      <c r="I152" s="241">
        <f>IFERROR(IF(D152="SINAPI-S",VLOOKUP(B152,'20-B.SINAPI-S'!A:J,6,0),IF(D152="SINAPI-I",VLOOKUP(B152,'20-A.SINAPI-I'!A:G,7,0),IF(D152="COMPOSIÇÕES",VLOOKUP(B152,'11.COMPOSIÇÕES GERAIS'!B:I,8,0),VLOOKUP(B152,'12.COT.MERCADO'!A:I,8,0)))),"Em Elaboração")</f>
        <v>54.05</v>
      </c>
      <c r="J152" s="241">
        <f t="shared" si="112"/>
        <v>16.54057465</v>
      </c>
      <c r="K152" s="241">
        <f t="shared" si="113"/>
        <v>63.31063433</v>
      </c>
      <c r="L152" s="241">
        <f t="shared" si="114"/>
        <v>79.85120897</v>
      </c>
      <c r="M152" s="241">
        <f t="shared" si="115"/>
        <v>16.54057465</v>
      </c>
      <c r="N152" s="241">
        <f t="shared" si="116"/>
        <v>63.31063433</v>
      </c>
      <c r="O152" s="241">
        <f t="shared" si="117"/>
        <v>79.85120897</v>
      </c>
      <c r="P152" s="242">
        <f t="shared" si="2"/>
        <v>0.00006246554372</v>
      </c>
    </row>
    <row r="153">
      <c r="A153" s="236" t="s">
        <v>276</v>
      </c>
      <c r="B153" s="237" t="str">
        <f>' 19.ARRED_HIST_CONSOLIDADO_E_ME'!H52</f>
        <v>MAN_PR_022</v>
      </c>
      <c r="C153" s="238" t="str">
        <f t="shared" si="111"/>
        <v>PRÓPRIO</v>
      </c>
      <c r="D153" s="243" t="s">
        <v>230</v>
      </c>
      <c r="E153" s="239" t="str">
        <f>IFERROR(IF(D153="SINAPI-S",VLOOKUP(B153,'20-B.SINAPI-S'!A:J,2,0),IF(D153="SINAPI-I",VLOOKUP(B153,'20-A.SINAPI-I'!A:G,2,0),IF(D153="COMPOSIÇÕES",VLOOKUP(B153,'11.COMPOSIÇÕES GERAIS'!B:I,2,0),VLOOKUP(B153,'12.COT.MERCADO'!A:I,2,0)))),"Em Elaboração")</f>
        <v>VERIFICAÇÃO E TESTE DE PONTO/CIRCUITO COM EMISSÃO DE RELATÓRIO</v>
      </c>
      <c r="F153" s="240" t="str">
        <f>IFERROR(IF(D153="SINAPI-S",VLOOKUP(B153,'20-B.SINAPI-S'!A:J,3,0),IF(D153="SINAPI-I",VLOOKUP(B153,'20-A.SINAPI-I'!A:G,3,0),IF(D153="COMPOSIÇÕES",VLOOKUP(B153,'11.COMPOSIÇÕES GERAIS'!B:I,3,0),VLOOKUP(B153,'12.COT.MERCADO'!A:I,7,0)))),"Em Elaboração")</f>
        <v>UN</v>
      </c>
      <c r="G153" s="244">
        <f>VLOOKUP(B153,' 19.ARRED_HIST_CONSOLIDADO_E_ME'!H:O,8,0)</f>
        <v>2</v>
      </c>
      <c r="H153" s="241">
        <f>IFERROR(IF(D153="SINAPI-S",VLOOKUP(B153,'20-B.SINAPI-S'!A:J,5,0),IF(D153="SINAPI-I",VLOOKUP(B153,'20-A.SINAPI-I'!A:G,6,0),IF(D153="COMPOSIÇÕES",VLOOKUP(B153,'11.COMPOSIÇÕES GERAIS'!B:I,7,0),0))),"Em Elaboração")</f>
        <v>14.1125</v>
      </c>
      <c r="I153" s="241">
        <f>IFERROR(IF(D153="SINAPI-S",VLOOKUP(B153,'20-B.SINAPI-S'!A:J,6,0),IF(D153="SINAPI-I",VLOOKUP(B153,'20-A.SINAPI-I'!A:G,7,0),IF(D153="COMPOSIÇÕES",VLOOKUP(B153,'11.COMPOSIÇÕES GERAIS'!B:I,8,0),VLOOKUP(B153,'12.COT.MERCADO'!A:I,8,0)))),"Em Elaboração")</f>
        <v>3.93</v>
      </c>
      <c r="J153" s="241">
        <f t="shared" si="112"/>
        <v>16.56698791</v>
      </c>
      <c r="K153" s="241">
        <f t="shared" si="113"/>
        <v>4.60334492</v>
      </c>
      <c r="L153" s="241">
        <f t="shared" si="114"/>
        <v>21.17033283</v>
      </c>
      <c r="M153" s="241">
        <f t="shared" si="115"/>
        <v>33.13397583</v>
      </c>
      <c r="N153" s="241">
        <f t="shared" si="116"/>
        <v>9.206689839</v>
      </c>
      <c r="O153" s="241">
        <f t="shared" si="117"/>
        <v>42.34066567</v>
      </c>
      <c r="P153" s="242">
        <f t="shared" si="2"/>
        <v>0.000033122012</v>
      </c>
    </row>
    <row r="154">
      <c r="A154" s="236" t="s">
        <v>277</v>
      </c>
      <c r="B154" s="237">
        <f>' 19.ARRED_HIST_CONSOLIDADO_E_ME'!H53</f>
        <v>91971</v>
      </c>
      <c r="C154" s="238" t="str">
        <f t="shared" si="111"/>
        <v>SINAPI</v>
      </c>
      <c r="D154" s="238" t="s">
        <v>218</v>
      </c>
      <c r="E154" s="239" t="str">
        <f>IFERROR(IF(D154="SINAPI-S",VLOOKUP(B154,'20-B.SINAPI-S'!A:J,2,0),IF(D154="SINAPI-I",VLOOKUP(B154,'20-A.SINAPI-I'!A:G,2,0),IF(D154="COMPOSIÇÕES",VLOOKUP(B154,'11.COMPOSIÇÕES GERAIS'!B:I,2,0),VLOOKUP(B154,'12.COT.MERCADO'!A:I,2,0)))),"Em Elaboração")</f>
        <v>INTERRUPTOR SIMPLES (3 MÓDULOS) COM INTERRUPTOR PARALELO (1 MÓDULO), 10A/250V, INCLUINDO SUPORTE E PLACA - FORNECIMENTO E INSTALAÇÃO. AF_03/2023</v>
      </c>
      <c r="F154" s="240" t="str">
        <f>IFERROR(IF(D154="SINAPI-S",VLOOKUP(B154,'20-B.SINAPI-S'!A:J,3,0),IF(D154="SINAPI-I",VLOOKUP(B154,'20-A.SINAPI-I'!A:G,3,0),IF(D154="COMPOSIÇÕES",VLOOKUP(B154,'11.COMPOSIÇÕES GERAIS'!B:I,3,0),VLOOKUP(B154,'12.COT.MERCADO'!A:I,7,0)))),"Em Elaboração")</f>
        <v>UN</v>
      </c>
      <c r="G154" s="244">
        <f>VLOOKUP(B154,' 19.ARRED_HIST_CONSOLIDADO_E_ME'!H:O,8,0)</f>
        <v>1</v>
      </c>
      <c r="H154" s="241">
        <f>IFERROR(IF(D154="SINAPI-S",VLOOKUP(B154,'20-B.SINAPI-S'!A:J,5,0),IF(D154="SINAPI-I",VLOOKUP(B154,'20-A.SINAPI-I'!A:G,6,0),IF(D154="COMPOSIÇÕES",VLOOKUP(B154,'11.COMPOSIÇÕES GERAIS'!B:I,7,0),0))),"Em Elaboração")</f>
        <v>43.57</v>
      </c>
      <c r="I154" s="241">
        <f>IFERROR(IF(D154="SINAPI-S",VLOOKUP(B154,'20-B.SINAPI-S'!A:J,6,0),IF(D154="SINAPI-I",VLOOKUP(B154,'20-A.SINAPI-I'!A:G,7,0),IF(D154="COMPOSIÇÕES",VLOOKUP(B154,'11.COMPOSIÇÕES GERAIS'!B:I,8,0),VLOOKUP(B154,'12.COT.MERCADO'!A:I,8,0)))),"Em Elaboração")</f>
        <v>56.28</v>
      </c>
      <c r="J154" s="241">
        <f t="shared" si="112"/>
        <v>51.1478238</v>
      </c>
      <c r="K154" s="241">
        <f t="shared" si="113"/>
        <v>65.92271045</v>
      </c>
      <c r="L154" s="241">
        <f t="shared" si="114"/>
        <v>117.0705343</v>
      </c>
      <c r="M154" s="241">
        <f t="shared" si="115"/>
        <v>51.1478238</v>
      </c>
      <c r="N154" s="241">
        <f t="shared" si="116"/>
        <v>65.92271045</v>
      </c>
      <c r="O154" s="241">
        <f t="shared" si="117"/>
        <v>117.0705343</v>
      </c>
      <c r="P154" s="242">
        <f t="shared" si="2"/>
        <v>0.00009158126307</v>
      </c>
    </row>
    <row r="155">
      <c r="A155" s="236" t="s">
        <v>278</v>
      </c>
      <c r="B155" s="237">
        <f>' 19.ARRED_HIST_CONSOLIDADO_E_ME'!H54</f>
        <v>97665</v>
      </c>
      <c r="C155" s="238" t="str">
        <f t="shared" si="111"/>
        <v>SINAPI</v>
      </c>
      <c r="D155" s="238" t="s">
        <v>218</v>
      </c>
      <c r="E155" s="239" t="str">
        <f>IFERROR(IF(D155="SINAPI-S",VLOOKUP(B155,'20-B.SINAPI-S'!A:J,2,0),IF(D155="SINAPI-I",VLOOKUP(B155,'20-A.SINAPI-I'!A:G,2,0),IF(D155="COMPOSIÇÕES",VLOOKUP(B155,'11.COMPOSIÇÕES GERAIS'!B:I,2,0),VLOOKUP(B155,'12.COT.MERCADO'!A:I,2,0)))),"Em Elaboração")</f>
        <v>REMOÇÃO DE LUMINÁRIAS, DE FORMA MANUAL, SEM REAPROVEITAMENTO. AF_12/2017</v>
      </c>
      <c r="F155" s="240" t="str">
        <f>IFERROR(IF(D155="SINAPI-S",VLOOKUP(B155,'20-B.SINAPI-S'!A:J,3,0),IF(D155="SINAPI-I",VLOOKUP(B155,'20-A.SINAPI-I'!A:G,3,0),IF(D155="COMPOSIÇÕES",VLOOKUP(B155,'11.COMPOSIÇÕES GERAIS'!B:I,3,0),VLOOKUP(B155,'12.COT.MERCADO'!A:I,7,0)))),"Em Elaboração")</f>
        <v>UN</v>
      </c>
      <c r="G155" s="244">
        <f>VLOOKUP(B155,' 19.ARRED_HIST_CONSOLIDADO_E_ME'!H:O,8,0)</f>
        <v>1</v>
      </c>
      <c r="H155" s="241">
        <f>IFERROR(IF(D155="SINAPI-S",VLOOKUP(B155,'20-B.SINAPI-S'!A:J,5,0),IF(D155="SINAPI-I",VLOOKUP(B155,'20-A.SINAPI-I'!A:G,6,0),IF(D155="COMPOSIÇÕES",VLOOKUP(B155,'11.COMPOSIÇÕES GERAIS'!B:I,7,0),0))),"Em Elaboração")</f>
        <v>1.11</v>
      </c>
      <c r="I155" s="241">
        <f>IFERROR(IF(D155="SINAPI-S",VLOOKUP(B155,'20-B.SINAPI-S'!A:J,6,0),IF(D155="SINAPI-I",VLOOKUP(B155,'20-A.SINAPI-I'!A:G,7,0),IF(D155="COMPOSIÇÕES",VLOOKUP(B155,'11.COMPOSIÇÕES GERAIS'!B:I,8,0),VLOOKUP(B155,'12.COT.MERCADO'!A:I,8,0)))),"Em Elaboração")</f>
        <v>0.39</v>
      </c>
      <c r="J155" s="241">
        <f t="shared" si="112"/>
        <v>1.303054497</v>
      </c>
      <c r="K155" s="241">
        <f t="shared" si="113"/>
        <v>0.4568204882</v>
      </c>
      <c r="L155" s="241">
        <f t="shared" si="114"/>
        <v>1.759874985</v>
      </c>
      <c r="M155" s="241">
        <f t="shared" si="115"/>
        <v>1.303054497</v>
      </c>
      <c r="N155" s="241">
        <f t="shared" si="116"/>
        <v>0.4568204882</v>
      </c>
      <c r="O155" s="241">
        <f t="shared" si="117"/>
        <v>1.759874985</v>
      </c>
      <c r="P155" s="242">
        <f t="shared" si="2"/>
        <v>0.000001376704864</v>
      </c>
    </row>
    <row r="156">
      <c r="A156" s="236" t="s">
        <v>279</v>
      </c>
      <c r="B156" s="237">
        <f>' 19.ARRED_HIST_CONSOLIDADO_E_ME'!H55</f>
        <v>101915</v>
      </c>
      <c r="C156" s="238" t="str">
        <f t="shared" si="111"/>
        <v>SINAPI</v>
      </c>
      <c r="D156" s="238" t="s">
        <v>218</v>
      </c>
      <c r="E156" s="239" t="str">
        <f>IFERROR(IF(D156="SINAPI-S",VLOOKUP(B156,'20-B.SINAPI-S'!A:J,2,0),IF(D156="SINAPI-I",VLOOKUP(B156,'20-A.SINAPI-I'!A:G,2,0),IF(D156="COMPOSIÇÕES",VLOOKUP(B156,'11.COMPOSIÇÕES GERAIS'!B:I,2,0),VLOOKUP(B156,'12.COT.MERCADO'!A:I,2,0)))),"Em Elaboração")</f>
        <v>CONJUNTO DE MANGUEIRA PARA COMBATE A INCÊNDIO EM FIBRA DE POLIESTER PURA, COM 1.1/2", REVESTIDA INTERNAMENTE, COMPRIMENTO DE 15M - FORNECIMENTO E INSTALAÇÃO. AF_10/2020</v>
      </c>
      <c r="F156" s="240" t="str">
        <f>IFERROR(IF(D156="SINAPI-S",VLOOKUP(B156,'20-B.SINAPI-S'!A:J,3,0),IF(D156="SINAPI-I",VLOOKUP(B156,'20-A.SINAPI-I'!A:G,3,0),IF(D156="COMPOSIÇÕES",VLOOKUP(B156,'11.COMPOSIÇÕES GERAIS'!B:I,3,0),VLOOKUP(B156,'12.COT.MERCADO'!A:I,7,0)))),"Em Elaboração")</f>
        <v>UN</v>
      </c>
      <c r="G156" s="244">
        <f>VLOOKUP(B156,' 19.ARRED_HIST_CONSOLIDADO_E_ME'!H:O,8,0)</f>
        <v>1</v>
      </c>
      <c r="H156" s="241">
        <f>IFERROR(IF(D156="SINAPI-S",VLOOKUP(B156,'20-B.SINAPI-S'!A:J,5,0),IF(D156="SINAPI-I",VLOOKUP(B156,'20-A.SINAPI-I'!A:G,6,0),IF(D156="COMPOSIÇÕES",VLOOKUP(B156,'11.COMPOSIÇÕES GERAIS'!B:I,7,0),0))),"Em Elaboração")</f>
        <v>6.12</v>
      </c>
      <c r="I156" s="241">
        <f>IFERROR(IF(D156="SINAPI-S",VLOOKUP(B156,'20-B.SINAPI-S'!A:J,6,0),IF(D156="SINAPI-I",VLOOKUP(B156,'20-A.SINAPI-I'!A:G,7,0),IF(D156="COMPOSIÇÕES",VLOOKUP(B156,'11.COMPOSIÇÕES GERAIS'!B:I,8,0),VLOOKUP(B156,'12.COT.MERCADO'!A:I,8,0)))),"Em Elaboração")</f>
        <v>297.05</v>
      </c>
      <c r="J156" s="241">
        <f t="shared" si="112"/>
        <v>7.184408576</v>
      </c>
      <c r="K156" s="241">
        <f t="shared" si="113"/>
        <v>347.9449385</v>
      </c>
      <c r="L156" s="241">
        <f t="shared" si="114"/>
        <v>355.1293471</v>
      </c>
      <c r="M156" s="241">
        <f t="shared" si="115"/>
        <v>7.184408576</v>
      </c>
      <c r="N156" s="241">
        <f t="shared" si="116"/>
        <v>347.9449385</v>
      </c>
      <c r="O156" s="241">
        <f t="shared" si="117"/>
        <v>355.1293471</v>
      </c>
      <c r="P156" s="242">
        <f t="shared" si="2"/>
        <v>0.0002778085397</v>
      </c>
    </row>
    <row r="157">
      <c r="A157" s="236" t="s">
        <v>280</v>
      </c>
      <c r="B157" s="237">
        <f>' 19.ARRED_HIST_CONSOLIDADO_E_ME'!H56</f>
        <v>87811</v>
      </c>
      <c r="C157" s="238" t="str">
        <f t="shared" si="111"/>
        <v>SINAPI</v>
      </c>
      <c r="D157" s="238" t="s">
        <v>218</v>
      </c>
      <c r="E157" s="239" t="str">
        <f>IFERROR(IF(D157="SINAPI-S",VLOOKUP(B157,'20-B.SINAPI-S'!A:J,2,0),IF(D157="SINAPI-I",VLOOKUP(B157,'20-A.SINAPI-I'!A:G,2,0),IF(D157="COMPOSIÇÕES",VLOOKUP(B157,'11.COMPOSIÇÕES GERAIS'!B:I,2,0),VLOOKUP(B157,'12.COT.MERCADO'!A:I,2,0)))),"Em Elaboração")</f>
        <v>EMBOÇO OU MASSA ÚNICA EM ARGAMASSA TRAÇO 1:2:8, PREPARO MANUAL, APLICADA MANUALMENTE EM SUPERFÍCIES EXTERNAS DA SACADA, ESPESSURA DE 25 MM, SEM USO DE TELA METÁLICA DE REFORÇO CONTRA FISSURAÇÃO. AF_08/2022</v>
      </c>
      <c r="F157" s="240" t="str">
        <f>IFERROR(IF(D157="SINAPI-S",VLOOKUP(B157,'20-B.SINAPI-S'!A:J,3,0),IF(D157="SINAPI-I",VLOOKUP(B157,'20-A.SINAPI-I'!A:G,3,0),IF(D157="COMPOSIÇÕES",VLOOKUP(B157,'11.COMPOSIÇÕES GERAIS'!B:I,3,0),VLOOKUP(B157,'12.COT.MERCADO'!A:I,7,0)))),"Em Elaboração")</f>
        <v>M2</v>
      </c>
      <c r="G157" s="244">
        <f>VLOOKUP(B157,' 19.ARRED_HIST_CONSOLIDADO_E_ME'!H:O,8,0)</f>
        <v>2</v>
      </c>
      <c r="H157" s="241">
        <f>IFERROR(IF(D157="SINAPI-S",VLOOKUP(B157,'20-B.SINAPI-S'!A:J,5,0),IF(D157="SINAPI-I",VLOOKUP(B157,'20-A.SINAPI-I'!A:G,6,0),IF(D157="COMPOSIÇÕES",VLOOKUP(B157,'11.COMPOSIÇÕES GERAIS'!B:I,7,0),0))),"Em Elaboração")</f>
        <v>56.91</v>
      </c>
      <c r="I157" s="241">
        <f>IFERROR(IF(D157="SINAPI-S",VLOOKUP(B157,'20-B.SINAPI-S'!A:J,6,0),IF(D157="SINAPI-I",VLOOKUP(B157,'20-A.SINAPI-I'!A:G,7,0),IF(D157="COMPOSIÇÕES",VLOOKUP(B157,'11.COMPOSIÇÕES GERAIS'!B:I,8,0),VLOOKUP(B157,'12.COT.MERCADO'!A:I,8,0)))),"Em Elaboração")</f>
        <v>33.14</v>
      </c>
      <c r="J157" s="241">
        <f t="shared" si="112"/>
        <v>66.80795622</v>
      </c>
      <c r="K157" s="241">
        <f t="shared" si="113"/>
        <v>38.81802815</v>
      </c>
      <c r="L157" s="241">
        <f t="shared" si="114"/>
        <v>105.6259844</v>
      </c>
      <c r="M157" s="241">
        <f t="shared" si="115"/>
        <v>133.6159124</v>
      </c>
      <c r="N157" s="241">
        <f t="shared" si="116"/>
        <v>77.6360563</v>
      </c>
      <c r="O157" s="241">
        <f t="shared" si="117"/>
        <v>211.2519687</v>
      </c>
      <c r="P157" s="242">
        <f t="shared" si="2"/>
        <v>0.000165256973</v>
      </c>
    </row>
    <row r="158">
      <c r="A158" s="236" t="s">
        <v>281</v>
      </c>
      <c r="B158" s="237">
        <f>' 19.ARRED_HIST_CONSOLIDADO_E_ME'!H57</f>
        <v>98546</v>
      </c>
      <c r="C158" s="238" t="str">
        <f t="shared" si="111"/>
        <v>SINAPI</v>
      </c>
      <c r="D158" s="238" t="s">
        <v>218</v>
      </c>
      <c r="E158" s="239" t="str">
        <f>IFERROR(IF(D158="SINAPI-S",VLOOKUP(B158,'20-B.SINAPI-S'!A:J,2,0),IF(D158="SINAPI-I",VLOOKUP(B158,'20-A.SINAPI-I'!A:G,2,0),IF(D158="COMPOSIÇÕES",VLOOKUP(B158,'11.COMPOSIÇÕES GERAIS'!B:I,2,0),VLOOKUP(B158,'12.COT.MERCADO'!A:I,2,0)))),"Em Elaboração")</f>
        <v>IMPERMEABILIZAÇÃO DE SUPERFÍCIE COM MANTA ASFÁLTICA, UMA CAMADA, INCLUSIVE APLICAÇÃO DE PRIMER ASFÁLTICO, E=3MM. AF_06/2018</v>
      </c>
      <c r="F158" s="240" t="str">
        <f>IFERROR(IF(D158="SINAPI-S",VLOOKUP(B158,'20-B.SINAPI-S'!A:J,3,0),IF(D158="SINAPI-I",VLOOKUP(B158,'20-A.SINAPI-I'!A:G,3,0),IF(D158="COMPOSIÇÕES",VLOOKUP(B158,'11.COMPOSIÇÕES GERAIS'!B:I,3,0),VLOOKUP(B158,'12.COT.MERCADO'!A:I,7,0)))),"Em Elaboração")</f>
        <v>M2</v>
      </c>
      <c r="G158" s="244">
        <f>VLOOKUP(B158,' 19.ARRED_HIST_CONSOLIDADO_E_ME'!H:O,8,0)</f>
        <v>7</v>
      </c>
      <c r="H158" s="241">
        <f>IFERROR(IF(D158="SINAPI-S",VLOOKUP(B158,'20-B.SINAPI-S'!A:J,5,0),IF(D158="SINAPI-I",VLOOKUP(B158,'20-A.SINAPI-I'!A:G,6,0),IF(D158="COMPOSIÇÕES",VLOOKUP(B158,'11.COMPOSIÇÕES GERAIS'!B:I,7,0),0))),"Em Elaboração")</f>
        <v>26.98</v>
      </c>
      <c r="I158" s="241">
        <f>IFERROR(IF(D158="SINAPI-S",VLOOKUP(B158,'20-B.SINAPI-S'!A:J,6,0),IF(D158="SINAPI-I",VLOOKUP(B158,'20-A.SINAPI-I'!A:G,7,0),IF(D158="COMPOSIÇÕES",VLOOKUP(B158,'11.COMPOSIÇÕES GERAIS'!B:I,8,0),VLOOKUP(B158,'12.COT.MERCADO'!A:I,8,0)))),"Em Elaboração")</f>
        <v>82.61</v>
      </c>
      <c r="J158" s="241">
        <f t="shared" si="112"/>
        <v>31.67244173</v>
      </c>
      <c r="K158" s="241">
        <f t="shared" si="113"/>
        <v>96.76395008</v>
      </c>
      <c r="L158" s="241">
        <f t="shared" si="114"/>
        <v>128.4363918</v>
      </c>
      <c r="M158" s="241">
        <f t="shared" si="115"/>
        <v>221.7070921</v>
      </c>
      <c r="N158" s="241">
        <f t="shared" si="116"/>
        <v>677.3476505</v>
      </c>
      <c r="O158" s="241">
        <f t="shared" si="117"/>
        <v>899.0547427</v>
      </c>
      <c r="P158" s="242">
        <f t="shared" si="2"/>
        <v>0.0007033073644</v>
      </c>
    </row>
    <row r="159">
      <c r="A159" s="236" t="s">
        <v>282</v>
      </c>
      <c r="B159" s="237">
        <f>' 19.ARRED_HIST_CONSOLIDADO_E_ME'!H58</f>
        <v>97644</v>
      </c>
      <c r="C159" s="238" t="str">
        <f t="shared" si="111"/>
        <v>SINAPI</v>
      </c>
      <c r="D159" s="238" t="s">
        <v>218</v>
      </c>
      <c r="E159" s="239" t="str">
        <f>IFERROR(IF(D159="SINAPI-S",VLOOKUP(B159,'20-B.SINAPI-S'!A:J,2,0),IF(D159="SINAPI-I",VLOOKUP(B159,'20-A.SINAPI-I'!A:G,2,0),IF(D159="COMPOSIÇÕES",VLOOKUP(B159,'11.COMPOSIÇÕES GERAIS'!B:I,2,0),VLOOKUP(B159,'12.COT.MERCADO'!A:I,2,0)))),"Em Elaboração")</f>
        <v>REMOÇÃO DE PORTAS, DE FORMA MANUAL, SEM REAPROVEITAMENTO. AF_12/2017</v>
      </c>
      <c r="F159" s="240" t="str">
        <f>IFERROR(IF(D159="SINAPI-S",VLOOKUP(B159,'20-B.SINAPI-S'!A:J,3,0),IF(D159="SINAPI-I",VLOOKUP(B159,'20-A.SINAPI-I'!A:G,3,0),IF(D159="COMPOSIÇÕES",VLOOKUP(B159,'11.COMPOSIÇÕES GERAIS'!B:I,3,0),VLOOKUP(B159,'12.COT.MERCADO'!A:I,7,0)))),"Em Elaboração")</f>
        <v>M2</v>
      </c>
      <c r="G159" s="244">
        <f>VLOOKUP(B159,' 19.ARRED_HIST_CONSOLIDADO_E_ME'!H:O,8,0)</f>
        <v>1</v>
      </c>
      <c r="H159" s="241">
        <f>IFERROR(IF(D159="SINAPI-S",VLOOKUP(B159,'20-B.SINAPI-S'!A:J,5,0),IF(D159="SINAPI-I",VLOOKUP(B159,'20-A.SINAPI-I'!A:G,6,0),IF(D159="COMPOSIÇÕES",VLOOKUP(B159,'11.COMPOSIÇÕES GERAIS'!B:I,7,0),0))),"Em Elaboração")</f>
        <v>7.78</v>
      </c>
      <c r="I159" s="241">
        <f>IFERROR(IF(D159="SINAPI-S",VLOOKUP(B159,'20-B.SINAPI-S'!A:J,6,0),IF(D159="SINAPI-I",VLOOKUP(B159,'20-A.SINAPI-I'!A:G,7,0),IF(D159="COMPOSIÇÕES",VLOOKUP(B159,'11.COMPOSIÇÕES GERAIS'!B:I,8,0),VLOOKUP(B159,'12.COT.MERCADO'!A:I,8,0)))),"Em Elaboração")</f>
        <v>2.98</v>
      </c>
      <c r="J159" s="241">
        <f t="shared" si="112"/>
        <v>9.133120707</v>
      </c>
      <c r="K159" s="241">
        <f t="shared" si="113"/>
        <v>3.490577064</v>
      </c>
      <c r="L159" s="241">
        <f t="shared" si="114"/>
        <v>12.62369777</v>
      </c>
      <c r="M159" s="241">
        <f t="shared" si="115"/>
        <v>9.133120707</v>
      </c>
      <c r="N159" s="241">
        <f t="shared" si="116"/>
        <v>3.490577064</v>
      </c>
      <c r="O159" s="241">
        <f t="shared" si="117"/>
        <v>12.62369777</v>
      </c>
      <c r="P159" s="242">
        <f t="shared" si="2"/>
        <v>0.000009875193564</v>
      </c>
    </row>
    <row r="160">
      <c r="A160" s="236" t="s">
        <v>283</v>
      </c>
      <c r="B160" s="237">
        <f>' 19.ARRED_HIST_CONSOLIDADO_E_ME'!H59</f>
        <v>103323</v>
      </c>
      <c r="C160" s="238" t="str">
        <f t="shared" si="111"/>
        <v>SINAPI</v>
      </c>
      <c r="D160" s="238" t="s">
        <v>218</v>
      </c>
      <c r="E160" s="239" t="str">
        <f>IFERROR(IF(D160="SINAPI-S",VLOOKUP(B160,'20-B.SINAPI-S'!A:J,2,0),IF(D160="SINAPI-I",VLOOKUP(B160,'20-A.SINAPI-I'!A:G,2,0),IF(D160="COMPOSIÇÕES",VLOOKUP(B160,'11.COMPOSIÇÕES GERAIS'!B:I,2,0),VLOOKUP(B160,'12.COT.MERCADO'!A:I,2,0)))),"Em Elaboração")</f>
        <v>ALVENARIA DE VEDAÇÃO DE BLOCOS CERÂMICOS FURADOS NA VERTICAL DE 9X19X39 CM (ESPESSURA 9 CM) E ARGAMASSA DE ASSENTAMENTO COM PREPARO MANUAL. AF_12/2021</v>
      </c>
      <c r="F160" s="240" t="str">
        <f>IFERROR(IF(D160="SINAPI-S",VLOOKUP(B160,'20-B.SINAPI-S'!A:J,3,0),IF(D160="SINAPI-I",VLOOKUP(B160,'20-A.SINAPI-I'!A:G,3,0),IF(D160="COMPOSIÇÕES",VLOOKUP(B160,'11.COMPOSIÇÕES GERAIS'!B:I,3,0),VLOOKUP(B160,'12.COT.MERCADO'!A:I,7,0)))),"Em Elaboração")</f>
        <v>M2</v>
      </c>
      <c r="G160" s="244">
        <f>VLOOKUP(B160,' 19.ARRED_HIST_CONSOLIDADO_E_ME'!H:O,8,0)</f>
        <v>1</v>
      </c>
      <c r="H160" s="241">
        <f>IFERROR(IF(D160="SINAPI-S",VLOOKUP(B160,'20-B.SINAPI-S'!A:J,5,0),IF(D160="SINAPI-I",VLOOKUP(B160,'20-A.SINAPI-I'!A:G,6,0),IF(D160="COMPOSIÇÕES",VLOOKUP(B160,'11.COMPOSIÇÕES GERAIS'!B:I,7,0),0))),"Em Elaboração")</f>
        <v>21.71</v>
      </c>
      <c r="I160" s="241">
        <f>IFERROR(IF(D160="SINAPI-S",VLOOKUP(B160,'20-B.SINAPI-S'!A:J,6,0),IF(D160="SINAPI-I",VLOOKUP(B160,'20-A.SINAPI-I'!A:G,7,0),IF(D160="COMPOSIÇÕES",VLOOKUP(B160,'11.COMPOSIÇÕES GERAIS'!B:I,8,0),VLOOKUP(B160,'12.COT.MERCADO'!A:I,8,0)))),"Em Elaboração")</f>
        <v>41.3</v>
      </c>
      <c r="J160" s="241">
        <f t="shared" si="112"/>
        <v>25.48586768</v>
      </c>
      <c r="K160" s="241">
        <f t="shared" si="113"/>
        <v>48.37611837</v>
      </c>
      <c r="L160" s="241">
        <f t="shared" si="114"/>
        <v>73.86198604</v>
      </c>
      <c r="M160" s="241">
        <f t="shared" si="115"/>
        <v>25.48586768</v>
      </c>
      <c r="N160" s="241">
        <f t="shared" si="116"/>
        <v>48.37611837</v>
      </c>
      <c r="O160" s="241">
        <f t="shared" si="117"/>
        <v>73.86198604</v>
      </c>
      <c r="P160" s="242">
        <f t="shared" si="2"/>
        <v>0.00005778032891</v>
      </c>
    </row>
    <row r="161">
      <c r="A161" s="236" t="s">
        <v>284</v>
      </c>
      <c r="B161" s="237">
        <f>' 19.ARRED_HIST_CONSOLIDADO_E_ME'!H60</f>
        <v>97583</v>
      </c>
      <c r="C161" s="238" t="str">
        <f t="shared" si="111"/>
        <v>SINAPI</v>
      </c>
      <c r="D161" s="238" t="s">
        <v>218</v>
      </c>
      <c r="E161" s="239" t="str">
        <f>IFERROR(IF(D161="SINAPI-S",VLOOKUP(B161,'20-B.SINAPI-S'!A:J,2,0),IF(D161="SINAPI-I",VLOOKUP(B161,'20-A.SINAPI-I'!A:G,2,0),IF(D161="COMPOSIÇÕES",VLOOKUP(B161,'11.COMPOSIÇÕES GERAIS'!B:I,2,0),VLOOKUP(B161,'12.COT.MERCADO'!A:I,2,0)))),"Em Elaboração")</f>
        <v>LUMINÁRIA TIPO CALHA, DE SOBREPOR, COM 1 LÂMPADA TUBULAR FLUORESCENTE DE 18 W, COM REATOR DE PARTIDA RÁPIDA - FORNECIMENTO E INSTALAÇÃO. AF_02/2020</v>
      </c>
      <c r="F161" s="240" t="str">
        <f>IFERROR(IF(D161="SINAPI-S",VLOOKUP(B161,'20-B.SINAPI-S'!A:J,3,0),IF(D161="SINAPI-I",VLOOKUP(B161,'20-A.SINAPI-I'!A:G,3,0),IF(D161="COMPOSIÇÕES",VLOOKUP(B161,'11.COMPOSIÇÕES GERAIS'!B:I,3,0),VLOOKUP(B161,'12.COT.MERCADO'!A:I,7,0)))),"Em Elaboração")</f>
        <v>UN</v>
      </c>
      <c r="G161" s="244">
        <f>VLOOKUP(B161,' 19.ARRED_HIST_CONSOLIDADO_E_ME'!H:O,8,0)</f>
        <v>1</v>
      </c>
      <c r="H161" s="241">
        <f>IFERROR(IF(D161="SINAPI-S",VLOOKUP(B161,'20-B.SINAPI-S'!A:J,5,0),IF(D161="SINAPI-I",VLOOKUP(B161,'20-A.SINAPI-I'!A:G,6,0),IF(D161="COMPOSIÇÕES",VLOOKUP(B161,'11.COMPOSIÇÕES GERAIS'!B:I,7,0),0))),"Em Elaboração")</f>
        <v>12.04</v>
      </c>
      <c r="I161" s="241">
        <f>IFERROR(IF(D161="SINAPI-S",VLOOKUP(B161,'20-B.SINAPI-S'!A:J,6,0),IF(D161="SINAPI-I",VLOOKUP(B161,'20-A.SINAPI-I'!A:G,7,0),IF(D161="COMPOSIÇÕES",VLOOKUP(B161,'11.COMPOSIÇÕES GERAIS'!B:I,8,0),VLOOKUP(B161,'12.COT.MERCADO'!A:I,8,0)))),"Em Elaboração")</f>
        <v>71.51</v>
      </c>
      <c r="J161" s="241">
        <f t="shared" si="112"/>
        <v>14.13403256</v>
      </c>
      <c r="K161" s="241">
        <f t="shared" si="113"/>
        <v>83.76213618</v>
      </c>
      <c r="L161" s="241">
        <f t="shared" si="114"/>
        <v>97.89616874</v>
      </c>
      <c r="M161" s="241">
        <f t="shared" si="115"/>
        <v>14.13403256</v>
      </c>
      <c r="N161" s="241">
        <f t="shared" si="116"/>
        <v>83.76213618</v>
      </c>
      <c r="O161" s="241">
        <f t="shared" si="117"/>
        <v>97.89616874</v>
      </c>
      <c r="P161" s="242">
        <f t="shared" si="2"/>
        <v>0.00007658165088</v>
      </c>
    </row>
    <row r="162">
      <c r="A162" s="236" t="s">
        <v>285</v>
      </c>
      <c r="B162" s="237">
        <f>' 19.ARRED_HIST_CONSOLIDADO_E_ME'!H61</f>
        <v>567</v>
      </c>
      <c r="C162" s="238" t="str">
        <f t="shared" si="111"/>
        <v>SINAPI</v>
      </c>
      <c r="D162" s="243" t="s">
        <v>286</v>
      </c>
      <c r="E162" s="239" t="str">
        <f>IFERROR(IF(D162="SINAPI-S",VLOOKUP(B162,'20-B.SINAPI-S'!A:J,2,0),IF(D162="SINAPI-I",VLOOKUP(B162,'20-A.SINAPI-I'!A:G,2,0),IF(D162="COMPOSIÇÕES",VLOOKUP(B162,'11.COMPOSIÇÕES GERAIS'!B:I,2,0),VLOOKUP(B162,'12.COT.MERCADO'!A:I,2,0)))),"Em Elaboração")</f>
        <v>CANTONEIRA (ABAS IGUAIS) EM ACO CARBONO, 25,4 MM X 3,17 MM (L X E), 1,27KG/M</v>
      </c>
      <c r="F162" s="240" t="str">
        <f>IFERROR(IF(D162="SINAPI-S",VLOOKUP(B162,'20-B.SINAPI-S'!A:J,3,0),IF(D162="SINAPI-I",VLOOKUP(B162,'20-A.SINAPI-I'!A:G,3,0),IF(D162="COMPOSIÇÕES",VLOOKUP(B162,'11.COMPOSIÇÕES GERAIS'!B:I,3,0),VLOOKUP(B162,'12.COT.MERCADO'!A:I,7,0)))),"Em Elaboração")</f>
        <v>M</v>
      </c>
      <c r="G162" s="244">
        <f>VLOOKUP(B162,' 19.ARRED_HIST_CONSOLIDADO_E_ME'!H:O,8,0)</f>
        <v>3</v>
      </c>
      <c r="H162" s="241">
        <f>IFERROR(IF(D162="SINAPI-S",VLOOKUP(B162,'20-B.SINAPI-S'!A:J,5,0),IF(D162="SINAPI-I",VLOOKUP(B162,'20-A.SINAPI-I'!A:G,6,0),IF(D162="COMPOSIÇÕES",VLOOKUP(B162,'11.COMPOSIÇÕES GERAIS'!B:I,7,0),0))),"Em Elaboração")</f>
        <v>0</v>
      </c>
      <c r="I162" s="241">
        <f>IFERROR(IF(D162="SINAPI-S",VLOOKUP(B162,'20-B.SINAPI-S'!A:J,6,0),IF(D162="SINAPI-I",VLOOKUP(B162,'20-A.SINAPI-I'!A:G,7,0),IF(D162="COMPOSIÇÕES",VLOOKUP(B162,'11.COMPOSIÇÕES GERAIS'!B:I,8,0),VLOOKUP(B162,'12.COT.MERCADO'!A:I,8,0)))),"Em Elaboração")</f>
        <v>11.96</v>
      </c>
      <c r="J162" s="241">
        <f t="shared" si="112"/>
        <v>0</v>
      </c>
      <c r="K162" s="241">
        <f t="shared" si="113"/>
        <v>14.00916164</v>
      </c>
      <c r="L162" s="241">
        <f t="shared" si="114"/>
        <v>14.00916164</v>
      </c>
      <c r="M162" s="241">
        <f t="shared" si="115"/>
        <v>0</v>
      </c>
      <c r="N162" s="241">
        <f t="shared" si="116"/>
        <v>42.02748491</v>
      </c>
      <c r="O162" s="241">
        <f t="shared" si="117"/>
        <v>42.02748491</v>
      </c>
      <c r="P162" s="242">
        <f t="shared" si="2"/>
        <v>0.00003287701877</v>
      </c>
    </row>
    <row r="163">
      <c r="A163" s="236" t="s">
        <v>287</v>
      </c>
      <c r="B163" s="237">
        <f>' 19.ARRED_HIST_CONSOLIDADO_E_ME'!H62</f>
        <v>91989</v>
      </c>
      <c r="C163" s="238" t="str">
        <f t="shared" si="111"/>
        <v>SINAPI</v>
      </c>
      <c r="D163" s="238" t="s">
        <v>218</v>
      </c>
      <c r="E163" s="239" t="str">
        <f>IFERROR(IF(D163="SINAPI-S",VLOOKUP(B163,'20-B.SINAPI-S'!A:J,2,0),IF(D163="SINAPI-I",VLOOKUP(B163,'20-A.SINAPI-I'!A:G,2,0),IF(D163="COMPOSIÇÕES",VLOOKUP(B163,'11.COMPOSIÇÕES GERAIS'!B:I,2,0),VLOOKUP(B163,'12.COT.MERCADO'!A:I,2,0)))),"Em Elaboração")</f>
        <v>INTERRUPTOR PULSADOR MINUTERIA (1 MÓDULO), 10A/250V, INCLUINDO SUPORTE E PLACA - FORNECIMENTO E INSTALAÇÃO. AF_03/2023</v>
      </c>
      <c r="F163" s="240" t="str">
        <f>IFERROR(IF(D163="SINAPI-S",VLOOKUP(B163,'20-B.SINAPI-S'!A:J,3,0),IF(D163="SINAPI-I",VLOOKUP(B163,'20-A.SINAPI-I'!A:G,3,0),IF(D163="COMPOSIÇÕES",VLOOKUP(B163,'11.COMPOSIÇÕES GERAIS'!B:I,3,0),VLOOKUP(B163,'12.COT.MERCADO'!A:I,7,0)))),"Em Elaboração")</f>
        <v>UN</v>
      </c>
      <c r="G163" s="244">
        <f>VLOOKUP(B163,' 19.ARRED_HIST_CONSOLIDADO_E_ME'!H:O,8,0)</f>
        <v>1</v>
      </c>
      <c r="H163" s="241">
        <f>IFERROR(IF(D163="SINAPI-S",VLOOKUP(B163,'20-B.SINAPI-S'!A:J,5,0),IF(D163="SINAPI-I",VLOOKUP(B163,'20-A.SINAPI-I'!A:G,6,0),IF(D163="COMPOSIÇÕES",VLOOKUP(B163,'11.COMPOSIÇÕES GERAIS'!B:I,7,0),0))),"Em Elaboração")</f>
        <v>15.97</v>
      </c>
      <c r="I163" s="241">
        <f>IFERROR(IF(D163="SINAPI-S",VLOOKUP(B163,'20-B.SINAPI-S'!A:J,6,0),IF(D163="SINAPI-I",VLOOKUP(B163,'20-A.SINAPI-I'!A:G,7,0),IF(D163="COMPOSIÇÕES",VLOOKUP(B163,'11.COMPOSIÇÕES GERAIS'!B:I,8,0),VLOOKUP(B163,'12.COT.MERCADO'!A:I,8,0)))),"Em Elaboração")</f>
        <v>20.96</v>
      </c>
      <c r="J163" s="241">
        <f t="shared" si="112"/>
        <v>18.74754983</v>
      </c>
      <c r="K163" s="241">
        <f t="shared" si="113"/>
        <v>24.5511729</v>
      </c>
      <c r="L163" s="241">
        <f t="shared" si="114"/>
        <v>43.29872274</v>
      </c>
      <c r="M163" s="241">
        <f t="shared" si="115"/>
        <v>18.74754983</v>
      </c>
      <c r="N163" s="241">
        <f t="shared" si="116"/>
        <v>24.5511729</v>
      </c>
      <c r="O163" s="241">
        <f t="shared" si="117"/>
        <v>43.29872274</v>
      </c>
      <c r="P163" s="242">
        <f t="shared" si="2"/>
        <v>0.00003387147537</v>
      </c>
    </row>
    <row r="164">
      <c r="A164" s="236" t="s">
        <v>288</v>
      </c>
      <c r="B164" s="237">
        <f>' 19.ARRED_HIST_CONSOLIDADO_E_ME'!H63</f>
        <v>86937</v>
      </c>
      <c r="C164" s="238" t="str">
        <f t="shared" si="111"/>
        <v>SINAPI</v>
      </c>
      <c r="D164" s="238" t="s">
        <v>218</v>
      </c>
      <c r="E164" s="239" t="str">
        <f>IFERROR(IF(D164="SINAPI-S",VLOOKUP(B164,'20-B.SINAPI-S'!A:J,2,0),IF(D164="SINAPI-I",VLOOKUP(B164,'20-A.SINAPI-I'!A:G,2,0),IF(D164="COMPOSIÇÕES",VLOOKUP(B164,'11.COMPOSIÇÕES GERAIS'!B:I,2,0),VLOOKUP(B164,'12.COT.MERCADO'!A:I,2,0)))),"Em Elaboração")</f>
        <v>CUBA DE EMBUTIR OVAL EM LOUÇA BRANCA, 35 X 50CM OU EQUIVALENTE, INCLUSO VÁLVULA EM METAL CROMADO E SIFÃO FLEXÍVEL EM PVC - FORNECIMENTO E INSTALAÇÃO. AF_01/2020</v>
      </c>
      <c r="F164" s="240" t="str">
        <f>IFERROR(IF(D164="SINAPI-S",VLOOKUP(B164,'20-B.SINAPI-S'!A:J,3,0),IF(D164="SINAPI-I",VLOOKUP(B164,'20-A.SINAPI-I'!A:G,3,0),IF(D164="COMPOSIÇÕES",VLOOKUP(B164,'11.COMPOSIÇÕES GERAIS'!B:I,3,0),VLOOKUP(B164,'12.COT.MERCADO'!A:I,7,0)))),"Em Elaboração")</f>
        <v>UN</v>
      </c>
      <c r="G164" s="244">
        <f>VLOOKUP(B164,' 19.ARRED_HIST_CONSOLIDADO_E_ME'!H:O,8,0)</f>
        <v>1</v>
      </c>
      <c r="H164" s="241">
        <f>IFERROR(IF(D164="SINAPI-S",VLOOKUP(B164,'20-B.SINAPI-S'!A:J,5,0),IF(D164="SINAPI-I",VLOOKUP(B164,'20-A.SINAPI-I'!A:G,6,0),IF(D164="COMPOSIÇÕES",VLOOKUP(B164,'11.COMPOSIÇÕES GERAIS'!B:I,7,0),0))),"Em Elaboração")</f>
        <v>35.93</v>
      </c>
      <c r="I164" s="241">
        <f>IFERROR(IF(D164="SINAPI-S",VLOOKUP(B164,'20-B.SINAPI-S'!A:J,6,0),IF(D164="SINAPI-I",VLOOKUP(B164,'20-A.SINAPI-I'!A:G,7,0),IF(D164="COMPOSIÇÕES",VLOOKUP(B164,'11.COMPOSIÇÕES GERAIS'!B:I,8,0),VLOOKUP(B164,'12.COT.MERCADO'!A:I,8,0)))),"Em Elaboração")</f>
        <v>231.29</v>
      </c>
      <c r="J164" s="241">
        <f t="shared" si="112"/>
        <v>42.17905231</v>
      </c>
      <c r="K164" s="241">
        <f t="shared" si="113"/>
        <v>270.9179762</v>
      </c>
      <c r="L164" s="241">
        <f t="shared" si="114"/>
        <v>313.0970285</v>
      </c>
      <c r="M164" s="241">
        <f t="shared" si="115"/>
        <v>42.17905231</v>
      </c>
      <c r="N164" s="241">
        <f t="shared" si="116"/>
        <v>270.9179762</v>
      </c>
      <c r="O164" s="241">
        <f t="shared" si="117"/>
        <v>313.0970285</v>
      </c>
      <c r="P164" s="242">
        <f t="shared" si="2"/>
        <v>0.0002449277396</v>
      </c>
    </row>
    <row r="165">
      <c r="A165" s="236" t="s">
        <v>289</v>
      </c>
      <c r="B165" s="237">
        <f>' 19.ARRED_HIST_CONSOLIDADO_E_ME'!H64</f>
        <v>89969</v>
      </c>
      <c r="C165" s="238" t="str">
        <f t="shared" si="111"/>
        <v>SINAPI</v>
      </c>
      <c r="D165" s="238" t="s">
        <v>218</v>
      </c>
      <c r="E165" s="239" t="str">
        <f>IFERROR(IF(D165="SINAPI-S",VLOOKUP(B165,'20-B.SINAPI-S'!A:J,2,0),IF(D165="SINAPI-I",VLOOKUP(B165,'20-A.SINAPI-I'!A:G,2,0),IF(D165="COMPOSIÇÕES",VLOOKUP(B165,'11.COMPOSIÇÕES GERAIS'!B:I,2,0),VLOOKUP(B165,'12.COT.MERCADO'!A:I,2,0)))),"Em Elaboração")</f>
        <v>KIT DE REGISTRO DE PRESSÃO BRUTO DE LATÃO ½", INCLUSIVE CONEXÕES,  ROSCÁVEL, INSTALADO EM RAMAL DE ÁGUA FRIA - FORNECIMENTO E INSTALAÇÃO. AF_12/2014</v>
      </c>
      <c r="F165" s="240" t="str">
        <f>IFERROR(IF(D165="SINAPI-S",VLOOKUP(B165,'20-B.SINAPI-S'!A:J,3,0),IF(D165="SINAPI-I",VLOOKUP(B165,'20-A.SINAPI-I'!A:G,3,0),IF(D165="COMPOSIÇÕES",VLOOKUP(B165,'11.COMPOSIÇÕES GERAIS'!B:I,3,0),VLOOKUP(B165,'12.COT.MERCADO'!A:I,7,0)))),"Em Elaboração")</f>
        <v>UN</v>
      </c>
      <c r="G165" s="244">
        <f>VLOOKUP(B165,' 19.ARRED_HIST_CONSOLIDADO_E_ME'!H:O,8,0)</f>
        <v>2</v>
      </c>
      <c r="H165" s="241">
        <f>IFERROR(IF(D165="SINAPI-S",VLOOKUP(B165,'20-B.SINAPI-S'!A:J,5,0),IF(D165="SINAPI-I",VLOOKUP(B165,'20-A.SINAPI-I'!A:G,6,0),IF(D165="COMPOSIÇÕES",VLOOKUP(B165,'11.COMPOSIÇÕES GERAIS'!B:I,7,0),0))),"Em Elaboração")</f>
        <v>10.08</v>
      </c>
      <c r="I165" s="241">
        <f>IFERROR(IF(D165="SINAPI-S",VLOOKUP(B165,'20-B.SINAPI-S'!A:J,6,0),IF(D165="SINAPI-I",VLOOKUP(B165,'20-A.SINAPI-I'!A:G,7,0),IF(D165="COMPOSIÇÕES",VLOOKUP(B165,'11.COMPOSIÇÕES GERAIS'!B:I,8,0),VLOOKUP(B165,'12.COT.MERCADO'!A:I,8,0)))),"Em Elaboração")</f>
        <v>37.3</v>
      </c>
      <c r="J165" s="241">
        <f t="shared" si="112"/>
        <v>11.83314354</v>
      </c>
      <c r="K165" s="241">
        <f t="shared" si="113"/>
        <v>43.69078003</v>
      </c>
      <c r="L165" s="241">
        <f t="shared" si="114"/>
        <v>55.52392356</v>
      </c>
      <c r="M165" s="241">
        <f t="shared" si="115"/>
        <v>23.66628708</v>
      </c>
      <c r="N165" s="241">
        <f t="shared" si="116"/>
        <v>87.38156005</v>
      </c>
      <c r="O165" s="241">
        <f t="shared" si="117"/>
        <v>111.0478471</v>
      </c>
      <c r="P165" s="242">
        <f t="shared" si="2"/>
        <v>0.00008686987008</v>
      </c>
    </row>
    <row r="166">
      <c r="A166" s="236" t="s">
        <v>290</v>
      </c>
      <c r="B166" s="237">
        <f>' 19.ARRED_HIST_CONSOLIDADO_E_ME'!H65</f>
        <v>104479</v>
      </c>
      <c r="C166" s="238" t="str">
        <f t="shared" si="111"/>
        <v>SINAPI</v>
      </c>
      <c r="D166" s="238" t="s">
        <v>218</v>
      </c>
      <c r="E166" s="239" t="str">
        <f>IFERROR(IF(D166="SINAPI-S",VLOOKUP(B166,'20-B.SINAPI-S'!A:J,2,0),IF(D166="SINAPI-I",VLOOKUP(B166,'20-A.SINAPI-I'!A:G,2,0),IF(D166="COMPOSIÇÕES",VLOOKUP(B166,'11.COMPOSIÇÕES GERAIS'!B:I,2,0),VLOOKUP(B166,'12.COT.MERCADO'!A:I,2,0)))),"Em Elaboração")</f>
        <v>COMPOSIÇÃO PARAMÉTRICA DE PONTO ELÉTRICO DE TOMADA DE USO GERAL 2P+T (10A/250V) EM EDIFÍCIO RESIDENCIAL COM ELETRODUTO EMBUTIDO SEM NECESSIDADE DE RASGOS, INCLUSO TOMADA, ELETRODUTO, CABO E QUEBRA. AF_11/2022</v>
      </c>
      <c r="F166" s="240" t="str">
        <f>IFERROR(IF(D166="SINAPI-S",VLOOKUP(B166,'20-B.SINAPI-S'!A:J,3,0),IF(D166="SINAPI-I",VLOOKUP(B166,'20-A.SINAPI-I'!A:G,3,0),IF(D166="COMPOSIÇÕES",VLOOKUP(B166,'11.COMPOSIÇÕES GERAIS'!B:I,3,0),VLOOKUP(B166,'12.COT.MERCADO'!A:I,7,0)))),"Em Elaboração")</f>
        <v>UN</v>
      </c>
      <c r="G166" s="244">
        <f>VLOOKUP(B166,' 19.ARRED_HIST_CONSOLIDADO_E_ME'!H:O,8,0)</f>
        <v>1</v>
      </c>
      <c r="H166" s="241">
        <f>IFERROR(IF(D166="SINAPI-S",VLOOKUP(B166,'20-B.SINAPI-S'!A:J,5,0),IF(D166="SINAPI-I",VLOOKUP(B166,'20-A.SINAPI-I'!A:G,6,0),IF(D166="COMPOSIÇÕES",VLOOKUP(B166,'11.COMPOSIÇÕES GERAIS'!B:I,7,0),0))),"Em Elaboração")</f>
        <v>57.43</v>
      </c>
      <c r="I166" s="241">
        <f>IFERROR(IF(D166="SINAPI-S",VLOOKUP(B166,'20-B.SINAPI-S'!A:J,6,0),IF(D166="SINAPI-I",VLOOKUP(B166,'20-A.SINAPI-I'!A:G,7,0),IF(D166="COMPOSIÇÕES",VLOOKUP(B166,'11.COMPOSIÇÕES GERAIS'!B:I,8,0),VLOOKUP(B166,'12.COT.MERCADO'!A:I,8,0)))),"Em Elaboração")</f>
        <v>79.27</v>
      </c>
      <c r="J166" s="241">
        <f t="shared" si="112"/>
        <v>67.41839617</v>
      </c>
      <c r="K166" s="241">
        <f t="shared" si="113"/>
        <v>92.85169256</v>
      </c>
      <c r="L166" s="241">
        <f t="shared" si="114"/>
        <v>160.2700887</v>
      </c>
      <c r="M166" s="241">
        <f t="shared" si="115"/>
        <v>67.41839617</v>
      </c>
      <c r="N166" s="241">
        <f t="shared" si="116"/>
        <v>92.85169256</v>
      </c>
      <c r="O166" s="241">
        <f t="shared" si="117"/>
        <v>160.2700887</v>
      </c>
      <c r="P166" s="242">
        <f t="shared" si="2"/>
        <v>0.0001253751617</v>
      </c>
    </row>
    <row r="167">
      <c r="A167" s="236" t="s">
        <v>291</v>
      </c>
      <c r="B167" s="237">
        <f>' 19.ARRED_HIST_CONSOLIDADO_E_ME'!H66</f>
        <v>97600</v>
      </c>
      <c r="C167" s="238" t="str">
        <f t="shared" si="111"/>
        <v>SINAPI</v>
      </c>
      <c r="D167" s="238" t="s">
        <v>218</v>
      </c>
      <c r="E167" s="239" t="str">
        <f>IFERROR(IF(D167="SINAPI-S",VLOOKUP(B167,'20-B.SINAPI-S'!A:J,2,0),IF(D167="SINAPI-I",VLOOKUP(B167,'20-A.SINAPI-I'!A:G,2,0),IF(D167="COMPOSIÇÕES",VLOOKUP(B167,'11.COMPOSIÇÕES GERAIS'!B:I,2,0),VLOOKUP(B167,'12.COT.MERCADO'!A:I,2,0)))),"Em Elaboração")</f>
        <v>REFLETOR EM ALUMÍNIO, DE SUPORTE E ALÇA, COM 1 LÂMPADA VAPOR DE MERCÚRIO DE 125 W, COM REATOR ALTO FATOR DE POTÊNCIA - FORNECIMENTO E INSTALAÇÃO. AF_02/2020</v>
      </c>
      <c r="F167" s="240" t="str">
        <f>IFERROR(IF(D167="SINAPI-S",VLOOKUP(B167,'20-B.SINAPI-S'!A:J,3,0),IF(D167="SINAPI-I",VLOOKUP(B167,'20-A.SINAPI-I'!A:G,3,0),IF(D167="COMPOSIÇÕES",VLOOKUP(B167,'11.COMPOSIÇÕES GERAIS'!B:I,3,0),VLOOKUP(B167,'12.COT.MERCADO'!A:I,7,0)))),"Em Elaboração")</f>
        <v>UN</v>
      </c>
      <c r="G167" s="244">
        <f>VLOOKUP(B167,' 19.ARRED_HIST_CONSOLIDADO_E_ME'!H:O,8,0)</f>
        <v>3</v>
      </c>
      <c r="H167" s="241">
        <f>IFERROR(IF(D167="SINAPI-S",VLOOKUP(B167,'20-B.SINAPI-S'!A:J,5,0),IF(D167="SINAPI-I",VLOOKUP(B167,'20-A.SINAPI-I'!A:G,6,0),IF(D167="COMPOSIÇÕES",VLOOKUP(B167,'11.COMPOSIÇÕES GERAIS'!B:I,7,0),0))),"Em Elaboração")</f>
        <v>13.76</v>
      </c>
      <c r="I167" s="241">
        <f>IFERROR(IF(D167="SINAPI-S",VLOOKUP(B167,'20-B.SINAPI-S'!A:J,6,0),IF(D167="SINAPI-I",VLOOKUP(B167,'20-A.SINAPI-I'!A:G,7,0),IF(D167="COMPOSIÇÕES",VLOOKUP(B167,'11.COMPOSIÇÕES GERAIS'!B:I,8,0),VLOOKUP(B167,'12.COT.MERCADO'!A:I,8,0)))),"Em Elaboração")</f>
        <v>306.58</v>
      </c>
      <c r="J167" s="241">
        <f t="shared" si="112"/>
        <v>16.15318007</v>
      </c>
      <c r="K167" s="241">
        <f t="shared" si="113"/>
        <v>359.1077571</v>
      </c>
      <c r="L167" s="241">
        <f t="shared" si="114"/>
        <v>375.2609372</v>
      </c>
      <c r="M167" s="241">
        <f t="shared" si="115"/>
        <v>48.4595402</v>
      </c>
      <c r="N167" s="241">
        <f t="shared" si="116"/>
        <v>1077.323271</v>
      </c>
      <c r="O167" s="241">
        <f t="shared" si="117"/>
        <v>1125.782812</v>
      </c>
      <c r="P167" s="242">
        <f t="shared" si="2"/>
        <v>0.0008806708919</v>
      </c>
    </row>
    <row r="168">
      <c r="A168" s="236" t="s">
        <v>292</v>
      </c>
      <c r="B168" s="237">
        <f>' 19.ARRED_HIST_CONSOLIDADO_E_ME'!H67</f>
        <v>99818</v>
      </c>
      <c r="C168" s="238" t="str">
        <f t="shared" si="111"/>
        <v>SINAPI</v>
      </c>
      <c r="D168" s="238" t="s">
        <v>218</v>
      </c>
      <c r="E168" s="239" t="str">
        <f>IFERROR(IF(D168="SINAPI-S",VLOOKUP(B168,'20-B.SINAPI-S'!A:J,2,0),IF(D168="SINAPI-I",VLOOKUP(B168,'20-A.SINAPI-I'!A:G,2,0),IF(D168="COMPOSIÇÕES",VLOOKUP(B168,'11.COMPOSIÇÕES GERAIS'!B:I,2,0),VLOOKUP(B168,'12.COT.MERCADO'!A:I,2,0)))),"Em Elaboração")</f>
        <v>LIMPEZA DE BACIA SANITÁRIA, BIDÊ OU MICTÓRIO EM LOUÇA, INCLUSIVE METAIS CORRESPONDENTES. AF_04/2019</v>
      </c>
      <c r="F168" s="240" t="str">
        <f>IFERROR(IF(D168="SINAPI-S",VLOOKUP(B168,'20-B.SINAPI-S'!A:J,3,0),IF(D168="SINAPI-I",VLOOKUP(B168,'20-A.SINAPI-I'!A:G,3,0),IF(D168="COMPOSIÇÕES",VLOOKUP(B168,'11.COMPOSIÇÕES GERAIS'!B:I,3,0),VLOOKUP(B168,'12.COT.MERCADO'!A:I,7,0)))),"Em Elaboração")</f>
        <v>UN</v>
      </c>
      <c r="G168" s="244">
        <f>VLOOKUP(B168,' 19.ARRED_HIST_CONSOLIDADO_E_ME'!H:O,8,0)</f>
        <v>1</v>
      </c>
      <c r="H168" s="241">
        <f>IFERROR(IF(D168="SINAPI-S",VLOOKUP(B168,'20-B.SINAPI-S'!A:J,5,0),IF(D168="SINAPI-I",VLOOKUP(B168,'20-A.SINAPI-I'!A:G,6,0),IF(D168="COMPOSIÇÕES",VLOOKUP(B168,'11.COMPOSIÇÕES GERAIS'!B:I,7,0),0))),"Em Elaboração")</f>
        <v>2.16</v>
      </c>
      <c r="I168" s="241">
        <f>IFERROR(IF(D168="SINAPI-S",VLOOKUP(B168,'20-B.SINAPI-S'!A:J,6,0),IF(D168="SINAPI-I",VLOOKUP(B168,'20-A.SINAPI-I'!A:G,7,0),IF(D168="COMPOSIÇÕES",VLOOKUP(B168,'11.COMPOSIÇÕES GERAIS'!B:I,8,0),VLOOKUP(B168,'12.COT.MERCADO'!A:I,8,0)))),"Em Elaboração")</f>
        <v>4.12</v>
      </c>
      <c r="J168" s="241">
        <f t="shared" si="112"/>
        <v>2.535673615</v>
      </c>
      <c r="K168" s="241">
        <f t="shared" si="113"/>
        <v>4.825898491</v>
      </c>
      <c r="L168" s="241">
        <f t="shared" si="114"/>
        <v>7.361572106</v>
      </c>
      <c r="M168" s="241">
        <f t="shared" si="115"/>
        <v>2.535673615</v>
      </c>
      <c r="N168" s="241">
        <f t="shared" si="116"/>
        <v>4.825898491</v>
      </c>
      <c r="O168" s="241">
        <f t="shared" si="117"/>
        <v>7.361572106</v>
      </c>
      <c r="P168" s="242">
        <f t="shared" si="2"/>
        <v>0.000005758768215</v>
      </c>
    </row>
    <row r="169">
      <c r="A169" s="236" t="s">
        <v>293</v>
      </c>
      <c r="B169" s="237" t="str">
        <f>' 19.ARRED_HIST_CONSOLIDADO_E_ME'!H68</f>
        <v>MAN_PR_019</v>
      </c>
      <c r="C169" s="238" t="str">
        <f t="shared" si="111"/>
        <v>PRÓPRIO</v>
      </c>
      <c r="D169" s="243" t="s">
        <v>230</v>
      </c>
      <c r="E169" s="239" t="str">
        <f>IFERROR(IF(D169="SINAPI-S",VLOOKUP(B169,'20-B.SINAPI-S'!A:J,2,0),IF(D169="SINAPI-I",VLOOKUP(B169,'20-A.SINAPI-I'!A:G,2,0),IF(D169="COMPOSIÇÕES",VLOOKUP(B169,'11.COMPOSIÇÕES GERAIS'!B:I,2,0),VLOOKUP(B169,'12.COT.MERCADO'!A:I,2,0)))),"Em Elaboração")</f>
        <v>DESENTUPIMENTO E LIMPEZA DE BACIAS SANITÁRIAS</v>
      </c>
      <c r="F169" s="240" t="str">
        <f>IFERROR(IF(D169="SINAPI-S",VLOOKUP(B169,'20-B.SINAPI-S'!A:J,3,0),IF(D169="SINAPI-I",VLOOKUP(B169,'20-A.SINAPI-I'!A:G,3,0),IF(D169="COMPOSIÇÕES",VLOOKUP(B169,'11.COMPOSIÇÕES GERAIS'!B:I,3,0),VLOOKUP(B169,'12.COT.MERCADO'!A:I,7,0)))),"Em Elaboração")</f>
        <v>UN</v>
      </c>
      <c r="G169" s="244">
        <f>VLOOKUP(B169,' 19.ARRED_HIST_CONSOLIDADO_E_ME'!H:O,8,0)</f>
        <v>3</v>
      </c>
      <c r="H169" s="241">
        <f>IFERROR(IF(D169="SINAPI-S",VLOOKUP(B169,'20-B.SINAPI-S'!A:J,5,0),IF(D169="SINAPI-I",VLOOKUP(B169,'20-A.SINAPI-I'!A:G,6,0),IF(D169="COMPOSIÇÕES",VLOOKUP(B169,'11.COMPOSIÇÕES GERAIS'!B:I,7,0),0))),"Em Elaboração")</f>
        <v>10.452</v>
      </c>
      <c r="I169" s="241">
        <f>IFERROR(IF(D169="SINAPI-S",VLOOKUP(B169,'20-B.SINAPI-S'!A:J,6,0),IF(D169="SINAPI-I",VLOOKUP(B169,'20-A.SINAPI-I'!A:G,7,0),IF(D169="COMPOSIÇÕES",VLOOKUP(B169,'11.COMPOSIÇÕES GERAIS'!B:I,8,0),VLOOKUP(B169,'12.COT.MERCADO'!A:I,8,0)))),"Em Elaboração")</f>
        <v>4.62</v>
      </c>
      <c r="J169" s="241">
        <f t="shared" si="112"/>
        <v>12.26984288</v>
      </c>
      <c r="K169" s="241">
        <f t="shared" si="113"/>
        <v>5.411565783</v>
      </c>
      <c r="L169" s="241">
        <f t="shared" si="114"/>
        <v>17.68140867</v>
      </c>
      <c r="M169" s="241">
        <f t="shared" si="115"/>
        <v>36.80952865</v>
      </c>
      <c r="N169" s="241">
        <f t="shared" si="116"/>
        <v>16.23469735</v>
      </c>
      <c r="O169" s="241">
        <f t="shared" si="117"/>
        <v>53.044226</v>
      </c>
      <c r="P169" s="242">
        <f t="shared" si="2"/>
        <v>0.00004149513151</v>
      </c>
    </row>
    <row r="170">
      <c r="A170" s="236" t="s">
        <v>294</v>
      </c>
      <c r="B170" s="237">
        <f>' 19.ARRED_HIST_CONSOLIDADO_E_ME'!H69</f>
        <v>91795</v>
      </c>
      <c r="C170" s="238" t="str">
        <f t="shared" si="111"/>
        <v>SINAPI</v>
      </c>
      <c r="D170" s="238" t="s">
        <v>218</v>
      </c>
      <c r="E170" s="239" t="str">
        <f>IFERROR(IF(D170="SINAPI-S",VLOOKUP(B170,'20-B.SINAPI-S'!A:J,2,0),IF(D170="SINAPI-I",VLOOKUP(B170,'20-A.SINAPI-I'!A:G,2,0),IF(D170="COMPOSIÇÕES",VLOOKUP(B170,'11.COMPOSIÇÕES GERAIS'!B:I,2,0),VLOOKUP(B170,'12.COT.MERCADO'!A:I,2,0)))),"Em Elaboração")</f>
        <v>(COMPOSIÇÃO REPRESENTATIVA) DO SERVIÇO DE INST. TUBO PVC, SÉRIE N, ESGOTO PREDIAL, 100 MM (INST. RAMAL DESCARGA, RAMAL DE ESG. SANIT., PRUMADA ESG. SANIT., VENTILAÇÃO OU SUB-COLETOR AÉREO), INCL. CONEXÕES E CORTES, FIXAÇÕES, P/ PRÉDIOS. AF_10/2015</v>
      </c>
      <c r="F170" s="240" t="str">
        <f>IFERROR(IF(D170="SINAPI-S",VLOOKUP(B170,'20-B.SINAPI-S'!A:J,3,0),IF(D170="SINAPI-I",VLOOKUP(B170,'20-A.SINAPI-I'!A:G,3,0),IF(D170="COMPOSIÇÕES",VLOOKUP(B170,'11.COMPOSIÇÕES GERAIS'!B:I,3,0),VLOOKUP(B170,'12.COT.MERCADO'!A:I,7,0)))),"Em Elaboração")</f>
        <v>M</v>
      </c>
      <c r="G170" s="244">
        <f>VLOOKUP(B170,' 19.ARRED_HIST_CONSOLIDADO_E_ME'!H:O,8,0)</f>
        <v>3</v>
      </c>
      <c r="H170" s="241">
        <f>IFERROR(IF(D170="SINAPI-S",VLOOKUP(B170,'20-B.SINAPI-S'!A:J,5,0),IF(D170="SINAPI-I",VLOOKUP(B170,'20-A.SINAPI-I'!A:G,6,0),IF(D170="COMPOSIÇÕES",VLOOKUP(B170,'11.COMPOSIÇÕES GERAIS'!B:I,7,0),0))),"Em Elaboração")</f>
        <v>28.24</v>
      </c>
      <c r="I170" s="241">
        <f>IFERROR(IF(D170="SINAPI-S",VLOOKUP(B170,'20-B.SINAPI-S'!A:J,6,0),IF(D170="SINAPI-I",VLOOKUP(B170,'20-A.SINAPI-I'!A:G,7,0),IF(D170="COMPOSIÇÕES",VLOOKUP(B170,'11.COMPOSIÇÕES GERAIS'!B:I,8,0),VLOOKUP(B170,'12.COT.MERCADO'!A:I,8,0)))),"Em Elaboração")</f>
        <v>51.59</v>
      </c>
      <c r="J170" s="241">
        <f t="shared" si="112"/>
        <v>33.15158467</v>
      </c>
      <c r="K170" s="241">
        <f t="shared" si="113"/>
        <v>60.42915125</v>
      </c>
      <c r="L170" s="241">
        <f t="shared" si="114"/>
        <v>93.58073592</v>
      </c>
      <c r="M170" s="241">
        <f t="shared" si="115"/>
        <v>99.45475402</v>
      </c>
      <c r="N170" s="241">
        <f t="shared" si="116"/>
        <v>181.2874537</v>
      </c>
      <c r="O170" s="241">
        <f t="shared" si="117"/>
        <v>280.7422078</v>
      </c>
      <c r="P170" s="242">
        <f t="shared" si="2"/>
        <v>0.0002196173969</v>
      </c>
    </row>
    <row r="171">
      <c r="A171" s="236" t="s">
        <v>295</v>
      </c>
      <c r="B171" s="237">
        <f>' 19.ARRED_HIST_CONSOLIDADO_E_ME'!H70</f>
        <v>101913</v>
      </c>
      <c r="C171" s="238" t="str">
        <f t="shared" si="111"/>
        <v>SINAPI</v>
      </c>
      <c r="D171" s="238" t="s">
        <v>218</v>
      </c>
      <c r="E171" s="239" t="str">
        <f>IFERROR(IF(D171="SINAPI-S",VLOOKUP(B171,'20-B.SINAPI-S'!A:J,2,0),IF(D171="SINAPI-I",VLOOKUP(B171,'20-A.SINAPI-I'!A:G,2,0),IF(D171="COMPOSIÇÕES",VLOOKUP(B171,'11.COMPOSIÇÕES GERAIS'!B:I,2,0),VLOOKUP(B171,'12.COT.MERCADO'!A:I,2,0)))),"Em Elaboração")</f>
        <v>CAIXA DE INCÊNDIO 45X75X17CM - FORNECIMENTO E INSTALAÇÃO. AF_10/2020</v>
      </c>
      <c r="F171" s="240" t="str">
        <f>IFERROR(IF(D171="SINAPI-S",VLOOKUP(B171,'20-B.SINAPI-S'!A:J,3,0),IF(D171="SINAPI-I",VLOOKUP(B171,'20-A.SINAPI-I'!A:G,3,0),IF(D171="COMPOSIÇÕES",VLOOKUP(B171,'11.COMPOSIÇÕES GERAIS'!B:I,3,0),VLOOKUP(B171,'12.COT.MERCADO'!A:I,7,0)))),"Em Elaboração")</f>
        <v>UN</v>
      </c>
      <c r="G171" s="244">
        <f>VLOOKUP(B171,' 19.ARRED_HIST_CONSOLIDADO_E_ME'!H:O,8,0)</f>
        <v>2</v>
      </c>
      <c r="H171" s="241">
        <f>IFERROR(IF(D171="SINAPI-S",VLOOKUP(B171,'20-B.SINAPI-S'!A:J,5,0),IF(D171="SINAPI-I",VLOOKUP(B171,'20-A.SINAPI-I'!A:G,6,0),IF(D171="COMPOSIÇÕES",VLOOKUP(B171,'11.COMPOSIÇÕES GERAIS'!B:I,7,0),0))),"Em Elaboração")</f>
        <v>46.93</v>
      </c>
      <c r="I171" s="241">
        <f>IFERROR(IF(D171="SINAPI-S",VLOOKUP(B171,'20-B.SINAPI-S'!A:J,6,0),IF(D171="SINAPI-I",VLOOKUP(B171,'20-A.SINAPI-I'!A:G,7,0),IF(D171="COMPOSIÇÕES",VLOOKUP(B171,'11.COMPOSIÇÕES GERAIS'!B:I,8,0),VLOOKUP(B171,'12.COT.MERCADO'!A:I,8,0)))),"Em Elaboração")</f>
        <v>381.33</v>
      </c>
      <c r="J171" s="241">
        <f t="shared" si="112"/>
        <v>55.09220498</v>
      </c>
      <c r="K171" s="241">
        <f t="shared" si="113"/>
        <v>446.6650173</v>
      </c>
      <c r="L171" s="241">
        <f t="shared" si="114"/>
        <v>501.7572223</v>
      </c>
      <c r="M171" s="241">
        <f t="shared" si="115"/>
        <v>110.18441</v>
      </c>
      <c r="N171" s="241">
        <f t="shared" si="116"/>
        <v>893.3300347</v>
      </c>
      <c r="O171" s="241">
        <f t="shared" si="117"/>
        <v>1003.514445</v>
      </c>
      <c r="P171" s="242">
        <f t="shared" si="2"/>
        <v>0.0007850234983</v>
      </c>
    </row>
    <row r="172">
      <c r="A172" s="236" t="s">
        <v>296</v>
      </c>
      <c r="B172" s="237">
        <f>' 19.ARRED_HIST_CONSOLIDADO_E_ME'!H71</f>
        <v>11581</v>
      </c>
      <c r="C172" s="238" t="str">
        <f t="shared" si="111"/>
        <v>SINAPI</v>
      </c>
      <c r="D172" s="243" t="s">
        <v>286</v>
      </c>
      <c r="E172" s="239" t="str">
        <f>IFERROR(IF(D172="SINAPI-S",VLOOKUP(B172,'20-B.SINAPI-S'!A:J,2,0),IF(D172="SINAPI-I",VLOOKUP(B172,'20-A.SINAPI-I'!A:G,2,0),IF(D172="COMPOSIÇÕES",VLOOKUP(B172,'11.COMPOSIÇÕES GERAIS'!B:I,2,0),VLOOKUP(B172,'12.COT.MERCADO'!A:I,2,0)))),"Em Elaboração")</f>
        <v>TRILHO PANTOGRAFICO CONCAVO, TIPO U, EM ALUMINIO, COM DIMENSOES DE APROX *35 X 35* MM, PARA ROLDANA DE PORTA DE CORRER</v>
      </c>
      <c r="F172" s="240" t="str">
        <f>IFERROR(IF(D172="SINAPI-S",VLOOKUP(B172,'20-B.SINAPI-S'!A:J,3,0),IF(D172="SINAPI-I",VLOOKUP(B172,'20-A.SINAPI-I'!A:G,3,0),IF(D172="COMPOSIÇÕES",VLOOKUP(B172,'11.COMPOSIÇÕES GERAIS'!B:I,3,0),VLOOKUP(B172,'12.COT.MERCADO'!A:I,7,0)))),"Em Elaboração")</f>
        <v>M</v>
      </c>
      <c r="G172" s="244">
        <f>VLOOKUP(B172,' 19.ARRED_HIST_CONSOLIDADO_E_ME'!H:O,8,0)</f>
        <v>1</v>
      </c>
      <c r="H172" s="241">
        <f>IFERROR(IF(D172="SINAPI-S",VLOOKUP(B172,'20-B.SINAPI-S'!A:J,5,0),IF(D172="SINAPI-I",VLOOKUP(B172,'20-A.SINAPI-I'!A:G,6,0),IF(D172="COMPOSIÇÕES",VLOOKUP(B172,'11.COMPOSIÇÕES GERAIS'!B:I,7,0),0))),"Em Elaboração")</f>
        <v>0</v>
      </c>
      <c r="I172" s="241">
        <f>IFERROR(IF(D172="SINAPI-S",VLOOKUP(B172,'20-B.SINAPI-S'!A:J,6,0),IF(D172="SINAPI-I",VLOOKUP(B172,'20-A.SINAPI-I'!A:G,7,0),IF(D172="COMPOSIÇÕES",VLOOKUP(B172,'11.COMPOSIÇÕES GERAIS'!B:I,8,0),VLOOKUP(B172,'12.COT.MERCADO'!A:I,8,0)))),"Em Elaboração")</f>
        <v>20.54</v>
      </c>
      <c r="J172" s="241">
        <f t="shared" si="112"/>
        <v>0</v>
      </c>
      <c r="K172" s="241">
        <f t="shared" si="113"/>
        <v>24.05921238</v>
      </c>
      <c r="L172" s="241">
        <f t="shared" si="114"/>
        <v>24.05921238</v>
      </c>
      <c r="M172" s="241">
        <f t="shared" si="115"/>
        <v>0</v>
      </c>
      <c r="N172" s="241">
        <f t="shared" si="116"/>
        <v>24.05921238</v>
      </c>
      <c r="O172" s="241">
        <f t="shared" si="117"/>
        <v>24.05921238</v>
      </c>
      <c r="P172" s="242">
        <f t="shared" si="2"/>
        <v>0.00001882090205</v>
      </c>
    </row>
    <row r="173">
      <c r="A173" s="236" t="s">
        <v>297</v>
      </c>
      <c r="B173" s="237">
        <f>' 19.ARRED_HIST_CONSOLIDADO_E_ME'!H72</f>
        <v>100742</v>
      </c>
      <c r="C173" s="238" t="str">
        <f t="shared" si="111"/>
        <v>SINAPI</v>
      </c>
      <c r="D173" s="238" t="s">
        <v>218</v>
      </c>
      <c r="E173" s="239" t="str">
        <f>IFERROR(IF(D173="SINAPI-S",VLOOKUP(B173,'20-B.SINAPI-S'!A:J,2,0),IF(D173="SINAPI-I",VLOOKUP(B173,'20-A.SINAPI-I'!A:G,2,0),IF(D173="COMPOSIÇÕES",VLOOKUP(B173,'11.COMPOSIÇÕES GERAIS'!B:I,2,0),VLOOKUP(B173,'12.COT.MERCADO'!A:I,2,0)))),"Em Elaboração")</f>
        <v>PINTURA COM TINTA ALQUÍDICA DE ACABAMENTO (ESMALTE SINTÉTICO ACETINADO) APLICADA A ROLO OU PINCEL SOBRE SUPERFÍCIES METÁLICAS (EXCETO PERFIL) EXECUTADO EM OBRA (POR DEMÃO). AF_01/2020</v>
      </c>
      <c r="F173" s="240" t="str">
        <f>IFERROR(IF(D173="SINAPI-S",VLOOKUP(B173,'20-B.SINAPI-S'!A:J,3,0),IF(D173="SINAPI-I",VLOOKUP(B173,'20-A.SINAPI-I'!A:G,3,0),IF(D173="COMPOSIÇÕES",VLOOKUP(B173,'11.COMPOSIÇÕES GERAIS'!B:I,3,0),VLOOKUP(B173,'12.COT.MERCADO'!A:I,7,0)))),"Em Elaboração")</f>
        <v>M2</v>
      </c>
      <c r="G173" s="244">
        <f>VLOOKUP(B173,' 19.ARRED_HIST_CONSOLIDADO_E_ME'!H:O,8,0)</f>
        <v>44</v>
      </c>
      <c r="H173" s="241">
        <f>IFERROR(IF(D173="SINAPI-S",VLOOKUP(B173,'20-B.SINAPI-S'!A:J,5,0),IF(D173="SINAPI-I",VLOOKUP(B173,'20-A.SINAPI-I'!A:G,6,0),IF(D173="COMPOSIÇÕES",VLOOKUP(B173,'11.COMPOSIÇÕES GERAIS'!B:I,7,0),0))),"Em Elaboração")</f>
        <v>16.65</v>
      </c>
      <c r="I173" s="241">
        <f>IFERROR(IF(D173="SINAPI-S",VLOOKUP(B173,'20-B.SINAPI-S'!A:J,6,0),IF(D173="SINAPI-I",VLOOKUP(B173,'20-A.SINAPI-I'!A:G,7,0),IF(D173="COMPOSIÇÕES",VLOOKUP(B173,'11.COMPOSIÇÕES GERAIS'!B:I,8,0),VLOOKUP(B173,'12.COT.MERCADO'!A:I,8,0)))),"Em Elaboração")</f>
        <v>11.47</v>
      </c>
      <c r="J173" s="241">
        <f t="shared" si="112"/>
        <v>19.54581745</v>
      </c>
      <c r="K173" s="241">
        <f t="shared" si="113"/>
        <v>13.43520769</v>
      </c>
      <c r="L173" s="241">
        <f t="shared" si="114"/>
        <v>32.98102514</v>
      </c>
      <c r="M173" s="241">
        <f t="shared" si="115"/>
        <v>860.0159678</v>
      </c>
      <c r="N173" s="241">
        <f t="shared" si="116"/>
        <v>591.1491384</v>
      </c>
      <c r="O173" s="241">
        <f t="shared" si="117"/>
        <v>1451.165106</v>
      </c>
      <c r="P173" s="242">
        <f t="shared" si="2"/>
        <v>0.001135209079</v>
      </c>
    </row>
    <row r="174">
      <c r="A174" s="236" t="s">
        <v>298</v>
      </c>
      <c r="B174" s="237">
        <f>' 19.ARRED_HIST_CONSOLIDADO_E_ME'!H73</f>
        <v>38179</v>
      </c>
      <c r="C174" s="238" t="str">
        <f t="shared" si="111"/>
        <v>SINAPI</v>
      </c>
      <c r="D174" s="243" t="s">
        <v>286</v>
      </c>
      <c r="E174" s="239" t="str">
        <f>IFERROR(IF(D174="SINAPI-S",VLOOKUP(B174,'20-B.SINAPI-S'!A:J,2,0),IF(D174="SINAPI-I",VLOOKUP(B174,'20-A.SINAPI-I'!A:G,2,0),IF(D174="COMPOSIÇÕES",VLOOKUP(B174,'11.COMPOSIÇÕES GERAIS'!B:I,2,0),VLOOKUP(B174,'12.COT.MERCADO'!A:I,2,0)))),"Em Elaboração")</f>
        <v>ROLDANA CONCAVA DUPLA, 4 RODAS, PARA PORTA DE CORRER, EM ZAMAC COM CHAPA DE ACO,  ROLAMENTO INTERNO BLINDADO DE ACO REVESTIDO EM NYLON</v>
      </c>
      <c r="F174" s="240" t="str">
        <f>IFERROR(IF(D174="SINAPI-S",VLOOKUP(B174,'20-B.SINAPI-S'!A:J,3,0),IF(D174="SINAPI-I",VLOOKUP(B174,'20-A.SINAPI-I'!A:G,3,0),IF(D174="COMPOSIÇÕES",VLOOKUP(B174,'11.COMPOSIÇÕES GERAIS'!B:I,3,0),VLOOKUP(B174,'12.COT.MERCADO'!A:I,7,0)))),"Em Elaboração")</f>
        <v>UN</v>
      </c>
      <c r="G174" s="244">
        <f>VLOOKUP(B174,' 19.ARRED_HIST_CONSOLIDADO_E_ME'!H:O,8,0)</f>
        <v>2</v>
      </c>
      <c r="H174" s="241">
        <f>IFERROR(IF(D174="SINAPI-S",VLOOKUP(B174,'20-B.SINAPI-S'!A:J,5,0),IF(D174="SINAPI-I",VLOOKUP(B174,'20-A.SINAPI-I'!A:G,6,0),IF(D174="COMPOSIÇÕES",VLOOKUP(B174,'11.COMPOSIÇÕES GERAIS'!B:I,7,0),0))),"Em Elaboração")</f>
        <v>0</v>
      </c>
      <c r="I174" s="241">
        <f>IFERROR(IF(D174="SINAPI-S",VLOOKUP(B174,'20-B.SINAPI-S'!A:J,6,0),IF(D174="SINAPI-I",VLOOKUP(B174,'20-A.SINAPI-I'!A:G,7,0),IF(D174="COMPOSIÇÕES",VLOOKUP(B174,'11.COMPOSIÇÕES GERAIS'!B:I,8,0),VLOOKUP(B174,'12.COT.MERCADO'!A:I,8,0)))),"Em Elaboração")</f>
        <v>46.32</v>
      </c>
      <c r="J174" s="241">
        <f t="shared" si="112"/>
        <v>0</v>
      </c>
      <c r="K174" s="241">
        <f t="shared" si="113"/>
        <v>54.25621798</v>
      </c>
      <c r="L174" s="241">
        <f t="shared" si="114"/>
        <v>54.25621798</v>
      </c>
      <c r="M174" s="241">
        <f t="shared" si="115"/>
        <v>0</v>
      </c>
      <c r="N174" s="241">
        <f t="shared" si="116"/>
        <v>108.512436</v>
      </c>
      <c r="O174" s="241">
        <f t="shared" si="117"/>
        <v>108.512436</v>
      </c>
      <c r="P174" s="242">
        <f t="shared" si="2"/>
        <v>0.00008488648324</v>
      </c>
    </row>
    <row r="175">
      <c r="A175" s="236" t="s">
        <v>299</v>
      </c>
      <c r="B175" s="237" t="str">
        <f>' 19.ARRED_HIST_CONSOLIDADO_E_ME'!H74</f>
        <v>MAN_PR_020</v>
      </c>
      <c r="C175" s="238" t="str">
        <f t="shared" si="111"/>
        <v>PRÓPRIO</v>
      </c>
      <c r="D175" s="243" t="s">
        <v>230</v>
      </c>
      <c r="E175" s="239" t="str">
        <f>IFERROR(IF(D175="SINAPI-S",VLOOKUP(B175,'20-B.SINAPI-S'!A:J,2,0),IF(D175="SINAPI-I",VLOOKUP(B175,'20-A.SINAPI-I'!A:G,2,0),IF(D175="COMPOSIÇÕES",VLOOKUP(B175,'11.COMPOSIÇÕES GERAIS'!B:I,2,0),VLOOKUP(B175,'12.COT.MERCADO'!A:I,2,0)))),"Em Elaboração")</f>
        <v>TESTE, LIMPEZA E REAPERTO DOS COMPONENTES PARA QUADROS DE DISTRIBUIÇÃO ATÉ 64 CIRCUITOS</v>
      </c>
      <c r="F175" s="240" t="str">
        <f>IFERROR(IF(D175="SINAPI-S",VLOOKUP(B175,'20-B.SINAPI-S'!A:J,3,0),IF(D175="SINAPI-I",VLOOKUP(B175,'20-A.SINAPI-I'!A:G,3,0),IF(D175="COMPOSIÇÕES",VLOOKUP(B175,'11.COMPOSIÇÕES GERAIS'!B:I,3,0),VLOOKUP(B175,'12.COT.MERCADO'!A:I,7,0)))),"Em Elaboração")</f>
        <v>UN</v>
      </c>
      <c r="G175" s="244">
        <f>VLOOKUP(B175,' 19.ARRED_HIST_CONSOLIDADO_E_ME'!H:O,8,0)</f>
        <v>6</v>
      </c>
      <c r="H175" s="241">
        <f>IFERROR(IF(D175="SINAPI-S",VLOOKUP(B175,'20-B.SINAPI-S'!A:J,5,0),IF(D175="SINAPI-I",VLOOKUP(B175,'20-A.SINAPI-I'!A:G,6,0),IF(D175="COMPOSIÇÕES",VLOOKUP(B175,'11.COMPOSIÇÕES GERAIS'!B:I,7,0),0))),"Em Elaboração")</f>
        <v>265.74</v>
      </c>
      <c r="I175" s="241">
        <f>IFERROR(IF(D175="SINAPI-S",VLOOKUP(B175,'20-B.SINAPI-S'!A:J,6,0),IF(D175="SINAPI-I",VLOOKUP(B175,'20-A.SINAPI-I'!A:G,7,0),IF(D175="COMPOSIÇÕES",VLOOKUP(B175,'11.COMPOSIÇÕES GERAIS'!B:I,8,0),VLOOKUP(B175,'12.COT.MERCADO'!A:I,8,0)))),"Em Elaboração")</f>
        <v>94.32</v>
      </c>
      <c r="J175" s="241">
        <f t="shared" si="112"/>
        <v>311.95829</v>
      </c>
      <c r="K175" s="241">
        <f t="shared" si="113"/>
        <v>110.4802781</v>
      </c>
      <c r="L175" s="241">
        <f t="shared" si="114"/>
        <v>422.4385681</v>
      </c>
      <c r="M175" s="241">
        <f t="shared" si="115"/>
        <v>1871.74974</v>
      </c>
      <c r="N175" s="241">
        <f t="shared" si="116"/>
        <v>662.8816684</v>
      </c>
      <c r="O175" s="241">
        <f t="shared" si="117"/>
        <v>2534.631409</v>
      </c>
      <c r="P175" s="242">
        <f t="shared" si="2"/>
        <v>0.001982776856</v>
      </c>
    </row>
    <row r="176">
      <c r="A176" s="236" t="s">
        <v>300</v>
      </c>
      <c r="B176" s="237">
        <f>' 19.ARRED_HIST_CONSOLIDADO_E_ME'!H75</f>
        <v>100858</v>
      </c>
      <c r="C176" s="238" t="str">
        <f t="shared" si="111"/>
        <v>SINAPI</v>
      </c>
      <c r="D176" s="238" t="s">
        <v>218</v>
      </c>
      <c r="E176" s="239" t="str">
        <f>IFERROR(IF(D176="SINAPI-S",VLOOKUP(B176,'20-B.SINAPI-S'!A:J,2,0),IF(D176="SINAPI-I",VLOOKUP(B176,'20-A.SINAPI-I'!A:G,2,0),IF(D176="COMPOSIÇÕES",VLOOKUP(B176,'11.COMPOSIÇÕES GERAIS'!B:I,2,0),VLOOKUP(B176,'12.COT.MERCADO'!A:I,2,0)))),"Em Elaboração")</f>
        <v>MICTÓRIO SIFONADO LOUÇA BRANCA _x0096_ PADRÃO MÉDIO _x0096_ FORNECIMENTO E INSTALAÇÃO. AF_01/2020</v>
      </c>
      <c r="F176" s="240" t="str">
        <f>IFERROR(IF(D176="SINAPI-S",VLOOKUP(B176,'20-B.SINAPI-S'!A:J,3,0),IF(D176="SINAPI-I",VLOOKUP(B176,'20-A.SINAPI-I'!A:G,3,0),IF(D176="COMPOSIÇÕES",VLOOKUP(B176,'11.COMPOSIÇÕES GERAIS'!B:I,3,0),VLOOKUP(B176,'12.COT.MERCADO'!A:I,7,0)))),"Em Elaboração")</f>
        <v>UN</v>
      </c>
      <c r="G176" s="244">
        <f>VLOOKUP(B176,' 19.ARRED_HIST_CONSOLIDADO_E_ME'!H:O,8,0)</f>
        <v>1</v>
      </c>
      <c r="H176" s="241">
        <f>IFERROR(IF(D176="SINAPI-S",VLOOKUP(B176,'20-B.SINAPI-S'!A:J,5,0),IF(D176="SINAPI-I",VLOOKUP(B176,'20-A.SINAPI-I'!A:G,6,0),IF(D176="COMPOSIÇÕES",VLOOKUP(B176,'11.COMPOSIÇÕES GERAIS'!B:I,7,0),0))),"Em Elaboração")</f>
        <v>30.34</v>
      </c>
      <c r="I176" s="241">
        <f>IFERROR(IF(D176="SINAPI-S",VLOOKUP(B176,'20-B.SINAPI-S'!A:J,6,0),IF(D176="SINAPI-I",VLOOKUP(B176,'20-A.SINAPI-I'!A:G,7,0),IF(D176="COMPOSIÇÕES",VLOOKUP(B176,'11.COMPOSIÇÕES GERAIS'!B:I,8,0),VLOOKUP(B176,'12.COT.MERCADO'!A:I,8,0)))),"Em Elaboração")</f>
        <v>673.46</v>
      </c>
      <c r="J176" s="241">
        <f t="shared" si="112"/>
        <v>35.61682291</v>
      </c>
      <c r="K176" s="241">
        <f t="shared" si="113"/>
        <v>788.8469897</v>
      </c>
      <c r="L176" s="241">
        <f t="shared" si="114"/>
        <v>824.4638126</v>
      </c>
      <c r="M176" s="241">
        <f t="shared" si="115"/>
        <v>35.61682291</v>
      </c>
      <c r="N176" s="241">
        <f t="shared" si="116"/>
        <v>788.8469897</v>
      </c>
      <c r="O176" s="241">
        <f t="shared" si="117"/>
        <v>824.4638126</v>
      </c>
      <c r="P176" s="242">
        <f t="shared" si="2"/>
        <v>0.0006449568014</v>
      </c>
    </row>
    <row r="177">
      <c r="A177" s="236" t="s">
        <v>301</v>
      </c>
      <c r="B177" s="237">
        <f>' 19.ARRED_HIST_CONSOLIDADO_E_ME'!H76</f>
        <v>94213</v>
      </c>
      <c r="C177" s="238" t="str">
        <f t="shared" si="111"/>
        <v>SINAPI</v>
      </c>
      <c r="D177" s="238" t="s">
        <v>218</v>
      </c>
      <c r="E177" s="239" t="str">
        <f>IFERROR(IF(D177="SINAPI-S",VLOOKUP(B177,'20-B.SINAPI-S'!A:J,2,0),IF(D177="SINAPI-I",VLOOKUP(B177,'20-A.SINAPI-I'!A:G,2,0),IF(D177="COMPOSIÇÕES",VLOOKUP(B177,'11.COMPOSIÇÕES GERAIS'!B:I,2,0),VLOOKUP(B177,'12.COT.MERCADO'!A:I,2,0)))),"Em Elaboração")</f>
        <v>TELHAMENTO COM TELHA DE AÇO/ALUMÍNIO E = 0,5 MM, COM ATÉ 2 ÁGUAS, INCLUSO IÇAMENTO. AF_07/2019</v>
      </c>
      <c r="F177" s="240" t="str">
        <f>IFERROR(IF(D177="SINAPI-S",VLOOKUP(B177,'20-B.SINAPI-S'!A:J,3,0),IF(D177="SINAPI-I",VLOOKUP(B177,'20-A.SINAPI-I'!A:G,3,0),IF(D177="COMPOSIÇÕES",VLOOKUP(B177,'11.COMPOSIÇÕES GERAIS'!B:I,3,0),VLOOKUP(B177,'12.COT.MERCADO'!A:I,7,0)))),"Em Elaboração")</f>
        <v>M2</v>
      </c>
      <c r="G177" s="244">
        <f>VLOOKUP(B177,' 19.ARRED_HIST_CONSOLIDADO_E_ME'!H:O,8,0)</f>
        <v>2</v>
      </c>
      <c r="H177" s="241">
        <f>IFERROR(IF(D177="SINAPI-S",VLOOKUP(B177,'20-B.SINAPI-S'!A:J,5,0),IF(D177="SINAPI-I",VLOOKUP(B177,'20-A.SINAPI-I'!A:G,6,0),IF(D177="COMPOSIÇÕES",VLOOKUP(B177,'11.COMPOSIÇÕES GERAIS'!B:I,7,0),0))),"Em Elaboração")</f>
        <v>3.9</v>
      </c>
      <c r="I177" s="241">
        <f>IFERROR(IF(D177="SINAPI-S",VLOOKUP(B177,'20-B.SINAPI-S'!A:J,6,0),IF(D177="SINAPI-I",VLOOKUP(B177,'20-A.SINAPI-I'!A:G,7,0),IF(D177="COMPOSIÇÕES",VLOOKUP(B177,'11.COMPOSIÇÕES GERAIS'!B:I,8,0),VLOOKUP(B177,'12.COT.MERCADO'!A:I,8,0)))),"Em Elaboração")</f>
        <v>70.85</v>
      </c>
      <c r="J177" s="241">
        <f t="shared" si="112"/>
        <v>4.578299583</v>
      </c>
      <c r="K177" s="241">
        <f t="shared" si="113"/>
        <v>82.98905536</v>
      </c>
      <c r="L177" s="241">
        <f t="shared" si="114"/>
        <v>87.56735494</v>
      </c>
      <c r="M177" s="241">
        <f t="shared" si="115"/>
        <v>9.156599166</v>
      </c>
      <c r="N177" s="241">
        <f t="shared" si="116"/>
        <v>165.9781107</v>
      </c>
      <c r="O177" s="241">
        <f t="shared" si="117"/>
        <v>175.1347099</v>
      </c>
      <c r="P177" s="242">
        <f t="shared" si="2"/>
        <v>0.0001370033719</v>
      </c>
    </row>
    <row r="178">
      <c r="A178" s="236" t="s">
        <v>302</v>
      </c>
      <c r="B178" s="237">
        <f>' 19.ARRED_HIST_CONSOLIDADO_E_ME'!H77</f>
        <v>91785</v>
      </c>
      <c r="C178" s="238" t="str">
        <f t="shared" si="111"/>
        <v>SINAPI</v>
      </c>
      <c r="D178" s="238" t="s">
        <v>218</v>
      </c>
      <c r="E178" s="239" t="str">
        <f>IFERROR(IF(D178="SINAPI-S",VLOOKUP(B178,'20-B.SINAPI-S'!A:J,2,0),IF(D178="SINAPI-I",VLOOKUP(B178,'20-A.SINAPI-I'!A:G,2,0),IF(D178="COMPOSIÇÕES",VLOOKUP(B178,'11.COMPOSIÇÕES GERAIS'!B:I,2,0),VLOOKUP(B178,'12.COT.MERCADO'!A:I,2,0)))),"Em Elaboração")</f>
        <v>(COMPOSIÇÃO REPRESENTATIVA) DO SERVIÇO DE INSTALAÇÃO DE TUBOS DE PVC, SOLDÁVEL, ÁGUA FRIA, DN 25 MM (INSTALADO EM RAMAL, SUB-RAMAL, RAMAL DE DISTRIBUIÇÃO OU PRUMADA), INCLUSIVE CONEXÕES, CORTES E FIXAÇÕES, PARA PRÉDIOS. AF_10/2015</v>
      </c>
      <c r="F178" s="240" t="str">
        <f>IFERROR(IF(D178="SINAPI-S",VLOOKUP(B178,'20-B.SINAPI-S'!A:J,3,0),IF(D178="SINAPI-I",VLOOKUP(B178,'20-A.SINAPI-I'!A:G,3,0),IF(D178="COMPOSIÇÕES",VLOOKUP(B178,'11.COMPOSIÇÕES GERAIS'!B:I,3,0),VLOOKUP(B178,'12.COT.MERCADO'!A:I,7,0)))),"Em Elaboração")</f>
        <v>M</v>
      </c>
      <c r="G178" s="244">
        <f>VLOOKUP(B178,' 19.ARRED_HIST_CONSOLIDADO_E_ME'!H:O,8,0)</f>
        <v>2</v>
      </c>
      <c r="H178" s="241">
        <f>IFERROR(IF(D178="SINAPI-S",VLOOKUP(B178,'20-B.SINAPI-S'!A:J,5,0),IF(D178="SINAPI-I",VLOOKUP(B178,'20-A.SINAPI-I'!A:G,6,0),IF(D178="COMPOSIÇÕES",VLOOKUP(B178,'11.COMPOSIÇÕES GERAIS'!B:I,7,0),0))),"Em Elaboração")</f>
        <v>31.14</v>
      </c>
      <c r="I178" s="241">
        <f>IFERROR(IF(D178="SINAPI-S",VLOOKUP(B178,'20-B.SINAPI-S'!A:J,6,0),IF(D178="SINAPI-I",VLOOKUP(B178,'20-A.SINAPI-I'!A:G,7,0),IF(D178="COMPOSIÇÕES",VLOOKUP(B178,'11.COMPOSIÇÕES GERAIS'!B:I,8,0),VLOOKUP(B178,'12.COT.MERCADO'!A:I,8,0)))),"Em Elaboração")</f>
        <v>20.76</v>
      </c>
      <c r="J178" s="241">
        <f t="shared" si="112"/>
        <v>36.55596129</v>
      </c>
      <c r="K178" s="241">
        <f t="shared" si="113"/>
        <v>24.31690599</v>
      </c>
      <c r="L178" s="241">
        <f t="shared" si="114"/>
        <v>60.87286727</v>
      </c>
      <c r="M178" s="241">
        <f t="shared" si="115"/>
        <v>73.11192257</v>
      </c>
      <c r="N178" s="241">
        <f t="shared" si="116"/>
        <v>48.63381197</v>
      </c>
      <c r="O178" s="241">
        <f t="shared" si="117"/>
        <v>121.7457345</v>
      </c>
      <c r="P178" s="242">
        <f t="shared" si="2"/>
        <v>0.00009523855182</v>
      </c>
    </row>
    <row r="179">
      <c r="A179" s="236" t="s">
        <v>303</v>
      </c>
      <c r="B179" s="237">
        <f>' 19.ARRED_HIST_CONSOLIDADO_E_ME'!H78</f>
        <v>86883</v>
      </c>
      <c r="C179" s="238" t="str">
        <f t="shared" si="111"/>
        <v>SINAPI</v>
      </c>
      <c r="D179" s="238" t="s">
        <v>218</v>
      </c>
      <c r="E179" s="239" t="str">
        <f>IFERROR(IF(D179="SINAPI-S",VLOOKUP(B179,'20-B.SINAPI-S'!A:J,2,0),IF(D179="SINAPI-I",VLOOKUP(B179,'20-A.SINAPI-I'!A:G,2,0),IF(D179="COMPOSIÇÕES",VLOOKUP(B179,'11.COMPOSIÇÕES GERAIS'!B:I,2,0),VLOOKUP(B179,'12.COT.MERCADO'!A:I,2,0)))),"Em Elaboração")</f>
        <v>SIFÃO DO TIPO FLEXÍVEL EM PVC 1  X 1.1/2  - FORNECIMENTO E INSTALAÇÃO. AF_01/2020</v>
      </c>
      <c r="F179" s="240" t="str">
        <f>IFERROR(IF(D179="SINAPI-S",VLOOKUP(B179,'20-B.SINAPI-S'!A:J,3,0),IF(D179="SINAPI-I",VLOOKUP(B179,'20-A.SINAPI-I'!A:G,3,0),IF(D179="COMPOSIÇÕES",VLOOKUP(B179,'11.COMPOSIÇÕES GERAIS'!B:I,3,0),VLOOKUP(B179,'12.COT.MERCADO'!A:I,7,0)))),"Em Elaboração")</f>
        <v>UN</v>
      </c>
      <c r="G179" s="244">
        <f>VLOOKUP(B179,' 19.ARRED_HIST_CONSOLIDADO_E_ME'!H:O,8,0)</f>
        <v>12</v>
      </c>
      <c r="H179" s="241">
        <f>IFERROR(IF(D179="SINAPI-S",VLOOKUP(B179,'20-B.SINAPI-S'!A:J,5,0),IF(D179="SINAPI-I",VLOOKUP(B179,'20-A.SINAPI-I'!A:G,6,0),IF(D179="COMPOSIÇÕES",VLOOKUP(B179,'11.COMPOSIÇÕES GERAIS'!B:I,7,0),0))),"Em Elaboração")</f>
        <v>2.52</v>
      </c>
      <c r="I179" s="241">
        <f>IFERROR(IF(D179="SINAPI-S",VLOOKUP(B179,'20-B.SINAPI-S'!A:J,6,0),IF(D179="SINAPI-I",VLOOKUP(B179,'20-A.SINAPI-I'!A:G,7,0),IF(D179="COMPOSIÇÕES",VLOOKUP(B179,'11.COMPOSIÇÕES GERAIS'!B:I,8,0),VLOOKUP(B179,'12.COT.MERCADO'!A:I,8,0)))),"Em Elaboração")</f>
        <v>10.45</v>
      </c>
      <c r="J179" s="241">
        <f t="shared" si="112"/>
        <v>2.958285884</v>
      </c>
      <c r="K179" s="241">
        <f t="shared" si="113"/>
        <v>12.24044641</v>
      </c>
      <c r="L179" s="241">
        <f t="shared" si="114"/>
        <v>15.1987323</v>
      </c>
      <c r="M179" s="241">
        <f t="shared" si="115"/>
        <v>35.49943061</v>
      </c>
      <c r="N179" s="241">
        <f t="shared" si="116"/>
        <v>146.885357</v>
      </c>
      <c r="O179" s="241">
        <f t="shared" si="117"/>
        <v>182.3847876</v>
      </c>
      <c r="P179" s="242">
        <f t="shared" si="2"/>
        <v>0.0001426749209</v>
      </c>
    </row>
    <row r="180">
      <c r="A180" s="236" t="s">
        <v>304</v>
      </c>
      <c r="B180" s="237">
        <f>' 19.ARRED_HIST_CONSOLIDADO_E_ME'!H79</f>
        <v>95248</v>
      </c>
      <c r="C180" s="238" t="str">
        <f t="shared" si="111"/>
        <v>SINAPI</v>
      </c>
      <c r="D180" s="238" t="s">
        <v>218</v>
      </c>
      <c r="E180" s="239" t="str">
        <f>IFERROR(IF(D180="SINAPI-S",VLOOKUP(B180,'20-B.SINAPI-S'!A:J,2,0),IF(D180="SINAPI-I",VLOOKUP(B180,'20-A.SINAPI-I'!A:G,2,0),IF(D180="COMPOSIÇÕES",VLOOKUP(B180,'11.COMPOSIÇÕES GERAIS'!B:I,2,0),VLOOKUP(B180,'12.COT.MERCADO'!A:I,2,0)))),"Em Elaboração")</f>
        <v>VÁLVULA DE ESFERA BRUTA, BRONZE, ROSCÁVEL, 1/2" - FORNECIMENTO E INSTALAÇÃO. AF_08/2021</v>
      </c>
      <c r="F180" s="240" t="str">
        <f>IFERROR(IF(D180="SINAPI-S",VLOOKUP(B180,'20-B.SINAPI-S'!A:J,3,0),IF(D180="SINAPI-I",VLOOKUP(B180,'20-A.SINAPI-I'!A:G,3,0),IF(D180="COMPOSIÇÕES",VLOOKUP(B180,'11.COMPOSIÇÕES GERAIS'!B:I,3,0),VLOOKUP(B180,'12.COT.MERCADO'!A:I,7,0)))),"Em Elaboração")</f>
        <v>UN</v>
      </c>
      <c r="G180" s="244">
        <f>VLOOKUP(B180,' 19.ARRED_HIST_CONSOLIDADO_E_ME'!H:O,8,0)</f>
        <v>1</v>
      </c>
      <c r="H180" s="241">
        <f>IFERROR(IF(D180="SINAPI-S",VLOOKUP(B180,'20-B.SINAPI-S'!A:J,5,0),IF(D180="SINAPI-I",VLOOKUP(B180,'20-A.SINAPI-I'!A:G,6,0),IF(D180="COMPOSIÇÕES",VLOOKUP(B180,'11.COMPOSIÇÕES GERAIS'!B:I,7,0),0))),"Em Elaboração")</f>
        <v>3.1</v>
      </c>
      <c r="I180" s="241">
        <f>IFERROR(IF(D180="SINAPI-S",VLOOKUP(B180,'20-B.SINAPI-S'!A:J,6,0),IF(D180="SINAPI-I",VLOOKUP(B180,'20-A.SINAPI-I'!A:G,7,0),IF(D180="COMPOSIÇÕES",VLOOKUP(B180,'11.COMPOSIÇÕES GERAIS'!B:I,8,0),VLOOKUP(B180,'12.COT.MERCADO'!A:I,8,0)))),"Em Elaboração")</f>
        <v>55.91</v>
      </c>
      <c r="J180" s="241">
        <f t="shared" si="112"/>
        <v>3.639161207</v>
      </c>
      <c r="K180" s="241">
        <f t="shared" si="113"/>
        <v>65.48931665</v>
      </c>
      <c r="L180" s="241">
        <f t="shared" si="114"/>
        <v>69.12847786</v>
      </c>
      <c r="M180" s="241">
        <f t="shared" si="115"/>
        <v>3.639161207</v>
      </c>
      <c r="N180" s="241">
        <f t="shared" si="116"/>
        <v>65.48931665</v>
      </c>
      <c r="O180" s="241">
        <f t="shared" si="117"/>
        <v>69.12847786</v>
      </c>
      <c r="P180" s="242">
        <f t="shared" si="2"/>
        <v>0.0000540774274</v>
      </c>
    </row>
    <row r="181">
      <c r="A181" s="236" t="s">
        <v>305</v>
      </c>
      <c r="B181" s="237">
        <f>' 19.ARRED_HIST_CONSOLIDADO_E_ME'!H80</f>
        <v>87411</v>
      </c>
      <c r="C181" s="238" t="str">
        <f t="shared" si="111"/>
        <v>SINAPI</v>
      </c>
      <c r="D181" s="238" t="s">
        <v>218</v>
      </c>
      <c r="E181" s="239" t="str">
        <f>IFERROR(IF(D181="SINAPI-S",VLOOKUP(B181,'20-B.SINAPI-S'!A:J,2,0),IF(D181="SINAPI-I",VLOOKUP(B181,'20-A.SINAPI-I'!A:G,2,0),IF(D181="COMPOSIÇÕES",VLOOKUP(B181,'11.COMPOSIÇÕES GERAIS'!B:I,2,0),VLOOKUP(B181,'12.COT.MERCADO'!A:I,2,0)))),"Em Elaboração")</f>
        <v>APLICAÇÃO MANUAL DE GESSO DESEMPENADO (SEM TALISCAS) EM TETO DE AMBIENTES DE ÁREA MAIOR QUE 10M², ESPESSURA DE 0,5CM. AF_03/2023</v>
      </c>
      <c r="F181" s="240" t="str">
        <f>IFERROR(IF(D181="SINAPI-S",VLOOKUP(B181,'20-B.SINAPI-S'!A:J,3,0),IF(D181="SINAPI-I",VLOOKUP(B181,'20-A.SINAPI-I'!A:G,3,0),IF(D181="COMPOSIÇÕES",VLOOKUP(B181,'11.COMPOSIÇÕES GERAIS'!B:I,3,0),VLOOKUP(B181,'12.COT.MERCADO'!A:I,7,0)))),"Em Elaboração")</f>
        <v>M2</v>
      </c>
      <c r="G181" s="244">
        <f>VLOOKUP(B181,' 19.ARRED_HIST_CONSOLIDADO_E_ME'!H:O,8,0)</f>
        <v>1</v>
      </c>
      <c r="H181" s="241">
        <f>IFERROR(IF(D181="SINAPI-S",VLOOKUP(B181,'20-B.SINAPI-S'!A:J,5,0),IF(D181="SINAPI-I",VLOOKUP(B181,'20-A.SINAPI-I'!A:G,6,0),IF(D181="COMPOSIÇÕES",VLOOKUP(B181,'11.COMPOSIÇÕES GERAIS'!B:I,7,0),0))),"Em Elaboração")</f>
        <v>7.31</v>
      </c>
      <c r="I181" s="241">
        <f>IFERROR(IF(D181="SINAPI-S",VLOOKUP(B181,'20-B.SINAPI-S'!A:J,6,0),IF(D181="SINAPI-I",VLOOKUP(B181,'20-A.SINAPI-I'!A:G,7,0),IF(D181="COMPOSIÇÕES",VLOOKUP(B181,'11.COMPOSIÇÕES GERAIS'!B:I,8,0),VLOOKUP(B181,'12.COT.MERCADO'!A:I,8,0)))),"Em Elaboração")</f>
        <v>10.04</v>
      </c>
      <c r="J181" s="241">
        <f t="shared" si="112"/>
        <v>8.581376911</v>
      </c>
      <c r="K181" s="241">
        <f t="shared" si="113"/>
        <v>11.76019923</v>
      </c>
      <c r="L181" s="241">
        <f t="shared" si="114"/>
        <v>20.34157615</v>
      </c>
      <c r="M181" s="241">
        <f t="shared" si="115"/>
        <v>8.581376911</v>
      </c>
      <c r="N181" s="241">
        <f t="shared" si="116"/>
        <v>11.76019923</v>
      </c>
      <c r="O181" s="241">
        <f t="shared" si="117"/>
        <v>20.34157615</v>
      </c>
      <c r="P181" s="242">
        <f t="shared" si="2"/>
        <v>0.00001591269099</v>
      </c>
    </row>
    <row r="182">
      <c r="A182" s="236" t="s">
        <v>306</v>
      </c>
      <c r="B182" s="237">
        <f>' 19.ARRED_HIST_CONSOLIDADO_E_ME'!H81</f>
        <v>97064</v>
      </c>
      <c r="C182" s="238" t="str">
        <f t="shared" si="111"/>
        <v>SINAPI</v>
      </c>
      <c r="D182" s="238" t="s">
        <v>218</v>
      </c>
      <c r="E182" s="239" t="str">
        <f>IFERROR(IF(D182="SINAPI-S",VLOOKUP(B182,'20-B.SINAPI-S'!A:J,2,0),IF(D182="SINAPI-I",VLOOKUP(B182,'20-A.SINAPI-I'!A:G,2,0),IF(D182="COMPOSIÇÕES",VLOOKUP(B182,'11.COMPOSIÇÕES GERAIS'!B:I,2,0),VLOOKUP(B182,'12.COT.MERCADO'!A:I,2,0)))),"Em Elaboração")</f>
        <v>MONTAGEM E DESMONTAGEM DE ANDAIME TUBULAR TIPO _x0093_TORRE_x0094_ (EXCLUSIVE ANDAIME E LIMPEZA). AF_11/2017</v>
      </c>
      <c r="F182" s="240" t="str">
        <f>IFERROR(IF(D182="SINAPI-S",VLOOKUP(B182,'20-B.SINAPI-S'!A:J,3,0),IF(D182="SINAPI-I",VLOOKUP(B182,'20-A.SINAPI-I'!A:G,3,0),IF(D182="COMPOSIÇÕES",VLOOKUP(B182,'11.COMPOSIÇÕES GERAIS'!B:I,3,0),VLOOKUP(B182,'12.COT.MERCADO'!A:I,7,0)))),"Em Elaboração")</f>
        <v>M</v>
      </c>
      <c r="G182" s="244">
        <f>VLOOKUP(B182,' 19.ARRED_HIST_CONSOLIDADO_E_ME'!H:O,8,0)</f>
        <v>3</v>
      </c>
      <c r="H182" s="241">
        <f>IFERROR(IF(D182="SINAPI-S",VLOOKUP(B182,'20-B.SINAPI-S'!A:J,5,0),IF(D182="SINAPI-I",VLOOKUP(B182,'20-A.SINAPI-I'!A:G,6,0),IF(D182="COMPOSIÇÕES",VLOOKUP(B182,'11.COMPOSIÇÕES GERAIS'!B:I,7,0),0))),"Em Elaboração")</f>
        <v>17.6</v>
      </c>
      <c r="I182" s="241">
        <f>IFERROR(IF(D182="SINAPI-S",VLOOKUP(B182,'20-B.SINAPI-S'!A:J,6,0),IF(D182="SINAPI-I",VLOOKUP(B182,'20-A.SINAPI-I'!A:G,7,0),IF(D182="COMPOSIÇÕES",VLOOKUP(B182,'11.COMPOSIÇÕES GERAIS'!B:I,8,0),VLOOKUP(B182,'12.COT.MERCADO'!A:I,8,0)))),"Em Elaboração")</f>
        <v>5.93</v>
      </c>
      <c r="J182" s="241">
        <f t="shared" si="112"/>
        <v>20.66104427</v>
      </c>
      <c r="K182" s="241">
        <f t="shared" si="113"/>
        <v>6.94601409</v>
      </c>
      <c r="L182" s="241">
        <f t="shared" si="114"/>
        <v>27.60705836</v>
      </c>
      <c r="M182" s="241">
        <f t="shared" si="115"/>
        <v>61.98313282</v>
      </c>
      <c r="N182" s="241">
        <f t="shared" si="116"/>
        <v>20.83804227</v>
      </c>
      <c r="O182" s="241">
        <f t="shared" si="117"/>
        <v>82.82117509</v>
      </c>
      <c r="P182" s="242">
        <f t="shared" si="2"/>
        <v>0.0000647888717</v>
      </c>
    </row>
    <row r="183">
      <c r="A183" s="236" t="s">
        <v>307</v>
      </c>
      <c r="B183" s="237">
        <f>' 19.ARRED_HIST_CONSOLIDADO_E_ME'!H82</f>
        <v>92009</v>
      </c>
      <c r="C183" s="238" t="str">
        <f t="shared" si="111"/>
        <v>SINAPI</v>
      </c>
      <c r="D183" s="238" t="s">
        <v>218</v>
      </c>
      <c r="E183" s="239" t="str">
        <f>IFERROR(IF(D183="SINAPI-S",VLOOKUP(B183,'20-B.SINAPI-S'!A:J,2,0),IF(D183="SINAPI-I",VLOOKUP(B183,'20-A.SINAPI-I'!A:G,2,0),IF(D183="COMPOSIÇÕES",VLOOKUP(B183,'11.COMPOSIÇÕES GERAIS'!B:I,2,0),VLOOKUP(B183,'12.COT.MERCADO'!A:I,2,0)))),"Em Elaboração")</f>
        <v>TOMADA BAIXA DE EMBUTIR (2 MÓDULOS), 2P+T 20 A, INCLUINDO SUPORTE E PLACA - FORNECIMENTO E INSTALAÇÃO. AF_03/2023</v>
      </c>
      <c r="F183" s="240" t="str">
        <f>IFERROR(IF(D183="SINAPI-S",VLOOKUP(B183,'20-B.SINAPI-S'!A:J,3,0),IF(D183="SINAPI-I",VLOOKUP(B183,'20-A.SINAPI-I'!A:G,3,0),IF(D183="COMPOSIÇÕES",VLOOKUP(B183,'11.COMPOSIÇÕES GERAIS'!B:I,3,0),VLOOKUP(B183,'12.COT.MERCADO'!A:I,7,0)))),"Em Elaboração")</f>
        <v>UN</v>
      </c>
      <c r="G183" s="244">
        <f>VLOOKUP(B183,' 19.ARRED_HIST_CONSOLIDADO_E_ME'!H:O,8,0)</f>
        <v>1</v>
      </c>
      <c r="H183" s="241">
        <f>IFERROR(IF(D183="SINAPI-S",VLOOKUP(B183,'20-B.SINAPI-S'!A:J,5,0),IF(D183="SINAPI-I",VLOOKUP(B183,'20-A.SINAPI-I'!A:G,6,0),IF(D183="COMPOSIÇÕES",VLOOKUP(B183,'11.COMPOSIÇÕES GERAIS'!B:I,7,0),0))),"Em Elaboração")</f>
        <v>24.34</v>
      </c>
      <c r="I183" s="241">
        <f>IFERROR(IF(D183="SINAPI-S",VLOOKUP(B183,'20-B.SINAPI-S'!A:J,6,0),IF(D183="SINAPI-I",VLOOKUP(B183,'20-A.SINAPI-I'!A:G,7,0),IF(D183="COMPOSIÇÕES",VLOOKUP(B183,'11.COMPOSIÇÕES GERAIS'!B:I,8,0),VLOOKUP(B183,'12.COT.MERCADO'!A:I,8,0)))),"Em Elaboração")</f>
        <v>34.93</v>
      </c>
      <c r="J183" s="241">
        <f t="shared" si="112"/>
        <v>28.57328509</v>
      </c>
      <c r="K183" s="241">
        <f t="shared" si="113"/>
        <v>40.91471706</v>
      </c>
      <c r="L183" s="241">
        <f t="shared" si="114"/>
        <v>69.48800215</v>
      </c>
      <c r="M183" s="241">
        <f t="shared" si="115"/>
        <v>28.57328509</v>
      </c>
      <c r="N183" s="241">
        <f t="shared" si="116"/>
        <v>40.91471706</v>
      </c>
      <c r="O183" s="241">
        <f t="shared" si="117"/>
        <v>69.48800215</v>
      </c>
      <c r="P183" s="242">
        <f t="shared" si="2"/>
        <v>0.00005435867399</v>
      </c>
    </row>
    <row r="184">
      <c r="A184" s="236" t="s">
        <v>308</v>
      </c>
      <c r="B184" s="237">
        <f>' 19.ARRED_HIST_CONSOLIDADO_E_ME'!H83</f>
        <v>90830</v>
      </c>
      <c r="C184" s="238" t="str">
        <f t="shared" si="111"/>
        <v>SINAPI</v>
      </c>
      <c r="D184" s="238" t="s">
        <v>218</v>
      </c>
      <c r="E184" s="239" t="str">
        <f>IFERROR(IF(D184="SINAPI-S",VLOOKUP(B184,'20-B.SINAPI-S'!A:J,2,0),IF(D184="SINAPI-I",VLOOKUP(B184,'20-A.SINAPI-I'!A:G,2,0),IF(D184="COMPOSIÇÕES",VLOOKUP(B184,'11.COMPOSIÇÕES GERAIS'!B:I,2,0),VLOOKUP(B184,'12.COT.MERCADO'!A:I,2,0)))),"Em Elaboração")</f>
        <v>FECHADURA DE EMBUTIR COM CILINDRO, EXTERNA, COMPLETA, ACABAMENTO PADRÃO MÉDIO, INCLUSO EXECUÇÃO DE FURO - FORNECIMENTO E INSTALAÇÃO. AF_12/2019</v>
      </c>
      <c r="F184" s="240" t="str">
        <f>IFERROR(IF(D184="SINAPI-S",VLOOKUP(B184,'20-B.SINAPI-S'!A:J,3,0),IF(D184="SINAPI-I",VLOOKUP(B184,'20-A.SINAPI-I'!A:G,3,0),IF(D184="COMPOSIÇÕES",VLOOKUP(B184,'11.COMPOSIÇÕES GERAIS'!B:I,3,0),VLOOKUP(B184,'12.COT.MERCADO'!A:I,7,0)))),"Em Elaboração")</f>
        <v>UN</v>
      </c>
      <c r="G184" s="244">
        <f>VLOOKUP(B184,' 19.ARRED_HIST_CONSOLIDADO_E_ME'!H:O,8,0)</f>
        <v>6</v>
      </c>
      <c r="H184" s="241">
        <f>IFERROR(IF(D184="SINAPI-S",VLOOKUP(B184,'20-B.SINAPI-S'!A:J,5,0),IF(D184="SINAPI-I",VLOOKUP(B184,'20-A.SINAPI-I'!A:G,6,0),IF(D184="COMPOSIÇÕES",VLOOKUP(B184,'11.COMPOSIÇÕES GERAIS'!B:I,7,0),0))),"Em Elaboração")</f>
        <v>31.85</v>
      </c>
      <c r="I184" s="241">
        <f>IFERROR(IF(D184="SINAPI-S",VLOOKUP(B184,'20-B.SINAPI-S'!A:J,6,0),IF(D184="SINAPI-I",VLOOKUP(B184,'20-A.SINAPI-I'!A:G,7,0),IF(D184="COMPOSIÇÕES",VLOOKUP(B184,'11.COMPOSIÇÕES GERAIS'!B:I,8,0),VLOOKUP(B184,'12.COT.MERCADO'!A:I,8,0)))),"Em Elaboração")</f>
        <v>148.78</v>
      </c>
      <c r="J184" s="241">
        <f t="shared" si="112"/>
        <v>37.38944659</v>
      </c>
      <c r="K184" s="241">
        <f t="shared" si="113"/>
        <v>174.2711596</v>
      </c>
      <c r="L184" s="241">
        <f t="shared" si="114"/>
        <v>211.6606062</v>
      </c>
      <c r="M184" s="241">
        <f t="shared" si="115"/>
        <v>224.3366796</v>
      </c>
      <c r="N184" s="241">
        <f t="shared" si="116"/>
        <v>1045.626957</v>
      </c>
      <c r="O184" s="241">
        <f t="shared" si="117"/>
        <v>1269.963637</v>
      </c>
      <c r="P184" s="242">
        <f t="shared" si="2"/>
        <v>0.0009934598374</v>
      </c>
    </row>
    <row r="185">
      <c r="A185" s="236" t="s">
        <v>309</v>
      </c>
      <c r="B185" s="237">
        <f>' 19.ARRED_HIST_CONSOLIDADO_E_ME'!H84</f>
        <v>102520</v>
      </c>
      <c r="C185" s="238" t="str">
        <f t="shared" si="111"/>
        <v>SINAPI</v>
      </c>
      <c r="D185" s="238" t="s">
        <v>218</v>
      </c>
      <c r="E185" s="239" t="str">
        <f>IFERROR(IF(D185="SINAPI-S",VLOOKUP(B185,'20-B.SINAPI-S'!A:J,2,0),IF(D185="SINAPI-I",VLOOKUP(B185,'20-A.SINAPI-I'!A:G,2,0),IF(D185="COMPOSIÇÕES",VLOOKUP(B185,'11.COMPOSIÇÕES GERAIS'!B:I,2,0),VLOOKUP(B185,'12.COT.MERCADO'!A:I,2,0)))),"Em Elaboração")</f>
        <v>PINTURA DE SINALIZAÇÃO VERTICAL DE SEGURANÇA, FAIXAS AMARELA E PRETA, APLICAÇÃO MANUAL, 2 DEMÃOS. AF_05/2021</v>
      </c>
      <c r="F185" s="240" t="str">
        <f>IFERROR(IF(D185="SINAPI-S",VLOOKUP(B185,'20-B.SINAPI-S'!A:J,3,0),IF(D185="SINAPI-I",VLOOKUP(B185,'20-A.SINAPI-I'!A:G,3,0),IF(D185="COMPOSIÇÕES",VLOOKUP(B185,'11.COMPOSIÇÕES GERAIS'!B:I,3,0),VLOOKUP(B185,'12.COT.MERCADO'!A:I,7,0)))),"Em Elaboração")</f>
        <v>M2</v>
      </c>
      <c r="G185" s="244">
        <f>VLOOKUP(B185,' 19.ARRED_HIST_CONSOLIDADO_E_ME'!H:O,8,0)</f>
        <v>13</v>
      </c>
      <c r="H185" s="241">
        <f>IFERROR(IF(D185="SINAPI-S",VLOOKUP(B185,'20-B.SINAPI-S'!A:J,5,0),IF(D185="SINAPI-I",VLOOKUP(B185,'20-A.SINAPI-I'!A:G,6,0),IF(D185="COMPOSIÇÕES",VLOOKUP(B185,'11.COMPOSIÇÕES GERAIS'!B:I,7,0),0))),"Em Elaboração")</f>
        <v>54.8</v>
      </c>
      <c r="I185" s="241">
        <f>IFERROR(IF(D185="SINAPI-S",VLOOKUP(B185,'20-B.SINAPI-S'!A:J,6,0),IF(D185="SINAPI-I",VLOOKUP(B185,'20-A.SINAPI-I'!A:G,7,0),IF(D185="COMPOSIÇÕES",VLOOKUP(B185,'11.COMPOSIÇÕES GERAIS'!B:I,8,0),VLOOKUP(B185,'12.COT.MERCADO'!A:I,8,0)))),"Em Elaboração")</f>
        <v>36.52</v>
      </c>
      <c r="J185" s="241">
        <f t="shared" si="112"/>
        <v>64.33097876</v>
      </c>
      <c r="K185" s="241">
        <f t="shared" si="113"/>
        <v>42.77713905</v>
      </c>
      <c r="L185" s="241">
        <f t="shared" si="114"/>
        <v>107.1081178</v>
      </c>
      <c r="M185" s="241">
        <f t="shared" si="115"/>
        <v>836.3027238</v>
      </c>
      <c r="N185" s="241">
        <f t="shared" si="116"/>
        <v>556.1028076</v>
      </c>
      <c r="O185" s="241">
        <f t="shared" si="117"/>
        <v>1392.405531</v>
      </c>
      <c r="P185" s="242">
        <f t="shared" si="2"/>
        <v>0.001089242977</v>
      </c>
    </row>
    <row r="186">
      <c r="A186" s="236" t="s">
        <v>310</v>
      </c>
      <c r="B186" s="237">
        <f>' 19.ARRED_HIST_CONSOLIDADO_E_ME'!H85</f>
        <v>90825</v>
      </c>
      <c r="C186" s="238" t="str">
        <f t="shared" si="111"/>
        <v>SINAPI</v>
      </c>
      <c r="D186" s="238" t="s">
        <v>218</v>
      </c>
      <c r="E186" s="239" t="str">
        <f>IFERROR(IF(D186="SINAPI-S",VLOOKUP(B186,'20-B.SINAPI-S'!A:J,2,0),IF(D186="SINAPI-I",VLOOKUP(B186,'20-A.SINAPI-I'!A:G,2,0),IF(D186="COMPOSIÇÕES",VLOOKUP(B186,'11.COMPOSIÇÕES GERAIS'!B:I,2,0),VLOOKUP(B186,'12.COT.MERCADO'!A:I,2,0)))),"Em Elaboração")</f>
        <v>PORTA DE MADEIRA, MACIÇA (PESADA OU SUPERPESADA), 90X210CM, ESPESSURA DE 3,5CM, INCLUSO DOBRADIÇAS - FORNECIMENTO E INSTALAÇÃO. AF_12/2019</v>
      </c>
      <c r="F186" s="240" t="str">
        <f>IFERROR(IF(D186="SINAPI-S",VLOOKUP(B186,'20-B.SINAPI-S'!A:J,3,0),IF(D186="SINAPI-I",VLOOKUP(B186,'20-A.SINAPI-I'!A:G,3,0),IF(D186="COMPOSIÇÕES",VLOOKUP(B186,'11.COMPOSIÇÕES GERAIS'!B:I,3,0),VLOOKUP(B186,'12.COT.MERCADO'!A:I,7,0)))),"Em Elaboração")</f>
        <v>UN</v>
      </c>
      <c r="G186" s="244">
        <f>VLOOKUP(B186,' 19.ARRED_HIST_CONSOLIDADO_E_ME'!H:O,8,0)</f>
        <v>1</v>
      </c>
      <c r="H186" s="241">
        <f>IFERROR(IF(D186="SINAPI-S",VLOOKUP(B186,'20-B.SINAPI-S'!A:J,5,0),IF(D186="SINAPI-I",VLOOKUP(B186,'20-A.SINAPI-I'!A:G,6,0),IF(D186="COMPOSIÇÕES",VLOOKUP(B186,'11.COMPOSIÇÕES GERAIS'!B:I,7,0),0))),"Em Elaboração")</f>
        <v>74.01</v>
      </c>
      <c r="I186" s="241">
        <f>IFERROR(IF(D186="SINAPI-S",VLOOKUP(B186,'20-B.SINAPI-S'!A:J,6,0),IF(D186="SINAPI-I",VLOOKUP(B186,'20-A.SINAPI-I'!A:G,7,0),IF(D186="COMPOSIÇÕES",VLOOKUP(B186,'11.COMPOSIÇÕES GERAIS'!B:I,8,0),VLOOKUP(B186,'12.COT.MERCADO'!A:I,8,0)))),"Em Elaboração")</f>
        <v>596.31</v>
      </c>
      <c r="J186" s="241">
        <f t="shared" si="112"/>
        <v>86.88203901</v>
      </c>
      <c r="K186" s="241">
        <f t="shared" si="113"/>
        <v>698.4785265</v>
      </c>
      <c r="L186" s="241">
        <f t="shared" si="114"/>
        <v>785.3605655</v>
      </c>
      <c r="M186" s="241">
        <f t="shared" si="115"/>
        <v>86.88203901</v>
      </c>
      <c r="N186" s="241">
        <f t="shared" si="116"/>
        <v>698.4785265</v>
      </c>
      <c r="O186" s="241">
        <f t="shared" si="117"/>
        <v>785.3605655</v>
      </c>
      <c r="P186" s="242">
        <f t="shared" si="2"/>
        <v>0.0006143673385</v>
      </c>
    </row>
    <row r="187">
      <c r="A187" s="236" t="s">
        <v>311</v>
      </c>
      <c r="B187" s="237">
        <f>' 19.ARRED_HIST_CONSOLIDADO_E_ME'!H86</f>
        <v>100860</v>
      </c>
      <c r="C187" s="238" t="str">
        <f t="shared" si="111"/>
        <v>SINAPI</v>
      </c>
      <c r="D187" s="238" t="s">
        <v>218</v>
      </c>
      <c r="E187" s="239" t="str">
        <f>IFERROR(IF(D187="SINAPI-S",VLOOKUP(B187,'20-B.SINAPI-S'!A:J,2,0),IF(D187="SINAPI-I",VLOOKUP(B187,'20-A.SINAPI-I'!A:G,2,0),IF(D187="COMPOSIÇÕES",VLOOKUP(B187,'11.COMPOSIÇÕES GERAIS'!B:I,2,0),VLOOKUP(B187,'12.COT.MERCADO'!A:I,2,0)))),"Em Elaboração")</f>
        <v>CHUVEIRO ELÉTRICO COMUM CORPO PLÁSTICO, TIPO DUCHA _x0096_ FORNECIMENTO E INSTALAÇÃO. AF_01/2020</v>
      </c>
      <c r="F187" s="240" t="str">
        <f>IFERROR(IF(D187="SINAPI-S",VLOOKUP(B187,'20-B.SINAPI-S'!A:J,3,0),IF(D187="SINAPI-I",VLOOKUP(B187,'20-A.SINAPI-I'!A:G,3,0),IF(D187="COMPOSIÇÕES",VLOOKUP(B187,'11.COMPOSIÇÕES GERAIS'!B:I,3,0),VLOOKUP(B187,'12.COT.MERCADO'!A:I,7,0)))),"Em Elaboração")</f>
        <v>UN</v>
      </c>
      <c r="G187" s="244">
        <f>VLOOKUP(B187,' 19.ARRED_HIST_CONSOLIDADO_E_ME'!H:O,8,0)</f>
        <v>3</v>
      </c>
      <c r="H187" s="241">
        <f>IFERROR(IF(D187="SINAPI-S",VLOOKUP(B187,'20-B.SINAPI-S'!A:J,5,0),IF(D187="SINAPI-I",VLOOKUP(B187,'20-A.SINAPI-I'!A:G,6,0),IF(D187="COMPOSIÇÕES",VLOOKUP(B187,'11.COMPOSIÇÕES GERAIS'!B:I,7,0),0))),"Em Elaboração")</f>
        <v>13.42</v>
      </c>
      <c r="I187" s="241">
        <f>IFERROR(IF(D187="SINAPI-S",VLOOKUP(B187,'20-B.SINAPI-S'!A:J,6,0),IF(D187="SINAPI-I",VLOOKUP(B187,'20-A.SINAPI-I'!A:G,7,0),IF(D187="COMPOSIÇÕES",VLOOKUP(B187,'11.COMPOSIÇÕES GERAIS'!B:I,8,0),VLOOKUP(B187,'12.COT.MERCADO'!A:I,8,0)))),"Em Elaboração")</f>
        <v>89.93</v>
      </c>
      <c r="J187" s="241">
        <f t="shared" si="112"/>
        <v>15.75404626</v>
      </c>
      <c r="K187" s="241">
        <f t="shared" si="113"/>
        <v>105.3381192</v>
      </c>
      <c r="L187" s="241">
        <f t="shared" si="114"/>
        <v>121.0921655</v>
      </c>
      <c r="M187" s="241">
        <f t="shared" si="115"/>
        <v>47.26213877</v>
      </c>
      <c r="N187" s="241">
        <f t="shared" si="116"/>
        <v>316.0143577</v>
      </c>
      <c r="O187" s="241">
        <f t="shared" si="117"/>
        <v>363.2764965</v>
      </c>
      <c r="P187" s="242">
        <f t="shared" si="2"/>
        <v>0.0002841818448</v>
      </c>
    </row>
    <row r="188">
      <c r="A188" s="236" t="s">
        <v>312</v>
      </c>
      <c r="B188" s="237" t="str">
        <f>' 19.ARRED_HIST_CONSOLIDADO_E_ME'!H87</f>
        <v>MAN_PR_023</v>
      </c>
      <c r="C188" s="238" t="str">
        <f t="shared" si="111"/>
        <v>PRÓPRIO</v>
      </c>
      <c r="D188" s="243" t="s">
        <v>230</v>
      </c>
      <c r="E188" s="239" t="str">
        <f>IFERROR(IF(D188="SINAPI-S",VLOOKUP(B188,'20-B.SINAPI-S'!A:J,2,0),IF(D188="SINAPI-I",VLOOKUP(B188,'20-A.SINAPI-I'!A:G,2,0),IF(D188="COMPOSIÇÕES",VLOOKUP(B188,'11.COMPOSIÇÕES GERAIS'!B:I,2,0),VLOOKUP(B188,'12.COT.MERCADO'!A:I,2,0)))),"Em Elaboração")</f>
        <v>RETIRADA E RECOLOCAÇÃO DE PORTA DE DIVISÓRIA, UM MÓDULO</v>
      </c>
      <c r="F188" s="240" t="str">
        <f>IFERROR(IF(D188="SINAPI-S",VLOOKUP(B188,'20-B.SINAPI-S'!A:J,3,0),IF(D188="SINAPI-I",VLOOKUP(B188,'20-A.SINAPI-I'!A:G,3,0),IF(D188="COMPOSIÇÕES",VLOOKUP(B188,'11.COMPOSIÇÕES GERAIS'!B:I,3,0),VLOOKUP(B188,'12.COT.MERCADO'!A:I,7,0)))),"Em Elaboração")</f>
        <v>UN</v>
      </c>
      <c r="G188" s="244">
        <f>VLOOKUP(B188,' 19.ARRED_HIST_CONSOLIDADO_E_ME'!H:O,8,0)</f>
        <v>1</v>
      </c>
      <c r="H188" s="241">
        <f>IFERROR(IF(D188="SINAPI-S",VLOOKUP(B188,'20-B.SINAPI-S'!A:J,5,0),IF(D188="SINAPI-I",VLOOKUP(B188,'20-A.SINAPI-I'!A:G,6,0),IF(D188="COMPOSIÇÕES",VLOOKUP(B188,'11.COMPOSIÇÕES GERAIS'!B:I,7,0),0))),"Em Elaboração")</f>
        <v>91.87668</v>
      </c>
      <c r="I188" s="241">
        <f>IFERROR(IF(D188="SINAPI-S",VLOOKUP(B188,'20-B.SINAPI-S'!A:J,6,0),IF(D188="SINAPI-I",VLOOKUP(B188,'20-A.SINAPI-I'!A:G,7,0),IF(D188="COMPOSIÇÕES",VLOOKUP(B188,'11.COMPOSIÇÕES GERAIS'!B:I,8,0),VLOOKUP(B188,'12.COT.MERCADO'!A:I,8,0)))),"Em Elaboração")</f>
        <v>34.90452</v>
      </c>
      <c r="J188" s="241">
        <f t="shared" si="112"/>
        <v>107.8561451</v>
      </c>
      <c r="K188" s="241">
        <f t="shared" si="113"/>
        <v>40.88487145</v>
      </c>
      <c r="L188" s="241">
        <f t="shared" si="114"/>
        <v>148.7410165</v>
      </c>
      <c r="M188" s="241">
        <f t="shared" si="115"/>
        <v>107.8561451</v>
      </c>
      <c r="N188" s="241">
        <f t="shared" si="116"/>
        <v>40.88487145</v>
      </c>
      <c r="O188" s="241">
        <f t="shared" si="117"/>
        <v>148.7410165</v>
      </c>
      <c r="P188" s="242">
        <f t="shared" si="2"/>
        <v>0.0001163562655</v>
      </c>
    </row>
    <row r="189">
      <c r="A189" s="236" t="s">
        <v>313</v>
      </c>
      <c r="B189" s="237">
        <f>' 19.ARRED_HIST_CONSOLIDADO_E_ME'!H88</f>
        <v>101903</v>
      </c>
      <c r="C189" s="238" t="str">
        <f t="shared" si="111"/>
        <v>SINAPI</v>
      </c>
      <c r="D189" s="238" t="s">
        <v>218</v>
      </c>
      <c r="E189" s="239" t="str">
        <f>IFERROR(IF(D189="SINAPI-S",VLOOKUP(B189,'20-B.SINAPI-S'!A:J,2,0),IF(D189="SINAPI-I",VLOOKUP(B189,'20-A.SINAPI-I'!A:G,2,0),IF(D189="COMPOSIÇÕES",VLOOKUP(B189,'11.COMPOSIÇÕES GERAIS'!B:I,2,0),VLOOKUP(B189,'12.COT.MERCADO'!A:I,2,0)))),"Em Elaboração")</f>
        <v>CONTATOR TRIPOLAR I NOMINAL 38A - FORNECIMENTO E INSTALAÇÃO. AF_10/2020</v>
      </c>
      <c r="F189" s="240" t="str">
        <f>IFERROR(IF(D189="SINAPI-S",VLOOKUP(B189,'20-B.SINAPI-S'!A:J,3,0),IF(D189="SINAPI-I",VLOOKUP(B189,'20-A.SINAPI-I'!A:G,3,0),IF(D189="COMPOSIÇÕES",VLOOKUP(B189,'11.COMPOSIÇÕES GERAIS'!B:I,3,0),VLOOKUP(B189,'12.COT.MERCADO'!A:I,7,0)))),"Em Elaboração")</f>
        <v>UN</v>
      </c>
      <c r="G189" s="244">
        <f>VLOOKUP(B189,' 19.ARRED_HIST_CONSOLIDADO_E_ME'!H:O,8,0)</f>
        <v>2</v>
      </c>
      <c r="H189" s="241">
        <f>IFERROR(IF(D189="SINAPI-S",VLOOKUP(B189,'20-B.SINAPI-S'!A:J,5,0),IF(D189="SINAPI-I",VLOOKUP(B189,'20-A.SINAPI-I'!A:G,6,0),IF(D189="COMPOSIÇÕES",VLOOKUP(B189,'11.COMPOSIÇÕES GERAIS'!B:I,7,0),0))),"Em Elaboração")</f>
        <v>17.95</v>
      </c>
      <c r="I189" s="241">
        <f>IFERROR(IF(D189="SINAPI-S",VLOOKUP(B189,'20-B.SINAPI-S'!A:J,6,0),IF(D189="SINAPI-I",VLOOKUP(B189,'20-A.SINAPI-I'!A:G,7,0),IF(D189="COMPOSIÇÕES",VLOOKUP(B189,'11.COMPOSIÇÕES GERAIS'!B:I,8,0),VLOOKUP(B189,'12.COT.MERCADO'!A:I,8,0)))),"Em Elaboração")</f>
        <v>287.52</v>
      </c>
      <c r="J189" s="241">
        <f t="shared" si="112"/>
        <v>21.07191731</v>
      </c>
      <c r="K189" s="241">
        <f t="shared" si="113"/>
        <v>336.7821199</v>
      </c>
      <c r="L189" s="241">
        <f t="shared" si="114"/>
        <v>357.8540372</v>
      </c>
      <c r="M189" s="241">
        <f t="shared" si="115"/>
        <v>42.14383462</v>
      </c>
      <c r="N189" s="241">
        <f t="shared" si="116"/>
        <v>673.5642398</v>
      </c>
      <c r="O189" s="241">
        <f t="shared" si="117"/>
        <v>715.7080745</v>
      </c>
      <c r="P189" s="242">
        <f t="shared" si="2"/>
        <v>0.0005598799891</v>
      </c>
    </row>
    <row r="190">
      <c r="A190" s="236" t="s">
        <v>314</v>
      </c>
      <c r="B190" s="237">
        <f>' 19.ARRED_HIST_CONSOLIDADO_E_ME'!H89</f>
        <v>92008</v>
      </c>
      <c r="C190" s="238" t="str">
        <f t="shared" si="111"/>
        <v>SINAPI</v>
      </c>
      <c r="D190" s="238" t="s">
        <v>218</v>
      </c>
      <c r="E190" s="239" t="str">
        <f>IFERROR(IF(D190="SINAPI-S",VLOOKUP(B190,'20-B.SINAPI-S'!A:J,2,0),IF(D190="SINAPI-I",VLOOKUP(B190,'20-A.SINAPI-I'!A:G,2,0),IF(D190="COMPOSIÇÕES",VLOOKUP(B190,'11.COMPOSIÇÕES GERAIS'!B:I,2,0),VLOOKUP(B190,'12.COT.MERCADO'!A:I,2,0)))),"Em Elaboração")</f>
        <v>TOMADA BAIXA DE EMBUTIR (2 MÓDULOS), 2P+T 10 A, INCLUINDO SUPORTE E PLACA - FORNECIMENTO E INSTALAÇÃO. AF_03/2023</v>
      </c>
      <c r="F190" s="240" t="str">
        <f>IFERROR(IF(D190="SINAPI-S",VLOOKUP(B190,'20-B.SINAPI-S'!A:J,3,0),IF(D190="SINAPI-I",VLOOKUP(B190,'20-A.SINAPI-I'!A:G,3,0),IF(D190="COMPOSIÇÕES",VLOOKUP(B190,'11.COMPOSIÇÕES GERAIS'!B:I,3,0),VLOOKUP(B190,'12.COT.MERCADO'!A:I,7,0)))),"Em Elaboração")</f>
        <v>UN</v>
      </c>
      <c r="G190" s="244">
        <f>VLOOKUP(B190,' 19.ARRED_HIST_CONSOLIDADO_E_ME'!H:O,8,0)</f>
        <v>3</v>
      </c>
      <c r="H190" s="241">
        <f>IFERROR(IF(D190="SINAPI-S",VLOOKUP(B190,'20-B.SINAPI-S'!A:J,5,0),IF(D190="SINAPI-I",VLOOKUP(B190,'20-A.SINAPI-I'!A:G,6,0),IF(D190="COMPOSIÇÕES",VLOOKUP(B190,'11.COMPOSIÇÕES GERAIS'!B:I,7,0),0))),"Em Elaboração")</f>
        <v>24.35</v>
      </c>
      <c r="I190" s="241">
        <f>IFERROR(IF(D190="SINAPI-S",VLOOKUP(B190,'20-B.SINAPI-S'!A:J,6,0),IF(D190="SINAPI-I",VLOOKUP(B190,'20-A.SINAPI-I'!A:G,7,0),IF(D190="COMPOSIÇÕES",VLOOKUP(B190,'11.COMPOSIÇÕES GERAIS'!B:I,8,0),VLOOKUP(B190,'12.COT.MERCADO'!A:I,8,0)))),"Em Elaboração")</f>
        <v>30.2</v>
      </c>
      <c r="J190" s="241">
        <f t="shared" si="112"/>
        <v>28.58502432</v>
      </c>
      <c r="K190" s="241">
        <f t="shared" si="113"/>
        <v>35.37430447</v>
      </c>
      <c r="L190" s="241">
        <f t="shared" si="114"/>
        <v>63.95932879</v>
      </c>
      <c r="M190" s="241">
        <f t="shared" si="115"/>
        <v>85.75507296</v>
      </c>
      <c r="N190" s="241">
        <f t="shared" si="116"/>
        <v>106.1229134</v>
      </c>
      <c r="O190" s="241">
        <f t="shared" si="117"/>
        <v>191.8779864</v>
      </c>
      <c r="P190" s="242">
        <f t="shared" si="2"/>
        <v>0.0001501012057</v>
      </c>
    </row>
    <row r="191">
      <c r="A191" s="236" t="s">
        <v>315</v>
      </c>
      <c r="B191" s="237">
        <f>' 19.ARRED_HIST_CONSOLIDADO_E_ME'!H90</f>
        <v>98307</v>
      </c>
      <c r="C191" s="238" t="str">
        <f t="shared" si="111"/>
        <v>SINAPI</v>
      </c>
      <c r="D191" s="238" t="s">
        <v>218</v>
      </c>
      <c r="E191" s="239" t="str">
        <f>IFERROR(IF(D191="SINAPI-S",VLOOKUP(B191,'20-B.SINAPI-S'!A:J,2,0),IF(D191="SINAPI-I",VLOOKUP(B191,'20-A.SINAPI-I'!A:G,2,0),IF(D191="COMPOSIÇÕES",VLOOKUP(B191,'11.COMPOSIÇÕES GERAIS'!B:I,2,0),VLOOKUP(B191,'12.COT.MERCADO'!A:I,2,0)))),"Em Elaboração")</f>
        <v>TOMADA DE REDE RJ45 - FORNECIMENTO E INSTALAÇÃO. AF_11/2019</v>
      </c>
      <c r="F191" s="240" t="str">
        <f>IFERROR(IF(D191="SINAPI-S",VLOOKUP(B191,'20-B.SINAPI-S'!A:J,3,0),IF(D191="SINAPI-I",VLOOKUP(B191,'20-A.SINAPI-I'!A:G,3,0),IF(D191="COMPOSIÇÕES",VLOOKUP(B191,'11.COMPOSIÇÕES GERAIS'!B:I,3,0),VLOOKUP(B191,'12.COT.MERCADO'!A:I,7,0)))),"Em Elaboração")</f>
        <v>UN</v>
      </c>
      <c r="G191" s="244">
        <f>VLOOKUP(B191,' 19.ARRED_HIST_CONSOLIDADO_E_ME'!H:O,8,0)</f>
        <v>1</v>
      </c>
      <c r="H191" s="241">
        <f>IFERROR(IF(D191="SINAPI-S",VLOOKUP(B191,'20-B.SINAPI-S'!A:J,5,0),IF(D191="SINAPI-I",VLOOKUP(B191,'20-A.SINAPI-I'!A:G,6,0),IF(D191="COMPOSIÇÕES",VLOOKUP(B191,'11.COMPOSIÇÕES GERAIS'!B:I,7,0),0))),"Em Elaboração")</f>
        <v>9.12</v>
      </c>
      <c r="I191" s="241">
        <f>IFERROR(IF(D191="SINAPI-S",VLOOKUP(B191,'20-B.SINAPI-S'!A:J,6,0),IF(D191="SINAPI-I",VLOOKUP(B191,'20-A.SINAPI-I'!A:G,7,0),IF(D191="COMPOSIÇÕES",VLOOKUP(B191,'11.COMPOSIÇÕES GERAIS'!B:I,8,0),VLOOKUP(B191,'12.COT.MERCADO'!A:I,8,0)))),"Em Elaboração")</f>
        <v>41.76</v>
      </c>
      <c r="J191" s="241">
        <f t="shared" si="112"/>
        <v>10.70617749</v>
      </c>
      <c r="K191" s="241">
        <f t="shared" si="113"/>
        <v>48.91493228</v>
      </c>
      <c r="L191" s="241">
        <f t="shared" si="114"/>
        <v>59.62110976</v>
      </c>
      <c r="M191" s="241">
        <f t="shared" si="115"/>
        <v>10.70617749</v>
      </c>
      <c r="N191" s="241">
        <f t="shared" si="116"/>
        <v>48.91493228</v>
      </c>
      <c r="O191" s="241">
        <f t="shared" si="117"/>
        <v>59.62110976</v>
      </c>
      <c r="P191" s="242">
        <f t="shared" si="2"/>
        <v>0.00004664005825</v>
      </c>
    </row>
    <row r="192">
      <c r="A192" s="236" t="s">
        <v>316</v>
      </c>
      <c r="B192" s="237">
        <f>' 19.ARRED_HIST_CONSOLIDADO_E_ME'!H91</f>
        <v>94991</v>
      </c>
      <c r="C192" s="238" t="str">
        <f t="shared" si="111"/>
        <v>SINAPI</v>
      </c>
      <c r="D192" s="238" t="s">
        <v>218</v>
      </c>
      <c r="E192" s="239" t="str">
        <f>IFERROR(IF(D192="SINAPI-S",VLOOKUP(B192,'20-B.SINAPI-S'!A:J,2,0),IF(D192="SINAPI-I",VLOOKUP(B192,'20-A.SINAPI-I'!A:G,2,0),IF(D192="COMPOSIÇÕES",VLOOKUP(B192,'11.COMPOSIÇÕES GERAIS'!B:I,2,0),VLOOKUP(B192,'12.COT.MERCADO'!A:I,2,0)))),"Em Elaboração")</f>
        <v>EXECUÇÃO DE PASSEIO (CALÇADA) OU PISO DE CONCRETO COM CONCRETO MOLDADO IN LOCO, USINADO C20, ACABAMENTO CONVENCIONAL, NÃO ARMADO. AF_08/2022</v>
      </c>
      <c r="F192" s="240" t="str">
        <f>IFERROR(IF(D192="SINAPI-S",VLOOKUP(B192,'20-B.SINAPI-S'!A:J,3,0),IF(D192="SINAPI-I",VLOOKUP(B192,'20-A.SINAPI-I'!A:G,3,0),IF(D192="COMPOSIÇÕES",VLOOKUP(B192,'11.COMPOSIÇÕES GERAIS'!B:I,3,0),VLOOKUP(B192,'12.COT.MERCADO'!A:I,7,0)))),"Em Elaboração")</f>
        <v>M3</v>
      </c>
      <c r="G192" s="244">
        <f>VLOOKUP(B192,' 19.ARRED_HIST_CONSOLIDADO_E_ME'!H:O,8,0)</f>
        <v>1</v>
      </c>
      <c r="H192" s="241">
        <f>IFERROR(IF(D192="SINAPI-S",VLOOKUP(B192,'20-B.SINAPI-S'!A:J,5,0),IF(D192="SINAPI-I",VLOOKUP(B192,'20-A.SINAPI-I'!A:G,6,0),IF(D192="COMPOSIÇÕES",VLOOKUP(B192,'11.COMPOSIÇÕES GERAIS'!B:I,7,0),0))),"Em Elaboração")</f>
        <v>74.64</v>
      </c>
      <c r="I192" s="241">
        <f>IFERROR(IF(D192="SINAPI-S",VLOOKUP(B192,'20-B.SINAPI-S'!A:J,6,0),IF(D192="SINAPI-I",VLOOKUP(B192,'20-A.SINAPI-I'!A:G,7,0),IF(D192="COMPOSIÇÕES",VLOOKUP(B192,'11.COMPOSIÇÕES GERAIS'!B:I,8,0),VLOOKUP(B192,'12.COT.MERCADO'!A:I,8,0)))),"Em Elaboração")</f>
        <v>550.77</v>
      </c>
      <c r="J192" s="241">
        <f t="shared" si="112"/>
        <v>87.62161048</v>
      </c>
      <c r="K192" s="241">
        <f t="shared" si="113"/>
        <v>645.1359495</v>
      </c>
      <c r="L192" s="241">
        <f t="shared" si="114"/>
        <v>732.7575599</v>
      </c>
      <c r="M192" s="241">
        <f t="shared" si="115"/>
        <v>87.62161048</v>
      </c>
      <c r="N192" s="241">
        <f t="shared" si="116"/>
        <v>645.1359495</v>
      </c>
      <c r="O192" s="241">
        <f t="shared" si="117"/>
        <v>732.7575599</v>
      </c>
      <c r="P192" s="242">
        <f t="shared" si="2"/>
        <v>0.0005732173624</v>
      </c>
    </row>
    <row r="193">
      <c r="A193" s="236" t="s">
        <v>317</v>
      </c>
      <c r="B193" s="237" t="str">
        <f>' 19.ARRED_HIST_CONSOLIDADO_E_ME'!H92</f>
        <v>MAN_PR_024</v>
      </c>
      <c r="C193" s="238" t="str">
        <f t="shared" si="111"/>
        <v>PRÓPRIO</v>
      </c>
      <c r="D193" s="243" t="s">
        <v>230</v>
      </c>
      <c r="E193" s="239" t="str">
        <f>IFERROR(IF(D193="SINAPI-S",VLOOKUP(B193,'20-B.SINAPI-S'!A:J,2,0),IF(D193="SINAPI-I",VLOOKUP(B193,'20-A.SINAPI-I'!A:G,2,0),IF(D193="COMPOSIÇÕES",VLOOKUP(B193,'11.COMPOSIÇÕES GERAIS'!B:I,2,0),VLOOKUP(B193,'12.COT.MERCADO'!A:I,2,0)))),"Em Elaboração")</f>
        <v>VERIFICAÇÃO DE VAZAMENTO EM INSTALAÇÕES INTERNAS POR RAMAL</v>
      </c>
      <c r="F193" s="240" t="str">
        <f>IFERROR(IF(D193="SINAPI-S",VLOOKUP(B193,'20-B.SINAPI-S'!A:J,3,0),IF(D193="SINAPI-I",VLOOKUP(B193,'20-A.SINAPI-I'!A:G,3,0),IF(D193="COMPOSIÇÕES",VLOOKUP(B193,'11.COMPOSIÇÕES GERAIS'!B:I,3,0),VLOOKUP(B193,'12.COT.MERCADO'!A:I,7,0)))),"Em Elaboração")</f>
        <v>UN</v>
      </c>
      <c r="G193" s="244">
        <f>VLOOKUP(B193,' 19.ARRED_HIST_CONSOLIDADO_E_ME'!H:O,8,0)</f>
        <v>1</v>
      </c>
      <c r="H193" s="241">
        <f>IFERROR(IF(D193="SINAPI-S",VLOOKUP(B193,'20-B.SINAPI-S'!A:J,5,0),IF(D193="SINAPI-I",VLOOKUP(B193,'20-A.SINAPI-I'!A:G,6,0),IF(D193="COMPOSIÇÕES",VLOOKUP(B193,'11.COMPOSIÇÕES GERAIS'!B:I,7,0),0))),"Em Elaboração")</f>
        <v>23.155886</v>
      </c>
      <c r="I193" s="241">
        <f>IFERROR(IF(D193="SINAPI-S",VLOOKUP(B193,'20-B.SINAPI-S'!A:J,6,0),IF(D193="SINAPI-I",VLOOKUP(B193,'20-A.SINAPI-I'!A:G,7,0),IF(D193="COMPOSIÇÕES",VLOOKUP(B193,'11.COMPOSIÇÕES GERAIS'!B:I,8,0),VLOOKUP(B193,'12.COT.MERCADO'!A:I,8,0)))),"Em Elaboração")</f>
        <v>7.668854</v>
      </c>
      <c r="J193" s="241">
        <f t="shared" si="112"/>
        <v>27.18322647</v>
      </c>
      <c r="K193" s="241">
        <f t="shared" si="113"/>
        <v>8.982793919</v>
      </c>
      <c r="L193" s="241">
        <f t="shared" si="114"/>
        <v>36.16602038</v>
      </c>
      <c r="M193" s="241">
        <f t="shared" si="115"/>
        <v>27.18322647</v>
      </c>
      <c r="N193" s="241">
        <f t="shared" si="116"/>
        <v>8.982793919</v>
      </c>
      <c r="O193" s="241">
        <f t="shared" si="117"/>
        <v>36.16602038</v>
      </c>
      <c r="P193" s="242">
        <f t="shared" si="2"/>
        <v>0.00002829174607</v>
      </c>
    </row>
    <row r="194">
      <c r="A194" s="236" t="s">
        <v>318</v>
      </c>
      <c r="B194" s="237">
        <f>' 19.ARRED_HIST_CONSOLIDADO_E_ME'!H93</f>
        <v>91928</v>
      </c>
      <c r="C194" s="238" t="str">
        <f t="shared" si="111"/>
        <v>SINAPI</v>
      </c>
      <c r="D194" s="238" t="s">
        <v>218</v>
      </c>
      <c r="E194" s="239" t="str">
        <f>IFERROR(IF(D194="SINAPI-S",VLOOKUP(B194,'20-B.SINAPI-S'!A:J,2,0),IF(D194="SINAPI-I",VLOOKUP(B194,'20-A.SINAPI-I'!A:G,2,0),IF(D194="COMPOSIÇÕES",VLOOKUP(B194,'11.COMPOSIÇÕES GERAIS'!B:I,2,0),VLOOKUP(B194,'12.COT.MERCADO'!A:I,2,0)))),"Em Elaboração")</f>
        <v>CABO DE COBRE FLEXÍVEL ISOLADO, 4 MM², ANTI-CHAMA 450/750 V, PARA CIRCUITOS TERMINAIS - FORNECIMENTO E INSTALAÇÃO. AF_03/2023</v>
      </c>
      <c r="F194" s="240" t="str">
        <f>IFERROR(IF(D194="SINAPI-S",VLOOKUP(B194,'20-B.SINAPI-S'!A:J,3,0),IF(D194="SINAPI-I",VLOOKUP(B194,'20-A.SINAPI-I'!A:G,3,0),IF(D194="COMPOSIÇÕES",VLOOKUP(B194,'11.COMPOSIÇÕES GERAIS'!B:I,3,0),VLOOKUP(B194,'12.COT.MERCADO'!A:I,7,0)))),"Em Elaboração")</f>
        <v>M</v>
      </c>
      <c r="G194" s="244">
        <f>VLOOKUP(B194,' 19.ARRED_HIST_CONSOLIDADO_E_ME'!H:O,8,0)</f>
        <v>26</v>
      </c>
      <c r="H194" s="241">
        <f>IFERROR(IF(D194="SINAPI-S",VLOOKUP(B194,'20-B.SINAPI-S'!A:J,5,0),IF(D194="SINAPI-I",VLOOKUP(B194,'20-A.SINAPI-I'!A:G,6,0),IF(D194="COMPOSIÇÕES",VLOOKUP(B194,'11.COMPOSIÇÕES GERAIS'!B:I,7,0),0))),"Em Elaboração")</f>
        <v>1.72</v>
      </c>
      <c r="I194" s="241">
        <f>IFERROR(IF(D194="SINAPI-S",VLOOKUP(B194,'20-B.SINAPI-S'!A:J,6,0),IF(D194="SINAPI-I",VLOOKUP(B194,'20-A.SINAPI-I'!A:G,7,0),IF(D194="COMPOSIÇÕES",VLOOKUP(B194,'11.COMPOSIÇÕES GERAIS'!B:I,8,0),VLOOKUP(B194,'12.COT.MERCADO'!A:I,8,0)))),"Em Elaboração")</f>
        <v>5.11</v>
      </c>
      <c r="J194" s="241">
        <f t="shared" si="112"/>
        <v>2.019147508</v>
      </c>
      <c r="K194" s="241">
        <f t="shared" si="113"/>
        <v>5.98551973</v>
      </c>
      <c r="L194" s="241">
        <f t="shared" si="114"/>
        <v>8.004667238</v>
      </c>
      <c r="M194" s="241">
        <f t="shared" si="115"/>
        <v>52.49783522</v>
      </c>
      <c r="N194" s="241">
        <f t="shared" si="116"/>
        <v>155.623513</v>
      </c>
      <c r="O194" s="241">
        <f t="shared" si="117"/>
        <v>208.1213482</v>
      </c>
      <c r="P194" s="242">
        <f t="shared" si="2"/>
        <v>0.0001628079692</v>
      </c>
    </row>
    <row r="195">
      <c r="A195" s="236" t="s">
        <v>319</v>
      </c>
      <c r="B195" s="237">
        <f>' 19.ARRED_HIST_CONSOLIDADO_E_ME'!H94</f>
        <v>104480</v>
      </c>
      <c r="C195" s="238" t="str">
        <f t="shared" si="111"/>
        <v>SINAPI</v>
      </c>
      <c r="D195" s="238" t="s">
        <v>218</v>
      </c>
      <c r="E195" s="239" t="str">
        <f>IFERROR(IF(D195="SINAPI-S",VLOOKUP(B195,'20-B.SINAPI-S'!A:J,2,0),IF(D195="SINAPI-I",VLOOKUP(B195,'20-A.SINAPI-I'!A:G,2,0),IF(D195="COMPOSIÇÕES",VLOOKUP(B195,'11.COMPOSIÇÕES GERAIS'!B:I,2,0),VLOOKUP(B195,'12.COT.MERCADO'!A:I,2,0)))),"Em Elaboração")</f>
        <v>COMPOSIÇÃO PARAMÉTRICA DE PONTO ELÉTRICO DE TOMADA DE USO ESPECÍFICO 2P+T (20A/250V) EM EDIFÍCIO RESIDENCIAL COM ELETRODUTO EMBUTIDO SEM NECESSIDADE DE RASGOS, INCLUSO TOMADA, ELETRODUTO, CABO E QUEBRA (EXCETO CHUVEIRO). AF_11/2022</v>
      </c>
      <c r="F195" s="240" t="str">
        <f>IFERROR(IF(D195="SINAPI-S",VLOOKUP(B195,'20-B.SINAPI-S'!A:J,3,0),IF(D195="SINAPI-I",VLOOKUP(B195,'20-A.SINAPI-I'!A:G,3,0),IF(D195="COMPOSIÇÕES",VLOOKUP(B195,'11.COMPOSIÇÕES GERAIS'!B:I,3,0),VLOOKUP(B195,'12.COT.MERCADO'!A:I,7,0)))),"Em Elaboração")</f>
        <v>UN</v>
      </c>
      <c r="G195" s="244">
        <f>VLOOKUP(B195,' 19.ARRED_HIST_CONSOLIDADO_E_ME'!H:O,8,0)</f>
        <v>1</v>
      </c>
      <c r="H195" s="241">
        <f>IFERROR(IF(D195="SINAPI-S",VLOOKUP(B195,'20-B.SINAPI-S'!A:J,5,0),IF(D195="SINAPI-I",VLOOKUP(B195,'20-A.SINAPI-I'!A:G,6,0),IF(D195="COMPOSIÇÕES",VLOOKUP(B195,'11.COMPOSIÇÕES GERAIS'!B:I,7,0),0))),"Em Elaboração")</f>
        <v>66.35</v>
      </c>
      <c r="I195" s="241">
        <f>IFERROR(IF(D195="SINAPI-S",VLOOKUP(B195,'20-B.SINAPI-S'!A:J,6,0),IF(D195="SINAPI-I",VLOOKUP(B195,'20-A.SINAPI-I'!A:G,7,0),IF(D195="COMPOSIÇÕES",VLOOKUP(B195,'11.COMPOSIÇÕES GERAIS'!B:I,8,0),VLOOKUP(B195,'12.COT.MERCADO'!A:I,8,0)))),"Em Elaboração")</f>
        <v>89.31</v>
      </c>
      <c r="J195" s="241">
        <f t="shared" si="112"/>
        <v>77.88978906</v>
      </c>
      <c r="K195" s="241">
        <f t="shared" si="113"/>
        <v>104.6118918</v>
      </c>
      <c r="L195" s="241">
        <f t="shared" si="114"/>
        <v>182.5016809</v>
      </c>
      <c r="M195" s="241">
        <f t="shared" si="115"/>
        <v>77.88978906</v>
      </c>
      <c r="N195" s="241">
        <f t="shared" si="116"/>
        <v>104.6118918</v>
      </c>
      <c r="O195" s="241">
        <f t="shared" si="117"/>
        <v>182.5016809</v>
      </c>
      <c r="P195" s="242">
        <f t="shared" si="2"/>
        <v>0.0001427663635</v>
      </c>
    </row>
    <row r="196">
      <c r="A196" s="236" t="s">
        <v>320</v>
      </c>
      <c r="B196" s="237">
        <f>' 19.ARRED_HIST_CONSOLIDADO_E_ME'!H95</f>
        <v>103307</v>
      </c>
      <c r="C196" s="238" t="str">
        <f t="shared" si="111"/>
        <v>SINAPI</v>
      </c>
      <c r="D196" s="238" t="s">
        <v>218</v>
      </c>
      <c r="E196" s="239" t="str">
        <f>IFERROR(IF(D196="SINAPI-S",VLOOKUP(B196,'20-B.SINAPI-S'!A:J,2,0),IF(D196="SINAPI-I",VLOOKUP(B196,'20-A.SINAPI-I'!A:G,2,0),IF(D196="COMPOSIÇÕES",VLOOKUP(B196,'11.COMPOSIÇÕES GERAIS'!B:I,2,0),VLOOKUP(B196,'12.COT.MERCADO'!A:I,2,0)))),"Em Elaboração")</f>
        <v>INSTALAÇÃO DE LIXEIRA METÁLICA DUPLA, CAPACIDADE DE 60 L, EM TUBO DE AÇO CARBONO E CESTOS EM CHAPA DE AÇO COM PINTURA ELETROSTÁTICA, SOBRE PISO DE CONCRETO EXISTENTE. AF_11/2021</v>
      </c>
      <c r="F196" s="240" t="str">
        <f>IFERROR(IF(D196="SINAPI-S",VLOOKUP(B196,'20-B.SINAPI-S'!A:J,3,0),IF(D196="SINAPI-I",VLOOKUP(B196,'20-A.SINAPI-I'!A:G,3,0),IF(D196="COMPOSIÇÕES",VLOOKUP(B196,'11.COMPOSIÇÕES GERAIS'!B:I,3,0),VLOOKUP(B196,'12.COT.MERCADO'!A:I,7,0)))),"Em Elaboração")</f>
        <v>UN</v>
      </c>
      <c r="G196" s="244">
        <f>VLOOKUP(B196,' 19.ARRED_HIST_CONSOLIDADO_E_ME'!H:O,8,0)</f>
        <v>2</v>
      </c>
      <c r="H196" s="241">
        <f>IFERROR(IF(D196="SINAPI-S",VLOOKUP(B196,'20-B.SINAPI-S'!A:J,5,0),IF(D196="SINAPI-I",VLOOKUP(B196,'20-A.SINAPI-I'!A:G,6,0),IF(D196="COMPOSIÇÕES",VLOOKUP(B196,'11.COMPOSIÇÕES GERAIS'!B:I,7,0),0))),"Em Elaboração")</f>
        <v>76.14</v>
      </c>
      <c r="I196" s="241">
        <f>IFERROR(IF(D196="SINAPI-S",VLOOKUP(B196,'20-B.SINAPI-S'!A:J,6,0),IF(D196="SINAPI-I",VLOOKUP(B196,'20-A.SINAPI-I'!A:G,7,0),IF(D196="COMPOSIÇÕES",VLOOKUP(B196,'11.COMPOSIÇÕES GERAIS'!B:I,8,0),VLOOKUP(B196,'12.COT.MERCADO'!A:I,8,0)))),"Em Elaboração")</f>
        <v>1274.1</v>
      </c>
      <c r="J196" s="241">
        <f t="shared" si="112"/>
        <v>89.38249494</v>
      </c>
      <c r="K196" s="241">
        <f t="shared" si="113"/>
        <v>1492.397395</v>
      </c>
      <c r="L196" s="241">
        <f t="shared" si="114"/>
        <v>1581.77989</v>
      </c>
      <c r="M196" s="241">
        <f t="shared" si="115"/>
        <v>178.7649899</v>
      </c>
      <c r="N196" s="241">
        <f t="shared" si="116"/>
        <v>2984.79479</v>
      </c>
      <c r="O196" s="241">
        <f t="shared" si="117"/>
        <v>3163.55978</v>
      </c>
      <c r="P196" s="242">
        <f t="shared" si="2"/>
        <v>0.002474771319</v>
      </c>
    </row>
    <row r="197">
      <c r="A197" s="236" t="s">
        <v>321</v>
      </c>
      <c r="B197" s="237">
        <f>' 19.ARRED_HIST_CONSOLIDADO_E_ME'!H96</f>
        <v>97585</v>
      </c>
      <c r="C197" s="238" t="str">
        <f t="shared" si="111"/>
        <v>SINAPI</v>
      </c>
      <c r="D197" s="238" t="s">
        <v>218</v>
      </c>
      <c r="E197" s="239" t="str">
        <f>IFERROR(IF(D197="SINAPI-S",VLOOKUP(B197,'20-B.SINAPI-S'!A:J,2,0),IF(D197="SINAPI-I",VLOOKUP(B197,'20-A.SINAPI-I'!A:G,2,0),IF(D197="COMPOSIÇÕES",VLOOKUP(B197,'11.COMPOSIÇÕES GERAIS'!B:I,2,0),VLOOKUP(B197,'12.COT.MERCADO'!A:I,2,0)))),"Em Elaboração")</f>
        <v>LUMINÁRIA TIPO CALHA, DE SOBREPOR, COM 2 LÂMPADAS TUBULARES FLUORESCENTES DE 18 W, COM REATOR DE PARTIDA RÁPIDA - FORNECIMENTO E INSTALAÇÃO. AF_02/2020</v>
      </c>
      <c r="F197" s="240" t="str">
        <f>IFERROR(IF(D197="SINAPI-S",VLOOKUP(B197,'20-B.SINAPI-S'!A:J,3,0),IF(D197="SINAPI-I",VLOOKUP(B197,'20-A.SINAPI-I'!A:G,3,0),IF(D197="COMPOSIÇÕES",VLOOKUP(B197,'11.COMPOSIÇÕES GERAIS'!B:I,3,0),VLOOKUP(B197,'12.COT.MERCADO'!A:I,7,0)))),"Em Elaboração")</f>
        <v>UN</v>
      </c>
      <c r="G197" s="244">
        <f>VLOOKUP(B197,' 19.ARRED_HIST_CONSOLIDADO_E_ME'!H:O,8,0)</f>
        <v>2</v>
      </c>
      <c r="H197" s="241">
        <f>IFERROR(IF(D197="SINAPI-S",VLOOKUP(B197,'20-B.SINAPI-S'!A:J,5,0),IF(D197="SINAPI-I",VLOOKUP(B197,'20-A.SINAPI-I'!A:G,6,0),IF(D197="COMPOSIÇÕES",VLOOKUP(B197,'11.COMPOSIÇÕES GERAIS'!B:I,7,0),0))),"Em Elaboração")</f>
        <v>13.69</v>
      </c>
      <c r="I197" s="241">
        <f>IFERROR(IF(D197="SINAPI-S",VLOOKUP(B197,'20-B.SINAPI-S'!A:J,6,0),IF(D197="SINAPI-I",VLOOKUP(B197,'20-A.SINAPI-I'!A:G,7,0),IF(D197="COMPOSIÇÕES",VLOOKUP(B197,'11.COMPOSIÇÕES GERAIS'!B:I,8,0),VLOOKUP(B197,'12.COT.MERCADO'!A:I,8,0)))),"Em Elaboração")</f>
        <v>98.09</v>
      </c>
      <c r="J197" s="241">
        <f t="shared" si="112"/>
        <v>16.07100546</v>
      </c>
      <c r="K197" s="241">
        <f t="shared" si="113"/>
        <v>114.8962095</v>
      </c>
      <c r="L197" s="241">
        <f t="shared" si="114"/>
        <v>130.9672149</v>
      </c>
      <c r="M197" s="241">
        <f t="shared" si="115"/>
        <v>32.14201092</v>
      </c>
      <c r="N197" s="241">
        <f t="shared" si="116"/>
        <v>229.7924189</v>
      </c>
      <c r="O197" s="241">
        <f t="shared" si="117"/>
        <v>261.9344298</v>
      </c>
      <c r="P197" s="242">
        <f t="shared" si="2"/>
        <v>0.0002049045567</v>
      </c>
    </row>
    <row r="198">
      <c r="A198" s="236" t="s">
        <v>322</v>
      </c>
      <c r="B198" s="237">
        <f>' 19.ARRED_HIST_CONSOLIDADO_E_ME'!H97</f>
        <v>101648</v>
      </c>
      <c r="C198" s="238" t="str">
        <f t="shared" si="111"/>
        <v>SINAPI</v>
      </c>
      <c r="D198" s="238" t="s">
        <v>218</v>
      </c>
      <c r="E198" s="239" t="str">
        <f>IFERROR(IF(D198="SINAPI-S",VLOOKUP(B198,'20-B.SINAPI-S'!A:J,2,0),IF(D198="SINAPI-I",VLOOKUP(B198,'20-A.SINAPI-I'!A:G,2,0),IF(D198="COMPOSIÇÕES",VLOOKUP(B198,'11.COMPOSIÇÕES GERAIS'!B:I,2,0),VLOOKUP(B198,'12.COT.MERCADO'!A:I,2,0)))),"Em Elaboração")</f>
        <v>LÂMPADA VAPOR DE SÓDIO 150 W - FORNECIMENTO E INSTALAÇÃO. AF_08/2020</v>
      </c>
      <c r="F198" s="240" t="str">
        <f>IFERROR(IF(D198="SINAPI-S",VLOOKUP(B198,'20-B.SINAPI-S'!A:J,3,0),IF(D198="SINAPI-I",VLOOKUP(B198,'20-A.SINAPI-I'!A:G,3,0),IF(D198="COMPOSIÇÕES",VLOOKUP(B198,'11.COMPOSIÇÕES GERAIS'!B:I,3,0),VLOOKUP(B198,'12.COT.MERCADO'!A:I,7,0)))),"Em Elaboração")</f>
        <v>UN</v>
      </c>
      <c r="G198" s="244">
        <f>VLOOKUP(B198,' 19.ARRED_HIST_CONSOLIDADO_E_ME'!H:O,8,0)</f>
        <v>1</v>
      </c>
      <c r="H198" s="241">
        <f>IFERROR(IF(D198="SINAPI-S",VLOOKUP(B198,'20-B.SINAPI-S'!A:J,5,0),IF(D198="SINAPI-I",VLOOKUP(B198,'20-A.SINAPI-I'!A:G,6,0),IF(D198="COMPOSIÇÕES",VLOOKUP(B198,'11.COMPOSIÇÕES GERAIS'!B:I,7,0),0))),"Em Elaboração")</f>
        <v>1.19</v>
      </c>
      <c r="I198" s="241">
        <f>IFERROR(IF(D198="SINAPI-S",VLOOKUP(B198,'20-B.SINAPI-S'!A:J,6,0),IF(D198="SINAPI-I",VLOOKUP(B198,'20-A.SINAPI-I'!A:G,7,0),IF(D198="COMPOSIÇÕES",VLOOKUP(B198,'11.COMPOSIÇÕES GERAIS'!B:I,8,0),VLOOKUP(B198,'12.COT.MERCADO'!A:I,8,0)))),"Em Elaboração")</f>
        <v>52.32</v>
      </c>
      <c r="J198" s="241">
        <f t="shared" si="112"/>
        <v>1.396968334</v>
      </c>
      <c r="K198" s="241">
        <f t="shared" si="113"/>
        <v>61.28422549</v>
      </c>
      <c r="L198" s="241">
        <f t="shared" si="114"/>
        <v>62.68119383</v>
      </c>
      <c r="M198" s="241">
        <f t="shared" si="115"/>
        <v>1.396968334</v>
      </c>
      <c r="N198" s="241">
        <f t="shared" si="116"/>
        <v>61.28422549</v>
      </c>
      <c r="O198" s="241">
        <f t="shared" si="117"/>
        <v>62.68119383</v>
      </c>
      <c r="P198" s="242">
        <f t="shared" si="2"/>
        <v>0.00004903388319</v>
      </c>
    </row>
    <row r="199">
      <c r="A199" s="236" t="s">
        <v>323</v>
      </c>
      <c r="B199" s="237">
        <f>' 19.ARRED_HIST_CONSOLIDADO_E_ME'!H98</f>
        <v>101627</v>
      </c>
      <c r="C199" s="238" t="str">
        <f t="shared" si="111"/>
        <v>SINAPI</v>
      </c>
      <c r="D199" s="238" t="s">
        <v>218</v>
      </c>
      <c r="E199" s="239" t="str">
        <f>IFERROR(IF(D199="SINAPI-S",VLOOKUP(B199,'20-B.SINAPI-S'!A:J,2,0),IF(D199="SINAPI-I",VLOOKUP(B199,'20-A.SINAPI-I'!A:G,2,0),IF(D199="COMPOSIÇÕES",VLOOKUP(B199,'11.COMPOSIÇÕES GERAIS'!B:I,2,0),VLOOKUP(B199,'12.COT.MERCADO'!A:I,2,0)))),"Em Elaboração")</f>
        <v>REATOR PARA LÂMPADA VAPOR DE SÓDIO 250 W, USO EXTERNO - FORNECIMENTO E INSTALAÇÃO. AF_08/2020</v>
      </c>
      <c r="F199" s="240" t="str">
        <f>IFERROR(IF(D199="SINAPI-S",VLOOKUP(B199,'20-B.SINAPI-S'!A:J,3,0),IF(D199="SINAPI-I",VLOOKUP(B199,'20-A.SINAPI-I'!A:G,3,0),IF(D199="COMPOSIÇÕES",VLOOKUP(B199,'11.COMPOSIÇÕES GERAIS'!B:I,3,0),VLOOKUP(B199,'12.COT.MERCADO'!A:I,7,0)))),"Em Elaboração")</f>
        <v>UN</v>
      </c>
      <c r="G199" s="244">
        <f>VLOOKUP(B199,' 19.ARRED_HIST_CONSOLIDADO_E_ME'!H:O,8,0)</f>
        <v>1</v>
      </c>
      <c r="H199" s="241">
        <f>IFERROR(IF(D199="SINAPI-S",VLOOKUP(B199,'20-B.SINAPI-S'!A:J,5,0),IF(D199="SINAPI-I",VLOOKUP(B199,'20-A.SINAPI-I'!A:G,6,0),IF(D199="COMPOSIÇÕES",VLOOKUP(B199,'11.COMPOSIÇÕES GERAIS'!B:I,7,0),0))),"Em Elaboração")</f>
        <v>8.59</v>
      </c>
      <c r="I199" s="241">
        <f>IFERROR(IF(D199="SINAPI-S",VLOOKUP(B199,'20-B.SINAPI-S'!A:J,6,0),IF(D199="SINAPI-I",VLOOKUP(B199,'20-A.SINAPI-I'!A:G,7,0),IF(D199="COMPOSIÇÕES",VLOOKUP(B199,'11.COMPOSIÇÕES GERAIS'!B:I,8,0),VLOOKUP(B199,'12.COT.MERCADO'!A:I,8,0)))),"Em Elaboração")</f>
        <v>239.91</v>
      </c>
      <c r="J199" s="241">
        <f t="shared" si="112"/>
        <v>10.08399831</v>
      </c>
      <c r="K199" s="241">
        <f t="shared" si="113"/>
        <v>281.0148803</v>
      </c>
      <c r="L199" s="241">
        <f t="shared" si="114"/>
        <v>291.0988786</v>
      </c>
      <c r="M199" s="241">
        <f t="shared" si="115"/>
        <v>10.08399831</v>
      </c>
      <c r="N199" s="241">
        <f t="shared" si="116"/>
        <v>281.0148803</v>
      </c>
      <c r="O199" s="241">
        <f t="shared" si="117"/>
        <v>291.0988786</v>
      </c>
      <c r="P199" s="242">
        <f t="shared" si="2"/>
        <v>0.0002277191537</v>
      </c>
    </row>
    <row r="200">
      <c r="A200" s="236" t="s">
        <v>324</v>
      </c>
      <c r="B200" s="237">
        <f>' 19.ARRED_HIST_CONSOLIDADO_E_ME'!H99</f>
        <v>86935</v>
      </c>
      <c r="C200" s="238" t="str">
        <f t="shared" si="111"/>
        <v>SINAPI</v>
      </c>
      <c r="D200" s="238" t="s">
        <v>218</v>
      </c>
      <c r="E200" s="239" t="str">
        <f>IFERROR(IF(D200="SINAPI-S",VLOOKUP(B200,'20-B.SINAPI-S'!A:J,2,0),IF(D200="SINAPI-I",VLOOKUP(B200,'20-A.SINAPI-I'!A:G,2,0),IF(D200="COMPOSIÇÕES",VLOOKUP(B200,'11.COMPOSIÇÕES GERAIS'!B:I,2,0),VLOOKUP(B200,'12.COT.MERCADO'!A:I,2,0)))),"Em Elaboração")</f>
        <v>CUBA DE EMBUTIR DE AÇO INOXIDÁVEL MÉDIA, INCLUSO VÁLVULA TIPO AMERICANA EM METAL CROMADO E SIFÃO FLEXÍVEL EM PVC - FORNECIMENTO E INSTALAÇÃO. AF_01/2020</v>
      </c>
      <c r="F200" s="240" t="str">
        <f>IFERROR(IF(D200="SINAPI-S",VLOOKUP(B200,'20-B.SINAPI-S'!A:J,3,0),IF(D200="SINAPI-I",VLOOKUP(B200,'20-A.SINAPI-I'!A:G,3,0),IF(D200="COMPOSIÇÕES",VLOOKUP(B200,'11.COMPOSIÇÕES GERAIS'!B:I,3,0),VLOOKUP(B200,'12.COT.MERCADO'!A:I,7,0)))),"Em Elaboração")</f>
        <v>UN</v>
      </c>
      <c r="G200" s="244">
        <f>VLOOKUP(B200,' 19.ARRED_HIST_CONSOLIDADO_E_ME'!H:O,8,0)</f>
        <v>1</v>
      </c>
      <c r="H200" s="241">
        <f>IFERROR(IF(D200="SINAPI-S",VLOOKUP(B200,'20-B.SINAPI-S'!A:J,5,0),IF(D200="SINAPI-I",VLOOKUP(B200,'20-A.SINAPI-I'!A:G,6,0),IF(D200="COMPOSIÇÕES",VLOOKUP(B200,'11.COMPOSIÇÕES GERAIS'!B:I,7,0),0))),"Em Elaboração")</f>
        <v>23.65</v>
      </c>
      <c r="I200" s="241">
        <f>IFERROR(IF(D200="SINAPI-S",VLOOKUP(B200,'20-B.SINAPI-S'!A:J,6,0),IF(D200="SINAPI-I",VLOOKUP(B200,'20-A.SINAPI-I'!A:G,7,0),IF(D200="COMPOSIÇÕES",VLOOKUP(B200,'11.COMPOSIÇÕES GERAIS'!B:I,8,0),VLOOKUP(B200,'12.COT.MERCADO'!A:I,8,0)))),"Em Elaboração")</f>
        <v>338.79</v>
      </c>
      <c r="J200" s="241">
        <f t="shared" si="112"/>
        <v>27.76327824</v>
      </c>
      <c r="K200" s="241">
        <f t="shared" si="113"/>
        <v>396.8364441</v>
      </c>
      <c r="L200" s="241">
        <f t="shared" si="114"/>
        <v>424.5997223</v>
      </c>
      <c r="M200" s="241">
        <f t="shared" si="115"/>
        <v>27.76327824</v>
      </c>
      <c r="N200" s="241">
        <f t="shared" si="116"/>
        <v>396.8364441</v>
      </c>
      <c r="O200" s="241">
        <f t="shared" si="117"/>
        <v>424.5997223</v>
      </c>
      <c r="P200" s="242">
        <f t="shared" si="2"/>
        <v>0.0003321534246</v>
      </c>
    </row>
    <row r="201">
      <c r="A201" s="236" t="s">
        <v>325</v>
      </c>
      <c r="B201" s="237" t="str">
        <f>' 19.ARRED_HIST_CONSOLIDADO_E_ME'!H100</f>
        <v>MAN_PR_025</v>
      </c>
      <c r="C201" s="238" t="str">
        <f t="shared" si="111"/>
        <v>PRÓPRIO</v>
      </c>
      <c r="D201" s="243" t="s">
        <v>230</v>
      </c>
      <c r="E201" s="239" t="str">
        <f>IFERROR(IF(D201="SINAPI-S",VLOOKUP(B201,'20-B.SINAPI-S'!A:J,2,0),IF(D201="SINAPI-I",VLOOKUP(B201,'20-A.SINAPI-I'!A:G,2,0),IF(D201="COMPOSIÇÕES",VLOOKUP(B201,'11.COMPOSIÇÕES GERAIS'!B:I,2,0),VLOOKUP(B201,'12.COT.MERCADO'!A:I,2,0)))),"Em Elaboração")</f>
        <v>FORNECIMENTO E INSTALAÇÃO DE CANALETA EM PVC PARA INSTALAÇÃO ELÉTRICA APARENTE, INCLUSIVE CONEXÕES, DIMENSÕES 20 X 10 MM</v>
      </c>
      <c r="F201" s="240" t="str">
        <f>IFERROR(IF(D201="SINAPI-S",VLOOKUP(B201,'20-B.SINAPI-S'!A:J,3,0),IF(D201="SINAPI-I",VLOOKUP(B201,'20-A.SINAPI-I'!A:G,3,0),IF(D201="COMPOSIÇÕES",VLOOKUP(B201,'11.COMPOSIÇÕES GERAIS'!B:I,3,0),VLOOKUP(B201,'12.COT.MERCADO'!A:I,7,0)))),"Em Elaboração")</f>
        <v>M</v>
      </c>
      <c r="G201" s="244">
        <f>VLOOKUP(B201,' 19.ARRED_HIST_CONSOLIDADO_E_ME'!H:O,8,0)</f>
        <v>10</v>
      </c>
      <c r="H201" s="241">
        <f>IFERROR(IF(D201="SINAPI-S",VLOOKUP(B201,'20-B.SINAPI-S'!A:J,5,0),IF(D201="SINAPI-I",VLOOKUP(B201,'20-A.SINAPI-I'!A:G,6,0),IF(D201="COMPOSIÇÕES",VLOOKUP(B201,'11.COMPOSIÇÕES GERAIS'!B:I,7,0),0))),"Em Elaboração")</f>
        <v>15.5015</v>
      </c>
      <c r="I201" s="241">
        <f>IFERROR(IF(D201="SINAPI-S",VLOOKUP(B201,'20-B.SINAPI-S'!A:J,6,0),IF(D201="SINAPI-I",VLOOKUP(B201,'20-A.SINAPI-I'!A:G,7,0),IF(D201="COMPOSIÇÕES",VLOOKUP(B201,'11.COMPOSIÇÕES GERAIS'!B:I,8,0),VLOOKUP(B201,'12.COT.MERCADO'!A:I,8,0)))),"Em Elaboração")</f>
        <v>11.627</v>
      </c>
      <c r="J201" s="241">
        <f t="shared" si="112"/>
        <v>18.19756692</v>
      </c>
      <c r="K201" s="241">
        <f t="shared" si="113"/>
        <v>13.61910722</v>
      </c>
      <c r="L201" s="241">
        <f t="shared" si="114"/>
        <v>31.81667414</v>
      </c>
      <c r="M201" s="241">
        <f t="shared" si="115"/>
        <v>181.9756692</v>
      </c>
      <c r="N201" s="241">
        <f t="shared" si="116"/>
        <v>136.1910722</v>
      </c>
      <c r="O201" s="241">
        <f t="shared" si="117"/>
        <v>318.1667414</v>
      </c>
      <c r="P201" s="242">
        <f t="shared" si="2"/>
        <v>0.0002488936454</v>
      </c>
    </row>
    <row r="202">
      <c r="A202" s="236" t="s">
        <v>326</v>
      </c>
      <c r="B202" s="237">
        <f>' 19.ARRED_HIST_CONSOLIDADO_E_ME'!H101</f>
        <v>99634</v>
      </c>
      <c r="C202" s="238" t="str">
        <f t="shared" si="111"/>
        <v>SINAPI</v>
      </c>
      <c r="D202" s="238" t="s">
        <v>218</v>
      </c>
      <c r="E202" s="239" t="str">
        <f>IFERROR(IF(D202="SINAPI-S",VLOOKUP(B202,'20-B.SINAPI-S'!A:J,2,0),IF(D202="SINAPI-I",VLOOKUP(B202,'20-A.SINAPI-I'!A:G,2,0),IF(D202="COMPOSIÇÕES",VLOOKUP(B202,'11.COMPOSIÇÕES GERAIS'!B:I,2,0),VLOOKUP(B202,'12.COT.MERCADO'!A:I,2,0)))),"Em Elaboração")</f>
        <v>VÁLVULA DE RETENÇÃO VERTICAL, DE BRONZE, ROSCÁVEL, 4" - FORNECIMENTO E INSTALAÇÃO. AF_08/2021</v>
      </c>
      <c r="F202" s="240" t="str">
        <f>IFERROR(IF(D202="SINAPI-S",VLOOKUP(B202,'20-B.SINAPI-S'!A:J,3,0),IF(D202="SINAPI-I",VLOOKUP(B202,'20-A.SINAPI-I'!A:G,3,0),IF(D202="COMPOSIÇÕES",VLOOKUP(B202,'11.COMPOSIÇÕES GERAIS'!B:I,3,0),VLOOKUP(B202,'12.COT.MERCADO'!A:I,7,0)))),"Em Elaboração")</f>
        <v>UN</v>
      </c>
      <c r="G202" s="244">
        <f>VLOOKUP(B202,' 19.ARRED_HIST_CONSOLIDADO_E_ME'!H:O,8,0)</f>
        <v>1</v>
      </c>
      <c r="H202" s="241">
        <f>IFERROR(IF(D202="SINAPI-S",VLOOKUP(B202,'20-B.SINAPI-S'!A:J,5,0),IF(D202="SINAPI-I",VLOOKUP(B202,'20-A.SINAPI-I'!A:G,6,0),IF(D202="COMPOSIÇÕES",VLOOKUP(B202,'11.COMPOSIÇÕES GERAIS'!B:I,7,0),0))),"Em Elaboração")</f>
        <v>31.35</v>
      </c>
      <c r="I202" s="241">
        <f>IFERROR(IF(D202="SINAPI-S",VLOOKUP(B202,'20-B.SINAPI-S'!A:J,6,0),IF(D202="SINAPI-I",VLOOKUP(B202,'20-A.SINAPI-I'!A:G,7,0),IF(D202="COMPOSIÇÕES",VLOOKUP(B202,'11.COMPOSIÇÕES GERAIS'!B:I,8,0),VLOOKUP(B202,'12.COT.MERCADO'!A:I,8,0)))),"Em Elaboração")</f>
        <v>767.56</v>
      </c>
      <c r="J202" s="241">
        <f t="shared" si="112"/>
        <v>36.80248511</v>
      </c>
      <c r="K202" s="241">
        <f t="shared" si="113"/>
        <v>899.0695742</v>
      </c>
      <c r="L202" s="241">
        <f t="shared" si="114"/>
        <v>935.8720593</v>
      </c>
      <c r="M202" s="241">
        <f t="shared" si="115"/>
        <v>36.80248511</v>
      </c>
      <c r="N202" s="241">
        <f t="shared" si="116"/>
        <v>899.0695742</v>
      </c>
      <c r="O202" s="241">
        <f t="shared" si="117"/>
        <v>935.8720593</v>
      </c>
      <c r="P202" s="242">
        <f t="shared" si="2"/>
        <v>0.0007321086028</v>
      </c>
    </row>
    <row r="203">
      <c r="A203" s="236" t="s">
        <v>327</v>
      </c>
      <c r="B203" s="237" t="str">
        <f>' 19.ARRED_HIST_CONSOLIDADO_E_ME'!H102</f>
        <v>MAN_PR_026</v>
      </c>
      <c r="C203" s="238" t="str">
        <f t="shared" si="111"/>
        <v>PRÓPRIO</v>
      </c>
      <c r="D203" s="243" t="s">
        <v>230</v>
      </c>
      <c r="E203" s="239" t="str">
        <f>IFERROR(IF(D203="SINAPI-S",VLOOKUP(B203,'20-B.SINAPI-S'!A:J,2,0),IF(D203="SINAPI-I",VLOOKUP(B203,'20-A.SINAPI-I'!A:G,2,0),IF(D203="COMPOSIÇÕES",VLOOKUP(B203,'11.COMPOSIÇÕES GERAIS'!B:I,2,0),VLOOKUP(B203,'12.COT.MERCADO'!A:I,2,0)))),"Em Elaboração")</f>
        <v>FORNECIMENTO E INSTALAÇÃO DE FECHADURA BIOMÉTRICA PARA PORTA, ABERTURA TIPO SENHA OU CHAVEIRO DE PROXIMIDADE. REF: INTELBRAS FR 320 OU SIMILAR</v>
      </c>
      <c r="F203" s="240" t="str">
        <f>IFERROR(IF(D203="SINAPI-S",VLOOKUP(B203,'20-B.SINAPI-S'!A:J,3,0),IF(D203="SINAPI-I",VLOOKUP(B203,'20-A.SINAPI-I'!A:G,3,0),IF(D203="COMPOSIÇÕES",VLOOKUP(B203,'11.COMPOSIÇÕES GERAIS'!B:I,3,0),VLOOKUP(B203,'12.COT.MERCADO'!A:I,7,0)))),"Em Elaboração")</f>
        <v>UN</v>
      </c>
      <c r="G203" s="244">
        <f>VLOOKUP(B203,' 19.ARRED_HIST_CONSOLIDADO_E_ME'!H:O,8,0)</f>
        <v>1</v>
      </c>
      <c r="H203" s="241">
        <f>IFERROR(IF(D203="SINAPI-S",VLOOKUP(B203,'20-B.SINAPI-S'!A:J,5,0),IF(D203="SINAPI-I",VLOOKUP(B203,'20-A.SINAPI-I'!A:G,6,0),IF(D203="COMPOSIÇÕES",VLOOKUP(B203,'11.COMPOSIÇÕES GERAIS'!B:I,7,0),0))),"Em Elaboração")</f>
        <v>66.435</v>
      </c>
      <c r="I203" s="241">
        <f>IFERROR(IF(D203="SINAPI-S",VLOOKUP(B203,'20-B.SINAPI-S'!A:J,6,0),IF(D203="SINAPI-I",VLOOKUP(B203,'20-A.SINAPI-I'!A:G,7,0),IF(D203="COMPOSIÇÕES",VLOOKUP(B203,'11.COMPOSIÇÕES GERAIS'!B:I,8,0),VLOOKUP(B203,'12.COT.MERCADO'!A:I,8,0)))),"Em Elaboração")</f>
        <v>1376.42</v>
      </c>
      <c r="J203" s="241">
        <f t="shared" si="112"/>
        <v>77.98957251</v>
      </c>
      <c r="K203" s="241">
        <f t="shared" si="113"/>
        <v>1612.24835</v>
      </c>
      <c r="L203" s="241">
        <f t="shared" si="114"/>
        <v>1690.237922</v>
      </c>
      <c r="M203" s="241">
        <f t="shared" si="115"/>
        <v>77.98957251</v>
      </c>
      <c r="N203" s="241">
        <f t="shared" si="116"/>
        <v>1612.24835</v>
      </c>
      <c r="O203" s="241">
        <f t="shared" si="117"/>
        <v>1690.237922</v>
      </c>
      <c r="P203" s="242">
        <f t="shared" si="2"/>
        <v>0.001322229584</v>
      </c>
    </row>
    <row r="204">
      <c r="A204" s="236" t="s">
        <v>328</v>
      </c>
      <c r="B204" s="237">
        <f>' 19.ARRED_HIST_CONSOLIDADO_E_ME'!H103</f>
        <v>86877</v>
      </c>
      <c r="C204" s="238" t="str">
        <f t="shared" si="111"/>
        <v>SINAPI</v>
      </c>
      <c r="D204" s="238" t="s">
        <v>218</v>
      </c>
      <c r="E204" s="239" t="str">
        <f>IFERROR(IF(D204="SINAPI-S",VLOOKUP(B204,'20-B.SINAPI-S'!A:J,2,0),IF(D204="SINAPI-I",VLOOKUP(B204,'20-A.SINAPI-I'!A:G,2,0),IF(D204="COMPOSIÇÕES",VLOOKUP(B204,'11.COMPOSIÇÕES GERAIS'!B:I,2,0),VLOOKUP(B204,'12.COT.MERCADO'!A:I,2,0)))),"Em Elaboração")</f>
        <v>VÁLVULA EM METAL CROMADO 1.1/2_x0094_ X 1.1/2_x0094_ PARA TANQUE OU LAVATÓRIO, COM OU SEM LADRÃO - FORNECIMENTO E INSTALAÇÃO. AF_01/2020</v>
      </c>
      <c r="F204" s="240" t="str">
        <f>IFERROR(IF(D204="SINAPI-S",VLOOKUP(B204,'20-B.SINAPI-S'!A:J,3,0),IF(D204="SINAPI-I",VLOOKUP(B204,'20-A.SINAPI-I'!A:G,3,0),IF(D204="COMPOSIÇÕES",VLOOKUP(B204,'11.COMPOSIÇÕES GERAIS'!B:I,3,0),VLOOKUP(B204,'12.COT.MERCADO'!A:I,7,0)))),"Em Elaboração")</f>
        <v>UN</v>
      </c>
      <c r="G204" s="244">
        <f>VLOOKUP(B204,' 19.ARRED_HIST_CONSOLIDADO_E_ME'!H:O,8,0)</f>
        <v>1</v>
      </c>
      <c r="H204" s="241">
        <f>IFERROR(IF(D204="SINAPI-S",VLOOKUP(B204,'20-B.SINAPI-S'!A:J,5,0),IF(D204="SINAPI-I",VLOOKUP(B204,'20-A.SINAPI-I'!A:G,6,0),IF(D204="COMPOSIÇÕES",VLOOKUP(B204,'11.COMPOSIÇÕES GERAIS'!B:I,7,0),0))),"Em Elaboração")</f>
        <v>5.22</v>
      </c>
      <c r="I204" s="241">
        <f>IFERROR(IF(D204="SINAPI-S",VLOOKUP(B204,'20-B.SINAPI-S'!A:J,6,0),IF(D204="SINAPI-I",VLOOKUP(B204,'20-A.SINAPI-I'!A:G,7,0),IF(D204="COMPOSIÇÕES",VLOOKUP(B204,'11.COMPOSIÇÕES GERAIS'!B:I,8,0),VLOOKUP(B204,'12.COT.MERCADO'!A:I,8,0)))),"Em Elaboração")</f>
        <v>87.62</v>
      </c>
      <c r="J204" s="241">
        <f t="shared" si="112"/>
        <v>6.127877903</v>
      </c>
      <c r="K204" s="241">
        <f t="shared" si="113"/>
        <v>102.6323363</v>
      </c>
      <c r="L204" s="241">
        <f t="shared" si="114"/>
        <v>108.7602143</v>
      </c>
      <c r="M204" s="241">
        <f t="shared" si="115"/>
        <v>6.127877903</v>
      </c>
      <c r="N204" s="241">
        <f t="shared" si="116"/>
        <v>102.6323363</v>
      </c>
      <c r="O204" s="241">
        <f t="shared" si="117"/>
        <v>108.7602143</v>
      </c>
      <c r="P204" s="242">
        <f t="shared" si="2"/>
        <v>0.00008508031381</v>
      </c>
    </row>
    <row r="205">
      <c r="A205" s="236" t="s">
        <v>329</v>
      </c>
      <c r="B205" s="237">
        <f>' 19.ARRED_HIST_CONSOLIDADO_E_ME'!H104</f>
        <v>103029</v>
      </c>
      <c r="C205" s="238" t="str">
        <f t="shared" si="111"/>
        <v>SINAPI</v>
      </c>
      <c r="D205" s="238" t="s">
        <v>218</v>
      </c>
      <c r="E205" s="239" t="str">
        <f>IFERROR(IF(D205="SINAPI-S",VLOOKUP(B205,'20-B.SINAPI-S'!A:J,2,0),IF(D205="SINAPI-I",VLOOKUP(B205,'20-A.SINAPI-I'!A:G,2,0),IF(D205="COMPOSIÇÕES",VLOOKUP(B205,'11.COMPOSIÇÕES GERAIS'!B:I,2,0),VLOOKUP(B205,'12.COT.MERCADO'!A:I,2,0)))),"Em Elaboração")</f>
        <v>REGISTRO OU REGULADOR DE GÁS DE COZINHA - FORNECIMENTO E INSTALAÇÃO. AF_08/2021</v>
      </c>
      <c r="F205" s="240" t="str">
        <f>IFERROR(IF(D205="SINAPI-S",VLOOKUP(B205,'20-B.SINAPI-S'!A:J,3,0),IF(D205="SINAPI-I",VLOOKUP(B205,'20-A.SINAPI-I'!A:G,3,0),IF(D205="COMPOSIÇÕES",VLOOKUP(B205,'11.COMPOSIÇÕES GERAIS'!B:I,3,0),VLOOKUP(B205,'12.COT.MERCADO'!A:I,7,0)))),"Em Elaboração")</f>
        <v>UN</v>
      </c>
      <c r="G205" s="244">
        <f>VLOOKUP(B205,' 19.ARRED_HIST_CONSOLIDADO_E_ME'!H:O,8,0)</f>
        <v>1</v>
      </c>
      <c r="H205" s="241">
        <f>IFERROR(IF(D205="SINAPI-S",VLOOKUP(B205,'20-B.SINAPI-S'!A:J,5,0),IF(D205="SINAPI-I",VLOOKUP(B205,'20-A.SINAPI-I'!A:G,6,0),IF(D205="COMPOSIÇÕES",VLOOKUP(B205,'11.COMPOSIÇÕES GERAIS'!B:I,7,0),0))),"Em Elaboração")</f>
        <v>4.76</v>
      </c>
      <c r="I205" s="241">
        <f>IFERROR(IF(D205="SINAPI-S",VLOOKUP(B205,'20-B.SINAPI-S'!A:J,6,0),IF(D205="SINAPI-I",VLOOKUP(B205,'20-A.SINAPI-I'!A:G,7,0),IF(D205="COMPOSIÇÕES",VLOOKUP(B205,'11.COMPOSIÇÕES GERAIS'!B:I,8,0),VLOOKUP(B205,'12.COT.MERCADO'!A:I,8,0)))),"Em Elaboração")</f>
        <v>46.63</v>
      </c>
      <c r="J205" s="241">
        <f t="shared" si="112"/>
        <v>5.587873337</v>
      </c>
      <c r="K205" s="241">
        <f t="shared" si="113"/>
        <v>54.6193317</v>
      </c>
      <c r="L205" s="241">
        <f t="shared" si="114"/>
        <v>60.20720504</v>
      </c>
      <c r="M205" s="241">
        <f t="shared" si="115"/>
        <v>5.587873337</v>
      </c>
      <c r="N205" s="241">
        <f t="shared" si="116"/>
        <v>54.6193317</v>
      </c>
      <c r="O205" s="241">
        <f t="shared" si="117"/>
        <v>60.20720504</v>
      </c>
      <c r="P205" s="242">
        <f t="shared" si="2"/>
        <v>0.00004709854549</v>
      </c>
    </row>
    <row r="206">
      <c r="A206" s="236" t="s">
        <v>330</v>
      </c>
      <c r="B206" s="237" t="str">
        <f>' 19.ARRED_HIST_CONSOLIDADO_E_ME'!H105</f>
        <v>MAN_PR_027</v>
      </c>
      <c r="C206" s="238" t="str">
        <f t="shared" si="111"/>
        <v>PRÓPRIO</v>
      </c>
      <c r="D206" s="243" t="s">
        <v>230</v>
      </c>
      <c r="E206" s="239" t="str">
        <f>IFERROR(IF(D206="SINAPI-S",VLOOKUP(B206,'20-B.SINAPI-S'!A:J,2,0),IF(D206="SINAPI-I",VLOOKUP(B206,'20-A.SINAPI-I'!A:G,2,0),IF(D206="COMPOSIÇÕES",VLOOKUP(B206,'11.COMPOSIÇÕES GERAIS'!B:I,2,0),VLOOKUP(B206,'12.COT.MERCADO'!A:I,2,0)))),"Em Elaboração")</f>
        <v>SUBSTITUIÇÃO DE PLUGUE 2P+T DE 20A, 250V</v>
      </c>
      <c r="F206" s="240" t="str">
        <f>IFERROR(IF(D206="SINAPI-S",VLOOKUP(B206,'20-B.SINAPI-S'!A:J,3,0),IF(D206="SINAPI-I",VLOOKUP(B206,'20-A.SINAPI-I'!A:G,3,0),IF(D206="COMPOSIÇÕES",VLOOKUP(B206,'11.COMPOSIÇÕES GERAIS'!B:I,3,0),VLOOKUP(B206,'12.COT.MERCADO'!A:I,7,0)))),"Em Elaboração")</f>
        <v>UN</v>
      </c>
      <c r="G206" s="244">
        <f>VLOOKUP(B206,' 19.ARRED_HIST_CONSOLIDADO_E_ME'!H:O,8,0)</f>
        <v>18</v>
      </c>
      <c r="H206" s="241">
        <f>IFERROR(IF(D206="SINAPI-S",VLOOKUP(B206,'20-B.SINAPI-S'!A:J,5,0),IF(D206="SINAPI-I",VLOOKUP(B206,'20-A.SINAPI-I'!A:G,6,0),IF(D206="COMPOSIÇÕES",VLOOKUP(B206,'11.COMPOSIÇÕES GERAIS'!B:I,7,0),0))),"Em Elaboração")</f>
        <v>8.858</v>
      </c>
      <c r="I206" s="241">
        <f>IFERROR(IF(D206="SINAPI-S",VLOOKUP(B206,'20-B.SINAPI-S'!A:J,6,0),IF(D206="SINAPI-I",VLOOKUP(B206,'20-A.SINAPI-I'!A:G,7,0),IF(D206="COMPOSIÇÕES",VLOOKUP(B206,'11.COMPOSIÇÕES GERAIS'!B:I,8,0),VLOOKUP(B206,'12.COT.MERCADO'!A:I,8,0)))),"Em Elaboração")</f>
        <v>12.134</v>
      </c>
      <c r="J206" s="241">
        <f t="shared" si="112"/>
        <v>10.39860967</v>
      </c>
      <c r="K206" s="241">
        <f t="shared" si="113"/>
        <v>14.21297386</v>
      </c>
      <c r="L206" s="241">
        <f t="shared" si="114"/>
        <v>24.61158352</v>
      </c>
      <c r="M206" s="241">
        <f t="shared" si="115"/>
        <v>187.174974</v>
      </c>
      <c r="N206" s="241">
        <f t="shared" si="116"/>
        <v>255.8335294</v>
      </c>
      <c r="O206" s="241">
        <f t="shared" si="117"/>
        <v>443.0085034</v>
      </c>
      <c r="P206" s="242">
        <f t="shared" si="2"/>
        <v>0.0003465541398</v>
      </c>
    </row>
    <row r="207">
      <c r="A207" s="236" t="s">
        <v>331</v>
      </c>
      <c r="B207" s="237">
        <f>' 19.ARRED_HIST_CONSOLIDADO_E_ME'!H106</f>
        <v>102137</v>
      </c>
      <c r="C207" s="238" t="str">
        <f t="shared" si="111"/>
        <v>SINAPI</v>
      </c>
      <c r="D207" s="238" t="s">
        <v>218</v>
      </c>
      <c r="E207" s="239" t="str">
        <f>IFERROR(IF(D207="SINAPI-S",VLOOKUP(B207,'20-B.SINAPI-S'!A:J,2,0),IF(D207="SINAPI-I",VLOOKUP(B207,'20-A.SINAPI-I'!A:G,2,0),IF(D207="COMPOSIÇÕES",VLOOKUP(B207,'11.COMPOSIÇÕES GERAIS'!B:I,2,0),VLOOKUP(B207,'12.COT.MERCADO'!A:I,2,0)))),"Em Elaboração")</f>
        <v>CHAVE DE BOIA AUTOMÁTICA SUPERIOR/INFERIOR 15A/250V - FORNECIMENTO E INSTALAÇÃO. AF_12/2020</v>
      </c>
      <c r="F207" s="240" t="str">
        <f>IFERROR(IF(D207="SINAPI-S",VLOOKUP(B207,'20-B.SINAPI-S'!A:J,3,0),IF(D207="SINAPI-I",VLOOKUP(B207,'20-A.SINAPI-I'!A:G,3,0),IF(D207="COMPOSIÇÕES",VLOOKUP(B207,'11.COMPOSIÇÕES GERAIS'!B:I,3,0),VLOOKUP(B207,'12.COT.MERCADO'!A:I,7,0)))),"Em Elaboração")</f>
        <v>UN</v>
      </c>
      <c r="G207" s="244">
        <f>VLOOKUP(B207,' 19.ARRED_HIST_CONSOLIDADO_E_ME'!H:O,8,0)</f>
        <v>1</v>
      </c>
      <c r="H207" s="241">
        <f>IFERROR(IF(D207="SINAPI-S",VLOOKUP(B207,'20-B.SINAPI-S'!A:J,5,0),IF(D207="SINAPI-I",VLOOKUP(B207,'20-A.SINAPI-I'!A:G,6,0),IF(D207="COMPOSIÇÕES",VLOOKUP(B207,'11.COMPOSIÇÕES GERAIS'!B:I,7,0),0))),"Em Elaboração")</f>
        <v>28.03</v>
      </c>
      <c r="I207" s="241">
        <f>IFERROR(IF(D207="SINAPI-S",VLOOKUP(B207,'20-B.SINAPI-S'!A:J,6,0),IF(D207="SINAPI-I",VLOOKUP(B207,'20-A.SINAPI-I'!A:G,7,0),IF(D207="COMPOSIÇÕES",VLOOKUP(B207,'11.COMPOSIÇÕES GERAIS'!B:I,8,0),VLOOKUP(B207,'12.COT.MERCADO'!A:I,8,0)))),"Em Elaboração")</f>
        <v>49.55</v>
      </c>
      <c r="J207" s="241">
        <f t="shared" si="112"/>
        <v>32.90506085</v>
      </c>
      <c r="K207" s="241">
        <f t="shared" si="113"/>
        <v>58.03962869</v>
      </c>
      <c r="L207" s="241">
        <f t="shared" si="114"/>
        <v>90.94468954</v>
      </c>
      <c r="M207" s="241">
        <f t="shared" si="115"/>
        <v>32.90506085</v>
      </c>
      <c r="N207" s="241">
        <f t="shared" si="116"/>
        <v>58.03962869</v>
      </c>
      <c r="O207" s="241">
        <f t="shared" si="117"/>
        <v>90.94468954</v>
      </c>
      <c r="P207" s="242">
        <f t="shared" si="2"/>
        <v>0.00007114368778</v>
      </c>
    </row>
    <row r="208">
      <c r="A208" s="236" t="s">
        <v>332</v>
      </c>
      <c r="B208" s="237">
        <f>' 19.ARRED_HIST_CONSOLIDADO_E_ME'!H107</f>
        <v>100748</v>
      </c>
      <c r="C208" s="238" t="str">
        <f t="shared" si="111"/>
        <v>SINAPI</v>
      </c>
      <c r="D208" s="238" t="s">
        <v>218</v>
      </c>
      <c r="E208" s="239" t="str">
        <f>IFERROR(IF(D208="SINAPI-S",VLOOKUP(B208,'20-B.SINAPI-S'!A:J,2,0),IF(D208="SINAPI-I",VLOOKUP(B208,'20-A.SINAPI-I'!A:G,2,0),IF(D208="COMPOSIÇÕES",VLOOKUP(B208,'11.COMPOSIÇÕES GERAIS'!B:I,2,0),VLOOKUP(B208,'12.COT.MERCADO'!A:I,2,0)))),"Em Elaboração")</f>
        <v>PINTURA COM TINTA ALQUÍDICA DE ACABAMENTO (ESMALTE SINTÉTICO FOSCO) APLICADA A ROLO OU PINCEL SOBRE PERFIL METÁLICO EXECUTADO EM FÁBRICA (POR DEMÃO). AF_01/2020</v>
      </c>
      <c r="F208" s="240" t="str">
        <f>IFERROR(IF(D208="SINAPI-S",VLOOKUP(B208,'20-B.SINAPI-S'!A:J,3,0),IF(D208="SINAPI-I",VLOOKUP(B208,'20-A.SINAPI-I'!A:G,3,0),IF(D208="COMPOSIÇÕES",VLOOKUP(B208,'11.COMPOSIÇÕES GERAIS'!B:I,3,0),VLOOKUP(B208,'12.COT.MERCADO'!A:I,7,0)))),"Em Elaboração")</f>
        <v>M2</v>
      </c>
      <c r="G208" s="244">
        <f>VLOOKUP(B208,' 19.ARRED_HIST_CONSOLIDADO_E_ME'!H:O,8,0)</f>
        <v>4</v>
      </c>
      <c r="H208" s="241">
        <f>IFERROR(IF(D208="SINAPI-S",VLOOKUP(B208,'20-B.SINAPI-S'!A:J,5,0),IF(D208="SINAPI-I",VLOOKUP(B208,'20-A.SINAPI-I'!A:G,6,0),IF(D208="COMPOSIÇÕES",VLOOKUP(B208,'11.COMPOSIÇÕES GERAIS'!B:I,7,0),0))),"Em Elaboração")</f>
        <v>5.26</v>
      </c>
      <c r="I208" s="241">
        <f>IFERROR(IF(D208="SINAPI-S",VLOOKUP(B208,'20-B.SINAPI-S'!A:J,6,0),IF(D208="SINAPI-I",VLOOKUP(B208,'20-A.SINAPI-I'!A:G,7,0),IF(D208="COMPOSIÇÕES",VLOOKUP(B208,'11.COMPOSIÇÕES GERAIS'!B:I,8,0),VLOOKUP(B208,'12.COT.MERCADO'!A:I,8,0)))),"Em Elaboração")</f>
        <v>7.01</v>
      </c>
      <c r="J208" s="241">
        <f t="shared" si="112"/>
        <v>6.174834822</v>
      </c>
      <c r="K208" s="241">
        <f t="shared" si="113"/>
        <v>8.211055442</v>
      </c>
      <c r="L208" s="241">
        <f t="shared" si="114"/>
        <v>14.38589026</v>
      </c>
      <c r="M208" s="241">
        <f t="shared" si="115"/>
        <v>24.69933929</v>
      </c>
      <c r="N208" s="241">
        <f t="shared" si="116"/>
        <v>32.84422177</v>
      </c>
      <c r="O208" s="241">
        <f t="shared" si="117"/>
        <v>57.54356106</v>
      </c>
      <c r="P208" s="242">
        <f t="shared" si="2"/>
        <v>0.00004501484542</v>
      </c>
    </row>
    <row r="209">
      <c r="A209" s="236" t="s">
        <v>333</v>
      </c>
      <c r="B209" s="237">
        <f>' 19.ARRED_HIST_CONSOLIDADO_E_ME'!H108</f>
        <v>86910</v>
      </c>
      <c r="C209" s="238" t="str">
        <f t="shared" si="111"/>
        <v>SINAPI</v>
      </c>
      <c r="D209" s="238" t="s">
        <v>218</v>
      </c>
      <c r="E209" s="239" t="str">
        <f>IFERROR(IF(D209="SINAPI-S",VLOOKUP(B209,'20-B.SINAPI-S'!A:J,2,0),IF(D209="SINAPI-I",VLOOKUP(B209,'20-A.SINAPI-I'!A:G,2,0),IF(D209="COMPOSIÇÕES",VLOOKUP(B209,'11.COMPOSIÇÕES GERAIS'!B:I,2,0),VLOOKUP(B209,'12.COT.MERCADO'!A:I,2,0)))),"Em Elaboração")</f>
        <v>TORNEIRA CROMADA TUBO MÓVEL, DE PAREDE, 1/2_x0094_ OU 3/4_x0094_, PARA PIA DE COZINHA, PADRÃO MÉDIO - FORNECIMENTO E INSTALAÇÃO. AF_01/2020</v>
      </c>
      <c r="F209" s="240" t="str">
        <f>IFERROR(IF(D209="SINAPI-S",VLOOKUP(B209,'20-B.SINAPI-S'!A:J,3,0),IF(D209="SINAPI-I",VLOOKUP(B209,'20-A.SINAPI-I'!A:G,3,0),IF(D209="COMPOSIÇÕES",VLOOKUP(B209,'11.COMPOSIÇÕES GERAIS'!B:I,3,0),VLOOKUP(B209,'12.COT.MERCADO'!A:I,7,0)))),"Em Elaboração")</f>
        <v>UN</v>
      </c>
      <c r="G209" s="244">
        <f>VLOOKUP(B209,' 19.ARRED_HIST_CONSOLIDADO_E_ME'!H:O,8,0)</f>
        <v>1</v>
      </c>
      <c r="H209" s="241">
        <f>IFERROR(IF(D209="SINAPI-S",VLOOKUP(B209,'20-B.SINAPI-S'!A:J,5,0),IF(D209="SINAPI-I",VLOOKUP(B209,'20-A.SINAPI-I'!A:G,6,0),IF(D209="COMPOSIÇÕES",VLOOKUP(B209,'11.COMPOSIÇÕES GERAIS'!B:I,7,0),0))),"Em Elaboração")</f>
        <v>3.49</v>
      </c>
      <c r="I209" s="241">
        <f>IFERROR(IF(D209="SINAPI-S",VLOOKUP(B209,'20-B.SINAPI-S'!A:J,6,0),IF(D209="SINAPI-I",VLOOKUP(B209,'20-A.SINAPI-I'!A:G,7,0),IF(D209="COMPOSIÇÕES",VLOOKUP(B209,'11.COMPOSIÇÕES GERAIS'!B:I,8,0),VLOOKUP(B209,'12.COT.MERCADO'!A:I,8,0)))),"Em Elaboração")</f>
        <v>105.01</v>
      </c>
      <c r="J209" s="241">
        <f t="shared" si="112"/>
        <v>4.096991165</v>
      </c>
      <c r="K209" s="241">
        <f t="shared" si="113"/>
        <v>123.0018448</v>
      </c>
      <c r="L209" s="241">
        <f t="shared" si="114"/>
        <v>127.098836</v>
      </c>
      <c r="M209" s="241">
        <f t="shared" si="115"/>
        <v>4.096991165</v>
      </c>
      <c r="N209" s="241">
        <f t="shared" si="116"/>
        <v>123.0018448</v>
      </c>
      <c r="O209" s="241">
        <f t="shared" si="117"/>
        <v>127.098836</v>
      </c>
      <c r="P209" s="242">
        <f t="shared" si="2"/>
        <v>0.00009942614514</v>
      </c>
    </row>
    <row r="210">
      <c r="A210" s="236" t="s">
        <v>334</v>
      </c>
      <c r="B210" s="237">
        <f>' 19.ARRED_HIST_CONSOLIDADO_E_ME'!H109</f>
        <v>104475</v>
      </c>
      <c r="C210" s="238" t="str">
        <f t="shared" si="111"/>
        <v>SINAPI</v>
      </c>
      <c r="D210" s="238" t="s">
        <v>218</v>
      </c>
      <c r="E210" s="239" t="str">
        <f>IFERROR(IF(D210="SINAPI-S",VLOOKUP(B210,'20-B.SINAPI-S'!A:J,2,0),IF(D210="SINAPI-I",VLOOKUP(B210,'20-A.SINAPI-I'!A:G,2,0),IF(D210="COMPOSIÇÕES",VLOOKUP(B210,'11.COMPOSIÇÕES GERAIS'!B:I,2,0),VLOOKUP(B210,'12.COT.MERCADO'!A:I,2,0)))),"Em Elaboração")</f>
        <v>COMPOSIÇÃO PARAMÉTRICA DE PONTO ELÉTRICO DE TOMADA DE USO GERAL 2P+T (10A/250V) EM EDIFÍCIO RESIDENCIAL COM ELETRODUTO EMBUTIDO EM RASGOS NAS PAREDES, INCLUSO TOMADA, ELETRODUTO, CABO, RASGO, QUEBRA E CHUMBAMENTO. AF_11/2022</v>
      </c>
      <c r="F210" s="240" t="str">
        <f>IFERROR(IF(D210="SINAPI-S",VLOOKUP(B210,'20-B.SINAPI-S'!A:J,3,0),IF(D210="SINAPI-I",VLOOKUP(B210,'20-A.SINAPI-I'!A:G,3,0),IF(D210="COMPOSIÇÕES",VLOOKUP(B210,'11.COMPOSIÇÕES GERAIS'!B:I,3,0),VLOOKUP(B210,'12.COT.MERCADO'!A:I,7,0)))),"Em Elaboração")</f>
        <v>UN</v>
      </c>
      <c r="G210" s="244">
        <f>VLOOKUP(B210,' 19.ARRED_HIST_CONSOLIDADO_E_ME'!H:O,8,0)</f>
        <v>3</v>
      </c>
      <c r="H210" s="241">
        <f>IFERROR(IF(D210="SINAPI-S",VLOOKUP(B210,'20-B.SINAPI-S'!A:J,5,0),IF(D210="SINAPI-I",VLOOKUP(B210,'20-A.SINAPI-I'!A:G,6,0),IF(D210="COMPOSIÇÕES",VLOOKUP(B210,'11.COMPOSIÇÕES GERAIS'!B:I,7,0),0))),"Em Elaboração")</f>
        <v>72.78</v>
      </c>
      <c r="I210" s="241">
        <f>IFERROR(IF(D210="SINAPI-S",VLOOKUP(B210,'20-B.SINAPI-S'!A:J,6,0),IF(D210="SINAPI-I",VLOOKUP(B210,'20-A.SINAPI-I'!A:G,7,0),IF(D210="COMPOSIÇÕES",VLOOKUP(B210,'11.COMPOSIÇÕES GERAIS'!B:I,8,0),VLOOKUP(B210,'12.COT.MERCADO'!A:I,8,0)))),"Em Elaboração")</f>
        <v>85.06</v>
      </c>
      <c r="J210" s="241">
        <f t="shared" si="112"/>
        <v>85.43811376</v>
      </c>
      <c r="K210" s="241">
        <f t="shared" si="113"/>
        <v>99.63371981</v>
      </c>
      <c r="L210" s="241">
        <f t="shared" si="114"/>
        <v>185.0718336</v>
      </c>
      <c r="M210" s="241">
        <f t="shared" si="115"/>
        <v>256.3143413</v>
      </c>
      <c r="N210" s="241">
        <f t="shared" si="116"/>
        <v>298.9011594</v>
      </c>
      <c r="O210" s="241">
        <f t="shared" si="117"/>
        <v>555.2155007</v>
      </c>
      <c r="P210" s="242">
        <f t="shared" si="2"/>
        <v>0.0004343307832</v>
      </c>
    </row>
    <row r="211">
      <c r="A211" s="236" t="s">
        <v>335</v>
      </c>
      <c r="B211" s="237" t="str">
        <f>' 19.ARRED_HIST_CONSOLIDADO_E_ME'!H110</f>
        <v>MAN_PR_028</v>
      </c>
      <c r="C211" s="238" t="str">
        <f t="shared" si="111"/>
        <v>PRÓPRIO</v>
      </c>
      <c r="D211" s="243" t="s">
        <v>230</v>
      </c>
      <c r="E211" s="239" t="str">
        <f>IFERROR(IF(D211="SINAPI-S",VLOOKUP(B211,'20-B.SINAPI-S'!A:J,2,0),IF(D211="SINAPI-I",VLOOKUP(B211,'20-A.SINAPI-I'!A:G,2,0),IF(D211="COMPOSIÇÕES",VLOOKUP(B211,'11.COMPOSIÇÕES GERAIS'!B:I,2,0),VLOOKUP(B211,'12.COT.MERCADO'!A:I,2,0)))),"Em Elaboração")</f>
        <v>SERVIÇO DE LIMPEZA DE FOSSA SÉPTICA OU SUMIDOURO - VIAGEM DE 7M3</v>
      </c>
      <c r="F211" s="240" t="str">
        <f>IFERROR(IF(D211="SINAPI-S",VLOOKUP(B211,'20-B.SINAPI-S'!A:J,3,0),IF(D211="SINAPI-I",VLOOKUP(B211,'20-A.SINAPI-I'!A:G,3,0),IF(D211="COMPOSIÇÕES",VLOOKUP(B211,'11.COMPOSIÇÕES GERAIS'!B:I,3,0),VLOOKUP(B211,'12.COT.MERCADO'!A:I,7,0)))),"Em Elaboração")</f>
        <v>VG</v>
      </c>
      <c r="G211" s="244">
        <f>VLOOKUP(B211,' 19.ARRED_HIST_CONSOLIDADO_E_ME'!H:O,8,0)</f>
        <v>1</v>
      </c>
      <c r="H211" s="241">
        <f>IFERROR(IF(D211="SINAPI-S",VLOOKUP(B211,'20-B.SINAPI-S'!A:J,5,0),IF(D211="SINAPI-I",VLOOKUP(B211,'20-A.SINAPI-I'!A:G,6,0),IF(D211="COMPOSIÇÕES",VLOOKUP(B211,'11.COMPOSIÇÕES GERAIS'!B:I,7,0),0))),"Em Elaboração")</f>
        <v>0</v>
      </c>
      <c r="I211" s="241">
        <f>IFERROR(IF(D211="SINAPI-S",VLOOKUP(B211,'20-B.SINAPI-S'!A:J,6,0),IF(D211="SINAPI-I",VLOOKUP(B211,'20-A.SINAPI-I'!A:G,7,0),IF(D211="COMPOSIÇÕES",VLOOKUP(B211,'11.COMPOSIÇÕES GERAIS'!B:I,8,0),VLOOKUP(B211,'12.COT.MERCADO'!A:I,8,0)))),"Em Elaboração")</f>
        <v>1364.44</v>
      </c>
      <c r="J211" s="241">
        <f t="shared" si="112"/>
        <v>0</v>
      </c>
      <c r="K211" s="241">
        <f t="shared" si="113"/>
        <v>1598.215761</v>
      </c>
      <c r="L211" s="241">
        <f t="shared" si="114"/>
        <v>1598.215761</v>
      </c>
      <c r="M211" s="241">
        <f t="shared" si="115"/>
        <v>0</v>
      </c>
      <c r="N211" s="241">
        <f t="shared" si="116"/>
        <v>1598.215761</v>
      </c>
      <c r="O211" s="241">
        <f t="shared" si="117"/>
        <v>1598.215761</v>
      </c>
      <c r="P211" s="242">
        <f t="shared" si="2"/>
        <v>0.001250243018</v>
      </c>
    </row>
    <row r="212">
      <c r="A212" s="236" t="s">
        <v>336</v>
      </c>
      <c r="B212" s="237" t="str">
        <f>' 19.ARRED_HIST_CONSOLIDADO_E_ME'!H111</f>
        <v>MAN_PR_029</v>
      </c>
      <c r="C212" s="238" t="str">
        <f t="shared" si="111"/>
        <v>PRÓPRIO</v>
      </c>
      <c r="D212" s="243" t="s">
        <v>230</v>
      </c>
      <c r="E212" s="239" t="str">
        <f>IFERROR(IF(D212="SINAPI-S",VLOOKUP(B212,'20-B.SINAPI-S'!A:J,2,0),IF(D212="SINAPI-I",VLOOKUP(B212,'20-A.SINAPI-I'!A:G,2,0),IF(D212="COMPOSIÇÕES",VLOOKUP(B212,'11.COMPOSIÇÕES GERAIS'!B:I,2,0),VLOOKUP(B212,'12.COT.MERCADO'!A:I,2,0)))),"Em Elaboração")</f>
        <v>TAMPA DE CONCRETO ARMADO PARA CAIXAS DE PASSAGEM 0,60X0,60X0,07M</v>
      </c>
      <c r="F212" s="240" t="str">
        <f>IFERROR(IF(D212="SINAPI-S",VLOOKUP(B212,'20-B.SINAPI-S'!A:J,3,0),IF(D212="SINAPI-I",VLOOKUP(B212,'20-A.SINAPI-I'!A:G,3,0),IF(D212="COMPOSIÇÕES",VLOOKUP(B212,'11.COMPOSIÇÕES GERAIS'!B:I,3,0),VLOOKUP(B212,'12.COT.MERCADO'!A:I,7,0)))),"Em Elaboração")</f>
        <v>UN</v>
      </c>
      <c r="G212" s="244">
        <f>VLOOKUP(B212,' 19.ARRED_HIST_CONSOLIDADO_E_ME'!H:O,8,0)</f>
        <v>3</v>
      </c>
      <c r="H212" s="241">
        <f>IFERROR(IF(D212="SINAPI-S",VLOOKUP(B212,'20-B.SINAPI-S'!A:J,5,0),IF(D212="SINAPI-I",VLOOKUP(B212,'20-A.SINAPI-I'!A:G,6,0),IF(D212="COMPOSIÇÕES",VLOOKUP(B212,'11.COMPOSIÇÕES GERAIS'!B:I,7,0),0))),"Em Elaboração")</f>
        <v>8.372</v>
      </c>
      <c r="I212" s="241">
        <f>IFERROR(IF(D212="SINAPI-S",VLOOKUP(B212,'20-B.SINAPI-S'!A:J,6,0),IF(D212="SINAPI-I",VLOOKUP(B212,'20-A.SINAPI-I'!A:G,7,0),IF(D212="COMPOSIÇÕES",VLOOKUP(B212,'11.COMPOSIÇÕES GERAIS'!B:I,8,0),VLOOKUP(B212,'12.COT.MERCADO'!A:I,8,0)))),"Em Elaboração")</f>
        <v>27.01081</v>
      </c>
      <c r="J212" s="241">
        <f t="shared" si="112"/>
        <v>9.828083105</v>
      </c>
      <c r="K212" s="241">
        <f t="shared" si="113"/>
        <v>31.63869593</v>
      </c>
      <c r="L212" s="241">
        <f t="shared" si="114"/>
        <v>41.46677903</v>
      </c>
      <c r="M212" s="241">
        <f t="shared" si="115"/>
        <v>29.48424931</v>
      </c>
      <c r="N212" s="241">
        <f t="shared" si="116"/>
        <v>94.91608778</v>
      </c>
      <c r="O212" s="241">
        <f t="shared" si="117"/>
        <v>124.4003371</v>
      </c>
      <c r="P212" s="242">
        <f t="shared" si="2"/>
        <v>0.000097315179</v>
      </c>
    </row>
    <row r="213">
      <c r="A213" s="236" t="s">
        <v>337</v>
      </c>
      <c r="B213" s="237">
        <f>' 19.ARRED_HIST_CONSOLIDADO_E_ME'!H112</f>
        <v>99627</v>
      </c>
      <c r="C213" s="238" t="str">
        <f t="shared" si="111"/>
        <v>SINAPI</v>
      </c>
      <c r="D213" s="238" t="s">
        <v>218</v>
      </c>
      <c r="E213" s="239" t="str">
        <f>IFERROR(IF(D213="SINAPI-S",VLOOKUP(B213,'20-B.SINAPI-S'!A:J,2,0),IF(D213="SINAPI-I",VLOOKUP(B213,'20-A.SINAPI-I'!A:G,2,0),IF(D213="COMPOSIÇÕES",VLOOKUP(B213,'11.COMPOSIÇÕES GERAIS'!B:I,2,0),VLOOKUP(B213,'12.COT.MERCADO'!A:I,2,0)))),"Em Elaboração")</f>
        <v>VÁLVULA DE RETENÇÃO VERTICAL, DE BRONZE, ROSCÁVEL, 1/2" - FORNECIMENTO E INSTALAÇÃO. AF_08/2021</v>
      </c>
      <c r="F213" s="240" t="str">
        <f>IFERROR(IF(D213="SINAPI-S",VLOOKUP(B213,'20-B.SINAPI-S'!A:J,3,0),IF(D213="SINAPI-I",VLOOKUP(B213,'20-A.SINAPI-I'!A:G,3,0),IF(D213="COMPOSIÇÕES",VLOOKUP(B213,'11.COMPOSIÇÕES GERAIS'!B:I,3,0),VLOOKUP(B213,'12.COT.MERCADO'!A:I,7,0)))),"Em Elaboração")</f>
        <v>UN</v>
      </c>
      <c r="G213" s="244">
        <f>VLOOKUP(B213,' 19.ARRED_HIST_CONSOLIDADO_E_ME'!H:O,8,0)</f>
        <v>1</v>
      </c>
      <c r="H213" s="241">
        <f>IFERROR(IF(D213="SINAPI-S",VLOOKUP(B213,'20-B.SINAPI-S'!A:J,5,0),IF(D213="SINAPI-I",VLOOKUP(B213,'20-A.SINAPI-I'!A:G,6,0),IF(D213="COMPOSIÇÕES",VLOOKUP(B213,'11.COMPOSIÇÕES GERAIS'!B:I,7,0),0))),"Em Elaboração")</f>
        <v>3.1</v>
      </c>
      <c r="I213" s="241">
        <f>IFERROR(IF(D213="SINAPI-S",VLOOKUP(B213,'20-B.SINAPI-S'!A:J,6,0),IF(D213="SINAPI-I",VLOOKUP(B213,'20-A.SINAPI-I'!A:G,7,0),IF(D213="COMPOSIÇÕES",VLOOKUP(B213,'11.COMPOSIÇÕES GERAIS'!B:I,8,0),VLOOKUP(B213,'12.COT.MERCADO'!A:I,8,0)))),"Em Elaboração")</f>
        <v>69.01</v>
      </c>
      <c r="J213" s="241">
        <f t="shared" si="112"/>
        <v>3.639161207</v>
      </c>
      <c r="K213" s="241">
        <f t="shared" si="113"/>
        <v>80.83379972</v>
      </c>
      <c r="L213" s="241">
        <f t="shared" si="114"/>
        <v>84.47296093</v>
      </c>
      <c r="M213" s="241">
        <f t="shared" si="115"/>
        <v>3.639161207</v>
      </c>
      <c r="N213" s="241">
        <f t="shared" si="116"/>
        <v>80.83379972</v>
      </c>
      <c r="O213" s="241">
        <f t="shared" si="117"/>
        <v>84.47296093</v>
      </c>
      <c r="P213" s="242">
        <f t="shared" si="2"/>
        <v>0.00006608102121</v>
      </c>
    </row>
    <row r="214">
      <c r="A214" s="236" t="s">
        <v>338</v>
      </c>
      <c r="B214" s="237" t="str">
        <f>' 19.ARRED_HIST_CONSOLIDADO_E_ME'!H113</f>
        <v>MAN_PR_017</v>
      </c>
      <c r="C214" s="238" t="str">
        <f t="shared" si="111"/>
        <v>PRÓPRIO</v>
      </c>
      <c r="D214" s="243" t="s">
        <v>230</v>
      </c>
      <c r="E214" s="239" t="str">
        <f>IFERROR(IF(D214="SINAPI-S",VLOOKUP(B214,'20-B.SINAPI-S'!A:J,2,0),IF(D214="SINAPI-I",VLOOKUP(B214,'20-A.SINAPI-I'!A:G,2,0),IF(D214="COMPOSIÇÕES",VLOOKUP(B214,'11.COMPOSIÇÕES GERAIS'!B:I,2,0),VLOOKUP(B214,'12.COT.MERCADO'!A:I,2,0)))),"Em Elaboração")</f>
        <v>FORNECIMENTO E INSTALAÇÃO DE KIT MOTOR PPA 1/4HP, 500KG, DESLIZANTE, INCLUÍNDO 2 CONTROLE E 5M DE CREMALHEIRA, NÃO INCLUSO EXECUÇÃO DE BASE DE FIXAÇÃO E GUIA</v>
      </c>
      <c r="F214" s="240" t="str">
        <f>IFERROR(IF(D214="SINAPI-S",VLOOKUP(B214,'20-B.SINAPI-S'!A:J,3,0),IF(D214="SINAPI-I",VLOOKUP(B214,'20-A.SINAPI-I'!A:G,3,0),IF(D214="COMPOSIÇÕES",VLOOKUP(B214,'11.COMPOSIÇÕES GERAIS'!B:I,3,0),VLOOKUP(B214,'12.COT.MERCADO'!A:I,7,0)))),"Em Elaboração")</f>
        <v>UN</v>
      </c>
      <c r="G214" s="244">
        <f>VLOOKUP(B214,' 19.ARRED_HIST_CONSOLIDADO_E_ME'!H:O,8,0)</f>
        <v>1</v>
      </c>
      <c r="H214" s="241">
        <f>IFERROR(IF(D214="SINAPI-S",VLOOKUP(B214,'20-B.SINAPI-S'!A:J,5,0),IF(D214="SINAPI-I",VLOOKUP(B214,'20-A.SINAPI-I'!A:G,6,0),IF(D214="COMPOSIÇÕES",VLOOKUP(B214,'11.COMPOSIÇÕES GERAIS'!B:I,7,0),0))),"Em Elaboração")</f>
        <v>66.435</v>
      </c>
      <c r="I214" s="241">
        <f>IFERROR(IF(D214="SINAPI-S",VLOOKUP(B214,'20-B.SINAPI-S'!A:J,6,0),IF(D214="SINAPI-I",VLOOKUP(B214,'20-A.SINAPI-I'!A:G,7,0),IF(D214="COMPOSIÇÕES",VLOOKUP(B214,'11.COMPOSIÇÕES GERAIS'!B:I,8,0),VLOOKUP(B214,'12.COT.MERCADO'!A:I,8,0)))),"Em Elaboração")</f>
        <v>529.16</v>
      </c>
      <c r="J214" s="241">
        <f t="shared" si="112"/>
        <v>77.98957251</v>
      </c>
      <c r="K214" s="241">
        <f t="shared" si="113"/>
        <v>619.8234091</v>
      </c>
      <c r="L214" s="241">
        <f t="shared" si="114"/>
        <v>697.8129816</v>
      </c>
      <c r="M214" s="241">
        <f t="shared" si="115"/>
        <v>77.98957251</v>
      </c>
      <c r="N214" s="241">
        <f t="shared" si="116"/>
        <v>619.8234091</v>
      </c>
      <c r="O214" s="241">
        <f t="shared" si="117"/>
        <v>697.8129816</v>
      </c>
      <c r="P214" s="242">
        <f t="shared" si="2"/>
        <v>0.000545881119</v>
      </c>
    </row>
    <row r="215">
      <c r="A215" s="236" t="s">
        <v>339</v>
      </c>
      <c r="B215" s="237">
        <f>' 19.ARRED_HIST_CONSOLIDADO_E_ME'!H114</f>
        <v>90801</v>
      </c>
      <c r="C215" s="238" t="str">
        <f t="shared" si="111"/>
        <v>SINAPI</v>
      </c>
      <c r="D215" s="238" t="s">
        <v>218</v>
      </c>
      <c r="E215" s="239" t="str">
        <f>IFERROR(IF(D215="SINAPI-S",VLOOKUP(B215,'20-B.SINAPI-S'!A:J,2,0),IF(D215="SINAPI-I",VLOOKUP(B215,'20-A.SINAPI-I'!A:G,2,0),IF(D215="COMPOSIÇÕES",VLOOKUP(B215,'11.COMPOSIÇÕES GERAIS'!B:I,2,0),VLOOKUP(B215,'12.COT.MERCADO'!A:I,2,0)))),"Em Elaboração")</f>
        <v>BATENTE PARA PORTA DE MADEIRA, PADRÃO MÉDIO - FORNECIMENTO E MONTAGEM. AF_12/2019</v>
      </c>
      <c r="F215" s="240" t="str">
        <f>IFERROR(IF(D215="SINAPI-S",VLOOKUP(B215,'20-B.SINAPI-S'!A:J,3,0),IF(D215="SINAPI-I",VLOOKUP(B215,'20-A.SINAPI-I'!A:G,3,0),IF(D215="COMPOSIÇÕES",VLOOKUP(B215,'11.COMPOSIÇÕES GERAIS'!B:I,3,0),VLOOKUP(B215,'12.COT.MERCADO'!A:I,7,0)))),"Em Elaboração")</f>
        <v>UN</v>
      </c>
      <c r="G215" s="244">
        <f>VLOOKUP(B215,' 19.ARRED_HIST_CONSOLIDADO_E_ME'!H:O,8,0)</f>
        <v>1</v>
      </c>
      <c r="H215" s="241">
        <f>IFERROR(IF(D215="SINAPI-S",VLOOKUP(B215,'20-B.SINAPI-S'!A:J,5,0),IF(D215="SINAPI-I",VLOOKUP(B215,'20-A.SINAPI-I'!A:G,6,0),IF(D215="COMPOSIÇÕES",VLOOKUP(B215,'11.COMPOSIÇÕES GERAIS'!B:I,7,0),0))),"Em Elaboração")</f>
        <v>86.92</v>
      </c>
      <c r="I215" s="241">
        <f>IFERROR(IF(D215="SINAPI-S",VLOOKUP(B215,'20-B.SINAPI-S'!A:J,6,0),IF(D215="SINAPI-I",VLOOKUP(B215,'20-A.SINAPI-I'!A:G,7,0),IF(D215="COMPOSIÇÕES",VLOOKUP(B215,'11.COMPOSIÇÕES GERAIS'!B:I,8,0),VLOOKUP(B215,'12.COT.MERCADO'!A:I,8,0)))),"Em Elaboração")</f>
        <v>312.15</v>
      </c>
      <c r="J215" s="241">
        <f t="shared" si="112"/>
        <v>102.0373846</v>
      </c>
      <c r="K215" s="241">
        <f t="shared" si="113"/>
        <v>365.6320907</v>
      </c>
      <c r="L215" s="241">
        <f t="shared" si="114"/>
        <v>467.6694753</v>
      </c>
      <c r="M215" s="241">
        <f t="shared" si="115"/>
        <v>102.0373846</v>
      </c>
      <c r="N215" s="241">
        <f t="shared" si="116"/>
        <v>365.6320907</v>
      </c>
      <c r="O215" s="241">
        <f t="shared" si="117"/>
        <v>467.6694753</v>
      </c>
      <c r="P215" s="242">
        <f t="shared" si="2"/>
        <v>0.0003658457828</v>
      </c>
    </row>
    <row r="216">
      <c r="A216" s="236" t="s">
        <v>340</v>
      </c>
      <c r="B216" s="237">
        <f>' 19.ARRED_HIST_CONSOLIDADO_E_ME'!H115</f>
        <v>101895</v>
      </c>
      <c r="C216" s="238" t="str">
        <f t="shared" si="111"/>
        <v>SINAPI</v>
      </c>
      <c r="D216" s="238" t="s">
        <v>218</v>
      </c>
      <c r="E216" s="239" t="str">
        <f>IFERROR(IF(D216="SINAPI-S",VLOOKUP(B216,'20-B.SINAPI-S'!A:J,2,0),IF(D216="SINAPI-I",VLOOKUP(B216,'20-A.SINAPI-I'!A:G,2,0),IF(D216="COMPOSIÇÕES",VLOOKUP(B216,'11.COMPOSIÇÕES GERAIS'!B:I,2,0),VLOOKUP(B216,'12.COT.MERCADO'!A:I,2,0)))),"Em Elaboração")</f>
        <v>DISJUNTOR TERMOMAGNÉTICO TRIPOLAR , CORRENTE NOMINAL DE 125A - FORNECIMENTO E INSTALAÇÃO. AF_10/2020</v>
      </c>
      <c r="F216" s="240" t="str">
        <f>IFERROR(IF(D216="SINAPI-S",VLOOKUP(B216,'20-B.SINAPI-S'!A:J,3,0),IF(D216="SINAPI-I",VLOOKUP(B216,'20-A.SINAPI-I'!A:G,3,0),IF(D216="COMPOSIÇÕES",VLOOKUP(B216,'11.COMPOSIÇÕES GERAIS'!B:I,3,0),VLOOKUP(B216,'12.COT.MERCADO'!A:I,7,0)))),"Em Elaboração")</f>
        <v>UN</v>
      </c>
      <c r="G216" s="244">
        <f>VLOOKUP(B216,' 19.ARRED_HIST_CONSOLIDADO_E_ME'!H:O,8,0)</f>
        <v>1</v>
      </c>
      <c r="H216" s="241">
        <f>IFERROR(IF(D216="SINAPI-S",VLOOKUP(B216,'20-B.SINAPI-S'!A:J,5,0),IF(D216="SINAPI-I",VLOOKUP(B216,'20-A.SINAPI-I'!A:G,6,0),IF(D216="COMPOSIÇÕES",VLOOKUP(B216,'11.COMPOSIÇÕES GERAIS'!B:I,7,0),0))),"Em Elaboração")</f>
        <v>58.6</v>
      </c>
      <c r="I216" s="241">
        <f>IFERROR(IF(D216="SINAPI-S",VLOOKUP(B216,'20-B.SINAPI-S'!A:J,6,0),IF(D216="SINAPI-I",VLOOKUP(B216,'20-A.SINAPI-I'!A:G,7,0),IF(D216="COMPOSIÇÕES",VLOOKUP(B216,'11.COMPOSIÇÕES GERAIS'!B:I,8,0),VLOOKUP(B216,'12.COT.MERCADO'!A:I,8,0)))),"Em Elaboração")</f>
        <v>388.79</v>
      </c>
      <c r="J216" s="241">
        <f t="shared" si="112"/>
        <v>68.79188604</v>
      </c>
      <c r="K216" s="241">
        <f t="shared" si="113"/>
        <v>455.4031734</v>
      </c>
      <c r="L216" s="241">
        <f t="shared" si="114"/>
        <v>524.1950594</v>
      </c>
      <c r="M216" s="241">
        <f t="shared" si="115"/>
        <v>68.79188604</v>
      </c>
      <c r="N216" s="241">
        <f t="shared" si="116"/>
        <v>455.4031734</v>
      </c>
      <c r="O216" s="241">
        <f t="shared" si="117"/>
        <v>524.1950594</v>
      </c>
      <c r="P216" s="242">
        <f t="shared" si="2"/>
        <v>0.0004100642911</v>
      </c>
    </row>
    <row r="217">
      <c r="A217" s="236" t="s">
        <v>341</v>
      </c>
      <c r="B217" s="237" t="str">
        <f>' 19.ARRED_HIST_CONSOLIDADO_E_ME'!H116</f>
        <v>MAN_PR_030</v>
      </c>
      <c r="C217" s="238" t="str">
        <f t="shared" si="111"/>
        <v>PRÓPRIO</v>
      </c>
      <c r="D217" s="243" t="s">
        <v>230</v>
      </c>
      <c r="E217" s="239" t="str">
        <f>IFERROR(IF(D217="SINAPI-S",VLOOKUP(B217,'20-B.SINAPI-S'!A:J,2,0),IF(D217="SINAPI-I",VLOOKUP(B217,'20-A.SINAPI-I'!A:G,2,0),IF(D217="COMPOSIÇÕES",VLOOKUP(B217,'11.COMPOSIÇÕES GERAIS'!B:I,2,0),VLOOKUP(B217,'12.COT.MERCADO'!A:I,2,0)))),"Em Elaboração")</f>
        <v>FORNECIMENTO E INSTALAÇÃO DE LIXEIRA EM PLÁSTICO POLIPROPILENO (PP) COM PROTEÇÃO UV, COM CAPACIDADE DE 50L, PARA COLETA SELETIVA COM SUPORTE (POSTE)</v>
      </c>
      <c r="F217" s="240" t="str">
        <f>IFERROR(IF(D217="SINAPI-S",VLOOKUP(B217,'20-B.SINAPI-S'!A:J,3,0),IF(D217="SINAPI-I",VLOOKUP(B217,'20-A.SINAPI-I'!A:G,3,0),IF(D217="COMPOSIÇÕES",VLOOKUP(B217,'11.COMPOSIÇÕES GERAIS'!B:I,3,0),VLOOKUP(B217,'12.COT.MERCADO'!A:I,7,0)))),"Em Elaboração")</f>
        <v>UN</v>
      </c>
      <c r="G217" s="244">
        <f>VLOOKUP(B217,' 19.ARRED_HIST_CONSOLIDADO_E_ME'!H:O,8,0)</f>
        <v>2</v>
      </c>
      <c r="H217" s="241">
        <f>IFERROR(IF(D217="SINAPI-S",VLOOKUP(B217,'20-B.SINAPI-S'!A:J,5,0),IF(D217="SINAPI-I",VLOOKUP(B217,'20-A.SINAPI-I'!A:G,6,0),IF(D217="COMPOSIÇÕES",VLOOKUP(B217,'11.COMPOSIÇÕES GERAIS'!B:I,7,0),0))),"Em Elaboração")</f>
        <v>15.46264</v>
      </c>
      <c r="I217" s="241">
        <f>IFERROR(IF(D217="SINAPI-S",VLOOKUP(B217,'20-B.SINAPI-S'!A:J,6,0),IF(D217="SINAPI-I",VLOOKUP(B217,'20-A.SINAPI-I'!A:G,7,0),IF(D217="COMPOSIÇÕES",VLOOKUP(B217,'11.COMPOSIÇÕES GERAIS'!B:I,8,0),VLOOKUP(B217,'12.COT.MERCADO'!A:I,8,0)))),"Em Elaboração")</f>
        <v>211.51668</v>
      </c>
      <c r="J217" s="241">
        <f t="shared" si="112"/>
        <v>18.15194827</v>
      </c>
      <c r="K217" s="241">
        <f t="shared" si="113"/>
        <v>247.7568026</v>
      </c>
      <c r="L217" s="241">
        <f t="shared" si="114"/>
        <v>265.9087509</v>
      </c>
      <c r="M217" s="241">
        <f t="shared" si="115"/>
        <v>36.30389655</v>
      </c>
      <c r="N217" s="241">
        <f t="shared" si="116"/>
        <v>495.5136052</v>
      </c>
      <c r="O217" s="241">
        <f t="shared" si="117"/>
        <v>531.8175018</v>
      </c>
      <c r="P217" s="242">
        <f t="shared" si="2"/>
        <v>0.0004160271314</v>
      </c>
    </row>
    <row r="218">
      <c r="A218" s="236" t="s">
        <v>342</v>
      </c>
      <c r="B218" s="237">
        <f>' 19.ARRED_HIST_CONSOLIDADO_E_ME'!H117</f>
        <v>4221</v>
      </c>
      <c r="C218" s="238" t="str">
        <f t="shared" si="111"/>
        <v>SINAPI</v>
      </c>
      <c r="D218" s="243" t="s">
        <v>286</v>
      </c>
      <c r="E218" s="239" t="str">
        <f>IFERROR(IF(D218="SINAPI-S",VLOOKUP(B218,'20-B.SINAPI-S'!A:J,2,0),IF(D218="SINAPI-I",VLOOKUP(B218,'20-A.SINAPI-I'!A:G,2,0),IF(D218="COMPOSIÇÕES",VLOOKUP(B218,'11.COMPOSIÇÕES GERAIS'!B:I,2,0),VLOOKUP(B218,'12.COT.MERCADO'!A:I,2,0)))),"Em Elaboração")</f>
        <v>OLEO DIESEL COMBUSTIVEL COMUM</v>
      </c>
      <c r="F218" s="240" t="str">
        <f>IFERROR(IF(D218="SINAPI-S",VLOOKUP(B218,'20-B.SINAPI-S'!A:J,3,0),IF(D218="SINAPI-I",VLOOKUP(B218,'20-A.SINAPI-I'!A:G,3,0),IF(D218="COMPOSIÇÕES",VLOOKUP(B218,'11.COMPOSIÇÕES GERAIS'!B:I,3,0),VLOOKUP(B218,'12.COT.MERCADO'!A:I,7,0)))),"Em Elaboração")</f>
        <v>L</v>
      </c>
      <c r="G218" s="244">
        <f>VLOOKUP(B218,' 19.ARRED_HIST_CONSOLIDADO_E_ME'!H:O,8,0)</f>
        <v>64</v>
      </c>
      <c r="H218" s="241">
        <f>IFERROR(IF(D218="SINAPI-S",VLOOKUP(B218,'20-B.SINAPI-S'!A:J,5,0),IF(D218="SINAPI-I",VLOOKUP(B218,'20-A.SINAPI-I'!A:G,6,0),IF(D218="COMPOSIÇÕES",VLOOKUP(B218,'11.COMPOSIÇÕES GERAIS'!B:I,7,0),0))),"Em Elaboração")</f>
        <v>0</v>
      </c>
      <c r="I218" s="241">
        <f>IFERROR(IF(D218="SINAPI-S",VLOOKUP(B218,'20-B.SINAPI-S'!A:J,6,0),IF(D218="SINAPI-I",VLOOKUP(B218,'20-A.SINAPI-I'!A:G,7,0),IF(D218="COMPOSIÇÕES",VLOOKUP(B218,'11.COMPOSIÇÕES GERAIS'!B:I,8,0),VLOOKUP(B218,'12.COT.MERCADO'!A:I,8,0)))),"Em Elaboração")</f>
        <v>4.55</v>
      </c>
      <c r="J218" s="241">
        <f t="shared" si="112"/>
        <v>0</v>
      </c>
      <c r="K218" s="241">
        <f t="shared" si="113"/>
        <v>5.329572362</v>
      </c>
      <c r="L218" s="241">
        <f t="shared" si="114"/>
        <v>5.329572362</v>
      </c>
      <c r="M218" s="241">
        <f t="shared" si="115"/>
        <v>0</v>
      </c>
      <c r="N218" s="241">
        <f t="shared" si="116"/>
        <v>341.0926312</v>
      </c>
      <c r="O218" s="241">
        <f t="shared" si="117"/>
        <v>341.0926312</v>
      </c>
      <c r="P218" s="242">
        <f t="shared" si="2"/>
        <v>0.0002668279784</v>
      </c>
    </row>
    <row r="219">
      <c r="A219" s="236" t="s">
        <v>343</v>
      </c>
      <c r="B219" s="237">
        <f>' 19.ARRED_HIST_CONSOLIDADO_E_ME'!H118</f>
        <v>11186</v>
      </c>
      <c r="C219" s="238" t="str">
        <f t="shared" si="111"/>
        <v>SINAPI</v>
      </c>
      <c r="D219" s="243" t="s">
        <v>286</v>
      </c>
      <c r="E219" s="239" t="str">
        <f>IFERROR(IF(D219="SINAPI-S",VLOOKUP(B219,'20-B.SINAPI-S'!A:J,2,0),IF(D219="SINAPI-I",VLOOKUP(B219,'20-A.SINAPI-I'!A:G,2,0),IF(D219="COMPOSIÇÕES",VLOOKUP(B219,'11.COMPOSIÇÕES GERAIS'!B:I,2,0),VLOOKUP(B219,'12.COT.MERCADO'!A:I,2,0)))),"Em Elaboração")</f>
        <v>ESPELHO CRISTAL E = 4 MM</v>
      </c>
      <c r="F219" s="240" t="str">
        <f>IFERROR(IF(D219="SINAPI-S",VLOOKUP(B219,'20-B.SINAPI-S'!A:J,3,0),IF(D219="SINAPI-I",VLOOKUP(B219,'20-A.SINAPI-I'!A:G,3,0),IF(D219="COMPOSIÇÕES",VLOOKUP(B219,'11.COMPOSIÇÕES GERAIS'!B:I,3,0),VLOOKUP(B219,'12.COT.MERCADO'!A:I,7,0)))),"Em Elaboração")</f>
        <v>M2</v>
      </c>
      <c r="G219" s="244">
        <f>VLOOKUP(B219,' 19.ARRED_HIST_CONSOLIDADO_E_ME'!H:O,8,0)</f>
        <v>1</v>
      </c>
      <c r="H219" s="241">
        <f>IFERROR(IF(D219="SINAPI-S",VLOOKUP(B219,'20-B.SINAPI-S'!A:J,5,0),IF(D219="SINAPI-I",VLOOKUP(B219,'20-A.SINAPI-I'!A:G,6,0),IF(D219="COMPOSIÇÕES",VLOOKUP(B219,'11.COMPOSIÇÕES GERAIS'!B:I,7,0),0))),"Em Elaboração")</f>
        <v>0</v>
      </c>
      <c r="I219" s="241">
        <f>IFERROR(IF(D219="SINAPI-S",VLOOKUP(B219,'20-B.SINAPI-S'!A:J,6,0),IF(D219="SINAPI-I",VLOOKUP(B219,'20-A.SINAPI-I'!A:G,7,0),IF(D219="COMPOSIÇÕES",VLOOKUP(B219,'11.COMPOSIÇÕES GERAIS'!B:I,8,0),VLOOKUP(B219,'12.COT.MERCADO'!A:I,8,0)))),"Em Elaboração")</f>
        <v>394.16</v>
      </c>
      <c r="J219" s="241">
        <f t="shared" si="112"/>
        <v>0</v>
      </c>
      <c r="K219" s="241">
        <f t="shared" si="113"/>
        <v>461.6932401</v>
      </c>
      <c r="L219" s="241">
        <f t="shared" si="114"/>
        <v>461.6932401</v>
      </c>
      <c r="M219" s="241">
        <f t="shared" si="115"/>
        <v>0</v>
      </c>
      <c r="N219" s="241">
        <f t="shared" si="116"/>
        <v>461.6932401</v>
      </c>
      <c r="O219" s="241">
        <f t="shared" si="117"/>
        <v>461.6932401</v>
      </c>
      <c r="P219" s="242">
        <f t="shared" si="2"/>
        <v>0.0003611707279</v>
      </c>
    </row>
    <row r="220">
      <c r="A220" s="236" t="s">
        <v>344</v>
      </c>
      <c r="B220" s="237" t="str">
        <f>' 19.ARRED_HIST_CONSOLIDADO_E_ME'!H119</f>
        <v>MAN_PR_031</v>
      </c>
      <c r="C220" s="238" t="str">
        <f t="shared" si="111"/>
        <v>PRÓPRIO</v>
      </c>
      <c r="D220" s="243" t="s">
        <v>230</v>
      </c>
      <c r="E220" s="239" t="str">
        <f>IFERROR(IF(D220="SINAPI-S",VLOOKUP(B220,'20-B.SINAPI-S'!A:J,2,0),IF(D220="SINAPI-I",VLOOKUP(B220,'20-A.SINAPI-I'!A:G,2,0),IF(D220="COMPOSIÇÕES",VLOOKUP(B220,'11.COMPOSIÇÕES GERAIS'!B:I,2,0),VLOOKUP(B220,'12.COT.MERCADO'!A:I,2,0)))),"Em Elaboração")</f>
        <v>REPARO PARA VÁLVULA DE DESCARGA, COMPLETO - FORNECIMENTO E INSTALAÇÃO</v>
      </c>
      <c r="F220" s="240" t="str">
        <f>IFERROR(IF(D220="SINAPI-S",VLOOKUP(B220,'20-B.SINAPI-S'!A:J,3,0),IF(D220="SINAPI-I",VLOOKUP(B220,'20-A.SINAPI-I'!A:G,3,0),IF(D220="COMPOSIÇÕES",VLOOKUP(B220,'11.COMPOSIÇÕES GERAIS'!B:I,3,0),VLOOKUP(B220,'12.COT.MERCADO'!A:I,7,0)))),"Em Elaboração")</f>
        <v>UN</v>
      </c>
      <c r="G220" s="244">
        <f>VLOOKUP(B220,' 19.ARRED_HIST_CONSOLIDADO_E_ME'!H:O,8,0)</f>
        <v>1</v>
      </c>
      <c r="H220" s="241">
        <f>IFERROR(IF(D220="SINAPI-S",VLOOKUP(B220,'20-B.SINAPI-S'!A:J,5,0),IF(D220="SINAPI-I",VLOOKUP(B220,'20-A.SINAPI-I'!A:G,6,0),IF(D220="COMPOSIÇÕES",VLOOKUP(B220,'11.COMPOSIÇÕES GERAIS'!B:I,7,0),0))),"Em Elaboração")</f>
        <v>34.736</v>
      </c>
      <c r="I220" s="241">
        <f>IFERROR(IF(D220="SINAPI-S",VLOOKUP(B220,'20-B.SINAPI-S'!A:J,6,0),IF(D220="SINAPI-I",VLOOKUP(B220,'20-A.SINAPI-I'!A:G,7,0),IF(D220="COMPOSIÇÕES",VLOOKUP(B220,'11.COMPOSIÇÕES GERAIS'!B:I,8,0),VLOOKUP(B220,'12.COT.MERCADO'!A:I,8,0)))),"Em Elaboração")</f>
        <v>85.614</v>
      </c>
      <c r="J220" s="241">
        <f t="shared" si="112"/>
        <v>40.77738829</v>
      </c>
      <c r="K220" s="241">
        <f t="shared" si="113"/>
        <v>100.2826392</v>
      </c>
      <c r="L220" s="241">
        <f t="shared" si="114"/>
        <v>141.0600275</v>
      </c>
      <c r="M220" s="241">
        <f t="shared" si="115"/>
        <v>40.77738829</v>
      </c>
      <c r="N220" s="241">
        <f t="shared" si="116"/>
        <v>100.2826392</v>
      </c>
      <c r="O220" s="241">
        <f t="shared" si="117"/>
        <v>141.0600275</v>
      </c>
      <c r="P220" s="242">
        <f t="shared" si="2"/>
        <v>0.0001103476256</v>
      </c>
    </row>
    <row r="221">
      <c r="A221" s="236" t="s">
        <v>345</v>
      </c>
      <c r="B221" s="237">
        <f>' 19.ARRED_HIST_CONSOLIDADO_E_ME'!H120</f>
        <v>100750</v>
      </c>
      <c r="C221" s="238" t="str">
        <f t="shared" si="111"/>
        <v>SINAPI</v>
      </c>
      <c r="D221" s="238" t="s">
        <v>218</v>
      </c>
      <c r="E221" s="239" t="str">
        <f>IFERROR(IF(D221="SINAPI-S",VLOOKUP(B221,'20-B.SINAPI-S'!A:J,2,0),IF(D221="SINAPI-I",VLOOKUP(B221,'20-A.SINAPI-I'!A:G,2,0),IF(D221="COMPOSIÇÕES",VLOOKUP(B221,'11.COMPOSIÇÕES GERAIS'!B:I,2,0),VLOOKUP(B221,'12.COT.MERCADO'!A:I,2,0)))),"Em Elaboração")</f>
        <v>PINTURA COM TINTA ALQUÍDICA DE ACABAMENTO (ESMALTE SINTÉTICO FOSCO) APLICADA A ROLO OU PINCEL SOBRE SUPERFÍCIES METÁLICAS (EXCETO PERFIL) EXECUTADO EM OBRA (POR DEMÃO). AF_01/2020</v>
      </c>
      <c r="F221" s="240" t="str">
        <f>IFERROR(IF(D221="SINAPI-S",VLOOKUP(B221,'20-B.SINAPI-S'!A:J,3,0),IF(D221="SINAPI-I",VLOOKUP(B221,'20-A.SINAPI-I'!A:G,3,0),IF(D221="COMPOSIÇÕES",VLOOKUP(B221,'11.COMPOSIÇÕES GERAIS'!B:I,3,0),VLOOKUP(B221,'12.COT.MERCADO'!A:I,7,0)))),"Em Elaboração")</f>
        <v>M2</v>
      </c>
      <c r="G221" s="244">
        <f>VLOOKUP(B221,' 19.ARRED_HIST_CONSOLIDADO_E_ME'!H:O,8,0)</f>
        <v>5</v>
      </c>
      <c r="H221" s="241">
        <f>IFERROR(IF(D221="SINAPI-S",VLOOKUP(B221,'20-B.SINAPI-S'!A:J,5,0),IF(D221="SINAPI-I",VLOOKUP(B221,'20-A.SINAPI-I'!A:G,6,0),IF(D221="COMPOSIÇÕES",VLOOKUP(B221,'11.COMPOSIÇÕES GERAIS'!B:I,7,0),0))),"Em Elaboração")</f>
        <v>16.65</v>
      </c>
      <c r="I221" s="241">
        <f>IFERROR(IF(D221="SINAPI-S",VLOOKUP(B221,'20-B.SINAPI-S'!A:J,6,0),IF(D221="SINAPI-I",VLOOKUP(B221,'20-A.SINAPI-I'!A:G,7,0),IF(D221="COMPOSIÇÕES",VLOOKUP(B221,'11.COMPOSIÇÕES GERAIS'!B:I,8,0),VLOOKUP(B221,'12.COT.MERCADO'!A:I,8,0)))),"Em Elaboração")</f>
        <v>11.38</v>
      </c>
      <c r="J221" s="241">
        <f t="shared" si="112"/>
        <v>19.54581745</v>
      </c>
      <c r="K221" s="241">
        <f t="shared" si="113"/>
        <v>13.32978758</v>
      </c>
      <c r="L221" s="241">
        <f t="shared" si="114"/>
        <v>32.87560503</v>
      </c>
      <c r="M221" s="241">
        <f t="shared" si="115"/>
        <v>97.72908725</v>
      </c>
      <c r="N221" s="241">
        <f t="shared" si="116"/>
        <v>66.64893789</v>
      </c>
      <c r="O221" s="241">
        <f t="shared" si="117"/>
        <v>164.3780251</v>
      </c>
      <c r="P221" s="242">
        <f t="shared" si="2"/>
        <v>0.0001285886945</v>
      </c>
    </row>
    <row r="222">
      <c r="A222" s="236" t="s">
        <v>346</v>
      </c>
      <c r="B222" s="237" t="str">
        <f>' 19.ARRED_HIST_CONSOLIDADO_E_ME'!H121</f>
        <v>COT_MAN_074</v>
      </c>
      <c r="C222" s="238" t="str">
        <f t="shared" si="111"/>
        <v>PRÓPRIO</v>
      </c>
      <c r="D222" s="243" t="s">
        <v>110</v>
      </c>
      <c r="E222" s="239" t="str">
        <f>IFERROR(IF(D222="SINAPI-S",VLOOKUP(B222,'20-B.SINAPI-S'!A:J,2,0),IF(D222="SINAPI-I",VLOOKUP(B222,'20-A.SINAPI-I'!A:G,2,0),IF(D222="COMPOSIÇÕES",VLOOKUP(B222,'11.COMPOSIÇÕES GERAIS'!B:I,2,0),VLOOKUP(B222,'12.COT.MERCADO'!A:I,2,0)))),"Em Elaboração")</f>
        <v>EXECUÇÃO DO TESTE DE ESTANQUEIDADE PNEUMÁTICO EM CHUVEIRO AUTOMÁTICO SPRINKLER + ELABORAÇÃO DO RELATÓRIO TÉCNICO/LAUDO E FORNECIMENO DE ART</v>
      </c>
      <c r="F222" s="240" t="str">
        <f>IFERROR(IF(D222="SINAPI-S",VLOOKUP(B222,'20-B.SINAPI-S'!A:J,3,0),IF(D222="SINAPI-I",VLOOKUP(B222,'20-A.SINAPI-I'!A:G,3,0),IF(D222="COMPOSIÇÕES",VLOOKUP(B222,'11.COMPOSIÇÕES GERAIS'!B:I,3,0),VLOOKUP(B222,'12.COT.MERCADO'!A:I,7,0)))),"Em Elaboração")</f>
        <v>UN</v>
      </c>
      <c r="G222" s="244">
        <f>VLOOKUP(B222,' 19.ARRED_HIST_CONSOLIDADO_E_ME'!H:O,8,0)</f>
        <v>1</v>
      </c>
      <c r="H222" s="241">
        <f>IFERROR(IF(D222="SINAPI-S",VLOOKUP(B222,'20-B.SINAPI-S'!A:J,5,0),IF(D222="SINAPI-I",VLOOKUP(B222,'20-A.SINAPI-I'!A:G,6,0),IF(D222="COMPOSIÇÕES",VLOOKUP(B222,'11.COMPOSIÇÕES GERAIS'!B:I,7,0),0))),"Em Elaboração")</f>
        <v>0</v>
      </c>
      <c r="I222" s="241">
        <f>IFERROR(IF(D222="SINAPI-S",VLOOKUP(B222,'20-B.SINAPI-S'!A:J,6,0),IF(D222="SINAPI-I",VLOOKUP(B222,'20-A.SINAPI-I'!A:G,7,0),IF(D222="COMPOSIÇÕES",VLOOKUP(B222,'11.COMPOSIÇÕES GERAIS'!B:I,8,0),VLOOKUP(B222,'12.COT.MERCADO'!A:I,8,0)))),"Em Elaboração")</f>
        <v>2800</v>
      </c>
      <c r="J222" s="241">
        <f t="shared" si="112"/>
        <v>0</v>
      </c>
      <c r="K222" s="241">
        <f t="shared" si="113"/>
        <v>3279.736838</v>
      </c>
      <c r="L222" s="241">
        <f t="shared" si="114"/>
        <v>3279.736838</v>
      </c>
      <c r="M222" s="241">
        <f t="shared" si="115"/>
        <v>0</v>
      </c>
      <c r="N222" s="241">
        <f t="shared" si="116"/>
        <v>3279.736838</v>
      </c>
      <c r="O222" s="241">
        <f t="shared" si="117"/>
        <v>3279.736838</v>
      </c>
      <c r="P222" s="242">
        <f t="shared" si="2"/>
        <v>0.002565653639</v>
      </c>
    </row>
    <row r="223">
      <c r="A223" s="236" t="s">
        <v>347</v>
      </c>
      <c r="B223" s="237" t="str">
        <f>' 19.ARRED_HIST_CONSOLIDADO_E_ME'!H122</f>
        <v>COT_MAN_075</v>
      </c>
      <c r="C223" s="238" t="str">
        <f t="shared" si="111"/>
        <v>PRÓPRIO</v>
      </c>
      <c r="D223" s="243" t="s">
        <v>110</v>
      </c>
      <c r="E223" s="239" t="str">
        <f>IFERROR(IF(D223="SINAPI-S",VLOOKUP(B223,'20-B.SINAPI-S'!A:J,2,0),IF(D223="SINAPI-I",VLOOKUP(B223,'20-A.SINAPI-I'!A:G,2,0),IF(D223="COMPOSIÇÕES",VLOOKUP(B223,'11.COMPOSIÇÕES GERAIS'!B:I,2,0),VLOOKUP(B223,'12.COT.MERCADO'!A:I,2,0)))),"Em Elaboração")</f>
        <v>EXECUÇÃO DE TESTE HIDROSTÁTICO EM HIDRANTES + ELABORAÇÃO DO RELATÓRIO TÉCNICO/LAUDO E FORNECIMENO DE ART</v>
      </c>
      <c r="F223" s="240" t="str">
        <f>IFERROR(IF(D223="SINAPI-S",VLOOKUP(B223,'20-B.SINAPI-S'!A:J,3,0),IF(D223="SINAPI-I",VLOOKUP(B223,'20-A.SINAPI-I'!A:G,3,0),IF(D223="COMPOSIÇÕES",VLOOKUP(B223,'11.COMPOSIÇÕES GERAIS'!B:I,3,0),VLOOKUP(B223,'12.COT.MERCADO'!A:I,7,0)))),"Em Elaboração")</f>
        <v>UN</v>
      </c>
      <c r="G223" s="244">
        <f>VLOOKUP(B223,' 19.ARRED_HIST_CONSOLIDADO_E_ME'!H:O,8,0)</f>
        <v>3</v>
      </c>
      <c r="H223" s="241">
        <f>IFERROR(IF(D223="SINAPI-S",VLOOKUP(B223,'20-B.SINAPI-S'!A:J,5,0),IF(D223="SINAPI-I",VLOOKUP(B223,'20-A.SINAPI-I'!A:G,6,0),IF(D223="COMPOSIÇÕES",VLOOKUP(B223,'11.COMPOSIÇÕES GERAIS'!B:I,7,0),0))),"Em Elaboração")</f>
        <v>0</v>
      </c>
      <c r="I223" s="241">
        <f>IFERROR(IF(D223="SINAPI-S",VLOOKUP(B223,'20-B.SINAPI-S'!A:J,6,0),IF(D223="SINAPI-I",VLOOKUP(B223,'20-A.SINAPI-I'!A:G,7,0),IF(D223="COMPOSIÇÕES",VLOOKUP(B223,'11.COMPOSIÇÕES GERAIS'!B:I,8,0),VLOOKUP(B223,'12.COT.MERCADO'!A:I,8,0)))),"Em Elaboração")</f>
        <v>2500</v>
      </c>
      <c r="J223" s="241">
        <f t="shared" si="112"/>
        <v>0</v>
      </c>
      <c r="K223" s="241">
        <f t="shared" si="113"/>
        <v>2928.336463</v>
      </c>
      <c r="L223" s="241">
        <f t="shared" si="114"/>
        <v>2928.336463</v>
      </c>
      <c r="M223" s="241">
        <f t="shared" si="115"/>
        <v>0</v>
      </c>
      <c r="N223" s="241">
        <f t="shared" si="116"/>
        <v>8785.009389</v>
      </c>
      <c r="O223" s="241">
        <f t="shared" si="117"/>
        <v>8785.009389</v>
      </c>
      <c r="P223" s="242">
        <f t="shared" si="2"/>
        <v>0.006872286532</v>
      </c>
    </row>
    <row r="224">
      <c r="A224" s="236" t="s">
        <v>348</v>
      </c>
      <c r="B224" s="237" t="str">
        <f>' 19.ARRED_HIST_CONSOLIDADO_E_ME'!H123</f>
        <v>COT_MAN_076</v>
      </c>
      <c r="C224" s="238" t="str">
        <f t="shared" si="111"/>
        <v>PRÓPRIO</v>
      </c>
      <c r="D224" s="243" t="s">
        <v>110</v>
      </c>
      <c r="E224" s="239" t="str">
        <f>IFERROR(IF(D224="SINAPI-S",VLOOKUP(B224,'20-B.SINAPI-S'!A:J,2,0),IF(D224="SINAPI-I",VLOOKUP(B224,'20-A.SINAPI-I'!A:G,2,0),IF(D224="COMPOSIÇÕES",VLOOKUP(B224,'11.COMPOSIÇÕES GERAIS'!B:I,2,0),VLOOKUP(B224,'12.COT.MERCADO'!A:I,2,0)))),"Em Elaboração")</f>
        <v>EXECUÇÃO DE TESTE EM SISTEMAS DE ALARME DE INCÊNDIO + ELABORAÇÃO DO RELATÓRIO TÉCNICO/LAUDO E FORNECIMENO DE ART</v>
      </c>
      <c r="F224" s="240" t="str">
        <f>IFERROR(IF(D224="SINAPI-S",VLOOKUP(B224,'20-B.SINAPI-S'!A:J,3,0),IF(D224="SINAPI-I",VLOOKUP(B224,'20-A.SINAPI-I'!A:G,3,0),IF(D224="COMPOSIÇÕES",VLOOKUP(B224,'11.COMPOSIÇÕES GERAIS'!B:I,3,0),VLOOKUP(B224,'12.COT.MERCADO'!A:I,7,0)))),"Em Elaboração")</f>
        <v>UN</v>
      </c>
      <c r="G224" s="244">
        <f>VLOOKUP(B224,' 19.ARRED_HIST_CONSOLIDADO_E_ME'!H:O,8,0)</f>
        <v>1</v>
      </c>
      <c r="H224" s="241">
        <f>IFERROR(IF(D224="SINAPI-S",VLOOKUP(B224,'20-B.SINAPI-S'!A:J,5,0),IF(D224="SINAPI-I",VLOOKUP(B224,'20-A.SINAPI-I'!A:G,6,0),IF(D224="COMPOSIÇÕES",VLOOKUP(B224,'11.COMPOSIÇÕES GERAIS'!B:I,7,0),0))),"Em Elaboração")</f>
        <v>0</v>
      </c>
      <c r="I224" s="241">
        <f>IFERROR(IF(D224="SINAPI-S",VLOOKUP(B224,'20-B.SINAPI-S'!A:J,6,0),IF(D224="SINAPI-I",VLOOKUP(B224,'20-A.SINAPI-I'!A:G,7,0),IF(D224="COMPOSIÇÕES",VLOOKUP(B224,'11.COMPOSIÇÕES GERAIS'!B:I,8,0),VLOOKUP(B224,'12.COT.MERCADO'!A:I,8,0)))),"Em Elaboração")</f>
        <v>1500</v>
      </c>
      <c r="J224" s="241">
        <f t="shared" si="112"/>
        <v>0</v>
      </c>
      <c r="K224" s="241">
        <f t="shared" si="113"/>
        <v>1757.001878</v>
      </c>
      <c r="L224" s="241">
        <f t="shared" si="114"/>
        <v>1757.001878</v>
      </c>
      <c r="M224" s="241">
        <f t="shared" si="115"/>
        <v>0</v>
      </c>
      <c r="N224" s="241">
        <f t="shared" si="116"/>
        <v>1757.001878</v>
      </c>
      <c r="O224" s="241">
        <f t="shared" si="117"/>
        <v>1757.001878</v>
      </c>
      <c r="P224" s="242">
        <f t="shared" si="2"/>
        <v>0.001374457306</v>
      </c>
    </row>
    <row r="225">
      <c r="A225" s="236" t="s">
        <v>349</v>
      </c>
      <c r="B225" s="237" t="str">
        <f>' 19.ARRED_HIST_CONSOLIDADO_E_ME'!H124</f>
        <v>COT_MAN_077</v>
      </c>
      <c r="C225" s="238" t="str">
        <f t="shared" si="111"/>
        <v>PRÓPRIO</v>
      </c>
      <c r="D225" s="243" t="s">
        <v>110</v>
      </c>
      <c r="E225" s="239" t="str">
        <f>IFERROR(IF(D225="SINAPI-S",VLOOKUP(B225,'20-B.SINAPI-S'!A:J,2,0),IF(D225="SINAPI-I",VLOOKUP(B225,'20-A.SINAPI-I'!A:G,2,0),IF(D225="COMPOSIÇÕES",VLOOKUP(B225,'11.COMPOSIÇÕES GERAIS'!B:I,2,0),VLOOKUP(B225,'12.COT.MERCADO'!A:I,2,0)))),"Em Elaboração")</f>
        <v>TESTE CMAR - ACABAMENTOS E REVESTIMENTOS + ELABORAÇÃO DO RELATÓRIO TÉCNICO/LAUDO E FORNECIMENO DE ART</v>
      </c>
      <c r="F225" s="240" t="str">
        <f>IFERROR(IF(D225="SINAPI-S",VLOOKUP(B225,'20-B.SINAPI-S'!A:J,3,0),IF(D225="SINAPI-I",VLOOKUP(B225,'20-A.SINAPI-I'!A:G,3,0),IF(D225="COMPOSIÇÕES",VLOOKUP(B225,'11.COMPOSIÇÕES GERAIS'!B:I,3,0),VLOOKUP(B225,'12.COT.MERCADO'!A:I,7,0)))),"Em Elaboração")</f>
        <v>UN</v>
      </c>
      <c r="G225" s="244">
        <f>VLOOKUP(B225,' 19.ARRED_HIST_CONSOLIDADO_E_ME'!H:O,8,0)</f>
        <v>1</v>
      </c>
      <c r="H225" s="241">
        <f>IFERROR(IF(D225="SINAPI-S",VLOOKUP(B225,'20-B.SINAPI-S'!A:J,5,0),IF(D225="SINAPI-I",VLOOKUP(B225,'20-A.SINAPI-I'!A:G,6,0),IF(D225="COMPOSIÇÕES",VLOOKUP(B225,'11.COMPOSIÇÕES GERAIS'!B:I,7,0),0))),"Em Elaboração")</f>
        <v>0</v>
      </c>
      <c r="I225" s="241">
        <f>IFERROR(IF(D225="SINAPI-S",VLOOKUP(B225,'20-B.SINAPI-S'!A:J,6,0),IF(D225="SINAPI-I",VLOOKUP(B225,'20-A.SINAPI-I'!A:G,7,0),IF(D225="COMPOSIÇÕES",VLOOKUP(B225,'11.COMPOSIÇÕES GERAIS'!B:I,8,0),VLOOKUP(B225,'12.COT.MERCADO'!A:I,8,0)))),"Em Elaboração")</f>
        <v>1500</v>
      </c>
      <c r="J225" s="241">
        <f t="shared" si="112"/>
        <v>0</v>
      </c>
      <c r="K225" s="241">
        <f t="shared" si="113"/>
        <v>1757.001878</v>
      </c>
      <c r="L225" s="241">
        <f t="shared" si="114"/>
        <v>1757.001878</v>
      </c>
      <c r="M225" s="241">
        <f t="shared" si="115"/>
        <v>0</v>
      </c>
      <c r="N225" s="241">
        <f t="shared" si="116"/>
        <v>1757.001878</v>
      </c>
      <c r="O225" s="241">
        <f t="shared" si="117"/>
        <v>1757.001878</v>
      </c>
      <c r="P225" s="242">
        <f t="shared" si="2"/>
        <v>0.001374457306</v>
      </c>
    </row>
    <row r="226">
      <c r="A226" s="236" t="s">
        <v>350</v>
      </c>
      <c r="B226" s="237">
        <f>' 19.ARRED_HIST_CONSOLIDADO_E_ME'!H125</f>
        <v>99855</v>
      </c>
      <c r="C226" s="238" t="str">
        <f t="shared" si="111"/>
        <v>SINAPI</v>
      </c>
      <c r="D226" s="238" t="s">
        <v>218</v>
      </c>
      <c r="E226" s="239" t="str">
        <f>IFERROR(IF(D226="SINAPI-S",VLOOKUP(B226,'20-B.SINAPI-S'!A:J,2,0),IF(D226="SINAPI-I",VLOOKUP(B226,'20-A.SINAPI-I'!A:G,2,0),IF(D226="COMPOSIÇÕES",VLOOKUP(B226,'11.COMPOSIÇÕES GERAIS'!B:I,2,0),VLOOKUP(B226,'12.COT.MERCADO'!A:I,2,0)))),"Em Elaboração")</f>
        <v>CORRIMÃO SIMPLES, DIÂMETRO EXTERNO = 1 1/2_x0094_, EM AÇO GALVANIZADO. AF_04/2019_PS</v>
      </c>
      <c r="F226" s="240" t="str">
        <f>IFERROR(IF(D226="SINAPI-S",VLOOKUP(B226,'20-B.SINAPI-S'!A:J,3,0),IF(D226="SINAPI-I",VLOOKUP(B226,'20-A.SINAPI-I'!A:G,3,0),IF(D226="COMPOSIÇÕES",VLOOKUP(B226,'11.COMPOSIÇÕES GERAIS'!B:I,3,0),VLOOKUP(B226,'12.COT.MERCADO'!A:I,7,0)))),"Em Elaboração")</f>
        <v>M</v>
      </c>
      <c r="G226" s="244">
        <f>VLOOKUP(B226,' 19.ARRED_HIST_CONSOLIDADO_E_ME'!H:O,8,0)</f>
        <v>8</v>
      </c>
      <c r="H226" s="241">
        <f>IFERROR(IF(D226="SINAPI-S",VLOOKUP(B226,'20-B.SINAPI-S'!A:J,5,0),IF(D226="SINAPI-I",VLOOKUP(B226,'20-A.SINAPI-I'!A:G,6,0),IF(D226="COMPOSIÇÕES",VLOOKUP(B226,'11.COMPOSIÇÕES GERAIS'!B:I,7,0),0))),"Em Elaboração")</f>
        <v>37.72</v>
      </c>
      <c r="I226" s="241">
        <f>IFERROR(IF(D226="SINAPI-S",VLOOKUP(B226,'20-B.SINAPI-S'!A:J,6,0),IF(D226="SINAPI-I",VLOOKUP(B226,'20-A.SINAPI-I'!A:G,7,0),IF(D226="COMPOSIÇÕES",VLOOKUP(B226,'11.COMPOSIÇÕES GERAIS'!B:I,8,0),VLOOKUP(B226,'12.COT.MERCADO'!A:I,8,0)))),"Em Elaboração")</f>
        <v>74.49</v>
      </c>
      <c r="J226" s="241">
        <f t="shared" si="112"/>
        <v>44.28037443</v>
      </c>
      <c r="K226" s="241">
        <f t="shared" si="113"/>
        <v>87.25271325</v>
      </c>
      <c r="L226" s="241">
        <f t="shared" si="114"/>
        <v>131.5330877</v>
      </c>
      <c r="M226" s="241">
        <f t="shared" si="115"/>
        <v>354.2429954</v>
      </c>
      <c r="N226" s="241">
        <f t="shared" si="116"/>
        <v>698.021706</v>
      </c>
      <c r="O226" s="241">
        <f t="shared" si="117"/>
        <v>1052.264701</v>
      </c>
      <c r="P226" s="242">
        <f t="shared" si="2"/>
        <v>0.0008231595683</v>
      </c>
    </row>
    <row r="227">
      <c r="A227" s="236" t="s">
        <v>351</v>
      </c>
      <c r="B227" s="237" t="str">
        <f>' 19.ARRED_HIST_CONSOLIDADO_E_ME'!H126</f>
        <v>MAN_PR_033</v>
      </c>
      <c r="C227" s="238" t="str">
        <f t="shared" si="111"/>
        <v>PRÓPRIO</v>
      </c>
      <c r="D227" s="243" t="s">
        <v>230</v>
      </c>
      <c r="E227" s="239" t="str">
        <f>IFERROR(IF(D227="SINAPI-S",VLOOKUP(B227,'20-B.SINAPI-S'!A:J,2,0),IF(D227="SINAPI-I",VLOOKUP(B227,'20-A.SINAPI-I'!A:G,2,0),IF(D227="COMPOSIÇÕES",VLOOKUP(B227,'11.COMPOSIÇÕES GERAIS'!B:I,2,0),VLOOKUP(B227,'12.COT.MERCADO'!A:I,2,0)))),"Em Elaboração")</f>
        <v>FORNECIMENTO E INSTALAÇÃO DE PORTEIRO ELETRONICO. REF.: INTELBRAS IPR 8010 OU SIMILAR</v>
      </c>
      <c r="F227" s="240" t="str">
        <f>IFERROR(IF(D227="SINAPI-S",VLOOKUP(B227,'20-B.SINAPI-S'!A:J,3,0),IF(D227="SINAPI-I",VLOOKUP(B227,'20-A.SINAPI-I'!A:G,3,0),IF(D227="COMPOSIÇÕES",VLOOKUP(B227,'11.COMPOSIÇÕES GERAIS'!B:I,3,0),VLOOKUP(B227,'12.COT.MERCADO'!A:I,7,0)))),"Em Elaboração")</f>
        <v>UN</v>
      </c>
      <c r="G227" s="244">
        <f>VLOOKUP(B227,' 19.ARRED_HIST_CONSOLIDADO_E_ME'!H:O,8,0)</f>
        <v>1</v>
      </c>
      <c r="H227" s="241">
        <f>IFERROR(IF(D227="SINAPI-S",VLOOKUP(B227,'20-B.SINAPI-S'!A:J,5,0),IF(D227="SINAPI-I",VLOOKUP(B227,'20-A.SINAPI-I'!A:G,6,0),IF(D227="COMPOSIÇÕES",VLOOKUP(B227,'11.COMPOSIÇÕES GERAIS'!B:I,7,0),0))),"Em Elaboração")</f>
        <v>44.29</v>
      </c>
      <c r="I227" s="241">
        <f>IFERROR(IF(D227="SINAPI-S",VLOOKUP(B227,'20-B.SINAPI-S'!A:J,6,0),IF(D227="SINAPI-I",VLOOKUP(B227,'20-A.SINAPI-I'!A:G,7,0),IF(D227="COMPOSIÇÕES",VLOOKUP(B227,'11.COMPOSIÇÕES GERAIS'!B:I,8,0),VLOOKUP(B227,'12.COT.MERCADO'!A:I,8,0)))),"Em Elaboração")</f>
        <v>219.93</v>
      </c>
      <c r="J227" s="241">
        <f t="shared" si="112"/>
        <v>51.99304834</v>
      </c>
      <c r="K227" s="241">
        <f t="shared" si="113"/>
        <v>257.6116153</v>
      </c>
      <c r="L227" s="241">
        <f t="shared" si="114"/>
        <v>309.6046637</v>
      </c>
      <c r="M227" s="241">
        <f t="shared" si="115"/>
        <v>51.99304834</v>
      </c>
      <c r="N227" s="241">
        <f t="shared" si="116"/>
        <v>257.6116153</v>
      </c>
      <c r="O227" s="241">
        <f t="shared" si="117"/>
        <v>309.6046637</v>
      </c>
      <c r="P227" s="242">
        <f t="shared" si="2"/>
        <v>0.0002421957526</v>
      </c>
    </row>
    <row r="228">
      <c r="A228" s="236" t="s">
        <v>352</v>
      </c>
      <c r="B228" s="237" t="str">
        <f>' 19.ARRED_HIST_CONSOLIDADO_E_ME'!H127</f>
        <v>MAN_PR_032</v>
      </c>
      <c r="C228" s="238" t="str">
        <f t="shared" si="111"/>
        <v>PRÓPRIO</v>
      </c>
      <c r="D228" s="243" t="s">
        <v>230</v>
      </c>
      <c r="E228" s="239" t="str">
        <f>IFERROR(IF(D228="SINAPI-S",VLOOKUP(B228,'20-B.SINAPI-S'!A:J,2,0),IF(D228="SINAPI-I",VLOOKUP(B228,'20-A.SINAPI-I'!A:G,2,0),IF(D228="COMPOSIÇÕES",VLOOKUP(B228,'11.COMPOSIÇÕES GERAIS'!B:I,2,0),VLOOKUP(B228,'12.COT.MERCADO'!A:I,2,0)))),"Em Elaboração")</f>
        <v>ESCADA DO TIPO MARINHEIRO EM AÇO GALVANIZADO COM PROTEÇÃO </v>
      </c>
      <c r="F228" s="240" t="str">
        <f>IFERROR(IF(D228="SINAPI-S",VLOOKUP(B228,'20-B.SINAPI-S'!A:J,3,0),IF(D228="SINAPI-I",VLOOKUP(B228,'20-A.SINAPI-I'!A:G,3,0),IF(D228="COMPOSIÇÕES",VLOOKUP(B228,'11.COMPOSIÇÕES GERAIS'!B:I,3,0),VLOOKUP(B228,'12.COT.MERCADO'!A:I,7,0)))),"Em Elaboração")</f>
        <v>M</v>
      </c>
      <c r="G228" s="244">
        <f>VLOOKUP(B228,' 19.ARRED_HIST_CONSOLIDADO_E_ME'!H:O,8,0)</f>
        <v>2</v>
      </c>
      <c r="H228" s="241">
        <f>IFERROR(IF(D228="SINAPI-S",VLOOKUP(B228,'20-B.SINAPI-S'!A:J,5,0),IF(D228="SINAPI-I",VLOOKUP(B228,'20-A.SINAPI-I'!A:G,6,0),IF(D228="COMPOSIÇÕES",VLOOKUP(B228,'11.COMPOSIÇÕES GERAIS'!B:I,7,0),0))),"Em Elaboração")</f>
        <v>0</v>
      </c>
      <c r="I228" s="241">
        <f>IFERROR(IF(D228="SINAPI-S",VLOOKUP(B228,'20-B.SINAPI-S'!A:J,6,0),IF(D228="SINAPI-I",VLOOKUP(B228,'20-A.SINAPI-I'!A:G,7,0),IF(D228="COMPOSIÇÕES",VLOOKUP(B228,'11.COMPOSIÇÕES GERAIS'!B:I,8,0),VLOOKUP(B228,'12.COT.MERCADO'!A:I,8,0)))),"Em Elaboração")</f>
        <v>799.28</v>
      </c>
      <c r="J228" s="241">
        <f t="shared" si="112"/>
        <v>0</v>
      </c>
      <c r="K228" s="241">
        <f t="shared" si="113"/>
        <v>936.2243072</v>
      </c>
      <c r="L228" s="241">
        <f t="shared" si="114"/>
        <v>936.2243072</v>
      </c>
      <c r="M228" s="241">
        <f t="shared" si="115"/>
        <v>0</v>
      </c>
      <c r="N228" s="241">
        <f t="shared" si="116"/>
        <v>1872.448614</v>
      </c>
      <c r="O228" s="241">
        <f t="shared" si="117"/>
        <v>1872.448614</v>
      </c>
      <c r="P228" s="242">
        <f t="shared" si="2"/>
        <v>0.001464768315</v>
      </c>
    </row>
    <row r="229">
      <c r="A229" s="236" t="s">
        <v>353</v>
      </c>
      <c r="B229" s="237" t="str">
        <f>' 19.ARRED_HIST_CONSOLIDADO_E_ME'!H128</f>
        <v>MAN_PR_034</v>
      </c>
      <c r="C229" s="238" t="str">
        <f t="shared" si="111"/>
        <v>PRÓPRIO</v>
      </c>
      <c r="D229" s="243" t="s">
        <v>230</v>
      </c>
      <c r="E229" s="239" t="str">
        <f>IFERROR(IF(D229="SINAPI-S",VLOOKUP(B229,'20-B.SINAPI-S'!A:J,2,0),IF(D229="SINAPI-I",VLOOKUP(B229,'20-A.SINAPI-I'!A:G,2,0),IF(D229="COMPOSIÇÕES",VLOOKUP(B229,'11.COMPOSIÇÕES GERAIS'!B:I,2,0),VLOOKUP(B229,'12.COT.MERCADO'!A:I,2,0)))),"Em Elaboração")</f>
        <v>TRATAMENTO DE FISSURAS ESTÁVEIS (NÃO ATIVAS) EM ELEMENTO DE CONCRETO</v>
      </c>
      <c r="F229" s="240" t="str">
        <f>IFERROR(IF(D229="SINAPI-S",VLOOKUP(B229,'20-B.SINAPI-S'!A:J,3,0),IF(D229="SINAPI-I",VLOOKUP(B229,'20-A.SINAPI-I'!A:G,3,0),IF(D229="COMPOSIÇÕES",VLOOKUP(B229,'11.COMPOSIÇÕES GERAIS'!B:I,3,0),VLOOKUP(B229,'12.COT.MERCADO'!A:I,7,0)))),"Em Elaboração")</f>
        <v>M</v>
      </c>
      <c r="G229" s="244">
        <f>VLOOKUP(B229,' 19.ARRED_HIST_CONSOLIDADO_E_ME'!H:O,8,0)</f>
        <v>17</v>
      </c>
      <c r="H229" s="241">
        <f>IFERROR(IF(D229="SINAPI-S",VLOOKUP(B229,'20-B.SINAPI-S'!A:J,5,0),IF(D229="SINAPI-I",VLOOKUP(B229,'20-A.SINAPI-I'!A:G,6,0),IF(D229="COMPOSIÇÕES",VLOOKUP(B229,'11.COMPOSIÇÕES GERAIS'!B:I,7,0),0))),"Em Elaboração")</f>
        <v>126.3</v>
      </c>
      <c r="I229" s="241">
        <f>IFERROR(IF(D229="SINAPI-S",VLOOKUP(B229,'20-B.SINAPI-S'!A:J,6,0),IF(D229="SINAPI-I",VLOOKUP(B229,'20-A.SINAPI-I'!A:G,7,0),IF(D229="COMPOSIÇÕES",VLOOKUP(B229,'11.COMPOSIÇÕES GERAIS'!B:I,8,0),VLOOKUP(B229,'12.COT.MERCADO'!A:I,8,0)))),"Em Elaboração")</f>
        <v>236.164</v>
      </c>
      <c r="J229" s="241">
        <f t="shared" si="112"/>
        <v>148.2664711</v>
      </c>
      <c r="K229" s="241">
        <f t="shared" si="113"/>
        <v>276.627061</v>
      </c>
      <c r="L229" s="241">
        <f t="shared" si="114"/>
        <v>424.8935321</v>
      </c>
      <c r="M229" s="241">
        <f t="shared" si="115"/>
        <v>2520.530009</v>
      </c>
      <c r="N229" s="241">
        <f t="shared" si="116"/>
        <v>4702.660036</v>
      </c>
      <c r="O229" s="241">
        <f t="shared" si="117"/>
        <v>7223.190045</v>
      </c>
      <c r="P229" s="242">
        <f t="shared" si="2"/>
        <v>0.005650515494</v>
      </c>
    </row>
    <row r="230">
      <c r="A230" s="236" t="s">
        <v>354</v>
      </c>
      <c r="B230" s="237">
        <f>' 19.ARRED_HIST_CONSOLIDADO_E_ME'!H129</f>
        <v>98554</v>
      </c>
      <c r="C230" s="238" t="str">
        <f t="shared" si="111"/>
        <v>SINAPI</v>
      </c>
      <c r="D230" s="238" t="s">
        <v>218</v>
      </c>
      <c r="E230" s="239" t="str">
        <f>IFERROR(IF(D230="SINAPI-S",VLOOKUP(B230,'20-B.SINAPI-S'!A:J,2,0),IF(D230="SINAPI-I",VLOOKUP(B230,'20-A.SINAPI-I'!A:G,2,0),IF(D230="COMPOSIÇÕES",VLOOKUP(B230,'11.COMPOSIÇÕES GERAIS'!B:I,2,0),VLOOKUP(B230,'12.COT.MERCADO'!A:I,2,0)))),"Em Elaboração")</f>
        <v>IMPERMEABILIZAÇÃO DE SUPERFÍCIE COM MEMBRANA À BASE DE RESINA ACRÍLICA, 3 DEMÃOS. AF_06/2018</v>
      </c>
      <c r="F230" s="240" t="str">
        <f>IFERROR(IF(D230="SINAPI-S",VLOOKUP(B230,'20-B.SINAPI-S'!A:J,3,0),IF(D230="SINAPI-I",VLOOKUP(B230,'20-A.SINAPI-I'!A:G,3,0),IF(D230="COMPOSIÇÕES",VLOOKUP(B230,'11.COMPOSIÇÕES GERAIS'!B:I,3,0),VLOOKUP(B230,'12.COT.MERCADO'!A:I,7,0)))),"Em Elaboração")</f>
        <v>M2</v>
      </c>
      <c r="G230" s="244">
        <f>VLOOKUP(B230,' 19.ARRED_HIST_CONSOLIDADO_E_ME'!H:O,8,0)</f>
        <v>17</v>
      </c>
      <c r="H230" s="241">
        <f>IFERROR(IF(D230="SINAPI-S",VLOOKUP(B230,'20-B.SINAPI-S'!A:J,5,0),IF(D230="SINAPI-I",VLOOKUP(B230,'20-A.SINAPI-I'!A:G,6,0),IF(D230="COMPOSIÇÕES",VLOOKUP(B230,'11.COMPOSIÇÕES GERAIS'!B:I,7,0),0))),"Em Elaboração")</f>
        <v>16.45</v>
      </c>
      <c r="I230" s="241">
        <f>IFERROR(IF(D230="SINAPI-S",VLOOKUP(B230,'20-B.SINAPI-S'!A:J,6,0),IF(D230="SINAPI-I",VLOOKUP(B230,'20-A.SINAPI-I'!A:G,7,0),IF(D230="COMPOSIÇÕES",VLOOKUP(B230,'11.COMPOSIÇÕES GERAIS'!B:I,8,0),VLOOKUP(B230,'12.COT.MERCADO'!A:I,8,0)))),"Em Elaboração")</f>
        <v>32.46</v>
      </c>
      <c r="J230" s="241">
        <f t="shared" si="112"/>
        <v>19.31103286</v>
      </c>
      <c r="K230" s="241">
        <f t="shared" si="113"/>
        <v>38.02152063</v>
      </c>
      <c r="L230" s="241">
        <f t="shared" si="114"/>
        <v>57.33255349</v>
      </c>
      <c r="M230" s="241">
        <f t="shared" si="115"/>
        <v>328.2875586</v>
      </c>
      <c r="N230" s="241">
        <f t="shared" si="116"/>
        <v>646.3658508</v>
      </c>
      <c r="O230" s="241">
        <f t="shared" si="117"/>
        <v>974.6534093</v>
      </c>
      <c r="P230" s="242">
        <f t="shared" si="2"/>
        <v>0.0007624462539</v>
      </c>
    </row>
    <row r="231">
      <c r="A231" s="236" t="s">
        <v>355</v>
      </c>
      <c r="B231" s="237" t="str">
        <f>' 19.ARRED_HIST_CONSOLIDADO_E_ME'!H130</f>
        <v>MAN_PR_035</v>
      </c>
      <c r="C231" s="238" t="str">
        <f t="shared" si="111"/>
        <v>PRÓPRIO</v>
      </c>
      <c r="D231" s="243" t="s">
        <v>230</v>
      </c>
      <c r="E231" s="239" t="str">
        <f>IFERROR(IF(D231="SINAPI-S",VLOOKUP(B231,'20-B.SINAPI-S'!A:J,2,0),IF(D231="SINAPI-I",VLOOKUP(B231,'20-A.SINAPI-I'!A:G,2,0),IF(D231="COMPOSIÇÕES",VLOOKUP(B231,'11.COMPOSIÇÕES GERAIS'!B:I,2,0),VLOOKUP(B231,'12.COT.MERCADO'!A:I,2,0)))),"Em Elaboração")</f>
        <v>LIMPEZA DE CAIXA D'AGUA OU CISTERNA, COM CAPACIDADE DE 2001 A 20000L, INCLUSIVE DESINFECCAO CONFORME NORMAS DA SANEPAR</v>
      </c>
      <c r="F231" s="240" t="str">
        <f>IFERROR(IF(D231="SINAPI-S",VLOOKUP(B231,'20-B.SINAPI-S'!A:J,3,0),IF(D231="SINAPI-I",VLOOKUP(B231,'20-A.SINAPI-I'!A:G,3,0),IF(D231="COMPOSIÇÕES",VLOOKUP(B231,'11.COMPOSIÇÕES GERAIS'!B:I,3,0),VLOOKUP(B231,'12.COT.MERCADO'!A:I,7,0)))),"Em Elaboração")</f>
        <v>UN</v>
      </c>
      <c r="G231" s="244">
        <f>VLOOKUP(B231,' 19.ARRED_HIST_CONSOLIDADO_E_ME'!H:O,8,0)</f>
        <v>15</v>
      </c>
      <c r="H231" s="241">
        <f>IFERROR(IF(D231="SINAPI-S",VLOOKUP(B231,'20-B.SINAPI-S'!A:J,5,0),IF(D231="SINAPI-I",VLOOKUP(B231,'20-A.SINAPI-I'!A:G,6,0),IF(D231="COMPOSIÇÕES",VLOOKUP(B231,'11.COMPOSIÇÕES GERAIS'!B:I,7,0),0))),"Em Elaboração")</f>
        <v>679.194</v>
      </c>
      <c r="I231" s="241">
        <f>IFERROR(IF(D231="SINAPI-S",VLOOKUP(B231,'20-B.SINAPI-S'!A:J,6,0),IF(D231="SINAPI-I",VLOOKUP(B231,'20-A.SINAPI-I'!A:G,7,0),IF(D231="COMPOSIÇÕES",VLOOKUP(B231,'11.COMPOSIÇÕES GERAIS'!B:I,8,0),VLOOKUP(B231,'12.COT.MERCADO'!A:I,8,0)))),"Em Elaboração")</f>
        <v>246.40171</v>
      </c>
      <c r="J231" s="241">
        <f t="shared" si="112"/>
        <v>797.3214377</v>
      </c>
      <c r="K231" s="241">
        <f t="shared" si="113"/>
        <v>288.6188448</v>
      </c>
      <c r="L231" s="241">
        <f t="shared" si="114"/>
        <v>1085.940282</v>
      </c>
      <c r="M231" s="241">
        <f t="shared" si="115"/>
        <v>11959.82157</v>
      </c>
      <c r="N231" s="241">
        <f t="shared" si="116"/>
        <v>4329.282671</v>
      </c>
      <c r="O231" s="241">
        <f t="shared" si="117"/>
        <v>16289.10424</v>
      </c>
      <c r="P231" s="242">
        <f t="shared" si="2"/>
        <v>0.01274254662</v>
      </c>
    </row>
    <row r="232">
      <c r="A232" s="236" t="s">
        <v>356</v>
      </c>
      <c r="B232" s="237" t="str">
        <f>' 19.ARRED_HIST_CONSOLIDADO_E_ME'!H131</f>
        <v>MAN_PR_036</v>
      </c>
      <c r="C232" s="238" t="str">
        <f t="shared" si="111"/>
        <v>PRÓPRIO</v>
      </c>
      <c r="D232" s="243" t="s">
        <v>230</v>
      </c>
      <c r="E232" s="239" t="str">
        <f>IFERROR(IF(D232="SINAPI-S",VLOOKUP(B232,'20-B.SINAPI-S'!A:J,2,0),IF(D232="SINAPI-I",VLOOKUP(B232,'20-A.SINAPI-I'!A:G,2,0),IF(D232="COMPOSIÇÕES",VLOOKUP(B232,'11.COMPOSIÇÕES GERAIS'!B:I,2,0),VLOOKUP(B232,'12.COT.MERCADO'!A:I,2,0)))),"Em Elaboração")</f>
        <v>LIMPEZA DE CAIXA DE PASSAGEM OU DE GORDURA</v>
      </c>
      <c r="F232" s="240" t="str">
        <f>IFERROR(IF(D232="SINAPI-S",VLOOKUP(B232,'20-B.SINAPI-S'!A:J,3,0),IF(D232="SINAPI-I",VLOOKUP(B232,'20-A.SINAPI-I'!A:G,3,0),IF(D232="COMPOSIÇÕES",VLOOKUP(B232,'11.COMPOSIÇÕES GERAIS'!B:I,3,0),VLOOKUP(B232,'12.COT.MERCADO'!A:I,7,0)))),"Em Elaboração")</f>
        <v>UN</v>
      </c>
      <c r="G232" s="244">
        <f>VLOOKUP(B232,' 19.ARRED_HIST_CONSOLIDADO_E_ME'!H:O,8,0)</f>
        <v>3</v>
      </c>
      <c r="H232" s="241">
        <f>IFERROR(IF(D232="SINAPI-S",VLOOKUP(B232,'20-B.SINAPI-S'!A:J,5,0),IF(D232="SINAPI-I",VLOOKUP(B232,'20-A.SINAPI-I'!A:G,6,0),IF(D232="COMPOSIÇÕES",VLOOKUP(B232,'11.COMPOSIÇÕES GERAIS'!B:I,7,0),0))),"Em Elaboração")</f>
        <v>22.0374</v>
      </c>
      <c r="I232" s="241">
        <f>IFERROR(IF(D232="SINAPI-S",VLOOKUP(B232,'20-B.SINAPI-S'!A:J,6,0),IF(D232="SINAPI-I",VLOOKUP(B232,'20-A.SINAPI-I'!A:G,7,0),IF(D232="COMPOSIÇÕES",VLOOKUP(B232,'11.COMPOSIÇÕES GERAIS'!B:I,8,0),VLOOKUP(B232,'12.COT.MERCADO'!A:I,8,0)))),"Em Elaboração")</f>
        <v>7.7352</v>
      </c>
      <c r="J232" s="241">
        <f t="shared" si="112"/>
        <v>25.87021006</v>
      </c>
      <c r="K232" s="241">
        <f t="shared" si="113"/>
        <v>9.060507283</v>
      </c>
      <c r="L232" s="241">
        <f t="shared" si="114"/>
        <v>34.93071734</v>
      </c>
      <c r="M232" s="241">
        <f t="shared" si="115"/>
        <v>77.61063018</v>
      </c>
      <c r="N232" s="241">
        <f t="shared" si="116"/>
        <v>27.18152185</v>
      </c>
      <c r="O232" s="241">
        <f t="shared" si="117"/>
        <v>104.792152</v>
      </c>
      <c r="P232" s="242">
        <f t="shared" si="2"/>
        <v>0.00008197620096</v>
      </c>
    </row>
    <row r="233">
      <c r="A233" s="236" t="s">
        <v>357</v>
      </c>
      <c r="B233" s="237">
        <f>' 19.ARRED_HIST_CONSOLIDADO_E_ME'!H132</f>
        <v>97587</v>
      </c>
      <c r="C233" s="238" t="str">
        <f t="shared" si="111"/>
        <v>SINAPI</v>
      </c>
      <c r="D233" s="238" t="s">
        <v>218</v>
      </c>
      <c r="E233" s="239" t="str">
        <f>IFERROR(IF(D233="SINAPI-S",VLOOKUP(B233,'20-B.SINAPI-S'!A:J,2,0),IF(D233="SINAPI-I",VLOOKUP(B233,'20-A.SINAPI-I'!A:G,2,0),IF(D233="COMPOSIÇÕES",VLOOKUP(B233,'11.COMPOSIÇÕES GERAIS'!B:I,2,0),VLOOKUP(B233,'12.COT.MERCADO'!A:I,2,0)))),"Em Elaboração")</f>
        <v>LUMINÁRIA TIPO CALHA, DE EMBUTIR, COM 2 LÂMPADAS FLUORESCENTES DE 14 W, COM REATOR DE PARTIDA RÁPIDA - FORNECIMENTO E INSTALAÇÃO. AF_02/2020</v>
      </c>
      <c r="F233" s="240" t="str">
        <f>IFERROR(IF(D233="SINAPI-S",VLOOKUP(B233,'20-B.SINAPI-S'!A:J,3,0),IF(D233="SINAPI-I",VLOOKUP(B233,'20-A.SINAPI-I'!A:G,3,0),IF(D233="COMPOSIÇÕES",VLOOKUP(B233,'11.COMPOSIÇÕES GERAIS'!B:I,3,0),VLOOKUP(B233,'12.COT.MERCADO'!A:I,7,0)))),"Em Elaboração")</f>
        <v>UN</v>
      </c>
      <c r="G233" s="244">
        <f>VLOOKUP(B233,' 19.ARRED_HIST_CONSOLIDADO_E_ME'!H:O,8,0)</f>
        <v>4</v>
      </c>
      <c r="H233" s="241">
        <f>IFERROR(IF(D233="SINAPI-S",VLOOKUP(B233,'20-B.SINAPI-S'!A:J,5,0),IF(D233="SINAPI-I",VLOOKUP(B233,'20-A.SINAPI-I'!A:G,6,0),IF(D233="COMPOSIÇÕES",VLOOKUP(B233,'11.COMPOSIÇÕES GERAIS'!B:I,7,0),0))),"Em Elaboração")</f>
        <v>11.73</v>
      </c>
      <c r="I233" s="241">
        <f>IFERROR(IF(D233="SINAPI-S",VLOOKUP(B233,'20-B.SINAPI-S'!A:J,6,0),IF(D233="SINAPI-I",VLOOKUP(B233,'20-A.SINAPI-I'!A:G,7,0),IF(D233="COMPOSIÇÕES",VLOOKUP(B233,'11.COMPOSIÇÕES GERAIS'!B:I,8,0),VLOOKUP(B233,'12.COT.MERCADO'!A:I,8,0)))),"Em Elaboração")</f>
        <v>259.39</v>
      </c>
      <c r="J233" s="241">
        <f t="shared" si="112"/>
        <v>13.77011644</v>
      </c>
      <c r="K233" s="241">
        <f t="shared" si="113"/>
        <v>303.832478</v>
      </c>
      <c r="L233" s="241">
        <f t="shared" si="114"/>
        <v>317.6025945</v>
      </c>
      <c r="M233" s="241">
        <f t="shared" si="115"/>
        <v>55.08046575</v>
      </c>
      <c r="N233" s="241">
        <f t="shared" si="116"/>
        <v>1215.329912</v>
      </c>
      <c r="O233" s="241">
        <f t="shared" si="117"/>
        <v>1270.410378</v>
      </c>
      <c r="P233" s="242">
        <f t="shared" si="2"/>
        <v>0.0009938093113</v>
      </c>
    </row>
    <row r="234">
      <c r="A234" s="236" t="s">
        <v>358</v>
      </c>
      <c r="B234" s="237">
        <f>' 19.ARRED_HIST_CONSOLIDADO_E_ME'!H133</f>
        <v>97638</v>
      </c>
      <c r="C234" s="238" t="str">
        <f t="shared" si="111"/>
        <v>SINAPI</v>
      </c>
      <c r="D234" s="238" t="s">
        <v>218</v>
      </c>
      <c r="E234" s="239" t="str">
        <f>IFERROR(IF(D234="SINAPI-S",VLOOKUP(B234,'20-B.SINAPI-S'!A:J,2,0),IF(D234="SINAPI-I",VLOOKUP(B234,'20-A.SINAPI-I'!A:G,2,0),IF(D234="COMPOSIÇÕES",VLOOKUP(B234,'11.COMPOSIÇÕES GERAIS'!B:I,2,0),VLOOKUP(B234,'12.COT.MERCADO'!A:I,2,0)))),"Em Elaboração")</f>
        <v>REMOÇÃO DE CHAPAS E PERFIS DE DRYWALL, DE FORMA MANUAL, SEM REAPROVEITAMENTO. AF_12/2017</v>
      </c>
      <c r="F234" s="240" t="str">
        <f>IFERROR(IF(D234="SINAPI-S",VLOOKUP(B234,'20-B.SINAPI-S'!A:J,3,0),IF(D234="SINAPI-I",VLOOKUP(B234,'20-A.SINAPI-I'!A:G,3,0),IF(D234="COMPOSIÇÕES",VLOOKUP(B234,'11.COMPOSIÇÕES GERAIS'!B:I,3,0),VLOOKUP(B234,'12.COT.MERCADO'!A:I,7,0)))),"Em Elaboração")</f>
        <v>M2</v>
      </c>
      <c r="G234" s="244">
        <f>VLOOKUP(B234,' 19.ARRED_HIST_CONSOLIDADO_E_ME'!H:O,8,0)</f>
        <v>3</v>
      </c>
      <c r="H234" s="241">
        <f>IFERROR(IF(D234="SINAPI-S",VLOOKUP(B234,'20-B.SINAPI-S'!A:J,5,0),IF(D234="SINAPI-I",VLOOKUP(B234,'20-A.SINAPI-I'!A:G,6,0),IF(D234="COMPOSIÇÕES",VLOOKUP(B234,'11.COMPOSIÇÕES GERAIS'!B:I,7,0),0))),"Em Elaboração")</f>
        <v>6.83</v>
      </c>
      <c r="I234" s="241">
        <f>IFERROR(IF(D234="SINAPI-S",VLOOKUP(B234,'20-B.SINAPI-S'!A:J,6,0),IF(D234="SINAPI-I",VLOOKUP(B234,'20-A.SINAPI-I'!A:G,7,0),IF(D234="COMPOSIÇÕES",VLOOKUP(B234,'11.COMPOSIÇÕES GERAIS'!B:I,8,0),VLOOKUP(B234,'12.COT.MERCADO'!A:I,8,0)))),"Em Elaboração")</f>
        <v>2.55</v>
      </c>
      <c r="J234" s="241">
        <f t="shared" si="112"/>
        <v>8.017893885</v>
      </c>
      <c r="K234" s="241">
        <f t="shared" si="113"/>
        <v>2.986903192</v>
      </c>
      <c r="L234" s="241">
        <f t="shared" si="114"/>
        <v>11.00479708</v>
      </c>
      <c r="M234" s="241">
        <f t="shared" si="115"/>
        <v>24.05368166</v>
      </c>
      <c r="N234" s="241">
        <f t="shared" si="116"/>
        <v>8.960709576</v>
      </c>
      <c r="O234" s="241">
        <f t="shared" si="117"/>
        <v>33.01439123</v>
      </c>
      <c r="P234" s="242">
        <f t="shared" si="2"/>
        <v>0.00002582630777</v>
      </c>
    </row>
    <row r="235">
      <c r="A235" s="236" t="s">
        <v>359</v>
      </c>
      <c r="B235" s="237">
        <f>' 19.ARRED_HIST_CONSOLIDADO_E_ME'!H134</f>
        <v>92988</v>
      </c>
      <c r="C235" s="238" t="str">
        <f t="shared" si="111"/>
        <v>SINAPI</v>
      </c>
      <c r="D235" s="238" t="s">
        <v>218</v>
      </c>
      <c r="E235" s="239" t="str">
        <f>IFERROR(IF(D235="SINAPI-S",VLOOKUP(B235,'20-B.SINAPI-S'!A:J,2,0),IF(D235="SINAPI-I",VLOOKUP(B235,'20-A.SINAPI-I'!A:G,2,0),IF(D235="COMPOSIÇÕES",VLOOKUP(B235,'11.COMPOSIÇÕES GERAIS'!B:I,2,0),VLOOKUP(B235,'12.COT.MERCADO'!A:I,2,0)))),"Em Elaboração")</f>
        <v>CABO DE COBRE FLEXÍVEL ISOLADO, 50 MM², ANTI-CHAMA 0,6/1,0 KV, PARA REDE ENTERRADA DE DISTRIBUIÇÃO DE ENERGIA ELÉTRICA - FORNECIMENTO E INSTALAÇÃO. AF_12/2021</v>
      </c>
      <c r="F235" s="240" t="str">
        <f>IFERROR(IF(D235="SINAPI-S",VLOOKUP(B235,'20-B.SINAPI-S'!A:J,3,0),IF(D235="SINAPI-I",VLOOKUP(B235,'20-A.SINAPI-I'!A:G,3,0),IF(D235="COMPOSIÇÕES",VLOOKUP(B235,'11.COMPOSIÇÕES GERAIS'!B:I,3,0),VLOOKUP(B235,'12.COT.MERCADO'!A:I,7,0)))),"Em Elaboração")</f>
        <v>M</v>
      </c>
      <c r="G235" s="244">
        <f>VLOOKUP(B235,' 19.ARRED_HIST_CONSOLIDADO_E_ME'!H:O,8,0)</f>
        <v>53</v>
      </c>
      <c r="H235" s="241">
        <f>IFERROR(IF(D235="SINAPI-S",VLOOKUP(B235,'20-B.SINAPI-S'!A:J,5,0),IF(D235="SINAPI-I",VLOOKUP(B235,'20-A.SINAPI-I'!A:G,6,0),IF(D235="COMPOSIÇÕES",VLOOKUP(B235,'11.COMPOSIÇÕES GERAIS'!B:I,7,0),0))),"Em Elaboração")</f>
        <v>3.65</v>
      </c>
      <c r="I235" s="241">
        <f>IFERROR(IF(D235="SINAPI-S",VLOOKUP(B235,'20-B.SINAPI-S'!A:J,6,0),IF(D235="SINAPI-I",VLOOKUP(B235,'20-A.SINAPI-I'!A:G,7,0),IF(D235="COMPOSIÇÕES",VLOOKUP(B235,'11.COMPOSIÇÕES GERAIS'!B:I,8,0),VLOOKUP(B235,'12.COT.MERCADO'!A:I,8,0)))),"Em Elaboração")</f>
        <v>50.59</v>
      </c>
      <c r="J235" s="241">
        <f t="shared" si="112"/>
        <v>4.284818841</v>
      </c>
      <c r="K235" s="241">
        <f t="shared" si="113"/>
        <v>59.25781666</v>
      </c>
      <c r="L235" s="241">
        <f t="shared" si="114"/>
        <v>63.5426355</v>
      </c>
      <c r="M235" s="241">
        <f t="shared" si="115"/>
        <v>227.0953985</v>
      </c>
      <c r="N235" s="241">
        <f t="shared" si="116"/>
        <v>3140.664283</v>
      </c>
      <c r="O235" s="241">
        <f t="shared" si="117"/>
        <v>3367.759682</v>
      </c>
      <c r="P235" s="242">
        <f t="shared" si="2"/>
        <v>0.002634511641</v>
      </c>
    </row>
    <row r="236">
      <c r="A236" s="236" t="s">
        <v>360</v>
      </c>
      <c r="B236" s="237">
        <f>' 19.ARRED_HIST_CONSOLIDADO_E_ME'!H135</f>
        <v>100702</v>
      </c>
      <c r="C236" s="238" t="str">
        <f t="shared" si="111"/>
        <v>SINAPI</v>
      </c>
      <c r="D236" s="238" t="s">
        <v>218</v>
      </c>
      <c r="E236" s="239" t="str">
        <f>IFERROR(IF(D236="SINAPI-S",VLOOKUP(B236,'20-B.SINAPI-S'!A:J,2,0),IF(D236="SINAPI-I",VLOOKUP(B236,'20-A.SINAPI-I'!A:G,2,0),IF(D236="COMPOSIÇÕES",VLOOKUP(B236,'11.COMPOSIÇÕES GERAIS'!B:I,2,0),VLOOKUP(B236,'12.COT.MERCADO'!A:I,2,0)))),"Em Elaboração")</f>
        <v>PORTA DE CORRER DE ALUMÍNIO, COM DUAS FOLHAS PARA VIDRO, INCLUSO VIDRO LISO INCOLOR, FECHADURA E PUXADOR, SEM ALIZAR. AF_12/2019</v>
      </c>
      <c r="F236" s="240" t="str">
        <f>IFERROR(IF(D236="SINAPI-S",VLOOKUP(B236,'20-B.SINAPI-S'!A:J,3,0),IF(D236="SINAPI-I",VLOOKUP(B236,'20-A.SINAPI-I'!A:G,3,0),IF(D236="COMPOSIÇÕES",VLOOKUP(B236,'11.COMPOSIÇÕES GERAIS'!B:I,3,0),VLOOKUP(B236,'12.COT.MERCADO'!A:I,7,0)))),"Em Elaboração")</f>
        <v>M2</v>
      </c>
      <c r="G236" s="244">
        <f>VLOOKUP(B236,' 19.ARRED_HIST_CONSOLIDADO_E_ME'!H:O,8,0)</f>
        <v>1</v>
      </c>
      <c r="H236" s="241">
        <f>IFERROR(IF(D236="SINAPI-S",VLOOKUP(B236,'20-B.SINAPI-S'!A:J,5,0),IF(D236="SINAPI-I",VLOOKUP(B236,'20-A.SINAPI-I'!A:G,6,0),IF(D236="COMPOSIÇÕES",VLOOKUP(B236,'11.COMPOSIÇÕES GERAIS'!B:I,7,0),0))),"Em Elaboração")</f>
        <v>9.4</v>
      </c>
      <c r="I236" s="241">
        <f>IFERROR(IF(D236="SINAPI-S",VLOOKUP(B236,'20-B.SINAPI-S'!A:J,6,0),IF(D236="SINAPI-I",VLOOKUP(B236,'20-A.SINAPI-I'!A:G,7,0),IF(D236="COMPOSIÇÕES",VLOOKUP(B236,'11.COMPOSIÇÕES GERAIS'!B:I,8,0),VLOOKUP(B236,'12.COT.MERCADO'!A:I,8,0)))),"Em Elaboração")</f>
        <v>829.66</v>
      </c>
      <c r="J236" s="241">
        <f t="shared" si="112"/>
        <v>11.03487592</v>
      </c>
      <c r="K236" s="241">
        <f t="shared" si="113"/>
        <v>971.8094519</v>
      </c>
      <c r="L236" s="241">
        <f t="shared" si="114"/>
        <v>982.8443278</v>
      </c>
      <c r="M236" s="241">
        <f t="shared" si="115"/>
        <v>11.03487592</v>
      </c>
      <c r="N236" s="241">
        <f t="shared" si="116"/>
        <v>971.8094519</v>
      </c>
      <c r="O236" s="241">
        <f t="shared" si="117"/>
        <v>982.8443278</v>
      </c>
      <c r="P236" s="242">
        <f t="shared" si="2"/>
        <v>0.0007688537984</v>
      </c>
    </row>
    <row r="237">
      <c r="A237" s="236" t="s">
        <v>361</v>
      </c>
      <c r="B237" s="237">
        <f>' 19.ARRED_HIST_CONSOLIDADO_E_ME'!H136</f>
        <v>94798</v>
      </c>
      <c r="C237" s="238" t="str">
        <f t="shared" si="111"/>
        <v>SINAPI</v>
      </c>
      <c r="D237" s="238" t="s">
        <v>218</v>
      </c>
      <c r="E237" s="239" t="str">
        <f>IFERROR(IF(D237="SINAPI-S",VLOOKUP(B237,'20-B.SINAPI-S'!A:J,2,0),IF(D237="SINAPI-I",VLOOKUP(B237,'20-A.SINAPI-I'!A:G,2,0),IF(D237="COMPOSIÇÕES",VLOOKUP(B237,'11.COMPOSIÇÕES GERAIS'!B:I,2,0),VLOOKUP(B237,'12.COT.MERCADO'!A:I,2,0)))),"Em Elaboração")</f>
        <v>TORNEIRA DE BOIA PARA CAIXA D'ÁGUA, ROSCÁVEL, 1 1/4" - FORNECIMENTO E INSTALAÇÃO. AF_08/2021</v>
      </c>
      <c r="F237" s="240" t="str">
        <f>IFERROR(IF(D237="SINAPI-S",VLOOKUP(B237,'20-B.SINAPI-S'!A:J,3,0),IF(D237="SINAPI-I",VLOOKUP(B237,'20-A.SINAPI-I'!A:G,3,0),IF(D237="COMPOSIÇÕES",VLOOKUP(B237,'11.COMPOSIÇÕES GERAIS'!B:I,3,0),VLOOKUP(B237,'12.COT.MERCADO'!A:I,7,0)))),"Em Elaboração")</f>
        <v>UN</v>
      </c>
      <c r="G237" s="244">
        <f>VLOOKUP(B237,' 19.ARRED_HIST_CONSOLIDADO_E_ME'!H:O,8,0)</f>
        <v>1</v>
      </c>
      <c r="H237" s="241">
        <f>IFERROR(IF(D237="SINAPI-S",VLOOKUP(B237,'20-B.SINAPI-S'!A:J,5,0),IF(D237="SINAPI-I",VLOOKUP(B237,'20-A.SINAPI-I'!A:G,6,0),IF(D237="COMPOSIÇÕES",VLOOKUP(B237,'11.COMPOSIÇÕES GERAIS'!B:I,7,0),0))),"Em Elaboração")</f>
        <v>15.12</v>
      </c>
      <c r="I237" s="241">
        <f>IFERROR(IF(D237="SINAPI-S",VLOOKUP(B237,'20-B.SINAPI-S'!A:J,6,0),IF(D237="SINAPI-I",VLOOKUP(B237,'20-A.SINAPI-I'!A:G,7,0),IF(D237="COMPOSIÇÕES",VLOOKUP(B237,'11.COMPOSIÇÕES GERAIS'!B:I,8,0),VLOOKUP(B237,'12.COT.MERCADO'!A:I,8,0)))),"Em Elaboração")</f>
        <v>126.66</v>
      </c>
      <c r="J237" s="241">
        <f t="shared" si="112"/>
        <v>17.74971531</v>
      </c>
      <c r="K237" s="241">
        <f t="shared" si="113"/>
        <v>148.3612386</v>
      </c>
      <c r="L237" s="241">
        <f t="shared" si="114"/>
        <v>166.1109539</v>
      </c>
      <c r="M237" s="241">
        <f t="shared" si="115"/>
        <v>17.74971531</v>
      </c>
      <c r="N237" s="241">
        <f t="shared" si="116"/>
        <v>148.3612386</v>
      </c>
      <c r="O237" s="241">
        <f t="shared" si="117"/>
        <v>166.1109539</v>
      </c>
      <c r="P237" s="242">
        <f t="shared" si="2"/>
        <v>0.00012994432</v>
      </c>
    </row>
    <row r="238">
      <c r="A238" s="236" t="s">
        <v>362</v>
      </c>
      <c r="B238" s="237">
        <f>' 19.ARRED_HIST_CONSOLIDADO_E_ME'!H137</f>
        <v>91995</v>
      </c>
      <c r="C238" s="238" t="str">
        <f t="shared" si="111"/>
        <v>SINAPI</v>
      </c>
      <c r="D238" s="238" t="s">
        <v>218</v>
      </c>
      <c r="E238" s="239" t="str">
        <f>IFERROR(IF(D238="SINAPI-S",VLOOKUP(B238,'20-B.SINAPI-S'!A:J,2,0),IF(D238="SINAPI-I",VLOOKUP(B238,'20-A.SINAPI-I'!A:G,2,0),IF(D238="COMPOSIÇÕES",VLOOKUP(B238,'11.COMPOSIÇÕES GERAIS'!B:I,2,0),VLOOKUP(B238,'12.COT.MERCADO'!A:I,2,0)))),"Em Elaboração")</f>
        <v>TOMADA MÉDIA DE EMBUTIR (1 MÓDULO), 2P+T 20 A, SEM SUPORTE E SEM PLACA - FORNECIMENTO E INSTALAÇÃO. AF_03/2023</v>
      </c>
      <c r="F238" s="240" t="str">
        <f>IFERROR(IF(D238="SINAPI-S",VLOOKUP(B238,'20-B.SINAPI-S'!A:J,3,0),IF(D238="SINAPI-I",VLOOKUP(B238,'20-A.SINAPI-I'!A:G,3,0),IF(D238="COMPOSIÇÕES",VLOOKUP(B238,'11.COMPOSIÇÕES GERAIS'!B:I,3,0),VLOOKUP(B238,'12.COT.MERCADO'!A:I,7,0)))),"Em Elaboração")</f>
        <v>UN</v>
      </c>
      <c r="G238" s="244">
        <f>VLOOKUP(B238,' 19.ARRED_HIST_CONSOLIDADO_E_ME'!H:O,8,0)</f>
        <v>2</v>
      </c>
      <c r="H238" s="241">
        <f>IFERROR(IF(D238="SINAPI-S",VLOOKUP(B238,'20-B.SINAPI-S'!A:J,5,0),IF(D238="SINAPI-I",VLOOKUP(B238,'20-A.SINAPI-I'!A:G,6,0),IF(D238="COMPOSIÇÕES",VLOOKUP(B238,'11.COMPOSIÇÕES GERAIS'!B:I,7,0),0))),"Em Elaboração")</f>
        <v>14.02</v>
      </c>
      <c r="I238" s="241">
        <f>IFERROR(IF(D238="SINAPI-S",VLOOKUP(B238,'20-B.SINAPI-S'!A:J,6,0),IF(D238="SINAPI-I",VLOOKUP(B238,'20-A.SINAPI-I'!A:G,7,0),IF(D238="COMPOSIÇÕES",VLOOKUP(B238,'11.COMPOSIÇÕES GERAIS'!B:I,8,0),VLOOKUP(B238,'12.COT.MERCADO'!A:I,8,0)))),"Em Elaboração")</f>
        <v>15.77</v>
      </c>
      <c r="J238" s="241">
        <f t="shared" si="112"/>
        <v>16.45840004</v>
      </c>
      <c r="K238" s="241">
        <f t="shared" si="113"/>
        <v>18.47194641</v>
      </c>
      <c r="L238" s="241">
        <f t="shared" si="114"/>
        <v>34.93034645</v>
      </c>
      <c r="M238" s="241">
        <f t="shared" si="115"/>
        <v>32.91680008</v>
      </c>
      <c r="N238" s="241">
        <f t="shared" si="116"/>
        <v>36.94389282</v>
      </c>
      <c r="O238" s="241">
        <f t="shared" si="117"/>
        <v>69.86069289</v>
      </c>
      <c r="P238" s="242">
        <f t="shared" si="2"/>
        <v>0.00005465022035</v>
      </c>
    </row>
    <row r="239">
      <c r="A239" s="236" t="s">
        <v>363</v>
      </c>
      <c r="B239" s="237">
        <f>' 19.ARRED_HIST_CONSOLIDADO_E_ME'!H138</f>
        <v>102255</v>
      </c>
      <c r="C239" s="238" t="str">
        <f t="shared" si="111"/>
        <v>SINAPI</v>
      </c>
      <c r="D239" s="238" t="s">
        <v>218</v>
      </c>
      <c r="E239" s="239" t="str">
        <f>IFERROR(IF(D239="SINAPI-S",VLOOKUP(B239,'20-B.SINAPI-S'!A:J,2,0),IF(D239="SINAPI-I",VLOOKUP(B239,'20-A.SINAPI-I'!A:G,2,0),IF(D239="COMPOSIÇÕES",VLOOKUP(B239,'11.COMPOSIÇÕES GERAIS'!B:I,2,0),VLOOKUP(B239,'12.COT.MERCADO'!A:I,2,0)))),"Em Elaboração")</f>
        <v>TAPA VISTA DE MICTÓRIO EM GRANITO CINZA POLIDO, ESP = 3CM, ASSENTADO COM ARGAMASSA COLANTE AC III-E . AF_01/2021</v>
      </c>
      <c r="F239" s="240" t="str">
        <f>IFERROR(IF(D239="SINAPI-S",VLOOKUP(B239,'20-B.SINAPI-S'!A:J,3,0),IF(D239="SINAPI-I",VLOOKUP(B239,'20-A.SINAPI-I'!A:G,3,0),IF(D239="COMPOSIÇÕES",VLOOKUP(B239,'11.COMPOSIÇÕES GERAIS'!B:I,3,0),VLOOKUP(B239,'12.COT.MERCADO'!A:I,7,0)))),"Em Elaboração")</f>
        <v>M2</v>
      </c>
      <c r="G239" s="244">
        <f>VLOOKUP(B239,' 19.ARRED_HIST_CONSOLIDADO_E_ME'!H:O,8,0)</f>
        <v>1</v>
      </c>
      <c r="H239" s="241">
        <f>IFERROR(IF(D239="SINAPI-S",VLOOKUP(B239,'20-B.SINAPI-S'!A:J,5,0),IF(D239="SINAPI-I",VLOOKUP(B239,'20-A.SINAPI-I'!A:G,6,0),IF(D239="COMPOSIÇÕES",VLOOKUP(B239,'11.COMPOSIÇÕES GERAIS'!B:I,7,0),0))),"Em Elaboração")</f>
        <v>166.21</v>
      </c>
      <c r="I239" s="241">
        <f>IFERROR(IF(D239="SINAPI-S",VLOOKUP(B239,'20-B.SINAPI-S'!A:J,6,0),IF(D239="SINAPI-I",VLOOKUP(B239,'20-A.SINAPI-I'!A:G,7,0),IF(D239="COMPOSIÇÕES",VLOOKUP(B239,'11.COMPOSIÇÕES GERAIS'!B:I,8,0),VLOOKUP(B239,'12.COT.MERCADO'!A:I,8,0)))),"Em Elaboração")</f>
        <v>722.06</v>
      </c>
      <c r="J239" s="241">
        <f t="shared" si="112"/>
        <v>195.1177368</v>
      </c>
      <c r="K239" s="241">
        <f t="shared" si="113"/>
        <v>845.7738505</v>
      </c>
      <c r="L239" s="241">
        <f t="shared" si="114"/>
        <v>1040.891587</v>
      </c>
      <c r="M239" s="241">
        <f t="shared" si="115"/>
        <v>195.1177368</v>
      </c>
      <c r="N239" s="241">
        <f t="shared" si="116"/>
        <v>845.7738505</v>
      </c>
      <c r="O239" s="241">
        <f t="shared" si="117"/>
        <v>1040.891587</v>
      </c>
      <c r="P239" s="242">
        <f t="shared" si="2"/>
        <v>0.0008142626742</v>
      </c>
    </row>
    <row r="240">
      <c r="A240" s="236" t="s">
        <v>364</v>
      </c>
      <c r="B240" s="237" t="str">
        <f>' 19.ARRED_HIST_CONSOLIDADO_E_ME'!H139</f>
        <v>MAN_PR_037</v>
      </c>
      <c r="C240" s="238" t="str">
        <f t="shared" si="111"/>
        <v>PRÓPRIO</v>
      </c>
      <c r="D240" s="243" t="s">
        <v>230</v>
      </c>
      <c r="E240" s="239" t="str">
        <f>IFERROR(IF(D240="SINAPI-S",VLOOKUP(B240,'20-B.SINAPI-S'!A:J,2,0),IF(D240="SINAPI-I",VLOOKUP(B240,'20-A.SINAPI-I'!A:G,2,0),IF(D240="COMPOSIÇÕES",VLOOKUP(B240,'11.COMPOSIÇÕES GERAIS'!B:I,2,0),VLOOKUP(B240,'12.COT.MERCADO'!A:I,2,0)))),"Em Elaboração")</f>
        <v>LUBRIFICAÇÃO DE FERRAGEM</v>
      </c>
      <c r="F240" s="240" t="str">
        <f>IFERROR(IF(D240="SINAPI-S",VLOOKUP(B240,'20-B.SINAPI-S'!A:J,3,0),IF(D240="SINAPI-I",VLOOKUP(B240,'20-A.SINAPI-I'!A:G,3,0),IF(D240="COMPOSIÇÕES",VLOOKUP(B240,'11.COMPOSIÇÕES GERAIS'!B:I,3,0),VLOOKUP(B240,'12.COT.MERCADO'!A:I,7,0)))),"Em Elaboração")</f>
        <v>UN</v>
      </c>
      <c r="G240" s="244">
        <f>VLOOKUP(B240,' 19.ARRED_HIST_CONSOLIDADO_E_ME'!H:O,8,0)</f>
        <v>1</v>
      </c>
      <c r="H240" s="241">
        <f>IFERROR(IF(D240="SINAPI-S",VLOOKUP(B240,'20-B.SINAPI-S'!A:J,5,0),IF(D240="SINAPI-I",VLOOKUP(B240,'20-A.SINAPI-I'!A:G,6,0),IF(D240="COMPOSIÇÕES",VLOOKUP(B240,'11.COMPOSIÇÕES GERAIS'!B:I,7,0),0))),"Em Elaboração")</f>
        <v>1.742</v>
      </c>
      <c r="I240" s="241">
        <f>IFERROR(IF(D240="SINAPI-S",VLOOKUP(B240,'20-B.SINAPI-S'!A:J,6,0),IF(D240="SINAPI-I",VLOOKUP(B240,'20-A.SINAPI-I'!A:G,7,0),IF(D240="COMPOSIÇÕES",VLOOKUP(B240,'11.COMPOSIÇÕES GERAIS'!B:I,8,0),VLOOKUP(B240,'12.COT.MERCADO'!A:I,8,0)))),"Em Elaboração")</f>
        <v>1.068935</v>
      </c>
      <c r="J240" s="241">
        <f t="shared" si="112"/>
        <v>2.044973814</v>
      </c>
      <c r="K240" s="241">
        <f t="shared" si="113"/>
        <v>1.252080535</v>
      </c>
      <c r="L240" s="241">
        <f t="shared" si="114"/>
        <v>3.297054349</v>
      </c>
      <c r="M240" s="241">
        <f t="shared" si="115"/>
        <v>2.044973814</v>
      </c>
      <c r="N240" s="241">
        <f t="shared" si="116"/>
        <v>1.252080535</v>
      </c>
      <c r="O240" s="241">
        <f t="shared" si="117"/>
        <v>3.297054349</v>
      </c>
      <c r="P240" s="242">
        <f t="shared" si="2"/>
        <v>0.000002579200681</v>
      </c>
    </row>
    <row r="241">
      <c r="A241" s="236" t="s">
        <v>365</v>
      </c>
      <c r="B241" s="237">
        <f>' 19.ARRED_HIST_CONSOLIDADO_E_ME'!H140</f>
        <v>88488</v>
      </c>
      <c r="C241" s="238" t="str">
        <f t="shared" si="111"/>
        <v>SINAPI</v>
      </c>
      <c r="D241" s="238" t="s">
        <v>218</v>
      </c>
      <c r="E241" s="239" t="str">
        <f>IFERROR(IF(D241="SINAPI-S",VLOOKUP(B241,'20-B.SINAPI-S'!A:J,2,0),IF(D241="SINAPI-I",VLOOKUP(B241,'20-A.SINAPI-I'!A:G,2,0),IF(D241="COMPOSIÇÕES",VLOOKUP(B241,'11.COMPOSIÇÕES GERAIS'!B:I,2,0),VLOOKUP(B241,'12.COT.MERCADO'!A:I,2,0)))),"Em Elaboração")</f>
        <v>PINTURA LÁTEX ACRÍLICA PREMIUM, APLICAÇÃO MANUAL EM TETO, DUAS DEMÃOS. AF_04/2023</v>
      </c>
      <c r="F241" s="240" t="str">
        <f>IFERROR(IF(D241="SINAPI-S",VLOOKUP(B241,'20-B.SINAPI-S'!A:J,3,0),IF(D241="SINAPI-I",VLOOKUP(B241,'20-A.SINAPI-I'!A:G,3,0),IF(D241="COMPOSIÇÕES",VLOOKUP(B241,'11.COMPOSIÇÕES GERAIS'!B:I,3,0),VLOOKUP(B241,'12.COT.MERCADO'!A:I,7,0)))),"Em Elaboração")</f>
        <v>M2</v>
      </c>
      <c r="G241" s="244">
        <f>VLOOKUP(B241,' 19.ARRED_HIST_CONSOLIDADO_E_ME'!H:O,8,0)</f>
        <v>28</v>
      </c>
      <c r="H241" s="241">
        <f>IFERROR(IF(D241="SINAPI-S",VLOOKUP(B241,'20-B.SINAPI-S'!A:J,5,0),IF(D241="SINAPI-I",VLOOKUP(B241,'20-A.SINAPI-I'!A:G,6,0),IF(D241="COMPOSIÇÕES",VLOOKUP(B241,'11.COMPOSIÇÕES GERAIS'!B:I,7,0),0))),"Em Elaboração")</f>
        <v>6.89</v>
      </c>
      <c r="I241" s="241">
        <f>IFERROR(IF(D241="SINAPI-S",VLOOKUP(B241,'20-B.SINAPI-S'!A:J,6,0),IF(D241="SINAPI-I",VLOOKUP(B241,'20-A.SINAPI-I'!A:G,7,0),IF(D241="COMPOSIÇÕES",VLOOKUP(B241,'11.COMPOSIÇÕES GERAIS'!B:I,8,0),VLOOKUP(B241,'12.COT.MERCADO'!A:I,8,0)))),"Em Elaboração")</f>
        <v>8.95</v>
      </c>
      <c r="J241" s="241">
        <f t="shared" si="112"/>
        <v>8.088329263</v>
      </c>
      <c r="K241" s="241">
        <f t="shared" si="113"/>
        <v>10.48344454</v>
      </c>
      <c r="L241" s="241">
        <f t="shared" si="114"/>
        <v>18.5717738</v>
      </c>
      <c r="M241" s="241">
        <f t="shared" si="115"/>
        <v>226.4732194</v>
      </c>
      <c r="N241" s="241">
        <f t="shared" si="116"/>
        <v>293.536447</v>
      </c>
      <c r="O241" s="241">
        <f t="shared" si="117"/>
        <v>520.0096664</v>
      </c>
      <c r="P241" s="242">
        <f t="shared" si="2"/>
        <v>0.000406790166</v>
      </c>
    </row>
    <row r="242">
      <c r="A242" s="236" t="s">
        <v>366</v>
      </c>
      <c r="B242" s="237">
        <f>' 19.ARRED_HIST_CONSOLIDADO_E_ME'!H141</f>
        <v>86915</v>
      </c>
      <c r="C242" s="238" t="str">
        <f t="shared" si="111"/>
        <v>SINAPI</v>
      </c>
      <c r="D242" s="238" t="s">
        <v>218</v>
      </c>
      <c r="E242" s="239" t="str">
        <f>IFERROR(IF(D242="SINAPI-S",VLOOKUP(B242,'20-B.SINAPI-S'!A:J,2,0),IF(D242="SINAPI-I",VLOOKUP(B242,'20-A.SINAPI-I'!A:G,2,0),IF(D242="COMPOSIÇÕES",VLOOKUP(B242,'11.COMPOSIÇÕES GERAIS'!B:I,2,0),VLOOKUP(B242,'12.COT.MERCADO'!A:I,2,0)))),"Em Elaboração")</f>
        <v>TORNEIRA CROMADA DE MESA, 1/2_x0094_ OU 3/4_x0094_, PARA LAVATÓRIO, PADRÃO MÉDIO - FORNECIMENTO E INSTALAÇÃO. AF_01/2020</v>
      </c>
      <c r="F242" s="240" t="str">
        <f>IFERROR(IF(D242="SINAPI-S",VLOOKUP(B242,'20-B.SINAPI-S'!A:J,3,0),IF(D242="SINAPI-I",VLOOKUP(B242,'20-A.SINAPI-I'!A:G,3,0),IF(D242="COMPOSIÇÕES",VLOOKUP(B242,'11.COMPOSIÇÕES GERAIS'!B:I,3,0),VLOOKUP(B242,'12.COT.MERCADO'!A:I,7,0)))),"Em Elaboração")</f>
        <v>UN</v>
      </c>
      <c r="G242" s="244">
        <f>VLOOKUP(B242,' 19.ARRED_HIST_CONSOLIDADO_E_ME'!H:O,8,0)</f>
        <v>1</v>
      </c>
      <c r="H242" s="241">
        <f>IFERROR(IF(D242="SINAPI-S",VLOOKUP(B242,'20-B.SINAPI-S'!A:J,5,0),IF(D242="SINAPI-I",VLOOKUP(B242,'20-A.SINAPI-I'!A:G,6,0),IF(D242="COMPOSIÇÕES",VLOOKUP(B242,'11.COMPOSIÇÕES GERAIS'!B:I,7,0),0))),"Em Elaboração")</f>
        <v>2.87</v>
      </c>
      <c r="I242" s="241">
        <f>IFERROR(IF(D242="SINAPI-S",VLOOKUP(B242,'20-B.SINAPI-S'!A:J,6,0),IF(D242="SINAPI-I",VLOOKUP(B242,'20-A.SINAPI-I'!A:G,7,0),IF(D242="COMPOSIÇÕES",VLOOKUP(B242,'11.COMPOSIÇÕES GERAIS'!B:I,8,0),VLOOKUP(B242,'12.COT.MERCADO'!A:I,8,0)))),"Em Elaboração")</f>
        <v>118.17</v>
      </c>
      <c r="J242" s="241">
        <f t="shared" si="112"/>
        <v>3.369158924</v>
      </c>
      <c r="K242" s="241">
        <f t="shared" si="113"/>
        <v>138.4166079</v>
      </c>
      <c r="L242" s="241">
        <f t="shared" si="114"/>
        <v>141.7857668</v>
      </c>
      <c r="M242" s="241">
        <f t="shared" si="115"/>
        <v>3.369158924</v>
      </c>
      <c r="N242" s="241">
        <f t="shared" si="116"/>
        <v>138.4166079</v>
      </c>
      <c r="O242" s="241">
        <f t="shared" si="117"/>
        <v>141.7857668</v>
      </c>
      <c r="P242" s="242">
        <f t="shared" si="2"/>
        <v>0.0001109153528</v>
      </c>
    </row>
    <row r="243">
      <c r="A243" s="236" t="s">
        <v>367</v>
      </c>
      <c r="B243" s="237">
        <f>' 19.ARRED_HIST_CONSOLIDADO_E_ME'!H142</f>
        <v>86885</v>
      </c>
      <c r="C243" s="238" t="str">
        <f t="shared" si="111"/>
        <v>SINAPI</v>
      </c>
      <c r="D243" s="238" t="s">
        <v>218</v>
      </c>
      <c r="E243" s="239" t="str">
        <f>IFERROR(IF(D243="SINAPI-S",VLOOKUP(B243,'20-B.SINAPI-S'!A:J,2,0),IF(D243="SINAPI-I",VLOOKUP(B243,'20-A.SINAPI-I'!A:G,2,0),IF(D243="COMPOSIÇÕES",VLOOKUP(B243,'11.COMPOSIÇÕES GERAIS'!B:I,2,0),VLOOKUP(B243,'12.COT.MERCADO'!A:I,2,0)))),"Em Elaboração")</f>
        <v>ENGATE FLEXÍVEL EM PLÁSTICO BRANCO, 1/2_x0094_ X 40CM - FORNECIMENTO E INSTALAÇÃO. AF_01/2020</v>
      </c>
      <c r="F243" s="240" t="str">
        <f>IFERROR(IF(D243="SINAPI-S",VLOOKUP(B243,'20-B.SINAPI-S'!A:J,3,0),IF(D243="SINAPI-I",VLOOKUP(B243,'20-A.SINAPI-I'!A:G,3,0),IF(D243="COMPOSIÇÕES",VLOOKUP(B243,'11.COMPOSIÇÕES GERAIS'!B:I,3,0),VLOOKUP(B243,'12.COT.MERCADO'!A:I,7,0)))),"Em Elaboração")</f>
        <v>UN</v>
      </c>
      <c r="G243" s="244">
        <f>VLOOKUP(B243,' 19.ARRED_HIST_CONSOLIDADO_E_ME'!H:O,8,0)</f>
        <v>1</v>
      </c>
      <c r="H243" s="241">
        <f>IFERROR(IF(D243="SINAPI-S",VLOOKUP(B243,'20-B.SINAPI-S'!A:J,5,0),IF(D243="SINAPI-I",VLOOKUP(B243,'20-A.SINAPI-I'!A:G,6,0),IF(D243="COMPOSIÇÕES",VLOOKUP(B243,'11.COMPOSIÇÕES GERAIS'!B:I,7,0),0))),"Em Elaboração")</f>
        <v>4.58</v>
      </c>
      <c r="I243" s="241">
        <f>IFERROR(IF(D243="SINAPI-S",VLOOKUP(B243,'20-B.SINAPI-S'!A:J,6,0),IF(D243="SINAPI-I",VLOOKUP(B243,'20-A.SINAPI-I'!A:G,7,0),IF(D243="COMPOSIÇÕES",VLOOKUP(B243,'11.COMPOSIÇÕES GERAIS'!B:I,8,0),VLOOKUP(B243,'12.COT.MERCADO'!A:I,8,0)))),"Em Elaboração")</f>
        <v>8.8</v>
      </c>
      <c r="J243" s="241">
        <f t="shared" si="112"/>
        <v>5.376567203</v>
      </c>
      <c r="K243" s="241">
        <f t="shared" si="113"/>
        <v>10.30774435</v>
      </c>
      <c r="L243" s="241">
        <f t="shared" si="114"/>
        <v>15.68431155</v>
      </c>
      <c r="M243" s="241">
        <f t="shared" si="115"/>
        <v>5.376567203</v>
      </c>
      <c r="N243" s="241">
        <f t="shared" si="116"/>
        <v>10.30774435</v>
      </c>
      <c r="O243" s="241">
        <f t="shared" si="117"/>
        <v>15.68431155</v>
      </c>
      <c r="P243" s="242">
        <f t="shared" si="2"/>
        <v>0.00001226943288</v>
      </c>
    </row>
    <row r="244">
      <c r="A244" s="236" t="s">
        <v>368</v>
      </c>
      <c r="B244" s="237">
        <f>' 19.ARRED_HIST_CONSOLIDADO_E_ME'!H143</f>
        <v>100857</v>
      </c>
      <c r="C244" s="238" t="str">
        <f t="shared" si="111"/>
        <v>SINAPI</v>
      </c>
      <c r="D244" s="238" t="s">
        <v>218</v>
      </c>
      <c r="E244" s="239" t="str">
        <f>IFERROR(IF(D244="SINAPI-S",VLOOKUP(B244,'20-B.SINAPI-S'!A:J,2,0),IF(D244="SINAPI-I",VLOOKUP(B244,'20-A.SINAPI-I'!A:G,2,0),IF(D244="COMPOSIÇÕES",VLOOKUP(B244,'11.COMPOSIÇÕES GERAIS'!B:I,2,0),VLOOKUP(B244,'12.COT.MERCADO'!A:I,2,0)))),"Em Elaboração")</f>
        <v>ACABAMENTO MONOCOMANDO PARA CHUVEIRO _x0096_ FORNECIMENTO E INSTALAÇÃO. AF_01/2020</v>
      </c>
      <c r="F244" s="240" t="str">
        <f>IFERROR(IF(D244="SINAPI-S",VLOOKUP(B244,'20-B.SINAPI-S'!A:J,3,0),IF(D244="SINAPI-I",VLOOKUP(B244,'20-A.SINAPI-I'!A:G,3,0),IF(D244="COMPOSIÇÕES",VLOOKUP(B244,'11.COMPOSIÇÕES GERAIS'!B:I,3,0),VLOOKUP(B244,'12.COT.MERCADO'!A:I,7,0)))),"Em Elaboração")</f>
        <v>UN</v>
      </c>
      <c r="G244" s="244">
        <f>VLOOKUP(B244,' 19.ARRED_HIST_CONSOLIDADO_E_ME'!H:O,8,0)</f>
        <v>1</v>
      </c>
      <c r="H244" s="241">
        <f>IFERROR(IF(D244="SINAPI-S",VLOOKUP(B244,'20-B.SINAPI-S'!A:J,5,0),IF(D244="SINAPI-I",VLOOKUP(B244,'20-A.SINAPI-I'!A:G,6,0),IF(D244="COMPOSIÇÕES",VLOOKUP(B244,'11.COMPOSIÇÕES GERAIS'!B:I,7,0),0))),"Em Elaboração")</f>
        <v>10.36</v>
      </c>
      <c r="I244" s="241">
        <f>IFERROR(IF(D244="SINAPI-S",VLOOKUP(B244,'20-B.SINAPI-S'!A:J,6,0),IF(D244="SINAPI-I",VLOOKUP(B244,'20-A.SINAPI-I'!A:G,7,0),IF(D244="COMPOSIÇÕES",VLOOKUP(B244,'11.COMPOSIÇÕES GERAIS'!B:I,8,0),VLOOKUP(B244,'12.COT.MERCADO'!A:I,8,0)))),"Em Elaboração")</f>
        <v>433.21</v>
      </c>
      <c r="J244" s="241">
        <f t="shared" si="112"/>
        <v>12.16184197</v>
      </c>
      <c r="K244" s="241">
        <f t="shared" si="113"/>
        <v>507.4338556</v>
      </c>
      <c r="L244" s="241">
        <f t="shared" si="114"/>
        <v>519.5956976</v>
      </c>
      <c r="M244" s="241">
        <f t="shared" si="115"/>
        <v>12.16184197</v>
      </c>
      <c r="N244" s="241">
        <f t="shared" si="116"/>
        <v>507.4338556</v>
      </c>
      <c r="O244" s="241">
        <f t="shared" si="117"/>
        <v>519.5956976</v>
      </c>
      <c r="P244" s="242">
        <f t="shared" si="2"/>
        <v>0.0004064663288</v>
      </c>
    </row>
    <row r="245">
      <c r="A245" s="236" t="s">
        <v>369</v>
      </c>
      <c r="B245" s="237">
        <f>' 19.ARRED_HIST_CONSOLIDADO_E_ME'!H144</f>
        <v>102210</v>
      </c>
      <c r="C245" s="238" t="str">
        <f t="shared" si="111"/>
        <v>SINAPI</v>
      </c>
      <c r="D245" s="238" t="s">
        <v>218</v>
      </c>
      <c r="E245" s="239" t="str">
        <f>IFERROR(IF(D245="SINAPI-S",VLOOKUP(B245,'20-B.SINAPI-S'!A:J,2,0),IF(D245="SINAPI-I",VLOOKUP(B245,'20-A.SINAPI-I'!A:G,2,0),IF(D245="COMPOSIÇÕES",VLOOKUP(B245,'11.COMPOSIÇÕES GERAIS'!B:I,2,0),VLOOKUP(B245,'12.COT.MERCADO'!A:I,2,0)))),"Em Elaboração")</f>
        <v>PINTURA TINTA DE ACABAMENTO (PIGMENTADA) ESMALTE SINTÉTICO BRILHANTE EM MADEIRA, 1 DEMÃO. AF_01/2021</v>
      </c>
      <c r="F245" s="240" t="str">
        <f>IFERROR(IF(D245="SINAPI-S",VLOOKUP(B245,'20-B.SINAPI-S'!A:J,3,0),IF(D245="SINAPI-I",VLOOKUP(B245,'20-A.SINAPI-I'!A:G,3,0),IF(D245="COMPOSIÇÕES",VLOOKUP(B245,'11.COMPOSIÇÕES GERAIS'!B:I,3,0),VLOOKUP(B245,'12.COT.MERCADO'!A:I,7,0)))),"Em Elaboração")</f>
        <v>M2</v>
      </c>
      <c r="G245" s="244">
        <f>VLOOKUP(B245,' 19.ARRED_HIST_CONSOLIDADO_E_ME'!H:O,8,0)</f>
        <v>2</v>
      </c>
      <c r="H245" s="241">
        <f>IFERROR(IF(D245="SINAPI-S",VLOOKUP(B245,'20-B.SINAPI-S'!A:J,5,0),IF(D245="SINAPI-I",VLOOKUP(B245,'20-A.SINAPI-I'!A:G,6,0),IF(D245="COMPOSIÇÕES",VLOOKUP(B245,'11.COMPOSIÇÕES GERAIS'!B:I,7,0),0))),"Em Elaboração")</f>
        <v>4.69</v>
      </c>
      <c r="I245" s="241">
        <f>IFERROR(IF(D245="SINAPI-S",VLOOKUP(B245,'20-B.SINAPI-S'!A:J,6,0),IF(D245="SINAPI-I",VLOOKUP(B245,'20-A.SINAPI-I'!A:G,7,0),IF(D245="COMPOSIÇÕES",VLOOKUP(B245,'11.COMPOSIÇÕES GERAIS'!B:I,8,0),VLOOKUP(B245,'12.COT.MERCADO'!A:I,8,0)))),"Em Elaboração")</f>
        <v>4.24</v>
      </c>
      <c r="J245" s="241">
        <f t="shared" si="112"/>
        <v>5.505698729</v>
      </c>
      <c r="K245" s="241">
        <f t="shared" si="113"/>
        <v>4.966458641</v>
      </c>
      <c r="L245" s="241">
        <f t="shared" si="114"/>
        <v>10.47215737</v>
      </c>
      <c r="M245" s="241">
        <f t="shared" si="115"/>
        <v>11.01139746</v>
      </c>
      <c r="N245" s="241">
        <f t="shared" si="116"/>
        <v>9.932917282</v>
      </c>
      <c r="O245" s="241">
        <f t="shared" si="117"/>
        <v>20.94431474</v>
      </c>
      <c r="P245" s="242">
        <f t="shared" si="2"/>
        <v>0.00001638419787</v>
      </c>
    </row>
    <row r="246">
      <c r="A246" s="236" t="s">
        <v>370</v>
      </c>
      <c r="B246" s="237">
        <f>' 19.ARRED_HIST_CONSOLIDADO_E_ME'!H145</f>
        <v>100751</v>
      </c>
      <c r="C246" s="238" t="str">
        <f t="shared" si="111"/>
        <v>SINAPI</v>
      </c>
      <c r="D246" s="238" t="s">
        <v>218</v>
      </c>
      <c r="E246" s="239" t="str">
        <f>IFERROR(IF(D246="SINAPI-S",VLOOKUP(B246,'20-B.SINAPI-S'!A:J,2,0),IF(D246="SINAPI-I",VLOOKUP(B246,'20-A.SINAPI-I'!A:G,2,0),IF(D246="COMPOSIÇÕES",VLOOKUP(B246,'11.COMPOSIÇÕES GERAIS'!B:I,2,0),VLOOKUP(B246,'12.COT.MERCADO'!A:I,2,0)))),"Em Elaboração")</f>
        <v>PINTURA COM TINTA EPOXÍDICA DE ACABAMENTO PULVERIZADA SOBRE PERFIL METÁLICO EXECUTADO EM FÁBRICA (02 DEMÃOS). AF_01/2020_PE</v>
      </c>
      <c r="F246" s="240" t="str">
        <f>IFERROR(IF(D246="SINAPI-S",VLOOKUP(B246,'20-B.SINAPI-S'!A:J,3,0),IF(D246="SINAPI-I",VLOOKUP(B246,'20-A.SINAPI-I'!A:G,3,0),IF(D246="COMPOSIÇÕES",VLOOKUP(B246,'11.COMPOSIÇÕES GERAIS'!B:I,3,0),VLOOKUP(B246,'12.COT.MERCADO'!A:I,7,0)))),"Em Elaboração")</f>
        <v>M2</v>
      </c>
      <c r="G246" s="244">
        <f>VLOOKUP(B246,' 19.ARRED_HIST_CONSOLIDADO_E_ME'!H:O,8,0)</f>
        <v>2</v>
      </c>
      <c r="H246" s="241">
        <f>IFERROR(IF(D246="SINAPI-S",VLOOKUP(B246,'20-B.SINAPI-S'!A:J,5,0),IF(D246="SINAPI-I",VLOOKUP(B246,'20-A.SINAPI-I'!A:G,6,0),IF(D246="COMPOSIÇÕES",VLOOKUP(B246,'11.COMPOSIÇÕES GERAIS'!B:I,7,0),0))),"Em Elaboração")</f>
        <v>3.1</v>
      </c>
      <c r="I246" s="241">
        <f>IFERROR(IF(D246="SINAPI-S",VLOOKUP(B246,'20-B.SINAPI-S'!A:J,6,0),IF(D246="SINAPI-I",VLOOKUP(B246,'20-A.SINAPI-I'!A:G,7,0),IF(D246="COMPOSIÇÕES",VLOOKUP(B246,'11.COMPOSIÇÕES GERAIS'!B:I,8,0),VLOOKUP(B246,'12.COT.MERCADO'!A:I,8,0)))),"Em Elaboração")</f>
        <v>37.75</v>
      </c>
      <c r="J246" s="241">
        <f t="shared" si="112"/>
        <v>3.639161207</v>
      </c>
      <c r="K246" s="241">
        <f t="shared" si="113"/>
        <v>44.21788059</v>
      </c>
      <c r="L246" s="241">
        <f t="shared" si="114"/>
        <v>47.8570418</v>
      </c>
      <c r="M246" s="241">
        <f t="shared" si="115"/>
        <v>7.278322414</v>
      </c>
      <c r="N246" s="241">
        <f t="shared" si="116"/>
        <v>88.43576118</v>
      </c>
      <c r="O246" s="241">
        <f t="shared" si="117"/>
        <v>95.71408359</v>
      </c>
      <c r="P246" s="242">
        <f t="shared" si="2"/>
        <v>0.00007487466188</v>
      </c>
    </row>
    <row r="247">
      <c r="A247" s="236" t="s">
        <v>371</v>
      </c>
      <c r="B247" s="237">
        <f>' 19.ARRED_HIST_CONSOLIDADO_E_ME'!H146</f>
        <v>91929</v>
      </c>
      <c r="C247" s="238" t="str">
        <f t="shared" si="111"/>
        <v>SINAPI</v>
      </c>
      <c r="D247" s="238" t="s">
        <v>218</v>
      </c>
      <c r="E247" s="239" t="str">
        <f>IFERROR(IF(D247="SINAPI-S",VLOOKUP(B247,'20-B.SINAPI-S'!A:J,2,0),IF(D247="SINAPI-I",VLOOKUP(B247,'20-A.SINAPI-I'!A:G,2,0),IF(D247="COMPOSIÇÕES",VLOOKUP(B247,'11.COMPOSIÇÕES GERAIS'!B:I,2,0),VLOOKUP(B247,'12.COT.MERCADO'!A:I,2,0)))),"Em Elaboração")</f>
        <v>CABO DE COBRE FLEXÍVEL ISOLADO, 4 MM², ANTI-CHAMA 0,6/1,0 KV, PARA CIRCUITOS TERMINAIS - FORNECIMENTO E INSTALAÇÃO. AF_03/2023</v>
      </c>
      <c r="F247" s="240" t="str">
        <f>IFERROR(IF(D247="SINAPI-S",VLOOKUP(B247,'20-B.SINAPI-S'!A:J,3,0),IF(D247="SINAPI-I",VLOOKUP(B247,'20-A.SINAPI-I'!A:G,3,0),IF(D247="COMPOSIÇÕES",VLOOKUP(B247,'11.COMPOSIÇÕES GERAIS'!B:I,3,0),VLOOKUP(B247,'12.COT.MERCADO'!A:I,7,0)))),"Em Elaboração")</f>
        <v>M</v>
      </c>
      <c r="G247" s="244">
        <f>VLOOKUP(B247,' 19.ARRED_HIST_CONSOLIDADO_E_ME'!H:O,8,0)</f>
        <v>34</v>
      </c>
      <c r="H247" s="241">
        <f>IFERROR(IF(D247="SINAPI-S",VLOOKUP(B247,'20-B.SINAPI-S'!A:J,5,0),IF(D247="SINAPI-I",VLOOKUP(B247,'20-A.SINAPI-I'!A:G,6,0),IF(D247="COMPOSIÇÕES",VLOOKUP(B247,'11.COMPOSIÇÕES GERAIS'!B:I,7,0),0))),"Em Elaboração")</f>
        <v>1.72</v>
      </c>
      <c r="I247" s="241">
        <f>IFERROR(IF(D247="SINAPI-S",VLOOKUP(B247,'20-B.SINAPI-S'!A:J,6,0),IF(D247="SINAPI-I",VLOOKUP(B247,'20-A.SINAPI-I'!A:G,7,0),IF(D247="COMPOSIÇÕES",VLOOKUP(B247,'11.COMPOSIÇÕES GERAIS'!B:I,8,0),VLOOKUP(B247,'12.COT.MERCADO'!A:I,8,0)))),"Em Elaboração")</f>
        <v>5.54</v>
      </c>
      <c r="J247" s="241">
        <f t="shared" si="112"/>
        <v>2.019147508</v>
      </c>
      <c r="K247" s="241">
        <f t="shared" si="113"/>
        <v>6.489193602</v>
      </c>
      <c r="L247" s="241">
        <f t="shared" si="114"/>
        <v>8.50834111</v>
      </c>
      <c r="M247" s="241">
        <f t="shared" si="115"/>
        <v>68.65101529</v>
      </c>
      <c r="N247" s="241">
        <f t="shared" si="116"/>
        <v>220.6325825</v>
      </c>
      <c r="O247" s="241">
        <f t="shared" si="117"/>
        <v>289.2835977</v>
      </c>
      <c r="P247" s="242">
        <f t="shared" si="2"/>
        <v>0.0002262991062</v>
      </c>
    </row>
    <row r="248">
      <c r="A248" s="236" t="s">
        <v>372</v>
      </c>
      <c r="B248" s="237">
        <f>' 19.ARRED_HIST_CONSOLIDADO_E_ME'!H147</f>
        <v>93656</v>
      </c>
      <c r="C248" s="238" t="str">
        <f t="shared" si="111"/>
        <v>SINAPI</v>
      </c>
      <c r="D248" s="238" t="s">
        <v>218</v>
      </c>
      <c r="E248" s="239" t="str">
        <f>IFERROR(IF(D248="SINAPI-S",VLOOKUP(B248,'20-B.SINAPI-S'!A:J,2,0),IF(D248="SINAPI-I",VLOOKUP(B248,'20-A.SINAPI-I'!A:G,2,0),IF(D248="COMPOSIÇÕES",VLOOKUP(B248,'11.COMPOSIÇÕES GERAIS'!B:I,2,0),VLOOKUP(B248,'12.COT.MERCADO'!A:I,2,0)))),"Em Elaboração")</f>
        <v>DISJUNTOR MONOPOLAR TIPO DIN, CORRENTE NOMINAL DE 25A - FORNECIMENTO E INSTALAÇÃO. AF_10/2020</v>
      </c>
      <c r="F248" s="240" t="str">
        <f>IFERROR(IF(D248="SINAPI-S",VLOOKUP(B248,'20-B.SINAPI-S'!A:J,3,0),IF(D248="SINAPI-I",VLOOKUP(B248,'20-A.SINAPI-I'!A:G,3,0),IF(D248="COMPOSIÇÕES",VLOOKUP(B248,'11.COMPOSIÇÕES GERAIS'!B:I,3,0),VLOOKUP(B248,'12.COT.MERCADO'!A:I,7,0)))),"Em Elaboração")</f>
        <v>UN</v>
      </c>
      <c r="G248" s="244">
        <f>VLOOKUP(B248,' 19.ARRED_HIST_CONSOLIDADO_E_ME'!H:O,8,0)</f>
        <v>1</v>
      </c>
      <c r="H248" s="241">
        <f>IFERROR(IF(D248="SINAPI-S",VLOOKUP(B248,'20-B.SINAPI-S'!A:J,5,0),IF(D248="SINAPI-I",VLOOKUP(B248,'20-A.SINAPI-I'!A:G,6,0),IF(D248="COMPOSIÇÕES",VLOOKUP(B248,'11.COMPOSIÇÕES GERAIS'!B:I,7,0),0))),"Em Elaboração")</f>
        <v>2.93</v>
      </c>
      <c r="I248" s="241">
        <f>IFERROR(IF(D248="SINAPI-S",VLOOKUP(B248,'20-B.SINAPI-S'!A:J,6,0),IF(D248="SINAPI-I",VLOOKUP(B248,'20-A.SINAPI-I'!A:G,7,0),IF(D248="COMPOSIÇÕES",VLOOKUP(B248,'11.COMPOSIÇÕES GERAIS'!B:I,8,0),VLOOKUP(B248,'12.COT.MERCADO'!A:I,8,0)))),"Em Elaboração")</f>
        <v>11.51</v>
      </c>
      <c r="J248" s="241">
        <f t="shared" si="112"/>
        <v>3.439594302</v>
      </c>
      <c r="K248" s="241">
        <f t="shared" si="113"/>
        <v>13.48206107</v>
      </c>
      <c r="L248" s="241">
        <f t="shared" si="114"/>
        <v>16.92165538</v>
      </c>
      <c r="M248" s="241">
        <f t="shared" si="115"/>
        <v>3.439594302</v>
      </c>
      <c r="N248" s="241">
        <f t="shared" si="116"/>
        <v>13.48206107</v>
      </c>
      <c r="O248" s="241">
        <f t="shared" si="117"/>
        <v>16.92165538</v>
      </c>
      <c r="P248" s="242">
        <f t="shared" si="2"/>
        <v>0.00001323737508</v>
      </c>
    </row>
    <row r="249">
      <c r="A249" s="236" t="s">
        <v>373</v>
      </c>
      <c r="B249" s="237">
        <f>' 19.ARRED_HIST_CONSOLIDADO_E_ME'!H148</f>
        <v>95545</v>
      </c>
      <c r="C249" s="238" t="str">
        <f t="shared" si="111"/>
        <v>SINAPI</v>
      </c>
      <c r="D249" s="238" t="s">
        <v>218</v>
      </c>
      <c r="E249" s="239" t="str">
        <f>IFERROR(IF(D249="SINAPI-S",VLOOKUP(B249,'20-B.SINAPI-S'!A:J,2,0),IF(D249="SINAPI-I",VLOOKUP(B249,'20-A.SINAPI-I'!A:G,2,0),IF(D249="COMPOSIÇÕES",VLOOKUP(B249,'11.COMPOSIÇÕES GERAIS'!B:I,2,0),VLOOKUP(B249,'12.COT.MERCADO'!A:I,2,0)))),"Em Elaboração")</f>
        <v>SABONETEIRA DE PAREDE EM METAL CROMADO, INCLUSO FIXAÇÃO. AF_01/2020</v>
      </c>
      <c r="F249" s="240" t="str">
        <f>IFERROR(IF(D249="SINAPI-S",VLOOKUP(B249,'20-B.SINAPI-S'!A:J,3,0),IF(D249="SINAPI-I",VLOOKUP(B249,'20-A.SINAPI-I'!A:G,3,0),IF(D249="COMPOSIÇÕES",VLOOKUP(B249,'11.COMPOSIÇÕES GERAIS'!B:I,3,0),VLOOKUP(B249,'12.COT.MERCADO'!A:I,7,0)))),"Em Elaboração")</f>
        <v>UN</v>
      </c>
      <c r="G249" s="244">
        <f>VLOOKUP(B249,' 19.ARRED_HIST_CONSOLIDADO_E_ME'!H:O,8,0)</f>
        <v>1</v>
      </c>
      <c r="H249" s="241">
        <f>IFERROR(IF(D249="SINAPI-S",VLOOKUP(B249,'20-B.SINAPI-S'!A:J,5,0),IF(D249="SINAPI-I",VLOOKUP(B249,'20-A.SINAPI-I'!A:G,6,0),IF(D249="COMPOSIÇÕES",VLOOKUP(B249,'11.COMPOSIÇÕES GERAIS'!B:I,7,0),0))),"Em Elaboração")</f>
        <v>9.49</v>
      </c>
      <c r="I249" s="241">
        <f>IFERROR(IF(D249="SINAPI-S",VLOOKUP(B249,'20-B.SINAPI-S'!A:J,6,0),IF(D249="SINAPI-I",VLOOKUP(B249,'20-A.SINAPI-I'!A:G,7,0),IF(D249="COMPOSIÇÕES",VLOOKUP(B249,'11.COMPOSIÇÕES GERAIS'!B:I,8,0),VLOOKUP(B249,'12.COT.MERCADO'!A:I,8,0)))),"Em Elaboração")</f>
        <v>76.95</v>
      </c>
      <c r="J249" s="241">
        <f t="shared" si="112"/>
        <v>11.14052899</v>
      </c>
      <c r="K249" s="241">
        <f t="shared" si="113"/>
        <v>90.13419633</v>
      </c>
      <c r="L249" s="241">
        <f t="shared" si="114"/>
        <v>101.2747253</v>
      </c>
      <c r="M249" s="241">
        <f t="shared" si="115"/>
        <v>11.14052899</v>
      </c>
      <c r="N249" s="241">
        <f t="shared" si="116"/>
        <v>90.13419633</v>
      </c>
      <c r="O249" s="241">
        <f t="shared" si="117"/>
        <v>101.2747253</v>
      </c>
      <c r="P249" s="242">
        <f t="shared" si="2"/>
        <v>0.00007922460865</v>
      </c>
    </row>
    <row r="250">
      <c r="A250" s="236" t="s">
        <v>374</v>
      </c>
      <c r="B250" s="237">
        <f>' 19.ARRED_HIST_CONSOLIDADO_E_ME'!H149</f>
        <v>86916</v>
      </c>
      <c r="C250" s="238" t="str">
        <f t="shared" si="111"/>
        <v>SINAPI</v>
      </c>
      <c r="D250" s="238" t="s">
        <v>218</v>
      </c>
      <c r="E250" s="239" t="str">
        <f>IFERROR(IF(D250="SINAPI-S",VLOOKUP(B250,'20-B.SINAPI-S'!A:J,2,0),IF(D250="SINAPI-I",VLOOKUP(B250,'20-A.SINAPI-I'!A:G,2,0),IF(D250="COMPOSIÇÕES",VLOOKUP(B250,'11.COMPOSIÇÕES GERAIS'!B:I,2,0),VLOOKUP(B250,'12.COT.MERCADO'!A:I,2,0)))),"Em Elaboração")</f>
        <v>TORNEIRA PLÁSTICA 3/4_x0094_ PARA TANQUE - FORNECIMENTO E INSTALAÇÃO. AF_01/2020</v>
      </c>
      <c r="F250" s="240" t="str">
        <f>IFERROR(IF(D250="SINAPI-S",VLOOKUP(B250,'20-B.SINAPI-S'!A:J,3,0),IF(D250="SINAPI-I",VLOOKUP(B250,'20-A.SINAPI-I'!A:G,3,0),IF(D250="COMPOSIÇÕES",VLOOKUP(B250,'11.COMPOSIÇÕES GERAIS'!B:I,3,0),VLOOKUP(B250,'12.COT.MERCADO'!A:I,7,0)))),"Em Elaboração")</f>
        <v>UN</v>
      </c>
      <c r="G250" s="244">
        <f>VLOOKUP(B250,' 19.ARRED_HIST_CONSOLIDADO_E_ME'!H:O,8,0)</f>
        <v>1</v>
      </c>
      <c r="H250" s="241">
        <f>IFERROR(IF(D250="SINAPI-S",VLOOKUP(B250,'20-B.SINAPI-S'!A:J,5,0),IF(D250="SINAPI-I",VLOOKUP(B250,'20-A.SINAPI-I'!A:G,6,0),IF(D250="COMPOSIÇÕES",VLOOKUP(B250,'11.COMPOSIÇÕES GERAIS'!B:I,7,0),0))),"Em Elaboração")</f>
        <v>4.57</v>
      </c>
      <c r="I250" s="241">
        <f>IFERROR(IF(D250="SINAPI-S",VLOOKUP(B250,'20-B.SINAPI-S'!A:J,6,0),IF(D250="SINAPI-I",VLOOKUP(B250,'20-A.SINAPI-I'!A:G,7,0),IF(D250="COMPOSIÇÕES",VLOOKUP(B250,'11.COMPOSIÇÕES GERAIS'!B:I,8,0),VLOOKUP(B250,'12.COT.MERCADO'!A:I,8,0)))),"Em Elaboração")</f>
        <v>19.79</v>
      </c>
      <c r="J250" s="241">
        <f t="shared" si="112"/>
        <v>5.364827973</v>
      </c>
      <c r="K250" s="241">
        <f t="shared" si="113"/>
        <v>23.18071144</v>
      </c>
      <c r="L250" s="241">
        <f t="shared" si="114"/>
        <v>28.54553941</v>
      </c>
      <c r="M250" s="241">
        <f t="shared" si="115"/>
        <v>5.364827973</v>
      </c>
      <c r="N250" s="241">
        <f t="shared" si="116"/>
        <v>23.18071144</v>
      </c>
      <c r="O250" s="241">
        <f t="shared" si="117"/>
        <v>28.54553941</v>
      </c>
      <c r="P250" s="242">
        <f t="shared" si="2"/>
        <v>0.00002233044011</v>
      </c>
    </row>
    <row r="251">
      <c r="A251" s="236" t="s">
        <v>375</v>
      </c>
      <c r="B251" s="237" t="str">
        <f>' 19.ARRED_HIST_CONSOLIDADO_E_ME'!H150</f>
        <v>MAN_PR_038</v>
      </c>
      <c r="C251" s="238" t="str">
        <f t="shared" si="111"/>
        <v>PRÓPRIO</v>
      </c>
      <c r="D251" s="243" t="s">
        <v>230</v>
      </c>
      <c r="E251" s="239" t="str">
        <f>IFERROR(IF(D251="SINAPI-S",VLOOKUP(B251,'20-B.SINAPI-S'!A:J,2,0),IF(D251="SINAPI-I",VLOOKUP(B251,'20-A.SINAPI-I'!A:G,2,0),IF(D251="COMPOSIÇÕES",VLOOKUP(B251,'11.COMPOSIÇÕES GERAIS'!B:I,2,0),VLOOKUP(B251,'12.COT.MERCADO'!A:I,2,0)))),"Em Elaboração")</f>
        <v>FORNECIMENTO E INSTALAÇÃO DE REFLETOR LED 400W, CORPO DE ALUMÍNIO, VIDRO TEMPERADO, BIVOLT, TEMP. COR BRANCO FRIO COM PROTEÇÃO IP-67</v>
      </c>
      <c r="F251" s="240" t="str">
        <f>IFERROR(IF(D251="SINAPI-S",VLOOKUP(B251,'20-B.SINAPI-S'!A:J,3,0),IF(D251="SINAPI-I",VLOOKUP(B251,'20-A.SINAPI-I'!A:G,3,0),IF(D251="COMPOSIÇÕES",VLOOKUP(B251,'11.COMPOSIÇÕES GERAIS'!B:I,3,0),VLOOKUP(B251,'12.COT.MERCADO'!A:I,7,0)))),"Em Elaboração")</f>
        <v>UN</v>
      </c>
      <c r="G251" s="244">
        <f>VLOOKUP(B251,' 19.ARRED_HIST_CONSOLIDADO_E_ME'!H:O,8,0)</f>
        <v>1</v>
      </c>
      <c r="H251" s="241">
        <f>IFERROR(IF(D251="SINAPI-S",VLOOKUP(B251,'20-B.SINAPI-S'!A:J,5,0),IF(D251="SINAPI-I",VLOOKUP(B251,'20-A.SINAPI-I'!A:G,6,0),IF(D251="COMPOSIÇÕES",VLOOKUP(B251,'11.COMPOSIÇÕES GERAIS'!B:I,7,0),0))),"Em Elaboração")</f>
        <v>18.305</v>
      </c>
      <c r="I251" s="241">
        <f>IFERROR(IF(D251="SINAPI-S",VLOOKUP(B251,'20-B.SINAPI-S'!A:J,6,0),IF(D251="SINAPI-I",VLOOKUP(B251,'20-A.SINAPI-I'!A:G,7,0),IF(D251="COMPOSIÇÕES",VLOOKUP(B251,'11.COMPOSIÇÕES GERAIS'!B:I,8,0),VLOOKUP(B251,'12.COT.MERCADO'!A:I,8,0)))),"Em Elaboração")</f>
        <v>290.338</v>
      </c>
      <c r="J251" s="241">
        <f t="shared" si="112"/>
        <v>21.48865997</v>
      </c>
      <c r="K251" s="241">
        <f t="shared" si="113"/>
        <v>340.0829408</v>
      </c>
      <c r="L251" s="241">
        <f t="shared" si="114"/>
        <v>361.5716007</v>
      </c>
      <c r="M251" s="241">
        <f t="shared" si="115"/>
        <v>21.48865997</v>
      </c>
      <c r="N251" s="241">
        <f t="shared" si="116"/>
        <v>340.0829408</v>
      </c>
      <c r="O251" s="241">
        <f t="shared" si="117"/>
        <v>361.5716007</v>
      </c>
      <c r="P251" s="242">
        <f t="shared" si="2"/>
        <v>0.0002828481487</v>
      </c>
    </row>
    <row r="252">
      <c r="A252" s="236" t="s">
        <v>376</v>
      </c>
      <c r="B252" s="237">
        <f>' 19.ARRED_HIST_CONSOLIDADO_E_ME'!H151</f>
        <v>103304</v>
      </c>
      <c r="C252" s="238" t="str">
        <f t="shared" si="111"/>
        <v>SINAPI</v>
      </c>
      <c r="D252" s="238" t="s">
        <v>218</v>
      </c>
      <c r="E252" s="239" t="str">
        <f>IFERROR(IF(D252="SINAPI-S",VLOOKUP(B252,'20-B.SINAPI-S'!A:J,2,0),IF(D252="SINAPI-I",VLOOKUP(B252,'20-A.SINAPI-I'!A:G,2,0),IF(D252="COMPOSIÇÕES",VLOOKUP(B252,'11.COMPOSIÇÕES GERAIS'!B:I,2,0),VLOOKUP(B252,'12.COT.MERCADO'!A:I,2,0)))),"Em Elaboração")</f>
        <v>INSTALAÇÃO DE BANCO METÁLICO COM ENCOSTO, 1,60 M DE COMPRIMENTO, EM TUBO DE AÇO CARBONO COM PINTURA ELETROSTÁTICA, SOBRE PISO DE CONCRETO EXISTENTE. AF_11/2021</v>
      </c>
      <c r="F252" s="240" t="str">
        <f>IFERROR(IF(D252="SINAPI-S",VLOOKUP(B252,'20-B.SINAPI-S'!A:J,3,0),IF(D252="SINAPI-I",VLOOKUP(B252,'20-A.SINAPI-I'!A:G,3,0),IF(D252="COMPOSIÇÕES",VLOOKUP(B252,'11.COMPOSIÇÕES GERAIS'!B:I,3,0),VLOOKUP(B252,'12.COT.MERCADO'!A:I,7,0)))),"Em Elaboração")</f>
        <v>UN</v>
      </c>
      <c r="G252" s="244">
        <f>VLOOKUP(B252,' 19.ARRED_HIST_CONSOLIDADO_E_ME'!H:O,8,0)</f>
        <v>1</v>
      </c>
      <c r="H252" s="241">
        <f>IFERROR(IF(D252="SINAPI-S",VLOOKUP(B252,'20-B.SINAPI-S'!A:J,5,0),IF(D252="SINAPI-I",VLOOKUP(B252,'20-A.SINAPI-I'!A:G,6,0),IF(D252="COMPOSIÇÕES",VLOOKUP(B252,'11.COMPOSIÇÕES GERAIS'!B:I,7,0),0))),"Em Elaboração")</f>
        <v>35.17</v>
      </c>
      <c r="I252" s="241">
        <f>IFERROR(IF(D252="SINAPI-S",VLOOKUP(B252,'20-B.SINAPI-S'!A:J,6,0),IF(D252="SINAPI-I",VLOOKUP(B252,'20-A.SINAPI-I'!A:G,7,0),IF(D252="COMPOSIÇÕES",VLOOKUP(B252,'11.COMPOSIÇÕES GERAIS'!B:I,8,0),VLOOKUP(B252,'12.COT.MERCADO'!A:I,8,0)))),"Em Elaboração")</f>
        <v>1220.46</v>
      </c>
      <c r="J252" s="241">
        <f t="shared" si="112"/>
        <v>41.28687086</v>
      </c>
      <c r="K252" s="241">
        <f t="shared" si="113"/>
        <v>1429.567008</v>
      </c>
      <c r="L252" s="241">
        <f t="shared" si="114"/>
        <v>1470.853879</v>
      </c>
      <c r="M252" s="241">
        <f t="shared" si="115"/>
        <v>41.28687086</v>
      </c>
      <c r="N252" s="241">
        <f t="shared" si="116"/>
        <v>1429.567008</v>
      </c>
      <c r="O252" s="241">
        <f t="shared" si="117"/>
        <v>1470.853879</v>
      </c>
      <c r="P252" s="242">
        <f t="shared" si="2"/>
        <v>0.001150611098</v>
      </c>
    </row>
    <row r="253">
      <c r="A253" s="236" t="s">
        <v>377</v>
      </c>
      <c r="B253" s="237">
        <f>' 19.ARRED_HIST_CONSOLIDADO_E_ME'!H152</f>
        <v>102167</v>
      </c>
      <c r="C253" s="238" t="str">
        <f t="shared" si="111"/>
        <v>SINAPI</v>
      </c>
      <c r="D253" s="238" t="s">
        <v>218</v>
      </c>
      <c r="E253" s="239" t="str">
        <f>IFERROR(IF(D253="SINAPI-S",VLOOKUP(B253,'20-B.SINAPI-S'!A:J,2,0),IF(D253="SINAPI-I",VLOOKUP(B253,'20-A.SINAPI-I'!A:G,2,0),IF(D253="COMPOSIÇÕES",VLOOKUP(B253,'11.COMPOSIÇÕES GERAIS'!B:I,2,0),VLOOKUP(B253,'12.COT.MERCADO'!A:I,2,0)))),"Em Elaboração")</f>
        <v>INSTALAÇÃO DE VIDRO LISO FUME, E = 6 MM, EM ESQUADRIA DE ALUMÍNIO OU PVC, FIXADO COM BAGUETE. AF_01/2021_PS</v>
      </c>
      <c r="F253" s="240" t="str">
        <f>IFERROR(IF(D253="SINAPI-S",VLOOKUP(B253,'20-B.SINAPI-S'!A:J,3,0),IF(D253="SINAPI-I",VLOOKUP(B253,'20-A.SINAPI-I'!A:G,3,0),IF(D253="COMPOSIÇÕES",VLOOKUP(B253,'11.COMPOSIÇÕES GERAIS'!B:I,3,0),VLOOKUP(B253,'12.COT.MERCADO'!A:I,7,0)))),"Em Elaboração")</f>
        <v>M2</v>
      </c>
      <c r="G253" s="244">
        <f>VLOOKUP(B253,' 19.ARRED_HIST_CONSOLIDADO_E_ME'!H:O,8,0)</f>
        <v>1</v>
      </c>
      <c r="H253" s="241">
        <f>IFERROR(IF(D253="SINAPI-S",VLOOKUP(B253,'20-B.SINAPI-S'!A:J,5,0),IF(D253="SINAPI-I",VLOOKUP(B253,'20-A.SINAPI-I'!A:G,6,0),IF(D253="COMPOSIÇÕES",VLOOKUP(B253,'11.COMPOSIÇÕES GERAIS'!B:I,7,0),0))),"Em Elaboração")</f>
        <v>20.01</v>
      </c>
      <c r="I253" s="241">
        <f>IFERROR(IF(D253="SINAPI-S",VLOOKUP(B253,'20-B.SINAPI-S'!A:J,6,0),IF(D253="SINAPI-I",VLOOKUP(B253,'20-A.SINAPI-I'!A:G,7,0),IF(D253="COMPOSIÇÕES",VLOOKUP(B253,'11.COMPOSIÇÕES GERAIS'!B:I,8,0),VLOOKUP(B253,'12.COT.MERCADO'!A:I,8,0)))),"Em Elaboração")</f>
        <v>387.73</v>
      </c>
      <c r="J253" s="241">
        <f t="shared" si="112"/>
        <v>23.49019863</v>
      </c>
      <c r="K253" s="241">
        <f t="shared" si="113"/>
        <v>454.1615587</v>
      </c>
      <c r="L253" s="241">
        <f t="shared" si="114"/>
        <v>477.6517573</v>
      </c>
      <c r="M253" s="241">
        <f t="shared" si="115"/>
        <v>23.49019863</v>
      </c>
      <c r="N253" s="241">
        <f t="shared" si="116"/>
        <v>454.1615587</v>
      </c>
      <c r="O253" s="241">
        <f t="shared" si="117"/>
        <v>477.6517573</v>
      </c>
      <c r="P253" s="242">
        <f t="shared" si="2"/>
        <v>0.0003736546649</v>
      </c>
    </row>
    <row r="254">
      <c r="A254" s="236" t="s">
        <v>378</v>
      </c>
      <c r="B254" s="237">
        <f>' 19.ARRED_HIST_CONSOLIDADO_E_ME'!H153</f>
        <v>98397</v>
      </c>
      <c r="C254" s="238" t="str">
        <f t="shared" si="111"/>
        <v>SINAPI</v>
      </c>
      <c r="D254" s="238" t="s">
        <v>218</v>
      </c>
      <c r="E254" s="239" t="str">
        <f>IFERROR(IF(D254="SINAPI-S",VLOOKUP(B254,'20-B.SINAPI-S'!A:J,2,0),IF(D254="SINAPI-I",VLOOKUP(B254,'20-A.SINAPI-I'!A:G,2,0),IF(D254="COMPOSIÇÕES",VLOOKUP(B254,'11.COMPOSIÇÕES GERAIS'!B:I,2,0),VLOOKUP(B254,'12.COT.MERCADO'!A:I,2,0)))),"Em Elaboração")</f>
        <v>PINTURA ANTICORROSIVA DE DUTO METÁLICO. AF_04/2018</v>
      </c>
      <c r="F254" s="240" t="str">
        <f>IFERROR(IF(D254="SINAPI-S",VLOOKUP(B254,'20-B.SINAPI-S'!A:J,3,0),IF(D254="SINAPI-I",VLOOKUP(B254,'20-A.SINAPI-I'!A:G,3,0),IF(D254="COMPOSIÇÕES",VLOOKUP(B254,'11.COMPOSIÇÕES GERAIS'!B:I,3,0),VLOOKUP(B254,'12.COT.MERCADO'!A:I,7,0)))),"Em Elaboração")</f>
        <v>M2</v>
      </c>
      <c r="G254" s="244">
        <f>VLOOKUP(B254,' 19.ARRED_HIST_CONSOLIDADO_E_ME'!H:O,8,0)</f>
        <v>1</v>
      </c>
      <c r="H254" s="241">
        <f>IFERROR(IF(D254="SINAPI-S",VLOOKUP(B254,'20-B.SINAPI-S'!A:J,5,0),IF(D254="SINAPI-I",VLOOKUP(B254,'20-A.SINAPI-I'!A:G,6,0),IF(D254="COMPOSIÇÕES",VLOOKUP(B254,'11.COMPOSIÇÕES GERAIS'!B:I,7,0),0))),"Em Elaboração")</f>
        <v>6.08</v>
      </c>
      <c r="I254" s="241">
        <f>IFERROR(IF(D254="SINAPI-S",VLOOKUP(B254,'20-B.SINAPI-S'!A:J,6,0),IF(D254="SINAPI-I",VLOOKUP(B254,'20-A.SINAPI-I'!A:G,7,0),IF(D254="COMPOSIÇÕES",VLOOKUP(B254,'11.COMPOSIÇÕES GERAIS'!B:I,8,0),VLOOKUP(B254,'12.COT.MERCADO'!A:I,8,0)))),"Em Elaboração")</f>
        <v>8.07</v>
      </c>
      <c r="J254" s="241">
        <f t="shared" si="112"/>
        <v>7.137451658</v>
      </c>
      <c r="K254" s="241">
        <f t="shared" si="113"/>
        <v>9.452670102</v>
      </c>
      <c r="L254" s="241">
        <f t="shared" si="114"/>
        <v>16.59012176</v>
      </c>
      <c r="M254" s="241">
        <f t="shared" si="115"/>
        <v>7.137451658</v>
      </c>
      <c r="N254" s="241">
        <f t="shared" si="116"/>
        <v>9.452670102</v>
      </c>
      <c r="O254" s="241">
        <f t="shared" si="117"/>
        <v>16.59012176</v>
      </c>
      <c r="P254" s="242">
        <f t="shared" si="2"/>
        <v>0.00001297802487</v>
      </c>
    </row>
    <row r="255">
      <c r="A255" s="236" t="s">
        <v>379</v>
      </c>
      <c r="B255" s="237">
        <f>' 19.ARRED_HIST_CONSOLIDADO_E_ME'!H154</f>
        <v>102156</v>
      </c>
      <c r="C255" s="238" t="str">
        <f t="shared" si="111"/>
        <v>SINAPI</v>
      </c>
      <c r="D255" s="238" t="s">
        <v>218</v>
      </c>
      <c r="E255" s="239" t="str">
        <f>IFERROR(IF(D255="SINAPI-S",VLOOKUP(B255,'20-B.SINAPI-S'!A:J,2,0),IF(D255="SINAPI-I",VLOOKUP(B255,'20-A.SINAPI-I'!A:G,2,0),IF(D255="COMPOSIÇÕES",VLOOKUP(B255,'11.COMPOSIÇÕES GERAIS'!B:I,2,0),VLOOKUP(B255,'12.COT.MERCADO'!A:I,2,0)))),"Em Elaboração")</f>
        <v>INSTALAÇÃO DE VIDRO LISO INCOLOR, E = 6 MM, EM ESQUADRIA DE MADEIRA, FIXADO COM BAGUETE. AF_01/2021</v>
      </c>
      <c r="F255" s="240" t="str">
        <f>IFERROR(IF(D255="SINAPI-S",VLOOKUP(B255,'20-B.SINAPI-S'!A:J,3,0),IF(D255="SINAPI-I",VLOOKUP(B255,'20-A.SINAPI-I'!A:G,3,0),IF(D255="COMPOSIÇÕES",VLOOKUP(B255,'11.COMPOSIÇÕES GERAIS'!B:I,3,0),VLOOKUP(B255,'12.COT.MERCADO'!A:I,7,0)))),"Em Elaboração")</f>
        <v>M2</v>
      </c>
      <c r="G255" s="244">
        <f>VLOOKUP(B255,' 19.ARRED_HIST_CONSOLIDADO_E_ME'!H:O,8,0)</f>
        <v>1</v>
      </c>
      <c r="H255" s="241">
        <f>IFERROR(IF(D255="SINAPI-S",VLOOKUP(B255,'20-B.SINAPI-S'!A:J,5,0),IF(D255="SINAPI-I",VLOOKUP(B255,'20-A.SINAPI-I'!A:G,6,0),IF(D255="COMPOSIÇÕES",VLOOKUP(B255,'11.COMPOSIÇÕES GERAIS'!B:I,7,0),0))),"Em Elaboração")</f>
        <v>16.45</v>
      </c>
      <c r="I255" s="241">
        <f>IFERROR(IF(D255="SINAPI-S",VLOOKUP(B255,'20-B.SINAPI-S'!A:J,6,0),IF(D255="SINAPI-I",VLOOKUP(B255,'20-A.SINAPI-I'!A:G,7,0),IF(D255="COMPOSIÇÕES",VLOOKUP(B255,'11.COMPOSIÇÕES GERAIS'!B:I,8,0),VLOOKUP(B255,'12.COT.MERCADO'!A:I,8,0)))),"Em Elaboração")</f>
        <v>209.12</v>
      </c>
      <c r="J255" s="241">
        <f t="shared" si="112"/>
        <v>19.31103286</v>
      </c>
      <c r="K255" s="241">
        <f t="shared" si="113"/>
        <v>244.9494884</v>
      </c>
      <c r="L255" s="241">
        <f t="shared" si="114"/>
        <v>264.2605213</v>
      </c>
      <c r="M255" s="241">
        <f t="shared" si="115"/>
        <v>19.31103286</v>
      </c>
      <c r="N255" s="241">
        <f t="shared" si="116"/>
        <v>244.9494884</v>
      </c>
      <c r="O255" s="241">
        <f t="shared" si="117"/>
        <v>264.2605213</v>
      </c>
      <c r="P255" s="242">
        <f t="shared" si="2"/>
        <v>0.0002067241981</v>
      </c>
    </row>
    <row r="256">
      <c r="A256" s="236" t="s">
        <v>380</v>
      </c>
      <c r="B256" s="237" t="str">
        <f>' 19.ARRED_HIST_CONSOLIDADO_E_ME'!H155</f>
        <v>MAN_PR_039</v>
      </c>
      <c r="C256" s="238" t="str">
        <f t="shared" si="111"/>
        <v>PRÓPRIO</v>
      </c>
      <c r="D256" s="243" t="s">
        <v>230</v>
      </c>
      <c r="E256" s="239" t="str">
        <f>IFERROR(IF(D256="SINAPI-S",VLOOKUP(B256,'20-B.SINAPI-S'!A:J,2,0),IF(D256="SINAPI-I",VLOOKUP(B256,'20-A.SINAPI-I'!A:G,2,0),IF(D256="COMPOSIÇÕES",VLOOKUP(B256,'11.COMPOSIÇÕES GERAIS'!B:I,2,0),VLOOKUP(B256,'12.COT.MERCADO'!A:I,2,0)))),"Em Elaboração")</f>
        <v>FORNECIMENTO E INSTALAÇÃO DE BOX PARA BANHEIRO EM ALUMÍNIO BRANCO E VIDRO TEMPERADO INCOLOR 8MM, INCLUSIVE FERRAGENS, COMPLETO</v>
      </c>
      <c r="F256" s="240" t="str">
        <f>IFERROR(IF(D256="SINAPI-S",VLOOKUP(B256,'20-B.SINAPI-S'!A:J,3,0),IF(D256="SINAPI-I",VLOOKUP(B256,'20-A.SINAPI-I'!A:G,3,0),IF(D256="COMPOSIÇÕES",VLOOKUP(B256,'11.COMPOSIÇÕES GERAIS'!B:I,3,0),VLOOKUP(B256,'12.COT.MERCADO'!A:I,7,0)))),"Em Elaboração")</f>
        <v>M2</v>
      </c>
      <c r="G256" s="244">
        <f>VLOOKUP(B256,' 19.ARRED_HIST_CONSOLIDADO_E_ME'!H:O,8,0)</f>
        <v>1</v>
      </c>
      <c r="H256" s="241">
        <f>IFERROR(IF(D256="SINAPI-S",VLOOKUP(B256,'20-B.SINAPI-S'!A:J,5,0),IF(D256="SINAPI-I",VLOOKUP(B256,'20-A.SINAPI-I'!A:G,6,0),IF(D256="COMPOSIÇÕES",VLOOKUP(B256,'11.COMPOSIÇÕES GERAIS'!B:I,7,0),0))),"Em Elaboração")</f>
        <v>0</v>
      </c>
      <c r="I256" s="241">
        <f>IFERROR(IF(D256="SINAPI-S",VLOOKUP(B256,'20-B.SINAPI-S'!A:J,6,0),IF(D256="SINAPI-I",VLOOKUP(B256,'20-A.SINAPI-I'!A:G,7,0),IF(D256="COMPOSIÇÕES",VLOOKUP(B256,'11.COMPOSIÇÕES GERAIS'!B:I,8,0),VLOOKUP(B256,'12.COT.MERCADO'!A:I,8,0)))),"Em Elaboração")</f>
        <v>394.73</v>
      </c>
      <c r="J256" s="241">
        <f t="shared" si="112"/>
        <v>0</v>
      </c>
      <c r="K256" s="241">
        <f t="shared" si="113"/>
        <v>462.3609008</v>
      </c>
      <c r="L256" s="241">
        <f t="shared" si="114"/>
        <v>462.3609008</v>
      </c>
      <c r="M256" s="241">
        <f t="shared" si="115"/>
        <v>0</v>
      </c>
      <c r="N256" s="241">
        <f t="shared" si="116"/>
        <v>462.3609008</v>
      </c>
      <c r="O256" s="241">
        <f t="shared" si="117"/>
        <v>462.3609008</v>
      </c>
      <c r="P256" s="242">
        <f t="shared" si="2"/>
        <v>0.0003616930217</v>
      </c>
    </row>
    <row r="257">
      <c r="A257" s="236" t="s">
        <v>381</v>
      </c>
      <c r="B257" s="237">
        <f>' 19.ARRED_HIST_CONSOLIDADO_E_ME'!H156</f>
        <v>91958</v>
      </c>
      <c r="C257" s="238" t="str">
        <f t="shared" si="111"/>
        <v>SINAPI</v>
      </c>
      <c r="D257" s="238" t="s">
        <v>218</v>
      </c>
      <c r="E257" s="239" t="str">
        <f>IFERROR(IF(D257="SINAPI-S",VLOOKUP(B257,'20-B.SINAPI-S'!A:J,2,0),IF(D257="SINAPI-I",VLOOKUP(B257,'20-A.SINAPI-I'!A:G,2,0),IF(D257="COMPOSIÇÕES",VLOOKUP(B257,'11.COMPOSIÇÕES GERAIS'!B:I,2,0),VLOOKUP(B257,'12.COT.MERCADO'!A:I,2,0)))),"Em Elaboração")</f>
        <v>INTERRUPTOR SIMPLES (2 MÓDULOS), 10A/250V, SEM SUPORTE E SEM PLACA - FORNECIMENTO E INSTALAÇÃO. AF_03/2023</v>
      </c>
      <c r="F257" s="240" t="str">
        <f>IFERROR(IF(D257="SINAPI-S",VLOOKUP(B257,'20-B.SINAPI-S'!A:J,3,0),IF(D257="SINAPI-I",VLOOKUP(B257,'20-A.SINAPI-I'!A:G,3,0),IF(D257="COMPOSIÇÕES",VLOOKUP(B257,'11.COMPOSIÇÕES GERAIS'!B:I,3,0),VLOOKUP(B257,'12.COT.MERCADO'!A:I,7,0)))),"Em Elaboração")</f>
        <v>UN</v>
      </c>
      <c r="G257" s="244">
        <f>VLOOKUP(B257,' 19.ARRED_HIST_CONSOLIDADO_E_ME'!H:O,8,0)</f>
        <v>1</v>
      </c>
      <c r="H257" s="241">
        <f>IFERROR(IF(D257="SINAPI-S",VLOOKUP(B257,'20-B.SINAPI-S'!A:J,5,0),IF(D257="SINAPI-I",VLOOKUP(B257,'20-A.SINAPI-I'!A:G,6,0),IF(D257="COMPOSIÇÕES",VLOOKUP(B257,'11.COMPOSIÇÕES GERAIS'!B:I,7,0),0))),"Em Elaboração")</f>
        <v>17.81</v>
      </c>
      <c r="I257" s="241">
        <f>IFERROR(IF(D257="SINAPI-S",VLOOKUP(B257,'20-B.SINAPI-S'!A:J,6,0),IF(D257="SINAPI-I",VLOOKUP(B257,'20-A.SINAPI-I'!A:G,7,0),IF(D257="COMPOSIÇÕES",VLOOKUP(B257,'11.COMPOSIÇÕES GERAIS'!B:I,8,0),VLOOKUP(B257,'12.COT.MERCADO'!A:I,8,0)))),"Em Elaboração")</f>
        <v>21.1</v>
      </c>
      <c r="J257" s="241">
        <f t="shared" si="112"/>
        <v>20.9075681</v>
      </c>
      <c r="K257" s="241">
        <f t="shared" si="113"/>
        <v>24.71515975</v>
      </c>
      <c r="L257" s="241">
        <f t="shared" si="114"/>
        <v>45.62272784</v>
      </c>
      <c r="M257" s="241">
        <f t="shared" si="115"/>
        <v>20.9075681</v>
      </c>
      <c r="N257" s="241">
        <f t="shared" si="116"/>
        <v>24.71515975</v>
      </c>
      <c r="O257" s="241">
        <f t="shared" si="117"/>
        <v>45.62272784</v>
      </c>
      <c r="P257" s="242">
        <f t="shared" si="2"/>
        <v>0.00003568948469</v>
      </c>
    </row>
    <row r="258">
      <c r="A258" s="236" t="s">
        <v>382</v>
      </c>
      <c r="B258" s="237">
        <f>' 19.ARRED_HIST_CONSOLIDADO_E_ME'!H157</f>
        <v>3267</v>
      </c>
      <c r="C258" s="238" t="str">
        <f t="shared" si="111"/>
        <v>SINAPI</v>
      </c>
      <c r="D258" s="243" t="s">
        <v>286</v>
      </c>
      <c r="E258" s="239" t="str">
        <f>IFERROR(IF(D258="SINAPI-S",VLOOKUP(B258,'20-B.SINAPI-S'!A:J,2,0),IF(D258="SINAPI-I",VLOOKUP(B258,'20-A.SINAPI-I'!A:G,2,0),IF(D258="COMPOSIÇÕES",VLOOKUP(B258,'11.COMPOSIÇÕES GERAIS'!B:I,2,0),VLOOKUP(B258,'12.COT.MERCADO'!A:I,2,0)))),"Em Elaboração")</f>
        <v>FLANGE SEXTAVADO DE FERRO GALVANIZADO, COM ROSCA BSP, DE 2 1/2"</v>
      </c>
      <c r="F258" s="240" t="str">
        <f>IFERROR(IF(D258="SINAPI-S",VLOOKUP(B258,'20-B.SINAPI-S'!A:J,3,0),IF(D258="SINAPI-I",VLOOKUP(B258,'20-A.SINAPI-I'!A:G,3,0),IF(D258="COMPOSIÇÕES",VLOOKUP(B258,'11.COMPOSIÇÕES GERAIS'!B:I,3,0),VLOOKUP(B258,'12.COT.MERCADO'!A:I,7,0)))),"Em Elaboração")</f>
        <v>UN</v>
      </c>
      <c r="G258" s="244">
        <f>VLOOKUP(B258,' 19.ARRED_HIST_CONSOLIDADO_E_ME'!H:O,8,0)</f>
        <v>1</v>
      </c>
      <c r="H258" s="241">
        <f>IFERROR(IF(D258="SINAPI-S",VLOOKUP(B258,'20-B.SINAPI-S'!A:J,5,0),IF(D258="SINAPI-I",VLOOKUP(B258,'20-A.SINAPI-I'!A:G,6,0),IF(D258="COMPOSIÇÕES",VLOOKUP(B258,'11.COMPOSIÇÕES GERAIS'!B:I,7,0),0))),"Em Elaboração")</f>
        <v>0</v>
      </c>
      <c r="I258" s="241">
        <f>IFERROR(IF(D258="SINAPI-S",VLOOKUP(B258,'20-B.SINAPI-S'!A:J,6,0),IF(D258="SINAPI-I",VLOOKUP(B258,'20-A.SINAPI-I'!A:G,7,0),IF(D258="COMPOSIÇÕES",VLOOKUP(B258,'11.COMPOSIÇÕES GERAIS'!B:I,8,0),VLOOKUP(B258,'12.COT.MERCADO'!A:I,8,0)))),"Em Elaboração")</f>
        <v>107.57</v>
      </c>
      <c r="J258" s="241">
        <f t="shared" si="112"/>
        <v>0</v>
      </c>
      <c r="K258" s="241">
        <f t="shared" si="113"/>
        <v>126.0004613</v>
      </c>
      <c r="L258" s="241">
        <f t="shared" si="114"/>
        <v>126.0004613</v>
      </c>
      <c r="M258" s="241">
        <f t="shared" si="115"/>
        <v>0</v>
      </c>
      <c r="N258" s="241">
        <f t="shared" si="116"/>
        <v>126.0004613</v>
      </c>
      <c r="O258" s="241">
        <f t="shared" si="117"/>
        <v>126.0004613</v>
      </c>
      <c r="P258" s="242">
        <f t="shared" si="2"/>
        <v>0.00009856691497</v>
      </c>
    </row>
    <row r="259">
      <c r="A259" s="236" t="s">
        <v>383</v>
      </c>
      <c r="B259" s="237">
        <f>' 19.ARRED_HIST_CONSOLIDADO_E_ME'!H158</f>
        <v>102166</v>
      </c>
      <c r="C259" s="238" t="str">
        <f t="shared" si="111"/>
        <v>SINAPI</v>
      </c>
      <c r="D259" s="238" t="s">
        <v>218</v>
      </c>
      <c r="E259" s="239" t="str">
        <f>IFERROR(IF(D259="SINAPI-S",VLOOKUP(B259,'20-B.SINAPI-S'!A:J,2,0),IF(D259="SINAPI-I",VLOOKUP(B259,'20-A.SINAPI-I'!A:G,2,0),IF(D259="COMPOSIÇÕES",VLOOKUP(B259,'11.COMPOSIÇÕES GERAIS'!B:I,2,0),VLOOKUP(B259,'12.COT.MERCADO'!A:I,2,0)))),"Em Elaboração")</f>
        <v>INSTALAÇÃO DE VIDRO LISO INCOLOR, E = 6 MM, EM ESQUADRIA DE ALUMÍNIO OU PVC, FIXADO COM BAGUETE. AF_01/2021_PS</v>
      </c>
      <c r="F259" s="240" t="str">
        <f>IFERROR(IF(D259="SINAPI-S",VLOOKUP(B259,'20-B.SINAPI-S'!A:J,3,0),IF(D259="SINAPI-I",VLOOKUP(B259,'20-A.SINAPI-I'!A:G,3,0),IF(D259="COMPOSIÇÕES",VLOOKUP(B259,'11.COMPOSIÇÕES GERAIS'!B:I,3,0),VLOOKUP(B259,'12.COT.MERCADO'!A:I,7,0)))),"Em Elaboração")</f>
        <v>M2</v>
      </c>
      <c r="G259" s="244">
        <f>VLOOKUP(B259,' 19.ARRED_HIST_CONSOLIDADO_E_ME'!H:O,8,0)</f>
        <v>1</v>
      </c>
      <c r="H259" s="241">
        <f>IFERROR(IF(D259="SINAPI-S",VLOOKUP(B259,'20-B.SINAPI-S'!A:J,5,0),IF(D259="SINAPI-I",VLOOKUP(B259,'20-A.SINAPI-I'!A:G,6,0),IF(D259="COMPOSIÇÕES",VLOOKUP(B259,'11.COMPOSIÇÕES GERAIS'!B:I,7,0),0))),"Em Elaboração")</f>
        <v>20.01</v>
      </c>
      <c r="I259" s="241">
        <f>IFERROR(IF(D259="SINAPI-S",VLOOKUP(B259,'20-B.SINAPI-S'!A:J,6,0),IF(D259="SINAPI-I",VLOOKUP(B259,'20-A.SINAPI-I'!A:G,7,0),IF(D259="COMPOSIÇÕES",VLOOKUP(B259,'11.COMPOSIÇÕES GERAIS'!B:I,8,0),VLOOKUP(B259,'12.COT.MERCADO'!A:I,8,0)))),"Em Elaboração")</f>
        <v>307.52</v>
      </c>
      <c r="J259" s="241">
        <f t="shared" si="112"/>
        <v>23.49019863</v>
      </c>
      <c r="K259" s="241">
        <f t="shared" si="113"/>
        <v>360.2088116</v>
      </c>
      <c r="L259" s="241">
        <f t="shared" si="114"/>
        <v>383.6990103</v>
      </c>
      <c r="M259" s="241">
        <f t="shared" si="115"/>
        <v>23.49019863</v>
      </c>
      <c r="N259" s="241">
        <f t="shared" si="116"/>
        <v>360.2088116</v>
      </c>
      <c r="O259" s="241">
        <f t="shared" si="117"/>
        <v>383.6990103</v>
      </c>
      <c r="P259" s="242">
        <f t="shared" si="2"/>
        <v>0.0003001578512</v>
      </c>
    </row>
    <row r="260">
      <c r="A260" s="236" t="s">
        <v>384</v>
      </c>
      <c r="B260" s="237" t="str">
        <f>' 19.ARRED_HIST_CONSOLIDADO_E_ME'!H159</f>
        <v>MAN_PR_054</v>
      </c>
      <c r="C260" s="238" t="str">
        <f t="shared" si="111"/>
        <v>PRÓPRIO</v>
      </c>
      <c r="D260" s="243" t="s">
        <v>230</v>
      </c>
      <c r="E260" s="239" t="str">
        <f>IFERROR(IF(D260="SINAPI-S",VLOOKUP(B260,'20-B.SINAPI-S'!A:J,2,0),IF(D260="SINAPI-I",VLOOKUP(B260,'20-A.SINAPI-I'!A:G,2,0),IF(D260="COMPOSIÇÕES",VLOOKUP(B260,'11.COMPOSIÇÕES GERAIS'!B:I,2,0),VLOOKUP(B260,'12.COT.MERCADO'!A:I,2,0)))),"Em Elaboração")</f>
        <v>FORNECIMENTO E INSTALAÇÃO DE FUSÍVEL TIPO NH 00 DE 6A ATÉ 125A</v>
      </c>
      <c r="F260" s="240" t="str">
        <f>IFERROR(IF(D260="SINAPI-S",VLOOKUP(B260,'20-B.SINAPI-S'!A:J,3,0),IF(D260="SINAPI-I",VLOOKUP(B260,'20-A.SINAPI-I'!A:G,3,0),IF(D260="COMPOSIÇÕES",VLOOKUP(B260,'11.COMPOSIÇÕES GERAIS'!B:I,3,0),VLOOKUP(B260,'12.COT.MERCADO'!A:I,7,0)))),"Em Elaboração")</f>
        <v>UN</v>
      </c>
      <c r="G260" s="244">
        <f>VLOOKUP(B260,' 19.ARRED_HIST_CONSOLIDADO_E_ME'!H:O,8,0)</f>
        <v>1</v>
      </c>
      <c r="H260" s="241">
        <f>IFERROR(IF(D260="SINAPI-S",VLOOKUP(B260,'20-B.SINAPI-S'!A:J,5,0),IF(D260="SINAPI-I",VLOOKUP(B260,'20-A.SINAPI-I'!A:G,6,0),IF(D260="COMPOSIÇÕES",VLOOKUP(B260,'11.COMPOSIÇÕES GERAIS'!B:I,7,0),0))),"Em Elaboração")</f>
        <v>8.858</v>
      </c>
      <c r="I260" s="241">
        <f>IFERROR(IF(D260="SINAPI-S",VLOOKUP(B260,'20-B.SINAPI-S'!A:J,6,0),IF(D260="SINAPI-I",VLOOKUP(B260,'20-A.SINAPI-I'!A:G,7,0),IF(D260="COMPOSIÇÕES",VLOOKUP(B260,'11.COMPOSIÇÕES GERAIS'!B:I,8,0),VLOOKUP(B260,'12.COT.MERCADO'!A:I,8,0)))),"Em Elaboração")</f>
        <v>34.644</v>
      </c>
      <c r="J260" s="241">
        <f t="shared" si="112"/>
        <v>10.39860967</v>
      </c>
      <c r="K260" s="241">
        <f t="shared" si="113"/>
        <v>40.57971537</v>
      </c>
      <c r="L260" s="241">
        <f t="shared" si="114"/>
        <v>50.97832504</v>
      </c>
      <c r="M260" s="241">
        <f t="shared" si="115"/>
        <v>10.39860967</v>
      </c>
      <c r="N260" s="241">
        <f t="shared" si="116"/>
        <v>40.57971537</v>
      </c>
      <c r="O260" s="241">
        <f t="shared" si="117"/>
        <v>50.97832504</v>
      </c>
      <c r="P260" s="242">
        <f t="shared" si="2"/>
        <v>0.00003987903041</v>
      </c>
    </row>
    <row r="261">
      <c r="A261" s="236" t="s">
        <v>385</v>
      </c>
      <c r="B261" s="237" t="str">
        <f>' 19.ARRED_HIST_CONSOLIDADO_E_ME'!H160</f>
        <v>MAN_PR_040</v>
      </c>
      <c r="C261" s="238" t="str">
        <f t="shared" si="111"/>
        <v>PRÓPRIO</v>
      </c>
      <c r="D261" s="243" t="s">
        <v>230</v>
      </c>
      <c r="E261" s="239" t="str">
        <f>IFERROR(IF(D261="SINAPI-S",VLOOKUP(B261,'20-B.SINAPI-S'!A:J,2,0),IF(D261="SINAPI-I",VLOOKUP(B261,'20-A.SINAPI-I'!A:G,2,0),IF(D261="COMPOSIÇÕES",VLOOKUP(B261,'11.COMPOSIÇÕES GERAIS'!B:I,2,0),VLOOKUP(B261,'12.COT.MERCADO'!A:I,2,0)))),"Em Elaboração")</f>
        <v>LAUDO TECNICO SPDA CONFORME NBR 5419, INCLUSIVE EMISSÃO DE ART</v>
      </c>
      <c r="F261" s="240" t="str">
        <f>IFERROR(IF(D261="SINAPI-S",VLOOKUP(B261,'20-B.SINAPI-S'!A:J,3,0),IF(D261="SINAPI-I",VLOOKUP(B261,'20-A.SINAPI-I'!A:G,3,0),IF(D261="COMPOSIÇÕES",VLOOKUP(B261,'11.COMPOSIÇÕES GERAIS'!B:I,3,0),VLOOKUP(B261,'12.COT.MERCADO'!A:I,7,0)))),"Em Elaboração")</f>
        <v>UN</v>
      </c>
      <c r="G261" s="244">
        <f>VLOOKUP(B261,' 19.ARRED_HIST_CONSOLIDADO_E_ME'!H:O,8,0)</f>
        <v>1</v>
      </c>
      <c r="H261" s="241">
        <f>IFERROR(IF(D261="SINAPI-S",VLOOKUP(B261,'20-B.SINAPI-S'!A:J,5,0),IF(D261="SINAPI-I",VLOOKUP(B261,'20-A.SINAPI-I'!A:G,6,0),IF(D261="COMPOSIÇÕES",VLOOKUP(B261,'11.COMPOSIÇÕES GERAIS'!B:I,7,0),0))),"Em Elaboração")</f>
        <v>0</v>
      </c>
      <c r="I261" s="241">
        <f>IFERROR(IF(D261="SINAPI-S",VLOOKUP(B261,'20-B.SINAPI-S'!A:J,6,0),IF(D261="SINAPI-I",VLOOKUP(B261,'20-A.SINAPI-I'!A:G,7,0),IF(D261="COMPOSIÇÕES",VLOOKUP(B261,'11.COMPOSIÇÕES GERAIS'!B:I,8,0),VLOOKUP(B261,'12.COT.MERCADO'!A:I,8,0)))),"Em Elaboração")</f>
        <v>1500</v>
      </c>
      <c r="J261" s="241">
        <f t="shared" si="112"/>
        <v>0</v>
      </c>
      <c r="K261" s="241">
        <f t="shared" si="113"/>
        <v>1757.001878</v>
      </c>
      <c r="L261" s="241">
        <f t="shared" si="114"/>
        <v>1757.001878</v>
      </c>
      <c r="M261" s="241">
        <f t="shared" si="115"/>
        <v>0</v>
      </c>
      <c r="N261" s="241">
        <f t="shared" si="116"/>
        <v>1757.001878</v>
      </c>
      <c r="O261" s="241">
        <f t="shared" si="117"/>
        <v>1757.001878</v>
      </c>
      <c r="P261" s="242">
        <f t="shared" si="2"/>
        <v>0.001374457306</v>
      </c>
    </row>
    <row r="262">
      <c r="A262" s="236" t="s">
        <v>386</v>
      </c>
      <c r="B262" s="237">
        <f>' 19.ARRED_HIST_CONSOLIDADO_E_ME'!H161</f>
        <v>98115</v>
      </c>
      <c r="C262" s="238" t="str">
        <f t="shared" si="111"/>
        <v>SINAPI</v>
      </c>
      <c r="D262" s="238" t="s">
        <v>218</v>
      </c>
      <c r="E262" s="239" t="str">
        <f>IFERROR(IF(D262="SINAPI-S",VLOOKUP(B262,'20-B.SINAPI-S'!A:J,2,0),IF(D262="SINAPI-I",VLOOKUP(B262,'20-A.SINAPI-I'!A:G,2,0),IF(D262="COMPOSIÇÕES",VLOOKUP(B262,'11.COMPOSIÇÕES GERAIS'!B:I,2,0),VLOOKUP(B262,'12.COT.MERCADO'!A:I,2,0)))),"Em Elaboração")</f>
        <v>TAMPA CIRCULAR PARA ESGOTO E DRENAGEM, EM CONCRETO PRÉ-MOLDADO, DIÂMETRO INTERNO = 0,60 M E ALTURA = 0,10 M. AF_12/2020</v>
      </c>
      <c r="F262" s="240" t="str">
        <f>IFERROR(IF(D262="SINAPI-S",VLOOKUP(B262,'20-B.SINAPI-S'!A:J,3,0),IF(D262="SINAPI-I",VLOOKUP(B262,'20-A.SINAPI-I'!A:G,3,0),IF(D262="COMPOSIÇÕES",VLOOKUP(B262,'11.COMPOSIÇÕES GERAIS'!B:I,3,0),VLOOKUP(B262,'12.COT.MERCADO'!A:I,7,0)))),"Em Elaboração")</f>
        <v>UN</v>
      </c>
      <c r="G262" s="244">
        <f>VLOOKUP(B262,' 19.ARRED_HIST_CONSOLIDADO_E_ME'!H:O,8,0)</f>
        <v>1</v>
      </c>
      <c r="H262" s="241">
        <f>IFERROR(IF(D262="SINAPI-S",VLOOKUP(B262,'20-B.SINAPI-S'!A:J,5,0),IF(D262="SINAPI-I",VLOOKUP(B262,'20-A.SINAPI-I'!A:G,6,0),IF(D262="COMPOSIÇÕES",VLOOKUP(B262,'11.COMPOSIÇÕES GERAIS'!B:I,7,0),0))),"Em Elaboração")</f>
        <v>54.37</v>
      </c>
      <c r="I262" s="241">
        <f>IFERROR(IF(D262="SINAPI-S",VLOOKUP(B262,'20-B.SINAPI-S'!A:J,6,0),IF(D262="SINAPI-I",VLOOKUP(B262,'20-A.SINAPI-I'!A:G,7,0),IF(D262="COMPOSIÇÕES",VLOOKUP(B262,'11.COMPOSIÇÕES GERAIS'!B:I,8,0),VLOOKUP(B262,'12.COT.MERCADO'!A:I,8,0)))),"Em Elaboração")</f>
        <v>51.51</v>
      </c>
      <c r="J262" s="241">
        <f t="shared" si="112"/>
        <v>63.82619188</v>
      </c>
      <c r="K262" s="241">
        <f t="shared" si="113"/>
        <v>60.33544448</v>
      </c>
      <c r="L262" s="241">
        <f t="shared" si="114"/>
        <v>124.1616364</v>
      </c>
      <c r="M262" s="241">
        <f t="shared" si="115"/>
        <v>63.82619188</v>
      </c>
      <c r="N262" s="241">
        <f t="shared" si="116"/>
        <v>60.33544448</v>
      </c>
      <c r="O262" s="241">
        <f t="shared" si="117"/>
        <v>124.1616364</v>
      </c>
      <c r="P262" s="242">
        <f t="shared" si="2"/>
        <v>0.00009712844957</v>
      </c>
    </row>
    <row r="263">
      <c r="A263" s="236" t="s">
        <v>387</v>
      </c>
      <c r="B263" s="237">
        <f>' 19.ARRED_HIST_CONSOLIDADO_E_ME'!H162</f>
        <v>102201</v>
      </c>
      <c r="C263" s="238" t="str">
        <f t="shared" si="111"/>
        <v>SINAPI</v>
      </c>
      <c r="D263" s="238" t="s">
        <v>218</v>
      </c>
      <c r="E263" s="239" t="str">
        <f>IFERROR(IF(D263="SINAPI-S",VLOOKUP(B263,'20-B.SINAPI-S'!A:J,2,0),IF(D263="SINAPI-I",VLOOKUP(B263,'20-A.SINAPI-I'!A:G,2,0),IF(D263="COMPOSIÇÕES",VLOOKUP(B263,'11.COMPOSIÇÕES GERAIS'!B:I,2,0),VLOOKUP(B263,'12.COT.MERCADO'!A:I,2,0)))),"Em Elaboração")</f>
        <v>APLICAÇÃO MASSA ACRÍLICA PARA MADEIRA, PARA PINTURA COM TINTA DE ACABAMENTO (PIGMENTADA). AF_01/2021</v>
      </c>
      <c r="F263" s="240" t="str">
        <f>IFERROR(IF(D263="SINAPI-S",VLOOKUP(B263,'20-B.SINAPI-S'!A:J,3,0),IF(D263="SINAPI-I",VLOOKUP(B263,'20-A.SINAPI-I'!A:G,3,0),IF(D263="COMPOSIÇÕES",VLOOKUP(B263,'11.COMPOSIÇÕES GERAIS'!B:I,3,0),VLOOKUP(B263,'12.COT.MERCADO'!A:I,7,0)))),"Em Elaboração")</f>
        <v>M2</v>
      </c>
      <c r="G263" s="244">
        <f>VLOOKUP(B263,' 19.ARRED_HIST_CONSOLIDADO_E_ME'!H:O,8,0)</f>
        <v>1</v>
      </c>
      <c r="H263" s="241">
        <f>IFERROR(IF(D263="SINAPI-S",VLOOKUP(B263,'20-B.SINAPI-S'!A:J,5,0),IF(D263="SINAPI-I",VLOOKUP(B263,'20-A.SINAPI-I'!A:G,6,0),IF(D263="COMPOSIÇÕES",VLOOKUP(B263,'11.COMPOSIÇÕES GERAIS'!B:I,7,0),0))),"Em Elaboração")</f>
        <v>11.08</v>
      </c>
      <c r="I263" s="241">
        <f>IFERROR(IF(D263="SINAPI-S",VLOOKUP(B263,'20-B.SINAPI-S'!A:J,6,0),IF(D263="SINAPI-I",VLOOKUP(B263,'20-A.SINAPI-I'!A:G,7,0),IF(D263="COMPOSIÇÕES",VLOOKUP(B263,'11.COMPOSIÇÕES GERAIS'!B:I,8,0),VLOOKUP(B263,'12.COT.MERCADO'!A:I,8,0)))),"Em Elaboração")</f>
        <v>12.42</v>
      </c>
      <c r="J263" s="241">
        <f t="shared" si="112"/>
        <v>13.00706651</v>
      </c>
      <c r="K263" s="241">
        <f t="shared" si="113"/>
        <v>14.54797555</v>
      </c>
      <c r="L263" s="241">
        <f t="shared" si="114"/>
        <v>27.55504206</v>
      </c>
      <c r="M263" s="241">
        <f t="shared" si="115"/>
        <v>13.00706651</v>
      </c>
      <c r="N263" s="241">
        <f t="shared" si="116"/>
        <v>14.54797555</v>
      </c>
      <c r="O263" s="241">
        <f t="shared" si="117"/>
        <v>27.55504206</v>
      </c>
      <c r="P263" s="242">
        <f t="shared" si="2"/>
        <v>0.00002155559955</v>
      </c>
    </row>
    <row r="264">
      <c r="A264" s="236" t="s">
        <v>388</v>
      </c>
      <c r="B264" s="237">
        <f>' 19.ARRED_HIST_CONSOLIDADO_E_ME'!H163</f>
        <v>101564</v>
      </c>
      <c r="C264" s="238" t="str">
        <f t="shared" si="111"/>
        <v>SINAPI</v>
      </c>
      <c r="D264" s="238" t="s">
        <v>218</v>
      </c>
      <c r="E264" s="239" t="str">
        <f>IFERROR(IF(D264="SINAPI-S",VLOOKUP(B264,'20-B.SINAPI-S'!A:J,2,0),IF(D264="SINAPI-I",VLOOKUP(B264,'20-A.SINAPI-I'!A:G,2,0),IF(D264="COMPOSIÇÕES",VLOOKUP(B264,'11.COMPOSIÇÕES GERAIS'!B:I,2,0),VLOOKUP(B264,'12.COT.MERCADO'!A:I,2,0)))),"Em Elaboração")</f>
        <v>CABO DE COBRE FLEXÍVEL ISOLADO, 50 MM², 0,6/1,0 KV, PARA REDE AÉREA DE DISTRIBUIÇÃO DE ENERGIA ELÉTRICA DE BAIXA TENSÃO - FORNECIMENTO E INSTALAÇÃO. AF_07/2020</v>
      </c>
      <c r="F264" s="240" t="str">
        <f>IFERROR(IF(D264="SINAPI-S",VLOOKUP(B264,'20-B.SINAPI-S'!A:J,3,0),IF(D264="SINAPI-I",VLOOKUP(B264,'20-A.SINAPI-I'!A:G,3,0),IF(D264="COMPOSIÇÕES",VLOOKUP(B264,'11.COMPOSIÇÕES GERAIS'!B:I,3,0),VLOOKUP(B264,'12.COT.MERCADO'!A:I,7,0)))),"Em Elaboração")</f>
        <v>M</v>
      </c>
      <c r="G264" s="244">
        <f>VLOOKUP(B264,' 19.ARRED_HIST_CONSOLIDADO_E_ME'!H:O,8,0)</f>
        <v>96</v>
      </c>
      <c r="H264" s="241">
        <f>IFERROR(IF(D264="SINAPI-S",VLOOKUP(B264,'20-B.SINAPI-S'!A:J,5,0),IF(D264="SINAPI-I",VLOOKUP(B264,'20-A.SINAPI-I'!A:G,6,0),IF(D264="COMPOSIÇÕES",VLOOKUP(B264,'11.COMPOSIÇÕES GERAIS'!B:I,7,0),0))),"Em Elaboração")</f>
        <v>0.07</v>
      </c>
      <c r="I264" s="241">
        <f>IFERROR(IF(D264="SINAPI-S",VLOOKUP(B264,'20-B.SINAPI-S'!A:J,6,0),IF(D264="SINAPI-I",VLOOKUP(B264,'20-A.SINAPI-I'!A:G,7,0),IF(D264="COMPOSIÇÕES",VLOOKUP(B264,'11.COMPOSIÇÕES GERAIS'!B:I,8,0),VLOOKUP(B264,'12.COT.MERCADO'!A:I,8,0)))),"Em Elaboração")</f>
        <v>50.48</v>
      </c>
      <c r="J264" s="241">
        <f t="shared" si="112"/>
        <v>0.0821746079</v>
      </c>
      <c r="K264" s="241">
        <f t="shared" si="113"/>
        <v>59.12896986</v>
      </c>
      <c r="L264" s="241">
        <f t="shared" si="114"/>
        <v>59.21114447</v>
      </c>
      <c r="M264" s="241">
        <f t="shared" si="115"/>
        <v>7.888762358</v>
      </c>
      <c r="N264" s="241">
        <f t="shared" si="116"/>
        <v>5676.381106</v>
      </c>
      <c r="O264" s="241">
        <f t="shared" si="117"/>
        <v>5684.269869</v>
      </c>
      <c r="P264" s="242">
        <f t="shared" si="2"/>
        <v>0.004446657885</v>
      </c>
    </row>
    <row r="265">
      <c r="A265" s="236" t="s">
        <v>389</v>
      </c>
      <c r="B265" s="237" t="str">
        <f>' 19.ARRED_HIST_CONSOLIDADO_E_ME'!H164</f>
        <v>MAN_PR_042</v>
      </c>
      <c r="C265" s="238" t="str">
        <f t="shared" si="111"/>
        <v>PRÓPRIO</v>
      </c>
      <c r="D265" s="243" t="s">
        <v>230</v>
      </c>
      <c r="E265" s="239" t="str">
        <f>IFERROR(IF(D265="SINAPI-S",VLOOKUP(B265,'20-B.SINAPI-S'!A:J,2,0),IF(D265="SINAPI-I",VLOOKUP(B265,'20-A.SINAPI-I'!A:G,2,0),IF(D265="COMPOSIÇÕES",VLOOKUP(B265,'11.COMPOSIÇÕES GERAIS'!B:I,2,0),VLOOKUP(B265,'12.COT.MERCADO'!A:I,2,0)))),"Em Elaboração")</f>
        <v>LIMPEZA E DESOBSTRUÇÃO DE CALHAS DE ZINCO</v>
      </c>
      <c r="F265" s="240" t="str">
        <f>IFERROR(IF(D265="SINAPI-S",VLOOKUP(B265,'20-B.SINAPI-S'!A:J,3,0),IF(D265="SINAPI-I",VLOOKUP(B265,'20-A.SINAPI-I'!A:G,3,0),IF(D265="COMPOSIÇÕES",VLOOKUP(B265,'11.COMPOSIÇÕES GERAIS'!B:I,3,0),VLOOKUP(B265,'12.COT.MERCADO'!A:I,7,0)))),"Em Elaboração")</f>
        <v>M</v>
      </c>
      <c r="G265" s="244">
        <f>VLOOKUP(B265,' 19.ARRED_HIST_CONSOLIDADO_E_ME'!H:O,8,0)</f>
        <v>30</v>
      </c>
      <c r="H265" s="241">
        <f>IFERROR(IF(D265="SINAPI-S",VLOOKUP(B265,'20-B.SINAPI-S'!A:J,5,0),IF(D265="SINAPI-I",VLOOKUP(B265,'20-A.SINAPI-I'!A:G,6,0),IF(D265="COMPOSIÇÕES",VLOOKUP(B265,'11.COMPOSIÇÕES GERAIS'!B:I,7,0),0))),"Em Elaboração")</f>
        <v>17.42</v>
      </c>
      <c r="I265" s="241">
        <f>IFERROR(IF(D265="SINAPI-S",VLOOKUP(B265,'20-B.SINAPI-S'!A:J,6,0),IF(D265="SINAPI-I",VLOOKUP(B265,'20-A.SINAPI-I'!A:G,7,0),IF(D265="COMPOSIÇÕES",VLOOKUP(B265,'11.COMPOSIÇÕES GERAIS'!B:I,8,0),VLOOKUP(B265,'12.COT.MERCADO'!A:I,8,0)))),"Em Elaboração")</f>
        <v>7.7</v>
      </c>
      <c r="J265" s="241">
        <f t="shared" si="112"/>
        <v>20.44973814</v>
      </c>
      <c r="K265" s="241">
        <f t="shared" si="113"/>
        <v>9.019276306</v>
      </c>
      <c r="L265" s="241">
        <f t="shared" si="114"/>
        <v>29.46901444</v>
      </c>
      <c r="M265" s="241">
        <f t="shared" si="115"/>
        <v>613.4921441</v>
      </c>
      <c r="N265" s="241">
        <f t="shared" si="116"/>
        <v>270.5782892</v>
      </c>
      <c r="O265" s="241">
        <f t="shared" si="117"/>
        <v>884.0704333</v>
      </c>
      <c r="P265" s="242">
        <f t="shared" si="2"/>
        <v>0.0006915855252</v>
      </c>
    </row>
    <row r="266">
      <c r="A266" s="236" t="s">
        <v>390</v>
      </c>
      <c r="B266" s="237">
        <f>' 19.ARRED_HIST_CONSOLIDADO_E_ME'!H165</f>
        <v>98575</v>
      </c>
      <c r="C266" s="238" t="str">
        <f t="shared" si="111"/>
        <v>SINAPI</v>
      </c>
      <c r="D266" s="238" t="s">
        <v>218</v>
      </c>
      <c r="E266" s="239" t="str">
        <f>IFERROR(IF(D266="SINAPI-S",VLOOKUP(B266,'20-B.SINAPI-S'!A:J,2,0),IF(D266="SINAPI-I",VLOOKUP(B266,'20-A.SINAPI-I'!A:G,2,0),IF(D266="COMPOSIÇÕES",VLOOKUP(B266,'11.COMPOSIÇÕES GERAIS'!B:I,2,0),VLOOKUP(B266,'12.COT.MERCADO'!A:I,2,0)))),"Em Elaboração")</f>
        <v>TRATAMENTO DE JUNTA DE DILATAÇÃO, COM TARUGO DE POLIETILENO E SELANTE PU, INCLUSO PREENCHIMENTO COM ESPUMA EXPANSIVA PU. AF_06/2018</v>
      </c>
      <c r="F266" s="240" t="str">
        <f>IFERROR(IF(D266="SINAPI-S",VLOOKUP(B266,'20-B.SINAPI-S'!A:J,3,0),IF(D266="SINAPI-I",VLOOKUP(B266,'20-A.SINAPI-I'!A:G,3,0),IF(D266="COMPOSIÇÕES",VLOOKUP(B266,'11.COMPOSIÇÕES GERAIS'!B:I,3,0),VLOOKUP(B266,'12.COT.MERCADO'!A:I,7,0)))),"Em Elaboração")</f>
        <v>M</v>
      </c>
      <c r="G266" s="244">
        <f>VLOOKUP(B266,' 19.ARRED_HIST_CONSOLIDADO_E_ME'!H:O,8,0)</f>
        <v>1</v>
      </c>
      <c r="H266" s="241">
        <f>IFERROR(IF(D266="SINAPI-S",VLOOKUP(B266,'20-B.SINAPI-S'!A:J,5,0),IF(D266="SINAPI-I",VLOOKUP(B266,'20-A.SINAPI-I'!A:G,6,0),IF(D266="COMPOSIÇÕES",VLOOKUP(B266,'11.COMPOSIÇÕES GERAIS'!B:I,7,0),0))),"Em Elaboração")</f>
        <v>52.18</v>
      </c>
      <c r="I266" s="241">
        <f>IFERROR(IF(D266="SINAPI-S",VLOOKUP(B266,'20-B.SINAPI-S'!A:J,6,0),IF(D266="SINAPI-I",VLOOKUP(B266,'20-A.SINAPI-I'!A:G,7,0),IF(D266="COMPOSIÇÕES",VLOOKUP(B266,'11.COMPOSIÇÕES GERAIS'!B:I,8,0),VLOOKUP(B266,'12.COT.MERCADO'!A:I,8,0)))),"Em Elaboração")</f>
        <v>62.4</v>
      </c>
      <c r="J266" s="241">
        <f t="shared" si="112"/>
        <v>61.25530058</v>
      </c>
      <c r="K266" s="241">
        <f t="shared" si="113"/>
        <v>73.09127811</v>
      </c>
      <c r="L266" s="241">
        <f t="shared" si="114"/>
        <v>134.3465787</v>
      </c>
      <c r="M266" s="241">
        <f t="shared" si="115"/>
        <v>61.25530058</v>
      </c>
      <c r="N266" s="241">
        <f t="shared" si="116"/>
        <v>73.09127811</v>
      </c>
      <c r="O266" s="241">
        <f t="shared" si="117"/>
        <v>134.3465787</v>
      </c>
      <c r="P266" s="242">
        <f t="shared" si="2"/>
        <v>0.0001050958676</v>
      </c>
    </row>
    <row r="267">
      <c r="A267" s="236" t="s">
        <v>391</v>
      </c>
      <c r="B267" s="237">
        <f>' 19.ARRED_HIST_CONSOLIDADO_E_ME'!H166</f>
        <v>37400</v>
      </c>
      <c r="C267" s="238" t="str">
        <f t="shared" si="111"/>
        <v>SINAPI</v>
      </c>
      <c r="D267" s="243" t="s">
        <v>286</v>
      </c>
      <c r="E267" s="239" t="str">
        <f>IFERROR(IF(D267="SINAPI-S",VLOOKUP(B267,'20-B.SINAPI-S'!A:J,2,0),IF(D267="SINAPI-I",VLOOKUP(B267,'20-A.SINAPI-I'!A:G,2,0),IF(D267="COMPOSIÇÕES",VLOOKUP(B267,'11.COMPOSIÇÕES GERAIS'!B:I,2,0),VLOOKUP(B267,'12.COT.MERCADO'!A:I,2,0)))),"Em Elaboração")</f>
        <v>PAPELEIRA PLASTICA TIPO DISPENSER PARA PAPEL HIGIENICO ROLAO</v>
      </c>
      <c r="F267" s="240" t="str">
        <f>IFERROR(IF(D267="SINAPI-S",VLOOKUP(B267,'20-B.SINAPI-S'!A:J,3,0),IF(D267="SINAPI-I",VLOOKUP(B267,'20-A.SINAPI-I'!A:G,3,0),IF(D267="COMPOSIÇÕES",VLOOKUP(B267,'11.COMPOSIÇÕES GERAIS'!B:I,3,0),VLOOKUP(B267,'12.COT.MERCADO'!A:I,7,0)))),"Em Elaboração")</f>
        <v>UN</v>
      </c>
      <c r="G267" s="244">
        <f>VLOOKUP(B267,' 19.ARRED_HIST_CONSOLIDADO_E_ME'!H:O,8,0)</f>
        <v>1</v>
      </c>
      <c r="H267" s="241">
        <f>IFERROR(IF(D267="SINAPI-S",VLOOKUP(B267,'20-B.SINAPI-S'!A:J,5,0),IF(D267="SINAPI-I",VLOOKUP(B267,'20-A.SINAPI-I'!A:G,6,0),IF(D267="COMPOSIÇÕES",VLOOKUP(B267,'11.COMPOSIÇÕES GERAIS'!B:I,7,0),0))),"Em Elaboração")</f>
        <v>0</v>
      </c>
      <c r="I267" s="241">
        <f>IFERROR(IF(D267="SINAPI-S",VLOOKUP(B267,'20-B.SINAPI-S'!A:J,6,0),IF(D267="SINAPI-I",VLOOKUP(B267,'20-A.SINAPI-I'!A:G,7,0),IF(D267="COMPOSIÇÕES",VLOOKUP(B267,'11.COMPOSIÇÕES GERAIS'!B:I,8,0),VLOOKUP(B267,'12.COT.MERCADO'!A:I,8,0)))),"Em Elaboração")</f>
        <v>46.74</v>
      </c>
      <c r="J267" s="241">
        <f t="shared" si="112"/>
        <v>0</v>
      </c>
      <c r="K267" s="241">
        <f t="shared" si="113"/>
        <v>54.74817851</v>
      </c>
      <c r="L267" s="241">
        <f t="shared" si="114"/>
        <v>54.74817851</v>
      </c>
      <c r="M267" s="241">
        <f t="shared" si="115"/>
        <v>0</v>
      </c>
      <c r="N267" s="241">
        <f t="shared" si="116"/>
        <v>54.74817851</v>
      </c>
      <c r="O267" s="241">
        <f t="shared" si="117"/>
        <v>54.74817851</v>
      </c>
      <c r="P267" s="242">
        <f t="shared" si="2"/>
        <v>0.00004282808967</v>
      </c>
    </row>
    <row r="268">
      <c r="A268" s="236" t="s">
        <v>392</v>
      </c>
      <c r="B268" s="237" t="str">
        <f>' 19.ARRED_HIST_CONSOLIDADO_E_ME'!H167</f>
        <v>MAN_PR_041</v>
      </c>
      <c r="C268" s="238" t="str">
        <f t="shared" si="111"/>
        <v>PRÓPRIO</v>
      </c>
      <c r="D268" s="243" t="s">
        <v>230</v>
      </c>
      <c r="E268" s="239" t="str">
        <f>IFERROR(IF(D268="SINAPI-S",VLOOKUP(B268,'20-B.SINAPI-S'!A:J,2,0),IF(D268="SINAPI-I",VLOOKUP(B268,'20-A.SINAPI-I'!A:G,2,0),IF(D268="COMPOSIÇÕES",VLOOKUP(B268,'11.COMPOSIÇÕES GERAIS'!B:I,2,0),VLOOKUP(B268,'12.COT.MERCADO'!A:I,2,0)))),"Em Elaboração")</f>
        <v>FORNECIMENTO E INSTALAÇÃO DE PONTO DE ATERRAMENTO, INCLUÍNDO 1M DE CABO DE COBRE NU 50MM2, HASTE E CAIXA DE INSPEÇÃO</v>
      </c>
      <c r="F268" s="240" t="str">
        <f>IFERROR(IF(D268="SINAPI-S",VLOOKUP(B268,'20-B.SINAPI-S'!A:J,3,0),IF(D268="SINAPI-I",VLOOKUP(B268,'20-A.SINAPI-I'!A:G,3,0),IF(D268="COMPOSIÇÕES",VLOOKUP(B268,'11.COMPOSIÇÕES GERAIS'!B:I,3,0),VLOOKUP(B268,'12.COT.MERCADO'!A:I,7,0)))),"Em Elaboração")</f>
        <v>UN</v>
      </c>
      <c r="G268" s="244">
        <f>VLOOKUP(B268,' 19.ARRED_HIST_CONSOLIDADO_E_ME'!H:O,8,0)</f>
        <v>2</v>
      </c>
      <c r="H268" s="241">
        <f>IFERROR(IF(D268="SINAPI-S",VLOOKUP(B268,'20-B.SINAPI-S'!A:J,5,0),IF(D268="SINAPI-I",VLOOKUP(B268,'20-A.SINAPI-I'!A:G,6,0),IF(D268="COMPOSIÇÕES",VLOOKUP(B268,'11.COMPOSIÇÕES GERAIS'!B:I,7,0),0))),"Em Elaboração")</f>
        <v>19.46</v>
      </c>
      <c r="I268" s="241">
        <f>IFERROR(IF(D268="SINAPI-S",VLOOKUP(B268,'20-B.SINAPI-S'!A:J,6,0),IF(D268="SINAPI-I",VLOOKUP(B268,'20-A.SINAPI-I'!A:G,7,0),IF(D268="COMPOSIÇÕES",VLOOKUP(B268,'11.COMPOSIÇÕES GERAIS'!B:I,8,0),VLOOKUP(B268,'12.COT.MERCADO'!A:I,8,0)))),"Em Elaboração")</f>
        <v>176.56</v>
      </c>
      <c r="J268" s="241">
        <f t="shared" si="112"/>
        <v>22.844541</v>
      </c>
      <c r="K268" s="241">
        <f t="shared" si="113"/>
        <v>206.8108344</v>
      </c>
      <c r="L268" s="241">
        <f t="shared" si="114"/>
        <v>229.6553753</v>
      </c>
      <c r="M268" s="241">
        <f t="shared" si="115"/>
        <v>45.68908199</v>
      </c>
      <c r="N268" s="241">
        <f t="shared" si="116"/>
        <v>413.6216687</v>
      </c>
      <c r="O268" s="241">
        <f t="shared" si="117"/>
        <v>459.3107507</v>
      </c>
      <c r="P268" s="242">
        <f t="shared" si="2"/>
        <v>0.0003593069679</v>
      </c>
    </row>
    <row r="269">
      <c r="A269" s="236" t="s">
        <v>393</v>
      </c>
      <c r="B269" s="237">
        <f>' 19.ARRED_HIST_CONSOLIDADO_E_ME'!H168</f>
        <v>97662</v>
      </c>
      <c r="C269" s="238" t="str">
        <f t="shared" si="111"/>
        <v>SINAPI</v>
      </c>
      <c r="D269" s="238" t="s">
        <v>218</v>
      </c>
      <c r="E269" s="239" t="str">
        <f>IFERROR(IF(D269="SINAPI-S",VLOOKUP(B269,'20-B.SINAPI-S'!A:J,2,0),IF(D269="SINAPI-I",VLOOKUP(B269,'20-A.SINAPI-I'!A:G,2,0),IF(D269="COMPOSIÇÕES",VLOOKUP(B269,'11.COMPOSIÇÕES GERAIS'!B:I,2,0),VLOOKUP(B269,'12.COT.MERCADO'!A:I,2,0)))),"Em Elaboração")</f>
        <v>REMOÇÃO DE TUBULAÇÕES (TUBOS E CONEXÕES) DE ÁGUA FRIA, DE FORMA MANUAL, SEM REAPROVEITAMENTO. AF_12/2017</v>
      </c>
      <c r="F269" s="240" t="str">
        <f>IFERROR(IF(D269="SINAPI-S",VLOOKUP(B269,'20-B.SINAPI-S'!A:J,3,0),IF(D269="SINAPI-I",VLOOKUP(B269,'20-A.SINAPI-I'!A:G,3,0),IF(D269="COMPOSIÇÕES",VLOOKUP(B269,'11.COMPOSIÇÕES GERAIS'!B:I,3,0),VLOOKUP(B269,'12.COT.MERCADO'!A:I,7,0)))),"Em Elaboração")</f>
        <v>M</v>
      </c>
      <c r="G269" s="244">
        <f>VLOOKUP(B269,' 19.ARRED_HIST_CONSOLIDADO_E_ME'!H:O,8,0)</f>
        <v>9</v>
      </c>
      <c r="H269" s="241">
        <f>IFERROR(IF(D269="SINAPI-S",VLOOKUP(B269,'20-B.SINAPI-S'!A:J,5,0),IF(D269="SINAPI-I",VLOOKUP(B269,'20-A.SINAPI-I'!A:G,6,0),IF(D269="COMPOSIÇÕES",VLOOKUP(B269,'11.COMPOSIÇÕES GERAIS'!B:I,7,0),0))),"Em Elaboração")</f>
        <v>0.46</v>
      </c>
      <c r="I269" s="241">
        <f>IFERROR(IF(D269="SINAPI-S",VLOOKUP(B269,'20-B.SINAPI-S'!A:J,6,0),IF(D269="SINAPI-I",VLOOKUP(B269,'20-A.SINAPI-I'!A:G,7,0),IF(D269="COMPOSIÇÕES",VLOOKUP(B269,'11.COMPOSIÇÕES GERAIS'!B:I,8,0),VLOOKUP(B269,'12.COT.MERCADO'!A:I,8,0)))),"Em Elaboração")</f>
        <v>0.11</v>
      </c>
      <c r="J269" s="241">
        <f t="shared" si="112"/>
        <v>0.5400045662</v>
      </c>
      <c r="K269" s="241">
        <f t="shared" si="113"/>
        <v>0.1288468044</v>
      </c>
      <c r="L269" s="241">
        <f t="shared" si="114"/>
        <v>0.6688513706</v>
      </c>
      <c r="M269" s="241">
        <f t="shared" si="115"/>
        <v>4.860041096</v>
      </c>
      <c r="N269" s="241">
        <f t="shared" si="116"/>
        <v>1.159621239</v>
      </c>
      <c r="O269" s="241">
        <f t="shared" si="117"/>
        <v>6.019662335</v>
      </c>
      <c r="P269" s="242">
        <f t="shared" si="2"/>
        <v>0.000004709026771</v>
      </c>
    </row>
    <row r="270">
      <c r="A270" s="236" t="s">
        <v>394</v>
      </c>
      <c r="B270" s="237">
        <f>' 19.ARRED_HIST_CONSOLIDADO_E_ME'!H169</f>
        <v>96718</v>
      </c>
      <c r="C270" s="238" t="str">
        <f t="shared" si="111"/>
        <v>SINAPI</v>
      </c>
      <c r="D270" s="238" t="s">
        <v>218</v>
      </c>
      <c r="E270" s="239" t="str">
        <f>IFERROR(IF(D270="SINAPI-S",VLOOKUP(B270,'20-B.SINAPI-S'!A:J,2,0),IF(D270="SINAPI-I",VLOOKUP(B270,'20-A.SINAPI-I'!A:G,2,0),IF(D270="COMPOSIÇÕES",VLOOKUP(B270,'11.COMPOSIÇÕES GERAIS'!B:I,2,0),VLOOKUP(B270,'12.COT.MERCADO'!A:I,2,0)))),"Em Elaboração")</f>
        <v>TUBO, PPR, DN 20, CLASSE PN 20,  INSTALADO EM RESERVAÇÃO DE ÁGUA DE EDIFICAÇÃO QUE POSSUA RESERVATÓRIO DE FIBRA/FIBROCIMENTO _x0096_ FORNECIMENTO E INSTALAÇÃO. AF_06/2016</v>
      </c>
      <c r="F270" s="240" t="str">
        <f>IFERROR(IF(D270="SINAPI-S",VLOOKUP(B270,'20-B.SINAPI-S'!A:J,3,0),IF(D270="SINAPI-I",VLOOKUP(B270,'20-A.SINAPI-I'!A:G,3,0),IF(D270="COMPOSIÇÕES",VLOOKUP(B270,'11.COMPOSIÇÕES GERAIS'!B:I,3,0),VLOOKUP(B270,'12.COT.MERCADO'!A:I,7,0)))),"Em Elaboração")</f>
        <v>M</v>
      </c>
      <c r="G270" s="244">
        <f>VLOOKUP(B270,' 19.ARRED_HIST_CONSOLIDADO_E_ME'!H:O,8,0)</f>
        <v>9</v>
      </c>
      <c r="H270" s="241">
        <f>IFERROR(IF(D270="SINAPI-S",VLOOKUP(B270,'20-B.SINAPI-S'!A:J,5,0),IF(D270="SINAPI-I",VLOOKUP(B270,'20-A.SINAPI-I'!A:G,6,0),IF(D270="COMPOSIÇÕES",VLOOKUP(B270,'11.COMPOSIÇÕES GERAIS'!B:I,7,0),0))),"Em Elaboração")</f>
        <v>0.28</v>
      </c>
      <c r="I270" s="241">
        <f>IFERROR(IF(D270="SINAPI-S",VLOOKUP(B270,'20-B.SINAPI-S'!A:J,6,0),IF(D270="SINAPI-I",VLOOKUP(B270,'20-A.SINAPI-I'!A:G,7,0),IF(D270="COMPOSIÇÕES",VLOOKUP(B270,'11.COMPOSIÇÕES GERAIS'!B:I,8,0),VLOOKUP(B270,'12.COT.MERCADO'!A:I,8,0)))),"Em Elaboração")</f>
        <v>11.17</v>
      </c>
      <c r="J270" s="241">
        <f t="shared" si="112"/>
        <v>0.3286984316</v>
      </c>
      <c r="K270" s="241">
        <f t="shared" si="113"/>
        <v>13.08380732</v>
      </c>
      <c r="L270" s="241">
        <f t="shared" si="114"/>
        <v>13.41250575</v>
      </c>
      <c r="M270" s="241">
        <f t="shared" si="115"/>
        <v>2.958285884</v>
      </c>
      <c r="N270" s="241">
        <f t="shared" si="116"/>
        <v>117.7542658</v>
      </c>
      <c r="O270" s="241">
        <f t="shared" si="117"/>
        <v>120.7125517</v>
      </c>
      <c r="P270" s="242">
        <f t="shared" si="2"/>
        <v>0.00009443031951</v>
      </c>
    </row>
    <row r="271">
      <c r="A271" s="236" t="s">
        <v>395</v>
      </c>
      <c r="B271" s="237">
        <f>' 19.ARRED_HIST_CONSOLIDADO_E_ME'!H170</f>
        <v>5901</v>
      </c>
      <c r="C271" s="238" t="str">
        <f t="shared" si="111"/>
        <v>SINAPI</v>
      </c>
      <c r="D271" s="238" t="s">
        <v>218</v>
      </c>
      <c r="E271" s="239" t="str">
        <f>IFERROR(IF(D271="SINAPI-S",VLOOKUP(B271,'20-B.SINAPI-S'!A:J,2,0),IF(D271="SINAPI-I",VLOOKUP(B271,'20-A.SINAPI-I'!A:G,2,0),IF(D271="COMPOSIÇÕES",VLOOKUP(B271,'11.COMPOSIÇÕES GERAIS'!B:I,2,0),VLOOKUP(B271,'12.COT.MERCADO'!A:I,2,0)))),"Em Elaboração")</f>
        <v>CAMINHÃO PIPA 10.000 L TRUCADO, PESO BRUTO TOTAL 23.000 KG, CARGA ÚTIL MÁXIMA 15.935 KG, DISTÂNCIA ENTRE EIXOS 4,8 M, POTÊNCIA 230 CV, INCLUSIVE TANQUE DE AÇO PARA TRANSPORTE DE ÁGUA - CHP DIURNO. AF_06/2014</v>
      </c>
      <c r="F271" s="240" t="str">
        <f>IFERROR(IF(D271="SINAPI-S",VLOOKUP(B271,'20-B.SINAPI-S'!A:J,3,0),IF(D271="SINAPI-I",VLOOKUP(B271,'20-A.SINAPI-I'!A:G,3,0),IF(D271="COMPOSIÇÕES",VLOOKUP(B271,'11.COMPOSIÇÕES GERAIS'!B:I,3,0),VLOOKUP(B271,'12.COT.MERCADO'!A:I,7,0)))),"Em Elaboração")</f>
        <v>CHP</v>
      </c>
      <c r="G271" s="244">
        <f>VLOOKUP(B271,' 19.ARRED_HIST_CONSOLIDADO_E_ME'!H:O,8,0)</f>
        <v>1</v>
      </c>
      <c r="H271" s="241">
        <f>IFERROR(IF(D271="SINAPI-S",VLOOKUP(B271,'20-B.SINAPI-S'!A:J,5,0),IF(D271="SINAPI-I",VLOOKUP(B271,'20-A.SINAPI-I'!A:G,6,0),IF(D271="COMPOSIÇÕES",VLOOKUP(B271,'11.COMPOSIÇÕES GERAIS'!B:I,7,0),0))),"Em Elaboração")</f>
        <v>24.84</v>
      </c>
      <c r="I271" s="241">
        <f>IFERROR(IF(D271="SINAPI-S",VLOOKUP(B271,'20-B.SINAPI-S'!A:J,6,0),IF(D271="SINAPI-I",VLOOKUP(B271,'20-A.SINAPI-I'!A:G,7,0),IF(D271="COMPOSIÇÕES",VLOOKUP(B271,'11.COMPOSIÇÕES GERAIS'!B:I,8,0),VLOOKUP(B271,'12.COT.MERCADO'!A:I,8,0)))),"Em Elaboração")</f>
        <v>248.36</v>
      </c>
      <c r="J271" s="241">
        <f t="shared" si="112"/>
        <v>29.16024657</v>
      </c>
      <c r="K271" s="241">
        <f t="shared" si="113"/>
        <v>290.9126576</v>
      </c>
      <c r="L271" s="241">
        <f t="shared" si="114"/>
        <v>320.0729041</v>
      </c>
      <c r="M271" s="241">
        <f t="shared" si="115"/>
        <v>29.16024657</v>
      </c>
      <c r="N271" s="241">
        <f t="shared" si="116"/>
        <v>290.9126576</v>
      </c>
      <c r="O271" s="241">
        <f t="shared" si="117"/>
        <v>320.0729041</v>
      </c>
      <c r="P271" s="242">
        <f t="shared" si="2"/>
        <v>0.0002503847874</v>
      </c>
    </row>
    <row r="272">
      <c r="A272" s="236" t="s">
        <v>396</v>
      </c>
      <c r="B272" s="237">
        <f>' 19.ARRED_HIST_CONSOLIDADO_E_ME'!H171</f>
        <v>97062</v>
      </c>
      <c r="C272" s="238" t="str">
        <f t="shared" si="111"/>
        <v>SINAPI</v>
      </c>
      <c r="D272" s="238" t="s">
        <v>218</v>
      </c>
      <c r="E272" s="239" t="str">
        <f>IFERROR(IF(D272="SINAPI-S",VLOOKUP(B272,'20-B.SINAPI-S'!A:J,2,0),IF(D272="SINAPI-I",VLOOKUP(B272,'20-A.SINAPI-I'!A:G,2,0),IF(D272="COMPOSIÇÕES",VLOOKUP(B272,'11.COMPOSIÇÕES GERAIS'!B:I,2,0),VLOOKUP(B272,'12.COT.MERCADO'!A:I,2,0)))),"Em Elaboração")</f>
        <v>COLOCAÇÃO DE TELA EM ANDAIME FACHADEIRO. AF_11/2017</v>
      </c>
      <c r="F272" s="240" t="str">
        <f>IFERROR(IF(D272="SINAPI-S",VLOOKUP(B272,'20-B.SINAPI-S'!A:J,3,0),IF(D272="SINAPI-I",VLOOKUP(B272,'20-A.SINAPI-I'!A:G,3,0),IF(D272="COMPOSIÇÕES",VLOOKUP(B272,'11.COMPOSIÇÕES GERAIS'!B:I,3,0),VLOOKUP(B272,'12.COT.MERCADO'!A:I,7,0)))),"Em Elaboração")</f>
        <v>M2</v>
      </c>
      <c r="G272" s="244">
        <f>VLOOKUP(B272,' 19.ARRED_HIST_CONSOLIDADO_E_ME'!H:O,8,0)</f>
        <v>3</v>
      </c>
      <c r="H272" s="241">
        <f>IFERROR(IF(D272="SINAPI-S",VLOOKUP(B272,'20-B.SINAPI-S'!A:J,5,0),IF(D272="SINAPI-I",VLOOKUP(B272,'20-A.SINAPI-I'!A:G,6,0),IF(D272="COMPOSIÇÕES",VLOOKUP(B272,'11.COMPOSIÇÕES GERAIS'!B:I,7,0),0))),"Em Elaboração")</f>
        <v>3.11</v>
      </c>
      <c r="I272" s="241">
        <f>IFERROR(IF(D272="SINAPI-S",VLOOKUP(B272,'20-B.SINAPI-S'!A:J,6,0),IF(D272="SINAPI-I",VLOOKUP(B272,'20-A.SINAPI-I'!A:G,7,0),IF(D272="COMPOSIÇÕES",VLOOKUP(B272,'11.COMPOSIÇÕES GERAIS'!B:I,8,0),VLOOKUP(B272,'12.COT.MERCADO'!A:I,8,0)))),"Em Elaboração")</f>
        <v>3.83</v>
      </c>
      <c r="J272" s="241">
        <f t="shared" si="112"/>
        <v>3.650900437</v>
      </c>
      <c r="K272" s="241">
        <f t="shared" si="113"/>
        <v>4.486211461</v>
      </c>
      <c r="L272" s="241">
        <f t="shared" si="114"/>
        <v>8.137111898</v>
      </c>
      <c r="M272" s="241">
        <f t="shared" si="115"/>
        <v>10.95270131</v>
      </c>
      <c r="N272" s="241">
        <f t="shared" si="116"/>
        <v>13.45863438</v>
      </c>
      <c r="O272" s="241">
        <f t="shared" si="117"/>
        <v>24.41133569</v>
      </c>
      <c r="P272" s="242">
        <f t="shared" si="2"/>
        <v>0.00001909635905</v>
      </c>
    </row>
    <row r="273">
      <c r="A273" s="236" t="s">
        <v>397</v>
      </c>
      <c r="B273" s="237">
        <f>' 19.ARRED_HIST_CONSOLIDADO_E_ME'!H172</f>
        <v>97664</v>
      </c>
      <c r="C273" s="238" t="str">
        <f t="shared" si="111"/>
        <v>SINAPI</v>
      </c>
      <c r="D273" s="238" t="s">
        <v>218</v>
      </c>
      <c r="E273" s="239" t="str">
        <f>IFERROR(IF(D273="SINAPI-S",VLOOKUP(B273,'20-B.SINAPI-S'!A:J,2,0),IF(D273="SINAPI-I",VLOOKUP(B273,'20-A.SINAPI-I'!A:G,2,0),IF(D273="COMPOSIÇÕES",VLOOKUP(B273,'11.COMPOSIÇÕES GERAIS'!B:I,2,0),VLOOKUP(B273,'12.COT.MERCADO'!A:I,2,0)))),"Em Elaboração")</f>
        <v>REMOÇÃO DE ACESSÓRIOS, DE FORMA MANUAL, SEM REAPROVEITAMENTO. AF_12/2017</v>
      </c>
      <c r="F273" s="240" t="str">
        <f>IFERROR(IF(D273="SINAPI-S",VLOOKUP(B273,'20-B.SINAPI-S'!A:J,3,0),IF(D273="SINAPI-I",VLOOKUP(B273,'20-A.SINAPI-I'!A:G,3,0),IF(D273="COMPOSIÇÕES",VLOOKUP(B273,'11.COMPOSIÇÕES GERAIS'!B:I,3,0),VLOOKUP(B273,'12.COT.MERCADO'!A:I,7,0)))),"Em Elaboração")</f>
        <v>UN</v>
      </c>
      <c r="G273" s="244">
        <f>VLOOKUP(B273,' 19.ARRED_HIST_CONSOLIDADO_E_ME'!H:O,8,0)</f>
        <v>1</v>
      </c>
      <c r="H273" s="241">
        <f>IFERROR(IF(D273="SINAPI-S",VLOOKUP(B273,'20-B.SINAPI-S'!A:J,5,0),IF(D273="SINAPI-I",VLOOKUP(B273,'20-A.SINAPI-I'!A:G,6,0),IF(D273="COMPOSIÇÕES",VLOOKUP(B273,'11.COMPOSIÇÕES GERAIS'!B:I,7,0),0))),"Em Elaboração")</f>
        <v>1.32</v>
      </c>
      <c r="I273" s="241">
        <f>IFERROR(IF(D273="SINAPI-S",VLOOKUP(B273,'20-B.SINAPI-S'!A:J,6,0),IF(D273="SINAPI-I",VLOOKUP(B273,'20-A.SINAPI-I'!A:G,7,0),IF(D273="COMPOSIÇÕES",VLOOKUP(B273,'11.COMPOSIÇÕES GERAIS'!B:I,8,0),VLOOKUP(B273,'12.COT.MERCADO'!A:I,8,0)))),"Em Elaboração")</f>
        <v>0.44</v>
      </c>
      <c r="J273" s="241">
        <f t="shared" si="112"/>
        <v>1.54957832</v>
      </c>
      <c r="K273" s="241">
        <f t="shared" si="113"/>
        <v>0.5153872175</v>
      </c>
      <c r="L273" s="241">
        <f t="shared" si="114"/>
        <v>2.064965538</v>
      </c>
      <c r="M273" s="241">
        <f t="shared" si="115"/>
        <v>1.54957832</v>
      </c>
      <c r="N273" s="241">
        <f t="shared" si="116"/>
        <v>0.5153872175</v>
      </c>
      <c r="O273" s="241">
        <f t="shared" si="117"/>
        <v>2.064965538</v>
      </c>
      <c r="P273" s="242">
        <f t="shared" si="2"/>
        <v>0.000001615369344</v>
      </c>
    </row>
    <row r="274">
      <c r="A274" s="236" t="s">
        <v>398</v>
      </c>
      <c r="B274" s="237">
        <f>' 19.ARRED_HIST_CONSOLIDADO_E_ME'!H173</f>
        <v>96985</v>
      </c>
      <c r="C274" s="238" t="str">
        <f t="shared" si="111"/>
        <v>SINAPI</v>
      </c>
      <c r="D274" s="238" t="s">
        <v>218</v>
      </c>
      <c r="E274" s="239" t="str">
        <f>IFERROR(IF(D274="SINAPI-S",VLOOKUP(B274,'20-B.SINAPI-S'!A:J,2,0),IF(D274="SINAPI-I",VLOOKUP(B274,'20-A.SINAPI-I'!A:G,2,0),IF(D274="COMPOSIÇÕES",VLOOKUP(B274,'11.COMPOSIÇÕES GERAIS'!B:I,2,0),VLOOKUP(B274,'12.COT.MERCADO'!A:I,2,0)))),"Em Elaboração")</f>
        <v>HASTE DE ATERRAMENTO 5/8  PARA SPDA - FORNECIMENTO E INSTALAÇÃO. AF_12/2017</v>
      </c>
      <c r="F274" s="240" t="str">
        <f>IFERROR(IF(D274="SINAPI-S",VLOOKUP(B274,'20-B.SINAPI-S'!A:J,3,0),IF(D274="SINAPI-I",VLOOKUP(B274,'20-A.SINAPI-I'!A:G,3,0),IF(D274="COMPOSIÇÕES",VLOOKUP(B274,'11.COMPOSIÇÕES GERAIS'!B:I,3,0),VLOOKUP(B274,'12.COT.MERCADO'!A:I,7,0)))),"Em Elaboração")</f>
        <v>UN</v>
      </c>
      <c r="G274" s="244">
        <f>VLOOKUP(B274,' 19.ARRED_HIST_CONSOLIDADO_E_ME'!H:O,8,0)</f>
        <v>3</v>
      </c>
      <c r="H274" s="241">
        <f>IFERROR(IF(D274="SINAPI-S",VLOOKUP(B274,'20-B.SINAPI-S'!A:J,5,0),IF(D274="SINAPI-I",VLOOKUP(B274,'20-A.SINAPI-I'!A:G,6,0),IF(D274="COMPOSIÇÕES",VLOOKUP(B274,'11.COMPOSIÇÕES GERAIS'!B:I,7,0),0))),"Em Elaboração")</f>
        <v>11.2</v>
      </c>
      <c r="I274" s="241">
        <f>IFERROR(IF(D274="SINAPI-S",VLOOKUP(B274,'20-B.SINAPI-S'!A:J,6,0),IF(D274="SINAPI-I",VLOOKUP(B274,'20-A.SINAPI-I'!A:G,7,0),IF(D274="COMPOSIÇÕES",VLOOKUP(B274,'11.COMPOSIÇÕES GERAIS'!B:I,8,0),VLOOKUP(B274,'12.COT.MERCADO'!A:I,8,0)))),"Em Elaboração")</f>
        <v>67.24</v>
      </c>
      <c r="J274" s="241">
        <f t="shared" si="112"/>
        <v>13.14793726</v>
      </c>
      <c r="K274" s="241">
        <f t="shared" si="113"/>
        <v>78.7605375</v>
      </c>
      <c r="L274" s="241">
        <f t="shared" si="114"/>
        <v>91.90847477</v>
      </c>
      <c r="M274" s="241">
        <f t="shared" si="115"/>
        <v>39.44381179</v>
      </c>
      <c r="N274" s="241">
        <f t="shared" si="116"/>
        <v>236.2816125</v>
      </c>
      <c r="O274" s="241">
        <f t="shared" si="117"/>
        <v>275.7254243</v>
      </c>
      <c r="P274" s="242">
        <f t="shared" si="2"/>
        <v>0.0002156928964</v>
      </c>
    </row>
    <row r="275">
      <c r="A275" s="236" t="s">
        <v>399</v>
      </c>
      <c r="B275" s="237">
        <f>' 19.ARRED_HIST_CONSOLIDADO_E_ME'!H174</f>
        <v>103019</v>
      </c>
      <c r="C275" s="238" t="str">
        <f t="shared" si="111"/>
        <v>SINAPI</v>
      </c>
      <c r="D275" s="238" t="s">
        <v>218</v>
      </c>
      <c r="E275" s="239" t="str">
        <f>IFERROR(IF(D275="SINAPI-S",VLOOKUP(B275,'20-B.SINAPI-S'!A:J,2,0),IF(D275="SINAPI-I",VLOOKUP(B275,'20-A.SINAPI-I'!A:G,2,0),IF(D275="COMPOSIÇÕES",VLOOKUP(B275,'11.COMPOSIÇÕES GERAIS'!B:I,2,0),VLOOKUP(B275,'12.COT.MERCADO'!A:I,2,0)))),"Em Elaboração")</f>
        <v>REGISTRO OU VÁLVULA GLOBO ANGULAR EM LATÃO, PARA HIDRANTES EM INSTALAÇÃO PREDIAL DE INCÊNDIO, 45 GRAUS, 2 1/2" - FORNECIMENTO E INSTALAÇÃO. AF_08/2021</v>
      </c>
      <c r="F275" s="240" t="str">
        <f>IFERROR(IF(D275="SINAPI-S",VLOOKUP(B275,'20-B.SINAPI-S'!A:J,3,0),IF(D275="SINAPI-I",VLOOKUP(B275,'20-A.SINAPI-I'!A:G,3,0),IF(D275="COMPOSIÇÕES",VLOOKUP(B275,'11.COMPOSIÇÕES GERAIS'!B:I,3,0),VLOOKUP(B275,'12.COT.MERCADO'!A:I,7,0)))),"Em Elaboração")</f>
        <v>UN</v>
      </c>
      <c r="G275" s="244">
        <f>VLOOKUP(B275,' 19.ARRED_HIST_CONSOLIDADO_E_ME'!H:O,8,0)</f>
        <v>1</v>
      </c>
      <c r="H275" s="241">
        <f>IFERROR(IF(D275="SINAPI-S",VLOOKUP(B275,'20-B.SINAPI-S'!A:J,5,0),IF(D275="SINAPI-I",VLOOKUP(B275,'20-A.SINAPI-I'!A:G,6,0),IF(D275="COMPOSIÇÕES",VLOOKUP(B275,'11.COMPOSIÇÕES GERAIS'!B:I,7,0),0))),"Em Elaboração")</f>
        <v>19.72</v>
      </c>
      <c r="I275" s="241">
        <f>IFERROR(IF(D275="SINAPI-S",VLOOKUP(B275,'20-B.SINAPI-S'!A:J,6,0),IF(D275="SINAPI-I",VLOOKUP(B275,'20-A.SINAPI-I'!A:G,7,0),IF(D275="COMPOSIÇÕES",VLOOKUP(B275,'11.COMPOSIÇÕES GERAIS'!B:I,8,0),VLOOKUP(B275,'12.COT.MERCADO'!A:I,8,0)))),"Em Elaboração")</f>
        <v>262.05</v>
      </c>
      <c r="J275" s="241">
        <f t="shared" si="112"/>
        <v>23.14976097</v>
      </c>
      <c r="K275" s="241">
        <f t="shared" si="113"/>
        <v>306.948228</v>
      </c>
      <c r="L275" s="241">
        <f t="shared" si="114"/>
        <v>330.097989</v>
      </c>
      <c r="M275" s="241">
        <f t="shared" si="115"/>
        <v>23.14976097</v>
      </c>
      <c r="N275" s="241">
        <f t="shared" si="116"/>
        <v>306.948228</v>
      </c>
      <c r="O275" s="241">
        <f t="shared" si="117"/>
        <v>330.097989</v>
      </c>
      <c r="P275" s="242">
        <f t="shared" si="2"/>
        <v>0.0002582271531</v>
      </c>
    </row>
    <row r="276">
      <c r="A276" s="236" t="s">
        <v>400</v>
      </c>
      <c r="B276" s="237">
        <f>' 19.ARRED_HIST_CONSOLIDADO_E_ME'!H175</f>
        <v>97609</v>
      </c>
      <c r="C276" s="238" t="str">
        <f t="shared" si="111"/>
        <v>SINAPI</v>
      </c>
      <c r="D276" s="238" t="s">
        <v>218</v>
      </c>
      <c r="E276" s="239" t="str">
        <f>IFERROR(IF(D276="SINAPI-S",VLOOKUP(B276,'20-B.SINAPI-S'!A:J,2,0),IF(D276="SINAPI-I",VLOOKUP(B276,'20-A.SINAPI-I'!A:G,2,0),IF(D276="COMPOSIÇÕES",VLOOKUP(B276,'11.COMPOSIÇÕES GERAIS'!B:I,2,0),VLOOKUP(B276,'12.COT.MERCADO'!A:I,2,0)))),"Em Elaboração")</f>
        <v>LÂMPADA COMPACTA DE LED 6 W, BASE E27 - FORNECIMENTO E INSTALAÇÃO. AF_02/2020</v>
      </c>
      <c r="F276" s="240" t="str">
        <f>IFERROR(IF(D276="SINAPI-S",VLOOKUP(B276,'20-B.SINAPI-S'!A:J,3,0),IF(D276="SINAPI-I",VLOOKUP(B276,'20-A.SINAPI-I'!A:G,3,0),IF(D276="COMPOSIÇÕES",VLOOKUP(B276,'11.COMPOSIÇÕES GERAIS'!B:I,3,0),VLOOKUP(B276,'12.COT.MERCADO'!A:I,7,0)))),"Em Elaboração")</f>
        <v>UN</v>
      </c>
      <c r="G276" s="244">
        <f>VLOOKUP(B276,' 19.ARRED_HIST_CONSOLIDADO_E_ME'!H:O,8,0)</f>
        <v>6</v>
      </c>
      <c r="H276" s="241">
        <f>IFERROR(IF(D276="SINAPI-S",VLOOKUP(B276,'20-B.SINAPI-S'!A:J,5,0),IF(D276="SINAPI-I",VLOOKUP(B276,'20-A.SINAPI-I'!A:G,6,0),IF(D276="COMPOSIÇÕES",VLOOKUP(B276,'11.COMPOSIÇÕES GERAIS'!B:I,7,0),0))),"Em Elaboração")</f>
        <v>5.47</v>
      </c>
      <c r="I276" s="241">
        <f>IFERROR(IF(D276="SINAPI-S",VLOOKUP(B276,'20-B.SINAPI-S'!A:J,6,0),IF(D276="SINAPI-I",VLOOKUP(B276,'20-A.SINAPI-I'!A:G,7,0),IF(D276="COMPOSIÇÕES",VLOOKUP(B276,'11.COMPOSIÇÕES GERAIS'!B:I,8,0),VLOOKUP(B276,'12.COT.MERCADO'!A:I,8,0)))),"Em Elaboração")</f>
        <v>11.81</v>
      </c>
      <c r="J276" s="241">
        <f t="shared" si="112"/>
        <v>6.421358646</v>
      </c>
      <c r="K276" s="241">
        <f t="shared" si="113"/>
        <v>13.83346145</v>
      </c>
      <c r="L276" s="241">
        <f t="shared" si="114"/>
        <v>20.2548201</v>
      </c>
      <c r="M276" s="241">
        <f t="shared" si="115"/>
        <v>38.52815188</v>
      </c>
      <c r="N276" s="241">
        <f t="shared" si="116"/>
        <v>83.0007687</v>
      </c>
      <c r="O276" s="241">
        <f t="shared" si="117"/>
        <v>121.5289206</v>
      </c>
      <c r="P276" s="242">
        <f t="shared" si="2"/>
        <v>0.00009506894384</v>
      </c>
    </row>
    <row r="277">
      <c r="A277" s="236" t="s">
        <v>401</v>
      </c>
      <c r="B277" s="245" t="str">
        <f>' 19.ARRED_HIST_CONSOLIDADO_E_ME'!H176</f>
        <v>MAN_PR_057</v>
      </c>
      <c r="C277" s="238" t="str">
        <f t="shared" si="111"/>
        <v>PRÓPRIO</v>
      </c>
      <c r="D277" s="243" t="s">
        <v>230</v>
      </c>
      <c r="E277" s="239" t="str">
        <f>IFERROR(IF(D277="SINAPI-S",VLOOKUP(B277,'20-B.SINAPI-S'!A:J,2,0),IF(D277="SINAPI-I",VLOOKUP(B277,'20-A.SINAPI-I'!A:G,2,0),IF(D277="COMPOSIÇÕES",VLOOKUP(B277,'11.COMPOSIÇÕES GERAIS'!B:I,2,0),VLOOKUP(B277,'12.COT.MERCADO'!A:I,2,0)))),"Em Elaboração")</f>
        <v>FORNECIMENTO E INSTALAÇÃO DE  MOLA HIDRÁULICA AÉREA PARA PORTAS ATÉ 950MM E PESO DE ATÉ 65KG, COM CORPO EM ALUMÍNIO E BRAÇO DE AÇO, SEM BRAÇO DE PARADA</v>
      </c>
      <c r="F277" s="240" t="str">
        <f>IFERROR(IF(D277="SINAPI-S",VLOOKUP(B277,'20-B.SINAPI-S'!A:J,3,0),IF(D277="SINAPI-I",VLOOKUP(B277,'20-A.SINAPI-I'!A:G,3,0),IF(D277="COMPOSIÇÕES",VLOOKUP(B277,'11.COMPOSIÇÕES GERAIS'!B:I,3,0),VLOOKUP(B277,'12.COT.MERCADO'!A:I,7,0)))),"Em Elaboração")</f>
        <v>UN</v>
      </c>
      <c r="G277" s="244">
        <f>VLOOKUP(B277,' 19.ARRED_HIST_CONSOLIDADO_E_ME'!H:O,8,0)</f>
        <v>2</v>
      </c>
      <c r="H277" s="241">
        <f>IFERROR(IF(D277="SINAPI-S",VLOOKUP(B277,'20-B.SINAPI-S'!A:J,5,0),IF(D277="SINAPI-I",VLOOKUP(B277,'20-A.SINAPI-I'!A:G,6,0),IF(D277="COMPOSIÇÕES",VLOOKUP(B277,'11.COMPOSIÇÕES GERAIS'!B:I,7,0),0))),"Em Elaboração")</f>
        <v>17.256</v>
      </c>
      <c r="I277" s="241">
        <f>IFERROR(IF(D277="SINAPI-S",VLOOKUP(B277,'20-B.SINAPI-S'!A:J,6,0),IF(D277="SINAPI-I",VLOOKUP(B277,'20-A.SINAPI-I'!A:G,7,0),IF(D277="COMPOSIÇÕES",VLOOKUP(B277,'11.COMPOSIÇÕES GERAIS'!B:I,8,0),VLOOKUP(B277,'12.COT.MERCADO'!A:I,8,0)))),"Em Elaboração")</f>
        <v>185.046</v>
      </c>
      <c r="J277" s="241">
        <f t="shared" si="112"/>
        <v>20.25721477</v>
      </c>
      <c r="K277" s="241">
        <f t="shared" si="113"/>
        <v>216.7507796</v>
      </c>
      <c r="L277" s="241">
        <f t="shared" si="114"/>
        <v>237.0079944</v>
      </c>
      <c r="M277" s="241">
        <f t="shared" si="115"/>
        <v>40.51442954</v>
      </c>
      <c r="N277" s="241">
        <f t="shared" si="116"/>
        <v>433.5015593</v>
      </c>
      <c r="O277" s="241">
        <f t="shared" si="117"/>
        <v>474.0159888</v>
      </c>
      <c r="P277" s="242">
        <f t="shared" si="2"/>
        <v>0.0003708104968</v>
      </c>
    </row>
    <row r="278">
      <c r="A278" s="236" t="s">
        <v>402</v>
      </c>
      <c r="B278" s="245">
        <f>' 19.ARRED_HIST_CONSOLIDADO_E_ME'!H177</f>
        <v>87244</v>
      </c>
      <c r="C278" s="238" t="str">
        <f t="shared" si="111"/>
        <v>SINAPI</v>
      </c>
      <c r="D278" s="238" t="s">
        <v>218</v>
      </c>
      <c r="E278" s="239" t="str">
        <f>IFERROR(IF(D278="SINAPI-S",VLOOKUP(B278,'20-B.SINAPI-S'!A:J,2,0),IF(D278="SINAPI-I",VLOOKUP(B278,'20-A.SINAPI-I'!A:G,2,0),IF(D278="COMPOSIÇÕES",VLOOKUP(B278,'11.COMPOSIÇÕES GERAIS'!B:I,2,0),VLOOKUP(B278,'12.COT.MERCADO'!A:I,2,0)))),"Em Elaboração")</f>
        <v>REVESTIMENTO CERÂMICO PARA PAREDES EXTERNAS EM PASTILHAS DE PORCELANA 5 X 5 CM (PLACAS DE 30 X 30 CM), ALINHADAS A PRUMO. AF_02/2023</v>
      </c>
      <c r="F278" s="240" t="str">
        <f>IFERROR(IF(D278="SINAPI-S",VLOOKUP(B278,'20-B.SINAPI-S'!A:J,3,0),IF(D278="SINAPI-I",VLOOKUP(B278,'20-A.SINAPI-I'!A:G,3,0),IF(D278="COMPOSIÇÕES",VLOOKUP(B278,'11.COMPOSIÇÕES GERAIS'!B:I,3,0),VLOOKUP(B278,'12.COT.MERCADO'!A:I,7,0)))),"Em Elaboração")</f>
        <v>M2</v>
      </c>
      <c r="G278" s="244">
        <f>VLOOKUP(B278,' 19.ARRED_HIST_CONSOLIDADO_E_ME'!H:O,8,0)</f>
        <v>1</v>
      </c>
      <c r="H278" s="241">
        <f>IFERROR(IF(D278="SINAPI-S",VLOOKUP(B278,'20-B.SINAPI-S'!A:J,5,0),IF(D278="SINAPI-I",VLOOKUP(B278,'20-A.SINAPI-I'!A:G,6,0),IF(D278="COMPOSIÇÕES",VLOOKUP(B278,'11.COMPOSIÇÕES GERAIS'!B:I,7,0),0))),"Em Elaboração")</f>
        <v>38.39</v>
      </c>
      <c r="I278" s="241">
        <f>IFERROR(IF(D278="SINAPI-S",VLOOKUP(B278,'20-B.SINAPI-S'!A:J,6,0),IF(D278="SINAPI-I",VLOOKUP(B278,'20-A.SINAPI-I'!A:G,7,0),IF(D278="COMPOSIÇÕES",VLOOKUP(B278,'11.COMPOSIÇÕES GERAIS'!B:I,8,0),VLOOKUP(B278,'12.COT.MERCADO'!A:I,8,0)))),"Em Elaboração")</f>
        <v>186.75</v>
      </c>
      <c r="J278" s="241">
        <f t="shared" si="112"/>
        <v>45.06690282</v>
      </c>
      <c r="K278" s="241">
        <f t="shared" si="113"/>
        <v>218.7467338</v>
      </c>
      <c r="L278" s="241">
        <f t="shared" si="114"/>
        <v>263.8136366</v>
      </c>
      <c r="M278" s="241">
        <f t="shared" si="115"/>
        <v>45.06690282</v>
      </c>
      <c r="N278" s="241">
        <f t="shared" si="116"/>
        <v>218.7467338</v>
      </c>
      <c r="O278" s="241">
        <f t="shared" si="117"/>
        <v>263.8136366</v>
      </c>
      <c r="P278" s="242">
        <f t="shared" si="2"/>
        <v>0.0002063746117</v>
      </c>
    </row>
    <row r="279">
      <c r="A279" s="236" t="s">
        <v>403</v>
      </c>
      <c r="B279" s="245">
        <f>' 19.ARRED_HIST_CONSOLIDADO_E_ME'!H178</f>
        <v>97599</v>
      </c>
      <c r="C279" s="238" t="str">
        <f t="shared" si="111"/>
        <v>SINAPI</v>
      </c>
      <c r="D279" s="238" t="s">
        <v>218</v>
      </c>
      <c r="E279" s="239" t="str">
        <f>IFERROR(IF(D279="SINAPI-S",VLOOKUP(B279,'20-B.SINAPI-S'!A:J,2,0),IF(D279="SINAPI-I",VLOOKUP(B279,'20-A.SINAPI-I'!A:G,2,0),IF(D279="COMPOSIÇÕES",VLOOKUP(B279,'11.COMPOSIÇÕES GERAIS'!B:I,2,0),VLOOKUP(B279,'12.COT.MERCADO'!A:I,2,0)))),"Em Elaboração")</f>
        <v>LUMINÁRIA DE EMERGÊNCIA, COM 30 LÂMPADAS LED DE 2 W, SEM REATOR - FORNECIMENTO E INSTALAÇÃO. AF_02/2020</v>
      </c>
      <c r="F279" s="240" t="str">
        <f>IFERROR(IF(D279="SINAPI-S",VLOOKUP(B279,'20-B.SINAPI-S'!A:J,3,0),IF(D279="SINAPI-I",VLOOKUP(B279,'20-A.SINAPI-I'!A:G,3,0),IF(D279="COMPOSIÇÕES",VLOOKUP(B279,'11.COMPOSIÇÕES GERAIS'!B:I,3,0),VLOOKUP(B279,'12.COT.MERCADO'!A:I,7,0)))),"Em Elaboração")</f>
        <v>UN</v>
      </c>
      <c r="G279" s="244">
        <f>VLOOKUP(B279,' 19.ARRED_HIST_CONSOLIDADO_E_ME'!H:O,8,0)</f>
        <v>9</v>
      </c>
      <c r="H279" s="241">
        <f>IFERROR(IF(D279="SINAPI-S",VLOOKUP(B279,'20-B.SINAPI-S'!A:J,5,0),IF(D279="SINAPI-I",VLOOKUP(B279,'20-A.SINAPI-I'!A:G,6,0),IF(D279="COMPOSIÇÕES",VLOOKUP(B279,'11.COMPOSIÇÕES GERAIS'!B:I,7,0),0))),"Em Elaboração")</f>
        <v>5.93</v>
      </c>
      <c r="I279" s="241">
        <f>IFERROR(IF(D279="SINAPI-S",VLOOKUP(B279,'20-B.SINAPI-S'!A:J,6,0),IF(D279="SINAPI-I",VLOOKUP(B279,'20-A.SINAPI-I'!A:G,7,0),IF(D279="COMPOSIÇÕES",VLOOKUP(B279,'11.COMPOSIÇÕES GERAIS'!B:I,8,0),VLOOKUP(B279,'12.COT.MERCADO'!A:I,8,0)))),"Em Elaboração")</f>
        <v>20.84</v>
      </c>
      <c r="J279" s="241">
        <f t="shared" si="112"/>
        <v>6.961363212</v>
      </c>
      <c r="K279" s="241">
        <f t="shared" si="113"/>
        <v>24.41061275</v>
      </c>
      <c r="L279" s="241">
        <f t="shared" si="114"/>
        <v>31.37197597</v>
      </c>
      <c r="M279" s="241">
        <f t="shared" si="115"/>
        <v>62.65226891</v>
      </c>
      <c r="N279" s="241">
        <f t="shared" si="116"/>
        <v>219.6955148</v>
      </c>
      <c r="O279" s="241">
        <f t="shared" si="117"/>
        <v>282.3477837</v>
      </c>
      <c r="P279" s="242">
        <f t="shared" si="2"/>
        <v>0.0002208733976</v>
      </c>
    </row>
    <row r="280">
      <c r="A280" s="236" t="s">
        <v>404</v>
      </c>
      <c r="B280" s="245" t="str">
        <f>' 19.ARRED_HIST_CONSOLIDADO_E_ME'!H179</f>
        <v>MAN_PR_043</v>
      </c>
      <c r="C280" s="238" t="str">
        <f t="shared" si="111"/>
        <v>PRÓPRIO</v>
      </c>
      <c r="D280" s="243" t="s">
        <v>230</v>
      </c>
      <c r="E280" s="239" t="str">
        <f>IFERROR(IF(D280="SINAPI-S",VLOOKUP(B280,'20-B.SINAPI-S'!A:J,2,0),IF(D280="SINAPI-I",VLOOKUP(B280,'20-A.SINAPI-I'!A:G,2,0),IF(D280="COMPOSIÇÕES",VLOOKUP(B280,'11.COMPOSIÇÕES GERAIS'!B:I,2,0),VLOOKUP(B280,'12.COT.MERCADO'!A:I,2,0)))),"Em Elaboração")</f>
        <v>SUBSTITUIÇÃO DE MANGUEIRA PARA COMPRESSOR DO TIPO ENGATE RÁPIDO - FORNECIMENTO E INSTALAÇÃO</v>
      </c>
      <c r="F280" s="240" t="str">
        <f>IFERROR(IF(D280="SINAPI-S",VLOOKUP(B280,'20-B.SINAPI-S'!A:J,3,0),IF(D280="SINAPI-I",VLOOKUP(B280,'20-A.SINAPI-I'!A:G,3,0),IF(D280="COMPOSIÇÕES",VLOOKUP(B280,'11.COMPOSIÇÕES GERAIS'!B:I,3,0),VLOOKUP(B280,'12.COT.MERCADO'!A:I,7,0)))),"Em Elaboração")</f>
        <v>UN</v>
      </c>
      <c r="G280" s="244">
        <f>VLOOKUP(B280,' 19.ARRED_HIST_CONSOLIDADO_E_ME'!H:O,8,0)</f>
        <v>1</v>
      </c>
      <c r="H280" s="241">
        <f>IFERROR(IF(D280="SINAPI-S",VLOOKUP(B280,'20-B.SINAPI-S'!A:J,5,0),IF(D280="SINAPI-I",VLOOKUP(B280,'20-A.SINAPI-I'!A:G,6,0),IF(D280="COMPOSIÇÕES",VLOOKUP(B280,'11.COMPOSIÇÕES GERAIS'!B:I,7,0),0))),"Em Elaboração")</f>
        <v>2.0904</v>
      </c>
      <c r="I280" s="241">
        <f>IFERROR(IF(D280="SINAPI-S",VLOOKUP(B280,'20-B.SINAPI-S'!A:J,6,0),IF(D280="SINAPI-I",VLOOKUP(B280,'20-A.SINAPI-I'!A:G,7,0),IF(D280="COMPOSIÇÕES",VLOOKUP(B280,'11.COMPOSIÇÕES GERAIS'!B:I,8,0),VLOOKUP(B280,'12.COT.MERCADO'!A:I,8,0)))),"Em Elaboração")</f>
        <v>52.824</v>
      </c>
      <c r="J280" s="241">
        <f t="shared" si="112"/>
        <v>2.453968577</v>
      </c>
      <c r="K280" s="241">
        <f t="shared" si="113"/>
        <v>61.87457813</v>
      </c>
      <c r="L280" s="241">
        <f t="shared" si="114"/>
        <v>64.3285467</v>
      </c>
      <c r="M280" s="241">
        <f t="shared" si="115"/>
        <v>2.453968577</v>
      </c>
      <c r="N280" s="241">
        <f t="shared" si="116"/>
        <v>61.87457813</v>
      </c>
      <c r="O280" s="241">
        <f t="shared" si="117"/>
        <v>64.3285467</v>
      </c>
      <c r="P280" s="242">
        <f t="shared" si="2"/>
        <v>0.0000503225649</v>
      </c>
    </row>
    <row r="281">
      <c r="A281" s="236" t="s">
        <v>405</v>
      </c>
      <c r="B281" s="245" t="str">
        <f>' 19.ARRED_HIST_CONSOLIDADO_E_ME'!H180</f>
        <v>MAN_PR_044</v>
      </c>
      <c r="C281" s="238" t="str">
        <f t="shared" si="111"/>
        <v>PRÓPRIO</v>
      </c>
      <c r="D281" s="243" t="s">
        <v>230</v>
      </c>
      <c r="E281" s="239" t="str">
        <f>IFERROR(IF(D281="SINAPI-S",VLOOKUP(B281,'20-B.SINAPI-S'!A:J,2,0),IF(D281="SINAPI-I",VLOOKUP(B281,'20-A.SINAPI-I'!A:G,2,0),IF(D281="COMPOSIÇÕES",VLOOKUP(B281,'11.COMPOSIÇÕES GERAIS'!B:I,2,0),VLOOKUP(B281,'12.COT.MERCADO'!A:I,2,0)))),"Em Elaboração")</f>
        <v>CALIBRADOR ELETRÔNICO PARA PNEUS, BIVOLT, BLINDADO. REF. STOKAIR-M2000 OU SIMILAR - FORNECIMENTO E INSTALAÇÃO</v>
      </c>
      <c r="F281" s="240" t="str">
        <f>IFERROR(IF(D281="SINAPI-S",VLOOKUP(B281,'20-B.SINAPI-S'!A:J,3,0),IF(D281="SINAPI-I",VLOOKUP(B281,'20-A.SINAPI-I'!A:G,3,0),IF(D281="COMPOSIÇÕES",VLOOKUP(B281,'11.COMPOSIÇÕES GERAIS'!B:I,3,0),VLOOKUP(B281,'12.COT.MERCADO'!A:I,7,0)))),"Em Elaboração")</f>
        <v>UN</v>
      </c>
      <c r="G281" s="244">
        <f>VLOOKUP(B281,' 19.ARRED_HIST_CONSOLIDADO_E_ME'!H:O,8,0)</f>
        <v>1</v>
      </c>
      <c r="H281" s="241">
        <f>IFERROR(IF(D281="SINAPI-S",VLOOKUP(B281,'20-B.SINAPI-S'!A:J,5,0),IF(D281="SINAPI-I",VLOOKUP(B281,'20-A.SINAPI-I'!A:G,6,0),IF(D281="COMPOSIÇÕES",VLOOKUP(B281,'11.COMPOSIÇÕES GERAIS'!B:I,7,0),0))),"Em Elaboração")</f>
        <v>44.29</v>
      </c>
      <c r="I281" s="241">
        <f>IFERROR(IF(D281="SINAPI-S",VLOOKUP(B281,'20-B.SINAPI-S'!A:J,6,0),IF(D281="SINAPI-I",VLOOKUP(B281,'20-A.SINAPI-I'!A:G,7,0),IF(D281="COMPOSIÇÕES",VLOOKUP(B281,'11.COMPOSIÇÕES GERAIS'!B:I,8,0),VLOOKUP(B281,'12.COT.MERCADO'!A:I,8,0)))),"Em Elaboração")</f>
        <v>1106.34</v>
      </c>
      <c r="J281" s="241">
        <f t="shared" si="112"/>
        <v>51.99304834</v>
      </c>
      <c r="K281" s="241">
        <f t="shared" si="113"/>
        <v>1295.894305</v>
      </c>
      <c r="L281" s="241">
        <f t="shared" si="114"/>
        <v>1347.887353</v>
      </c>
      <c r="M281" s="241">
        <f t="shared" si="115"/>
        <v>51.99304834</v>
      </c>
      <c r="N281" s="241">
        <f t="shared" si="116"/>
        <v>1295.894305</v>
      </c>
      <c r="O281" s="241">
        <f t="shared" si="117"/>
        <v>1347.887353</v>
      </c>
      <c r="P281" s="242">
        <f t="shared" si="2"/>
        <v>0.001054417553</v>
      </c>
    </row>
    <row r="282">
      <c r="A282" s="236" t="s">
        <v>406</v>
      </c>
      <c r="B282" s="245">
        <f>' 19.ARRED_HIST_CONSOLIDADO_E_ME'!H181</f>
        <v>93203</v>
      </c>
      <c r="C282" s="238" t="str">
        <f t="shared" si="111"/>
        <v>SINAPI</v>
      </c>
      <c r="D282" s="238" t="s">
        <v>218</v>
      </c>
      <c r="E282" s="239" t="str">
        <f>IFERROR(IF(D282="SINAPI-S",VLOOKUP(B282,'20-B.SINAPI-S'!A:J,2,0),IF(D282="SINAPI-I",VLOOKUP(B282,'20-A.SINAPI-I'!A:G,2,0),IF(D282="COMPOSIÇÕES",VLOOKUP(B282,'11.COMPOSIÇÕES GERAIS'!B:I,2,0),VLOOKUP(B282,'12.COT.MERCADO'!A:I,2,0)))),"Em Elaboração")</f>
        <v>FIXAÇÃO (ENCUNHAMENTO) DE ALVENARIA DE VEDAÇÃO COM ESPUMA DE POLIURETANO EXPANSIVA. AF_03/2016</v>
      </c>
      <c r="F282" s="240" t="str">
        <f>IFERROR(IF(D282="SINAPI-S",VLOOKUP(B282,'20-B.SINAPI-S'!A:J,3,0),IF(D282="SINAPI-I",VLOOKUP(B282,'20-A.SINAPI-I'!A:G,3,0),IF(D282="COMPOSIÇÕES",VLOOKUP(B282,'11.COMPOSIÇÕES GERAIS'!B:I,3,0),VLOOKUP(B282,'12.COT.MERCADO'!A:I,7,0)))),"Em Elaboração")</f>
        <v>M</v>
      </c>
      <c r="G282" s="244">
        <f>VLOOKUP(B282,' 19.ARRED_HIST_CONSOLIDADO_E_ME'!H:O,8,0)</f>
        <v>4</v>
      </c>
      <c r="H282" s="241">
        <f>IFERROR(IF(D282="SINAPI-S",VLOOKUP(B282,'20-B.SINAPI-S'!A:J,5,0),IF(D282="SINAPI-I",VLOOKUP(B282,'20-A.SINAPI-I'!A:G,6,0),IF(D282="COMPOSIÇÕES",VLOOKUP(B282,'11.COMPOSIÇÕES GERAIS'!B:I,7,0),0))),"Em Elaboração")</f>
        <v>2.16</v>
      </c>
      <c r="I282" s="241">
        <f>IFERROR(IF(D282="SINAPI-S",VLOOKUP(B282,'20-B.SINAPI-S'!A:J,6,0),IF(D282="SINAPI-I",VLOOKUP(B282,'20-A.SINAPI-I'!A:G,7,0),IF(D282="COMPOSIÇÕES",VLOOKUP(B282,'11.COMPOSIÇÕES GERAIS'!B:I,8,0),VLOOKUP(B282,'12.COT.MERCADO'!A:I,8,0)))),"Em Elaboração")</f>
        <v>12.8</v>
      </c>
      <c r="J282" s="241">
        <f t="shared" si="112"/>
        <v>2.535673615</v>
      </c>
      <c r="K282" s="241">
        <f t="shared" si="113"/>
        <v>14.99308269</v>
      </c>
      <c r="L282" s="241">
        <f t="shared" si="114"/>
        <v>17.5287563</v>
      </c>
      <c r="M282" s="241">
        <f t="shared" si="115"/>
        <v>10.14269446</v>
      </c>
      <c r="N282" s="241">
        <f t="shared" si="116"/>
        <v>59.97233076</v>
      </c>
      <c r="O282" s="241">
        <f t="shared" si="117"/>
        <v>70.11502522</v>
      </c>
      <c r="P282" s="242">
        <f t="shared" si="2"/>
        <v>0.00005484917798</v>
      </c>
    </row>
    <row r="283">
      <c r="A283" s="236" t="s">
        <v>407</v>
      </c>
      <c r="B283" s="245" t="str">
        <f>' 19.ARRED_HIST_CONSOLIDADO_E_ME'!H182</f>
        <v>MAN_PR_045</v>
      </c>
      <c r="C283" s="238" t="str">
        <f t="shared" si="111"/>
        <v>PRÓPRIO</v>
      </c>
      <c r="D283" s="243" t="s">
        <v>230</v>
      </c>
      <c r="E283" s="239" t="str">
        <f>IFERROR(IF(D283="SINAPI-S",VLOOKUP(B283,'20-B.SINAPI-S'!A:J,2,0),IF(D283="SINAPI-I",VLOOKUP(B283,'20-A.SINAPI-I'!A:G,2,0),IF(D283="COMPOSIÇÕES",VLOOKUP(B283,'11.COMPOSIÇÕES GERAIS'!B:I,2,0),VLOOKUP(B283,'12.COT.MERCADO'!A:I,2,0)))),"Em Elaboração")</f>
        <v>FECHADURA DE SOBREPOR PAR APORTA CORTA FOGO (SEM CHAVE) - FORNECIMENTO E INSTALAÇÃO</v>
      </c>
      <c r="F283" s="240" t="str">
        <f>IFERROR(IF(D283="SINAPI-S",VLOOKUP(B283,'20-B.SINAPI-S'!A:J,3,0),IF(D283="SINAPI-I",VLOOKUP(B283,'20-A.SINAPI-I'!A:G,3,0),IF(D283="COMPOSIÇÕES",VLOOKUP(B283,'11.COMPOSIÇÕES GERAIS'!B:I,3,0),VLOOKUP(B283,'12.COT.MERCADO'!A:I,7,0)))),"Em Elaboração")</f>
        <v>UN</v>
      </c>
      <c r="G283" s="244">
        <f>VLOOKUP(B283,' 19.ARRED_HIST_CONSOLIDADO_E_ME'!H:O,8,0)</f>
        <v>2</v>
      </c>
      <c r="H283" s="241">
        <f>IFERROR(IF(D283="SINAPI-S",VLOOKUP(B283,'20-B.SINAPI-S'!A:J,5,0),IF(D283="SINAPI-I",VLOOKUP(B283,'20-A.SINAPI-I'!A:G,6,0),IF(D283="COMPOSIÇÕES",VLOOKUP(B283,'11.COMPOSIÇÕES GERAIS'!B:I,7,0),0))),"Em Elaboração")</f>
        <v>62.79</v>
      </c>
      <c r="I283" s="241">
        <f>IFERROR(IF(D283="SINAPI-S",VLOOKUP(B283,'20-B.SINAPI-S'!A:J,6,0),IF(D283="SINAPI-I",VLOOKUP(B283,'20-A.SINAPI-I'!A:G,7,0),IF(D283="COMPOSIÇÕES",VLOOKUP(B283,'11.COMPOSIÇÕES GERAIS'!B:I,8,0),VLOOKUP(B283,'12.COT.MERCADO'!A:I,8,0)))),"Em Elaboração")</f>
        <v>102.985</v>
      </c>
      <c r="J283" s="241">
        <f t="shared" si="112"/>
        <v>73.71062329</v>
      </c>
      <c r="K283" s="241">
        <f t="shared" si="113"/>
        <v>120.6298923</v>
      </c>
      <c r="L283" s="241">
        <f t="shared" si="114"/>
        <v>194.3405155</v>
      </c>
      <c r="M283" s="241">
        <f t="shared" si="115"/>
        <v>147.4212466</v>
      </c>
      <c r="N283" s="241">
        <f t="shared" si="116"/>
        <v>241.2597845</v>
      </c>
      <c r="O283" s="241">
        <f t="shared" si="117"/>
        <v>388.6810311</v>
      </c>
      <c r="P283" s="242">
        <f t="shared" si="2"/>
        <v>0.0003040551577</v>
      </c>
    </row>
    <row r="284">
      <c r="A284" s="236" t="s">
        <v>408</v>
      </c>
      <c r="B284" s="245" t="str">
        <f>' 19.ARRED_HIST_CONSOLIDADO_E_ME'!H183</f>
        <v>MAN_PR_046</v>
      </c>
      <c r="C284" s="238" t="str">
        <f t="shared" si="111"/>
        <v>PRÓPRIO</v>
      </c>
      <c r="D284" s="243" t="s">
        <v>230</v>
      </c>
      <c r="E284" s="239" t="str">
        <f>IFERROR(IF(D284="SINAPI-S",VLOOKUP(B284,'20-B.SINAPI-S'!A:J,2,0),IF(D284="SINAPI-I",VLOOKUP(B284,'20-A.SINAPI-I'!A:G,2,0),IF(D284="COMPOSIÇÕES",VLOOKUP(B284,'11.COMPOSIÇÕES GERAIS'!B:I,2,0),VLOOKUP(B284,'12.COT.MERCADO'!A:I,2,0)))),"Em Elaboração")</f>
        <v>BOTOEIRA COM RETENÇÃO PARA QUADRO/PAINEL</v>
      </c>
      <c r="F284" s="240" t="str">
        <f>IFERROR(IF(D284="SINAPI-S",VLOOKUP(B284,'20-B.SINAPI-S'!A:J,3,0),IF(D284="SINAPI-I",VLOOKUP(B284,'20-A.SINAPI-I'!A:G,3,0),IF(D284="COMPOSIÇÕES",VLOOKUP(B284,'11.COMPOSIÇÕES GERAIS'!B:I,3,0),VLOOKUP(B284,'12.COT.MERCADO'!A:I,7,0)))),"Em Elaboração")</f>
        <v>UN</v>
      </c>
      <c r="G284" s="244">
        <f>VLOOKUP(B284,' 19.ARRED_HIST_CONSOLIDADO_E_ME'!H:O,8,0)</f>
        <v>1</v>
      </c>
      <c r="H284" s="241">
        <f>IFERROR(IF(D284="SINAPI-S",VLOOKUP(B284,'20-B.SINAPI-S'!A:J,5,0),IF(D284="SINAPI-I",VLOOKUP(B284,'20-A.SINAPI-I'!A:G,6,0),IF(D284="COMPOSIÇÕES",VLOOKUP(B284,'11.COMPOSIÇÕES GERAIS'!B:I,7,0),0))),"Em Elaboração")</f>
        <v>13.287</v>
      </c>
      <c r="I284" s="241">
        <f>IFERROR(IF(D284="SINAPI-S",VLOOKUP(B284,'20-B.SINAPI-S'!A:J,6,0),IF(D284="SINAPI-I",VLOOKUP(B284,'20-A.SINAPI-I'!A:G,7,0),IF(D284="COMPOSIÇÕES",VLOOKUP(B284,'11.COMPOSIÇÕES GERAIS'!B:I,8,0),VLOOKUP(B284,'12.COT.MERCADO'!A:I,8,0)))),"Em Elaboração")</f>
        <v>38.246</v>
      </c>
      <c r="J284" s="241">
        <f t="shared" si="112"/>
        <v>15.5979145</v>
      </c>
      <c r="K284" s="241">
        <f t="shared" si="113"/>
        <v>44.79886254</v>
      </c>
      <c r="L284" s="241">
        <f t="shared" si="114"/>
        <v>60.39677705</v>
      </c>
      <c r="M284" s="241">
        <f t="shared" si="115"/>
        <v>15.5979145</v>
      </c>
      <c r="N284" s="241">
        <f t="shared" si="116"/>
        <v>44.79886254</v>
      </c>
      <c r="O284" s="241">
        <f t="shared" si="117"/>
        <v>60.39677705</v>
      </c>
      <c r="P284" s="242">
        <f t="shared" si="2"/>
        <v>0.00004724684279</v>
      </c>
    </row>
    <row r="285">
      <c r="A285" s="236" t="s">
        <v>409</v>
      </c>
      <c r="B285" s="245">
        <f>' 19.ARRED_HIST_CONSOLIDADO_E_ME'!H184</f>
        <v>101914</v>
      </c>
      <c r="C285" s="238" t="str">
        <f t="shared" si="111"/>
        <v>SINAPI</v>
      </c>
      <c r="D285" s="238" t="s">
        <v>218</v>
      </c>
      <c r="E285" s="239" t="str">
        <f>IFERROR(IF(D285="SINAPI-S",VLOOKUP(B285,'20-B.SINAPI-S'!A:J,2,0),IF(D285="SINAPI-I",VLOOKUP(B285,'20-A.SINAPI-I'!A:G,2,0),IF(D285="COMPOSIÇÕES",VLOOKUP(B285,'11.COMPOSIÇÕES GERAIS'!B:I,2,0),VLOOKUP(B285,'12.COT.MERCADO'!A:I,2,0)))),"Em Elaboração")</f>
        <v>CAIXA DE INCÊNDIO 60X90X17CM - FORNECIMENTO E INSTALAÇÃO. AF_10/2020</v>
      </c>
      <c r="F285" s="240" t="str">
        <f>IFERROR(IF(D285="SINAPI-S",VLOOKUP(B285,'20-B.SINAPI-S'!A:J,3,0),IF(D285="SINAPI-I",VLOOKUP(B285,'20-A.SINAPI-I'!A:G,3,0),IF(D285="COMPOSIÇÕES",VLOOKUP(B285,'11.COMPOSIÇÕES GERAIS'!B:I,3,0),VLOOKUP(B285,'12.COT.MERCADO'!A:I,7,0)))),"Em Elaboração")</f>
        <v>UN</v>
      </c>
      <c r="G285" s="244">
        <f>VLOOKUP(B285,' 19.ARRED_HIST_CONSOLIDADO_E_ME'!H:O,8,0)</f>
        <v>1</v>
      </c>
      <c r="H285" s="241">
        <f>IFERROR(IF(D285="SINAPI-S",VLOOKUP(B285,'20-B.SINAPI-S'!A:J,5,0),IF(D285="SINAPI-I",VLOOKUP(B285,'20-A.SINAPI-I'!A:G,6,0),IF(D285="COMPOSIÇÕES",VLOOKUP(B285,'11.COMPOSIÇÕES GERAIS'!B:I,7,0),0))),"Em Elaboração")</f>
        <v>58.78</v>
      </c>
      <c r="I285" s="241">
        <f>IFERROR(IF(D285="SINAPI-S",VLOOKUP(B285,'20-B.SINAPI-S'!A:J,6,0),IF(D285="SINAPI-I",VLOOKUP(B285,'20-A.SINAPI-I'!A:G,7,0),IF(D285="COMPOSIÇÕES",VLOOKUP(B285,'11.COMPOSIÇÕES GERAIS'!B:I,8,0),VLOOKUP(B285,'12.COT.MERCADO'!A:I,8,0)))),"Em Elaboração")</f>
        <v>485.38</v>
      </c>
      <c r="J285" s="241">
        <f t="shared" si="112"/>
        <v>69.00319218</v>
      </c>
      <c r="K285" s="241">
        <f t="shared" si="113"/>
        <v>568.5423809</v>
      </c>
      <c r="L285" s="241">
        <f t="shared" si="114"/>
        <v>637.5455731</v>
      </c>
      <c r="M285" s="241">
        <f t="shared" si="115"/>
        <v>69.00319218</v>
      </c>
      <c r="N285" s="241">
        <f t="shared" si="116"/>
        <v>568.5423809</v>
      </c>
      <c r="O285" s="241">
        <f t="shared" si="117"/>
        <v>637.5455731</v>
      </c>
      <c r="P285" s="242">
        <f t="shared" si="2"/>
        <v>0.0004987354779</v>
      </c>
    </row>
    <row r="286">
      <c r="A286" s="236" t="s">
        <v>410</v>
      </c>
      <c r="B286" s="245">
        <f>' 19.ARRED_HIST_CONSOLIDADO_E_ME'!H185</f>
        <v>102153</v>
      </c>
      <c r="C286" s="238" t="str">
        <f t="shared" si="111"/>
        <v>SINAPI</v>
      </c>
      <c r="D286" s="238" t="s">
        <v>218</v>
      </c>
      <c r="E286" s="239" t="str">
        <f>IFERROR(IF(D286="SINAPI-S",VLOOKUP(B286,'20-B.SINAPI-S'!A:J,2,0),IF(D286="SINAPI-I",VLOOKUP(B286,'20-A.SINAPI-I'!A:G,2,0),IF(D286="COMPOSIÇÕES",VLOOKUP(B286,'11.COMPOSIÇÕES GERAIS'!B:I,2,0),VLOOKUP(B286,'12.COT.MERCADO'!A:I,2,0)))),"Em Elaboração")</f>
        <v>INSTALAÇÃO DE VIDRO LISO FUME, E = 4 MM, EM ESQUADRIA DE MADEIRA, FIXADO COM BAGUETE. AF_01/2021</v>
      </c>
      <c r="F286" s="240" t="str">
        <f>IFERROR(IF(D286="SINAPI-S",VLOOKUP(B286,'20-B.SINAPI-S'!A:J,3,0),IF(D286="SINAPI-I",VLOOKUP(B286,'20-A.SINAPI-I'!A:G,3,0),IF(D286="COMPOSIÇÕES",VLOOKUP(B286,'11.COMPOSIÇÕES GERAIS'!B:I,3,0),VLOOKUP(B286,'12.COT.MERCADO'!A:I,7,0)))),"Em Elaboração")</f>
        <v>M2</v>
      </c>
      <c r="G286" s="244">
        <f>VLOOKUP(B286,' 19.ARRED_HIST_CONSOLIDADO_E_ME'!H:O,8,0)</f>
        <v>1</v>
      </c>
      <c r="H286" s="241">
        <f>IFERROR(IF(D286="SINAPI-S",VLOOKUP(B286,'20-B.SINAPI-S'!A:J,5,0),IF(D286="SINAPI-I",VLOOKUP(B286,'20-A.SINAPI-I'!A:G,6,0),IF(D286="COMPOSIÇÕES",VLOOKUP(B286,'11.COMPOSIÇÕES GERAIS'!B:I,7,0),0))),"Em Elaboração")</f>
        <v>26.98</v>
      </c>
      <c r="I286" s="241">
        <f>IFERROR(IF(D286="SINAPI-S",VLOOKUP(B286,'20-B.SINAPI-S'!A:J,6,0),IF(D286="SINAPI-I",VLOOKUP(B286,'20-A.SINAPI-I'!A:G,7,0),IF(D286="COMPOSIÇÕES",VLOOKUP(B286,'11.COMPOSIÇÕES GERAIS'!B:I,8,0),VLOOKUP(B286,'12.COT.MERCADO'!A:I,8,0)))),"Em Elaboração")</f>
        <v>206.36</v>
      </c>
      <c r="J286" s="241">
        <f t="shared" si="112"/>
        <v>31.67244173</v>
      </c>
      <c r="K286" s="241">
        <f t="shared" si="113"/>
        <v>241.716605</v>
      </c>
      <c r="L286" s="241">
        <f t="shared" si="114"/>
        <v>273.3890467</v>
      </c>
      <c r="M286" s="241">
        <f t="shared" si="115"/>
        <v>31.67244173</v>
      </c>
      <c r="N286" s="241">
        <f t="shared" si="116"/>
        <v>241.716605</v>
      </c>
      <c r="O286" s="241">
        <f t="shared" si="117"/>
        <v>273.3890467</v>
      </c>
      <c r="P286" s="242">
        <f t="shared" si="2"/>
        <v>0.0002138652084</v>
      </c>
    </row>
    <row r="287">
      <c r="A287" s="236" t="s">
        <v>411</v>
      </c>
      <c r="B287" s="245">
        <f>' 19.ARRED_HIST_CONSOLIDADO_E_ME'!H186</f>
        <v>95305</v>
      </c>
      <c r="C287" s="238" t="str">
        <f t="shared" si="111"/>
        <v>SINAPI</v>
      </c>
      <c r="D287" s="238" t="s">
        <v>218</v>
      </c>
      <c r="E287" s="239" t="str">
        <f>IFERROR(IF(D287="SINAPI-S",VLOOKUP(B287,'20-B.SINAPI-S'!A:J,2,0),IF(D287="SINAPI-I",VLOOKUP(B287,'20-A.SINAPI-I'!A:G,2,0),IF(D287="COMPOSIÇÕES",VLOOKUP(B287,'11.COMPOSIÇÕES GERAIS'!B:I,2,0),VLOOKUP(B287,'12.COT.MERCADO'!A:I,2,0)))),"Em Elaboração")</f>
        <v>TEXTURA ACRÍLICA, APLICAÇÃO MANUAL EM PAREDE, UMA DEMÃO. AF_04/2023</v>
      </c>
      <c r="F287" s="240" t="str">
        <f>IFERROR(IF(D287="SINAPI-S",VLOOKUP(B287,'20-B.SINAPI-S'!A:J,3,0),IF(D287="SINAPI-I",VLOOKUP(B287,'20-A.SINAPI-I'!A:G,3,0),IF(D287="COMPOSIÇÕES",VLOOKUP(B287,'11.COMPOSIÇÕES GERAIS'!B:I,3,0),VLOOKUP(B287,'12.COT.MERCADO'!A:I,7,0)))),"Em Elaboração")</f>
        <v>M2</v>
      </c>
      <c r="G287" s="244">
        <f>VLOOKUP(B287,' 19.ARRED_HIST_CONSOLIDADO_E_ME'!H:O,8,0)</f>
        <v>4</v>
      </c>
      <c r="H287" s="241">
        <f>IFERROR(IF(D287="SINAPI-S",VLOOKUP(B287,'20-B.SINAPI-S'!A:J,5,0),IF(D287="SINAPI-I",VLOOKUP(B287,'20-A.SINAPI-I'!A:G,6,0),IF(D287="COMPOSIÇÕES",VLOOKUP(B287,'11.COMPOSIÇÕES GERAIS'!B:I,7,0),0))),"Em Elaboração")</f>
        <v>4.67</v>
      </c>
      <c r="I287" s="241">
        <f>IFERROR(IF(D287="SINAPI-S",VLOOKUP(B287,'20-B.SINAPI-S'!A:J,6,0),IF(D287="SINAPI-I",VLOOKUP(B287,'20-A.SINAPI-I'!A:G,7,0),IF(D287="COMPOSIÇÕES",VLOOKUP(B287,'11.COMPOSIÇÕES GERAIS'!B:I,8,0),VLOOKUP(B287,'12.COT.MERCADO'!A:I,8,0)))),"Em Elaboração")</f>
        <v>9.08</v>
      </c>
      <c r="J287" s="241">
        <f t="shared" si="112"/>
        <v>5.48222027</v>
      </c>
      <c r="K287" s="241">
        <f t="shared" si="113"/>
        <v>10.63571803</v>
      </c>
      <c r="L287" s="241">
        <f t="shared" si="114"/>
        <v>16.1179383</v>
      </c>
      <c r="M287" s="241">
        <f t="shared" si="115"/>
        <v>21.92888108</v>
      </c>
      <c r="N287" s="241">
        <f t="shared" si="116"/>
        <v>42.54287213</v>
      </c>
      <c r="O287" s="241">
        <f t="shared" si="117"/>
        <v>64.47175321</v>
      </c>
      <c r="P287" s="242">
        <f t="shared" si="2"/>
        <v>0.00005043459167</v>
      </c>
    </row>
    <row r="288">
      <c r="A288" s="236" t="s">
        <v>412</v>
      </c>
      <c r="B288" s="237" t="str">
        <f>' 19.ARRED_HIST_CONSOLIDADO_E_ME'!H187</f>
        <v>MAN_PR_062</v>
      </c>
      <c r="C288" s="238" t="str">
        <f t="shared" si="111"/>
        <v>PRÓPRIO</v>
      </c>
      <c r="D288" s="243" t="s">
        <v>230</v>
      </c>
      <c r="E288" s="239" t="str">
        <f>IFERROR(IF(D288="SINAPI-S",VLOOKUP(B288,'20-B.SINAPI-S'!A:J,2,0),IF(D288="SINAPI-I",VLOOKUP(B288,'20-A.SINAPI-I'!A:G,2,0),IF(D288="COMPOSIÇÕES",VLOOKUP(B288,'11.COMPOSIÇÕES GERAIS'!B:I,2,0),VLOOKUP(B288,'12.COT.MERCADO'!A:I,2,0)))),"Em Elaboração")</f>
        <v>KIT COMPLETO UNIVERSAL PARA REPARO EM CAIXA ACOPLADA - FORNECIMENTO E INSTALAÇÃO</v>
      </c>
      <c r="F288" s="240" t="str">
        <f>IFERROR(IF(D288="SINAPI-S",VLOOKUP(B288,'20-B.SINAPI-S'!A:J,3,0),IF(D288="SINAPI-I",VLOOKUP(B288,'20-A.SINAPI-I'!A:G,3,0),IF(D288="COMPOSIÇÕES",VLOOKUP(B288,'11.COMPOSIÇÕES GERAIS'!B:I,3,0),VLOOKUP(B288,'12.COT.MERCADO'!A:I,7,0)))),"Em Elaboração")</f>
        <v>UN</v>
      </c>
      <c r="G288" s="244">
        <f>VLOOKUP(B288,' 19.ARRED_HIST_CONSOLIDADO_E_ME'!H:O,8,0)</f>
        <v>2</v>
      </c>
      <c r="H288" s="241">
        <f>IFERROR(IF(D288="SINAPI-S",VLOOKUP(B288,'20-B.SINAPI-S'!A:J,5,0),IF(D288="SINAPI-I",VLOOKUP(B288,'20-A.SINAPI-I'!A:G,6,0),IF(D288="COMPOSIÇÕES",VLOOKUP(B288,'11.COMPOSIÇÕES GERAIS'!B:I,7,0),0))),"Em Elaboração")</f>
        <v>43.42</v>
      </c>
      <c r="I288" s="241">
        <f>IFERROR(IF(D288="SINAPI-S",VLOOKUP(B288,'20-B.SINAPI-S'!A:J,6,0),IF(D288="SINAPI-I",VLOOKUP(B288,'20-A.SINAPI-I'!A:G,7,0),IF(D288="COMPOSIÇÕES",VLOOKUP(B288,'11.COMPOSIÇÕES GERAIS'!B:I,8,0),VLOOKUP(B288,'12.COT.MERCADO'!A:I,8,0)))),"Em Elaboração")</f>
        <v>145.94</v>
      </c>
      <c r="J288" s="241">
        <f t="shared" si="112"/>
        <v>50.97173536</v>
      </c>
      <c r="K288" s="241">
        <f t="shared" si="113"/>
        <v>170.9445694</v>
      </c>
      <c r="L288" s="241">
        <f t="shared" si="114"/>
        <v>221.9163047</v>
      </c>
      <c r="M288" s="241">
        <f t="shared" si="115"/>
        <v>101.9434707</v>
      </c>
      <c r="N288" s="241">
        <f t="shared" si="116"/>
        <v>341.8891387</v>
      </c>
      <c r="O288" s="241">
        <f t="shared" si="117"/>
        <v>443.8326094</v>
      </c>
      <c r="P288" s="242">
        <f t="shared" si="2"/>
        <v>0.0003471988167</v>
      </c>
    </row>
    <row r="289">
      <c r="A289" s="236" t="s">
        <v>413</v>
      </c>
      <c r="B289" s="245">
        <f>' 19.ARRED_HIST_CONSOLIDADO_E_ME'!H188</f>
        <v>97614</v>
      </c>
      <c r="C289" s="238" t="str">
        <f t="shared" si="111"/>
        <v>SINAPI</v>
      </c>
      <c r="D289" s="238" t="s">
        <v>218</v>
      </c>
      <c r="E289" s="239" t="str">
        <f>IFERROR(IF(D289="SINAPI-S",VLOOKUP(B289,'20-B.SINAPI-S'!A:J,2,0),IF(D289="SINAPI-I",VLOOKUP(B289,'20-A.SINAPI-I'!A:G,2,0),IF(D289="COMPOSIÇÕES",VLOOKUP(B289,'11.COMPOSIÇÕES GERAIS'!B:I,2,0),VLOOKUP(B289,'12.COT.MERCADO'!A:I,2,0)))),"Em Elaboração")</f>
        <v>LÂMPADA COMPACTA DE VAPOR METÁLICO OVOIDE 150 W, BASE E27 - FORNECIMENTO E INSTALAÇÃO. AF_02/2020</v>
      </c>
      <c r="F289" s="240" t="str">
        <f>IFERROR(IF(D289="SINAPI-S",VLOOKUP(B289,'20-B.SINAPI-S'!A:J,3,0),IF(D289="SINAPI-I",VLOOKUP(B289,'20-A.SINAPI-I'!A:G,3,0),IF(D289="COMPOSIÇÕES",VLOOKUP(B289,'11.COMPOSIÇÕES GERAIS'!B:I,3,0),VLOOKUP(B289,'12.COT.MERCADO'!A:I,7,0)))),"Em Elaboração")</f>
        <v>UN</v>
      </c>
      <c r="G289" s="244">
        <f>VLOOKUP(B289,' 19.ARRED_HIST_CONSOLIDADO_E_ME'!H:O,8,0)</f>
        <v>10</v>
      </c>
      <c r="H289" s="241">
        <f>IFERROR(IF(D289="SINAPI-S",VLOOKUP(B289,'20-B.SINAPI-S'!A:J,5,0),IF(D289="SINAPI-I",VLOOKUP(B289,'20-A.SINAPI-I'!A:G,6,0),IF(D289="COMPOSIÇÕES",VLOOKUP(B289,'11.COMPOSIÇÕES GERAIS'!B:I,7,0),0))),"Em Elaboração")</f>
        <v>5.45</v>
      </c>
      <c r="I289" s="241">
        <f>IFERROR(IF(D289="SINAPI-S",VLOOKUP(B289,'20-B.SINAPI-S'!A:J,6,0),IF(D289="SINAPI-I",VLOOKUP(B289,'20-A.SINAPI-I'!A:G,7,0),IF(D289="COMPOSIÇÕES",VLOOKUP(B289,'11.COMPOSIÇÕES GERAIS'!B:I,8,0),VLOOKUP(B289,'12.COT.MERCADO'!A:I,8,0)))),"Em Elaboração")</f>
        <v>54.43</v>
      </c>
      <c r="J289" s="241">
        <f t="shared" si="112"/>
        <v>6.397880187</v>
      </c>
      <c r="K289" s="241">
        <f t="shared" si="113"/>
        <v>63.75574147</v>
      </c>
      <c r="L289" s="241">
        <f t="shared" si="114"/>
        <v>70.15362166</v>
      </c>
      <c r="M289" s="241">
        <f t="shared" si="115"/>
        <v>63.97880187</v>
      </c>
      <c r="N289" s="241">
        <f t="shared" si="116"/>
        <v>637.5574147</v>
      </c>
      <c r="O289" s="241">
        <f t="shared" si="117"/>
        <v>701.5362166</v>
      </c>
      <c r="P289" s="242">
        <f t="shared" si="2"/>
        <v>0.0005487937098</v>
      </c>
    </row>
    <row r="290">
      <c r="A290" s="236" t="s">
        <v>414</v>
      </c>
      <c r="B290" s="245" t="str">
        <f>' 19.ARRED_HIST_CONSOLIDADO_E_ME'!H189</f>
        <v>MAN_PR_047</v>
      </c>
      <c r="C290" s="238" t="str">
        <f t="shared" si="111"/>
        <v>PRÓPRIO</v>
      </c>
      <c r="D290" s="243" t="s">
        <v>230</v>
      </c>
      <c r="E290" s="239" t="str">
        <f>IFERROR(IF(D290="SINAPI-S",VLOOKUP(B290,'20-B.SINAPI-S'!A:J,2,0),IF(D290="SINAPI-I",VLOOKUP(B290,'20-A.SINAPI-I'!A:G,2,0),IF(D290="COMPOSIÇÕES",VLOOKUP(B290,'11.COMPOSIÇÕES GERAIS'!B:I,2,0),VLOOKUP(B290,'12.COT.MERCADO'!A:I,2,0)))),"Em Elaboração")</f>
        <v>DUCHA HIGIÊNCIA PLÁSTICA COM REGISTRO METÁLICO 1/2" - FORNECIMENTO E INSTALAÇÃO</v>
      </c>
      <c r="F290" s="240" t="str">
        <f>IFERROR(IF(D290="SINAPI-S",VLOOKUP(B290,'20-B.SINAPI-S'!A:J,3,0),IF(D290="SINAPI-I",VLOOKUP(B290,'20-A.SINAPI-I'!A:G,3,0),IF(D290="COMPOSIÇÕES",VLOOKUP(B290,'11.COMPOSIÇÕES GERAIS'!B:I,3,0),VLOOKUP(B290,'12.COT.MERCADO'!A:I,7,0)))),"Em Elaboração")</f>
        <v>UN</v>
      </c>
      <c r="G290" s="244">
        <f>VLOOKUP(B290,' 19.ARRED_HIST_CONSOLIDADO_E_ME'!H:O,8,0)</f>
        <v>1</v>
      </c>
      <c r="H290" s="241">
        <f>IFERROR(IF(D290="SINAPI-S",VLOOKUP(B290,'20-B.SINAPI-S'!A:J,5,0),IF(D290="SINAPI-I",VLOOKUP(B290,'20-A.SINAPI-I'!A:G,6,0),IF(D290="COMPOSIÇÕES",VLOOKUP(B290,'11.COMPOSIÇÕES GERAIS'!B:I,7,0),0))),"Em Elaboração")</f>
        <v>12.3</v>
      </c>
      <c r="I290" s="241">
        <f>IFERROR(IF(D290="SINAPI-S",VLOOKUP(B290,'20-B.SINAPI-S'!A:J,6,0),IF(D290="SINAPI-I",VLOOKUP(B290,'20-A.SINAPI-I'!A:G,7,0),IF(D290="COMPOSIÇÕES",VLOOKUP(B290,'11.COMPOSIÇÕES GERAIS'!B:I,8,0),VLOOKUP(B290,'12.COT.MERCADO'!A:I,8,0)))),"Em Elaboração")</f>
        <v>120.264</v>
      </c>
      <c r="J290" s="241">
        <f t="shared" si="112"/>
        <v>14.43925253</v>
      </c>
      <c r="K290" s="241">
        <f t="shared" si="113"/>
        <v>140.8693825</v>
      </c>
      <c r="L290" s="241">
        <f t="shared" si="114"/>
        <v>155.3086351</v>
      </c>
      <c r="M290" s="241">
        <f t="shared" si="115"/>
        <v>14.43925253</v>
      </c>
      <c r="N290" s="241">
        <f t="shared" si="116"/>
        <v>140.8693825</v>
      </c>
      <c r="O290" s="241">
        <f t="shared" si="117"/>
        <v>155.3086351</v>
      </c>
      <c r="P290" s="242">
        <f t="shared" si="2"/>
        <v>0.0001214939443</v>
      </c>
    </row>
    <row r="291">
      <c r="A291" s="236" t="s">
        <v>415</v>
      </c>
      <c r="B291" s="245">
        <f>' 19.ARRED_HIST_CONSOLIDADO_E_ME'!H190</f>
        <v>86888</v>
      </c>
      <c r="C291" s="238" t="str">
        <f t="shared" si="111"/>
        <v>SINAPI</v>
      </c>
      <c r="D291" s="238" t="s">
        <v>218</v>
      </c>
      <c r="E291" s="239" t="str">
        <f>IFERROR(IF(D291="SINAPI-S",VLOOKUP(B291,'20-B.SINAPI-S'!A:J,2,0),IF(D291="SINAPI-I",VLOOKUP(B291,'20-A.SINAPI-I'!A:G,2,0),IF(D291="COMPOSIÇÕES",VLOOKUP(B291,'11.COMPOSIÇÕES GERAIS'!B:I,2,0),VLOOKUP(B291,'12.COT.MERCADO'!A:I,2,0)))),"Em Elaboração")</f>
        <v>VASO SANITÁRIO SIFONADO COM CAIXA ACOPLADA LOUÇA BRANCA - FORNECIMENTO E INSTALAÇÃO. AF_01/2020</v>
      </c>
      <c r="F291" s="240" t="str">
        <f>IFERROR(IF(D291="SINAPI-S",VLOOKUP(B291,'20-B.SINAPI-S'!A:J,3,0),IF(D291="SINAPI-I",VLOOKUP(B291,'20-A.SINAPI-I'!A:G,3,0),IF(D291="COMPOSIÇÕES",VLOOKUP(B291,'11.COMPOSIÇÕES GERAIS'!B:I,3,0),VLOOKUP(B291,'12.COT.MERCADO'!A:I,7,0)))),"Em Elaboração")</f>
        <v>UN</v>
      </c>
      <c r="G291" s="244">
        <f>VLOOKUP(B291,' 19.ARRED_HIST_CONSOLIDADO_E_ME'!H:O,8,0)</f>
        <v>1</v>
      </c>
      <c r="H291" s="241">
        <f>IFERROR(IF(D291="SINAPI-S",VLOOKUP(B291,'20-B.SINAPI-S'!A:J,5,0),IF(D291="SINAPI-I",VLOOKUP(B291,'20-A.SINAPI-I'!A:G,6,0),IF(D291="COMPOSIÇÕES",VLOOKUP(B291,'11.COMPOSIÇÕES GERAIS'!B:I,7,0),0))),"Em Elaboração")</f>
        <v>26.79</v>
      </c>
      <c r="I291" s="241">
        <f>IFERROR(IF(D291="SINAPI-S",VLOOKUP(B291,'20-B.SINAPI-S'!A:J,6,0),IF(D291="SINAPI-I",VLOOKUP(B291,'20-A.SINAPI-I'!A:G,7,0),IF(D291="COMPOSIÇÕES",VLOOKUP(B291,'11.COMPOSIÇÕES GERAIS'!B:I,8,0),VLOOKUP(B291,'12.COT.MERCADO'!A:I,8,0)))),"Em Elaboração")</f>
        <v>494.12</v>
      </c>
      <c r="J291" s="241">
        <f t="shared" si="112"/>
        <v>31.44939637</v>
      </c>
      <c r="K291" s="241">
        <f t="shared" si="113"/>
        <v>578.7798452</v>
      </c>
      <c r="L291" s="241">
        <f t="shared" si="114"/>
        <v>610.2292416</v>
      </c>
      <c r="M291" s="241">
        <f t="shared" si="115"/>
        <v>31.44939637</v>
      </c>
      <c r="N291" s="241">
        <f t="shared" si="116"/>
        <v>578.7798452</v>
      </c>
      <c r="O291" s="241">
        <f t="shared" si="117"/>
        <v>610.2292416</v>
      </c>
      <c r="P291" s="242">
        <f t="shared" si="2"/>
        <v>0.0004773666154</v>
      </c>
    </row>
    <row r="292">
      <c r="A292" s="236" t="s">
        <v>416</v>
      </c>
      <c r="B292" s="245">
        <f>' 19.ARRED_HIST_CONSOLIDADO_E_ME'!H191</f>
        <v>98576</v>
      </c>
      <c r="C292" s="238" t="str">
        <f t="shared" si="111"/>
        <v>SINAPI</v>
      </c>
      <c r="D292" s="238" t="s">
        <v>218</v>
      </c>
      <c r="E292" s="239" t="str">
        <f>IFERROR(IF(D292="SINAPI-S",VLOOKUP(B292,'20-B.SINAPI-S'!A:J,2,0),IF(D292="SINAPI-I",VLOOKUP(B292,'20-A.SINAPI-I'!A:G,2,0),IF(D292="COMPOSIÇÕES",VLOOKUP(B292,'11.COMPOSIÇÕES GERAIS'!B:I,2,0),VLOOKUP(B292,'12.COT.MERCADO'!A:I,2,0)))),"Em Elaboração")</f>
        <v>TRATAMENTO DE JUNTA DE DILATAÇÃO COM MANTA ASFÁLTICA ADERIDA COM MAÇARICO. AF_06/2018</v>
      </c>
      <c r="F292" s="240" t="str">
        <f>IFERROR(IF(D292="SINAPI-S",VLOOKUP(B292,'20-B.SINAPI-S'!A:J,3,0),IF(D292="SINAPI-I",VLOOKUP(B292,'20-A.SINAPI-I'!A:G,3,0),IF(D292="COMPOSIÇÕES",VLOOKUP(B292,'11.COMPOSIÇÕES GERAIS'!B:I,3,0),VLOOKUP(B292,'12.COT.MERCADO'!A:I,7,0)))),"Em Elaboração")</f>
        <v>M</v>
      </c>
      <c r="G292" s="244">
        <f>VLOOKUP(B292,' 19.ARRED_HIST_CONSOLIDADO_E_ME'!H:O,8,0)</f>
        <v>1</v>
      </c>
      <c r="H292" s="241">
        <f>IFERROR(IF(D292="SINAPI-S",VLOOKUP(B292,'20-B.SINAPI-S'!A:J,5,0),IF(D292="SINAPI-I",VLOOKUP(B292,'20-A.SINAPI-I'!A:G,6,0),IF(D292="COMPOSIÇÕES",VLOOKUP(B292,'11.COMPOSIÇÕES GERAIS'!B:I,7,0),0))),"Em Elaboração")</f>
        <v>0.74</v>
      </c>
      <c r="I292" s="241">
        <f>IFERROR(IF(D292="SINAPI-S",VLOOKUP(B292,'20-B.SINAPI-S'!A:J,6,0),IF(D292="SINAPI-I",VLOOKUP(B292,'20-A.SINAPI-I'!A:G,7,0),IF(D292="COMPOSIÇÕES",VLOOKUP(B292,'11.COMPOSIÇÕES GERAIS'!B:I,8,0),VLOOKUP(B292,'12.COT.MERCADO'!A:I,8,0)))),"Em Elaboração")</f>
        <v>21.23</v>
      </c>
      <c r="J292" s="241">
        <f t="shared" si="112"/>
        <v>0.8687029978</v>
      </c>
      <c r="K292" s="241">
        <f t="shared" si="113"/>
        <v>24.86743324</v>
      </c>
      <c r="L292" s="241">
        <f t="shared" si="114"/>
        <v>25.73613624</v>
      </c>
      <c r="M292" s="241">
        <f t="shared" si="115"/>
        <v>0.8687029978</v>
      </c>
      <c r="N292" s="241">
        <f t="shared" si="116"/>
        <v>24.86743324</v>
      </c>
      <c r="O292" s="241">
        <f t="shared" si="117"/>
        <v>25.73613624</v>
      </c>
      <c r="P292" s="242">
        <f t="shared" si="2"/>
        <v>0.00002013271639</v>
      </c>
    </row>
    <row r="293">
      <c r="A293" s="236" t="s">
        <v>417</v>
      </c>
      <c r="B293" s="245">
        <f>' 19.ARRED_HIST_CONSOLIDADO_E_ME'!H192</f>
        <v>92001</v>
      </c>
      <c r="C293" s="238" t="str">
        <f t="shared" si="111"/>
        <v>SINAPI</v>
      </c>
      <c r="D293" s="238" t="s">
        <v>218</v>
      </c>
      <c r="E293" s="239" t="str">
        <f>IFERROR(IF(D293="SINAPI-S",VLOOKUP(B293,'20-B.SINAPI-S'!A:J,2,0),IF(D293="SINAPI-I",VLOOKUP(B293,'20-A.SINAPI-I'!A:G,2,0),IF(D293="COMPOSIÇÕES",VLOOKUP(B293,'11.COMPOSIÇÕES GERAIS'!B:I,2,0),VLOOKUP(B293,'12.COT.MERCADO'!A:I,2,0)))),"Em Elaboração")</f>
        <v>TOMADA BAIXA DE EMBUTIR (1 MÓDULO), 2P+T 20 A, INCLUINDO SUPORTE E PLACA - FORNECIMENTO E INSTALAÇÃO. AF_03/2023</v>
      </c>
      <c r="F293" s="240" t="str">
        <f>IFERROR(IF(D293="SINAPI-S",VLOOKUP(B293,'20-B.SINAPI-S'!A:J,3,0),IF(D293="SINAPI-I",VLOOKUP(B293,'20-A.SINAPI-I'!A:G,3,0),IF(D293="COMPOSIÇÕES",VLOOKUP(B293,'11.COMPOSIÇÕES GERAIS'!B:I,3,0),VLOOKUP(B293,'12.COT.MERCADO'!A:I,7,0)))),"Em Elaboração")</f>
        <v>UN</v>
      </c>
      <c r="G293" s="244">
        <f>VLOOKUP(B293,' 19.ARRED_HIST_CONSOLIDADO_E_ME'!H:O,8,0)</f>
        <v>2</v>
      </c>
      <c r="H293" s="241">
        <f>IFERROR(IF(D293="SINAPI-S",VLOOKUP(B293,'20-B.SINAPI-S'!A:J,5,0),IF(D293="SINAPI-I",VLOOKUP(B293,'20-A.SINAPI-I'!A:G,6,0),IF(D293="COMPOSIÇÕES",VLOOKUP(B293,'11.COMPOSIÇÕES GERAIS'!B:I,7,0),0))),"Em Elaboração")</f>
        <v>16.42</v>
      </c>
      <c r="I293" s="241">
        <f>IFERROR(IF(D293="SINAPI-S",VLOOKUP(B293,'20-B.SINAPI-S'!A:J,6,0),IF(D293="SINAPI-I",VLOOKUP(B293,'20-A.SINAPI-I'!A:G,7,0),IF(D293="COMPOSIÇÕES",VLOOKUP(B293,'11.COMPOSIÇÕES GERAIS'!B:I,8,0),VLOOKUP(B293,'12.COT.MERCADO'!A:I,8,0)))),"Em Elaboração")</f>
        <v>21.33</v>
      </c>
      <c r="J293" s="241">
        <f t="shared" si="112"/>
        <v>19.27581517</v>
      </c>
      <c r="K293" s="241">
        <f t="shared" si="113"/>
        <v>24.9845667</v>
      </c>
      <c r="L293" s="241">
        <f t="shared" si="114"/>
        <v>44.26038187</v>
      </c>
      <c r="M293" s="241">
        <f t="shared" si="115"/>
        <v>38.55163034</v>
      </c>
      <c r="N293" s="241">
        <f t="shared" si="116"/>
        <v>49.9691334</v>
      </c>
      <c r="O293" s="241">
        <f t="shared" si="117"/>
        <v>88.52076374</v>
      </c>
      <c r="P293" s="242">
        <f t="shared" si="2"/>
        <v>0.00006924751307</v>
      </c>
    </row>
    <row r="294">
      <c r="A294" s="236" t="s">
        <v>418</v>
      </c>
      <c r="B294" s="245">
        <f>' 19.ARRED_HIST_CONSOLIDADO_E_ME'!H193</f>
        <v>97615</v>
      </c>
      <c r="C294" s="238" t="str">
        <f t="shared" si="111"/>
        <v>SINAPI</v>
      </c>
      <c r="D294" s="238" t="s">
        <v>218</v>
      </c>
      <c r="E294" s="239" t="str">
        <f>IFERROR(IF(D294="SINAPI-S",VLOOKUP(B294,'20-B.SINAPI-S'!A:J,2,0),IF(D294="SINAPI-I",VLOOKUP(B294,'20-A.SINAPI-I'!A:G,2,0),IF(D294="COMPOSIÇÕES",VLOOKUP(B294,'11.COMPOSIÇÕES GERAIS'!B:I,2,0),VLOOKUP(B294,'12.COT.MERCADO'!A:I,2,0)))),"Em Elaboração")</f>
        <v>LÂMPADA TUBULAR FLUORESCENTE T8 DE 16/18 W, BASE G13 - FORNECIMENTO E INSTALAÇÃO. AF_02/2020_PS</v>
      </c>
      <c r="F294" s="240" t="str">
        <f>IFERROR(IF(D294="SINAPI-S",VLOOKUP(B294,'20-B.SINAPI-S'!A:J,3,0),IF(D294="SINAPI-I",VLOOKUP(B294,'20-A.SINAPI-I'!A:G,3,0),IF(D294="COMPOSIÇÕES",VLOOKUP(B294,'11.COMPOSIÇÕES GERAIS'!B:I,3,0),VLOOKUP(B294,'12.COT.MERCADO'!A:I,7,0)))),"Em Elaboração")</f>
        <v>UN</v>
      </c>
      <c r="G294" s="244">
        <f>VLOOKUP(B294,' 19.ARRED_HIST_CONSOLIDADO_E_ME'!H:O,8,0)</f>
        <v>2</v>
      </c>
      <c r="H294" s="241">
        <f>IFERROR(IF(D294="SINAPI-S",VLOOKUP(B294,'20-B.SINAPI-S'!A:J,5,0),IF(D294="SINAPI-I",VLOOKUP(B294,'20-A.SINAPI-I'!A:G,6,0),IF(D294="COMPOSIÇÕES",VLOOKUP(B294,'11.COMPOSIÇÕES GERAIS'!B:I,7,0),0))),"Em Elaboração")</f>
        <v>8.19</v>
      </c>
      <c r="I294" s="241">
        <f>IFERROR(IF(D294="SINAPI-S",VLOOKUP(B294,'20-B.SINAPI-S'!A:J,6,0),IF(D294="SINAPI-I",VLOOKUP(B294,'20-A.SINAPI-I'!A:G,7,0),IF(D294="COMPOSIÇÕES",VLOOKUP(B294,'11.COMPOSIÇÕES GERAIS'!B:I,8,0),VLOOKUP(B294,'12.COT.MERCADO'!A:I,8,0)))),"Em Elaboração")</f>
        <v>46.28</v>
      </c>
      <c r="J294" s="241">
        <f t="shared" si="112"/>
        <v>9.614429124</v>
      </c>
      <c r="K294" s="241">
        <f t="shared" si="113"/>
        <v>54.2093646</v>
      </c>
      <c r="L294" s="241">
        <f t="shared" si="114"/>
        <v>63.82379372</v>
      </c>
      <c r="M294" s="241">
        <f t="shared" si="115"/>
        <v>19.22885825</v>
      </c>
      <c r="N294" s="241">
        <f t="shared" si="116"/>
        <v>108.4187292</v>
      </c>
      <c r="O294" s="241">
        <f t="shared" si="117"/>
        <v>127.6475874</v>
      </c>
      <c r="P294" s="242">
        <f t="shared" si="2"/>
        <v>0.0000998554193</v>
      </c>
    </row>
    <row r="295">
      <c r="A295" s="236" t="s">
        <v>419</v>
      </c>
      <c r="B295" s="245">
        <f>' 19.ARRED_HIST_CONSOLIDADO_E_ME'!H194</f>
        <v>86881</v>
      </c>
      <c r="C295" s="238" t="str">
        <f t="shared" si="111"/>
        <v>SINAPI</v>
      </c>
      <c r="D295" s="238" t="s">
        <v>218</v>
      </c>
      <c r="E295" s="239" t="str">
        <f>IFERROR(IF(D295="SINAPI-S",VLOOKUP(B295,'20-B.SINAPI-S'!A:J,2,0),IF(D295="SINAPI-I",VLOOKUP(B295,'20-A.SINAPI-I'!A:G,2,0),IF(D295="COMPOSIÇÕES",VLOOKUP(B295,'11.COMPOSIÇÕES GERAIS'!B:I,2,0),VLOOKUP(B295,'12.COT.MERCADO'!A:I,2,0)))),"Em Elaboração")</f>
        <v>SIFÃO DO TIPO GARRAFA EM METAL CROMADO 1 X 1.1/2_x0094_ - FORNECIMENTO E INSTALAÇÃO. AF_01/2020</v>
      </c>
      <c r="F295" s="240" t="str">
        <f>IFERROR(IF(D295="SINAPI-S",VLOOKUP(B295,'20-B.SINAPI-S'!A:J,3,0),IF(D295="SINAPI-I",VLOOKUP(B295,'20-A.SINAPI-I'!A:G,3,0),IF(D295="COMPOSIÇÕES",VLOOKUP(B295,'11.COMPOSIÇÕES GERAIS'!B:I,3,0),VLOOKUP(B295,'12.COT.MERCADO'!A:I,7,0)))),"Em Elaboração")</f>
        <v>UN</v>
      </c>
      <c r="G295" s="244">
        <f>VLOOKUP(B295,' 19.ARRED_HIST_CONSOLIDADO_E_ME'!H:O,8,0)</f>
        <v>1</v>
      </c>
      <c r="H295" s="241">
        <f>IFERROR(IF(D295="SINAPI-S",VLOOKUP(B295,'20-B.SINAPI-S'!A:J,5,0),IF(D295="SINAPI-I",VLOOKUP(B295,'20-A.SINAPI-I'!A:G,6,0),IF(D295="COMPOSIÇÕES",VLOOKUP(B295,'11.COMPOSIÇÕES GERAIS'!B:I,7,0),0))),"Em Elaboração")</f>
        <v>8.21</v>
      </c>
      <c r="I295" s="241">
        <f>IFERROR(IF(D295="SINAPI-S",VLOOKUP(B295,'20-B.SINAPI-S'!A:J,6,0),IF(D295="SINAPI-I",VLOOKUP(B295,'20-A.SINAPI-I'!A:G,7,0),IF(D295="COMPOSIÇÕES",VLOOKUP(B295,'11.COMPOSIÇÕES GERAIS'!B:I,8,0),VLOOKUP(B295,'12.COT.MERCADO'!A:I,8,0)))),"Em Elaboração")</f>
        <v>275.28</v>
      </c>
      <c r="J295" s="241">
        <f t="shared" si="112"/>
        <v>9.637907584</v>
      </c>
      <c r="K295" s="241">
        <f t="shared" si="113"/>
        <v>322.4449846</v>
      </c>
      <c r="L295" s="241">
        <f t="shared" si="114"/>
        <v>332.0828922</v>
      </c>
      <c r="M295" s="241">
        <f t="shared" si="115"/>
        <v>9.637907584</v>
      </c>
      <c r="N295" s="241">
        <f t="shared" si="116"/>
        <v>322.4449846</v>
      </c>
      <c r="O295" s="241">
        <f t="shared" si="117"/>
        <v>332.0828922</v>
      </c>
      <c r="P295" s="242">
        <f t="shared" si="2"/>
        <v>0.0002597798917</v>
      </c>
    </row>
    <row r="296">
      <c r="A296" s="236" t="s">
        <v>420</v>
      </c>
      <c r="B296" s="237" t="str">
        <f>' 19.ARRED_HIST_CONSOLIDADO_E_ME'!H195</f>
        <v>MAN_PR_072</v>
      </c>
      <c r="C296" s="238" t="str">
        <f t="shared" si="111"/>
        <v>PRÓPRIO</v>
      </c>
      <c r="D296" s="243" t="s">
        <v>230</v>
      </c>
      <c r="E296" s="239" t="str">
        <f>IFERROR(IF(D296="SINAPI-S",VLOOKUP(B296,'20-B.SINAPI-S'!A:J,2,0),IF(D296="SINAPI-I",VLOOKUP(B296,'20-A.SINAPI-I'!A:G,2,0),IF(D296="COMPOSIÇÕES",VLOOKUP(B296,'11.COMPOSIÇÕES GERAIS'!B:I,2,0),VLOOKUP(B296,'12.COT.MERCADO'!A:I,2,0)))),"Em Elaboração")</f>
        <v>FORNECIMENTO E INSTALAÇÃO DE DISPOSITIVO DE PROTEÇÃO CONTRA SURTO DE TENSÃO DPS 20KA - 175V</v>
      </c>
      <c r="F296" s="240" t="str">
        <f>IFERROR(IF(D296="SINAPI-S",VLOOKUP(B296,'20-B.SINAPI-S'!A:J,3,0),IF(D296="SINAPI-I",VLOOKUP(B296,'20-A.SINAPI-I'!A:G,3,0),IF(D296="COMPOSIÇÕES",VLOOKUP(B296,'11.COMPOSIÇÕES GERAIS'!B:I,3,0),VLOOKUP(B296,'12.COT.MERCADO'!A:I,7,0)))),"Em Elaboração")</f>
        <v>UN</v>
      </c>
      <c r="G296" s="244">
        <f>VLOOKUP(B296,' 19.ARRED_HIST_CONSOLIDADO_E_ME'!H:O,8,0)</f>
        <v>2</v>
      </c>
      <c r="H296" s="241">
        <f>IFERROR(IF(D296="SINAPI-S",VLOOKUP(B296,'20-B.SINAPI-S'!A:J,5,0),IF(D296="SINAPI-I",VLOOKUP(B296,'20-A.SINAPI-I'!A:G,6,0),IF(D296="COMPOSIÇÕES",VLOOKUP(B296,'11.COMPOSIÇÕES GERAIS'!B:I,7,0),0))),"Em Elaboração")</f>
        <v>13.287</v>
      </c>
      <c r="I296" s="241">
        <f>IFERROR(IF(D296="SINAPI-S",VLOOKUP(B296,'20-B.SINAPI-S'!A:J,6,0),IF(D296="SINAPI-I",VLOOKUP(B296,'20-A.SINAPI-I'!A:G,7,0),IF(D296="COMPOSIÇÕES",VLOOKUP(B296,'11.COMPOSIÇÕES GERAIS'!B:I,8,0),VLOOKUP(B296,'12.COT.MERCADO'!A:I,8,0)))),"Em Elaboração")</f>
        <v>73.466</v>
      </c>
      <c r="J296" s="241">
        <f t="shared" si="112"/>
        <v>15.5979145</v>
      </c>
      <c r="K296" s="241">
        <f t="shared" si="113"/>
        <v>86.05326663</v>
      </c>
      <c r="L296" s="241">
        <f t="shared" si="114"/>
        <v>101.6511811</v>
      </c>
      <c r="M296" s="241">
        <f t="shared" si="115"/>
        <v>31.195829</v>
      </c>
      <c r="N296" s="241">
        <f t="shared" si="116"/>
        <v>172.1065333</v>
      </c>
      <c r="O296" s="241">
        <f t="shared" si="117"/>
        <v>203.3023623</v>
      </c>
      <c r="P296" s="242">
        <f t="shared" si="2"/>
        <v>0.0001590382007</v>
      </c>
    </row>
    <row r="297">
      <c r="A297" s="236" t="s">
        <v>421</v>
      </c>
      <c r="B297" s="237">
        <f>' 19.ARRED_HIST_CONSOLIDADO_E_ME'!H196</f>
        <v>91927</v>
      </c>
      <c r="C297" s="238" t="str">
        <f t="shared" si="111"/>
        <v>SINAPI</v>
      </c>
      <c r="D297" s="238" t="s">
        <v>218</v>
      </c>
      <c r="E297" s="239" t="str">
        <f>IFERROR(IF(D297="SINAPI-S",VLOOKUP(B297,'20-B.SINAPI-S'!A:J,2,0),IF(D297="SINAPI-I",VLOOKUP(B297,'20-A.SINAPI-I'!A:G,2,0),IF(D297="COMPOSIÇÕES",VLOOKUP(B297,'11.COMPOSIÇÕES GERAIS'!B:I,2,0),VLOOKUP(B297,'12.COT.MERCADO'!A:I,2,0)))),"Em Elaboração")</f>
        <v>CABO DE COBRE FLEXÍVEL ISOLADO, 2,5 MM², ANTI-CHAMA 0,6/1,0 KV, PARA CIRCUITOS TERMINAIS - FORNECIMENTO E INSTALAÇÃO. AF_03/2023</v>
      </c>
      <c r="F297" s="240" t="str">
        <f>IFERROR(IF(D297="SINAPI-S",VLOOKUP(B297,'20-B.SINAPI-S'!A:J,3,0),IF(D297="SINAPI-I",VLOOKUP(B297,'20-A.SINAPI-I'!A:G,3,0),IF(D297="COMPOSIÇÕES",VLOOKUP(B297,'11.COMPOSIÇÕES GERAIS'!B:I,3,0),VLOOKUP(B297,'12.COT.MERCADO'!A:I,7,0)))),"Em Elaboração")</f>
        <v>M</v>
      </c>
      <c r="G297" s="244">
        <f>VLOOKUP(B297,' 19.ARRED_HIST_CONSOLIDADO_E_ME'!H:O,8,0)</f>
        <v>21</v>
      </c>
      <c r="H297" s="241">
        <f>IFERROR(IF(D297="SINAPI-S",VLOOKUP(B297,'20-B.SINAPI-S'!A:J,5,0),IF(D297="SINAPI-I",VLOOKUP(B297,'20-A.SINAPI-I'!A:G,6,0),IF(D297="COMPOSIÇÕES",VLOOKUP(B297,'11.COMPOSIÇÕES GERAIS'!B:I,7,0),0))),"Em Elaboração")</f>
        <v>1.28</v>
      </c>
      <c r="I297" s="241">
        <f>IFERROR(IF(D297="SINAPI-S",VLOOKUP(B297,'20-B.SINAPI-S'!A:J,6,0),IF(D297="SINAPI-I",VLOOKUP(B297,'20-A.SINAPI-I'!A:G,7,0),IF(D297="COMPOSIÇÕES",VLOOKUP(B297,'11.COMPOSIÇÕES GERAIS'!B:I,8,0),VLOOKUP(B297,'12.COT.MERCADO'!A:I,8,0)))),"Em Elaboração")</f>
        <v>3.68</v>
      </c>
      <c r="J297" s="241">
        <f t="shared" si="112"/>
        <v>1.502621402</v>
      </c>
      <c r="K297" s="241">
        <f t="shared" si="113"/>
        <v>4.310511273</v>
      </c>
      <c r="L297" s="241">
        <f t="shared" si="114"/>
        <v>5.813132675</v>
      </c>
      <c r="M297" s="241">
        <f t="shared" si="115"/>
        <v>31.55504943</v>
      </c>
      <c r="N297" s="241">
        <f t="shared" si="116"/>
        <v>90.52073674</v>
      </c>
      <c r="O297" s="241">
        <f t="shared" si="117"/>
        <v>122.0757862</v>
      </c>
      <c r="P297" s="242">
        <f t="shared" si="2"/>
        <v>0.0000954967427</v>
      </c>
    </row>
    <row r="298">
      <c r="A298" s="236" t="s">
        <v>422</v>
      </c>
      <c r="B298" s="237">
        <f>' 19.ARRED_HIST_CONSOLIDADO_E_ME'!H197</f>
        <v>86887</v>
      </c>
      <c r="C298" s="238" t="str">
        <f t="shared" si="111"/>
        <v>SINAPI</v>
      </c>
      <c r="D298" s="238" t="s">
        <v>218</v>
      </c>
      <c r="E298" s="239" t="str">
        <f>IFERROR(IF(D298="SINAPI-S",VLOOKUP(B298,'20-B.SINAPI-S'!A:J,2,0),IF(D298="SINAPI-I",VLOOKUP(B298,'20-A.SINAPI-I'!A:G,2,0),IF(D298="COMPOSIÇÕES",VLOOKUP(B298,'11.COMPOSIÇÕES GERAIS'!B:I,2,0),VLOOKUP(B298,'12.COT.MERCADO'!A:I,2,0)))),"Em Elaboração")</f>
        <v>ENGATE FLEXÍVEL EM INOX, 1/2  X 40CM - FORNECIMENTO E INSTALAÇÃO. AF_01/2020</v>
      </c>
      <c r="F298" s="240" t="str">
        <f>IFERROR(IF(D298="SINAPI-S",VLOOKUP(B298,'20-B.SINAPI-S'!A:J,3,0),IF(D298="SINAPI-I",VLOOKUP(B298,'20-A.SINAPI-I'!A:G,3,0),IF(D298="COMPOSIÇÕES",VLOOKUP(B298,'11.COMPOSIÇÕES GERAIS'!B:I,3,0),VLOOKUP(B298,'12.COT.MERCADO'!A:I,7,0)))),"Em Elaboração")</f>
        <v>UN</v>
      </c>
      <c r="G298" s="244">
        <f>VLOOKUP(B298,' 19.ARRED_HIST_CONSOLIDADO_E_ME'!H:O,8,0)</f>
        <v>5</v>
      </c>
      <c r="H298" s="241">
        <f>IFERROR(IF(D298="SINAPI-S",VLOOKUP(B298,'20-B.SINAPI-S'!A:J,5,0),IF(D298="SINAPI-I",VLOOKUP(B298,'20-A.SINAPI-I'!A:G,6,0),IF(D298="COMPOSIÇÕES",VLOOKUP(B298,'11.COMPOSIÇÕES GERAIS'!B:I,7,0),0))),"Em Elaboração")</f>
        <v>4.57</v>
      </c>
      <c r="I298" s="241">
        <f>IFERROR(IF(D298="SINAPI-S",VLOOKUP(B298,'20-B.SINAPI-S'!A:J,6,0),IF(D298="SINAPI-I",VLOOKUP(B298,'20-A.SINAPI-I'!A:G,7,0),IF(D298="COMPOSIÇÕES",VLOOKUP(B298,'11.COMPOSIÇÕES GERAIS'!B:I,8,0),VLOOKUP(B298,'12.COT.MERCADO'!A:I,8,0)))),"Em Elaboração")</f>
        <v>69.98</v>
      </c>
      <c r="J298" s="241">
        <f t="shared" si="112"/>
        <v>5.364827973</v>
      </c>
      <c r="K298" s="241">
        <f t="shared" si="113"/>
        <v>81.96999427</v>
      </c>
      <c r="L298" s="241">
        <f t="shared" si="114"/>
        <v>87.33482224</v>
      </c>
      <c r="M298" s="241">
        <f t="shared" si="115"/>
        <v>26.82413986</v>
      </c>
      <c r="N298" s="241">
        <f t="shared" si="116"/>
        <v>409.8499713</v>
      </c>
      <c r="O298" s="241">
        <f t="shared" si="117"/>
        <v>436.6741112</v>
      </c>
      <c r="P298" s="242">
        <f t="shared" si="2"/>
        <v>0.0003415989079</v>
      </c>
    </row>
    <row r="299">
      <c r="A299" s="236" t="s">
        <v>423</v>
      </c>
      <c r="B299" s="237">
        <f>' 19.ARRED_HIST_CONSOLIDADO_E_ME'!H198</f>
        <v>93666</v>
      </c>
      <c r="C299" s="238" t="str">
        <f t="shared" si="111"/>
        <v>SINAPI</v>
      </c>
      <c r="D299" s="238" t="s">
        <v>218</v>
      </c>
      <c r="E299" s="239" t="str">
        <f>IFERROR(IF(D299="SINAPI-S",VLOOKUP(B299,'20-B.SINAPI-S'!A:J,2,0),IF(D299="SINAPI-I",VLOOKUP(B299,'20-A.SINAPI-I'!A:G,2,0),IF(D299="COMPOSIÇÕES",VLOOKUP(B299,'11.COMPOSIÇÕES GERAIS'!B:I,2,0),VLOOKUP(B299,'12.COT.MERCADO'!A:I,2,0)))),"Em Elaboração")</f>
        <v>DISJUNTOR BIPOLAR TIPO DIN, CORRENTE NOMINAL DE 50A - FORNECIMENTO E INSTALAÇÃO. AF_10/2020</v>
      </c>
      <c r="F299" s="240" t="str">
        <f>IFERROR(IF(D299="SINAPI-S",VLOOKUP(B299,'20-B.SINAPI-S'!A:J,3,0),IF(D299="SINAPI-I",VLOOKUP(B299,'20-A.SINAPI-I'!A:G,3,0),IF(D299="COMPOSIÇÕES",VLOOKUP(B299,'11.COMPOSIÇÕES GERAIS'!B:I,3,0),VLOOKUP(B299,'12.COT.MERCADO'!A:I,7,0)))),"Em Elaboração")</f>
        <v>UN</v>
      </c>
      <c r="G299" s="244">
        <f>VLOOKUP(B299,' 19.ARRED_HIST_CONSOLIDADO_E_ME'!H:O,8,0)</f>
        <v>1</v>
      </c>
      <c r="H299" s="241">
        <f>IFERROR(IF(D299="SINAPI-S",VLOOKUP(B299,'20-B.SINAPI-S'!A:J,5,0),IF(D299="SINAPI-I",VLOOKUP(B299,'20-A.SINAPI-I'!A:G,6,0),IF(D299="COMPOSIÇÕES",VLOOKUP(B299,'11.COMPOSIÇÕES GERAIS'!B:I,7,0),0))),"Em Elaboração")</f>
        <v>16.75</v>
      </c>
      <c r="I299" s="241">
        <f>IFERROR(IF(D299="SINAPI-S",VLOOKUP(B299,'20-B.SINAPI-S'!A:J,6,0),IF(D299="SINAPI-I",VLOOKUP(B299,'20-A.SINAPI-I'!A:G,7,0),IF(D299="COMPOSIÇÕES",VLOOKUP(B299,'11.COMPOSIÇÕES GERAIS'!B:I,8,0),VLOOKUP(B299,'12.COT.MERCADO'!A:I,8,0)))),"Em Elaboração")</f>
        <v>61.75</v>
      </c>
      <c r="J299" s="241">
        <f t="shared" si="112"/>
        <v>19.66320975</v>
      </c>
      <c r="K299" s="241">
        <f t="shared" si="113"/>
        <v>72.32991063</v>
      </c>
      <c r="L299" s="241">
        <f t="shared" si="114"/>
        <v>91.99312038</v>
      </c>
      <c r="M299" s="241">
        <f t="shared" si="115"/>
        <v>19.66320975</v>
      </c>
      <c r="N299" s="241">
        <f t="shared" si="116"/>
        <v>72.32991063</v>
      </c>
      <c r="O299" s="241">
        <f t="shared" si="117"/>
        <v>91.99312038</v>
      </c>
      <c r="P299" s="242">
        <f t="shared" si="2"/>
        <v>0.00007196384822</v>
      </c>
    </row>
    <row r="300">
      <c r="A300" s="236" t="s">
        <v>424</v>
      </c>
      <c r="B300" s="237">
        <f>' 19.ARRED_HIST_CONSOLIDADO_E_ME'!H199</f>
        <v>99624</v>
      </c>
      <c r="C300" s="238" t="str">
        <f t="shared" si="111"/>
        <v>SINAPI</v>
      </c>
      <c r="D300" s="238" t="s">
        <v>218</v>
      </c>
      <c r="E300" s="239" t="str">
        <f>IFERROR(IF(D300="SINAPI-S",VLOOKUP(B300,'20-B.SINAPI-S'!A:J,2,0),IF(D300="SINAPI-I",VLOOKUP(B300,'20-A.SINAPI-I'!A:G,2,0),IF(D300="COMPOSIÇÕES",VLOOKUP(B300,'11.COMPOSIÇÕES GERAIS'!B:I,2,0),VLOOKUP(B300,'12.COT.MERCADO'!A:I,2,0)))),"Em Elaboração")</f>
        <v>VÁLVULA DE RETENÇÃO HORIZONTAL, DE BRONZE, ROSCÁVEL, 2 1/2" - FORNECIMENTO E INSTALAÇÃO. AF_08/2021</v>
      </c>
      <c r="F300" s="240" t="str">
        <f>IFERROR(IF(D300="SINAPI-S",VLOOKUP(B300,'20-B.SINAPI-S'!A:J,3,0),IF(D300="SINAPI-I",VLOOKUP(B300,'20-A.SINAPI-I'!A:G,3,0),IF(D300="COMPOSIÇÕES",VLOOKUP(B300,'11.COMPOSIÇÕES GERAIS'!B:I,3,0),VLOOKUP(B300,'12.COT.MERCADO'!A:I,7,0)))),"Em Elaboração")</f>
        <v>UN</v>
      </c>
      <c r="G300" s="244">
        <f>VLOOKUP(B300,' 19.ARRED_HIST_CONSOLIDADO_E_ME'!H:O,8,0)</f>
        <v>1</v>
      </c>
      <c r="H300" s="241">
        <f>IFERROR(IF(D300="SINAPI-S",VLOOKUP(B300,'20-B.SINAPI-S'!A:J,5,0),IF(D300="SINAPI-I",VLOOKUP(B300,'20-A.SINAPI-I'!A:G,6,0),IF(D300="COMPOSIÇÕES",VLOOKUP(B300,'11.COMPOSIÇÕES GERAIS'!B:I,7,0),0))),"Em Elaboração")</f>
        <v>19.72</v>
      </c>
      <c r="I300" s="241">
        <f>IFERROR(IF(D300="SINAPI-S",VLOOKUP(B300,'20-B.SINAPI-S'!A:J,6,0),IF(D300="SINAPI-I",VLOOKUP(B300,'20-A.SINAPI-I'!A:G,7,0),IF(D300="COMPOSIÇÕES",VLOOKUP(B300,'11.COMPOSIÇÕES GERAIS'!B:I,8,0),VLOOKUP(B300,'12.COT.MERCADO'!A:I,8,0)))),"Em Elaboração")</f>
        <v>521.49</v>
      </c>
      <c r="J300" s="241">
        <f t="shared" si="112"/>
        <v>23.14976097</v>
      </c>
      <c r="K300" s="241">
        <f t="shared" si="113"/>
        <v>610.8392728</v>
      </c>
      <c r="L300" s="241">
        <f t="shared" si="114"/>
        <v>633.9890338</v>
      </c>
      <c r="M300" s="241">
        <f t="shared" si="115"/>
        <v>23.14976097</v>
      </c>
      <c r="N300" s="241">
        <f t="shared" si="116"/>
        <v>610.8392728</v>
      </c>
      <c r="O300" s="241">
        <f t="shared" si="117"/>
        <v>633.9890338</v>
      </c>
      <c r="P300" s="242">
        <f t="shared" si="2"/>
        <v>0.0004959532888</v>
      </c>
    </row>
    <row r="301">
      <c r="A301" s="236" t="s">
        <v>425</v>
      </c>
      <c r="B301" s="237">
        <f>' 19.ARRED_HIST_CONSOLIDADO_E_ME'!H200</f>
        <v>101902</v>
      </c>
      <c r="C301" s="238" t="str">
        <f t="shared" si="111"/>
        <v>SINAPI</v>
      </c>
      <c r="D301" s="238" t="s">
        <v>218</v>
      </c>
      <c r="E301" s="239" t="str">
        <f>IFERROR(IF(D301="SINAPI-S",VLOOKUP(B301,'20-B.SINAPI-S'!A:J,2,0),IF(D301="SINAPI-I",VLOOKUP(B301,'20-A.SINAPI-I'!A:G,2,0),IF(D301="COMPOSIÇÕES",VLOOKUP(B301,'11.COMPOSIÇÕES GERAIS'!B:I,2,0),VLOOKUP(B301,'12.COT.MERCADO'!A:I,2,0)))),"Em Elaboração")</f>
        <v>CONTATOR TRIPOLAR I NOMINAL 22A - FORNECIMENTO E INSTALAÇÃO. AF_10/2020</v>
      </c>
      <c r="F301" s="240" t="str">
        <f>IFERROR(IF(D301="SINAPI-S",VLOOKUP(B301,'20-B.SINAPI-S'!A:J,3,0),IF(D301="SINAPI-I",VLOOKUP(B301,'20-A.SINAPI-I'!A:G,3,0),IF(D301="COMPOSIÇÕES",VLOOKUP(B301,'11.COMPOSIÇÕES GERAIS'!B:I,3,0),VLOOKUP(B301,'12.COT.MERCADO'!A:I,7,0)))),"Em Elaboração")</f>
        <v>UN</v>
      </c>
      <c r="G301" s="244">
        <f>VLOOKUP(B301,' 19.ARRED_HIST_CONSOLIDADO_E_ME'!H:O,8,0)</f>
        <v>1</v>
      </c>
      <c r="H301" s="241">
        <f>IFERROR(IF(D301="SINAPI-S",VLOOKUP(B301,'20-B.SINAPI-S'!A:J,5,0),IF(D301="SINAPI-I",VLOOKUP(B301,'20-A.SINAPI-I'!A:G,6,0),IF(D301="COMPOSIÇÕES",VLOOKUP(B301,'11.COMPOSIÇÕES GERAIS'!B:I,7,0),0))),"Em Elaboração")</f>
        <v>8.79</v>
      </c>
      <c r="I301" s="241">
        <f>IFERROR(IF(D301="SINAPI-S",VLOOKUP(B301,'20-B.SINAPI-S'!A:J,6,0),IF(D301="SINAPI-I",VLOOKUP(B301,'20-A.SINAPI-I'!A:G,7,0),IF(D301="COMPOSIÇÕES",VLOOKUP(B301,'11.COMPOSIÇÕES GERAIS'!B:I,8,0),VLOOKUP(B301,'12.COT.MERCADO'!A:I,8,0)))),"Em Elaboração")</f>
        <v>138.1</v>
      </c>
      <c r="J301" s="241">
        <f t="shared" si="112"/>
        <v>10.31878291</v>
      </c>
      <c r="K301" s="241">
        <f t="shared" si="113"/>
        <v>161.7613062</v>
      </c>
      <c r="L301" s="241">
        <f t="shared" si="114"/>
        <v>172.0800891</v>
      </c>
      <c r="M301" s="241">
        <f t="shared" si="115"/>
        <v>10.31878291</v>
      </c>
      <c r="N301" s="241">
        <f t="shared" si="116"/>
        <v>161.7613062</v>
      </c>
      <c r="O301" s="241">
        <f t="shared" si="117"/>
        <v>172.0800891</v>
      </c>
      <c r="P301" s="242">
        <f t="shared" si="2"/>
        <v>0.0001346138207</v>
      </c>
    </row>
    <row r="302">
      <c r="A302" s="236" t="s">
        <v>426</v>
      </c>
      <c r="B302" s="237" t="str">
        <f>' 19.ARRED_HIST_CONSOLIDADO_E_ME'!H201</f>
        <v>MAN_PR_070</v>
      </c>
      <c r="C302" s="238" t="str">
        <f t="shared" si="111"/>
        <v>PRÓPRIO</v>
      </c>
      <c r="D302" s="243" t="s">
        <v>230</v>
      </c>
      <c r="E302" s="239" t="str">
        <f>IFERROR(IF(D302="SINAPI-S",VLOOKUP(B302,'20-B.SINAPI-S'!A:J,2,0),IF(D302="SINAPI-I",VLOOKUP(B302,'20-A.SINAPI-I'!A:G,2,0),IF(D302="COMPOSIÇÕES",VLOOKUP(B302,'11.COMPOSIÇÕES GERAIS'!B:I,2,0),VLOOKUP(B302,'12.COT.MERCADO'!A:I,2,0)))),"Em Elaboração")</f>
        <v>FORNECIMENTO E INSTALAÇÃO DE RELÊ TÉRMICO BIMETAL PARA USO EM MOTORES TRIFÁSICOS, TENSÃO 380V, POTÊNCIA DE ATÉ 15 CV, CORRENTE NOMINAL MÁXIMA DE 22A</v>
      </c>
      <c r="F302" s="240" t="str">
        <f>IFERROR(IF(D302="SINAPI-S",VLOOKUP(B302,'20-B.SINAPI-S'!A:J,3,0),IF(D302="SINAPI-I",VLOOKUP(B302,'20-A.SINAPI-I'!A:G,3,0),IF(D302="COMPOSIÇÕES",VLOOKUP(B302,'11.COMPOSIÇÕES GERAIS'!B:I,3,0),VLOOKUP(B302,'12.COT.MERCADO'!A:I,7,0)))),"Em Elaboração")</f>
        <v>UN</v>
      </c>
      <c r="G302" s="244">
        <f>VLOOKUP(B302,' 19.ARRED_HIST_CONSOLIDADO_E_ME'!H:O,8,0)</f>
        <v>5</v>
      </c>
      <c r="H302" s="241">
        <f>IFERROR(IF(D302="SINAPI-S",VLOOKUP(B302,'20-B.SINAPI-S'!A:J,5,0),IF(D302="SINAPI-I",VLOOKUP(B302,'20-A.SINAPI-I'!A:G,6,0),IF(D302="COMPOSIÇÕES",VLOOKUP(B302,'11.COMPOSIÇÕES GERAIS'!B:I,7,0),0))),"Em Elaboração")</f>
        <v>39.861</v>
      </c>
      <c r="I302" s="241">
        <f>IFERROR(IF(D302="SINAPI-S",VLOOKUP(B302,'20-B.SINAPI-S'!A:J,6,0),IF(D302="SINAPI-I",VLOOKUP(B302,'20-A.SINAPI-I'!A:G,7,0),IF(D302="COMPOSIÇÕES",VLOOKUP(B302,'11.COMPOSIÇÕES GERAIS'!B:I,8,0),VLOOKUP(B302,'12.COT.MERCADO'!A:I,8,0)))),"Em Elaboração")</f>
        <v>122.978</v>
      </c>
      <c r="J302" s="241">
        <f t="shared" si="112"/>
        <v>46.79374351</v>
      </c>
      <c r="K302" s="241">
        <f t="shared" si="113"/>
        <v>144.0483846</v>
      </c>
      <c r="L302" s="241">
        <f t="shared" si="114"/>
        <v>190.8421281</v>
      </c>
      <c r="M302" s="241">
        <f t="shared" si="115"/>
        <v>233.9687175</v>
      </c>
      <c r="N302" s="241">
        <f t="shared" si="116"/>
        <v>720.2419231</v>
      </c>
      <c r="O302" s="241">
        <f t="shared" si="117"/>
        <v>954.2106406</v>
      </c>
      <c r="P302" s="242">
        <f t="shared" si="2"/>
        <v>0.0007464544025</v>
      </c>
    </row>
    <row r="303">
      <c r="A303" s="236" t="s">
        <v>427</v>
      </c>
      <c r="B303" s="237" t="str">
        <f>' 19.ARRED_HIST_CONSOLIDADO_E_ME'!H202</f>
        <v>MAN_PR_071</v>
      </c>
      <c r="C303" s="238" t="str">
        <f t="shared" si="111"/>
        <v>PRÓPRIO</v>
      </c>
      <c r="D303" s="243" t="s">
        <v>230</v>
      </c>
      <c r="E303" s="239" t="str">
        <f>IFERROR(IF(D303="SINAPI-S",VLOOKUP(B303,'20-B.SINAPI-S'!A:J,2,0),IF(D303="SINAPI-I",VLOOKUP(B303,'20-A.SINAPI-I'!A:G,2,0),IF(D303="COMPOSIÇÕES",VLOOKUP(B303,'11.COMPOSIÇÕES GERAIS'!B:I,2,0),VLOOKUP(B303,'12.COT.MERCADO'!A:I,2,0)))),"Em Elaboração")</f>
        <v>FORNECIMENTO E INSTALAÇÃO DE REFLETOR LED 5OW DE POTÊNCIA, BRANCO FRIO, 6500K, BIVOLT</v>
      </c>
      <c r="F303" s="240" t="str">
        <f>IFERROR(IF(D303="SINAPI-S",VLOOKUP(B303,'20-B.SINAPI-S'!A:J,3,0),IF(D303="SINAPI-I",VLOOKUP(B303,'20-A.SINAPI-I'!A:G,3,0),IF(D303="COMPOSIÇÕES",VLOOKUP(B303,'11.COMPOSIÇÕES GERAIS'!B:I,3,0),VLOOKUP(B303,'12.COT.MERCADO'!A:I,7,0)))),"Em Elaboração")</f>
        <v>UN</v>
      </c>
      <c r="G303" s="244">
        <f>VLOOKUP(B303,' 19.ARRED_HIST_CONSOLIDADO_E_ME'!H:O,8,0)</f>
        <v>4</v>
      </c>
      <c r="H303" s="241">
        <f>IFERROR(IF(D303="SINAPI-S",VLOOKUP(B303,'20-B.SINAPI-S'!A:J,5,0),IF(D303="SINAPI-I",VLOOKUP(B303,'20-A.SINAPI-I'!A:G,6,0),IF(D303="COMPOSIÇÕES",VLOOKUP(B303,'11.COMPOSIÇÕES GERAIS'!B:I,7,0),0))),"Em Elaboração")</f>
        <v>18.305</v>
      </c>
      <c r="I303" s="241">
        <f>IFERROR(IF(D303="SINAPI-S",VLOOKUP(B303,'20-B.SINAPI-S'!A:J,6,0),IF(D303="SINAPI-I",VLOOKUP(B303,'20-A.SINAPI-I'!A:G,7,0),IF(D303="COMPOSIÇÕES",VLOOKUP(B303,'11.COMPOSIÇÕES GERAIS'!B:I,8,0),VLOOKUP(B303,'12.COT.MERCADO'!A:I,8,0)))),"Em Elaboração")</f>
        <v>50.288</v>
      </c>
      <c r="J303" s="241">
        <f t="shared" si="112"/>
        <v>21.48865997</v>
      </c>
      <c r="K303" s="241">
        <f t="shared" si="113"/>
        <v>58.90407362</v>
      </c>
      <c r="L303" s="241">
        <f t="shared" si="114"/>
        <v>80.39273358</v>
      </c>
      <c r="M303" s="241">
        <f t="shared" si="115"/>
        <v>85.95463986</v>
      </c>
      <c r="N303" s="241">
        <f t="shared" si="116"/>
        <v>235.6162945</v>
      </c>
      <c r="O303" s="241">
        <f t="shared" si="117"/>
        <v>321.5709343</v>
      </c>
      <c r="P303" s="242">
        <f t="shared" si="2"/>
        <v>0.0002515566579</v>
      </c>
    </row>
    <row r="304">
      <c r="A304" s="236" t="s">
        <v>428</v>
      </c>
      <c r="B304" s="237" t="str">
        <f>' 19.ARRED_HIST_CONSOLIDADO_E_ME'!H203</f>
        <v>MAN_PR_056</v>
      </c>
      <c r="C304" s="238" t="str">
        <f t="shared" si="111"/>
        <v>PRÓPRIO</v>
      </c>
      <c r="D304" s="243" t="s">
        <v>230</v>
      </c>
      <c r="E304" s="239" t="str">
        <f>IFERROR(IF(D304="SINAPI-S",VLOOKUP(B304,'20-B.SINAPI-S'!A:J,2,0),IF(D304="SINAPI-I",VLOOKUP(B304,'20-A.SINAPI-I'!A:G,2,0),IF(D304="COMPOSIÇÕES",VLOOKUP(B304,'11.COMPOSIÇÕES GERAIS'!B:I,2,0),VLOOKUP(B304,'12.COT.MERCADO'!A:I,2,0)))),"Em Elaboração")</f>
        <v>FORNECIMENTO E INSTALAÇÃO DE ADAPTADOR DE PORCELANA PARA LÂMPADA BASE E40 PARA E27</v>
      </c>
      <c r="F304" s="240" t="str">
        <f>IFERROR(IF(D304="SINAPI-S",VLOOKUP(B304,'20-B.SINAPI-S'!A:J,3,0),IF(D304="SINAPI-I",VLOOKUP(B304,'20-A.SINAPI-I'!A:G,3,0),IF(D304="COMPOSIÇÕES",VLOOKUP(B304,'11.COMPOSIÇÕES GERAIS'!B:I,3,0),VLOOKUP(B304,'12.COT.MERCADO'!A:I,7,0)))),"Em Elaboração")</f>
        <v>UN</v>
      </c>
      <c r="G304" s="244">
        <f>VLOOKUP(B304,' 19.ARRED_HIST_CONSOLIDADO_E_ME'!H:O,8,0)</f>
        <v>18</v>
      </c>
      <c r="H304" s="241">
        <f>IFERROR(IF(D304="SINAPI-S",VLOOKUP(B304,'20-B.SINAPI-S'!A:J,5,0),IF(D304="SINAPI-I",VLOOKUP(B304,'20-A.SINAPI-I'!A:G,6,0),IF(D304="COMPOSIÇÕES",VLOOKUP(B304,'11.COMPOSIÇÕES GERAIS'!B:I,7,0),0))),"Em Elaboração")</f>
        <v>6.6435</v>
      </c>
      <c r="I304" s="241">
        <f>IFERROR(IF(D304="SINAPI-S",VLOOKUP(B304,'20-B.SINAPI-S'!A:J,6,0),IF(D304="SINAPI-I",VLOOKUP(B304,'20-A.SINAPI-I'!A:G,7,0),IF(D304="COMPOSIÇÕES",VLOOKUP(B304,'11.COMPOSIÇÕES GERAIS'!B:I,8,0),VLOOKUP(B304,'12.COT.MERCADO'!A:I,8,0)))),"Em Elaboração")</f>
        <v>13.608</v>
      </c>
      <c r="J304" s="241">
        <f t="shared" si="112"/>
        <v>7.798957251</v>
      </c>
      <c r="K304" s="241">
        <f t="shared" si="113"/>
        <v>15.93952103</v>
      </c>
      <c r="L304" s="241">
        <f t="shared" si="114"/>
        <v>23.73847829</v>
      </c>
      <c r="M304" s="241">
        <f t="shared" si="115"/>
        <v>140.3812305</v>
      </c>
      <c r="N304" s="241">
        <f t="shared" si="116"/>
        <v>286.9113786</v>
      </c>
      <c r="O304" s="241">
        <f t="shared" si="117"/>
        <v>427.2926091</v>
      </c>
      <c r="P304" s="242">
        <f t="shared" si="2"/>
        <v>0.0003342600006</v>
      </c>
    </row>
    <row r="305">
      <c r="A305" s="236" t="s">
        <v>429</v>
      </c>
      <c r="B305" s="237">
        <f>' 19.ARRED_HIST_CONSOLIDADO_E_ME'!H204</f>
        <v>94796</v>
      </c>
      <c r="C305" s="238" t="str">
        <f t="shared" si="111"/>
        <v>SINAPI</v>
      </c>
      <c r="D305" s="238" t="s">
        <v>218</v>
      </c>
      <c r="E305" s="239" t="str">
        <f>IFERROR(IF(D305="SINAPI-S",VLOOKUP(B305,'20-B.SINAPI-S'!A:J,2,0),IF(D305="SINAPI-I",VLOOKUP(B305,'20-A.SINAPI-I'!A:G,2,0),IF(D305="COMPOSIÇÕES",VLOOKUP(B305,'11.COMPOSIÇÕES GERAIS'!B:I,2,0),VLOOKUP(B305,'12.COT.MERCADO'!A:I,2,0)))),"Em Elaboração")</f>
        <v>TORNEIRA DE BOIA PARA CAIXA D'ÁGUA, ROSCÁVEL, 3/4" - FORNECIMENTO E INSTALAÇÃO. AF_08/2021</v>
      </c>
      <c r="F305" s="240" t="str">
        <f>IFERROR(IF(D305="SINAPI-S",VLOOKUP(B305,'20-B.SINAPI-S'!A:J,3,0),IF(D305="SINAPI-I",VLOOKUP(B305,'20-A.SINAPI-I'!A:G,3,0),IF(D305="COMPOSIÇÕES",VLOOKUP(B305,'11.COMPOSIÇÕES GERAIS'!B:I,3,0),VLOOKUP(B305,'12.COT.MERCADO'!A:I,7,0)))),"Em Elaboração")</f>
        <v>UN</v>
      </c>
      <c r="G305" s="244">
        <f>VLOOKUP(B305,' 19.ARRED_HIST_CONSOLIDADO_E_ME'!H:O,8,0)</f>
        <v>1</v>
      </c>
      <c r="H305" s="241">
        <f>IFERROR(IF(D305="SINAPI-S",VLOOKUP(B305,'20-B.SINAPI-S'!A:J,5,0),IF(D305="SINAPI-I",VLOOKUP(B305,'20-A.SINAPI-I'!A:G,6,0),IF(D305="COMPOSIÇÕES",VLOOKUP(B305,'11.COMPOSIÇÕES GERAIS'!B:I,7,0),0))),"Em Elaboração")</f>
        <v>8.25</v>
      </c>
      <c r="I305" s="241">
        <f>IFERROR(IF(D305="SINAPI-S",VLOOKUP(B305,'20-B.SINAPI-S'!A:J,6,0),IF(D305="SINAPI-I",VLOOKUP(B305,'20-A.SINAPI-I'!A:G,7,0),IF(D305="COMPOSIÇÕES",VLOOKUP(B305,'11.COMPOSIÇÕES GERAIS'!B:I,8,0),VLOOKUP(B305,'12.COT.MERCADO'!A:I,8,0)))),"Em Elaboração")</f>
        <v>34.52</v>
      </c>
      <c r="J305" s="241">
        <f t="shared" si="112"/>
        <v>9.684864503</v>
      </c>
      <c r="K305" s="241">
        <f t="shared" si="113"/>
        <v>40.43446988</v>
      </c>
      <c r="L305" s="241">
        <f t="shared" si="114"/>
        <v>50.11933438</v>
      </c>
      <c r="M305" s="241">
        <f t="shared" si="115"/>
        <v>9.684864503</v>
      </c>
      <c r="N305" s="241">
        <f t="shared" si="116"/>
        <v>40.43446988</v>
      </c>
      <c r="O305" s="241">
        <f t="shared" si="117"/>
        <v>50.11933438</v>
      </c>
      <c r="P305" s="242">
        <f t="shared" si="2"/>
        <v>0.00003920706415</v>
      </c>
    </row>
    <row r="306">
      <c r="A306" s="236" t="s">
        <v>430</v>
      </c>
      <c r="B306" s="237">
        <f>' 19.ARRED_HIST_CONSOLIDADO_E_ME'!H205</f>
        <v>97885</v>
      </c>
      <c r="C306" s="238" t="str">
        <f t="shared" si="111"/>
        <v>SINAPI</v>
      </c>
      <c r="D306" s="238" t="s">
        <v>218</v>
      </c>
      <c r="E306" s="239" t="str">
        <f>IFERROR(IF(D306="SINAPI-S",VLOOKUP(B306,'20-B.SINAPI-S'!A:J,2,0),IF(D306="SINAPI-I",VLOOKUP(B306,'20-A.SINAPI-I'!A:G,2,0),IF(D306="COMPOSIÇÕES",VLOOKUP(B306,'11.COMPOSIÇÕES GERAIS'!B:I,2,0),VLOOKUP(B306,'12.COT.MERCADO'!A:I,2,0)))),"Em Elaboração")</f>
        <v>CAIXA ENTERRADA ELÉTRICA RETANGULAR, EM CONCRETO PRÉ-MOLDADO, FUNDO COM BRITA, DIMENSÕES INTERNAS: 1X1X0,5 M. AF_12/2020</v>
      </c>
      <c r="F306" s="240" t="str">
        <f>IFERROR(IF(D306="SINAPI-S",VLOOKUP(B306,'20-B.SINAPI-S'!A:J,3,0),IF(D306="SINAPI-I",VLOOKUP(B306,'20-A.SINAPI-I'!A:G,3,0),IF(D306="COMPOSIÇÕES",VLOOKUP(B306,'11.COMPOSIÇÕES GERAIS'!B:I,3,0),VLOOKUP(B306,'12.COT.MERCADO'!A:I,7,0)))),"Em Elaboração")</f>
        <v>UN</v>
      </c>
      <c r="G306" s="244">
        <f>VLOOKUP(B306,' 19.ARRED_HIST_CONSOLIDADO_E_ME'!H:O,8,0)</f>
        <v>4</v>
      </c>
      <c r="H306" s="241">
        <f>IFERROR(IF(D306="SINAPI-S",VLOOKUP(B306,'20-B.SINAPI-S'!A:J,5,0),IF(D306="SINAPI-I",VLOOKUP(B306,'20-A.SINAPI-I'!A:G,6,0),IF(D306="COMPOSIÇÕES",VLOOKUP(B306,'11.COMPOSIÇÕES GERAIS'!B:I,7,0),0))),"Em Elaboração")</f>
        <v>131.11</v>
      </c>
      <c r="I306" s="241">
        <f>IFERROR(IF(D306="SINAPI-S",VLOOKUP(B306,'20-B.SINAPI-S'!A:J,6,0),IF(D306="SINAPI-I",VLOOKUP(B306,'20-A.SINAPI-I'!A:G,7,0),IF(D306="COMPOSIÇÕES",VLOOKUP(B306,'11.COMPOSIÇÕES GERAIS'!B:I,8,0),VLOOKUP(B306,'12.COT.MERCADO'!A:I,8,0)))),"Em Elaboração")</f>
        <v>824.54</v>
      </c>
      <c r="J306" s="241">
        <f t="shared" si="112"/>
        <v>153.9130406</v>
      </c>
      <c r="K306" s="241">
        <f t="shared" si="113"/>
        <v>965.8122188</v>
      </c>
      <c r="L306" s="241">
        <f t="shared" si="114"/>
        <v>1119.725259</v>
      </c>
      <c r="M306" s="241">
        <f t="shared" si="115"/>
        <v>615.6521624</v>
      </c>
      <c r="N306" s="241">
        <f t="shared" si="116"/>
        <v>3863.248875</v>
      </c>
      <c r="O306" s="241">
        <f t="shared" si="117"/>
        <v>4478.901038</v>
      </c>
      <c r="P306" s="242">
        <f t="shared" si="2"/>
        <v>0.0035037289</v>
      </c>
    </row>
    <row r="307">
      <c r="A307" s="236" t="s">
        <v>431</v>
      </c>
      <c r="B307" s="237">
        <f>' 19.ARRED_HIST_CONSOLIDADO_E_ME'!H206</f>
        <v>92871</v>
      </c>
      <c r="C307" s="238" t="str">
        <f t="shared" si="111"/>
        <v>SINAPI</v>
      </c>
      <c r="D307" s="238" t="s">
        <v>218</v>
      </c>
      <c r="E307" s="239" t="str">
        <f>IFERROR(IF(D307="SINAPI-S",VLOOKUP(B307,'20-B.SINAPI-S'!A:J,2,0),IF(D307="SINAPI-I",VLOOKUP(B307,'20-A.SINAPI-I'!A:G,2,0),IF(D307="COMPOSIÇÕES",VLOOKUP(B307,'11.COMPOSIÇÕES GERAIS'!B:I,2,0),VLOOKUP(B307,'12.COT.MERCADO'!A:I,2,0)))),"Em Elaboração")</f>
        <v>CAIXA RETANGULAR 4" X 4" MÉDIA (1,30 M DO PISO), METÁLICA, INSTALADA EM PAREDE - FORNECIMENTO E INSTALAÇÃO. AF_03/2023</v>
      </c>
      <c r="F307" s="240" t="str">
        <f>IFERROR(IF(D307="SINAPI-S",VLOOKUP(B307,'20-B.SINAPI-S'!A:J,3,0),IF(D307="SINAPI-I",VLOOKUP(B307,'20-A.SINAPI-I'!A:G,3,0),IF(D307="COMPOSIÇÕES",VLOOKUP(B307,'11.COMPOSIÇÕES GERAIS'!B:I,3,0),VLOOKUP(B307,'12.COT.MERCADO'!A:I,7,0)))),"Em Elaboração")</f>
        <v>UN</v>
      </c>
      <c r="G307" s="244">
        <f>VLOOKUP(B307,' 19.ARRED_HIST_CONSOLIDADO_E_ME'!H:O,8,0)</f>
        <v>1</v>
      </c>
      <c r="H307" s="241">
        <f>IFERROR(IF(D307="SINAPI-S",VLOOKUP(B307,'20-B.SINAPI-S'!A:J,5,0),IF(D307="SINAPI-I",VLOOKUP(B307,'20-A.SINAPI-I'!A:G,6,0),IF(D307="COMPOSIÇÕES",VLOOKUP(B307,'11.COMPOSIÇÕES GERAIS'!B:I,7,0),0))),"Em Elaboração")</f>
        <v>13.55</v>
      </c>
      <c r="I307" s="241">
        <f>IFERROR(IF(D307="SINAPI-S",VLOOKUP(B307,'20-B.SINAPI-S'!A:J,6,0),IF(D307="SINAPI-I",VLOOKUP(B307,'20-A.SINAPI-I'!A:G,7,0),IF(D307="COMPOSIÇÕES",VLOOKUP(B307,'11.COMPOSIÇÕES GERAIS'!B:I,8,0),VLOOKUP(B307,'12.COT.MERCADO'!A:I,8,0)))),"Em Elaboração")</f>
        <v>8.54</v>
      </c>
      <c r="J307" s="241">
        <f t="shared" si="112"/>
        <v>15.90665624</v>
      </c>
      <c r="K307" s="241">
        <f t="shared" si="113"/>
        <v>10.00319736</v>
      </c>
      <c r="L307" s="241">
        <f t="shared" si="114"/>
        <v>25.9098536</v>
      </c>
      <c r="M307" s="241">
        <f t="shared" si="115"/>
        <v>15.90665624</v>
      </c>
      <c r="N307" s="241">
        <f t="shared" si="116"/>
        <v>10.00319736</v>
      </c>
      <c r="O307" s="241">
        <f t="shared" si="117"/>
        <v>25.9098536</v>
      </c>
      <c r="P307" s="242">
        <f t="shared" si="2"/>
        <v>0.000020268611</v>
      </c>
    </row>
    <row r="308">
      <c r="A308" s="236" t="s">
        <v>432</v>
      </c>
      <c r="B308" s="237" t="str">
        <f>' 19.ARRED_HIST_CONSOLIDADO_E_ME'!H207</f>
        <v>MAN_PR_059</v>
      </c>
      <c r="C308" s="238" t="str">
        <f t="shared" si="111"/>
        <v>PRÓPRIO</v>
      </c>
      <c r="D308" s="243" t="s">
        <v>230</v>
      </c>
      <c r="E308" s="239" t="str">
        <f>IFERROR(IF(D308="SINAPI-S",VLOOKUP(B308,'20-B.SINAPI-S'!A:J,2,0),IF(D308="SINAPI-I",VLOOKUP(B308,'20-A.SINAPI-I'!A:G,2,0),IF(D308="COMPOSIÇÕES",VLOOKUP(B308,'11.COMPOSIÇÕES GERAIS'!B:I,2,0),VLOOKUP(B308,'12.COT.MERCADO'!A:I,2,0)))),"Em Elaboração")</f>
        <v>FORNECIMENTO E INSTALAÇÃO DE CABO DE COBRE PP CORDPLAST 3 X 2,5MM2, 450/750V</v>
      </c>
      <c r="F308" s="240" t="str">
        <f>IFERROR(IF(D308="SINAPI-S",VLOOKUP(B308,'20-B.SINAPI-S'!A:J,3,0),IF(D308="SINAPI-I",VLOOKUP(B308,'20-A.SINAPI-I'!A:G,3,0),IF(D308="COMPOSIÇÕES",VLOOKUP(B308,'11.COMPOSIÇÕES GERAIS'!B:I,3,0),VLOOKUP(B308,'12.COT.MERCADO'!A:I,7,0)))),"Em Elaboração")</f>
        <v>M</v>
      </c>
      <c r="G308" s="244">
        <f>VLOOKUP(B308,' 19.ARRED_HIST_CONSOLIDADO_E_ME'!H:O,8,0)</f>
        <v>26</v>
      </c>
      <c r="H308" s="241">
        <f>IFERROR(IF(D308="SINAPI-S",VLOOKUP(B308,'20-B.SINAPI-S'!A:J,5,0),IF(D308="SINAPI-I",VLOOKUP(B308,'20-A.SINAPI-I'!A:G,6,0),IF(D308="COMPOSIÇÕES",VLOOKUP(B308,'11.COMPOSIÇÕES GERAIS'!B:I,7,0),0))),"Em Elaboração")</f>
        <v>5.3148</v>
      </c>
      <c r="I308" s="241">
        <f>IFERROR(IF(D308="SINAPI-S",VLOOKUP(B308,'20-B.SINAPI-S'!A:J,6,0),IF(D308="SINAPI-I",VLOOKUP(B308,'20-A.SINAPI-I'!A:G,7,0),IF(D308="COMPOSIÇÕES",VLOOKUP(B308,'11.COMPOSIÇÕES GERAIS'!B:I,8,0),VLOOKUP(B308,'12.COT.MERCADO'!A:I,8,0)))),"Em Elaboração")</f>
        <v>10.9644</v>
      </c>
      <c r="J308" s="241">
        <f t="shared" si="112"/>
        <v>6.239165801</v>
      </c>
      <c r="K308" s="241">
        <f t="shared" si="113"/>
        <v>12.84298093</v>
      </c>
      <c r="L308" s="241">
        <f t="shared" si="114"/>
        <v>19.08214673</v>
      </c>
      <c r="M308" s="241">
        <f t="shared" si="115"/>
        <v>162.2183108</v>
      </c>
      <c r="N308" s="241">
        <f t="shared" si="116"/>
        <v>333.9175041</v>
      </c>
      <c r="O308" s="241">
        <f t="shared" si="117"/>
        <v>496.1358149</v>
      </c>
      <c r="P308" s="242">
        <f t="shared" si="2"/>
        <v>0.0003881142669</v>
      </c>
    </row>
    <row r="309">
      <c r="A309" s="236" t="s">
        <v>433</v>
      </c>
      <c r="B309" s="237">
        <f>' 19.ARRED_HIST_CONSOLIDADO_E_ME'!H208</f>
        <v>11960</v>
      </c>
      <c r="C309" s="238" t="str">
        <f t="shared" si="111"/>
        <v>SINAPI</v>
      </c>
      <c r="D309" s="243" t="s">
        <v>286</v>
      </c>
      <c r="E309" s="239" t="str">
        <f>IFERROR(IF(D309="SINAPI-S",VLOOKUP(B309,'20-B.SINAPI-S'!A:J,2,0),IF(D309="SINAPI-I",VLOOKUP(B309,'20-A.SINAPI-I'!A:G,2,0),IF(D309="COMPOSIÇÕES",VLOOKUP(B309,'11.COMPOSIÇÕES GERAIS'!B:I,2,0),VLOOKUP(B309,'12.COT.MERCADO'!A:I,2,0)))),"Em Elaboração")</f>
        <v>PARAFUSO DE LATAO COM ROSCA SOBERBA, CABECA CHATA E FENDA SIMPLES, DIAMETRO 2,5 MM, COMPRIMENTO 12 MM</v>
      </c>
      <c r="F309" s="240" t="str">
        <f>IFERROR(IF(D309="SINAPI-S",VLOOKUP(B309,'20-B.SINAPI-S'!A:J,3,0),IF(D309="SINAPI-I",VLOOKUP(B309,'20-A.SINAPI-I'!A:G,3,0),IF(D309="COMPOSIÇÕES",VLOOKUP(B309,'11.COMPOSIÇÕES GERAIS'!B:I,3,0),VLOOKUP(B309,'12.COT.MERCADO'!A:I,7,0)))),"Em Elaboração")</f>
        <v>UN</v>
      </c>
      <c r="G309" s="244">
        <f>VLOOKUP(B309,' 19.ARRED_HIST_CONSOLIDADO_E_ME'!H:O,8,0)</f>
        <v>17</v>
      </c>
      <c r="H309" s="241">
        <f>IFERROR(IF(D309="SINAPI-S",VLOOKUP(B309,'20-B.SINAPI-S'!A:J,5,0),IF(D309="SINAPI-I",VLOOKUP(B309,'20-A.SINAPI-I'!A:G,6,0),IF(D309="COMPOSIÇÕES",VLOOKUP(B309,'11.COMPOSIÇÕES GERAIS'!B:I,7,0),0))),"Em Elaboração")</f>
        <v>0</v>
      </c>
      <c r="I309" s="241">
        <f>IFERROR(IF(D309="SINAPI-S",VLOOKUP(B309,'20-B.SINAPI-S'!A:J,6,0),IF(D309="SINAPI-I",VLOOKUP(B309,'20-A.SINAPI-I'!A:G,7,0),IF(D309="COMPOSIÇÕES",VLOOKUP(B309,'11.COMPOSIÇÕES GERAIS'!B:I,8,0),VLOOKUP(B309,'12.COT.MERCADO'!A:I,8,0)))),"Em Elaboração")</f>
        <v>0.16</v>
      </c>
      <c r="J309" s="241">
        <f t="shared" si="112"/>
        <v>0</v>
      </c>
      <c r="K309" s="241">
        <f t="shared" si="113"/>
        <v>0.1874135336</v>
      </c>
      <c r="L309" s="241">
        <f t="shared" si="114"/>
        <v>0.1874135336</v>
      </c>
      <c r="M309" s="241">
        <f t="shared" si="115"/>
        <v>0</v>
      </c>
      <c r="N309" s="241">
        <f t="shared" si="116"/>
        <v>3.186030072</v>
      </c>
      <c r="O309" s="241">
        <f t="shared" si="117"/>
        <v>3.186030072</v>
      </c>
      <c r="P309" s="242">
        <f t="shared" si="2"/>
        <v>0.000002492349249</v>
      </c>
    </row>
    <row r="310">
      <c r="A310" s="236" t="s">
        <v>434</v>
      </c>
      <c r="B310" s="237" t="str">
        <f>' 19.ARRED_HIST_CONSOLIDADO_E_ME'!H209</f>
        <v>MAN_PR_073</v>
      </c>
      <c r="C310" s="238" t="str">
        <f t="shared" si="111"/>
        <v>PRÓPRIO</v>
      </c>
      <c r="D310" s="243" t="s">
        <v>230</v>
      </c>
      <c r="E310" s="239" t="str">
        <f>IFERROR(IF(D310="SINAPI-S",VLOOKUP(B310,'20-B.SINAPI-S'!A:J,2,0),IF(D310="SINAPI-I",VLOOKUP(B310,'20-A.SINAPI-I'!A:G,2,0),IF(D310="COMPOSIÇÕES",VLOOKUP(B310,'11.COMPOSIÇÕES GERAIS'!B:I,2,0),VLOOKUP(B310,'12.COT.MERCADO'!A:I,2,0)))),"Em Elaboração")</f>
        <v>CONECTOR DE DERIVAÇÃO PERFURANTE 10-95MM2</v>
      </c>
      <c r="F310" s="240" t="str">
        <f>IFERROR(IF(D310="SINAPI-S",VLOOKUP(B310,'20-B.SINAPI-S'!A:J,3,0),IF(D310="SINAPI-I",VLOOKUP(B310,'20-A.SINAPI-I'!A:G,3,0),IF(D310="COMPOSIÇÕES",VLOOKUP(B310,'11.COMPOSIÇÕES GERAIS'!B:I,3,0),VLOOKUP(B310,'12.COT.MERCADO'!A:I,7,0)))),"Em Elaboração")</f>
        <v>UN</v>
      </c>
      <c r="G310" s="244">
        <f>VLOOKUP(B310,' 19.ARRED_HIST_CONSOLIDADO_E_ME'!H:O,8,0)</f>
        <v>4</v>
      </c>
      <c r="H310" s="241">
        <f>IFERROR(IF(D310="SINAPI-S",VLOOKUP(B310,'20-B.SINAPI-S'!A:J,5,0),IF(D310="SINAPI-I",VLOOKUP(B310,'20-A.SINAPI-I'!A:G,6,0),IF(D310="COMPOSIÇÕES",VLOOKUP(B310,'11.COMPOSIÇÕES GERAIS'!B:I,7,0),0))),"Em Elaboração")</f>
        <v>13.876</v>
      </c>
      <c r="I310" s="241">
        <f>IFERROR(IF(D310="SINAPI-S",VLOOKUP(B310,'20-B.SINAPI-S'!A:J,6,0),IF(D310="SINAPI-I",VLOOKUP(B310,'20-A.SINAPI-I'!A:G,7,0),IF(D310="COMPOSIÇÕES",VLOOKUP(B310,'11.COMPOSIÇÕES GERAIS'!B:I,8,0),VLOOKUP(B310,'12.COT.MERCADO'!A:I,8,0)))),"Em Elaboração")</f>
        <v>13.736</v>
      </c>
      <c r="J310" s="241">
        <f t="shared" si="112"/>
        <v>16.28935513</v>
      </c>
      <c r="K310" s="241">
        <f t="shared" si="113"/>
        <v>16.08945186</v>
      </c>
      <c r="L310" s="241">
        <f t="shared" si="114"/>
        <v>32.37880699</v>
      </c>
      <c r="M310" s="241">
        <f t="shared" si="115"/>
        <v>65.15742053</v>
      </c>
      <c r="N310" s="241">
        <f t="shared" si="116"/>
        <v>64.35780745</v>
      </c>
      <c r="O310" s="241">
        <f t="shared" si="117"/>
        <v>129.515228</v>
      </c>
      <c r="P310" s="242">
        <f t="shared" si="2"/>
        <v>0.0001013164264</v>
      </c>
    </row>
    <row r="311">
      <c r="A311" s="236" t="s">
        <v>435</v>
      </c>
      <c r="B311" s="237">
        <f>' 19.ARRED_HIST_CONSOLIDADO_E_ME'!H210</f>
        <v>101894</v>
      </c>
      <c r="C311" s="238" t="str">
        <f t="shared" si="111"/>
        <v>SINAPI</v>
      </c>
      <c r="D311" s="238" t="s">
        <v>218</v>
      </c>
      <c r="E311" s="239" t="str">
        <f>IFERROR(IF(D311="SINAPI-S",VLOOKUP(B311,'20-B.SINAPI-S'!A:J,2,0),IF(D311="SINAPI-I",VLOOKUP(B311,'20-A.SINAPI-I'!A:G,2,0),IF(D311="COMPOSIÇÕES",VLOOKUP(B311,'11.COMPOSIÇÕES GERAIS'!B:I,2,0),VLOOKUP(B311,'12.COT.MERCADO'!A:I,2,0)))),"Em Elaboração")</f>
        <v>DISJUNTOR TRIPOLAR TIPO NEMA, CORRENTE NOMINAL DE 60 ATÉ 100A - FORNECIMENTO E INSTALAÇÃO. AF_10/2020</v>
      </c>
      <c r="F311" s="240" t="str">
        <f>IFERROR(IF(D311="SINAPI-S",VLOOKUP(B311,'20-B.SINAPI-S'!A:J,3,0),IF(D311="SINAPI-I",VLOOKUP(B311,'20-A.SINAPI-I'!A:G,3,0),IF(D311="COMPOSIÇÕES",VLOOKUP(B311,'11.COMPOSIÇÕES GERAIS'!B:I,3,0),VLOOKUP(B311,'12.COT.MERCADO'!A:I,7,0)))),"Em Elaboração")</f>
        <v>UN</v>
      </c>
      <c r="G311" s="244">
        <f>VLOOKUP(B311,' 19.ARRED_HIST_CONSOLIDADO_E_ME'!H:O,8,0)</f>
        <v>1</v>
      </c>
      <c r="H311" s="241">
        <f>IFERROR(IF(D311="SINAPI-S",VLOOKUP(B311,'20-B.SINAPI-S'!A:J,5,0),IF(D311="SINAPI-I",VLOOKUP(B311,'20-A.SINAPI-I'!A:G,6,0),IF(D311="COMPOSIÇÕES",VLOOKUP(B311,'11.COMPOSIÇÕES GERAIS'!B:I,7,0),0))),"Em Elaboração")</f>
        <v>34.66</v>
      </c>
      <c r="I311" s="241">
        <f>IFERROR(IF(D311="SINAPI-S",VLOOKUP(B311,'20-B.SINAPI-S'!A:J,6,0),IF(D311="SINAPI-I",VLOOKUP(B311,'20-A.SINAPI-I'!A:G,7,0),IF(D311="COMPOSIÇÕES",VLOOKUP(B311,'11.COMPOSIÇÕES GERAIS'!B:I,8,0),VLOOKUP(B311,'12.COT.MERCADO'!A:I,8,0)))),"Em Elaboração")</f>
        <v>133.05</v>
      </c>
      <c r="J311" s="241">
        <f t="shared" si="112"/>
        <v>40.68817014</v>
      </c>
      <c r="K311" s="241">
        <f t="shared" si="113"/>
        <v>155.8460666</v>
      </c>
      <c r="L311" s="241">
        <f t="shared" si="114"/>
        <v>196.5342367</v>
      </c>
      <c r="M311" s="241">
        <f t="shared" si="115"/>
        <v>40.68817014</v>
      </c>
      <c r="N311" s="241">
        <f t="shared" si="116"/>
        <v>155.8460666</v>
      </c>
      <c r="O311" s="241">
        <f t="shared" si="117"/>
        <v>196.5342367</v>
      </c>
      <c r="P311" s="242">
        <f t="shared" si="2"/>
        <v>0.0001537436704</v>
      </c>
    </row>
    <row r="312">
      <c r="A312" s="236" t="s">
        <v>436</v>
      </c>
      <c r="B312" s="237">
        <f>' 19.ARRED_HIST_CONSOLIDADO_E_ME'!H211</f>
        <v>101901</v>
      </c>
      <c r="C312" s="238" t="str">
        <f t="shared" si="111"/>
        <v>SINAPI</v>
      </c>
      <c r="D312" s="238" t="s">
        <v>218</v>
      </c>
      <c r="E312" s="239" t="str">
        <f>IFERROR(IF(D312="SINAPI-S",VLOOKUP(B312,'20-B.SINAPI-S'!A:J,2,0),IF(D312="SINAPI-I",VLOOKUP(B312,'20-A.SINAPI-I'!A:G,2,0),IF(D312="COMPOSIÇÕES",VLOOKUP(B312,'11.COMPOSIÇÕES GERAIS'!B:I,2,0),VLOOKUP(B312,'12.COT.MERCADO'!A:I,2,0)))),"Em Elaboração")</f>
        <v>CONTATOR TRIPOLAR I NOMINAL 12A - FORNECIMENTO E INSTALAÇÃO. AF_10/2020</v>
      </c>
      <c r="F312" s="240" t="str">
        <f>IFERROR(IF(D312="SINAPI-S",VLOOKUP(B312,'20-B.SINAPI-S'!A:J,3,0),IF(D312="SINAPI-I",VLOOKUP(B312,'20-A.SINAPI-I'!A:G,3,0),IF(D312="COMPOSIÇÕES",VLOOKUP(B312,'11.COMPOSIÇÕES GERAIS'!B:I,3,0),VLOOKUP(B312,'12.COT.MERCADO'!A:I,7,0)))),"Em Elaboração")</f>
        <v>UN</v>
      </c>
      <c r="G312" s="244">
        <f>VLOOKUP(B312,' 19.ARRED_HIST_CONSOLIDADO_E_ME'!H:O,8,0)</f>
        <v>1</v>
      </c>
      <c r="H312" s="241">
        <f>IFERROR(IF(D312="SINAPI-S",VLOOKUP(B312,'20-B.SINAPI-S'!A:J,5,0),IF(D312="SINAPI-I",VLOOKUP(B312,'20-A.SINAPI-I'!A:G,6,0),IF(D312="COMPOSIÇÕES",VLOOKUP(B312,'11.COMPOSIÇÕES GERAIS'!B:I,7,0),0))),"Em Elaboração")</f>
        <v>6.3</v>
      </c>
      <c r="I312" s="241">
        <f>IFERROR(IF(D312="SINAPI-S",VLOOKUP(B312,'20-B.SINAPI-S'!A:J,6,0),IF(D312="SINAPI-I",VLOOKUP(B312,'20-A.SINAPI-I'!A:G,7,0),IF(D312="COMPOSIÇÕES",VLOOKUP(B312,'11.COMPOSIÇÕES GERAIS'!B:I,8,0),VLOOKUP(B312,'12.COT.MERCADO'!A:I,8,0)))),"Em Elaboração")</f>
        <v>112.14</v>
      </c>
      <c r="J312" s="241">
        <f t="shared" si="112"/>
        <v>7.395714711</v>
      </c>
      <c r="K312" s="241">
        <f t="shared" si="113"/>
        <v>131.3534604</v>
      </c>
      <c r="L312" s="241">
        <f t="shared" si="114"/>
        <v>138.7491751</v>
      </c>
      <c r="M312" s="241">
        <f t="shared" si="115"/>
        <v>7.395714711</v>
      </c>
      <c r="N312" s="241">
        <f t="shared" si="116"/>
        <v>131.3534604</v>
      </c>
      <c r="O312" s="241">
        <f t="shared" si="117"/>
        <v>138.7491751</v>
      </c>
      <c r="P312" s="242">
        <f t="shared" si="2"/>
        <v>0.0001085399053</v>
      </c>
    </row>
    <row r="313">
      <c r="A313" s="236" t="s">
        <v>437</v>
      </c>
      <c r="B313" s="237" t="str">
        <f>' 19.ARRED_HIST_CONSOLIDADO_E_ME'!H212</f>
        <v>MAN_PR_058</v>
      </c>
      <c r="C313" s="238" t="str">
        <f t="shared" si="111"/>
        <v>PRÓPRIO</v>
      </c>
      <c r="D313" s="243" t="s">
        <v>230</v>
      </c>
      <c r="E313" s="239" t="str">
        <f>IFERROR(IF(D313="SINAPI-S",VLOOKUP(B313,'20-B.SINAPI-S'!A:J,2,0),IF(D313="SINAPI-I",VLOOKUP(B313,'20-A.SINAPI-I'!A:G,2,0),IF(D313="COMPOSIÇÕES",VLOOKUP(B313,'11.COMPOSIÇÕES GERAIS'!B:I,2,0),VLOOKUP(B313,'12.COT.MERCADO'!A:I,2,0)))),"Em Elaboração")</f>
        <v>FORNECIMENTO E INSTALAÇÃO DE BOBINA PARA CONTATOR CWM9 A CWM25, 380V</v>
      </c>
      <c r="F313" s="240" t="str">
        <f>IFERROR(IF(D313="SINAPI-S",VLOOKUP(B313,'20-B.SINAPI-S'!A:J,3,0),IF(D313="SINAPI-I",VLOOKUP(B313,'20-A.SINAPI-I'!A:G,3,0),IF(D313="COMPOSIÇÕES",VLOOKUP(B313,'11.COMPOSIÇÕES GERAIS'!B:I,3,0),VLOOKUP(B313,'12.COT.MERCADO'!A:I,7,0)))),"Em Elaboração")</f>
        <v>UN</v>
      </c>
      <c r="G313" s="244">
        <f>VLOOKUP(B313,' 19.ARRED_HIST_CONSOLIDADO_E_ME'!H:O,8,0)</f>
        <v>1</v>
      </c>
      <c r="H313" s="241">
        <f>IFERROR(IF(D313="SINAPI-S",VLOOKUP(B313,'20-B.SINAPI-S'!A:J,5,0),IF(D313="SINAPI-I",VLOOKUP(B313,'20-A.SINAPI-I'!A:G,6,0),IF(D313="COMPOSIÇÕES",VLOOKUP(B313,'11.COMPOSIÇÕES GERAIS'!B:I,7,0),0))),"Em Elaboração")</f>
        <v>6.324612</v>
      </c>
      <c r="I313" s="241">
        <f>IFERROR(IF(D313="SINAPI-S",VLOOKUP(B313,'20-B.SINAPI-S'!A:J,6,0),IF(D313="SINAPI-I",VLOOKUP(B313,'20-A.SINAPI-I'!A:G,7,0),IF(D313="COMPOSIÇÕES",VLOOKUP(B313,'11.COMPOSIÇÕES GERAIS'!B:I,8,0),VLOOKUP(B313,'12.COT.MERCADO'!A:I,8,0)))),"Em Elaboração")</f>
        <v>44.754816</v>
      </c>
      <c r="J313" s="241">
        <f t="shared" si="112"/>
        <v>7.424607303</v>
      </c>
      <c r="K313" s="241">
        <f t="shared" si="113"/>
        <v>52.42286383</v>
      </c>
      <c r="L313" s="241">
        <f t="shared" si="114"/>
        <v>59.84747114</v>
      </c>
      <c r="M313" s="241">
        <f t="shared" si="115"/>
        <v>7.424607303</v>
      </c>
      <c r="N313" s="241">
        <f t="shared" si="116"/>
        <v>52.42286383</v>
      </c>
      <c r="O313" s="241">
        <f t="shared" si="117"/>
        <v>59.84747114</v>
      </c>
      <c r="P313" s="242">
        <f t="shared" si="2"/>
        <v>0.00004681713493</v>
      </c>
    </row>
    <row r="314">
      <c r="A314" s="236" t="s">
        <v>438</v>
      </c>
      <c r="B314" s="237">
        <f>' 19.ARRED_HIST_CONSOLIDADO_E_ME'!H213</f>
        <v>89379</v>
      </c>
      <c r="C314" s="238" t="str">
        <f t="shared" si="111"/>
        <v>SINAPI</v>
      </c>
      <c r="D314" s="238" t="s">
        <v>218</v>
      </c>
      <c r="E314" s="239" t="str">
        <f>IFERROR(IF(D314="SINAPI-S",VLOOKUP(B314,'20-B.SINAPI-S'!A:J,2,0),IF(D314="SINAPI-I",VLOOKUP(B314,'20-A.SINAPI-I'!A:G,2,0),IF(D314="COMPOSIÇÕES",VLOOKUP(B314,'11.COMPOSIÇÕES GERAIS'!B:I,2,0),VLOOKUP(B314,'12.COT.MERCADO'!A:I,2,0)))),"Em Elaboração")</f>
        <v>LUVA DE CORRER, PVC, SOLDÁVEL, DN 25MM, INSTALADO EM RAMAL OU SUB-RAMAL DE ÁGUA - FORNECIMENTO E INSTALAÇÃO. AF_12/2014</v>
      </c>
      <c r="F314" s="240" t="str">
        <f>IFERROR(IF(D314="SINAPI-S",VLOOKUP(B314,'20-B.SINAPI-S'!A:J,3,0),IF(D314="SINAPI-I",VLOOKUP(B314,'20-A.SINAPI-I'!A:G,3,0),IF(D314="COMPOSIÇÕES",VLOOKUP(B314,'11.COMPOSIÇÕES GERAIS'!B:I,3,0),VLOOKUP(B314,'12.COT.MERCADO'!A:I,7,0)))),"Em Elaboração")</f>
        <v>UN</v>
      </c>
      <c r="G314" s="244">
        <f>VLOOKUP(B314,' 19.ARRED_HIST_CONSOLIDADO_E_ME'!H:O,8,0)</f>
        <v>1</v>
      </c>
      <c r="H314" s="241">
        <f>IFERROR(IF(D314="SINAPI-S",VLOOKUP(B314,'20-B.SINAPI-S'!A:J,5,0),IF(D314="SINAPI-I",VLOOKUP(B314,'20-A.SINAPI-I'!A:G,6,0),IF(D314="COMPOSIÇÕES",VLOOKUP(B314,'11.COMPOSIÇÕES GERAIS'!B:I,7,0),0))),"Em Elaboração")</f>
        <v>4.39</v>
      </c>
      <c r="I314" s="241">
        <f>IFERROR(IF(D314="SINAPI-S",VLOOKUP(B314,'20-B.SINAPI-S'!A:J,6,0),IF(D314="SINAPI-I",VLOOKUP(B314,'20-A.SINAPI-I'!A:G,7,0),IF(D314="COMPOSIÇÕES",VLOOKUP(B314,'11.COMPOSIÇÕES GERAIS'!B:I,8,0),VLOOKUP(B314,'12.COT.MERCADO'!A:I,8,0)))),"Em Elaboração")</f>
        <v>15.58</v>
      </c>
      <c r="J314" s="241">
        <f t="shared" si="112"/>
        <v>5.153521838</v>
      </c>
      <c r="K314" s="241">
        <f t="shared" si="113"/>
        <v>18.24939284</v>
      </c>
      <c r="L314" s="241">
        <f t="shared" si="114"/>
        <v>23.40291467</v>
      </c>
      <c r="M314" s="241">
        <f t="shared" si="115"/>
        <v>5.153521838</v>
      </c>
      <c r="N314" s="241">
        <f t="shared" si="116"/>
        <v>18.24939284</v>
      </c>
      <c r="O314" s="241">
        <f t="shared" si="117"/>
        <v>23.40291467</v>
      </c>
      <c r="P314" s="242">
        <f t="shared" si="2"/>
        <v>0.00001830749726</v>
      </c>
    </row>
    <row r="315">
      <c r="A315" s="236" t="s">
        <v>439</v>
      </c>
      <c r="B315" s="237">
        <f>' 19.ARRED_HIST_CONSOLIDADO_E_ME'!H214</f>
        <v>89381</v>
      </c>
      <c r="C315" s="238" t="str">
        <f t="shared" si="111"/>
        <v>SINAPI</v>
      </c>
      <c r="D315" s="238" t="s">
        <v>218</v>
      </c>
      <c r="E315" s="239" t="str">
        <f>IFERROR(IF(D315="SINAPI-S",VLOOKUP(B315,'20-B.SINAPI-S'!A:J,2,0),IF(D315="SINAPI-I",VLOOKUP(B315,'20-A.SINAPI-I'!A:G,2,0),IF(D315="COMPOSIÇÕES",VLOOKUP(B315,'11.COMPOSIÇÕES GERAIS'!B:I,2,0),VLOOKUP(B315,'12.COT.MERCADO'!A:I,2,0)))),"Em Elaboração")</f>
        <v>LUVA COM BUCHA DE LATÃO, PVC, SOLDÁVEL, DN 25MM X 3/4 , INSTALADO EM RAMAL OU SUB-RAMAL DE ÁGUA - FORNECIMENTO E INSTALAÇÃO. AF_06/2022</v>
      </c>
      <c r="F315" s="240" t="str">
        <f>IFERROR(IF(D315="SINAPI-S",VLOOKUP(B315,'20-B.SINAPI-S'!A:J,3,0),IF(D315="SINAPI-I",VLOOKUP(B315,'20-A.SINAPI-I'!A:G,3,0),IF(D315="COMPOSIÇÕES",VLOOKUP(B315,'11.COMPOSIÇÕES GERAIS'!B:I,3,0),VLOOKUP(B315,'12.COT.MERCADO'!A:I,7,0)))),"Em Elaboração")</f>
        <v>UN</v>
      </c>
      <c r="G315" s="244">
        <f>VLOOKUP(B315,' 19.ARRED_HIST_CONSOLIDADO_E_ME'!H:O,8,0)</f>
        <v>1</v>
      </c>
      <c r="H315" s="241">
        <f>IFERROR(IF(D315="SINAPI-S",VLOOKUP(B315,'20-B.SINAPI-S'!A:J,5,0),IF(D315="SINAPI-I",VLOOKUP(B315,'20-A.SINAPI-I'!A:G,6,0),IF(D315="COMPOSIÇÕES",VLOOKUP(B315,'11.COMPOSIÇÕES GERAIS'!B:I,7,0),0))),"Em Elaboração")</f>
        <v>4.1</v>
      </c>
      <c r="I315" s="241">
        <f>IFERROR(IF(D315="SINAPI-S",VLOOKUP(B315,'20-B.SINAPI-S'!A:J,6,0),IF(D315="SINAPI-I",VLOOKUP(B315,'20-A.SINAPI-I'!A:G,7,0),IF(D315="COMPOSIÇÕES",VLOOKUP(B315,'11.COMPOSIÇÕES GERAIS'!B:I,8,0),VLOOKUP(B315,'12.COT.MERCADO'!A:I,8,0)))),"Em Elaboração")</f>
        <v>9.26</v>
      </c>
      <c r="J315" s="241">
        <f t="shared" si="112"/>
        <v>4.813084177</v>
      </c>
      <c r="K315" s="241">
        <f t="shared" si="113"/>
        <v>10.84655826</v>
      </c>
      <c r="L315" s="241">
        <f t="shared" si="114"/>
        <v>15.65964244</v>
      </c>
      <c r="M315" s="241">
        <f t="shared" si="115"/>
        <v>4.813084177</v>
      </c>
      <c r="N315" s="241">
        <f t="shared" si="116"/>
        <v>10.84655826</v>
      </c>
      <c r="O315" s="241">
        <f t="shared" si="117"/>
        <v>15.65964244</v>
      </c>
      <c r="P315" s="242">
        <f t="shared" si="2"/>
        <v>0.00001225013487</v>
      </c>
    </row>
    <row r="316">
      <c r="A316" s="236" t="s">
        <v>440</v>
      </c>
      <c r="B316" s="237">
        <f>' 19.ARRED_HIST_CONSOLIDADO_E_ME'!H215</f>
        <v>5104</v>
      </c>
      <c r="C316" s="238" t="str">
        <f t="shared" si="111"/>
        <v>SINAPI</v>
      </c>
      <c r="D316" s="243" t="s">
        <v>286</v>
      </c>
      <c r="E316" s="239" t="str">
        <f>IFERROR(IF(D316="SINAPI-S",VLOOKUP(B316,'20-B.SINAPI-S'!A:J,2,0),IF(D316="SINAPI-I",VLOOKUP(B316,'20-A.SINAPI-I'!A:G,2,0),IF(D316="COMPOSIÇÕES",VLOOKUP(B316,'11.COMPOSIÇÕES GERAIS'!B:I,2,0),VLOOKUP(B316,'12.COT.MERCADO'!A:I,2,0)))),"Em Elaboração")</f>
        <v>REBITE DE ALUMINIO VAZADO DE REPUXO, 3,2 X 8 MM (1KG = 1025 UNIDADES)</v>
      </c>
      <c r="F316" s="240" t="str">
        <f>IFERROR(IF(D316="SINAPI-S",VLOOKUP(B316,'20-B.SINAPI-S'!A:J,3,0),IF(D316="SINAPI-I",VLOOKUP(B316,'20-A.SINAPI-I'!A:G,3,0),IF(D316="COMPOSIÇÕES",VLOOKUP(B316,'11.COMPOSIÇÕES GERAIS'!B:I,3,0),VLOOKUP(B316,'12.COT.MERCADO'!A:I,7,0)))),"Em Elaboração")</f>
        <v>KG</v>
      </c>
      <c r="G316" s="244">
        <f>VLOOKUP(B316,' 19.ARRED_HIST_CONSOLIDADO_E_ME'!H:O,8,0)</f>
        <v>43</v>
      </c>
      <c r="H316" s="241">
        <f>IFERROR(IF(D316="SINAPI-S",VLOOKUP(B316,'20-B.SINAPI-S'!A:J,5,0),IF(D316="SINAPI-I",VLOOKUP(B316,'20-A.SINAPI-I'!A:G,6,0),IF(D316="COMPOSIÇÕES",VLOOKUP(B316,'11.COMPOSIÇÕES GERAIS'!B:I,7,0),0))),"Em Elaboração")</f>
        <v>0</v>
      </c>
      <c r="I316" s="241">
        <f>IFERROR(IF(D316="SINAPI-S",VLOOKUP(B316,'20-B.SINAPI-S'!A:J,6,0),IF(D316="SINAPI-I",VLOOKUP(B316,'20-A.SINAPI-I'!A:G,7,0),IF(D316="COMPOSIÇÕES",VLOOKUP(B316,'11.COMPOSIÇÕES GERAIS'!B:I,8,0),VLOOKUP(B316,'12.COT.MERCADO'!A:I,8,0)))),"Em Elaboração")</f>
        <v>68.31</v>
      </c>
      <c r="J316" s="241">
        <f t="shared" si="112"/>
        <v>0</v>
      </c>
      <c r="K316" s="241">
        <f t="shared" si="113"/>
        <v>80.01386551</v>
      </c>
      <c r="L316" s="241">
        <f t="shared" si="114"/>
        <v>80.01386551</v>
      </c>
      <c r="M316" s="241">
        <f t="shared" si="115"/>
        <v>0</v>
      </c>
      <c r="N316" s="241">
        <f t="shared" si="116"/>
        <v>3440.596217</v>
      </c>
      <c r="O316" s="241">
        <f t="shared" si="117"/>
        <v>3440.596217</v>
      </c>
      <c r="P316" s="242">
        <f t="shared" si="2"/>
        <v>0.002691489787</v>
      </c>
    </row>
    <row r="317">
      <c r="A317" s="236" t="s">
        <v>441</v>
      </c>
      <c r="B317" s="237">
        <f>' 19.ARRED_HIST_CONSOLIDADO_E_ME'!H216</f>
        <v>86914</v>
      </c>
      <c r="C317" s="238" t="str">
        <f t="shared" si="111"/>
        <v>SINAPI</v>
      </c>
      <c r="D317" s="238" t="s">
        <v>218</v>
      </c>
      <c r="E317" s="239" t="str">
        <f>IFERROR(IF(D317="SINAPI-S",VLOOKUP(B317,'20-B.SINAPI-S'!A:J,2,0),IF(D317="SINAPI-I",VLOOKUP(B317,'20-A.SINAPI-I'!A:G,2,0),IF(D317="COMPOSIÇÕES",VLOOKUP(B317,'11.COMPOSIÇÕES GERAIS'!B:I,2,0),VLOOKUP(B317,'12.COT.MERCADO'!A:I,2,0)))),"Em Elaboração")</f>
        <v>TORNEIRA CROMADA 1/2_x0094_ OU 3/4_x0094_ PARA TANQUE, PADRÃO MÉDIO - FORNECIMENTO E INSTALAÇÃO. AF_01/2020</v>
      </c>
      <c r="F317" s="240" t="str">
        <f>IFERROR(IF(D317="SINAPI-S",VLOOKUP(B317,'20-B.SINAPI-S'!A:J,3,0),IF(D317="SINAPI-I",VLOOKUP(B317,'20-A.SINAPI-I'!A:G,3,0),IF(D317="COMPOSIÇÕES",VLOOKUP(B317,'11.COMPOSIÇÕES GERAIS'!B:I,3,0),VLOOKUP(B317,'12.COT.MERCADO'!A:I,7,0)))),"Em Elaboração")</f>
        <v>UN</v>
      </c>
      <c r="G317" s="244">
        <f>VLOOKUP(B317,' 19.ARRED_HIST_CONSOLIDADO_E_ME'!H:O,8,0)</f>
        <v>1</v>
      </c>
      <c r="H317" s="241">
        <f>IFERROR(IF(D317="SINAPI-S",VLOOKUP(B317,'20-B.SINAPI-S'!A:J,5,0),IF(D317="SINAPI-I",VLOOKUP(B317,'20-A.SINAPI-I'!A:G,6,0),IF(D317="COMPOSIÇÕES",VLOOKUP(B317,'11.COMPOSIÇÕES GERAIS'!B:I,7,0),0))),"Em Elaboração")</f>
        <v>4.57</v>
      </c>
      <c r="I317" s="241">
        <f>IFERROR(IF(D317="SINAPI-S",VLOOKUP(B317,'20-B.SINAPI-S'!A:J,6,0),IF(D317="SINAPI-I",VLOOKUP(B317,'20-A.SINAPI-I'!A:G,7,0),IF(D317="COMPOSIÇÕES",VLOOKUP(B317,'11.COMPOSIÇÕES GERAIS'!B:I,8,0),VLOOKUP(B317,'12.COT.MERCADO'!A:I,8,0)))),"Em Elaboração")</f>
        <v>79.63</v>
      </c>
      <c r="J317" s="241">
        <f t="shared" si="112"/>
        <v>5.364827973</v>
      </c>
      <c r="K317" s="241">
        <f t="shared" si="113"/>
        <v>93.27337301</v>
      </c>
      <c r="L317" s="241">
        <f t="shared" si="114"/>
        <v>98.63820099</v>
      </c>
      <c r="M317" s="241">
        <f t="shared" si="115"/>
        <v>5.364827973</v>
      </c>
      <c r="N317" s="241">
        <f t="shared" si="116"/>
        <v>93.27337301</v>
      </c>
      <c r="O317" s="241">
        <f t="shared" si="117"/>
        <v>98.63820099</v>
      </c>
      <c r="P317" s="242">
        <f t="shared" si="2"/>
        <v>0.00007716212359</v>
      </c>
    </row>
    <row r="318">
      <c r="A318" s="236" t="s">
        <v>442</v>
      </c>
      <c r="B318" s="237">
        <f>' 19.ARRED_HIST_CONSOLIDADO_E_ME'!H217</f>
        <v>94498</v>
      </c>
      <c r="C318" s="238" t="str">
        <f t="shared" si="111"/>
        <v>SINAPI</v>
      </c>
      <c r="D318" s="238" t="s">
        <v>218</v>
      </c>
      <c r="E318" s="239" t="str">
        <f>IFERROR(IF(D318="SINAPI-S",VLOOKUP(B318,'20-B.SINAPI-S'!A:J,2,0),IF(D318="SINAPI-I",VLOOKUP(B318,'20-A.SINAPI-I'!A:G,2,0),IF(D318="COMPOSIÇÕES",VLOOKUP(B318,'11.COMPOSIÇÕES GERAIS'!B:I,2,0),VLOOKUP(B318,'12.COT.MERCADO'!A:I,2,0)))),"Em Elaboração")</f>
        <v>REGISTRO DE GAVETA BRUTO, LATÃO, ROSCÁVEL, 2" - FORNECIMENTO E INSTALAÇÃO. AF_08/2021</v>
      </c>
      <c r="F318" s="240" t="str">
        <f>IFERROR(IF(D318="SINAPI-S",VLOOKUP(B318,'20-B.SINAPI-S'!A:J,3,0),IF(D318="SINAPI-I",VLOOKUP(B318,'20-A.SINAPI-I'!A:G,3,0),IF(D318="COMPOSIÇÕES",VLOOKUP(B318,'11.COMPOSIÇÕES GERAIS'!B:I,3,0),VLOOKUP(B318,'12.COT.MERCADO'!A:I,7,0)))),"Em Elaboração")</f>
        <v>UN</v>
      </c>
      <c r="G318" s="244">
        <f>VLOOKUP(B318,' 19.ARRED_HIST_CONSOLIDADO_E_ME'!H:O,8,0)</f>
        <v>1</v>
      </c>
      <c r="H318" s="241">
        <f>IFERROR(IF(D318="SINAPI-S",VLOOKUP(B318,'20-B.SINAPI-S'!A:J,5,0),IF(D318="SINAPI-I",VLOOKUP(B318,'20-A.SINAPI-I'!A:G,6,0),IF(D318="COMPOSIÇÕES",VLOOKUP(B318,'11.COMPOSIÇÕES GERAIS'!B:I,7,0),0))),"Em Elaboração")</f>
        <v>14.73</v>
      </c>
      <c r="I318" s="241">
        <f>IFERROR(IF(D318="SINAPI-S",VLOOKUP(B318,'20-B.SINAPI-S'!A:J,6,0),IF(D318="SINAPI-I",VLOOKUP(B318,'20-A.SINAPI-I'!A:G,7,0),IF(D318="COMPOSIÇÕES",VLOOKUP(B318,'11.COMPOSIÇÕES GERAIS'!B:I,8,0),VLOOKUP(B318,'12.COT.MERCADO'!A:I,8,0)))),"Em Elaboração")</f>
        <v>150.96</v>
      </c>
      <c r="J318" s="241">
        <f t="shared" si="112"/>
        <v>17.29188535</v>
      </c>
      <c r="K318" s="241">
        <f t="shared" si="113"/>
        <v>176.824669</v>
      </c>
      <c r="L318" s="241">
        <f t="shared" si="114"/>
        <v>194.1165543</v>
      </c>
      <c r="M318" s="241">
        <f t="shared" si="115"/>
        <v>17.29188535</v>
      </c>
      <c r="N318" s="241">
        <f t="shared" si="116"/>
        <v>176.824669</v>
      </c>
      <c r="O318" s="241">
        <f t="shared" si="117"/>
        <v>194.1165543</v>
      </c>
      <c r="P318" s="242">
        <f t="shared" si="2"/>
        <v>0.0001518523798</v>
      </c>
    </row>
    <row r="319">
      <c r="A319" s="236" t="s">
        <v>443</v>
      </c>
      <c r="B319" s="237">
        <f>' 19.ARRED_HIST_CONSOLIDADO_E_ME'!H218</f>
        <v>94975</v>
      </c>
      <c r="C319" s="238" t="str">
        <f t="shared" si="111"/>
        <v>SINAPI</v>
      </c>
      <c r="D319" s="238" t="s">
        <v>218</v>
      </c>
      <c r="E319" s="239" t="str">
        <f>IFERROR(IF(D319="SINAPI-S",VLOOKUP(B319,'20-B.SINAPI-S'!A:J,2,0),IF(D319="SINAPI-I",VLOOKUP(B319,'20-A.SINAPI-I'!A:G,2,0),IF(D319="COMPOSIÇÕES",VLOOKUP(B319,'11.COMPOSIÇÕES GERAIS'!B:I,2,0),VLOOKUP(B319,'12.COT.MERCADO'!A:I,2,0)))),"Em Elaboração")</f>
        <v>CONCRETO FCK = 15MPA, TRAÇO 1:3,4:3,5 (EM MASSA SECA DE CIMENTO/ AREIA MÉDIA/ BRITA 1) - PREPARO MANUAL. AF_05/2021</v>
      </c>
      <c r="F319" s="240" t="str">
        <f>IFERROR(IF(D319="SINAPI-S",VLOOKUP(B319,'20-B.SINAPI-S'!A:J,3,0),IF(D319="SINAPI-I",VLOOKUP(B319,'20-A.SINAPI-I'!A:G,3,0),IF(D319="COMPOSIÇÕES",VLOOKUP(B319,'11.COMPOSIÇÕES GERAIS'!B:I,3,0),VLOOKUP(B319,'12.COT.MERCADO'!A:I,7,0)))),"Em Elaboração")</f>
        <v>M3</v>
      </c>
      <c r="G319" s="244">
        <f>VLOOKUP(B319,' 19.ARRED_HIST_CONSOLIDADO_E_ME'!H:O,8,0)</f>
        <v>1</v>
      </c>
      <c r="H319" s="241">
        <f>IFERROR(IF(D319="SINAPI-S",VLOOKUP(B319,'20-B.SINAPI-S'!A:J,5,0),IF(D319="SINAPI-I",VLOOKUP(B319,'20-A.SINAPI-I'!A:G,6,0),IF(D319="COMPOSIÇÕES",VLOOKUP(B319,'11.COMPOSIÇÕES GERAIS'!B:I,7,0),0))),"Em Elaboração")</f>
        <v>108.11</v>
      </c>
      <c r="I319" s="241">
        <f>IFERROR(IF(D319="SINAPI-S",VLOOKUP(B319,'20-B.SINAPI-S'!A:J,6,0),IF(D319="SINAPI-I",VLOOKUP(B319,'20-A.SINAPI-I'!A:G,7,0),IF(D319="COMPOSIÇÕES",VLOOKUP(B319,'11.COMPOSIÇÕES GERAIS'!B:I,8,0),VLOOKUP(B319,'12.COT.MERCADO'!A:I,8,0)))),"Em Elaboração")</f>
        <v>370.54</v>
      </c>
      <c r="J319" s="241">
        <f t="shared" si="112"/>
        <v>126.9128123</v>
      </c>
      <c r="K319" s="241">
        <f t="shared" si="113"/>
        <v>434.0263172</v>
      </c>
      <c r="L319" s="241">
        <f t="shared" si="114"/>
        <v>560.9391295</v>
      </c>
      <c r="M319" s="241">
        <f t="shared" si="115"/>
        <v>126.9128123</v>
      </c>
      <c r="N319" s="241">
        <f t="shared" si="116"/>
        <v>434.0263172</v>
      </c>
      <c r="O319" s="241">
        <f t="shared" si="117"/>
        <v>560.9391295</v>
      </c>
      <c r="P319" s="242">
        <f t="shared" si="2"/>
        <v>0.0004388082305</v>
      </c>
    </row>
    <row r="320">
      <c r="A320" s="236" t="s">
        <v>444</v>
      </c>
      <c r="B320" s="237">
        <f>' 19.ARRED_HIST_CONSOLIDADO_E_ME'!H219</f>
        <v>101883</v>
      </c>
      <c r="C320" s="238" t="str">
        <f t="shared" si="111"/>
        <v>SINAPI</v>
      </c>
      <c r="D320" s="238" t="s">
        <v>218</v>
      </c>
      <c r="E320" s="239" t="str">
        <f>IFERROR(IF(D320="SINAPI-S",VLOOKUP(B320,'20-B.SINAPI-S'!A:J,2,0),IF(D320="SINAPI-I",VLOOKUP(B320,'20-A.SINAPI-I'!A:G,2,0),IF(D320="COMPOSIÇÕES",VLOOKUP(B320,'11.COMPOSIÇÕES GERAIS'!B:I,2,0),VLOOKUP(B320,'12.COT.MERCADO'!A:I,2,0)))),"Em Elaboração")</f>
        <v>QUADRO DE DISTRIBUIÇÃO DE ENERGIA EM CHAPA DE AÇO GALVANIZADO, DE EMBUTIR, COM BARRAMENTO TRIFÁSICO, PARA 18 DISJUNTORES DIN 100A - FORNECIMENTO E INSTALAÇÃO. AF_10/2020</v>
      </c>
      <c r="F320" s="240" t="str">
        <f>IFERROR(IF(D320="SINAPI-S",VLOOKUP(B320,'20-B.SINAPI-S'!A:J,3,0),IF(D320="SINAPI-I",VLOOKUP(B320,'20-A.SINAPI-I'!A:G,3,0),IF(D320="COMPOSIÇÕES",VLOOKUP(B320,'11.COMPOSIÇÕES GERAIS'!B:I,3,0),VLOOKUP(B320,'12.COT.MERCADO'!A:I,7,0)))),"Em Elaboração")</f>
        <v>UN</v>
      </c>
      <c r="G320" s="244">
        <f>VLOOKUP(B320,' 19.ARRED_HIST_CONSOLIDADO_E_ME'!H:O,8,0)</f>
        <v>1</v>
      </c>
      <c r="H320" s="241">
        <f>IFERROR(IF(D320="SINAPI-S",VLOOKUP(B320,'20-B.SINAPI-S'!A:J,5,0),IF(D320="SINAPI-I",VLOOKUP(B320,'20-A.SINAPI-I'!A:G,6,0),IF(D320="COMPOSIÇÕES",VLOOKUP(B320,'11.COMPOSIÇÕES GERAIS'!B:I,7,0),0))),"Em Elaboração")</f>
        <v>26.22</v>
      </c>
      <c r="I320" s="241">
        <f>IFERROR(IF(D320="SINAPI-S",VLOOKUP(B320,'20-B.SINAPI-S'!A:J,6,0),IF(D320="SINAPI-I",VLOOKUP(B320,'20-A.SINAPI-I'!A:G,7,0),IF(D320="COMPOSIÇÕES",VLOOKUP(B320,'11.COMPOSIÇÕES GERAIS'!B:I,8,0),VLOOKUP(B320,'12.COT.MERCADO'!A:I,8,0)))),"Em Elaboração")</f>
        <v>501.55</v>
      </c>
      <c r="J320" s="241">
        <f t="shared" si="112"/>
        <v>30.78026027</v>
      </c>
      <c r="K320" s="241">
        <f t="shared" si="113"/>
        <v>587.4828612</v>
      </c>
      <c r="L320" s="241">
        <f t="shared" si="114"/>
        <v>618.2631214</v>
      </c>
      <c r="M320" s="241">
        <f t="shared" si="115"/>
        <v>30.78026027</v>
      </c>
      <c r="N320" s="241">
        <f t="shared" si="116"/>
        <v>587.4828612</v>
      </c>
      <c r="O320" s="241">
        <f t="shared" si="117"/>
        <v>618.2631214</v>
      </c>
      <c r="P320" s="242">
        <f t="shared" si="2"/>
        <v>0.0004836513127</v>
      </c>
    </row>
    <row r="321">
      <c r="A321" s="236" t="s">
        <v>445</v>
      </c>
      <c r="B321" s="237">
        <f>' 19.ARRED_HIST_CONSOLIDADO_E_ME'!H220</f>
        <v>102163</v>
      </c>
      <c r="C321" s="238" t="str">
        <f t="shared" si="111"/>
        <v>SINAPI</v>
      </c>
      <c r="D321" s="238" t="s">
        <v>218</v>
      </c>
      <c r="E321" s="239" t="str">
        <f>IFERROR(IF(D321="SINAPI-S",VLOOKUP(B321,'20-B.SINAPI-S'!A:J,2,0),IF(D321="SINAPI-I",VLOOKUP(B321,'20-A.SINAPI-I'!A:G,2,0),IF(D321="COMPOSIÇÕES",VLOOKUP(B321,'11.COMPOSIÇÕES GERAIS'!B:I,2,0),VLOOKUP(B321,'12.COT.MERCADO'!A:I,2,0)))),"Em Elaboração")</f>
        <v>INSTALAÇÃO DE VIDRO LISO FUME, E = 4 MM, EM ESQUADRIA DE ALUMÍNIO OU PVC, FIXADO COM BAGUETE. AF_01/2021_PS</v>
      </c>
      <c r="F321" s="240" t="str">
        <f>IFERROR(IF(D321="SINAPI-S",VLOOKUP(B321,'20-B.SINAPI-S'!A:J,3,0),IF(D321="SINAPI-I",VLOOKUP(B321,'20-A.SINAPI-I'!A:G,3,0),IF(D321="COMPOSIÇÕES",VLOOKUP(B321,'11.COMPOSIÇÕES GERAIS'!B:I,3,0),VLOOKUP(B321,'12.COT.MERCADO'!A:I,7,0)))),"Em Elaboração")</f>
        <v>M2</v>
      </c>
      <c r="G321" s="244">
        <f>VLOOKUP(B321,' 19.ARRED_HIST_CONSOLIDADO_E_ME'!H:O,8,0)</f>
        <v>1</v>
      </c>
      <c r="H321" s="241">
        <f>IFERROR(IF(D321="SINAPI-S",VLOOKUP(B321,'20-B.SINAPI-S'!A:J,5,0),IF(D321="SINAPI-I",VLOOKUP(B321,'20-A.SINAPI-I'!A:G,6,0),IF(D321="COMPOSIÇÕES",VLOOKUP(B321,'11.COMPOSIÇÕES GERAIS'!B:I,7,0),0))),"Em Elaboração")</f>
        <v>32.7</v>
      </c>
      <c r="I321" s="241">
        <f>IFERROR(IF(D321="SINAPI-S",VLOOKUP(B321,'20-B.SINAPI-S'!A:J,6,0),IF(D321="SINAPI-I",VLOOKUP(B321,'20-A.SINAPI-I'!A:G,7,0),IF(D321="COMPOSIÇÕES",VLOOKUP(B321,'11.COMPOSIÇÕES GERAIS'!B:I,8,0),VLOOKUP(B321,'12.COT.MERCADO'!A:I,8,0)))),"Em Elaboração")</f>
        <v>361.95</v>
      </c>
      <c r="J321" s="241">
        <f t="shared" si="112"/>
        <v>38.38728112</v>
      </c>
      <c r="K321" s="241">
        <f t="shared" si="113"/>
        <v>423.9645531</v>
      </c>
      <c r="L321" s="241">
        <f t="shared" si="114"/>
        <v>462.3518342</v>
      </c>
      <c r="M321" s="241">
        <f t="shared" si="115"/>
        <v>38.38728112</v>
      </c>
      <c r="N321" s="241">
        <f t="shared" si="116"/>
        <v>423.9645531</v>
      </c>
      <c r="O321" s="241">
        <f t="shared" si="117"/>
        <v>462.3518342</v>
      </c>
      <c r="P321" s="242">
        <f t="shared" si="2"/>
        <v>0.0003616859292</v>
      </c>
    </row>
    <row r="322">
      <c r="A322" s="236" t="s">
        <v>446</v>
      </c>
      <c r="B322" s="237" t="str">
        <f>' 19.ARRED_HIST_CONSOLIDADO_E_ME'!H221</f>
        <v>MAN_PR_063</v>
      </c>
      <c r="C322" s="238" t="str">
        <f t="shared" si="111"/>
        <v>PRÓPRIO</v>
      </c>
      <c r="D322" s="243" t="s">
        <v>230</v>
      </c>
      <c r="E322" s="239" t="str">
        <f>IFERROR(IF(D322="SINAPI-S",VLOOKUP(B322,'20-B.SINAPI-S'!A:J,2,0),IF(D322="SINAPI-I",VLOOKUP(B322,'20-A.SINAPI-I'!A:G,2,0),IF(D322="COMPOSIÇÕES",VLOOKUP(B322,'11.COMPOSIÇÕES GERAIS'!B:I,2,0),VLOOKUP(B322,'12.COT.MERCADO'!A:I,2,0)))),"Em Elaboração")</f>
        <v>CERCA ELÉTRICA INDUSTRIAL INCLUSIVE FIXAÇÃO, CENTRAL DE CHOQUE, BATERIA, SIRENE,HASTES, ATERRAMENTO, FIOS E PLACAS DE ATENÇÃO</v>
      </c>
      <c r="F322" s="240" t="str">
        <f>IFERROR(IF(D322="SINAPI-S",VLOOKUP(B322,'20-B.SINAPI-S'!A:J,3,0),IF(D322="SINAPI-I",VLOOKUP(B322,'20-A.SINAPI-I'!A:G,3,0),IF(D322="COMPOSIÇÕES",VLOOKUP(B322,'11.COMPOSIÇÕES GERAIS'!B:I,3,0),VLOOKUP(B322,'12.COT.MERCADO'!A:I,7,0)))),"Em Elaboração")</f>
        <v>M</v>
      </c>
      <c r="G322" s="244">
        <f>VLOOKUP(B322,' 19.ARRED_HIST_CONSOLIDADO_E_ME'!H:O,8,0)</f>
        <v>1</v>
      </c>
      <c r="H322" s="241">
        <f>IFERROR(IF(D322="SINAPI-S",VLOOKUP(B322,'20-B.SINAPI-S'!A:J,5,0),IF(D322="SINAPI-I",VLOOKUP(B322,'20-A.SINAPI-I'!A:G,6,0),IF(D322="COMPOSIÇÕES",VLOOKUP(B322,'11.COMPOSIÇÕES GERAIS'!B:I,7,0),0))),"Em Elaboração")</f>
        <v>10.54912</v>
      </c>
      <c r="I322" s="241">
        <f>IFERROR(IF(D322="SINAPI-S",VLOOKUP(B322,'20-B.SINAPI-S'!A:J,6,0),IF(D322="SINAPI-I",VLOOKUP(B322,'20-A.SINAPI-I'!A:G,7,0),IF(D322="COMPOSIÇÕES",VLOOKUP(B322,'11.COMPOSIÇÕES GERAIS'!B:I,8,0),VLOOKUP(B322,'12.COT.MERCADO'!A:I,8,0)))),"Em Elaboração")</f>
        <v>16.76027</v>
      </c>
      <c r="J322" s="241">
        <f t="shared" si="112"/>
        <v>12.38385428</v>
      </c>
      <c r="K322" s="241">
        <f t="shared" si="113"/>
        <v>19.63188391</v>
      </c>
      <c r="L322" s="241">
        <f t="shared" si="114"/>
        <v>32.01573819</v>
      </c>
      <c r="M322" s="241">
        <f t="shared" si="115"/>
        <v>12.38385428</v>
      </c>
      <c r="N322" s="241">
        <f t="shared" si="116"/>
        <v>19.63188391</v>
      </c>
      <c r="O322" s="241">
        <f t="shared" si="117"/>
        <v>32.01573819</v>
      </c>
      <c r="P322" s="242">
        <f t="shared" si="2"/>
        <v>0.00002504508722</v>
      </c>
    </row>
    <row r="323">
      <c r="A323" s="236" t="s">
        <v>447</v>
      </c>
      <c r="B323" s="237">
        <f>' 19.ARRED_HIST_CONSOLIDADO_E_ME'!H222</f>
        <v>87398</v>
      </c>
      <c r="C323" s="238" t="str">
        <f t="shared" si="111"/>
        <v>SINAPI</v>
      </c>
      <c r="D323" s="238" t="s">
        <v>218</v>
      </c>
      <c r="E323" s="239" t="str">
        <f>IFERROR(IF(D323="SINAPI-S",VLOOKUP(B323,'20-B.SINAPI-S'!A:J,2,0),IF(D323="SINAPI-I",VLOOKUP(B323,'20-A.SINAPI-I'!A:G,2,0),IF(D323="COMPOSIÇÕES",VLOOKUP(B323,'11.COMPOSIÇÕES GERAIS'!B:I,2,0),VLOOKUP(B323,'12.COT.MERCADO'!A:I,2,0)))),"Em Elaboração")</f>
        <v>ARGAMASSA INDUSTRIALIZADA MULTIUSO PARA REVESTIMENTOS E ASSENTAMENTO DA ALVENARIA, PREPARO MANUAL. AF_08/2019</v>
      </c>
      <c r="F323" s="240" t="str">
        <f>IFERROR(IF(D323="SINAPI-S",VLOOKUP(B323,'20-B.SINAPI-S'!A:J,3,0),IF(D323="SINAPI-I",VLOOKUP(B323,'20-A.SINAPI-I'!A:G,3,0),IF(D323="COMPOSIÇÕES",VLOOKUP(B323,'11.COMPOSIÇÕES GERAIS'!B:I,3,0),VLOOKUP(B323,'12.COT.MERCADO'!A:I,7,0)))),"Em Elaboração")</f>
        <v>M3</v>
      </c>
      <c r="G323" s="244">
        <f>VLOOKUP(B323,' 19.ARRED_HIST_CONSOLIDADO_E_ME'!H:O,8,0)</f>
        <v>1</v>
      </c>
      <c r="H323" s="241">
        <f>IFERROR(IF(D323="SINAPI-S",VLOOKUP(B323,'20-B.SINAPI-S'!A:J,5,0),IF(D323="SINAPI-I",VLOOKUP(B323,'20-A.SINAPI-I'!A:G,6,0),IF(D323="COMPOSIÇÕES",VLOOKUP(B323,'11.COMPOSIÇÕES GERAIS'!B:I,7,0),0))),"Em Elaboração")</f>
        <v>219.3</v>
      </c>
      <c r="I323" s="241">
        <f>IFERROR(IF(D323="SINAPI-S",VLOOKUP(B323,'20-B.SINAPI-S'!A:J,6,0),IF(D323="SINAPI-I",VLOOKUP(B323,'20-A.SINAPI-I'!A:G,7,0),IF(D323="COMPOSIÇÕES",VLOOKUP(B323,'11.COMPOSIÇÕES GERAIS'!B:I,8,0),VLOOKUP(B323,'12.COT.MERCADO'!A:I,8,0)))),"Em Elaboração")</f>
        <v>1590.05</v>
      </c>
      <c r="J323" s="241">
        <f t="shared" si="112"/>
        <v>257.4413073</v>
      </c>
      <c r="K323" s="241">
        <f t="shared" si="113"/>
        <v>1862.480557</v>
      </c>
      <c r="L323" s="241">
        <f t="shared" si="114"/>
        <v>2119.921864</v>
      </c>
      <c r="M323" s="241">
        <f t="shared" si="115"/>
        <v>257.4413073</v>
      </c>
      <c r="N323" s="241">
        <f t="shared" si="116"/>
        <v>1862.480557</v>
      </c>
      <c r="O323" s="241">
        <f t="shared" si="117"/>
        <v>2119.921864</v>
      </c>
      <c r="P323" s="242">
        <f t="shared" si="2"/>
        <v>0.001658360263</v>
      </c>
    </row>
    <row r="324">
      <c r="A324" s="236" t="s">
        <v>448</v>
      </c>
      <c r="B324" s="237">
        <f>' 19.ARRED_HIST_CONSOLIDADO_E_ME'!H223</f>
        <v>5795</v>
      </c>
      <c r="C324" s="238" t="str">
        <f t="shared" si="111"/>
        <v>SINAPI</v>
      </c>
      <c r="D324" s="238" t="s">
        <v>218</v>
      </c>
      <c r="E324" s="239" t="str">
        <f>IFERROR(IF(D324="SINAPI-S",VLOOKUP(B324,'20-B.SINAPI-S'!A:J,2,0),IF(D324="SINAPI-I",VLOOKUP(B324,'20-A.SINAPI-I'!A:G,2,0),IF(D324="COMPOSIÇÕES",VLOOKUP(B324,'11.COMPOSIÇÕES GERAIS'!B:I,2,0),VLOOKUP(B324,'12.COT.MERCADO'!A:I,2,0)))),"Em Elaboração")</f>
        <v>MARTELETE OU ROMPEDOR PNEUMÁTICO MANUAL, 28 KG, COM SILENCIADOR - CHP DIURNO. AF_07/2016</v>
      </c>
      <c r="F324" s="240" t="str">
        <f>IFERROR(IF(D324="SINAPI-S",VLOOKUP(B324,'20-B.SINAPI-S'!A:J,3,0),IF(D324="SINAPI-I",VLOOKUP(B324,'20-A.SINAPI-I'!A:G,3,0),IF(D324="COMPOSIÇÕES",VLOOKUP(B324,'11.COMPOSIÇÕES GERAIS'!B:I,3,0),VLOOKUP(B324,'12.COT.MERCADO'!A:I,7,0)))),"Em Elaboração")</f>
        <v>CHP</v>
      </c>
      <c r="G324" s="244">
        <f>VLOOKUP(B324,' 19.ARRED_HIST_CONSOLIDADO_E_ME'!H:O,8,0)</f>
        <v>1</v>
      </c>
      <c r="H324" s="241">
        <f>IFERROR(IF(D324="SINAPI-S",VLOOKUP(B324,'20-B.SINAPI-S'!A:J,5,0),IF(D324="SINAPI-I",VLOOKUP(B324,'20-A.SINAPI-I'!A:G,6,0),IF(D324="COMPOSIÇÕES",VLOOKUP(B324,'11.COMPOSIÇÕES GERAIS'!B:I,7,0),0))),"Em Elaboração")</f>
        <v>19.8</v>
      </c>
      <c r="I324" s="241">
        <f>IFERROR(IF(D324="SINAPI-S",VLOOKUP(B324,'20-B.SINAPI-S'!A:J,6,0),IF(D324="SINAPI-I",VLOOKUP(B324,'20-A.SINAPI-I'!A:G,7,0),IF(D324="COMPOSIÇÕES",VLOOKUP(B324,'11.COMPOSIÇÕES GERAIS'!B:I,8,0),VLOOKUP(B324,'12.COT.MERCADO'!A:I,8,0)))),"Em Elaboração")</f>
        <v>9.64</v>
      </c>
      <c r="J324" s="241">
        <f t="shared" si="112"/>
        <v>23.24367481</v>
      </c>
      <c r="K324" s="241">
        <f t="shared" si="113"/>
        <v>11.2916654</v>
      </c>
      <c r="L324" s="241">
        <f t="shared" si="114"/>
        <v>34.53534021</v>
      </c>
      <c r="M324" s="241">
        <f t="shared" si="115"/>
        <v>23.24367481</v>
      </c>
      <c r="N324" s="241">
        <f t="shared" si="116"/>
        <v>11.2916654</v>
      </c>
      <c r="O324" s="241">
        <f t="shared" si="117"/>
        <v>34.53534021</v>
      </c>
      <c r="P324" s="242">
        <f t="shared" si="2"/>
        <v>0.00002701610697</v>
      </c>
    </row>
    <row r="325">
      <c r="A325" s="236" t="s">
        <v>449</v>
      </c>
      <c r="B325" s="237">
        <f>' 19.ARRED_HIST_CONSOLIDADO_E_ME'!H224</f>
        <v>102608</v>
      </c>
      <c r="C325" s="238" t="str">
        <f t="shared" si="111"/>
        <v>SINAPI</v>
      </c>
      <c r="D325" s="238" t="s">
        <v>218</v>
      </c>
      <c r="E325" s="239" t="str">
        <f>IFERROR(IF(D325="SINAPI-S",VLOOKUP(B325,'20-B.SINAPI-S'!A:J,2,0),IF(D325="SINAPI-I",VLOOKUP(B325,'20-A.SINAPI-I'!A:G,2,0),IF(D325="COMPOSIÇÕES",VLOOKUP(B325,'11.COMPOSIÇÕES GERAIS'!B:I,2,0),VLOOKUP(B325,'12.COT.MERCADO'!A:I,2,0)))),"Em Elaboração")</f>
        <v>CAIXA D´ÁGUA EM POLIETILENO, 1500 LITROS - FORNECIMENTO E INSTALAÇÃO. AF_06/2021</v>
      </c>
      <c r="F325" s="240" t="str">
        <f>IFERROR(IF(D325="SINAPI-S",VLOOKUP(B325,'20-B.SINAPI-S'!A:J,3,0),IF(D325="SINAPI-I",VLOOKUP(B325,'20-A.SINAPI-I'!A:G,3,0),IF(D325="COMPOSIÇÕES",VLOOKUP(B325,'11.COMPOSIÇÕES GERAIS'!B:I,3,0),VLOOKUP(B325,'12.COT.MERCADO'!A:I,7,0)))),"Em Elaboração")</f>
        <v>UN</v>
      </c>
      <c r="G325" s="244">
        <f>VLOOKUP(B325,' 19.ARRED_HIST_CONSOLIDADO_E_ME'!H:O,8,0)</f>
        <v>1</v>
      </c>
      <c r="H325" s="241">
        <f>IFERROR(IF(D325="SINAPI-S",VLOOKUP(B325,'20-B.SINAPI-S'!A:J,5,0),IF(D325="SINAPI-I",VLOOKUP(B325,'20-A.SINAPI-I'!A:G,6,0),IF(D325="COMPOSIÇÕES",VLOOKUP(B325,'11.COMPOSIÇÕES GERAIS'!B:I,7,0),0))),"Em Elaboração")</f>
        <v>8.7</v>
      </c>
      <c r="I325" s="241">
        <f>IFERROR(IF(D325="SINAPI-S",VLOOKUP(B325,'20-B.SINAPI-S'!A:J,6,0),IF(D325="SINAPI-I",VLOOKUP(B325,'20-A.SINAPI-I'!A:G,7,0),IF(D325="COMPOSIÇÕES",VLOOKUP(B325,'11.COMPOSIÇÕES GERAIS'!B:I,8,0),VLOOKUP(B325,'12.COT.MERCADO'!A:I,8,0)))),"Em Elaboração")</f>
        <v>1096.28</v>
      </c>
      <c r="J325" s="241">
        <f t="shared" si="112"/>
        <v>10.21312984</v>
      </c>
      <c r="K325" s="241">
        <f t="shared" si="113"/>
        <v>1284.110679</v>
      </c>
      <c r="L325" s="241">
        <f t="shared" si="114"/>
        <v>1294.323809</v>
      </c>
      <c r="M325" s="241">
        <f t="shared" si="115"/>
        <v>10.21312984</v>
      </c>
      <c r="N325" s="241">
        <f t="shared" si="116"/>
        <v>1284.110679</v>
      </c>
      <c r="O325" s="241">
        <f t="shared" si="117"/>
        <v>1294.323809</v>
      </c>
      <c r="P325" s="242">
        <f t="shared" si="2"/>
        <v>0.001012516172</v>
      </c>
    </row>
    <row r="326">
      <c r="A326" s="236" t="s">
        <v>450</v>
      </c>
      <c r="B326" s="237">
        <f>' 19.ARRED_HIST_CONSOLIDADO_E_ME'!H225</f>
        <v>89724</v>
      </c>
      <c r="C326" s="238" t="str">
        <f t="shared" si="111"/>
        <v>SINAPI</v>
      </c>
      <c r="D326" s="238" t="s">
        <v>218</v>
      </c>
      <c r="E326" s="239" t="str">
        <f>IFERROR(IF(D326="SINAPI-S",VLOOKUP(B326,'20-B.SINAPI-S'!A:J,2,0),IF(D326="SINAPI-I",VLOOKUP(B326,'20-A.SINAPI-I'!A:G,2,0),IF(D326="COMPOSIÇÕES",VLOOKUP(B326,'11.COMPOSIÇÕES GERAIS'!B:I,2,0),VLOOKUP(B326,'12.COT.MERCADO'!A:I,2,0)))),"Em Elaboração")</f>
        <v>JOELHO 90 GRAUS, PVC, SERIE NORMAL, ESGOTO PREDIAL, DN 40 MM, JUNTA SOLDÁVEL, FORNECIDO E INSTALADO EM RAMAL DE DESCARGA OU RAMAL DE ESGOTO SANITÁRIO. AF_08/2022</v>
      </c>
      <c r="F326" s="240" t="str">
        <f>IFERROR(IF(D326="SINAPI-S",VLOOKUP(B326,'20-B.SINAPI-S'!A:J,3,0),IF(D326="SINAPI-I",VLOOKUP(B326,'20-A.SINAPI-I'!A:G,3,0),IF(D326="COMPOSIÇÕES",VLOOKUP(B326,'11.COMPOSIÇÕES GERAIS'!B:I,3,0),VLOOKUP(B326,'12.COT.MERCADO'!A:I,7,0)))),"Em Elaboração")</f>
        <v>UN</v>
      </c>
      <c r="G326" s="244">
        <f>VLOOKUP(B326,' 19.ARRED_HIST_CONSOLIDADO_E_ME'!H:O,8,0)</f>
        <v>1</v>
      </c>
      <c r="H326" s="241">
        <f>IFERROR(IF(D326="SINAPI-S",VLOOKUP(B326,'20-B.SINAPI-S'!A:J,5,0),IF(D326="SINAPI-I",VLOOKUP(B326,'20-A.SINAPI-I'!A:G,6,0),IF(D326="COMPOSIÇÕES",VLOOKUP(B326,'11.COMPOSIÇÕES GERAIS'!B:I,7,0),0))),"Em Elaboração")</f>
        <v>5.52</v>
      </c>
      <c r="I326" s="241">
        <f>IFERROR(IF(D326="SINAPI-S",VLOOKUP(B326,'20-B.SINAPI-S'!A:J,6,0),IF(D326="SINAPI-I",VLOOKUP(B326,'20-A.SINAPI-I'!A:G,7,0),IF(D326="COMPOSIÇÕES",VLOOKUP(B326,'11.COMPOSIÇÕES GERAIS'!B:I,8,0),VLOOKUP(B326,'12.COT.MERCADO'!A:I,8,0)))),"Em Elaboração")</f>
        <v>6.1</v>
      </c>
      <c r="J326" s="241">
        <f t="shared" si="112"/>
        <v>6.480054794</v>
      </c>
      <c r="K326" s="241">
        <f t="shared" si="113"/>
        <v>7.145140969</v>
      </c>
      <c r="L326" s="241">
        <f t="shared" si="114"/>
        <v>13.62519576</v>
      </c>
      <c r="M326" s="241">
        <f t="shared" si="115"/>
        <v>6.480054794</v>
      </c>
      <c r="N326" s="241">
        <f t="shared" si="116"/>
        <v>7.145140969</v>
      </c>
      <c r="O326" s="241">
        <f t="shared" si="117"/>
        <v>13.62519576</v>
      </c>
      <c r="P326" s="242">
        <f t="shared" si="2"/>
        <v>0.00001065863964</v>
      </c>
    </row>
    <row r="327">
      <c r="A327" s="236" t="s">
        <v>451</v>
      </c>
      <c r="B327" s="237">
        <f>' 19.ARRED_HIST_CONSOLIDADO_E_ME'!H226</f>
        <v>98110</v>
      </c>
      <c r="C327" s="238" t="str">
        <f t="shared" si="111"/>
        <v>SINAPI</v>
      </c>
      <c r="D327" s="238" t="s">
        <v>218</v>
      </c>
      <c r="E327" s="239" t="str">
        <f>IFERROR(IF(D327="SINAPI-S",VLOOKUP(B327,'20-B.SINAPI-S'!A:J,2,0),IF(D327="SINAPI-I",VLOOKUP(B327,'20-A.SINAPI-I'!A:G,2,0),IF(D327="COMPOSIÇÕES",VLOOKUP(B327,'11.COMPOSIÇÕES GERAIS'!B:I,2,0),VLOOKUP(B327,'12.COT.MERCADO'!A:I,2,0)))),"Em Elaboração")</f>
        <v>CAIXA DE GORDURA PEQUENA (CAPACIDADE: 19 L), CIRCULAR, EM PVC, DIÂMETRO INTERNO= 0,3 M. AF_12/2020</v>
      </c>
      <c r="F327" s="240" t="str">
        <f>IFERROR(IF(D327="SINAPI-S",VLOOKUP(B327,'20-B.SINAPI-S'!A:J,3,0),IF(D327="SINAPI-I",VLOOKUP(B327,'20-A.SINAPI-I'!A:G,3,0),IF(D327="COMPOSIÇÕES",VLOOKUP(B327,'11.COMPOSIÇÕES GERAIS'!B:I,3,0),VLOOKUP(B327,'12.COT.MERCADO'!A:I,7,0)))),"Em Elaboração")</f>
        <v>UN</v>
      </c>
      <c r="G327" s="244">
        <f>VLOOKUP(B327,' 19.ARRED_HIST_CONSOLIDADO_E_ME'!H:O,8,0)</f>
        <v>1</v>
      </c>
      <c r="H327" s="241">
        <f>IFERROR(IF(D327="SINAPI-S",VLOOKUP(B327,'20-B.SINAPI-S'!A:J,5,0),IF(D327="SINAPI-I",VLOOKUP(B327,'20-A.SINAPI-I'!A:G,6,0),IF(D327="COMPOSIÇÕES",VLOOKUP(B327,'11.COMPOSIÇÕES GERAIS'!B:I,7,0),0))),"Em Elaboração")</f>
        <v>12.34</v>
      </c>
      <c r="I327" s="241">
        <f>IFERROR(IF(D327="SINAPI-S",VLOOKUP(B327,'20-B.SINAPI-S'!A:J,6,0),IF(D327="SINAPI-I",VLOOKUP(B327,'20-A.SINAPI-I'!A:G,7,0),IF(D327="COMPOSIÇÕES",VLOOKUP(B327,'11.COMPOSIÇÕES GERAIS'!B:I,8,0),VLOOKUP(B327,'12.COT.MERCADO'!A:I,8,0)))),"Em Elaboração")</f>
        <v>374.75</v>
      </c>
      <c r="J327" s="241">
        <f t="shared" si="112"/>
        <v>14.48620945</v>
      </c>
      <c r="K327" s="241">
        <f t="shared" si="113"/>
        <v>438.9576358</v>
      </c>
      <c r="L327" s="241">
        <f t="shared" si="114"/>
        <v>453.4438452</v>
      </c>
      <c r="M327" s="241">
        <f t="shared" si="115"/>
        <v>14.48620945</v>
      </c>
      <c r="N327" s="241">
        <f t="shared" si="116"/>
        <v>438.9576358</v>
      </c>
      <c r="O327" s="241">
        <f t="shared" si="117"/>
        <v>453.4438452</v>
      </c>
      <c r="P327" s="242">
        <f t="shared" si="2"/>
        <v>0.0003547174389</v>
      </c>
    </row>
    <row r="328">
      <c r="A328" s="236" t="s">
        <v>452</v>
      </c>
      <c r="B328" s="237">
        <f>' 19.ARRED_HIST_CONSOLIDADO_E_ME'!H227</f>
        <v>104395</v>
      </c>
      <c r="C328" s="238" t="str">
        <f t="shared" si="111"/>
        <v>SINAPI</v>
      </c>
      <c r="D328" s="238" t="s">
        <v>218</v>
      </c>
      <c r="E328" s="239" t="str">
        <f>IFERROR(IF(D328="SINAPI-S",VLOOKUP(B328,'20-B.SINAPI-S'!A:J,2,0),IF(D328="SINAPI-I",VLOOKUP(B328,'20-A.SINAPI-I'!A:G,2,0),IF(D328="COMPOSIÇÕES",VLOOKUP(B328,'11.COMPOSIÇÕES GERAIS'!B:I,2,0),VLOOKUP(B328,'12.COT.MERCADO'!A:I,2,0)))),"Em Elaboração")</f>
        <v>CONDULETE DE PVC, TIPO E, PARA ELETRODUTO DE PVC SOLDÁVEL DN 20 MM (1/2''), APARENTE - FORNECIMENTO E INSTALAÇÃO. AF_10/2022</v>
      </c>
      <c r="F328" s="240" t="str">
        <f>IFERROR(IF(D328="SINAPI-S",VLOOKUP(B328,'20-B.SINAPI-S'!A:J,3,0),IF(D328="SINAPI-I",VLOOKUP(B328,'20-A.SINAPI-I'!A:G,3,0),IF(D328="COMPOSIÇÕES",VLOOKUP(B328,'11.COMPOSIÇÕES GERAIS'!B:I,3,0),VLOOKUP(B328,'12.COT.MERCADO'!A:I,7,0)))),"Em Elaboração")</f>
        <v>UN</v>
      </c>
      <c r="G328" s="244">
        <f>VLOOKUP(B328,' 19.ARRED_HIST_CONSOLIDADO_E_ME'!H:O,8,0)</f>
        <v>2</v>
      </c>
      <c r="H328" s="241">
        <f>IFERROR(IF(D328="SINAPI-S",VLOOKUP(B328,'20-B.SINAPI-S'!A:J,5,0),IF(D328="SINAPI-I",VLOOKUP(B328,'20-A.SINAPI-I'!A:G,6,0),IF(D328="COMPOSIÇÕES",VLOOKUP(B328,'11.COMPOSIÇÕES GERAIS'!B:I,7,0),0))),"Em Elaboração")</f>
        <v>9.51</v>
      </c>
      <c r="I328" s="241">
        <f>IFERROR(IF(D328="SINAPI-S",VLOOKUP(B328,'20-B.SINAPI-S'!A:J,6,0),IF(D328="SINAPI-I",VLOOKUP(B328,'20-A.SINAPI-I'!A:G,7,0),IF(D328="COMPOSIÇÕES",VLOOKUP(B328,'11.COMPOSIÇÕES GERAIS'!B:I,8,0),VLOOKUP(B328,'12.COT.MERCADO'!A:I,8,0)))),"Em Elaboração")</f>
        <v>17.24</v>
      </c>
      <c r="J328" s="241">
        <f t="shared" si="112"/>
        <v>11.16400744</v>
      </c>
      <c r="K328" s="241">
        <f t="shared" si="113"/>
        <v>20.19380825</v>
      </c>
      <c r="L328" s="241">
        <f t="shared" si="114"/>
        <v>31.35781569</v>
      </c>
      <c r="M328" s="241">
        <f t="shared" si="115"/>
        <v>22.32801489</v>
      </c>
      <c r="N328" s="241">
        <f t="shared" si="116"/>
        <v>40.3876165</v>
      </c>
      <c r="O328" s="241">
        <f t="shared" si="117"/>
        <v>62.71563138</v>
      </c>
      <c r="P328" s="242">
        <f t="shared" si="2"/>
        <v>0.0000490608228</v>
      </c>
    </row>
    <row r="329">
      <c r="A329" s="236" t="s">
        <v>453</v>
      </c>
      <c r="B329" s="237">
        <f>' 19.ARRED_HIST_CONSOLIDADO_E_ME'!H228</f>
        <v>91884</v>
      </c>
      <c r="C329" s="238" t="str">
        <f t="shared" si="111"/>
        <v>SINAPI</v>
      </c>
      <c r="D329" s="238" t="s">
        <v>218</v>
      </c>
      <c r="E329" s="239" t="str">
        <f>IFERROR(IF(D329="SINAPI-S",VLOOKUP(B329,'20-B.SINAPI-S'!A:J,2,0),IF(D329="SINAPI-I",VLOOKUP(B329,'20-A.SINAPI-I'!A:G,2,0),IF(D329="COMPOSIÇÕES",VLOOKUP(B329,'11.COMPOSIÇÕES GERAIS'!B:I,2,0),VLOOKUP(B329,'12.COT.MERCADO'!A:I,2,0)))),"Em Elaboração")</f>
        <v>LUVA PARA ELETRODUTO, PVC, ROSCÁVEL, DN 25 MM (3/4"), PARA CIRCUITOS TERMINAIS, INSTALADA EM PAREDE - FORNECIMENTO E INSTALAÇÃO. AF_03/2023</v>
      </c>
      <c r="F329" s="240" t="str">
        <f>IFERROR(IF(D329="SINAPI-S",VLOOKUP(B329,'20-B.SINAPI-S'!A:J,3,0),IF(D329="SINAPI-I",VLOOKUP(B329,'20-A.SINAPI-I'!A:G,3,0),IF(D329="COMPOSIÇÕES",VLOOKUP(B329,'11.COMPOSIÇÕES GERAIS'!B:I,3,0),VLOOKUP(B329,'12.COT.MERCADO'!A:I,7,0)))),"Em Elaboração")</f>
        <v>UN</v>
      </c>
      <c r="G329" s="244">
        <f>VLOOKUP(B329,' 19.ARRED_HIST_CONSOLIDADO_E_ME'!H:O,8,0)</f>
        <v>2</v>
      </c>
      <c r="H329" s="241">
        <f>IFERROR(IF(D329="SINAPI-S",VLOOKUP(B329,'20-B.SINAPI-S'!A:J,5,0),IF(D329="SINAPI-I",VLOOKUP(B329,'20-A.SINAPI-I'!A:G,6,0),IF(D329="COMPOSIÇÕES",VLOOKUP(B329,'11.COMPOSIÇÕES GERAIS'!B:I,7,0),0))),"Em Elaboração")</f>
        <v>8.77</v>
      </c>
      <c r="I329" s="241">
        <f>IFERROR(IF(D329="SINAPI-S",VLOOKUP(B329,'20-B.SINAPI-S'!A:J,6,0),IF(D329="SINAPI-I",VLOOKUP(B329,'20-A.SINAPI-I'!A:G,7,0),IF(D329="COMPOSIÇÕES",VLOOKUP(B329,'11.COMPOSIÇÕES GERAIS'!B:I,8,0),VLOOKUP(B329,'12.COT.MERCADO'!A:I,8,0)))),"Em Elaboração")</f>
        <v>4.73</v>
      </c>
      <c r="J329" s="241">
        <f t="shared" si="112"/>
        <v>10.29530445</v>
      </c>
      <c r="K329" s="241">
        <f t="shared" si="113"/>
        <v>5.540412588</v>
      </c>
      <c r="L329" s="241">
        <f t="shared" si="114"/>
        <v>15.83571703</v>
      </c>
      <c r="M329" s="241">
        <f t="shared" si="115"/>
        <v>20.59060889</v>
      </c>
      <c r="N329" s="241">
        <f t="shared" si="116"/>
        <v>11.08082518</v>
      </c>
      <c r="O329" s="241">
        <f t="shared" si="117"/>
        <v>31.67143407</v>
      </c>
      <c r="P329" s="242">
        <f t="shared" si="2"/>
        <v>0.00002477574698</v>
      </c>
    </row>
    <row r="330">
      <c r="A330" s="236" t="s">
        <v>454</v>
      </c>
      <c r="B330" s="237" t="str">
        <f>' 19.ARRED_HIST_CONSOLIDADO_E_ME'!H229</f>
        <v>MAN_PR_060</v>
      </c>
      <c r="C330" s="238" t="str">
        <f t="shared" si="111"/>
        <v>PRÓPRIO</v>
      </c>
      <c r="D330" s="243" t="s">
        <v>230</v>
      </c>
      <c r="E330" s="239" t="str">
        <f>IFERROR(IF(D330="SINAPI-S",VLOOKUP(B330,'20-B.SINAPI-S'!A:J,2,0),IF(D330="SINAPI-I",VLOOKUP(B330,'20-A.SINAPI-I'!A:G,2,0),IF(D330="COMPOSIÇÕES",VLOOKUP(B330,'11.COMPOSIÇÕES GERAIS'!B:I,2,0),VLOOKUP(B330,'12.COT.MERCADO'!A:I,2,0)))),"Em Elaboração")</f>
        <v>CONECTOR PARA CABOS 4MM2 3 VIAS. REF. WAGO 221-413 OU SIMILAR</v>
      </c>
      <c r="F330" s="240" t="str">
        <f>IFERROR(IF(D330="SINAPI-S",VLOOKUP(B330,'20-B.SINAPI-S'!A:J,3,0),IF(D330="SINAPI-I",VLOOKUP(B330,'20-A.SINAPI-I'!A:G,3,0),IF(D330="COMPOSIÇÕES",VLOOKUP(B330,'11.COMPOSIÇÕES GERAIS'!B:I,3,0),VLOOKUP(B330,'12.COT.MERCADO'!A:I,7,0)))),"Em Elaboração")</f>
        <v>UN</v>
      </c>
      <c r="G330" s="244">
        <f>VLOOKUP(B330,' 19.ARRED_HIST_CONSOLIDADO_E_ME'!H:O,8,0)</f>
        <v>43</v>
      </c>
      <c r="H330" s="241">
        <f>IFERROR(IF(D330="SINAPI-S",VLOOKUP(B330,'20-B.SINAPI-S'!A:J,5,0),IF(D330="SINAPI-I",VLOOKUP(B330,'20-A.SINAPI-I'!A:G,6,0),IF(D330="COMPOSIÇÕES",VLOOKUP(B330,'11.COMPOSIÇÕES GERAIS'!B:I,7,0),0))),"Em Elaboração")</f>
        <v>7.383143</v>
      </c>
      <c r="I330" s="241">
        <f>IFERROR(IF(D330="SINAPI-S",VLOOKUP(B330,'20-B.SINAPI-S'!A:J,6,0),IF(D330="SINAPI-I",VLOOKUP(B330,'20-A.SINAPI-I'!A:G,7,0),IF(D330="COMPOSIÇÕES",VLOOKUP(B330,'11.COMPOSIÇÕES GERAIS'!B:I,8,0),VLOOKUP(B330,'12.COT.MERCADO'!A:I,8,0)))),"Em Elaboração")</f>
        <v>5.360524</v>
      </c>
      <c r="J330" s="241">
        <f t="shared" si="112"/>
        <v>8.667241159</v>
      </c>
      <c r="K330" s="241">
        <f t="shared" si="113"/>
        <v>6.278967156</v>
      </c>
      <c r="L330" s="241">
        <f t="shared" si="114"/>
        <v>14.94620831</v>
      </c>
      <c r="M330" s="241">
        <f t="shared" si="115"/>
        <v>372.6913698</v>
      </c>
      <c r="N330" s="241">
        <f t="shared" si="116"/>
        <v>269.9955877</v>
      </c>
      <c r="O330" s="241">
        <f t="shared" si="117"/>
        <v>642.6869575</v>
      </c>
      <c r="P330" s="242">
        <f t="shared" si="2"/>
        <v>0.0005027574505</v>
      </c>
    </row>
    <row r="331">
      <c r="A331" s="236" t="s">
        <v>455</v>
      </c>
      <c r="B331" s="237" t="str">
        <f>' 19.ARRED_HIST_CONSOLIDADO_E_ME'!H230</f>
        <v>MAN_PR_064</v>
      </c>
      <c r="C331" s="238" t="str">
        <f t="shared" si="111"/>
        <v>PRÓPRIO</v>
      </c>
      <c r="D331" s="243" t="s">
        <v>230</v>
      </c>
      <c r="E331" s="239" t="str">
        <f>IFERROR(IF(D331="SINAPI-S",VLOOKUP(B331,'20-B.SINAPI-S'!A:J,2,0),IF(D331="SINAPI-I",VLOOKUP(B331,'20-A.SINAPI-I'!A:G,2,0),IF(D331="COMPOSIÇÕES",VLOOKUP(B331,'11.COMPOSIÇÕES GERAIS'!B:I,2,0),VLOOKUP(B331,'12.COT.MERCADO'!A:I,2,0)))),"Em Elaboração")</f>
        <v>FORNECIMENTO E INSTALAÇÃO DE CABO DE COBRE PP CORDPLAST 3 X 4,0MM2, 450/750V</v>
      </c>
      <c r="F331" s="240" t="str">
        <f>IFERROR(IF(D331="SINAPI-S",VLOOKUP(B331,'20-B.SINAPI-S'!A:J,3,0),IF(D331="SINAPI-I",VLOOKUP(B331,'20-A.SINAPI-I'!A:G,3,0),IF(D331="COMPOSIÇÕES",VLOOKUP(B331,'11.COMPOSIÇÕES GERAIS'!B:I,3,0),VLOOKUP(B331,'12.COT.MERCADO'!A:I,7,0)))),"Em Elaboração")</f>
        <v>M</v>
      </c>
      <c r="G331" s="244">
        <f>VLOOKUP(B331,' 19.ARRED_HIST_CONSOLIDADO_E_ME'!H:O,8,0)</f>
        <v>4</v>
      </c>
      <c r="H331" s="241">
        <f>IFERROR(IF(D331="SINAPI-S",VLOOKUP(B331,'20-B.SINAPI-S'!A:J,5,0),IF(D331="SINAPI-I",VLOOKUP(B331,'20-A.SINAPI-I'!A:G,6,0),IF(D331="COMPOSIÇÕES",VLOOKUP(B331,'11.COMPOSIÇÕES GERAIS'!B:I,7,0),0))),"Em Elaboração")</f>
        <v>5.7577</v>
      </c>
      <c r="I331" s="241">
        <f>IFERROR(IF(D331="SINAPI-S",VLOOKUP(B331,'20-B.SINAPI-S'!A:J,6,0),IF(D331="SINAPI-I",VLOOKUP(B331,'20-A.SINAPI-I'!A:G,7,0),IF(D331="COMPOSIÇÕES",VLOOKUP(B331,'11.COMPOSIÇÕES GERAIS'!B:I,8,0),VLOOKUP(B331,'12.COT.MERCADO'!A:I,8,0)))),"Em Elaboração")</f>
        <v>17.0172</v>
      </c>
      <c r="J331" s="241">
        <f t="shared" si="112"/>
        <v>6.759096284</v>
      </c>
      <c r="K331" s="241">
        <f t="shared" si="113"/>
        <v>19.9328349</v>
      </c>
      <c r="L331" s="241">
        <f t="shared" si="114"/>
        <v>26.69193119</v>
      </c>
      <c r="M331" s="241">
        <f t="shared" si="115"/>
        <v>27.03638514</v>
      </c>
      <c r="N331" s="241">
        <f t="shared" si="116"/>
        <v>79.73133961</v>
      </c>
      <c r="O331" s="241">
        <f t="shared" si="117"/>
        <v>106.7677247</v>
      </c>
      <c r="P331" s="242">
        <f t="shared" si="2"/>
        <v>0.0000835216406</v>
      </c>
    </row>
    <row r="332">
      <c r="A332" s="236" t="s">
        <v>456</v>
      </c>
      <c r="B332" s="237">
        <f>' 19.ARRED_HIST_CONSOLIDADO_E_ME'!H231</f>
        <v>3777</v>
      </c>
      <c r="C332" s="238" t="str">
        <f t="shared" si="111"/>
        <v>SINAPI</v>
      </c>
      <c r="D332" s="243" t="s">
        <v>286</v>
      </c>
      <c r="E332" s="239" t="str">
        <f>IFERROR(IF(D332="SINAPI-S",VLOOKUP(B332,'20-B.SINAPI-S'!A:J,2,0),IF(D332="SINAPI-I",VLOOKUP(B332,'20-A.SINAPI-I'!A:G,2,0),IF(D332="COMPOSIÇÕES",VLOOKUP(B332,'11.COMPOSIÇÕES GERAIS'!B:I,2,0),VLOOKUP(B332,'12.COT.MERCADO'!A:I,2,0)))),"Em Elaboração")</f>
        <v>LONA PLASTICA PESADA PRETA, E = 150 MICRA</v>
      </c>
      <c r="F332" s="240" t="str">
        <f>IFERROR(IF(D332="SINAPI-S",VLOOKUP(B332,'20-B.SINAPI-S'!A:J,3,0),IF(D332="SINAPI-I",VLOOKUP(B332,'20-A.SINAPI-I'!A:G,3,0),IF(D332="COMPOSIÇÕES",VLOOKUP(B332,'11.COMPOSIÇÕES GERAIS'!B:I,3,0),VLOOKUP(B332,'12.COT.MERCADO'!A:I,7,0)))),"Em Elaboração")</f>
        <v>M2</v>
      </c>
      <c r="G332" s="244">
        <f>VLOOKUP(B332,' 19.ARRED_HIST_CONSOLIDADO_E_ME'!H:O,8,0)</f>
        <v>43</v>
      </c>
      <c r="H332" s="241">
        <f>IFERROR(IF(D332="SINAPI-S",VLOOKUP(B332,'20-B.SINAPI-S'!A:J,5,0),IF(D332="SINAPI-I",VLOOKUP(B332,'20-A.SINAPI-I'!A:G,6,0),IF(D332="COMPOSIÇÕES",VLOOKUP(B332,'11.COMPOSIÇÕES GERAIS'!B:I,7,0),0))),"Em Elaboração")</f>
        <v>0</v>
      </c>
      <c r="I332" s="241">
        <f>IFERROR(IF(D332="SINAPI-S",VLOOKUP(B332,'20-B.SINAPI-S'!A:J,6,0),IF(D332="SINAPI-I",VLOOKUP(B332,'20-A.SINAPI-I'!A:G,7,0),IF(D332="COMPOSIÇÕES",VLOOKUP(B332,'11.COMPOSIÇÕES GERAIS'!B:I,8,0),VLOOKUP(B332,'12.COT.MERCADO'!A:I,8,0)))),"Em Elaboração")</f>
        <v>1.62</v>
      </c>
      <c r="J332" s="241">
        <f t="shared" si="112"/>
        <v>0</v>
      </c>
      <c r="K332" s="241">
        <f t="shared" si="113"/>
        <v>1.897562028</v>
      </c>
      <c r="L332" s="241">
        <f t="shared" si="114"/>
        <v>1.897562028</v>
      </c>
      <c r="M332" s="241">
        <f t="shared" si="115"/>
        <v>0</v>
      </c>
      <c r="N332" s="241">
        <f t="shared" si="116"/>
        <v>81.5951672</v>
      </c>
      <c r="O332" s="241">
        <f t="shared" si="117"/>
        <v>81.5951672</v>
      </c>
      <c r="P332" s="242">
        <f t="shared" si="2"/>
        <v>0.00006382979731</v>
      </c>
    </row>
    <row r="333">
      <c r="A333" s="236" t="s">
        <v>457</v>
      </c>
      <c r="B333" s="237">
        <f>' 19.ARRED_HIST_CONSOLIDADO_E_ME'!H232</f>
        <v>92273</v>
      </c>
      <c r="C333" s="238" t="str">
        <f t="shared" si="111"/>
        <v>SINAPI</v>
      </c>
      <c r="D333" s="238" t="s">
        <v>218</v>
      </c>
      <c r="E333" s="239" t="str">
        <f>IFERROR(IF(D333="SINAPI-S",VLOOKUP(B333,'20-B.SINAPI-S'!A:J,2,0),IF(D333="SINAPI-I",VLOOKUP(B333,'20-A.SINAPI-I'!A:G,2,0),IF(D333="COMPOSIÇÕES",VLOOKUP(B333,'11.COMPOSIÇÕES GERAIS'!B:I,2,0),VLOOKUP(B333,'12.COT.MERCADO'!A:I,2,0)))),"Em Elaboração")</f>
        <v>FABRICAÇÃO DE ESCORAS DO TIPO PONTALETE, EM MADEIRA, PARA PÉ-DIREITO SIMPLES. AF_09/2020</v>
      </c>
      <c r="F333" s="240" t="str">
        <f>IFERROR(IF(D333="SINAPI-S",VLOOKUP(B333,'20-B.SINAPI-S'!A:J,3,0),IF(D333="SINAPI-I",VLOOKUP(B333,'20-A.SINAPI-I'!A:G,3,0),IF(D333="COMPOSIÇÕES",VLOOKUP(B333,'11.COMPOSIÇÕES GERAIS'!B:I,3,0),VLOOKUP(B333,'12.COT.MERCADO'!A:I,7,0)))),"Em Elaboração")</f>
        <v>M</v>
      </c>
      <c r="G333" s="244">
        <f>VLOOKUP(B333,' 19.ARRED_HIST_CONSOLIDADO_E_ME'!H:O,8,0)</f>
        <v>77</v>
      </c>
      <c r="H333" s="241">
        <f>IFERROR(IF(D333="SINAPI-S",VLOOKUP(B333,'20-B.SINAPI-S'!A:J,5,0),IF(D333="SINAPI-I",VLOOKUP(B333,'20-A.SINAPI-I'!A:G,6,0),IF(D333="COMPOSIÇÕES",VLOOKUP(B333,'11.COMPOSIÇÕES GERAIS'!B:I,7,0),0))),"Em Elaboração")</f>
        <v>3.52</v>
      </c>
      <c r="I333" s="241">
        <f>IFERROR(IF(D333="SINAPI-S",VLOOKUP(B333,'20-B.SINAPI-S'!A:J,6,0),IF(D333="SINAPI-I",VLOOKUP(B333,'20-A.SINAPI-I'!A:G,7,0),IF(D333="COMPOSIÇÕES",VLOOKUP(B333,'11.COMPOSIÇÕES GERAIS'!B:I,8,0),VLOOKUP(B333,'12.COT.MERCADO'!A:I,8,0)))),"Em Elaboração")</f>
        <v>10.57</v>
      </c>
      <c r="J333" s="241">
        <f t="shared" si="112"/>
        <v>4.132208854</v>
      </c>
      <c r="K333" s="241">
        <f t="shared" si="113"/>
        <v>12.38100656</v>
      </c>
      <c r="L333" s="241">
        <f t="shared" si="114"/>
        <v>16.51321542</v>
      </c>
      <c r="M333" s="241">
        <f t="shared" si="115"/>
        <v>318.1800818</v>
      </c>
      <c r="N333" s="241">
        <f t="shared" si="116"/>
        <v>953.3375055</v>
      </c>
      <c r="O333" s="241">
        <f t="shared" si="117"/>
        <v>1271.517587</v>
      </c>
      <c r="P333" s="242">
        <f t="shared" si="2"/>
        <v>0.0009946754527</v>
      </c>
    </row>
    <row r="334">
      <c r="A334" s="236" t="s">
        <v>458</v>
      </c>
      <c r="B334" s="237">
        <f>' 19.ARRED_HIST_CONSOLIDADO_E_ME'!H233</f>
        <v>95801</v>
      </c>
      <c r="C334" s="238" t="str">
        <f t="shared" si="111"/>
        <v>SINAPI</v>
      </c>
      <c r="D334" s="238" t="s">
        <v>218</v>
      </c>
      <c r="E334" s="239" t="str">
        <f>IFERROR(IF(D334="SINAPI-S",VLOOKUP(B334,'20-B.SINAPI-S'!A:J,2,0),IF(D334="SINAPI-I",VLOOKUP(B334,'20-A.SINAPI-I'!A:G,2,0),IF(D334="COMPOSIÇÕES",VLOOKUP(B334,'11.COMPOSIÇÕES GERAIS'!B:I,2,0),VLOOKUP(B334,'12.COT.MERCADO'!A:I,2,0)))),"Em Elaboração")</f>
        <v>CONDULETE DE ALUMÍNIO, TIPO X, PARA ELETRODUTO DE AÇO GALVANIZADO DN 20 MM (3/4''), APARENTE - FORNECIMENTO E INSTALAÇÃO. AF_10/2022</v>
      </c>
      <c r="F334" s="240" t="str">
        <f>IFERROR(IF(D334="SINAPI-S",VLOOKUP(B334,'20-B.SINAPI-S'!A:J,3,0),IF(D334="SINAPI-I",VLOOKUP(B334,'20-A.SINAPI-I'!A:G,3,0),IF(D334="COMPOSIÇÕES",VLOOKUP(B334,'11.COMPOSIÇÕES GERAIS'!B:I,3,0),VLOOKUP(B334,'12.COT.MERCADO'!A:I,7,0)))),"Em Elaboração")</f>
        <v>UN</v>
      </c>
      <c r="G334" s="244">
        <f>VLOOKUP(B334,' 19.ARRED_HIST_CONSOLIDADO_E_ME'!H:O,8,0)</f>
        <v>1</v>
      </c>
      <c r="H334" s="241">
        <f>IFERROR(IF(D334="SINAPI-S",VLOOKUP(B334,'20-B.SINAPI-S'!A:J,5,0),IF(D334="SINAPI-I",VLOOKUP(B334,'20-A.SINAPI-I'!A:G,6,0),IF(D334="COMPOSIÇÕES",VLOOKUP(B334,'11.COMPOSIÇÕES GERAIS'!B:I,7,0),0))),"Em Elaboração")</f>
        <v>17.75</v>
      </c>
      <c r="I334" s="241">
        <f>IFERROR(IF(D334="SINAPI-S",VLOOKUP(B334,'20-B.SINAPI-S'!A:J,6,0),IF(D334="SINAPI-I",VLOOKUP(B334,'20-A.SINAPI-I'!A:G,7,0),IF(D334="COMPOSIÇÕES",VLOOKUP(B334,'11.COMPOSIÇÕES GERAIS'!B:I,8,0),VLOOKUP(B334,'12.COT.MERCADO'!A:I,8,0)))),"Em Elaboração")</f>
        <v>28</v>
      </c>
      <c r="J334" s="241">
        <f t="shared" si="112"/>
        <v>20.83713272</v>
      </c>
      <c r="K334" s="241">
        <f t="shared" si="113"/>
        <v>32.79736838</v>
      </c>
      <c r="L334" s="241">
        <f t="shared" si="114"/>
        <v>53.6345011</v>
      </c>
      <c r="M334" s="241">
        <f t="shared" si="115"/>
        <v>20.83713272</v>
      </c>
      <c r="N334" s="241">
        <f t="shared" si="116"/>
        <v>32.79736838</v>
      </c>
      <c r="O334" s="241">
        <f t="shared" si="117"/>
        <v>53.6345011</v>
      </c>
      <c r="P334" s="242">
        <f t="shared" si="2"/>
        <v>0.00004195688852</v>
      </c>
    </row>
    <row r="335">
      <c r="A335" s="236" t="s">
        <v>459</v>
      </c>
      <c r="B335" s="237" t="str">
        <f>' 19.ARRED_HIST_CONSOLIDADO_E_ME'!H234</f>
        <v>MAN_PR_067</v>
      </c>
      <c r="C335" s="238" t="str">
        <f t="shared" si="111"/>
        <v>PRÓPRIO</v>
      </c>
      <c r="D335" s="243" t="s">
        <v>230</v>
      </c>
      <c r="E335" s="239" t="str">
        <f>IFERROR(IF(D335="SINAPI-S",VLOOKUP(B335,'20-B.SINAPI-S'!A:J,2,0),IF(D335="SINAPI-I",VLOOKUP(B335,'20-A.SINAPI-I'!A:G,2,0),IF(D335="COMPOSIÇÕES",VLOOKUP(B335,'11.COMPOSIÇÕES GERAIS'!B:I,2,0),VLOOKUP(B335,'12.COT.MERCADO'!A:I,2,0)))),"Em Elaboração")</f>
        <v>FORNECIMENTO E INSTALAÇÃO DE CONJUNTO MONTADO DE TOMADA 2P + T, ABNT, DE SOBREPOR, 20A, SISTEMA X</v>
      </c>
      <c r="F335" s="240" t="str">
        <f>IFERROR(IF(D335="SINAPI-S",VLOOKUP(B335,'20-B.SINAPI-S'!A:J,3,0),IF(D335="SINAPI-I",VLOOKUP(B335,'20-A.SINAPI-I'!A:G,3,0),IF(D335="COMPOSIÇÕES",VLOOKUP(B335,'11.COMPOSIÇÕES GERAIS'!B:I,3,0),VLOOKUP(B335,'12.COT.MERCADO'!A:I,7,0)))),"Em Elaboração")</f>
        <v>UN</v>
      </c>
      <c r="G335" s="244">
        <f>VLOOKUP(B335,' 19.ARRED_HIST_CONSOLIDADO_E_ME'!H:O,8,0)</f>
        <v>7</v>
      </c>
      <c r="H335" s="241">
        <f>IFERROR(IF(D335="SINAPI-S",VLOOKUP(B335,'20-B.SINAPI-S'!A:J,5,0),IF(D335="SINAPI-I",VLOOKUP(B335,'20-A.SINAPI-I'!A:G,6,0),IF(D335="COMPOSIÇÕES",VLOOKUP(B335,'11.COMPOSIÇÕES GERAIS'!B:I,7,0),0))),"Em Elaboração")</f>
        <v>31.003</v>
      </c>
      <c r="I335" s="241">
        <f>IFERROR(IF(D335="SINAPI-S",VLOOKUP(B335,'20-B.SINAPI-S'!A:J,6,0),IF(D335="SINAPI-I",VLOOKUP(B335,'20-A.SINAPI-I'!A:G,7,0),IF(D335="COMPOSIÇÕES",VLOOKUP(B335,'11.COMPOSIÇÕES GERAIS'!B:I,8,0),VLOOKUP(B335,'12.COT.MERCADO'!A:I,8,0)))),"Em Elaboração")</f>
        <v>21.904</v>
      </c>
      <c r="J335" s="241">
        <f t="shared" si="112"/>
        <v>36.39513384</v>
      </c>
      <c r="K335" s="241">
        <f t="shared" si="113"/>
        <v>25.65691275</v>
      </c>
      <c r="L335" s="241">
        <f t="shared" si="114"/>
        <v>62.05204659</v>
      </c>
      <c r="M335" s="241">
        <f t="shared" si="115"/>
        <v>254.7659369</v>
      </c>
      <c r="N335" s="241">
        <f t="shared" si="116"/>
        <v>179.5983893</v>
      </c>
      <c r="O335" s="241">
        <f t="shared" si="117"/>
        <v>434.3643261</v>
      </c>
      <c r="P335" s="242">
        <f t="shared" si="2"/>
        <v>0.0003397920226</v>
      </c>
    </row>
    <row r="336">
      <c r="A336" s="236" t="s">
        <v>460</v>
      </c>
      <c r="B336" s="237">
        <f>' 19.ARRED_HIST_CONSOLIDADO_E_ME'!H235</f>
        <v>39391</v>
      </c>
      <c r="C336" s="238" t="str">
        <f t="shared" si="111"/>
        <v>SINAPI</v>
      </c>
      <c r="D336" s="243" t="s">
        <v>286</v>
      </c>
      <c r="E336" s="239" t="str">
        <f>IFERROR(IF(D336="SINAPI-S",VLOOKUP(B336,'20-B.SINAPI-S'!A:J,2,0),IF(D336="SINAPI-I",VLOOKUP(B336,'20-A.SINAPI-I'!A:G,2,0),IF(D336="COMPOSIÇÕES",VLOOKUP(B336,'11.COMPOSIÇÕES GERAIS'!B:I,2,0),VLOOKUP(B336,'12.COT.MERCADO'!A:I,2,0)))),"Em Elaboração")</f>
        <v>LUMINARIA LED REFLETOR RETANGULAR BIVOLT, LUZ BRANCA, 50 W</v>
      </c>
      <c r="F336" s="240" t="str">
        <f>IFERROR(IF(D336="SINAPI-S",VLOOKUP(B336,'20-B.SINAPI-S'!A:J,3,0),IF(D336="SINAPI-I",VLOOKUP(B336,'20-A.SINAPI-I'!A:G,3,0),IF(D336="COMPOSIÇÕES",VLOOKUP(B336,'11.COMPOSIÇÕES GERAIS'!B:I,3,0),VLOOKUP(B336,'12.COT.MERCADO'!A:I,7,0)))),"Em Elaboração")</f>
        <v>UN</v>
      </c>
      <c r="G336" s="244">
        <f>VLOOKUP(B336,' 19.ARRED_HIST_CONSOLIDADO_E_ME'!H:O,8,0)</f>
        <v>1</v>
      </c>
      <c r="H336" s="241">
        <f>IFERROR(IF(D336="SINAPI-S",VLOOKUP(B336,'20-B.SINAPI-S'!A:J,5,0),IF(D336="SINAPI-I",VLOOKUP(B336,'20-A.SINAPI-I'!A:G,6,0),IF(D336="COMPOSIÇÕES",VLOOKUP(B336,'11.COMPOSIÇÕES GERAIS'!B:I,7,0),0))),"Em Elaboração")</f>
        <v>0</v>
      </c>
      <c r="I336" s="241">
        <f>IFERROR(IF(D336="SINAPI-S",VLOOKUP(B336,'20-B.SINAPI-S'!A:J,6,0),IF(D336="SINAPI-I",VLOOKUP(B336,'20-A.SINAPI-I'!A:G,7,0),IF(D336="COMPOSIÇÕES",VLOOKUP(B336,'11.COMPOSIÇÕES GERAIS'!B:I,8,0),VLOOKUP(B336,'12.COT.MERCADO'!A:I,8,0)))),"Em Elaboração")</f>
        <v>44</v>
      </c>
      <c r="J336" s="241">
        <f t="shared" si="112"/>
        <v>0</v>
      </c>
      <c r="K336" s="241">
        <f t="shared" si="113"/>
        <v>51.53872175</v>
      </c>
      <c r="L336" s="241">
        <f t="shared" si="114"/>
        <v>51.53872175</v>
      </c>
      <c r="M336" s="241">
        <f t="shared" si="115"/>
        <v>0</v>
      </c>
      <c r="N336" s="241">
        <f t="shared" si="116"/>
        <v>51.53872175</v>
      </c>
      <c r="O336" s="241">
        <f t="shared" si="117"/>
        <v>51.53872175</v>
      </c>
      <c r="P336" s="242">
        <f t="shared" si="2"/>
        <v>0.00004031741432</v>
      </c>
    </row>
    <row r="337">
      <c r="A337" s="236" t="s">
        <v>461</v>
      </c>
      <c r="B337" s="237" t="str">
        <f>' 19.ARRED_HIST_CONSOLIDADO_E_ME'!H236</f>
        <v>MAN_PR_074</v>
      </c>
      <c r="C337" s="238" t="str">
        <f t="shared" si="111"/>
        <v>PRÓPRIO</v>
      </c>
      <c r="D337" s="243" t="s">
        <v>230</v>
      </c>
      <c r="E337" s="239" t="str">
        <f>IFERROR(IF(D337="SINAPI-S",VLOOKUP(B337,'20-B.SINAPI-S'!A:J,2,0),IF(D337="SINAPI-I",VLOOKUP(B337,'20-A.SINAPI-I'!A:G,2,0),IF(D337="COMPOSIÇÕES",VLOOKUP(B337,'11.COMPOSIÇÕES GERAIS'!B:I,2,0),VLOOKUP(B337,'12.COT.MERCADO'!A:I,2,0)))),"Em Elaboração")</f>
        <v>FORNECIMENTO E INSTALAÇÃO KIT DE PROTECAO ARSTOP PARA AR CONDICIONADO, TOMADA PADRAO 2P+T 20 A, COM DISJUNTOR BIPOLAR DIN 20A</v>
      </c>
      <c r="F337" s="240" t="str">
        <f>IFERROR(IF(D337="SINAPI-S",VLOOKUP(B337,'20-B.SINAPI-S'!A:J,3,0),IF(D337="SINAPI-I",VLOOKUP(B337,'20-A.SINAPI-I'!A:G,3,0),IF(D337="COMPOSIÇÕES",VLOOKUP(B337,'11.COMPOSIÇÕES GERAIS'!B:I,3,0),VLOOKUP(B337,'12.COT.MERCADO'!A:I,7,0)))),"Em Elaboração")</f>
        <v>UN</v>
      </c>
      <c r="G337" s="244">
        <f>VLOOKUP(B337,' 19.ARRED_HIST_CONSOLIDADO_E_ME'!H:O,8,0)</f>
        <v>1</v>
      </c>
      <c r="H337" s="241">
        <f>IFERROR(IF(D337="SINAPI-S",VLOOKUP(B337,'20-B.SINAPI-S'!A:J,5,0),IF(D337="SINAPI-I",VLOOKUP(B337,'20-A.SINAPI-I'!A:G,6,0),IF(D337="COMPOSIÇÕES",VLOOKUP(B337,'11.COMPOSIÇÕES GERAIS'!B:I,7,0),0))),"Em Elaboração")</f>
        <v>44.29</v>
      </c>
      <c r="I337" s="241">
        <f>IFERROR(IF(D337="SINAPI-S",VLOOKUP(B337,'20-B.SINAPI-S'!A:J,6,0),IF(D337="SINAPI-I",VLOOKUP(B337,'20-A.SINAPI-I'!A:G,7,0),IF(D337="COMPOSIÇÕES",VLOOKUP(B337,'11.COMPOSIÇÕES GERAIS'!B:I,8,0),VLOOKUP(B337,'12.COT.MERCADO'!A:I,8,0)))),"Em Elaboração")</f>
        <v>75.52</v>
      </c>
      <c r="J337" s="241">
        <f t="shared" si="112"/>
        <v>51.99304834</v>
      </c>
      <c r="K337" s="241">
        <f t="shared" si="113"/>
        <v>88.45918787</v>
      </c>
      <c r="L337" s="241">
        <f t="shared" si="114"/>
        <v>140.4522362</v>
      </c>
      <c r="M337" s="241">
        <f t="shared" si="115"/>
        <v>51.99304834</v>
      </c>
      <c r="N337" s="241">
        <f t="shared" si="116"/>
        <v>88.45918787</v>
      </c>
      <c r="O337" s="241">
        <f t="shared" si="117"/>
        <v>140.4522362</v>
      </c>
      <c r="P337" s="242">
        <f t="shared" si="2"/>
        <v>0.0001098721662</v>
      </c>
    </row>
    <row r="338">
      <c r="A338" s="236" t="s">
        <v>462</v>
      </c>
      <c r="B338" s="237">
        <f>' 19.ARRED_HIST_CONSOLIDADO_E_ME'!H237</f>
        <v>101537</v>
      </c>
      <c r="C338" s="238" t="str">
        <f t="shared" si="111"/>
        <v>SINAPI</v>
      </c>
      <c r="D338" s="238" t="s">
        <v>218</v>
      </c>
      <c r="E338" s="239" t="str">
        <f>IFERROR(IF(D338="SINAPI-S",VLOOKUP(B338,'20-B.SINAPI-S'!A:J,2,0),IF(D338="SINAPI-I",VLOOKUP(B338,'20-A.SINAPI-I'!A:G,2,0),IF(D338="COMPOSIÇÕES",VLOOKUP(B338,'11.COMPOSIÇÕES GERAIS'!B:I,2,0),VLOOKUP(B338,'12.COT.MERCADO'!A:I,2,0)))),"Em Elaboração")</f>
        <v>APARELHO SINALIZADOR DE SAÍDA DE GARAGEM, COM CÉLULA FOTOELÉTRICA - FORNECIMENTO E INSTALAÇÃO. AF_07/2020</v>
      </c>
      <c r="F338" s="240" t="str">
        <f>IFERROR(IF(D338="SINAPI-S",VLOOKUP(B338,'20-B.SINAPI-S'!A:J,3,0),IF(D338="SINAPI-I",VLOOKUP(B338,'20-A.SINAPI-I'!A:G,3,0),IF(D338="COMPOSIÇÕES",VLOOKUP(B338,'11.COMPOSIÇÕES GERAIS'!B:I,3,0),VLOOKUP(B338,'12.COT.MERCADO'!A:I,7,0)))),"Em Elaboração")</f>
        <v>UN</v>
      </c>
      <c r="G338" s="244">
        <f>VLOOKUP(B338,' 19.ARRED_HIST_CONSOLIDADO_E_ME'!H:O,8,0)</f>
        <v>1</v>
      </c>
      <c r="H338" s="241">
        <f>IFERROR(IF(D338="SINAPI-S",VLOOKUP(B338,'20-B.SINAPI-S'!A:J,5,0),IF(D338="SINAPI-I",VLOOKUP(B338,'20-A.SINAPI-I'!A:G,6,0),IF(D338="COMPOSIÇÕES",VLOOKUP(B338,'11.COMPOSIÇÕES GERAIS'!B:I,7,0),0))),"Em Elaboração")</f>
        <v>36.27</v>
      </c>
      <c r="I338" s="241">
        <f>IFERROR(IF(D338="SINAPI-S",VLOOKUP(B338,'20-B.SINAPI-S'!A:J,6,0),IF(D338="SINAPI-I",VLOOKUP(B338,'20-A.SINAPI-I'!A:G,7,0),IF(D338="COMPOSIÇÕES",VLOOKUP(B338,'11.COMPOSIÇÕES GERAIS'!B:I,8,0),VLOOKUP(B338,'12.COT.MERCADO'!A:I,8,0)))),"Em Elaboração")</f>
        <v>94.54</v>
      </c>
      <c r="J338" s="241">
        <f t="shared" si="112"/>
        <v>42.57818612</v>
      </c>
      <c r="K338" s="241">
        <f t="shared" si="113"/>
        <v>110.7379717</v>
      </c>
      <c r="L338" s="241">
        <f t="shared" si="114"/>
        <v>153.3161578</v>
      </c>
      <c r="M338" s="241">
        <f t="shared" si="115"/>
        <v>42.57818612</v>
      </c>
      <c r="N338" s="241">
        <f t="shared" si="116"/>
        <v>110.7379717</v>
      </c>
      <c r="O338" s="241">
        <f t="shared" si="117"/>
        <v>153.3161578</v>
      </c>
      <c r="P338" s="242">
        <f t="shared" si="2"/>
        <v>0.0001199352806</v>
      </c>
    </row>
    <row r="339">
      <c r="A339" s="236" t="s">
        <v>463</v>
      </c>
      <c r="B339" s="237" t="str">
        <f>' 19.ARRED_HIST_CONSOLIDADO_E_ME'!H238</f>
        <v>MAN_PR_065</v>
      </c>
      <c r="C339" s="238" t="str">
        <f t="shared" si="111"/>
        <v>PRÓPRIO</v>
      </c>
      <c r="D339" s="243" t="s">
        <v>230</v>
      </c>
      <c r="E339" s="239" t="str">
        <f>IFERROR(IF(D339="SINAPI-S",VLOOKUP(B339,'20-B.SINAPI-S'!A:J,2,0),IF(D339="SINAPI-I",VLOOKUP(B339,'20-A.SINAPI-I'!A:G,2,0),IF(D339="COMPOSIÇÕES",VLOOKUP(B339,'11.COMPOSIÇÕES GERAIS'!B:I,2,0),VLOOKUP(B339,'12.COT.MERCADO'!A:I,2,0)))),"Em Elaboração")</f>
        <v>FORNECIMENTO E INSTALAÇÃO DE GRELHA PARA RALO EM PVC, REDONDA, 10CM. REF. TIGRE OU SIMILAR</v>
      </c>
      <c r="F339" s="240" t="str">
        <f>IFERROR(IF(D339="SINAPI-S",VLOOKUP(B339,'20-B.SINAPI-S'!A:J,3,0),IF(D339="SINAPI-I",VLOOKUP(B339,'20-A.SINAPI-I'!A:G,3,0),IF(D339="COMPOSIÇÕES",VLOOKUP(B339,'11.COMPOSIÇÕES GERAIS'!B:I,3,0),VLOOKUP(B339,'12.COT.MERCADO'!A:I,7,0)))),"Em Elaboração")</f>
        <v>UN</v>
      </c>
      <c r="G339" s="244">
        <f>VLOOKUP(B339,' 19.ARRED_HIST_CONSOLIDADO_E_ME'!H:O,8,0)</f>
        <v>3</v>
      </c>
      <c r="H339" s="241">
        <f>IFERROR(IF(D339="SINAPI-S",VLOOKUP(B339,'20-B.SINAPI-S'!A:J,5,0),IF(D339="SINAPI-I",VLOOKUP(B339,'20-A.SINAPI-I'!A:G,6,0),IF(D339="COMPOSIÇÕES",VLOOKUP(B339,'11.COMPOSIÇÕES GERAIS'!B:I,7,0),0))),"Em Elaboração")</f>
        <v>2.613</v>
      </c>
      <c r="I339" s="241">
        <f>IFERROR(IF(D339="SINAPI-S",VLOOKUP(B339,'20-B.SINAPI-S'!A:J,6,0),IF(D339="SINAPI-I",VLOOKUP(B339,'20-A.SINAPI-I'!A:G,7,0),IF(D339="COMPOSIÇÕES",VLOOKUP(B339,'11.COMPOSIÇÕES GERAIS'!B:I,8,0),VLOOKUP(B339,'12.COT.MERCADO'!A:I,8,0)))),"Em Elaboração")</f>
        <v>7.055</v>
      </c>
      <c r="J339" s="241">
        <f t="shared" si="112"/>
        <v>3.067460721</v>
      </c>
      <c r="K339" s="241">
        <f t="shared" si="113"/>
        <v>8.263765498</v>
      </c>
      <c r="L339" s="241">
        <f t="shared" si="114"/>
        <v>11.33122622</v>
      </c>
      <c r="M339" s="241">
        <f t="shared" si="115"/>
        <v>9.202382162</v>
      </c>
      <c r="N339" s="241">
        <f t="shared" si="116"/>
        <v>24.79129649</v>
      </c>
      <c r="O339" s="241">
        <f t="shared" si="117"/>
        <v>33.99367866</v>
      </c>
      <c r="P339" s="242">
        <f t="shared" si="2"/>
        <v>0.00002659237909</v>
      </c>
    </row>
    <row r="340">
      <c r="A340" s="236" t="s">
        <v>464</v>
      </c>
      <c r="B340" s="237">
        <f>' 19.ARRED_HIST_CONSOLIDADO_E_ME'!H239</f>
        <v>89557</v>
      </c>
      <c r="C340" s="238" t="str">
        <f t="shared" si="111"/>
        <v>SINAPI</v>
      </c>
      <c r="D340" s="238" t="s">
        <v>218</v>
      </c>
      <c r="E340" s="239" t="str">
        <f>IFERROR(IF(D340="SINAPI-S",VLOOKUP(B340,'20-B.SINAPI-S'!A:J,2,0),IF(D340="SINAPI-I",VLOOKUP(B340,'20-A.SINAPI-I'!A:G,2,0),IF(D340="COMPOSIÇÕES",VLOOKUP(B340,'11.COMPOSIÇÕES GERAIS'!B:I,2,0),VLOOKUP(B340,'12.COT.MERCADO'!A:I,2,0)))),"Em Elaboração")</f>
        <v>REDUÇÃO EXCÊNTRICA, PVC, SERIE R, ÁGUA PLUVIAL, DN 100 X 75 MM, JUNTA ELÁSTICA, FORNECIDO E INSTALADO EM RAMAL DE ENCAMINHAMENTO. AF_06/2022</v>
      </c>
      <c r="F340" s="240" t="str">
        <f>IFERROR(IF(D340="SINAPI-S",VLOOKUP(B340,'20-B.SINAPI-S'!A:J,3,0),IF(D340="SINAPI-I",VLOOKUP(B340,'20-A.SINAPI-I'!A:G,3,0),IF(D340="COMPOSIÇÕES",VLOOKUP(B340,'11.COMPOSIÇÕES GERAIS'!B:I,3,0),VLOOKUP(B340,'12.COT.MERCADO'!A:I,7,0)))),"Em Elaboração")</f>
        <v>UN</v>
      </c>
      <c r="G340" s="244">
        <f>VLOOKUP(B340,' 19.ARRED_HIST_CONSOLIDADO_E_ME'!H:O,8,0)</f>
        <v>3</v>
      </c>
      <c r="H340" s="241">
        <f>IFERROR(IF(D340="SINAPI-S",VLOOKUP(B340,'20-B.SINAPI-S'!A:J,5,0),IF(D340="SINAPI-I",VLOOKUP(B340,'20-A.SINAPI-I'!A:G,6,0),IF(D340="COMPOSIÇÕES",VLOOKUP(B340,'11.COMPOSIÇÕES GERAIS'!B:I,7,0),0))),"Em Elaboração")</f>
        <v>3.21</v>
      </c>
      <c r="I340" s="241">
        <f>IFERROR(IF(D340="SINAPI-S",VLOOKUP(B340,'20-B.SINAPI-S'!A:J,6,0),IF(D340="SINAPI-I",VLOOKUP(B340,'20-A.SINAPI-I'!A:G,7,0),IF(D340="COMPOSIÇÕES",VLOOKUP(B340,'11.COMPOSIÇÕES GERAIS'!B:I,8,0),VLOOKUP(B340,'12.COT.MERCADO'!A:I,8,0)))),"Em Elaboração")</f>
        <v>30.34</v>
      </c>
      <c r="J340" s="241">
        <f t="shared" si="112"/>
        <v>3.768292734</v>
      </c>
      <c r="K340" s="241">
        <f t="shared" si="113"/>
        <v>35.53829131</v>
      </c>
      <c r="L340" s="241">
        <f t="shared" si="114"/>
        <v>39.30658405</v>
      </c>
      <c r="M340" s="241">
        <f t="shared" si="115"/>
        <v>11.3048782</v>
      </c>
      <c r="N340" s="241">
        <f t="shared" si="116"/>
        <v>106.6148739</v>
      </c>
      <c r="O340" s="241">
        <f t="shared" si="117"/>
        <v>117.9197521</v>
      </c>
      <c r="P340" s="242">
        <f t="shared" si="2"/>
        <v>0.00009224558434</v>
      </c>
    </row>
    <row r="341">
      <c r="A341" s="236" t="s">
        <v>465</v>
      </c>
      <c r="B341" s="237">
        <f>' 19.ARRED_HIST_CONSOLIDADO_E_ME'!H240</f>
        <v>104357</v>
      </c>
      <c r="C341" s="238" t="str">
        <f t="shared" si="111"/>
        <v>SINAPI</v>
      </c>
      <c r="D341" s="238" t="s">
        <v>218</v>
      </c>
      <c r="E341" s="239" t="str">
        <f>IFERROR(IF(D341="SINAPI-S",VLOOKUP(B341,'20-B.SINAPI-S'!A:J,2,0),IF(D341="SINAPI-I",VLOOKUP(B341,'20-A.SINAPI-I'!A:G,2,0),IF(D341="COMPOSIÇÕES",VLOOKUP(B341,'11.COMPOSIÇÕES GERAIS'!B:I,2,0),VLOOKUP(B341,'12.COT.MERCADO'!A:I,2,0)))),"Em Elaboração")</f>
        <v>CAP, PVC, SÉRIE NORMAL, ESGOTO PREDIAL, DN 100 MM, JUNTA ELÁSTICA, FORNECIDO E INSTALADO EM SUBCOLETOR AÉREO DE ESGOTO SANITÁRIO. AF_08/2022</v>
      </c>
      <c r="F341" s="240" t="str">
        <f>IFERROR(IF(D341="SINAPI-S",VLOOKUP(B341,'20-B.SINAPI-S'!A:J,3,0),IF(D341="SINAPI-I",VLOOKUP(B341,'20-A.SINAPI-I'!A:G,3,0),IF(D341="COMPOSIÇÕES",VLOOKUP(B341,'11.COMPOSIÇÕES GERAIS'!B:I,3,0),VLOOKUP(B341,'12.COT.MERCADO'!A:I,7,0)))),"Em Elaboração")</f>
        <v>UN</v>
      </c>
      <c r="G341" s="244">
        <f>VLOOKUP(B341,' 19.ARRED_HIST_CONSOLIDADO_E_ME'!H:O,8,0)</f>
        <v>3</v>
      </c>
      <c r="H341" s="241">
        <f>IFERROR(IF(D341="SINAPI-S",VLOOKUP(B341,'20-B.SINAPI-S'!A:J,5,0),IF(D341="SINAPI-I",VLOOKUP(B341,'20-A.SINAPI-I'!A:G,6,0),IF(D341="COMPOSIÇÕES",VLOOKUP(B341,'11.COMPOSIÇÕES GERAIS'!B:I,7,0),0))),"Em Elaboração")</f>
        <v>4.01</v>
      </c>
      <c r="I341" s="241">
        <f>IFERROR(IF(D341="SINAPI-S",VLOOKUP(B341,'20-B.SINAPI-S'!A:J,6,0),IF(D341="SINAPI-I",VLOOKUP(B341,'20-A.SINAPI-I'!A:G,7,0),IF(D341="COMPOSIÇÕES",VLOOKUP(B341,'11.COMPOSIÇÕES GERAIS'!B:I,8,0),VLOOKUP(B341,'12.COT.MERCADO'!A:I,8,0)))),"Em Elaboração")</f>
        <v>16.64</v>
      </c>
      <c r="J341" s="241">
        <f t="shared" si="112"/>
        <v>4.70743111</v>
      </c>
      <c r="K341" s="241">
        <f t="shared" si="113"/>
        <v>19.4910075</v>
      </c>
      <c r="L341" s="241">
        <f t="shared" si="114"/>
        <v>24.19843861</v>
      </c>
      <c r="M341" s="241">
        <f t="shared" si="115"/>
        <v>14.12229333</v>
      </c>
      <c r="N341" s="241">
        <f t="shared" si="116"/>
        <v>58.47302249</v>
      </c>
      <c r="O341" s="241">
        <f t="shared" si="117"/>
        <v>72.59531582</v>
      </c>
      <c r="P341" s="242">
        <f t="shared" si="2"/>
        <v>0.00005678944542</v>
      </c>
    </row>
    <row r="342">
      <c r="A342" s="236" t="s">
        <v>466</v>
      </c>
      <c r="B342" s="237" t="str">
        <f>' 19.ARRED_HIST_CONSOLIDADO_E_ME'!H241</f>
        <v>MAN_PR_066</v>
      </c>
      <c r="C342" s="238" t="str">
        <f t="shared" si="111"/>
        <v>PRÓPRIO</v>
      </c>
      <c r="D342" s="243" t="s">
        <v>230</v>
      </c>
      <c r="E342" s="239" t="str">
        <f>IFERROR(IF(D342="SINAPI-S",VLOOKUP(B342,'20-B.SINAPI-S'!A:J,2,0),IF(D342="SINAPI-I",VLOOKUP(B342,'20-A.SINAPI-I'!A:G,2,0),IF(D342="COMPOSIÇÕES",VLOOKUP(B342,'11.COMPOSIÇÕES GERAIS'!B:I,2,0),VLOOKUP(B342,'12.COT.MERCADO'!A:I,2,0)))),"Em Elaboração")</f>
        <v>FORNECIMENTO E INSTALAÇÃO DE CAIXA P/ BOTOEIRA PLÁSTICA 1 FURO 22 mm</v>
      </c>
      <c r="F342" s="240" t="str">
        <f>IFERROR(IF(D342="SINAPI-S",VLOOKUP(B342,'20-B.SINAPI-S'!A:J,3,0),IF(D342="SINAPI-I",VLOOKUP(B342,'20-A.SINAPI-I'!A:G,3,0),IF(D342="COMPOSIÇÕES",VLOOKUP(B342,'11.COMPOSIÇÕES GERAIS'!B:I,3,0),VLOOKUP(B342,'12.COT.MERCADO'!A:I,7,0)))),"Em Elaboração")</f>
        <v>UN</v>
      </c>
      <c r="G342" s="244">
        <f>VLOOKUP(B342,' 19.ARRED_HIST_CONSOLIDADO_E_ME'!H:O,8,0)</f>
        <v>2</v>
      </c>
      <c r="H342" s="241">
        <f>IFERROR(IF(D342="SINAPI-S",VLOOKUP(B342,'20-B.SINAPI-S'!A:J,5,0),IF(D342="SINAPI-I",VLOOKUP(B342,'20-A.SINAPI-I'!A:G,6,0),IF(D342="COMPOSIÇÕES",VLOOKUP(B342,'11.COMPOSIÇÕES GERAIS'!B:I,7,0),0))),"Em Elaboração")</f>
        <v>13.287</v>
      </c>
      <c r="I342" s="241">
        <f>IFERROR(IF(D342="SINAPI-S",VLOOKUP(B342,'20-B.SINAPI-S'!A:J,6,0),IF(D342="SINAPI-I",VLOOKUP(B342,'20-A.SINAPI-I'!A:G,7,0),IF(D342="COMPOSIÇÕES",VLOOKUP(B342,'11.COMPOSIÇÕES GERAIS'!B:I,8,0),VLOOKUP(B342,'12.COT.MERCADO'!A:I,8,0)))),"Em Elaboração")</f>
        <v>23.716</v>
      </c>
      <c r="J342" s="241">
        <f t="shared" si="112"/>
        <v>15.5979145</v>
      </c>
      <c r="K342" s="241">
        <f t="shared" si="113"/>
        <v>27.77937102</v>
      </c>
      <c r="L342" s="241">
        <f t="shared" si="114"/>
        <v>43.37728552</v>
      </c>
      <c r="M342" s="241">
        <f t="shared" si="115"/>
        <v>31.195829</v>
      </c>
      <c r="N342" s="241">
        <f t="shared" si="116"/>
        <v>55.55874204</v>
      </c>
      <c r="O342" s="241">
        <f t="shared" si="117"/>
        <v>86.75457105</v>
      </c>
      <c r="P342" s="242">
        <f t="shared" si="2"/>
        <v>0.00006786586603</v>
      </c>
    </row>
    <row r="343">
      <c r="A343" s="236" t="s">
        <v>467</v>
      </c>
      <c r="B343" s="237">
        <f>' 19.ARRED_HIST_CONSOLIDADO_E_ME'!H242</f>
        <v>11964</v>
      </c>
      <c r="C343" s="238" t="str">
        <f t="shared" si="111"/>
        <v>SINAPI</v>
      </c>
      <c r="D343" s="243" t="s">
        <v>286</v>
      </c>
      <c r="E343" s="239" t="str">
        <f>IFERROR(IF(D343="SINAPI-S",VLOOKUP(B343,'20-B.SINAPI-S'!A:J,2,0),IF(D343="SINAPI-I",VLOOKUP(B343,'20-A.SINAPI-I'!A:G,2,0),IF(D343="COMPOSIÇÕES",VLOOKUP(B343,'11.COMPOSIÇÕES GERAIS'!B:I,2,0),VLOOKUP(B343,'12.COT.MERCADO'!A:I,2,0)))),"Em Elaboração")</f>
        <v>PARAFUSO DE ACO TIPO CHUMBADOR PARABOLT, DIAMETRO 3/8", COMPRIMENTO 75 MM</v>
      </c>
      <c r="F343" s="240" t="str">
        <f>IFERROR(IF(D343="SINAPI-S",VLOOKUP(B343,'20-B.SINAPI-S'!A:J,3,0),IF(D343="SINAPI-I",VLOOKUP(B343,'20-A.SINAPI-I'!A:G,3,0),IF(D343="COMPOSIÇÕES",VLOOKUP(B343,'11.COMPOSIÇÕES GERAIS'!B:I,3,0),VLOOKUP(B343,'12.COT.MERCADO'!A:I,7,0)))),"Em Elaboração")</f>
        <v>UN</v>
      </c>
      <c r="G343" s="244">
        <f>VLOOKUP(B343,' 19.ARRED_HIST_CONSOLIDADO_E_ME'!H:O,8,0)</f>
        <v>17</v>
      </c>
      <c r="H343" s="241">
        <f>IFERROR(IF(D343="SINAPI-S",VLOOKUP(B343,'20-B.SINAPI-S'!A:J,5,0),IF(D343="SINAPI-I",VLOOKUP(B343,'20-A.SINAPI-I'!A:G,6,0),IF(D343="COMPOSIÇÕES",VLOOKUP(B343,'11.COMPOSIÇÕES GERAIS'!B:I,7,0),0))),"Em Elaboração")</f>
        <v>0</v>
      </c>
      <c r="I343" s="241">
        <f>IFERROR(IF(D343="SINAPI-S",VLOOKUP(B343,'20-B.SINAPI-S'!A:J,6,0),IF(D343="SINAPI-I",VLOOKUP(B343,'20-A.SINAPI-I'!A:G,7,0),IF(D343="COMPOSIÇÕES",VLOOKUP(B343,'11.COMPOSIÇÕES GERAIS'!B:I,8,0),VLOOKUP(B343,'12.COT.MERCADO'!A:I,8,0)))),"Em Elaboração")</f>
        <v>2.65</v>
      </c>
      <c r="J343" s="241">
        <f t="shared" si="112"/>
        <v>0</v>
      </c>
      <c r="K343" s="241">
        <f t="shared" si="113"/>
        <v>3.104036651</v>
      </c>
      <c r="L343" s="241">
        <f t="shared" si="114"/>
        <v>3.104036651</v>
      </c>
      <c r="M343" s="241">
        <f t="shared" si="115"/>
        <v>0</v>
      </c>
      <c r="N343" s="241">
        <f t="shared" si="116"/>
        <v>52.76862306</v>
      </c>
      <c r="O343" s="241">
        <f t="shared" si="117"/>
        <v>52.76862306</v>
      </c>
      <c r="P343" s="242">
        <f t="shared" si="2"/>
        <v>0.00004127953444</v>
      </c>
    </row>
    <row r="344">
      <c r="A344" s="236" t="s">
        <v>468</v>
      </c>
      <c r="B344" s="237">
        <f>' 19.ARRED_HIST_CONSOLIDADO_E_ME'!H243</f>
        <v>11267</v>
      </c>
      <c r="C344" s="238" t="str">
        <f t="shared" si="111"/>
        <v>SINAPI</v>
      </c>
      <c r="D344" s="243" t="s">
        <v>286</v>
      </c>
      <c r="E344" s="239" t="str">
        <f>IFERROR(IF(D344="SINAPI-S",VLOOKUP(B344,'20-B.SINAPI-S'!A:J,2,0),IF(D344="SINAPI-I",VLOOKUP(B344,'20-A.SINAPI-I'!A:G,2,0),IF(D344="COMPOSIÇÕES",VLOOKUP(B344,'11.COMPOSIÇÕES GERAIS'!B:I,2,0),VLOOKUP(B344,'12.COT.MERCADO'!A:I,2,0)))),"Em Elaboração")</f>
        <v>ARRUELA LISA, REDONDA, DE LATAO POLIDO, DIAMETRO NOMINAL 5/8", DIAMETRO EXTERNO = 34 MM, DIAMETRO DO FURO = 17 MM, ESPESSURA = *2,5* MM</v>
      </c>
      <c r="F344" s="240" t="str">
        <f>IFERROR(IF(D344="SINAPI-S",VLOOKUP(B344,'20-B.SINAPI-S'!A:J,3,0),IF(D344="SINAPI-I",VLOOKUP(B344,'20-A.SINAPI-I'!A:G,3,0),IF(D344="COMPOSIÇÕES",VLOOKUP(B344,'11.COMPOSIÇÕES GERAIS'!B:I,3,0),VLOOKUP(B344,'12.COT.MERCADO'!A:I,7,0)))),"Em Elaboração")</f>
        <v>UN</v>
      </c>
      <c r="G344" s="244">
        <f>VLOOKUP(B344,' 19.ARRED_HIST_CONSOLIDADO_E_ME'!H:O,8,0)</f>
        <v>17</v>
      </c>
      <c r="H344" s="241">
        <f>IFERROR(IF(D344="SINAPI-S",VLOOKUP(B344,'20-B.SINAPI-S'!A:J,5,0),IF(D344="SINAPI-I",VLOOKUP(B344,'20-A.SINAPI-I'!A:G,6,0),IF(D344="COMPOSIÇÕES",VLOOKUP(B344,'11.COMPOSIÇÕES GERAIS'!B:I,7,0),0))),"Em Elaboração")</f>
        <v>0</v>
      </c>
      <c r="I344" s="241">
        <f>IFERROR(IF(D344="SINAPI-S",VLOOKUP(B344,'20-B.SINAPI-S'!A:J,6,0),IF(D344="SINAPI-I",VLOOKUP(B344,'20-A.SINAPI-I'!A:G,7,0),IF(D344="COMPOSIÇÕES",VLOOKUP(B344,'11.COMPOSIÇÕES GERAIS'!B:I,8,0),VLOOKUP(B344,'12.COT.MERCADO'!A:I,8,0)))),"Em Elaboração")</f>
        <v>1.56</v>
      </c>
      <c r="J344" s="241">
        <f t="shared" si="112"/>
        <v>0</v>
      </c>
      <c r="K344" s="241">
        <f t="shared" si="113"/>
        <v>1.827281953</v>
      </c>
      <c r="L344" s="241">
        <f t="shared" si="114"/>
        <v>1.827281953</v>
      </c>
      <c r="M344" s="241">
        <f t="shared" si="115"/>
        <v>0</v>
      </c>
      <c r="N344" s="241">
        <f t="shared" si="116"/>
        <v>31.0637932</v>
      </c>
      <c r="O344" s="241">
        <f t="shared" si="117"/>
        <v>31.0637932</v>
      </c>
      <c r="P344" s="242">
        <f t="shared" si="2"/>
        <v>0.00002430040518</v>
      </c>
    </row>
    <row r="345">
      <c r="A345" s="236" t="s">
        <v>469</v>
      </c>
      <c r="B345" s="237" t="str">
        <f>' 19.ARRED_HIST_CONSOLIDADO_E_ME'!H244</f>
        <v>MAN_PR_075</v>
      </c>
      <c r="C345" s="238" t="str">
        <f t="shared" si="111"/>
        <v>PRÓPRIO</v>
      </c>
      <c r="D345" s="243" t="s">
        <v>230</v>
      </c>
      <c r="E345" s="239" t="str">
        <f>IFERROR(IF(D345="SINAPI-S",VLOOKUP(B345,'20-B.SINAPI-S'!A:J,2,0),IF(D345="SINAPI-I",VLOOKUP(B345,'20-A.SINAPI-I'!A:G,2,0),IF(D345="COMPOSIÇÕES",VLOOKUP(B345,'11.COMPOSIÇÕES GERAIS'!B:I,2,0),VLOOKUP(B345,'12.COT.MERCADO'!A:I,2,0)))),"Em Elaboração")</f>
        <v>PINTURA ADESIVA P/ CONCRETO, A BASE DE RESINA EPOXI ( SIKADUR 32 )</v>
      </c>
      <c r="F345" s="240" t="str">
        <f>IFERROR(IF(D345="SINAPI-S",VLOOKUP(B345,'20-B.SINAPI-S'!A:J,3,0),IF(D345="SINAPI-I",VLOOKUP(B345,'20-A.SINAPI-I'!A:G,3,0),IF(D345="COMPOSIÇÕES",VLOOKUP(B345,'11.COMPOSIÇÕES GERAIS'!B:I,3,0),VLOOKUP(B345,'12.COT.MERCADO'!A:I,7,0)))),"Em Elaboração")</f>
        <v>KG    </v>
      </c>
      <c r="G345" s="244">
        <f>VLOOKUP(B345,' 19.ARRED_HIST_CONSOLIDADO_E_ME'!H:O,8,0)</f>
        <v>1</v>
      </c>
      <c r="H345" s="241">
        <f>IFERROR(IF(D345="SINAPI-S",VLOOKUP(B345,'20-B.SINAPI-S'!A:J,5,0),IF(D345="SINAPI-I",VLOOKUP(B345,'20-A.SINAPI-I'!A:G,6,0),IF(D345="COMPOSIÇÕES",VLOOKUP(B345,'11.COMPOSIÇÕES GERAIS'!B:I,7,0),0))),"Em Elaboração")</f>
        <v>14.735</v>
      </c>
      <c r="I345" s="241">
        <f>IFERROR(IF(D345="SINAPI-S",VLOOKUP(B345,'20-B.SINAPI-S'!A:J,6,0),IF(D345="SINAPI-I",VLOOKUP(B345,'20-A.SINAPI-I'!A:G,7,0),IF(D345="COMPOSIÇÕES",VLOOKUP(B345,'11.COMPOSIÇÕES GERAIS'!B:I,8,0),VLOOKUP(B345,'12.COT.MERCADO'!A:I,8,0)))),"Em Elaboração")</f>
        <v>62.4295</v>
      </c>
      <c r="J345" s="241">
        <f t="shared" si="112"/>
        <v>17.29775496</v>
      </c>
      <c r="K345" s="241">
        <f t="shared" si="113"/>
        <v>73.12583248</v>
      </c>
      <c r="L345" s="241">
        <f t="shared" si="114"/>
        <v>90.42358745</v>
      </c>
      <c r="M345" s="241">
        <f t="shared" si="115"/>
        <v>17.29775496</v>
      </c>
      <c r="N345" s="241">
        <f t="shared" si="116"/>
        <v>73.12583248</v>
      </c>
      <c r="O345" s="241">
        <f t="shared" si="117"/>
        <v>90.42358745</v>
      </c>
      <c r="P345" s="242">
        <f t="shared" si="2"/>
        <v>0.00007073604304</v>
      </c>
    </row>
    <row r="346">
      <c r="A346" s="236" t="s">
        <v>470</v>
      </c>
      <c r="B346" s="237" t="str">
        <f>' 19.ARRED_HIST_CONSOLIDADO_E_ME'!H245</f>
        <v>MAN_PR_061</v>
      </c>
      <c r="C346" s="238" t="str">
        <f t="shared" si="111"/>
        <v>PRÓPRIO</v>
      </c>
      <c r="D346" s="243" t="s">
        <v>230</v>
      </c>
      <c r="E346" s="239" t="str">
        <f>IFERROR(IF(D346="SINAPI-S",VLOOKUP(B346,'20-B.SINAPI-S'!A:J,2,0),IF(D346="SINAPI-I",VLOOKUP(B346,'20-A.SINAPI-I'!A:G,2,0),IF(D346="COMPOSIÇÕES",VLOOKUP(B346,'11.COMPOSIÇÕES GERAIS'!B:I,2,0),VLOOKUP(B346,'12.COT.MERCADO'!A:I,2,0)))),"Em Elaboração")</f>
        <v>FORNECIMENTO E INSTALAÇÃO DE CANALETA EM ALUMÍNIO COM DIVISÓRIA PARA INSTALAÇÃO ELÉTRICA EM PISO, INCLUSIVE CONEXÕES, DIMENSÕES 20 X 10 MM</v>
      </c>
      <c r="F346" s="240" t="str">
        <f>IFERROR(IF(D346="SINAPI-S",VLOOKUP(B346,'20-B.SINAPI-S'!A:J,3,0),IF(D346="SINAPI-I",VLOOKUP(B346,'20-A.SINAPI-I'!A:G,3,0),IF(D346="COMPOSIÇÕES",VLOOKUP(B346,'11.COMPOSIÇÕES GERAIS'!B:I,3,0),VLOOKUP(B346,'12.COT.MERCADO'!A:I,7,0)))),"Em Elaboração")</f>
        <v>M</v>
      </c>
      <c r="G346" s="244">
        <f>VLOOKUP(B346,' 19.ARRED_HIST_CONSOLIDADO_E_ME'!H:O,8,0)</f>
        <v>1</v>
      </c>
      <c r="H346" s="241">
        <f>IFERROR(IF(D346="SINAPI-S",VLOOKUP(B346,'20-B.SINAPI-S'!A:J,5,0),IF(D346="SINAPI-I",VLOOKUP(B346,'20-A.SINAPI-I'!A:G,6,0),IF(D346="COMPOSIÇÕES",VLOOKUP(B346,'11.COMPOSIÇÕES GERAIS'!B:I,7,0),0))),"Em Elaboração")</f>
        <v>15.5015</v>
      </c>
      <c r="I346" s="241">
        <f>IFERROR(IF(D346="SINAPI-S",VLOOKUP(B346,'20-B.SINAPI-S'!A:J,6,0),IF(D346="SINAPI-I",VLOOKUP(B346,'20-A.SINAPI-I'!A:G,7,0),IF(D346="COMPOSIÇÕES",VLOOKUP(B346,'11.COMPOSIÇÕES GERAIS'!B:I,8,0),VLOOKUP(B346,'12.COT.MERCADO'!A:I,8,0)))),"Em Elaboração")</f>
        <v>93.121</v>
      </c>
      <c r="J346" s="241">
        <f t="shared" si="112"/>
        <v>18.19756692</v>
      </c>
      <c r="K346" s="241">
        <f t="shared" si="113"/>
        <v>109.0758479</v>
      </c>
      <c r="L346" s="241">
        <f t="shared" si="114"/>
        <v>127.2734148</v>
      </c>
      <c r="M346" s="241">
        <f t="shared" si="115"/>
        <v>18.19756692</v>
      </c>
      <c r="N346" s="241">
        <f t="shared" si="116"/>
        <v>109.0758479</v>
      </c>
      <c r="O346" s="241">
        <f t="shared" si="117"/>
        <v>127.2734148</v>
      </c>
      <c r="P346" s="242">
        <f t="shared" si="2"/>
        <v>0.0000995627137</v>
      </c>
    </row>
    <row r="347">
      <c r="A347" s="236" t="s">
        <v>471</v>
      </c>
      <c r="B347" s="237">
        <f>' 19.ARRED_HIST_CONSOLIDADO_E_ME'!H246</f>
        <v>89049</v>
      </c>
      <c r="C347" s="238" t="str">
        <f t="shared" si="111"/>
        <v>SINAPI</v>
      </c>
      <c r="D347" s="238" t="s">
        <v>218</v>
      </c>
      <c r="E347" s="239" t="str">
        <f>IFERROR(IF(D347="SINAPI-S",VLOOKUP(B347,'20-B.SINAPI-S'!A:J,2,0),IF(D347="SINAPI-I",VLOOKUP(B347,'20-A.SINAPI-I'!A:G,2,0),IF(D347="COMPOSIÇÕES",VLOOKUP(B347,'11.COMPOSIÇÕES GERAIS'!B:I,2,0),VLOOKUP(B347,'12.COT.MERCADO'!A:I,2,0)))),"Em Elaboração")</f>
        <v>(COMPOSIÇÃO REPRESENTATIVA) DO SERVIÇO DE APLICAÇÃO MANUAL DE GESSO DESEMPENADO (SEM TALISCAS) EM TETO, ESPESSURA 0,5 CM, PARA EDIFICAÇÃO HABITACIONAL MULTIFAMILIAR (PRÉDIO). AF_11/2014</v>
      </c>
      <c r="F347" s="240" t="str">
        <f>IFERROR(IF(D347="SINAPI-S",VLOOKUP(B347,'20-B.SINAPI-S'!A:J,3,0),IF(D347="SINAPI-I",VLOOKUP(B347,'20-A.SINAPI-I'!A:G,3,0),IF(D347="COMPOSIÇÕES",VLOOKUP(B347,'11.COMPOSIÇÕES GERAIS'!B:I,3,0),VLOOKUP(B347,'12.COT.MERCADO'!A:I,7,0)))),"Em Elaboração")</f>
        <v>M2</v>
      </c>
      <c r="G347" s="244">
        <f>VLOOKUP(B347,' 19.ARRED_HIST_CONSOLIDADO_E_ME'!H:O,8,0)</f>
        <v>1</v>
      </c>
      <c r="H347" s="241">
        <f>IFERROR(IF(D347="SINAPI-S",VLOOKUP(B347,'20-B.SINAPI-S'!A:J,5,0),IF(D347="SINAPI-I",VLOOKUP(B347,'20-A.SINAPI-I'!A:G,6,0),IF(D347="COMPOSIÇÕES",VLOOKUP(B347,'11.COMPOSIÇÕES GERAIS'!B:I,7,0),0))),"Em Elaboração")</f>
        <v>13.73</v>
      </c>
      <c r="I347" s="241">
        <f>IFERROR(IF(D347="SINAPI-S",VLOOKUP(B347,'20-B.SINAPI-S'!A:J,6,0),IF(D347="SINAPI-I",VLOOKUP(B347,'20-A.SINAPI-I'!A:G,7,0),IF(D347="COMPOSIÇÕES",VLOOKUP(B347,'11.COMPOSIÇÕES GERAIS'!B:I,8,0),VLOOKUP(B347,'12.COT.MERCADO'!A:I,8,0)))),"Em Elaboração")</f>
        <v>12.24</v>
      </c>
      <c r="J347" s="241">
        <f t="shared" si="112"/>
        <v>16.11796238</v>
      </c>
      <c r="K347" s="241">
        <f t="shared" si="113"/>
        <v>14.33713532</v>
      </c>
      <c r="L347" s="241">
        <f t="shared" si="114"/>
        <v>30.4550977</v>
      </c>
      <c r="M347" s="241">
        <f t="shared" si="115"/>
        <v>16.11796238</v>
      </c>
      <c r="N347" s="241">
        <f t="shared" si="116"/>
        <v>14.33713532</v>
      </c>
      <c r="O347" s="241">
        <f t="shared" si="117"/>
        <v>30.4550977</v>
      </c>
      <c r="P347" s="242">
        <f t="shared" si="2"/>
        <v>0.00002382423837</v>
      </c>
    </row>
    <row r="348">
      <c r="A348" s="236" t="s">
        <v>472</v>
      </c>
      <c r="B348" s="237">
        <f>' 19.ARRED_HIST_CONSOLIDADO_E_ME'!H247</f>
        <v>92016</v>
      </c>
      <c r="C348" s="238" t="str">
        <f t="shared" si="111"/>
        <v>SINAPI</v>
      </c>
      <c r="D348" s="238" t="s">
        <v>218</v>
      </c>
      <c r="E348" s="239" t="str">
        <f>IFERROR(IF(D348="SINAPI-S",VLOOKUP(B348,'20-B.SINAPI-S'!A:J,2,0),IF(D348="SINAPI-I",VLOOKUP(B348,'20-A.SINAPI-I'!A:G,2,0),IF(D348="COMPOSIÇÕES",VLOOKUP(B348,'11.COMPOSIÇÕES GERAIS'!B:I,2,0),VLOOKUP(B348,'12.COT.MERCADO'!A:I,2,0)))),"Em Elaboração")</f>
        <v>TOMADA BAIXA DE EMBUTIR (3 MÓDULOS), 2P+T 10 A, INCLUINDO SUPORTE E PLACA - FORNECIMENTO E INSTALAÇÃO. AF_03/2023</v>
      </c>
      <c r="F348" s="240" t="str">
        <f>IFERROR(IF(D348="SINAPI-S",VLOOKUP(B348,'20-B.SINAPI-S'!A:J,3,0),IF(D348="SINAPI-I",VLOOKUP(B348,'20-A.SINAPI-I'!A:G,3,0),IF(D348="COMPOSIÇÕES",VLOOKUP(B348,'11.COMPOSIÇÕES GERAIS'!B:I,3,0),VLOOKUP(B348,'12.COT.MERCADO'!A:I,7,0)))),"Em Elaboração")</f>
        <v>UN</v>
      </c>
      <c r="G348" s="244">
        <f>VLOOKUP(B348,' 19.ARRED_HIST_CONSOLIDADO_E_ME'!H:O,8,0)</f>
        <v>1</v>
      </c>
      <c r="H348" s="241">
        <f>IFERROR(IF(D348="SINAPI-S",VLOOKUP(B348,'20-B.SINAPI-S'!A:J,5,0),IF(D348="SINAPI-I",VLOOKUP(B348,'20-A.SINAPI-I'!A:G,6,0),IF(D348="COMPOSIÇÕES",VLOOKUP(B348,'11.COMPOSIÇÕES GERAIS'!B:I,7,0),0))),"Em Elaboração")</f>
        <v>32.26</v>
      </c>
      <c r="I348" s="241">
        <f>IFERROR(IF(D348="SINAPI-S",VLOOKUP(B348,'20-B.SINAPI-S'!A:J,6,0),IF(D348="SINAPI-I",VLOOKUP(B348,'20-A.SINAPI-I'!A:G,7,0),IF(D348="COMPOSIÇÕES",VLOOKUP(B348,'11.COMPOSIÇÕES GERAIS'!B:I,8,0),VLOOKUP(B348,'12.COT.MERCADO'!A:I,8,0)))),"Em Elaboração")</f>
        <v>41.45</v>
      </c>
      <c r="J348" s="241">
        <f t="shared" si="112"/>
        <v>37.87075501</v>
      </c>
      <c r="K348" s="241">
        <f t="shared" si="113"/>
        <v>48.55181855</v>
      </c>
      <c r="L348" s="241">
        <f t="shared" si="114"/>
        <v>86.42257357</v>
      </c>
      <c r="M348" s="241">
        <f t="shared" si="115"/>
        <v>37.87075501</v>
      </c>
      <c r="N348" s="241">
        <f t="shared" si="116"/>
        <v>48.55181855</v>
      </c>
      <c r="O348" s="241">
        <f t="shared" si="117"/>
        <v>86.42257357</v>
      </c>
      <c r="P348" s="242">
        <f t="shared" si="2"/>
        <v>0.00006760615295</v>
      </c>
    </row>
    <row r="349">
      <c r="A349" s="236" t="s">
        <v>473</v>
      </c>
      <c r="B349" s="237">
        <f>' 19.ARRED_HIST_CONSOLIDADO_E_ME'!H248</f>
        <v>101633</v>
      </c>
      <c r="C349" s="238" t="str">
        <f t="shared" si="111"/>
        <v>SINAPI</v>
      </c>
      <c r="D349" s="238" t="s">
        <v>218</v>
      </c>
      <c r="E349" s="239" t="str">
        <f>IFERROR(IF(D349="SINAPI-S",VLOOKUP(B349,'20-B.SINAPI-S'!A:J,2,0),IF(D349="SINAPI-I",VLOOKUP(B349,'20-A.SINAPI-I'!A:G,2,0),IF(D349="COMPOSIÇÕES",VLOOKUP(B349,'11.COMPOSIÇÕES GERAIS'!B:I,2,0),VLOOKUP(B349,'12.COT.MERCADO'!A:I,2,0)))),"Em Elaboração")</f>
        <v>SUBSTITUIÇÃO DE RELÉ FOTOELÉTRICO PARA COMANDO DE ILUMINAÇÃO EXTERNA 1000 W - FORNECIMENTO E INSTALAÇÃO. AF_08/2020</v>
      </c>
      <c r="F349" s="240" t="str">
        <f>IFERROR(IF(D349="SINAPI-S",VLOOKUP(B349,'20-B.SINAPI-S'!A:J,3,0),IF(D349="SINAPI-I",VLOOKUP(B349,'20-A.SINAPI-I'!A:G,3,0),IF(D349="COMPOSIÇÕES",VLOOKUP(B349,'11.COMPOSIÇÕES GERAIS'!B:I,3,0),VLOOKUP(B349,'12.COT.MERCADO'!A:I,7,0)))),"Em Elaboração")</f>
        <v>UN</v>
      </c>
      <c r="G349" s="244">
        <f>VLOOKUP(B349,' 19.ARRED_HIST_CONSOLIDADO_E_ME'!H:O,8,0)</f>
        <v>1</v>
      </c>
      <c r="H349" s="241">
        <f>IFERROR(IF(D349="SINAPI-S",VLOOKUP(B349,'20-B.SINAPI-S'!A:J,5,0),IF(D349="SINAPI-I",VLOOKUP(B349,'20-A.SINAPI-I'!A:G,6,0),IF(D349="COMPOSIÇÕES",VLOOKUP(B349,'11.COMPOSIÇÕES GERAIS'!B:I,7,0),0))),"Em Elaboração")</f>
        <v>8.19</v>
      </c>
      <c r="I349" s="241">
        <f>IFERROR(IF(D349="SINAPI-S",VLOOKUP(B349,'20-B.SINAPI-S'!A:J,6,0),IF(D349="SINAPI-I",VLOOKUP(B349,'20-A.SINAPI-I'!A:G,7,0),IF(D349="COMPOSIÇÕES",VLOOKUP(B349,'11.COMPOSIÇÕES GERAIS'!B:I,8,0),VLOOKUP(B349,'12.COT.MERCADO'!A:I,8,0)))),"Em Elaboração")</f>
        <v>85.47</v>
      </c>
      <c r="J349" s="241">
        <f t="shared" si="112"/>
        <v>9.614429124</v>
      </c>
      <c r="K349" s="241">
        <f t="shared" si="113"/>
        <v>100.113967</v>
      </c>
      <c r="L349" s="241">
        <f t="shared" si="114"/>
        <v>109.7283961</v>
      </c>
      <c r="M349" s="241">
        <f t="shared" si="115"/>
        <v>9.614429124</v>
      </c>
      <c r="N349" s="241">
        <f t="shared" si="116"/>
        <v>100.113967</v>
      </c>
      <c r="O349" s="241">
        <f t="shared" si="117"/>
        <v>109.7283961</v>
      </c>
      <c r="P349" s="242">
        <f t="shared" si="2"/>
        <v>0.00008583769754</v>
      </c>
    </row>
    <row r="350">
      <c r="A350" s="236" t="s">
        <v>474</v>
      </c>
      <c r="B350" s="237" t="str">
        <f>' 19.ARRED_HIST_CONSOLIDADO_E_ME'!H249</f>
        <v>MAN_PR_076</v>
      </c>
      <c r="C350" s="238" t="str">
        <f t="shared" si="111"/>
        <v>PRÓPRIO</v>
      </c>
      <c r="D350" s="243" t="s">
        <v>230</v>
      </c>
      <c r="E350" s="239" t="str">
        <f>IFERROR(IF(D350="SINAPI-S",VLOOKUP(B350,'20-B.SINAPI-S'!A:J,2,0),IF(D350="SINAPI-I",VLOOKUP(B350,'20-A.SINAPI-I'!A:G,2,0),IF(D350="COMPOSIÇÕES",VLOOKUP(B350,'11.COMPOSIÇÕES GERAIS'!B:I,2,0),VLOOKUP(B350,'12.COT.MERCADO'!A:I,2,0)))),"Em Elaboração")</f>
        <v>FORNECIMENTO E INSTALAÇÃO DE CAIXA PARA QUADRO DE COMANDO TIPO CC PLAST 30X20X17CM CINZA/TR</v>
      </c>
      <c r="F350" s="240" t="str">
        <f>IFERROR(IF(D350="SINAPI-S",VLOOKUP(B350,'20-B.SINAPI-S'!A:J,3,0),IF(D350="SINAPI-I",VLOOKUP(B350,'20-A.SINAPI-I'!A:G,3,0),IF(D350="COMPOSIÇÕES",VLOOKUP(B350,'11.COMPOSIÇÕES GERAIS'!B:I,3,0),VLOOKUP(B350,'12.COT.MERCADO'!A:I,7,0)))),"Em Elaboração")</f>
        <v>KG    </v>
      </c>
      <c r="G350" s="244">
        <f>VLOOKUP(B350,' 19.ARRED_HIST_CONSOLIDADO_E_ME'!H:O,8,0)</f>
        <v>2</v>
      </c>
      <c r="H350" s="241">
        <f>IFERROR(IF(D350="SINAPI-S",VLOOKUP(B350,'20-B.SINAPI-S'!A:J,5,0),IF(D350="SINAPI-I",VLOOKUP(B350,'20-A.SINAPI-I'!A:G,6,0),IF(D350="COMPOSIÇÕES",VLOOKUP(B350,'11.COMPOSIÇÕES GERAIS'!B:I,7,0),0))),"Em Elaboração")</f>
        <v>55.3625</v>
      </c>
      <c r="I350" s="241">
        <f>IFERROR(IF(D350="SINAPI-S",VLOOKUP(B350,'20-B.SINAPI-S'!A:J,6,0),IF(D350="SINAPI-I",VLOOKUP(B350,'20-A.SINAPI-I'!A:G,7,0),IF(D350="COMPOSIÇÕES",VLOOKUP(B350,'11.COMPOSIÇÕES GERAIS'!B:I,8,0),VLOOKUP(B350,'12.COT.MERCADO'!A:I,8,0)))),"Em Elaboração")</f>
        <v>395.08</v>
      </c>
      <c r="J350" s="241">
        <f t="shared" si="112"/>
        <v>64.99131043</v>
      </c>
      <c r="K350" s="241">
        <f t="shared" si="113"/>
        <v>462.7708679</v>
      </c>
      <c r="L350" s="241">
        <f t="shared" si="114"/>
        <v>527.7621783</v>
      </c>
      <c r="M350" s="241">
        <f t="shared" si="115"/>
        <v>129.9826209</v>
      </c>
      <c r="N350" s="241">
        <f t="shared" si="116"/>
        <v>925.5417358</v>
      </c>
      <c r="O350" s="241">
        <f t="shared" si="117"/>
        <v>1055.524357</v>
      </c>
      <c r="P350" s="242">
        <f t="shared" si="2"/>
        <v>0.0008257095126</v>
      </c>
    </row>
    <row r="351">
      <c r="A351" s="236" t="s">
        <v>475</v>
      </c>
      <c r="B351" s="237">
        <f>' 19.ARRED_HIST_CONSOLIDADO_E_ME'!H250</f>
        <v>103425</v>
      </c>
      <c r="C351" s="238" t="str">
        <f t="shared" si="111"/>
        <v>SINAPI</v>
      </c>
      <c r="D351" s="238" t="s">
        <v>218</v>
      </c>
      <c r="E351" s="239" t="str">
        <f>IFERROR(IF(D351="SINAPI-S",VLOOKUP(B351,'20-B.SINAPI-S'!A:J,2,0),IF(D351="SINAPI-I",VLOOKUP(B351,'20-A.SINAPI-I'!A:G,2,0),IF(D351="COMPOSIÇÕES",VLOOKUP(B351,'11.COMPOSIÇÕES GERAIS'!B:I,2,0),VLOOKUP(B351,'12.COT.MERCADO'!A:I,2,0)))),"Em Elaboração")</f>
        <v>LUVA, EM PEAD LISO PARA REDE DE ÁGUA OU ESGOTO, DIÂMETRO DE 20 MM, JUNTA SOLDADA POR ELETROFUSÃO (NÃO INCLUI A EXECUÇÃO DE SOLDA). AF_12/2021</v>
      </c>
      <c r="F351" s="240" t="str">
        <f>IFERROR(IF(D351="SINAPI-S",VLOOKUP(B351,'20-B.SINAPI-S'!A:J,3,0),IF(D351="SINAPI-I",VLOOKUP(B351,'20-A.SINAPI-I'!A:G,3,0),IF(D351="COMPOSIÇÕES",VLOOKUP(B351,'11.COMPOSIÇÕES GERAIS'!B:I,3,0),VLOOKUP(B351,'12.COT.MERCADO'!A:I,7,0)))),"Em Elaboração")</f>
        <v>UN</v>
      </c>
      <c r="G351" s="244">
        <f>VLOOKUP(B351,' 19.ARRED_HIST_CONSOLIDADO_E_ME'!H:O,8,0)</f>
        <v>4</v>
      </c>
      <c r="H351" s="241">
        <f>IFERROR(IF(D351="SINAPI-S",VLOOKUP(B351,'20-B.SINAPI-S'!A:J,5,0),IF(D351="SINAPI-I",VLOOKUP(B351,'20-A.SINAPI-I'!A:G,6,0),IF(D351="COMPOSIÇÕES",VLOOKUP(B351,'11.COMPOSIÇÕES GERAIS'!B:I,7,0),0))),"Em Elaboração")</f>
        <v>3.3</v>
      </c>
      <c r="I351" s="241">
        <f>IFERROR(IF(D351="SINAPI-S",VLOOKUP(B351,'20-B.SINAPI-S'!A:J,6,0),IF(D351="SINAPI-I",VLOOKUP(B351,'20-A.SINAPI-I'!A:G,7,0),IF(D351="COMPOSIÇÕES",VLOOKUP(B351,'11.COMPOSIÇÕES GERAIS'!B:I,8,0),VLOOKUP(B351,'12.COT.MERCADO'!A:I,8,0)))),"Em Elaboração")</f>
        <v>13.63</v>
      </c>
      <c r="J351" s="241">
        <f t="shared" si="112"/>
        <v>3.873945801</v>
      </c>
      <c r="K351" s="241">
        <f t="shared" si="113"/>
        <v>15.9652904</v>
      </c>
      <c r="L351" s="241">
        <f t="shared" si="114"/>
        <v>19.8392362</v>
      </c>
      <c r="M351" s="241">
        <f t="shared" si="115"/>
        <v>15.4957832</v>
      </c>
      <c r="N351" s="241">
        <f t="shared" si="116"/>
        <v>63.86116158</v>
      </c>
      <c r="O351" s="241">
        <f t="shared" si="117"/>
        <v>79.35694479</v>
      </c>
      <c r="P351" s="242">
        <f t="shared" si="2"/>
        <v>0.00006207889357</v>
      </c>
    </row>
    <row r="352">
      <c r="A352" s="236" t="s">
        <v>476</v>
      </c>
      <c r="B352" s="237">
        <f>' 19.ARRED_HIST_CONSOLIDADO_E_ME'!H251</f>
        <v>1599</v>
      </c>
      <c r="C352" s="238" t="str">
        <f t="shared" si="111"/>
        <v>SINAPI</v>
      </c>
      <c r="D352" s="243" t="s">
        <v>286</v>
      </c>
      <c r="E352" s="239" t="str">
        <f>IFERROR(IF(D352="SINAPI-S",VLOOKUP(B352,'20-B.SINAPI-S'!A:J,2,0),IF(D352="SINAPI-I",VLOOKUP(B352,'20-A.SINAPI-I'!A:G,2,0),IF(D352="COMPOSIÇÕES",VLOOKUP(B352,'11.COMPOSIÇÕES GERAIS'!B:I,2,0),VLOOKUP(B352,'12.COT.MERCADO'!A:I,2,0)))),"Em Elaboração")</f>
        <v>CONECTOR DE ALUMINIO TIPO PRENSA CABO, BITOLA 3/4", PARA CABOS DE DIAMETRO DE 17,5 A 20 MM</v>
      </c>
      <c r="F352" s="240" t="str">
        <f>IFERROR(IF(D352="SINAPI-S",VLOOKUP(B352,'20-B.SINAPI-S'!A:J,3,0),IF(D352="SINAPI-I",VLOOKUP(B352,'20-A.SINAPI-I'!A:G,3,0),IF(D352="COMPOSIÇÕES",VLOOKUP(B352,'11.COMPOSIÇÕES GERAIS'!B:I,3,0),VLOOKUP(B352,'12.COT.MERCADO'!A:I,7,0)))),"Em Elaboração")</f>
        <v>UN</v>
      </c>
      <c r="G352" s="244">
        <f>VLOOKUP(B352,' 19.ARRED_HIST_CONSOLIDADO_E_ME'!H:O,8,0)</f>
        <v>13</v>
      </c>
      <c r="H352" s="241">
        <f>IFERROR(IF(D352="SINAPI-S",VLOOKUP(B352,'20-B.SINAPI-S'!A:J,5,0),IF(D352="SINAPI-I",VLOOKUP(B352,'20-A.SINAPI-I'!A:G,6,0),IF(D352="COMPOSIÇÕES",VLOOKUP(B352,'11.COMPOSIÇÕES GERAIS'!B:I,7,0),0))),"Em Elaboração")</f>
        <v>0</v>
      </c>
      <c r="I352" s="241">
        <f>IFERROR(IF(D352="SINAPI-S",VLOOKUP(B352,'20-B.SINAPI-S'!A:J,6,0),IF(D352="SINAPI-I",VLOOKUP(B352,'20-A.SINAPI-I'!A:G,7,0),IF(D352="COMPOSIÇÕES",VLOOKUP(B352,'11.COMPOSIÇÕES GERAIS'!B:I,8,0),VLOOKUP(B352,'12.COT.MERCADO'!A:I,8,0)))),"Em Elaboração")</f>
        <v>14.93</v>
      </c>
      <c r="J352" s="241">
        <f t="shared" si="112"/>
        <v>0</v>
      </c>
      <c r="K352" s="241">
        <f t="shared" si="113"/>
        <v>17.48802536</v>
      </c>
      <c r="L352" s="241">
        <f t="shared" si="114"/>
        <v>17.48802536</v>
      </c>
      <c r="M352" s="241">
        <f t="shared" si="115"/>
        <v>0</v>
      </c>
      <c r="N352" s="241">
        <f t="shared" si="116"/>
        <v>227.3443296</v>
      </c>
      <c r="O352" s="241">
        <f t="shared" si="117"/>
        <v>227.3443296</v>
      </c>
      <c r="P352" s="242">
        <f t="shared" si="2"/>
        <v>0.0001778456124</v>
      </c>
    </row>
    <row r="353">
      <c r="A353" s="236" t="s">
        <v>477</v>
      </c>
      <c r="B353" s="237">
        <f>' 19.ARRED_HIST_CONSOLIDADO_E_ME'!H252</f>
        <v>100749</v>
      </c>
      <c r="C353" s="238" t="str">
        <f t="shared" si="111"/>
        <v>SINAPI</v>
      </c>
      <c r="D353" s="238" t="s">
        <v>218</v>
      </c>
      <c r="E353" s="239" t="str">
        <f>IFERROR(IF(D353="SINAPI-S",VLOOKUP(B353,'20-B.SINAPI-S'!A:J,2,0),IF(D353="SINAPI-I",VLOOKUP(B353,'20-A.SINAPI-I'!A:G,2,0),IF(D353="COMPOSIÇÕES",VLOOKUP(B353,'11.COMPOSIÇÕES GERAIS'!B:I,2,0),VLOOKUP(B353,'12.COT.MERCADO'!A:I,2,0)))),"Em Elaboração")</f>
        <v>PINTURA COM TINTA ALQUÍDICA DE ACABAMENTO (ESMALTE SINTÉTICO FOSCO) PULVERIZADA SOBRE SUPERFÍCIES METÁLICAS (EXCETO PERFIL) EXECUTADO EM OBRA (POR DEMÃO). AF_01/2020_PE</v>
      </c>
      <c r="F353" s="240" t="str">
        <f>IFERROR(IF(D353="SINAPI-S",VLOOKUP(B353,'20-B.SINAPI-S'!A:J,3,0),IF(D353="SINAPI-I",VLOOKUP(B353,'20-A.SINAPI-I'!A:G,3,0),IF(D353="COMPOSIÇÕES",VLOOKUP(B353,'11.COMPOSIÇÕES GERAIS'!B:I,3,0),VLOOKUP(B353,'12.COT.MERCADO'!A:I,7,0)))),"Em Elaboração")</f>
        <v>M2</v>
      </c>
      <c r="G353" s="244">
        <f>VLOOKUP(B353,' 19.ARRED_HIST_CONSOLIDADO_E_ME'!H:O,8,0)</f>
        <v>1</v>
      </c>
      <c r="H353" s="241">
        <f>IFERROR(IF(D353="SINAPI-S",VLOOKUP(B353,'20-B.SINAPI-S'!A:J,5,0),IF(D353="SINAPI-I",VLOOKUP(B353,'20-A.SINAPI-I'!A:G,6,0),IF(D353="COMPOSIÇÕES",VLOOKUP(B353,'11.COMPOSIÇÕES GERAIS'!B:I,7,0),0))),"Em Elaboração")</f>
        <v>12.91</v>
      </c>
      <c r="I353" s="241">
        <f>IFERROR(IF(D353="SINAPI-S",VLOOKUP(B353,'20-B.SINAPI-S'!A:J,6,0),IF(D353="SINAPI-I",VLOOKUP(B353,'20-A.SINAPI-I'!A:G,7,0),IF(D353="COMPOSIÇÕES",VLOOKUP(B353,'11.COMPOSIÇÕES GERAIS'!B:I,8,0),VLOOKUP(B353,'12.COT.MERCADO'!A:I,8,0)))),"Em Elaboração")</f>
        <v>14.16</v>
      </c>
      <c r="J353" s="241">
        <f t="shared" si="112"/>
        <v>15.15534554</v>
      </c>
      <c r="K353" s="241">
        <f t="shared" si="113"/>
        <v>16.58609773</v>
      </c>
      <c r="L353" s="241">
        <f t="shared" si="114"/>
        <v>31.74144327</v>
      </c>
      <c r="M353" s="241">
        <f t="shared" si="115"/>
        <v>15.15534554</v>
      </c>
      <c r="N353" s="241">
        <f t="shared" si="116"/>
        <v>16.58609773</v>
      </c>
      <c r="O353" s="241">
        <f t="shared" si="117"/>
        <v>31.74144327</v>
      </c>
      <c r="P353" s="242">
        <f t="shared" si="2"/>
        <v>0.00002483051337</v>
      </c>
    </row>
    <row r="354">
      <c r="A354" s="236" t="s">
        <v>478</v>
      </c>
      <c r="B354" s="237">
        <f>' 19.ARRED_HIST_CONSOLIDADO_E_ME'!H253</f>
        <v>1535</v>
      </c>
      <c r="C354" s="238" t="str">
        <f t="shared" si="111"/>
        <v>SINAPI</v>
      </c>
      <c r="D354" s="243" t="s">
        <v>286</v>
      </c>
      <c r="E354" s="239" t="str">
        <f>IFERROR(IF(D354="SINAPI-S",VLOOKUP(B354,'20-B.SINAPI-S'!A:J,2,0),IF(D354="SINAPI-I",VLOOKUP(B354,'20-A.SINAPI-I'!A:G,2,0),IF(D354="COMPOSIÇÕES",VLOOKUP(B354,'11.COMPOSIÇÕES GERAIS'!B:I,2,0),VLOOKUP(B354,'12.COT.MERCADO'!A:I,2,0)))),"Em Elaboração")</f>
        <v>TERMINAL METALICO A PRESSAO PARA 1 CABO DE 6 A 10 MM2, COM 1 FURO DE FIXACAO</v>
      </c>
      <c r="F354" s="240" t="str">
        <f>IFERROR(IF(D354="SINAPI-S",VLOOKUP(B354,'20-B.SINAPI-S'!A:J,3,0),IF(D354="SINAPI-I",VLOOKUP(B354,'20-A.SINAPI-I'!A:G,3,0),IF(D354="COMPOSIÇÕES",VLOOKUP(B354,'11.COMPOSIÇÕES GERAIS'!B:I,3,0),VLOOKUP(B354,'12.COT.MERCADO'!A:I,7,0)))),"Em Elaboração")</f>
        <v>UN</v>
      </c>
      <c r="G354" s="244">
        <f>VLOOKUP(B354,' 19.ARRED_HIST_CONSOLIDADO_E_ME'!H:O,8,0)</f>
        <v>1</v>
      </c>
      <c r="H354" s="241">
        <f>IFERROR(IF(D354="SINAPI-S",VLOOKUP(B354,'20-B.SINAPI-S'!A:J,5,0),IF(D354="SINAPI-I",VLOOKUP(B354,'20-A.SINAPI-I'!A:G,6,0),IF(D354="COMPOSIÇÕES",VLOOKUP(B354,'11.COMPOSIÇÕES GERAIS'!B:I,7,0),0))),"Em Elaboração")</f>
        <v>0</v>
      </c>
      <c r="I354" s="241">
        <f>IFERROR(IF(D354="SINAPI-S",VLOOKUP(B354,'20-B.SINAPI-S'!A:J,6,0),IF(D354="SINAPI-I",VLOOKUP(B354,'20-A.SINAPI-I'!A:G,7,0),IF(D354="COMPOSIÇÕES",VLOOKUP(B354,'11.COMPOSIÇÕES GERAIS'!B:I,8,0),VLOOKUP(B354,'12.COT.MERCADO'!A:I,8,0)))),"Em Elaboração")</f>
        <v>5.44</v>
      </c>
      <c r="J354" s="241">
        <f t="shared" si="112"/>
        <v>0</v>
      </c>
      <c r="K354" s="241">
        <f t="shared" si="113"/>
        <v>6.372060143</v>
      </c>
      <c r="L354" s="241">
        <f t="shared" si="114"/>
        <v>6.372060143</v>
      </c>
      <c r="M354" s="241">
        <f t="shared" si="115"/>
        <v>0</v>
      </c>
      <c r="N354" s="241">
        <f t="shared" si="116"/>
        <v>6.372060143</v>
      </c>
      <c r="O354" s="241">
        <f t="shared" si="117"/>
        <v>6.372060143</v>
      </c>
      <c r="P354" s="242">
        <f t="shared" si="2"/>
        <v>0.000004984698498</v>
      </c>
    </row>
    <row r="355">
      <c r="A355" s="236" t="s">
        <v>479</v>
      </c>
      <c r="B355" s="237">
        <f>' 19.ARRED_HIST_CONSOLIDADO_E_ME'!H254</f>
        <v>1550</v>
      </c>
      <c r="C355" s="238" t="str">
        <f t="shared" si="111"/>
        <v>SINAPI</v>
      </c>
      <c r="D355" s="243" t="s">
        <v>286</v>
      </c>
      <c r="E355" s="239" t="str">
        <f>IFERROR(IF(D355="SINAPI-S",VLOOKUP(B355,'20-B.SINAPI-S'!A:J,2,0),IF(D355="SINAPI-I",VLOOKUP(B355,'20-A.SINAPI-I'!A:G,2,0),IF(D355="COMPOSIÇÕES",VLOOKUP(B355,'11.COMPOSIÇÕES GERAIS'!B:I,2,0),VLOOKUP(B355,'12.COT.MERCADO'!A:I,2,0)))),"Em Elaboração")</f>
        <v>CONECTOR METALICO TIPO PARAFUSO FENDIDO (SPLIT BOLT), PARA CABOS ATE 25 MM2</v>
      </c>
      <c r="F355" s="240" t="str">
        <f>IFERROR(IF(D355="SINAPI-S",VLOOKUP(B355,'20-B.SINAPI-S'!A:J,3,0),IF(D355="SINAPI-I",VLOOKUP(B355,'20-A.SINAPI-I'!A:G,3,0),IF(D355="COMPOSIÇÕES",VLOOKUP(B355,'11.COMPOSIÇÕES GERAIS'!B:I,3,0),VLOOKUP(B355,'12.COT.MERCADO'!A:I,7,0)))),"Em Elaboração")</f>
        <v>UN</v>
      </c>
      <c r="G355" s="244">
        <f>VLOOKUP(B355,' 19.ARRED_HIST_CONSOLIDADO_E_ME'!H:O,8,0)</f>
        <v>1</v>
      </c>
      <c r="H355" s="241">
        <f>IFERROR(IF(D355="SINAPI-S",VLOOKUP(B355,'20-B.SINAPI-S'!A:J,5,0),IF(D355="SINAPI-I",VLOOKUP(B355,'20-A.SINAPI-I'!A:G,6,0),IF(D355="COMPOSIÇÕES",VLOOKUP(B355,'11.COMPOSIÇÕES GERAIS'!B:I,7,0),0))),"Em Elaboração")</f>
        <v>0</v>
      </c>
      <c r="I355" s="241">
        <f>IFERROR(IF(D355="SINAPI-S",VLOOKUP(B355,'20-B.SINAPI-S'!A:J,6,0),IF(D355="SINAPI-I",VLOOKUP(B355,'20-A.SINAPI-I'!A:G,7,0),IF(D355="COMPOSIÇÕES",VLOOKUP(B355,'11.COMPOSIÇÕES GERAIS'!B:I,8,0),VLOOKUP(B355,'12.COT.MERCADO'!A:I,8,0)))),"Em Elaboração")</f>
        <v>8.07</v>
      </c>
      <c r="J355" s="241">
        <f t="shared" si="112"/>
        <v>0</v>
      </c>
      <c r="K355" s="241">
        <f t="shared" si="113"/>
        <v>9.452670102</v>
      </c>
      <c r="L355" s="241">
        <f t="shared" si="114"/>
        <v>9.452670102</v>
      </c>
      <c r="M355" s="241">
        <f t="shared" si="115"/>
        <v>0</v>
      </c>
      <c r="N355" s="241">
        <f t="shared" si="116"/>
        <v>9.452670102</v>
      </c>
      <c r="O355" s="241">
        <f t="shared" si="117"/>
        <v>9.452670102</v>
      </c>
      <c r="P355" s="242">
        <f t="shared" si="2"/>
        <v>0.000007394580309</v>
      </c>
    </row>
    <row r="356">
      <c r="A356" s="236" t="s">
        <v>480</v>
      </c>
      <c r="B356" s="237">
        <f>' 19.ARRED_HIST_CONSOLIDADO_E_ME'!H255</f>
        <v>101875</v>
      </c>
      <c r="C356" s="238" t="str">
        <f t="shared" si="111"/>
        <v>SINAPI</v>
      </c>
      <c r="D356" s="238" t="s">
        <v>218</v>
      </c>
      <c r="E356" s="239" t="str">
        <f>IFERROR(IF(D356="SINAPI-S",VLOOKUP(B356,'20-B.SINAPI-S'!A:J,2,0),IF(D356="SINAPI-I",VLOOKUP(B356,'20-A.SINAPI-I'!A:G,2,0),IF(D356="COMPOSIÇÕES",VLOOKUP(B356,'11.COMPOSIÇÕES GERAIS'!B:I,2,0),VLOOKUP(B356,'12.COT.MERCADO'!A:I,2,0)))),"Em Elaboração")</f>
        <v>QUADRO DE DISTRIBUIÇÃO DE ENERGIA EM CHAPA DE AÇO GALVANIZADO, DE EMBUTIR, COM BARRAMENTO TRIFÁSICO, PARA 12 DISJUNTORES DIN 100A - FORNECIMENTO E INSTALAÇÃO. AF_10/2020</v>
      </c>
      <c r="F356" s="240" t="str">
        <f>IFERROR(IF(D356="SINAPI-S",VLOOKUP(B356,'20-B.SINAPI-S'!A:J,3,0),IF(D356="SINAPI-I",VLOOKUP(B356,'20-A.SINAPI-I'!A:G,3,0),IF(D356="COMPOSIÇÕES",VLOOKUP(B356,'11.COMPOSIÇÕES GERAIS'!B:I,3,0),VLOOKUP(B356,'12.COT.MERCADO'!A:I,7,0)))),"Em Elaboração")</f>
        <v>UN</v>
      </c>
      <c r="G356" s="244">
        <f>VLOOKUP(B356,' 19.ARRED_HIST_CONSOLIDADO_E_ME'!H:O,8,0)</f>
        <v>1</v>
      </c>
      <c r="H356" s="241">
        <f>IFERROR(IF(D356="SINAPI-S",VLOOKUP(B356,'20-B.SINAPI-S'!A:J,5,0),IF(D356="SINAPI-I",VLOOKUP(B356,'20-A.SINAPI-I'!A:G,6,0),IF(D356="COMPOSIÇÕES",VLOOKUP(B356,'11.COMPOSIÇÕES GERAIS'!B:I,7,0),0))),"Em Elaboração")</f>
        <v>23.57</v>
      </c>
      <c r="I356" s="241">
        <f>IFERROR(IF(D356="SINAPI-S",VLOOKUP(B356,'20-B.SINAPI-S'!A:J,6,0),IF(D356="SINAPI-I",VLOOKUP(B356,'20-A.SINAPI-I'!A:G,7,0),IF(D356="COMPOSIÇÕES",VLOOKUP(B356,'11.COMPOSIÇÕES GERAIS'!B:I,8,0),VLOOKUP(B356,'12.COT.MERCADO'!A:I,8,0)))),"Em Elaboração")</f>
        <v>360.53</v>
      </c>
      <c r="J356" s="241">
        <f t="shared" si="112"/>
        <v>27.6693644</v>
      </c>
      <c r="K356" s="241">
        <f t="shared" si="113"/>
        <v>422.301258</v>
      </c>
      <c r="L356" s="241">
        <f t="shared" si="114"/>
        <v>449.9706224</v>
      </c>
      <c r="M356" s="241">
        <f t="shared" si="115"/>
        <v>27.6693644</v>
      </c>
      <c r="N356" s="241">
        <f t="shared" si="116"/>
        <v>422.301258</v>
      </c>
      <c r="O356" s="241">
        <f t="shared" si="117"/>
        <v>449.9706224</v>
      </c>
      <c r="P356" s="242">
        <f t="shared" si="2"/>
        <v>0.0003520004261</v>
      </c>
    </row>
    <row r="357">
      <c r="A357" s="236" t="s">
        <v>481</v>
      </c>
      <c r="B357" s="237">
        <f>' 19.ARRED_HIST_CONSOLIDADO_E_ME'!H256</f>
        <v>5678</v>
      </c>
      <c r="C357" s="238" t="str">
        <f t="shared" si="111"/>
        <v>SINAPI</v>
      </c>
      <c r="D357" s="238" t="s">
        <v>218</v>
      </c>
      <c r="E357" s="239" t="str">
        <f>IFERROR(IF(D357="SINAPI-S",VLOOKUP(B357,'20-B.SINAPI-S'!A:J,2,0),IF(D357="SINAPI-I",VLOOKUP(B357,'20-A.SINAPI-I'!A:G,2,0),IF(D357="COMPOSIÇÕES",VLOOKUP(B357,'11.COMPOSIÇÕES GERAIS'!B:I,2,0),VLOOKUP(B357,'12.COT.MERCADO'!A:I,2,0)))),"Em Elaboração")</f>
        <v>RETROESCAVADEIRA SOBRE RODAS COM CARREGADEIRA, TRAÇÃO 4X4, POTÊNCIA LÍQ. 88 HP, CAÇAMBA CARREG. CAP. MÍN. 1 M3, CAÇAMBA RETRO CAP. 0,26 M3, PESO OPERACIONAL MÍN. 6.674 KG, PROFUNDIDADE ESCAVAÇÃO MÁX. 4,37 M - CHP DIURNO. AF_06/2014</v>
      </c>
      <c r="F357" s="240" t="str">
        <f>IFERROR(IF(D357="SINAPI-S",VLOOKUP(B357,'20-B.SINAPI-S'!A:J,3,0),IF(D357="SINAPI-I",VLOOKUP(B357,'20-A.SINAPI-I'!A:G,3,0),IF(D357="COMPOSIÇÕES",VLOOKUP(B357,'11.COMPOSIÇÕES GERAIS'!B:I,3,0),VLOOKUP(B357,'12.COT.MERCADO'!A:I,7,0)))),"Em Elaboração")</f>
        <v>CHP</v>
      </c>
      <c r="G357" s="244">
        <f>VLOOKUP(B357,' 19.ARRED_HIST_CONSOLIDADO_E_ME'!H:O,8,0)</f>
        <v>3</v>
      </c>
      <c r="H357" s="241">
        <f>IFERROR(IF(D357="SINAPI-S",VLOOKUP(B357,'20-B.SINAPI-S'!A:J,5,0),IF(D357="SINAPI-I",VLOOKUP(B357,'20-A.SINAPI-I'!A:G,6,0),IF(D357="COMPOSIÇÕES",VLOOKUP(B357,'11.COMPOSIÇÕES GERAIS'!B:I,7,0),0))),"Em Elaboração")</f>
        <v>25.12</v>
      </c>
      <c r="I357" s="241">
        <f>IFERROR(IF(D357="SINAPI-S",VLOOKUP(B357,'20-B.SINAPI-S'!A:J,6,0),IF(D357="SINAPI-I",VLOOKUP(B357,'20-A.SINAPI-I'!A:G,7,0),IF(D357="COMPOSIÇÕES",VLOOKUP(B357,'11.COMPOSIÇÕES GERAIS'!B:I,8,0),VLOOKUP(B357,'12.COT.MERCADO'!A:I,8,0)))),"Em Elaboração")</f>
        <v>105.04</v>
      </c>
      <c r="J357" s="241">
        <f t="shared" si="112"/>
        <v>29.48894501</v>
      </c>
      <c r="K357" s="241">
        <f t="shared" si="113"/>
        <v>123.0369848</v>
      </c>
      <c r="L357" s="241">
        <f t="shared" si="114"/>
        <v>152.5259298</v>
      </c>
      <c r="M357" s="241">
        <f t="shared" si="115"/>
        <v>88.46683502</v>
      </c>
      <c r="N357" s="241">
        <f t="shared" si="116"/>
        <v>369.1109545</v>
      </c>
      <c r="O357" s="241">
        <f t="shared" si="117"/>
        <v>457.5777895</v>
      </c>
      <c r="P357" s="242">
        <f t="shared" si="2"/>
        <v>0.000357951317</v>
      </c>
    </row>
    <row r="358">
      <c r="A358" s="236" t="s">
        <v>482</v>
      </c>
      <c r="B358" s="237">
        <f>' 19.ARRED_HIST_CONSOLIDADO_E_ME'!H257</f>
        <v>98101</v>
      </c>
      <c r="C358" s="238" t="str">
        <f t="shared" si="111"/>
        <v>SINAPI</v>
      </c>
      <c r="D358" s="238" t="s">
        <v>218</v>
      </c>
      <c r="E358" s="239" t="str">
        <f>IFERROR(IF(D358="SINAPI-S",VLOOKUP(B358,'20-B.SINAPI-S'!A:J,2,0),IF(D358="SINAPI-I",VLOOKUP(B358,'20-A.SINAPI-I'!A:G,2,0),IF(D358="COMPOSIÇÕES",VLOOKUP(B358,'11.COMPOSIÇÕES GERAIS'!B:I,2,0),VLOOKUP(B358,'12.COT.MERCADO'!A:I,2,0)))),"Em Elaboração")</f>
        <v>SUMIDOURO RETANGULAR, EM ALVENARIA COM BLOCOS DE CONCRETO, DIMENSÕES INTERNAS: 1,6 X 5,8 X H=3,0 M, ÁREA DE INFILTRAÇÃO: 50 M² (PARA 20 CONTRIBUINTES). . AF_12/2020</v>
      </c>
      <c r="F358" s="240" t="str">
        <f>IFERROR(IF(D358="SINAPI-S",VLOOKUP(B358,'20-B.SINAPI-S'!A:J,3,0),IF(D358="SINAPI-I",VLOOKUP(B358,'20-A.SINAPI-I'!A:G,3,0),IF(D358="COMPOSIÇÕES",VLOOKUP(B358,'11.COMPOSIÇÕES GERAIS'!B:I,3,0),VLOOKUP(B358,'12.COT.MERCADO'!A:I,7,0)))),"Em Elaboração")</f>
        <v>UN</v>
      </c>
      <c r="G358" s="244">
        <f>VLOOKUP(B358,' 19.ARRED_HIST_CONSOLIDADO_E_ME'!H:O,8,0)</f>
        <v>1</v>
      </c>
      <c r="H358" s="241">
        <f>IFERROR(IF(D358="SINAPI-S",VLOOKUP(B358,'20-B.SINAPI-S'!A:J,5,0),IF(D358="SINAPI-I",VLOOKUP(B358,'20-A.SINAPI-I'!A:G,6,0),IF(D358="COMPOSIÇÕES",VLOOKUP(B358,'11.COMPOSIÇÕES GERAIS'!B:I,7,0),0))),"Em Elaboração")</f>
        <v>3340.85</v>
      </c>
      <c r="I358" s="241">
        <f>IFERROR(IF(D358="SINAPI-S",VLOOKUP(B358,'20-B.SINAPI-S'!A:J,6,0),IF(D358="SINAPI-I",VLOOKUP(B358,'20-A.SINAPI-I'!A:G,7,0),IF(D358="COMPOSIÇÕES",VLOOKUP(B358,'11.COMPOSIÇÕES GERAIS'!B:I,8,0),VLOOKUP(B358,'12.COT.MERCADO'!A:I,8,0)))),"Em Elaboração")</f>
        <v>5221.76</v>
      </c>
      <c r="J358" s="241">
        <f t="shared" si="112"/>
        <v>3921.900554</v>
      </c>
      <c r="K358" s="241">
        <f t="shared" si="113"/>
        <v>6116.428083</v>
      </c>
      <c r="L358" s="241">
        <f t="shared" si="114"/>
        <v>10038.32864</v>
      </c>
      <c r="M358" s="241">
        <f t="shared" si="115"/>
        <v>3921.900554</v>
      </c>
      <c r="N358" s="241">
        <f t="shared" si="116"/>
        <v>6116.428083</v>
      </c>
      <c r="O358" s="241">
        <f t="shared" si="117"/>
        <v>10038.32864</v>
      </c>
      <c r="P358" s="242">
        <f t="shared" si="2"/>
        <v>0.007852725894</v>
      </c>
    </row>
    <row r="359">
      <c r="A359" s="236" t="s">
        <v>483</v>
      </c>
      <c r="B359" s="237">
        <f>' 19.ARRED_HIST_CONSOLIDADO_E_ME'!H258</f>
        <v>98059</v>
      </c>
      <c r="C359" s="238" t="str">
        <f t="shared" si="111"/>
        <v>SINAPI</v>
      </c>
      <c r="D359" s="238" t="s">
        <v>218</v>
      </c>
      <c r="E359" s="239" t="str">
        <f>IFERROR(IF(D359="SINAPI-S",VLOOKUP(B359,'20-B.SINAPI-S'!A:J,2,0),IF(D359="SINAPI-I",VLOOKUP(B359,'20-A.SINAPI-I'!A:G,2,0),IF(D359="COMPOSIÇÕES",VLOOKUP(B359,'11.COMPOSIÇÕES GERAIS'!B:I,2,0),VLOOKUP(B359,'12.COT.MERCADO'!A:I,2,0)))),"Em Elaboração")</f>
        <v>FILTRO ANAERÓBIO CIRCULAR, EM CONCRETO PRÉ-MOLDADO, DIÂMETRO INTERNO = 1,88 M, ALTURA INTERNA = 1,50 M, VOLUME ÚTIL: 3331,1 L (PARA 19 CONTRIBUINTES). AF_12/2020_PA</v>
      </c>
      <c r="F359" s="240" t="str">
        <f>IFERROR(IF(D359="SINAPI-S",VLOOKUP(B359,'20-B.SINAPI-S'!A:J,3,0),IF(D359="SINAPI-I",VLOOKUP(B359,'20-A.SINAPI-I'!A:G,3,0),IF(D359="COMPOSIÇÕES",VLOOKUP(B359,'11.COMPOSIÇÕES GERAIS'!B:I,3,0),VLOOKUP(B359,'12.COT.MERCADO'!A:I,7,0)))),"Em Elaboração")</f>
        <v>UN</v>
      </c>
      <c r="G359" s="244">
        <f>VLOOKUP(B359,' 19.ARRED_HIST_CONSOLIDADO_E_ME'!H:O,8,0)</f>
        <v>1</v>
      </c>
      <c r="H359" s="241">
        <f>IFERROR(IF(D359="SINAPI-S",VLOOKUP(B359,'20-B.SINAPI-S'!A:J,5,0),IF(D359="SINAPI-I",VLOOKUP(B359,'20-A.SINAPI-I'!A:G,6,0),IF(D359="COMPOSIÇÕES",VLOOKUP(B359,'11.COMPOSIÇÕES GERAIS'!B:I,7,0),0))),"Em Elaboração")</f>
        <v>417.22</v>
      </c>
      <c r="I359" s="241">
        <f>IFERROR(IF(D359="SINAPI-S",VLOOKUP(B359,'20-B.SINAPI-S'!A:J,6,0),IF(D359="SINAPI-I",VLOOKUP(B359,'20-A.SINAPI-I'!A:G,7,0),IF(D359="COMPOSIÇÕES",VLOOKUP(B359,'11.COMPOSIÇÕES GERAIS'!B:I,8,0),VLOOKUP(B359,'12.COT.MERCADO'!A:I,8,0)))),"Em Elaboração")</f>
        <v>2556.26</v>
      </c>
      <c r="J359" s="241">
        <f t="shared" si="112"/>
        <v>489.7841415</v>
      </c>
      <c r="K359" s="241">
        <f t="shared" si="113"/>
        <v>2994.235747</v>
      </c>
      <c r="L359" s="241">
        <f t="shared" si="114"/>
        <v>3484.019888</v>
      </c>
      <c r="M359" s="241">
        <f t="shared" si="115"/>
        <v>489.7841415</v>
      </c>
      <c r="N359" s="241">
        <f t="shared" si="116"/>
        <v>2994.235747</v>
      </c>
      <c r="O359" s="241">
        <f t="shared" si="117"/>
        <v>3484.019888</v>
      </c>
      <c r="P359" s="242">
        <f t="shared" si="2"/>
        <v>0.002725459006</v>
      </c>
    </row>
    <row r="360">
      <c r="A360" s="236" t="s">
        <v>484</v>
      </c>
      <c r="B360" s="237">
        <f>' 19.ARRED_HIST_CONSOLIDADO_E_ME'!H259</f>
        <v>98054</v>
      </c>
      <c r="C360" s="238" t="str">
        <f t="shared" si="111"/>
        <v>SINAPI</v>
      </c>
      <c r="D360" s="238" t="s">
        <v>218</v>
      </c>
      <c r="E360" s="239" t="str">
        <f>IFERROR(IF(D360="SINAPI-S",VLOOKUP(B360,'20-B.SINAPI-S'!A:J,2,0),IF(D360="SINAPI-I",VLOOKUP(B360,'20-A.SINAPI-I'!A:G,2,0),IF(D360="COMPOSIÇÕES",VLOOKUP(B360,'11.COMPOSIÇÕES GERAIS'!B:I,2,0),VLOOKUP(B360,'12.COT.MERCADO'!A:I,2,0)))),"Em Elaboração")</f>
        <v>TANQUE SÉPTICO CIRCULAR, EM CONCRETO PRÉ-MOLDADO, DIÂMETRO INTERNO = 1,88 M, ALTURA INTERNA = 2,50 M, VOLUME ÚTIL: 6245,8 L (PARA 32 CONTRIBUINTES). AF_12/2020_PA</v>
      </c>
      <c r="F360" s="240" t="str">
        <f>IFERROR(IF(D360="SINAPI-S",VLOOKUP(B360,'20-B.SINAPI-S'!A:J,3,0),IF(D360="SINAPI-I",VLOOKUP(B360,'20-A.SINAPI-I'!A:G,3,0),IF(D360="COMPOSIÇÕES",VLOOKUP(B360,'11.COMPOSIÇÕES GERAIS'!B:I,3,0),VLOOKUP(B360,'12.COT.MERCADO'!A:I,7,0)))),"Em Elaboração")</f>
        <v>UN</v>
      </c>
      <c r="G360" s="244">
        <f>VLOOKUP(B360,' 19.ARRED_HIST_CONSOLIDADO_E_ME'!H:O,8,0)</f>
        <v>1</v>
      </c>
      <c r="H360" s="241">
        <f>IFERROR(IF(D360="SINAPI-S",VLOOKUP(B360,'20-B.SINAPI-S'!A:J,5,0),IF(D360="SINAPI-I",VLOOKUP(B360,'20-A.SINAPI-I'!A:G,6,0),IF(D360="COMPOSIÇÕES",VLOOKUP(B360,'11.COMPOSIÇÕES GERAIS'!B:I,7,0),0))),"Em Elaboração")</f>
        <v>343.09</v>
      </c>
      <c r="I360" s="241">
        <f>IFERROR(IF(D360="SINAPI-S",VLOOKUP(B360,'20-B.SINAPI-S'!A:J,6,0),IF(D360="SINAPI-I",VLOOKUP(B360,'20-A.SINAPI-I'!A:G,7,0),IF(D360="COMPOSIÇÕES",VLOOKUP(B360,'11.COMPOSIÇÕES GERAIS'!B:I,8,0),VLOOKUP(B360,'12.COT.MERCADO'!A:I,8,0)))),"Em Elaboração")</f>
        <v>3113.83</v>
      </c>
      <c r="J360" s="241">
        <f t="shared" si="112"/>
        <v>402.7612318</v>
      </c>
      <c r="K360" s="241">
        <f t="shared" si="113"/>
        <v>3647.336771</v>
      </c>
      <c r="L360" s="241">
        <f t="shared" si="114"/>
        <v>4050.098003</v>
      </c>
      <c r="M360" s="241">
        <f t="shared" si="115"/>
        <v>402.7612318</v>
      </c>
      <c r="N360" s="241">
        <f t="shared" si="116"/>
        <v>3647.336771</v>
      </c>
      <c r="O360" s="241">
        <f t="shared" si="117"/>
        <v>4050.098003</v>
      </c>
      <c r="P360" s="242">
        <f t="shared" si="2"/>
        <v>0.003168287332</v>
      </c>
    </row>
    <row r="361">
      <c r="A361" s="236" t="s">
        <v>485</v>
      </c>
      <c r="B361" s="237" t="str">
        <f>' 19.ARRED_HIST_CONSOLIDADO_E_ME'!H260</f>
        <v>COT_MAN_036</v>
      </c>
      <c r="C361" s="238" t="str">
        <f t="shared" si="111"/>
        <v>PRÓPRIO</v>
      </c>
      <c r="D361" s="243" t="s">
        <v>110</v>
      </c>
      <c r="E361" s="239" t="str">
        <f>IFERROR(IF(D361="SINAPI-S",VLOOKUP(B361,'20-B.SINAPI-S'!A:J,2,0),IF(D361="SINAPI-I",VLOOKUP(B361,'20-A.SINAPI-I'!A:G,2,0),IF(D361="COMPOSIÇÕES",VLOOKUP(B361,'11.COMPOSIÇÕES GERAIS'!B:I,2,0),VLOOKUP(B361,'12.COT.MERCADO'!A:I,2,0)))),"Em Elaboração")</f>
        <v>CONTROLE PARA PORTÃO ELETRÔNICO 4 VIAS DE LONGO ALCANCE. REF.: INTELBRAS EP 04 OU SIMILAR</v>
      </c>
      <c r="F361" s="240" t="str">
        <f>IFERROR(IF(D361="SINAPI-S",VLOOKUP(B361,'20-B.SINAPI-S'!A:J,3,0),IF(D361="SINAPI-I",VLOOKUP(B361,'20-A.SINAPI-I'!A:G,3,0),IF(D361="COMPOSIÇÕES",VLOOKUP(B361,'11.COMPOSIÇÕES GERAIS'!B:I,3,0),VLOOKUP(B361,'12.COT.MERCADO'!A:I,7,0)))),"Em Elaboração")</f>
        <v>UN</v>
      </c>
      <c r="G361" s="244">
        <f>VLOOKUP(B361,' 19.ARRED_HIST_CONSOLIDADO_E_ME'!H:O,8,0)</f>
        <v>1</v>
      </c>
      <c r="H361" s="241">
        <f>IFERROR(IF(D361="SINAPI-S",VLOOKUP(B361,'20-B.SINAPI-S'!A:J,5,0),IF(D361="SINAPI-I",VLOOKUP(B361,'20-A.SINAPI-I'!A:G,6,0),IF(D361="COMPOSIÇÕES",VLOOKUP(B361,'11.COMPOSIÇÕES GERAIS'!B:I,7,0),0))),"Em Elaboração")</f>
        <v>0</v>
      </c>
      <c r="I361" s="241">
        <f>IFERROR(IF(D361="SINAPI-S",VLOOKUP(B361,'20-B.SINAPI-S'!A:J,6,0),IF(D361="SINAPI-I",VLOOKUP(B361,'20-A.SINAPI-I'!A:G,7,0),IF(D361="COMPOSIÇÕES",VLOOKUP(B361,'11.COMPOSIÇÕES GERAIS'!B:I,8,0),VLOOKUP(B361,'12.COT.MERCADO'!A:I,8,0)))),"Em Elaboração")</f>
        <v>34.48</v>
      </c>
      <c r="J361" s="241">
        <f t="shared" si="112"/>
        <v>0</v>
      </c>
      <c r="K361" s="241">
        <f t="shared" si="113"/>
        <v>40.3876165</v>
      </c>
      <c r="L361" s="241">
        <f t="shared" si="114"/>
        <v>40.3876165</v>
      </c>
      <c r="M361" s="241">
        <f t="shared" si="115"/>
        <v>0</v>
      </c>
      <c r="N361" s="241">
        <f t="shared" si="116"/>
        <v>40.3876165</v>
      </c>
      <c r="O361" s="241">
        <f t="shared" si="117"/>
        <v>40.3876165</v>
      </c>
      <c r="P361" s="242">
        <f t="shared" si="2"/>
        <v>0.00003159419195</v>
      </c>
    </row>
    <row r="362">
      <c r="A362" s="236" t="s">
        <v>486</v>
      </c>
      <c r="B362" s="237">
        <f>' 19.ARRED_HIST_CONSOLIDADO_E_ME'!H261</f>
        <v>100554</v>
      </c>
      <c r="C362" s="238" t="str">
        <f t="shared" si="111"/>
        <v>SINAPI</v>
      </c>
      <c r="D362" s="238" t="s">
        <v>218</v>
      </c>
      <c r="E362" s="239" t="str">
        <f>IFERROR(IF(D362="SINAPI-S",VLOOKUP(B362,'20-B.SINAPI-S'!A:J,2,0),IF(D362="SINAPI-I",VLOOKUP(B362,'20-A.SINAPI-I'!A:G,2,0),IF(D362="COMPOSIÇÕES",VLOOKUP(B362,'11.COMPOSIÇÕES GERAIS'!B:I,2,0),VLOOKUP(B362,'12.COT.MERCADO'!A:I,2,0)))),"Em Elaboração")</f>
        <v>CABO COAXIAL RG59 95% - FORNECIMENTO E INSTALAÇÃO. AF_11/2019</v>
      </c>
      <c r="F362" s="240" t="str">
        <f>IFERROR(IF(D362="SINAPI-S",VLOOKUP(B362,'20-B.SINAPI-S'!A:J,3,0),IF(D362="SINAPI-I",VLOOKUP(B362,'20-A.SINAPI-I'!A:G,3,0),IF(D362="COMPOSIÇÕES",VLOOKUP(B362,'11.COMPOSIÇÕES GERAIS'!B:I,3,0),VLOOKUP(B362,'12.COT.MERCADO'!A:I,7,0)))),"Em Elaboração")</f>
        <v>M</v>
      </c>
      <c r="G362" s="244">
        <f>VLOOKUP(B362,' 19.ARRED_HIST_CONSOLIDADO_E_ME'!H:O,8,0)</f>
        <v>2</v>
      </c>
      <c r="H362" s="241">
        <f>IFERROR(IF(D362="SINAPI-S",VLOOKUP(B362,'20-B.SINAPI-S'!A:J,5,0),IF(D362="SINAPI-I",VLOOKUP(B362,'20-A.SINAPI-I'!A:G,6,0),IF(D362="COMPOSIÇÕES",VLOOKUP(B362,'11.COMPOSIÇÕES GERAIS'!B:I,7,0),0))),"Em Elaboração")</f>
        <v>3.16</v>
      </c>
      <c r="I362" s="241">
        <f>IFERROR(IF(D362="SINAPI-S",VLOOKUP(B362,'20-B.SINAPI-S'!A:J,6,0),IF(D362="SINAPI-I",VLOOKUP(B362,'20-A.SINAPI-I'!A:G,7,0),IF(D362="COMPOSIÇÕES",VLOOKUP(B362,'11.COMPOSIÇÕES GERAIS'!B:I,8,0),VLOOKUP(B362,'12.COT.MERCADO'!A:I,8,0)))),"Em Elaboração")</f>
        <v>3.04</v>
      </c>
      <c r="J362" s="241">
        <f t="shared" si="112"/>
        <v>3.709596585</v>
      </c>
      <c r="K362" s="241">
        <f t="shared" si="113"/>
        <v>3.560857139</v>
      </c>
      <c r="L362" s="241">
        <f t="shared" si="114"/>
        <v>7.270453724</v>
      </c>
      <c r="M362" s="241">
        <f t="shared" si="115"/>
        <v>7.41919317</v>
      </c>
      <c r="N362" s="241">
        <f t="shared" si="116"/>
        <v>7.121714278</v>
      </c>
      <c r="O362" s="241">
        <f t="shared" si="117"/>
        <v>14.54090745</v>
      </c>
      <c r="P362" s="242">
        <f t="shared" si="2"/>
        <v>0.00001137497731</v>
      </c>
    </row>
    <row r="363">
      <c r="A363" s="236" t="s">
        <v>487</v>
      </c>
      <c r="B363" s="237">
        <f>' 19.ARRED_HIST_CONSOLIDADO_E_ME'!H262</f>
        <v>38105</v>
      </c>
      <c r="C363" s="238" t="str">
        <f t="shared" si="111"/>
        <v>SINAPI</v>
      </c>
      <c r="D363" s="243" t="s">
        <v>286</v>
      </c>
      <c r="E363" s="239" t="str">
        <f>IFERROR(IF(D363="SINAPI-S",VLOOKUP(B363,'20-B.SINAPI-S'!A:J,2,0),IF(D363="SINAPI-I",VLOOKUP(B363,'20-A.SINAPI-I'!A:G,2,0),IF(D363="COMPOSIÇÕES",VLOOKUP(B363,'11.COMPOSIÇÕES GERAIS'!B:I,2,0),VLOOKUP(B363,'12.COT.MERCADO'!A:I,2,0)))),"Em Elaboração")</f>
        <v>TOMADA PARA ANTENA DE TV, CABO COAXIAL DE 9 MM (APENAS MODULO)</v>
      </c>
      <c r="F363" s="240" t="str">
        <f>IFERROR(IF(D363="SINAPI-S",VLOOKUP(B363,'20-B.SINAPI-S'!A:J,3,0),IF(D363="SINAPI-I",VLOOKUP(B363,'20-A.SINAPI-I'!A:G,3,0),IF(D363="COMPOSIÇÕES",VLOOKUP(B363,'11.COMPOSIÇÕES GERAIS'!B:I,3,0),VLOOKUP(B363,'12.COT.MERCADO'!A:I,7,0)))),"Em Elaboração")</f>
        <v>UN</v>
      </c>
      <c r="G363" s="244">
        <f>VLOOKUP(B363,' 19.ARRED_HIST_CONSOLIDADO_E_ME'!H:O,8,0)</f>
        <v>1</v>
      </c>
      <c r="H363" s="241">
        <f>IFERROR(IF(D363="SINAPI-S",VLOOKUP(B363,'20-B.SINAPI-S'!A:J,5,0),IF(D363="SINAPI-I",VLOOKUP(B363,'20-A.SINAPI-I'!A:G,6,0),IF(D363="COMPOSIÇÕES",VLOOKUP(B363,'11.COMPOSIÇÕES GERAIS'!B:I,7,0),0))),"Em Elaboração")</f>
        <v>0</v>
      </c>
      <c r="I363" s="241">
        <f>IFERROR(IF(D363="SINAPI-S",VLOOKUP(B363,'20-B.SINAPI-S'!A:J,6,0),IF(D363="SINAPI-I",VLOOKUP(B363,'20-A.SINAPI-I'!A:G,7,0),IF(D363="COMPOSIÇÕES",VLOOKUP(B363,'11.COMPOSIÇÕES GERAIS'!B:I,8,0),VLOOKUP(B363,'12.COT.MERCADO'!A:I,8,0)))),"Em Elaboração")</f>
        <v>11.8</v>
      </c>
      <c r="J363" s="241">
        <f t="shared" si="112"/>
        <v>0</v>
      </c>
      <c r="K363" s="241">
        <f t="shared" si="113"/>
        <v>13.8217481</v>
      </c>
      <c r="L363" s="241">
        <f t="shared" si="114"/>
        <v>13.8217481</v>
      </c>
      <c r="M363" s="241">
        <f t="shared" si="115"/>
        <v>0</v>
      </c>
      <c r="N363" s="241">
        <f t="shared" si="116"/>
        <v>13.8217481</v>
      </c>
      <c r="O363" s="241">
        <f t="shared" si="117"/>
        <v>13.8217481</v>
      </c>
      <c r="P363" s="242">
        <f t="shared" si="2"/>
        <v>0.00001081239748</v>
      </c>
    </row>
    <row r="364">
      <c r="A364" s="236" t="s">
        <v>488</v>
      </c>
      <c r="B364" s="237">
        <f>' 19.ARRED_HIST_CONSOLIDADO_E_ME'!H263</f>
        <v>98300</v>
      </c>
      <c r="C364" s="238" t="str">
        <f t="shared" si="111"/>
        <v>SINAPI</v>
      </c>
      <c r="D364" s="238" t="s">
        <v>218</v>
      </c>
      <c r="E364" s="239" t="str">
        <f>IFERROR(IF(D364="SINAPI-S",VLOOKUP(B364,'20-B.SINAPI-S'!A:J,2,0),IF(D364="SINAPI-I",VLOOKUP(B364,'20-A.SINAPI-I'!A:G,2,0),IF(D364="COMPOSIÇÕES",VLOOKUP(B364,'11.COMPOSIÇÕES GERAIS'!B:I,2,0),VLOOKUP(B364,'12.COT.MERCADO'!A:I,2,0)))),"Em Elaboração")</f>
        <v>CABO COAXIAL RG6 95% - FORNECIMENTO E INSTALAÇÃO. AF_11/2019</v>
      </c>
      <c r="F364" s="240" t="str">
        <f>IFERROR(IF(D364="SINAPI-S",VLOOKUP(B364,'20-B.SINAPI-S'!A:J,3,0),IF(D364="SINAPI-I",VLOOKUP(B364,'20-A.SINAPI-I'!A:G,3,0),IF(D364="COMPOSIÇÕES",VLOOKUP(B364,'11.COMPOSIÇÕES GERAIS'!B:I,3,0),VLOOKUP(B364,'12.COT.MERCADO'!A:I,7,0)))),"Em Elaboração")</f>
        <v>M</v>
      </c>
      <c r="G364" s="244">
        <f>VLOOKUP(B364,' 19.ARRED_HIST_CONSOLIDADO_E_ME'!H:O,8,0)</f>
        <v>4</v>
      </c>
      <c r="H364" s="241">
        <f>IFERROR(IF(D364="SINAPI-S",VLOOKUP(B364,'20-B.SINAPI-S'!A:J,5,0),IF(D364="SINAPI-I",VLOOKUP(B364,'20-A.SINAPI-I'!A:G,6,0),IF(D364="COMPOSIÇÕES",VLOOKUP(B364,'11.COMPOSIÇÕES GERAIS'!B:I,7,0),0))),"Em Elaboração")</f>
        <v>3.34</v>
      </c>
      <c r="I364" s="241">
        <f>IFERROR(IF(D364="SINAPI-S",VLOOKUP(B364,'20-B.SINAPI-S'!A:J,6,0),IF(D364="SINAPI-I",VLOOKUP(B364,'20-A.SINAPI-I'!A:G,7,0),IF(D364="COMPOSIÇÕES",VLOOKUP(B364,'11.COMPOSIÇÕES GERAIS'!B:I,8,0),VLOOKUP(B364,'12.COT.MERCADO'!A:I,8,0)))),"Em Elaboração")</f>
        <v>3.16</v>
      </c>
      <c r="J364" s="241">
        <f t="shared" si="112"/>
        <v>3.92090272</v>
      </c>
      <c r="K364" s="241">
        <f t="shared" si="113"/>
        <v>3.701417289</v>
      </c>
      <c r="L364" s="241">
        <f t="shared" si="114"/>
        <v>7.622320009</v>
      </c>
      <c r="M364" s="241">
        <f t="shared" si="115"/>
        <v>15.68361088</v>
      </c>
      <c r="N364" s="241">
        <f t="shared" si="116"/>
        <v>14.80566916</v>
      </c>
      <c r="O364" s="241">
        <f t="shared" si="117"/>
        <v>30.48928004</v>
      </c>
      <c r="P364" s="242">
        <f t="shared" si="2"/>
        <v>0.00002385097833</v>
      </c>
    </row>
    <row r="365">
      <c r="A365" s="236" t="s">
        <v>489</v>
      </c>
      <c r="B365" s="237">
        <f>' 19.ARRED_HIST_CONSOLIDADO_E_ME'!H264</f>
        <v>38394</v>
      </c>
      <c r="C365" s="238" t="str">
        <f t="shared" si="111"/>
        <v>SINAPI</v>
      </c>
      <c r="D365" s="243" t="s">
        <v>286</v>
      </c>
      <c r="E365" s="239" t="str">
        <f>IFERROR(IF(D365="SINAPI-S",VLOOKUP(B365,'20-B.SINAPI-S'!A:J,2,0),IF(D365="SINAPI-I",VLOOKUP(B365,'20-A.SINAPI-I'!A:G,2,0),IF(D365="COMPOSIÇÕES",VLOOKUP(B365,'11.COMPOSIÇÕES GERAIS'!B:I,2,0),VLOOKUP(B365,'12.COT.MERCADO'!A:I,2,0)))),"Em Elaboração")</f>
        <v>KIT ACESSORIOS PARA COMPRESSOR DE AR, 5 PECAS (PISTOLAS PINTURA, LIMPEZA E PULVERIZACAO, CALIBRADOR E MANGUEIRA)</v>
      </c>
      <c r="F365" s="240" t="str">
        <f>IFERROR(IF(D365="SINAPI-S",VLOOKUP(B365,'20-B.SINAPI-S'!A:J,3,0),IF(D365="SINAPI-I",VLOOKUP(B365,'20-A.SINAPI-I'!A:G,3,0),IF(D365="COMPOSIÇÕES",VLOOKUP(B365,'11.COMPOSIÇÕES GERAIS'!B:I,3,0),VLOOKUP(B365,'12.COT.MERCADO'!A:I,7,0)))),"Em Elaboração")</f>
        <v>UN</v>
      </c>
      <c r="G365" s="244">
        <f>VLOOKUP(B365,' 19.ARRED_HIST_CONSOLIDADO_E_ME'!H:O,8,0)</f>
        <v>1</v>
      </c>
      <c r="H365" s="241">
        <f>IFERROR(IF(D365="SINAPI-S",VLOOKUP(B365,'20-B.SINAPI-S'!A:J,5,0),IF(D365="SINAPI-I",VLOOKUP(B365,'20-A.SINAPI-I'!A:G,6,0),IF(D365="COMPOSIÇÕES",VLOOKUP(B365,'11.COMPOSIÇÕES GERAIS'!B:I,7,0),0))),"Em Elaboração")</f>
        <v>0</v>
      </c>
      <c r="I365" s="241">
        <f>IFERROR(IF(D365="SINAPI-S",VLOOKUP(B365,'20-B.SINAPI-S'!A:J,6,0),IF(D365="SINAPI-I",VLOOKUP(B365,'20-A.SINAPI-I'!A:G,7,0),IF(D365="COMPOSIÇÕES",VLOOKUP(B365,'11.COMPOSIÇÕES GERAIS'!B:I,8,0),VLOOKUP(B365,'12.COT.MERCADO'!A:I,8,0)))),"Em Elaboração")</f>
        <v>312.47</v>
      </c>
      <c r="J365" s="241">
        <f t="shared" si="112"/>
        <v>0</v>
      </c>
      <c r="K365" s="241">
        <f t="shared" si="113"/>
        <v>366.0069178</v>
      </c>
      <c r="L365" s="241">
        <f t="shared" si="114"/>
        <v>366.0069178</v>
      </c>
      <c r="M365" s="241">
        <f t="shared" si="115"/>
        <v>0</v>
      </c>
      <c r="N365" s="241">
        <f t="shared" si="116"/>
        <v>366.0069178</v>
      </c>
      <c r="O365" s="241">
        <f t="shared" si="117"/>
        <v>366.0069178</v>
      </c>
      <c r="P365" s="242">
        <f t="shared" si="2"/>
        <v>0.000286317783</v>
      </c>
    </row>
    <row r="366">
      <c r="A366" s="236" t="s">
        <v>490</v>
      </c>
      <c r="B366" s="237">
        <f>' 19.ARRED_HIST_CONSOLIDADO_E_ME'!H265</f>
        <v>12892</v>
      </c>
      <c r="C366" s="238" t="str">
        <f t="shared" si="111"/>
        <v>SINAPI</v>
      </c>
      <c r="D366" s="243" t="s">
        <v>286</v>
      </c>
      <c r="E366" s="239" t="str">
        <f>IFERROR(IF(D366="SINAPI-S",VLOOKUP(B366,'20-B.SINAPI-S'!A:J,2,0),IF(D366="SINAPI-I",VLOOKUP(B366,'20-A.SINAPI-I'!A:G,2,0),IF(D366="COMPOSIÇÕES",VLOOKUP(B366,'11.COMPOSIÇÕES GERAIS'!B:I,2,0),VLOOKUP(B366,'12.COT.MERCADO'!A:I,2,0)))),"Em Elaboração")</f>
        <v>LUVA RASPA DE COURO, CANO CURTO (PUNHO *7* CM)</v>
      </c>
      <c r="F366" s="240" t="str">
        <f>IFERROR(IF(D366="SINAPI-S",VLOOKUP(B366,'20-B.SINAPI-S'!A:J,3,0),IF(D366="SINAPI-I",VLOOKUP(B366,'20-A.SINAPI-I'!A:G,3,0),IF(D366="COMPOSIÇÕES",VLOOKUP(B366,'11.COMPOSIÇÕES GERAIS'!B:I,3,0),VLOOKUP(B366,'12.COT.MERCADO'!A:I,7,0)))),"Em Elaboração")</f>
        <v>PAR</v>
      </c>
      <c r="G366" s="244">
        <f>VLOOKUP(B366,' 19.ARRED_HIST_CONSOLIDADO_E_ME'!H:O,8,0)</f>
        <v>1</v>
      </c>
      <c r="H366" s="241">
        <f>IFERROR(IF(D366="SINAPI-S",VLOOKUP(B366,'20-B.SINAPI-S'!A:J,5,0),IF(D366="SINAPI-I",VLOOKUP(B366,'20-A.SINAPI-I'!A:G,6,0),IF(D366="COMPOSIÇÕES",VLOOKUP(B366,'11.COMPOSIÇÕES GERAIS'!B:I,7,0),0))),"Em Elaboração")</f>
        <v>0</v>
      </c>
      <c r="I366" s="241">
        <f>IFERROR(IF(D366="SINAPI-S",VLOOKUP(B366,'20-B.SINAPI-S'!A:J,6,0),IF(D366="SINAPI-I",VLOOKUP(B366,'20-A.SINAPI-I'!A:G,7,0),IF(D366="COMPOSIÇÕES",VLOOKUP(B366,'11.COMPOSIÇÕES GERAIS'!B:I,8,0),VLOOKUP(B366,'12.COT.MERCADO'!A:I,8,0)))),"Em Elaboração")</f>
        <v>13.5</v>
      </c>
      <c r="J366" s="241">
        <f t="shared" si="112"/>
        <v>0</v>
      </c>
      <c r="K366" s="241">
        <f t="shared" si="113"/>
        <v>15.8130169</v>
      </c>
      <c r="L366" s="241">
        <f t="shared" si="114"/>
        <v>15.8130169</v>
      </c>
      <c r="M366" s="241">
        <f t="shared" si="115"/>
        <v>0</v>
      </c>
      <c r="N366" s="241">
        <f t="shared" si="116"/>
        <v>15.8130169</v>
      </c>
      <c r="O366" s="241">
        <f t="shared" si="117"/>
        <v>15.8130169</v>
      </c>
      <c r="P366" s="242">
        <f t="shared" si="2"/>
        <v>0.00001237011576</v>
      </c>
    </row>
    <row r="367">
      <c r="A367" s="236" t="s">
        <v>491</v>
      </c>
      <c r="B367" s="237">
        <f>' 19.ARRED_HIST_CONSOLIDADO_E_ME'!H266</f>
        <v>38140</v>
      </c>
      <c r="C367" s="238" t="str">
        <f t="shared" si="111"/>
        <v>SINAPI</v>
      </c>
      <c r="D367" s="243" t="s">
        <v>286</v>
      </c>
      <c r="E367" s="239" t="str">
        <f>IFERROR(IF(D367="SINAPI-S",VLOOKUP(B367,'20-B.SINAPI-S'!A:J,2,0),IF(D367="SINAPI-I",VLOOKUP(B367,'20-A.SINAPI-I'!A:G,2,0),IF(D367="COMPOSIÇÕES",VLOOKUP(B367,'11.COMPOSIÇÕES GERAIS'!B:I,2,0),VLOOKUP(B367,'12.COT.MERCADO'!A:I,2,0)))),"Em Elaboração")</f>
        <v>DISCO DE CORTE DIAMANTADO SEGMENTADO PARA CONCRETO, DIAMETRO DE 110 MM, FURO DE 20 MM</v>
      </c>
      <c r="F367" s="240" t="str">
        <f>IFERROR(IF(D367="SINAPI-S",VLOOKUP(B367,'20-B.SINAPI-S'!A:J,3,0),IF(D367="SINAPI-I",VLOOKUP(B367,'20-A.SINAPI-I'!A:G,3,0),IF(D367="COMPOSIÇÕES",VLOOKUP(B367,'11.COMPOSIÇÕES GERAIS'!B:I,3,0),VLOOKUP(B367,'12.COT.MERCADO'!A:I,7,0)))),"Em Elaboração")</f>
        <v>UN</v>
      </c>
      <c r="G367" s="244">
        <f>VLOOKUP(B367,' 19.ARRED_HIST_CONSOLIDADO_E_ME'!H:O,8,0)</f>
        <v>10</v>
      </c>
      <c r="H367" s="241">
        <f>IFERROR(IF(D367="SINAPI-S",VLOOKUP(B367,'20-B.SINAPI-S'!A:J,5,0),IF(D367="SINAPI-I",VLOOKUP(B367,'20-A.SINAPI-I'!A:G,6,0),IF(D367="COMPOSIÇÕES",VLOOKUP(B367,'11.COMPOSIÇÕES GERAIS'!B:I,7,0),0))),"Em Elaboração")</f>
        <v>0</v>
      </c>
      <c r="I367" s="241">
        <f>IFERROR(IF(D367="SINAPI-S",VLOOKUP(B367,'20-B.SINAPI-S'!A:J,6,0),IF(D367="SINAPI-I",VLOOKUP(B367,'20-A.SINAPI-I'!A:G,7,0),IF(D367="COMPOSIÇÕES",VLOOKUP(B367,'11.COMPOSIÇÕES GERAIS'!B:I,8,0),VLOOKUP(B367,'12.COT.MERCADO'!A:I,8,0)))),"Em Elaboração")</f>
        <v>28.59</v>
      </c>
      <c r="J367" s="241">
        <f t="shared" si="112"/>
        <v>0</v>
      </c>
      <c r="K367" s="241">
        <f t="shared" si="113"/>
        <v>33.48845579</v>
      </c>
      <c r="L367" s="241">
        <f t="shared" si="114"/>
        <v>33.48845579</v>
      </c>
      <c r="M367" s="241">
        <f t="shared" si="115"/>
        <v>0</v>
      </c>
      <c r="N367" s="241">
        <f t="shared" si="116"/>
        <v>334.8845579</v>
      </c>
      <c r="O367" s="241">
        <f t="shared" si="117"/>
        <v>334.8845579</v>
      </c>
      <c r="P367" s="242">
        <f t="shared" si="2"/>
        <v>0.0002619715626</v>
      </c>
    </row>
    <row r="368">
      <c r="A368" s="236" t="s">
        <v>492</v>
      </c>
      <c r="B368" s="237">
        <f>' 19.ARRED_HIST_CONSOLIDADO_E_ME'!H267</f>
        <v>21012</v>
      </c>
      <c r="C368" s="238" t="str">
        <f t="shared" si="111"/>
        <v>SINAPI</v>
      </c>
      <c r="D368" s="243" t="s">
        <v>286</v>
      </c>
      <c r="E368" s="239" t="str">
        <f>IFERROR(IF(D368="SINAPI-S",VLOOKUP(B368,'20-B.SINAPI-S'!A:J,2,0),IF(D368="SINAPI-I",VLOOKUP(B368,'20-A.SINAPI-I'!A:G,2,0),IF(D368="COMPOSIÇÕES",VLOOKUP(B368,'11.COMPOSIÇÕES GERAIS'!B:I,2,0),VLOOKUP(B368,'12.COT.MERCADO'!A:I,2,0)))),"Em Elaboração")</f>
        <v>TUBO ACO GALVANIZADO COM COSTURA, CLASSE LEVE, DN 40 MM ( 1 1/2"),  E = 3,00 MM,  *3,48* KG/M (NBR 5580)</v>
      </c>
      <c r="F368" s="240" t="str">
        <f>IFERROR(IF(D368="SINAPI-S",VLOOKUP(B368,'20-B.SINAPI-S'!A:J,3,0),IF(D368="SINAPI-I",VLOOKUP(B368,'20-A.SINAPI-I'!A:G,3,0),IF(D368="COMPOSIÇÕES",VLOOKUP(B368,'11.COMPOSIÇÕES GERAIS'!B:I,3,0),VLOOKUP(B368,'12.COT.MERCADO'!A:I,7,0)))),"Em Elaboração")</f>
        <v>M</v>
      </c>
      <c r="G368" s="244">
        <f>VLOOKUP(B368,' 19.ARRED_HIST_CONSOLIDADO_E_ME'!H:O,8,0)</f>
        <v>1</v>
      </c>
      <c r="H368" s="241">
        <f>IFERROR(IF(D368="SINAPI-S",VLOOKUP(B368,'20-B.SINAPI-S'!A:J,5,0),IF(D368="SINAPI-I",VLOOKUP(B368,'20-A.SINAPI-I'!A:G,6,0),IF(D368="COMPOSIÇÕES",VLOOKUP(B368,'11.COMPOSIÇÕES GERAIS'!B:I,7,0),0))),"Em Elaboração")</f>
        <v>0</v>
      </c>
      <c r="I368" s="241">
        <f>IFERROR(IF(D368="SINAPI-S",VLOOKUP(B368,'20-B.SINAPI-S'!A:J,6,0),IF(D368="SINAPI-I",VLOOKUP(B368,'20-A.SINAPI-I'!A:G,7,0),IF(D368="COMPOSIÇÕES",VLOOKUP(B368,'11.COMPOSIÇÕES GERAIS'!B:I,8,0),VLOOKUP(B368,'12.COT.MERCADO'!A:I,8,0)))),"Em Elaboração")</f>
        <v>51.23</v>
      </c>
      <c r="J368" s="241">
        <f t="shared" si="112"/>
        <v>0</v>
      </c>
      <c r="K368" s="241">
        <f t="shared" si="113"/>
        <v>60.0074708</v>
      </c>
      <c r="L368" s="241">
        <f t="shared" si="114"/>
        <v>60.0074708</v>
      </c>
      <c r="M368" s="241">
        <f t="shared" si="115"/>
        <v>0</v>
      </c>
      <c r="N368" s="241">
        <f t="shared" si="116"/>
        <v>60.0074708</v>
      </c>
      <c r="O368" s="241">
        <f t="shared" si="117"/>
        <v>60.0074708</v>
      </c>
      <c r="P368" s="242">
        <f t="shared" si="2"/>
        <v>0.00004694229854</v>
      </c>
    </row>
    <row r="369">
      <c r="A369" s="236" t="s">
        <v>493</v>
      </c>
      <c r="B369" s="237">
        <f>' 19.ARRED_HIST_CONSOLIDADO_E_ME'!H268</f>
        <v>100808</v>
      </c>
      <c r="C369" s="238" t="str">
        <f t="shared" si="111"/>
        <v>SINAPI</v>
      </c>
      <c r="D369" s="238" t="s">
        <v>218</v>
      </c>
      <c r="E369" s="239" t="str">
        <f>IFERROR(IF(D369="SINAPI-S",VLOOKUP(B369,'20-B.SINAPI-S'!A:J,2,0),IF(D369="SINAPI-I",VLOOKUP(B369,'20-A.SINAPI-I'!A:G,2,0),IF(D369="COMPOSIÇÕES",VLOOKUP(B369,'11.COMPOSIÇÕES GERAIS'!B:I,2,0),VLOOKUP(B369,'12.COT.MERCADO'!A:I,2,0)))),"Em Elaboração")</f>
        <v>TUBO, PEX, MULTICAMADA, COM TUBO LUVA, DN 20, INSTALADO EM RAMAL INTERNO DE INSTALAÇÕES DE GÁS - FORNECIMENTO E INSTALAÇÃO. AF_01/2020</v>
      </c>
      <c r="F369" s="240" t="str">
        <f>IFERROR(IF(D369="SINAPI-S",VLOOKUP(B369,'20-B.SINAPI-S'!A:J,3,0),IF(D369="SINAPI-I",VLOOKUP(B369,'20-A.SINAPI-I'!A:G,3,0),IF(D369="COMPOSIÇÕES",VLOOKUP(B369,'11.COMPOSIÇÕES GERAIS'!B:I,3,0),VLOOKUP(B369,'12.COT.MERCADO'!A:I,7,0)))),"Em Elaboração")</f>
        <v>M</v>
      </c>
      <c r="G369" s="244">
        <f>VLOOKUP(B369,' 19.ARRED_HIST_CONSOLIDADO_E_ME'!H:O,8,0)</f>
        <v>2</v>
      </c>
      <c r="H369" s="241">
        <f>IFERROR(IF(D369="SINAPI-S",VLOOKUP(B369,'20-B.SINAPI-S'!A:J,5,0),IF(D369="SINAPI-I",VLOOKUP(B369,'20-A.SINAPI-I'!A:G,6,0),IF(D369="COMPOSIÇÕES",VLOOKUP(B369,'11.COMPOSIÇÕES GERAIS'!B:I,7,0),0))),"Em Elaboração")</f>
        <v>14.68</v>
      </c>
      <c r="I369" s="241">
        <f>IFERROR(IF(D369="SINAPI-S",VLOOKUP(B369,'20-B.SINAPI-S'!A:J,6,0),IF(D369="SINAPI-I",VLOOKUP(B369,'20-A.SINAPI-I'!A:G,7,0),IF(D369="COMPOSIÇÕES",VLOOKUP(B369,'11.COMPOSIÇÕES GERAIS'!B:I,8,0),VLOOKUP(B369,'12.COT.MERCADO'!A:I,8,0)))),"Em Elaboração")</f>
        <v>22.61</v>
      </c>
      <c r="J369" s="241">
        <f t="shared" si="112"/>
        <v>17.2331892</v>
      </c>
      <c r="K369" s="241">
        <f t="shared" si="113"/>
        <v>26.48387497</v>
      </c>
      <c r="L369" s="241">
        <f t="shared" si="114"/>
        <v>43.71706417</v>
      </c>
      <c r="M369" s="241">
        <f t="shared" si="115"/>
        <v>34.4663784</v>
      </c>
      <c r="N369" s="241">
        <f t="shared" si="116"/>
        <v>52.96774994</v>
      </c>
      <c r="O369" s="241">
        <f t="shared" si="117"/>
        <v>87.43412834</v>
      </c>
      <c r="P369" s="242">
        <f t="shared" si="2"/>
        <v>0.00006839746619</v>
      </c>
    </row>
    <row r="370">
      <c r="A370" s="236" t="s">
        <v>494</v>
      </c>
      <c r="B370" s="237">
        <f>' 19.ARRED_HIST_CONSOLIDADO_E_ME'!H269</f>
        <v>100556</v>
      </c>
      <c r="C370" s="238" t="str">
        <f t="shared" si="111"/>
        <v>SINAPI</v>
      </c>
      <c r="D370" s="238" t="s">
        <v>218</v>
      </c>
      <c r="E370" s="239" t="str">
        <f>IFERROR(IF(D370="SINAPI-S",VLOOKUP(B370,'20-B.SINAPI-S'!A:J,2,0),IF(D370="SINAPI-I",VLOOKUP(B370,'20-A.SINAPI-I'!A:G,2,0),IF(D370="COMPOSIÇÕES",VLOOKUP(B370,'11.COMPOSIÇÕES GERAIS'!B:I,2,0),VLOOKUP(B370,'12.COT.MERCADO'!A:I,2,0)))),"Em Elaboração")</f>
        <v>CAIXA DE PASSAGEM PARA TELEFONE 15X15X10CM (SOBREPOR), FORNECIMENTO E INSTALACAO. AF_11/2019</v>
      </c>
      <c r="F370" s="240" t="str">
        <f>IFERROR(IF(D370="SINAPI-S",VLOOKUP(B370,'20-B.SINAPI-S'!A:J,3,0),IF(D370="SINAPI-I",VLOOKUP(B370,'20-A.SINAPI-I'!A:G,3,0),IF(D370="COMPOSIÇÕES",VLOOKUP(B370,'11.COMPOSIÇÕES GERAIS'!B:I,3,0),VLOOKUP(B370,'12.COT.MERCADO'!A:I,7,0)))),"Em Elaboração")</f>
        <v>UN</v>
      </c>
      <c r="G370" s="244">
        <f>VLOOKUP(B370,' 19.ARRED_HIST_CONSOLIDADO_E_ME'!H:O,8,0)</f>
        <v>1</v>
      </c>
      <c r="H370" s="241">
        <f>IFERROR(IF(D370="SINAPI-S",VLOOKUP(B370,'20-B.SINAPI-S'!A:J,5,0),IF(D370="SINAPI-I",VLOOKUP(B370,'20-A.SINAPI-I'!A:G,6,0),IF(D370="COMPOSIÇÕES",VLOOKUP(B370,'11.COMPOSIÇÕES GERAIS'!B:I,7,0),0))),"Em Elaboração")</f>
        <v>15.32</v>
      </c>
      <c r="I370" s="241">
        <f>IFERROR(IF(D370="SINAPI-S",VLOOKUP(B370,'20-B.SINAPI-S'!A:J,6,0),IF(D370="SINAPI-I",VLOOKUP(B370,'20-A.SINAPI-I'!A:G,7,0),IF(D370="COMPOSIÇÕES",VLOOKUP(B370,'11.COMPOSIÇÕES GERAIS'!B:I,8,0),VLOOKUP(B370,'12.COT.MERCADO'!A:I,8,0)))),"Em Elaboração")</f>
        <v>27.26</v>
      </c>
      <c r="J370" s="241">
        <f t="shared" si="112"/>
        <v>17.9844999</v>
      </c>
      <c r="K370" s="241">
        <f t="shared" si="113"/>
        <v>31.93058079</v>
      </c>
      <c r="L370" s="241">
        <f t="shared" si="114"/>
        <v>49.91508069</v>
      </c>
      <c r="M370" s="241">
        <f t="shared" si="115"/>
        <v>17.9844999</v>
      </c>
      <c r="N370" s="241">
        <f t="shared" si="116"/>
        <v>31.93058079</v>
      </c>
      <c r="O370" s="241">
        <f t="shared" si="117"/>
        <v>49.91508069</v>
      </c>
      <c r="P370" s="242">
        <f t="shared" si="2"/>
        <v>0.00003904728175</v>
      </c>
    </row>
    <row r="371">
      <c r="A371" s="236" t="s">
        <v>495</v>
      </c>
      <c r="B371" s="237">
        <f>' 19.ARRED_HIST_CONSOLIDADO_E_ME'!H270</f>
        <v>99824</v>
      </c>
      <c r="C371" s="238" t="str">
        <f t="shared" si="111"/>
        <v>SINAPI</v>
      </c>
      <c r="D371" s="238" t="s">
        <v>218</v>
      </c>
      <c r="E371" s="239" t="str">
        <f>IFERROR(IF(D371="SINAPI-S",VLOOKUP(B371,'20-B.SINAPI-S'!A:J,2,0),IF(D371="SINAPI-I",VLOOKUP(B371,'20-A.SINAPI-I'!A:G,2,0),IF(D371="COMPOSIÇÕES",VLOOKUP(B371,'11.COMPOSIÇÕES GERAIS'!B:I,2,0),VLOOKUP(B371,'12.COT.MERCADO'!A:I,2,0)))),"Em Elaboração")</f>
        <v>LIMPEZA DE PORTA EM AÇO/ALUMÍNIO. AF_04/2019</v>
      </c>
      <c r="F371" s="240" t="str">
        <f>IFERROR(IF(D371="SINAPI-S",VLOOKUP(B371,'20-B.SINAPI-S'!A:J,3,0),IF(D371="SINAPI-I",VLOOKUP(B371,'20-A.SINAPI-I'!A:G,3,0),IF(D371="COMPOSIÇÕES",VLOOKUP(B371,'11.COMPOSIÇÕES GERAIS'!B:I,3,0),VLOOKUP(B371,'12.COT.MERCADO'!A:I,7,0)))),"Em Elaboração")</f>
        <v>M2</v>
      </c>
      <c r="G371" s="244">
        <f>VLOOKUP(B371,' 19.ARRED_HIST_CONSOLIDADO_E_ME'!H:O,8,0)</f>
        <v>1</v>
      </c>
      <c r="H371" s="241">
        <f>IFERROR(IF(D371="SINAPI-S",VLOOKUP(B371,'20-B.SINAPI-S'!A:J,5,0),IF(D371="SINAPI-I",VLOOKUP(B371,'20-A.SINAPI-I'!A:G,6,0),IF(D371="COMPOSIÇÕES",VLOOKUP(B371,'11.COMPOSIÇÕES GERAIS'!B:I,7,0),0))),"Em Elaboração")</f>
        <v>1.64</v>
      </c>
      <c r="I371" s="241">
        <f>IFERROR(IF(D371="SINAPI-S",VLOOKUP(B371,'20-B.SINAPI-S'!A:J,6,0),IF(D371="SINAPI-I",VLOOKUP(B371,'20-A.SINAPI-I'!A:G,7,0),IF(D371="COMPOSIÇÕES",VLOOKUP(B371,'11.COMPOSIÇÕES GERAIS'!B:I,8,0),VLOOKUP(B371,'12.COT.MERCADO'!A:I,8,0)))),"Em Elaboração")</f>
        <v>1.29</v>
      </c>
      <c r="J371" s="241">
        <f t="shared" si="112"/>
        <v>1.925233671</v>
      </c>
      <c r="K371" s="241">
        <f t="shared" si="113"/>
        <v>1.511021615</v>
      </c>
      <c r="L371" s="241">
        <f t="shared" si="114"/>
        <v>3.436255286</v>
      </c>
      <c r="M371" s="241">
        <f t="shared" si="115"/>
        <v>1.925233671</v>
      </c>
      <c r="N371" s="241">
        <f t="shared" si="116"/>
        <v>1.511021615</v>
      </c>
      <c r="O371" s="241">
        <f t="shared" si="117"/>
        <v>3.436255286</v>
      </c>
      <c r="P371" s="242">
        <f t="shared" si="2"/>
        <v>0.000002688093988</v>
      </c>
    </row>
    <row r="372">
      <c r="A372" s="236" t="s">
        <v>496</v>
      </c>
      <c r="B372" s="237" t="str">
        <f>' 19.ARRED_HIST_CONSOLIDADO_E_ME'!H271</f>
        <v>MAN_PR_069</v>
      </c>
      <c r="C372" s="238" t="str">
        <f t="shared" si="111"/>
        <v>PRÓPRIO</v>
      </c>
      <c r="D372" s="243" t="s">
        <v>230</v>
      </c>
      <c r="E372" s="239" t="str">
        <f>IFERROR(IF(D372="SINAPI-S",VLOOKUP(B372,'20-B.SINAPI-S'!A:J,2,0),IF(D372="SINAPI-I",VLOOKUP(B372,'20-A.SINAPI-I'!A:G,2,0),IF(D372="COMPOSIÇÕES",VLOOKUP(B372,'11.COMPOSIÇÕES GERAIS'!B:I,2,0),VLOOKUP(B372,'12.COT.MERCADO'!A:I,2,0)))),"Em Elaboração")</f>
        <v>FORNECIMENTO E INSTALAÇÃO DE LÂMPADA LED BULBO E27, 60W DE POTÊNCIA, COR BRANCO FRIO 6500K</v>
      </c>
      <c r="F372" s="240" t="str">
        <f>IFERROR(IF(D372="SINAPI-S",VLOOKUP(B372,'20-B.SINAPI-S'!A:J,3,0),IF(D372="SINAPI-I",VLOOKUP(B372,'20-A.SINAPI-I'!A:G,3,0),IF(D372="COMPOSIÇÕES",VLOOKUP(B372,'11.COMPOSIÇÕES GERAIS'!B:I,3,0),VLOOKUP(B372,'12.COT.MERCADO'!A:I,7,0)))),"Em Elaboração")</f>
        <v>UN</v>
      </c>
      <c r="G372" s="244">
        <f>VLOOKUP(B372,' 19.ARRED_HIST_CONSOLIDADO_E_ME'!H:O,8,0)</f>
        <v>1</v>
      </c>
      <c r="H372" s="241">
        <f>IFERROR(IF(D372="SINAPI-S",VLOOKUP(B372,'20-B.SINAPI-S'!A:J,5,0),IF(D372="SINAPI-I",VLOOKUP(B372,'20-A.SINAPI-I'!A:G,6,0),IF(D372="COMPOSIÇÕES",VLOOKUP(B372,'11.COMPOSIÇÕES GERAIS'!B:I,7,0),0))),"Em Elaboração")</f>
        <v>18.305</v>
      </c>
      <c r="I372" s="241">
        <f>IFERROR(IF(D372="SINAPI-S",VLOOKUP(B372,'20-B.SINAPI-S'!A:J,6,0),IF(D372="SINAPI-I",VLOOKUP(B372,'20-A.SINAPI-I'!A:G,7,0),IF(D372="COMPOSIÇÕES",VLOOKUP(B372,'11.COMPOSIÇÕES GERAIS'!B:I,8,0),VLOOKUP(B372,'12.COT.MERCADO'!A:I,8,0)))),"Em Elaboração")</f>
        <v>49.618</v>
      </c>
      <c r="J372" s="241">
        <f t="shared" si="112"/>
        <v>21.48865997</v>
      </c>
      <c r="K372" s="241">
        <f t="shared" si="113"/>
        <v>58.11927945</v>
      </c>
      <c r="L372" s="241">
        <f t="shared" si="114"/>
        <v>79.60793941</v>
      </c>
      <c r="M372" s="241">
        <f t="shared" si="115"/>
        <v>21.48865997</v>
      </c>
      <c r="N372" s="241">
        <f t="shared" si="116"/>
        <v>58.11927945</v>
      </c>
      <c r="O372" s="241">
        <f t="shared" si="117"/>
        <v>79.60793941</v>
      </c>
      <c r="P372" s="242">
        <f t="shared" si="2"/>
        <v>0.0000622752402</v>
      </c>
    </row>
    <row r="373">
      <c r="A373" s="236" t="s">
        <v>497</v>
      </c>
      <c r="B373" s="237">
        <f>' 19.ARRED_HIST_CONSOLIDADO_E_ME'!H272</f>
        <v>156</v>
      </c>
      <c r="C373" s="238" t="str">
        <f t="shared" si="111"/>
        <v>SINAPI</v>
      </c>
      <c r="D373" s="243" t="s">
        <v>286</v>
      </c>
      <c r="E373" s="239" t="str">
        <f>IFERROR(IF(D373="SINAPI-S",VLOOKUP(B373,'20-B.SINAPI-S'!A:J,2,0),IF(D373="SINAPI-I",VLOOKUP(B373,'20-A.SINAPI-I'!A:G,2,0),IF(D373="COMPOSIÇÕES",VLOOKUP(B373,'11.COMPOSIÇÕES GERAIS'!B:I,2,0),VLOOKUP(B373,'12.COT.MERCADO'!A:I,2,0)))),"Em Elaboração")</f>
        <v>ADESIVO ESTRUTURAL A BASE DE RESINA EPOXI, BICOMPONENTE, FLUIDO</v>
      </c>
      <c r="F373" s="240" t="str">
        <f>IFERROR(IF(D373="SINAPI-S",VLOOKUP(B373,'20-B.SINAPI-S'!A:J,3,0),IF(D373="SINAPI-I",VLOOKUP(B373,'20-A.SINAPI-I'!A:G,3,0),IF(D373="COMPOSIÇÕES",VLOOKUP(B373,'11.COMPOSIÇÕES GERAIS'!B:I,3,0),VLOOKUP(B373,'12.COT.MERCADO'!A:I,7,0)))),"Em Elaboração")</f>
        <v>KG</v>
      </c>
      <c r="G373" s="244">
        <f>VLOOKUP(B373,' 19.ARRED_HIST_CONSOLIDADO_E_ME'!H:O,8,0)</f>
        <v>1</v>
      </c>
      <c r="H373" s="241">
        <f>IFERROR(IF(D373="SINAPI-S",VLOOKUP(B373,'20-B.SINAPI-S'!A:J,5,0),IF(D373="SINAPI-I",VLOOKUP(B373,'20-A.SINAPI-I'!A:G,6,0),IF(D373="COMPOSIÇÕES",VLOOKUP(B373,'11.COMPOSIÇÕES GERAIS'!B:I,7,0),0))),"Em Elaboração")</f>
        <v>0</v>
      </c>
      <c r="I373" s="241">
        <f>IFERROR(IF(D373="SINAPI-S",VLOOKUP(B373,'20-B.SINAPI-S'!A:J,6,0),IF(D373="SINAPI-I",VLOOKUP(B373,'20-A.SINAPI-I'!A:G,7,0),IF(D373="COMPOSIÇÕES",VLOOKUP(B373,'11.COMPOSIÇÕES GERAIS'!B:I,8,0),VLOOKUP(B373,'12.COT.MERCADO'!A:I,8,0)))),"Em Elaboração")</f>
        <v>51.8</v>
      </c>
      <c r="J373" s="241">
        <f t="shared" si="112"/>
        <v>0</v>
      </c>
      <c r="K373" s="241">
        <f t="shared" si="113"/>
        <v>60.67513151</v>
      </c>
      <c r="L373" s="241">
        <f t="shared" si="114"/>
        <v>60.67513151</v>
      </c>
      <c r="M373" s="241">
        <f t="shared" si="115"/>
        <v>0</v>
      </c>
      <c r="N373" s="241">
        <f t="shared" si="116"/>
        <v>60.67513151</v>
      </c>
      <c r="O373" s="241">
        <f t="shared" si="117"/>
        <v>60.67513151</v>
      </c>
      <c r="P373" s="242">
        <f t="shared" si="2"/>
        <v>0.00004746459232</v>
      </c>
    </row>
    <row r="374">
      <c r="A374" s="232">
        <v>44990.0</v>
      </c>
      <c r="B374" s="233" t="s">
        <v>498</v>
      </c>
      <c r="C374" s="44"/>
      <c r="D374" s="44"/>
      <c r="E374" s="44"/>
      <c r="F374" s="44"/>
      <c r="G374" s="44"/>
      <c r="H374" s="44"/>
      <c r="I374" s="44"/>
      <c r="J374" s="44"/>
      <c r="K374" s="44"/>
      <c r="L374" s="44"/>
      <c r="M374" s="234">
        <f t="shared" ref="M374:O374" si="118">SUM(M375:M401)</f>
        <v>176.7968611</v>
      </c>
      <c r="N374" s="234">
        <f t="shared" si="118"/>
        <v>85864.34414</v>
      </c>
      <c r="O374" s="234">
        <f t="shared" si="118"/>
        <v>86041.141</v>
      </c>
      <c r="P374" s="235">
        <f t="shared" si="2"/>
        <v>0.06730776808</v>
      </c>
    </row>
    <row r="375">
      <c r="A375" s="236" t="s">
        <v>499</v>
      </c>
      <c r="B375" s="237" t="s">
        <v>500</v>
      </c>
      <c r="C375" s="238" t="str">
        <f t="shared" ref="C375:C401" si="119">IF(OR(D375="SINAPI-S",D375="SINAPI-I"),"SINAPI","PRÓPRIO")</f>
        <v>PRÓPRIO</v>
      </c>
      <c r="D375" s="243" t="s">
        <v>110</v>
      </c>
      <c r="E375" s="239" t="str">
        <f>IFERROR(IF(D375="SINAPI-S",VLOOKUP(B375,'20-B.SINAPI-S'!A:J,2,0),IF(D375="SINAPI-I",VLOOKUP(B375,'20-A.SINAPI-I'!A:G,2,0),IF(D375="COMPOSIÇÕES",VLOOKUP(B375,'11.COMPOSIÇÕES GERAIS'!B:I,2,0),VLOOKUP(B375,'12.COT.MERCADO'!A:I,2,0)))),"Em Elaboração")</f>
        <v>SERVIÇO DE MANUTENÇÃO PREVENTIVA E CORRETIVA DE APARELHOS DE AR CONDICIONADO SPLIT ATÉ 9.000 BTUS, COM FORNECIMENTO DE PEÇAS E MATERIAIS (COM EXCEÇÃO DO COMPRESSOR PARA AR CONDICIONADO, MOTOR VENTILADOR DA UNIDADE CONDENSADORA OU EVAPORADORA E PLACA DE COMANDO DA UNIDADE CONDENSADORA OU EVAPORADORA)</v>
      </c>
      <c r="F375" s="240" t="str">
        <f>IFERROR(IF(D375="SINAPI-S",VLOOKUP(B375,'20-B.SINAPI-S'!A:J,3,0),IF(D375="SINAPI-I",VLOOKUP(B375,'20-A.SINAPI-I'!A:G,3,0),IF(D375="COMPOSIÇÕES",VLOOKUP(B375,'11.COMPOSIÇÕES GERAIS'!B:I,3,0),VLOOKUP(B375,'12.COT.MERCADO'!A:I,7,0)))),"Em Elaboração")</f>
        <v>UN </v>
      </c>
      <c r="G375" s="240">
        <v>62.0</v>
      </c>
      <c r="H375" s="241">
        <f>IFERROR(IF(D375="SINAPI-S",VLOOKUP(B375,'20-B.SINAPI-S'!A:J,5,0),IF(D375="SINAPI-I",VLOOKUP(B375,'20-A.SINAPI-I'!A:G,6,0),IF(D375="COMPOSIÇÕES",VLOOKUP(B375,'11.COMPOSIÇÕES GERAIS'!B:I,7,0),0))),"Em Elaboração")</f>
        <v>0</v>
      </c>
      <c r="I375" s="241">
        <f>IFERROR(IF(D375="SINAPI-S",VLOOKUP(B375,'20-B.SINAPI-S'!A:J,6,0),IF(D375="SINAPI-I",VLOOKUP(B375,'20-A.SINAPI-I'!A:G,7,0),IF(D375="COMPOSIÇÕES",VLOOKUP(B375,'11.COMPOSIÇÕES GERAIS'!B:I,8,0),VLOOKUP(B375,'12.COT.MERCADO'!A:I,8,0)))),"Em Elaboração")</f>
        <v>250</v>
      </c>
      <c r="J375" s="241">
        <f t="shared" ref="J375:J401" si="120">H375*(1+$J$5)</f>
        <v>0</v>
      </c>
      <c r="K375" s="241">
        <f t="shared" ref="K375:K401" si="121">I375*(1+$J$8)</f>
        <v>292.8336463</v>
      </c>
      <c r="L375" s="241">
        <f t="shared" ref="L375:L401" si="122">SUM(J375:K375)</f>
        <v>292.8336463</v>
      </c>
      <c r="M375" s="241">
        <f t="shared" ref="M375:M401" si="123">J375*G375</f>
        <v>0</v>
      </c>
      <c r="N375" s="241">
        <f t="shared" ref="N375:N401" si="124">K375*G375</f>
        <v>18155.68607</v>
      </c>
      <c r="O375" s="241">
        <f t="shared" ref="O375:O401" si="125">SUM(M375:N375)</f>
        <v>18155.68607</v>
      </c>
      <c r="P375" s="242">
        <f t="shared" si="2"/>
        <v>0.0142027255</v>
      </c>
    </row>
    <row r="376">
      <c r="A376" s="236" t="s">
        <v>501</v>
      </c>
      <c r="B376" s="237" t="s">
        <v>502</v>
      </c>
      <c r="C376" s="238" t="str">
        <f t="shared" si="119"/>
        <v>PRÓPRIO</v>
      </c>
      <c r="D376" s="243" t="s">
        <v>110</v>
      </c>
      <c r="E376" s="239" t="str">
        <f>IFERROR(IF(D376="SINAPI-S",VLOOKUP(B376,'20-B.SINAPI-S'!A:J,2,0),IF(D376="SINAPI-I",VLOOKUP(B376,'20-A.SINAPI-I'!A:G,2,0),IF(D376="COMPOSIÇÕES",VLOOKUP(B376,'11.COMPOSIÇÕES GERAIS'!B:I,2,0),VLOOKUP(B376,'12.COT.MERCADO'!A:I,2,0)))),"Em Elaboração")</f>
        <v>SERVIÇO DE MANUTENÇÃO PREVENTIVA E CORRETIVA DE APARELHOS DE AR CONDICIONADO SPLIT ACIMA DE 9.000 BTUS ATÉ 12.000 BTUS, COM FORNECIMENTO DE PEÇAS E MATERIAIS (COM EXCEÇÃO DO COMPRESSOR PARA AR CONDICIONADO, MOTOR VENTILADOR DA UNIDADE CONDENSADORA OU EVAPORADORA E PLACA DE COMANDO DA UNIDADE CONDENSADORA OU EVAPORADORA)</v>
      </c>
      <c r="F376" s="240" t="str">
        <f>IFERROR(IF(D376="SINAPI-S",VLOOKUP(B376,'20-B.SINAPI-S'!A:J,3,0),IF(D376="SINAPI-I",VLOOKUP(B376,'20-A.SINAPI-I'!A:G,3,0),IF(D376="COMPOSIÇÕES",VLOOKUP(B376,'11.COMPOSIÇÕES GERAIS'!B:I,3,0),VLOOKUP(B376,'12.COT.MERCADO'!A:I,7,0)))),"Em Elaboração")</f>
        <v>UN </v>
      </c>
      <c r="G376" s="240">
        <v>51.0</v>
      </c>
      <c r="H376" s="241">
        <f>IFERROR(IF(D376="SINAPI-S",VLOOKUP(B376,'20-B.SINAPI-S'!A:J,5,0),IF(D376="SINAPI-I",VLOOKUP(B376,'20-A.SINAPI-I'!A:G,6,0),IF(D376="COMPOSIÇÕES",VLOOKUP(B376,'11.COMPOSIÇÕES GERAIS'!B:I,7,0),0))),"Em Elaboração")</f>
        <v>0</v>
      </c>
      <c r="I376" s="241">
        <f>IFERROR(IF(D376="SINAPI-S",VLOOKUP(B376,'20-B.SINAPI-S'!A:J,6,0),IF(D376="SINAPI-I",VLOOKUP(B376,'20-A.SINAPI-I'!A:G,7,0),IF(D376="COMPOSIÇÕES",VLOOKUP(B376,'11.COMPOSIÇÕES GERAIS'!B:I,8,0),VLOOKUP(B376,'12.COT.MERCADO'!A:I,8,0)))),"Em Elaboração")</f>
        <v>250</v>
      </c>
      <c r="J376" s="241">
        <f t="shared" si="120"/>
        <v>0</v>
      </c>
      <c r="K376" s="241">
        <f t="shared" si="121"/>
        <v>292.8336463</v>
      </c>
      <c r="L376" s="241">
        <f t="shared" si="122"/>
        <v>292.8336463</v>
      </c>
      <c r="M376" s="241">
        <f t="shared" si="123"/>
        <v>0</v>
      </c>
      <c r="N376" s="241">
        <f t="shared" si="124"/>
        <v>14934.51596</v>
      </c>
      <c r="O376" s="241">
        <f t="shared" si="125"/>
        <v>14934.51596</v>
      </c>
      <c r="P376" s="242">
        <f t="shared" si="2"/>
        <v>0.0116828871</v>
      </c>
    </row>
    <row r="377">
      <c r="A377" s="236" t="s">
        <v>503</v>
      </c>
      <c r="B377" s="237" t="s">
        <v>504</v>
      </c>
      <c r="C377" s="238" t="str">
        <f t="shared" si="119"/>
        <v>PRÓPRIO</v>
      </c>
      <c r="D377" s="243" t="s">
        <v>110</v>
      </c>
      <c r="E377" s="239" t="str">
        <f>IFERROR(IF(D377="SINAPI-S",VLOOKUP(B377,'20-B.SINAPI-S'!A:J,2,0),IF(D377="SINAPI-I",VLOOKUP(B377,'20-A.SINAPI-I'!A:G,2,0),IF(D377="COMPOSIÇÕES",VLOOKUP(B377,'11.COMPOSIÇÕES GERAIS'!B:I,2,0),VLOOKUP(B377,'12.COT.MERCADO'!A:I,2,0)))),"Em Elaboração")</f>
        <v>SERVIÇO DE MANUTENÇÃO PREVENTIVA E CORRETIVA DE APARELHOS DE AR CONDICIONADO SPLIT ACIMA DE 12.000 BTUS ATÉ 18.000 BTUS, COM FORNECIMENTO DE PEÇAS E MATERIAIS (COM EXCEÇÃO DO COMPRESSOR PARA AR CONDICIONADO, MOTOR VENTILADOR DA UNIDADE CONDENSADORA OU EVAPORADORA E PLACA DE COMANDO DA UNIDADE CONDENSADORA OU EVAPORADORA)</v>
      </c>
      <c r="F377" s="240" t="str">
        <f>IFERROR(IF(D377="SINAPI-S",VLOOKUP(B377,'20-B.SINAPI-S'!A:J,3,0),IF(D377="SINAPI-I",VLOOKUP(B377,'20-A.SINAPI-I'!A:G,3,0),IF(D377="COMPOSIÇÕES",VLOOKUP(B377,'11.COMPOSIÇÕES GERAIS'!B:I,3,0),VLOOKUP(B377,'12.COT.MERCADO'!A:I,7,0)))),"Em Elaboração")</f>
        <v>UN </v>
      </c>
      <c r="G377" s="240">
        <v>23.0</v>
      </c>
      <c r="H377" s="241">
        <f>IFERROR(IF(D377="SINAPI-S",VLOOKUP(B377,'20-B.SINAPI-S'!A:J,5,0),IF(D377="SINAPI-I",VLOOKUP(B377,'20-A.SINAPI-I'!A:G,6,0),IF(D377="COMPOSIÇÕES",VLOOKUP(B377,'11.COMPOSIÇÕES GERAIS'!B:I,7,0),0))),"Em Elaboração")</f>
        <v>0</v>
      </c>
      <c r="I377" s="241">
        <f>IFERROR(IF(D377="SINAPI-S",VLOOKUP(B377,'20-B.SINAPI-S'!A:J,6,0),IF(D377="SINAPI-I",VLOOKUP(B377,'20-A.SINAPI-I'!A:G,7,0),IF(D377="COMPOSIÇÕES",VLOOKUP(B377,'11.COMPOSIÇÕES GERAIS'!B:I,8,0),VLOOKUP(B377,'12.COT.MERCADO'!A:I,8,0)))),"Em Elaboração")</f>
        <v>300</v>
      </c>
      <c r="J377" s="241">
        <f t="shared" si="120"/>
        <v>0</v>
      </c>
      <c r="K377" s="241">
        <f t="shared" si="121"/>
        <v>351.4003755</v>
      </c>
      <c r="L377" s="241">
        <f t="shared" si="122"/>
        <v>351.4003755</v>
      </c>
      <c r="M377" s="241">
        <f t="shared" si="123"/>
        <v>0</v>
      </c>
      <c r="N377" s="241">
        <f t="shared" si="124"/>
        <v>8082.208637</v>
      </c>
      <c r="O377" s="241">
        <f t="shared" si="125"/>
        <v>8082.208637</v>
      </c>
      <c r="P377" s="242">
        <f t="shared" si="2"/>
        <v>0.00632250361</v>
      </c>
    </row>
    <row r="378">
      <c r="A378" s="236" t="s">
        <v>505</v>
      </c>
      <c r="B378" s="237" t="s">
        <v>506</v>
      </c>
      <c r="C378" s="238" t="str">
        <f t="shared" si="119"/>
        <v>PRÓPRIO</v>
      </c>
      <c r="D378" s="243" t="s">
        <v>110</v>
      </c>
      <c r="E378" s="239" t="str">
        <f>IFERROR(IF(D378="SINAPI-S",VLOOKUP(B378,'20-B.SINAPI-S'!A:J,2,0),IF(D378="SINAPI-I",VLOOKUP(B378,'20-A.SINAPI-I'!A:G,2,0),IF(D378="COMPOSIÇÕES",VLOOKUP(B378,'11.COMPOSIÇÕES GERAIS'!B:I,2,0),VLOOKUP(B378,'12.COT.MERCADO'!A:I,2,0)))),"Em Elaboração")</f>
        <v>SERVIÇO MENSAL DE MANUTENÇÃO PREVENTIVA E CORRETIVA DE APARELHOS DE AR CONDICIONADO SPLIT ACIMA DE 18.000 BTUS ATÉ 24.000 BTUS, COM FORNECIMENTO DE PEÇAS E MATERIAIS (COM EXCEÇÃO DO COMPRESSOR PARA AR CONDICIONADO, MOTOR VENTILADOR DA UNIDADE CONDENSADORA OU EVAPORADORA E PLACA DE COMANDO DA UNIDADE CONDENSADORA OU EVAPORADORA)</v>
      </c>
      <c r="F378" s="240" t="str">
        <f>IFERROR(IF(D378="SINAPI-S",VLOOKUP(B378,'20-B.SINAPI-S'!A:J,3,0),IF(D378="SINAPI-I",VLOOKUP(B378,'20-A.SINAPI-I'!A:G,3,0),IF(D378="COMPOSIÇÕES",VLOOKUP(B378,'11.COMPOSIÇÕES GERAIS'!B:I,3,0),VLOOKUP(B378,'12.COT.MERCADO'!A:I,7,0)))),"Em Elaboração")</f>
        <v>UN </v>
      </c>
      <c r="G378" s="240">
        <v>16.0</v>
      </c>
      <c r="H378" s="241">
        <f>IFERROR(IF(D378="SINAPI-S",VLOOKUP(B378,'20-B.SINAPI-S'!A:J,5,0),IF(D378="SINAPI-I",VLOOKUP(B378,'20-A.SINAPI-I'!A:G,6,0),IF(D378="COMPOSIÇÕES",VLOOKUP(B378,'11.COMPOSIÇÕES GERAIS'!B:I,7,0),0))),"Em Elaboração")</f>
        <v>0</v>
      </c>
      <c r="I378" s="241">
        <f>IFERROR(IF(D378="SINAPI-S",VLOOKUP(B378,'20-B.SINAPI-S'!A:J,6,0),IF(D378="SINAPI-I",VLOOKUP(B378,'20-A.SINAPI-I'!A:G,7,0),IF(D378="COMPOSIÇÕES",VLOOKUP(B378,'11.COMPOSIÇÕES GERAIS'!B:I,8,0),VLOOKUP(B378,'12.COT.MERCADO'!A:I,8,0)))),"Em Elaboração")</f>
        <v>400</v>
      </c>
      <c r="J378" s="241">
        <f t="shared" si="120"/>
        <v>0</v>
      </c>
      <c r="K378" s="241">
        <f t="shared" si="121"/>
        <v>468.5338341</v>
      </c>
      <c r="L378" s="241">
        <f t="shared" si="122"/>
        <v>468.5338341</v>
      </c>
      <c r="M378" s="241">
        <f t="shared" si="123"/>
        <v>0</v>
      </c>
      <c r="N378" s="241">
        <f t="shared" si="124"/>
        <v>7496.541345</v>
      </c>
      <c r="O378" s="241">
        <f t="shared" si="125"/>
        <v>7496.541345</v>
      </c>
      <c r="P378" s="242">
        <f t="shared" si="2"/>
        <v>0.005864351174</v>
      </c>
    </row>
    <row r="379">
      <c r="A379" s="236" t="s">
        <v>507</v>
      </c>
      <c r="B379" s="237" t="s">
        <v>508</v>
      </c>
      <c r="C379" s="238" t="str">
        <f t="shared" si="119"/>
        <v>PRÓPRIO</v>
      </c>
      <c r="D379" s="243" t="s">
        <v>110</v>
      </c>
      <c r="E379" s="239" t="str">
        <f>IFERROR(IF(D379="SINAPI-S",VLOOKUP(B379,'20-B.SINAPI-S'!A:J,2,0),IF(D379="SINAPI-I",VLOOKUP(B379,'20-A.SINAPI-I'!A:G,2,0),IF(D379="COMPOSIÇÕES",VLOOKUP(B379,'11.COMPOSIÇÕES GERAIS'!B:I,2,0),VLOOKUP(B379,'12.COT.MERCADO'!A:I,2,0)))),"Em Elaboração")</f>
        <v>SERVIÇO DE MANUTENÇÃO PREVENTIVA E CORRETIVA DE APARELHOS DE AR CONDICIONADO SPLIT ACIMA DE 24.000 BTUS ATÉ 30.000 BTUS, COM FORNECIMENTO DE PEÇAS E MATERIAIS (COM EXCEÇÃO DO COMPRESSOR PARA AR CONDICIONADO, MOTOR VENTILADOR DA UNIDADE CONDENSADORA OU EVAPORADORA E PLACA DE COMANDO DA UNIDADE CONDENSADORA OU EVAPORADORA)</v>
      </c>
      <c r="F379" s="240" t="str">
        <f>IFERROR(IF(D379="SINAPI-S",VLOOKUP(B379,'20-B.SINAPI-S'!A:J,3,0),IF(D379="SINAPI-I",VLOOKUP(B379,'20-A.SINAPI-I'!A:G,3,0),IF(D379="COMPOSIÇÕES",VLOOKUP(B379,'11.COMPOSIÇÕES GERAIS'!B:I,3,0),VLOOKUP(B379,'12.COT.MERCADO'!A:I,7,0)))),"Em Elaboração")</f>
        <v>UN </v>
      </c>
      <c r="G379" s="240">
        <v>6.0</v>
      </c>
      <c r="H379" s="241">
        <f>IFERROR(IF(D379="SINAPI-S",VLOOKUP(B379,'20-B.SINAPI-S'!A:J,5,0),IF(D379="SINAPI-I",VLOOKUP(B379,'20-A.SINAPI-I'!A:G,6,0),IF(D379="COMPOSIÇÕES",VLOOKUP(B379,'11.COMPOSIÇÕES GERAIS'!B:I,7,0),0))),"Em Elaboração")</f>
        <v>0</v>
      </c>
      <c r="I379" s="241">
        <f>IFERROR(IF(D379="SINAPI-S",VLOOKUP(B379,'20-B.SINAPI-S'!A:J,6,0),IF(D379="SINAPI-I",VLOOKUP(B379,'20-A.SINAPI-I'!A:G,7,0),IF(D379="COMPOSIÇÕES",VLOOKUP(B379,'11.COMPOSIÇÕES GERAIS'!B:I,8,0),VLOOKUP(B379,'12.COT.MERCADO'!A:I,8,0)))),"Em Elaboração")</f>
        <v>450</v>
      </c>
      <c r="J379" s="241">
        <f t="shared" si="120"/>
        <v>0</v>
      </c>
      <c r="K379" s="241">
        <f t="shared" si="121"/>
        <v>527.1005633</v>
      </c>
      <c r="L379" s="241">
        <f t="shared" si="122"/>
        <v>527.1005633</v>
      </c>
      <c r="M379" s="241">
        <f t="shared" si="123"/>
        <v>0</v>
      </c>
      <c r="N379" s="241">
        <f t="shared" si="124"/>
        <v>3162.60338</v>
      </c>
      <c r="O379" s="241">
        <f t="shared" si="125"/>
        <v>3162.60338</v>
      </c>
      <c r="P379" s="242">
        <f t="shared" si="2"/>
        <v>0.002474023152</v>
      </c>
    </row>
    <row r="380">
      <c r="A380" s="236" t="s">
        <v>509</v>
      </c>
      <c r="B380" s="237" t="s">
        <v>510</v>
      </c>
      <c r="C380" s="238" t="str">
        <f t="shared" si="119"/>
        <v>PRÓPRIO</v>
      </c>
      <c r="D380" s="243" t="s">
        <v>110</v>
      </c>
      <c r="E380" s="239" t="str">
        <f>IFERROR(IF(D380="SINAPI-S",VLOOKUP(B380,'20-B.SINAPI-S'!A:J,2,0),IF(D380="SINAPI-I",VLOOKUP(B380,'20-A.SINAPI-I'!A:G,2,0),IF(D380="COMPOSIÇÕES",VLOOKUP(B380,'11.COMPOSIÇÕES GERAIS'!B:I,2,0),VLOOKUP(B380,'12.COT.MERCADO'!A:I,2,0)))),"Em Elaboração")</f>
        <v>SERVIÇO DE MANUTENÇÃO PREVENTIVA E CORRETIVA DE APARELHOS DE AR CONDICIONADO SPLIT ACIMA DE 30.000 BTUS ATÉ 36.000 BTUS, COM FORNECIMENTO DE PEÇAS E MATERIAIS (COM EXCEÇÃO DO COMPRESSOR PARA AR CONDICIONADO, MOTOR VENTILADOR DA UNIDADE CONDENSADORA OU EVAPORADORA E PLACA DE COMANDO DA UNIDADE CONDENSADORA OU EVAPORADORA)</v>
      </c>
      <c r="F380" s="240" t="str">
        <f>IFERROR(IF(D380="SINAPI-S",VLOOKUP(B380,'20-B.SINAPI-S'!A:J,3,0),IF(D380="SINAPI-I",VLOOKUP(B380,'20-A.SINAPI-I'!A:G,3,0),IF(D380="COMPOSIÇÕES",VLOOKUP(B380,'11.COMPOSIÇÕES GERAIS'!B:I,3,0),VLOOKUP(B380,'12.COT.MERCADO'!A:I,7,0)))),"Em Elaboração")</f>
        <v>UN </v>
      </c>
      <c r="G380" s="240">
        <v>2.0</v>
      </c>
      <c r="H380" s="241">
        <f>IFERROR(IF(D380="SINAPI-S",VLOOKUP(B380,'20-B.SINAPI-S'!A:J,5,0),IF(D380="SINAPI-I",VLOOKUP(B380,'20-A.SINAPI-I'!A:G,6,0),IF(D380="COMPOSIÇÕES",VLOOKUP(B380,'11.COMPOSIÇÕES GERAIS'!B:I,7,0),0))),"Em Elaboração")</f>
        <v>0</v>
      </c>
      <c r="I380" s="241">
        <f>IFERROR(IF(D380="SINAPI-S",VLOOKUP(B380,'20-B.SINAPI-S'!A:J,6,0),IF(D380="SINAPI-I",VLOOKUP(B380,'20-A.SINAPI-I'!A:G,7,0),IF(D380="COMPOSIÇÕES",VLOOKUP(B380,'11.COMPOSIÇÕES GERAIS'!B:I,8,0),VLOOKUP(B380,'12.COT.MERCADO'!A:I,8,0)))),"Em Elaboração")</f>
        <v>600</v>
      </c>
      <c r="J380" s="241">
        <f t="shared" si="120"/>
        <v>0</v>
      </c>
      <c r="K380" s="241">
        <f t="shared" si="121"/>
        <v>702.8007511</v>
      </c>
      <c r="L380" s="241">
        <f t="shared" si="122"/>
        <v>702.8007511</v>
      </c>
      <c r="M380" s="241">
        <f t="shared" si="123"/>
        <v>0</v>
      </c>
      <c r="N380" s="241">
        <f t="shared" si="124"/>
        <v>1405.601502</v>
      </c>
      <c r="O380" s="241">
        <f t="shared" si="125"/>
        <v>1405.601502</v>
      </c>
      <c r="P380" s="242">
        <f t="shared" si="2"/>
        <v>0.001099565845</v>
      </c>
    </row>
    <row r="381">
      <c r="A381" s="236" t="s">
        <v>511</v>
      </c>
      <c r="B381" s="237" t="s">
        <v>512</v>
      </c>
      <c r="C381" s="238" t="str">
        <f t="shared" si="119"/>
        <v>PRÓPRIO</v>
      </c>
      <c r="D381" s="243" t="s">
        <v>110</v>
      </c>
      <c r="E381" s="239" t="str">
        <f>IFERROR(IF(D381="SINAPI-S",VLOOKUP(B381,'20-B.SINAPI-S'!A:J,2,0),IF(D381="SINAPI-I",VLOOKUP(B381,'20-A.SINAPI-I'!A:G,2,0),IF(D381="COMPOSIÇÕES",VLOOKUP(B381,'11.COMPOSIÇÕES GERAIS'!B:I,2,0),VLOOKUP(B381,'12.COT.MERCADO'!A:I,2,0)))),"Em Elaboração")</f>
        <v>SERVIÇO DE MANUTENÇÃO PREVENTIVA E CORRETIVA DE APARELHOS DE AR CONDICIONADO SPLIT ACIMA DE 36.000 BTUS ATÉ 48.000 BTUS, COM FORNECIMENTO DE PEÇAS E MATERIAIS (COM EXCEÇÃO DO COMPRESSOR PARA AR CONDICIONADO, MOTOR VENTILADOR DA UNIDADE CONDENSADORA OU EVAPORADORA E PLACA DE COMANDO DA UNIDADE CONDENSADORA OU EVAPORADORA)</v>
      </c>
      <c r="F381" s="240" t="str">
        <f>IFERROR(IF(D381="SINAPI-S",VLOOKUP(B381,'20-B.SINAPI-S'!A:J,3,0),IF(D381="SINAPI-I",VLOOKUP(B381,'20-A.SINAPI-I'!A:G,3,0),IF(D381="COMPOSIÇÕES",VLOOKUP(B381,'11.COMPOSIÇÕES GERAIS'!B:I,3,0),VLOOKUP(B381,'12.COT.MERCADO'!A:I,7,0)))),"Em Elaboração")</f>
        <v>UN </v>
      </c>
      <c r="G381" s="240">
        <v>1.0</v>
      </c>
      <c r="H381" s="241">
        <f>IFERROR(IF(D381="SINAPI-S",VLOOKUP(B381,'20-B.SINAPI-S'!A:J,5,0),IF(D381="SINAPI-I",VLOOKUP(B381,'20-A.SINAPI-I'!A:G,6,0),IF(D381="COMPOSIÇÕES",VLOOKUP(B381,'11.COMPOSIÇÕES GERAIS'!B:I,7,0),0))),"Em Elaboração")</f>
        <v>0</v>
      </c>
      <c r="I381" s="241">
        <f>IFERROR(IF(D381="SINAPI-S",VLOOKUP(B381,'20-B.SINAPI-S'!A:J,6,0),IF(D381="SINAPI-I",VLOOKUP(B381,'20-A.SINAPI-I'!A:G,7,0),IF(D381="COMPOSIÇÕES",VLOOKUP(B381,'11.COMPOSIÇÕES GERAIS'!B:I,8,0),VLOOKUP(B381,'12.COT.MERCADO'!A:I,8,0)))),"Em Elaboração")</f>
        <v>470</v>
      </c>
      <c r="J381" s="241">
        <f t="shared" si="120"/>
        <v>0</v>
      </c>
      <c r="K381" s="241">
        <f t="shared" si="121"/>
        <v>550.527255</v>
      </c>
      <c r="L381" s="241">
        <f t="shared" si="122"/>
        <v>550.527255</v>
      </c>
      <c r="M381" s="241">
        <f t="shared" si="123"/>
        <v>0</v>
      </c>
      <c r="N381" s="241">
        <f t="shared" si="124"/>
        <v>550.527255</v>
      </c>
      <c r="O381" s="241">
        <f t="shared" si="125"/>
        <v>550.527255</v>
      </c>
      <c r="P381" s="242">
        <f t="shared" si="2"/>
        <v>0.0004306632893</v>
      </c>
    </row>
    <row r="382">
      <c r="A382" s="236" t="s">
        <v>513</v>
      </c>
      <c r="B382" s="237" t="s">
        <v>514</v>
      </c>
      <c r="C382" s="238" t="str">
        <f t="shared" si="119"/>
        <v>PRÓPRIO</v>
      </c>
      <c r="D382" s="243" t="s">
        <v>110</v>
      </c>
      <c r="E382" s="239" t="str">
        <f>IFERROR(IF(D382="SINAPI-S",VLOOKUP(B382,'20-B.SINAPI-S'!A:J,2,0),IF(D382="SINAPI-I",VLOOKUP(B382,'20-A.SINAPI-I'!A:G,2,0),IF(D382="COMPOSIÇÕES",VLOOKUP(B382,'11.COMPOSIÇÕES GERAIS'!B:I,2,0),VLOOKUP(B382,'12.COT.MERCADO'!A:I,2,0)))),"Em Elaboração")</f>
        <v>SERVIÇO DE MANUTENÇÃO PREVENTIVA E CORRETIVA DE APARELHOS DE AR CONDICIONADO SPLIT ACIMA DE 48.000 BTUS ATÉ 60.000 BTUS, COM FORNECIMENTO DE PEÇAS E MATERIAIS (COM EXCEÇÃO DO COMPRESSOR PARA AR CONDICIONADO, MOTOR VENTILADOR DA UNIDADE CONDENSADORA OU EVAPORADORA E PLACA DE COMANDO DA UNIDADE CONDENSADORA OU EVAPORADORA)</v>
      </c>
      <c r="F382" s="240" t="str">
        <f>IFERROR(IF(D382="SINAPI-S",VLOOKUP(B382,'20-B.SINAPI-S'!A:J,3,0),IF(D382="SINAPI-I",VLOOKUP(B382,'20-A.SINAPI-I'!A:G,3,0),IF(D382="COMPOSIÇÕES",VLOOKUP(B382,'11.COMPOSIÇÕES GERAIS'!B:I,3,0),VLOOKUP(B382,'12.COT.MERCADO'!A:I,7,0)))),"Em Elaboração")</f>
        <v>UN </v>
      </c>
      <c r="G382" s="240">
        <v>1.0</v>
      </c>
      <c r="H382" s="241">
        <f>IFERROR(IF(D382="SINAPI-S",VLOOKUP(B382,'20-B.SINAPI-S'!A:J,5,0),IF(D382="SINAPI-I",VLOOKUP(B382,'20-A.SINAPI-I'!A:G,6,0),IF(D382="COMPOSIÇÕES",VLOOKUP(B382,'11.COMPOSIÇÕES GERAIS'!B:I,7,0),0))),"Em Elaboração")</f>
        <v>0</v>
      </c>
      <c r="I382" s="241">
        <f>IFERROR(IF(D382="SINAPI-S",VLOOKUP(B382,'20-B.SINAPI-S'!A:J,6,0),IF(D382="SINAPI-I",VLOOKUP(B382,'20-A.SINAPI-I'!A:G,7,0),IF(D382="COMPOSIÇÕES",VLOOKUP(B382,'11.COMPOSIÇÕES GERAIS'!B:I,8,0),VLOOKUP(B382,'12.COT.MERCADO'!A:I,8,0)))),"Em Elaboração")</f>
        <v>450</v>
      </c>
      <c r="J382" s="241">
        <f t="shared" si="120"/>
        <v>0</v>
      </c>
      <c r="K382" s="241">
        <f t="shared" si="121"/>
        <v>527.1005633</v>
      </c>
      <c r="L382" s="241">
        <f t="shared" si="122"/>
        <v>527.1005633</v>
      </c>
      <c r="M382" s="241">
        <f t="shared" si="123"/>
        <v>0</v>
      </c>
      <c r="N382" s="241">
        <f t="shared" si="124"/>
        <v>527.1005633</v>
      </c>
      <c r="O382" s="241">
        <f t="shared" si="125"/>
        <v>527.1005633</v>
      </c>
      <c r="P382" s="242">
        <f t="shared" si="2"/>
        <v>0.0004123371919</v>
      </c>
    </row>
    <row r="383">
      <c r="A383" s="236" t="s">
        <v>515</v>
      </c>
      <c r="B383" s="237" t="s">
        <v>516</v>
      </c>
      <c r="C383" s="238" t="str">
        <f t="shared" si="119"/>
        <v>PRÓPRIO</v>
      </c>
      <c r="D383" s="243" t="s">
        <v>110</v>
      </c>
      <c r="E383" s="239" t="str">
        <f>IFERROR(IF(D383="SINAPI-S",VLOOKUP(B383,'20-B.SINAPI-S'!A:J,2,0),IF(D383="SINAPI-I",VLOOKUP(B383,'20-A.SINAPI-I'!A:G,2,0),IF(D383="COMPOSIÇÕES",VLOOKUP(B383,'11.COMPOSIÇÕES GERAIS'!B:I,2,0),VLOOKUP(B383,'12.COT.MERCADO'!A:I,2,0)))),"Em Elaboração")</f>
        <v>SERVIÇO DE MANUTENÇÃO PREVENTIVA E CORRETIVA DE APARELHOS DE AR CONDICIONADO DO TIPO JANELA ATÉ 9.000 BTUS, COM FORNECIMENTO DE PEÇAS E MATERIAIS (COM EXCEÇÃO DO COMPRESSOR PARA AR CONDICIONADO, MOTOR VENTILADOR DA UNIDADE CONDENSADORA OU EVAPORADORA E PLACA DE COMANDO DA UNIDADE CONDENSADORA OU EVAPORADORA)</v>
      </c>
      <c r="F383" s="240" t="str">
        <f>IFERROR(IF(D383="SINAPI-S",VLOOKUP(B383,'20-B.SINAPI-S'!A:J,3,0),IF(D383="SINAPI-I",VLOOKUP(B383,'20-A.SINAPI-I'!A:G,3,0),IF(D383="COMPOSIÇÕES",VLOOKUP(B383,'11.COMPOSIÇÕES GERAIS'!B:I,3,0),VLOOKUP(B383,'12.COT.MERCADO'!A:I,7,0)))),"Em Elaboração")</f>
        <v>UN </v>
      </c>
      <c r="G383" s="240">
        <v>12.0</v>
      </c>
      <c r="H383" s="241">
        <f>IFERROR(IF(D383="SINAPI-S",VLOOKUP(B383,'20-B.SINAPI-S'!A:J,5,0),IF(D383="SINAPI-I",VLOOKUP(B383,'20-A.SINAPI-I'!A:G,6,0),IF(D383="COMPOSIÇÕES",VLOOKUP(B383,'11.COMPOSIÇÕES GERAIS'!B:I,7,0),0))),"Em Elaboração")</f>
        <v>0</v>
      </c>
      <c r="I383" s="241">
        <f>IFERROR(IF(D383="SINAPI-S",VLOOKUP(B383,'20-B.SINAPI-S'!A:J,6,0),IF(D383="SINAPI-I",VLOOKUP(B383,'20-A.SINAPI-I'!A:G,7,0),IF(D383="COMPOSIÇÕES",VLOOKUP(B383,'11.COMPOSIÇÕES GERAIS'!B:I,8,0),VLOOKUP(B383,'12.COT.MERCADO'!A:I,8,0)))),"Em Elaboração")</f>
        <v>350</v>
      </c>
      <c r="J383" s="241">
        <f t="shared" si="120"/>
        <v>0</v>
      </c>
      <c r="K383" s="241">
        <f t="shared" si="121"/>
        <v>409.9671048</v>
      </c>
      <c r="L383" s="241">
        <f t="shared" si="122"/>
        <v>409.9671048</v>
      </c>
      <c r="M383" s="241">
        <f t="shared" si="123"/>
        <v>0</v>
      </c>
      <c r="N383" s="241">
        <f t="shared" si="124"/>
        <v>4919.605258</v>
      </c>
      <c r="O383" s="241">
        <f t="shared" si="125"/>
        <v>4919.605258</v>
      </c>
      <c r="P383" s="242">
        <f t="shared" si="2"/>
        <v>0.003848480458</v>
      </c>
    </row>
    <row r="384">
      <c r="A384" s="236" t="s">
        <v>517</v>
      </c>
      <c r="B384" s="237" t="s">
        <v>518</v>
      </c>
      <c r="C384" s="238" t="str">
        <f t="shared" si="119"/>
        <v>PRÓPRIO</v>
      </c>
      <c r="D384" s="243" t="s">
        <v>110</v>
      </c>
      <c r="E384" s="239" t="str">
        <f>IFERROR(IF(D384="SINAPI-S",VLOOKUP(B384,'20-B.SINAPI-S'!A:J,2,0),IF(D384="SINAPI-I",VLOOKUP(B384,'20-A.SINAPI-I'!A:G,2,0),IF(D384="COMPOSIÇÕES",VLOOKUP(B384,'11.COMPOSIÇÕES GERAIS'!B:I,2,0),VLOOKUP(B384,'12.COT.MERCADO'!A:I,2,0)))),"Em Elaboração")</f>
        <v>SERVIÇO DE MANUTENÇÃO PREVENTIVA E CORRETIVA DE APARELHOS DE AR CONDICIONADO DO TIPO JANELA ACIMA DE 9.000 BTUS ATÉ 12.000 BTUS, COM FORNECIMENTO DE PEÇAS E MATERIAIS (COM EXCEÇÃO DO COMPRESSOR PARA AR CONDICIONADO, MOTOR VENTILADOR DA UNIDADE CONDENSADORA OU EVAPORADORA E PLACA DE COMANDO DA UNIDADE CONDENSADORA OU EVAPORADORA)</v>
      </c>
      <c r="F384" s="240" t="str">
        <f>IFERROR(IF(D384="SINAPI-S",VLOOKUP(B384,'20-B.SINAPI-S'!A:J,3,0),IF(D384="SINAPI-I",VLOOKUP(B384,'20-A.SINAPI-I'!A:G,3,0),IF(D384="COMPOSIÇÕES",VLOOKUP(B384,'11.COMPOSIÇÕES GERAIS'!B:I,3,0),VLOOKUP(B384,'12.COT.MERCADO'!A:I,7,0)))),"Em Elaboração")</f>
        <v>UN </v>
      </c>
      <c r="G384" s="240">
        <v>4.0</v>
      </c>
      <c r="H384" s="241">
        <f>IFERROR(IF(D384="SINAPI-S",VLOOKUP(B384,'20-B.SINAPI-S'!A:J,5,0),IF(D384="SINAPI-I",VLOOKUP(B384,'20-A.SINAPI-I'!A:G,6,0),IF(D384="COMPOSIÇÕES",VLOOKUP(B384,'11.COMPOSIÇÕES GERAIS'!B:I,7,0),0))),"Em Elaboração")</f>
        <v>0</v>
      </c>
      <c r="I384" s="241">
        <f>IFERROR(IF(D384="SINAPI-S",VLOOKUP(B384,'20-B.SINAPI-S'!A:J,6,0),IF(D384="SINAPI-I",VLOOKUP(B384,'20-A.SINAPI-I'!A:G,7,0),IF(D384="COMPOSIÇÕES",VLOOKUP(B384,'11.COMPOSIÇÕES GERAIS'!B:I,8,0),VLOOKUP(B384,'12.COT.MERCADO'!A:I,8,0)))),"Em Elaboração")</f>
        <v>350</v>
      </c>
      <c r="J384" s="241">
        <f t="shared" si="120"/>
        <v>0</v>
      </c>
      <c r="K384" s="241">
        <f t="shared" si="121"/>
        <v>409.9671048</v>
      </c>
      <c r="L384" s="241">
        <f t="shared" si="122"/>
        <v>409.9671048</v>
      </c>
      <c r="M384" s="241">
        <f t="shared" si="123"/>
        <v>0</v>
      </c>
      <c r="N384" s="241">
        <f t="shared" si="124"/>
        <v>1639.868419</v>
      </c>
      <c r="O384" s="241">
        <f t="shared" si="125"/>
        <v>1639.868419</v>
      </c>
      <c r="P384" s="242">
        <f t="shared" si="2"/>
        <v>0.001282826819</v>
      </c>
    </row>
    <row r="385">
      <c r="A385" s="236" t="s">
        <v>519</v>
      </c>
      <c r="B385" s="237" t="s">
        <v>520</v>
      </c>
      <c r="C385" s="238" t="str">
        <f t="shared" si="119"/>
        <v>PRÓPRIO</v>
      </c>
      <c r="D385" s="243" t="s">
        <v>110</v>
      </c>
      <c r="E385" s="239" t="str">
        <f>IFERROR(IF(D385="SINAPI-S",VLOOKUP(B385,'20-B.SINAPI-S'!A:J,2,0),IF(D385="SINAPI-I",VLOOKUP(B385,'20-A.SINAPI-I'!A:G,2,0),IF(D385="COMPOSIÇÕES",VLOOKUP(B385,'11.COMPOSIÇÕES GERAIS'!B:I,2,0),VLOOKUP(B385,'12.COT.MERCADO'!A:I,2,0)))),"Em Elaboração")</f>
        <v>SERVIÇO DE MANUTENÇÃO PREVENTIVA E CORRETIVA DE APARELHOS DE AR CONDICIONADO TIPO JANELA ACIMA DE 12.000 BTUS ATÉ 18.000 BTUS, COM FORNECIMENTO DE PEÇAS E MATERIAIS (COM EXCEÇÃO DO COMPRESSOR PARA AR CONDICIONADO, MOTOR VENTILADOR DA UNIDADE CONDENSADORA OU EVAPORADORA E PLACA DE COMANDO DA UNIDADE CONDENSADORA OU EVAPORADORA)</v>
      </c>
      <c r="F385" s="240" t="str">
        <f>IFERROR(IF(D385="SINAPI-S",VLOOKUP(B385,'20-B.SINAPI-S'!A:J,3,0),IF(D385="SINAPI-I",VLOOKUP(B385,'20-A.SINAPI-I'!A:G,3,0),IF(D385="COMPOSIÇÕES",VLOOKUP(B385,'11.COMPOSIÇÕES GERAIS'!B:I,3,0),VLOOKUP(B385,'12.COT.MERCADO'!A:I,7,0)))),"Em Elaboração")</f>
        <v>UN </v>
      </c>
      <c r="G385" s="240">
        <v>2.0</v>
      </c>
      <c r="H385" s="241">
        <f>IFERROR(IF(D385="SINAPI-S",VLOOKUP(B385,'20-B.SINAPI-S'!A:J,5,0),IF(D385="SINAPI-I",VLOOKUP(B385,'20-A.SINAPI-I'!A:G,6,0),IF(D385="COMPOSIÇÕES",VLOOKUP(B385,'11.COMPOSIÇÕES GERAIS'!B:I,7,0),0))),"Em Elaboração")</f>
        <v>0</v>
      </c>
      <c r="I385" s="241">
        <f>IFERROR(IF(D385="SINAPI-S",VLOOKUP(B385,'20-B.SINAPI-S'!A:J,6,0),IF(D385="SINAPI-I",VLOOKUP(B385,'20-A.SINAPI-I'!A:G,7,0),IF(D385="COMPOSIÇÕES",VLOOKUP(B385,'11.COMPOSIÇÕES GERAIS'!B:I,8,0),VLOOKUP(B385,'12.COT.MERCADO'!A:I,8,0)))),"Em Elaboração")</f>
        <v>270</v>
      </c>
      <c r="J385" s="241">
        <f t="shared" si="120"/>
        <v>0</v>
      </c>
      <c r="K385" s="241">
        <f t="shared" si="121"/>
        <v>316.260338</v>
      </c>
      <c r="L385" s="241">
        <f t="shared" si="122"/>
        <v>316.260338</v>
      </c>
      <c r="M385" s="241">
        <f t="shared" si="123"/>
        <v>0</v>
      </c>
      <c r="N385" s="241">
        <f t="shared" si="124"/>
        <v>632.520676</v>
      </c>
      <c r="O385" s="241">
        <f t="shared" si="125"/>
        <v>632.520676</v>
      </c>
      <c r="P385" s="242">
        <f t="shared" si="2"/>
        <v>0.0004948046303</v>
      </c>
    </row>
    <row r="386">
      <c r="A386" s="236" t="s">
        <v>521</v>
      </c>
      <c r="B386" s="237" t="s">
        <v>522</v>
      </c>
      <c r="C386" s="238" t="str">
        <f t="shared" si="119"/>
        <v>PRÓPRIO</v>
      </c>
      <c r="D386" s="243" t="s">
        <v>110</v>
      </c>
      <c r="E386" s="239" t="str">
        <f>IFERROR(IF(D386="SINAPI-S",VLOOKUP(B386,'20-B.SINAPI-S'!A:J,2,0),IF(D386="SINAPI-I",VLOOKUP(B386,'20-A.SINAPI-I'!A:G,2,0),IF(D386="COMPOSIÇÕES",VLOOKUP(B386,'11.COMPOSIÇÕES GERAIS'!B:I,2,0),VLOOKUP(B386,'12.COT.MERCADO'!A:I,2,0)))),"Em Elaboração")</f>
        <v>SERVIÇO DE MANUTENÇÃO PREVENTIVA E CORRETIVA DE APARELHOS DE AR CONDICIONADO TIPO JANELA ACIMA DE 18.000 BTUS ATÉ 27.000 BTUS, COM FORNECIMENTO DE PEÇAS E MATERIAIS (COM EXCEÇÃO DO COMPRESSOR PARA AR CONDICIONADO, MOTOR VENTILADOR DA UNIDADE CONDENSADORA OU EVAPORADORA E PLACA DE COMANDO DA UNIDADE CONDENSADORA OU EVAPORADORA)</v>
      </c>
      <c r="F386" s="240" t="str">
        <f>IFERROR(IF(D386="SINAPI-S",VLOOKUP(B386,'20-B.SINAPI-S'!A:J,3,0),IF(D386="SINAPI-I",VLOOKUP(B386,'20-A.SINAPI-I'!A:G,3,0),IF(D386="COMPOSIÇÕES",VLOOKUP(B386,'11.COMPOSIÇÕES GERAIS'!B:I,3,0),VLOOKUP(B386,'12.COT.MERCADO'!A:I,7,0)))),"Em Elaboração")</f>
        <v>UN </v>
      </c>
      <c r="G386" s="240">
        <v>11.0</v>
      </c>
      <c r="H386" s="241">
        <f>IFERROR(IF(D386="SINAPI-S",VLOOKUP(B386,'20-B.SINAPI-S'!A:J,5,0),IF(D386="SINAPI-I",VLOOKUP(B386,'20-A.SINAPI-I'!A:G,6,0),IF(D386="COMPOSIÇÕES",VLOOKUP(B386,'11.COMPOSIÇÕES GERAIS'!B:I,7,0),0))),"Em Elaboração")</f>
        <v>0</v>
      </c>
      <c r="I386" s="241">
        <f>IFERROR(IF(D386="SINAPI-S",VLOOKUP(B386,'20-B.SINAPI-S'!A:J,6,0),IF(D386="SINAPI-I",VLOOKUP(B386,'20-A.SINAPI-I'!A:G,7,0),IF(D386="COMPOSIÇÕES",VLOOKUP(B386,'11.COMPOSIÇÕES GERAIS'!B:I,8,0),VLOOKUP(B386,'12.COT.MERCADO'!A:I,8,0)))),"Em Elaboração")</f>
        <v>370</v>
      </c>
      <c r="J386" s="241">
        <f t="shared" si="120"/>
        <v>0</v>
      </c>
      <c r="K386" s="241">
        <f t="shared" si="121"/>
        <v>433.3937965</v>
      </c>
      <c r="L386" s="241">
        <f t="shared" si="122"/>
        <v>433.3937965</v>
      </c>
      <c r="M386" s="241">
        <f t="shared" si="123"/>
        <v>0</v>
      </c>
      <c r="N386" s="241">
        <f t="shared" si="124"/>
        <v>4767.331761</v>
      </c>
      <c r="O386" s="241">
        <f t="shared" si="125"/>
        <v>4767.331761</v>
      </c>
      <c r="P386" s="242">
        <f t="shared" si="2"/>
        <v>0.003729360825</v>
      </c>
    </row>
    <row r="387">
      <c r="A387" s="236" t="s">
        <v>523</v>
      </c>
      <c r="B387" s="237" t="s">
        <v>524</v>
      </c>
      <c r="C387" s="238" t="str">
        <f t="shared" si="119"/>
        <v>PRÓPRIO</v>
      </c>
      <c r="D387" s="243" t="s">
        <v>230</v>
      </c>
      <c r="E387" s="239" t="str">
        <f>IFERROR(IF(D387="SINAPI-S",VLOOKUP(B387,'20-B.SINAPI-S'!A:J,2,0),IF(D387="SINAPI-I",VLOOKUP(B387,'20-A.SINAPI-I'!A:G,2,0),IF(D387="COMPOSIÇÕES",VLOOKUP(B387,'11.COMPOSIÇÕES GERAIS'!B:I,2,0),VLOOKUP(B387,'12.COT.MERCADO'!A:I,2,0)))),"Em Elaboração")</f>
        <v>FORNECIMENTO E INSTALAÇÃO DE TUBULAÇÃO EM COBRE P/ INTERLIGAÇÃO DO CONDENSADOR AO EVAPORADOR, INCLUSIVE ISOLAMENTO, ALIMENTAÇÃO ELÉTRICA, CONEXÕES E FIXAÇÕES, P/ CONDICIONADORES DE AR SPLIT SYSTEM ATÉ 9.000 BTUS.</v>
      </c>
      <c r="F387" s="240" t="str">
        <f>IFERROR(IF(D387="SINAPI-S",VLOOKUP(B387,'20-B.SINAPI-S'!A:J,3,0),IF(D387="SINAPI-I",VLOOKUP(B387,'20-A.SINAPI-I'!A:G,3,0),IF(D387="COMPOSIÇÕES",VLOOKUP(B387,'11.COMPOSIÇÕES GERAIS'!B:I,3,0),VLOOKUP(B387,'12.COT.MERCADO'!A:I,7,0)))),"Em Elaboração")</f>
        <v>M</v>
      </c>
      <c r="G387" s="240">
        <v>12.0</v>
      </c>
      <c r="H387" s="241">
        <f>IFERROR(IF(D387="SINAPI-S",VLOOKUP(B387,'20-B.SINAPI-S'!A:J,5,0),IF(D387="SINAPI-I",VLOOKUP(B387,'20-A.SINAPI-I'!A:G,6,0),IF(D387="COMPOSIÇÕES",VLOOKUP(B387,'11.COMPOSIÇÕES GERAIS'!B:I,7,0),0))),"Em Elaboração")</f>
        <v>4.90609</v>
      </c>
      <c r="I387" s="241">
        <f>IFERROR(IF(D387="SINAPI-S",VLOOKUP(B387,'20-B.SINAPI-S'!A:J,6,0),IF(D387="SINAPI-I",VLOOKUP(B387,'20-A.SINAPI-I'!A:G,7,0),IF(D387="COMPOSIÇÕES",VLOOKUP(B387,'11.COMPOSIÇÕES GERAIS'!B:I,8,0),VLOOKUP(B387,'12.COT.MERCADO'!A:I,8,0)))),"Em Elaboração")</f>
        <v>94.88794</v>
      </c>
      <c r="J387" s="241">
        <f t="shared" si="120"/>
        <v>5.759371744</v>
      </c>
      <c r="K387" s="241">
        <f t="shared" si="121"/>
        <v>111.1455258</v>
      </c>
      <c r="L387" s="241">
        <f t="shared" si="122"/>
        <v>116.9048976</v>
      </c>
      <c r="M387" s="241">
        <f t="shared" si="123"/>
        <v>69.11246093</v>
      </c>
      <c r="N387" s="241">
        <f t="shared" si="124"/>
        <v>1333.74631</v>
      </c>
      <c r="O387" s="241">
        <f t="shared" si="125"/>
        <v>1402.858771</v>
      </c>
      <c r="P387" s="242">
        <f t="shared" si="2"/>
        <v>0.001097420277</v>
      </c>
    </row>
    <row r="388">
      <c r="A388" s="236" t="s">
        <v>525</v>
      </c>
      <c r="B388" s="237" t="s">
        <v>526</v>
      </c>
      <c r="C388" s="238" t="str">
        <f t="shared" si="119"/>
        <v>PRÓPRIO</v>
      </c>
      <c r="D388" s="243" t="s">
        <v>230</v>
      </c>
      <c r="E388" s="239" t="str">
        <f>IFERROR(IF(D388="SINAPI-S",VLOOKUP(B388,'20-B.SINAPI-S'!A:J,2,0),IF(D388="SINAPI-I",VLOOKUP(B388,'20-A.SINAPI-I'!A:G,2,0),IF(D388="COMPOSIÇÕES",VLOOKUP(B388,'11.COMPOSIÇÕES GERAIS'!B:I,2,0),VLOOKUP(B388,'12.COT.MERCADO'!A:I,2,0)))),"Em Elaboração")</f>
        <v>FORNECIMENTO E INSTALAÇÃO DE TUBULAÇÃO EM COBRE P/ INTERLIGAÇÃO DO CONDENSADOR AO EVAPORADOR, INCLUSIVE ISOLAMENTO, ALIMENTAÇÃO ELÉTRICA, CONEXÕES E FIXAÇÕES, P/ CONDICIONADORES DE AR SPLIT SYSTEM ACIMA DE 9.000 BTUS ATÉ 12.000 BTUS.</v>
      </c>
      <c r="F388" s="240" t="str">
        <f>IFERROR(IF(D388="SINAPI-S",VLOOKUP(B388,'20-B.SINAPI-S'!A:J,3,0),IF(D388="SINAPI-I",VLOOKUP(B388,'20-A.SINAPI-I'!A:G,3,0),IF(D388="COMPOSIÇÕES",VLOOKUP(B388,'11.COMPOSIÇÕES GERAIS'!B:I,3,0),VLOOKUP(B388,'12.COT.MERCADO'!A:I,7,0)))),"Em Elaboração")</f>
        <v>M</v>
      </c>
      <c r="G388" s="240">
        <v>10.0</v>
      </c>
      <c r="H388" s="241">
        <f>IFERROR(IF(D388="SINAPI-S",VLOOKUP(B388,'20-B.SINAPI-S'!A:J,5,0),IF(D388="SINAPI-I",VLOOKUP(B388,'20-A.SINAPI-I'!A:G,6,0),IF(D388="COMPOSIÇÕES",VLOOKUP(B388,'11.COMPOSIÇÕES GERAIS'!B:I,7,0),0))),"Em Elaboração")</f>
        <v>4.90609</v>
      </c>
      <c r="I388" s="241">
        <f>IFERROR(IF(D388="SINAPI-S",VLOOKUP(B388,'20-B.SINAPI-S'!A:J,6,0),IF(D388="SINAPI-I",VLOOKUP(B388,'20-A.SINAPI-I'!A:G,7,0),IF(D388="COMPOSIÇÕES",VLOOKUP(B388,'11.COMPOSIÇÕES GERAIS'!B:I,8,0),VLOOKUP(B388,'12.COT.MERCADO'!A:I,8,0)))),"Em Elaboração")</f>
        <v>107.18344</v>
      </c>
      <c r="J388" s="241">
        <f t="shared" si="120"/>
        <v>5.759371744</v>
      </c>
      <c r="K388" s="241">
        <f t="shared" si="121"/>
        <v>125.5476702</v>
      </c>
      <c r="L388" s="241">
        <f t="shared" si="122"/>
        <v>131.307042</v>
      </c>
      <c r="M388" s="241">
        <f t="shared" si="123"/>
        <v>57.59371744</v>
      </c>
      <c r="N388" s="241">
        <f t="shared" si="124"/>
        <v>1255.476702</v>
      </c>
      <c r="O388" s="241">
        <f t="shared" si="125"/>
        <v>1313.07042</v>
      </c>
      <c r="P388" s="242">
        <f t="shared" si="2"/>
        <v>0.001027181163</v>
      </c>
    </row>
    <row r="389">
      <c r="A389" s="236" t="s">
        <v>527</v>
      </c>
      <c r="B389" s="237" t="s">
        <v>528</v>
      </c>
      <c r="C389" s="238" t="str">
        <f t="shared" si="119"/>
        <v>PRÓPRIO</v>
      </c>
      <c r="D389" s="243" t="s">
        <v>230</v>
      </c>
      <c r="E389" s="239" t="str">
        <f>IFERROR(IF(D389="SINAPI-S",VLOOKUP(B389,'20-B.SINAPI-S'!A:J,2,0),IF(D389="SINAPI-I",VLOOKUP(B389,'20-A.SINAPI-I'!A:G,2,0),IF(D389="COMPOSIÇÕES",VLOOKUP(B389,'11.COMPOSIÇÕES GERAIS'!B:I,2,0),VLOOKUP(B389,'12.COT.MERCADO'!A:I,2,0)))),"Em Elaboração")</f>
        <v>FORNECIMENTO E INSTALAÇÃO DE TUBULAÇÃO EM COBRE P/ INTERLIGAÇÃO DO CONDENSADOR AO EVAPORADOR, INCLUSIVE ISOLAMENTO, ALIMENTAÇÃO ELÉTRICA, CONEXÕES E FIXAÇÕES, P/ CONDICIONADORES DE AR SPLIT SYSTEM ACIMA DE 12.000 BTUS ATÉ 18.000 BTUS.</v>
      </c>
      <c r="F389" s="240" t="str">
        <f>IFERROR(IF(D389="SINAPI-S",VLOOKUP(B389,'20-B.SINAPI-S'!A:J,3,0),IF(D389="SINAPI-I",VLOOKUP(B389,'20-A.SINAPI-I'!A:G,3,0),IF(D389="COMPOSIÇÕES",VLOOKUP(B389,'11.COMPOSIÇÕES GERAIS'!B:I,3,0),VLOOKUP(B389,'12.COT.MERCADO'!A:I,7,0)))),"Em Elaboração")</f>
        <v>M</v>
      </c>
      <c r="G389" s="240">
        <v>2.0</v>
      </c>
      <c r="H389" s="241">
        <f>IFERROR(IF(D389="SINAPI-S",VLOOKUP(B389,'20-B.SINAPI-S'!A:J,5,0),IF(D389="SINAPI-I",VLOOKUP(B389,'20-A.SINAPI-I'!A:G,6,0),IF(D389="COMPOSIÇÕES",VLOOKUP(B389,'11.COMPOSIÇÕES GERAIS'!B:I,7,0),0))),"Em Elaboração")</f>
        <v>5.22116</v>
      </c>
      <c r="I389" s="241">
        <f>IFERROR(IF(D389="SINAPI-S",VLOOKUP(B389,'20-B.SINAPI-S'!A:J,6,0),IF(D389="SINAPI-I",VLOOKUP(B389,'20-A.SINAPI-I'!A:G,7,0),IF(D389="COMPOSIÇÕES",VLOOKUP(B389,'11.COMPOSIÇÕES GERAIS'!B:I,8,0),VLOOKUP(B389,'12.COT.MERCADO'!A:I,8,0)))),"Em Elaboração")</f>
        <v>120.36486</v>
      </c>
      <c r="J389" s="241">
        <f t="shared" si="120"/>
        <v>6.129239654</v>
      </c>
      <c r="K389" s="241">
        <f t="shared" si="121"/>
        <v>140.9875234</v>
      </c>
      <c r="L389" s="241">
        <f t="shared" si="122"/>
        <v>147.116763</v>
      </c>
      <c r="M389" s="241">
        <f t="shared" si="123"/>
        <v>12.25847931</v>
      </c>
      <c r="N389" s="241">
        <f t="shared" si="124"/>
        <v>281.9750467</v>
      </c>
      <c r="O389" s="241">
        <f t="shared" si="125"/>
        <v>294.233526</v>
      </c>
      <c r="P389" s="242">
        <f t="shared" si="2"/>
        <v>0.0002301713076</v>
      </c>
    </row>
    <row r="390">
      <c r="A390" s="236" t="s">
        <v>529</v>
      </c>
      <c r="B390" s="237" t="s">
        <v>530</v>
      </c>
      <c r="C390" s="238" t="str">
        <f t="shared" si="119"/>
        <v>PRÓPRIO</v>
      </c>
      <c r="D390" s="243" t="s">
        <v>230</v>
      </c>
      <c r="E390" s="239" t="str">
        <f>IFERROR(IF(D390="SINAPI-S",VLOOKUP(B390,'20-B.SINAPI-S'!A:J,2,0),IF(D390="SINAPI-I",VLOOKUP(B390,'20-A.SINAPI-I'!A:G,2,0),IF(D390="COMPOSIÇÕES",VLOOKUP(B390,'11.COMPOSIÇÕES GERAIS'!B:I,2,0),VLOOKUP(B390,'12.COT.MERCADO'!A:I,2,0)))),"Em Elaboração")</f>
        <v>FORNECIMENTO E INSTALAÇÃO DE TUBULAÇÃO EM COBRE P/ INTERLIGAÇÃO DO CONDENSADOR AO EVAPORADOR, INCLUSIVE ISOLAMENTO, ALIMENTAÇÃO ELÉTRICA, CONEXÕES E FIXAÇÕES, P/ CONDICIONADORES DE AR SPLIT SYSTEM DE ACIMA DE 18.000 BTUS ATÉ 24.000 BTUS.</v>
      </c>
      <c r="F390" s="240" t="str">
        <f>IFERROR(IF(D390="SINAPI-S",VLOOKUP(B390,'20-B.SINAPI-S'!A:J,3,0),IF(D390="SINAPI-I",VLOOKUP(B390,'20-A.SINAPI-I'!A:G,3,0),IF(D390="COMPOSIÇÕES",VLOOKUP(B390,'11.COMPOSIÇÕES GERAIS'!B:I,3,0),VLOOKUP(B390,'12.COT.MERCADO'!A:I,7,0)))),"Em Elaboração")</f>
        <v>M</v>
      </c>
      <c r="G390" s="237">
        <v>2.0</v>
      </c>
      <c r="H390" s="241">
        <f>IFERROR(IF(D390="SINAPI-S",VLOOKUP(B390,'20-B.SINAPI-S'!A:J,5,0),IF(D390="SINAPI-I",VLOOKUP(B390,'20-A.SINAPI-I'!A:G,6,0),IF(D390="COMPOSIÇÕES",VLOOKUP(B390,'11.COMPOSIÇÕES GERAIS'!B:I,7,0),0))),"Em Elaboração")</f>
        <v>5.22116</v>
      </c>
      <c r="I390" s="241">
        <f>IFERROR(IF(D390="SINAPI-S",VLOOKUP(B390,'20-B.SINAPI-S'!A:J,6,0),IF(D390="SINAPI-I",VLOOKUP(B390,'20-A.SINAPI-I'!A:G,7,0),IF(D390="COMPOSIÇÕES",VLOOKUP(B390,'11.COMPOSIÇÕES GERAIS'!B:I,8,0),VLOOKUP(B390,'12.COT.MERCADO'!A:I,8,0)))),"Em Elaboração")</f>
        <v>120.36486</v>
      </c>
      <c r="J390" s="241">
        <f t="shared" si="120"/>
        <v>6.129239654</v>
      </c>
      <c r="K390" s="241">
        <f t="shared" si="121"/>
        <v>140.9875234</v>
      </c>
      <c r="L390" s="241">
        <f t="shared" si="122"/>
        <v>147.116763</v>
      </c>
      <c r="M390" s="241">
        <f t="shared" si="123"/>
        <v>12.25847931</v>
      </c>
      <c r="N390" s="241">
        <f t="shared" si="124"/>
        <v>281.9750467</v>
      </c>
      <c r="O390" s="241">
        <f t="shared" si="125"/>
        <v>294.233526</v>
      </c>
      <c r="P390" s="242">
        <f t="shared" si="2"/>
        <v>0.0002301713076</v>
      </c>
    </row>
    <row r="391">
      <c r="A391" s="236" t="s">
        <v>531</v>
      </c>
      <c r="B391" s="237" t="s">
        <v>532</v>
      </c>
      <c r="C391" s="238" t="str">
        <f t="shared" si="119"/>
        <v>PRÓPRIO</v>
      </c>
      <c r="D391" s="243" t="s">
        <v>230</v>
      </c>
      <c r="E391" s="239" t="str">
        <f>IFERROR(IF(D391="SINAPI-S",VLOOKUP(B391,'20-B.SINAPI-S'!A:J,2,0),IF(D391="SINAPI-I",VLOOKUP(B391,'20-A.SINAPI-I'!A:G,2,0),IF(D391="COMPOSIÇÕES",VLOOKUP(B391,'11.COMPOSIÇÕES GERAIS'!B:I,2,0),VLOOKUP(B391,'12.COT.MERCADO'!A:I,2,0)))),"Em Elaboração")</f>
        <v>FORNECIMENTO E INSTALAÇÃO DE TUBULAÇÃO EM COBRE P/ INTERLIGAÇÃO DO CONDENSADOR AO EVAPORADOR, INCLUSIVE ISOLAMENTO, ALIMENTAÇÃO ELÉTRICA, CONEXÕES E FIXAÇÕES, P/ CONDICIONADORES DE AR SPLIT SYSTEM ACIMA DE 24.000 BTUS ATÉ 36.000 BTUS.</v>
      </c>
      <c r="F391" s="240" t="str">
        <f>IFERROR(IF(D391="SINAPI-S",VLOOKUP(B391,'20-B.SINAPI-S'!A:J,3,0),IF(D391="SINAPI-I",VLOOKUP(B391,'20-A.SINAPI-I'!A:G,3,0),IF(D391="COMPOSIÇÕES",VLOOKUP(B391,'11.COMPOSIÇÕES GERAIS'!B:I,3,0),VLOOKUP(B391,'12.COT.MERCADO'!A:I,7,0)))),"Em Elaboração")</f>
        <v>M</v>
      </c>
      <c r="G391" s="240">
        <v>2.0</v>
      </c>
      <c r="H391" s="241">
        <f>IFERROR(IF(D391="SINAPI-S",VLOOKUP(B391,'20-B.SINAPI-S'!A:J,5,0),IF(D391="SINAPI-I",VLOOKUP(B391,'20-A.SINAPI-I'!A:G,6,0),IF(D391="COMPOSIÇÕES",VLOOKUP(B391,'11.COMPOSIÇÕES GERAIS'!B:I,7,0),0))),"Em Elaboração")</f>
        <v>5.44621</v>
      </c>
      <c r="I391" s="241">
        <f>IFERROR(IF(D391="SINAPI-S",VLOOKUP(B391,'20-B.SINAPI-S'!A:J,6,0),IF(D391="SINAPI-I",VLOOKUP(B391,'20-A.SINAPI-I'!A:G,7,0),IF(D391="COMPOSIÇÕES",VLOOKUP(B391,'11.COMPOSIÇÕES GERAIS'!B:I,8,0),VLOOKUP(B391,'12.COT.MERCADO'!A:I,8,0)))),"Em Elaboração")</f>
        <v>139.37416</v>
      </c>
      <c r="J391" s="241">
        <f t="shared" si="120"/>
        <v>6.393431018</v>
      </c>
      <c r="K391" s="241">
        <f t="shared" si="121"/>
        <v>163.2537739</v>
      </c>
      <c r="L391" s="241">
        <f t="shared" si="122"/>
        <v>169.6472049</v>
      </c>
      <c r="M391" s="241">
        <f t="shared" si="123"/>
        <v>12.78686204</v>
      </c>
      <c r="N391" s="241">
        <f t="shared" si="124"/>
        <v>326.5075478</v>
      </c>
      <c r="O391" s="241">
        <f t="shared" si="125"/>
        <v>339.2944098</v>
      </c>
      <c r="P391" s="242">
        <f t="shared" si="2"/>
        <v>0.0002654212762</v>
      </c>
    </row>
    <row r="392">
      <c r="A392" s="236" t="s">
        <v>533</v>
      </c>
      <c r="B392" s="237" t="s">
        <v>534</v>
      </c>
      <c r="C392" s="238" t="str">
        <f t="shared" si="119"/>
        <v>PRÓPRIO</v>
      </c>
      <c r="D392" s="243" t="s">
        <v>230</v>
      </c>
      <c r="E392" s="239" t="str">
        <f>IFERROR(IF(D392="SINAPI-S",VLOOKUP(B392,'20-B.SINAPI-S'!A:J,2,0),IF(D392="SINAPI-I",VLOOKUP(B392,'20-A.SINAPI-I'!A:G,2,0),IF(D392="COMPOSIÇÕES",VLOOKUP(B392,'11.COMPOSIÇÕES GERAIS'!B:I,2,0),VLOOKUP(B392,'12.COT.MERCADO'!A:I,2,0)))),"Em Elaboração")</f>
        <v>FORNECIMENTO E INSTALAÇÃO DE TUBULAÇÃO EM COBRE P/ INTERLIGAÇÃO DO CONDENSADOR AO EVAPORADOR, INCLUSIVE ISOLAMENTO, ALIMENTAÇÃO ELÉTRICA, CONEXÕES E FIXAÇÕES, P/ CONDICIONADORES DE AR SPLIT SYSTEM DE ACIMA DE 36.000 BUTS ATÉ 48.000 BTUS.</v>
      </c>
      <c r="F392" s="240" t="str">
        <f>IFERROR(IF(D392="SINAPI-S",VLOOKUP(B392,'20-B.SINAPI-S'!A:J,3,0),IF(D392="SINAPI-I",VLOOKUP(B392,'20-A.SINAPI-I'!A:G,3,0),IF(D392="COMPOSIÇÕES",VLOOKUP(B392,'11.COMPOSIÇÕES GERAIS'!B:I,3,0),VLOOKUP(B392,'12.COT.MERCADO'!A:I,7,0)))),"Em Elaboração")</f>
        <v>M</v>
      </c>
      <c r="G392" s="237">
        <v>1.0</v>
      </c>
      <c r="H392" s="241">
        <f>IFERROR(IF(D392="SINAPI-S",VLOOKUP(B392,'20-B.SINAPI-S'!A:J,5,0),IF(D392="SINAPI-I",VLOOKUP(B392,'20-A.SINAPI-I'!A:G,6,0),IF(D392="COMPOSIÇÕES",VLOOKUP(B392,'11.COMPOSIÇÕES GERAIS'!B:I,7,0),0))),"Em Elaboração")</f>
        <v>5.44621</v>
      </c>
      <c r="I392" s="241">
        <f>IFERROR(IF(D392="SINAPI-S",VLOOKUP(B392,'20-B.SINAPI-S'!A:J,6,0),IF(D392="SINAPI-I",VLOOKUP(B392,'20-A.SINAPI-I'!A:G,7,0),IF(D392="COMPOSIÇÕES",VLOOKUP(B392,'11.COMPOSIÇÕES GERAIS'!B:I,8,0),VLOOKUP(B392,'12.COT.MERCADO'!A:I,8,0)))),"Em Elaboração")</f>
        <v>206.00716</v>
      </c>
      <c r="J392" s="241">
        <f t="shared" si="120"/>
        <v>6.393431018</v>
      </c>
      <c r="K392" s="241">
        <f t="shared" si="121"/>
        <v>241.3033113</v>
      </c>
      <c r="L392" s="241">
        <f t="shared" si="122"/>
        <v>247.6967423</v>
      </c>
      <c r="M392" s="241">
        <f t="shared" si="123"/>
        <v>6.393431018</v>
      </c>
      <c r="N392" s="241">
        <f t="shared" si="124"/>
        <v>241.3033113</v>
      </c>
      <c r="O392" s="241">
        <f t="shared" si="125"/>
        <v>247.6967423</v>
      </c>
      <c r="P392" s="242">
        <f t="shared" si="2"/>
        <v>0.0001937667805</v>
      </c>
    </row>
    <row r="393">
      <c r="A393" s="236" t="s">
        <v>535</v>
      </c>
      <c r="B393" s="237" t="s">
        <v>536</v>
      </c>
      <c r="C393" s="238" t="str">
        <f t="shared" si="119"/>
        <v>PRÓPRIO</v>
      </c>
      <c r="D393" s="243" t="s">
        <v>230</v>
      </c>
      <c r="E393" s="239" t="str">
        <f>IFERROR(IF(D393="SINAPI-S",VLOOKUP(B393,'20-B.SINAPI-S'!A:J,2,0),IF(D393="SINAPI-I",VLOOKUP(B393,'20-A.SINAPI-I'!A:G,2,0),IF(D393="COMPOSIÇÕES",VLOOKUP(B393,'11.COMPOSIÇÕES GERAIS'!B:I,2,0),VLOOKUP(B393,'12.COT.MERCADO'!A:I,2,0)))),"Em Elaboração")</f>
        <v>FORNECIMENTO E INSTALAÇÃO DE TUBULAÇÃO EM COBRE P/ INTERLIGAÇÃO DO CONDENSADOR AO EVAPORADOR, INCLUSIVE ISOLAMENTO, ALIMENTAÇÃO ELÉTRICA, CONEXÕES E FIXAÇÕES, P/ CONDICIONADORES DE AR SPLIT SYSTEM DE ACIMA DE 48.000 BUTS ATÉ 60.000 BTUS.</v>
      </c>
      <c r="F393" s="240" t="str">
        <f>IFERROR(IF(D393="SINAPI-S",VLOOKUP(B393,'20-B.SINAPI-S'!A:J,3,0),IF(D393="SINAPI-I",VLOOKUP(B393,'20-A.SINAPI-I'!A:G,3,0),IF(D393="COMPOSIÇÕES",VLOOKUP(B393,'11.COMPOSIÇÕES GERAIS'!B:I,3,0),VLOOKUP(B393,'12.COT.MERCADO'!A:I,7,0)))),"Em Elaboração")</f>
        <v>M</v>
      </c>
      <c r="G393" s="237">
        <v>1.0</v>
      </c>
      <c r="H393" s="241">
        <f>IFERROR(IF(D393="SINAPI-S",VLOOKUP(B393,'20-B.SINAPI-S'!A:J,5,0),IF(D393="SINAPI-I",VLOOKUP(B393,'20-A.SINAPI-I'!A:G,6,0),IF(D393="COMPOSIÇÕES",VLOOKUP(B393,'11.COMPOSIÇÕES GERAIS'!B:I,7,0),0))),"Em Elaboração")</f>
        <v>5.44621</v>
      </c>
      <c r="I393" s="241">
        <f>IFERROR(IF(D393="SINAPI-S",VLOOKUP(B393,'20-B.SINAPI-S'!A:J,6,0),IF(D393="SINAPI-I",VLOOKUP(B393,'20-A.SINAPI-I'!A:G,7,0),IF(D393="COMPOSIÇÕES",VLOOKUP(B393,'11.COMPOSIÇÕES GERAIS'!B:I,8,0),VLOOKUP(B393,'12.COT.MERCADO'!A:I,8,0)))),"Em Elaboração")</f>
        <v>206.00716</v>
      </c>
      <c r="J393" s="241">
        <f t="shared" si="120"/>
        <v>6.393431018</v>
      </c>
      <c r="K393" s="241">
        <f t="shared" si="121"/>
        <v>241.3033113</v>
      </c>
      <c r="L393" s="241">
        <f t="shared" si="122"/>
        <v>247.6967423</v>
      </c>
      <c r="M393" s="241">
        <f t="shared" si="123"/>
        <v>6.393431018</v>
      </c>
      <c r="N393" s="241">
        <f t="shared" si="124"/>
        <v>241.3033113</v>
      </c>
      <c r="O393" s="241">
        <f t="shared" si="125"/>
        <v>247.6967423</v>
      </c>
      <c r="P393" s="242">
        <f t="shared" si="2"/>
        <v>0.0001937667805</v>
      </c>
    </row>
    <row r="394">
      <c r="A394" s="236" t="s">
        <v>537</v>
      </c>
      <c r="B394" s="237" t="s">
        <v>538</v>
      </c>
      <c r="C394" s="238" t="str">
        <f t="shared" si="119"/>
        <v>PRÓPRIO</v>
      </c>
      <c r="D394" s="243" t="s">
        <v>230</v>
      </c>
      <c r="E394" s="239" t="str">
        <f>IFERROR(IF(D394="SINAPI-S",VLOOKUP(B394,'20-B.SINAPI-S'!A:J,2,0),IF(D394="SINAPI-I",VLOOKUP(B394,'20-A.SINAPI-I'!A:G,2,0),IF(D394="COMPOSIÇÕES",VLOOKUP(B394,'11.COMPOSIÇÕES GERAIS'!B:I,2,0),VLOOKUP(B394,'12.COT.MERCADO'!A:I,2,0)))),"Em Elaboração")</f>
        <v>SERVIÇO DE INSTALAÇÃO DE CONDICIONADOR DE AR TIPO SPLIT HIGH WALL, ATÉ 9.000 BTU - CONTEMPLA MATERIAIS, MÃO DE OBRA, SUPORTE E TUBULAÇÃO ATÉ 3,0M</v>
      </c>
      <c r="F394" s="240" t="str">
        <f>IFERROR(IF(D394="SINAPI-S",VLOOKUP(B394,'20-B.SINAPI-S'!A:J,3,0),IF(D394="SINAPI-I",VLOOKUP(B394,'20-A.SINAPI-I'!A:G,3,0),IF(D394="COMPOSIÇÕES",VLOOKUP(B394,'11.COMPOSIÇÕES GERAIS'!B:I,3,0),VLOOKUP(B394,'12.COT.MERCADO'!A:I,7,0)))),"Em Elaboração")</f>
        <v>UN </v>
      </c>
      <c r="G394" s="240">
        <v>1.0</v>
      </c>
      <c r="H394" s="241">
        <f>IFERROR(IF(D394="SINAPI-S",VLOOKUP(B394,'20-B.SINAPI-S'!A:J,5,0),IF(D394="SINAPI-I",VLOOKUP(B394,'20-A.SINAPI-I'!A:G,6,0),IF(D394="COMPOSIÇÕES",VLOOKUP(B394,'11.COMPOSIÇÕES GERAIS'!B:I,7,0),0))),"Em Elaboração")</f>
        <v>0</v>
      </c>
      <c r="I394" s="241">
        <f>IFERROR(IF(D394="SINAPI-S",VLOOKUP(B394,'20-B.SINAPI-S'!A:J,6,0),IF(D394="SINAPI-I",VLOOKUP(B394,'20-A.SINAPI-I'!A:G,7,0),IF(D394="COMPOSIÇÕES",VLOOKUP(B394,'11.COMPOSIÇÕES GERAIS'!B:I,8,0),VLOOKUP(B394,'12.COT.MERCADO'!A:I,8,0)))),"Em Elaboração")</f>
        <v>699</v>
      </c>
      <c r="J394" s="241">
        <f t="shared" si="120"/>
        <v>0</v>
      </c>
      <c r="K394" s="241">
        <f t="shared" si="121"/>
        <v>818.762875</v>
      </c>
      <c r="L394" s="241">
        <f t="shared" si="122"/>
        <v>818.762875</v>
      </c>
      <c r="M394" s="241">
        <f t="shared" si="123"/>
        <v>0</v>
      </c>
      <c r="N394" s="241">
        <f t="shared" si="124"/>
        <v>818.762875</v>
      </c>
      <c r="O394" s="241">
        <f t="shared" si="125"/>
        <v>818.762875</v>
      </c>
      <c r="P394" s="242">
        <f t="shared" si="2"/>
        <v>0.0006404971048</v>
      </c>
    </row>
    <row r="395">
      <c r="A395" s="236" t="s">
        <v>539</v>
      </c>
      <c r="B395" s="237" t="s">
        <v>540</v>
      </c>
      <c r="C395" s="238" t="str">
        <f t="shared" si="119"/>
        <v>PRÓPRIO</v>
      </c>
      <c r="D395" s="243" t="s">
        <v>230</v>
      </c>
      <c r="E395" s="239" t="str">
        <f>IFERROR(IF(D395="SINAPI-S",VLOOKUP(B395,'20-B.SINAPI-S'!A:J,2,0),IF(D395="SINAPI-I",VLOOKUP(B395,'20-A.SINAPI-I'!A:G,2,0),IF(D395="COMPOSIÇÕES",VLOOKUP(B395,'11.COMPOSIÇÕES GERAIS'!B:I,2,0),VLOOKUP(B395,'12.COT.MERCADO'!A:I,2,0)))),"Em Elaboração")</f>
        <v>SERVIÇO DE INSTALAÇÃO DE CONDICIONADOR DE AR TIPO SPLIT HIGH WALL, ACIMA DE 9.000 BTUS ATÉ 30.000 BTUS - CONTEMPLA MATERIAIS, MÃO DE OBRA, SUPORTE E TUBULAÇÃO ATÉ 3,0M</v>
      </c>
      <c r="F395" s="240" t="str">
        <f>IFERROR(IF(D395="SINAPI-S",VLOOKUP(B395,'20-B.SINAPI-S'!A:J,3,0),IF(D395="SINAPI-I",VLOOKUP(B395,'20-A.SINAPI-I'!A:G,3,0),IF(D395="COMPOSIÇÕES",VLOOKUP(B395,'11.COMPOSIÇÕES GERAIS'!B:I,3,0),VLOOKUP(B395,'12.COT.MERCADO'!A:I,7,0)))),"Em Elaboração")</f>
        <v>UN </v>
      </c>
      <c r="G395" s="237">
        <v>2.0</v>
      </c>
      <c r="H395" s="241">
        <f>IFERROR(IF(D395="SINAPI-S",VLOOKUP(B395,'20-B.SINAPI-S'!A:J,5,0),IF(D395="SINAPI-I",VLOOKUP(B395,'20-A.SINAPI-I'!A:G,6,0),IF(D395="COMPOSIÇÕES",VLOOKUP(B395,'11.COMPOSIÇÕES GERAIS'!B:I,7,0),0))),"Em Elaboração")</f>
        <v>0</v>
      </c>
      <c r="I395" s="241">
        <f>IFERROR(IF(D395="SINAPI-S",VLOOKUP(B395,'20-B.SINAPI-S'!A:J,6,0),IF(D395="SINAPI-I",VLOOKUP(B395,'20-A.SINAPI-I'!A:G,7,0),IF(D395="COMPOSIÇÕES",VLOOKUP(B395,'11.COMPOSIÇÕES GERAIS'!B:I,8,0),VLOOKUP(B395,'12.COT.MERCADO'!A:I,8,0)))),"Em Elaboração")</f>
        <v>921</v>
      </c>
      <c r="J395" s="241">
        <f t="shared" si="120"/>
        <v>0</v>
      </c>
      <c r="K395" s="241">
        <f t="shared" si="121"/>
        <v>1078.799153</v>
      </c>
      <c r="L395" s="241">
        <f t="shared" si="122"/>
        <v>1078.799153</v>
      </c>
      <c r="M395" s="241">
        <f t="shared" si="123"/>
        <v>0</v>
      </c>
      <c r="N395" s="241">
        <f t="shared" si="124"/>
        <v>2157.598306</v>
      </c>
      <c r="O395" s="241">
        <f t="shared" si="125"/>
        <v>2157.598306</v>
      </c>
      <c r="P395" s="242">
        <f t="shared" si="2"/>
        <v>0.001687833572</v>
      </c>
    </row>
    <row r="396">
      <c r="A396" s="236" t="s">
        <v>541</v>
      </c>
      <c r="B396" s="237" t="s">
        <v>542</v>
      </c>
      <c r="C396" s="238" t="str">
        <f t="shared" si="119"/>
        <v>PRÓPRIO</v>
      </c>
      <c r="D396" s="243" t="s">
        <v>230</v>
      </c>
      <c r="E396" s="239" t="str">
        <f>IFERROR(IF(D396="SINAPI-S",VLOOKUP(B396,'20-B.SINAPI-S'!A:J,2,0),IF(D396="SINAPI-I",VLOOKUP(B396,'20-A.SINAPI-I'!A:G,2,0),IF(D396="COMPOSIÇÕES",VLOOKUP(B396,'11.COMPOSIÇÕES GERAIS'!B:I,2,0),VLOOKUP(B396,'12.COT.MERCADO'!A:I,2,0)))),"Em Elaboração")</f>
        <v>SERVIÇO DE INSTALAÇÃO DE CONDICIONADOR DE AR TIPO SPLIT HIGH WALL, ACIMA DE 30.000 BTUS ATÉ 36.000 BTUS - CONTEMPLA MATERIAIS, MÃO DE OBRA, SUPORTE E TUBULAÇÃO ATÉ 3,0M</v>
      </c>
      <c r="F396" s="240" t="str">
        <f>IFERROR(IF(D396="SINAPI-S",VLOOKUP(B396,'20-B.SINAPI-S'!A:J,3,0),IF(D396="SINAPI-I",VLOOKUP(B396,'20-A.SINAPI-I'!A:G,3,0),IF(D396="COMPOSIÇÕES",VLOOKUP(B396,'11.COMPOSIÇÕES GERAIS'!B:I,3,0),VLOOKUP(B396,'12.COT.MERCADO'!A:I,7,0)))),"Em Elaboração")</f>
        <v>UN </v>
      </c>
      <c r="G396" s="237">
        <v>1.0</v>
      </c>
      <c r="H396" s="241">
        <f>IFERROR(IF(D396="SINAPI-S",VLOOKUP(B396,'20-B.SINAPI-S'!A:J,5,0),IF(D396="SINAPI-I",VLOOKUP(B396,'20-A.SINAPI-I'!A:G,6,0),IF(D396="COMPOSIÇÕES",VLOOKUP(B396,'11.COMPOSIÇÕES GERAIS'!B:I,7,0),0))),"Em Elaboração")</f>
        <v>0</v>
      </c>
      <c r="I396" s="241">
        <f>IFERROR(IF(D396="SINAPI-S",VLOOKUP(B396,'20-B.SINAPI-S'!A:J,6,0),IF(D396="SINAPI-I",VLOOKUP(B396,'20-A.SINAPI-I'!A:G,7,0),IF(D396="COMPOSIÇÕES",VLOOKUP(B396,'11.COMPOSIÇÕES GERAIS'!B:I,8,0),VLOOKUP(B396,'12.COT.MERCADO'!A:I,8,0)))),"Em Elaboração")</f>
        <v>1999</v>
      </c>
      <c r="J396" s="241">
        <f t="shared" si="120"/>
        <v>0</v>
      </c>
      <c r="K396" s="241">
        <f t="shared" si="121"/>
        <v>2341.497836</v>
      </c>
      <c r="L396" s="241">
        <f t="shared" si="122"/>
        <v>2341.497836</v>
      </c>
      <c r="M396" s="241">
        <f t="shared" si="123"/>
        <v>0</v>
      </c>
      <c r="N396" s="241">
        <f t="shared" si="124"/>
        <v>2341.497836</v>
      </c>
      <c r="O396" s="241">
        <f t="shared" si="125"/>
        <v>2341.497836</v>
      </c>
      <c r="P396" s="242">
        <f t="shared" si="2"/>
        <v>0.001831693437</v>
      </c>
    </row>
    <row r="397">
      <c r="A397" s="236" t="s">
        <v>543</v>
      </c>
      <c r="B397" s="237" t="s">
        <v>544</v>
      </c>
      <c r="C397" s="238" t="str">
        <f t="shared" si="119"/>
        <v>PRÓPRIO</v>
      </c>
      <c r="D397" s="243" t="s">
        <v>230</v>
      </c>
      <c r="E397" s="239" t="str">
        <f>IFERROR(IF(D397="SINAPI-S",VLOOKUP(B397,'20-B.SINAPI-S'!A:J,2,0),IF(D397="SINAPI-I",VLOOKUP(B397,'20-A.SINAPI-I'!A:G,2,0),IF(D397="COMPOSIÇÕES",VLOOKUP(B397,'11.COMPOSIÇÕES GERAIS'!B:I,2,0),VLOOKUP(B397,'12.COT.MERCADO'!A:I,2,0)))),"Em Elaboração")</f>
        <v>SERVIÇO DE INSTALAÇÃO DE CONDICIONADOR DE AR TIPO SPLIT PISO-TETO, ACIMA DE 18.000 BTUS ATÉ 24.000 BTUS - CONTEMPLA MATERIAIS, MÃO DE OBRA, SUPORTE E TUBULAÇÃO ATÉ 3,0M</v>
      </c>
      <c r="F397" s="240" t="str">
        <f>IFERROR(IF(D397="SINAPI-S",VLOOKUP(B397,'20-B.SINAPI-S'!A:J,3,0),IF(D397="SINAPI-I",VLOOKUP(B397,'20-A.SINAPI-I'!A:G,3,0),IF(D397="COMPOSIÇÕES",VLOOKUP(B397,'11.COMPOSIÇÕES GERAIS'!B:I,3,0),VLOOKUP(B397,'12.COT.MERCADO'!A:I,7,0)))),"Em Elaboração")</f>
        <v>UN </v>
      </c>
      <c r="G397" s="240">
        <v>1.0</v>
      </c>
      <c r="H397" s="241">
        <f>IFERROR(IF(D397="SINAPI-S",VLOOKUP(B397,'20-B.SINAPI-S'!A:J,5,0),IF(D397="SINAPI-I",VLOOKUP(B397,'20-A.SINAPI-I'!A:G,6,0),IF(D397="COMPOSIÇÕES",VLOOKUP(B397,'11.COMPOSIÇÕES GERAIS'!B:I,7,0),0))),"Em Elaboração")</f>
        <v>0</v>
      </c>
      <c r="I397" s="241">
        <f>IFERROR(IF(D397="SINAPI-S",VLOOKUP(B397,'20-B.SINAPI-S'!A:J,6,0),IF(D397="SINAPI-I",VLOOKUP(B397,'20-A.SINAPI-I'!A:G,7,0),IF(D397="COMPOSIÇÕES",VLOOKUP(B397,'11.COMPOSIÇÕES GERAIS'!B:I,8,0),VLOOKUP(B397,'12.COT.MERCADO'!A:I,8,0)))),"Em Elaboração")</f>
        <v>1499</v>
      </c>
      <c r="J397" s="241">
        <f t="shared" si="120"/>
        <v>0</v>
      </c>
      <c r="K397" s="241">
        <f t="shared" si="121"/>
        <v>1755.830543</v>
      </c>
      <c r="L397" s="241">
        <f t="shared" si="122"/>
        <v>1755.830543</v>
      </c>
      <c r="M397" s="241">
        <f t="shared" si="123"/>
        <v>0</v>
      </c>
      <c r="N397" s="241">
        <f t="shared" si="124"/>
        <v>1755.830543</v>
      </c>
      <c r="O397" s="241">
        <f t="shared" si="125"/>
        <v>1755.830543</v>
      </c>
      <c r="P397" s="242">
        <f t="shared" si="2"/>
        <v>0.001373541002</v>
      </c>
    </row>
    <row r="398">
      <c r="A398" s="236" t="s">
        <v>545</v>
      </c>
      <c r="B398" s="237" t="s">
        <v>546</v>
      </c>
      <c r="C398" s="238" t="str">
        <f t="shared" si="119"/>
        <v>PRÓPRIO</v>
      </c>
      <c r="D398" s="243" t="s">
        <v>230</v>
      </c>
      <c r="E398" s="239" t="str">
        <f>IFERROR(IF(D398="SINAPI-S",VLOOKUP(B398,'20-B.SINAPI-S'!A:J,2,0),IF(D398="SINAPI-I",VLOOKUP(B398,'20-A.SINAPI-I'!A:G,2,0),IF(D398="COMPOSIÇÕES",VLOOKUP(B398,'11.COMPOSIÇÕES GERAIS'!B:I,2,0),VLOOKUP(B398,'12.COT.MERCADO'!A:I,2,0)))),"Em Elaboração")</f>
        <v>SERVIÇO DE INSTALAÇÃO DE CONDICIONADOR DE AR TIPO SPLIT PISO-TETO, ACIMA DE 24.000 BTUS ATÉ 30.000 BTUS - CONTEMPLA MATERIAIS, MÃO DE OBRA, SUPORTE E TUBULAÇÃO ATÉ 3,0M</v>
      </c>
      <c r="F398" s="240" t="str">
        <f>IFERROR(IF(D398="SINAPI-S",VLOOKUP(B398,'20-B.SINAPI-S'!A:J,3,0),IF(D398="SINAPI-I",VLOOKUP(B398,'20-A.SINAPI-I'!A:G,3,0),IF(D398="COMPOSIÇÕES",VLOOKUP(B398,'11.COMPOSIÇÕES GERAIS'!B:I,3,0),VLOOKUP(B398,'12.COT.MERCADO'!A:I,7,0)))),"Em Elaboração")</f>
        <v>UN </v>
      </c>
      <c r="G398" s="240">
        <v>1.0</v>
      </c>
      <c r="H398" s="241">
        <f>IFERROR(IF(D398="SINAPI-S",VLOOKUP(B398,'20-B.SINAPI-S'!A:J,5,0),IF(D398="SINAPI-I",VLOOKUP(B398,'20-A.SINAPI-I'!A:G,6,0),IF(D398="COMPOSIÇÕES",VLOOKUP(B398,'11.COMPOSIÇÕES GERAIS'!B:I,7,0),0))),"Em Elaboração")</f>
        <v>0</v>
      </c>
      <c r="I398" s="241">
        <f>IFERROR(IF(D398="SINAPI-S",VLOOKUP(B398,'20-B.SINAPI-S'!A:J,6,0),IF(D398="SINAPI-I",VLOOKUP(B398,'20-A.SINAPI-I'!A:G,7,0),IF(D398="COMPOSIÇÕES",VLOOKUP(B398,'11.COMPOSIÇÕES GERAIS'!B:I,8,0),VLOOKUP(B398,'12.COT.MERCADO'!A:I,8,0)))),"Em Elaboração")</f>
        <v>1499</v>
      </c>
      <c r="J398" s="241">
        <f t="shared" si="120"/>
        <v>0</v>
      </c>
      <c r="K398" s="241">
        <f t="shared" si="121"/>
        <v>1755.830543</v>
      </c>
      <c r="L398" s="241">
        <f t="shared" si="122"/>
        <v>1755.830543</v>
      </c>
      <c r="M398" s="241">
        <f t="shared" si="123"/>
        <v>0</v>
      </c>
      <c r="N398" s="241">
        <f t="shared" si="124"/>
        <v>1755.830543</v>
      </c>
      <c r="O398" s="241">
        <f t="shared" si="125"/>
        <v>1755.830543</v>
      </c>
      <c r="P398" s="242">
        <f t="shared" si="2"/>
        <v>0.001373541002</v>
      </c>
    </row>
    <row r="399">
      <c r="A399" s="236" t="s">
        <v>547</v>
      </c>
      <c r="B399" s="237" t="s">
        <v>548</v>
      </c>
      <c r="C399" s="238" t="str">
        <f t="shared" si="119"/>
        <v>PRÓPRIO</v>
      </c>
      <c r="D399" s="243" t="s">
        <v>230</v>
      </c>
      <c r="E399" s="239" t="str">
        <f>IFERROR(IF(D399="SINAPI-S",VLOOKUP(B399,'20-B.SINAPI-S'!A:J,2,0),IF(D399="SINAPI-I",VLOOKUP(B399,'20-A.SINAPI-I'!A:G,2,0),IF(D399="COMPOSIÇÕES",VLOOKUP(B399,'11.COMPOSIÇÕES GERAIS'!B:I,2,0),VLOOKUP(B399,'12.COT.MERCADO'!A:I,2,0)))),"Em Elaboração")</f>
        <v>SERVIÇO DE INSTALAÇÃO DE CONDICIONADOR DE AR TIPO SPLIT PISO-TETO, ACIMA DE 30.000 BTUS ATÉ 36.000 BTUS - CONTEMPLA MATERIAIS, MÃO DE OBRA, SUPORTE E TUBULAÇÃO ATÉ 3,0M</v>
      </c>
      <c r="F399" s="240" t="str">
        <f>IFERROR(IF(D399="SINAPI-S",VLOOKUP(B399,'20-B.SINAPI-S'!A:J,3,0),IF(D399="SINAPI-I",VLOOKUP(B399,'20-A.SINAPI-I'!A:G,3,0),IF(D399="COMPOSIÇÕES",VLOOKUP(B399,'11.COMPOSIÇÕES GERAIS'!B:I,3,0),VLOOKUP(B399,'12.COT.MERCADO'!A:I,7,0)))),"Em Elaboração")</f>
        <v>UN </v>
      </c>
      <c r="G399" s="240">
        <v>1.0</v>
      </c>
      <c r="H399" s="241">
        <f>IFERROR(IF(D399="SINAPI-S",VLOOKUP(B399,'20-B.SINAPI-S'!A:J,5,0),IF(D399="SINAPI-I",VLOOKUP(B399,'20-A.SINAPI-I'!A:G,6,0),IF(D399="COMPOSIÇÕES",VLOOKUP(B399,'11.COMPOSIÇÕES GERAIS'!B:I,7,0),0))),"Em Elaboração")</f>
        <v>0</v>
      </c>
      <c r="I399" s="241">
        <f>IFERROR(IF(D399="SINAPI-S",VLOOKUP(B399,'20-B.SINAPI-S'!A:J,6,0),IF(D399="SINAPI-I",VLOOKUP(B399,'20-A.SINAPI-I'!A:G,7,0),IF(D399="COMPOSIÇÕES",VLOOKUP(B399,'11.COMPOSIÇÕES GERAIS'!B:I,8,0),VLOOKUP(B399,'12.COT.MERCADO'!A:I,8,0)))),"Em Elaboração")</f>
        <v>1606</v>
      </c>
      <c r="J399" s="241">
        <f t="shared" si="120"/>
        <v>0</v>
      </c>
      <c r="K399" s="241">
        <f t="shared" si="121"/>
        <v>1881.163344</v>
      </c>
      <c r="L399" s="241">
        <f t="shared" si="122"/>
        <v>1881.163344</v>
      </c>
      <c r="M399" s="241">
        <f t="shared" si="123"/>
        <v>0</v>
      </c>
      <c r="N399" s="241">
        <f t="shared" si="124"/>
        <v>1881.163344</v>
      </c>
      <c r="O399" s="241">
        <f t="shared" si="125"/>
        <v>1881.163344</v>
      </c>
      <c r="P399" s="242">
        <f t="shared" si="2"/>
        <v>0.001471585623</v>
      </c>
    </row>
    <row r="400">
      <c r="A400" s="236" t="s">
        <v>549</v>
      </c>
      <c r="B400" s="237" t="s">
        <v>550</v>
      </c>
      <c r="C400" s="238" t="str">
        <f t="shared" si="119"/>
        <v>PRÓPRIO</v>
      </c>
      <c r="D400" s="243" t="s">
        <v>230</v>
      </c>
      <c r="E400" s="239" t="str">
        <f>IFERROR(IF(D400="SINAPI-S",VLOOKUP(B400,'20-B.SINAPI-S'!A:J,2,0),IF(D400="SINAPI-I",VLOOKUP(B400,'20-A.SINAPI-I'!A:G,2,0),IF(D400="COMPOSIÇÕES",VLOOKUP(B400,'11.COMPOSIÇÕES GERAIS'!B:I,2,0),VLOOKUP(B400,'12.COT.MERCADO'!A:I,2,0)))),"Em Elaboração")</f>
        <v>SERVIÇO DE INSTALAÇÃO DE CONDICIONADOR DE AR TIPO SPLIT PISO-TETO, ACIMA DE 36.000 BTUS ATÉ 48.000 BTUS - CONTEMPLA MATERIAIS, MÃO DE OBRA, SUPORTE E TUBULAÇÃO ATÉ 3,0M</v>
      </c>
      <c r="F400" s="240" t="str">
        <f>IFERROR(IF(D400="SINAPI-S",VLOOKUP(B400,'20-B.SINAPI-S'!A:J,3,0),IF(D400="SINAPI-I",VLOOKUP(B400,'20-A.SINAPI-I'!A:G,3,0),IF(D400="COMPOSIÇÕES",VLOOKUP(B400,'11.COMPOSIÇÕES GERAIS'!B:I,3,0),VLOOKUP(B400,'12.COT.MERCADO'!A:I,7,0)))),"Em Elaboração")</f>
        <v>UN </v>
      </c>
      <c r="G400" s="240">
        <v>1.0</v>
      </c>
      <c r="H400" s="241">
        <f>IFERROR(IF(D400="SINAPI-S",VLOOKUP(B400,'20-B.SINAPI-S'!A:J,5,0),IF(D400="SINAPI-I",VLOOKUP(B400,'20-A.SINAPI-I'!A:G,6,0),IF(D400="COMPOSIÇÕES",VLOOKUP(B400,'11.COMPOSIÇÕES GERAIS'!B:I,7,0),0))),"Em Elaboração")</f>
        <v>0</v>
      </c>
      <c r="I400" s="241">
        <f>IFERROR(IF(D400="SINAPI-S",VLOOKUP(B400,'20-B.SINAPI-S'!A:J,6,0),IF(D400="SINAPI-I",VLOOKUP(B400,'20-A.SINAPI-I'!A:G,7,0),IF(D400="COMPOSIÇÕES",VLOOKUP(B400,'11.COMPOSIÇÕES GERAIS'!B:I,8,0),VLOOKUP(B400,'12.COT.MERCADO'!A:I,8,0)))),"Em Elaboração")</f>
        <v>2099</v>
      </c>
      <c r="J400" s="241">
        <f t="shared" si="120"/>
        <v>0</v>
      </c>
      <c r="K400" s="241">
        <f t="shared" si="121"/>
        <v>2458.631294</v>
      </c>
      <c r="L400" s="241">
        <f t="shared" si="122"/>
        <v>2458.631294</v>
      </c>
      <c r="M400" s="241">
        <f t="shared" si="123"/>
        <v>0</v>
      </c>
      <c r="N400" s="241">
        <f t="shared" si="124"/>
        <v>2458.631294</v>
      </c>
      <c r="O400" s="241">
        <f t="shared" si="125"/>
        <v>2458.631294</v>
      </c>
      <c r="P400" s="242">
        <f t="shared" si="2"/>
        <v>0.001923323924</v>
      </c>
    </row>
    <row r="401">
      <c r="A401" s="236" t="s">
        <v>551</v>
      </c>
      <c r="B401" s="237" t="s">
        <v>552</v>
      </c>
      <c r="C401" s="238" t="str">
        <f t="shared" si="119"/>
        <v>PRÓPRIO</v>
      </c>
      <c r="D401" s="243" t="s">
        <v>230</v>
      </c>
      <c r="E401" s="239" t="str">
        <f>IFERROR(IF(D401="SINAPI-S",VLOOKUP(B401,'20-B.SINAPI-S'!A:J,2,0),IF(D401="SINAPI-I",VLOOKUP(B401,'20-A.SINAPI-I'!A:G,2,0),IF(D401="COMPOSIÇÕES",VLOOKUP(B401,'11.COMPOSIÇÕES GERAIS'!B:I,2,0),VLOOKUP(B401,'12.COT.MERCADO'!A:I,2,0)))),"Em Elaboração")</f>
        <v>SERVIÇO DE INSTALAÇÃO DE CONDICIONADOR DE AR TIPO SPLIT PISO-TETO, ACIMA DE 48.000 BTUS ATÉ 60.000 BTUS - CONTEMPLA MATERIAIS, MÃO DE OBRA, SUPORTE E TUBULAÇÃO ATÉ 3,0M</v>
      </c>
      <c r="F401" s="240" t="str">
        <f>IFERROR(IF(D401="SINAPI-S",VLOOKUP(B401,'20-B.SINAPI-S'!A:J,3,0),IF(D401="SINAPI-I",VLOOKUP(B401,'20-A.SINAPI-I'!A:G,3,0),IF(D401="COMPOSIÇÕES",VLOOKUP(B401,'11.COMPOSIÇÕES GERAIS'!B:I,3,0),VLOOKUP(B401,'12.COT.MERCADO'!A:I,7,0)))),"Em Elaboração")</f>
        <v>UN </v>
      </c>
      <c r="G401" s="240">
        <v>1.0</v>
      </c>
      <c r="H401" s="241">
        <f>IFERROR(IF(D401="SINAPI-S",VLOOKUP(B401,'20-B.SINAPI-S'!A:J,5,0),IF(D401="SINAPI-I",VLOOKUP(B401,'20-A.SINAPI-I'!A:G,6,0),IF(D401="COMPOSIÇÕES",VLOOKUP(B401,'11.COMPOSIÇÕES GERAIS'!B:I,7,0),0))),"Em Elaboração")</f>
        <v>0</v>
      </c>
      <c r="I401" s="241">
        <f>IFERROR(IF(D401="SINAPI-S",VLOOKUP(B401,'20-B.SINAPI-S'!A:J,6,0),IF(D401="SINAPI-I",VLOOKUP(B401,'20-A.SINAPI-I'!A:G,7,0),IF(D401="COMPOSIÇÕES",VLOOKUP(B401,'11.COMPOSIÇÕES GERAIS'!B:I,8,0),VLOOKUP(B401,'12.COT.MERCADO'!A:I,8,0)))),"Em Elaboração")</f>
        <v>2099</v>
      </c>
      <c r="J401" s="241">
        <f t="shared" si="120"/>
        <v>0</v>
      </c>
      <c r="K401" s="241">
        <f t="shared" si="121"/>
        <v>2458.631294</v>
      </c>
      <c r="L401" s="241">
        <f t="shared" si="122"/>
        <v>2458.631294</v>
      </c>
      <c r="M401" s="241">
        <f t="shared" si="123"/>
        <v>0</v>
      </c>
      <c r="N401" s="241">
        <f t="shared" si="124"/>
        <v>2458.631294</v>
      </c>
      <c r="O401" s="241">
        <f t="shared" si="125"/>
        <v>2458.631294</v>
      </c>
      <c r="P401" s="242">
        <f t="shared" si="2"/>
        <v>0.001923323924</v>
      </c>
    </row>
    <row r="402" ht="44.25" customHeight="1">
      <c r="A402" s="193" t="s">
        <v>22</v>
      </c>
      <c r="B402" s="246" t="s">
        <v>553</v>
      </c>
      <c r="C402" s="44"/>
      <c r="D402" s="44"/>
      <c r="E402" s="44"/>
      <c r="F402" s="44"/>
      <c r="G402" s="44"/>
      <c r="H402" s="44"/>
      <c r="I402" s="44"/>
      <c r="J402" s="44"/>
      <c r="K402" s="44"/>
      <c r="L402" s="44"/>
      <c r="M402" s="247">
        <f t="shared" ref="M402:O402" si="126">SUM(M403,M543,M842,M880,M889,M1082)</f>
        <v>0</v>
      </c>
      <c r="N402" s="247">
        <f t="shared" si="126"/>
        <v>183442.6144</v>
      </c>
      <c r="O402" s="247">
        <f t="shared" si="126"/>
        <v>183442.6144</v>
      </c>
      <c r="P402" s="248">
        <f t="shared" si="2"/>
        <v>0.1435024315</v>
      </c>
    </row>
    <row r="403">
      <c r="A403" s="249" t="s">
        <v>554</v>
      </c>
      <c r="B403" s="250" t="s">
        <v>555</v>
      </c>
      <c r="C403" s="44"/>
      <c r="D403" s="44"/>
      <c r="E403" s="44"/>
      <c r="F403" s="44"/>
      <c r="G403" s="44"/>
      <c r="H403" s="44"/>
      <c r="I403" s="44"/>
      <c r="J403" s="44"/>
      <c r="K403" s="44"/>
      <c r="L403" s="44"/>
      <c r="M403" s="251">
        <f t="shared" ref="M403:O403" si="127">SUM(M404:M542)</f>
        <v>0</v>
      </c>
      <c r="N403" s="251">
        <f t="shared" si="127"/>
        <v>43109.17726</v>
      </c>
      <c r="O403" s="251">
        <f t="shared" si="127"/>
        <v>43109.17726</v>
      </c>
      <c r="P403" s="252">
        <f t="shared" si="2"/>
        <v>0.03372319883</v>
      </c>
    </row>
    <row r="404">
      <c r="A404" s="253" t="s">
        <v>556</v>
      </c>
      <c r="B404" s="254">
        <v>414.0</v>
      </c>
      <c r="C404" s="255" t="str">
        <f t="shared" ref="C404:C542" si="128">IF(OR(D404="SINAPI-S",D404="SINAPI-I"),"SINAPI","PRÓPRIO")</f>
        <v>SINAPI</v>
      </c>
      <c r="D404" s="256" t="s">
        <v>286</v>
      </c>
      <c r="E404" s="257" t="str">
        <f>IFERROR(IF(D404="SINAPI-S",VLOOKUP(B404,'20-B.SINAPI-S'!A:J,2,0),IF(D404="SINAPI-I",VLOOKUP(B404,'20-A.SINAPI-I'!A:G,2,0),IF(D404="COMPOSIÇÕES",VLOOKUP(B404,'11.COMPOSIÇÕES GERAIS'!B:I,2,0),VLOOKUP(B404,'12.COT.MERCADO'!A:I,2,0)))),"Em Elaboração")</f>
        <v>ABRACADEIRA DE NYLON PARA AMARRACAO DE CABOS, COMPRIMENTO DE 100 X 2,5 MM</v>
      </c>
      <c r="F404" s="258" t="str">
        <f>IFERROR(IF(D404="SINAPI-S",VLOOKUP(B404,'20-B.SINAPI-S'!A:J,3,0),IF(D404="SINAPI-I",VLOOKUP(B404,'20-A.SINAPI-I'!A:G,3,0),IF(D404="COMPOSIÇÕES",VLOOKUP(B404,'11.COMPOSIÇÕES GERAIS'!B:I,3,0),VLOOKUP(B404,'12.COT.MERCADO'!A:I,7,0)))),"Em Elaboração")</f>
        <v>UN</v>
      </c>
      <c r="G404" s="254">
        <v>20.0</v>
      </c>
      <c r="H404" s="259">
        <f>IFERROR(IF(D404="SINAPI-S",VLOOKUP(B404,'20-B.SINAPI-S'!A:J,5,0),IF(D404="SINAPI-I",VLOOKUP(B404,'20-A.SINAPI-I'!A:G,6,0),IF(D404="COMPOSIÇÕES",VLOOKUP(B404,'11.COMPOSIÇÕES GERAIS'!B:I,7,0),0))),"Em Elaboração")</f>
        <v>0</v>
      </c>
      <c r="I404" s="259">
        <f>IFERROR(IF(D404="SINAPI-S",VLOOKUP(B404,'20-B.SINAPI-S'!A:J,6,0),IF(D404="SINAPI-I",VLOOKUP(B404,'20-A.SINAPI-I'!A:G,7,0),IF(D404="COMPOSIÇÕES",VLOOKUP(B404,'11.COMPOSIÇÕES GERAIS'!B:I,8,0),VLOOKUP(B404,'12.COT.MERCADO'!A:I,8,0)))),"Em Elaboração")</f>
        <v>0.06</v>
      </c>
      <c r="J404" s="259">
        <f t="shared" ref="J404:J542" si="129">H404*(1+$J$5)</f>
        <v>0</v>
      </c>
      <c r="K404" s="259">
        <f t="shared" ref="K404:K542" si="130">I404*(1+$J$8)</f>
        <v>0.07028007511</v>
      </c>
      <c r="L404" s="259">
        <f t="shared" ref="L404:L542" si="131">SUM(J404:K404)</f>
        <v>0.07028007511</v>
      </c>
      <c r="M404" s="259">
        <f t="shared" ref="M404:M542" si="132">J404*G404</f>
        <v>0</v>
      </c>
      <c r="N404" s="259">
        <f t="shared" ref="N404:N542" si="133">K404*G404</f>
        <v>1.405601502</v>
      </c>
      <c r="O404" s="259">
        <f t="shared" ref="O404:O542" si="134">SUM(M404:N404)</f>
        <v>1.405601502</v>
      </c>
      <c r="P404" s="260">
        <f t="shared" si="2"/>
        <v>0.000001099565845</v>
      </c>
    </row>
    <row r="405">
      <c r="A405" s="253" t="s">
        <v>557</v>
      </c>
      <c r="B405" s="254">
        <v>410.0</v>
      </c>
      <c r="C405" s="255" t="str">
        <f t="shared" si="128"/>
        <v>SINAPI</v>
      </c>
      <c r="D405" s="256" t="s">
        <v>286</v>
      </c>
      <c r="E405" s="257" t="str">
        <f>IFERROR(IF(D405="SINAPI-S",VLOOKUP(B405,'20-B.SINAPI-S'!A:J,2,0),IF(D405="SINAPI-I",VLOOKUP(B405,'20-A.SINAPI-I'!A:G,2,0),IF(D405="COMPOSIÇÕES",VLOOKUP(B405,'11.COMPOSIÇÕES GERAIS'!B:I,2,0),VLOOKUP(B405,'12.COT.MERCADO'!A:I,2,0)))),"Em Elaboração")</f>
        <v>ABRACADEIRA DE NYLON PARA AMARRACAO DE CABOS, COMPRIMENTO DE 150 X *3,6* MM</v>
      </c>
      <c r="F405" s="258" t="str">
        <f>IFERROR(IF(D405="SINAPI-S",VLOOKUP(B405,'20-B.SINAPI-S'!A:J,3,0),IF(D405="SINAPI-I",VLOOKUP(B405,'20-A.SINAPI-I'!A:G,3,0),IF(D405="COMPOSIÇÕES",VLOOKUP(B405,'11.COMPOSIÇÕES GERAIS'!B:I,3,0),VLOOKUP(B405,'12.COT.MERCADO'!A:I,7,0)))),"Em Elaboração")</f>
        <v>UN</v>
      </c>
      <c r="G405" s="254">
        <v>20.0</v>
      </c>
      <c r="H405" s="259">
        <f>IFERROR(IF(D405="SINAPI-S",VLOOKUP(B405,'20-B.SINAPI-S'!A:J,5,0),IF(D405="SINAPI-I",VLOOKUP(B405,'20-A.SINAPI-I'!A:G,6,0),IF(D405="COMPOSIÇÕES",VLOOKUP(B405,'11.COMPOSIÇÕES GERAIS'!B:I,7,0),0))),"Em Elaboração")</f>
        <v>0</v>
      </c>
      <c r="I405" s="259">
        <f>IFERROR(IF(D405="SINAPI-S",VLOOKUP(B405,'20-B.SINAPI-S'!A:J,6,0),IF(D405="SINAPI-I",VLOOKUP(B405,'20-A.SINAPI-I'!A:G,7,0),IF(D405="COMPOSIÇÕES",VLOOKUP(B405,'11.COMPOSIÇÕES GERAIS'!B:I,8,0),VLOOKUP(B405,'12.COT.MERCADO'!A:I,8,0)))),"Em Elaboração")</f>
        <v>0.15</v>
      </c>
      <c r="J405" s="259">
        <f t="shared" si="129"/>
        <v>0</v>
      </c>
      <c r="K405" s="259">
        <f t="shared" si="130"/>
        <v>0.1757001878</v>
      </c>
      <c r="L405" s="259">
        <f t="shared" si="131"/>
        <v>0.1757001878</v>
      </c>
      <c r="M405" s="259">
        <f t="shared" si="132"/>
        <v>0</v>
      </c>
      <c r="N405" s="259">
        <f t="shared" si="133"/>
        <v>3.514003755</v>
      </c>
      <c r="O405" s="259">
        <f t="shared" si="134"/>
        <v>3.514003755</v>
      </c>
      <c r="P405" s="260">
        <f t="shared" si="2"/>
        <v>0.000002748914613</v>
      </c>
    </row>
    <row r="406">
      <c r="A406" s="253" t="s">
        <v>558</v>
      </c>
      <c r="B406" s="254">
        <v>411.0</v>
      </c>
      <c r="C406" s="255" t="str">
        <f t="shared" si="128"/>
        <v>SINAPI</v>
      </c>
      <c r="D406" s="256" t="s">
        <v>286</v>
      </c>
      <c r="E406" s="257" t="str">
        <f>IFERROR(IF(D406="SINAPI-S",VLOOKUP(B406,'20-B.SINAPI-S'!A:J,2,0),IF(D406="SINAPI-I",VLOOKUP(B406,'20-A.SINAPI-I'!A:G,2,0),IF(D406="COMPOSIÇÕES",VLOOKUP(B406,'11.COMPOSIÇÕES GERAIS'!B:I,2,0),VLOOKUP(B406,'12.COT.MERCADO'!A:I,2,0)))),"Em Elaboração")</f>
        <v>ABRACADEIRA DE NYLON PARA AMARRACAO DE CABOS, COMPRIMENTO DE 200 X *4,6* MM</v>
      </c>
      <c r="F406" s="258" t="str">
        <f>IFERROR(IF(D406="SINAPI-S",VLOOKUP(B406,'20-B.SINAPI-S'!A:J,3,0),IF(D406="SINAPI-I",VLOOKUP(B406,'20-A.SINAPI-I'!A:G,3,0),IF(D406="COMPOSIÇÕES",VLOOKUP(B406,'11.COMPOSIÇÕES GERAIS'!B:I,3,0),VLOOKUP(B406,'12.COT.MERCADO'!A:I,7,0)))),"Em Elaboração")</f>
        <v>UN</v>
      </c>
      <c r="G406" s="254">
        <v>20.0</v>
      </c>
      <c r="H406" s="259">
        <f>IFERROR(IF(D406="SINAPI-S",VLOOKUP(B406,'20-B.SINAPI-S'!A:J,5,0),IF(D406="SINAPI-I",VLOOKUP(B406,'20-A.SINAPI-I'!A:G,6,0),IF(D406="COMPOSIÇÕES",VLOOKUP(B406,'11.COMPOSIÇÕES GERAIS'!B:I,7,0),0))),"Em Elaboração")</f>
        <v>0</v>
      </c>
      <c r="I406" s="259">
        <f>IFERROR(IF(D406="SINAPI-S",VLOOKUP(B406,'20-B.SINAPI-S'!A:J,6,0),IF(D406="SINAPI-I",VLOOKUP(B406,'20-A.SINAPI-I'!A:G,7,0),IF(D406="COMPOSIÇÕES",VLOOKUP(B406,'11.COMPOSIÇÕES GERAIS'!B:I,8,0),VLOOKUP(B406,'12.COT.MERCADO'!A:I,8,0)))),"Em Elaboração")</f>
        <v>0.2</v>
      </c>
      <c r="J406" s="259">
        <f t="shared" si="129"/>
        <v>0</v>
      </c>
      <c r="K406" s="259">
        <f t="shared" si="130"/>
        <v>0.234266917</v>
      </c>
      <c r="L406" s="259">
        <f t="shared" si="131"/>
        <v>0.234266917</v>
      </c>
      <c r="M406" s="259">
        <f t="shared" si="132"/>
        <v>0</v>
      </c>
      <c r="N406" s="259">
        <f t="shared" si="133"/>
        <v>4.685338341</v>
      </c>
      <c r="O406" s="259">
        <f t="shared" si="134"/>
        <v>4.685338341</v>
      </c>
      <c r="P406" s="260">
        <f t="shared" si="2"/>
        <v>0.000003665219484</v>
      </c>
    </row>
    <row r="407">
      <c r="A407" s="253" t="s">
        <v>559</v>
      </c>
      <c r="B407" s="254">
        <v>408.0</v>
      </c>
      <c r="C407" s="255" t="str">
        <f t="shared" si="128"/>
        <v>SINAPI</v>
      </c>
      <c r="D407" s="256" t="s">
        <v>286</v>
      </c>
      <c r="E407" s="257" t="str">
        <f>IFERROR(IF(D407="SINAPI-S",VLOOKUP(B407,'20-B.SINAPI-S'!A:J,2,0),IF(D407="SINAPI-I",VLOOKUP(B407,'20-A.SINAPI-I'!A:G,2,0),IF(D407="COMPOSIÇÕES",VLOOKUP(B407,'11.COMPOSIÇÕES GERAIS'!B:I,2,0),VLOOKUP(B407,'12.COT.MERCADO'!A:I,2,0)))),"Em Elaboração")</f>
        <v>ABRACADEIRA DE NYLON PARA AMARRACAO DE CABOS, COMPRIMENTO DE 390 X *4,6* MM</v>
      </c>
      <c r="F407" s="258" t="str">
        <f>IFERROR(IF(D407="SINAPI-S",VLOOKUP(B407,'20-B.SINAPI-S'!A:J,3,0),IF(D407="SINAPI-I",VLOOKUP(B407,'20-A.SINAPI-I'!A:G,3,0),IF(D407="COMPOSIÇÕES",VLOOKUP(B407,'11.COMPOSIÇÕES GERAIS'!B:I,3,0),VLOOKUP(B407,'12.COT.MERCADO'!A:I,7,0)))),"Em Elaboração")</f>
        <v>UN</v>
      </c>
      <c r="G407" s="254">
        <v>20.0</v>
      </c>
      <c r="H407" s="259">
        <f>IFERROR(IF(D407="SINAPI-S",VLOOKUP(B407,'20-B.SINAPI-S'!A:J,5,0),IF(D407="SINAPI-I",VLOOKUP(B407,'20-A.SINAPI-I'!A:G,6,0),IF(D407="COMPOSIÇÕES",VLOOKUP(B407,'11.COMPOSIÇÕES GERAIS'!B:I,7,0),0))),"Em Elaboração")</f>
        <v>0</v>
      </c>
      <c r="I407" s="259">
        <f>IFERROR(IF(D407="SINAPI-S",VLOOKUP(B407,'20-B.SINAPI-S'!A:J,6,0),IF(D407="SINAPI-I",VLOOKUP(B407,'20-A.SINAPI-I'!A:G,7,0),IF(D407="COMPOSIÇÕES",VLOOKUP(B407,'11.COMPOSIÇÕES GERAIS'!B:I,8,0),VLOOKUP(B407,'12.COT.MERCADO'!A:I,8,0)))),"Em Elaboração")</f>
        <v>0.99</v>
      </c>
      <c r="J407" s="259">
        <f t="shared" si="129"/>
        <v>0</v>
      </c>
      <c r="K407" s="259">
        <f t="shared" si="130"/>
        <v>1.159621239</v>
      </c>
      <c r="L407" s="259">
        <f t="shared" si="131"/>
        <v>1.159621239</v>
      </c>
      <c r="M407" s="259">
        <f t="shared" si="132"/>
        <v>0</v>
      </c>
      <c r="N407" s="259">
        <f t="shared" si="133"/>
        <v>23.19242479</v>
      </c>
      <c r="O407" s="259">
        <f t="shared" si="134"/>
        <v>23.19242479</v>
      </c>
      <c r="P407" s="260">
        <f t="shared" si="2"/>
        <v>0.00001814283644</v>
      </c>
    </row>
    <row r="408">
      <c r="A408" s="253" t="s">
        <v>560</v>
      </c>
      <c r="B408" s="254">
        <v>394.0</v>
      </c>
      <c r="C408" s="255" t="str">
        <f t="shared" si="128"/>
        <v>SINAPI</v>
      </c>
      <c r="D408" s="256" t="s">
        <v>286</v>
      </c>
      <c r="E408" s="257" t="str">
        <f>IFERROR(IF(D408="SINAPI-S",VLOOKUP(B408,'20-B.SINAPI-S'!A:J,2,0),IF(D408="SINAPI-I",VLOOKUP(B408,'20-A.SINAPI-I'!A:G,2,0),IF(D408="COMPOSIÇÕES",VLOOKUP(B408,'11.COMPOSIÇÕES GERAIS'!B:I,2,0),VLOOKUP(B408,'12.COT.MERCADO'!A:I,2,0)))),"Em Elaboração")</f>
        <v>ABRACADEIRA EM ACO PARA AMARRACAO DE ELETRODUTOS, TIPO D, COM 1 1/2" E PARAFUSO DE FIXACAO</v>
      </c>
      <c r="F408" s="258" t="str">
        <f>IFERROR(IF(D408="SINAPI-S",VLOOKUP(B408,'20-B.SINAPI-S'!A:J,3,0),IF(D408="SINAPI-I",VLOOKUP(B408,'20-A.SINAPI-I'!A:G,3,0),IF(D408="COMPOSIÇÕES",VLOOKUP(B408,'11.COMPOSIÇÕES GERAIS'!B:I,3,0),VLOOKUP(B408,'12.COT.MERCADO'!A:I,7,0)))),"Em Elaboração")</f>
        <v>UN</v>
      </c>
      <c r="G408" s="254">
        <v>20.0</v>
      </c>
      <c r="H408" s="259">
        <f>IFERROR(IF(D408="SINAPI-S",VLOOKUP(B408,'20-B.SINAPI-S'!A:J,5,0),IF(D408="SINAPI-I",VLOOKUP(B408,'20-A.SINAPI-I'!A:G,6,0),IF(D408="COMPOSIÇÕES",VLOOKUP(B408,'11.COMPOSIÇÕES GERAIS'!B:I,7,0),0))),"Em Elaboração")</f>
        <v>0</v>
      </c>
      <c r="I408" s="259">
        <f>IFERROR(IF(D408="SINAPI-S",VLOOKUP(B408,'20-B.SINAPI-S'!A:J,6,0),IF(D408="SINAPI-I",VLOOKUP(B408,'20-A.SINAPI-I'!A:G,7,0),IF(D408="COMPOSIÇÕES",VLOOKUP(B408,'11.COMPOSIÇÕES GERAIS'!B:I,8,0),VLOOKUP(B408,'12.COT.MERCADO'!A:I,8,0)))),"Em Elaboração")</f>
        <v>4.72</v>
      </c>
      <c r="J408" s="259">
        <f t="shared" si="129"/>
        <v>0</v>
      </c>
      <c r="K408" s="259">
        <f t="shared" si="130"/>
        <v>5.528699242</v>
      </c>
      <c r="L408" s="259">
        <f t="shared" si="131"/>
        <v>5.528699242</v>
      </c>
      <c r="M408" s="259">
        <f t="shared" si="132"/>
        <v>0</v>
      </c>
      <c r="N408" s="259">
        <f t="shared" si="133"/>
        <v>110.5739848</v>
      </c>
      <c r="O408" s="259">
        <f t="shared" si="134"/>
        <v>110.5739848</v>
      </c>
      <c r="P408" s="260">
        <f t="shared" si="2"/>
        <v>0.00008649917982</v>
      </c>
    </row>
    <row r="409">
      <c r="A409" s="253" t="s">
        <v>561</v>
      </c>
      <c r="B409" s="254">
        <v>392.0</v>
      </c>
      <c r="C409" s="255" t="str">
        <f t="shared" si="128"/>
        <v>SINAPI</v>
      </c>
      <c r="D409" s="256" t="s">
        <v>286</v>
      </c>
      <c r="E409" s="257" t="str">
        <f>IFERROR(IF(D409="SINAPI-S",VLOOKUP(B409,'20-B.SINAPI-S'!A:J,2,0),IF(D409="SINAPI-I",VLOOKUP(B409,'20-A.SINAPI-I'!A:G,2,0),IF(D409="COMPOSIÇÕES",VLOOKUP(B409,'11.COMPOSIÇÕES GERAIS'!B:I,2,0),VLOOKUP(B409,'12.COT.MERCADO'!A:I,2,0)))),"Em Elaboração")</f>
        <v>ABRACADEIRA EM ACO PARA AMARRACAO DE ELETRODUTOS, TIPO D, COM 1/2" E PARAFUSO DE FIXACAO</v>
      </c>
      <c r="F409" s="258" t="str">
        <f>IFERROR(IF(D409="SINAPI-S",VLOOKUP(B409,'20-B.SINAPI-S'!A:J,3,0),IF(D409="SINAPI-I",VLOOKUP(B409,'20-A.SINAPI-I'!A:G,3,0),IF(D409="COMPOSIÇÕES",VLOOKUP(B409,'11.COMPOSIÇÕES GERAIS'!B:I,3,0),VLOOKUP(B409,'12.COT.MERCADO'!A:I,7,0)))),"Em Elaboração")</f>
        <v>UN</v>
      </c>
      <c r="G409" s="254">
        <v>20.0</v>
      </c>
      <c r="H409" s="259">
        <f>IFERROR(IF(D409="SINAPI-S",VLOOKUP(B409,'20-B.SINAPI-S'!A:J,5,0),IF(D409="SINAPI-I",VLOOKUP(B409,'20-A.SINAPI-I'!A:G,6,0),IF(D409="COMPOSIÇÕES",VLOOKUP(B409,'11.COMPOSIÇÕES GERAIS'!B:I,7,0),0))),"Em Elaboração")</f>
        <v>0</v>
      </c>
      <c r="I409" s="259">
        <f>IFERROR(IF(D409="SINAPI-S",VLOOKUP(B409,'20-B.SINAPI-S'!A:J,6,0),IF(D409="SINAPI-I",VLOOKUP(B409,'20-A.SINAPI-I'!A:G,7,0),IF(D409="COMPOSIÇÕES",VLOOKUP(B409,'11.COMPOSIÇÕES GERAIS'!B:I,8,0),VLOOKUP(B409,'12.COT.MERCADO'!A:I,8,0)))),"Em Elaboração")</f>
        <v>2.3</v>
      </c>
      <c r="J409" s="259">
        <f t="shared" si="129"/>
        <v>0</v>
      </c>
      <c r="K409" s="259">
        <f t="shared" si="130"/>
        <v>2.694069546</v>
      </c>
      <c r="L409" s="259">
        <f t="shared" si="131"/>
        <v>2.694069546</v>
      </c>
      <c r="M409" s="259">
        <f t="shared" si="132"/>
        <v>0</v>
      </c>
      <c r="N409" s="259">
        <f t="shared" si="133"/>
        <v>53.88139092</v>
      </c>
      <c r="O409" s="259">
        <f t="shared" si="134"/>
        <v>53.88139092</v>
      </c>
      <c r="P409" s="260">
        <f t="shared" si="2"/>
        <v>0.00004215002406</v>
      </c>
    </row>
    <row r="410">
      <c r="A410" s="253" t="s">
        <v>562</v>
      </c>
      <c r="B410" s="254">
        <v>39128.0</v>
      </c>
      <c r="C410" s="255" t="str">
        <f t="shared" si="128"/>
        <v>SINAPI</v>
      </c>
      <c r="D410" s="256" t="s">
        <v>286</v>
      </c>
      <c r="E410" s="257" t="str">
        <f>IFERROR(IF(D410="SINAPI-S",VLOOKUP(B410,'20-B.SINAPI-S'!A:J,2,0),IF(D410="SINAPI-I",VLOOKUP(B410,'20-A.SINAPI-I'!A:G,2,0),IF(D410="COMPOSIÇÕES",VLOOKUP(B410,'11.COMPOSIÇÕES GERAIS'!B:I,2,0),VLOOKUP(B410,'12.COT.MERCADO'!A:I,2,0)))),"Em Elaboração")</f>
        <v>ABRACADEIRA EM ACO PARA AMARRACAO DE ELETRODUTOS, TIPO D, COM 3/4" E CUNHA DE FIXACAO</v>
      </c>
      <c r="F410" s="258" t="str">
        <f>IFERROR(IF(D410="SINAPI-S",VLOOKUP(B410,'20-B.SINAPI-S'!A:J,3,0),IF(D410="SINAPI-I",VLOOKUP(B410,'20-A.SINAPI-I'!A:G,3,0),IF(D410="COMPOSIÇÕES",VLOOKUP(B410,'11.COMPOSIÇÕES GERAIS'!B:I,3,0),VLOOKUP(B410,'12.COT.MERCADO'!A:I,7,0)))),"Em Elaboração")</f>
        <v>UN</v>
      </c>
      <c r="G410" s="254">
        <v>20.0</v>
      </c>
      <c r="H410" s="259">
        <f>IFERROR(IF(D410="SINAPI-S",VLOOKUP(B410,'20-B.SINAPI-S'!A:J,5,0),IF(D410="SINAPI-I",VLOOKUP(B410,'20-A.SINAPI-I'!A:G,6,0),IF(D410="COMPOSIÇÕES",VLOOKUP(B410,'11.COMPOSIÇÕES GERAIS'!B:I,7,0),0))),"Em Elaboração")</f>
        <v>0</v>
      </c>
      <c r="I410" s="259">
        <f>IFERROR(IF(D410="SINAPI-S",VLOOKUP(B410,'20-B.SINAPI-S'!A:J,6,0),IF(D410="SINAPI-I",VLOOKUP(B410,'20-A.SINAPI-I'!A:G,7,0),IF(D410="COMPOSIÇÕES",VLOOKUP(B410,'11.COMPOSIÇÕES GERAIS'!B:I,8,0),VLOOKUP(B410,'12.COT.MERCADO'!A:I,8,0)))),"Em Elaboração")</f>
        <v>2.44</v>
      </c>
      <c r="J410" s="259">
        <f t="shared" si="129"/>
        <v>0</v>
      </c>
      <c r="K410" s="259">
        <f t="shared" si="130"/>
        <v>2.858056388</v>
      </c>
      <c r="L410" s="259">
        <f t="shared" si="131"/>
        <v>2.858056388</v>
      </c>
      <c r="M410" s="259">
        <f t="shared" si="132"/>
        <v>0</v>
      </c>
      <c r="N410" s="259">
        <f t="shared" si="133"/>
        <v>57.16112775</v>
      </c>
      <c r="O410" s="259">
        <f t="shared" si="134"/>
        <v>57.16112775</v>
      </c>
      <c r="P410" s="260">
        <f t="shared" si="2"/>
        <v>0.0000447156777</v>
      </c>
    </row>
    <row r="411">
      <c r="A411" s="253" t="s">
        <v>563</v>
      </c>
      <c r="B411" s="254">
        <v>400.0</v>
      </c>
      <c r="C411" s="255" t="str">
        <f t="shared" si="128"/>
        <v>SINAPI</v>
      </c>
      <c r="D411" s="256" t="s">
        <v>286</v>
      </c>
      <c r="E411" s="257" t="str">
        <f>IFERROR(IF(D411="SINAPI-S",VLOOKUP(B411,'20-B.SINAPI-S'!A:J,2,0),IF(D411="SINAPI-I",VLOOKUP(B411,'20-A.SINAPI-I'!A:G,2,0),IF(D411="COMPOSIÇÕES",VLOOKUP(B411,'11.COMPOSIÇÕES GERAIS'!B:I,2,0),VLOOKUP(B411,'12.COT.MERCADO'!A:I,2,0)))),"Em Elaboração")</f>
        <v>ABRACADEIRA EM ACO PARA AMARRACAO DE ELETRODUTOS, TIPO D, COM 3/4" E PARAFUSO DE FIXACAO</v>
      </c>
      <c r="F411" s="258" t="str">
        <f>IFERROR(IF(D411="SINAPI-S",VLOOKUP(B411,'20-B.SINAPI-S'!A:J,3,0),IF(D411="SINAPI-I",VLOOKUP(B411,'20-A.SINAPI-I'!A:G,3,0),IF(D411="COMPOSIÇÕES",VLOOKUP(B411,'11.COMPOSIÇÕES GERAIS'!B:I,3,0),VLOOKUP(B411,'12.COT.MERCADO'!A:I,7,0)))),"Em Elaboração")</f>
        <v>UN</v>
      </c>
      <c r="G411" s="254">
        <v>20.0</v>
      </c>
      <c r="H411" s="259">
        <f>IFERROR(IF(D411="SINAPI-S",VLOOKUP(B411,'20-B.SINAPI-S'!A:J,5,0),IF(D411="SINAPI-I",VLOOKUP(B411,'20-A.SINAPI-I'!A:G,6,0),IF(D411="COMPOSIÇÕES",VLOOKUP(B411,'11.COMPOSIÇÕES GERAIS'!B:I,7,0),0))),"Em Elaboração")</f>
        <v>0</v>
      </c>
      <c r="I411" s="259">
        <f>IFERROR(IF(D411="SINAPI-S",VLOOKUP(B411,'20-B.SINAPI-S'!A:J,6,0),IF(D411="SINAPI-I",VLOOKUP(B411,'20-A.SINAPI-I'!A:G,7,0),IF(D411="COMPOSIÇÕES",VLOOKUP(B411,'11.COMPOSIÇÕES GERAIS'!B:I,8,0),VLOOKUP(B411,'12.COT.MERCADO'!A:I,8,0)))),"Em Elaboração")</f>
        <v>2.39</v>
      </c>
      <c r="J411" s="259">
        <f t="shared" si="129"/>
        <v>0</v>
      </c>
      <c r="K411" s="259">
        <f t="shared" si="130"/>
        <v>2.799489658</v>
      </c>
      <c r="L411" s="259">
        <f t="shared" si="131"/>
        <v>2.799489658</v>
      </c>
      <c r="M411" s="259">
        <f t="shared" si="132"/>
        <v>0</v>
      </c>
      <c r="N411" s="259">
        <f t="shared" si="133"/>
        <v>55.98979317</v>
      </c>
      <c r="O411" s="259">
        <f t="shared" si="134"/>
        <v>55.98979317</v>
      </c>
      <c r="P411" s="260">
        <f t="shared" si="2"/>
        <v>0.00004379937283</v>
      </c>
    </row>
    <row r="412">
      <c r="A412" s="253" t="s">
        <v>564</v>
      </c>
      <c r="B412" s="254">
        <v>39138.0</v>
      </c>
      <c r="C412" s="255" t="str">
        <f t="shared" si="128"/>
        <v>SINAPI</v>
      </c>
      <c r="D412" s="256" t="s">
        <v>286</v>
      </c>
      <c r="E412" s="257" t="str">
        <f>IFERROR(IF(D412="SINAPI-S",VLOOKUP(B412,'20-B.SINAPI-S'!A:J,2,0),IF(D412="SINAPI-I",VLOOKUP(B412,'20-A.SINAPI-I'!A:G,2,0),IF(D412="COMPOSIÇÕES",VLOOKUP(B412,'11.COMPOSIÇÕES GERAIS'!B:I,2,0),VLOOKUP(B412,'12.COT.MERCADO'!A:I,2,0)))),"Em Elaboração")</f>
        <v>ABRACADEIRA EM ACO PARA AMARRACAO DE ELETRODUTOS, TIPO U SIMPLES, COM 3/4"</v>
      </c>
      <c r="F412" s="258" t="str">
        <f>IFERROR(IF(D412="SINAPI-S",VLOOKUP(B412,'20-B.SINAPI-S'!A:J,3,0),IF(D412="SINAPI-I",VLOOKUP(B412,'20-A.SINAPI-I'!A:G,3,0),IF(D412="COMPOSIÇÕES",VLOOKUP(B412,'11.COMPOSIÇÕES GERAIS'!B:I,3,0),VLOOKUP(B412,'12.COT.MERCADO'!A:I,7,0)))),"Em Elaboração")</f>
        <v>UN</v>
      </c>
      <c r="G412" s="254">
        <v>8.0</v>
      </c>
      <c r="H412" s="259">
        <f>IFERROR(IF(D412="SINAPI-S",VLOOKUP(B412,'20-B.SINAPI-S'!A:J,5,0),IF(D412="SINAPI-I",VLOOKUP(B412,'20-A.SINAPI-I'!A:G,6,0),IF(D412="COMPOSIÇÕES",VLOOKUP(B412,'11.COMPOSIÇÕES GERAIS'!B:I,7,0),0))),"Em Elaboração")</f>
        <v>0</v>
      </c>
      <c r="I412" s="259">
        <f>IFERROR(IF(D412="SINAPI-S",VLOOKUP(B412,'20-B.SINAPI-S'!A:J,6,0),IF(D412="SINAPI-I",VLOOKUP(B412,'20-A.SINAPI-I'!A:G,7,0),IF(D412="COMPOSIÇÕES",VLOOKUP(B412,'11.COMPOSIÇÕES GERAIS'!B:I,8,0),VLOOKUP(B412,'12.COT.MERCADO'!A:I,8,0)))),"Em Elaboração")</f>
        <v>1.04</v>
      </c>
      <c r="J412" s="259">
        <f t="shared" si="129"/>
        <v>0</v>
      </c>
      <c r="K412" s="259">
        <f t="shared" si="130"/>
        <v>1.218187969</v>
      </c>
      <c r="L412" s="259">
        <f t="shared" si="131"/>
        <v>1.218187969</v>
      </c>
      <c r="M412" s="259">
        <f t="shared" si="132"/>
        <v>0</v>
      </c>
      <c r="N412" s="259">
        <f t="shared" si="133"/>
        <v>9.745503748</v>
      </c>
      <c r="O412" s="259">
        <f t="shared" si="134"/>
        <v>9.745503748</v>
      </c>
      <c r="P412" s="260">
        <f t="shared" si="2"/>
        <v>0.000007623656526</v>
      </c>
    </row>
    <row r="413">
      <c r="A413" s="253" t="s">
        <v>565</v>
      </c>
      <c r="B413" s="254">
        <v>36801.0</v>
      </c>
      <c r="C413" s="255" t="str">
        <f t="shared" si="128"/>
        <v>SINAPI</v>
      </c>
      <c r="D413" s="256" t="s">
        <v>286</v>
      </c>
      <c r="E413" s="257" t="str">
        <f>IFERROR(IF(D413="SINAPI-S",VLOOKUP(B413,'20-B.SINAPI-S'!A:J,2,0),IF(D413="SINAPI-I",VLOOKUP(B413,'20-A.SINAPI-I'!A:G,2,0),IF(D413="COMPOSIÇÕES",VLOOKUP(B413,'11.COMPOSIÇÕES GERAIS'!B:I,2,0),VLOOKUP(B413,'12.COT.MERCADO'!A:I,2,0)))),"Em Elaboração")</f>
        <v>ACABAMENTO DE METAL CROMADO PARA REGISTRO PEQUENO, DE PAREDE, 1/2 " OU 3/4 "</v>
      </c>
      <c r="F413" s="258" t="str">
        <f>IFERROR(IF(D413="SINAPI-S",VLOOKUP(B413,'20-B.SINAPI-S'!A:J,3,0),IF(D413="SINAPI-I",VLOOKUP(B413,'20-A.SINAPI-I'!A:G,3,0),IF(D413="COMPOSIÇÕES",VLOOKUP(B413,'11.COMPOSIÇÕES GERAIS'!B:I,3,0),VLOOKUP(B413,'12.COT.MERCADO'!A:I,7,0)))),"Em Elaboração")</f>
        <v>UN</v>
      </c>
      <c r="G413" s="254">
        <v>1.0</v>
      </c>
      <c r="H413" s="259">
        <f>IFERROR(IF(D413="SINAPI-S",VLOOKUP(B413,'20-B.SINAPI-S'!A:J,5,0),IF(D413="SINAPI-I",VLOOKUP(B413,'20-A.SINAPI-I'!A:G,6,0),IF(D413="COMPOSIÇÕES",VLOOKUP(B413,'11.COMPOSIÇÕES GERAIS'!B:I,7,0),0))),"Em Elaboração")</f>
        <v>0</v>
      </c>
      <c r="I413" s="259">
        <f>IFERROR(IF(D413="SINAPI-S",VLOOKUP(B413,'20-B.SINAPI-S'!A:J,6,0),IF(D413="SINAPI-I",VLOOKUP(B413,'20-A.SINAPI-I'!A:G,7,0),IF(D413="COMPOSIÇÕES",VLOOKUP(B413,'11.COMPOSIÇÕES GERAIS'!B:I,8,0),VLOOKUP(B413,'12.COT.MERCADO'!A:I,8,0)))),"Em Elaboração")</f>
        <v>29.16</v>
      </c>
      <c r="J413" s="259">
        <f t="shared" si="129"/>
        <v>0</v>
      </c>
      <c r="K413" s="259">
        <f t="shared" si="130"/>
        <v>34.1561165</v>
      </c>
      <c r="L413" s="259">
        <f t="shared" si="131"/>
        <v>34.1561165</v>
      </c>
      <c r="M413" s="259">
        <f t="shared" si="132"/>
        <v>0</v>
      </c>
      <c r="N413" s="259">
        <f t="shared" si="133"/>
        <v>34.1561165</v>
      </c>
      <c r="O413" s="259">
        <f t="shared" si="134"/>
        <v>34.1561165</v>
      </c>
      <c r="P413" s="260">
        <f t="shared" si="2"/>
        <v>0.00002671945004</v>
      </c>
    </row>
    <row r="414">
      <c r="A414" s="253" t="s">
        <v>566</v>
      </c>
      <c r="B414" s="254">
        <v>12615.0</v>
      </c>
      <c r="C414" s="255" t="str">
        <f t="shared" si="128"/>
        <v>SINAPI</v>
      </c>
      <c r="D414" s="256" t="s">
        <v>286</v>
      </c>
      <c r="E414" s="257" t="str">
        <f>IFERROR(IF(D414="SINAPI-S",VLOOKUP(B414,'20-B.SINAPI-S'!A:J,2,0),IF(D414="SINAPI-I",VLOOKUP(B414,'20-A.SINAPI-I'!A:G,2,0),IF(D414="COMPOSIÇÕES",VLOOKUP(B414,'11.COMPOSIÇÕES GERAIS'!B:I,2,0),VLOOKUP(B414,'12.COT.MERCADO'!A:I,2,0)))),"Em Elaboração")</f>
        <v>ABRACADEIRA PVC, PARA CALHA PLUVIAL, DIAMETRO ENTRE *80 E 100* MM, PARA DRENAGEM PLUVIAL PREDIAL</v>
      </c>
      <c r="F414" s="258" t="str">
        <f>IFERROR(IF(D414="SINAPI-S",VLOOKUP(B414,'20-B.SINAPI-S'!A:J,3,0),IF(D414="SINAPI-I",VLOOKUP(B414,'20-A.SINAPI-I'!A:G,3,0),IF(D414="COMPOSIÇÕES",VLOOKUP(B414,'11.COMPOSIÇÕES GERAIS'!B:I,3,0),VLOOKUP(B414,'12.COT.MERCADO'!A:I,7,0)))),"Em Elaboração")</f>
        <v>UN</v>
      </c>
      <c r="G414" s="254">
        <v>12.0</v>
      </c>
      <c r="H414" s="259">
        <f>IFERROR(IF(D414="SINAPI-S",VLOOKUP(B414,'20-B.SINAPI-S'!A:J,5,0),IF(D414="SINAPI-I",VLOOKUP(B414,'20-A.SINAPI-I'!A:G,6,0),IF(D414="COMPOSIÇÕES",VLOOKUP(B414,'11.COMPOSIÇÕES GERAIS'!B:I,7,0),0))),"Em Elaboração")</f>
        <v>0</v>
      </c>
      <c r="I414" s="259">
        <f>IFERROR(IF(D414="SINAPI-S",VLOOKUP(B414,'20-B.SINAPI-S'!A:J,6,0),IF(D414="SINAPI-I",VLOOKUP(B414,'20-A.SINAPI-I'!A:G,7,0),IF(D414="COMPOSIÇÕES",VLOOKUP(B414,'11.COMPOSIÇÕES GERAIS'!B:I,8,0),VLOOKUP(B414,'12.COT.MERCADO'!A:I,8,0)))),"Em Elaboração")</f>
        <v>14.27</v>
      </c>
      <c r="J414" s="259">
        <f t="shared" si="129"/>
        <v>0</v>
      </c>
      <c r="K414" s="259">
        <f t="shared" si="130"/>
        <v>16.71494453</v>
      </c>
      <c r="L414" s="259">
        <f t="shared" si="131"/>
        <v>16.71494453</v>
      </c>
      <c r="M414" s="259">
        <f t="shared" si="132"/>
        <v>0</v>
      </c>
      <c r="N414" s="259">
        <f t="shared" si="133"/>
        <v>200.5793344</v>
      </c>
      <c r="O414" s="259">
        <f t="shared" si="134"/>
        <v>200.5793344</v>
      </c>
      <c r="P414" s="260">
        <f t="shared" si="2"/>
        <v>0.0001569080461</v>
      </c>
    </row>
    <row r="415">
      <c r="A415" s="253" t="s">
        <v>567</v>
      </c>
      <c r="B415" s="254">
        <v>7588.0</v>
      </c>
      <c r="C415" s="255" t="str">
        <f t="shared" si="128"/>
        <v>SINAPI</v>
      </c>
      <c r="D415" s="256" t="s">
        <v>286</v>
      </c>
      <c r="E415" s="257" t="str">
        <f>IFERROR(IF(D415="SINAPI-S",VLOOKUP(B415,'20-B.SINAPI-S'!A:J,2,0),IF(D415="SINAPI-I",VLOOKUP(B415,'20-A.SINAPI-I'!A:G,2,0),IF(D415="COMPOSIÇÕES",VLOOKUP(B415,'11.COMPOSIÇÕES GERAIS'!B:I,2,0),VLOOKUP(B415,'12.COT.MERCADO'!A:I,2,0)))),"Em Elaboração")</f>
        <v>AUTOMATICO DE BOIA SUPERIOR / INFERIOR, *15* A / 250 V</v>
      </c>
      <c r="F415" s="258" t="str">
        <f>IFERROR(IF(D415="SINAPI-S",VLOOKUP(B415,'20-B.SINAPI-S'!A:J,3,0),IF(D415="SINAPI-I",VLOOKUP(B415,'20-A.SINAPI-I'!A:G,3,0),IF(D415="COMPOSIÇÕES",VLOOKUP(B415,'11.COMPOSIÇÕES GERAIS'!B:I,3,0),VLOOKUP(B415,'12.COT.MERCADO'!A:I,7,0)))),"Em Elaboração")</f>
        <v>UN</v>
      </c>
      <c r="G415" s="254">
        <v>4.0</v>
      </c>
      <c r="H415" s="259">
        <f>IFERROR(IF(D415="SINAPI-S",VLOOKUP(B415,'20-B.SINAPI-S'!A:J,5,0),IF(D415="SINAPI-I",VLOOKUP(B415,'20-A.SINAPI-I'!A:G,6,0),IF(D415="COMPOSIÇÕES",VLOOKUP(B415,'11.COMPOSIÇÕES GERAIS'!B:I,7,0),0))),"Em Elaboração")</f>
        <v>0</v>
      </c>
      <c r="I415" s="259">
        <f>IFERROR(IF(D415="SINAPI-S",VLOOKUP(B415,'20-B.SINAPI-S'!A:J,6,0),IF(D415="SINAPI-I",VLOOKUP(B415,'20-A.SINAPI-I'!A:G,7,0),IF(D415="COMPOSIÇÕES",VLOOKUP(B415,'11.COMPOSIÇÕES GERAIS'!B:I,8,0),VLOOKUP(B415,'12.COT.MERCADO'!A:I,8,0)))),"Em Elaboração")</f>
        <v>39.6</v>
      </c>
      <c r="J415" s="259">
        <f t="shared" si="129"/>
        <v>0</v>
      </c>
      <c r="K415" s="259">
        <f t="shared" si="130"/>
        <v>46.38484957</v>
      </c>
      <c r="L415" s="259">
        <f t="shared" si="131"/>
        <v>46.38484957</v>
      </c>
      <c r="M415" s="259">
        <f t="shared" si="132"/>
        <v>0</v>
      </c>
      <c r="N415" s="259">
        <f t="shared" si="133"/>
        <v>185.5393983</v>
      </c>
      <c r="O415" s="259">
        <f t="shared" si="134"/>
        <v>185.5393983</v>
      </c>
      <c r="P415" s="260">
        <f t="shared" si="2"/>
        <v>0.0001451426916</v>
      </c>
    </row>
    <row r="416">
      <c r="A416" s="253" t="s">
        <v>568</v>
      </c>
      <c r="B416" s="254">
        <v>2516.0</v>
      </c>
      <c r="C416" s="255" t="str">
        <f t="shared" si="128"/>
        <v>SINAPI</v>
      </c>
      <c r="D416" s="256" t="s">
        <v>286</v>
      </c>
      <c r="E416" s="257" t="str">
        <f>IFERROR(IF(D416="SINAPI-S",VLOOKUP(B416,'20-B.SINAPI-S'!A:J,2,0),IF(D416="SINAPI-I",VLOOKUP(B416,'20-A.SINAPI-I'!A:G,2,0),IF(D416="COMPOSIÇÕES",VLOOKUP(B416,'11.COMPOSIÇÕES GERAIS'!B:I,2,0),VLOOKUP(B416,'12.COT.MERCADO'!A:I,2,0)))),"Em Elaboração")</f>
        <v>CONECTOR CURVO 90 GRAUS DE ALUMINIO, BITOLA 1", PARA ADAPTAR ENTRADA DE ELETRODUTO METALICO FLEXIVEL EM QUADROS</v>
      </c>
      <c r="F416" s="258" t="str">
        <f>IFERROR(IF(D416="SINAPI-S",VLOOKUP(B416,'20-B.SINAPI-S'!A:J,3,0),IF(D416="SINAPI-I",VLOOKUP(B416,'20-A.SINAPI-I'!A:G,3,0),IF(D416="COMPOSIÇÕES",VLOOKUP(B416,'11.COMPOSIÇÕES GERAIS'!B:I,3,0),VLOOKUP(B416,'12.COT.MERCADO'!A:I,7,0)))),"Em Elaboração")</f>
        <v>UN</v>
      </c>
      <c r="G416" s="254">
        <v>2.0</v>
      </c>
      <c r="H416" s="259">
        <f>IFERROR(IF(D416="SINAPI-S",VLOOKUP(B416,'20-B.SINAPI-S'!A:J,5,0),IF(D416="SINAPI-I",VLOOKUP(B416,'20-A.SINAPI-I'!A:G,6,0),IF(D416="COMPOSIÇÕES",VLOOKUP(B416,'11.COMPOSIÇÕES GERAIS'!B:I,7,0),0))),"Em Elaboração")</f>
        <v>0</v>
      </c>
      <c r="I416" s="259">
        <f>IFERROR(IF(D416="SINAPI-S",VLOOKUP(B416,'20-B.SINAPI-S'!A:J,6,0),IF(D416="SINAPI-I",VLOOKUP(B416,'20-A.SINAPI-I'!A:G,7,0),IF(D416="COMPOSIÇÕES",VLOOKUP(B416,'11.COMPOSIÇÕES GERAIS'!B:I,8,0),VLOOKUP(B416,'12.COT.MERCADO'!A:I,8,0)))),"Em Elaboração")</f>
        <v>15.35</v>
      </c>
      <c r="J416" s="259">
        <f t="shared" si="129"/>
        <v>0</v>
      </c>
      <c r="K416" s="259">
        <f t="shared" si="130"/>
        <v>17.97998588</v>
      </c>
      <c r="L416" s="259">
        <f t="shared" si="131"/>
        <v>17.97998588</v>
      </c>
      <c r="M416" s="259">
        <f t="shared" si="132"/>
        <v>0</v>
      </c>
      <c r="N416" s="259">
        <f t="shared" si="133"/>
        <v>35.95997176</v>
      </c>
      <c r="O416" s="259">
        <f t="shared" si="134"/>
        <v>35.95997176</v>
      </c>
      <c r="P416" s="260">
        <f t="shared" si="2"/>
        <v>0.00002813055954</v>
      </c>
    </row>
    <row r="417">
      <c r="A417" s="253" t="s">
        <v>569</v>
      </c>
      <c r="B417" s="254">
        <v>2517.0</v>
      </c>
      <c r="C417" s="255" t="str">
        <f t="shared" si="128"/>
        <v>SINAPI</v>
      </c>
      <c r="D417" s="256" t="s">
        <v>286</v>
      </c>
      <c r="E417" s="257" t="str">
        <f>IFERROR(IF(D417="SINAPI-S",VLOOKUP(B417,'20-B.SINAPI-S'!A:J,2,0),IF(D417="SINAPI-I",VLOOKUP(B417,'20-A.SINAPI-I'!A:G,2,0),IF(D417="COMPOSIÇÕES",VLOOKUP(B417,'11.COMPOSIÇÕES GERAIS'!B:I,2,0),VLOOKUP(B417,'12.COT.MERCADO'!A:I,2,0)))),"Em Elaboração")</f>
        <v>CONECTOR CURVO 90 GRAUS DE ALUMINIO, BITOLA 1 1/2", PARA ADAPTAR ENTRADA DE ELETRODUTO METALICO FLEXIVEL EM QUADROS</v>
      </c>
      <c r="F417" s="258" t="str">
        <f>IFERROR(IF(D417="SINAPI-S",VLOOKUP(B417,'20-B.SINAPI-S'!A:J,3,0),IF(D417="SINAPI-I",VLOOKUP(B417,'20-A.SINAPI-I'!A:G,3,0),IF(D417="COMPOSIÇÕES",VLOOKUP(B417,'11.COMPOSIÇÕES GERAIS'!B:I,3,0),VLOOKUP(B417,'12.COT.MERCADO'!A:I,7,0)))),"Em Elaboração")</f>
        <v>UN</v>
      </c>
      <c r="G417" s="254">
        <v>2.0</v>
      </c>
      <c r="H417" s="259">
        <f>IFERROR(IF(D417="SINAPI-S",VLOOKUP(B417,'20-B.SINAPI-S'!A:J,5,0),IF(D417="SINAPI-I",VLOOKUP(B417,'20-A.SINAPI-I'!A:G,6,0),IF(D417="COMPOSIÇÕES",VLOOKUP(B417,'11.COMPOSIÇÕES GERAIS'!B:I,7,0),0))),"Em Elaboração")</f>
        <v>0</v>
      </c>
      <c r="I417" s="259">
        <f>IFERROR(IF(D417="SINAPI-S",VLOOKUP(B417,'20-B.SINAPI-S'!A:J,6,0),IF(D417="SINAPI-I",VLOOKUP(B417,'20-A.SINAPI-I'!A:G,7,0),IF(D417="COMPOSIÇÕES",VLOOKUP(B417,'11.COMPOSIÇÕES GERAIS'!B:I,8,0),VLOOKUP(B417,'12.COT.MERCADO'!A:I,8,0)))),"Em Elaboração")</f>
        <v>29.59</v>
      </c>
      <c r="J417" s="259">
        <f t="shared" si="129"/>
        <v>0</v>
      </c>
      <c r="K417" s="259">
        <f t="shared" si="130"/>
        <v>34.65979037</v>
      </c>
      <c r="L417" s="259">
        <f t="shared" si="131"/>
        <v>34.65979037</v>
      </c>
      <c r="M417" s="259">
        <f t="shared" si="132"/>
        <v>0</v>
      </c>
      <c r="N417" s="259">
        <f t="shared" si="133"/>
        <v>69.31958075</v>
      </c>
      <c r="O417" s="259">
        <f t="shared" si="134"/>
        <v>69.31958075</v>
      </c>
      <c r="P417" s="260">
        <f t="shared" si="2"/>
        <v>0.00005422692226</v>
      </c>
    </row>
    <row r="418">
      <c r="A418" s="253" t="s">
        <v>570</v>
      </c>
      <c r="B418" s="254">
        <v>2515.0</v>
      </c>
      <c r="C418" s="255" t="str">
        <f t="shared" si="128"/>
        <v>SINAPI</v>
      </c>
      <c r="D418" s="256" t="s">
        <v>286</v>
      </c>
      <c r="E418" s="257" t="str">
        <f>IFERROR(IF(D418="SINAPI-S",VLOOKUP(B418,'20-B.SINAPI-S'!A:J,2,0),IF(D418="SINAPI-I",VLOOKUP(B418,'20-A.SINAPI-I'!A:G,2,0),IF(D418="COMPOSIÇÕES",VLOOKUP(B418,'11.COMPOSIÇÕES GERAIS'!B:I,2,0),VLOOKUP(B418,'12.COT.MERCADO'!A:I,2,0)))),"Em Elaboração")</f>
        <v>CONECTOR CURVO 90 GRAUS DE ALUMINIO, BITOLA 3/4", PARA ADAPTAR ENTRADA DE ELETRODUTO METALICO FLEXIVEL EM QUADROS</v>
      </c>
      <c r="F418" s="258" t="str">
        <f>IFERROR(IF(D418="SINAPI-S",VLOOKUP(B418,'20-B.SINAPI-S'!A:J,3,0),IF(D418="SINAPI-I",VLOOKUP(B418,'20-A.SINAPI-I'!A:G,3,0),IF(D418="COMPOSIÇÕES",VLOOKUP(B418,'11.COMPOSIÇÕES GERAIS'!B:I,3,0),VLOOKUP(B418,'12.COT.MERCADO'!A:I,7,0)))),"Em Elaboração")</f>
        <v>UN</v>
      </c>
      <c r="G418" s="254">
        <v>2.0</v>
      </c>
      <c r="H418" s="259">
        <f>IFERROR(IF(D418="SINAPI-S",VLOOKUP(B418,'20-B.SINAPI-S'!A:J,5,0),IF(D418="SINAPI-I",VLOOKUP(B418,'20-A.SINAPI-I'!A:G,6,0),IF(D418="COMPOSIÇÕES",VLOOKUP(B418,'11.COMPOSIÇÕES GERAIS'!B:I,7,0),0))),"Em Elaboração")</f>
        <v>0</v>
      </c>
      <c r="I418" s="259">
        <f>IFERROR(IF(D418="SINAPI-S",VLOOKUP(B418,'20-B.SINAPI-S'!A:J,6,0),IF(D418="SINAPI-I",VLOOKUP(B418,'20-A.SINAPI-I'!A:G,7,0),IF(D418="COMPOSIÇÕES",VLOOKUP(B418,'11.COMPOSIÇÕES GERAIS'!B:I,8,0),VLOOKUP(B418,'12.COT.MERCADO'!A:I,8,0)))),"Em Elaboração")</f>
        <v>12.78</v>
      </c>
      <c r="J418" s="259">
        <f t="shared" si="129"/>
        <v>0</v>
      </c>
      <c r="K418" s="259">
        <f t="shared" si="130"/>
        <v>14.969656</v>
      </c>
      <c r="L418" s="259">
        <f t="shared" si="131"/>
        <v>14.969656</v>
      </c>
      <c r="M418" s="259">
        <f t="shared" si="132"/>
        <v>0</v>
      </c>
      <c r="N418" s="259">
        <f t="shared" si="133"/>
        <v>29.939312</v>
      </c>
      <c r="O418" s="259">
        <f t="shared" si="134"/>
        <v>29.939312</v>
      </c>
      <c r="P418" s="260">
        <f t="shared" si="2"/>
        <v>0.0000234207525</v>
      </c>
    </row>
    <row r="419">
      <c r="A419" s="253" t="s">
        <v>571</v>
      </c>
      <c r="B419" s="254">
        <v>2526.0</v>
      </c>
      <c r="C419" s="255" t="str">
        <f t="shared" si="128"/>
        <v>SINAPI</v>
      </c>
      <c r="D419" s="256" t="s">
        <v>286</v>
      </c>
      <c r="E419" s="257" t="str">
        <f>IFERROR(IF(D419="SINAPI-S",VLOOKUP(B419,'20-B.SINAPI-S'!A:J,2,0),IF(D419="SINAPI-I",VLOOKUP(B419,'20-A.SINAPI-I'!A:G,2,0),IF(D419="COMPOSIÇÕES",VLOOKUP(B419,'11.COMPOSIÇÕES GERAIS'!B:I,2,0),VLOOKUP(B419,'12.COT.MERCADO'!A:I,2,0)))),"Em Elaboração")</f>
        <v>CONECTOR RETO DE ALUMINIO PARA ELETRODUTO DE 1 1/4", PARA ADAPTAR ENTRADA DE ELETRODUTO METALICO FLEXIVEL EM QUADROS</v>
      </c>
      <c r="F419" s="258" t="str">
        <f>IFERROR(IF(D419="SINAPI-S",VLOOKUP(B419,'20-B.SINAPI-S'!A:J,3,0),IF(D419="SINAPI-I",VLOOKUP(B419,'20-A.SINAPI-I'!A:G,3,0),IF(D419="COMPOSIÇÕES",VLOOKUP(B419,'11.COMPOSIÇÕES GERAIS'!B:I,3,0),VLOOKUP(B419,'12.COT.MERCADO'!A:I,7,0)))),"Em Elaboração")</f>
        <v>UN</v>
      </c>
      <c r="G419" s="254">
        <v>2.0</v>
      </c>
      <c r="H419" s="259">
        <f>IFERROR(IF(D419="SINAPI-S",VLOOKUP(B419,'20-B.SINAPI-S'!A:J,5,0),IF(D419="SINAPI-I",VLOOKUP(B419,'20-A.SINAPI-I'!A:G,6,0),IF(D419="COMPOSIÇÕES",VLOOKUP(B419,'11.COMPOSIÇÕES GERAIS'!B:I,7,0),0))),"Em Elaboração")</f>
        <v>0</v>
      </c>
      <c r="I419" s="259">
        <f>IFERROR(IF(D419="SINAPI-S",VLOOKUP(B419,'20-B.SINAPI-S'!A:J,6,0),IF(D419="SINAPI-I",VLOOKUP(B419,'20-A.SINAPI-I'!A:G,7,0),IF(D419="COMPOSIÇÕES",VLOOKUP(B419,'11.COMPOSIÇÕES GERAIS'!B:I,8,0),VLOOKUP(B419,'12.COT.MERCADO'!A:I,8,0)))),"Em Elaboração")</f>
        <v>6.78</v>
      </c>
      <c r="J419" s="259">
        <f t="shared" si="129"/>
        <v>0</v>
      </c>
      <c r="K419" s="259">
        <f t="shared" si="130"/>
        <v>7.941648487</v>
      </c>
      <c r="L419" s="259">
        <f t="shared" si="131"/>
        <v>7.941648487</v>
      </c>
      <c r="M419" s="259">
        <f t="shared" si="132"/>
        <v>0</v>
      </c>
      <c r="N419" s="259">
        <f t="shared" si="133"/>
        <v>15.88329697</v>
      </c>
      <c r="O419" s="259">
        <f t="shared" si="134"/>
        <v>15.88329697</v>
      </c>
      <c r="P419" s="260">
        <f t="shared" si="2"/>
        <v>0.00001242509405</v>
      </c>
    </row>
    <row r="420">
      <c r="A420" s="253" t="s">
        <v>572</v>
      </c>
      <c r="B420" s="254">
        <v>11950.0</v>
      </c>
      <c r="C420" s="255" t="str">
        <f t="shared" si="128"/>
        <v>SINAPI</v>
      </c>
      <c r="D420" s="256" t="s">
        <v>286</v>
      </c>
      <c r="E420" s="257" t="str">
        <f>IFERROR(IF(D420="SINAPI-S",VLOOKUP(B420,'20-B.SINAPI-S'!A:J,2,0),IF(D420="SINAPI-I",VLOOKUP(B420,'20-A.SINAPI-I'!A:G,2,0),IF(D420="COMPOSIÇÕES",VLOOKUP(B420,'11.COMPOSIÇÕES GERAIS'!B:I,2,0),VLOOKUP(B420,'12.COT.MERCADO'!A:I,2,0)))),"Em Elaboração")</f>
        <v>BUCHA DE NYLON SEM ABA S6, COM PARAFUSO DE 4,20 X 40 MM EM ACO ZINCADO COM ROSCA SOBERBA, CABECA CHATA E FENDA PHILLIPS</v>
      </c>
      <c r="F420" s="258" t="str">
        <f>IFERROR(IF(D420="SINAPI-S",VLOOKUP(B420,'20-B.SINAPI-S'!A:J,3,0),IF(D420="SINAPI-I",VLOOKUP(B420,'20-A.SINAPI-I'!A:G,3,0),IF(D420="COMPOSIÇÕES",VLOOKUP(B420,'11.COMPOSIÇÕES GERAIS'!B:I,3,0),VLOOKUP(B420,'12.COT.MERCADO'!A:I,7,0)))),"Em Elaboração")</f>
        <v>UN</v>
      </c>
      <c r="G420" s="254">
        <v>50.0</v>
      </c>
      <c r="H420" s="259">
        <f>IFERROR(IF(D420="SINAPI-S",VLOOKUP(B420,'20-B.SINAPI-S'!A:J,5,0),IF(D420="SINAPI-I",VLOOKUP(B420,'20-A.SINAPI-I'!A:G,6,0),IF(D420="COMPOSIÇÕES",VLOOKUP(B420,'11.COMPOSIÇÕES GERAIS'!B:I,7,0),0))),"Em Elaboração")</f>
        <v>0</v>
      </c>
      <c r="I420" s="259">
        <f>IFERROR(IF(D420="SINAPI-S",VLOOKUP(B420,'20-B.SINAPI-S'!A:J,6,0),IF(D420="SINAPI-I",VLOOKUP(B420,'20-A.SINAPI-I'!A:G,7,0),IF(D420="COMPOSIÇÕES",VLOOKUP(B420,'11.COMPOSIÇÕES GERAIS'!B:I,8,0),VLOOKUP(B420,'12.COT.MERCADO'!A:I,8,0)))),"Em Elaboração")</f>
        <v>0.24</v>
      </c>
      <c r="J420" s="259">
        <f t="shared" si="129"/>
        <v>0</v>
      </c>
      <c r="K420" s="259">
        <f t="shared" si="130"/>
        <v>0.2811203004</v>
      </c>
      <c r="L420" s="259">
        <f t="shared" si="131"/>
        <v>0.2811203004</v>
      </c>
      <c r="M420" s="259">
        <f t="shared" si="132"/>
        <v>0</v>
      </c>
      <c r="N420" s="259">
        <f t="shared" si="133"/>
        <v>14.05601502</v>
      </c>
      <c r="O420" s="259">
        <f t="shared" si="134"/>
        <v>14.05601502</v>
      </c>
      <c r="P420" s="260">
        <f t="shared" si="2"/>
        <v>0.00001099565845</v>
      </c>
    </row>
    <row r="421">
      <c r="A421" s="253" t="s">
        <v>573</v>
      </c>
      <c r="B421" s="254">
        <v>7583.0</v>
      </c>
      <c r="C421" s="255" t="str">
        <f t="shared" si="128"/>
        <v>SINAPI</v>
      </c>
      <c r="D421" s="256" t="s">
        <v>286</v>
      </c>
      <c r="E421" s="257" t="str">
        <f>IFERROR(IF(D421="SINAPI-S",VLOOKUP(B421,'20-B.SINAPI-S'!A:J,2,0),IF(D421="SINAPI-I",VLOOKUP(B421,'20-A.SINAPI-I'!A:G,2,0),IF(D421="COMPOSIÇÕES",VLOOKUP(B421,'11.COMPOSIÇÕES GERAIS'!B:I,2,0),VLOOKUP(B421,'12.COT.MERCADO'!A:I,2,0)))),"Em Elaboração")</f>
        <v>BUCHA DE NYLON SEM ABA S8, COM PARAFUSO DE 4,80 X 50 MM EM ACO ZINCADO COM ROSCA SOBERBA, CABECA CHATA E FENDA PHILLIPS</v>
      </c>
      <c r="F421" s="258" t="str">
        <f>IFERROR(IF(D421="SINAPI-S",VLOOKUP(B421,'20-B.SINAPI-S'!A:J,3,0),IF(D421="SINAPI-I",VLOOKUP(B421,'20-A.SINAPI-I'!A:G,3,0),IF(D421="COMPOSIÇÕES",VLOOKUP(B421,'11.COMPOSIÇÕES GERAIS'!B:I,3,0),VLOOKUP(B421,'12.COT.MERCADO'!A:I,7,0)))),"Em Elaboração")</f>
        <v>UN</v>
      </c>
      <c r="G421" s="254">
        <v>50.0</v>
      </c>
      <c r="H421" s="259">
        <f>IFERROR(IF(D421="SINAPI-S",VLOOKUP(B421,'20-B.SINAPI-S'!A:J,5,0),IF(D421="SINAPI-I",VLOOKUP(B421,'20-A.SINAPI-I'!A:G,6,0),IF(D421="COMPOSIÇÕES",VLOOKUP(B421,'11.COMPOSIÇÕES GERAIS'!B:I,7,0),0))),"Em Elaboração")</f>
        <v>0</v>
      </c>
      <c r="I421" s="259">
        <f>IFERROR(IF(D421="SINAPI-S",VLOOKUP(B421,'20-B.SINAPI-S'!A:J,6,0),IF(D421="SINAPI-I",VLOOKUP(B421,'20-A.SINAPI-I'!A:G,7,0),IF(D421="COMPOSIÇÕES",VLOOKUP(B421,'11.COMPOSIÇÕES GERAIS'!B:I,8,0),VLOOKUP(B421,'12.COT.MERCADO'!A:I,8,0)))),"Em Elaboração")</f>
        <v>0.5</v>
      </c>
      <c r="J421" s="259">
        <f t="shared" si="129"/>
        <v>0</v>
      </c>
      <c r="K421" s="259">
        <f t="shared" si="130"/>
        <v>0.5856672926</v>
      </c>
      <c r="L421" s="259">
        <f t="shared" si="131"/>
        <v>0.5856672926</v>
      </c>
      <c r="M421" s="259">
        <f t="shared" si="132"/>
        <v>0</v>
      </c>
      <c r="N421" s="259">
        <f t="shared" si="133"/>
        <v>29.28336463</v>
      </c>
      <c r="O421" s="259">
        <f t="shared" si="134"/>
        <v>29.28336463</v>
      </c>
      <c r="P421" s="260">
        <f t="shared" si="2"/>
        <v>0.00002290762177</v>
      </c>
    </row>
    <row r="422">
      <c r="A422" s="253" t="s">
        <v>574</v>
      </c>
      <c r="B422" s="254">
        <v>1020.0</v>
      </c>
      <c r="C422" s="255" t="str">
        <f t="shared" si="128"/>
        <v>SINAPI</v>
      </c>
      <c r="D422" s="256" t="s">
        <v>286</v>
      </c>
      <c r="E422" s="257" t="str">
        <f>IFERROR(IF(D422="SINAPI-S",VLOOKUP(B422,'20-B.SINAPI-S'!A:J,2,0),IF(D422="SINAPI-I",VLOOKUP(B422,'20-A.SINAPI-I'!A:G,2,0),IF(D422="COMPOSIÇÕES",VLOOKUP(B422,'11.COMPOSIÇÕES GERAIS'!B:I,2,0),VLOOKUP(B422,'12.COT.MERCADO'!A:I,2,0)))),"Em Elaboração")</f>
        <v>CABO DE COBRE, FLEXIVEL, CLASSE 4 OU 5, ISOLACAO EM PVC/A, ANTICHAMA BWF-B, COBERTURA PVC-ST1, ANTICHAMA BWF-B, 1 CONDUTOR, 0,6/1 KV, SECAO NOMINAL 10 MM2</v>
      </c>
      <c r="F422" s="258" t="str">
        <f>IFERROR(IF(D422="SINAPI-S",VLOOKUP(B422,'20-B.SINAPI-S'!A:J,3,0),IF(D422="SINAPI-I",VLOOKUP(B422,'20-A.SINAPI-I'!A:G,3,0),IF(D422="COMPOSIÇÕES",VLOOKUP(B422,'11.COMPOSIÇÕES GERAIS'!B:I,3,0),VLOOKUP(B422,'12.COT.MERCADO'!A:I,7,0)))),"Em Elaboração")</f>
        <v>M</v>
      </c>
      <c r="G422" s="254">
        <v>100.0</v>
      </c>
      <c r="H422" s="259">
        <f>IFERROR(IF(D422="SINAPI-S",VLOOKUP(B422,'20-B.SINAPI-S'!A:J,5,0),IF(D422="SINAPI-I",VLOOKUP(B422,'20-A.SINAPI-I'!A:G,6,0),IF(D422="COMPOSIÇÕES",VLOOKUP(B422,'11.COMPOSIÇÕES GERAIS'!B:I,7,0),0))),"Em Elaboração")</f>
        <v>0</v>
      </c>
      <c r="I422" s="259">
        <f>IFERROR(IF(D422="SINAPI-S",VLOOKUP(B422,'20-B.SINAPI-S'!A:J,6,0),IF(D422="SINAPI-I",VLOOKUP(B422,'20-A.SINAPI-I'!A:G,7,0),IF(D422="COMPOSIÇÕES",VLOOKUP(B422,'11.COMPOSIÇÕES GERAIS'!B:I,8,0),VLOOKUP(B422,'12.COT.MERCADO'!A:I,8,0)))),"Em Elaboração")</f>
        <v>9.4</v>
      </c>
      <c r="J422" s="259">
        <f t="shared" si="129"/>
        <v>0</v>
      </c>
      <c r="K422" s="259">
        <f t="shared" si="130"/>
        <v>11.0105451</v>
      </c>
      <c r="L422" s="259">
        <f t="shared" si="131"/>
        <v>11.0105451</v>
      </c>
      <c r="M422" s="259">
        <f t="shared" si="132"/>
        <v>0</v>
      </c>
      <c r="N422" s="259">
        <f t="shared" si="133"/>
        <v>1101.05451</v>
      </c>
      <c r="O422" s="259">
        <f t="shared" si="134"/>
        <v>1101.05451</v>
      </c>
      <c r="P422" s="260">
        <f t="shared" si="2"/>
        <v>0.0008613265787</v>
      </c>
    </row>
    <row r="423">
      <c r="A423" s="253" t="s">
        <v>575</v>
      </c>
      <c r="B423" s="254">
        <v>1022.0</v>
      </c>
      <c r="C423" s="255" t="str">
        <f t="shared" si="128"/>
        <v>SINAPI</v>
      </c>
      <c r="D423" s="256" t="s">
        <v>286</v>
      </c>
      <c r="E423" s="257" t="str">
        <f>IFERROR(IF(D423="SINAPI-S",VLOOKUP(B423,'20-B.SINAPI-S'!A:J,2,0),IF(D423="SINAPI-I",VLOOKUP(B423,'20-A.SINAPI-I'!A:G,2,0),IF(D423="COMPOSIÇÕES",VLOOKUP(B423,'11.COMPOSIÇÕES GERAIS'!B:I,2,0),VLOOKUP(B423,'12.COT.MERCADO'!A:I,2,0)))),"Em Elaboração")</f>
        <v>CABO DE COBRE, FLEXIVEL, CLASSE 4 OU 5, ISOLACAO EM PVC/A, ANTICHAMA BWF-B, COBERTURA PVC-ST1, ANTICHAMA BWF-B, 1 CONDUTOR, 0,6/1 KV, SECAO NOMINAL 2,5 MM2</v>
      </c>
      <c r="F423" s="258" t="str">
        <f>IFERROR(IF(D423="SINAPI-S",VLOOKUP(B423,'20-B.SINAPI-S'!A:J,3,0),IF(D423="SINAPI-I",VLOOKUP(B423,'20-A.SINAPI-I'!A:G,3,0),IF(D423="COMPOSIÇÕES",VLOOKUP(B423,'11.COMPOSIÇÕES GERAIS'!B:I,3,0),VLOOKUP(B423,'12.COT.MERCADO'!A:I,7,0)))),"Em Elaboração")</f>
        <v>M</v>
      </c>
      <c r="G423" s="254">
        <v>100.0</v>
      </c>
      <c r="H423" s="259">
        <f>IFERROR(IF(D423="SINAPI-S",VLOOKUP(B423,'20-B.SINAPI-S'!A:J,5,0),IF(D423="SINAPI-I",VLOOKUP(B423,'20-A.SINAPI-I'!A:G,6,0),IF(D423="COMPOSIÇÕES",VLOOKUP(B423,'11.COMPOSIÇÕES GERAIS'!B:I,7,0),0))),"Em Elaboração")</f>
        <v>0</v>
      </c>
      <c r="I423" s="259">
        <f>IFERROR(IF(D423="SINAPI-S",VLOOKUP(B423,'20-B.SINAPI-S'!A:J,6,0),IF(D423="SINAPI-I",VLOOKUP(B423,'20-A.SINAPI-I'!A:G,7,0),IF(D423="COMPOSIÇÕES",VLOOKUP(B423,'11.COMPOSIÇÕES GERAIS'!B:I,8,0),VLOOKUP(B423,'12.COT.MERCADO'!A:I,8,0)))),"Em Elaboração")</f>
        <v>2.57</v>
      </c>
      <c r="J423" s="259">
        <f t="shared" si="129"/>
        <v>0</v>
      </c>
      <c r="K423" s="259">
        <f t="shared" si="130"/>
        <v>3.010329884</v>
      </c>
      <c r="L423" s="259">
        <f t="shared" si="131"/>
        <v>3.010329884</v>
      </c>
      <c r="M423" s="259">
        <f t="shared" si="132"/>
        <v>0</v>
      </c>
      <c r="N423" s="259">
        <f t="shared" si="133"/>
        <v>301.0329884</v>
      </c>
      <c r="O423" s="259">
        <f t="shared" si="134"/>
        <v>301.0329884</v>
      </c>
      <c r="P423" s="260">
        <f t="shared" si="2"/>
        <v>0.0002354903518</v>
      </c>
    </row>
    <row r="424">
      <c r="A424" s="253" t="s">
        <v>576</v>
      </c>
      <c r="B424" s="254">
        <v>1021.0</v>
      </c>
      <c r="C424" s="255" t="str">
        <f t="shared" si="128"/>
        <v>SINAPI</v>
      </c>
      <c r="D424" s="256" t="s">
        <v>286</v>
      </c>
      <c r="E424" s="257" t="str">
        <f>IFERROR(IF(D424="SINAPI-S",VLOOKUP(B424,'20-B.SINAPI-S'!A:J,2,0),IF(D424="SINAPI-I",VLOOKUP(B424,'20-A.SINAPI-I'!A:G,2,0),IF(D424="COMPOSIÇÕES",VLOOKUP(B424,'11.COMPOSIÇÕES GERAIS'!B:I,2,0),VLOOKUP(B424,'12.COT.MERCADO'!A:I,2,0)))),"Em Elaboração")</f>
        <v>CABO DE COBRE, FLEXIVEL, CLASSE 4 OU 5, ISOLACAO EM PVC/A, ANTICHAMA BWF-B, COBERTURA PVC-ST1, ANTICHAMA BWF-B, 1 CONDUTOR, 0,6/1 KV, SECAO NOMINAL 4 MM2</v>
      </c>
      <c r="F424" s="258" t="str">
        <f>IFERROR(IF(D424="SINAPI-S",VLOOKUP(B424,'20-B.SINAPI-S'!A:J,3,0),IF(D424="SINAPI-I",VLOOKUP(B424,'20-A.SINAPI-I'!A:G,3,0),IF(D424="COMPOSIÇÕES",VLOOKUP(B424,'11.COMPOSIÇÕES GERAIS'!B:I,3,0),VLOOKUP(B424,'12.COT.MERCADO'!A:I,7,0)))),"Em Elaboração")</f>
        <v>M</v>
      </c>
      <c r="G424" s="254">
        <v>100.0</v>
      </c>
      <c r="H424" s="259">
        <f>IFERROR(IF(D424="SINAPI-S",VLOOKUP(B424,'20-B.SINAPI-S'!A:J,5,0),IF(D424="SINAPI-I",VLOOKUP(B424,'20-A.SINAPI-I'!A:G,6,0),IF(D424="COMPOSIÇÕES",VLOOKUP(B424,'11.COMPOSIÇÕES GERAIS'!B:I,7,0),0))),"Em Elaboração")</f>
        <v>0</v>
      </c>
      <c r="I424" s="259">
        <f>IFERROR(IF(D424="SINAPI-S",VLOOKUP(B424,'20-B.SINAPI-S'!A:J,6,0),IF(D424="SINAPI-I",VLOOKUP(B424,'20-A.SINAPI-I'!A:G,7,0),IF(D424="COMPOSIÇÕES",VLOOKUP(B424,'11.COMPOSIÇÕES GERAIS'!B:I,8,0),VLOOKUP(B424,'12.COT.MERCADO'!A:I,8,0)))),"Em Elaboração")</f>
        <v>3.94</v>
      </c>
      <c r="J424" s="259">
        <f t="shared" si="129"/>
        <v>0</v>
      </c>
      <c r="K424" s="259">
        <f t="shared" si="130"/>
        <v>4.615058265</v>
      </c>
      <c r="L424" s="259">
        <f t="shared" si="131"/>
        <v>4.615058265</v>
      </c>
      <c r="M424" s="259">
        <f t="shared" si="132"/>
        <v>0</v>
      </c>
      <c r="N424" s="259">
        <f t="shared" si="133"/>
        <v>461.5058265</v>
      </c>
      <c r="O424" s="259">
        <f t="shared" si="134"/>
        <v>461.5058265</v>
      </c>
      <c r="P424" s="260">
        <f t="shared" si="2"/>
        <v>0.0003610241192</v>
      </c>
    </row>
    <row r="425">
      <c r="A425" s="253" t="s">
        <v>577</v>
      </c>
      <c r="B425" s="254">
        <v>994.0</v>
      </c>
      <c r="C425" s="255" t="str">
        <f t="shared" si="128"/>
        <v>SINAPI</v>
      </c>
      <c r="D425" s="256" t="s">
        <v>286</v>
      </c>
      <c r="E425" s="257" t="str">
        <f>IFERROR(IF(D425="SINAPI-S",VLOOKUP(B425,'20-B.SINAPI-S'!A:J,2,0),IF(D425="SINAPI-I",VLOOKUP(B425,'20-A.SINAPI-I'!A:G,2,0),IF(D425="COMPOSIÇÕES",VLOOKUP(B425,'11.COMPOSIÇÕES GERAIS'!B:I,2,0),VLOOKUP(B425,'12.COT.MERCADO'!A:I,2,0)))),"Em Elaboração")</f>
        <v>CABO DE COBRE, FLEXIVEL, CLASSE 4 OU 5, ISOLACAO EM PVC/A, ANTICHAMA BWF-B, COBERTURA PVC-ST1, ANTICHAMA BWF-B, 1 CONDUTOR, 0,6/1 KV, SECAO NOMINAL 6 MM2</v>
      </c>
      <c r="F425" s="258" t="str">
        <f>IFERROR(IF(D425="SINAPI-S",VLOOKUP(B425,'20-B.SINAPI-S'!A:J,3,0),IF(D425="SINAPI-I",VLOOKUP(B425,'20-A.SINAPI-I'!A:G,3,0),IF(D425="COMPOSIÇÕES",VLOOKUP(B425,'11.COMPOSIÇÕES GERAIS'!B:I,3,0),VLOOKUP(B425,'12.COT.MERCADO'!A:I,7,0)))),"Em Elaboração")</f>
        <v>M</v>
      </c>
      <c r="G425" s="254">
        <v>100.0</v>
      </c>
      <c r="H425" s="259">
        <f>IFERROR(IF(D425="SINAPI-S",VLOOKUP(B425,'20-B.SINAPI-S'!A:J,5,0),IF(D425="SINAPI-I",VLOOKUP(B425,'20-A.SINAPI-I'!A:G,6,0),IF(D425="COMPOSIÇÕES",VLOOKUP(B425,'11.COMPOSIÇÕES GERAIS'!B:I,7,0),0))),"Em Elaboração")</f>
        <v>0</v>
      </c>
      <c r="I425" s="259">
        <f>IFERROR(IF(D425="SINAPI-S",VLOOKUP(B425,'20-B.SINAPI-S'!A:J,6,0),IF(D425="SINAPI-I",VLOOKUP(B425,'20-A.SINAPI-I'!A:G,7,0),IF(D425="COMPOSIÇÕES",VLOOKUP(B425,'11.COMPOSIÇÕES GERAIS'!B:I,8,0),VLOOKUP(B425,'12.COT.MERCADO'!A:I,8,0)))),"Em Elaboração")</f>
        <v>5.74</v>
      </c>
      <c r="J425" s="259">
        <f t="shared" si="129"/>
        <v>0</v>
      </c>
      <c r="K425" s="259">
        <f t="shared" si="130"/>
        <v>6.723460519</v>
      </c>
      <c r="L425" s="259">
        <f t="shared" si="131"/>
        <v>6.723460519</v>
      </c>
      <c r="M425" s="259">
        <f t="shared" si="132"/>
        <v>0</v>
      </c>
      <c r="N425" s="259">
        <f t="shared" si="133"/>
        <v>672.3460519</v>
      </c>
      <c r="O425" s="259">
        <f t="shared" si="134"/>
        <v>672.3460519</v>
      </c>
      <c r="P425" s="260">
        <f t="shared" si="2"/>
        <v>0.0005259589959</v>
      </c>
    </row>
    <row r="426">
      <c r="A426" s="253" t="s">
        <v>578</v>
      </c>
      <c r="B426" s="254">
        <v>857.0</v>
      </c>
      <c r="C426" s="255" t="str">
        <f t="shared" si="128"/>
        <v>SINAPI</v>
      </c>
      <c r="D426" s="256" t="s">
        <v>286</v>
      </c>
      <c r="E426" s="257" t="str">
        <f>IFERROR(IF(D426="SINAPI-S",VLOOKUP(B426,'20-B.SINAPI-S'!A:J,2,0),IF(D426="SINAPI-I",VLOOKUP(B426,'20-A.SINAPI-I'!A:G,2,0),IF(D426="COMPOSIÇÕES",VLOOKUP(B426,'11.COMPOSIÇÕES GERAIS'!B:I,2,0),VLOOKUP(B426,'12.COT.MERCADO'!A:I,2,0)))),"Em Elaboração")</f>
        <v>CABO DE COBRE NU 16 MM2 MEIO-DURO</v>
      </c>
      <c r="F426" s="258" t="str">
        <f>IFERROR(IF(D426="SINAPI-S",VLOOKUP(B426,'20-B.SINAPI-S'!A:J,3,0),IF(D426="SINAPI-I",VLOOKUP(B426,'20-A.SINAPI-I'!A:G,3,0),IF(D426="COMPOSIÇÕES",VLOOKUP(B426,'11.COMPOSIÇÕES GERAIS'!B:I,3,0),VLOOKUP(B426,'12.COT.MERCADO'!A:I,7,0)))),"Em Elaboração")</f>
        <v>M</v>
      </c>
      <c r="G426" s="254">
        <v>25.0</v>
      </c>
      <c r="H426" s="259">
        <f>IFERROR(IF(D426="SINAPI-S",VLOOKUP(B426,'20-B.SINAPI-S'!A:J,5,0),IF(D426="SINAPI-I",VLOOKUP(B426,'20-A.SINAPI-I'!A:G,6,0),IF(D426="COMPOSIÇÕES",VLOOKUP(B426,'11.COMPOSIÇÕES GERAIS'!B:I,7,0),0))),"Em Elaboração")</f>
        <v>0</v>
      </c>
      <c r="I426" s="259">
        <f>IFERROR(IF(D426="SINAPI-S",VLOOKUP(B426,'20-B.SINAPI-S'!A:J,6,0),IF(D426="SINAPI-I",VLOOKUP(B426,'20-A.SINAPI-I'!A:G,7,0),IF(D426="COMPOSIÇÕES",VLOOKUP(B426,'11.COMPOSIÇÕES GERAIS'!B:I,8,0),VLOOKUP(B426,'12.COT.MERCADO'!A:I,8,0)))),"Em Elaboração")</f>
        <v>17.06</v>
      </c>
      <c r="J426" s="259">
        <f t="shared" si="129"/>
        <v>0</v>
      </c>
      <c r="K426" s="259">
        <f t="shared" si="130"/>
        <v>19.98296802</v>
      </c>
      <c r="L426" s="259">
        <f t="shared" si="131"/>
        <v>19.98296802</v>
      </c>
      <c r="M426" s="259">
        <f t="shared" si="132"/>
        <v>0</v>
      </c>
      <c r="N426" s="259">
        <f t="shared" si="133"/>
        <v>499.5742006</v>
      </c>
      <c r="O426" s="259">
        <f t="shared" si="134"/>
        <v>499.5742006</v>
      </c>
      <c r="P426" s="260">
        <f t="shared" si="2"/>
        <v>0.0003908040275</v>
      </c>
    </row>
    <row r="427">
      <c r="A427" s="253" t="s">
        <v>579</v>
      </c>
      <c r="B427" s="254">
        <v>34624.0</v>
      </c>
      <c r="C427" s="255" t="str">
        <f t="shared" si="128"/>
        <v>SINAPI</v>
      </c>
      <c r="D427" s="256" t="s">
        <v>286</v>
      </c>
      <c r="E427" s="257" t="str">
        <f>IFERROR(IF(D427="SINAPI-S",VLOOKUP(B427,'20-B.SINAPI-S'!A:J,2,0),IF(D427="SINAPI-I",VLOOKUP(B427,'20-A.SINAPI-I'!A:G,2,0),IF(D427="COMPOSIÇÕES",VLOOKUP(B427,'11.COMPOSIÇÕES GERAIS'!B:I,2,0),VLOOKUP(B427,'12.COT.MERCADO'!A:I,2,0)))),"Em Elaboração")</f>
        <v>CABO FLEXIVEL PVC 750 V, 4 CONDUTORES DE 1,5 MM2</v>
      </c>
      <c r="F427" s="258" t="str">
        <f>IFERROR(IF(D427="SINAPI-S",VLOOKUP(B427,'20-B.SINAPI-S'!A:J,3,0),IF(D427="SINAPI-I",VLOOKUP(B427,'20-A.SINAPI-I'!A:G,3,0),IF(D427="COMPOSIÇÕES",VLOOKUP(B427,'11.COMPOSIÇÕES GERAIS'!B:I,3,0),VLOOKUP(B427,'12.COT.MERCADO'!A:I,7,0)))),"Em Elaboração")</f>
        <v>M</v>
      </c>
      <c r="G427" s="254">
        <v>100.0</v>
      </c>
      <c r="H427" s="259">
        <f>IFERROR(IF(D427="SINAPI-S",VLOOKUP(B427,'20-B.SINAPI-S'!A:J,5,0),IF(D427="SINAPI-I",VLOOKUP(B427,'20-A.SINAPI-I'!A:G,6,0),IF(D427="COMPOSIÇÕES",VLOOKUP(B427,'11.COMPOSIÇÕES GERAIS'!B:I,7,0),0))),"Em Elaboração")</f>
        <v>0</v>
      </c>
      <c r="I427" s="259">
        <f>IFERROR(IF(D427="SINAPI-S",VLOOKUP(B427,'20-B.SINAPI-S'!A:J,6,0),IF(D427="SINAPI-I",VLOOKUP(B427,'20-A.SINAPI-I'!A:G,7,0),IF(D427="COMPOSIÇÕES",VLOOKUP(B427,'11.COMPOSIÇÕES GERAIS'!B:I,8,0),VLOOKUP(B427,'12.COT.MERCADO'!A:I,8,0)))),"Em Elaboração")</f>
        <v>7.27</v>
      </c>
      <c r="J427" s="259">
        <f t="shared" si="129"/>
        <v>0</v>
      </c>
      <c r="K427" s="259">
        <f t="shared" si="130"/>
        <v>8.515602434</v>
      </c>
      <c r="L427" s="259">
        <f t="shared" si="131"/>
        <v>8.515602434</v>
      </c>
      <c r="M427" s="259">
        <f t="shared" si="132"/>
        <v>0</v>
      </c>
      <c r="N427" s="259">
        <f t="shared" si="133"/>
        <v>851.5602434</v>
      </c>
      <c r="O427" s="259">
        <f t="shared" si="134"/>
        <v>851.5602434</v>
      </c>
      <c r="P427" s="260">
        <f t="shared" si="2"/>
        <v>0.0006661536412</v>
      </c>
    </row>
    <row r="428">
      <c r="A428" s="253" t="s">
        <v>580</v>
      </c>
      <c r="B428" s="254">
        <v>1014.0</v>
      </c>
      <c r="C428" s="255" t="str">
        <f t="shared" si="128"/>
        <v>SINAPI</v>
      </c>
      <c r="D428" s="256" t="s">
        <v>286</v>
      </c>
      <c r="E428" s="257" t="str">
        <f>IFERROR(IF(D428="SINAPI-S",VLOOKUP(B428,'20-B.SINAPI-S'!A:J,2,0),IF(D428="SINAPI-I",VLOOKUP(B428,'20-A.SINAPI-I'!A:G,2,0),IF(D428="COMPOSIÇÕES",VLOOKUP(B428,'11.COMPOSIÇÕES GERAIS'!B:I,2,0),VLOOKUP(B428,'12.COT.MERCADO'!A:I,2,0)))),"Em Elaboração")</f>
        <v>CABO DE COBRE, FLEXIVEL, CLASSE 4 OU 5, ISOLACAO EM PVC/A, ANTICHAMA BWF-B, 1 CONDUTOR, 450/750 V, SECAO NOMINAL 2,5 MM2</v>
      </c>
      <c r="F428" s="258" t="str">
        <f>IFERROR(IF(D428="SINAPI-S",VLOOKUP(B428,'20-B.SINAPI-S'!A:J,3,0),IF(D428="SINAPI-I",VLOOKUP(B428,'20-A.SINAPI-I'!A:G,3,0),IF(D428="COMPOSIÇÕES",VLOOKUP(B428,'11.COMPOSIÇÕES GERAIS'!B:I,3,0),VLOOKUP(B428,'12.COT.MERCADO'!A:I,7,0)))),"Em Elaboração")</f>
        <v>M</v>
      </c>
      <c r="G428" s="254">
        <v>100.0</v>
      </c>
      <c r="H428" s="259">
        <f>IFERROR(IF(D428="SINAPI-S",VLOOKUP(B428,'20-B.SINAPI-S'!A:J,5,0),IF(D428="SINAPI-I",VLOOKUP(B428,'20-A.SINAPI-I'!A:G,6,0),IF(D428="COMPOSIÇÕES",VLOOKUP(B428,'11.COMPOSIÇÕES GERAIS'!B:I,7,0),0))),"Em Elaboração")</f>
        <v>0</v>
      </c>
      <c r="I428" s="259">
        <f>IFERROR(IF(D428="SINAPI-S",VLOOKUP(B428,'20-B.SINAPI-S'!A:J,6,0),IF(D428="SINAPI-I",VLOOKUP(B428,'20-A.SINAPI-I'!A:G,7,0),IF(D428="COMPOSIÇÕES",VLOOKUP(B428,'11.COMPOSIÇÕES GERAIS'!B:I,8,0),VLOOKUP(B428,'12.COT.MERCADO'!A:I,8,0)))),"Em Elaboração")</f>
        <v>2.16</v>
      </c>
      <c r="J428" s="259">
        <f t="shared" si="129"/>
        <v>0</v>
      </c>
      <c r="K428" s="259">
        <f t="shared" si="130"/>
        <v>2.530082704</v>
      </c>
      <c r="L428" s="259">
        <f t="shared" si="131"/>
        <v>2.530082704</v>
      </c>
      <c r="M428" s="259">
        <f t="shared" si="132"/>
        <v>0</v>
      </c>
      <c r="N428" s="259">
        <f t="shared" si="133"/>
        <v>253.0082704</v>
      </c>
      <c r="O428" s="259">
        <f t="shared" si="134"/>
        <v>253.0082704</v>
      </c>
      <c r="P428" s="260">
        <f t="shared" si="2"/>
        <v>0.0001979218521</v>
      </c>
    </row>
    <row r="429">
      <c r="A429" s="253" t="s">
        <v>581</v>
      </c>
      <c r="B429" s="254">
        <v>981.0</v>
      </c>
      <c r="C429" s="255" t="str">
        <f t="shared" si="128"/>
        <v>SINAPI</v>
      </c>
      <c r="D429" s="256" t="s">
        <v>286</v>
      </c>
      <c r="E429" s="257" t="str">
        <f>IFERROR(IF(D429="SINAPI-S",VLOOKUP(B429,'20-B.SINAPI-S'!A:J,2,0),IF(D429="SINAPI-I",VLOOKUP(B429,'20-A.SINAPI-I'!A:G,2,0),IF(D429="COMPOSIÇÕES",VLOOKUP(B429,'11.COMPOSIÇÕES GERAIS'!B:I,2,0),VLOOKUP(B429,'12.COT.MERCADO'!A:I,2,0)))),"Em Elaboração")</f>
        <v>CABO DE COBRE, FLEXIVEL, CLASSE 4 OU 5, ISOLACAO EM PVC/A, ANTICHAMA BWF-B, 1 CONDUTOR, 450/750 V, SECAO NOMINAL 4 MM2</v>
      </c>
      <c r="F429" s="258" t="str">
        <f>IFERROR(IF(D429="SINAPI-S",VLOOKUP(B429,'20-B.SINAPI-S'!A:J,3,0),IF(D429="SINAPI-I",VLOOKUP(B429,'20-A.SINAPI-I'!A:G,3,0),IF(D429="COMPOSIÇÕES",VLOOKUP(B429,'11.COMPOSIÇÕES GERAIS'!B:I,3,0),VLOOKUP(B429,'12.COT.MERCADO'!A:I,7,0)))),"Em Elaboração")</f>
        <v>M</v>
      </c>
      <c r="G429" s="254">
        <v>50.0</v>
      </c>
      <c r="H429" s="259">
        <f>IFERROR(IF(D429="SINAPI-S",VLOOKUP(B429,'20-B.SINAPI-S'!A:J,5,0),IF(D429="SINAPI-I",VLOOKUP(B429,'20-A.SINAPI-I'!A:G,6,0),IF(D429="COMPOSIÇÕES",VLOOKUP(B429,'11.COMPOSIÇÕES GERAIS'!B:I,7,0),0))),"Em Elaboração")</f>
        <v>0</v>
      </c>
      <c r="I429" s="259">
        <f>IFERROR(IF(D429="SINAPI-S",VLOOKUP(B429,'20-B.SINAPI-S'!A:J,6,0),IF(D429="SINAPI-I",VLOOKUP(B429,'20-A.SINAPI-I'!A:G,7,0),IF(D429="COMPOSIÇÕES",VLOOKUP(B429,'11.COMPOSIÇÕES GERAIS'!B:I,8,0),VLOOKUP(B429,'12.COT.MERCADO'!A:I,8,0)))),"Em Elaboração")</f>
        <v>3.59</v>
      </c>
      <c r="J429" s="259">
        <f t="shared" si="129"/>
        <v>0</v>
      </c>
      <c r="K429" s="259">
        <f t="shared" si="130"/>
        <v>4.205091161</v>
      </c>
      <c r="L429" s="259">
        <f t="shared" si="131"/>
        <v>4.205091161</v>
      </c>
      <c r="M429" s="259">
        <f t="shared" si="132"/>
        <v>0</v>
      </c>
      <c r="N429" s="259">
        <f t="shared" si="133"/>
        <v>210.254558</v>
      </c>
      <c r="O429" s="259">
        <f t="shared" si="134"/>
        <v>210.254558</v>
      </c>
      <c r="P429" s="260">
        <f t="shared" si="2"/>
        <v>0.0001644767243</v>
      </c>
    </row>
    <row r="430">
      <c r="A430" s="253" t="s">
        <v>582</v>
      </c>
      <c r="B430" s="254">
        <v>1872.0</v>
      </c>
      <c r="C430" s="255" t="str">
        <f t="shared" si="128"/>
        <v>SINAPI</v>
      </c>
      <c r="D430" s="256" t="s">
        <v>286</v>
      </c>
      <c r="E430" s="257" t="str">
        <f>IFERROR(IF(D430="SINAPI-S",VLOOKUP(B430,'20-B.SINAPI-S'!A:J,2,0),IF(D430="SINAPI-I",VLOOKUP(B430,'20-A.SINAPI-I'!A:G,2,0),IF(D430="COMPOSIÇÕES",VLOOKUP(B430,'11.COMPOSIÇÕES GERAIS'!B:I,2,0),VLOOKUP(B430,'12.COT.MERCADO'!A:I,2,0)))),"Em Elaboração")</f>
        <v>CAIXA DE PASSAGEM, EM PVC, DE 4" X 2", PARA ELETRODUTO FLEXIVEL CORRUGADO</v>
      </c>
      <c r="F430" s="258" t="str">
        <f>IFERROR(IF(D430="SINAPI-S",VLOOKUP(B430,'20-B.SINAPI-S'!A:J,3,0),IF(D430="SINAPI-I",VLOOKUP(B430,'20-A.SINAPI-I'!A:G,3,0),IF(D430="COMPOSIÇÕES",VLOOKUP(B430,'11.COMPOSIÇÕES GERAIS'!B:I,3,0),VLOOKUP(B430,'12.COT.MERCADO'!A:I,7,0)))),"Em Elaboração")</f>
        <v>UN</v>
      </c>
      <c r="G430" s="254">
        <v>6.0</v>
      </c>
      <c r="H430" s="259">
        <f>IFERROR(IF(D430="SINAPI-S",VLOOKUP(B430,'20-B.SINAPI-S'!A:J,5,0),IF(D430="SINAPI-I",VLOOKUP(B430,'20-A.SINAPI-I'!A:G,6,0),IF(D430="COMPOSIÇÕES",VLOOKUP(B430,'11.COMPOSIÇÕES GERAIS'!B:I,7,0),0))),"Em Elaboração")</f>
        <v>0</v>
      </c>
      <c r="I430" s="259">
        <f>IFERROR(IF(D430="SINAPI-S",VLOOKUP(B430,'20-B.SINAPI-S'!A:J,6,0),IF(D430="SINAPI-I",VLOOKUP(B430,'20-A.SINAPI-I'!A:G,7,0),IF(D430="COMPOSIÇÕES",VLOOKUP(B430,'11.COMPOSIÇÕES GERAIS'!B:I,8,0),VLOOKUP(B430,'12.COT.MERCADO'!A:I,8,0)))),"Em Elaboração")</f>
        <v>3.34</v>
      </c>
      <c r="J430" s="259">
        <f t="shared" si="129"/>
        <v>0</v>
      </c>
      <c r="K430" s="259">
        <f t="shared" si="130"/>
        <v>3.912257514</v>
      </c>
      <c r="L430" s="259">
        <f t="shared" si="131"/>
        <v>3.912257514</v>
      </c>
      <c r="M430" s="259">
        <f t="shared" si="132"/>
        <v>0</v>
      </c>
      <c r="N430" s="259">
        <f t="shared" si="133"/>
        <v>23.47354509</v>
      </c>
      <c r="O430" s="259">
        <f t="shared" si="134"/>
        <v>23.47354509</v>
      </c>
      <c r="P430" s="260">
        <f t="shared" si="2"/>
        <v>0.00001836274961</v>
      </c>
    </row>
    <row r="431">
      <c r="A431" s="253" t="s">
        <v>583</v>
      </c>
      <c r="B431" s="254">
        <v>1368.0</v>
      </c>
      <c r="C431" s="255" t="str">
        <f t="shared" si="128"/>
        <v>SINAPI</v>
      </c>
      <c r="D431" s="256" t="s">
        <v>286</v>
      </c>
      <c r="E431" s="257" t="str">
        <f>IFERROR(IF(D431="SINAPI-S",VLOOKUP(B431,'20-B.SINAPI-S'!A:J,2,0),IF(D431="SINAPI-I",VLOOKUP(B431,'20-A.SINAPI-I'!A:G,2,0),IF(D431="COMPOSIÇÕES",VLOOKUP(B431,'11.COMPOSIÇÕES GERAIS'!B:I,2,0),VLOOKUP(B431,'12.COT.MERCADO'!A:I,2,0)))),"Em Elaboração")</f>
        <v>CHUVEIRO COMUM EM PLASTICO BRANCO, COM CANO, 3 TEMPERATURAS, 5500 W (110/220 V)</v>
      </c>
      <c r="F431" s="258" t="str">
        <f>IFERROR(IF(D431="SINAPI-S",VLOOKUP(B431,'20-B.SINAPI-S'!A:J,3,0),IF(D431="SINAPI-I",VLOOKUP(B431,'20-A.SINAPI-I'!A:G,3,0),IF(D431="COMPOSIÇÕES",VLOOKUP(B431,'11.COMPOSIÇÕES GERAIS'!B:I,3,0),VLOOKUP(B431,'12.COT.MERCADO'!A:I,7,0)))),"Em Elaboração")</f>
        <v>UN</v>
      </c>
      <c r="G431" s="254">
        <v>4.0</v>
      </c>
      <c r="H431" s="259">
        <f>IFERROR(IF(D431="SINAPI-S",VLOOKUP(B431,'20-B.SINAPI-S'!A:J,5,0),IF(D431="SINAPI-I",VLOOKUP(B431,'20-A.SINAPI-I'!A:G,6,0),IF(D431="COMPOSIÇÕES",VLOOKUP(B431,'11.COMPOSIÇÕES GERAIS'!B:I,7,0),0))),"Em Elaboração")</f>
        <v>0</v>
      </c>
      <c r="I431" s="259">
        <f>IFERROR(IF(D431="SINAPI-S",VLOOKUP(B431,'20-B.SINAPI-S'!A:J,6,0),IF(D431="SINAPI-I",VLOOKUP(B431,'20-A.SINAPI-I'!A:G,7,0),IF(D431="COMPOSIÇÕES",VLOOKUP(B431,'11.COMPOSIÇÕES GERAIS'!B:I,8,0),VLOOKUP(B431,'12.COT.MERCADO'!A:I,8,0)))),"Em Elaboração")</f>
        <v>85.54</v>
      </c>
      <c r="J431" s="259">
        <f t="shared" si="129"/>
        <v>0</v>
      </c>
      <c r="K431" s="259">
        <f t="shared" si="130"/>
        <v>100.1959604</v>
      </c>
      <c r="L431" s="259">
        <f t="shared" si="131"/>
        <v>100.1959604</v>
      </c>
      <c r="M431" s="259">
        <f t="shared" si="132"/>
        <v>0</v>
      </c>
      <c r="N431" s="259">
        <f t="shared" si="133"/>
        <v>400.7838416</v>
      </c>
      <c r="O431" s="259">
        <f t="shared" si="134"/>
        <v>400.7838416</v>
      </c>
      <c r="P431" s="260">
        <f t="shared" si="2"/>
        <v>0.0003135228746</v>
      </c>
    </row>
    <row r="432">
      <c r="A432" s="253" t="s">
        <v>584</v>
      </c>
      <c r="B432" s="254">
        <v>11891.0</v>
      </c>
      <c r="C432" s="255" t="str">
        <f t="shared" si="128"/>
        <v>SINAPI</v>
      </c>
      <c r="D432" s="256" t="s">
        <v>286</v>
      </c>
      <c r="E432" s="257" t="str">
        <f>IFERROR(IF(D432="SINAPI-S",VLOOKUP(B432,'20-B.SINAPI-S'!A:J,2,0),IF(D432="SINAPI-I",VLOOKUP(B432,'20-A.SINAPI-I'!A:G,2,0),IF(D432="COMPOSIÇÕES",VLOOKUP(B432,'11.COMPOSIÇÕES GERAIS'!B:I,2,0),VLOOKUP(B432,'12.COT.MERCADO'!A:I,2,0)))),"Em Elaboração")</f>
        <v>CORDAO DE COBRE, FLEXIVEL, TORCIDO, CLASSE 4 OU 5, ISOLACAO EM PVC/D, 300 V, 2 CONDUTORES DE 2,5 MM2</v>
      </c>
      <c r="F432" s="258" t="str">
        <f>IFERROR(IF(D432="SINAPI-S",VLOOKUP(B432,'20-B.SINAPI-S'!A:J,3,0),IF(D432="SINAPI-I",VLOOKUP(B432,'20-A.SINAPI-I'!A:G,3,0),IF(D432="COMPOSIÇÕES",VLOOKUP(B432,'11.COMPOSIÇÕES GERAIS'!B:I,3,0),VLOOKUP(B432,'12.COT.MERCADO'!A:I,7,0)))),"Em Elaboração")</f>
        <v>M</v>
      </c>
      <c r="G432" s="254">
        <v>50.0</v>
      </c>
      <c r="H432" s="259">
        <f>IFERROR(IF(D432="SINAPI-S",VLOOKUP(B432,'20-B.SINAPI-S'!A:J,5,0),IF(D432="SINAPI-I",VLOOKUP(B432,'20-A.SINAPI-I'!A:G,6,0),IF(D432="COMPOSIÇÕES",VLOOKUP(B432,'11.COMPOSIÇÕES GERAIS'!B:I,7,0),0))),"Em Elaboração")</f>
        <v>0</v>
      </c>
      <c r="I432" s="259">
        <f>IFERROR(IF(D432="SINAPI-S",VLOOKUP(B432,'20-B.SINAPI-S'!A:J,6,0),IF(D432="SINAPI-I",VLOOKUP(B432,'20-A.SINAPI-I'!A:G,7,0),IF(D432="COMPOSIÇÕES",VLOOKUP(B432,'11.COMPOSIÇÕES GERAIS'!B:I,8,0),VLOOKUP(B432,'12.COT.MERCADO'!A:I,8,0)))),"Em Elaboração")</f>
        <v>5.12</v>
      </c>
      <c r="J432" s="259">
        <f t="shared" si="129"/>
        <v>0</v>
      </c>
      <c r="K432" s="259">
        <f t="shared" si="130"/>
        <v>5.997233076</v>
      </c>
      <c r="L432" s="259">
        <f t="shared" si="131"/>
        <v>5.997233076</v>
      </c>
      <c r="M432" s="259">
        <f t="shared" si="132"/>
        <v>0</v>
      </c>
      <c r="N432" s="259">
        <f t="shared" si="133"/>
        <v>299.8616538</v>
      </c>
      <c r="O432" s="259">
        <f t="shared" si="134"/>
        <v>299.8616538</v>
      </c>
      <c r="P432" s="260">
        <f t="shared" si="2"/>
        <v>0.000234574047</v>
      </c>
    </row>
    <row r="433">
      <c r="A433" s="253" t="s">
        <v>585</v>
      </c>
      <c r="B433" s="254">
        <v>11821.0</v>
      </c>
      <c r="C433" s="255" t="str">
        <f t="shared" si="128"/>
        <v>SINAPI</v>
      </c>
      <c r="D433" s="256" t="s">
        <v>286</v>
      </c>
      <c r="E433" s="257" t="str">
        <f>IFERROR(IF(D433="SINAPI-S",VLOOKUP(B433,'20-B.SINAPI-S'!A:J,2,0),IF(D433="SINAPI-I",VLOOKUP(B433,'20-A.SINAPI-I'!A:G,2,0),IF(D433="COMPOSIÇÕES",VLOOKUP(B433,'11.COMPOSIÇÕES GERAIS'!B:I,2,0),VLOOKUP(B433,'12.COT.MERCADO'!A:I,2,0)))),"Em Elaboração")</f>
        <v>CONECTOR METALICO TIPO PARAFUSO FENDIDO (SPLIT BOLT), COM SEPARADOR DE CABOS BIMETALICOS, PARA CABOS ATE 25 MM2</v>
      </c>
      <c r="F433" s="258" t="str">
        <f>IFERROR(IF(D433="SINAPI-S",VLOOKUP(B433,'20-B.SINAPI-S'!A:J,3,0),IF(D433="SINAPI-I",VLOOKUP(B433,'20-A.SINAPI-I'!A:G,3,0),IF(D433="COMPOSIÇÕES",VLOOKUP(B433,'11.COMPOSIÇÕES GERAIS'!B:I,3,0),VLOOKUP(B433,'12.COT.MERCADO'!A:I,7,0)))),"Em Elaboração")</f>
        <v>UN</v>
      </c>
      <c r="G433" s="254">
        <v>8.0</v>
      </c>
      <c r="H433" s="259">
        <f>IFERROR(IF(D433="SINAPI-S",VLOOKUP(B433,'20-B.SINAPI-S'!A:J,5,0),IF(D433="SINAPI-I",VLOOKUP(B433,'20-A.SINAPI-I'!A:G,6,0),IF(D433="COMPOSIÇÕES",VLOOKUP(B433,'11.COMPOSIÇÕES GERAIS'!B:I,7,0),0))),"Em Elaboração")</f>
        <v>0</v>
      </c>
      <c r="I433" s="259">
        <f>IFERROR(IF(D433="SINAPI-S",VLOOKUP(B433,'20-B.SINAPI-S'!A:J,6,0),IF(D433="SINAPI-I",VLOOKUP(B433,'20-A.SINAPI-I'!A:G,7,0),IF(D433="COMPOSIÇÕES",VLOOKUP(B433,'11.COMPOSIÇÕES GERAIS'!B:I,8,0),VLOOKUP(B433,'12.COT.MERCADO'!A:I,8,0)))),"Em Elaboração")</f>
        <v>9.93</v>
      </c>
      <c r="J433" s="259">
        <f t="shared" si="129"/>
        <v>0</v>
      </c>
      <c r="K433" s="259">
        <f t="shared" si="130"/>
        <v>11.63135243</v>
      </c>
      <c r="L433" s="259">
        <f t="shared" si="131"/>
        <v>11.63135243</v>
      </c>
      <c r="M433" s="259">
        <f t="shared" si="132"/>
        <v>0</v>
      </c>
      <c r="N433" s="259">
        <f t="shared" si="133"/>
        <v>93.05081944</v>
      </c>
      <c r="O433" s="259">
        <f t="shared" si="134"/>
        <v>93.05081944</v>
      </c>
      <c r="P433" s="260">
        <f t="shared" si="2"/>
        <v>0.00007279125895</v>
      </c>
    </row>
    <row r="434">
      <c r="A434" s="253" t="s">
        <v>586</v>
      </c>
      <c r="B434" s="254">
        <v>2559.0</v>
      </c>
      <c r="C434" s="255" t="str">
        <f t="shared" si="128"/>
        <v>SINAPI</v>
      </c>
      <c r="D434" s="256" t="s">
        <v>286</v>
      </c>
      <c r="E434" s="257" t="str">
        <f>IFERROR(IF(D434="SINAPI-S",VLOOKUP(B434,'20-B.SINAPI-S'!A:J,2,0),IF(D434="SINAPI-I",VLOOKUP(B434,'20-A.SINAPI-I'!A:G,2,0),IF(D434="COMPOSIÇÕES",VLOOKUP(B434,'11.COMPOSIÇÕES GERAIS'!B:I,2,0),VLOOKUP(B434,'12.COT.MERCADO'!A:I,2,0)))),"Em Elaboração")</f>
        <v>CONDULETE DE ALUMINIO TIPO C, PARA ELETRODUTO ROSCAVEL DE 3/4", COM TAMPA CEGA</v>
      </c>
      <c r="F434" s="258" t="str">
        <f>IFERROR(IF(D434="SINAPI-S",VLOOKUP(B434,'20-B.SINAPI-S'!A:J,3,0),IF(D434="SINAPI-I",VLOOKUP(B434,'20-A.SINAPI-I'!A:G,3,0),IF(D434="COMPOSIÇÕES",VLOOKUP(B434,'11.COMPOSIÇÕES GERAIS'!B:I,3,0),VLOOKUP(B434,'12.COT.MERCADO'!A:I,7,0)))),"Em Elaboração")</f>
        <v>UN</v>
      </c>
      <c r="G434" s="254">
        <v>4.0</v>
      </c>
      <c r="H434" s="259">
        <f>IFERROR(IF(D434="SINAPI-S",VLOOKUP(B434,'20-B.SINAPI-S'!A:J,5,0),IF(D434="SINAPI-I",VLOOKUP(B434,'20-A.SINAPI-I'!A:G,6,0),IF(D434="COMPOSIÇÕES",VLOOKUP(B434,'11.COMPOSIÇÕES GERAIS'!B:I,7,0),0))),"Em Elaboração")</f>
        <v>0</v>
      </c>
      <c r="I434" s="259">
        <f>IFERROR(IF(D434="SINAPI-S",VLOOKUP(B434,'20-B.SINAPI-S'!A:J,6,0),IF(D434="SINAPI-I",VLOOKUP(B434,'20-A.SINAPI-I'!A:G,7,0),IF(D434="COMPOSIÇÕES",VLOOKUP(B434,'11.COMPOSIÇÕES GERAIS'!B:I,8,0),VLOOKUP(B434,'12.COT.MERCADO'!A:I,8,0)))),"Em Elaboração")</f>
        <v>16.67</v>
      </c>
      <c r="J434" s="259">
        <f t="shared" si="129"/>
        <v>0</v>
      </c>
      <c r="K434" s="259">
        <f t="shared" si="130"/>
        <v>19.52614753</v>
      </c>
      <c r="L434" s="259">
        <f t="shared" si="131"/>
        <v>19.52614753</v>
      </c>
      <c r="M434" s="259">
        <f t="shared" si="132"/>
        <v>0</v>
      </c>
      <c r="N434" s="259">
        <f t="shared" si="133"/>
        <v>78.10459014</v>
      </c>
      <c r="O434" s="259">
        <f t="shared" si="134"/>
        <v>78.10459014</v>
      </c>
      <c r="P434" s="260">
        <f t="shared" si="2"/>
        <v>0.00006109920879</v>
      </c>
    </row>
    <row r="435">
      <c r="A435" s="253" t="s">
        <v>587</v>
      </c>
      <c r="B435" s="254">
        <v>2565.0</v>
      </c>
      <c r="C435" s="255" t="str">
        <f t="shared" si="128"/>
        <v>SINAPI</v>
      </c>
      <c r="D435" s="256" t="s">
        <v>286</v>
      </c>
      <c r="E435" s="257" t="str">
        <f>IFERROR(IF(D435="SINAPI-S",VLOOKUP(B435,'20-B.SINAPI-S'!A:J,2,0),IF(D435="SINAPI-I",VLOOKUP(B435,'20-A.SINAPI-I'!A:G,2,0),IF(D435="COMPOSIÇÕES",VLOOKUP(B435,'11.COMPOSIÇÕES GERAIS'!B:I,2,0),VLOOKUP(B435,'12.COT.MERCADO'!A:I,2,0)))),"Em Elaboração")</f>
        <v>CONDULETE DE ALUMINIO TIPO E, PARA ELETRODUTO ROSCAVEL DE 3/4", COM TAMPA CEGA</v>
      </c>
      <c r="F435" s="258" t="str">
        <f>IFERROR(IF(D435="SINAPI-S",VLOOKUP(B435,'20-B.SINAPI-S'!A:J,3,0),IF(D435="SINAPI-I",VLOOKUP(B435,'20-A.SINAPI-I'!A:G,3,0),IF(D435="COMPOSIÇÕES",VLOOKUP(B435,'11.COMPOSIÇÕES GERAIS'!B:I,3,0),VLOOKUP(B435,'12.COT.MERCADO'!A:I,7,0)))),"Em Elaboração")</f>
        <v>UN</v>
      </c>
      <c r="G435" s="254">
        <v>4.0</v>
      </c>
      <c r="H435" s="259">
        <f>IFERROR(IF(D435="SINAPI-S",VLOOKUP(B435,'20-B.SINAPI-S'!A:J,5,0),IF(D435="SINAPI-I",VLOOKUP(B435,'20-A.SINAPI-I'!A:G,6,0),IF(D435="COMPOSIÇÕES",VLOOKUP(B435,'11.COMPOSIÇÕES GERAIS'!B:I,7,0),0))),"Em Elaboração")</f>
        <v>0</v>
      </c>
      <c r="I435" s="259">
        <f>IFERROR(IF(D435="SINAPI-S",VLOOKUP(B435,'20-B.SINAPI-S'!A:J,6,0),IF(D435="SINAPI-I",VLOOKUP(B435,'20-A.SINAPI-I'!A:G,7,0),IF(D435="COMPOSIÇÕES",VLOOKUP(B435,'11.COMPOSIÇÕES GERAIS'!B:I,8,0),VLOOKUP(B435,'12.COT.MERCADO'!A:I,8,0)))),"Em Elaboração")</f>
        <v>13.5</v>
      </c>
      <c r="J435" s="259">
        <f t="shared" si="129"/>
        <v>0</v>
      </c>
      <c r="K435" s="259">
        <f t="shared" si="130"/>
        <v>15.8130169</v>
      </c>
      <c r="L435" s="259">
        <f t="shared" si="131"/>
        <v>15.8130169</v>
      </c>
      <c r="M435" s="259">
        <f t="shared" si="132"/>
        <v>0</v>
      </c>
      <c r="N435" s="259">
        <f t="shared" si="133"/>
        <v>63.2520676</v>
      </c>
      <c r="O435" s="259">
        <f t="shared" si="134"/>
        <v>63.2520676</v>
      </c>
      <c r="P435" s="260">
        <f t="shared" si="2"/>
        <v>0.00004948046303</v>
      </c>
    </row>
    <row r="436">
      <c r="A436" s="253" t="s">
        <v>588</v>
      </c>
      <c r="B436" s="254">
        <v>2593.0</v>
      </c>
      <c r="C436" s="255" t="str">
        <f t="shared" si="128"/>
        <v>SINAPI</v>
      </c>
      <c r="D436" s="256" t="s">
        <v>286</v>
      </c>
      <c r="E436" s="257" t="str">
        <f>IFERROR(IF(D436="SINAPI-S",VLOOKUP(B436,'20-B.SINAPI-S'!A:J,2,0),IF(D436="SINAPI-I",VLOOKUP(B436,'20-A.SINAPI-I'!A:G,2,0),IF(D436="COMPOSIÇÕES",VLOOKUP(B436,'11.COMPOSIÇÕES GERAIS'!B:I,2,0),VLOOKUP(B436,'12.COT.MERCADO'!A:I,2,0)))),"Em Elaboração")</f>
        <v>CONDULETE DE ALUMINIO TIPO LR, PARA ELETRODUTO ROSCAVEL DE 3/4", COM TAMPA CEGA</v>
      </c>
      <c r="F436" s="258" t="str">
        <f>IFERROR(IF(D436="SINAPI-S",VLOOKUP(B436,'20-B.SINAPI-S'!A:J,3,0),IF(D436="SINAPI-I",VLOOKUP(B436,'20-A.SINAPI-I'!A:G,3,0),IF(D436="COMPOSIÇÕES",VLOOKUP(B436,'11.COMPOSIÇÕES GERAIS'!B:I,3,0),VLOOKUP(B436,'12.COT.MERCADO'!A:I,7,0)))),"Em Elaboração")</f>
        <v>UN</v>
      </c>
      <c r="G436" s="254">
        <v>4.0</v>
      </c>
      <c r="H436" s="259">
        <f>IFERROR(IF(D436="SINAPI-S",VLOOKUP(B436,'20-B.SINAPI-S'!A:J,5,0),IF(D436="SINAPI-I",VLOOKUP(B436,'20-A.SINAPI-I'!A:G,6,0),IF(D436="COMPOSIÇÕES",VLOOKUP(B436,'11.COMPOSIÇÕES GERAIS'!B:I,7,0),0))),"Em Elaboração")</f>
        <v>0</v>
      </c>
      <c r="I436" s="259">
        <f>IFERROR(IF(D436="SINAPI-S",VLOOKUP(B436,'20-B.SINAPI-S'!A:J,6,0),IF(D436="SINAPI-I",VLOOKUP(B436,'20-A.SINAPI-I'!A:G,7,0),IF(D436="COMPOSIÇÕES",VLOOKUP(B436,'11.COMPOSIÇÕES GERAIS'!B:I,8,0),VLOOKUP(B436,'12.COT.MERCADO'!A:I,8,0)))),"Em Elaboração")</f>
        <v>13.95</v>
      </c>
      <c r="J436" s="259">
        <f t="shared" si="129"/>
        <v>0</v>
      </c>
      <c r="K436" s="259">
        <f t="shared" si="130"/>
        <v>16.34011746</v>
      </c>
      <c r="L436" s="259">
        <f t="shared" si="131"/>
        <v>16.34011746</v>
      </c>
      <c r="M436" s="259">
        <f t="shared" si="132"/>
        <v>0</v>
      </c>
      <c r="N436" s="259">
        <f t="shared" si="133"/>
        <v>65.36046985</v>
      </c>
      <c r="O436" s="259">
        <f t="shared" si="134"/>
        <v>65.36046985</v>
      </c>
      <c r="P436" s="260">
        <f t="shared" si="2"/>
        <v>0.0000511298118</v>
      </c>
    </row>
    <row r="437">
      <c r="A437" s="253" t="s">
        <v>589</v>
      </c>
      <c r="B437" s="254">
        <v>2483.0</v>
      </c>
      <c r="C437" s="255" t="str">
        <f t="shared" si="128"/>
        <v>SINAPI</v>
      </c>
      <c r="D437" s="256" t="s">
        <v>286</v>
      </c>
      <c r="E437" s="257" t="str">
        <f>IFERROR(IF(D437="SINAPI-S",VLOOKUP(B437,'20-B.SINAPI-S'!A:J,2,0),IF(D437="SINAPI-I",VLOOKUP(B437,'20-A.SINAPI-I'!A:G,2,0),IF(D437="COMPOSIÇÕES",VLOOKUP(B437,'11.COMPOSIÇÕES GERAIS'!B:I,2,0),VLOOKUP(B437,'12.COT.MERCADO'!A:I,2,0)))),"Em Elaboração")</f>
        <v>CONECTOR RETO DE ALUMINIO PARA ELETRODUTO DE 1", PARA ADAPTAR ENTRADA DE ELETRODUTO METALICO FLEXIVEL EM QUADROS</v>
      </c>
      <c r="F437" s="258" t="str">
        <f>IFERROR(IF(D437="SINAPI-S",VLOOKUP(B437,'20-B.SINAPI-S'!A:J,3,0),IF(D437="SINAPI-I",VLOOKUP(B437,'20-A.SINAPI-I'!A:G,3,0),IF(D437="COMPOSIÇÕES",VLOOKUP(B437,'11.COMPOSIÇÕES GERAIS'!B:I,3,0),VLOOKUP(B437,'12.COT.MERCADO'!A:I,7,0)))),"Em Elaboração")</f>
        <v>UN</v>
      </c>
      <c r="G437" s="254">
        <v>4.0</v>
      </c>
      <c r="H437" s="259">
        <f>IFERROR(IF(D437="SINAPI-S",VLOOKUP(B437,'20-B.SINAPI-S'!A:J,5,0),IF(D437="SINAPI-I",VLOOKUP(B437,'20-A.SINAPI-I'!A:G,6,0),IF(D437="COMPOSIÇÕES",VLOOKUP(B437,'11.COMPOSIÇÕES GERAIS'!B:I,7,0),0))),"Em Elaboração")</f>
        <v>0</v>
      </c>
      <c r="I437" s="259">
        <f>IFERROR(IF(D437="SINAPI-S",VLOOKUP(B437,'20-B.SINAPI-S'!A:J,6,0),IF(D437="SINAPI-I",VLOOKUP(B437,'20-A.SINAPI-I'!A:G,7,0),IF(D437="COMPOSIÇÕES",VLOOKUP(B437,'11.COMPOSIÇÕES GERAIS'!B:I,8,0),VLOOKUP(B437,'12.COT.MERCADO'!A:I,8,0)))),"Em Elaboração")</f>
        <v>4.83</v>
      </c>
      <c r="J437" s="259">
        <f t="shared" si="129"/>
        <v>0</v>
      </c>
      <c r="K437" s="259">
        <f t="shared" si="130"/>
        <v>5.657546046</v>
      </c>
      <c r="L437" s="259">
        <f t="shared" si="131"/>
        <v>5.657546046</v>
      </c>
      <c r="M437" s="259">
        <f t="shared" si="132"/>
        <v>0</v>
      </c>
      <c r="N437" s="259">
        <f t="shared" si="133"/>
        <v>22.63018418</v>
      </c>
      <c r="O437" s="259">
        <f t="shared" si="134"/>
        <v>22.63018418</v>
      </c>
      <c r="P437" s="260">
        <f t="shared" si="2"/>
        <v>0.00001770301011</v>
      </c>
    </row>
    <row r="438">
      <c r="A438" s="253" t="s">
        <v>590</v>
      </c>
      <c r="B438" s="254">
        <v>2487.0</v>
      </c>
      <c r="C438" s="255" t="str">
        <f t="shared" si="128"/>
        <v>SINAPI</v>
      </c>
      <c r="D438" s="256" t="s">
        <v>286</v>
      </c>
      <c r="E438" s="257" t="str">
        <f>IFERROR(IF(D438="SINAPI-S",VLOOKUP(B438,'20-B.SINAPI-S'!A:J,2,0),IF(D438="SINAPI-I",VLOOKUP(B438,'20-A.SINAPI-I'!A:G,2,0),IF(D438="COMPOSIÇÕES",VLOOKUP(B438,'11.COMPOSIÇÕES GERAIS'!B:I,2,0),VLOOKUP(B438,'12.COT.MERCADO'!A:I,2,0)))),"Em Elaboração")</f>
        <v>CONECTOR RETO DE ALUMINIO PARA ELETRODUTO DE 1/2", PARA ADAPTAR ENTRADA DE ELETRODUTO METALICO FLEXIVEL EM QUADROS</v>
      </c>
      <c r="F438" s="258" t="str">
        <f>IFERROR(IF(D438="SINAPI-S",VLOOKUP(B438,'20-B.SINAPI-S'!A:J,3,0),IF(D438="SINAPI-I",VLOOKUP(B438,'20-A.SINAPI-I'!A:G,3,0),IF(D438="COMPOSIÇÕES",VLOOKUP(B438,'11.COMPOSIÇÕES GERAIS'!B:I,3,0),VLOOKUP(B438,'12.COT.MERCADO'!A:I,7,0)))),"Em Elaboração")</f>
        <v>UN</v>
      </c>
      <c r="G438" s="254">
        <v>16.0</v>
      </c>
      <c r="H438" s="259">
        <f>IFERROR(IF(D438="SINAPI-S",VLOOKUP(B438,'20-B.SINAPI-S'!A:J,5,0),IF(D438="SINAPI-I",VLOOKUP(B438,'20-A.SINAPI-I'!A:G,6,0),IF(D438="COMPOSIÇÕES",VLOOKUP(B438,'11.COMPOSIÇÕES GERAIS'!B:I,7,0),0))),"Em Elaboração")</f>
        <v>0</v>
      </c>
      <c r="I438" s="259">
        <f>IFERROR(IF(D438="SINAPI-S",VLOOKUP(B438,'20-B.SINAPI-S'!A:J,6,0),IF(D438="SINAPI-I",VLOOKUP(B438,'20-A.SINAPI-I'!A:G,7,0),IF(D438="COMPOSIÇÕES",VLOOKUP(B438,'11.COMPOSIÇÕES GERAIS'!B:I,8,0),VLOOKUP(B438,'12.COT.MERCADO'!A:I,8,0)))),"Em Elaboração")</f>
        <v>2.31</v>
      </c>
      <c r="J438" s="259">
        <f t="shared" si="129"/>
        <v>0</v>
      </c>
      <c r="K438" s="259">
        <f t="shared" si="130"/>
        <v>2.705782892</v>
      </c>
      <c r="L438" s="259">
        <f t="shared" si="131"/>
        <v>2.705782892</v>
      </c>
      <c r="M438" s="259">
        <f t="shared" si="132"/>
        <v>0</v>
      </c>
      <c r="N438" s="259">
        <f t="shared" si="133"/>
        <v>43.29252627</v>
      </c>
      <c r="O438" s="259">
        <f t="shared" si="134"/>
        <v>43.29252627</v>
      </c>
      <c r="P438" s="260">
        <f t="shared" si="2"/>
        <v>0.00003386662803</v>
      </c>
    </row>
    <row r="439">
      <c r="A439" s="253" t="s">
        <v>591</v>
      </c>
      <c r="B439" s="254">
        <v>2488.0</v>
      </c>
      <c r="C439" s="255" t="str">
        <f t="shared" si="128"/>
        <v>SINAPI</v>
      </c>
      <c r="D439" s="256" t="s">
        <v>286</v>
      </c>
      <c r="E439" s="257" t="str">
        <f>IFERROR(IF(D439="SINAPI-S",VLOOKUP(B439,'20-B.SINAPI-S'!A:J,2,0),IF(D439="SINAPI-I",VLOOKUP(B439,'20-A.SINAPI-I'!A:G,2,0),IF(D439="COMPOSIÇÕES",VLOOKUP(B439,'11.COMPOSIÇÕES GERAIS'!B:I,2,0),VLOOKUP(B439,'12.COT.MERCADO'!A:I,2,0)))),"Em Elaboração")</f>
        <v>CONECTOR RETO DE ALUMINIO PARA ELETRODUTO DE 3/4", PARA ADAPTAR ENTRADA DE ELETRODUTO METALICO FLEXIVEL EM QUADROS</v>
      </c>
      <c r="F439" s="258" t="str">
        <f>IFERROR(IF(D439="SINAPI-S",VLOOKUP(B439,'20-B.SINAPI-S'!A:J,3,0),IF(D439="SINAPI-I",VLOOKUP(B439,'20-A.SINAPI-I'!A:G,3,0),IF(D439="COMPOSIÇÕES",VLOOKUP(B439,'11.COMPOSIÇÕES GERAIS'!B:I,3,0),VLOOKUP(B439,'12.COT.MERCADO'!A:I,7,0)))),"Em Elaboração")</f>
        <v>UN</v>
      </c>
      <c r="G439" s="254">
        <v>16.0</v>
      </c>
      <c r="H439" s="259">
        <f>IFERROR(IF(D439="SINAPI-S",VLOOKUP(B439,'20-B.SINAPI-S'!A:J,5,0),IF(D439="SINAPI-I",VLOOKUP(B439,'20-A.SINAPI-I'!A:G,6,0),IF(D439="COMPOSIÇÕES",VLOOKUP(B439,'11.COMPOSIÇÕES GERAIS'!B:I,7,0),0))),"Em Elaboração")</f>
        <v>0</v>
      </c>
      <c r="I439" s="259">
        <f>IFERROR(IF(D439="SINAPI-S",VLOOKUP(B439,'20-B.SINAPI-S'!A:J,6,0),IF(D439="SINAPI-I",VLOOKUP(B439,'20-A.SINAPI-I'!A:G,7,0),IF(D439="COMPOSIÇÕES",VLOOKUP(B439,'11.COMPOSIÇÕES GERAIS'!B:I,8,0),VLOOKUP(B439,'12.COT.MERCADO'!A:I,8,0)))),"Em Elaboração")</f>
        <v>2.71</v>
      </c>
      <c r="J439" s="259">
        <f t="shared" si="129"/>
        <v>0</v>
      </c>
      <c r="K439" s="259">
        <f t="shared" si="130"/>
        <v>3.174316726</v>
      </c>
      <c r="L439" s="259">
        <f t="shared" si="131"/>
        <v>3.174316726</v>
      </c>
      <c r="M439" s="259">
        <f t="shared" si="132"/>
        <v>0</v>
      </c>
      <c r="N439" s="259">
        <f t="shared" si="133"/>
        <v>50.78906761</v>
      </c>
      <c r="O439" s="259">
        <f t="shared" si="134"/>
        <v>50.78906761</v>
      </c>
      <c r="P439" s="260">
        <f t="shared" si="2"/>
        <v>0.0000397309792</v>
      </c>
    </row>
    <row r="440">
      <c r="A440" s="253" t="s">
        <v>592</v>
      </c>
      <c r="B440" s="254">
        <v>11856.0</v>
      </c>
      <c r="C440" s="255" t="str">
        <f t="shared" si="128"/>
        <v>SINAPI</v>
      </c>
      <c r="D440" s="256" t="s">
        <v>286</v>
      </c>
      <c r="E440" s="257" t="str">
        <f>IFERROR(IF(D440="SINAPI-S",VLOOKUP(B440,'20-B.SINAPI-S'!A:J,2,0),IF(D440="SINAPI-I",VLOOKUP(B440,'20-A.SINAPI-I'!A:G,2,0),IF(D440="COMPOSIÇÕES",VLOOKUP(B440,'11.COMPOSIÇÕES GERAIS'!B:I,2,0),VLOOKUP(B440,'12.COT.MERCADO'!A:I,2,0)))),"Em Elaboração")</f>
        <v>CONECTOR METALICO TIPO PARAFUSO FENDIDO (SPLIT BOLT), PARA CABOS ATE 10 MM2</v>
      </c>
      <c r="F440" s="258" t="str">
        <f>IFERROR(IF(D440="SINAPI-S",VLOOKUP(B440,'20-B.SINAPI-S'!A:J,3,0),IF(D440="SINAPI-I",VLOOKUP(B440,'20-A.SINAPI-I'!A:G,3,0),IF(D440="COMPOSIÇÕES",VLOOKUP(B440,'11.COMPOSIÇÕES GERAIS'!B:I,3,0),VLOOKUP(B440,'12.COT.MERCADO'!A:I,7,0)))),"Em Elaboração")</f>
        <v>UN</v>
      </c>
      <c r="G440" s="254">
        <v>12.0</v>
      </c>
      <c r="H440" s="259">
        <f>IFERROR(IF(D440="SINAPI-S",VLOOKUP(B440,'20-B.SINAPI-S'!A:J,5,0),IF(D440="SINAPI-I",VLOOKUP(B440,'20-A.SINAPI-I'!A:G,6,0),IF(D440="COMPOSIÇÕES",VLOOKUP(B440,'11.COMPOSIÇÕES GERAIS'!B:I,7,0),0))),"Em Elaboração")</f>
        <v>0</v>
      </c>
      <c r="I440" s="259">
        <f>IFERROR(IF(D440="SINAPI-S",VLOOKUP(B440,'20-B.SINAPI-S'!A:J,6,0),IF(D440="SINAPI-I",VLOOKUP(B440,'20-A.SINAPI-I'!A:G,7,0),IF(D440="COMPOSIÇÕES",VLOOKUP(B440,'11.COMPOSIÇÕES GERAIS'!B:I,8,0),VLOOKUP(B440,'12.COT.MERCADO'!A:I,8,0)))),"Em Elaboração")</f>
        <v>6.51</v>
      </c>
      <c r="J440" s="259">
        <f t="shared" si="129"/>
        <v>0</v>
      </c>
      <c r="K440" s="259">
        <f t="shared" si="130"/>
        <v>7.625388149</v>
      </c>
      <c r="L440" s="259">
        <f t="shared" si="131"/>
        <v>7.625388149</v>
      </c>
      <c r="M440" s="259">
        <f t="shared" si="132"/>
        <v>0</v>
      </c>
      <c r="N440" s="259">
        <f t="shared" si="133"/>
        <v>91.50465779</v>
      </c>
      <c r="O440" s="259">
        <f t="shared" si="134"/>
        <v>91.50465779</v>
      </c>
      <c r="P440" s="260">
        <f t="shared" si="2"/>
        <v>0.00007158173652</v>
      </c>
    </row>
    <row r="441">
      <c r="A441" s="253" t="s">
        <v>593</v>
      </c>
      <c r="B441" s="254">
        <v>1539.0</v>
      </c>
      <c r="C441" s="255" t="str">
        <f t="shared" si="128"/>
        <v>SINAPI</v>
      </c>
      <c r="D441" s="256" t="s">
        <v>286</v>
      </c>
      <c r="E441" s="257" t="str">
        <f>IFERROR(IF(D441="SINAPI-S",VLOOKUP(B441,'20-B.SINAPI-S'!A:J,2,0),IF(D441="SINAPI-I",VLOOKUP(B441,'20-A.SINAPI-I'!A:G,2,0),IF(D441="COMPOSIÇÕES",VLOOKUP(B441,'11.COMPOSIÇÕES GERAIS'!B:I,2,0),VLOOKUP(B441,'12.COT.MERCADO'!A:I,2,0)))),"Em Elaboração")</f>
        <v>CONECTOR METALICO TIPO PARAFUSO FENDIDO (SPLIT BOLT), PARA CABOS ATE 16 MM2</v>
      </c>
      <c r="F441" s="258" t="str">
        <f>IFERROR(IF(D441="SINAPI-S",VLOOKUP(B441,'20-B.SINAPI-S'!A:J,3,0),IF(D441="SINAPI-I",VLOOKUP(B441,'20-A.SINAPI-I'!A:G,3,0),IF(D441="COMPOSIÇÕES",VLOOKUP(B441,'11.COMPOSIÇÕES GERAIS'!B:I,3,0),VLOOKUP(B441,'12.COT.MERCADO'!A:I,7,0)))),"Em Elaboração")</f>
        <v>UN</v>
      </c>
      <c r="G441" s="254">
        <v>12.0</v>
      </c>
      <c r="H441" s="259">
        <f>IFERROR(IF(D441="SINAPI-S",VLOOKUP(B441,'20-B.SINAPI-S'!A:J,5,0),IF(D441="SINAPI-I",VLOOKUP(B441,'20-A.SINAPI-I'!A:G,6,0),IF(D441="COMPOSIÇÕES",VLOOKUP(B441,'11.COMPOSIÇÕES GERAIS'!B:I,7,0),0))),"Em Elaboração")</f>
        <v>0</v>
      </c>
      <c r="I441" s="259">
        <f>IFERROR(IF(D441="SINAPI-S",VLOOKUP(B441,'20-B.SINAPI-S'!A:J,6,0),IF(D441="SINAPI-I",VLOOKUP(B441,'20-A.SINAPI-I'!A:G,7,0),IF(D441="COMPOSIÇÕES",VLOOKUP(B441,'11.COMPOSIÇÕES GERAIS'!B:I,8,0),VLOOKUP(B441,'12.COT.MERCADO'!A:I,8,0)))),"Em Elaboração")</f>
        <v>7.65</v>
      </c>
      <c r="J441" s="259">
        <f t="shared" si="129"/>
        <v>0</v>
      </c>
      <c r="K441" s="259">
        <f t="shared" si="130"/>
        <v>8.960709576</v>
      </c>
      <c r="L441" s="259">
        <f t="shared" si="131"/>
        <v>8.960709576</v>
      </c>
      <c r="M441" s="259">
        <f t="shared" si="132"/>
        <v>0</v>
      </c>
      <c r="N441" s="259">
        <f t="shared" si="133"/>
        <v>107.5285149</v>
      </c>
      <c r="O441" s="259">
        <f t="shared" si="134"/>
        <v>107.5285149</v>
      </c>
      <c r="P441" s="260">
        <f t="shared" si="2"/>
        <v>0.00008411678715</v>
      </c>
    </row>
    <row r="442">
      <c r="A442" s="253" t="s">
        <v>594</v>
      </c>
      <c r="B442" s="254">
        <v>1614.0</v>
      </c>
      <c r="C442" s="255" t="str">
        <f t="shared" si="128"/>
        <v>SINAPI</v>
      </c>
      <c r="D442" s="256" t="s">
        <v>286</v>
      </c>
      <c r="E442" s="257" t="str">
        <f>IFERROR(IF(D442="SINAPI-S",VLOOKUP(B442,'20-B.SINAPI-S'!A:J,2,0),IF(D442="SINAPI-I",VLOOKUP(B442,'20-A.SINAPI-I'!A:G,2,0),IF(D442="COMPOSIÇÕES",VLOOKUP(B442,'11.COMPOSIÇÕES GERAIS'!B:I,2,0),VLOOKUP(B442,'12.COT.MERCADO'!A:I,2,0)))),"Em Elaboração")</f>
        <v>CONTATOR TRIPOLAR, CORRENTE DE 32 A, TENSAO NOMINAL DE *500* V, CATEGORIA AC-2 E AC-3</v>
      </c>
      <c r="F442" s="258" t="str">
        <f>IFERROR(IF(D442="SINAPI-S",VLOOKUP(B442,'20-B.SINAPI-S'!A:J,3,0),IF(D442="SINAPI-I",VLOOKUP(B442,'20-A.SINAPI-I'!A:G,3,0),IF(D442="COMPOSIÇÕES",VLOOKUP(B442,'11.COMPOSIÇÕES GERAIS'!B:I,3,0),VLOOKUP(B442,'12.COT.MERCADO'!A:I,7,0)))),"Em Elaboração")</f>
        <v>UN</v>
      </c>
      <c r="G442" s="254">
        <v>1.0</v>
      </c>
      <c r="H442" s="259">
        <f>IFERROR(IF(D442="SINAPI-S",VLOOKUP(B442,'20-B.SINAPI-S'!A:J,5,0),IF(D442="SINAPI-I",VLOOKUP(B442,'20-A.SINAPI-I'!A:G,6,0),IF(D442="COMPOSIÇÕES",VLOOKUP(B442,'11.COMPOSIÇÕES GERAIS'!B:I,7,0),0))),"Em Elaboração")</f>
        <v>0</v>
      </c>
      <c r="I442" s="259">
        <f>IFERROR(IF(D442="SINAPI-S",VLOOKUP(B442,'20-B.SINAPI-S'!A:J,6,0),IF(D442="SINAPI-I",VLOOKUP(B442,'20-A.SINAPI-I'!A:G,7,0),IF(D442="COMPOSIÇÕES",VLOOKUP(B442,'11.COMPOSIÇÕES GERAIS'!B:I,8,0),VLOOKUP(B442,'12.COT.MERCADO'!A:I,8,0)))),"Em Elaboração")</f>
        <v>227.6</v>
      </c>
      <c r="J442" s="259">
        <f t="shared" si="129"/>
        <v>0</v>
      </c>
      <c r="K442" s="259">
        <f t="shared" si="130"/>
        <v>266.5957516</v>
      </c>
      <c r="L442" s="259">
        <f t="shared" si="131"/>
        <v>266.5957516</v>
      </c>
      <c r="M442" s="259">
        <f t="shared" si="132"/>
        <v>0</v>
      </c>
      <c r="N442" s="259">
        <f t="shared" si="133"/>
        <v>266.5957516</v>
      </c>
      <c r="O442" s="259">
        <f t="shared" si="134"/>
        <v>266.5957516</v>
      </c>
      <c r="P442" s="260">
        <f t="shared" si="2"/>
        <v>0.0002085509886</v>
      </c>
    </row>
    <row r="443">
      <c r="A443" s="253" t="s">
        <v>595</v>
      </c>
      <c r="B443" s="254">
        <v>1627.0</v>
      </c>
      <c r="C443" s="255" t="str">
        <f t="shared" si="128"/>
        <v>SINAPI</v>
      </c>
      <c r="D443" s="256" t="s">
        <v>286</v>
      </c>
      <c r="E443" s="257" t="str">
        <f>IFERROR(IF(D443="SINAPI-S",VLOOKUP(B443,'20-B.SINAPI-S'!A:J,2,0),IF(D443="SINAPI-I",VLOOKUP(B443,'20-A.SINAPI-I'!A:G,2,0),IF(D443="COMPOSIÇÕES",VLOOKUP(B443,'11.COMPOSIÇÕES GERAIS'!B:I,2,0),VLOOKUP(B443,'12.COT.MERCADO'!A:I,2,0)))),"Em Elaboração")</f>
        <v>CONTATOR TRIPOLAR, CORRENTE DE *65* A, TENSAO NOMINAL DE *500* V, CATEGORIA AC-2 E AC-3</v>
      </c>
      <c r="F443" s="258" t="str">
        <f>IFERROR(IF(D443="SINAPI-S",VLOOKUP(B443,'20-B.SINAPI-S'!A:J,3,0),IF(D443="SINAPI-I",VLOOKUP(B443,'20-A.SINAPI-I'!A:G,3,0),IF(D443="COMPOSIÇÕES",VLOOKUP(B443,'11.COMPOSIÇÕES GERAIS'!B:I,3,0),VLOOKUP(B443,'12.COT.MERCADO'!A:I,7,0)))),"Em Elaboração")</f>
        <v>UN</v>
      </c>
      <c r="G443" s="254">
        <v>1.0</v>
      </c>
      <c r="H443" s="259">
        <f>IFERROR(IF(D443="SINAPI-S",VLOOKUP(B443,'20-B.SINAPI-S'!A:J,5,0),IF(D443="SINAPI-I",VLOOKUP(B443,'20-A.SINAPI-I'!A:G,6,0),IF(D443="COMPOSIÇÕES",VLOOKUP(B443,'11.COMPOSIÇÕES GERAIS'!B:I,7,0),0))),"Em Elaboração")</f>
        <v>0</v>
      </c>
      <c r="I443" s="259">
        <f>IFERROR(IF(D443="SINAPI-S",VLOOKUP(B443,'20-B.SINAPI-S'!A:J,6,0),IF(D443="SINAPI-I",VLOOKUP(B443,'20-A.SINAPI-I'!A:G,7,0),IF(D443="COMPOSIÇÕES",VLOOKUP(B443,'11.COMPOSIÇÕES GERAIS'!B:I,8,0),VLOOKUP(B443,'12.COT.MERCADO'!A:I,8,0)))),"Em Elaboração")</f>
        <v>527.85</v>
      </c>
      <c r="J443" s="259">
        <f t="shared" si="129"/>
        <v>0</v>
      </c>
      <c r="K443" s="259">
        <f t="shared" si="130"/>
        <v>618.2889608</v>
      </c>
      <c r="L443" s="259">
        <f t="shared" si="131"/>
        <v>618.2889608</v>
      </c>
      <c r="M443" s="259">
        <f t="shared" si="132"/>
        <v>0</v>
      </c>
      <c r="N443" s="259">
        <f t="shared" si="133"/>
        <v>618.2889608</v>
      </c>
      <c r="O443" s="259">
        <f t="shared" si="134"/>
        <v>618.2889608</v>
      </c>
      <c r="P443" s="260">
        <f t="shared" si="2"/>
        <v>0.0004836715261</v>
      </c>
    </row>
    <row r="444">
      <c r="A444" s="253" t="s">
        <v>596</v>
      </c>
      <c r="B444" s="254">
        <v>1612.0</v>
      </c>
      <c r="C444" s="255" t="str">
        <f t="shared" si="128"/>
        <v>SINAPI</v>
      </c>
      <c r="D444" s="256" t="s">
        <v>286</v>
      </c>
      <c r="E444" s="257" t="str">
        <f>IFERROR(IF(D444="SINAPI-S",VLOOKUP(B444,'20-B.SINAPI-S'!A:J,2,0),IF(D444="SINAPI-I",VLOOKUP(B444,'20-A.SINAPI-I'!A:G,2,0),IF(D444="COMPOSIÇÕES",VLOOKUP(B444,'11.COMPOSIÇÕES GERAIS'!B:I,2,0),VLOOKUP(B444,'12.COT.MERCADO'!A:I,2,0)))),"Em Elaboração")</f>
        <v>CONTATOR TRIPOLAR, CORRENTE DE 9 A, TENSAO NOMINAL DE *500* V, CATEGORIA AC-2 E AC-3</v>
      </c>
      <c r="F444" s="258" t="str">
        <f>IFERROR(IF(D444="SINAPI-S",VLOOKUP(B444,'20-B.SINAPI-S'!A:J,3,0),IF(D444="SINAPI-I",VLOOKUP(B444,'20-A.SINAPI-I'!A:G,3,0),IF(D444="COMPOSIÇÕES",VLOOKUP(B444,'11.COMPOSIÇÕES GERAIS'!B:I,3,0),VLOOKUP(B444,'12.COT.MERCADO'!A:I,7,0)))),"Em Elaboração")</f>
        <v>UN</v>
      </c>
      <c r="G444" s="254">
        <v>1.0</v>
      </c>
      <c r="H444" s="259">
        <f>IFERROR(IF(D444="SINAPI-S",VLOOKUP(B444,'20-B.SINAPI-S'!A:J,5,0),IF(D444="SINAPI-I",VLOOKUP(B444,'20-A.SINAPI-I'!A:G,6,0),IF(D444="COMPOSIÇÕES",VLOOKUP(B444,'11.COMPOSIÇÕES GERAIS'!B:I,7,0),0))),"Em Elaboração")</f>
        <v>0</v>
      </c>
      <c r="I444" s="259">
        <f>IFERROR(IF(D444="SINAPI-S",VLOOKUP(B444,'20-B.SINAPI-S'!A:J,6,0),IF(D444="SINAPI-I",VLOOKUP(B444,'20-A.SINAPI-I'!A:G,7,0),IF(D444="COMPOSIÇÕES",VLOOKUP(B444,'11.COMPOSIÇÕES GERAIS'!B:I,8,0),VLOOKUP(B444,'12.COT.MERCADO'!A:I,8,0)))),"Em Elaboração")</f>
        <v>100.68</v>
      </c>
      <c r="J444" s="259">
        <f t="shared" si="129"/>
        <v>0</v>
      </c>
      <c r="K444" s="259">
        <f t="shared" si="130"/>
        <v>117.929966</v>
      </c>
      <c r="L444" s="259">
        <f t="shared" si="131"/>
        <v>117.929966</v>
      </c>
      <c r="M444" s="259">
        <f t="shared" si="132"/>
        <v>0</v>
      </c>
      <c r="N444" s="259">
        <f t="shared" si="133"/>
        <v>117.929966</v>
      </c>
      <c r="O444" s="259">
        <f t="shared" si="134"/>
        <v>117.929966</v>
      </c>
      <c r="P444" s="260">
        <f t="shared" si="2"/>
        <v>0.00009225357441</v>
      </c>
    </row>
    <row r="445">
      <c r="A445" s="253" t="s">
        <v>597</v>
      </c>
      <c r="B445" s="254">
        <v>2623.0</v>
      </c>
      <c r="C445" s="255" t="str">
        <f t="shared" si="128"/>
        <v>SINAPI</v>
      </c>
      <c r="D445" s="256" t="s">
        <v>286</v>
      </c>
      <c r="E445" s="257" t="str">
        <f>IFERROR(IF(D445="SINAPI-S",VLOOKUP(B445,'20-B.SINAPI-S'!A:J,2,0),IF(D445="SINAPI-I",VLOOKUP(B445,'20-A.SINAPI-I'!A:G,2,0),IF(D445="COMPOSIÇÕES",VLOOKUP(B445,'11.COMPOSIÇÕES GERAIS'!B:I,2,0),VLOOKUP(B445,'12.COT.MERCADO'!A:I,2,0)))),"Em Elaboração")</f>
        <v>CURVA 135 GRAUS, PARA ELETRODUTO, EM ACO GALVANIZADO ELETROLITICO, DIAMETRO DE 20 MM (3/4")</v>
      </c>
      <c r="F445" s="258" t="str">
        <f>IFERROR(IF(D445="SINAPI-S",VLOOKUP(B445,'20-B.SINAPI-S'!A:J,3,0),IF(D445="SINAPI-I",VLOOKUP(B445,'20-A.SINAPI-I'!A:G,3,0),IF(D445="COMPOSIÇÕES",VLOOKUP(B445,'11.COMPOSIÇÕES GERAIS'!B:I,3,0),VLOOKUP(B445,'12.COT.MERCADO'!A:I,7,0)))),"Em Elaboração")</f>
        <v>UN</v>
      </c>
      <c r="G445" s="254">
        <v>12.0</v>
      </c>
      <c r="H445" s="259">
        <f>IFERROR(IF(D445="SINAPI-S",VLOOKUP(B445,'20-B.SINAPI-S'!A:J,5,0),IF(D445="SINAPI-I",VLOOKUP(B445,'20-A.SINAPI-I'!A:G,6,0),IF(D445="COMPOSIÇÕES",VLOOKUP(B445,'11.COMPOSIÇÕES GERAIS'!B:I,7,0),0))),"Em Elaboração")</f>
        <v>0</v>
      </c>
      <c r="I445" s="259">
        <f>IFERROR(IF(D445="SINAPI-S",VLOOKUP(B445,'20-B.SINAPI-S'!A:J,6,0),IF(D445="SINAPI-I",VLOOKUP(B445,'20-A.SINAPI-I'!A:G,7,0),IF(D445="COMPOSIÇÕES",VLOOKUP(B445,'11.COMPOSIÇÕES GERAIS'!B:I,8,0),VLOOKUP(B445,'12.COT.MERCADO'!A:I,8,0)))),"Em Elaboração")</f>
        <v>7.72</v>
      </c>
      <c r="J445" s="259">
        <f t="shared" si="129"/>
        <v>0</v>
      </c>
      <c r="K445" s="259">
        <f t="shared" si="130"/>
        <v>9.042702997</v>
      </c>
      <c r="L445" s="259">
        <f t="shared" si="131"/>
        <v>9.042702997</v>
      </c>
      <c r="M445" s="259">
        <f t="shared" si="132"/>
        <v>0</v>
      </c>
      <c r="N445" s="259">
        <f t="shared" si="133"/>
        <v>108.512436</v>
      </c>
      <c r="O445" s="259">
        <f t="shared" si="134"/>
        <v>108.512436</v>
      </c>
      <c r="P445" s="260">
        <f t="shared" si="2"/>
        <v>0.00008488648324</v>
      </c>
    </row>
    <row r="446">
      <c r="A446" s="253" t="s">
        <v>598</v>
      </c>
      <c r="B446" s="254">
        <v>39271.0</v>
      </c>
      <c r="C446" s="255" t="str">
        <f t="shared" si="128"/>
        <v>SINAPI</v>
      </c>
      <c r="D446" s="256" t="s">
        <v>286</v>
      </c>
      <c r="E446" s="257" t="str">
        <f>IFERROR(IF(D446="SINAPI-S",VLOOKUP(B446,'20-B.SINAPI-S'!A:J,2,0),IF(D446="SINAPI-I",VLOOKUP(B446,'20-A.SINAPI-I'!A:G,2,0),IF(D446="COMPOSIÇÕES",VLOOKUP(B446,'11.COMPOSIÇÕES GERAIS'!B:I,2,0),VLOOKUP(B446,'12.COT.MERCADO'!A:I,2,0)))),"Em Elaboração")</f>
        <v>CURVA 90 GRAUS, CURTA, DE PVC RIGIDO ROSCAVEL, DE 1/2", PARA ELETRODUTO</v>
      </c>
      <c r="F446" s="258" t="str">
        <f>IFERROR(IF(D446="SINAPI-S",VLOOKUP(B446,'20-B.SINAPI-S'!A:J,3,0),IF(D446="SINAPI-I",VLOOKUP(B446,'20-A.SINAPI-I'!A:G,3,0),IF(D446="COMPOSIÇÕES",VLOOKUP(B446,'11.COMPOSIÇÕES GERAIS'!B:I,3,0),VLOOKUP(B446,'12.COT.MERCADO'!A:I,7,0)))),"Em Elaboração")</f>
        <v>UN</v>
      </c>
      <c r="G446" s="254">
        <v>12.0</v>
      </c>
      <c r="H446" s="259">
        <f>IFERROR(IF(D446="SINAPI-S",VLOOKUP(B446,'20-B.SINAPI-S'!A:J,5,0),IF(D446="SINAPI-I",VLOOKUP(B446,'20-A.SINAPI-I'!A:G,6,0),IF(D446="COMPOSIÇÕES",VLOOKUP(B446,'11.COMPOSIÇÕES GERAIS'!B:I,7,0),0))),"Em Elaboração")</f>
        <v>0</v>
      </c>
      <c r="I446" s="259">
        <f>IFERROR(IF(D446="SINAPI-S",VLOOKUP(B446,'20-B.SINAPI-S'!A:J,6,0),IF(D446="SINAPI-I",VLOOKUP(B446,'20-A.SINAPI-I'!A:G,7,0),IF(D446="COMPOSIÇÕES",VLOOKUP(B446,'11.COMPOSIÇÕES GERAIS'!B:I,8,0),VLOOKUP(B446,'12.COT.MERCADO'!A:I,8,0)))),"Em Elaboração")</f>
        <v>2.95</v>
      </c>
      <c r="J446" s="259">
        <f t="shared" si="129"/>
        <v>0</v>
      </c>
      <c r="K446" s="259">
        <f t="shared" si="130"/>
        <v>3.455437026</v>
      </c>
      <c r="L446" s="259">
        <f t="shared" si="131"/>
        <v>3.455437026</v>
      </c>
      <c r="M446" s="259">
        <f t="shared" si="132"/>
        <v>0</v>
      </c>
      <c r="N446" s="259">
        <f t="shared" si="133"/>
        <v>41.46524431</v>
      </c>
      <c r="O446" s="259">
        <f t="shared" si="134"/>
        <v>41.46524431</v>
      </c>
      <c r="P446" s="260">
        <f t="shared" si="2"/>
        <v>0.00003243719243</v>
      </c>
    </row>
    <row r="447">
      <c r="A447" s="253" t="s">
        <v>599</v>
      </c>
      <c r="B447" s="254">
        <v>1879.0</v>
      </c>
      <c r="C447" s="255" t="str">
        <f t="shared" si="128"/>
        <v>SINAPI</v>
      </c>
      <c r="D447" s="256" t="s">
        <v>286</v>
      </c>
      <c r="E447" s="257" t="str">
        <f>IFERROR(IF(D447="SINAPI-S",VLOOKUP(B447,'20-B.SINAPI-S'!A:J,2,0),IF(D447="SINAPI-I",VLOOKUP(B447,'20-A.SINAPI-I'!A:G,2,0),IF(D447="COMPOSIÇÕES",VLOOKUP(B447,'11.COMPOSIÇÕES GERAIS'!B:I,2,0),VLOOKUP(B447,'12.COT.MERCADO'!A:I,2,0)))),"Em Elaboração")</f>
        <v>CURVA 90 GRAUS, LONGA, DE PVC RIGIDO ROSCAVEL, DE 3/4", PARA ELETRODUTO</v>
      </c>
      <c r="F447" s="258" t="str">
        <f>IFERROR(IF(D447="SINAPI-S",VLOOKUP(B447,'20-B.SINAPI-S'!A:J,3,0),IF(D447="SINAPI-I",VLOOKUP(B447,'20-A.SINAPI-I'!A:G,3,0),IF(D447="COMPOSIÇÕES",VLOOKUP(B447,'11.COMPOSIÇÕES GERAIS'!B:I,3,0),VLOOKUP(B447,'12.COT.MERCADO'!A:I,7,0)))),"Em Elaboração")</f>
        <v>UN</v>
      </c>
      <c r="G447" s="254">
        <v>12.0</v>
      </c>
      <c r="H447" s="259">
        <f>IFERROR(IF(D447="SINAPI-S",VLOOKUP(B447,'20-B.SINAPI-S'!A:J,5,0),IF(D447="SINAPI-I",VLOOKUP(B447,'20-A.SINAPI-I'!A:G,6,0),IF(D447="COMPOSIÇÕES",VLOOKUP(B447,'11.COMPOSIÇÕES GERAIS'!B:I,7,0),0))),"Em Elaboração")</f>
        <v>0</v>
      </c>
      <c r="I447" s="259">
        <f>IFERROR(IF(D447="SINAPI-S",VLOOKUP(B447,'20-B.SINAPI-S'!A:J,6,0),IF(D447="SINAPI-I",VLOOKUP(B447,'20-A.SINAPI-I'!A:G,7,0),IF(D447="COMPOSIÇÕES",VLOOKUP(B447,'11.COMPOSIÇÕES GERAIS'!B:I,8,0),VLOOKUP(B447,'12.COT.MERCADO'!A:I,8,0)))),"Em Elaboração")</f>
        <v>3.87</v>
      </c>
      <c r="J447" s="259">
        <f t="shared" si="129"/>
        <v>0</v>
      </c>
      <c r="K447" s="259">
        <f t="shared" si="130"/>
        <v>4.533064844</v>
      </c>
      <c r="L447" s="259">
        <f t="shared" si="131"/>
        <v>4.533064844</v>
      </c>
      <c r="M447" s="259">
        <f t="shared" si="132"/>
        <v>0</v>
      </c>
      <c r="N447" s="259">
        <f t="shared" si="133"/>
        <v>54.39677813</v>
      </c>
      <c r="O447" s="259">
        <f t="shared" si="134"/>
        <v>54.39677813</v>
      </c>
      <c r="P447" s="260">
        <f t="shared" si="2"/>
        <v>0.00004255319821</v>
      </c>
    </row>
    <row r="448">
      <c r="A448" s="253" t="s">
        <v>600</v>
      </c>
      <c r="B448" s="254">
        <v>1884.0</v>
      </c>
      <c r="C448" s="255" t="str">
        <f t="shared" si="128"/>
        <v>SINAPI</v>
      </c>
      <c r="D448" s="256" t="s">
        <v>286</v>
      </c>
      <c r="E448" s="257" t="str">
        <f>IFERROR(IF(D448="SINAPI-S",VLOOKUP(B448,'20-B.SINAPI-S'!A:J,2,0),IF(D448="SINAPI-I",VLOOKUP(B448,'20-A.SINAPI-I'!A:G,2,0),IF(D448="COMPOSIÇÕES",VLOOKUP(B448,'11.COMPOSIÇÕES GERAIS'!B:I,2,0),VLOOKUP(B448,'12.COT.MERCADO'!A:I,2,0)))),"Em Elaboração")</f>
        <v>CURVA 90 GRAUS, LONGA, DE PVC RIGIDO ROSCAVEL, DE 1", PARA ELETRODUTO</v>
      </c>
      <c r="F448" s="258" t="str">
        <f>IFERROR(IF(D448="SINAPI-S",VLOOKUP(B448,'20-B.SINAPI-S'!A:J,3,0),IF(D448="SINAPI-I",VLOOKUP(B448,'20-A.SINAPI-I'!A:G,3,0),IF(D448="COMPOSIÇÕES",VLOOKUP(B448,'11.COMPOSIÇÕES GERAIS'!B:I,3,0),VLOOKUP(B448,'12.COT.MERCADO'!A:I,7,0)))),"Em Elaboração")</f>
        <v>UN</v>
      </c>
      <c r="G448" s="254">
        <v>12.0</v>
      </c>
      <c r="H448" s="259">
        <f>IFERROR(IF(D448="SINAPI-S",VLOOKUP(B448,'20-B.SINAPI-S'!A:J,5,0),IF(D448="SINAPI-I",VLOOKUP(B448,'20-A.SINAPI-I'!A:G,6,0),IF(D448="COMPOSIÇÕES",VLOOKUP(B448,'11.COMPOSIÇÕES GERAIS'!B:I,7,0),0))),"Em Elaboração")</f>
        <v>0</v>
      </c>
      <c r="I448" s="259">
        <f>IFERROR(IF(D448="SINAPI-S",VLOOKUP(B448,'20-B.SINAPI-S'!A:J,6,0),IF(D448="SINAPI-I",VLOOKUP(B448,'20-A.SINAPI-I'!A:G,7,0),IF(D448="COMPOSIÇÕES",VLOOKUP(B448,'11.COMPOSIÇÕES GERAIS'!B:I,8,0),VLOOKUP(B448,'12.COT.MERCADO'!A:I,8,0)))),"Em Elaboração")</f>
        <v>5.86</v>
      </c>
      <c r="J448" s="259">
        <f t="shared" si="129"/>
        <v>0</v>
      </c>
      <c r="K448" s="259">
        <f t="shared" si="130"/>
        <v>6.864020669</v>
      </c>
      <c r="L448" s="259">
        <f t="shared" si="131"/>
        <v>6.864020669</v>
      </c>
      <c r="M448" s="259">
        <f t="shared" si="132"/>
        <v>0</v>
      </c>
      <c r="N448" s="259">
        <f t="shared" si="133"/>
        <v>82.36824803</v>
      </c>
      <c r="O448" s="259">
        <f t="shared" si="134"/>
        <v>82.36824803</v>
      </c>
      <c r="P448" s="260">
        <f t="shared" si="2"/>
        <v>0.00006443455853</v>
      </c>
    </row>
    <row r="449">
      <c r="A449" s="253" t="s">
        <v>601</v>
      </c>
      <c r="B449" s="254">
        <v>1875.0</v>
      </c>
      <c r="C449" s="255" t="str">
        <f t="shared" si="128"/>
        <v>SINAPI</v>
      </c>
      <c r="D449" s="256" t="s">
        <v>286</v>
      </c>
      <c r="E449" s="257" t="str">
        <f>IFERROR(IF(D449="SINAPI-S",VLOOKUP(B449,'20-B.SINAPI-S'!A:J,2,0),IF(D449="SINAPI-I",VLOOKUP(B449,'20-A.SINAPI-I'!A:G,2,0),IF(D449="COMPOSIÇÕES",VLOOKUP(B449,'11.COMPOSIÇÕES GERAIS'!B:I,2,0),VLOOKUP(B449,'12.COT.MERCADO'!A:I,2,0)))),"Em Elaboração")</f>
        <v>CURVA 90 GRAUS, LONGA, DE PVC RIGIDO ROSCAVEL, DE 1 1/2", PARA ELETRODUTO</v>
      </c>
      <c r="F449" s="258" t="str">
        <f>IFERROR(IF(D449="SINAPI-S",VLOOKUP(B449,'20-B.SINAPI-S'!A:J,3,0),IF(D449="SINAPI-I",VLOOKUP(B449,'20-A.SINAPI-I'!A:G,3,0),IF(D449="COMPOSIÇÕES",VLOOKUP(B449,'11.COMPOSIÇÕES GERAIS'!B:I,3,0),VLOOKUP(B449,'12.COT.MERCADO'!A:I,7,0)))),"Em Elaboração")</f>
        <v>UN</v>
      </c>
      <c r="G449" s="254">
        <v>12.0</v>
      </c>
      <c r="H449" s="259">
        <f>IFERROR(IF(D449="SINAPI-S",VLOOKUP(B449,'20-B.SINAPI-S'!A:J,5,0),IF(D449="SINAPI-I",VLOOKUP(B449,'20-A.SINAPI-I'!A:G,6,0),IF(D449="COMPOSIÇÕES",VLOOKUP(B449,'11.COMPOSIÇÕES GERAIS'!B:I,7,0),0))),"Em Elaboração")</f>
        <v>0</v>
      </c>
      <c r="I449" s="259">
        <f>IFERROR(IF(D449="SINAPI-S",VLOOKUP(B449,'20-B.SINAPI-S'!A:J,6,0),IF(D449="SINAPI-I",VLOOKUP(B449,'20-A.SINAPI-I'!A:G,7,0),IF(D449="COMPOSIÇÕES",VLOOKUP(B449,'11.COMPOSIÇÕES GERAIS'!B:I,8,0),VLOOKUP(B449,'12.COT.MERCADO'!A:I,8,0)))),"Em Elaboração")</f>
        <v>8.01</v>
      </c>
      <c r="J449" s="259">
        <f t="shared" si="129"/>
        <v>0</v>
      </c>
      <c r="K449" s="259">
        <f t="shared" si="130"/>
        <v>9.382390027</v>
      </c>
      <c r="L449" s="259">
        <f t="shared" si="131"/>
        <v>9.382390027</v>
      </c>
      <c r="M449" s="259">
        <f t="shared" si="132"/>
        <v>0</v>
      </c>
      <c r="N449" s="259">
        <f t="shared" si="133"/>
        <v>112.5886803</v>
      </c>
      <c r="O449" s="259">
        <f t="shared" si="134"/>
        <v>112.5886803</v>
      </c>
      <c r="P449" s="260">
        <f t="shared" si="2"/>
        <v>0.0000880752242</v>
      </c>
    </row>
    <row r="450">
      <c r="A450" s="253" t="s">
        <v>602</v>
      </c>
      <c r="B450" s="254">
        <v>1874.0</v>
      </c>
      <c r="C450" s="255" t="str">
        <f t="shared" si="128"/>
        <v>SINAPI</v>
      </c>
      <c r="D450" s="256" t="s">
        <v>286</v>
      </c>
      <c r="E450" s="257" t="str">
        <f>IFERROR(IF(D450="SINAPI-S",VLOOKUP(B450,'20-B.SINAPI-S'!A:J,2,0),IF(D450="SINAPI-I",VLOOKUP(B450,'20-A.SINAPI-I'!A:G,2,0),IF(D450="COMPOSIÇÕES",VLOOKUP(B450,'11.COMPOSIÇÕES GERAIS'!B:I,2,0),VLOOKUP(B450,'12.COT.MERCADO'!A:I,2,0)))),"Em Elaboração")</f>
        <v>CURVA 90 GRAUS, LONGA, DE PVC RIGIDO ROSCAVEL, DE 1 1/4", PARA ELETRODUTO</v>
      </c>
      <c r="F450" s="258" t="str">
        <f>IFERROR(IF(D450="SINAPI-S",VLOOKUP(B450,'20-B.SINAPI-S'!A:J,3,0),IF(D450="SINAPI-I",VLOOKUP(B450,'20-A.SINAPI-I'!A:G,3,0),IF(D450="COMPOSIÇÕES",VLOOKUP(B450,'11.COMPOSIÇÕES GERAIS'!B:I,3,0),VLOOKUP(B450,'12.COT.MERCADO'!A:I,7,0)))),"Em Elaboração")</f>
        <v>UN</v>
      </c>
      <c r="G450" s="254">
        <v>12.0</v>
      </c>
      <c r="H450" s="259">
        <f>IFERROR(IF(D450="SINAPI-S",VLOOKUP(B450,'20-B.SINAPI-S'!A:J,5,0),IF(D450="SINAPI-I",VLOOKUP(B450,'20-A.SINAPI-I'!A:G,6,0),IF(D450="COMPOSIÇÕES",VLOOKUP(B450,'11.COMPOSIÇÕES GERAIS'!B:I,7,0),0))),"Em Elaboração")</f>
        <v>0</v>
      </c>
      <c r="I450" s="259">
        <f>IFERROR(IF(D450="SINAPI-S",VLOOKUP(B450,'20-B.SINAPI-S'!A:J,6,0),IF(D450="SINAPI-I",VLOOKUP(B450,'20-A.SINAPI-I'!A:G,7,0),IF(D450="COMPOSIÇÕES",VLOOKUP(B450,'11.COMPOSIÇÕES GERAIS'!B:I,8,0),VLOOKUP(B450,'12.COT.MERCADO'!A:I,8,0)))),"Em Elaboração")</f>
        <v>6.62</v>
      </c>
      <c r="J450" s="259">
        <f t="shared" si="129"/>
        <v>0</v>
      </c>
      <c r="K450" s="259">
        <f t="shared" si="130"/>
        <v>7.754234954</v>
      </c>
      <c r="L450" s="259">
        <f t="shared" si="131"/>
        <v>7.754234954</v>
      </c>
      <c r="M450" s="259">
        <f t="shared" si="132"/>
        <v>0</v>
      </c>
      <c r="N450" s="259">
        <f t="shared" si="133"/>
        <v>93.05081944</v>
      </c>
      <c r="O450" s="259">
        <f t="shared" si="134"/>
        <v>93.05081944</v>
      </c>
      <c r="P450" s="260">
        <f t="shared" si="2"/>
        <v>0.00007279125895</v>
      </c>
    </row>
    <row r="451">
      <c r="A451" s="253" t="s">
        <v>603</v>
      </c>
      <c r="B451" s="254">
        <v>1876.0</v>
      </c>
      <c r="C451" s="255" t="str">
        <f t="shared" si="128"/>
        <v>SINAPI</v>
      </c>
      <c r="D451" s="256" t="s">
        <v>286</v>
      </c>
      <c r="E451" s="257" t="str">
        <f>IFERROR(IF(D451="SINAPI-S",VLOOKUP(B451,'20-B.SINAPI-S'!A:J,2,0),IF(D451="SINAPI-I",VLOOKUP(B451,'20-A.SINAPI-I'!A:G,2,0),IF(D451="COMPOSIÇÕES",VLOOKUP(B451,'11.COMPOSIÇÕES GERAIS'!B:I,2,0),VLOOKUP(B451,'12.COT.MERCADO'!A:I,2,0)))),"Em Elaboração")</f>
        <v>CURVA 90 GRAUS, LONGA, DE PVC RIGIDO ROSCAVEL, DE 2", PARA ELETRODUTO</v>
      </c>
      <c r="F451" s="258" t="str">
        <f>IFERROR(IF(D451="SINAPI-S",VLOOKUP(B451,'20-B.SINAPI-S'!A:J,3,0),IF(D451="SINAPI-I",VLOOKUP(B451,'20-A.SINAPI-I'!A:G,3,0),IF(D451="COMPOSIÇÕES",VLOOKUP(B451,'11.COMPOSIÇÕES GERAIS'!B:I,3,0),VLOOKUP(B451,'12.COT.MERCADO'!A:I,7,0)))),"Em Elaboração")</f>
        <v>UN</v>
      </c>
      <c r="G451" s="254">
        <v>12.0</v>
      </c>
      <c r="H451" s="259">
        <f>IFERROR(IF(D451="SINAPI-S",VLOOKUP(B451,'20-B.SINAPI-S'!A:J,5,0),IF(D451="SINAPI-I",VLOOKUP(B451,'20-A.SINAPI-I'!A:G,6,0),IF(D451="COMPOSIÇÕES",VLOOKUP(B451,'11.COMPOSIÇÕES GERAIS'!B:I,7,0),0))),"Em Elaboração")</f>
        <v>0</v>
      </c>
      <c r="I451" s="259">
        <f>IFERROR(IF(D451="SINAPI-S",VLOOKUP(B451,'20-B.SINAPI-S'!A:J,6,0),IF(D451="SINAPI-I",VLOOKUP(B451,'20-A.SINAPI-I'!A:G,7,0),IF(D451="COMPOSIÇÕES",VLOOKUP(B451,'11.COMPOSIÇÕES GERAIS'!B:I,8,0),VLOOKUP(B451,'12.COT.MERCADO'!A:I,8,0)))),"Em Elaboração")</f>
        <v>13.02</v>
      </c>
      <c r="J451" s="259">
        <f t="shared" si="129"/>
        <v>0</v>
      </c>
      <c r="K451" s="259">
        <f t="shared" si="130"/>
        <v>15.2507763</v>
      </c>
      <c r="L451" s="259">
        <f t="shared" si="131"/>
        <v>15.2507763</v>
      </c>
      <c r="M451" s="259">
        <f t="shared" si="132"/>
        <v>0</v>
      </c>
      <c r="N451" s="259">
        <f t="shared" si="133"/>
        <v>183.0093156</v>
      </c>
      <c r="O451" s="259">
        <f t="shared" si="134"/>
        <v>183.0093156</v>
      </c>
      <c r="P451" s="260">
        <f t="shared" si="2"/>
        <v>0.000143163473</v>
      </c>
    </row>
    <row r="452">
      <c r="A452" s="253" t="s">
        <v>604</v>
      </c>
      <c r="B452" s="254">
        <v>1879.0</v>
      </c>
      <c r="C452" s="255" t="str">
        <f t="shared" si="128"/>
        <v>SINAPI</v>
      </c>
      <c r="D452" s="256" t="s">
        <v>286</v>
      </c>
      <c r="E452" s="257" t="str">
        <f>IFERROR(IF(D452="SINAPI-S",VLOOKUP(B452,'20-B.SINAPI-S'!A:J,2,0),IF(D452="SINAPI-I",VLOOKUP(B452,'20-A.SINAPI-I'!A:G,2,0),IF(D452="COMPOSIÇÕES",VLOOKUP(B452,'11.COMPOSIÇÕES GERAIS'!B:I,2,0),VLOOKUP(B452,'12.COT.MERCADO'!A:I,2,0)))),"Em Elaboração")</f>
        <v>CURVA 90 GRAUS, LONGA, DE PVC RIGIDO ROSCAVEL, DE 3/4", PARA ELETRODUTO</v>
      </c>
      <c r="F452" s="258" t="str">
        <f>IFERROR(IF(D452="SINAPI-S",VLOOKUP(B452,'20-B.SINAPI-S'!A:J,3,0),IF(D452="SINAPI-I",VLOOKUP(B452,'20-A.SINAPI-I'!A:G,3,0),IF(D452="COMPOSIÇÕES",VLOOKUP(B452,'11.COMPOSIÇÕES GERAIS'!B:I,3,0),VLOOKUP(B452,'12.COT.MERCADO'!A:I,7,0)))),"Em Elaboração")</f>
        <v>UN</v>
      </c>
      <c r="G452" s="254">
        <v>12.0</v>
      </c>
      <c r="H452" s="259">
        <f>IFERROR(IF(D452="SINAPI-S",VLOOKUP(B452,'20-B.SINAPI-S'!A:J,5,0),IF(D452="SINAPI-I",VLOOKUP(B452,'20-A.SINAPI-I'!A:G,6,0),IF(D452="COMPOSIÇÕES",VLOOKUP(B452,'11.COMPOSIÇÕES GERAIS'!B:I,7,0),0))),"Em Elaboração")</f>
        <v>0</v>
      </c>
      <c r="I452" s="259">
        <f>IFERROR(IF(D452="SINAPI-S",VLOOKUP(B452,'20-B.SINAPI-S'!A:J,6,0),IF(D452="SINAPI-I",VLOOKUP(B452,'20-A.SINAPI-I'!A:G,7,0),IF(D452="COMPOSIÇÕES",VLOOKUP(B452,'11.COMPOSIÇÕES GERAIS'!B:I,8,0),VLOOKUP(B452,'12.COT.MERCADO'!A:I,8,0)))),"Em Elaboração")</f>
        <v>3.87</v>
      </c>
      <c r="J452" s="259">
        <f t="shared" si="129"/>
        <v>0</v>
      </c>
      <c r="K452" s="259">
        <f t="shared" si="130"/>
        <v>4.533064844</v>
      </c>
      <c r="L452" s="259">
        <f t="shared" si="131"/>
        <v>4.533064844</v>
      </c>
      <c r="M452" s="259">
        <f t="shared" si="132"/>
        <v>0</v>
      </c>
      <c r="N452" s="259">
        <f t="shared" si="133"/>
        <v>54.39677813</v>
      </c>
      <c r="O452" s="259">
        <f t="shared" si="134"/>
        <v>54.39677813</v>
      </c>
      <c r="P452" s="260">
        <f t="shared" si="2"/>
        <v>0.00004255319821</v>
      </c>
    </row>
    <row r="453">
      <c r="A453" s="253" t="s">
        <v>605</v>
      </c>
      <c r="B453" s="254">
        <v>34616.0</v>
      </c>
      <c r="C453" s="255" t="str">
        <f t="shared" si="128"/>
        <v>SINAPI</v>
      </c>
      <c r="D453" s="256" t="s">
        <v>286</v>
      </c>
      <c r="E453" s="257" t="str">
        <f>IFERROR(IF(D453="SINAPI-S",VLOOKUP(B453,'20-B.SINAPI-S'!A:J,2,0),IF(D453="SINAPI-I",VLOOKUP(B453,'20-A.SINAPI-I'!A:G,2,0),IF(D453="COMPOSIÇÕES",VLOOKUP(B453,'11.COMPOSIÇÕES GERAIS'!B:I,2,0),VLOOKUP(B453,'12.COT.MERCADO'!A:I,2,0)))),"Em Elaboração")</f>
        <v>DISJUNTOR TIPO DIN/IEC, BIPOLAR DE 6 ATE 32A</v>
      </c>
      <c r="F453" s="258" t="str">
        <f>IFERROR(IF(D453="SINAPI-S",VLOOKUP(B453,'20-B.SINAPI-S'!A:J,3,0),IF(D453="SINAPI-I",VLOOKUP(B453,'20-A.SINAPI-I'!A:G,3,0),IF(D453="COMPOSIÇÕES",VLOOKUP(B453,'11.COMPOSIÇÕES GERAIS'!B:I,3,0),VLOOKUP(B453,'12.COT.MERCADO'!A:I,7,0)))),"Em Elaboração")</f>
        <v>UN</v>
      </c>
      <c r="G453" s="254">
        <v>4.0</v>
      </c>
      <c r="H453" s="259">
        <f>IFERROR(IF(D453="SINAPI-S",VLOOKUP(B453,'20-B.SINAPI-S'!A:J,5,0),IF(D453="SINAPI-I",VLOOKUP(B453,'20-A.SINAPI-I'!A:G,6,0),IF(D453="COMPOSIÇÕES",VLOOKUP(B453,'11.COMPOSIÇÕES GERAIS'!B:I,7,0),0))),"Em Elaboração")</f>
        <v>0</v>
      </c>
      <c r="I453" s="259">
        <f>IFERROR(IF(D453="SINAPI-S",VLOOKUP(B453,'20-B.SINAPI-S'!A:J,6,0),IF(D453="SINAPI-I",VLOOKUP(B453,'20-A.SINAPI-I'!A:G,7,0),IF(D453="COMPOSIÇÕES",VLOOKUP(B453,'11.COMPOSIÇÕES GERAIS'!B:I,8,0),VLOOKUP(B453,'12.COT.MERCADO'!A:I,8,0)))),"Em Elaboração")</f>
        <v>52.67</v>
      </c>
      <c r="J453" s="259">
        <f t="shared" si="129"/>
        <v>0</v>
      </c>
      <c r="K453" s="259">
        <f t="shared" si="130"/>
        <v>61.6941926</v>
      </c>
      <c r="L453" s="259">
        <f t="shared" si="131"/>
        <v>61.6941926</v>
      </c>
      <c r="M453" s="259">
        <f t="shared" si="132"/>
        <v>0</v>
      </c>
      <c r="N453" s="259">
        <f t="shared" si="133"/>
        <v>246.7767704</v>
      </c>
      <c r="O453" s="259">
        <f t="shared" si="134"/>
        <v>246.7767704</v>
      </c>
      <c r="P453" s="260">
        <f t="shared" si="2"/>
        <v>0.0001930471102</v>
      </c>
    </row>
    <row r="454">
      <c r="A454" s="253" t="s">
        <v>606</v>
      </c>
      <c r="B454" s="254">
        <v>34709.0</v>
      </c>
      <c r="C454" s="255" t="str">
        <f t="shared" si="128"/>
        <v>SINAPI</v>
      </c>
      <c r="D454" s="256" t="s">
        <v>286</v>
      </c>
      <c r="E454" s="257" t="str">
        <f>IFERROR(IF(D454="SINAPI-S",VLOOKUP(B454,'20-B.SINAPI-S'!A:J,2,0),IF(D454="SINAPI-I",VLOOKUP(B454,'20-A.SINAPI-I'!A:G,2,0),IF(D454="COMPOSIÇÕES",VLOOKUP(B454,'11.COMPOSIÇÕES GERAIS'!B:I,2,0),VLOOKUP(B454,'12.COT.MERCADO'!A:I,2,0)))),"Em Elaboração")</f>
        <v>DISJUNTOR TIPO DIN/IEC, TRIPOLAR DE 10 ATE 50A</v>
      </c>
      <c r="F454" s="258" t="str">
        <f>IFERROR(IF(D454="SINAPI-S",VLOOKUP(B454,'20-B.SINAPI-S'!A:J,3,0),IF(D454="SINAPI-I",VLOOKUP(B454,'20-A.SINAPI-I'!A:G,3,0),IF(D454="COMPOSIÇÕES",VLOOKUP(B454,'11.COMPOSIÇÕES GERAIS'!B:I,3,0),VLOOKUP(B454,'12.COT.MERCADO'!A:I,7,0)))),"Em Elaboração")</f>
        <v>UN</v>
      </c>
      <c r="G454" s="254">
        <v>4.0</v>
      </c>
      <c r="H454" s="259">
        <f>IFERROR(IF(D454="SINAPI-S",VLOOKUP(B454,'20-B.SINAPI-S'!A:J,5,0),IF(D454="SINAPI-I",VLOOKUP(B454,'20-A.SINAPI-I'!A:G,6,0),IF(D454="COMPOSIÇÕES",VLOOKUP(B454,'11.COMPOSIÇÕES GERAIS'!B:I,7,0),0))),"Em Elaboração")</f>
        <v>0</v>
      </c>
      <c r="I454" s="259">
        <f>IFERROR(IF(D454="SINAPI-S",VLOOKUP(B454,'20-B.SINAPI-S'!A:J,6,0),IF(D454="SINAPI-I",VLOOKUP(B454,'20-A.SINAPI-I'!A:G,7,0),IF(D454="COMPOSIÇÕES",VLOOKUP(B454,'11.COMPOSIÇÕES GERAIS'!B:I,8,0),VLOOKUP(B454,'12.COT.MERCADO'!A:I,8,0)))),"Em Elaboração")</f>
        <v>64.53</v>
      </c>
      <c r="J454" s="259">
        <f t="shared" si="129"/>
        <v>0</v>
      </c>
      <c r="K454" s="259">
        <f t="shared" si="130"/>
        <v>75.58622078</v>
      </c>
      <c r="L454" s="259">
        <f t="shared" si="131"/>
        <v>75.58622078</v>
      </c>
      <c r="M454" s="259">
        <f t="shared" si="132"/>
        <v>0</v>
      </c>
      <c r="N454" s="259">
        <f t="shared" si="133"/>
        <v>302.3448831</v>
      </c>
      <c r="O454" s="259">
        <f t="shared" si="134"/>
        <v>302.3448831</v>
      </c>
      <c r="P454" s="260">
        <f t="shared" si="2"/>
        <v>0.0002365166133</v>
      </c>
    </row>
    <row r="455">
      <c r="A455" s="253" t="s">
        <v>607</v>
      </c>
      <c r="B455" s="254">
        <v>2370.0</v>
      </c>
      <c r="C455" s="255" t="str">
        <f t="shared" si="128"/>
        <v>SINAPI</v>
      </c>
      <c r="D455" s="256" t="s">
        <v>286</v>
      </c>
      <c r="E455" s="257" t="str">
        <f>IFERROR(IF(D455="SINAPI-S",VLOOKUP(B455,'20-B.SINAPI-S'!A:J,2,0),IF(D455="SINAPI-I",VLOOKUP(B455,'20-A.SINAPI-I'!A:G,2,0),IF(D455="COMPOSIÇÕES",VLOOKUP(B455,'11.COMPOSIÇÕES GERAIS'!B:I,2,0),VLOOKUP(B455,'12.COT.MERCADO'!A:I,2,0)))),"Em Elaboração")</f>
        <v>DISJUNTOR TIPO NEMA, MONOPOLAR 10 ATE 30A, TENSAO MAXIMA DE 240 V</v>
      </c>
      <c r="F455" s="258" t="str">
        <f>IFERROR(IF(D455="SINAPI-S",VLOOKUP(B455,'20-B.SINAPI-S'!A:J,3,0),IF(D455="SINAPI-I",VLOOKUP(B455,'20-A.SINAPI-I'!A:G,3,0),IF(D455="COMPOSIÇÕES",VLOOKUP(B455,'11.COMPOSIÇÕES GERAIS'!B:I,3,0),VLOOKUP(B455,'12.COT.MERCADO'!A:I,7,0)))),"Em Elaboração")</f>
        <v>UN</v>
      </c>
      <c r="G455" s="254">
        <v>4.0</v>
      </c>
      <c r="H455" s="259">
        <f>IFERROR(IF(D455="SINAPI-S",VLOOKUP(B455,'20-B.SINAPI-S'!A:J,5,0),IF(D455="SINAPI-I",VLOOKUP(B455,'20-A.SINAPI-I'!A:G,6,0),IF(D455="COMPOSIÇÕES",VLOOKUP(B455,'11.COMPOSIÇÕES GERAIS'!B:I,7,0),0))),"Em Elaboração")</f>
        <v>0</v>
      </c>
      <c r="I455" s="259">
        <f>IFERROR(IF(D455="SINAPI-S",VLOOKUP(B455,'20-B.SINAPI-S'!A:J,6,0),IF(D455="SINAPI-I",VLOOKUP(B455,'20-A.SINAPI-I'!A:G,7,0),IF(D455="COMPOSIÇÕES",VLOOKUP(B455,'11.COMPOSIÇÕES GERAIS'!B:I,8,0),VLOOKUP(B455,'12.COT.MERCADO'!A:I,8,0)))),"Em Elaboração")</f>
        <v>11.9</v>
      </c>
      <c r="J455" s="259">
        <f t="shared" si="129"/>
        <v>0</v>
      </c>
      <c r="K455" s="259">
        <f t="shared" si="130"/>
        <v>13.93888156</v>
      </c>
      <c r="L455" s="259">
        <f t="shared" si="131"/>
        <v>13.93888156</v>
      </c>
      <c r="M455" s="259">
        <f t="shared" si="132"/>
        <v>0</v>
      </c>
      <c r="N455" s="259">
        <f t="shared" si="133"/>
        <v>55.75552625</v>
      </c>
      <c r="O455" s="259">
        <f t="shared" si="134"/>
        <v>55.75552625</v>
      </c>
      <c r="P455" s="260">
        <f t="shared" si="2"/>
        <v>0.00004361611186</v>
      </c>
    </row>
    <row r="456">
      <c r="A456" s="253" t="s">
        <v>608</v>
      </c>
      <c r="B456" s="254">
        <v>34653.0</v>
      </c>
      <c r="C456" s="255" t="str">
        <f t="shared" si="128"/>
        <v>SINAPI</v>
      </c>
      <c r="D456" s="256" t="s">
        <v>286</v>
      </c>
      <c r="E456" s="257" t="str">
        <f>IFERROR(IF(D456="SINAPI-S",VLOOKUP(B456,'20-B.SINAPI-S'!A:J,2,0),IF(D456="SINAPI-I",VLOOKUP(B456,'20-A.SINAPI-I'!A:G,2,0),IF(D456="COMPOSIÇÕES",VLOOKUP(B456,'11.COMPOSIÇÕES GERAIS'!B:I,2,0),VLOOKUP(B456,'12.COT.MERCADO'!A:I,2,0)))),"Em Elaboração")</f>
        <v>DISJUNTOR TIPO DIN/IEC, MONOPOLAR DE 6  ATE  32A</v>
      </c>
      <c r="F456" s="258" t="str">
        <f>IFERROR(IF(D456="SINAPI-S",VLOOKUP(B456,'20-B.SINAPI-S'!A:J,3,0),IF(D456="SINAPI-I",VLOOKUP(B456,'20-A.SINAPI-I'!A:G,3,0),IF(D456="COMPOSIÇÕES",VLOOKUP(B456,'11.COMPOSIÇÕES GERAIS'!B:I,3,0),VLOOKUP(B456,'12.COT.MERCADO'!A:I,7,0)))),"Em Elaboração")</f>
        <v>UN</v>
      </c>
      <c r="G456" s="254">
        <v>8.0</v>
      </c>
      <c r="H456" s="259">
        <f>IFERROR(IF(D456="SINAPI-S",VLOOKUP(B456,'20-B.SINAPI-S'!A:J,5,0),IF(D456="SINAPI-I",VLOOKUP(B456,'20-A.SINAPI-I'!A:G,6,0),IF(D456="COMPOSIÇÕES",VLOOKUP(B456,'11.COMPOSIÇÕES GERAIS'!B:I,7,0),0))),"Em Elaboração")</f>
        <v>0</v>
      </c>
      <c r="I456" s="259">
        <f>IFERROR(IF(D456="SINAPI-S",VLOOKUP(B456,'20-B.SINAPI-S'!A:J,6,0),IF(D456="SINAPI-I",VLOOKUP(B456,'20-A.SINAPI-I'!A:G,7,0),IF(D456="COMPOSIÇÕES",VLOOKUP(B456,'11.COMPOSIÇÕES GERAIS'!B:I,8,0),VLOOKUP(B456,'12.COT.MERCADO'!A:I,8,0)))),"Em Elaboração")</f>
        <v>9.19</v>
      </c>
      <c r="J456" s="259">
        <f t="shared" si="129"/>
        <v>0</v>
      </c>
      <c r="K456" s="259">
        <f t="shared" si="130"/>
        <v>10.76456484</v>
      </c>
      <c r="L456" s="259">
        <f t="shared" si="131"/>
        <v>10.76456484</v>
      </c>
      <c r="M456" s="259">
        <f t="shared" si="132"/>
        <v>0</v>
      </c>
      <c r="N456" s="259">
        <f t="shared" si="133"/>
        <v>86.1165187</v>
      </c>
      <c r="O456" s="259">
        <f t="shared" si="134"/>
        <v>86.1165187</v>
      </c>
      <c r="P456" s="260">
        <f t="shared" si="2"/>
        <v>0.00006736673411</v>
      </c>
    </row>
    <row r="457">
      <c r="A457" s="253" t="s">
        <v>609</v>
      </c>
      <c r="B457" s="254">
        <v>2370.0</v>
      </c>
      <c r="C457" s="255" t="str">
        <f t="shared" si="128"/>
        <v>SINAPI</v>
      </c>
      <c r="D457" s="256" t="s">
        <v>286</v>
      </c>
      <c r="E457" s="257" t="str">
        <f>IFERROR(IF(D457="SINAPI-S",VLOOKUP(B457,'20-B.SINAPI-S'!A:J,2,0),IF(D457="SINAPI-I",VLOOKUP(B457,'20-A.SINAPI-I'!A:G,2,0),IF(D457="COMPOSIÇÕES",VLOOKUP(B457,'11.COMPOSIÇÕES GERAIS'!B:I,2,0),VLOOKUP(B457,'12.COT.MERCADO'!A:I,2,0)))),"Em Elaboração")</f>
        <v>DISJUNTOR TIPO NEMA, MONOPOLAR 10 ATE 30A, TENSAO MAXIMA DE 240 V</v>
      </c>
      <c r="F457" s="258" t="str">
        <f>IFERROR(IF(D457="SINAPI-S",VLOOKUP(B457,'20-B.SINAPI-S'!A:J,3,0),IF(D457="SINAPI-I",VLOOKUP(B457,'20-A.SINAPI-I'!A:G,3,0),IF(D457="COMPOSIÇÕES",VLOOKUP(B457,'11.COMPOSIÇÕES GERAIS'!B:I,3,0),VLOOKUP(B457,'12.COT.MERCADO'!A:I,7,0)))),"Em Elaboração")</f>
        <v>UN</v>
      </c>
      <c r="G457" s="254">
        <v>4.0</v>
      </c>
      <c r="H457" s="259">
        <f>IFERROR(IF(D457="SINAPI-S",VLOOKUP(B457,'20-B.SINAPI-S'!A:J,5,0),IF(D457="SINAPI-I",VLOOKUP(B457,'20-A.SINAPI-I'!A:G,6,0),IF(D457="COMPOSIÇÕES",VLOOKUP(B457,'11.COMPOSIÇÕES GERAIS'!B:I,7,0),0))),"Em Elaboração")</f>
        <v>0</v>
      </c>
      <c r="I457" s="259">
        <f>IFERROR(IF(D457="SINAPI-S",VLOOKUP(B457,'20-B.SINAPI-S'!A:J,6,0),IF(D457="SINAPI-I",VLOOKUP(B457,'20-A.SINAPI-I'!A:G,7,0),IF(D457="COMPOSIÇÕES",VLOOKUP(B457,'11.COMPOSIÇÕES GERAIS'!B:I,8,0),VLOOKUP(B457,'12.COT.MERCADO'!A:I,8,0)))),"Em Elaboração")</f>
        <v>11.9</v>
      </c>
      <c r="J457" s="259">
        <f t="shared" si="129"/>
        <v>0</v>
      </c>
      <c r="K457" s="259">
        <f t="shared" si="130"/>
        <v>13.93888156</v>
      </c>
      <c r="L457" s="259">
        <f t="shared" si="131"/>
        <v>13.93888156</v>
      </c>
      <c r="M457" s="259">
        <f t="shared" si="132"/>
        <v>0</v>
      </c>
      <c r="N457" s="259">
        <f t="shared" si="133"/>
        <v>55.75552625</v>
      </c>
      <c r="O457" s="259">
        <f t="shared" si="134"/>
        <v>55.75552625</v>
      </c>
      <c r="P457" s="260">
        <f t="shared" si="2"/>
        <v>0.00004361611186</v>
      </c>
    </row>
    <row r="458">
      <c r="A458" s="253" t="s">
        <v>610</v>
      </c>
      <c r="B458" s="254">
        <v>2370.0</v>
      </c>
      <c r="C458" s="255" t="str">
        <f t="shared" si="128"/>
        <v>SINAPI</v>
      </c>
      <c r="D458" s="256" t="s">
        <v>286</v>
      </c>
      <c r="E458" s="257" t="str">
        <f>IFERROR(IF(D458="SINAPI-S",VLOOKUP(B458,'20-B.SINAPI-S'!A:J,2,0),IF(D458="SINAPI-I",VLOOKUP(B458,'20-A.SINAPI-I'!A:G,2,0),IF(D458="COMPOSIÇÕES",VLOOKUP(B458,'11.COMPOSIÇÕES GERAIS'!B:I,2,0),VLOOKUP(B458,'12.COT.MERCADO'!A:I,2,0)))),"Em Elaboração")</f>
        <v>DISJUNTOR TIPO NEMA, MONOPOLAR 10 ATE 30A, TENSAO MAXIMA DE 240 V</v>
      </c>
      <c r="F458" s="258" t="str">
        <f>IFERROR(IF(D458="SINAPI-S",VLOOKUP(B458,'20-B.SINAPI-S'!A:J,3,0),IF(D458="SINAPI-I",VLOOKUP(B458,'20-A.SINAPI-I'!A:G,3,0),IF(D458="COMPOSIÇÕES",VLOOKUP(B458,'11.COMPOSIÇÕES GERAIS'!B:I,3,0),VLOOKUP(B458,'12.COT.MERCADO'!A:I,7,0)))),"Em Elaboração")</f>
        <v>UN</v>
      </c>
      <c r="G458" s="254">
        <v>4.0</v>
      </c>
      <c r="H458" s="259">
        <f>IFERROR(IF(D458="SINAPI-S",VLOOKUP(B458,'20-B.SINAPI-S'!A:J,5,0),IF(D458="SINAPI-I",VLOOKUP(B458,'20-A.SINAPI-I'!A:G,6,0),IF(D458="COMPOSIÇÕES",VLOOKUP(B458,'11.COMPOSIÇÕES GERAIS'!B:I,7,0),0))),"Em Elaboração")</f>
        <v>0</v>
      </c>
      <c r="I458" s="259">
        <f>IFERROR(IF(D458="SINAPI-S",VLOOKUP(B458,'20-B.SINAPI-S'!A:J,6,0),IF(D458="SINAPI-I",VLOOKUP(B458,'20-A.SINAPI-I'!A:G,7,0),IF(D458="COMPOSIÇÕES",VLOOKUP(B458,'11.COMPOSIÇÕES GERAIS'!B:I,8,0),VLOOKUP(B458,'12.COT.MERCADO'!A:I,8,0)))),"Em Elaboração")</f>
        <v>11.9</v>
      </c>
      <c r="J458" s="259">
        <f t="shared" si="129"/>
        <v>0</v>
      </c>
      <c r="K458" s="259">
        <f t="shared" si="130"/>
        <v>13.93888156</v>
      </c>
      <c r="L458" s="259">
        <f t="shared" si="131"/>
        <v>13.93888156</v>
      </c>
      <c r="M458" s="259">
        <f t="shared" si="132"/>
        <v>0</v>
      </c>
      <c r="N458" s="259">
        <f t="shared" si="133"/>
        <v>55.75552625</v>
      </c>
      <c r="O458" s="259">
        <f t="shared" si="134"/>
        <v>55.75552625</v>
      </c>
      <c r="P458" s="260">
        <f t="shared" si="2"/>
        <v>0.00004361611186</v>
      </c>
    </row>
    <row r="459">
      <c r="A459" s="253" t="s">
        <v>611</v>
      </c>
      <c r="B459" s="254">
        <v>2373.0</v>
      </c>
      <c r="C459" s="255" t="str">
        <f t="shared" si="128"/>
        <v>SINAPI</v>
      </c>
      <c r="D459" s="256" t="s">
        <v>286</v>
      </c>
      <c r="E459" s="257" t="str">
        <f>IFERROR(IF(D459="SINAPI-S",VLOOKUP(B459,'20-B.SINAPI-S'!A:J,2,0),IF(D459="SINAPI-I",VLOOKUP(B459,'20-A.SINAPI-I'!A:G,2,0),IF(D459="COMPOSIÇÕES",VLOOKUP(B459,'11.COMPOSIÇÕES GERAIS'!B:I,2,0),VLOOKUP(B459,'12.COT.MERCADO'!A:I,2,0)))),"Em Elaboração")</f>
        <v>DISJUNTOR TIPO NEMA, TRIPOLAR 60 ATE 100 A, TENSAO MAXIMA DE 415 V</v>
      </c>
      <c r="F459" s="258" t="str">
        <f>IFERROR(IF(D459="SINAPI-S",VLOOKUP(B459,'20-B.SINAPI-S'!A:J,3,0),IF(D459="SINAPI-I",VLOOKUP(B459,'20-A.SINAPI-I'!A:G,3,0),IF(D459="COMPOSIÇÕES",VLOOKUP(B459,'11.COMPOSIÇÕES GERAIS'!B:I,3,0),VLOOKUP(B459,'12.COT.MERCADO'!A:I,7,0)))),"Em Elaboração")</f>
        <v>UN</v>
      </c>
      <c r="G459" s="254">
        <v>2.0</v>
      </c>
      <c r="H459" s="259">
        <f>IFERROR(IF(D459="SINAPI-S",VLOOKUP(B459,'20-B.SINAPI-S'!A:J,5,0),IF(D459="SINAPI-I",VLOOKUP(B459,'20-A.SINAPI-I'!A:G,6,0),IF(D459="COMPOSIÇÕES",VLOOKUP(B459,'11.COMPOSIÇÕES GERAIS'!B:I,7,0),0))),"Em Elaboração")</f>
        <v>0</v>
      </c>
      <c r="I459" s="259">
        <f>IFERROR(IF(D459="SINAPI-S",VLOOKUP(B459,'20-B.SINAPI-S'!A:J,6,0),IF(D459="SINAPI-I",VLOOKUP(B459,'20-A.SINAPI-I'!A:G,7,0),IF(D459="COMPOSIÇÕES",VLOOKUP(B459,'11.COMPOSIÇÕES GERAIS'!B:I,8,0),VLOOKUP(B459,'12.COT.MERCADO'!A:I,8,0)))),"Em Elaboração")</f>
        <v>112.55</v>
      </c>
      <c r="J459" s="259">
        <f t="shared" si="129"/>
        <v>0</v>
      </c>
      <c r="K459" s="259">
        <f t="shared" si="130"/>
        <v>131.8337076</v>
      </c>
      <c r="L459" s="259">
        <f t="shared" si="131"/>
        <v>131.8337076</v>
      </c>
      <c r="M459" s="259">
        <f t="shared" si="132"/>
        <v>0</v>
      </c>
      <c r="N459" s="259">
        <f t="shared" si="133"/>
        <v>263.6674151</v>
      </c>
      <c r="O459" s="259">
        <f t="shared" si="134"/>
        <v>263.6674151</v>
      </c>
      <c r="P459" s="260">
        <f t="shared" si="2"/>
        <v>0.0002062602265</v>
      </c>
    </row>
    <row r="460">
      <c r="A460" s="253" t="s">
        <v>612</v>
      </c>
      <c r="B460" s="254">
        <v>2393.0</v>
      </c>
      <c r="C460" s="255" t="str">
        <f t="shared" si="128"/>
        <v>SINAPI</v>
      </c>
      <c r="D460" s="256" t="s">
        <v>286</v>
      </c>
      <c r="E460" s="257" t="str">
        <f>IFERROR(IF(D460="SINAPI-S",VLOOKUP(B460,'20-B.SINAPI-S'!A:J,2,0),IF(D460="SINAPI-I",VLOOKUP(B460,'20-A.SINAPI-I'!A:G,2,0),IF(D460="COMPOSIÇÕES",VLOOKUP(B460,'11.COMPOSIÇÕES GERAIS'!B:I,2,0),VLOOKUP(B460,'12.COT.MERCADO'!A:I,2,0)))),"Em Elaboração")</f>
        <v>DISJUNTOR TERMOMAGNETICO TRIPOLAR 250 A / 600 V, TIPO FXD</v>
      </c>
      <c r="F460" s="258" t="str">
        <f>IFERROR(IF(D460="SINAPI-S",VLOOKUP(B460,'20-B.SINAPI-S'!A:J,3,0),IF(D460="SINAPI-I",VLOOKUP(B460,'20-A.SINAPI-I'!A:G,3,0),IF(D460="COMPOSIÇÕES",VLOOKUP(B460,'11.COMPOSIÇÕES GERAIS'!B:I,3,0),VLOOKUP(B460,'12.COT.MERCADO'!A:I,7,0)))),"Em Elaboração")</f>
        <v>UN</v>
      </c>
      <c r="G460" s="254">
        <v>1.0</v>
      </c>
      <c r="H460" s="259">
        <f>IFERROR(IF(D460="SINAPI-S",VLOOKUP(B460,'20-B.SINAPI-S'!A:J,5,0),IF(D460="SINAPI-I",VLOOKUP(B460,'20-A.SINAPI-I'!A:G,6,0),IF(D460="COMPOSIÇÕES",VLOOKUP(B460,'11.COMPOSIÇÕES GERAIS'!B:I,7,0),0))),"Em Elaboração")</f>
        <v>0</v>
      </c>
      <c r="I460" s="259">
        <f>IFERROR(IF(D460="SINAPI-S",VLOOKUP(B460,'20-B.SINAPI-S'!A:J,6,0),IF(D460="SINAPI-I",VLOOKUP(B460,'20-A.SINAPI-I'!A:G,7,0),IF(D460="COMPOSIÇÕES",VLOOKUP(B460,'11.COMPOSIÇÕES GERAIS'!B:I,8,0),VLOOKUP(B460,'12.COT.MERCADO'!A:I,8,0)))),"Em Elaboração")</f>
        <v>938.43</v>
      </c>
      <c r="J460" s="259">
        <f t="shared" si="129"/>
        <v>0</v>
      </c>
      <c r="K460" s="259">
        <f t="shared" si="130"/>
        <v>1099.215515</v>
      </c>
      <c r="L460" s="259">
        <f t="shared" si="131"/>
        <v>1099.215515</v>
      </c>
      <c r="M460" s="259">
        <f t="shared" si="132"/>
        <v>0</v>
      </c>
      <c r="N460" s="259">
        <f t="shared" si="133"/>
        <v>1099.215515</v>
      </c>
      <c r="O460" s="259">
        <f t="shared" si="134"/>
        <v>1099.215515</v>
      </c>
      <c r="P460" s="260">
        <f t="shared" si="2"/>
        <v>0.00085988798</v>
      </c>
    </row>
    <row r="461">
      <c r="A461" s="253" t="s">
        <v>613</v>
      </c>
      <c r="B461" s="254">
        <v>34623.0</v>
      </c>
      <c r="C461" s="255" t="str">
        <f t="shared" si="128"/>
        <v>SINAPI</v>
      </c>
      <c r="D461" s="256" t="s">
        <v>286</v>
      </c>
      <c r="E461" s="257" t="str">
        <f>IFERROR(IF(D461="SINAPI-S",VLOOKUP(B461,'20-B.SINAPI-S'!A:J,2,0),IF(D461="SINAPI-I",VLOOKUP(B461,'20-A.SINAPI-I'!A:G,2,0),IF(D461="COMPOSIÇÕES",VLOOKUP(B461,'11.COMPOSIÇÕES GERAIS'!B:I,2,0),VLOOKUP(B461,'12.COT.MERCADO'!A:I,2,0)))),"Em Elaboração")</f>
        <v>DISJUNTOR TIPO DIN/IEC, BIPOLAR 40 ATE 50A</v>
      </c>
      <c r="F461" s="258" t="str">
        <f>IFERROR(IF(D461="SINAPI-S",VLOOKUP(B461,'20-B.SINAPI-S'!A:J,3,0),IF(D461="SINAPI-I",VLOOKUP(B461,'20-A.SINAPI-I'!A:G,3,0),IF(D461="COMPOSIÇÕES",VLOOKUP(B461,'11.COMPOSIÇÕES GERAIS'!B:I,3,0),VLOOKUP(B461,'12.COT.MERCADO'!A:I,7,0)))),"Em Elaboração")</f>
        <v>UN</v>
      </c>
      <c r="G461" s="254">
        <v>4.0</v>
      </c>
      <c r="H461" s="259">
        <f>IFERROR(IF(D461="SINAPI-S",VLOOKUP(B461,'20-B.SINAPI-S'!A:J,5,0),IF(D461="SINAPI-I",VLOOKUP(B461,'20-A.SINAPI-I'!A:G,6,0),IF(D461="COMPOSIÇÕES",VLOOKUP(B461,'11.COMPOSIÇÕES GERAIS'!B:I,7,0),0))),"Em Elaboração")</f>
        <v>0</v>
      </c>
      <c r="I461" s="259">
        <f>IFERROR(IF(D461="SINAPI-S",VLOOKUP(B461,'20-B.SINAPI-S'!A:J,6,0),IF(D461="SINAPI-I",VLOOKUP(B461,'20-A.SINAPI-I'!A:G,7,0),IF(D461="COMPOSIÇÕES",VLOOKUP(B461,'11.COMPOSIÇÕES GERAIS'!B:I,8,0),VLOOKUP(B461,'12.COT.MERCADO'!A:I,8,0)))),"Em Elaboração")</f>
        <v>51.86</v>
      </c>
      <c r="J461" s="259">
        <f t="shared" si="129"/>
        <v>0</v>
      </c>
      <c r="K461" s="259">
        <f t="shared" si="130"/>
        <v>60.74541159</v>
      </c>
      <c r="L461" s="259">
        <f t="shared" si="131"/>
        <v>60.74541159</v>
      </c>
      <c r="M461" s="259">
        <f t="shared" si="132"/>
        <v>0</v>
      </c>
      <c r="N461" s="259">
        <f t="shared" si="133"/>
        <v>242.9816463</v>
      </c>
      <c r="O461" s="259">
        <f t="shared" si="134"/>
        <v>242.9816463</v>
      </c>
      <c r="P461" s="260">
        <f t="shared" si="2"/>
        <v>0.0001900782824</v>
      </c>
    </row>
    <row r="462">
      <c r="A462" s="253" t="s">
        <v>614</v>
      </c>
      <c r="B462" s="254">
        <v>2392.0</v>
      </c>
      <c r="C462" s="255" t="str">
        <f t="shared" si="128"/>
        <v>SINAPI</v>
      </c>
      <c r="D462" s="256" t="s">
        <v>286</v>
      </c>
      <c r="E462" s="257" t="str">
        <f>IFERROR(IF(D462="SINAPI-S",VLOOKUP(B462,'20-B.SINAPI-S'!A:J,2,0),IF(D462="SINAPI-I",VLOOKUP(B462,'20-A.SINAPI-I'!A:G,2,0),IF(D462="COMPOSIÇÕES",VLOOKUP(B462,'11.COMPOSIÇÕES GERAIS'!B:I,2,0),VLOOKUP(B462,'12.COT.MERCADO'!A:I,2,0)))),"Em Elaboração")</f>
        <v>DISJUNTOR TIPO NEMA, TRIPOLAR 10  ATE  50A, TENSAO MAXIMA DE 415 V</v>
      </c>
      <c r="F462" s="258" t="str">
        <f>IFERROR(IF(D462="SINAPI-S",VLOOKUP(B462,'20-B.SINAPI-S'!A:J,3,0),IF(D462="SINAPI-I",VLOOKUP(B462,'20-A.SINAPI-I'!A:G,3,0),IF(D462="COMPOSIÇÕES",VLOOKUP(B462,'11.COMPOSIÇÕES GERAIS'!B:I,3,0),VLOOKUP(B462,'12.COT.MERCADO'!A:I,7,0)))),"Em Elaboração")</f>
        <v>UN</v>
      </c>
      <c r="G462" s="254">
        <v>4.0</v>
      </c>
      <c r="H462" s="259">
        <f>IFERROR(IF(D462="SINAPI-S",VLOOKUP(B462,'20-B.SINAPI-S'!A:J,5,0),IF(D462="SINAPI-I",VLOOKUP(B462,'20-A.SINAPI-I'!A:G,6,0),IF(D462="COMPOSIÇÕES",VLOOKUP(B462,'11.COMPOSIÇÕES GERAIS'!B:I,7,0),0))),"Em Elaboração")</f>
        <v>0</v>
      </c>
      <c r="I462" s="259">
        <f>IFERROR(IF(D462="SINAPI-S",VLOOKUP(B462,'20-B.SINAPI-S'!A:J,6,0),IF(D462="SINAPI-I",VLOOKUP(B462,'20-A.SINAPI-I'!A:G,7,0),IF(D462="COMPOSIÇÕES",VLOOKUP(B462,'11.COMPOSIÇÕES GERAIS'!B:I,8,0),VLOOKUP(B462,'12.COT.MERCADO'!A:I,8,0)))),"Em Elaboração")</f>
        <v>79.88</v>
      </c>
      <c r="J462" s="259">
        <f t="shared" si="129"/>
        <v>0</v>
      </c>
      <c r="K462" s="259">
        <f t="shared" si="130"/>
        <v>93.56620666</v>
      </c>
      <c r="L462" s="259">
        <f t="shared" si="131"/>
        <v>93.56620666</v>
      </c>
      <c r="M462" s="259">
        <f t="shared" si="132"/>
        <v>0</v>
      </c>
      <c r="N462" s="259">
        <f t="shared" si="133"/>
        <v>374.2648266</v>
      </c>
      <c r="O462" s="259">
        <f t="shared" si="134"/>
        <v>374.2648266</v>
      </c>
      <c r="P462" s="260">
        <f t="shared" si="2"/>
        <v>0.0002927777324</v>
      </c>
    </row>
    <row r="463">
      <c r="A463" s="253" t="s">
        <v>615</v>
      </c>
      <c r="B463" s="254">
        <v>34709.0</v>
      </c>
      <c r="C463" s="255" t="str">
        <f t="shared" si="128"/>
        <v>SINAPI</v>
      </c>
      <c r="D463" s="256" t="s">
        <v>286</v>
      </c>
      <c r="E463" s="257" t="str">
        <f>IFERROR(IF(D463="SINAPI-S",VLOOKUP(B463,'20-B.SINAPI-S'!A:J,2,0),IF(D463="SINAPI-I",VLOOKUP(B463,'20-A.SINAPI-I'!A:G,2,0),IF(D463="COMPOSIÇÕES",VLOOKUP(B463,'11.COMPOSIÇÕES GERAIS'!B:I,2,0),VLOOKUP(B463,'12.COT.MERCADO'!A:I,2,0)))),"Em Elaboração")</f>
        <v>DISJUNTOR TIPO DIN/IEC, TRIPOLAR DE 10 ATE 50A</v>
      </c>
      <c r="F463" s="258" t="str">
        <f>IFERROR(IF(D463="SINAPI-S",VLOOKUP(B463,'20-B.SINAPI-S'!A:J,3,0),IF(D463="SINAPI-I",VLOOKUP(B463,'20-A.SINAPI-I'!A:G,3,0),IF(D463="COMPOSIÇÕES",VLOOKUP(B463,'11.COMPOSIÇÕES GERAIS'!B:I,3,0),VLOOKUP(B463,'12.COT.MERCADO'!A:I,7,0)))),"Em Elaboração")</f>
        <v>UN</v>
      </c>
      <c r="G463" s="254">
        <v>4.0</v>
      </c>
      <c r="H463" s="259">
        <f>IFERROR(IF(D463="SINAPI-S",VLOOKUP(B463,'20-B.SINAPI-S'!A:J,5,0),IF(D463="SINAPI-I",VLOOKUP(B463,'20-A.SINAPI-I'!A:G,6,0),IF(D463="COMPOSIÇÕES",VLOOKUP(B463,'11.COMPOSIÇÕES GERAIS'!B:I,7,0),0))),"Em Elaboração")</f>
        <v>0</v>
      </c>
      <c r="I463" s="259">
        <f>IFERROR(IF(D463="SINAPI-S",VLOOKUP(B463,'20-B.SINAPI-S'!A:J,6,0),IF(D463="SINAPI-I",VLOOKUP(B463,'20-A.SINAPI-I'!A:G,7,0),IF(D463="COMPOSIÇÕES",VLOOKUP(B463,'11.COMPOSIÇÕES GERAIS'!B:I,8,0),VLOOKUP(B463,'12.COT.MERCADO'!A:I,8,0)))),"Em Elaboração")</f>
        <v>64.53</v>
      </c>
      <c r="J463" s="259">
        <f t="shared" si="129"/>
        <v>0</v>
      </c>
      <c r="K463" s="259">
        <f t="shared" si="130"/>
        <v>75.58622078</v>
      </c>
      <c r="L463" s="259">
        <f t="shared" si="131"/>
        <v>75.58622078</v>
      </c>
      <c r="M463" s="259">
        <f t="shared" si="132"/>
        <v>0</v>
      </c>
      <c r="N463" s="259">
        <f t="shared" si="133"/>
        <v>302.3448831</v>
      </c>
      <c r="O463" s="259">
        <f t="shared" si="134"/>
        <v>302.3448831</v>
      </c>
      <c r="P463" s="260">
        <f t="shared" si="2"/>
        <v>0.0002365166133</v>
      </c>
    </row>
    <row r="464">
      <c r="A464" s="253" t="s">
        <v>616</v>
      </c>
      <c r="B464" s="254">
        <v>34709.0</v>
      </c>
      <c r="C464" s="255" t="str">
        <f t="shared" si="128"/>
        <v>SINAPI</v>
      </c>
      <c r="D464" s="256" t="s">
        <v>286</v>
      </c>
      <c r="E464" s="257" t="str">
        <f>IFERROR(IF(D464="SINAPI-S",VLOOKUP(B464,'20-B.SINAPI-S'!A:J,2,0),IF(D464="SINAPI-I",VLOOKUP(B464,'20-A.SINAPI-I'!A:G,2,0),IF(D464="COMPOSIÇÕES",VLOOKUP(B464,'11.COMPOSIÇÕES GERAIS'!B:I,2,0),VLOOKUP(B464,'12.COT.MERCADO'!A:I,2,0)))),"Em Elaboração")</f>
        <v>DISJUNTOR TIPO DIN/IEC, TRIPOLAR DE 10 ATE 50A</v>
      </c>
      <c r="F464" s="258" t="str">
        <f>IFERROR(IF(D464="SINAPI-S",VLOOKUP(B464,'20-B.SINAPI-S'!A:J,3,0),IF(D464="SINAPI-I",VLOOKUP(B464,'20-A.SINAPI-I'!A:G,3,0),IF(D464="COMPOSIÇÕES",VLOOKUP(B464,'11.COMPOSIÇÕES GERAIS'!B:I,3,0),VLOOKUP(B464,'12.COT.MERCADO'!A:I,7,0)))),"Em Elaboração")</f>
        <v>UN</v>
      </c>
      <c r="G464" s="254">
        <v>4.0</v>
      </c>
      <c r="H464" s="259">
        <f>IFERROR(IF(D464="SINAPI-S",VLOOKUP(B464,'20-B.SINAPI-S'!A:J,5,0),IF(D464="SINAPI-I",VLOOKUP(B464,'20-A.SINAPI-I'!A:G,6,0),IF(D464="COMPOSIÇÕES",VLOOKUP(B464,'11.COMPOSIÇÕES GERAIS'!B:I,7,0),0))),"Em Elaboração")</f>
        <v>0</v>
      </c>
      <c r="I464" s="259">
        <f>IFERROR(IF(D464="SINAPI-S",VLOOKUP(B464,'20-B.SINAPI-S'!A:J,6,0),IF(D464="SINAPI-I",VLOOKUP(B464,'20-A.SINAPI-I'!A:G,7,0),IF(D464="COMPOSIÇÕES",VLOOKUP(B464,'11.COMPOSIÇÕES GERAIS'!B:I,8,0),VLOOKUP(B464,'12.COT.MERCADO'!A:I,8,0)))),"Em Elaboração")</f>
        <v>64.53</v>
      </c>
      <c r="J464" s="259">
        <f t="shared" si="129"/>
        <v>0</v>
      </c>
      <c r="K464" s="259">
        <f t="shared" si="130"/>
        <v>75.58622078</v>
      </c>
      <c r="L464" s="259">
        <f t="shared" si="131"/>
        <v>75.58622078</v>
      </c>
      <c r="M464" s="259">
        <f t="shared" si="132"/>
        <v>0</v>
      </c>
      <c r="N464" s="259">
        <f t="shared" si="133"/>
        <v>302.3448831</v>
      </c>
      <c r="O464" s="259">
        <f t="shared" si="134"/>
        <v>302.3448831</v>
      </c>
      <c r="P464" s="260">
        <f t="shared" si="2"/>
        <v>0.0002365166133</v>
      </c>
    </row>
    <row r="465">
      <c r="A465" s="253" t="s">
        <v>617</v>
      </c>
      <c r="B465" s="254">
        <v>34714.0</v>
      </c>
      <c r="C465" s="255" t="str">
        <f t="shared" si="128"/>
        <v>SINAPI</v>
      </c>
      <c r="D465" s="256" t="s">
        <v>286</v>
      </c>
      <c r="E465" s="257" t="str">
        <f>IFERROR(IF(D465="SINAPI-S",VLOOKUP(B465,'20-B.SINAPI-S'!A:J,2,0),IF(D465="SINAPI-I",VLOOKUP(B465,'20-A.SINAPI-I'!A:G,2,0),IF(D465="COMPOSIÇÕES",VLOOKUP(B465,'11.COMPOSIÇÕES GERAIS'!B:I,2,0),VLOOKUP(B465,'12.COT.MERCADO'!A:I,2,0)))),"Em Elaboração")</f>
        <v>DISJUNTOR TIPO DIN/IEC, TRIPOLAR 63 A</v>
      </c>
      <c r="F465" s="258" t="str">
        <f>IFERROR(IF(D465="SINAPI-S",VLOOKUP(B465,'20-B.SINAPI-S'!A:J,3,0),IF(D465="SINAPI-I",VLOOKUP(B465,'20-A.SINAPI-I'!A:G,3,0),IF(D465="COMPOSIÇÕES",VLOOKUP(B465,'11.COMPOSIÇÕES GERAIS'!B:I,3,0),VLOOKUP(B465,'12.COT.MERCADO'!A:I,7,0)))),"Em Elaboração")</f>
        <v>UN</v>
      </c>
      <c r="G465" s="254">
        <v>2.0</v>
      </c>
      <c r="H465" s="259">
        <f>IFERROR(IF(D465="SINAPI-S",VLOOKUP(B465,'20-B.SINAPI-S'!A:J,5,0),IF(D465="SINAPI-I",VLOOKUP(B465,'20-A.SINAPI-I'!A:G,6,0),IF(D465="COMPOSIÇÕES",VLOOKUP(B465,'11.COMPOSIÇÕES GERAIS'!B:I,7,0),0))),"Em Elaboração")</f>
        <v>0</v>
      </c>
      <c r="I465" s="259">
        <f>IFERROR(IF(D465="SINAPI-S",VLOOKUP(B465,'20-B.SINAPI-S'!A:J,6,0),IF(D465="SINAPI-I",VLOOKUP(B465,'20-A.SINAPI-I'!A:G,7,0),IF(D465="COMPOSIÇÕES",VLOOKUP(B465,'11.COMPOSIÇÕES GERAIS'!B:I,8,0),VLOOKUP(B465,'12.COT.MERCADO'!A:I,8,0)))),"Em Elaboração")</f>
        <v>77.07</v>
      </c>
      <c r="J465" s="259">
        <f t="shared" si="129"/>
        <v>0</v>
      </c>
      <c r="K465" s="259">
        <f t="shared" si="130"/>
        <v>90.27475648</v>
      </c>
      <c r="L465" s="259">
        <f t="shared" si="131"/>
        <v>90.27475648</v>
      </c>
      <c r="M465" s="259">
        <f t="shared" si="132"/>
        <v>0</v>
      </c>
      <c r="N465" s="259">
        <f t="shared" si="133"/>
        <v>180.549513</v>
      </c>
      <c r="O465" s="259">
        <f t="shared" si="134"/>
        <v>180.549513</v>
      </c>
      <c r="P465" s="260">
        <f t="shared" si="2"/>
        <v>0.0001412392328</v>
      </c>
    </row>
    <row r="466">
      <c r="A466" s="253" t="s">
        <v>618</v>
      </c>
      <c r="B466" s="254">
        <v>39445.0</v>
      </c>
      <c r="C466" s="255" t="str">
        <f t="shared" si="128"/>
        <v>SINAPI</v>
      </c>
      <c r="D466" s="256" t="s">
        <v>286</v>
      </c>
      <c r="E466" s="257" t="str">
        <f>IFERROR(IF(D466="SINAPI-S",VLOOKUP(B466,'20-B.SINAPI-S'!A:J,2,0),IF(D466="SINAPI-I",VLOOKUP(B466,'20-A.SINAPI-I'!A:G,2,0),IF(D466="COMPOSIÇÕES",VLOOKUP(B466,'11.COMPOSIÇÕES GERAIS'!B:I,2,0),VLOOKUP(B466,'12.COT.MERCADO'!A:I,2,0)))),"Em Elaboração")</f>
        <v>DISPOSITIVO DR, 2 POLOS, SENSIBILIDADE DE 30 MA, CORRENTE DE 25 A, TIPO AC</v>
      </c>
      <c r="F466" s="258" t="str">
        <f>IFERROR(IF(D466="SINAPI-S",VLOOKUP(B466,'20-B.SINAPI-S'!A:J,3,0),IF(D466="SINAPI-I",VLOOKUP(B466,'20-A.SINAPI-I'!A:G,3,0),IF(D466="COMPOSIÇÕES",VLOOKUP(B466,'11.COMPOSIÇÕES GERAIS'!B:I,3,0),VLOOKUP(B466,'12.COT.MERCADO'!A:I,7,0)))),"Em Elaboração")</f>
        <v>UN</v>
      </c>
      <c r="G466" s="254">
        <v>4.0</v>
      </c>
      <c r="H466" s="259">
        <f>IFERROR(IF(D466="SINAPI-S",VLOOKUP(B466,'20-B.SINAPI-S'!A:J,5,0),IF(D466="SINAPI-I",VLOOKUP(B466,'20-A.SINAPI-I'!A:G,6,0),IF(D466="COMPOSIÇÕES",VLOOKUP(B466,'11.COMPOSIÇÕES GERAIS'!B:I,7,0),0))),"Em Elaboração")</f>
        <v>0</v>
      </c>
      <c r="I466" s="259">
        <f>IFERROR(IF(D466="SINAPI-S",VLOOKUP(B466,'20-B.SINAPI-S'!A:J,6,0),IF(D466="SINAPI-I",VLOOKUP(B466,'20-A.SINAPI-I'!A:G,7,0),IF(D466="COMPOSIÇÕES",VLOOKUP(B466,'11.COMPOSIÇÕES GERAIS'!B:I,8,0),VLOOKUP(B466,'12.COT.MERCADO'!A:I,8,0)))),"Em Elaboração")</f>
        <v>141.47</v>
      </c>
      <c r="J466" s="259">
        <f t="shared" si="129"/>
        <v>0</v>
      </c>
      <c r="K466" s="259">
        <f t="shared" si="130"/>
        <v>165.7087038</v>
      </c>
      <c r="L466" s="259">
        <f t="shared" si="131"/>
        <v>165.7087038</v>
      </c>
      <c r="M466" s="259">
        <f t="shared" si="132"/>
        <v>0</v>
      </c>
      <c r="N466" s="259">
        <f t="shared" si="133"/>
        <v>662.834815</v>
      </c>
      <c r="O466" s="259">
        <f t="shared" si="134"/>
        <v>662.834815</v>
      </c>
      <c r="P466" s="260">
        <f t="shared" si="2"/>
        <v>0.0005185186004</v>
      </c>
    </row>
    <row r="467">
      <c r="A467" s="253" t="s">
        <v>619</v>
      </c>
      <c r="B467" s="254">
        <v>39446.0</v>
      </c>
      <c r="C467" s="255" t="str">
        <f t="shared" si="128"/>
        <v>SINAPI</v>
      </c>
      <c r="D467" s="256" t="s">
        <v>286</v>
      </c>
      <c r="E467" s="257" t="str">
        <f>IFERROR(IF(D467="SINAPI-S",VLOOKUP(B467,'20-B.SINAPI-S'!A:J,2,0),IF(D467="SINAPI-I",VLOOKUP(B467,'20-A.SINAPI-I'!A:G,2,0),IF(D467="COMPOSIÇÕES",VLOOKUP(B467,'11.COMPOSIÇÕES GERAIS'!B:I,2,0),VLOOKUP(B467,'12.COT.MERCADO'!A:I,2,0)))),"Em Elaboração")</f>
        <v>DISPOSITIVO DR, 2 POLOS, SENSIBILIDADE DE 30 MA, CORRENTE DE 40 A, TIPO AC</v>
      </c>
      <c r="F467" s="258" t="str">
        <f>IFERROR(IF(D467="SINAPI-S",VLOOKUP(B467,'20-B.SINAPI-S'!A:J,3,0),IF(D467="SINAPI-I",VLOOKUP(B467,'20-A.SINAPI-I'!A:G,3,0),IF(D467="COMPOSIÇÕES",VLOOKUP(B467,'11.COMPOSIÇÕES GERAIS'!B:I,3,0),VLOOKUP(B467,'12.COT.MERCADO'!A:I,7,0)))),"Em Elaboração")</f>
        <v>UN</v>
      </c>
      <c r="G467" s="254">
        <v>4.0</v>
      </c>
      <c r="H467" s="259">
        <f>IFERROR(IF(D467="SINAPI-S",VLOOKUP(B467,'20-B.SINAPI-S'!A:J,5,0),IF(D467="SINAPI-I",VLOOKUP(B467,'20-A.SINAPI-I'!A:G,6,0),IF(D467="COMPOSIÇÕES",VLOOKUP(B467,'11.COMPOSIÇÕES GERAIS'!B:I,7,0),0))),"Em Elaboração")</f>
        <v>0</v>
      </c>
      <c r="I467" s="259">
        <f>IFERROR(IF(D467="SINAPI-S",VLOOKUP(B467,'20-B.SINAPI-S'!A:J,6,0),IF(D467="SINAPI-I",VLOOKUP(B467,'20-A.SINAPI-I'!A:G,7,0),IF(D467="COMPOSIÇÕES",VLOOKUP(B467,'11.COMPOSIÇÕES GERAIS'!B:I,8,0),VLOOKUP(B467,'12.COT.MERCADO'!A:I,8,0)))),"Em Elaboração")</f>
        <v>143.99</v>
      </c>
      <c r="J467" s="259">
        <f t="shared" si="129"/>
        <v>0</v>
      </c>
      <c r="K467" s="259">
        <f t="shared" si="130"/>
        <v>168.6604669</v>
      </c>
      <c r="L467" s="259">
        <f t="shared" si="131"/>
        <v>168.6604669</v>
      </c>
      <c r="M467" s="259">
        <f t="shared" si="132"/>
        <v>0</v>
      </c>
      <c r="N467" s="259">
        <f t="shared" si="133"/>
        <v>674.6418677</v>
      </c>
      <c r="O467" s="259">
        <f t="shared" si="134"/>
        <v>674.6418677</v>
      </c>
      <c r="P467" s="260">
        <f t="shared" si="2"/>
        <v>0.0005277549535</v>
      </c>
    </row>
    <row r="468">
      <c r="A468" s="253" t="s">
        <v>620</v>
      </c>
      <c r="B468" s="254">
        <v>39447.0</v>
      </c>
      <c r="C468" s="255" t="str">
        <f t="shared" si="128"/>
        <v>SINAPI</v>
      </c>
      <c r="D468" s="256" t="s">
        <v>286</v>
      </c>
      <c r="E468" s="257" t="str">
        <f>IFERROR(IF(D468="SINAPI-S",VLOOKUP(B468,'20-B.SINAPI-S'!A:J,2,0),IF(D468="SINAPI-I",VLOOKUP(B468,'20-A.SINAPI-I'!A:G,2,0),IF(D468="COMPOSIÇÕES",VLOOKUP(B468,'11.COMPOSIÇÕES GERAIS'!B:I,2,0),VLOOKUP(B468,'12.COT.MERCADO'!A:I,2,0)))),"Em Elaboração")</f>
        <v>DISPOSITIVO DR, 2 POLOS, SENSIBILIDADE DE 30 MA, CORRENTE DE 63 A, TIPO AC</v>
      </c>
      <c r="F468" s="258" t="str">
        <f>IFERROR(IF(D468="SINAPI-S",VLOOKUP(B468,'20-B.SINAPI-S'!A:J,3,0),IF(D468="SINAPI-I",VLOOKUP(B468,'20-A.SINAPI-I'!A:G,3,0),IF(D468="COMPOSIÇÕES",VLOOKUP(B468,'11.COMPOSIÇÕES GERAIS'!B:I,3,0),VLOOKUP(B468,'12.COT.MERCADO'!A:I,7,0)))),"Em Elaboração")</f>
        <v>UN</v>
      </c>
      <c r="G468" s="254">
        <v>3.0</v>
      </c>
      <c r="H468" s="259">
        <f>IFERROR(IF(D468="SINAPI-S",VLOOKUP(B468,'20-B.SINAPI-S'!A:J,5,0),IF(D468="SINAPI-I",VLOOKUP(B468,'20-A.SINAPI-I'!A:G,6,0),IF(D468="COMPOSIÇÕES",VLOOKUP(B468,'11.COMPOSIÇÕES GERAIS'!B:I,7,0),0))),"Em Elaboração")</f>
        <v>0</v>
      </c>
      <c r="I468" s="259">
        <f>IFERROR(IF(D468="SINAPI-S",VLOOKUP(B468,'20-B.SINAPI-S'!A:J,6,0),IF(D468="SINAPI-I",VLOOKUP(B468,'20-A.SINAPI-I'!A:G,7,0),IF(D468="COMPOSIÇÕES",VLOOKUP(B468,'11.COMPOSIÇÕES GERAIS'!B:I,8,0),VLOOKUP(B468,'12.COT.MERCADO'!A:I,8,0)))),"Em Elaboração")</f>
        <v>153.98</v>
      </c>
      <c r="J468" s="259">
        <f t="shared" si="129"/>
        <v>0</v>
      </c>
      <c r="K468" s="259">
        <f t="shared" si="130"/>
        <v>180.3620994</v>
      </c>
      <c r="L468" s="259">
        <f t="shared" si="131"/>
        <v>180.3620994</v>
      </c>
      <c r="M468" s="259">
        <f t="shared" si="132"/>
        <v>0</v>
      </c>
      <c r="N468" s="259">
        <f t="shared" si="133"/>
        <v>541.0862983</v>
      </c>
      <c r="O468" s="259">
        <f t="shared" si="134"/>
        <v>541.0862983</v>
      </c>
      <c r="P468" s="260">
        <f t="shared" si="2"/>
        <v>0.0004232778721</v>
      </c>
    </row>
    <row r="469">
      <c r="A469" s="253" t="s">
        <v>621</v>
      </c>
      <c r="B469" s="254">
        <v>39458.0</v>
      </c>
      <c r="C469" s="255" t="str">
        <f t="shared" si="128"/>
        <v>SINAPI</v>
      </c>
      <c r="D469" s="256" t="s">
        <v>286</v>
      </c>
      <c r="E469" s="257" t="str">
        <f>IFERROR(IF(D469="SINAPI-S",VLOOKUP(B469,'20-B.SINAPI-S'!A:J,2,0),IF(D469="SINAPI-I",VLOOKUP(B469,'20-A.SINAPI-I'!A:G,2,0),IF(D469="COMPOSIÇÕES",VLOOKUP(B469,'11.COMPOSIÇÕES GERAIS'!B:I,2,0),VLOOKUP(B469,'12.COT.MERCADO'!A:I,2,0)))),"Em Elaboração")</f>
        <v>DISPOSITIVO DR, 4 POLOS, SENSIBILIDADE DE 30 MA, CORRENTE DE 80 A, TIPO AC</v>
      </c>
      <c r="F469" s="258" t="str">
        <f>IFERROR(IF(D469="SINAPI-S",VLOOKUP(B469,'20-B.SINAPI-S'!A:J,3,0),IF(D469="SINAPI-I",VLOOKUP(B469,'20-A.SINAPI-I'!A:G,3,0),IF(D469="COMPOSIÇÕES",VLOOKUP(B469,'11.COMPOSIÇÕES GERAIS'!B:I,3,0),VLOOKUP(B469,'12.COT.MERCADO'!A:I,7,0)))),"Em Elaboração")</f>
        <v>UN</v>
      </c>
      <c r="G469" s="254">
        <v>2.0</v>
      </c>
      <c r="H469" s="259">
        <f>IFERROR(IF(D469="SINAPI-S",VLOOKUP(B469,'20-B.SINAPI-S'!A:J,5,0),IF(D469="SINAPI-I",VLOOKUP(B469,'20-A.SINAPI-I'!A:G,6,0),IF(D469="COMPOSIÇÕES",VLOOKUP(B469,'11.COMPOSIÇÕES GERAIS'!B:I,7,0),0))),"Em Elaboração")</f>
        <v>0</v>
      </c>
      <c r="I469" s="259">
        <f>IFERROR(IF(D469="SINAPI-S",VLOOKUP(B469,'20-B.SINAPI-S'!A:J,6,0),IF(D469="SINAPI-I",VLOOKUP(B469,'20-A.SINAPI-I'!A:G,7,0),IF(D469="COMPOSIÇÕES",VLOOKUP(B469,'11.COMPOSIÇÕES GERAIS'!B:I,8,0),VLOOKUP(B469,'12.COT.MERCADO'!A:I,8,0)))),"Em Elaboração")</f>
        <v>328.15</v>
      </c>
      <c r="J469" s="259">
        <f t="shared" si="129"/>
        <v>0</v>
      </c>
      <c r="K469" s="259">
        <f t="shared" si="130"/>
        <v>384.3734441</v>
      </c>
      <c r="L469" s="259">
        <f t="shared" si="131"/>
        <v>384.3734441</v>
      </c>
      <c r="M469" s="259">
        <f t="shared" si="132"/>
        <v>0</v>
      </c>
      <c r="N469" s="259">
        <f t="shared" si="133"/>
        <v>768.7468882</v>
      </c>
      <c r="O469" s="259">
        <f t="shared" si="134"/>
        <v>768.7468882</v>
      </c>
      <c r="P469" s="260">
        <f t="shared" si="2"/>
        <v>0.0006013708868</v>
      </c>
    </row>
    <row r="470">
      <c r="A470" s="253" t="s">
        <v>622</v>
      </c>
      <c r="B470" s="254">
        <v>21128.0</v>
      </c>
      <c r="C470" s="255" t="str">
        <f t="shared" si="128"/>
        <v>SINAPI</v>
      </c>
      <c r="D470" s="256" t="s">
        <v>286</v>
      </c>
      <c r="E470" s="257" t="str">
        <f>IFERROR(IF(D470="SINAPI-S",VLOOKUP(B470,'20-B.SINAPI-S'!A:J,2,0),IF(D470="SINAPI-I",VLOOKUP(B470,'20-A.SINAPI-I'!A:G,2,0),IF(D470="COMPOSIÇÕES",VLOOKUP(B470,'11.COMPOSIÇÕES GERAIS'!B:I,2,0),VLOOKUP(B470,'12.COT.MERCADO'!A:I,2,0)))),"Em Elaboração")</f>
        <v>ELETRODUTO EM ACO GALVANIZADO ELETROLITICO, LEVE, DIAMETRO 3/4", PAREDE DE 0,90 MM</v>
      </c>
      <c r="F470" s="258" t="str">
        <f>IFERROR(IF(D470="SINAPI-S",VLOOKUP(B470,'20-B.SINAPI-S'!A:J,3,0),IF(D470="SINAPI-I",VLOOKUP(B470,'20-A.SINAPI-I'!A:G,3,0),IF(D470="COMPOSIÇÕES",VLOOKUP(B470,'11.COMPOSIÇÕES GERAIS'!B:I,3,0),VLOOKUP(B470,'12.COT.MERCADO'!A:I,7,0)))),"Em Elaboração")</f>
        <v>M</v>
      </c>
      <c r="G470" s="254">
        <v>20.0</v>
      </c>
      <c r="H470" s="259">
        <f>IFERROR(IF(D470="SINAPI-S",VLOOKUP(B470,'20-B.SINAPI-S'!A:J,5,0),IF(D470="SINAPI-I",VLOOKUP(B470,'20-A.SINAPI-I'!A:G,6,0),IF(D470="COMPOSIÇÕES",VLOOKUP(B470,'11.COMPOSIÇÕES GERAIS'!B:I,7,0),0))),"Em Elaboração")</f>
        <v>0</v>
      </c>
      <c r="I470" s="259">
        <f>IFERROR(IF(D470="SINAPI-S",VLOOKUP(B470,'20-B.SINAPI-S'!A:J,6,0),IF(D470="SINAPI-I",VLOOKUP(B470,'20-A.SINAPI-I'!A:G,7,0),IF(D470="COMPOSIÇÕES",VLOOKUP(B470,'11.COMPOSIÇÕES GERAIS'!B:I,8,0),VLOOKUP(B470,'12.COT.MERCADO'!A:I,8,0)))),"Em Elaboração")</f>
        <v>12.51</v>
      </c>
      <c r="J470" s="259">
        <f t="shared" si="129"/>
        <v>0</v>
      </c>
      <c r="K470" s="259">
        <f t="shared" si="130"/>
        <v>14.65339566</v>
      </c>
      <c r="L470" s="259">
        <f t="shared" si="131"/>
        <v>14.65339566</v>
      </c>
      <c r="M470" s="259">
        <f t="shared" si="132"/>
        <v>0</v>
      </c>
      <c r="N470" s="259">
        <f t="shared" si="133"/>
        <v>293.0679132</v>
      </c>
      <c r="O470" s="259">
        <f t="shared" si="134"/>
        <v>293.0679132</v>
      </c>
      <c r="P470" s="260">
        <f t="shared" si="2"/>
        <v>0.0002292594787</v>
      </c>
    </row>
    <row r="471">
      <c r="A471" s="253" t="s">
        <v>623</v>
      </c>
      <c r="B471" s="254">
        <v>21136.0</v>
      </c>
      <c r="C471" s="255" t="str">
        <f t="shared" si="128"/>
        <v>SINAPI</v>
      </c>
      <c r="D471" s="256" t="s">
        <v>286</v>
      </c>
      <c r="E471" s="257" t="str">
        <f>IFERROR(IF(D471="SINAPI-S",VLOOKUP(B471,'20-B.SINAPI-S'!A:J,2,0),IF(D471="SINAPI-I",VLOOKUP(B471,'20-A.SINAPI-I'!A:G,2,0),IF(D471="COMPOSIÇÕES",VLOOKUP(B471,'11.COMPOSIÇÕES GERAIS'!B:I,2,0),VLOOKUP(B471,'12.COT.MERCADO'!A:I,2,0)))),"Em Elaboração")</f>
        <v>ELETRODUTO EM ACO GALVANIZADO ELETROLITICO, LEVE, DIAMETRO 1", PAREDE DE 0,90 MM</v>
      </c>
      <c r="F471" s="258" t="str">
        <f>IFERROR(IF(D471="SINAPI-S",VLOOKUP(B471,'20-B.SINAPI-S'!A:J,3,0),IF(D471="SINAPI-I",VLOOKUP(B471,'20-A.SINAPI-I'!A:G,3,0),IF(D471="COMPOSIÇÕES",VLOOKUP(B471,'11.COMPOSIÇÕES GERAIS'!B:I,3,0),VLOOKUP(B471,'12.COT.MERCADO'!A:I,7,0)))),"Em Elaboração")</f>
        <v>M</v>
      </c>
      <c r="G471" s="254">
        <v>20.0</v>
      </c>
      <c r="H471" s="259">
        <f>IFERROR(IF(D471="SINAPI-S",VLOOKUP(B471,'20-B.SINAPI-S'!A:J,5,0),IF(D471="SINAPI-I",VLOOKUP(B471,'20-A.SINAPI-I'!A:G,6,0),IF(D471="COMPOSIÇÕES",VLOOKUP(B471,'11.COMPOSIÇÕES GERAIS'!B:I,7,0),0))),"Em Elaboração")</f>
        <v>0</v>
      </c>
      <c r="I471" s="259">
        <f>IFERROR(IF(D471="SINAPI-S",VLOOKUP(B471,'20-B.SINAPI-S'!A:J,6,0),IF(D471="SINAPI-I",VLOOKUP(B471,'20-A.SINAPI-I'!A:G,7,0),IF(D471="COMPOSIÇÕES",VLOOKUP(B471,'11.COMPOSIÇÕES GERAIS'!B:I,8,0),VLOOKUP(B471,'12.COT.MERCADO'!A:I,8,0)))),"Em Elaboração")</f>
        <v>16.17</v>
      </c>
      <c r="J471" s="259">
        <f t="shared" si="129"/>
        <v>0</v>
      </c>
      <c r="K471" s="259">
        <f t="shared" si="130"/>
        <v>18.94048024</v>
      </c>
      <c r="L471" s="259">
        <f t="shared" si="131"/>
        <v>18.94048024</v>
      </c>
      <c r="M471" s="259">
        <f t="shared" si="132"/>
        <v>0</v>
      </c>
      <c r="N471" s="259">
        <f t="shared" si="133"/>
        <v>378.8096048</v>
      </c>
      <c r="O471" s="259">
        <f t="shared" si="134"/>
        <v>378.8096048</v>
      </c>
      <c r="P471" s="260">
        <f t="shared" si="2"/>
        <v>0.0002963329953</v>
      </c>
    </row>
    <row r="472">
      <c r="A472" s="253" t="s">
        <v>624</v>
      </c>
      <c r="B472" s="254">
        <v>21130.0</v>
      </c>
      <c r="C472" s="255" t="str">
        <f t="shared" si="128"/>
        <v>SINAPI</v>
      </c>
      <c r="D472" s="256" t="s">
        <v>286</v>
      </c>
      <c r="E472" s="257" t="str">
        <f>IFERROR(IF(D472="SINAPI-S",VLOOKUP(B472,'20-B.SINAPI-S'!A:J,2,0),IF(D472="SINAPI-I",VLOOKUP(B472,'20-A.SINAPI-I'!A:G,2,0),IF(D472="COMPOSIÇÕES",VLOOKUP(B472,'11.COMPOSIÇÕES GERAIS'!B:I,2,0),VLOOKUP(B472,'12.COT.MERCADO'!A:I,2,0)))),"Em Elaboração")</f>
        <v>ELETRODUTO EM ACO GALVANIZADO ELETROLITICO, SEMI-PESADO, DIAMETRO 1 1/2", PAREDE DE 1,20 MM</v>
      </c>
      <c r="F472" s="258" t="str">
        <f>IFERROR(IF(D472="SINAPI-S",VLOOKUP(B472,'20-B.SINAPI-S'!A:J,3,0),IF(D472="SINAPI-I",VLOOKUP(B472,'20-A.SINAPI-I'!A:G,3,0),IF(D472="COMPOSIÇÕES",VLOOKUP(B472,'11.COMPOSIÇÕES GERAIS'!B:I,3,0),VLOOKUP(B472,'12.COT.MERCADO'!A:I,7,0)))),"Em Elaboração")</f>
        <v>M</v>
      </c>
      <c r="G472" s="254">
        <v>10.0</v>
      </c>
      <c r="H472" s="259">
        <f>IFERROR(IF(D472="SINAPI-S",VLOOKUP(B472,'20-B.SINAPI-S'!A:J,5,0),IF(D472="SINAPI-I",VLOOKUP(B472,'20-A.SINAPI-I'!A:G,6,0),IF(D472="COMPOSIÇÕES",VLOOKUP(B472,'11.COMPOSIÇÕES GERAIS'!B:I,7,0),0))),"Em Elaboração")</f>
        <v>0</v>
      </c>
      <c r="I472" s="259">
        <f>IFERROR(IF(D472="SINAPI-S",VLOOKUP(B472,'20-B.SINAPI-S'!A:J,6,0),IF(D472="SINAPI-I",VLOOKUP(B472,'20-A.SINAPI-I'!A:G,7,0),IF(D472="COMPOSIÇÕES",VLOOKUP(B472,'11.COMPOSIÇÕES GERAIS'!B:I,8,0),VLOOKUP(B472,'12.COT.MERCADO'!A:I,8,0)))),"Em Elaboração")</f>
        <v>31.59</v>
      </c>
      <c r="J472" s="259">
        <f t="shared" si="129"/>
        <v>0</v>
      </c>
      <c r="K472" s="259">
        <f t="shared" si="130"/>
        <v>37.00245954</v>
      </c>
      <c r="L472" s="259">
        <f t="shared" si="131"/>
        <v>37.00245954</v>
      </c>
      <c r="M472" s="259">
        <f t="shared" si="132"/>
        <v>0</v>
      </c>
      <c r="N472" s="259">
        <f t="shared" si="133"/>
        <v>370.0245954</v>
      </c>
      <c r="O472" s="259">
        <f t="shared" si="134"/>
        <v>370.0245954</v>
      </c>
      <c r="P472" s="260">
        <f t="shared" si="2"/>
        <v>0.0002894607087</v>
      </c>
    </row>
    <row r="473">
      <c r="A473" s="253" t="s">
        <v>625</v>
      </c>
      <c r="B473" s="254">
        <v>21135.0</v>
      </c>
      <c r="C473" s="255" t="str">
        <f t="shared" si="128"/>
        <v>SINAPI</v>
      </c>
      <c r="D473" s="256" t="s">
        <v>286</v>
      </c>
      <c r="E473" s="257" t="str">
        <f>IFERROR(IF(D473="SINAPI-S",VLOOKUP(B473,'20-B.SINAPI-S'!A:J,2,0),IF(D473="SINAPI-I",VLOOKUP(B473,'20-A.SINAPI-I'!A:G,2,0),IF(D473="COMPOSIÇÕES",VLOOKUP(B473,'11.COMPOSIÇÕES GERAIS'!B:I,2,0),VLOOKUP(B473,'12.COT.MERCADO'!A:I,2,0)))),"Em Elaboração")</f>
        <v>ELETRODUTO EM ACO GALVANIZADO ELETROLITICO, SEMI-PESADO, DIAMETRO 1 1/4", PAREDE DE 1,20 MM</v>
      </c>
      <c r="F473" s="258" t="str">
        <f>IFERROR(IF(D473="SINAPI-S",VLOOKUP(B473,'20-B.SINAPI-S'!A:J,3,0),IF(D473="SINAPI-I",VLOOKUP(B473,'20-A.SINAPI-I'!A:G,3,0),IF(D473="COMPOSIÇÕES",VLOOKUP(B473,'11.COMPOSIÇÕES GERAIS'!B:I,3,0),VLOOKUP(B473,'12.COT.MERCADO'!A:I,7,0)))),"Em Elaboração")</f>
        <v>M</v>
      </c>
      <c r="G473" s="254">
        <v>10.0</v>
      </c>
      <c r="H473" s="259">
        <f>IFERROR(IF(D473="SINAPI-S",VLOOKUP(B473,'20-B.SINAPI-S'!A:J,5,0),IF(D473="SINAPI-I",VLOOKUP(B473,'20-A.SINAPI-I'!A:G,6,0),IF(D473="COMPOSIÇÕES",VLOOKUP(B473,'11.COMPOSIÇÕES GERAIS'!B:I,7,0),0))),"Em Elaboração")</f>
        <v>0</v>
      </c>
      <c r="I473" s="259">
        <f>IFERROR(IF(D473="SINAPI-S",VLOOKUP(B473,'20-B.SINAPI-S'!A:J,6,0),IF(D473="SINAPI-I",VLOOKUP(B473,'20-A.SINAPI-I'!A:G,7,0),IF(D473="COMPOSIÇÕES",VLOOKUP(B473,'11.COMPOSIÇÕES GERAIS'!B:I,8,0),VLOOKUP(B473,'12.COT.MERCADO'!A:I,8,0)))),"Em Elaboração")</f>
        <v>31.1</v>
      </c>
      <c r="J473" s="259">
        <f t="shared" si="129"/>
        <v>0</v>
      </c>
      <c r="K473" s="259">
        <f t="shared" si="130"/>
        <v>36.4285056</v>
      </c>
      <c r="L473" s="259">
        <f t="shared" si="131"/>
        <v>36.4285056</v>
      </c>
      <c r="M473" s="259">
        <f t="shared" si="132"/>
        <v>0</v>
      </c>
      <c r="N473" s="259">
        <f t="shared" si="133"/>
        <v>364.285056</v>
      </c>
      <c r="O473" s="259">
        <f t="shared" si="134"/>
        <v>364.285056</v>
      </c>
      <c r="P473" s="260">
        <f t="shared" si="2"/>
        <v>0.0002849708149</v>
      </c>
    </row>
    <row r="474">
      <c r="A474" s="253" t="s">
        <v>626</v>
      </c>
      <c r="B474" s="254">
        <v>2504.0</v>
      </c>
      <c r="C474" s="255" t="str">
        <f t="shared" si="128"/>
        <v>SINAPI</v>
      </c>
      <c r="D474" s="256" t="s">
        <v>286</v>
      </c>
      <c r="E474" s="257" t="str">
        <f>IFERROR(IF(D474="SINAPI-S",VLOOKUP(B474,'20-B.SINAPI-S'!A:J,2,0),IF(D474="SINAPI-I",VLOOKUP(B474,'20-A.SINAPI-I'!A:G,2,0),IF(D474="COMPOSIÇÕES",VLOOKUP(B474,'11.COMPOSIÇÕES GERAIS'!B:I,2,0),VLOOKUP(B474,'12.COT.MERCADO'!A:I,2,0)))),"Em Elaboração")</f>
        <v>ELETRODUTO FLEXIVEL, EM ACO GALVANIZADO, REVESTIDO EXTERNAMENTE COM PVC PRETO, DIAMETRO EXTERNO DE 25 MM (3/4"), TIPO SEALTUBO</v>
      </c>
      <c r="F474" s="258" t="str">
        <f>IFERROR(IF(D474="SINAPI-S",VLOOKUP(B474,'20-B.SINAPI-S'!A:J,3,0),IF(D474="SINAPI-I",VLOOKUP(B474,'20-A.SINAPI-I'!A:G,3,0),IF(D474="COMPOSIÇÕES",VLOOKUP(B474,'11.COMPOSIÇÕES GERAIS'!B:I,3,0),VLOOKUP(B474,'12.COT.MERCADO'!A:I,7,0)))),"Em Elaboração")</f>
        <v>M</v>
      </c>
      <c r="G474" s="254">
        <v>20.0</v>
      </c>
      <c r="H474" s="259">
        <f>IFERROR(IF(D474="SINAPI-S",VLOOKUP(B474,'20-B.SINAPI-S'!A:J,5,0),IF(D474="SINAPI-I",VLOOKUP(B474,'20-A.SINAPI-I'!A:G,6,0),IF(D474="COMPOSIÇÕES",VLOOKUP(B474,'11.COMPOSIÇÕES GERAIS'!B:I,7,0),0))),"Em Elaboração")</f>
        <v>0</v>
      </c>
      <c r="I474" s="259">
        <f>IFERROR(IF(D474="SINAPI-S",VLOOKUP(B474,'20-B.SINAPI-S'!A:J,6,0),IF(D474="SINAPI-I",VLOOKUP(B474,'20-A.SINAPI-I'!A:G,7,0),IF(D474="COMPOSIÇÕES",VLOOKUP(B474,'11.COMPOSIÇÕES GERAIS'!B:I,8,0),VLOOKUP(B474,'12.COT.MERCADO'!A:I,8,0)))),"Em Elaboração")</f>
        <v>13.88</v>
      </c>
      <c r="J474" s="259">
        <f t="shared" si="129"/>
        <v>0</v>
      </c>
      <c r="K474" s="259">
        <f t="shared" si="130"/>
        <v>16.25812404</v>
      </c>
      <c r="L474" s="259">
        <f t="shared" si="131"/>
        <v>16.25812404</v>
      </c>
      <c r="M474" s="259">
        <f t="shared" si="132"/>
        <v>0</v>
      </c>
      <c r="N474" s="259">
        <f t="shared" si="133"/>
        <v>325.1624808</v>
      </c>
      <c r="O474" s="259">
        <f t="shared" si="134"/>
        <v>325.1624808</v>
      </c>
      <c r="P474" s="260">
        <f t="shared" si="2"/>
        <v>0.0002543662322</v>
      </c>
    </row>
    <row r="475">
      <c r="A475" s="253" t="s">
        <v>627</v>
      </c>
      <c r="B475" s="254">
        <v>21137.0</v>
      </c>
      <c r="C475" s="255" t="str">
        <f t="shared" si="128"/>
        <v>SINAPI</v>
      </c>
      <c r="D475" s="256" t="s">
        <v>286</v>
      </c>
      <c r="E475" s="257" t="str">
        <f>IFERROR(IF(D475="SINAPI-S",VLOOKUP(B475,'20-B.SINAPI-S'!A:J,2,0),IF(D475="SINAPI-I",VLOOKUP(B475,'20-A.SINAPI-I'!A:G,2,0),IF(D475="COMPOSIÇÕES",VLOOKUP(B475,'11.COMPOSIÇÕES GERAIS'!B:I,2,0),VLOOKUP(B475,'12.COT.MERCADO'!A:I,2,0)))),"Em Elaboração")</f>
        <v>ELETRODUTO METALICO FLEXIVEL REVESTIDO COM PVC PRETO, DIAMETRO EXTERNO DE 15 MM (3/8"), TIPO COPEX</v>
      </c>
      <c r="F475" s="258" t="str">
        <f>IFERROR(IF(D475="SINAPI-S",VLOOKUP(B475,'20-B.SINAPI-S'!A:J,3,0),IF(D475="SINAPI-I",VLOOKUP(B475,'20-A.SINAPI-I'!A:G,3,0),IF(D475="COMPOSIÇÕES",VLOOKUP(B475,'11.COMPOSIÇÕES GERAIS'!B:I,3,0),VLOOKUP(B475,'12.COT.MERCADO'!A:I,7,0)))),"Em Elaboração")</f>
        <v>M</v>
      </c>
      <c r="G475" s="254">
        <v>10.0</v>
      </c>
      <c r="H475" s="259">
        <f>IFERROR(IF(D475="SINAPI-S",VLOOKUP(B475,'20-B.SINAPI-S'!A:J,5,0),IF(D475="SINAPI-I",VLOOKUP(B475,'20-A.SINAPI-I'!A:G,6,0),IF(D475="COMPOSIÇÕES",VLOOKUP(B475,'11.COMPOSIÇÕES GERAIS'!B:I,7,0),0))),"Em Elaboração")</f>
        <v>0</v>
      </c>
      <c r="I475" s="259">
        <f>IFERROR(IF(D475="SINAPI-S",VLOOKUP(B475,'20-B.SINAPI-S'!A:J,6,0),IF(D475="SINAPI-I",VLOOKUP(B475,'20-A.SINAPI-I'!A:G,7,0),IF(D475="COMPOSIÇÕES",VLOOKUP(B475,'11.COMPOSIÇÕES GERAIS'!B:I,8,0),VLOOKUP(B475,'12.COT.MERCADO'!A:I,8,0)))),"Em Elaboração")</f>
        <v>12.8</v>
      </c>
      <c r="J475" s="259">
        <f t="shared" si="129"/>
        <v>0</v>
      </c>
      <c r="K475" s="259">
        <f t="shared" si="130"/>
        <v>14.99308269</v>
      </c>
      <c r="L475" s="259">
        <f t="shared" si="131"/>
        <v>14.99308269</v>
      </c>
      <c r="M475" s="259">
        <f t="shared" si="132"/>
        <v>0</v>
      </c>
      <c r="N475" s="259">
        <f t="shared" si="133"/>
        <v>149.9308269</v>
      </c>
      <c r="O475" s="259">
        <f t="shared" si="134"/>
        <v>149.9308269</v>
      </c>
      <c r="P475" s="260">
        <f t="shared" si="2"/>
        <v>0.0001172870235</v>
      </c>
    </row>
    <row r="476">
      <c r="A476" s="253" t="s">
        <v>628</v>
      </c>
      <c r="B476" s="254">
        <v>2674.0</v>
      </c>
      <c r="C476" s="255" t="str">
        <f t="shared" si="128"/>
        <v>SINAPI</v>
      </c>
      <c r="D476" s="256" t="s">
        <v>286</v>
      </c>
      <c r="E476" s="257" t="str">
        <f>IFERROR(IF(D476="SINAPI-S",VLOOKUP(B476,'20-B.SINAPI-S'!A:J,2,0),IF(D476="SINAPI-I",VLOOKUP(B476,'20-A.SINAPI-I'!A:G,2,0),IF(D476="COMPOSIÇÕES",VLOOKUP(B476,'11.COMPOSIÇÕES GERAIS'!B:I,2,0),VLOOKUP(B476,'12.COT.MERCADO'!A:I,2,0)))),"Em Elaboração")</f>
        <v>ELETRODUTO DE PVC RIGIDO ROSCAVEL DE 3/4 ", SEM LUVA</v>
      </c>
      <c r="F476" s="258" t="str">
        <f>IFERROR(IF(D476="SINAPI-S",VLOOKUP(B476,'20-B.SINAPI-S'!A:J,3,0),IF(D476="SINAPI-I",VLOOKUP(B476,'20-A.SINAPI-I'!A:G,3,0),IF(D476="COMPOSIÇÕES",VLOOKUP(B476,'11.COMPOSIÇÕES GERAIS'!B:I,3,0),VLOOKUP(B476,'12.COT.MERCADO'!A:I,7,0)))),"Em Elaboração")</f>
        <v>M</v>
      </c>
      <c r="G476" s="254">
        <v>20.0</v>
      </c>
      <c r="H476" s="259">
        <f>IFERROR(IF(D476="SINAPI-S",VLOOKUP(B476,'20-B.SINAPI-S'!A:J,5,0),IF(D476="SINAPI-I",VLOOKUP(B476,'20-A.SINAPI-I'!A:G,6,0),IF(D476="COMPOSIÇÕES",VLOOKUP(B476,'11.COMPOSIÇÕES GERAIS'!B:I,7,0),0))),"Em Elaboração")</f>
        <v>0</v>
      </c>
      <c r="I476" s="259">
        <f>IFERROR(IF(D476="SINAPI-S",VLOOKUP(B476,'20-B.SINAPI-S'!A:J,6,0),IF(D476="SINAPI-I",VLOOKUP(B476,'20-A.SINAPI-I'!A:G,7,0),IF(D476="COMPOSIÇÕES",VLOOKUP(B476,'11.COMPOSIÇÕES GERAIS'!B:I,8,0),VLOOKUP(B476,'12.COT.MERCADO'!A:I,8,0)))),"Em Elaboração")</f>
        <v>6.46</v>
      </c>
      <c r="J476" s="259">
        <f t="shared" si="129"/>
        <v>0</v>
      </c>
      <c r="K476" s="259">
        <f t="shared" si="130"/>
        <v>7.56682142</v>
      </c>
      <c r="L476" s="259">
        <f t="shared" si="131"/>
        <v>7.56682142</v>
      </c>
      <c r="M476" s="259">
        <f t="shared" si="132"/>
        <v>0</v>
      </c>
      <c r="N476" s="259">
        <f t="shared" si="133"/>
        <v>151.3364284</v>
      </c>
      <c r="O476" s="259">
        <f t="shared" si="134"/>
        <v>151.3364284</v>
      </c>
      <c r="P476" s="260">
        <f t="shared" si="2"/>
        <v>0.0001183865893</v>
      </c>
    </row>
    <row r="477">
      <c r="A477" s="253" t="s">
        <v>629</v>
      </c>
      <c r="B477" s="254">
        <v>39255.0</v>
      </c>
      <c r="C477" s="255" t="str">
        <f t="shared" si="128"/>
        <v>SINAPI</v>
      </c>
      <c r="D477" s="256" t="s">
        <v>286</v>
      </c>
      <c r="E477" s="257" t="str">
        <f>IFERROR(IF(D477="SINAPI-S",VLOOKUP(B477,'20-B.SINAPI-S'!A:J,2,0),IF(D477="SINAPI-I",VLOOKUP(B477,'20-A.SINAPI-I'!A:G,2,0),IF(D477="COMPOSIÇÕES",VLOOKUP(B477,'11.COMPOSIÇÕES GERAIS'!B:I,2,0),VLOOKUP(B477,'12.COT.MERCADO'!A:I,2,0)))),"Em Elaboração")</f>
        <v>ELETRODUTO/CONDULETE DE PVC RIGIDO, LISO, COR CINZA, DE 1", PARA INSTALACOES APARENTES (NBR 5410)</v>
      </c>
      <c r="F477" s="258" t="str">
        <f>IFERROR(IF(D477="SINAPI-S",VLOOKUP(B477,'20-B.SINAPI-S'!A:J,3,0),IF(D477="SINAPI-I",VLOOKUP(B477,'20-A.SINAPI-I'!A:G,3,0),IF(D477="COMPOSIÇÕES",VLOOKUP(B477,'11.COMPOSIÇÕES GERAIS'!B:I,3,0),VLOOKUP(B477,'12.COT.MERCADO'!A:I,7,0)))),"Em Elaboração")</f>
        <v>M</v>
      </c>
      <c r="G477" s="254">
        <v>20.0</v>
      </c>
      <c r="H477" s="259">
        <f>IFERROR(IF(D477="SINAPI-S",VLOOKUP(B477,'20-B.SINAPI-S'!A:J,5,0),IF(D477="SINAPI-I",VLOOKUP(B477,'20-A.SINAPI-I'!A:G,6,0),IF(D477="COMPOSIÇÕES",VLOOKUP(B477,'11.COMPOSIÇÕES GERAIS'!B:I,7,0),0))),"Em Elaboração")</f>
        <v>0</v>
      </c>
      <c r="I477" s="259">
        <f>IFERROR(IF(D477="SINAPI-S",VLOOKUP(B477,'20-B.SINAPI-S'!A:J,6,0),IF(D477="SINAPI-I",VLOOKUP(B477,'20-A.SINAPI-I'!A:G,7,0),IF(D477="COMPOSIÇÕES",VLOOKUP(B477,'11.COMPOSIÇÕES GERAIS'!B:I,8,0),VLOOKUP(B477,'12.COT.MERCADO'!A:I,8,0)))),"Em Elaboração")</f>
        <v>27.58</v>
      </c>
      <c r="J477" s="259">
        <f t="shared" si="129"/>
        <v>0</v>
      </c>
      <c r="K477" s="259">
        <f t="shared" si="130"/>
        <v>32.30540786</v>
      </c>
      <c r="L477" s="259">
        <f t="shared" si="131"/>
        <v>32.30540786</v>
      </c>
      <c r="M477" s="259">
        <f t="shared" si="132"/>
        <v>0</v>
      </c>
      <c r="N477" s="259">
        <f t="shared" si="133"/>
        <v>646.1081572</v>
      </c>
      <c r="O477" s="259">
        <f t="shared" si="134"/>
        <v>646.1081572</v>
      </c>
      <c r="P477" s="260">
        <f t="shared" si="2"/>
        <v>0.0005054337668</v>
      </c>
    </row>
    <row r="478">
      <c r="A478" s="253" t="s">
        <v>630</v>
      </c>
      <c r="B478" s="254">
        <v>11002.0</v>
      </c>
      <c r="C478" s="255" t="str">
        <f t="shared" si="128"/>
        <v>SINAPI</v>
      </c>
      <c r="D478" s="256" t="s">
        <v>286</v>
      </c>
      <c r="E478" s="257" t="str">
        <f>IFERROR(IF(D478="SINAPI-S",VLOOKUP(B478,'20-B.SINAPI-S'!A:J,2,0),IF(D478="SINAPI-I",VLOOKUP(B478,'20-A.SINAPI-I'!A:G,2,0),IF(D478="COMPOSIÇÕES",VLOOKUP(B478,'11.COMPOSIÇÕES GERAIS'!B:I,2,0),VLOOKUP(B478,'12.COT.MERCADO'!A:I,2,0)))),"Em Elaboração")</f>
        <v>ELETRODO REVESTIDO AWS - E6013, DIAMETRO IGUAL A 2,50 MM</v>
      </c>
      <c r="F478" s="258" t="str">
        <f>IFERROR(IF(D478="SINAPI-S",VLOOKUP(B478,'20-B.SINAPI-S'!A:J,3,0),IF(D478="SINAPI-I",VLOOKUP(B478,'20-A.SINAPI-I'!A:G,3,0),IF(D478="COMPOSIÇÕES",VLOOKUP(B478,'11.COMPOSIÇÕES GERAIS'!B:I,3,0),VLOOKUP(B478,'12.COT.MERCADO'!A:I,7,0)))),"Em Elaboração")</f>
        <v>KG</v>
      </c>
      <c r="G478" s="254">
        <v>2.0</v>
      </c>
      <c r="H478" s="259">
        <f>IFERROR(IF(D478="SINAPI-S",VLOOKUP(B478,'20-B.SINAPI-S'!A:J,5,0),IF(D478="SINAPI-I",VLOOKUP(B478,'20-A.SINAPI-I'!A:G,6,0),IF(D478="COMPOSIÇÕES",VLOOKUP(B478,'11.COMPOSIÇÕES GERAIS'!B:I,7,0),0))),"Em Elaboração")</f>
        <v>0</v>
      </c>
      <c r="I478" s="259">
        <f>IFERROR(IF(D478="SINAPI-S",VLOOKUP(B478,'20-B.SINAPI-S'!A:J,6,0),IF(D478="SINAPI-I",VLOOKUP(B478,'20-A.SINAPI-I'!A:G,7,0),IF(D478="COMPOSIÇÕES",VLOOKUP(B478,'11.COMPOSIÇÕES GERAIS'!B:I,8,0),VLOOKUP(B478,'12.COT.MERCADO'!A:I,8,0)))),"Em Elaboração")</f>
        <v>31.68</v>
      </c>
      <c r="J478" s="259">
        <f t="shared" si="129"/>
        <v>0</v>
      </c>
      <c r="K478" s="259">
        <f t="shared" si="130"/>
        <v>37.10787966</v>
      </c>
      <c r="L478" s="259">
        <f t="shared" si="131"/>
        <v>37.10787966</v>
      </c>
      <c r="M478" s="259">
        <f t="shared" si="132"/>
        <v>0</v>
      </c>
      <c r="N478" s="259">
        <f t="shared" si="133"/>
        <v>74.21575931</v>
      </c>
      <c r="O478" s="259">
        <f t="shared" si="134"/>
        <v>74.21575931</v>
      </c>
      <c r="P478" s="260">
        <f t="shared" si="2"/>
        <v>0.00005805707662</v>
      </c>
    </row>
    <row r="479">
      <c r="A479" s="253" t="s">
        <v>631</v>
      </c>
      <c r="B479" s="254">
        <v>39253.0</v>
      </c>
      <c r="C479" s="255" t="str">
        <f t="shared" si="128"/>
        <v>SINAPI</v>
      </c>
      <c r="D479" s="256" t="s">
        <v>286</v>
      </c>
      <c r="E479" s="257" t="str">
        <f>IFERROR(IF(D479="SINAPI-S",VLOOKUP(B479,'20-B.SINAPI-S'!A:J,2,0),IF(D479="SINAPI-I",VLOOKUP(B479,'20-A.SINAPI-I'!A:G,2,0),IF(D479="COMPOSIÇÕES",VLOOKUP(B479,'11.COMPOSIÇÕES GERAIS'!B:I,2,0),VLOOKUP(B479,'12.COT.MERCADO'!A:I,2,0)))),"Em Elaboração")</f>
        <v>ELETRODUTO/CONDULETE DE PVC RIGIDO, LISO, COR CINZA, DE 3/4", PARA INSTALACOES APARENTES (NBR 5410)</v>
      </c>
      <c r="F479" s="258" t="str">
        <f>IFERROR(IF(D479="SINAPI-S",VLOOKUP(B479,'20-B.SINAPI-S'!A:J,3,0),IF(D479="SINAPI-I",VLOOKUP(B479,'20-A.SINAPI-I'!A:G,3,0),IF(D479="COMPOSIÇÕES",VLOOKUP(B479,'11.COMPOSIÇÕES GERAIS'!B:I,3,0),VLOOKUP(B479,'12.COT.MERCADO'!A:I,7,0)))),"Em Elaboração")</f>
        <v>M</v>
      </c>
      <c r="G479" s="254">
        <v>20.0</v>
      </c>
      <c r="H479" s="259">
        <f>IFERROR(IF(D479="SINAPI-S",VLOOKUP(B479,'20-B.SINAPI-S'!A:J,5,0),IF(D479="SINAPI-I",VLOOKUP(B479,'20-A.SINAPI-I'!A:G,6,0),IF(D479="COMPOSIÇÕES",VLOOKUP(B479,'11.COMPOSIÇÕES GERAIS'!B:I,7,0),0))),"Em Elaboração")</f>
        <v>0</v>
      </c>
      <c r="I479" s="259">
        <f>IFERROR(IF(D479="SINAPI-S",VLOOKUP(B479,'20-B.SINAPI-S'!A:J,6,0),IF(D479="SINAPI-I",VLOOKUP(B479,'20-A.SINAPI-I'!A:G,7,0),IF(D479="COMPOSIÇÕES",VLOOKUP(B479,'11.COMPOSIÇÕES GERAIS'!B:I,8,0),VLOOKUP(B479,'12.COT.MERCADO'!A:I,8,0)))),"Em Elaboração")</f>
        <v>19</v>
      </c>
      <c r="J479" s="259">
        <f t="shared" si="129"/>
        <v>0</v>
      </c>
      <c r="K479" s="259">
        <f t="shared" si="130"/>
        <v>22.25535712</v>
      </c>
      <c r="L479" s="259">
        <f t="shared" si="131"/>
        <v>22.25535712</v>
      </c>
      <c r="M479" s="259">
        <f t="shared" si="132"/>
        <v>0</v>
      </c>
      <c r="N479" s="259">
        <f t="shared" si="133"/>
        <v>445.1071424</v>
      </c>
      <c r="O479" s="259">
        <f t="shared" si="134"/>
        <v>445.1071424</v>
      </c>
      <c r="P479" s="260">
        <f t="shared" si="2"/>
        <v>0.000348195851</v>
      </c>
    </row>
    <row r="480">
      <c r="A480" s="253" t="s">
        <v>632</v>
      </c>
      <c r="B480" s="254">
        <v>38091.0</v>
      </c>
      <c r="C480" s="255" t="str">
        <f t="shared" si="128"/>
        <v>SINAPI</v>
      </c>
      <c r="D480" s="256" t="s">
        <v>286</v>
      </c>
      <c r="E480" s="257" t="str">
        <f>IFERROR(IF(D480="SINAPI-S",VLOOKUP(B480,'20-B.SINAPI-S'!A:J,2,0),IF(D480="SINAPI-I",VLOOKUP(B480,'20-A.SINAPI-I'!A:G,2,0),IF(D480="COMPOSIÇÕES",VLOOKUP(B480,'11.COMPOSIÇÕES GERAIS'!B:I,2,0),VLOOKUP(B480,'12.COT.MERCADO'!A:I,2,0)))),"Em Elaboração")</f>
        <v>ESPELHO / PLACA CEGA 4" X 2", PARA INSTALACAO DE TOMADAS E INTERRUPTORES</v>
      </c>
      <c r="F480" s="258" t="str">
        <f>IFERROR(IF(D480="SINAPI-S",VLOOKUP(B480,'20-B.SINAPI-S'!A:J,3,0),IF(D480="SINAPI-I",VLOOKUP(B480,'20-A.SINAPI-I'!A:G,3,0),IF(D480="COMPOSIÇÕES",VLOOKUP(B480,'11.COMPOSIÇÕES GERAIS'!B:I,3,0),VLOOKUP(B480,'12.COT.MERCADO'!A:I,7,0)))),"Em Elaboração")</f>
        <v>UN</v>
      </c>
      <c r="G480" s="254">
        <v>20.0</v>
      </c>
      <c r="H480" s="259">
        <f>IFERROR(IF(D480="SINAPI-S",VLOOKUP(B480,'20-B.SINAPI-S'!A:J,5,0),IF(D480="SINAPI-I",VLOOKUP(B480,'20-A.SINAPI-I'!A:G,6,0),IF(D480="COMPOSIÇÕES",VLOOKUP(B480,'11.COMPOSIÇÕES GERAIS'!B:I,7,0),0))),"Em Elaboração")</f>
        <v>0</v>
      </c>
      <c r="I480" s="259">
        <f>IFERROR(IF(D480="SINAPI-S",VLOOKUP(B480,'20-B.SINAPI-S'!A:J,6,0),IF(D480="SINAPI-I",VLOOKUP(B480,'20-A.SINAPI-I'!A:G,7,0),IF(D480="COMPOSIÇÕES",VLOOKUP(B480,'11.COMPOSIÇÕES GERAIS'!B:I,8,0),VLOOKUP(B480,'12.COT.MERCADO'!A:I,8,0)))),"Em Elaboração")</f>
        <v>2.61</v>
      </c>
      <c r="J480" s="259">
        <f t="shared" si="129"/>
        <v>0</v>
      </c>
      <c r="K480" s="259">
        <f t="shared" si="130"/>
        <v>3.057183267</v>
      </c>
      <c r="L480" s="259">
        <f t="shared" si="131"/>
        <v>3.057183267</v>
      </c>
      <c r="M480" s="259">
        <f t="shared" si="132"/>
        <v>0</v>
      </c>
      <c r="N480" s="259">
        <f t="shared" si="133"/>
        <v>61.14366534</v>
      </c>
      <c r="O480" s="259">
        <f t="shared" si="134"/>
        <v>61.14366534</v>
      </c>
      <c r="P480" s="260">
        <f t="shared" si="2"/>
        <v>0.00004783111426</v>
      </c>
    </row>
    <row r="481">
      <c r="A481" s="253" t="s">
        <v>633</v>
      </c>
      <c r="B481" s="254">
        <v>11890.0</v>
      </c>
      <c r="C481" s="255" t="str">
        <f t="shared" si="128"/>
        <v>SINAPI</v>
      </c>
      <c r="D481" s="256" t="s">
        <v>286</v>
      </c>
      <c r="E481" s="257" t="str">
        <f>IFERROR(IF(D481="SINAPI-S",VLOOKUP(B481,'20-B.SINAPI-S'!A:J,2,0),IF(D481="SINAPI-I",VLOOKUP(B481,'20-A.SINAPI-I'!A:G,2,0),IF(D481="COMPOSIÇÕES",VLOOKUP(B481,'11.COMPOSIÇÕES GERAIS'!B:I,2,0),VLOOKUP(B481,'12.COT.MERCADO'!A:I,2,0)))),"Em Elaboração")</f>
        <v>CORDAO DE COBRE, FLEXIVEL, TORCIDO, CLASSE 4 OU 5, ISOLACAO EM PVC/D, 300 V, 2 CONDUTORES DE 1,5 MM2</v>
      </c>
      <c r="F481" s="258" t="str">
        <f>IFERROR(IF(D481="SINAPI-S",VLOOKUP(B481,'20-B.SINAPI-S'!A:J,3,0),IF(D481="SINAPI-I",VLOOKUP(B481,'20-A.SINAPI-I'!A:G,3,0),IF(D481="COMPOSIÇÕES",VLOOKUP(B481,'11.COMPOSIÇÕES GERAIS'!B:I,3,0),VLOOKUP(B481,'12.COT.MERCADO'!A:I,7,0)))),"Em Elaboração")</f>
        <v>M</v>
      </c>
      <c r="G481" s="254">
        <v>50.0</v>
      </c>
      <c r="H481" s="259">
        <f>IFERROR(IF(D481="SINAPI-S",VLOOKUP(B481,'20-B.SINAPI-S'!A:J,5,0),IF(D481="SINAPI-I",VLOOKUP(B481,'20-A.SINAPI-I'!A:G,6,0),IF(D481="COMPOSIÇÕES",VLOOKUP(B481,'11.COMPOSIÇÕES GERAIS'!B:I,7,0),0))),"Em Elaboração")</f>
        <v>0</v>
      </c>
      <c r="I481" s="259">
        <f>IFERROR(IF(D481="SINAPI-S",VLOOKUP(B481,'20-B.SINAPI-S'!A:J,6,0),IF(D481="SINAPI-I",VLOOKUP(B481,'20-A.SINAPI-I'!A:G,7,0),IF(D481="COMPOSIÇÕES",VLOOKUP(B481,'11.COMPOSIÇÕES GERAIS'!B:I,8,0),VLOOKUP(B481,'12.COT.MERCADO'!A:I,8,0)))),"Em Elaboração")</f>
        <v>3.15</v>
      </c>
      <c r="J481" s="259">
        <f t="shared" si="129"/>
        <v>0</v>
      </c>
      <c r="K481" s="259">
        <f t="shared" si="130"/>
        <v>3.689703943</v>
      </c>
      <c r="L481" s="259">
        <f t="shared" si="131"/>
        <v>3.689703943</v>
      </c>
      <c r="M481" s="259">
        <f t="shared" si="132"/>
        <v>0</v>
      </c>
      <c r="N481" s="259">
        <f t="shared" si="133"/>
        <v>184.4851972</v>
      </c>
      <c r="O481" s="259">
        <f t="shared" si="134"/>
        <v>184.4851972</v>
      </c>
      <c r="P481" s="260">
        <f t="shared" si="2"/>
        <v>0.0001443180172</v>
      </c>
    </row>
    <row r="482">
      <c r="A482" s="253" t="s">
        <v>634</v>
      </c>
      <c r="B482" s="254">
        <v>20111.0</v>
      </c>
      <c r="C482" s="255" t="str">
        <f t="shared" si="128"/>
        <v>SINAPI</v>
      </c>
      <c r="D482" s="256" t="s">
        <v>286</v>
      </c>
      <c r="E482" s="257" t="str">
        <f>IFERROR(IF(D482="SINAPI-S",VLOOKUP(B482,'20-B.SINAPI-S'!A:J,2,0),IF(D482="SINAPI-I",VLOOKUP(B482,'20-A.SINAPI-I'!A:G,2,0),IF(D482="COMPOSIÇÕES",VLOOKUP(B482,'11.COMPOSIÇÕES GERAIS'!B:I,2,0),VLOOKUP(B482,'12.COT.MERCADO'!A:I,2,0)))),"Em Elaboração")</f>
        <v>FITA ISOLANTE ADESIVA ANTICHAMA, USO ATE 750 V, EM ROLO DE 19 MM X 20 M</v>
      </c>
      <c r="F482" s="258" t="str">
        <f>IFERROR(IF(D482="SINAPI-S",VLOOKUP(B482,'20-B.SINAPI-S'!A:J,3,0),IF(D482="SINAPI-I",VLOOKUP(B482,'20-A.SINAPI-I'!A:G,3,0),IF(D482="COMPOSIÇÕES",VLOOKUP(B482,'11.COMPOSIÇÕES GERAIS'!B:I,3,0),VLOOKUP(B482,'12.COT.MERCADO'!A:I,7,0)))),"Em Elaboração")</f>
        <v>UN</v>
      </c>
      <c r="G482" s="254">
        <v>15.0</v>
      </c>
      <c r="H482" s="259">
        <f>IFERROR(IF(D482="SINAPI-S",VLOOKUP(B482,'20-B.SINAPI-S'!A:J,5,0),IF(D482="SINAPI-I",VLOOKUP(B482,'20-A.SINAPI-I'!A:G,6,0),IF(D482="COMPOSIÇÕES",VLOOKUP(B482,'11.COMPOSIÇÕES GERAIS'!B:I,7,0),0))),"Em Elaboração")</f>
        <v>0</v>
      </c>
      <c r="I482" s="259">
        <f>IFERROR(IF(D482="SINAPI-S",VLOOKUP(B482,'20-B.SINAPI-S'!A:J,6,0),IF(D482="SINAPI-I",VLOOKUP(B482,'20-A.SINAPI-I'!A:G,7,0),IF(D482="COMPOSIÇÕES",VLOOKUP(B482,'11.COMPOSIÇÕES GERAIS'!B:I,8,0),VLOOKUP(B482,'12.COT.MERCADO'!A:I,8,0)))),"Em Elaboração")</f>
        <v>12.9</v>
      </c>
      <c r="J482" s="259">
        <f t="shared" si="129"/>
        <v>0</v>
      </c>
      <c r="K482" s="259">
        <f t="shared" si="130"/>
        <v>15.11021615</v>
      </c>
      <c r="L482" s="259">
        <f t="shared" si="131"/>
        <v>15.11021615</v>
      </c>
      <c r="M482" s="259">
        <f t="shared" si="132"/>
        <v>0</v>
      </c>
      <c r="N482" s="259">
        <f t="shared" si="133"/>
        <v>226.6532422</v>
      </c>
      <c r="O482" s="259">
        <f t="shared" si="134"/>
        <v>226.6532422</v>
      </c>
      <c r="P482" s="260">
        <f t="shared" si="2"/>
        <v>0.0001773049925</v>
      </c>
    </row>
    <row r="483">
      <c r="A483" s="253" t="s">
        <v>635</v>
      </c>
      <c r="B483" s="254">
        <v>404.0</v>
      </c>
      <c r="C483" s="255" t="str">
        <f t="shared" si="128"/>
        <v>SINAPI</v>
      </c>
      <c r="D483" s="256" t="s">
        <v>286</v>
      </c>
      <c r="E483" s="257" t="str">
        <f>IFERROR(IF(D483="SINAPI-S",VLOOKUP(B483,'20-B.SINAPI-S'!A:J,2,0),IF(D483="SINAPI-I",VLOOKUP(B483,'20-A.SINAPI-I'!A:G,2,0),IF(D483="COMPOSIÇÕES",VLOOKUP(B483,'11.COMPOSIÇÕES GERAIS'!B:I,2,0),VLOOKUP(B483,'12.COT.MERCADO'!A:I,2,0)))),"Em Elaboração")</f>
        <v>FITA ISOLANTE DE BORRACHA AUTOFUSAO, USO ATE 69 KV (ALTA TENSAO)</v>
      </c>
      <c r="F483" s="258" t="str">
        <f>IFERROR(IF(D483="SINAPI-S",VLOOKUP(B483,'20-B.SINAPI-S'!A:J,3,0),IF(D483="SINAPI-I",VLOOKUP(B483,'20-A.SINAPI-I'!A:G,3,0),IF(D483="COMPOSIÇÕES",VLOOKUP(B483,'11.COMPOSIÇÕES GERAIS'!B:I,3,0),VLOOKUP(B483,'12.COT.MERCADO'!A:I,7,0)))),"Em Elaboração")</f>
        <v>M</v>
      </c>
      <c r="G483" s="254">
        <v>5.0</v>
      </c>
      <c r="H483" s="259">
        <f>IFERROR(IF(D483="SINAPI-S",VLOOKUP(B483,'20-B.SINAPI-S'!A:J,5,0),IF(D483="SINAPI-I",VLOOKUP(B483,'20-A.SINAPI-I'!A:G,6,0),IF(D483="COMPOSIÇÕES",VLOOKUP(B483,'11.COMPOSIÇÕES GERAIS'!B:I,7,0),0))),"Em Elaboração")</f>
        <v>0</v>
      </c>
      <c r="I483" s="259">
        <f>IFERROR(IF(D483="SINAPI-S",VLOOKUP(B483,'20-B.SINAPI-S'!A:J,6,0),IF(D483="SINAPI-I",VLOOKUP(B483,'20-A.SINAPI-I'!A:G,7,0),IF(D483="COMPOSIÇÕES",VLOOKUP(B483,'11.COMPOSIÇÕES GERAIS'!B:I,8,0),VLOOKUP(B483,'12.COT.MERCADO'!A:I,8,0)))),"Em Elaboração")</f>
        <v>1.75</v>
      </c>
      <c r="J483" s="259">
        <f t="shared" si="129"/>
        <v>0</v>
      </c>
      <c r="K483" s="259">
        <f t="shared" si="130"/>
        <v>2.049835524</v>
      </c>
      <c r="L483" s="259">
        <f t="shared" si="131"/>
        <v>2.049835524</v>
      </c>
      <c r="M483" s="259">
        <f t="shared" si="132"/>
        <v>0</v>
      </c>
      <c r="N483" s="259">
        <f t="shared" si="133"/>
        <v>10.24917762</v>
      </c>
      <c r="O483" s="259">
        <f t="shared" si="134"/>
        <v>10.24917762</v>
      </c>
      <c r="P483" s="260">
        <f t="shared" si="2"/>
        <v>0.000008017667621</v>
      </c>
    </row>
    <row r="484">
      <c r="A484" s="253" t="s">
        <v>636</v>
      </c>
      <c r="B484" s="254">
        <v>21127.0</v>
      </c>
      <c r="C484" s="255" t="str">
        <f t="shared" si="128"/>
        <v>SINAPI</v>
      </c>
      <c r="D484" s="256" t="s">
        <v>286</v>
      </c>
      <c r="E484" s="257" t="str">
        <f>IFERROR(IF(D484="SINAPI-S",VLOOKUP(B484,'20-B.SINAPI-S'!A:J,2,0),IF(D484="SINAPI-I",VLOOKUP(B484,'20-A.SINAPI-I'!A:G,2,0),IF(D484="COMPOSIÇÕES",VLOOKUP(B484,'11.COMPOSIÇÕES GERAIS'!B:I,2,0),VLOOKUP(B484,'12.COT.MERCADO'!A:I,2,0)))),"Em Elaboração")</f>
        <v>FITA ISOLANTE ADESIVA ANTICHAMA, USO ATE 750 V, EM ROLO DE 19 MM X 5 M</v>
      </c>
      <c r="F484" s="258" t="str">
        <f>IFERROR(IF(D484="SINAPI-S",VLOOKUP(B484,'20-B.SINAPI-S'!A:J,3,0),IF(D484="SINAPI-I",VLOOKUP(B484,'20-A.SINAPI-I'!A:G,3,0),IF(D484="COMPOSIÇÕES",VLOOKUP(B484,'11.COMPOSIÇÕES GERAIS'!B:I,3,0),VLOOKUP(B484,'12.COT.MERCADO'!A:I,7,0)))),"Em Elaboração")</f>
        <v>UN</v>
      </c>
      <c r="G484" s="254">
        <v>2.0</v>
      </c>
      <c r="H484" s="259">
        <f>IFERROR(IF(D484="SINAPI-S",VLOOKUP(B484,'20-B.SINAPI-S'!A:J,5,0),IF(D484="SINAPI-I",VLOOKUP(B484,'20-A.SINAPI-I'!A:G,6,0),IF(D484="COMPOSIÇÕES",VLOOKUP(B484,'11.COMPOSIÇÕES GERAIS'!B:I,7,0),0))),"Em Elaboração")</f>
        <v>0</v>
      </c>
      <c r="I484" s="259">
        <f>IFERROR(IF(D484="SINAPI-S",VLOOKUP(B484,'20-B.SINAPI-S'!A:J,6,0),IF(D484="SINAPI-I",VLOOKUP(B484,'20-A.SINAPI-I'!A:G,7,0),IF(D484="COMPOSIÇÕES",VLOOKUP(B484,'11.COMPOSIÇÕES GERAIS'!B:I,8,0),VLOOKUP(B484,'12.COT.MERCADO'!A:I,8,0)))),"Em Elaboração")</f>
        <v>4.87</v>
      </c>
      <c r="J484" s="259">
        <f t="shared" si="129"/>
        <v>0</v>
      </c>
      <c r="K484" s="259">
        <f t="shared" si="130"/>
        <v>5.70439943</v>
      </c>
      <c r="L484" s="259">
        <f t="shared" si="131"/>
        <v>5.70439943</v>
      </c>
      <c r="M484" s="259">
        <f t="shared" si="132"/>
        <v>0</v>
      </c>
      <c r="N484" s="259">
        <f t="shared" si="133"/>
        <v>11.40879886</v>
      </c>
      <c r="O484" s="259">
        <f t="shared" si="134"/>
        <v>11.40879886</v>
      </c>
      <c r="P484" s="260">
        <f t="shared" si="2"/>
        <v>0.000008924809443</v>
      </c>
    </row>
    <row r="485">
      <c r="A485" s="253" t="s">
        <v>637</v>
      </c>
      <c r="B485" s="254">
        <v>12344.0</v>
      </c>
      <c r="C485" s="255" t="str">
        <f t="shared" si="128"/>
        <v>SINAPI</v>
      </c>
      <c r="D485" s="256" t="s">
        <v>286</v>
      </c>
      <c r="E485" s="257" t="str">
        <f>IFERROR(IF(D485="SINAPI-S",VLOOKUP(B485,'20-B.SINAPI-S'!A:J,2,0),IF(D485="SINAPI-I",VLOOKUP(B485,'20-A.SINAPI-I'!A:G,2,0),IF(D485="COMPOSIÇÕES",VLOOKUP(B485,'11.COMPOSIÇÕES GERAIS'!B:I,2,0),VLOOKUP(B485,'12.COT.MERCADO'!A:I,2,0)))),"Em Elaboração")</f>
        <v>FUSIVEL DIAZED 20 A TAMANHO DII, CAPACIDADE DE INTERRUPCAO DE 50 KA EM VCA E 8 KA EM VCC, TENSAO NOMIMNAL DE 500 V</v>
      </c>
      <c r="F485" s="258" t="str">
        <f>IFERROR(IF(D485="SINAPI-S",VLOOKUP(B485,'20-B.SINAPI-S'!A:J,3,0),IF(D485="SINAPI-I",VLOOKUP(B485,'20-A.SINAPI-I'!A:G,3,0),IF(D485="COMPOSIÇÕES",VLOOKUP(B485,'11.COMPOSIÇÕES GERAIS'!B:I,3,0),VLOOKUP(B485,'12.COT.MERCADO'!A:I,7,0)))),"Em Elaboração")</f>
        <v>UN</v>
      </c>
      <c r="G485" s="254">
        <v>8.0</v>
      </c>
      <c r="H485" s="259">
        <f>IFERROR(IF(D485="SINAPI-S",VLOOKUP(B485,'20-B.SINAPI-S'!A:J,5,0),IF(D485="SINAPI-I",VLOOKUP(B485,'20-A.SINAPI-I'!A:G,6,0),IF(D485="COMPOSIÇÕES",VLOOKUP(B485,'11.COMPOSIÇÕES GERAIS'!B:I,7,0),0))),"Em Elaboração")</f>
        <v>0</v>
      </c>
      <c r="I485" s="259">
        <f>IFERROR(IF(D485="SINAPI-S",VLOOKUP(B485,'20-B.SINAPI-S'!A:J,6,0),IF(D485="SINAPI-I",VLOOKUP(B485,'20-A.SINAPI-I'!A:G,7,0),IF(D485="COMPOSIÇÕES",VLOOKUP(B485,'11.COMPOSIÇÕES GERAIS'!B:I,8,0),VLOOKUP(B485,'12.COT.MERCADO'!A:I,8,0)))),"Em Elaboração")</f>
        <v>4.01</v>
      </c>
      <c r="J485" s="259">
        <f t="shared" si="129"/>
        <v>0</v>
      </c>
      <c r="K485" s="259">
        <f t="shared" si="130"/>
        <v>4.697051686</v>
      </c>
      <c r="L485" s="259">
        <f t="shared" si="131"/>
        <v>4.697051686</v>
      </c>
      <c r="M485" s="259">
        <f t="shared" si="132"/>
        <v>0</v>
      </c>
      <c r="N485" s="259">
        <f t="shared" si="133"/>
        <v>37.57641349</v>
      </c>
      <c r="O485" s="259">
        <f t="shared" si="134"/>
        <v>37.57641349</v>
      </c>
      <c r="P485" s="260">
        <f t="shared" si="2"/>
        <v>0.00002939506026</v>
      </c>
    </row>
    <row r="486">
      <c r="A486" s="253" t="s">
        <v>638</v>
      </c>
      <c r="B486" s="254">
        <v>38063.0</v>
      </c>
      <c r="C486" s="255" t="str">
        <f t="shared" si="128"/>
        <v>SINAPI</v>
      </c>
      <c r="D486" s="256" t="s">
        <v>286</v>
      </c>
      <c r="E486" s="257" t="str">
        <f>IFERROR(IF(D486="SINAPI-S",VLOOKUP(B486,'20-B.SINAPI-S'!A:J,2,0),IF(D486="SINAPI-I",VLOOKUP(B486,'20-A.SINAPI-I'!A:G,2,0),IF(D486="COMPOSIÇÕES",VLOOKUP(B486,'11.COMPOSIÇÕES GERAIS'!B:I,2,0),VLOOKUP(B486,'12.COT.MERCADO'!A:I,2,0)))),"Em Elaboração")</f>
        <v>INTERRUPTOR PARALELO 10A, 250V, CONJUNTO MONTADO PARA EMBUTIR 4" X 2" (PLACA + SUPORTE + MODULO)</v>
      </c>
      <c r="F486" s="258" t="str">
        <f>IFERROR(IF(D486="SINAPI-S",VLOOKUP(B486,'20-B.SINAPI-S'!A:J,3,0),IF(D486="SINAPI-I",VLOOKUP(B486,'20-A.SINAPI-I'!A:G,3,0),IF(D486="COMPOSIÇÕES",VLOOKUP(B486,'11.COMPOSIÇÕES GERAIS'!B:I,3,0),VLOOKUP(B486,'12.COT.MERCADO'!A:I,7,0)))),"Em Elaboração")</f>
        <v>UN</v>
      </c>
      <c r="G486" s="254">
        <v>16.0</v>
      </c>
      <c r="H486" s="259">
        <f>IFERROR(IF(D486="SINAPI-S",VLOOKUP(B486,'20-B.SINAPI-S'!A:J,5,0),IF(D486="SINAPI-I",VLOOKUP(B486,'20-A.SINAPI-I'!A:G,6,0),IF(D486="COMPOSIÇÕES",VLOOKUP(B486,'11.COMPOSIÇÕES GERAIS'!B:I,7,0),0))),"Em Elaboração")</f>
        <v>0</v>
      </c>
      <c r="I486" s="259">
        <f>IFERROR(IF(D486="SINAPI-S",VLOOKUP(B486,'20-B.SINAPI-S'!A:J,6,0),IF(D486="SINAPI-I",VLOOKUP(B486,'20-A.SINAPI-I'!A:G,7,0),IF(D486="COMPOSIÇÕES",VLOOKUP(B486,'11.COMPOSIÇÕES GERAIS'!B:I,8,0),VLOOKUP(B486,'12.COT.MERCADO'!A:I,8,0)))),"Em Elaboração")</f>
        <v>10.34</v>
      </c>
      <c r="J486" s="259">
        <f t="shared" si="129"/>
        <v>0</v>
      </c>
      <c r="K486" s="259">
        <f t="shared" si="130"/>
        <v>12.11159961</v>
      </c>
      <c r="L486" s="259">
        <f t="shared" si="131"/>
        <v>12.11159961</v>
      </c>
      <c r="M486" s="259">
        <f t="shared" si="132"/>
        <v>0</v>
      </c>
      <c r="N486" s="259">
        <f t="shared" si="133"/>
        <v>193.7855938</v>
      </c>
      <c r="O486" s="259">
        <f t="shared" si="134"/>
        <v>193.7855938</v>
      </c>
      <c r="P486" s="260">
        <f t="shared" si="2"/>
        <v>0.0001515934778</v>
      </c>
    </row>
    <row r="487">
      <c r="A487" s="253" t="s">
        <v>639</v>
      </c>
      <c r="B487" s="254">
        <v>38062.0</v>
      </c>
      <c r="C487" s="255" t="str">
        <f t="shared" si="128"/>
        <v>SINAPI</v>
      </c>
      <c r="D487" s="256" t="s">
        <v>286</v>
      </c>
      <c r="E487" s="257" t="str">
        <f>IFERROR(IF(D487="SINAPI-S",VLOOKUP(B487,'20-B.SINAPI-S'!A:J,2,0),IF(D487="SINAPI-I",VLOOKUP(B487,'20-A.SINAPI-I'!A:G,2,0),IF(D487="COMPOSIÇÕES",VLOOKUP(B487,'11.COMPOSIÇÕES GERAIS'!B:I,2,0),VLOOKUP(B487,'12.COT.MERCADO'!A:I,2,0)))),"Em Elaboração")</f>
        <v>INTERRUPTOR SIMPLES 10A, 250V, CONJUNTO MONTADO PARA EMBUTIR 4" X 2" (PLACA + SUPORTE + MODULO)</v>
      </c>
      <c r="F487" s="258" t="str">
        <f>IFERROR(IF(D487="SINAPI-S",VLOOKUP(B487,'20-B.SINAPI-S'!A:J,3,0),IF(D487="SINAPI-I",VLOOKUP(B487,'20-A.SINAPI-I'!A:G,3,0),IF(D487="COMPOSIÇÕES",VLOOKUP(B487,'11.COMPOSIÇÕES GERAIS'!B:I,3,0),VLOOKUP(B487,'12.COT.MERCADO'!A:I,7,0)))),"Em Elaboração")</f>
        <v>UN</v>
      </c>
      <c r="G487" s="254">
        <v>32.0</v>
      </c>
      <c r="H487" s="259">
        <f>IFERROR(IF(D487="SINAPI-S",VLOOKUP(B487,'20-B.SINAPI-S'!A:J,5,0),IF(D487="SINAPI-I",VLOOKUP(B487,'20-A.SINAPI-I'!A:G,6,0),IF(D487="COMPOSIÇÕES",VLOOKUP(B487,'11.COMPOSIÇÕES GERAIS'!B:I,7,0),0))),"Em Elaboração")</f>
        <v>0</v>
      </c>
      <c r="I487" s="259">
        <f>IFERROR(IF(D487="SINAPI-S",VLOOKUP(B487,'20-B.SINAPI-S'!A:J,6,0),IF(D487="SINAPI-I",VLOOKUP(B487,'20-A.SINAPI-I'!A:G,7,0),IF(D487="COMPOSIÇÕES",VLOOKUP(B487,'11.COMPOSIÇÕES GERAIS'!B:I,8,0),VLOOKUP(B487,'12.COT.MERCADO'!A:I,8,0)))),"Em Elaboração")</f>
        <v>7.6</v>
      </c>
      <c r="J487" s="259">
        <f t="shared" si="129"/>
        <v>0</v>
      </c>
      <c r="K487" s="259">
        <f t="shared" si="130"/>
        <v>8.902142847</v>
      </c>
      <c r="L487" s="259">
        <f t="shared" si="131"/>
        <v>8.902142847</v>
      </c>
      <c r="M487" s="259">
        <f t="shared" si="132"/>
        <v>0</v>
      </c>
      <c r="N487" s="259">
        <f t="shared" si="133"/>
        <v>284.8685711</v>
      </c>
      <c r="O487" s="259">
        <f t="shared" si="134"/>
        <v>284.8685711</v>
      </c>
      <c r="P487" s="260">
        <f t="shared" si="2"/>
        <v>0.0002228453446</v>
      </c>
    </row>
    <row r="488">
      <c r="A488" s="253" t="s">
        <v>640</v>
      </c>
      <c r="B488" s="254">
        <v>38071.0</v>
      </c>
      <c r="C488" s="255" t="str">
        <f t="shared" si="128"/>
        <v>SINAPI</v>
      </c>
      <c r="D488" s="256" t="s">
        <v>286</v>
      </c>
      <c r="E488" s="257" t="str">
        <f>IFERROR(IF(D488="SINAPI-S",VLOOKUP(B488,'20-B.SINAPI-S'!A:J,2,0),IF(D488="SINAPI-I",VLOOKUP(B488,'20-A.SINAPI-I'!A:G,2,0),IF(D488="COMPOSIÇÕES",VLOOKUP(B488,'11.COMPOSIÇÕES GERAIS'!B:I,2,0),VLOOKUP(B488,'12.COT.MERCADO'!A:I,2,0)))),"Em Elaboração")</f>
        <v>INTERRUPTORES SIMPLES (3 MODULOS) 10A, 250V, CONJUNTO MONTADO PARA EMBUTIR 4" X 2" (PLACA + SUPORTE + MODULOS)</v>
      </c>
      <c r="F488" s="258" t="str">
        <f>IFERROR(IF(D488="SINAPI-S",VLOOKUP(B488,'20-B.SINAPI-S'!A:J,3,0),IF(D488="SINAPI-I",VLOOKUP(B488,'20-A.SINAPI-I'!A:G,3,0),IF(D488="COMPOSIÇÕES",VLOOKUP(B488,'11.COMPOSIÇÕES GERAIS'!B:I,3,0),VLOOKUP(B488,'12.COT.MERCADO'!A:I,7,0)))),"Em Elaboração")</f>
        <v>UN</v>
      </c>
      <c r="G488" s="254">
        <v>4.0</v>
      </c>
      <c r="H488" s="259">
        <f>IFERROR(IF(D488="SINAPI-S",VLOOKUP(B488,'20-B.SINAPI-S'!A:J,5,0),IF(D488="SINAPI-I",VLOOKUP(B488,'20-A.SINAPI-I'!A:G,6,0),IF(D488="COMPOSIÇÕES",VLOOKUP(B488,'11.COMPOSIÇÕES GERAIS'!B:I,7,0),0))),"Em Elaboração")</f>
        <v>0</v>
      </c>
      <c r="I488" s="259">
        <f>IFERROR(IF(D488="SINAPI-S",VLOOKUP(B488,'20-B.SINAPI-S'!A:J,6,0),IF(D488="SINAPI-I",VLOOKUP(B488,'20-A.SINAPI-I'!A:G,7,0),IF(D488="COMPOSIÇÕES",VLOOKUP(B488,'11.COMPOSIÇÕES GERAIS'!B:I,8,0),VLOOKUP(B488,'12.COT.MERCADO'!A:I,8,0)))),"Em Elaboração")</f>
        <v>18.65</v>
      </c>
      <c r="J488" s="259">
        <f t="shared" si="129"/>
        <v>0</v>
      </c>
      <c r="K488" s="259">
        <f t="shared" si="130"/>
        <v>21.84539001</v>
      </c>
      <c r="L488" s="259">
        <f t="shared" si="131"/>
        <v>21.84539001</v>
      </c>
      <c r="M488" s="259">
        <f t="shared" si="132"/>
        <v>0</v>
      </c>
      <c r="N488" s="259">
        <f t="shared" si="133"/>
        <v>87.38156005</v>
      </c>
      <c r="O488" s="259">
        <f t="shared" si="134"/>
        <v>87.38156005</v>
      </c>
      <c r="P488" s="260">
        <f t="shared" si="2"/>
        <v>0.00006835634337</v>
      </c>
    </row>
    <row r="489">
      <c r="A489" s="253" t="s">
        <v>641</v>
      </c>
      <c r="B489" s="254">
        <v>38070.0</v>
      </c>
      <c r="C489" s="255" t="str">
        <f t="shared" si="128"/>
        <v>SINAPI</v>
      </c>
      <c r="D489" s="256" t="s">
        <v>286</v>
      </c>
      <c r="E489" s="257" t="str">
        <f>IFERROR(IF(D489="SINAPI-S",VLOOKUP(B489,'20-B.SINAPI-S'!A:J,2,0),IF(D489="SINAPI-I",VLOOKUP(B489,'20-A.SINAPI-I'!A:G,2,0),IF(D489="COMPOSIÇÕES",VLOOKUP(B489,'11.COMPOSIÇÕES GERAIS'!B:I,2,0),VLOOKUP(B489,'12.COT.MERCADO'!A:I,2,0)))),"Em Elaboração")</f>
        <v>INTERRUPTORES PARALELOS (2 MODULOS) 10A, 250V, CONJUNTO MONTADO PARA EMBUTIR 4" X 2" (PLACA + SUPORTE + MODULOS)</v>
      </c>
      <c r="F489" s="258" t="str">
        <f>IFERROR(IF(D489="SINAPI-S",VLOOKUP(B489,'20-B.SINAPI-S'!A:J,3,0),IF(D489="SINAPI-I",VLOOKUP(B489,'20-A.SINAPI-I'!A:G,3,0),IF(D489="COMPOSIÇÕES",VLOOKUP(B489,'11.COMPOSIÇÕES GERAIS'!B:I,3,0),VLOOKUP(B489,'12.COT.MERCADO'!A:I,7,0)))),"Em Elaboração")</f>
        <v>UN</v>
      </c>
      <c r="G489" s="254">
        <v>4.0</v>
      </c>
      <c r="H489" s="259">
        <f>IFERROR(IF(D489="SINAPI-S",VLOOKUP(B489,'20-B.SINAPI-S'!A:J,5,0),IF(D489="SINAPI-I",VLOOKUP(B489,'20-A.SINAPI-I'!A:G,6,0),IF(D489="COMPOSIÇÕES",VLOOKUP(B489,'11.COMPOSIÇÕES GERAIS'!B:I,7,0),0))),"Em Elaboração")</f>
        <v>0</v>
      </c>
      <c r="I489" s="259">
        <f>IFERROR(IF(D489="SINAPI-S",VLOOKUP(B489,'20-B.SINAPI-S'!A:J,6,0),IF(D489="SINAPI-I",VLOOKUP(B489,'20-A.SINAPI-I'!A:G,7,0),IF(D489="COMPOSIÇÕES",VLOOKUP(B489,'11.COMPOSIÇÕES GERAIS'!B:I,8,0),VLOOKUP(B489,'12.COT.MERCADO'!A:I,8,0)))),"Em Elaboração")</f>
        <v>18.02</v>
      </c>
      <c r="J489" s="259">
        <f t="shared" si="129"/>
        <v>0</v>
      </c>
      <c r="K489" s="259">
        <f t="shared" si="130"/>
        <v>21.10744922</v>
      </c>
      <c r="L489" s="259">
        <f t="shared" si="131"/>
        <v>21.10744922</v>
      </c>
      <c r="M489" s="259">
        <f t="shared" si="132"/>
        <v>0</v>
      </c>
      <c r="N489" s="259">
        <f t="shared" si="133"/>
        <v>84.4297969</v>
      </c>
      <c r="O489" s="259">
        <f t="shared" si="134"/>
        <v>84.4297969</v>
      </c>
      <c r="P489" s="260">
        <f t="shared" si="2"/>
        <v>0.0000660472551</v>
      </c>
    </row>
    <row r="490">
      <c r="A490" s="253" t="s">
        <v>642</v>
      </c>
      <c r="B490" s="254">
        <v>38066.0</v>
      </c>
      <c r="C490" s="255" t="str">
        <f t="shared" si="128"/>
        <v>SINAPI</v>
      </c>
      <c r="D490" s="256" t="s">
        <v>286</v>
      </c>
      <c r="E490" s="257" t="str">
        <f>IFERROR(IF(D490="SINAPI-S",VLOOKUP(B490,'20-B.SINAPI-S'!A:J,2,0),IF(D490="SINAPI-I",VLOOKUP(B490,'20-A.SINAPI-I'!A:G,2,0),IF(D490="COMPOSIÇÕES",VLOOKUP(B490,'11.COMPOSIÇÕES GERAIS'!B:I,2,0),VLOOKUP(B490,'12.COT.MERCADO'!A:I,2,0)))),"Em Elaboração")</f>
        <v>PULSADOR CAMPAINHA 10A, 250V, CONJUNTO MONTADO PARA EMBUTIR 4" X 2" (PLACA + SUPORTE + MODULO)</v>
      </c>
      <c r="F490" s="258" t="str">
        <f>IFERROR(IF(D490="SINAPI-S",VLOOKUP(B490,'20-B.SINAPI-S'!A:J,3,0),IF(D490="SINAPI-I",VLOOKUP(B490,'20-A.SINAPI-I'!A:G,3,0),IF(D490="COMPOSIÇÕES",VLOOKUP(B490,'11.COMPOSIÇÕES GERAIS'!B:I,3,0),VLOOKUP(B490,'12.COT.MERCADO'!A:I,7,0)))),"Em Elaboração")</f>
        <v>UN</v>
      </c>
      <c r="G490" s="254">
        <v>2.0</v>
      </c>
      <c r="H490" s="259">
        <f>IFERROR(IF(D490="SINAPI-S",VLOOKUP(B490,'20-B.SINAPI-S'!A:J,5,0),IF(D490="SINAPI-I",VLOOKUP(B490,'20-A.SINAPI-I'!A:G,6,0),IF(D490="COMPOSIÇÕES",VLOOKUP(B490,'11.COMPOSIÇÕES GERAIS'!B:I,7,0),0))),"Em Elaboração")</f>
        <v>0</v>
      </c>
      <c r="I490" s="259">
        <f>IFERROR(IF(D490="SINAPI-S",VLOOKUP(B490,'20-B.SINAPI-S'!A:J,6,0),IF(D490="SINAPI-I",VLOOKUP(B490,'20-A.SINAPI-I'!A:G,7,0),IF(D490="COMPOSIÇÕES",VLOOKUP(B490,'11.COMPOSIÇÕES GERAIS'!B:I,8,0),VLOOKUP(B490,'12.COT.MERCADO'!A:I,8,0)))),"Em Elaboração")</f>
        <v>10.24</v>
      </c>
      <c r="J490" s="259">
        <f t="shared" si="129"/>
        <v>0</v>
      </c>
      <c r="K490" s="259">
        <f t="shared" si="130"/>
        <v>11.99446615</v>
      </c>
      <c r="L490" s="259">
        <f t="shared" si="131"/>
        <v>11.99446615</v>
      </c>
      <c r="M490" s="259">
        <f t="shared" si="132"/>
        <v>0</v>
      </c>
      <c r="N490" s="259">
        <f t="shared" si="133"/>
        <v>23.9889323</v>
      </c>
      <c r="O490" s="259">
        <f t="shared" si="134"/>
        <v>23.9889323</v>
      </c>
      <c r="P490" s="260">
        <f t="shared" si="2"/>
        <v>0.00001876592376</v>
      </c>
    </row>
    <row r="491">
      <c r="A491" s="253" t="s">
        <v>643</v>
      </c>
      <c r="B491" s="254">
        <v>38112.0</v>
      </c>
      <c r="C491" s="255" t="str">
        <f t="shared" si="128"/>
        <v>SINAPI</v>
      </c>
      <c r="D491" s="256" t="s">
        <v>286</v>
      </c>
      <c r="E491" s="257" t="str">
        <f>IFERROR(IF(D491="SINAPI-S",VLOOKUP(B491,'20-B.SINAPI-S'!A:J,2,0),IF(D491="SINAPI-I",VLOOKUP(B491,'20-A.SINAPI-I'!A:G,2,0),IF(D491="COMPOSIÇÕES",VLOOKUP(B491,'11.COMPOSIÇÕES GERAIS'!B:I,2,0),VLOOKUP(B491,'12.COT.MERCADO'!A:I,2,0)))),"Em Elaboração")</f>
        <v>INTERRUPTOR SIMPLES 10A, 250V (APENAS MODULO)</v>
      </c>
      <c r="F491" s="258" t="str">
        <f>IFERROR(IF(D491="SINAPI-S",VLOOKUP(B491,'20-B.SINAPI-S'!A:J,3,0),IF(D491="SINAPI-I",VLOOKUP(B491,'20-A.SINAPI-I'!A:G,3,0),IF(D491="COMPOSIÇÕES",VLOOKUP(B491,'11.COMPOSIÇÕES GERAIS'!B:I,3,0),VLOOKUP(B491,'12.COT.MERCADO'!A:I,7,0)))),"Em Elaboração")</f>
        <v>UN</v>
      </c>
      <c r="G491" s="254">
        <v>8.0</v>
      </c>
      <c r="H491" s="259">
        <f>IFERROR(IF(D491="SINAPI-S",VLOOKUP(B491,'20-B.SINAPI-S'!A:J,5,0),IF(D491="SINAPI-I",VLOOKUP(B491,'20-A.SINAPI-I'!A:G,6,0),IF(D491="COMPOSIÇÕES",VLOOKUP(B491,'11.COMPOSIÇÕES GERAIS'!B:I,7,0),0))),"Em Elaboração")</f>
        <v>0</v>
      </c>
      <c r="I491" s="259">
        <f>IFERROR(IF(D491="SINAPI-S",VLOOKUP(B491,'20-B.SINAPI-S'!A:J,6,0),IF(D491="SINAPI-I",VLOOKUP(B491,'20-A.SINAPI-I'!A:G,7,0),IF(D491="COMPOSIÇÕES",VLOOKUP(B491,'11.COMPOSIÇÕES GERAIS'!B:I,8,0),VLOOKUP(B491,'12.COT.MERCADO'!A:I,8,0)))),"Em Elaboração")</f>
        <v>7.4</v>
      </c>
      <c r="J491" s="259">
        <f t="shared" si="129"/>
        <v>0</v>
      </c>
      <c r="K491" s="259">
        <f t="shared" si="130"/>
        <v>8.66787593</v>
      </c>
      <c r="L491" s="259">
        <f t="shared" si="131"/>
        <v>8.66787593</v>
      </c>
      <c r="M491" s="259">
        <f t="shared" si="132"/>
        <v>0</v>
      </c>
      <c r="N491" s="259">
        <f t="shared" si="133"/>
        <v>69.34300744</v>
      </c>
      <c r="O491" s="259">
        <f t="shared" si="134"/>
        <v>69.34300744</v>
      </c>
      <c r="P491" s="260">
        <f t="shared" si="2"/>
        <v>0.00005424524836</v>
      </c>
    </row>
    <row r="492">
      <c r="A492" s="253" t="s">
        <v>644</v>
      </c>
      <c r="B492" s="254">
        <v>39387.0</v>
      </c>
      <c r="C492" s="255" t="str">
        <f t="shared" si="128"/>
        <v>SINAPI</v>
      </c>
      <c r="D492" s="256" t="s">
        <v>286</v>
      </c>
      <c r="E492" s="257" t="str">
        <f>IFERROR(IF(D492="SINAPI-S",VLOOKUP(B492,'20-B.SINAPI-S'!A:J,2,0),IF(D492="SINAPI-I",VLOOKUP(B492,'20-A.SINAPI-I'!A:G,2,0),IF(D492="COMPOSIÇÕES",VLOOKUP(B492,'11.COMPOSIÇÕES GERAIS'!B:I,2,0),VLOOKUP(B492,'12.COT.MERCADO'!A:I,2,0)))),"Em Elaboração")</f>
        <v>LAMPADA LED TUBULAR BIVOLT 18/20 W, BASE G13</v>
      </c>
      <c r="F492" s="258" t="str">
        <f>IFERROR(IF(D492="SINAPI-S",VLOOKUP(B492,'20-B.SINAPI-S'!A:J,3,0),IF(D492="SINAPI-I",VLOOKUP(B492,'20-A.SINAPI-I'!A:G,3,0),IF(D492="COMPOSIÇÕES",VLOOKUP(B492,'11.COMPOSIÇÕES GERAIS'!B:I,3,0),VLOOKUP(B492,'12.COT.MERCADO'!A:I,7,0)))),"Em Elaboração")</f>
        <v>UN</v>
      </c>
      <c r="G492" s="254">
        <v>300.0</v>
      </c>
      <c r="H492" s="259">
        <f>IFERROR(IF(D492="SINAPI-S",VLOOKUP(B492,'20-B.SINAPI-S'!A:J,5,0),IF(D492="SINAPI-I",VLOOKUP(B492,'20-A.SINAPI-I'!A:G,6,0),IF(D492="COMPOSIÇÕES",VLOOKUP(B492,'11.COMPOSIÇÕES GERAIS'!B:I,7,0),0))),"Em Elaboração")</f>
        <v>0</v>
      </c>
      <c r="I492" s="259">
        <f>IFERROR(IF(D492="SINAPI-S",VLOOKUP(B492,'20-B.SINAPI-S'!A:J,6,0),IF(D492="SINAPI-I",VLOOKUP(B492,'20-A.SINAPI-I'!A:G,7,0),IF(D492="COMPOSIÇÕES",VLOOKUP(B492,'11.COMPOSIÇÕES GERAIS'!B:I,8,0),VLOOKUP(B492,'12.COT.MERCADO'!A:I,8,0)))),"Em Elaboração")</f>
        <v>14.38</v>
      </c>
      <c r="J492" s="259">
        <f t="shared" si="129"/>
        <v>0</v>
      </c>
      <c r="K492" s="259">
        <f t="shared" si="130"/>
        <v>16.84379133</v>
      </c>
      <c r="L492" s="259">
        <f t="shared" si="131"/>
        <v>16.84379133</v>
      </c>
      <c r="M492" s="259">
        <f t="shared" si="132"/>
        <v>0</v>
      </c>
      <c r="N492" s="259">
        <f t="shared" si="133"/>
        <v>5053.1374</v>
      </c>
      <c r="O492" s="259">
        <f t="shared" si="134"/>
        <v>5053.1374</v>
      </c>
      <c r="P492" s="260">
        <f t="shared" si="2"/>
        <v>0.003952939213</v>
      </c>
    </row>
    <row r="493">
      <c r="A493" s="253" t="s">
        <v>645</v>
      </c>
      <c r="B493" s="254">
        <v>3750.0</v>
      </c>
      <c r="C493" s="255" t="str">
        <f t="shared" si="128"/>
        <v>SINAPI</v>
      </c>
      <c r="D493" s="256" t="s">
        <v>286</v>
      </c>
      <c r="E493" s="257" t="str">
        <f>IFERROR(IF(D493="SINAPI-S",VLOOKUP(B493,'20-B.SINAPI-S'!A:J,2,0),IF(D493="SINAPI-I",VLOOKUP(B493,'20-A.SINAPI-I'!A:G,2,0),IF(D493="COMPOSIÇÕES",VLOOKUP(B493,'11.COMPOSIÇÕES GERAIS'!B:I,2,0),VLOOKUP(B493,'12.COT.MERCADO'!A:I,2,0)))),"Em Elaboração")</f>
        <v>LAMPADA DE LUZ MISTA 250 W, BASE E27 (220 V)</v>
      </c>
      <c r="F493" s="258" t="str">
        <f>IFERROR(IF(D493="SINAPI-S",VLOOKUP(B493,'20-B.SINAPI-S'!A:J,3,0),IF(D493="SINAPI-I",VLOOKUP(B493,'20-A.SINAPI-I'!A:G,3,0),IF(D493="COMPOSIÇÕES",VLOOKUP(B493,'11.COMPOSIÇÕES GERAIS'!B:I,3,0),VLOOKUP(B493,'12.COT.MERCADO'!A:I,7,0)))),"Em Elaboração")</f>
        <v>UN</v>
      </c>
      <c r="G493" s="254">
        <v>15.0</v>
      </c>
      <c r="H493" s="259">
        <f>IFERROR(IF(D493="SINAPI-S",VLOOKUP(B493,'20-B.SINAPI-S'!A:J,5,0),IF(D493="SINAPI-I",VLOOKUP(B493,'20-A.SINAPI-I'!A:G,6,0),IF(D493="COMPOSIÇÕES",VLOOKUP(B493,'11.COMPOSIÇÕES GERAIS'!B:I,7,0),0))),"Em Elaboração")</f>
        <v>0</v>
      </c>
      <c r="I493" s="259">
        <f>IFERROR(IF(D493="SINAPI-S",VLOOKUP(B493,'20-B.SINAPI-S'!A:J,6,0),IF(D493="SINAPI-I",VLOOKUP(B493,'20-A.SINAPI-I'!A:G,7,0),IF(D493="COMPOSIÇÕES",VLOOKUP(B493,'11.COMPOSIÇÕES GERAIS'!B:I,8,0),VLOOKUP(B493,'12.COT.MERCADO'!A:I,8,0)))),"Em Elaboração")</f>
        <v>36.12</v>
      </c>
      <c r="J493" s="259">
        <f t="shared" si="129"/>
        <v>0</v>
      </c>
      <c r="K493" s="259">
        <f t="shared" si="130"/>
        <v>42.30860522</v>
      </c>
      <c r="L493" s="259">
        <f t="shared" si="131"/>
        <v>42.30860522</v>
      </c>
      <c r="M493" s="259">
        <f t="shared" si="132"/>
        <v>0</v>
      </c>
      <c r="N493" s="259">
        <f t="shared" si="133"/>
        <v>634.6290782</v>
      </c>
      <c r="O493" s="259">
        <f t="shared" si="134"/>
        <v>634.6290782</v>
      </c>
      <c r="P493" s="260">
        <f t="shared" si="2"/>
        <v>0.0004964539791</v>
      </c>
    </row>
    <row r="494">
      <c r="A494" s="253" t="s">
        <v>646</v>
      </c>
      <c r="B494" s="254">
        <v>38194.0</v>
      </c>
      <c r="C494" s="255" t="str">
        <f t="shared" si="128"/>
        <v>SINAPI</v>
      </c>
      <c r="D494" s="256" t="s">
        <v>286</v>
      </c>
      <c r="E494" s="257" t="str">
        <f>IFERROR(IF(D494="SINAPI-S",VLOOKUP(B494,'20-B.SINAPI-S'!A:J,2,0),IF(D494="SINAPI-I",VLOOKUP(B494,'20-A.SINAPI-I'!A:G,2,0),IF(D494="COMPOSIÇÕES",VLOOKUP(B494,'11.COMPOSIÇÕES GERAIS'!B:I,2,0),VLOOKUP(B494,'12.COT.MERCADO'!A:I,2,0)))),"Em Elaboração")</f>
        <v>LAMPADA LED 10 W BIVOLT BRANCA, FORMATO TRADICIONAL (BASE E27)</v>
      </c>
      <c r="F494" s="258" t="str">
        <f>IFERROR(IF(D494="SINAPI-S",VLOOKUP(B494,'20-B.SINAPI-S'!A:J,3,0),IF(D494="SINAPI-I",VLOOKUP(B494,'20-A.SINAPI-I'!A:G,3,0),IF(D494="COMPOSIÇÕES",VLOOKUP(B494,'11.COMPOSIÇÕES GERAIS'!B:I,3,0),VLOOKUP(B494,'12.COT.MERCADO'!A:I,7,0)))),"Em Elaboração")</f>
        <v>UN</v>
      </c>
      <c r="G494" s="254">
        <v>50.0</v>
      </c>
      <c r="H494" s="259">
        <f>IFERROR(IF(D494="SINAPI-S",VLOOKUP(B494,'20-B.SINAPI-S'!A:J,5,0),IF(D494="SINAPI-I",VLOOKUP(B494,'20-A.SINAPI-I'!A:G,6,0),IF(D494="COMPOSIÇÕES",VLOOKUP(B494,'11.COMPOSIÇÕES GERAIS'!B:I,7,0),0))),"Em Elaboração")</f>
        <v>0</v>
      </c>
      <c r="I494" s="259">
        <f>IFERROR(IF(D494="SINAPI-S",VLOOKUP(B494,'20-B.SINAPI-S'!A:J,6,0),IF(D494="SINAPI-I",VLOOKUP(B494,'20-A.SINAPI-I'!A:G,7,0),IF(D494="COMPOSIÇÕES",VLOOKUP(B494,'11.COMPOSIÇÕES GERAIS'!B:I,8,0),VLOOKUP(B494,'12.COT.MERCADO'!A:I,8,0)))),"Em Elaboração")</f>
        <v>7.5</v>
      </c>
      <c r="J494" s="259">
        <f t="shared" si="129"/>
        <v>0</v>
      </c>
      <c r="K494" s="259">
        <f t="shared" si="130"/>
        <v>8.785009389</v>
      </c>
      <c r="L494" s="259">
        <f t="shared" si="131"/>
        <v>8.785009389</v>
      </c>
      <c r="M494" s="259">
        <f t="shared" si="132"/>
        <v>0</v>
      </c>
      <c r="N494" s="259">
        <f t="shared" si="133"/>
        <v>439.2504694</v>
      </c>
      <c r="O494" s="259">
        <f t="shared" si="134"/>
        <v>439.2504694</v>
      </c>
      <c r="P494" s="260">
        <f t="shared" si="2"/>
        <v>0.0003436143266</v>
      </c>
    </row>
    <row r="495">
      <c r="A495" s="253" t="s">
        <v>647</v>
      </c>
      <c r="B495" s="254">
        <v>38774.0</v>
      </c>
      <c r="C495" s="255" t="str">
        <f t="shared" si="128"/>
        <v>SINAPI</v>
      </c>
      <c r="D495" s="256" t="s">
        <v>286</v>
      </c>
      <c r="E495" s="257" t="str">
        <f>IFERROR(IF(D495="SINAPI-S",VLOOKUP(B495,'20-B.SINAPI-S'!A:J,2,0),IF(D495="SINAPI-I",VLOOKUP(B495,'20-A.SINAPI-I'!A:G,2,0),IF(D495="COMPOSIÇÕES",VLOOKUP(B495,'11.COMPOSIÇÕES GERAIS'!B:I,2,0),VLOOKUP(B495,'12.COT.MERCADO'!A:I,2,0)))),"Em Elaboração")</f>
        <v>LUMINARIA DE EMERGENCIA 30 LEDS, POTENCIA 2 W, BATERIA DE LITIO, AUTONOMIA DE 6 HORAS</v>
      </c>
      <c r="F495" s="258" t="str">
        <f>IFERROR(IF(D495="SINAPI-S",VLOOKUP(B495,'20-B.SINAPI-S'!A:J,3,0),IF(D495="SINAPI-I",VLOOKUP(B495,'20-A.SINAPI-I'!A:G,3,0),IF(D495="COMPOSIÇÕES",VLOOKUP(B495,'11.COMPOSIÇÕES GERAIS'!B:I,3,0),VLOOKUP(B495,'12.COT.MERCADO'!A:I,7,0)))),"Em Elaboração")</f>
        <v>UN</v>
      </c>
      <c r="G495" s="254">
        <v>30.0</v>
      </c>
      <c r="H495" s="259">
        <f>IFERROR(IF(D495="SINAPI-S",VLOOKUP(B495,'20-B.SINAPI-S'!A:J,5,0),IF(D495="SINAPI-I",VLOOKUP(B495,'20-A.SINAPI-I'!A:G,6,0),IF(D495="COMPOSIÇÕES",VLOOKUP(B495,'11.COMPOSIÇÕES GERAIS'!B:I,7,0),0))),"Em Elaboração")</f>
        <v>0</v>
      </c>
      <c r="I495" s="259">
        <f>IFERROR(IF(D495="SINAPI-S",VLOOKUP(B495,'20-B.SINAPI-S'!A:J,6,0),IF(D495="SINAPI-I",VLOOKUP(B495,'20-A.SINAPI-I'!A:G,7,0),IF(D495="COMPOSIÇÕES",VLOOKUP(B495,'11.COMPOSIÇÕES GERAIS'!B:I,8,0),VLOOKUP(B495,'12.COT.MERCADO'!A:I,8,0)))),"Em Elaboração")</f>
        <v>18.84</v>
      </c>
      <c r="J495" s="259">
        <f t="shared" si="129"/>
        <v>0</v>
      </c>
      <c r="K495" s="259">
        <f t="shared" si="130"/>
        <v>22.06794358</v>
      </c>
      <c r="L495" s="259">
        <f t="shared" si="131"/>
        <v>22.06794358</v>
      </c>
      <c r="M495" s="259">
        <f t="shared" si="132"/>
        <v>0</v>
      </c>
      <c r="N495" s="259">
        <f t="shared" si="133"/>
        <v>662.0383075</v>
      </c>
      <c r="O495" s="259">
        <f t="shared" si="134"/>
        <v>662.0383075</v>
      </c>
      <c r="P495" s="260">
        <f t="shared" si="2"/>
        <v>0.0005178955131</v>
      </c>
    </row>
    <row r="496">
      <c r="A496" s="253" t="s">
        <v>648</v>
      </c>
      <c r="B496" s="254">
        <v>39391.0</v>
      </c>
      <c r="C496" s="255" t="str">
        <f t="shared" si="128"/>
        <v>SINAPI</v>
      </c>
      <c r="D496" s="256" t="s">
        <v>286</v>
      </c>
      <c r="E496" s="257" t="str">
        <f>IFERROR(IF(D496="SINAPI-S",VLOOKUP(B496,'20-B.SINAPI-S'!A:J,2,0),IF(D496="SINAPI-I",VLOOKUP(B496,'20-A.SINAPI-I'!A:G,2,0),IF(D496="COMPOSIÇÕES",VLOOKUP(B496,'11.COMPOSIÇÕES GERAIS'!B:I,2,0),VLOOKUP(B496,'12.COT.MERCADO'!A:I,2,0)))),"Em Elaboração")</f>
        <v>LUMINARIA LED REFLETOR RETANGULAR BIVOLT, LUZ BRANCA, 50 W</v>
      </c>
      <c r="F496" s="258" t="str">
        <f>IFERROR(IF(D496="SINAPI-S",VLOOKUP(B496,'20-B.SINAPI-S'!A:J,3,0),IF(D496="SINAPI-I",VLOOKUP(B496,'20-A.SINAPI-I'!A:G,3,0),IF(D496="COMPOSIÇÕES",VLOOKUP(B496,'11.COMPOSIÇÕES GERAIS'!B:I,3,0),VLOOKUP(B496,'12.COT.MERCADO'!A:I,7,0)))),"Em Elaboração")</f>
        <v>UN</v>
      </c>
      <c r="G496" s="254">
        <v>8.0</v>
      </c>
      <c r="H496" s="259">
        <f>IFERROR(IF(D496="SINAPI-S",VLOOKUP(B496,'20-B.SINAPI-S'!A:J,5,0),IF(D496="SINAPI-I",VLOOKUP(B496,'20-A.SINAPI-I'!A:G,6,0),IF(D496="COMPOSIÇÕES",VLOOKUP(B496,'11.COMPOSIÇÕES GERAIS'!B:I,7,0),0))),"Em Elaboração")</f>
        <v>0</v>
      </c>
      <c r="I496" s="259">
        <f>IFERROR(IF(D496="SINAPI-S",VLOOKUP(B496,'20-B.SINAPI-S'!A:J,6,0),IF(D496="SINAPI-I",VLOOKUP(B496,'20-A.SINAPI-I'!A:G,7,0),IF(D496="COMPOSIÇÕES",VLOOKUP(B496,'11.COMPOSIÇÕES GERAIS'!B:I,8,0),VLOOKUP(B496,'12.COT.MERCADO'!A:I,8,0)))),"Em Elaboração")</f>
        <v>44</v>
      </c>
      <c r="J496" s="259">
        <f t="shared" si="129"/>
        <v>0</v>
      </c>
      <c r="K496" s="259">
        <f t="shared" si="130"/>
        <v>51.53872175</v>
      </c>
      <c r="L496" s="259">
        <f t="shared" si="131"/>
        <v>51.53872175</v>
      </c>
      <c r="M496" s="259">
        <f t="shared" si="132"/>
        <v>0</v>
      </c>
      <c r="N496" s="259">
        <f t="shared" si="133"/>
        <v>412.309774</v>
      </c>
      <c r="O496" s="259">
        <f t="shared" si="134"/>
        <v>412.309774</v>
      </c>
      <c r="P496" s="260">
        <f t="shared" si="2"/>
        <v>0.0003225393146</v>
      </c>
    </row>
    <row r="497">
      <c r="A497" s="253" t="s">
        <v>649</v>
      </c>
      <c r="B497" s="254">
        <v>1892.0</v>
      </c>
      <c r="C497" s="255" t="str">
        <f t="shared" si="128"/>
        <v>SINAPI</v>
      </c>
      <c r="D497" s="256" t="s">
        <v>286</v>
      </c>
      <c r="E497" s="257" t="str">
        <f>IFERROR(IF(D497="SINAPI-S",VLOOKUP(B497,'20-B.SINAPI-S'!A:J,2,0),IF(D497="SINAPI-I",VLOOKUP(B497,'20-A.SINAPI-I'!A:G,2,0),IF(D497="COMPOSIÇÕES",VLOOKUP(B497,'11.COMPOSIÇÕES GERAIS'!B:I,2,0),VLOOKUP(B497,'12.COT.MERCADO'!A:I,2,0)))),"Em Elaboração")</f>
        <v>LUVA EM PVC RIGIDO ROSCAVEL, DE 1", PARA ELETRODUTO</v>
      </c>
      <c r="F497" s="258" t="str">
        <f>IFERROR(IF(D497="SINAPI-S",VLOOKUP(B497,'20-B.SINAPI-S'!A:J,3,0),IF(D497="SINAPI-I",VLOOKUP(B497,'20-A.SINAPI-I'!A:G,3,0),IF(D497="COMPOSIÇÕES",VLOOKUP(B497,'11.COMPOSIÇÕES GERAIS'!B:I,3,0),VLOOKUP(B497,'12.COT.MERCADO'!A:I,7,0)))),"Em Elaboração")</f>
        <v>UN</v>
      </c>
      <c r="G497" s="254">
        <v>8.0</v>
      </c>
      <c r="H497" s="259">
        <f>IFERROR(IF(D497="SINAPI-S",VLOOKUP(B497,'20-B.SINAPI-S'!A:J,5,0),IF(D497="SINAPI-I",VLOOKUP(B497,'20-A.SINAPI-I'!A:G,6,0),IF(D497="COMPOSIÇÕES",VLOOKUP(B497,'11.COMPOSIÇÕES GERAIS'!B:I,7,0),0))),"Em Elaboração")</f>
        <v>0</v>
      </c>
      <c r="I497" s="259">
        <f>IFERROR(IF(D497="SINAPI-S",VLOOKUP(B497,'20-B.SINAPI-S'!A:J,6,0),IF(D497="SINAPI-I",VLOOKUP(B497,'20-A.SINAPI-I'!A:G,7,0),IF(D497="COMPOSIÇÕES",VLOOKUP(B497,'11.COMPOSIÇÕES GERAIS'!B:I,8,0),VLOOKUP(B497,'12.COT.MERCADO'!A:I,8,0)))),"Em Elaboração")</f>
        <v>2.34</v>
      </c>
      <c r="J497" s="259">
        <f t="shared" si="129"/>
        <v>0</v>
      </c>
      <c r="K497" s="259">
        <f t="shared" si="130"/>
        <v>2.740922929</v>
      </c>
      <c r="L497" s="259">
        <f t="shared" si="131"/>
        <v>2.740922929</v>
      </c>
      <c r="M497" s="259">
        <f t="shared" si="132"/>
        <v>0</v>
      </c>
      <c r="N497" s="259">
        <f t="shared" si="133"/>
        <v>21.92738343</v>
      </c>
      <c r="O497" s="259">
        <f t="shared" si="134"/>
        <v>21.92738343</v>
      </c>
      <c r="P497" s="260">
        <f t="shared" si="2"/>
        <v>0.00001715322718</v>
      </c>
    </row>
    <row r="498">
      <c r="A498" s="253" t="s">
        <v>650</v>
      </c>
      <c r="B498" s="254">
        <v>1893.0</v>
      </c>
      <c r="C498" s="255" t="str">
        <f t="shared" si="128"/>
        <v>SINAPI</v>
      </c>
      <c r="D498" s="256" t="s">
        <v>286</v>
      </c>
      <c r="E498" s="257" t="str">
        <f>IFERROR(IF(D498="SINAPI-S",VLOOKUP(B498,'20-B.SINAPI-S'!A:J,2,0),IF(D498="SINAPI-I",VLOOKUP(B498,'20-A.SINAPI-I'!A:G,2,0),IF(D498="COMPOSIÇÕES",VLOOKUP(B498,'11.COMPOSIÇÕES GERAIS'!B:I,2,0),VLOOKUP(B498,'12.COT.MERCADO'!A:I,2,0)))),"Em Elaboração")</f>
        <v>LUVA EM PVC RIGIDO ROSCAVEL, DE 1 1/2", PARA ELETRODUTO</v>
      </c>
      <c r="F498" s="258" t="str">
        <f>IFERROR(IF(D498="SINAPI-S",VLOOKUP(B498,'20-B.SINAPI-S'!A:J,3,0),IF(D498="SINAPI-I",VLOOKUP(B498,'20-A.SINAPI-I'!A:G,3,0),IF(D498="COMPOSIÇÕES",VLOOKUP(B498,'11.COMPOSIÇÕES GERAIS'!B:I,3,0),VLOOKUP(B498,'12.COT.MERCADO'!A:I,7,0)))),"Em Elaboração")</f>
        <v>UN</v>
      </c>
      <c r="G498" s="254">
        <v>8.0</v>
      </c>
      <c r="H498" s="259">
        <f>IFERROR(IF(D498="SINAPI-S",VLOOKUP(B498,'20-B.SINAPI-S'!A:J,5,0),IF(D498="SINAPI-I",VLOOKUP(B498,'20-A.SINAPI-I'!A:G,6,0),IF(D498="COMPOSIÇÕES",VLOOKUP(B498,'11.COMPOSIÇÕES GERAIS'!B:I,7,0),0))),"Em Elaboração")</f>
        <v>0</v>
      </c>
      <c r="I498" s="259">
        <f>IFERROR(IF(D498="SINAPI-S",VLOOKUP(B498,'20-B.SINAPI-S'!A:J,6,0),IF(D498="SINAPI-I",VLOOKUP(B498,'20-A.SINAPI-I'!A:G,7,0),IF(D498="COMPOSIÇÕES",VLOOKUP(B498,'11.COMPOSIÇÕES GERAIS'!B:I,8,0),VLOOKUP(B498,'12.COT.MERCADO'!A:I,8,0)))),"Em Elaboração")</f>
        <v>5</v>
      </c>
      <c r="J498" s="259">
        <f t="shared" si="129"/>
        <v>0</v>
      </c>
      <c r="K498" s="259">
        <f t="shared" si="130"/>
        <v>5.856672926</v>
      </c>
      <c r="L498" s="259">
        <f t="shared" si="131"/>
        <v>5.856672926</v>
      </c>
      <c r="M498" s="259">
        <f t="shared" si="132"/>
        <v>0</v>
      </c>
      <c r="N498" s="259">
        <f t="shared" si="133"/>
        <v>46.85338341</v>
      </c>
      <c r="O498" s="259">
        <f t="shared" si="134"/>
        <v>46.85338341</v>
      </c>
      <c r="P498" s="260">
        <f t="shared" si="2"/>
        <v>0.00003665219484</v>
      </c>
    </row>
    <row r="499">
      <c r="A499" s="253" t="s">
        <v>651</v>
      </c>
      <c r="B499" s="254">
        <v>1902.0</v>
      </c>
      <c r="C499" s="255" t="str">
        <f t="shared" si="128"/>
        <v>SINAPI</v>
      </c>
      <c r="D499" s="256" t="s">
        <v>286</v>
      </c>
      <c r="E499" s="257" t="str">
        <f>IFERROR(IF(D499="SINAPI-S",VLOOKUP(B499,'20-B.SINAPI-S'!A:J,2,0),IF(D499="SINAPI-I",VLOOKUP(B499,'20-A.SINAPI-I'!A:G,2,0),IF(D499="COMPOSIÇÕES",VLOOKUP(B499,'11.COMPOSIÇÕES GERAIS'!B:I,2,0),VLOOKUP(B499,'12.COT.MERCADO'!A:I,2,0)))),"Em Elaboração")</f>
        <v>LUVA EM PVC RIGIDO ROSCAVEL, DE 1 1/4", PARA ELETRODUTO</v>
      </c>
      <c r="F499" s="258" t="str">
        <f>IFERROR(IF(D499="SINAPI-S",VLOOKUP(B499,'20-B.SINAPI-S'!A:J,3,0),IF(D499="SINAPI-I",VLOOKUP(B499,'20-A.SINAPI-I'!A:G,3,0),IF(D499="COMPOSIÇÕES",VLOOKUP(B499,'11.COMPOSIÇÕES GERAIS'!B:I,3,0),VLOOKUP(B499,'12.COT.MERCADO'!A:I,7,0)))),"Em Elaboração")</f>
        <v>UN</v>
      </c>
      <c r="G499" s="254">
        <v>8.0</v>
      </c>
      <c r="H499" s="259">
        <f>IFERROR(IF(D499="SINAPI-S",VLOOKUP(B499,'20-B.SINAPI-S'!A:J,5,0),IF(D499="SINAPI-I",VLOOKUP(B499,'20-A.SINAPI-I'!A:G,6,0),IF(D499="COMPOSIÇÕES",VLOOKUP(B499,'11.COMPOSIÇÕES GERAIS'!B:I,7,0),0))),"Em Elaboração")</f>
        <v>0</v>
      </c>
      <c r="I499" s="259">
        <f>IFERROR(IF(D499="SINAPI-S",VLOOKUP(B499,'20-B.SINAPI-S'!A:J,6,0),IF(D499="SINAPI-I",VLOOKUP(B499,'20-A.SINAPI-I'!A:G,7,0),IF(D499="COMPOSIÇÕES",VLOOKUP(B499,'11.COMPOSIÇÕES GERAIS'!B:I,8,0),VLOOKUP(B499,'12.COT.MERCADO'!A:I,8,0)))),"Em Elaboração")</f>
        <v>3.64</v>
      </c>
      <c r="J499" s="259">
        <f t="shared" si="129"/>
        <v>0</v>
      </c>
      <c r="K499" s="259">
        <f t="shared" si="130"/>
        <v>4.26365789</v>
      </c>
      <c r="L499" s="259">
        <f t="shared" si="131"/>
        <v>4.26365789</v>
      </c>
      <c r="M499" s="259">
        <f t="shared" si="132"/>
        <v>0</v>
      </c>
      <c r="N499" s="259">
        <f t="shared" si="133"/>
        <v>34.10926312</v>
      </c>
      <c r="O499" s="259">
        <f t="shared" si="134"/>
        <v>34.10926312</v>
      </c>
      <c r="P499" s="260">
        <f t="shared" si="2"/>
        <v>0.00002668279784</v>
      </c>
    </row>
    <row r="500">
      <c r="A500" s="253" t="s">
        <v>652</v>
      </c>
      <c r="B500" s="254">
        <v>1894.0</v>
      </c>
      <c r="C500" s="255" t="str">
        <f t="shared" si="128"/>
        <v>SINAPI</v>
      </c>
      <c r="D500" s="256" t="s">
        <v>286</v>
      </c>
      <c r="E500" s="257" t="str">
        <f>IFERROR(IF(D500="SINAPI-S",VLOOKUP(B500,'20-B.SINAPI-S'!A:J,2,0),IF(D500="SINAPI-I",VLOOKUP(B500,'20-A.SINAPI-I'!A:G,2,0),IF(D500="COMPOSIÇÕES",VLOOKUP(B500,'11.COMPOSIÇÕES GERAIS'!B:I,2,0),VLOOKUP(B500,'12.COT.MERCADO'!A:I,2,0)))),"Em Elaboração")</f>
        <v>LUVA EM PVC RIGIDO ROSCAVEL, DE 2", PARA ELETRODUTO</v>
      </c>
      <c r="F500" s="258" t="str">
        <f>IFERROR(IF(D500="SINAPI-S",VLOOKUP(B500,'20-B.SINAPI-S'!A:J,3,0),IF(D500="SINAPI-I",VLOOKUP(B500,'20-A.SINAPI-I'!A:G,3,0),IF(D500="COMPOSIÇÕES",VLOOKUP(B500,'11.COMPOSIÇÕES GERAIS'!B:I,3,0),VLOOKUP(B500,'12.COT.MERCADO'!A:I,7,0)))),"Em Elaboração")</f>
        <v>UN</v>
      </c>
      <c r="G500" s="254">
        <v>8.0</v>
      </c>
      <c r="H500" s="259">
        <f>IFERROR(IF(D500="SINAPI-S",VLOOKUP(B500,'20-B.SINAPI-S'!A:J,5,0),IF(D500="SINAPI-I",VLOOKUP(B500,'20-A.SINAPI-I'!A:G,6,0),IF(D500="COMPOSIÇÕES",VLOOKUP(B500,'11.COMPOSIÇÕES GERAIS'!B:I,7,0),0))),"Em Elaboração")</f>
        <v>0</v>
      </c>
      <c r="I500" s="259">
        <f>IFERROR(IF(D500="SINAPI-S",VLOOKUP(B500,'20-B.SINAPI-S'!A:J,6,0),IF(D500="SINAPI-I",VLOOKUP(B500,'20-A.SINAPI-I'!A:G,7,0),IF(D500="COMPOSIÇÕES",VLOOKUP(B500,'11.COMPOSIÇÕES GERAIS'!B:I,8,0),VLOOKUP(B500,'12.COT.MERCADO'!A:I,8,0)))),"Em Elaboração")</f>
        <v>7.24</v>
      </c>
      <c r="J500" s="259">
        <f t="shared" si="129"/>
        <v>0</v>
      </c>
      <c r="K500" s="259">
        <f t="shared" si="130"/>
        <v>8.480462396</v>
      </c>
      <c r="L500" s="259">
        <f t="shared" si="131"/>
        <v>8.480462396</v>
      </c>
      <c r="M500" s="259">
        <f t="shared" si="132"/>
        <v>0</v>
      </c>
      <c r="N500" s="259">
        <f t="shared" si="133"/>
        <v>67.84369917</v>
      </c>
      <c r="O500" s="259">
        <f t="shared" si="134"/>
        <v>67.84369917</v>
      </c>
      <c r="P500" s="260">
        <f t="shared" si="2"/>
        <v>0.00005307237813</v>
      </c>
    </row>
    <row r="501">
      <c r="A501" s="253" t="s">
        <v>653</v>
      </c>
      <c r="B501" s="254">
        <v>1891.0</v>
      </c>
      <c r="C501" s="255" t="str">
        <f t="shared" si="128"/>
        <v>SINAPI</v>
      </c>
      <c r="D501" s="256" t="s">
        <v>286</v>
      </c>
      <c r="E501" s="257" t="str">
        <f>IFERROR(IF(D501="SINAPI-S",VLOOKUP(B501,'20-B.SINAPI-S'!A:J,2,0),IF(D501="SINAPI-I",VLOOKUP(B501,'20-A.SINAPI-I'!A:G,2,0),IF(D501="COMPOSIÇÕES",VLOOKUP(B501,'11.COMPOSIÇÕES GERAIS'!B:I,2,0),VLOOKUP(B501,'12.COT.MERCADO'!A:I,2,0)))),"Em Elaboração")</f>
        <v>LUVA EM PVC RIGIDO ROSCAVEL, DE 3/4", PARA ELETRODUTO</v>
      </c>
      <c r="F501" s="258" t="str">
        <f>IFERROR(IF(D501="SINAPI-S",VLOOKUP(B501,'20-B.SINAPI-S'!A:J,3,0),IF(D501="SINAPI-I",VLOOKUP(B501,'20-A.SINAPI-I'!A:G,3,0),IF(D501="COMPOSIÇÕES",VLOOKUP(B501,'11.COMPOSIÇÕES GERAIS'!B:I,3,0),VLOOKUP(B501,'12.COT.MERCADO'!A:I,7,0)))),"Em Elaboração")</f>
        <v>UN</v>
      </c>
      <c r="G501" s="254">
        <v>8.0</v>
      </c>
      <c r="H501" s="259">
        <f>IFERROR(IF(D501="SINAPI-S",VLOOKUP(B501,'20-B.SINAPI-S'!A:J,5,0),IF(D501="SINAPI-I",VLOOKUP(B501,'20-A.SINAPI-I'!A:G,6,0),IF(D501="COMPOSIÇÕES",VLOOKUP(B501,'11.COMPOSIÇÕES GERAIS'!B:I,7,0),0))),"Em Elaboração")</f>
        <v>0</v>
      </c>
      <c r="I501" s="259">
        <f>IFERROR(IF(D501="SINAPI-S",VLOOKUP(B501,'20-B.SINAPI-S'!A:J,6,0),IF(D501="SINAPI-I",VLOOKUP(B501,'20-A.SINAPI-I'!A:G,7,0),IF(D501="COMPOSIÇÕES",VLOOKUP(B501,'11.COMPOSIÇÕES GERAIS'!B:I,8,0),VLOOKUP(B501,'12.COT.MERCADO'!A:I,8,0)))),"Em Elaboração")</f>
        <v>1.68</v>
      </c>
      <c r="J501" s="259">
        <f t="shared" si="129"/>
        <v>0</v>
      </c>
      <c r="K501" s="259">
        <f t="shared" si="130"/>
        <v>1.967842103</v>
      </c>
      <c r="L501" s="259">
        <f t="shared" si="131"/>
        <v>1.967842103</v>
      </c>
      <c r="M501" s="259">
        <f t="shared" si="132"/>
        <v>0</v>
      </c>
      <c r="N501" s="259">
        <f t="shared" si="133"/>
        <v>15.74273682</v>
      </c>
      <c r="O501" s="259">
        <f t="shared" si="134"/>
        <v>15.74273682</v>
      </c>
      <c r="P501" s="260">
        <f t="shared" si="2"/>
        <v>0.00001231513747</v>
      </c>
    </row>
    <row r="502">
      <c r="A502" s="253" t="s">
        <v>654</v>
      </c>
      <c r="B502" s="254">
        <v>1901.0</v>
      </c>
      <c r="C502" s="255" t="str">
        <f t="shared" si="128"/>
        <v>SINAPI</v>
      </c>
      <c r="D502" s="256" t="s">
        <v>286</v>
      </c>
      <c r="E502" s="257" t="str">
        <f>IFERROR(IF(D502="SINAPI-S",VLOOKUP(B502,'20-B.SINAPI-S'!A:J,2,0),IF(D502="SINAPI-I",VLOOKUP(B502,'20-A.SINAPI-I'!A:G,2,0),IF(D502="COMPOSIÇÕES",VLOOKUP(B502,'11.COMPOSIÇÕES GERAIS'!B:I,2,0),VLOOKUP(B502,'12.COT.MERCADO'!A:I,2,0)))),"Em Elaboração")</f>
        <v>LUVA EM PVC RIGIDO ROSCAVEL, DE 1/2", PARA ELETRODUTO</v>
      </c>
      <c r="F502" s="258" t="str">
        <f>IFERROR(IF(D502="SINAPI-S",VLOOKUP(B502,'20-B.SINAPI-S'!A:J,3,0),IF(D502="SINAPI-I",VLOOKUP(B502,'20-A.SINAPI-I'!A:G,3,0),IF(D502="COMPOSIÇÕES",VLOOKUP(B502,'11.COMPOSIÇÕES GERAIS'!B:I,3,0),VLOOKUP(B502,'12.COT.MERCADO'!A:I,7,0)))),"Em Elaboração")</f>
        <v>UN</v>
      </c>
      <c r="G502" s="254">
        <v>8.0</v>
      </c>
      <c r="H502" s="259">
        <f>IFERROR(IF(D502="SINAPI-S",VLOOKUP(B502,'20-B.SINAPI-S'!A:J,5,0),IF(D502="SINAPI-I",VLOOKUP(B502,'20-A.SINAPI-I'!A:G,6,0),IF(D502="COMPOSIÇÕES",VLOOKUP(B502,'11.COMPOSIÇÕES GERAIS'!B:I,7,0),0))),"Em Elaboração")</f>
        <v>0</v>
      </c>
      <c r="I502" s="259">
        <f>IFERROR(IF(D502="SINAPI-S",VLOOKUP(B502,'20-B.SINAPI-S'!A:J,6,0),IF(D502="SINAPI-I",VLOOKUP(B502,'20-A.SINAPI-I'!A:G,7,0),IF(D502="COMPOSIÇÕES",VLOOKUP(B502,'11.COMPOSIÇÕES GERAIS'!B:I,8,0),VLOOKUP(B502,'12.COT.MERCADO'!A:I,8,0)))),"Em Elaboração")</f>
        <v>1.14</v>
      </c>
      <c r="J502" s="259">
        <f t="shared" si="129"/>
        <v>0</v>
      </c>
      <c r="K502" s="259">
        <f t="shared" si="130"/>
        <v>1.335321427</v>
      </c>
      <c r="L502" s="259">
        <f t="shared" si="131"/>
        <v>1.335321427</v>
      </c>
      <c r="M502" s="259">
        <f t="shared" si="132"/>
        <v>0</v>
      </c>
      <c r="N502" s="259">
        <f t="shared" si="133"/>
        <v>10.68257142</v>
      </c>
      <c r="O502" s="259">
        <f t="shared" si="134"/>
        <v>10.68257142</v>
      </c>
      <c r="P502" s="260">
        <f t="shared" si="2"/>
        <v>0.000008356700423</v>
      </c>
    </row>
    <row r="503">
      <c r="A503" s="253" t="s">
        <v>655</v>
      </c>
      <c r="B503" s="254">
        <v>2637.0</v>
      </c>
      <c r="C503" s="255" t="str">
        <f t="shared" si="128"/>
        <v>SINAPI</v>
      </c>
      <c r="D503" s="256" t="s">
        <v>286</v>
      </c>
      <c r="E503" s="257" t="str">
        <f>IFERROR(IF(D503="SINAPI-S",VLOOKUP(B503,'20-B.SINAPI-S'!A:J,2,0),IF(D503="SINAPI-I",VLOOKUP(B503,'20-A.SINAPI-I'!A:G,2,0),IF(D503="COMPOSIÇÕES",VLOOKUP(B503,'11.COMPOSIÇÕES GERAIS'!B:I,2,0),VLOOKUP(B503,'12.COT.MERCADO'!A:I,2,0)))),"Em Elaboração")</f>
        <v>LUVA PARA ELETRODUTO, EM ACO GALVANIZADO ELETROLITICO, DIAMETRO DE 20 MM (3/4")</v>
      </c>
      <c r="F503" s="258" t="str">
        <f>IFERROR(IF(D503="SINAPI-S",VLOOKUP(B503,'20-B.SINAPI-S'!A:J,3,0),IF(D503="SINAPI-I",VLOOKUP(B503,'20-A.SINAPI-I'!A:G,3,0),IF(D503="COMPOSIÇÕES",VLOOKUP(B503,'11.COMPOSIÇÕES GERAIS'!B:I,3,0),VLOOKUP(B503,'12.COT.MERCADO'!A:I,7,0)))),"Em Elaboração")</f>
        <v>UN</v>
      </c>
      <c r="G503" s="254">
        <v>8.0</v>
      </c>
      <c r="H503" s="259">
        <f>IFERROR(IF(D503="SINAPI-S",VLOOKUP(B503,'20-B.SINAPI-S'!A:J,5,0),IF(D503="SINAPI-I",VLOOKUP(B503,'20-A.SINAPI-I'!A:G,6,0),IF(D503="COMPOSIÇÕES",VLOOKUP(B503,'11.COMPOSIÇÕES GERAIS'!B:I,7,0),0))),"Em Elaboração")</f>
        <v>0</v>
      </c>
      <c r="I503" s="259">
        <f>IFERROR(IF(D503="SINAPI-S",VLOOKUP(B503,'20-B.SINAPI-S'!A:J,6,0),IF(D503="SINAPI-I",VLOOKUP(B503,'20-A.SINAPI-I'!A:G,7,0),IF(D503="COMPOSIÇÕES",VLOOKUP(B503,'11.COMPOSIÇÕES GERAIS'!B:I,8,0),VLOOKUP(B503,'12.COT.MERCADO'!A:I,8,0)))),"Em Elaboração")</f>
        <v>2.3</v>
      </c>
      <c r="J503" s="259">
        <f t="shared" si="129"/>
        <v>0</v>
      </c>
      <c r="K503" s="259">
        <f t="shared" si="130"/>
        <v>2.694069546</v>
      </c>
      <c r="L503" s="259">
        <f t="shared" si="131"/>
        <v>2.694069546</v>
      </c>
      <c r="M503" s="259">
        <f t="shared" si="132"/>
        <v>0</v>
      </c>
      <c r="N503" s="259">
        <f t="shared" si="133"/>
        <v>21.55255637</v>
      </c>
      <c r="O503" s="259">
        <f t="shared" si="134"/>
        <v>21.55255637</v>
      </c>
      <c r="P503" s="260">
        <f t="shared" si="2"/>
        <v>0.00001686000963</v>
      </c>
    </row>
    <row r="504">
      <c r="A504" s="253" t="s">
        <v>656</v>
      </c>
      <c r="B504" s="254">
        <v>12038.0</v>
      </c>
      <c r="C504" s="255" t="str">
        <f t="shared" si="128"/>
        <v>SINAPI</v>
      </c>
      <c r="D504" s="256" t="s">
        <v>286</v>
      </c>
      <c r="E504" s="257" t="str">
        <f>IFERROR(IF(D504="SINAPI-S",VLOOKUP(B504,'20-B.SINAPI-S'!A:J,2,0),IF(D504="SINAPI-I",VLOOKUP(B504,'20-A.SINAPI-I'!A:G,2,0),IF(D504="COMPOSIÇÕES",VLOOKUP(B504,'11.COMPOSIÇÕES GERAIS'!B:I,2,0),VLOOKUP(B504,'12.COT.MERCADO'!A:I,2,0)))),"Em Elaboração")</f>
        <v>QUADRO DE DISTRIBUICAO COM BARRAMENTO TRIFASICO, DE SOBREPOR, EM CHAPA DE ACO GALVANIZADO, PARA 18 DISJUNTORES DIN, 100 A</v>
      </c>
      <c r="F504" s="258" t="str">
        <f>IFERROR(IF(D504="SINAPI-S",VLOOKUP(B504,'20-B.SINAPI-S'!A:J,3,0),IF(D504="SINAPI-I",VLOOKUP(B504,'20-A.SINAPI-I'!A:G,3,0),IF(D504="COMPOSIÇÕES",VLOOKUP(B504,'11.COMPOSIÇÕES GERAIS'!B:I,3,0),VLOOKUP(B504,'12.COT.MERCADO'!A:I,7,0)))),"Em Elaboração")</f>
        <v>UN</v>
      </c>
      <c r="G504" s="254">
        <v>2.0</v>
      </c>
      <c r="H504" s="259">
        <f>IFERROR(IF(D504="SINAPI-S",VLOOKUP(B504,'20-B.SINAPI-S'!A:J,5,0),IF(D504="SINAPI-I",VLOOKUP(B504,'20-A.SINAPI-I'!A:G,6,0),IF(D504="COMPOSIÇÕES",VLOOKUP(B504,'11.COMPOSIÇÕES GERAIS'!B:I,7,0),0))),"Em Elaboração")</f>
        <v>0</v>
      </c>
      <c r="I504" s="259">
        <f>IFERROR(IF(D504="SINAPI-S",VLOOKUP(B504,'20-B.SINAPI-S'!A:J,6,0),IF(D504="SINAPI-I",VLOOKUP(B504,'20-A.SINAPI-I'!A:G,7,0),IF(D504="COMPOSIÇÕES",VLOOKUP(B504,'11.COMPOSIÇÕES GERAIS'!B:I,8,0),VLOOKUP(B504,'12.COT.MERCADO'!A:I,8,0)))),"Em Elaboração")</f>
        <v>450.3</v>
      </c>
      <c r="J504" s="259">
        <f t="shared" si="129"/>
        <v>0</v>
      </c>
      <c r="K504" s="259">
        <f t="shared" si="130"/>
        <v>527.4519637</v>
      </c>
      <c r="L504" s="259">
        <f t="shared" si="131"/>
        <v>527.4519637</v>
      </c>
      <c r="M504" s="259">
        <f t="shared" si="132"/>
        <v>0</v>
      </c>
      <c r="N504" s="259">
        <f t="shared" si="133"/>
        <v>1054.903927</v>
      </c>
      <c r="O504" s="259">
        <f t="shared" si="134"/>
        <v>1054.903927</v>
      </c>
      <c r="P504" s="260">
        <f t="shared" si="2"/>
        <v>0.0008252241668</v>
      </c>
    </row>
    <row r="505">
      <c r="A505" s="253" t="s">
        <v>657</v>
      </c>
      <c r="B505" s="254">
        <v>12296.0</v>
      </c>
      <c r="C505" s="255" t="str">
        <f t="shared" si="128"/>
        <v>SINAPI</v>
      </c>
      <c r="D505" s="256" t="s">
        <v>286</v>
      </c>
      <c r="E505" s="257" t="str">
        <f>IFERROR(IF(D505="SINAPI-S",VLOOKUP(B505,'20-B.SINAPI-S'!A:J,2,0),IF(D505="SINAPI-I",VLOOKUP(B505,'20-A.SINAPI-I'!A:G,2,0),IF(D505="COMPOSIÇÕES",VLOOKUP(B505,'11.COMPOSIÇÕES GERAIS'!B:I,2,0),VLOOKUP(B505,'12.COT.MERCADO'!A:I,2,0)))),"Em Elaboração")</f>
        <v>SOQUETE DE PORCELANA BASE E27, FIXO DE TETO, PARA LAMPADAS</v>
      </c>
      <c r="F505" s="258" t="str">
        <f>IFERROR(IF(D505="SINAPI-S",VLOOKUP(B505,'20-B.SINAPI-S'!A:J,3,0),IF(D505="SINAPI-I",VLOOKUP(B505,'20-A.SINAPI-I'!A:G,3,0),IF(D505="COMPOSIÇÕES",VLOOKUP(B505,'11.COMPOSIÇÕES GERAIS'!B:I,3,0),VLOOKUP(B505,'12.COT.MERCADO'!A:I,7,0)))),"Em Elaboração")</f>
        <v>UN</v>
      </c>
      <c r="G505" s="254">
        <v>4.0</v>
      </c>
      <c r="H505" s="259">
        <f>IFERROR(IF(D505="SINAPI-S",VLOOKUP(B505,'20-B.SINAPI-S'!A:J,5,0),IF(D505="SINAPI-I",VLOOKUP(B505,'20-A.SINAPI-I'!A:G,6,0),IF(D505="COMPOSIÇÕES",VLOOKUP(B505,'11.COMPOSIÇÕES GERAIS'!B:I,7,0),0))),"Em Elaboração")</f>
        <v>0</v>
      </c>
      <c r="I505" s="259">
        <f>IFERROR(IF(D505="SINAPI-S",VLOOKUP(B505,'20-B.SINAPI-S'!A:J,6,0),IF(D505="SINAPI-I",VLOOKUP(B505,'20-A.SINAPI-I'!A:G,7,0),IF(D505="COMPOSIÇÕES",VLOOKUP(B505,'11.COMPOSIÇÕES GERAIS'!B:I,8,0),VLOOKUP(B505,'12.COT.MERCADO'!A:I,8,0)))),"Em Elaboração")</f>
        <v>4.47</v>
      </c>
      <c r="J505" s="259">
        <f t="shared" si="129"/>
        <v>0</v>
      </c>
      <c r="K505" s="259">
        <f t="shared" si="130"/>
        <v>5.235865596</v>
      </c>
      <c r="L505" s="259">
        <f t="shared" si="131"/>
        <v>5.235865596</v>
      </c>
      <c r="M505" s="259">
        <f t="shared" si="132"/>
        <v>0</v>
      </c>
      <c r="N505" s="259">
        <f t="shared" si="133"/>
        <v>20.94346238</v>
      </c>
      <c r="O505" s="259">
        <f t="shared" si="134"/>
        <v>20.94346238</v>
      </c>
      <c r="P505" s="260">
        <f t="shared" si="2"/>
        <v>0.00001638353109</v>
      </c>
    </row>
    <row r="506">
      <c r="A506" s="253" t="s">
        <v>658</v>
      </c>
      <c r="B506" s="254">
        <v>2510.0</v>
      </c>
      <c r="C506" s="255" t="str">
        <f t="shared" si="128"/>
        <v>SINAPI</v>
      </c>
      <c r="D506" s="256" t="s">
        <v>286</v>
      </c>
      <c r="E506" s="257" t="str">
        <f>IFERROR(IF(D506="SINAPI-S",VLOOKUP(B506,'20-B.SINAPI-S'!A:J,2,0),IF(D506="SINAPI-I",VLOOKUP(B506,'20-A.SINAPI-I'!A:G,2,0),IF(D506="COMPOSIÇÕES",VLOOKUP(B506,'11.COMPOSIÇÕES GERAIS'!B:I,2,0),VLOOKUP(B506,'12.COT.MERCADO'!A:I,2,0)))),"Em Elaboração")</f>
        <v>RELE FOTOELETRICO INTERNO E EXTERNO BIVOLT 1000 W, DE CONECTOR, SEM BASE</v>
      </c>
      <c r="F506" s="258" t="str">
        <f>IFERROR(IF(D506="SINAPI-S",VLOOKUP(B506,'20-B.SINAPI-S'!A:J,3,0),IF(D506="SINAPI-I",VLOOKUP(B506,'20-A.SINAPI-I'!A:G,3,0),IF(D506="COMPOSIÇÕES",VLOOKUP(B506,'11.COMPOSIÇÕES GERAIS'!B:I,3,0),VLOOKUP(B506,'12.COT.MERCADO'!A:I,7,0)))),"Em Elaboração")</f>
        <v>UN</v>
      </c>
      <c r="G506" s="254">
        <v>4.0</v>
      </c>
      <c r="H506" s="259">
        <f>IFERROR(IF(D506="SINAPI-S",VLOOKUP(B506,'20-B.SINAPI-S'!A:J,5,0),IF(D506="SINAPI-I",VLOOKUP(B506,'20-A.SINAPI-I'!A:G,6,0),IF(D506="COMPOSIÇÕES",VLOOKUP(B506,'11.COMPOSIÇÕES GERAIS'!B:I,7,0),0))),"Em Elaboração")</f>
        <v>0</v>
      </c>
      <c r="I506" s="259">
        <f>IFERROR(IF(D506="SINAPI-S",VLOOKUP(B506,'20-B.SINAPI-S'!A:J,6,0),IF(D506="SINAPI-I",VLOOKUP(B506,'20-A.SINAPI-I'!A:G,7,0),IF(D506="COMPOSIÇÕES",VLOOKUP(B506,'11.COMPOSIÇÕES GERAIS'!B:I,8,0),VLOOKUP(B506,'12.COT.MERCADO'!A:I,8,0)))),"Em Elaboração")</f>
        <v>34.29</v>
      </c>
      <c r="J506" s="259">
        <f t="shared" si="129"/>
        <v>0</v>
      </c>
      <c r="K506" s="259">
        <f t="shared" si="130"/>
        <v>40.16506292</v>
      </c>
      <c r="L506" s="259">
        <f t="shared" si="131"/>
        <v>40.16506292</v>
      </c>
      <c r="M506" s="259">
        <f t="shared" si="132"/>
        <v>0</v>
      </c>
      <c r="N506" s="259">
        <f t="shared" si="133"/>
        <v>160.6602517</v>
      </c>
      <c r="O506" s="259">
        <f t="shared" si="134"/>
        <v>160.6602517</v>
      </c>
      <c r="P506" s="260">
        <f t="shared" si="2"/>
        <v>0.0001256803761</v>
      </c>
    </row>
    <row r="507">
      <c r="A507" s="253" t="s">
        <v>659</v>
      </c>
      <c r="B507" s="254">
        <v>12359.0</v>
      </c>
      <c r="C507" s="255" t="str">
        <f t="shared" si="128"/>
        <v>SINAPI</v>
      </c>
      <c r="D507" s="256" t="s">
        <v>286</v>
      </c>
      <c r="E507" s="257" t="str">
        <f>IFERROR(IF(D507="SINAPI-S",VLOOKUP(B507,'20-B.SINAPI-S'!A:J,2,0),IF(D507="SINAPI-I",VLOOKUP(B507,'20-A.SINAPI-I'!A:G,2,0),IF(D507="COMPOSIÇÕES",VLOOKUP(B507,'11.COMPOSIÇÕES GERAIS'!B:I,2,0),VLOOKUP(B507,'12.COT.MERCADO'!A:I,2,0)))),"Em Elaboração")</f>
        <v>RELE TERMICO BIMETAL PARA USO EM MOTORES TRIFASICOS, TENSAO 380 V, POTENCIA ATE 15 CV, CORRENTE NOMINAL MAXIMA 22 A</v>
      </c>
      <c r="F507" s="258" t="str">
        <f>IFERROR(IF(D507="SINAPI-S",VLOOKUP(B507,'20-B.SINAPI-S'!A:J,3,0),IF(D507="SINAPI-I",VLOOKUP(B507,'20-A.SINAPI-I'!A:G,3,0),IF(D507="COMPOSIÇÕES",VLOOKUP(B507,'11.COMPOSIÇÕES GERAIS'!B:I,3,0),VLOOKUP(B507,'12.COT.MERCADO'!A:I,7,0)))),"Em Elaboração")</f>
        <v>UN</v>
      </c>
      <c r="G507" s="254">
        <v>2.0</v>
      </c>
      <c r="H507" s="259">
        <f>IFERROR(IF(D507="SINAPI-S",VLOOKUP(B507,'20-B.SINAPI-S'!A:J,5,0),IF(D507="SINAPI-I",VLOOKUP(B507,'20-A.SINAPI-I'!A:G,6,0),IF(D507="COMPOSIÇÕES",VLOOKUP(B507,'11.COMPOSIÇÕES GERAIS'!B:I,7,0),0))),"Em Elaboração")</f>
        <v>0</v>
      </c>
      <c r="I507" s="259">
        <f>IFERROR(IF(D507="SINAPI-S",VLOOKUP(B507,'20-B.SINAPI-S'!A:J,6,0),IF(D507="SINAPI-I",VLOOKUP(B507,'20-A.SINAPI-I'!A:G,7,0),IF(D507="COMPOSIÇÕES",VLOOKUP(B507,'11.COMPOSIÇÕES GERAIS'!B:I,8,0),VLOOKUP(B507,'12.COT.MERCADO'!A:I,8,0)))),"Em Elaboração")</f>
        <v>108.83</v>
      </c>
      <c r="J507" s="259">
        <f t="shared" si="129"/>
        <v>0</v>
      </c>
      <c r="K507" s="259">
        <f t="shared" si="130"/>
        <v>127.4763429</v>
      </c>
      <c r="L507" s="259">
        <f t="shared" si="131"/>
        <v>127.4763429</v>
      </c>
      <c r="M507" s="259">
        <f t="shared" si="132"/>
        <v>0</v>
      </c>
      <c r="N507" s="259">
        <f t="shared" si="133"/>
        <v>254.9526858</v>
      </c>
      <c r="O507" s="259">
        <f t="shared" si="134"/>
        <v>254.9526858</v>
      </c>
      <c r="P507" s="260">
        <f t="shared" si="2"/>
        <v>0.0001994429182</v>
      </c>
    </row>
    <row r="508">
      <c r="A508" s="253" t="s">
        <v>660</v>
      </c>
      <c r="B508" s="254">
        <v>39392.0</v>
      </c>
      <c r="C508" s="255" t="str">
        <f t="shared" si="128"/>
        <v>SINAPI</v>
      </c>
      <c r="D508" s="256" t="s">
        <v>286</v>
      </c>
      <c r="E508" s="257" t="str">
        <f>IFERROR(IF(D508="SINAPI-S",VLOOKUP(B508,'20-B.SINAPI-S'!A:J,2,0),IF(D508="SINAPI-I",VLOOKUP(B508,'20-A.SINAPI-I'!A:G,2,0),IF(D508="COMPOSIÇÕES",VLOOKUP(B508,'11.COMPOSIÇÕES GERAIS'!B:I,2,0),VLOOKUP(B508,'12.COT.MERCADO'!A:I,2,0)))),"Em Elaboração")</f>
        <v>SENSOR DE PRESENCA BIVOLT DE PAREDE COM FOTOCELULA PARA QUALQUER TIPO DE LAMPADA POTENCIA MAXIMA *1000* W, USO INTERNO</v>
      </c>
      <c r="F508" s="258" t="str">
        <f>IFERROR(IF(D508="SINAPI-S",VLOOKUP(B508,'20-B.SINAPI-S'!A:J,3,0),IF(D508="SINAPI-I",VLOOKUP(B508,'20-A.SINAPI-I'!A:G,3,0),IF(D508="COMPOSIÇÕES",VLOOKUP(B508,'11.COMPOSIÇÕES GERAIS'!B:I,3,0),VLOOKUP(B508,'12.COT.MERCADO'!A:I,7,0)))),"Em Elaboração")</f>
        <v>UN</v>
      </c>
      <c r="G508" s="254">
        <v>3.0</v>
      </c>
      <c r="H508" s="259">
        <f>IFERROR(IF(D508="SINAPI-S",VLOOKUP(B508,'20-B.SINAPI-S'!A:J,5,0),IF(D508="SINAPI-I",VLOOKUP(B508,'20-A.SINAPI-I'!A:G,6,0),IF(D508="COMPOSIÇÕES",VLOOKUP(B508,'11.COMPOSIÇÕES GERAIS'!B:I,7,0),0))),"Em Elaboração")</f>
        <v>0</v>
      </c>
      <c r="I508" s="259">
        <f>IFERROR(IF(D508="SINAPI-S",VLOOKUP(B508,'20-B.SINAPI-S'!A:J,6,0),IF(D508="SINAPI-I",VLOOKUP(B508,'20-A.SINAPI-I'!A:G,7,0),IF(D508="COMPOSIÇÕES",VLOOKUP(B508,'11.COMPOSIÇÕES GERAIS'!B:I,8,0),VLOOKUP(B508,'12.COT.MERCADO'!A:I,8,0)))),"Em Elaboração")</f>
        <v>75.74</v>
      </c>
      <c r="J508" s="259">
        <f t="shared" si="129"/>
        <v>0</v>
      </c>
      <c r="K508" s="259">
        <f t="shared" si="130"/>
        <v>88.71688148</v>
      </c>
      <c r="L508" s="259">
        <f t="shared" si="131"/>
        <v>88.71688148</v>
      </c>
      <c r="M508" s="259">
        <f t="shared" si="132"/>
        <v>0</v>
      </c>
      <c r="N508" s="259">
        <f t="shared" si="133"/>
        <v>266.1506444</v>
      </c>
      <c r="O508" s="259">
        <f t="shared" si="134"/>
        <v>266.1506444</v>
      </c>
      <c r="P508" s="260">
        <f t="shared" si="2"/>
        <v>0.0002082027928</v>
      </c>
    </row>
    <row r="509">
      <c r="A509" s="253" t="s">
        <v>661</v>
      </c>
      <c r="B509" s="254">
        <v>12732.0</v>
      </c>
      <c r="C509" s="255" t="str">
        <f t="shared" si="128"/>
        <v>SINAPI</v>
      </c>
      <c r="D509" s="256" t="s">
        <v>286</v>
      </c>
      <c r="E509" s="257" t="str">
        <f>IFERROR(IF(D509="SINAPI-S",VLOOKUP(B509,'20-B.SINAPI-S'!A:J,2,0),IF(D509="SINAPI-I",VLOOKUP(B509,'20-A.SINAPI-I'!A:G,2,0),IF(D509="COMPOSIÇÕES",VLOOKUP(B509,'11.COMPOSIÇÕES GERAIS'!B:I,2,0),VLOOKUP(B509,'12.COT.MERCADO'!A:I,2,0)))),"Em Elaboração")</f>
        <v>SOLDA ESTANHO/COBRE PARA CONEXOES DE COBRE, FIO 2,5 MM, CARRETEL 500 GR (SEM CHUMBO)</v>
      </c>
      <c r="F509" s="258" t="str">
        <f>IFERROR(IF(D509="SINAPI-S",VLOOKUP(B509,'20-B.SINAPI-S'!A:J,3,0),IF(D509="SINAPI-I",VLOOKUP(B509,'20-A.SINAPI-I'!A:G,3,0),IF(D509="COMPOSIÇÕES",VLOOKUP(B509,'11.COMPOSIÇÕES GERAIS'!B:I,3,0),VLOOKUP(B509,'12.COT.MERCADO'!A:I,7,0)))),"Em Elaboração")</f>
        <v>UN</v>
      </c>
      <c r="G509" s="254">
        <v>1.0</v>
      </c>
      <c r="H509" s="259">
        <f>IFERROR(IF(D509="SINAPI-S",VLOOKUP(B509,'20-B.SINAPI-S'!A:J,5,0),IF(D509="SINAPI-I",VLOOKUP(B509,'20-A.SINAPI-I'!A:G,6,0),IF(D509="COMPOSIÇÕES",VLOOKUP(B509,'11.COMPOSIÇÕES GERAIS'!B:I,7,0),0))),"Em Elaboração")</f>
        <v>0</v>
      </c>
      <c r="I509" s="259">
        <f>IFERROR(IF(D509="SINAPI-S",VLOOKUP(B509,'20-B.SINAPI-S'!A:J,6,0),IF(D509="SINAPI-I",VLOOKUP(B509,'20-A.SINAPI-I'!A:G,7,0),IF(D509="COMPOSIÇÕES",VLOOKUP(B509,'11.COMPOSIÇÕES GERAIS'!B:I,8,0),VLOOKUP(B509,'12.COT.MERCADO'!A:I,8,0)))),"Em Elaboração")</f>
        <v>284.87</v>
      </c>
      <c r="J509" s="259">
        <f t="shared" si="129"/>
        <v>0</v>
      </c>
      <c r="K509" s="259">
        <f t="shared" si="130"/>
        <v>333.6780833</v>
      </c>
      <c r="L509" s="259">
        <f t="shared" si="131"/>
        <v>333.6780833</v>
      </c>
      <c r="M509" s="259">
        <f t="shared" si="132"/>
        <v>0</v>
      </c>
      <c r="N509" s="259">
        <f t="shared" si="133"/>
        <v>333.6780833</v>
      </c>
      <c r="O509" s="259">
        <f t="shared" si="134"/>
        <v>333.6780833</v>
      </c>
      <c r="P509" s="260">
        <f t="shared" si="2"/>
        <v>0.0002610277686</v>
      </c>
    </row>
    <row r="510">
      <c r="A510" s="253" t="s">
        <v>662</v>
      </c>
      <c r="B510" s="254">
        <v>14543.0</v>
      </c>
      <c r="C510" s="255" t="str">
        <f t="shared" si="128"/>
        <v>SINAPI</v>
      </c>
      <c r="D510" s="256" t="s">
        <v>286</v>
      </c>
      <c r="E510" s="257" t="str">
        <f>IFERROR(IF(D510="SINAPI-S",VLOOKUP(B510,'20-B.SINAPI-S'!A:J,2,0),IF(D510="SINAPI-I",VLOOKUP(B510,'20-A.SINAPI-I'!A:G,2,0),IF(D510="COMPOSIÇÕES",VLOOKUP(B510,'11.COMPOSIÇÕES GERAIS'!B:I,2,0),VLOOKUP(B510,'12.COT.MERCADO'!A:I,2,0)))),"Em Elaboração")</f>
        <v>SOQUETE DE PVC / TERMOPLASTICO BASE E27, COM CHAVE, PARA LAMPADAS</v>
      </c>
      <c r="F510" s="258" t="str">
        <f>IFERROR(IF(D510="SINAPI-S",VLOOKUP(B510,'20-B.SINAPI-S'!A:J,3,0),IF(D510="SINAPI-I",VLOOKUP(B510,'20-A.SINAPI-I'!A:G,3,0),IF(D510="COMPOSIÇÕES",VLOOKUP(B510,'11.COMPOSIÇÕES GERAIS'!B:I,3,0),VLOOKUP(B510,'12.COT.MERCADO'!A:I,7,0)))),"Em Elaboração")</f>
        <v>UN</v>
      </c>
      <c r="G510" s="254">
        <v>8.0</v>
      </c>
      <c r="H510" s="259">
        <f>IFERROR(IF(D510="SINAPI-S",VLOOKUP(B510,'20-B.SINAPI-S'!A:J,5,0),IF(D510="SINAPI-I",VLOOKUP(B510,'20-A.SINAPI-I'!A:G,6,0),IF(D510="COMPOSIÇÕES",VLOOKUP(B510,'11.COMPOSIÇÕES GERAIS'!B:I,7,0),0))),"Em Elaboração")</f>
        <v>0</v>
      </c>
      <c r="I510" s="259">
        <f>IFERROR(IF(D510="SINAPI-S",VLOOKUP(B510,'20-B.SINAPI-S'!A:J,6,0),IF(D510="SINAPI-I",VLOOKUP(B510,'20-A.SINAPI-I'!A:G,7,0),IF(D510="COMPOSIÇÕES",VLOOKUP(B510,'11.COMPOSIÇÕES GERAIS'!B:I,8,0),VLOOKUP(B510,'12.COT.MERCADO'!A:I,8,0)))),"Em Elaboração")</f>
        <v>7.66</v>
      </c>
      <c r="J510" s="259">
        <f t="shared" si="129"/>
        <v>0</v>
      </c>
      <c r="K510" s="259">
        <f t="shared" si="130"/>
        <v>8.972422922</v>
      </c>
      <c r="L510" s="259">
        <f t="shared" si="131"/>
        <v>8.972422922</v>
      </c>
      <c r="M510" s="259">
        <f t="shared" si="132"/>
        <v>0</v>
      </c>
      <c r="N510" s="259">
        <f t="shared" si="133"/>
        <v>71.77938338</v>
      </c>
      <c r="O510" s="259">
        <f t="shared" si="134"/>
        <v>71.77938338</v>
      </c>
      <c r="P510" s="260">
        <f t="shared" si="2"/>
        <v>0.00005615116249</v>
      </c>
    </row>
    <row r="511">
      <c r="A511" s="253" t="s">
        <v>663</v>
      </c>
      <c r="B511" s="254">
        <v>13329.0</v>
      </c>
      <c r="C511" s="255" t="str">
        <f t="shared" si="128"/>
        <v>SINAPI</v>
      </c>
      <c r="D511" s="256" t="s">
        <v>286</v>
      </c>
      <c r="E511" s="257" t="str">
        <f>IFERROR(IF(D511="SINAPI-S",VLOOKUP(B511,'20-B.SINAPI-S'!A:J,2,0),IF(D511="SINAPI-I",VLOOKUP(B511,'20-A.SINAPI-I'!A:G,2,0),IF(D511="COMPOSIÇÕES",VLOOKUP(B511,'11.COMPOSIÇÕES GERAIS'!B:I,2,0),VLOOKUP(B511,'12.COT.MERCADO'!A:I,2,0)))),"Em Elaboração")</f>
        <v>SOQUETE DE PVC / TERMOPLASTICO BASE E27, COM RABICHO, PARA LAMPADAS</v>
      </c>
      <c r="F511" s="258" t="str">
        <f>IFERROR(IF(D511="SINAPI-S",VLOOKUP(B511,'20-B.SINAPI-S'!A:J,3,0),IF(D511="SINAPI-I",VLOOKUP(B511,'20-A.SINAPI-I'!A:G,3,0),IF(D511="COMPOSIÇÕES",VLOOKUP(B511,'11.COMPOSIÇÕES GERAIS'!B:I,3,0),VLOOKUP(B511,'12.COT.MERCADO'!A:I,7,0)))),"Em Elaboração")</f>
        <v>UN</v>
      </c>
      <c r="G511" s="254">
        <v>8.0</v>
      </c>
      <c r="H511" s="259">
        <f>IFERROR(IF(D511="SINAPI-S",VLOOKUP(B511,'20-B.SINAPI-S'!A:J,5,0),IF(D511="SINAPI-I",VLOOKUP(B511,'20-A.SINAPI-I'!A:G,6,0),IF(D511="COMPOSIÇÕES",VLOOKUP(B511,'11.COMPOSIÇÕES GERAIS'!B:I,7,0),0))),"Em Elaboração")</f>
        <v>0</v>
      </c>
      <c r="I511" s="259">
        <f>IFERROR(IF(D511="SINAPI-S",VLOOKUP(B511,'20-B.SINAPI-S'!A:J,6,0),IF(D511="SINAPI-I",VLOOKUP(B511,'20-A.SINAPI-I'!A:G,7,0),IF(D511="COMPOSIÇÕES",VLOOKUP(B511,'11.COMPOSIÇÕES GERAIS'!B:I,8,0),VLOOKUP(B511,'12.COT.MERCADO'!A:I,8,0)))),"Em Elaboração")</f>
        <v>4.5</v>
      </c>
      <c r="J511" s="259">
        <f t="shared" si="129"/>
        <v>0</v>
      </c>
      <c r="K511" s="259">
        <f t="shared" si="130"/>
        <v>5.271005633</v>
      </c>
      <c r="L511" s="259">
        <f t="shared" si="131"/>
        <v>5.271005633</v>
      </c>
      <c r="M511" s="259">
        <f t="shared" si="132"/>
        <v>0</v>
      </c>
      <c r="N511" s="259">
        <f t="shared" si="133"/>
        <v>42.16804506</v>
      </c>
      <c r="O511" s="259">
        <f t="shared" si="134"/>
        <v>42.16804506</v>
      </c>
      <c r="P511" s="260">
        <f t="shared" si="2"/>
        <v>0.00003298697535</v>
      </c>
    </row>
    <row r="512">
      <c r="A512" s="253" t="s">
        <v>664</v>
      </c>
      <c r="B512" s="254">
        <v>38099.0</v>
      </c>
      <c r="C512" s="255" t="str">
        <f t="shared" si="128"/>
        <v>SINAPI</v>
      </c>
      <c r="D512" s="256" t="s">
        <v>286</v>
      </c>
      <c r="E512" s="257" t="str">
        <f>IFERROR(IF(D512="SINAPI-S",VLOOKUP(B512,'20-B.SINAPI-S'!A:J,2,0),IF(D512="SINAPI-I",VLOOKUP(B512,'20-A.SINAPI-I'!A:G,2,0),IF(D512="COMPOSIÇÕES",VLOOKUP(B512,'11.COMPOSIÇÕES GERAIS'!B:I,2,0),VLOOKUP(B512,'12.COT.MERCADO'!A:I,2,0)))),"Em Elaboração")</f>
        <v>SUPORTE DE FIXACAO PARA ESPELHO / PLACA 4" X 2", PARA 3 MODULOS, PARA INSTALACAO DE TOMADAS E INTERRUPTORES (SOMENTE SUPORTE)</v>
      </c>
      <c r="F512" s="258" t="str">
        <f>IFERROR(IF(D512="SINAPI-S",VLOOKUP(B512,'20-B.SINAPI-S'!A:J,3,0),IF(D512="SINAPI-I",VLOOKUP(B512,'20-A.SINAPI-I'!A:G,3,0),IF(D512="COMPOSIÇÕES",VLOOKUP(B512,'11.COMPOSIÇÕES GERAIS'!B:I,3,0),VLOOKUP(B512,'12.COT.MERCADO'!A:I,7,0)))),"Em Elaboração")</f>
        <v>UN</v>
      </c>
      <c r="G512" s="254">
        <v>8.0</v>
      </c>
      <c r="H512" s="259">
        <f>IFERROR(IF(D512="SINAPI-S",VLOOKUP(B512,'20-B.SINAPI-S'!A:J,5,0),IF(D512="SINAPI-I",VLOOKUP(B512,'20-A.SINAPI-I'!A:G,6,0),IF(D512="COMPOSIÇÕES",VLOOKUP(B512,'11.COMPOSIÇÕES GERAIS'!B:I,7,0),0))),"Em Elaboração")</f>
        <v>0</v>
      </c>
      <c r="I512" s="259">
        <f>IFERROR(IF(D512="SINAPI-S",VLOOKUP(B512,'20-B.SINAPI-S'!A:J,6,0),IF(D512="SINAPI-I",VLOOKUP(B512,'20-A.SINAPI-I'!A:G,7,0),IF(D512="COMPOSIÇÕES",VLOOKUP(B512,'11.COMPOSIÇÕES GERAIS'!B:I,8,0),VLOOKUP(B512,'12.COT.MERCADO'!A:I,8,0)))),"Em Elaboração")</f>
        <v>1.63</v>
      </c>
      <c r="J512" s="259">
        <f t="shared" si="129"/>
        <v>0</v>
      </c>
      <c r="K512" s="259">
        <f t="shared" si="130"/>
        <v>1.909275374</v>
      </c>
      <c r="L512" s="259">
        <f t="shared" si="131"/>
        <v>1.909275374</v>
      </c>
      <c r="M512" s="259">
        <f t="shared" si="132"/>
        <v>0</v>
      </c>
      <c r="N512" s="259">
        <f t="shared" si="133"/>
        <v>15.27420299</v>
      </c>
      <c r="O512" s="259">
        <f t="shared" si="134"/>
        <v>15.27420299</v>
      </c>
      <c r="P512" s="260">
        <f t="shared" si="2"/>
        <v>0.00001194861552</v>
      </c>
    </row>
    <row r="513">
      <c r="A513" s="253" t="s">
        <v>665</v>
      </c>
      <c r="B513" s="254">
        <v>7543.0</v>
      </c>
      <c r="C513" s="255" t="str">
        <f t="shared" si="128"/>
        <v>SINAPI</v>
      </c>
      <c r="D513" s="256" t="s">
        <v>286</v>
      </c>
      <c r="E513" s="257" t="str">
        <f>IFERROR(IF(D513="SINAPI-S",VLOOKUP(B513,'20-B.SINAPI-S'!A:J,2,0),IF(D513="SINAPI-I",VLOOKUP(B513,'20-A.SINAPI-I'!A:G,2,0),IF(D513="COMPOSIÇÕES",VLOOKUP(B513,'11.COMPOSIÇÕES GERAIS'!B:I,2,0),VLOOKUP(B513,'12.COT.MERCADO'!A:I,2,0)))),"Em Elaboração")</f>
        <v>TAMPA CEGA EM PVC PARA CONDULETE 4 X 2"</v>
      </c>
      <c r="F513" s="258" t="str">
        <f>IFERROR(IF(D513="SINAPI-S",VLOOKUP(B513,'20-B.SINAPI-S'!A:J,3,0),IF(D513="SINAPI-I",VLOOKUP(B513,'20-A.SINAPI-I'!A:G,3,0),IF(D513="COMPOSIÇÕES",VLOOKUP(B513,'11.COMPOSIÇÕES GERAIS'!B:I,3,0),VLOOKUP(B513,'12.COT.MERCADO'!A:I,7,0)))),"Em Elaboração")</f>
        <v>UN</v>
      </c>
      <c r="G513" s="254">
        <v>12.0</v>
      </c>
      <c r="H513" s="259">
        <f>IFERROR(IF(D513="SINAPI-S",VLOOKUP(B513,'20-B.SINAPI-S'!A:J,5,0),IF(D513="SINAPI-I",VLOOKUP(B513,'20-A.SINAPI-I'!A:G,6,0),IF(D513="COMPOSIÇÕES",VLOOKUP(B513,'11.COMPOSIÇÕES GERAIS'!B:I,7,0),0))),"Em Elaboração")</f>
        <v>0</v>
      </c>
      <c r="I513" s="259">
        <f>IFERROR(IF(D513="SINAPI-S",VLOOKUP(B513,'20-B.SINAPI-S'!A:J,6,0),IF(D513="SINAPI-I",VLOOKUP(B513,'20-A.SINAPI-I'!A:G,7,0),IF(D513="COMPOSIÇÕES",VLOOKUP(B513,'11.COMPOSIÇÕES GERAIS'!B:I,8,0),VLOOKUP(B513,'12.COT.MERCADO'!A:I,8,0)))),"Em Elaboração")</f>
        <v>7.52</v>
      </c>
      <c r="J513" s="259">
        <f t="shared" si="129"/>
        <v>0</v>
      </c>
      <c r="K513" s="259">
        <f t="shared" si="130"/>
        <v>8.80843608</v>
      </c>
      <c r="L513" s="259">
        <f t="shared" si="131"/>
        <v>8.80843608</v>
      </c>
      <c r="M513" s="259">
        <f t="shared" si="132"/>
        <v>0</v>
      </c>
      <c r="N513" s="259">
        <f t="shared" si="133"/>
        <v>105.701233</v>
      </c>
      <c r="O513" s="259">
        <f t="shared" si="134"/>
        <v>105.701233</v>
      </c>
      <c r="P513" s="260">
        <f t="shared" si="2"/>
        <v>0.00008268735155</v>
      </c>
    </row>
    <row r="514">
      <c r="A514" s="253" t="s">
        <v>666</v>
      </c>
      <c r="B514" s="254">
        <v>39346.0</v>
      </c>
      <c r="C514" s="255" t="str">
        <f t="shared" si="128"/>
        <v>SINAPI</v>
      </c>
      <c r="D514" s="256" t="s">
        <v>286</v>
      </c>
      <c r="E514" s="257" t="str">
        <f>IFERROR(IF(D514="SINAPI-S",VLOOKUP(B514,'20-B.SINAPI-S'!A:J,2,0),IF(D514="SINAPI-I",VLOOKUP(B514,'20-A.SINAPI-I'!A:G,2,0),IF(D514="COMPOSIÇÕES",VLOOKUP(B514,'11.COMPOSIÇÕES GERAIS'!B:I,2,0),VLOOKUP(B514,'12.COT.MERCADO'!A:I,2,0)))),"Em Elaboração")</f>
        <v>TAMPA PARA CONDULETE, EM PVC, PARA 1 INTERRUPTOR</v>
      </c>
      <c r="F514" s="258" t="str">
        <f>IFERROR(IF(D514="SINAPI-S",VLOOKUP(B514,'20-B.SINAPI-S'!A:J,3,0),IF(D514="SINAPI-I",VLOOKUP(B514,'20-A.SINAPI-I'!A:G,3,0),IF(D514="COMPOSIÇÕES",VLOOKUP(B514,'11.COMPOSIÇÕES GERAIS'!B:I,3,0),VLOOKUP(B514,'12.COT.MERCADO'!A:I,7,0)))),"Em Elaboração")</f>
        <v>UN</v>
      </c>
      <c r="G514" s="254">
        <v>12.0</v>
      </c>
      <c r="H514" s="259">
        <f>IFERROR(IF(D514="SINAPI-S",VLOOKUP(B514,'20-B.SINAPI-S'!A:J,5,0),IF(D514="SINAPI-I",VLOOKUP(B514,'20-A.SINAPI-I'!A:G,6,0),IF(D514="COMPOSIÇÕES",VLOOKUP(B514,'11.COMPOSIÇÕES GERAIS'!B:I,7,0),0))),"Em Elaboração")</f>
        <v>0</v>
      </c>
      <c r="I514" s="259">
        <f>IFERROR(IF(D514="SINAPI-S",VLOOKUP(B514,'20-B.SINAPI-S'!A:J,6,0),IF(D514="SINAPI-I",VLOOKUP(B514,'20-A.SINAPI-I'!A:G,7,0),IF(D514="COMPOSIÇÕES",VLOOKUP(B514,'11.COMPOSIÇÕES GERAIS'!B:I,8,0),VLOOKUP(B514,'12.COT.MERCADO'!A:I,8,0)))),"Em Elaboração")</f>
        <v>4.65</v>
      </c>
      <c r="J514" s="259">
        <f t="shared" si="129"/>
        <v>0</v>
      </c>
      <c r="K514" s="259">
        <f t="shared" si="130"/>
        <v>5.446705821</v>
      </c>
      <c r="L514" s="259">
        <f t="shared" si="131"/>
        <v>5.446705821</v>
      </c>
      <c r="M514" s="259">
        <f t="shared" si="132"/>
        <v>0</v>
      </c>
      <c r="N514" s="259">
        <f t="shared" si="133"/>
        <v>65.36046985</v>
      </c>
      <c r="O514" s="259">
        <f t="shared" si="134"/>
        <v>65.36046985</v>
      </c>
      <c r="P514" s="260">
        <f t="shared" si="2"/>
        <v>0.0000511298118</v>
      </c>
    </row>
    <row r="515">
      <c r="A515" s="253" t="s">
        <v>667</v>
      </c>
      <c r="B515" s="254">
        <v>38101.0</v>
      </c>
      <c r="C515" s="255" t="str">
        <f t="shared" si="128"/>
        <v>SINAPI</v>
      </c>
      <c r="D515" s="256" t="s">
        <v>286</v>
      </c>
      <c r="E515" s="257" t="str">
        <f>IFERROR(IF(D515="SINAPI-S",VLOOKUP(B515,'20-B.SINAPI-S'!A:J,2,0),IF(D515="SINAPI-I",VLOOKUP(B515,'20-A.SINAPI-I'!A:G,2,0),IF(D515="COMPOSIÇÕES",VLOOKUP(B515,'11.COMPOSIÇÕES GERAIS'!B:I,2,0),VLOOKUP(B515,'12.COT.MERCADO'!A:I,2,0)))),"Em Elaboração")</f>
        <v>TOMADA 2P+T 10A, 250V  (APENAS MODULO)</v>
      </c>
      <c r="F515" s="258" t="str">
        <f>IFERROR(IF(D515="SINAPI-S",VLOOKUP(B515,'20-B.SINAPI-S'!A:J,3,0),IF(D515="SINAPI-I",VLOOKUP(B515,'20-A.SINAPI-I'!A:G,3,0),IF(D515="COMPOSIÇÕES",VLOOKUP(B515,'11.COMPOSIÇÕES GERAIS'!B:I,3,0),VLOOKUP(B515,'12.COT.MERCADO'!A:I,7,0)))),"Em Elaboração")</f>
        <v>UN</v>
      </c>
      <c r="G515" s="254">
        <v>12.0</v>
      </c>
      <c r="H515" s="259">
        <f>IFERROR(IF(D515="SINAPI-S",VLOOKUP(B515,'20-B.SINAPI-S'!A:J,5,0),IF(D515="SINAPI-I",VLOOKUP(B515,'20-A.SINAPI-I'!A:G,6,0),IF(D515="COMPOSIÇÕES",VLOOKUP(B515,'11.COMPOSIÇÕES GERAIS'!B:I,7,0),0))),"Em Elaboração")</f>
        <v>0</v>
      </c>
      <c r="I515" s="259">
        <f>IFERROR(IF(D515="SINAPI-S",VLOOKUP(B515,'20-B.SINAPI-S'!A:J,6,0),IF(D515="SINAPI-I",VLOOKUP(B515,'20-A.SINAPI-I'!A:G,7,0),IF(D515="COMPOSIÇÕES",VLOOKUP(B515,'11.COMPOSIÇÕES GERAIS'!B:I,8,0),VLOOKUP(B515,'12.COT.MERCADO'!A:I,8,0)))),"Em Elaboração")</f>
        <v>8.42</v>
      </c>
      <c r="J515" s="259">
        <f t="shared" si="129"/>
        <v>0</v>
      </c>
      <c r="K515" s="259">
        <f t="shared" si="130"/>
        <v>9.862637207</v>
      </c>
      <c r="L515" s="259">
        <f t="shared" si="131"/>
        <v>9.862637207</v>
      </c>
      <c r="M515" s="259">
        <f t="shared" si="132"/>
        <v>0</v>
      </c>
      <c r="N515" s="259">
        <f t="shared" si="133"/>
        <v>118.3516465</v>
      </c>
      <c r="O515" s="259">
        <f t="shared" si="134"/>
        <v>118.3516465</v>
      </c>
      <c r="P515" s="260">
        <f t="shared" si="2"/>
        <v>0.00009258344416</v>
      </c>
    </row>
    <row r="516">
      <c r="A516" s="253" t="s">
        <v>668</v>
      </c>
      <c r="B516" s="254">
        <v>7528.0</v>
      </c>
      <c r="C516" s="255" t="str">
        <f t="shared" si="128"/>
        <v>SINAPI</v>
      </c>
      <c r="D516" s="256" t="s">
        <v>286</v>
      </c>
      <c r="E516" s="257" t="str">
        <f>IFERROR(IF(D516="SINAPI-S",VLOOKUP(B516,'20-B.SINAPI-S'!A:J,2,0),IF(D516="SINAPI-I",VLOOKUP(B516,'20-A.SINAPI-I'!A:G,2,0),IF(D516="COMPOSIÇÕES",VLOOKUP(B516,'11.COMPOSIÇÕES GERAIS'!B:I,2,0),VLOOKUP(B516,'12.COT.MERCADO'!A:I,2,0)))),"Em Elaboração")</f>
        <v>TOMADA 2P+T 10A, 250V, CONJUNTO MONTADO PARA EMBUTIR 4" X 2" (PLACA + SUPORTE + MODULO)</v>
      </c>
      <c r="F516" s="258" t="str">
        <f>IFERROR(IF(D516="SINAPI-S",VLOOKUP(B516,'20-B.SINAPI-S'!A:J,3,0),IF(D516="SINAPI-I",VLOOKUP(B516,'20-A.SINAPI-I'!A:G,3,0),IF(D516="COMPOSIÇÕES",VLOOKUP(B516,'11.COMPOSIÇÕES GERAIS'!B:I,3,0),VLOOKUP(B516,'12.COT.MERCADO'!A:I,7,0)))),"Em Elaboração")</f>
        <v>UN</v>
      </c>
      <c r="G516" s="254">
        <v>24.0</v>
      </c>
      <c r="H516" s="259">
        <f>IFERROR(IF(D516="SINAPI-S",VLOOKUP(B516,'20-B.SINAPI-S'!A:J,5,0),IF(D516="SINAPI-I",VLOOKUP(B516,'20-A.SINAPI-I'!A:G,6,0),IF(D516="COMPOSIÇÕES",VLOOKUP(B516,'11.COMPOSIÇÕES GERAIS'!B:I,7,0),0))),"Em Elaboração")</f>
        <v>0</v>
      </c>
      <c r="I516" s="259">
        <f>IFERROR(IF(D516="SINAPI-S",VLOOKUP(B516,'20-B.SINAPI-S'!A:J,6,0),IF(D516="SINAPI-I",VLOOKUP(B516,'20-A.SINAPI-I'!A:G,7,0),IF(D516="COMPOSIÇÕES",VLOOKUP(B516,'11.COMPOSIÇÕES GERAIS'!B:I,8,0),VLOOKUP(B516,'12.COT.MERCADO'!A:I,8,0)))),"Em Elaboração")</f>
        <v>9.9</v>
      </c>
      <c r="J516" s="259">
        <f t="shared" si="129"/>
        <v>0</v>
      </c>
      <c r="K516" s="259">
        <f t="shared" si="130"/>
        <v>11.59621239</v>
      </c>
      <c r="L516" s="259">
        <f t="shared" si="131"/>
        <v>11.59621239</v>
      </c>
      <c r="M516" s="259">
        <f t="shared" si="132"/>
        <v>0</v>
      </c>
      <c r="N516" s="259">
        <f t="shared" si="133"/>
        <v>278.3090974</v>
      </c>
      <c r="O516" s="259">
        <f t="shared" si="134"/>
        <v>278.3090974</v>
      </c>
      <c r="P516" s="260">
        <f t="shared" si="2"/>
        <v>0.0002177140373</v>
      </c>
    </row>
    <row r="517">
      <c r="A517" s="253" t="s">
        <v>669</v>
      </c>
      <c r="B517" s="254">
        <v>12147.0</v>
      </c>
      <c r="C517" s="255" t="str">
        <f t="shared" si="128"/>
        <v>SINAPI</v>
      </c>
      <c r="D517" s="256" t="s">
        <v>286</v>
      </c>
      <c r="E517" s="257" t="str">
        <f>IFERROR(IF(D517="SINAPI-S",VLOOKUP(B517,'20-B.SINAPI-S'!A:J,2,0),IF(D517="SINAPI-I",VLOOKUP(B517,'20-A.SINAPI-I'!A:G,2,0),IF(D517="COMPOSIÇÕES",VLOOKUP(B517,'11.COMPOSIÇÕES GERAIS'!B:I,2,0),VLOOKUP(B517,'12.COT.MERCADO'!A:I,2,0)))),"Em Elaboração")</f>
        <v>TOMADA 2P+T 10A, 250V, CONJUNTO MONTADO PARA SOBREPOR 4" X 2" (CAIXA + MODULO)</v>
      </c>
      <c r="F517" s="258" t="str">
        <f>IFERROR(IF(D517="SINAPI-S",VLOOKUP(B517,'20-B.SINAPI-S'!A:J,3,0),IF(D517="SINAPI-I",VLOOKUP(B517,'20-A.SINAPI-I'!A:G,3,0),IF(D517="COMPOSIÇÕES",VLOOKUP(B517,'11.COMPOSIÇÕES GERAIS'!B:I,3,0),VLOOKUP(B517,'12.COT.MERCADO'!A:I,7,0)))),"Em Elaboração")</f>
        <v>UN</v>
      </c>
      <c r="G517" s="254">
        <v>12.0</v>
      </c>
      <c r="H517" s="259">
        <f>IFERROR(IF(D517="SINAPI-S",VLOOKUP(B517,'20-B.SINAPI-S'!A:J,5,0),IF(D517="SINAPI-I",VLOOKUP(B517,'20-A.SINAPI-I'!A:G,6,0),IF(D517="COMPOSIÇÕES",VLOOKUP(B517,'11.COMPOSIÇÕES GERAIS'!B:I,7,0),0))),"Em Elaboração")</f>
        <v>0</v>
      </c>
      <c r="I517" s="259">
        <f>IFERROR(IF(D517="SINAPI-S",VLOOKUP(B517,'20-B.SINAPI-S'!A:J,6,0),IF(D517="SINAPI-I",VLOOKUP(B517,'20-A.SINAPI-I'!A:G,7,0),IF(D517="COMPOSIÇÕES",VLOOKUP(B517,'11.COMPOSIÇÕES GERAIS'!B:I,8,0),VLOOKUP(B517,'12.COT.MERCADO'!A:I,8,0)))),"Em Elaboração")</f>
        <v>15.09</v>
      </c>
      <c r="J517" s="259">
        <f t="shared" si="129"/>
        <v>0</v>
      </c>
      <c r="K517" s="259">
        <f t="shared" si="130"/>
        <v>17.67543889</v>
      </c>
      <c r="L517" s="259">
        <f t="shared" si="131"/>
        <v>17.67543889</v>
      </c>
      <c r="M517" s="259">
        <f t="shared" si="132"/>
        <v>0</v>
      </c>
      <c r="N517" s="259">
        <f t="shared" si="133"/>
        <v>212.1052667</v>
      </c>
      <c r="O517" s="259">
        <f t="shared" si="134"/>
        <v>212.1052667</v>
      </c>
      <c r="P517" s="260">
        <f t="shared" si="2"/>
        <v>0.000165924486</v>
      </c>
    </row>
    <row r="518">
      <c r="A518" s="253" t="s">
        <v>670</v>
      </c>
      <c r="B518" s="254">
        <v>38075.0</v>
      </c>
      <c r="C518" s="255" t="str">
        <f t="shared" si="128"/>
        <v>SINAPI</v>
      </c>
      <c r="D518" s="256" t="s">
        <v>286</v>
      </c>
      <c r="E518" s="257" t="str">
        <f>IFERROR(IF(D518="SINAPI-S",VLOOKUP(B518,'20-B.SINAPI-S'!A:J,2,0),IF(D518="SINAPI-I",VLOOKUP(B518,'20-A.SINAPI-I'!A:G,2,0),IF(D518="COMPOSIÇÕES",VLOOKUP(B518,'11.COMPOSIÇÕES GERAIS'!B:I,2,0),VLOOKUP(B518,'12.COT.MERCADO'!A:I,2,0)))),"Em Elaboração")</f>
        <v>TOMADA 2P+T 20A 250V, CONJUNTO MONTADO PARA EMBUTIR 4" X 2" (PLACA + SUPORTE + MODULO)</v>
      </c>
      <c r="F518" s="258" t="str">
        <f>IFERROR(IF(D518="SINAPI-S",VLOOKUP(B518,'20-B.SINAPI-S'!A:J,3,0),IF(D518="SINAPI-I",VLOOKUP(B518,'20-A.SINAPI-I'!A:G,3,0),IF(D518="COMPOSIÇÕES",VLOOKUP(B518,'11.COMPOSIÇÕES GERAIS'!B:I,3,0),VLOOKUP(B518,'12.COT.MERCADO'!A:I,7,0)))),"Em Elaboração")</f>
        <v>UN</v>
      </c>
      <c r="G518" s="254">
        <v>12.0</v>
      </c>
      <c r="H518" s="259">
        <f>IFERROR(IF(D518="SINAPI-S",VLOOKUP(B518,'20-B.SINAPI-S'!A:J,5,0),IF(D518="SINAPI-I",VLOOKUP(B518,'20-A.SINAPI-I'!A:G,6,0),IF(D518="COMPOSIÇÕES",VLOOKUP(B518,'11.COMPOSIÇÕES GERAIS'!B:I,7,0),0))),"Em Elaboração")</f>
        <v>0</v>
      </c>
      <c r="I518" s="259">
        <f>IFERROR(IF(D518="SINAPI-S",VLOOKUP(B518,'20-B.SINAPI-S'!A:J,6,0),IF(D518="SINAPI-I",VLOOKUP(B518,'20-A.SINAPI-I'!A:G,7,0),IF(D518="COMPOSIÇÕES",VLOOKUP(B518,'11.COMPOSIÇÕES GERAIS'!B:I,8,0),VLOOKUP(B518,'12.COT.MERCADO'!A:I,8,0)))),"Em Elaboração")</f>
        <v>17.15</v>
      </c>
      <c r="J518" s="259">
        <f t="shared" si="129"/>
        <v>0</v>
      </c>
      <c r="K518" s="259">
        <f t="shared" si="130"/>
        <v>20.08838814</v>
      </c>
      <c r="L518" s="259">
        <f t="shared" si="131"/>
        <v>20.08838814</v>
      </c>
      <c r="M518" s="259">
        <f t="shared" si="132"/>
        <v>0</v>
      </c>
      <c r="N518" s="259">
        <f t="shared" si="133"/>
        <v>241.0606576</v>
      </c>
      <c r="O518" s="259">
        <f t="shared" si="134"/>
        <v>241.0606576</v>
      </c>
      <c r="P518" s="260">
        <f t="shared" si="2"/>
        <v>0.0001885755424</v>
      </c>
    </row>
    <row r="519">
      <c r="A519" s="253" t="s">
        <v>671</v>
      </c>
      <c r="B519" s="254">
        <v>38193.0</v>
      </c>
      <c r="C519" s="255" t="str">
        <f t="shared" si="128"/>
        <v>SINAPI</v>
      </c>
      <c r="D519" s="256" t="s">
        <v>286</v>
      </c>
      <c r="E519" s="257" t="str">
        <f>IFERROR(IF(D519="SINAPI-S",VLOOKUP(B519,'20-B.SINAPI-S'!A:J,2,0),IF(D519="SINAPI-I",VLOOKUP(B519,'20-A.SINAPI-I'!A:G,2,0),IF(D519="COMPOSIÇÕES",VLOOKUP(B519,'11.COMPOSIÇÕES GERAIS'!B:I,2,0),VLOOKUP(B519,'12.COT.MERCADO'!A:I,2,0)))),"Em Elaboração")</f>
        <v>LAMPADA LED 6 W BIVOLT BRANCA, FORMATO TRADICIONAL (BASE E27)</v>
      </c>
      <c r="F519" s="258" t="str">
        <f>IFERROR(IF(D519="SINAPI-S",VLOOKUP(B519,'20-B.SINAPI-S'!A:J,3,0),IF(D519="SINAPI-I",VLOOKUP(B519,'20-A.SINAPI-I'!A:G,3,0),IF(D519="COMPOSIÇÕES",VLOOKUP(B519,'11.COMPOSIÇÕES GERAIS'!B:I,3,0),VLOOKUP(B519,'12.COT.MERCADO'!A:I,7,0)))),"Em Elaboração")</f>
        <v>UN</v>
      </c>
      <c r="G519" s="254">
        <v>35.0</v>
      </c>
      <c r="H519" s="259">
        <f>IFERROR(IF(D519="SINAPI-S",VLOOKUP(B519,'20-B.SINAPI-S'!A:J,5,0),IF(D519="SINAPI-I",VLOOKUP(B519,'20-A.SINAPI-I'!A:G,6,0),IF(D519="COMPOSIÇÕES",VLOOKUP(B519,'11.COMPOSIÇÕES GERAIS'!B:I,7,0),0))),"Em Elaboração")</f>
        <v>0</v>
      </c>
      <c r="I519" s="259">
        <f>IFERROR(IF(D519="SINAPI-S",VLOOKUP(B519,'20-B.SINAPI-S'!A:J,6,0),IF(D519="SINAPI-I",VLOOKUP(B519,'20-A.SINAPI-I'!A:G,7,0),IF(D519="COMPOSIÇÕES",VLOOKUP(B519,'11.COMPOSIÇÕES GERAIS'!B:I,8,0),VLOOKUP(B519,'12.COT.MERCADO'!A:I,8,0)))),"Em Elaboração")</f>
        <v>6.52</v>
      </c>
      <c r="J519" s="259">
        <f t="shared" si="129"/>
        <v>0</v>
      </c>
      <c r="K519" s="259">
        <f t="shared" si="130"/>
        <v>7.637101495</v>
      </c>
      <c r="L519" s="259">
        <f t="shared" si="131"/>
        <v>7.637101495</v>
      </c>
      <c r="M519" s="259">
        <f t="shared" si="132"/>
        <v>0</v>
      </c>
      <c r="N519" s="259">
        <f t="shared" si="133"/>
        <v>267.2985523</v>
      </c>
      <c r="O519" s="259">
        <f t="shared" si="134"/>
        <v>267.2985523</v>
      </c>
      <c r="P519" s="260">
        <f t="shared" si="2"/>
        <v>0.0002091007716</v>
      </c>
    </row>
    <row r="520">
      <c r="A520" s="253" t="s">
        <v>672</v>
      </c>
      <c r="B520" s="254">
        <v>42244.0</v>
      </c>
      <c r="C520" s="255" t="str">
        <f t="shared" si="128"/>
        <v>SINAPI</v>
      </c>
      <c r="D520" s="256" t="s">
        <v>286</v>
      </c>
      <c r="E520" s="257" t="str">
        <f>IFERROR(IF(D520="SINAPI-S",VLOOKUP(B520,'20-B.SINAPI-S'!A:J,2,0),IF(D520="SINAPI-I",VLOOKUP(B520,'20-A.SINAPI-I'!A:G,2,0),IF(D520="COMPOSIÇÕES",VLOOKUP(B520,'11.COMPOSIÇÕES GERAIS'!B:I,2,0),VLOOKUP(B520,'12.COT.MERCADO'!A:I,2,0)))),"Em Elaboração")</f>
        <v>LUMINARIA DE LED PARA ILUMINACAO PUBLICA, DE 33 W ATE 50 W, INVOLUCRO EM ALUMINIO OU ACO INOX</v>
      </c>
      <c r="F520" s="258" t="str">
        <f>IFERROR(IF(D520="SINAPI-S",VLOOKUP(B520,'20-B.SINAPI-S'!A:J,3,0),IF(D520="SINAPI-I",VLOOKUP(B520,'20-A.SINAPI-I'!A:G,3,0),IF(D520="COMPOSIÇÕES",VLOOKUP(B520,'11.COMPOSIÇÕES GERAIS'!B:I,3,0),VLOOKUP(B520,'12.COT.MERCADO'!A:I,7,0)))),"Em Elaboração")</f>
        <v>UN</v>
      </c>
      <c r="G520" s="254">
        <v>12.0</v>
      </c>
      <c r="H520" s="259">
        <f>IFERROR(IF(D520="SINAPI-S",VLOOKUP(B520,'20-B.SINAPI-S'!A:J,5,0),IF(D520="SINAPI-I",VLOOKUP(B520,'20-A.SINAPI-I'!A:G,6,0),IF(D520="COMPOSIÇÕES",VLOOKUP(B520,'11.COMPOSIÇÕES GERAIS'!B:I,7,0),0))),"Em Elaboração")</f>
        <v>0</v>
      </c>
      <c r="I520" s="259">
        <f>IFERROR(IF(D520="SINAPI-S",VLOOKUP(B520,'20-B.SINAPI-S'!A:J,6,0),IF(D520="SINAPI-I",VLOOKUP(B520,'20-A.SINAPI-I'!A:G,7,0),IF(D520="COMPOSIÇÕES",VLOOKUP(B520,'11.COMPOSIÇÕES GERAIS'!B:I,8,0),VLOOKUP(B520,'12.COT.MERCADO'!A:I,8,0)))),"Em Elaboração")</f>
        <v>193.27</v>
      </c>
      <c r="J520" s="259">
        <f t="shared" si="129"/>
        <v>0</v>
      </c>
      <c r="K520" s="259">
        <f t="shared" si="130"/>
        <v>226.3838353</v>
      </c>
      <c r="L520" s="259">
        <f t="shared" si="131"/>
        <v>226.3838353</v>
      </c>
      <c r="M520" s="259">
        <f t="shared" si="132"/>
        <v>0</v>
      </c>
      <c r="N520" s="259">
        <f t="shared" si="133"/>
        <v>2716.606023</v>
      </c>
      <c r="O520" s="259">
        <f t="shared" si="134"/>
        <v>2716.606023</v>
      </c>
      <c r="P520" s="260">
        <f t="shared" si="2"/>
        <v>0.002125130909</v>
      </c>
    </row>
    <row r="521">
      <c r="A521" s="253" t="s">
        <v>673</v>
      </c>
      <c r="B521" s="254">
        <v>38095.0</v>
      </c>
      <c r="C521" s="255" t="str">
        <f t="shared" si="128"/>
        <v>SINAPI</v>
      </c>
      <c r="D521" s="256" t="s">
        <v>286</v>
      </c>
      <c r="E521" s="257" t="str">
        <f>IFERROR(IF(D521="SINAPI-S",VLOOKUP(B521,'20-B.SINAPI-S'!A:J,2,0),IF(D521="SINAPI-I",VLOOKUP(B521,'20-A.SINAPI-I'!A:G,2,0),IF(D521="COMPOSIÇÕES",VLOOKUP(B521,'11.COMPOSIÇÕES GERAIS'!B:I,2,0),VLOOKUP(B521,'12.COT.MERCADO'!A:I,2,0)))),"Em Elaboração")</f>
        <v>ESPELHO / PLACA CEGA 4" X 4", PARA INSTALACAO DE TOMADAS E INTERRUPTORES</v>
      </c>
      <c r="F521" s="258" t="str">
        <f>IFERROR(IF(D521="SINAPI-S",VLOOKUP(B521,'20-B.SINAPI-S'!A:J,3,0),IF(D521="SINAPI-I",VLOOKUP(B521,'20-A.SINAPI-I'!A:G,3,0),IF(D521="COMPOSIÇÕES",VLOOKUP(B521,'11.COMPOSIÇÕES GERAIS'!B:I,3,0),VLOOKUP(B521,'12.COT.MERCADO'!A:I,7,0)))),"Em Elaboração")</f>
        <v>UN</v>
      </c>
      <c r="G521" s="254">
        <v>12.0</v>
      </c>
      <c r="H521" s="259">
        <f>IFERROR(IF(D521="SINAPI-S",VLOOKUP(B521,'20-B.SINAPI-S'!A:J,5,0),IF(D521="SINAPI-I",VLOOKUP(B521,'20-A.SINAPI-I'!A:G,6,0),IF(D521="COMPOSIÇÕES",VLOOKUP(B521,'11.COMPOSIÇÕES GERAIS'!B:I,7,0),0))),"Em Elaboração")</f>
        <v>0</v>
      </c>
      <c r="I521" s="259">
        <f>IFERROR(IF(D521="SINAPI-S",VLOOKUP(B521,'20-B.SINAPI-S'!A:J,6,0),IF(D521="SINAPI-I",VLOOKUP(B521,'20-A.SINAPI-I'!A:G,7,0),IF(D521="COMPOSIÇÕES",VLOOKUP(B521,'11.COMPOSIÇÕES GERAIS'!B:I,8,0),VLOOKUP(B521,'12.COT.MERCADO'!A:I,8,0)))),"Em Elaboração")</f>
        <v>5.53</v>
      </c>
      <c r="J521" s="259">
        <f t="shared" si="129"/>
        <v>0</v>
      </c>
      <c r="K521" s="259">
        <f t="shared" si="130"/>
        <v>6.477480256</v>
      </c>
      <c r="L521" s="259">
        <f t="shared" si="131"/>
        <v>6.477480256</v>
      </c>
      <c r="M521" s="259">
        <f t="shared" si="132"/>
        <v>0</v>
      </c>
      <c r="N521" s="259">
        <f t="shared" si="133"/>
        <v>77.72976307</v>
      </c>
      <c r="O521" s="259">
        <f t="shared" si="134"/>
        <v>77.72976307</v>
      </c>
      <c r="P521" s="260">
        <f t="shared" si="2"/>
        <v>0.00006080599124</v>
      </c>
    </row>
    <row r="522">
      <c r="A522" s="253" t="s">
        <v>674</v>
      </c>
      <c r="B522" s="254">
        <v>38092.0</v>
      </c>
      <c r="C522" s="255" t="str">
        <f t="shared" si="128"/>
        <v>SINAPI</v>
      </c>
      <c r="D522" s="256" t="s">
        <v>286</v>
      </c>
      <c r="E522" s="257" t="str">
        <f>IFERROR(IF(D522="SINAPI-S",VLOOKUP(B522,'20-B.SINAPI-S'!A:J,2,0),IF(D522="SINAPI-I",VLOOKUP(B522,'20-A.SINAPI-I'!A:G,2,0),IF(D522="COMPOSIÇÕES",VLOOKUP(B522,'11.COMPOSIÇÕES GERAIS'!B:I,2,0),VLOOKUP(B522,'12.COT.MERCADO'!A:I,2,0)))),"Em Elaboração")</f>
        <v>ESPELHO / PLACA DE 1 POSTO 4" X 2", PARA INSTALACAO DE TOMADAS E INTERRUPTORES</v>
      </c>
      <c r="F522" s="258" t="str">
        <f>IFERROR(IF(D522="SINAPI-S",VLOOKUP(B522,'20-B.SINAPI-S'!A:J,3,0),IF(D522="SINAPI-I",VLOOKUP(B522,'20-A.SINAPI-I'!A:G,3,0),IF(D522="COMPOSIÇÕES",VLOOKUP(B522,'11.COMPOSIÇÕES GERAIS'!B:I,3,0),VLOOKUP(B522,'12.COT.MERCADO'!A:I,7,0)))),"Em Elaboração")</f>
        <v>UN</v>
      </c>
      <c r="G522" s="254">
        <v>12.0</v>
      </c>
      <c r="H522" s="259">
        <f>IFERROR(IF(D522="SINAPI-S",VLOOKUP(B522,'20-B.SINAPI-S'!A:J,5,0),IF(D522="SINAPI-I",VLOOKUP(B522,'20-A.SINAPI-I'!A:G,6,0),IF(D522="COMPOSIÇÕES",VLOOKUP(B522,'11.COMPOSIÇÕES GERAIS'!B:I,7,0),0))),"Em Elaboração")</f>
        <v>0</v>
      </c>
      <c r="I522" s="259">
        <f>IFERROR(IF(D522="SINAPI-S",VLOOKUP(B522,'20-B.SINAPI-S'!A:J,6,0),IF(D522="SINAPI-I",VLOOKUP(B522,'20-A.SINAPI-I'!A:G,7,0),IF(D522="COMPOSIÇÕES",VLOOKUP(B522,'11.COMPOSIÇÕES GERAIS'!B:I,8,0),VLOOKUP(B522,'12.COT.MERCADO'!A:I,8,0)))),"Em Elaboração")</f>
        <v>2.47</v>
      </c>
      <c r="J522" s="259">
        <f t="shared" si="129"/>
        <v>0</v>
      </c>
      <c r="K522" s="259">
        <f t="shared" si="130"/>
        <v>2.893196425</v>
      </c>
      <c r="L522" s="259">
        <f t="shared" si="131"/>
        <v>2.893196425</v>
      </c>
      <c r="M522" s="259">
        <f t="shared" si="132"/>
        <v>0</v>
      </c>
      <c r="N522" s="259">
        <f t="shared" si="133"/>
        <v>34.7183571</v>
      </c>
      <c r="O522" s="259">
        <f t="shared" si="134"/>
        <v>34.7183571</v>
      </c>
      <c r="P522" s="260">
        <f t="shared" si="2"/>
        <v>0.00002715927637</v>
      </c>
    </row>
    <row r="523">
      <c r="A523" s="253" t="s">
        <v>675</v>
      </c>
      <c r="B523" s="254">
        <v>38093.0</v>
      </c>
      <c r="C523" s="255" t="str">
        <f t="shared" si="128"/>
        <v>SINAPI</v>
      </c>
      <c r="D523" s="256" t="s">
        <v>286</v>
      </c>
      <c r="E523" s="257" t="str">
        <f>IFERROR(IF(D523="SINAPI-S",VLOOKUP(B523,'20-B.SINAPI-S'!A:J,2,0),IF(D523="SINAPI-I",VLOOKUP(B523,'20-A.SINAPI-I'!A:G,2,0),IF(D523="COMPOSIÇÕES",VLOOKUP(B523,'11.COMPOSIÇÕES GERAIS'!B:I,2,0),VLOOKUP(B523,'12.COT.MERCADO'!A:I,2,0)))),"Em Elaboração")</f>
        <v>ESPELHO / PLACA DE 2 POSTOS 4" X 2", PARA INSTALACAO DE TOMADAS E INTERRUPTORES</v>
      </c>
      <c r="F523" s="258" t="str">
        <f>IFERROR(IF(D523="SINAPI-S",VLOOKUP(B523,'20-B.SINAPI-S'!A:J,3,0),IF(D523="SINAPI-I",VLOOKUP(B523,'20-A.SINAPI-I'!A:G,3,0),IF(D523="COMPOSIÇÕES",VLOOKUP(B523,'11.COMPOSIÇÕES GERAIS'!B:I,3,0),VLOOKUP(B523,'12.COT.MERCADO'!A:I,7,0)))),"Em Elaboração")</f>
        <v>UN</v>
      </c>
      <c r="G523" s="254">
        <v>12.0</v>
      </c>
      <c r="H523" s="259">
        <f>IFERROR(IF(D523="SINAPI-S",VLOOKUP(B523,'20-B.SINAPI-S'!A:J,5,0),IF(D523="SINAPI-I",VLOOKUP(B523,'20-A.SINAPI-I'!A:G,6,0),IF(D523="COMPOSIÇÕES",VLOOKUP(B523,'11.COMPOSIÇÕES GERAIS'!B:I,7,0),0))),"Em Elaboração")</f>
        <v>0</v>
      </c>
      <c r="I523" s="259">
        <f>IFERROR(IF(D523="SINAPI-S",VLOOKUP(B523,'20-B.SINAPI-S'!A:J,6,0),IF(D523="SINAPI-I",VLOOKUP(B523,'20-A.SINAPI-I'!A:G,7,0),IF(D523="COMPOSIÇÕES",VLOOKUP(B523,'11.COMPOSIÇÕES GERAIS'!B:I,8,0),VLOOKUP(B523,'12.COT.MERCADO'!A:I,8,0)))),"Em Elaboração")</f>
        <v>2.56</v>
      </c>
      <c r="J523" s="259">
        <f t="shared" si="129"/>
        <v>0</v>
      </c>
      <c r="K523" s="259">
        <f t="shared" si="130"/>
        <v>2.998616538</v>
      </c>
      <c r="L523" s="259">
        <f t="shared" si="131"/>
        <v>2.998616538</v>
      </c>
      <c r="M523" s="259">
        <f t="shared" si="132"/>
        <v>0</v>
      </c>
      <c r="N523" s="259">
        <f t="shared" si="133"/>
        <v>35.98339846</v>
      </c>
      <c r="O523" s="259">
        <f t="shared" si="134"/>
        <v>35.98339846</v>
      </c>
      <c r="P523" s="260">
        <f t="shared" si="2"/>
        <v>0.00002814888564</v>
      </c>
    </row>
    <row r="524">
      <c r="A524" s="253" t="s">
        <v>676</v>
      </c>
      <c r="B524" s="254">
        <v>38078.0</v>
      </c>
      <c r="C524" s="255" t="str">
        <f t="shared" si="128"/>
        <v>SINAPI</v>
      </c>
      <c r="D524" s="256" t="s">
        <v>286</v>
      </c>
      <c r="E524" s="257" t="str">
        <f>IFERROR(IF(D524="SINAPI-S",VLOOKUP(B524,'20-B.SINAPI-S'!A:J,2,0),IF(D524="SINAPI-I",VLOOKUP(B524,'20-A.SINAPI-I'!A:G,2,0),IF(D524="COMPOSIÇÕES",VLOOKUP(B524,'11.COMPOSIÇÕES GERAIS'!B:I,2,0),VLOOKUP(B524,'12.COT.MERCADO'!A:I,2,0)))),"Em Elaboração")</f>
        <v>INTERRUPTOR PARALELO + TOMADA 2P+T 10A, 250V, CONJUNTO MONTADO PARA EMBUTIR 4" X 2" (PLACA + SUPORTE + MODULOS)</v>
      </c>
      <c r="F524" s="258" t="str">
        <f>IFERROR(IF(D524="SINAPI-S",VLOOKUP(B524,'20-B.SINAPI-S'!A:J,3,0),IF(D524="SINAPI-I",VLOOKUP(B524,'20-A.SINAPI-I'!A:G,3,0),IF(D524="COMPOSIÇÕES",VLOOKUP(B524,'11.COMPOSIÇÕES GERAIS'!B:I,3,0),VLOOKUP(B524,'12.COT.MERCADO'!A:I,7,0)))),"Em Elaboração")</f>
        <v>UN</v>
      </c>
      <c r="G524" s="254">
        <v>12.0</v>
      </c>
      <c r="H524" s="259">
        <f>IFERROR(IF(D524="SINAPI-S",VLOOKUP(B524,'20-B.SINAPI-S'!A:J,5,0),IF(D524="SINAPI-I",VLOOKUP(B524,'20-A.SINAPI-I'!A:G,6,0),IF(D524="COMPOSIÇÕES",VLOOKUP(B524,'11.COMPOSIÇÕES GERAIS'!B:I,7,0),0))),"Em Elaboração")</f>
        <v>0</v>
      </c>
      <c r="I524" s="259">
        <f>IFERROR(IF(D524="SINAPI-S",VLOOKUP(B524,'20-B.SINAPI-S'!A:J,6,0),IF(D524="SINAPI-I",VLOOKUP(B524,'20-A.SINAPI-I'!A:G,7,0),IF(D524="COMPOSIÇÕES",VLOOKUP(B524,'11.COMPOSIÇÕES GERAIS'!B:I,8,0),VLOOKUP(B524,'12.COT.MERCADO'!A:I,8,0)))),"Em Elaboração")</f>
        <v>17.75</v>
      </c>
      <c r="J524" s="259">
        <f t="shared" si="129"/>
        <v>0</v>
      </c>
      <c r="K524" s="259">
        <f t="shared" si="130"/>
        <v>20.79118889</v>
      </c>
      <c r="L524" s="259">
        <f t="shared" si="131"/>
        <v>20.79118889</v>
      </c>
      <c r="M524" s="259">
        <f t="shared" si="132"/>
        <v>0</v>
      </c>
      <c r="N524" s="259">
        <f t="shared" si="133"/>
        <v>249.4942666</v>
      </c>
      <c r="O524" s="259">
        <f t="shared" si="134"/>
        <v>249.4942666</v>
      </c>
      <c r="P524" s="260">
        <f t="shared" si="2"/>
        <v>0.0001951729375</v>
      </c>
    </row>
    <row r="525">
      <c r="A525" s="253" t="s">
        <v>677</v>
      </c>
      <c r="B525" s="254">
        <v>38077.0</v>
      </c>
      <c r="C525" s="255" t="str">
        <f t="shared" si="128"/>
        <v>SINAPI</v>
      </c>
      <c r="D525" s="256" t="s">
        <v>286</v>
      </c>
      <c r="E525" s="257" t="str">
        <f>IFERROR(IF(D525="SINAPI-S",VLOOKUP(B525,'20-B.SINAPI-S'!A:J,2,0),IF(D525="SINAPI-I",VLOOKUP(B525,'20-A.SINAPI-I'!A:G,2,0),IF(D525="COMPOSIÇÕES",VLOOKUP(B525,'11.COMPOSIÇÕES GERAIS'!B:I,2,0),VLOOKUP(B525,'12.COT.MERCADO'!A:I,2,0)))),"Em Elaboração")</f>
        <v>INTERRUPTOR SIMPLES + TOMADA 2P+T 10A, 250V, CONJUNTO MONTADO PARA EMBUTIR 4" X 2" (PLACA + SUPORTE + MODULOS)</v>
      </c>
      <c r="F525" s="258" t="str">
        <f>IFERROR(IF(D525="SINAPI-S",VLOOKUP(B525,'20-B.SINAPI-S'!A:J,3,0),IF(D525="SINAPI-I",VLOOKUP(B525,'20-A.SINAPI-I'!A:G,3,0),IF(D525="COMPOSIÇÕES",VLOOKUP(B525,'11.COMPOSIÇÕES GERAIS'!B:I,3,0),VLOOKUP(B525,'12.COT.MERCADO'!A:I,7,0)))),"Em Elaboração")</f>
        <v>UN</v>
      </c>
      <c r="G525" s="254">
        <v>12.0</v>
      </c>
      <c r="H525" s="259">
        <f>IFERROR(IF(D525="SINAPI-S",VLOOKUP(B525,'20-B.SINAPI-S'!A:J,5,0),IF(D525="SINAPI-I",VLOOKUP(B525,'20-A.SINAPI-I'!A:G,6,0),IF(D525="COMPOSIÇÕES",VLOOKUP(B525,'11.COMPOSIÇÕES GERAIS'!B:I,7,0),0))),"Em Elaboração")</f>
        <v>0</v>
      </c>
      <c r="I525" s="259">
        <f>IFERROR(IF(D525="SINAPI-S",VLOOKUP(B525,'20-B.SINAPI-S'!A:J,6,0),IF(D525="SINAPI-I",VLOOKUP(B525,'20-A.SINAPI-I'!A:G,7,0),IF(D525="COMPOSIÇÕES",VLOOKUP(B525,'11.COMPOSIÇÕES GERAIS'!B:I,8,0),VLOOKUP(B525,'12.COT.MERCADO'!A:I,8,0)))),"Em Elaboração")</f>
        <v>16.48</v>
      </c>
      <c r="J525" s="259">
        <f t="shared" si="129"/>
        <v>0</v>
      </c>
      <c r="K525" s="259">
        <f t="shared" si="130"/>
        <v>19.30359396</v>
      </c>
      <c r="L525" s="259">
        <f t="shared" si="131"/>
        <v>19.30359396</v>
      </c>
      <c r="M525" s="259">
        <f t="shared" si="132"/>
        <v>0</v>
      </c>
      <c r="N525" s="259">
        <f t="shared" si="133"/>
        <v>231.6431276</v>
      </c>
      <c r="O525" s="259">
        <f t="shared" si="134"/>
        <v>231.6431276</v>
      </c>
      <c r="P525" s="260">
        <f t="shared" si="2"/>
        <v>0.0001812084513</v>
      </c>
    </row>
    <row r="526">
      <c r="A526" s="253" t="s">
        <v>678</v>
      </c>
      <c r="B526" s="254">
        <v>43130.0</v>
      </c>
      <c r="C526" s="255" t="str">
        <f t="shared" si="128"/>
        <v>SINAPI</v>
      </c>
      <c r="D526" s="256" t="s">
        <v>286</v>
      </c>
      <c r="E526" s="257" t="str">
        <f>IFERROR(IF(D526="SINAPI-S",VLOOKUP(B526,'20-B.SINAPI-S'!A:J,2,0),IF(D526="SINAPI-I",VLOOKUP(B526,'20-A.SINAPI-I'!A:G,2,0),IF(D526="COMPOSIÇÕES",VLOOKUP(B526,'11.COMPOSIÇÕES GERAIS'!B:I,2,0),VLOOKUP(B526,'12.COT.MERCADO'!A:I,2,0)))),"Em Elaboração")</f>
        <v>ARAME GALVANIZADO 12 BWG, D = 2,76 MM (0,048 KG/M) OU 14 BWG, D = 2,11 MM (0,026 KG/M)</v>
      </c>
      <c r="F526" s="258" t="str">
        <f>IFERROR(IF(D526="SINAPI-S",VLOOKUP(B526,'20-B.SINAPI-S'!A:J,3,0),IF(D526="SINAPI-I",VLOOKUP(B526,'20-A.SINAPI-I'!A:G,3,0),IF(D526="COMPOSIÇÕES",VLOOKUP(B526,'11.COMPOSIÇÕES GERAIS'!B:I,3,0),VLOOKUP(B526,'12.COT.MERCADO'!A:I,7,0)))),"Em Elaboração")</f>
        <v>KG</v>
      </c>
      <c r="G526" s="254">
        <v>5.0</v>
      </c>
      <c r="H526" s="259">
        <f>IFERROR(IF(D526="SINAPI-S",VLOOKUP(B526,'20-B.SINAPI-S'!A:J,5,0),IF(D526="SINAPI-I",VLOOKUP(B526,'20-A.SINAPI-I'!A:G,6,0),IF(D526="COMPOSIÇÕES",VLOOKUP(B526,'11.COMPOSIÇÕES GERAIS'!B:I,7,0),0))),"Em Elaboração")</f>
        <v>0</v>
      </c>
      <c r="I526" s="259">
        <f>IFERROR(IF(D526="SINAPI-S",VLOOKUP(B526,'20-B.SINAPI-S'!A:J,6,0),IF(D526="SINAPI-I",VLOOKUP(B526,'20-A.SINAPI-I'!A:G,7,0),IF(D526="COMPOSIÇÕES",VLOOKUP(B526,'11.COMPOSIÇÕES GERAIS'!B:I,8,0),VLOOKUP(B526,'12.COT.MERCADO'!A:I,8,0)))),"Em Elaboração")</f>
        <v>27.75</v>
      </c>
      <c r="J526" s="259">
        <f t="shared" si="129"/>
        <v>0</v>
      </c>
      <c r="K526" s="259">
        <f t="shared" si="130"/>
        <v>32.50453474</v>
      </c>
      <c r="L526" s="259">
        <f t="shared" si="131"/>
        <v>32.50453474</v>
      </c>
      <c r="M526" s="259">
        <f t="shared" si="132"/>
        <v>0</v>
      </c>
      <c r="N526" s="259">
        <f t="shared" si="133"/>
        <v>162.5226737</v>
      </c>
      <c r="O526" s="259">
        <f t="shared" si="134"/>
        <v>162.5226737</v>
      </c>
      <c r="P526" s="260">
        <f t="shared" si="2"/>
        <v>0.0001271373008</v>
      </c>
    </row>
    <row r="527">
      <c r="A527" s="253" t="s">
        <v>679</v>
      </c>
      <c r="B527" s="254">
        <v>2527.0</v>
      </c>
      <c r="C527" s="255" t="str">
        <f t="shared" si="128"/>
        <v>SINAPI</v>
      </c>
      <c r="D527" s="256" t="s">
        <v>286</v>
      </c>
      <c r="E527" s="257" t="str">
        <f>IFERROR(IF(D527="SINAPI-S",VLOOKUP(B527,'20-B.SINAPI-S'!A:J,2,0),IF(D527="SINAPI-I",VLOOKUP(B527,'20-A.SINAPI-I'!A:G,2,0),IF(D527="COMPOSIÇÕES",VLOOKUP(B527,'11.COMPOSIÇÕES GERAIS'!B:I,2,0),VLOOKUP(B527,'12.COT.MERCADO'!A:I,2,0)))),"Em Elaboração")</f>
        <v>CONECTOR RETO DE ALUMINIO PARA ELETRODUTO DE 1 1/2", PARA ADAPTAR ENTRADA DE ELETRODUTO METALICO FLEXIVEL EM QUADROS</v>
      </c>
      <c r="F527" s="258" t="str">
        <f>IFERROR(IF(D527="SINAPI-S",VLOOKUP(B527,'20-B.SINAPI-S'!A:J,3,0),IF(D527="SINAPI-I",VLOOKUP(B527,'20-A.SINAPI-I'!A:G,3,0),IF(D527="COMPOSIÇÕES",VLOOKUP(B527,'11.COMPOSIÇÕES GERAIS'!B:I,3,0),VLOOKUP(B527,'12.COT.MERCADO'!A:I,7,0)))),"Em Elaboração")</f>
        <v>UN</v>
      </c>
      <c r="G527" s="254">
        <v>8.0</v>
      </c>
      <c r="H527" s="259">
        <f>IFERROR(IF(D527="SINAPI-S",VLOOKUP(B527,'20-B.SINAPI-S'!A:J,5,0),IF(D527="SINAPI-I",VLOOKUP(B527,'20-A.SINAPI-I'!A:G,6,0),IF(D527="COMPOSIÇÕES",VLOOKUP(B527,'11.COMPOSIÇÕES GERAIS'!B:I,7,0),0))),"Em Elaboração")</f>
        <v>0</v>
      </c>
      <c r="I527" s="259">
        <f>IFERROR(IF(D527="SINAPI-S",VLOOKUP(B527,'20-B.SINAPI-S'!A:J,6,0),IF(D527="SINAPI-I",VLOOKUP(B527,'20-A.SINAPI-I'!A:G,7,0),IF(D527="COMPOSIÇÕES",VLOOKUP(B527,'11.COMPOSIÇÕES GERAIS'!B:I,8,0),VLOOKUP(B527,'12.COT.MERCADO'!A:I,8,0)))),"Em Elaboração")</f>
        <v>10.59</v>
      </c>
      <c r="J527" s="259">
        <f t="shared" si="129"/>
        <v>0</v>
      </c>
      <c r="K527" s="259">
        <f t="shared" si="130"/>
        <v>12.40443326</v>
      </c>
      <c r="L527" s="259">
        <f t="shared" si="131"/>
        <v>12.40443326</v>
      </c>
      <c r="M527" s="259">
        <f t="shared" si="132"/>
        <v>0</v>
      </c>
      <c r="N527" s="259">
        <f t="shared" si="133"/>
        <v>99.23546605</v>
      </c>
      <c r="O527" s="259">
        <f t="shared" si="134"/>
        <v>99.23546605</v>
      </c>
      <c r="P527" s="260">
        <f t="shared" si="2"/>
        <v>0.00007762934867</v>
      </c>
    </row>
    <row r="528">
      <c r="A528" s="253" t="s">
        <v>680</v>
      </c>
      <c r="B528" s="254">
        <v>2489.0</v>
      </c>
      <c r="C528" s="255" t="str">
        <f t="shared" si="128"/>
        <v>SINAPI</v>
      </c>
      <c r="D528" s="256" t="s">
        <v>286</v>
      </c>
      <c r="E528" s="257" t="str">
        <f>IFERROR(IF(D528="SINAPI-S",VLOOKUP(B528,'20-B.SINAPI-S'!A:J,2,0),IF(D528="SINAPI-I",VLOOKUP(B528,'20-A.SINAPI-I'!A:G,2,0),IF(D528="COMPOSIÇÕES",VLOOKUP(B528,'11.COMPOSIÇÕES GERAIS'!B:I,2,0),VLOOKUP(B528,'12.COT.MERCADO'!A:I,2,0)))),"Em Elaboração")</f>
        <v>CONECTOR RETO DE ALUMINIO PARA ELETRODUTO DE 2", PARA ADAPTAR ENTRADA DE ELETRODUTO METALICO FLEXIVEL EM QUADROS</v>
      </c>
      <c r="F528" s="258" t="str">
        <f>IFERROR(IF(D528="SINAPI-S",VLOOKUP(B528,'20-B.SINAPI-S'!A:J,3,0),IF(D528="SINAPI-I",VLOOKUP(B528,'20-A.SINAPI-I'!A:G,3,0),IF(D528="COMPOSIÇÕES",VLOOKUP(B528,'11.COMPOSIÇÕES GERAIS'!B:I,3,0),VLOOKUP(B528,'12.COT.MERCADO'!A:I,7,0)))),"Em Elaboração")</f>
        <v>UN</v>
      </c>
      <c r="G528" s="254">
        <v>4.0</v>
      </c>
      <c r="H528" s="259">
        <f>IFERROR(IF(D528="SINAPI-S",VLOOKUP(B528,'20-B.SINAPI-S'!A:J,5,0),IF(D528="SINAPI-I",VLOOKUP(B528,'20-A.SINAPI-I'!A:G,6,0),IF(D528="COMPOSIÇÕES",VLOOKUP(B528,'11.COMPOSIÇÕES GERAIS'!B:I,7,0),0))),"Em Elaboração")</f>
        <v>0</v>
      </c>
      <c r="I528" s="259">
        <f>IFERROR(IF(D528="SINAPI-S",VLOOKUP(B528,'20-B.SINAPI-S'!A:J,6,0),IF(D528="SINAPI-I",VLOOKUP(B528,'20-A.SINAPI-I'!A:G,7,0),IF(D528="COMPOSIÇÕES",VLOOKUP(B528,'11.COMPOSIÇÕES GERAIS'!B:I,8,0),VLOOKUP(B528,'12.COT.MERCADO'!A:I,8,0)))),"Em Elaboração")</f>
        <v>11.74</v>
      </c>
      <c r="J528" s="259">
        <f t="shared" si="129"/>
        <v>0</v>
      </c>
      <c r="K528" s="259">
        <f t="shared" si="130"/>
        <v>13.75146803</v>
      </c>
      <c r="L528" s="259">
        <f t="shared" si="131"/>
        <v>13.75146803</v>
      </c>
      <c r="M528" s="259">
        <f t="shared" si="132"/>
        <v>0</v>
      </c>
      <c r="N528" s="259">
        <f t="shared" si="133"/>
        <v>55.00587212</v>
      </c>
      <c r="O528" s="259">
        <f t="shared" si="134"/>
        <v>55.00587212</v>
      </c>
      <c r="P528" s="260">
        <f t="shared" si="2"/>
        <v>0.00004302967674</v>
      </c>
    </row>
    <row r="529">
      <c r="A529" s="253" t="s">
        <v>681</v>
      </c>
      <c r="B529" s="254">
        <v>2483.0</v>
      </c>
      <c r="C529" s="255" t="str">
        <f t="shared" si="128"/>
        <v>SINAPI</v>
      </c>
      <c r="D529" s="256" t="s">
        <v>286</v>
      </c>
      <c r="E529" s="257" t="str">
        <f>IFERROR(IF(D529="SINAPI-S",VLOOKUP(B529,'20-B.SINAPI-S'!A:J,2,0),IF(D529="SINAPI-I",VLOOKUP(B529,'20-A.SINAPI-I'!A:G,2,0),IF(D529="COMPOSIÇÕES",VLOOKUP(B529,'11.COMPOSIÇÕES GERAIS'!B:I,2,0),VLOOKUP(B529,'12.COT.MERCADO'!A:I,2,0)))),"Em Elaboração")</f>
        <v>CONECTOR RETO DE ALUMINIO PARA ELETRODUTO DE 1", PARA ADAPTAR ENTRADA DE ELETRODUTO METALICO FLEXIVEL EM QUADROS</v>
      </c>
      <c r="F529" s="258" t="str">
        <f>IFERROR(IF(D529="SINAPI-S",VLOOKUP(B529,'20-B.SINAPI-S'!A:J,3,0),IF(D529="SINAPI-I",VLOOKUP(B529,'20-A.SINAPI-I'!A:G,3,0),IF(D529="COMPOSIÇÕES",VLOOKUP(B529,'11.COMPOSIÇÕES GERAIS'!B:I,3,0),VLOOKUP(B529,'12.COT.MERCADO'!A:I,7,0)))),"Em Elaboração")</f>
        <v>UN</v>
      </c>
      <c r="G529" s="254">
        <v>4.0</v>
      </c>
      <c r="H529" s="259">
        <f>IFERROR(IF(D529="SINAPI-S",VLOOKUP(B529,'20-B.SINAPI-S'!A:J,5,0),IF(D529="SINAPI-I",VLOOKUP(B529,'20-A.SINAPI-I'!A:G,6,0),IF(D529="COMPOSIÇÕES",VLOOKUP(B529,'11.COMPOSIÇÕES GERAIS'!B:I,7,0),0))),"Em Elaboração")</f>
        <v>0</v>
      </c>
      <c r="I529" s="259">
        <f>IFERROR(IF(D529="SINAPI-S",VLOOKUP(B529,'20-B.SINAPI-S'!A:J,6,0),IF(D529="SINAPI-I",VLOOKUP(B529,'20-A.SINAPI-I'!A:G,7,0),IF(D529="COMPOSIÇÕES",VLOOKUP(B529,'11.COMPOSIÇÕES GERAIS'!B:I,8,0),VLOOKUP(B529,'12.COT.MERCADO'!A:I,8,0)))),"Em Elaboração")</f>
        <v>4.83</v>
      </c>
      <c r="J529" s="259">
        <f t="shared" si="129"/>
        <v>0</v>
      </c>
      <c r="K529" s="259">
        <f t="shared" si="130"/>
        <v>5.657546046</v>
      </c>
      <c r="L529" s="259">
        <f t="shared" si="131"/>
        <v>5.657546046</v>
      </c>
      <c r="M529" s="259">
        <f t="shared" si="132"/>
        <v>0</v>
      </c>
      <c r="N529" s="259">
        <f t="shared" si="133"/>
        <v>22.63018418</v>
      </c>
      <c r="O529" s="259">
        <f t="shared" si="134"/>
        <v>22.63018418</v>
      </c>
      <c r="P529" s="260">
        <f t="shared" si="2"/>
        <v>0.00001770301011</v>
      </c>
    </row>
    <row r="530">
      <c r="A530" s="253" t="s">
        <v>682</v>
      </c>
      <c r="B530" s="254">
        <v>34602.0</v>
      </c>
      <c r="C530" s="255" t="str">
        <f t="shared" si="128"/>
        <v>SINAPI</v>
      </c>
      <c r="D530" s="256" t="s">
        <v>286</v>
      </c>
      <c r="E530" s="257" t="str">
        <f>IFERROR(IF(D530="SINAPI-S",VLOOKUP(B530,'20-B.SINAPI-S'!A:J,2,0),IF(D530="SINAPI-I",VLOOKUP(B530,'20-A.SINAPI-I'!A:G,2,0),IF(D530="COMPOSIÇÕES",VLOOKUP(B530,'11.COMPOSIÇÕES GERAIS'!B:I,2,0),VLOOKUP(B530,'12.COT.MERCADO'!A:I,2,0)))),"Em Elaboração")</f>
        <v>CABO FLEXIVEL PVC 750 V, 2 CONDUTORES DE 1,5 MM2</v>
      </c>
      <c r="F530" s="258" t="str">
        <f>IFERROR(IF(D530="SINAPI-S",VLOOKUP(B530,'20-B.SINAPI-S'!A:J,3,0),IF(D530="SINAPI-I",VLOOKUP(B530,'20-A.SINAPI-I'!A:G,3,0),IF(D530="COMPOSIÇÕES",VLOOKUP(B530,'11.COMPOSIÇÕES GERAIS'!B:I,3,0),VLOOKUP(B530,'12.COT.MERCADO'!A:I,7,0)))),"Em Elaboração")</f>
        <v>M</v>
      </c>
      <c r="G530" s="254">
        <v>100.0</v>
      </c>
      <c r="H530" s="259">
        <f>IFERROR(IF(D530="SINAPI-S",VLOOKUP(B530,'20-B.SINAPI-S'!A:J,5,0),IF(D530="SINAPI-I",VLOOKUP(B530,'20-A.SINAPI-I'!A:G,6,0),IF(D530="COMPOSIÇÕES",VLOOKUP(B530,'11.COMPOSIÇÕES GERAIS'!B:I,7,0),0))),"Em Elaboração")</f>
        <v>0</v>
      </c>
      <c r="I530" s="259">
        <f>IFERROR(IF(D530="SINAPI-S",VLOOKUP(B530,'20-B.SINAPI-S'!A:J,6,0),IF(D530="SINAPI-I",VLOOKUP(B530,'20-A.SINAPI-I'!A:G,7,0),IF(D530="COMPOSIÇÕES",VLOOKUP(B530,'11.COMPOSIÇÕES GERAIS'!B:I,8,0),VLOOKUP(B530,'12.COT.MERCADO'!A:I,8,0)))),"Em Elaboração")</f>
        <v>3.99</v>
      </c>
      <c r="J530" s="259">
        <f t="shared" si="129"/>
        <v>0</v>
      </c>
      <c r="K530" s="259">
        <f t="shared" si="130"/>
        <v>4.673624995</v>
      </c>
      <c r="L530" s="259">
        <f t="shared" si="131"/>
        <v>4.673624995</v>
      </c>
      <c r="M530" s="259">
        <f t="shared" si="132"/>
        <v>0</v>
      </c>
      <c r="N530" s="259">
        <f t="shared" si="133"/>
        <v>467.3624995</v>
      </c>
      <c r="O530" s="259">
        <f t="shared" si="134"/>
        <v>467.3624995</v>
      </c>
      <c r="P530" s="260">
        <f t="shared" si="2"/>
        <v>0.0003656056435</v>
      </c>
    </row>
    <row r="531">
      <c r="A531" s="253" t="s">
        <v>683</v>
      </c>
      <c r="B531" s="254">
        <v>34607.0</v>
      </c>
      <c r="C531" s="255" t="str">
        <f t="shared" si="128"/>
        <v>SINAPI</v>
      </c>
      <c r="D531" s="256" t="s">
        <v>286</v>
      </c>
      <c r="E531" s="257" t="str">
        <f>IFERROR(IF(D531="SINAPI-S",VLOOKUP(B531,'20-B.SINAPI-S'!A:J,2,0),IF(D531="SINAPI-I",VLOOKUP(B531,'20-A.SINAPI-I'!A:G,2,0),IF(D531="COMPOSIÇÕES",VLOOKUP(B531,'11.COMPOSIÇÕES GERAIS'!B:I,2,0),VLOOKUP(B531,'12.COT.MERCADO'!A:I,2,0)))),"Em Elaboração")</f>
        <v>CABO FLEXIVEL PVC 750 V, 2 CONDUTORES DE 4,0 MM2</v>
      </c>
      <c r="F531" s="258" t="str">
        <f>IFERROR(IF(D531="SINAPI-S",VLOOKUP(B531,'20-B.SINAPI-S'!A:J,3,0),IF(D531="SINAPI-I",VLOOKUP(B531,'20-A.SINAPI-I'!A:G,3,0),IF(D531="COMPOSIÇÕES",VLOOKUP(B531,'11.COMPOSIÇÕES GERAIS'!B:I,3,0),VLOOKUP(B531,'12.COT.MERCADO'!A:I,7,0)))),"Em Elaboração")</f>
        <v>M</v>
      </c>
      <c r="G531" s="254">
        <v>100.0</v>
      </c>
      <c r="H531" s="259">
        <f>IFERROR(IF(D531="SINAPI-S",VLOOKUP(B531,'20-B.SINAPI-S'!A:J,5,0),IF(D531="SINAPI-I",VLOOKUP(B531,'20-A.SINAPI-I'!A:G,6,0),IF(D531="COMPOSIÇÕES",VLOOKUP(B531,'11.COMPOSIÇÕES GERAIS'!B:I,7,0),0))),"Em Elaboração")</f>
        <v>0</v>
      </c>
      <c r="I531" s="259">
        <f>IFERROR(IF(D531="SINAPI-S",VLOOKUP(B531,'20-B.SINAPI-S'!A:J,6,0),IF(D531="SINAPI-I",VLOOKUP(B531,'20-A.SINAPI-I'!A:G,7,0),IF(D531="COMPOSIÇÕES",VLOOKUP(B531,'11.COMPOSIÇÕES GERAIS'!B:I,8,0),VLOOKUP(B531,'12.COT.MERCADO'!A:I,8,0)))),"Em Elaboração")</f>
        <v>9.79</v>
      </c>
      <c r="J531" s="259">
        <f t="shared" si="129"/>
        <v>0</v>
      </c>
      <c r="K531" s="259">
        <f t="shared" si="130"/>
        <v>11.46736559</v>
      </c>
      <c r="L531" s="259">
        <f t="shared" si="131"/>
        <v>11.46736559</v>
      </c>
      <c r="M531" s="259">
        <f t="shared" si="132"/>
        <v>0</v>
      </c>
      <c r="N531" s="259">
        <f t="shared" si="133"/>
        <v>1146.736559</v>
      </c>
      <c r="O531" s="259">
        <f t="shared" si="134"/>
        <v>1146.736559</v>
      </c>
      <c r="P531" s="260">
        <f t="shared" si="2"/>
        <v>0.0008970624687</v>
      </c>
    </row>
    <row r="532">
      <c r="A532" s="253" t="s">
        <v>684</v>
      </c>
      <c r="B532" s="254">
        <v>34618.0</v>
      </c>
      <c r="C532" s="255" t="str">
        <f t="shared" si="128"/>
        <v>SINAPI</v>
      </c>
      <c r="D532" s="256" t="s">
        <v>286</v>
      </c>
      <c r="E532" s="257" t="str">
        <f>IFERROR(IF(D532="SINAPI-S",VLOOKUP(B532,'20-B.SINAPI-S'!A:J,2,0),IF(D532="SINAPI-I",VLOOKUP(B532,'20-A.SINAPI-I'!A:G,2,0),IF(D532="COMPOSIÇÕES",VLOOKUP(B532,'11.COMPOSIÇÕES GERAIS'!B:I,2,0),VLOOKUP(B532,'12.COT.MERCADO'!A:I,2,0)))),"Em Elaboração")</f>
        <v>CABO FLEXIVEL PVC 750 V, 3 CONDUTORES DE 1,5 MM2</v>
      </c>
      <c r="F532" s="258" t="str">
        <f>IFERROR(IF(D532="SINAPI-S",VLOOKUP(B532,'20-B.SINAPI-S'!A:J,3,0),IF(D532="SINAPI-I",VLOOKUP(B532,'20-A.SINAPI-I'!A:G,3,0),IF(D532="COMPOSIÇÕES",VLOOKUP(B532,'11.COMPOSIÇÕES GERAIS'!B:I,3,0),VLOOKUP(B532,'12.COT.MERCADO'!A:I,7,0)))),"Em Elaboração")</f>
        <v>M</v>
      </c>
      <c r="G532" s="254">
        <v>100.0</v>
      </c>
      <c r="H532" s="259">
        <f>IFERROR(IF(D532="SINAPI-S",VLOOKUP(B532,'20-B.SINAPI-S'!A:J,5,0),IF(D532="SINAPI-I",VLOOKUP(B532,'20-A.SINAPI-I'!A:G,6,0),IF(D532="COMPOSIÇÕES",VLOOKUP(B532,'11.COMPOSIÇÕES GERAIS'!B:I,7,0),0))),"Em Elaboração")</f>
        <v>0</v>
      </c>
      <c r="I532" s="259">
        <f>IFERROR(IF(D532="SINAPI-S",VLOOKUP(B532,'20-B.SINAPI-S'!A:J,6,0),IF(D532="SINAPI-I",VLOOKUP(B532,'20-A.SINAPI-I'!A:G,7,0),IF(D532="COMPOSIÇÕES",VLOOKUP(B532,'11.COMPOSIÇÕES GERAIS'!B:I,8,0),VLOOKUP(B532,'12.COT.MERCADO'!A:I,8,0)))),"Em Elaboração")</f>
        <v>5.45</v>
      </c>
      <c r="J532" s="259">
        <f t="shared" si="129"/>
        <v>0</v>
      </c>
      <c r="K532" s="259">
        <f t="shared" si="130"/>
        <v>6.383773489</v>
      </c>
      <c r="L532" s="259">
        <f t="shared" si="131"/>
        <v>6.383773489</v>
      </c>
      <c r="M532" s="259">
        <f t="shared" si="132"/>
        <v>0</v>
      </c>
      <c r="N532" s="259">
        <f t="shared" si="133"/>
        <v>638.3773489</v>
      </c>
      <c r="O532" s="259">
        <f t="shared" si="134"/>
        <v>638.3773489</v>
      </c>
      <c r="P532" s="260">
        <f t="shared" si="2"/>
        <v>0.0004993861547</v>
      </c>
    </row>
    <row r="533">
      <c r="A533" s="253" t="s">
        <v>685</v>
      </c>
      <c r="B533" s="254">
        <v>34621.0</v>
      </c>
      <c r="C533" s="255" t="str">
        <f t="shared" si="128"/>
        <v>SINAPI</v>
      </c>
      <c r="D533" s="256" t="s">
        <v>286</v>
      </c>
      <c r="E533" s="257" t="str">
        <f>IFERROR(IF(D533="SINAPI-S",VLOOKUP(B533,'20-B.SINAPI-S'!A:J,2,0),IF(D533="SINAPI-I",VLOOKUP(B533,'20-A.SINAPI-I'!A:G,2,0),IF(D533="COMPOSIÇÕES",VLOOKUP(B533,'11.COMPOSIÇÕES GERAIS'!B:I,2,0),VLOOKUP(B533,'12.COT.MERCADO'!A:I,2,0)))),"Em Elaboração")</f>
        <v>CABO FLEXIVEL PVC 750 V, 3 CONDUTORES DE 4,0 MM2</v>
      </c>
      <c r="F533" s="258" t="str">
        <f>IFERROR(IF(D533="SINAPI-S",VLOOKUP(B533,'20-B.SINAPI-S'!A:J,3,0),IF(D533="SINAPI-I",VLOOKUP(B533,'20-A.SINAPI-I'!A:G,3,0),IF(D533="COMPOSIÇÕES",VLOOKUP(B533,'11.COMPOSIÇÕES GERAIS'!B:I,3,0),VLOOKUP(B533,'12.COT.MERCADO'!A:I,7,0)))),"Em Elaboração")</f>
        <v>M</v>
      </c>
      <c r="G533" s="254">
        <v>100.0</v>
      </c>
      <c r="H533" s="259">
        <f>IFERROR(IF(D533="SINAPI-S",VLOOKUP(B533,'20-B.SINAPI-S'!A:J,5,0),IF(D533="SINAPI-I",VLOOKUP(B533,'20-A.SINAPI-I'!A:G,6,0),IF(D533="COMPOSIÇÕES",VLOOKUP(B533,'11.COMPOSIÇÕES GERAIS'!B:I,7,0),0))),"Em Elaboração")</f>
        <v>0</v>
      </c>
      <c r="I533" s="259">
        <f>IFERROR(IF(D533="SINAPI-S",VLOOKUP(B533,'20-B.SINAPI-S'!A:J,6,0),IF(D533="SINAPI-I",VLOOKUP(B533,'20-A.SINAPI-I'!A:G,7,0),IF(D533="COMPOSIÇÕES",VLOOKUP(B533,'11.COMPOSIÇÕES GERAIS'!B:I,8,0),VLOOKUP(B533,'12.COT.MERCADO'!A:I,8,0)))),"Em Elaboração")</f>
        <v>13.5</v>
      </c>
      <c r="J533" s="259">
        <f t="shared" si="129"/>
        <v>0</v>
      </c>
      <c r="K533" s="259">
        <f t="shared" si="130"/>
        <v>15.8130169</v>
      </c>
      <c r="L533" s="259">
        <f t="shared" si="131"/>
        <v>15.8130169</v>
      </c>
      <c r="M533" s="259">
        <f t="shared" si="132"/>
        <v>0</v>
      </c>
      <c r="N533" s="259">
        <f t="shared" si="133"/>
        <v>1581.30169</v>
      </c>
      <c r="O533" s="259">
        <f t="shared" si="134"/>
        <v>1581.30169</v>
      </c>
      <c r="P533" s="260">
        <f t="shared" si="2"/>
        <v>0.001237011576</v>
      </c>
    </row>
    <row r="534">
      <c r="A534" s="253" t="s">
        <v>686</v>
      </c>
      <c r="B534" s="254">
        <v>39771.0</v>
      </c>
      <c r="C534" s="255" t="str">
        <f t="shared" si="128"/>
        <v>SINAPI</v>
      </c>
      <c r="D534" s="256" t="s">
        <v>286</v>
      </c>
      <c r="E534" s="257" t="str">
        <f>IFERROR(IF(D534="SINAPI-S",VLOOKUP(B534,'20-B.SINAPI-S'!A:J,2,0),IF(D534="SINAPI-I",VLOOKUP(B534,'20-A.SINAPI-I'!A:G,2,0),IF(D534="COMPOSIÇÕES",VLOOKUP(B534,'11.COMPOSIÇÕES GERAIS'!B:I,2,0),VLOOKUP(B534,'12.COT.MERCADO'!A:I,2,0)))),"Em Elaboração")</f>
        <v>CAIXA DE PASSAGEM METALICA DE SOBREPOR COM TAMPA PARAFUSADA, DIMENSOES 20 X 20 X 10 CM</v>
      </c>
      <c r="F534" s="258" t="str">
        <f>IFERROR(IF(D534="SINAPI-S",VLOOKUP(B534,'20-B.SINAPI-S'!A:J,3,0),IF(D534="SINAPI-I",VLOOKUP(B534,'20-A.SINAPI-I'!A:G,3,0),IF(D534="COMPOSIÇÕES",VLOOKUP(B534,'11.COMPOSIÇÕES GERAIS'!B:I,3,0),VLOOKUP(B534,'12.COT.MERCADO'!A:I,7,0)))),"Em Elaboração")</f>
        <v>UN</v>
      </c>
      <c r="G534" s="254">
        <v>2.0</v>
      </c>
      <c r="H534" s="259">
        <f>IFERROR(IF(D534="SINAPI-S",VLOOKUP(B534,'20-B.SINAPI-S'!A:J,5,0),IF(D534="SINAPI-I",VLOOKUP(B534,'20-A.SINAPI-I'!A:G,6,0),IF(D534="COMPOSIÇÕES",VLOOKUP(B534,'11.COMPOSIÇÕES GERAIS'!B:I,7,0),0))),"Em Elaboração")</f>
        <v>0</v>
      </c>
      <c r="I534" s="259">
        <f>IFERROR(IF(D534="SINAPI-S",VLOOKUP(B534,'20-B.SINAPI-S'!A:J,6,0),IF(D534="SINAPI-I",VLOOKUP(B534,'20-A.SINAPI-I'!A:G,7,0),IF(D534="COMPOSIÇÕES",VLOOKUP(B534,'11.COMPOSIÇÕES GERAIS'!B:I,8,0),VLOOKUP(B534,'12.COT.MERCADO'!A:I,8,0)))),"Em Elaboração")</f>
        <v>31.13</v>
      </c>
      <c r="J534" s="259">
        <f t="shared" si="129"/>
        <v>0</v>
      </c>
      <c r="K534" s="259">
        <f t="shared" si="130"/>
        <v>36.46364564</v>
      </c>
      <c r="L534" s="259">
        <f t="shared" si="131"/>
        <v>36.46364564</v>
      </c>
      <c r="M534" s="259">
        <f t="shared" si="132"/>
        <v>0</v>
      </c>
      <c r="N534" s="259">
        <f t="shared" si="133"/>
        <v>72.92729127</v>
      </c>
      <c r="O534" s="259">
        <f t="shared" si="134"/>
        <v>72.92729127</v>
      </c>
      <c r="P534" s="260">
        <f t="shared" si="2"/>
        <v>0.00005704914127</v>
      </c>
    </row>
    <row r="535">
      <c r="A535" s="253" t="s">
        <v>687</v>
      </c>
      <c r="B535" s="254">
        <v>2680.0</v>
      </c>
      <c r="C535" s="255" t="str">
        <f t="shared" si="128"/>
        <v>SINAPI</v>
      </c>
      <c r="D535" s="256" t="s">
        <v>286</v>
      </c>
      <c r="E535" s="257" t="str">
        <f>IFERROR(IF(D535="SINAPI-S",VLOOKUP(B535,'20-B.SINAPI-S'!A:J,2,0),IF(D535="SINAPI-I",VLOOKUP(B535,'20-A.SINAPI-I'!A:G,2,0),IF(D535="COMPOSIÇÕES",VLOOKUP(B535,'11.COMPOSIÇÕES GERAIS'!B:I,2,0),VLOOKUP(B535,'12.COT.MERCADO'!A:I,2,0)))),"Em Elaboração")</f>
        <v>ELETRODUTO DE PVC RIGIDO ROSCAVEL DE 1 1/2 ", SEM LUVA</v>
      </c>
      <c r="F535" s="258" t="str">
        <f>IFERROR(IF(D535="SINAPI-S",VLOOKUP(B535,'20-B.SINAPI-S'!A:J,3,0),IF(D535="SINAPI-I",VLOOKUP(B535,'20-A.SINAPI-I'!A:G,3,0),IF(D535="COMPOSIÇÕES",VLOOKUP(B535,'11.COMPOSIÇÕES GERAIS'!B:I,3,0),VLOOKUP(B535,'12.COT.MERCADO'!A:I,7,0)))),"Em Elaboração")</f>
        <v>M</v>
      </c>
      <c r="G535" s="254">
        <v>12.0</v>
      </c>
      <c r="H535" s="259">
        <f>IFERROR(IF(D535="SINAPI-S",VLOOKUP(B535,'20-B.SINAPI-S'!A:J,5,0),IF(D535="SINAPI-I",VLOOKUP(B535,'20-A.SINAPI-I'!A:G,6,0),IF(D535="COMPOSIÇÕES",VLOOKUP(B535,'11.COMPOSIÇÕES GERAIS'!B:I,7,0),0))),"Em Elaboração")</f>
        <v>0</v>
      </c>
      <c r="I535" s="259">
        <f>IFERROR(IF(D535="SINAPI-S",VLOOKUP(B535,'20-B.SINAPI-S'!A:J,6,0),IF(D535="SINAPI-I",VLOOKUP(B535,'20-A.SINAPI-I'!A:G,7,0),IF(D535="COMPOSIÇÕES",VLOOKUP(B535,'11.COMPOSIÇÕES GERAIS'!B:I,8,0),VLOOKUP(B535,'12.COT.MERCADO'!A:I,8,0)))),"Em Elaboração")</f>
        <v>14.78</v>
      </c>
      <c r="J535" s="259">
        <f t="shared" si="129"/>
        <v>0</v>
      </c>
      <c r="K535" s="259">
        <f t="shared" si="130"/>
        <v>17.31232517</v>
      </c>
      <c r="L535" s="259">
        <f t="shared" si="131"/>
        <v>17.31232517</v>
      </c>
      <c r="M535" s="259">
        <f t="shared" si="132"/>
        <v>0</v>
      </c>
      <c r="N535" s="259">
        <f t="shared" si="133"/>
        <v>207.747902</v>
      </c>
      <c r="O535" s="259">
        <f t="shared" si="134"/>
        <v>207.747902</v>
      </c>
      <c r="P535" s="260">
        <f t="shared" si="2"/>
        <v>0.0001625158319</v>
      </c>
    </row>
    <row r="536">
      <c r="A536" s="253" t="s">
        <v>688</v>
      </c>
      <c r="B536" s="254">
        <v>2684.0</v>
      </c>
      <c r="C536" s="255" t="str">
        <f t="shared" si="128"/>
        <v>SINAPI</v>
      </c>
      <c r="D536" s="256" t="s">
        <v>286</v>
      </c>
      <c r="E536" s="257" t="str">
        <f>IFERROR(IF(D536="SINAPI-S",VLOOKUP(B536,'20-B.SINAPI-S'!A:J,2,0),IF(D536="SINAPI-I",VLOOKUP(B536,'20-A.SINAPI-I'!A:G,2,0),IF(D536="COMPOSIÇÕES",VLOOKUP(B536,'11.COMPOSIÇÕES GERAIS'!B:I,2,0),VLOOKUP(B536,'12.COT.MERCADO'!A:I,2,0)))),"Em Elaboração")</f>
        <v>ELETRODUTO DE PVC RIGIDO ROSCAVEL DE 1 1/4 ", SEM LUVA</v>
      </c>
      <c r="F536" s="258" t="str">
        <f>IFERROR(IF(D536="SINAPI-S",VLOOKUP(B536,'20-B.SINAPI-S'!A:J,3,0),IF(D536="SINAPI-I",VLOOKUP(B536,'20-A.SINAPI-I'!A:G,3,0),IF(D536="COMPOSIÇÕES",VLOOKUP(B536,'11.COMPOSIÇÕES GERAIS'!B:I,3,0),VLOOKUP(B536,'12.COT.MERCADO'!A:I,7,0)))),"Em Elaboração")</f>
        <v>M</v>
      </c>
      <c r="G536" s="254">
        <v>12.0</v>
      </c>
      <c r="H536" s="259">
        <f>IFERROR(IF(D536="SINAPI-S",VLOOKUP(B536,'20-B.SINAPI-S'!A:J,5,0),IF(D536="SINAPI-I",VLOOKUP(B536,'20-A.SINAPI-I'!A:G,6,0),IF(D536="COMPOSIÇÕES",VLOOKUP(B536,'11.COMPOSIÇÕES GERAIS'!B:I,7,0),0))),"Em Elaboração")</f>
        <v>0</v>
      </c>
      <c r="I536" s="259">
        <f>IFERROR(IF(D536="SINAPI-S",VLOOKUP(B536,'20-B.SINAPI-S'!A:J,6,0),IF(D536="SINAPI-I",VLOOKUP(B536,'20-A.SINAPI-I'!A:G,7,0),IF(D536="COMPOSIÇÕES",VLOOKUP(B536,'11.COMPOSIÇÕES GERAIS'!B:I,8,0),VLOOKUP(B536,'12.COT.MERCADO'!A:I,8,0)))),"Em Elaboração")</f>
        <v>13.45</v>
      </c>
      <c r="J536" s="259">
        <f t="shared" si="129"/>
        <v>0</v>
      </c>
      <c r="K536" s="259">
        <f t="shared" si="130"/>
        <v>15.75445017</v>
      </c>
      <c r="L536" s="259">
        <f t="shared" si="131"/>
        <v>15.75445017</v>
      </c>
      <c r="M536" s="259">
        <f t="shared" si="132"/>
        <v>0</v>
      </c>
      <c r="N536" s="259">
        <f t="shared" si="133"/>
        <v>189.053402</v>
      </c>
      <c r="O536" s="259">
        <f t="shared" si="134"/>
        <v>189.053402</v>
      </c>
      <c r="P536" s="260">
        <f t="shared" si="2"/>
        <v>0.0001478916062</v>
      </c>
    </row>
    <row r="537">
      <c r="A537" s="253" t="s">
        <v>689</v>
      </c>
      <c r="B537" s="254">
        <v>2681.0</v>
      </c>
      <c r="C537" s="255" t="str">
        <f t="shared" si="128"/>
        <v>SINAPI</v>
      </c>
      <c r="D537" s="256" t="s">
        <v>286</v>
      </c>
      <c r="E537" s="257" t="str">
        <f>IFERROR(IF(D537="SINAPI-S",VLOOKUP(B537,'20-B.SINAPI-S'!A:J,2,0),IF(D537="SINAPI-I",VLOOKUP(B537,'20-A.SINAPI-I'!A:G,2,0),IF(D537="COMPOSIÇÕES",VLOOKUP(B537,'11.COMPOSIÇÕES GERAIS'!B:I,2,0),VLOOKUP(B537,'12.COT.MERCADO'!A:I,2,0)))),"Em Elaboração")</f>
        <v>ELETRODUTO DE PVC RIGIDO ROSCAVEL DE 2 ", SEM LUVA</v>
      </c>
      <c r="F537" s="258" t="str">
        <f>IFERROR(IF(D537="SINAPI-S",VLOOKUP(B537,'20-B.SINAPI-S'!A:J,3,0),IF(D537="SINAPI-I",VLOOKUP(B537,'20-A.SINAPI-I'!A:G,3,0),IF(D537="COMPOSIÇÕES",VLOOKUP(B537,'11.COMPOSIÇÕES GERAIS'!B:I,3,0),VLOOKUP(B537,'12.COT.MERCADO'!A:I,7,0)))),"Em Elaboração")</f>
        <v>M</v>
      </c>
      <c r="G537" s="254">
        <v>12.0</v>
      </c>
      <c r="H537" s="259">
        <f>IFERROR(IF(D537="SINAPI-S",VLOOKUP(B537,'20-B.SINAPI-S'!A:J,5,0),IF(D537="SINAPI-I",VLOOKUP(B537,'20-A.SINAPI-I'!A:G,6,0),IF(D537="COMPOSIÇÕES",VLOOKUP(B537,'11.COMPOSIÇÕES GERAIS'!B:I,7,0),0))),"Em Elaboração")</f>
        <v>0</v>
      </c>
      <c r="I537" s="259">
        <f>IFERROR(IF(D537="SINAPI-S",VLOOKUP(B537,'20-B.SINAPI-S'!A:J,6,0),IF(D537="SINAPI-I",VLOOKUP(B537,'20-A.SINAPI-I'!A:G,7,0),IF(D537="COMPOSIÇÕES",VLOOKUP(B537,'11.COMPOSIÇÕES GERAIS'!B:I,8,0),VLOOKUP(B537,'12.COT.MERCADO'!A:I,8,0)))),"Em Elaboração")</f>
        <v>24.15</v>
      </c>
      <c r="J537" s="259">
        <f t="shared" si="129"/>
        <v>0</v>
      </c>
      <c r="K537" s="259">
        <f t="shared" si="130"/>
        <v>28.28773023</v>
      </c>
      <c r="L537" s="259">
        <f t="shared" si="131"/>
        <v>28.28773023</v>
      </c>
      <c r="M537" s="259">
        <f t="shared" si="132"/>
        <v>0</v>
      </c>
      <c r="N537" s="259">
        <f t="shared" si="133"/>
        <v>339.4527628</v>
      </c>
      <c r="O537" s="259">
        <f t="shared" si="134"/>
        <v>339.4527628</v>
      </c>
      <c r="P537" s="260">
        <f t="shared" si="2"/>
        <v>0.0002655451516</v>
      </c>
    </row>
    <row r="538">
      <c r="A538" s="253" t="s">
        <v>690</v>
      </c>
      <c r="B538" s="254">
        <v>39757.0</v>
      </c>
      <c r="C538" s="255" t="str">
        <f t="shared" si="128"/>
        <v>SINAPI</v>
      </c>
      <c r="D538" s="256" t="s">
        <v>286</v>
      </c>
      <c r="E538" s="257" t="str">
        <f>IFERROR(IF(D538="SINAPI-S",VLOOKUP(B538,'20-B.SINAPI-S'!A:J,2,0),IF(D538="SINAPI-I",VLOOKUP(B538,'20-A.SINAPI-I'!A:G,2,0),IF(D538="COMPOSIÇÕES",VLOOKUP(B538,'11.COMPOSIÇÕES GERAIS'!B:I,2,0),VLOOKUP(B538,'12.COT.MERCADO'!A:I,2,0)))),"Em Elaboração")</f>
        <v>QUADRO DE DISTRIBUICAO COM BARRAMENTO TRIFASICO, DE SOBREPOR, EM CHAPA DE ACO GALVANIZADO, PARA 28 DISJUNTORES DIN, 100 A</v>
      </c>
      <c r="F538" s="258" t="str">
        <f>IFERROR(IF(D538="SINAPI-S",VLOOKUP(B538,'20-B.SINAPI-S'!A:J,3,0),IF(D538="SINAPI-I",VLOOKUP(B538,'20-A.SINAPI-I'!A:G,3,0),IF(D538="COMPOSIÇÕES",VLOOKUP(B538,'11.COMPOSIÇÕES GERAIS'!B:I,3,0),VLOOKUP(B538,'12.COT.MERCADO'!A:I,7,0)))),"Em Elaboração")</f>
        <v>UN</v>
      </c>
      <c r="G538" s="254">
        <v>2.0</v>
      </c>
      <c r="H538" s="259">
        <f>IFERROR(IF(D538="SINAPI-S",VLOOKUP(B538,'20-B.SINAPI-S'!A:J,5,0),IF(D538="SINAPI-I",VLOOKUP(B538,'20-A.SINAPI-I'!A:G,6,0),IF(D538="COMPOSIÇÕES",VLOOKUP(B538,'11.COMPOSIÇÕES GERAIS'!B:I,7,0),0))),"Em Elaboração")</f>
        <v>0</v>
      </c>
      <c r="I538" s="259">
        <f>IFERROR(IF(D538="SINAPI-S",VLOOKUP(B538,'20-B.SINAPI-S'!A:J,6,0),IF(D538="SINAPI-I",VLOOKUP(B538,'20-A.SINAPI-I'!A:G,7,0),IF(D538="COMPOSIÇÕES",VLOOKUP(B538,'11.COMPOSIÇÕES GERAIS'!B:I,8,0),VLOOKUP(B538,'12.COT.MERCADO'!A:I,8,0)))),"Em Elaboração")</f>
        <v>416.38</v>
      </c>
      <c r="J538" s="259">
        <f t="shared" si="129"/>
        <v>0</v>
      </c>
      <c r="K538" s="259">
        <f t="shared" si="130"/>
        <v>487.7202946</v>
      </c>
      <c r="L538" s="259">
        <f t="shared" si="131"/>
        <v>487.7202946</v>
      </c>
      <c r="M538" s="259">
        <f t="shared" si="132"/>
        <v>0</v>
      </c>
      <c r="N538" s="259">
        <f t="shared" si="133"/>
        <v>975.4405891</v>
      </c>
      <c r="O538" s="259">
        <f t="shared" si="134"/>
        <v>975.4405891</v>
      </c>
      <c r="P538" s="260">
        <f t="shared" si="2"/>
        <v>0.0007630620443</v>
      </c>
    </row>
    <row r="539">
      <c r="A539" s="253" t="s">
        <v>691</v>
      </c>
      <c r="B539" s="254">
        <v>1542.0</v>
      </c>
      <c r="C539" s="255" t="str">
        <f t="shared" si="128"/>
        <v>SINAPI</v>
      </c>
      <c r="D539" s="256" t="s">
        <v>286</v>
      </c>
      <c r="E539" s="257" t="str">
        <f>IFERROR(IF(D539="SINAPI-S",VLOOKUP(B539,'20-B.SINAPI-S'!A:J,2,0),IF(D539="SINAPI-I",VLOOKUP(B539,'20-A.SINAPI-I'!A:G,2,0),IF(D539="COMPOSIÇÕES",VLOOKUP(B539,'11.COMPOSIÇÕES GERAIS'!B:I,2,0),VLOOKUP(B539,'12.COT.MERCADO'!A:I,2,0)))),"Em Elaboração")</f>
        <v>TERMINAL METALICO A PRESSAO 1 CABO, PARA CABOS DE 4 A 10 MM2, COM 2 FUROS PARA FIXACAO</v>
      </c>
      <c r="F539" s="258" t="str">
        <f>IFERROR(IF(D539="SINAPI-S",VLOOKUP(B539,'20-B.SINAPI-S'!A:J,3,0),IF(D539="SINAPI-I",VLOOKUP(B539,'20-A.SINAPI-I'!A:G,3,0),IF(D539="COMPOSIÇÕES",VLOOKUP(B539,'11.COMPOSIÇÕES GERAIS'!B:I,3,0),VLOOKUP(B539,'12.COT.MERCADO'!A:I,7,0)))),"Em Elaboração")</f>
        <v>UN</v>
      </c>
      <c r="G539" s="254">
        <v>8.0</v>
      </c>
      <c r="H539" s="259">
        <f>IFERROR(IF(D539="SINAPI-S",VLOOKUP(B539,'20-B.SINAPI-S'!A:J,5,0),IF(D539="SINAPI-I",VLOOKUP(B539,'20-A.SINAPI-I'!A:G,6,0),IF(D539="COMPOSIÇÕES",VLOOKUP(B539,'11.COMPOSIÇÕES GERAIS'!B:I,7,0),0))),"Em Elaboração")</f>
        <v>0</v>
      </c>
      <c r="I539" s="259">
        <f>IFERROR(IF(D539="SINAPI-S",VLOOKUP(B539,'20-B.SINAPI-S'!A:J,6,0),IF(D539="SINAPI-I",VLOOKUP(B539,'20-A.SINAPI-I'!A:G,7,0),IF(D539="COMPOSIÇÕES",VLOOKUP(B539,'11.COMPOSIÇÕES GERAIS'!B:I,8,0),VLOOKUP(B539,'12.COT.MERCADO'!A:I,8,0)))),"Em Elaboração")</f>
        <v>22.71</v>
      </c>
      <c r="J539" s="259">
        <f t="shared" si="129"/>
        <v>0</v>
      </c>
      <c r="K539" s="259">
        <f t="shared" si="130"/>
        <v>26.60100843</v>
      </c>
      <c r="L539" s="259">
        <f t="shared" si="131"/>
        <v>26.60100843</v>
      </c>
      <c r="M539" s="259">
        <f t="shared" si="132"/>
        <v>0</v>
      </c>
      <c r="N539" s="259">
        <f t="shared" si="133"/>
        <v>212.8080674</v>
      </c>
      <c r="O539" s="259">
        <f t="shared" si="134"/>
        <v>212.8080674</v>
      </c>
      <c r="P539" s="260">
        <f t="shared" si="2"/>
        <v>0.000166474269</v>
      </c>
    </row>
    <row r="540">
      <c r="A540" s="253" t="s">
        <v>692</v>
      </c>
      <c r="B540" s="254">
        <v>2510.0</v>
      </c>
      <c r="C540" s="255" t="str">
        <f t="shared" si="128"/>
        <v>SINAPI</v>
      </c>
      <c r="D540" s="256" t="s">
        <v>286</v>
      </c>
      <c r="E540" s="257" t="str">
        <f>IFERROR(IF(D540="SINAPI-S",VLOOKUP(B540,'20-B.SINAPI-S'!A:J,2,0),IF(D540="SINAPI-I",VLOOKUP(B540,'20-A.SINAPI-I'!A:G,2,0),IF(D540="COMPOSIÇÕES",VLOOKUP(B540,'11.COMPOSIÇÕES GERAIS'!B:I,2,0),VLOOKUP(B540,'12.COT.MERCADO'!A:I,2,0)))),"Em Elaboração")</f>
        <v>RELE FOTOELETRICO INTERNO E EXTERNO BIVOLT 1000 W, DE CONECTOR, SEM BASE</v>
      </c>
      <c r="F540" s="258" t="str">
        <f>IFERROR(IF(D540="SINAPI-S",VLOOKUP(B540,'20-B.SINAPI-S'!A:J,3,0),IF(D540="SINAPI-I",VLOOKUP(B540,'20-A.SINAPI-I'!A:G,3,0),IF(D540="COMPOSIÇÕES",VLOOKUP(B540,'11.COMPOSIÇÕES GERAIS'!B:I,3,0),VLOOKUP(B540,'12.COT.MERCADO'!A:I,7,0)))),"Em Elaboração")</f>
        <v>UN</v>
      </c>
      <c r="G540" s="254">
        <v>12.0</v>
      </c>
      <c r="H540" s="259">
        <f>IFERROR(IF(D540="SINAPI-S",VLOOKUP(B540,'20-B.SINAPI-S'!A:J,5,0),IF(D540="SINAPI-I",VLOOKUP(B540,'20-A.SINAPI-I'!A:G,6,0),IF(D540="COMPOSIÇÕES",VLOOKUP(B540,'11.COMPOSIÇÕES GERAIS'!B:I,7,0),0))),"Em Elaboração")</f>
        <v>0</v>
      </c>
      <c r="I540" s="259">
        <f>IFERROR(IF(D540="SINAPI-S",VLOOKUP(B540,'20-B.SINAPI-S'!A:J,6,0),IF(D540="SINAPI-I",VLOOKUP(B540,'20-A.SINAPI-I'!A:G,7,0),IF(D540="COMPOSIÇÕES",VLOOKUP(B540,'11.COMPOSIÇÕES GERAIS'!B:I,8,0),VLOOKUP(B540,'12.COT.MERCADO'!A:I,8,0)))),"Em Elaboração")</f>
        <v>34.29</v>
      </c>
      <c r="J540" s="259">
        <f t="shared" si="129"/>
        <v>0</v>
      </c>
      <c r="K540" s="259">
        <f t="shared" si="130"/>
        <v>40.16506292</v>
      </c>
      <c r="L540" s="259">
        <f t="shared" si="131"/>
        <v>40.16506292</v>
      </c>
      <c r="M540" s="259">
        <f t="shared" si="132"/>
        <v>0</v>
      </c>
      <c r="N540" s="259">
        <f t="shared" si="133"/>
        <v>481.9807551</v>
      </c>
      <c r="O540" s="259">
        <f t="shared" si="134"/>
        <v>481.9807551</v>
      </c>
      <c r="P540" s="260">
        <f t="shared" si="2"/>
        <v>0.0003770411283</v>
      </c>
    </row>
    <row r="541">
      <c r="A541" s="253" t="s">
        <v>693</v>
      </c>
      <c r="B541" s="254">
        <v>996.0</v>
      </c>
      <c r="C541" s="255" t="str">
        <f t="shared" si="128"/>
        <v>SINAPI</v>
      </c>
      <c r="D541" s="256" t="s">
        <v>286</v>
      </c>
      <c r="E541" s="257" t="str">
        <f>IFERROR(IF(D541="SINAPI-S",VLOOKUP(B541,'20-B.SINAPI-S'!A:J,2,0),IF(D541="SINAPI-I",VLOOKUP(B541,'20-A.SINAPI-I'!A:G,2,0),IF(D541="COMPOSIÇÕES",VLOOKUP(B541,'11.COMPOSIÇÕES GERAIS'!B:I,2,0),VLOOKUP(B541,'12.COT.MERCADO'!A:I,2,0)))),"Em Elaboração")</f>
        <v>CABO DE COBRE, FLEXIVEL, CLASSE 4 OU 5, ISOLACAO EM PVC/A, ANTICHAMA BWF-B, COBERTURA PVC-ST1, ANTICHAMA BWF-B, 1 CONDUTOR, 0,6/1 KV, SECAO NOMINAL 25 MM2</v>
      </c>
      <c r="F541" s="258" t="str">
        <f>IFERROR(IF(D541="SINAPI-S",VLOOKUP(B541,'20-B.SINAPI-S'!A:J,3,0),IF(D541="SINAPI-I",VLOOKUP(B541,'20-A.SINAPI-I'!A:G,3,0),IF(D541="COMPOSIÇÕES",VLOOKUP(B541,'11.COMPOSIÇÕES GERAIS'!B:I,3,0),VLOOKUP(B541,'12.COT.MERCADO'!A:I,7,0)))),"Em Elaboração")</f>
        <v>M</v>
      </c>
      <c r="G541" s="254">
        <v>100.0</v>
      </c>
      <c r="H541" s="259">
        <f>IFERROR(IF(D541="SINAPI-S",VLOOKUP(B541,'20-B.SINAPI-S'!A:J,5,0),IF(D541="SINAPI-I",VLOOKUP(B541,'20-A.SINAPI-I'!A:G,6,0),IF(D541="COMPOSIÇÕES",VLOOKUP(B541,'11.COMPOSIÇÕES GERAIS'!B:I,7,0),0))),"Em Elaboração")</f>
        <v>0</v>
      </c>
      <c r="I541" s="259">
        <f>IFERROR(IF(D541="SINAPI-S",VLOOKUP(B541,'20-B.SINAPI-S'!A:J,6,0),IF(D541="SINAPI-I",VLOOKUP(B541,'20-A.SINAPI-I'!A:G,7,0),IF(D541="COMPOSIÇÕES",VLOOKUP(B541,'11.COMPOSIÇÕES GERAIS'!B:I,8,0),VLOOKUP(B541,'12.COT.MERCADO'!A:I,8,0)))),"Em Elaboração")</f>
        <v>23.22</v>
      </c>
      <c r="J541" s="259">
        <f t="shared" si="129"/>
        <v>0</v>
      </c>
      <c r="K541" s="259">
        <f t="shared" si="130"/>
        <v>27.19838907</v>
      </c>
      <c r="L541" s="259">
        <f t="shared" si="131"/>
        <v>27.19838907</v>
      </c>
      <c r="M541" s="259">
        <f t="shared" si="132"/>
        <v>0</v>
      </c>
      <c r="N541" s="259">
        <f t="shared" si="133"/>
        <v>2719.838907</v>
      </c>
      <c r="O541" s="259">
        <f t="shared" si="134"/>
        <v>2719.838907</v>
      </c>
      <c r="P541" s="260">
        <f t="shared" si="2"/>
        <v>0.00212765991</v>
      </c>
    </row>
    <row r="542">
      <c r="A542" s="253" t="s">
        <v>694</v>
      </c>
      <c r="B542" s="254">
        <v>39603.0</v>
      </c>
      <c r="C542" s="255" t="str">
        <f t="shared" si="128"/>
        <v>SINAPI</v>
      </c>
      <c r="D542" s="256" t="s">
        <v>286</v>
      </c>
      <c r="E542" s="257" t="str">
        <f>IFERROR(IF(D542="SINAPI-S",VLOOKUP(B542,'20-B.SINAPI-S'!A:J,2,0),IF(D542="SINAPI-I",VLOOKUP(B542,'20-A.SINAPI-I'!A:G,2,0),IF(D542="COMPOSIÇÕES",VLOOKUP(B542,'11.COMPOSIÇÕES GERAIS'!B:I,2,0),VLOOKUP(B542,'12.COT.MERCADO'!A:I,2,0)))),"Em Elaboração")</f>
        <v>CONECTOR MACHO RJ 45, CATEGORIA 6 (CAT 6) PARA CABOS</v>
      </c>
      <c r="F542" s="258" t="str">
        <f>IFERROR(IF(D542="SINAPI-S",VLOOKUP(B542,'20-B.SINAPI-S'!A:J,3,0),IF(D542="SINAPI-I",VLOOKUP(B542,'20-A.SINAPI-I'!A:G,3,0),IF(D542="COMPOSIÇÕES",VLOOKUP(B542,'11.COMPOSIÇÕES GERAIS'!B:I,3,0),VLOOKUP(B542,'12.COT.MERCADO'!A:I,7,0)))),"Em Elaboração")</f>
        <v>UN</v>
      </c>
      <c r="G542" s="254">
        <v>100.0</v>
      </c>
      <c r="H542" s="259">
        <f>IFERROR(IF(D542="SINAPI-S",VLOOKUP(B542,'20-B.SINAPI-S'!A:J,5,0),IF(D542="SINAPI-I",VLOOKUP(B542,'20-A.SINAPI-I'!A:G,6,0),IF(D542="COMPOSIÇÕES",VLOOKUP(B542,'11.COMPOSIÇÕES GERAIS'!B:I,7,0),0))),"Em Elaboração")</f>
        <v>0</v>
      </c>
      <c r="I542" s="259">
        <f>IFERROR(IF(D542="SINAPI-S",VLOOKUP(B542,'20-B.SINAPI-S'!A:J,6,0),IF(D542="SINAPI-I",VLOOKUP(B542,'20-A.SINAPI-I'!A:G,7,0),IF(D542="COMPOSIÇÕES",VLOOKUP(B542,'11.COMPOSIÇÕES GERAIS'!B:I,8,0),VLOOKUP(B542,'12.COT.MERCADO'!A:I,8,0)))),"Em Elaboração")</f>
        <v>3.55</v>
      </c>
      <c r="J542" s="259">
        <f t="shared" si="129"/>
        <v>0</v>
      </c>
      <c r="K542" s="259">
        <f t="shared" si="130"/>
        <v>4.158237777</v>
      </c>
      <c r="L542" s="259">
        <f t="shared" si="131"/>
        <v>4.158237777</v>
      </c>
      <c r="M542" s="259">
        <f t="shared" si="132"/>
        <v>0</v>
      </c>
      <c r="N542" s="259">
        <f t="shared" si="133"/>
        <v>415.8237777</v>
      </c>
      <c r="O542" s="259">
        <f t="shared" si="134"/>
        <v>415.8237777</v>
      </c>
      <c r="P542" s="260">
        <f t="shared" si="2"/>
        <v>0.0003252882292</v>
      </c>
    </row>
    <row r="543">
      <c r="A543" s="249" t="s">
        <v>695</v>
      </c>
      <c r="B543" s="250" t="s">
        <v>696</v>
      </c>
      <c r="C543" s="44"/>
      <c r="D543" s="44"/>
      <c r="E543" s="44"/>
      <c r="F543" s="44"/>
      <c r="G543" s="44"/>
      <c r="H543" s="44"/>
      <c r="I543" s="44"/>
      <c r="J543" s="44"/>
      <c r="K543" s="44"/>
      <c r="L543" s="44"/>
      <c r="M543" s="251">
        <f t="shared" ref="M543:O543" si="135">SUM(M544:M841)</f>
        <v>0</v>
      </c>
      <c r="N543" s="251">
        <f t="shared" si="135"/>
        <v>49472.52268</v>
      </c>
      <c r="O543" s="251">
        <f t="shared" si="135"/>
        <v>49472.52268</v>
      </c>
      <c r="P543" s="252">
        <f t="shared" si="2"/>
        <v>0.03870108002</v>
      </c>
    </row>
    <row r="544">
      <c r="A544" s="253" t="s">
        <v>697</v>
      </c>
      <c r="B544" s="254">
        <v>112.0</v>
      </c>
      <c r="C544" s="255" t="str">
        <f t="shared" ref="C544:C841" si="136">IF(OR(D544="SINAPI-S",D544="SINAPI-I"),"SINAPI","PRÓPRIO")</f>
        <v>SINAPI</v>
      </c>
      <c r="D544" s="256" t="s">
        <v>286</v>
      </c>
      <c r="E544" s="257" t="str">
        <f>IFERROR(IF(D544="SINAPI-S",VLOOKUP(B544,'20-B.SINAPI-S'!A:J,2,0),IF(D544="SINAPI-I",VLOOKUP(B544,'20-A.SINAPI-I'!A:G,2,0),IF(D544="COMPOSIÇÕES",VLOOKUP(B544,'11.COMPOSIÇÕES GERAIS'!B:I,2,0),VLOOKUP(B544,'12.COT.MERCADO'!A:I,2,0)))),"Em Elaboração")</f>
        <v>ADAPTADOR PVC SOLDAVEL CURTO COM BOLSA E ROSCA, 50 MM X1 1/2", PARA AGUA FRIA</v>
      </c>
      <c r="F544" s="258" t="str">
        <f>IFERROR(IF(D544="SINAPI-S",VLOOKUP(B544,'20-B.SINAPI-S'!A:J,3,0),IF(D544="SINAPI-I",VLOOKUP(B544,'20-A.SINAPI-I'!A:G,3,0),IF(D544="COMPOSIÇÕES",VLOOKUP(B544,'11.COMPOSIÇÕES GERAIS'!B:I,3,0),VLOOKUP(B544,'12.COT.MERCADO'!A:I,7,0)))),"Em Elaboração")</f>
        <v>UN</v>
      </c>
      <c r="G544" s="254">
        <v>2.0</v>
      </c>
      <c r="H544" s="259">
        <f>IFERROR(IF(D544="SINAPI-S",VLOOKUP(B544,'20-B.SINAPI-S'!A:J,5,0),IF(D544="SINAPI-I",VLOOKUP(B544,'20-A.SINAPI-I'!A:G,6,0),IF(D544="COMPOSIÇÕES",VLOOKUP(B544,'11.COMPOSIÇÕES GERAIS'!B:I,7,0),0))),"Em Elaboração")</f>
        <v>0</v>
      </c>
      <c r="I544" s="259">
        <f>IFERROR(IF(D544="SINAPI-S",VLOOKUP(B544,'20-B.SINAPI-S'!A:J,6,0),IF(D544="SINAPI-I",VLOOKUP(B544,'20-A.SINAPI-I'!A:G,7,0),IF(D544="COMPOSIÇÕES",VLOOKUP(B544,'11.COMPOSIÇÕES GERAIS'!B:I,8,0),VLOOKUP(B544,'12.COT.MERCADO'!A:I,8,0)))),"Em Elaboração")</f>
        <v>4.67</v>
      </c>
      <c r="J544" s="259">
        <f t="shared" ref="J544:J841" si="137">H544*(1+$J$5)</f>
        <v>0</v>
      </c>
      <c r="K544" s="259">
        <f t="shared" ref="K544:K841" si="138">I544*(1+$J$8)</f>
        <v>5.470132513</v>
      </c>
      <c r="L544" s="259">
        <f t="shared" ref="L544:L841" si="139">SUM(J544:K544)</f>
        <v>5.470132513</v>
      </c>
      <c r="M544" s="259">
        <f t="shared" ref="M544:M841" si="140">J544*G544</f>
        <v>0</v>
      </c>
      <c r="N544" s="259">
        <f t="shared" ref="N544:N841" si="141">K544*G544</f>
        <v>10.94026503</v>
      </c>
      <c r="O544" s="259">
        <f t="shared" ref="O544:O841" si="142">SUM(M544:N544)</f>
        <v>10.94026503</v>
      </c>
      <c r="P544" s="260">
        <f t="shared" si="2"/>
        <v>0.000008558287495</v>
      </c>
    </row>
    <row r="545">
      <c r="A545" s="253" t="s">
        <v>698</v>
      </c>
      <c r="B545" s="254">
        <v>107.0</v>
      </c>
      <c r="C545" s="255" t="str">
        <f t="shared" si="136"/>
        <v>SINAPI</v>
      </c>
      <c r="D545" s="256" t="s">
        <v>286</v>
      </c>
      <c r="E545" s="257" t="str">
        <f>IFERROR(IF(D545="SINAPI-S",VLOOKUP(B545,'20-B.SINAPI-S'!A:J,2,0),IF(D545="SINAPI-I",VLOOKUP(B545,'20-A.SINAPI-I'!A:G,2,0),IF(D545="COMPOSIÇÕES",VLOOKUP(B545,'11.COMPOSIÇÕES GERAIS'!B:I,2,0),VLOOKUP(B545,'12.COT.MERCADO'!A:I,2,0)))),"Em Elaboração")</f>
        <v>ADAPTADOR PVC SOLDAVEL CURTO COM BOLSA E ROSCA, 20 MM X 1/2", PARA AGUA FRIA</v>
      </c>
      <c r="F545" s="258" t="str">
        <f>IFERROR(IF(D545="SINAPI-S",VLOOKUP(B545,'20-B.SINAPI-S'!A:J,3,0),IF(D545="SINAPI-I",VLOOKUP(B545,'20-A.SINAPI-I'!A:G,3,0),IF(D545="COMPOSIÇÕES",VLOOKUP(B545,'11.COMPOSIÇÕES GERAIS'!B:I,3,0),VLOOKUP(B545,'12.COT.MERCADO'!A:I,7,0)))),"Em Elaboração")</f>
        <v>UN</v>
      </c>
      <c r="G545" s="254">
        <v>2.0</v>
      </c>
      <c r="H545" s="259">
        <f>IFERROR(IF(D545="SINAPI-S",VLOOKUP(B545,'20-B.SINAPI-S'!A:J,5,0),IF(D545="SINAPI-I",VLOOKUP(B545,'20-A.SINAPI-I'!A:G,6,0),IF(D545="COMPOSIÇÕES",VLOOKUP(B545,'11.COMPOSIÇÕES GERAIS'!B:I,7,0),0))),"Em Elaboração")</f>
        <v>0</v>
      </c>
      <c r="I545" s="259">
        <f>IFERROR(IF(D545="SINAPI-S",VLOOKUP(B545,'20-B.SINAPI-S'!A:J,6,0),IF(D545="SINAPI-I",VLOOKUP(B545,'20-A.SINAPI-I'!A:G,7,0),IF(D545="COMPOSIÇÕES",VLOOKUP(B545,'11.COMPOSIÇÕES GERAIS'!B:I,8,0),VLOOKUP(B545,'12.COT.MERCADO'!A:I,8,0)))),"Em Elaboração")</f>
        <v>0.85</v>
      </c>
      <c r="J545" s="259">
        <f t="shared" si="137"/>
        <v>0</v>
      </c>
      <c r="K545" s="259">
        <f t="shared" si="138"/>
        <v>0.9956343974</v>
      </c>
      <c r="L545" s="259">
        <f t="shared" si="139"/>
        <v>0.9956343974</v>
      </c>
      <c r="M545" s="259">
        <f t="shared" si="140"/>
        <v>0</v>
      </c>
      <c r="N545" s="259">
        <f t="shared" si="141"/>
        <v>1.991268795</v>
      </c>
      <c r="O545" s="259">
        <f t="shared" si="142"/>
        <v>1.991268795</v>
      </c>
      <c r="P545" s="260">
        <f t="shared" si="2"/>
        <v>0.000001557718281</v>
      </c>
    </row>
    <row r="546">
      <c r="A546" s="253" t="s">
        <v>699</v>
      </c>
      <c r="B546" s="254">
        <v>104.0</v>
      </c>
      <c r="C546" s="255" t="str">
        <f t="shared" si="136"/>
        <v>SINAPI</v>
      </c>
      <c r="D546" s="256" t="s">
        <v>286</v>
      </c>
      <c r="E546" s="257" t="str">
        <f>IFERROR(IF(D546="SINAPI-S",VLOOKUP(B546,'20-B.SINAPI-S'!A:J,2,0),IF(D546="SINAPI-I",VLOOKUP(B546,'20-A.SINAPI-I'!A:G,2,0),IF(D546="COMPOSIÇÕES",VLOOKUP(B546,'11.COMPOSIÇÕES GERAIS'!B:I,2,0),VLOOKUP(B546,'12.COT.MERCADO'!A:I,2,0)))),"Em Elaboração")</f>
        <v>ADAPTADOR PVC SOLDAVEL CURTO COM BOLSA E ROSCA, 75 MM X 2 1/2", PARA AGUA FRIA</v>
      </c>
      <c r="F546" s="258" t="str">
        <f>IFERROR(IF(D546="SINAPI-S",VLOOKUP(B546,'20-B.SINAPI-S'!A:J,3,0),IF(D546="SINAPI-I",VLOOKUP(B546,'20-A.SINAPI-I'!A:G,3,0),IF(D546="COMPOSIÇÕES",VLOOKUP(B546,'11.COMPOSIÇÕES GERAIS'!B:I,3,0),VLOOKUP(B546,'12.COT.MERCADO'!A:I,7,0)))),"Em Elaboração")</f>
        <v>UN</v>
      </c>
      <c r="G546" s="254">
        <v>2.0</v>
      </c>
      <c r="H546" s="259">
        <f>IFERROR(IF(D546="SINAPI-S",VLOOKUP(B546,'20-B.SINAPI-S'!A:J,5,0),IF(D546="SINAPI-I",VLOOKUP(B546,'20-A.SINAPI-I'!A:G,6,0),IF(D546="COMPOSIÇÕES",VLOOKUP(B546,'11.COMPOSIÇÕES GERAIS'!B:I,7,0),0))),"Em Elaboração")</f>
        <v>0</v>
      </c>
      <c r="I546" s="259">
        <f>IFERROR(IF(D546="SINAPI-S",VLOOKUP(B546,'20-B.SINAPI-S'!A:J,6,0),IF(D546="SINAPI-I",VLOOKUP(B546,'20-A.SINAPI-I'!A:G,7,0),IF(D546="COMPOSIÇÕES",VLOOKUP(B546,'11.COMPOSIÇÕES GERAIS'!B:I,8,0),VLOOKUP(B546,'12.COT.MERCADO'!A:I,8,0)))),"Em Elaboração")</f>
        <v>20.36</v>
      </c>
      <c r="J546" s="259">
        <f t="shared" si="137"/>
        <v>0</v>
      </c>
      <c r="K546" s="259">
        <f t="shared" si="138"/>
        <v>23.84837215</v>
      </c>
      <c r="L546" s="259">
        <f t="shared" si="139"/>
        <v>23.84837215</v>
      </c>
      <c r="M546" s="259">
        <f t="shared" si="140"/>
        <v>0</v>
      </c>
      <c r="N546" s="259">
        <f t="shared" si="141"/>
        <v>47.69674431</v>
      </c>
      <c r="O546" s="259">
        <f t="shared" si="142"/>
        <v>47.69674431</v>
      </c>
      <c r="P546" s="260">
        <f t="shared" si="2"/>
        <v>0.00003731193434</v>
      </c>
    </row>
    <row r="547">
      <c r="A547" s="253" t="s">
        <v>700</v>
      </c>
      <c r="B547" s="254">
        <v>102.0</v>
      </c>
      <c r="C547" s="255" t="str">
        <f t="shared" si="136"/>
        <v>SINAPI</v>
      </c>
      <c r="D547" s="256" t="s">
        <v>286</v>
      </c>
      <c r="E547" s="257" t="str">
        <f>IFERROR(IF(D547="SINAPI-S",VLOOKUP(B547,'20-B.SINAPI-S'!A:J,2,0),IF(D547="SINAPI-I",VLOOKUP(B547,'20-A.SINAPI-I'!A:G,2,0),IF(D547="COMPOSIÇÕES",VLOOKUP(B547,'11.COMPOSIÇÕES GERAIS'!B:I,2,0),VLOOKUP(B547,'12.COT.MERCADO'!A:I,2,0)))),"Em Elaboração")</f>
        <v>ADAPTADOR PVC SOLDAVEL CURTO COM BOLSA E ROSCA, 85 MM X 3", PARA AGUA FRIA</v>
      </c>
      <c r="F547" s="258" t="str">
        <f>IFERROR(IF(D547="SINAPI-S",VLOOKUP(B547,'20-B.SINAPI-S'!A:J,3,0),IF(D547="SINAPI-I",VLOOKUP(B547,'20-A.SINAPI-I'!A:G,3,0),IF(D547="COMPOSIÇÕES",VLOOKUP(B547,'11.COMPOSIÇÕES GERAIS'!B:I,3,0),VLOOKUP(B547,'12.COT.MERCADO'!A:I,7,0)))),"Em Elaboração")</f>
        <v>UN</v>
      </c>
      <c r="G547" s="254">
        <v>2.0</v>
      </c>
      <c r="H547" s="259">
        <f>IFERROR(IF(D547="SINAPI-S",VLOOKUP(B547,'20-B.SINAPI-S'!A:J,5,0),IF(D547="SINAPI-I",VLOOKUP(B547,'20-A.SINAPI-I'!A:G,6,0),IF(D547="COMPOSIÇÕES",VLOOKUP(B547,'11.COMPOSIÇÕES GERAIS'!B:I,7,0),0))),"Em Elaboração")</f>
        <v>0</v>
      </c>
      <c r="I547" s="259">
        <f>IFERROR(IF(D547="SINAPI-S",VLOOKUP(B547,'20-B.SINAPI-S'!A:J,6,0),IF(D547="SINAPI-I",VLOOKUP(B547,'20-A.SINAPI-I'!A:G,7,0),IF(D547="COMPOSIÇÕES",VLOOKUP(B547,'11.COMPOSIÇÕES GERAIS'!B:I,8,0),VLOOKUP(B547,'12.COT.MERCADO'!A:I,8,0)))),"Em Elaboração")</f>
        <v>28.07</v>
      </c>
      <c r="J547" s="259">
        <f t="shared" si="137"/>
        <v>0</v>
      </c>
      <c r="K547" s="259">
        <f t="shared" si="138"/>
        <v>32.8793618</v>
      </c>
      <c r="L547" s="259">
        <f t="shared" si="139"/>
        <v>32.8793618</v>
      </c>
      <c r="M547" s="259">
        <f t="shared" si="140"/>
        <v>0</v>
      </c>
      <c r="N547" s="259">
        <f t="shared" si="141"/>
        <v>65.75872361</v>
      </c>
      <c r="O547" s="259">
        <f t="shared" si="142"/>
        <v>65.75872361</v>
      </c>
      <c r="P547" s="260">
        <f t="shared" si="2"/>
        <v>0.00005144135546</v>
      </c>
    </row>
    <row r="548">
      <c r="A548" s="253" t="s">
        <v>701</v>
      </c>
      <c r="B548" s="254">
        <v>74.0</v>
      </c>
      <c r="C548" s="255" t="str">
        <f t="shared" si="136"/>
        <v>SINAPI</v>
      </c>
      <c r="D548" s="256" t="s">
        <v>286</v>
      </c>
      <c r="E548" s="257" t="str">
        <f>IFERROR(IF(D548="SINAPI-S",VLOOKUP(B548,'20-B.SINAPI-S'!A:J,2,0),IF(D548="SINAPI-I",VLOOKUP(B548,'20-A.SINAPI-I'!A:G,2,0),IF(D548="COMPOSIÇÕES",VLOOKUP(B548,'11.COMPOSIÇÕES GERAIS'!B:I,2,0),VLOOKUP(B548,'12.COT.MERCADO'!A:I,2,0)))),"Em Elaboração")</f>
        <v>ADAPTADOR PVC SOLDAVEL, COM FLANGES LIVRES, 85 MM X 3", PARA CAIXA D' AGUA</v>
      </c>
      <c r="F548" s="258" t="str">
        <f>IFERROR(IF(D548="SINAPI-S",VLOOKUP(B548,'20-B.SINAPI-S'!A:J,3,0),IF(D548="SINAPI-I",VLOOKUP(B548,'20-A.SINAPI-I'!A:G,3,0),IF(D548="COMPOSIÇÕES",VLOOKUP(B548,'11.COMPOSIÇÕES GERAIS'!B:I,3,0),VLOOKUP(B548,'12.COT.MERCADO'!A:I,7,0)))),"Em Elaboração")</f>
        <v>UN</v>
      </c>
      <c r="G548" s="254">
        <v>2.0</v>
      </c>
      <c r="H548" s="259">
        <f>IFERROR(IF(D548="SINAPI-S",VLOOKUP(B548,'20-B.SINAPI-S'!A:J,5,0),IF(D548="SINAPI-I",VLOOKUP(B548,'20-A.SINAPI-I'!A:G,6,0),IF(D548="COMPOSIÇÕES",VLOOKUP(B548,'11.COMPOSIÇÕES GERAIS'!B:I,7,0),0))),"Em Elaboração")</f>
        <v>0</v>
      </c>
      <c r="I548" s="259">
        <f>IFERROR(IF(D548="SINAPI-S",VLOOKUP(B548,'20-B.SINAPI-S'!A:J,6,0),IF(D548="SINAPI-I",VLOOKUP(B548,'20-A.SINAPI-I'!A:G,7,0),IF(D548="COMPOSIÇÕES",VLOOKUP(B548,'11.COMPOSIÇÕES GERAIS'!B:I,8,0),VLOOKUP(B548,'12.COT.MERCADO'!A:I,8,0)))),"Em Elaboração")</f>
        <v>319.81</v>
      </c>
      <c r="J548" s="259">
        <f t="shared" si="137"/>
        <v>0</v>
      </c>
      <c r="K548" s="259">
        <f t="shared" si="138"/>
        <v>374.6045137</v>
      </c>
      <c r="L548" s="259">
        <f t="shared" si="139"/>
        <v>374.6045137</v>
      </c>
      <c r="M548" s="259">
        <f t="shared" si="140"/>
        <v>0</v>
      </c>
      <c r="N548" s="259">
        <f t="shared" si="141"/>
        <v>749.2090273</v>
      </c>
      <c r="O548" s="259">
        <f t="shared" si="142"/>
        <v>749.2090273</v>
      </c>
      <c r="P548" s="260">
        <f t="shared" si="2"/>
        <v>0.0005860869216</v>
      </c>
    </row>
    <row r="549">
      <c r="A549" s="253" t="s">
        <v>702</v>
      </c>
      <c r="B549" s="254">
        <v>122.0</v>
      </c>
      <c r="C549" s="255" t="str">
        <f t="shared" si="136"/>
        <v>SINAPI</v>
      </c>
      <c r="D549" s="256" t="s">
        <v>286</v>
      </c>
      <c r="E549" s="257" t="str">
        <f>IFERROR(IF(D549="SINAPI-S",VLOOKUP(B549,'20-B.SINAPI-S'!A:J,2,0),IF(D549="SINAPI-I",VLOOKUP(B549,'20-A.SINAPI-I'!A:G,2,0),IF(D549="COMPOSIÇÕES",VLOOKUP(B549,'11.COMPOSIÇÕES GERAIS'!B:I,2,0),VLOOKUP(B549,'12.COT.MERCADO'!A:I,2,0)))),"Em Elaboração")</f>
        <v>ADESIVO PLASTICO PARA PVC, FRASCO COM *850* GR</v>
      </c>
      <c r="F549" s="258" t="str">
        <f>IFERROR(IF(D549="SINAPI-S",VLOOKUP(B549,'20-B.SINAPI-S'!A:J,3,0),IF(D549="SINAPI-I",VLOOKUP(B549,'20-A.SINAPI-I'!A:G,3,0),IF(D549="COMPOSIÇÕES",VLOOKUP(B549,'11.COMPOSIÇÕES GERAIS'!B:I,3,0),VLOOKUP(B549,'12.COT.MERCADO'!A:I,7,0)))),"Em Elaboração")</f>
        <v>UN</v>
      </c>
      <c r="G549" s="254">
        <v>6.0</v>
      </c>
      <c r="H549" s="259">
        <f>IFERROR(IF(D549="SINAPI-S",VLOOKUP(B549,'20-B.SINAPI-S'!A:J,5,0),IF(D549="SINAPI-I",VLOOKUP(B549,'20-A.SINAPI-I'!A:G,6,0),IF(D549="COMPOSIÇÕES",VLOOKUP(B549,'11.COMPOSIÇÕES GERAIS'!B:I,7,0),0))),"Em Elaboração")</f>
        <v>0</v>
      </c>
      <c r="I549" s="259">
        <f>IFERROR(IF(D549="SINAPI-S",VLOOKUP(B549,'20-B.SINAPI-S'!A:J,6,0),IF(D549="SINAPI-I",VLOOKUP(B549,'20-A.SINAPI-I'!A:G,7,0),IF(D549="COMPOSIÇÕES",VLOOKUP(B549,'11.COMPOSIÇÕES GERAIS'!B:I,8,0),VLOOKUP(B549,'12.COT.MERCADO'!A:I,8,0)))),"Em Elaboração")</f>
        <v>69.78</v>
      </c>
      <c r="J549" s="259">
        <f t="shared" si="137"/>
        <v>0</v>
      </c>
      <c r="K549" s="259">
        <f t="shared" si="138"/>
        <v>81.73572735</v>
      </c>
      <c r="L549" s="259">
        <f t="shared" si="139"/>
        <v>81.73572735</v>
      </c>
      <c r="M549" s="259">
        <f t="shared" si="140"/>
        <v>0</v>
      </c>
      <c r="N549" s="259">
        <f t="shared" si="141"/>
        <v>490.4143641</v>
      </c>
      <c r="O549" s="259">
        <f t="shared" si="142"/>
        <v>490.4143641</v>
      </c>
      <c r="P549" s="260">
        <f t="shared" si="2"/>
        <v>0.0003836385234</v>
      </c>
    </row>
    <row r="550">
      <c r="A550" s="253" t="s">
        <v>703</v>
      </c>
      <c r="B550" s="254">
        <v>296.0</v>
      </c>
      <c r="C550" s="255" t="str">
        <f t="shared" si="136"/>
        <v>SINAPI</v>
      </c>
      <c r="D550" s="256" t="s">
        <v>286</v>
      </c>
      <c r="E550" s="257" t="str">
        <f>IFERROR(IF(D550="SINAPI-S",VLOOKUP(B550,'20-B.SINAPI-S'!A:J,2,0),IF(D550="SINAPI-I",VLOOKUP(B550,'20-A.SINAPI-I'!A:G,2,0),IF(D550="COMPOSIÇÕES",VLOOKUP(B550,'11.COMPOSIÇÕES GERAIS'!B:I,2,0),VLOOKUP(B550,'12.COT.MERCADO'!A:I,2,0)))),"Em Elaboração")</f>
        <v>ANEL BORRACHA PARA TUBO ESGOTO PREDIAL, DN 50 MM (NBR 5688)</v>
      </c>
      <c r="F550" s="258" t="str">
        <f>IFERROR(IF(D550="SINAPI-S",VLOOKUP(B550,'20-B.SINAPI-S'!A:J,3,0),IF(D550="SINAPI-I",VLOOKUP(B550,'20-A.SINAPI-I'!A:G,3,0),IF(D550="COMPOSIÇÕES",VLOOKUP(B550,'11.COMPOSIÇÕES GERAIS'!B:I,3,0),VLOOKUP(B550,'12.COT.MERCADO'!A:I,7,0)))),"Em Elaboração")</f>
        <v>UN</v>
      </c>
      <c r="G550" s="254">
        <v>6.0</v>
      </c>
      <c r="H550" s="259">
        <f>IFERROR(IF(D550="SINAPI-S",VLOOKUP(B550,'20-B.SINAPI-S'!A:J,5,0),IF(D550="SINAPI-I",VLOOKUP(B550,'20-A.SINAPI-I'!A:G,6,0),IF(D550="COMPOSIÇÕES",VLOOKUP(B550,'11.COMPOSIÇÕES GERAIS'!B:I,7,0),0))),"Em Elaboração")</f>
        <v>0</v>
      </c>
      <c r="I550" s="259">
        <f>IFERROR(IF(D550="SINAPI-S",VLOOKUP(B550,'20-B.SINAPI-S'!A:J,6,0),IF(D550="SINAPI-I",VLOOKUP(B550,'20-A.SINAPI-I'!A:G,7,0),IF(D550="COMPOSIÇÕES",VLOOKUP(B550,'11.COMPOSIÇÕES GERAIS'!B:I,8,0),VLOOKUP(B550,'12.COT.MERCADO'!A:I,8,0)))),"Em Elaboração")</f>
        <v>1.49</v>
      </c>
      <c r="J550" s="259">
        <f t="shared" si="137"/>
        <v>0</v>
      </c>
      <c r="K550" s="259">
        <f t="shared" si="138"/>
        <v>1.745288532</v>
      </c>
      <c r="L550" s="259">
        <f t="shared" si="139"/>
        <v>1.745288532</v>
      </c>
      <c r="M550" s="259">
        <f t="shared" si="140"/>
        <v>0</v>
      </c>
      <c r="N550" s="259">
        <f t="shared" si="141"/>
        <v>10.47173119</v>
      </c>
      <c r="O550" s="259">
        <f t="shared" si="142"/>
        <v>10.47173119</v>
      </c>
      <c r="P550" s="260">
        <f t="shared" si="2"/>
        <v>0.000008191765546</v>
      </c>
    </row>
    <row r="551">
      <c r="A551" s="253" t="s">
        <v>704</v>
      </c>
      <c r="B551" s="254">
        <v>97.0</v>
      </c>
      <c r="C551" s="255" t="str">
        <f t="shared" si="136"/>
        <v>SINAPI</v>
      </c>
      <c r="D551" s="256" t="s">
        <v>286</v>
      </c>
      <c r="E551" s="257" t="str">
        <f>IFERROR(IF(D551="SINAPI-S",VLOOKUP(B551,'20-B.SINAPI-S'!A:J,2,0),IF(D551="SINAPI-I",VLOOKUP(B551,'20-A.SINAPI-I'!A:G,2,0),IF(D551="COMPOSIÇÕES",VLOOKUP(B551,'11.COMPOSIÇÕES GERAIS'!B:I,2,0),VLOOKUP(B551,'12.COT.MERCADO'!A:I,2,0)))),"Em Elaboração")</f>
        <v>ADAPTADOR PVC SOLDAVEL, COM FLANGE E ANEL DE VEDACAO, 32 MM X 1", PARA CAIXA D'AGUA</v>
      </c>
      <c r="F551" s="258" t="str">
        <f>IFERROR(IF(D551="SINAPI-S",VLOOKUP(B551,'20-B.SINAPI-S'!A:J,3,0),IF(D551="SINAPI-I",VLOOKUP(B551,'20-A.SINAPI-I'!A:G,3,0),IF(D551="COMPOSIÇÕES",VLOOKUP(B551,'11.COMPOSIÇÕES GERAIS'!B:I,3,0),VLOOKUP(B551,'12.COT.MERCADO'!A:I,7,0)))),"Em Elaboração")</f>
        <v>UN</v>
      </c>
      <c r="G551" s="254">
        <v>6.0</v>
      </c>
      <c r="H551" s="259">
        <f>IFERROR(IF(D551="SINAPI-S",VLOOKUP(B551,'20-B.SINAPI-S'!A:J,5,0),IF(D551="SINAPI-I",VLOOKUP(B551,'20-A.SINAPI-I'!A:G,6,0),IF(D551="COMPOSIÇÕES",VLOOKUP(B551,'11.COMPOSIÇÕES GERAIS'!B:I,7,0),0))),"Em Elaboração")</f>
        <v>0</v>
      </c>
      <c r="I551" s="259">
        <f>IFERROR(IF(D551="SINAPI-S",VLOOKUP(B551,'20-B.SINAPI-S'!A:J,6,0),IF(D551="SINAPI-I",VLOOKUP(B551,'20-A.SINAPI-I'!A:G,7,0),IF(D551="COMPOSIÇÕES",VLOOKUP(B551,'11.COMPOSIÇÕES GERAIS'!B:I,8,0),VLOOKUP(B551,'12.COT.MERCADO'!A:I,8,0)))),"Em Elaboração")</f>
        <v>19.41</v>
      </c>
      <c r="J551" s="259">
        <f t="shared" si="137"/>
        <v>0</v>
      </c>
      <c r="K551" s="259">
        <f t="shared" si="138"/>
        <v>22.7356043</v>
      </c>
      <c r="L551" s="259">
        <f t="shared" si="139"/>
        <v>22.7356043</v>
      </c>
      <c r="M551" s="259">
        <f t="shared" si="140"/>
        <v>0</v>
      </c>
      <c r="N551" s="259">
        <f t="shared" si="141"/>
        <v>136.4136258</v>
      </c>
      <c r="O551" s="259">
        <f t="shared" si="142"/>
        <v>136.4136258</v>
      </c>
      <c r="P551" s="260">
        <f t="shared" si="2"/>
        <v>0.0001067128653</v>
      </c>
    </row>
    <row r="552">
      <c r="A552" s="253" t="s">
        <v>705</v>
      </c>
      <c r="B552" s="254">
        <v>95.0</v>
      </c>
      <c r="C552" s="255" t="str">
        <f t="shared" si="136"/>
        <v>SINAPI</v>
      </c>
      <c r="D552" s="256" t="s">
        <v>286</v>
      </c>
      <c r="E552" s="257" t="str">
        <f>IFERROR(IF(D552="SINAPI-S",VLOOKUP(B552,'20-B.SINAPI-S'!A:J,2,0),IF(D552="SINAPI-I",VLOOKUP(B552,'20-A.SINAPI-I'!A:G,2,0),IF(D552="COMPOSIÇÕES",VLOOKUP(B552,'11.COMPOSIÇÕES GERAIS'!B:I,2,0),VLOOKUP(B552,'12.COT.MERCADO'!A:I,2,0)))),"Em Elaboração")</f>
        <v>ADAPTADOR PVC SOLDAVEL, COM FLANGE E ANEL DE VEDACAO, 20 MM X 1/2", PARA CAIXA D'AGUA</v>
      </c>
      <c r="F552" s="258" t="str">
        <f>IFERROR(IF(D552="SINAPI-S",VLOOKUP(B552,'20-B.SINAPI-S'!A:J,3,0),IF(D552="SINAPI-I",VLOOKUP(B552,'20-A.SINAPI-I'!A:G,3,0),IF(D552="COMPOSIÇÕES",VLOOKUP(B552,'11.COMPOSIÇÕES GERAIS'!B:I,3,0),VLOOKUP(B552,'12.COT.MERCADO'!A:I,7,0)))),"Em Elaboração")</f>
        <v>UN</v>
      </c>
      <c r="G552" s="254">
        <v>3.0</v>
      </c>
      <c r="H552" s="259">
        <f>IFERROR(IF(D552="SINAPI-S",VLOOKUP(B552,'20-B.SINAPI-S'!A:J,5,0),IF(D552="SINAPI-I",VLOOKUP(B552,'20-A.SINAPI-I'!A:G,6,0),IF(D552="COMPOSIÇÕES",VLOOKUP(B552,'11.COMPOSIÇÕES GERAIS'!B:I,7,0),0))),"Em Elaboração")</f>
        <v>0</v>
      </c>
      <c r="I552" s="259">
        <f>IFERROR(IF(D552="SINAPI-S",VLOOKUP(B552,'20-B.SINAPI-S'!A:J,6,0),IF(D552="SINAPI-I",VLOOKUP(B552,'20-A.SINAPI-I'!A:G,7,0),IF(D552="COMPOSIÇÕES",VLOOKUP(B552,'11.COMPOSIÇÕES GERAIS'!B:I,8,0),VLOOKUP(B552,'12.COT.MERCADO'!A:I,8,0)))),"Em Elaboração")</f>
        <v>11.86</v>
      </c>
      <c r="J552" s="259">
        <f t="shared" si="137"/>
        <v>0</v>
      </c>
      <c r="K552" s="259">
        <f t="shared" si="138"/>
        <v>13.89202818</v>
      </c>
      <c r="L552" s="259">
        <f t="shared" si="139"/>
        <v>13.89202818</v>
      </c>
      <c r="M552" s="259">
        <f t="shared" si="140"/>
        <v>0</v>
      </c>
      <c r="N552" s="259">
        <f t="shared" si="141"/>
        <v>41.67608454</v>
      </c>
      <c r="O552" s="259">
        <f t="shared" si="142"/>
        <v>41.67608454</v>
      </c>
      <c r="P552" s="260">
        <f t="shared" si="2"/>
        <v>0.00003260212731</v>
      </c>
    </row>
    <row r="553">
      <c r="A553" s="253" t="s">
        <v>706</v>
      </c>
      <c r="B553" s="254">
        <v>96.0</v>
      </c>
      <c r="C553" s="255" t="str">
        <f t="shared" si="136"/>
        <v>SINAPI</v>
      </c>
      <c r="D553" s="256" t="s">
        <v>286</v>
      </c>
      <c r="E553" s="257" t="str">
        <f>IFERROR(IF(D553="SINAPI-S",VLOOKUP(B553,'20-B.SINAPI-S'!A:J,2,0),IF(D553="SINAPI-I",VLOOKUP(B553,'20-A.SINAPI-I'!A:G,2,0),IF(D553="COMPOSIÇÕES",VLOOKUP(B553,'11.COMPOSIÇÕES GERAIS'!B:I,2,0),VLOOKUP(B553,'12.COT.MERCADO'!A:I,2,0)))),"Em Elaboração")</f>
        <v>ADAPTADOR PVC SOLDAVEL, COM FLANGE E ANEL DE VEDACAO, 25 MM X 3/4", PARA CAIXA D'AGUA</v>
      </c>
      <c r="F553" s="258" t="str">
        <f>IFERROR(IF(D553="SINAPI-S",VLOOKUP(B553,'20-B.SINAPI-S'!A:J,3,0),IF(D553="SINAPI-I",VLOOKUP(B553,'20-A.SINAPI-I'!A:G,3,0),IF(D553="COMPOSIÇÕES",VLOOKUP(B553,'11.COMPOSIÇÕES GERAIS'!B:I,3,0),VLOOKUP(B553,'12.COT.MERCADO'!A:I,7,0)))),"Em Elaboração")</f>
        <v>UN</v>
      </c>
      <c r="G553" s="254">
        <v>3.0</v>
      </c>
      <c r="H553" s="259">
        <f>IFERROR(IF(D553="SINAPI-S",VLOOKUP(B553,'20-B.SINAPI-S'!A:J,5,0),IF(D553="SINAPI-I",VLOOKUP(B553,'20-A.SINAPI-I'!A:G,6,0),IF(D553="COMPOSIÇÕES",VLOOKUP(B553,'11.COMPOSIÇÕES GERAIS'!B:I,7,0),0))),"Em Elaboração")</f>
        <v>0</v>
      </c>
      <c r="I553" s="259">
        <f>IFERROR(IF(D553="SINAPI-S",VLOOKUP(B553,'20-B.SINAPI-S'!A:J,6,0),IF(D553="SINAPI-I",VLOOKUP(B553,'20-A.SINAPI-I'!A:G,7,0),IF(D553="COMPOSIÇÕES",VLOOKUP(B553,'11.COMPOSIÇÕES GERAIS'!B:I,8,0),VLOOKUP(B553,'12.COT.MERCADO'!A:I,8,0)))),"Em Elaboração")</f>
        <v>12.9</v>
      </c>
      <c r="J553" s="259">
        <f t="shared" si="137"/>
        <v>0</v>
      </c>
      <c r="K553" s="259">
        <f t="shared" si="138"/>
        <v>15.11021615</v>
      </c>
      <c r="L553" s="259">
        <f t="shared" si="139"/>
        <v>15.11021615</v>
      </c>
      <c r="M553" s="259">
        <f t="shared" si="140"/>
        <v>0</v>
      </c>
      <c r="N553" s="259">
        <f t="shared" si="141"/>
        <v>45.33064844</v>
      </c>
      <c r="O553" s="259">
        <f t="shared" si="142"/>
        <v>45.33064844</v>
      </c>
      <c r="P553" s="260">
        <f t="shared" si="2"/>
        <v>0.00003546099851</v>
      </c>
    </row>
    <row r="554">
      <c r="A554" s="253" t="s">
        <v>707</v>
      </c>
      <c r="B554" s="254">
        <v>366.0</v>
      </c>
      <c r="C554" s="255" t="str">
        <f t="shared" si="136"/>
        <v>SINAPI</v>
      </c>
      <c r="D554" s="256" t="s">
        <v>286</v>
      </c>
      <c r="E554" s="257" t="str">
        <f>IFERROR(IF(D554="SINAPI-S",VLOOKUP(B554,'20-B.SINAPI-S'!A:J,2,0),IF(D554="SINAPI-I",VLOOKUP(B554,'20-A.SINAPI-I'!A:G,2,0),IF(D554="COMPOSIÇÕES",VLOOKUP(B554,'11.COMPOSIÇÕES GERAIS'!B:I,2,0),VLOOKUP(B554,'12.COT.MERCADO'!A:I,2,0)))),"Em Elaboração")</f>
        <v>AREIA FINA - POSTO JAZIDA/FORNECEDOR (RETIRADO NA JAZIDA, SEM TRANSPORTE)</v>
      </c>
      <c r="F554" s="258" t="str">
        <f>IFERROR(IF(D554="SINAPI-S",VLOOKUP(B554,'20-B.SINAPI-S'!A:J,3,0),IF(D554="SINAPI-I",VLOOKUP(B554,'20-A.SINAPI-I'!A:G,3,0),IF(D554="COMPOSIÇÕES",VLOOKUP(B554,'11.COMPOSIÇÕES GERAIS'!B:I,3,0),VLOOKUP(B554,'12.COT.MERCADO'!A:I,7,0)))),"Em Elaboração")</f>
        <v>M3</v>
      </c>
      <c r="G554" s="254">
        <v>2.0</v>
      </c>
      <c r="H554" s="259">
        <f>IFERROR(IF(D554="SINAPI-S",VLOOKUP(B554,'20-B.SINAPI-S'!A:J,5,0),IF(D554="SINAPI-I",VLOOKUP(B554,'20-A.SINAPI-I'!A:G,6,0),IF(D554="COMPOSIÇÕES",VLOOKUP(B554,'11.COMPOSIÇÕES GERAIS'!B:I,7,0),0))),"Em Elaboração")</f>
        <v>0</v>
      </c>
      <c r="I554" s="259">
        <f>IFERROR(IF(D554="SINAPI-S",VLOOKUP(B554,'20-B.SINAPI-S'!A:J,6,0),IF(D554="SINAPI-I",VLOOKUP(B554,'20-A.SINAPI-I'!A:G,7,0),IF(D554="COMPOSIÇÕES",VLOOKUP(B554,'11.COMPOSIÇÕES GERAIS'!B:I,8,0),VLOOKUP(B554,'12.COT.MERCADO'!A:I,8,0)))),"Em Elaboração")</f>
        <v>109.41</v>
      </c>
      <c r="J554" s="259">
        <f t="shared" si="137"/>
        <v>0</v>
      </c>
      <c r="K554" s="259">
        <f t="shared" si="138"/>
        <v>128.155717</v>
      </c>
      <c r="L554" s="259">
        <f t="shared" si="139"/>
        <v>128.155717</v>
      </c>
      <c r="M554" s="259">
        <f t="shared" si="140"/>
        <v>0</v>
      </c>
      <c r="N554" s="259">
        <f t="shared" si="141"/>
        <v>256.3114339</v>
      </c>
      <c r="O554" s="259">
        <f t="shared" si="142"/>
        <v>256.3114339</v>
      </c>
      <c r="P554" s="260">
        <f t="shared" si="2"/>
        <v>0.0002005058319</v>
      </c>
    </row>
    <row r="555">
      <c r="A555" s="253" t="s">
        <v>708</v>
      </c>
      <c r="B555" s="254">
        <v>1381.0</v>
      </c>
      <c r="C555" s="255" t="str">
        <f t="shared" si="136"/>
        <v>SINAPI</v>
      </c>
      <c r="D555" s="256" t="s">
        <v>286</v>
      </c>
      <c r="E555" s="257" t="str">
        <f>IFERROR(IF(D555="SINAPI-S",VLOOKUP(B555,'20-B.SINAPI-S'!A:J,2,0),IF(D555="SINAPI-I",VLOOKUP(B555,'20-A.SINAPI-I'!A:G,2,0),IF(D555="COMPOSIÇÕES",VLOOKUP(B555,'11.COMPOSIÇÕES GERAIS'!B:I,2,0),VLOOKUP(B555,'12.COT.MERCADO'!A:I,2,0)))),"Em Elaboração")</f>
        <v>ARGAMASSA COLANTE AC I PARA CERAMICAS</v>
      </c>
      <c r="F555" s="258" t="str">
        <f>IFERROR(IF(D555="SINAPI-S",VLOOKUP(B555,'20-B.SINAPI-S'!A:J,3,0),IF(D555="SINAPI-I",VLOOKUP(B555,'20-A.SINAPI-I'!A:G,3,0),IF(D555="COMPOSIÇÕES",VLOOKUP(B555,'11.COMPOSIÇÕES GERAIS'!B:I,3,0),VLOOKUP(B555,'12.COT.MERCADO'!A:I,7,0)))),"Em Elaboração")</f>
        <v>KG</v>
      </c>
      <c r="G555" s="254">
        <v>10.0</v>
      </c>
      <c r="H555" s="259">
        <f>IFERROR(IF(D555="SINAPI-S",VLOOKUP(B555,'20-B.SINAPI-S'!A:J,5,0),IF(D555="SINAPI-I",VLOOKUP(B555,'20-A.SINAPI-I'!A:G,6,0),IF(D555="COMPOSIÇÕES",VLOOKUP(B555,'11.COMPOSIÇÕES GERAIS'!B:I,7,0),0))),"Em Elaboração")</f>
        <v>0</v>
      </c>
      <c r="I555" s="259">
        <f>IFERROR(IF(D555="SINAPI-S",VLOOKUP(B555,'20-B.SINAPI-S'!A:J,6,0),IF(D555="SINAPI-I",VLOOKUP(B555,'20-A.SINAPI-I'!A:G,7,0),IF(D555="COMPOSIÇÕES",VLOOKUP(B555,'11.COMPOSIÇÕES GERAIS'!B:I,8,0),VLOOKUP(B555,'12.COT.MERCADO'!A:I,8,0)))),"Em Elaboração")</f>
        <v>0.73</v>
      </c>
      <c r="J555" s="259">
        <f t="shared" si="137"/>
        <v>0</v>
      </c>
      <c r="K555" s="259">
        <f t="shared" si="138"/>
        <v>0.8550742471</v>
      </c>
      <c r="L555" s="259">
        <f t="shared" si="139"/>
        <v>0.8550742471</v>
      </c>
      <c r="M555" s="259">
        <f t="shared" si="140"/>
        <v>0</v>
      </c>
      <c r="N555" s="259">
        <f t="shared" si="141"/>
        <v>8.550742471</v>
      </c>
      <c r="O555" s="259">
        <f t="shared" si="142"/>
        <v>8.550742471</v>
      </c>
      <c r="P555" s="260">
        <f t="shared" si="2"/>
        <v>0.000006689025558</v>
      </c>
    </row>
    <row r="556">
      <c r="A556" s="253" t="s">
        <v>709</v>
      </c>
      <c r="B556" s="254">
        <v>34353.0</v>
      </c>
      <c r="C556" s="255" t="str">
        <f t="shared" si="136"/>
        <v>SINAPI</v>
      </c>
      <c r="D556" s="256" t="s">
        <v>286</v>
      </c>
      <c r="E556" s="257" t="str">
        <f>IFERROR(IF(D556="SINAPI-S",VLOOKUP(B556,'20-B.SINAPI-S'!A:J,2,0),IF(D556="SINAPI-I",VLOOKUP(B556,'20-A.SINAPI-I'!A:G,2,0),IF(D556="COMPOSIÇÕES",VLOOKUP(B556,'11.COMPOSIÇÕES GERAIS'!B:I,2,0),VLOOKUP(B556,'12.COT.MERCADO'!A:I,2,0)))),"Em Elaboração")</f>
        <v>ARGAMASSA COLANTE AC II</v>
      </c>
      <c r="F556" s="258" t="str">
        <f>IFERROR(IF(D556="SINAPI-S",VLOOKUP(B556,'20-B.SINAPI-S'!A:J,3,0),IF(D556="SINAPI-I",VLOOKUP(B556,'20-A.SINAPI-I'!A:G,3,0),IF(D556="COMPOSIÇÕES",VLOOKUP(B556,'11.COMPOSIÇÕES GERAIS'!B:I,3,0),VLOOKUP(B556,'12.COT.MERCADO'!A:I,7,0)))),"Em Elaboração")</f>
        <v>KG</v>
      </c>
      <c r="G556" s="254">
        <v>10.0</v>
      </c>
      <c r="H556" s="259">
        <f>IFERROR(IF(D556="SINAPI-S",VLOOKUP(B556,'20-B.SINAPI-S'!A:J,5,0),IF(D556="SINAPI-I",VLOOKUP(B556,'20-A.SINAPI-I'!A:G,6,0),IF(D556="COMPOSIÇÕES",VLOOKUP(B556,'11.COMPOSIÇÕES GERAIS'!B:I,7,0),0))),"Em Elaboração")</f>
        <v>0</v>
      </c>
      <c r="I556" s="259">
        <f>IFERROR(IF(D556="SINAPI-S",VLOOKUP(B556,'20-B.SINAPI-S'!A:J,6,0),IF(D556="SINAPI-I",VLOOKUP(B556,'20-A.SINAPI-I'!A:G,7,0),IF(D556="COMPOSIÇÕES",VLOOKUP(B556,'11.COMPOSIÇÕES GERAIS'!B:I,8,0),VLOOKUP(B556,'12.COT.MERCADO'!A:I,8,0)))),"Em Elaboração")</f>
        <v>1.35</v>
      </c>
      <c r="J556" s="259">
        <f t="shared" si="137"/>
        <v>0</v>
      </c>
      <c r="K556" s="259">
        <f t="shared" si="138"/>
        <v>1.58130169</v>
      </c>
      <c r="L556" s="259">
        <f t="shared" si="139"/>
        <v>1.58130169</v>
      </c>
      <c r="M556" s="259">
        <f t="shared" si="140"/>
        <v>0</v>
      </c>
      <c r="N556" s="259">
        <f t="shared" si="141"/>
        <v>15.8130169</v>
      </c>
      <c r="O556" s="259">
        <f t="shared" si="142"/>
        <v>15.8130169</v>
      </c>
      <c r="P556" s="260">
        <f t="shared" si="2"/>
        <v>0.00001237011576</v>
      </c>
    </row>
    <row r="557">
      <c r="A557" s="253" t="s">
        <v>710</v>
      </c>
      <c r="B557" s="254">
        <v>377.0</v>
      </c>
      <c r="C557" s="255" t="str">
        <f t="shared" si="136"/>
        <v>SINAPI</v>
      </c>
      <c r="D557" s="256" t="s">
        <v>286</v>
      </c>
      <c r="E557" s="257" t="str">
        <f>IFERROR(IF(D557="SINAPI-S",VLOOKUP(B557,'20-B.SINAPI-S'!A:J,2,0),IF(D557="SINAPI-I",VLOOKUP(B557,'20-A.SINAPI-I'!A:G,2,0),IF(D557="COMPOSIÇÕES",VLOOKUP(B557,'11.COMPOSIÇÕES GERAIS'!B:I,2,0),VLOOKUP(B557,'12.COT.MERCADO'!A:I,2,0)))),"Em Elaboração")</f>
        <v>ASSENTO SANITARIO DE PLASTICO, TIPO CONVENCIONAL</v>
      </c>
      <c r="F557" s="258" t="str">
        <f>IFERROR(IF(D557="SINAPI-S",VLOOKUP(B557,'20-B.SINAPI-S'!A:J,3,0),IF(D557="SINAPI-I",VLOOKUP(B557,'20-A.SINAPI-I'!A:G,3,0),IF(D557="COMPOSIÇÕES",VLOOKUP(B557,'11.COMPOSIÇÕES GERAIS'!B:I,3,0),VLOOKUP(B557,'12.COT.MERCADO'!A:I,7,0)))),"Em Elaboração")</f>
        <v>UN</v>
      </c>
      <c r="G557" s="254">
        <v>4.0</v>
      </c>
      <c r="H557" s="259">
        <f>IFERROR(IF(D557="SINAPI-S",VLOOKUP(B557,'20-B.SINAPI-S'!A:J,5,0),IF(D557="SINAPI-I",VLOOKUP(B557,'20-A.SINAPI-I'!A:G,6,0),IF(D557="COMPOSIÇÕES",VLOOKUP(B557,'11.COMPOSIÇÕES GERAIS'!B:I,7,0),0))),"Em Elaboração")</f>
        <v>0</v>
      </c>
      <c r="I557" s="259">
        <f>IFERROR(IF(D557="SINAPI-S",VLOOKUP(B557,'20-B.SINAPI-S'!A:J,6,0),IF(D557="SINAPI-I",VLOOKUP(B557,'20-A.SINAPI-I'!A:G,7,0),IF(D557="COMPOSIÇÕES",VLOOKUP(B557,'11.COMPOSIÇÕES GERAIS'!B:I,8,0),VLOOKUP(B557,'12.COT.MERCADO'!A:I,8,0)))),"Em Elaboração")</f>
        <v>39</v>
      </c>
      <c r="J557" s="259">
        <f t="shared" si="137"/>
        <v>0</v>
      </c>
      <c r="K557" s="259">
        <f t="shared" si="138"/>
        <v>45.68204882</v>
      </c>
      <c r="L557" s="259">
        <f t="shared" si="139"/>
        <v>45.68204882</v>
      </c>
      <c r="M557" s="259">
        <f t="shared" si="140"/>
        <v>0</v>
      </c>
      <c r="N557" s="259">
        <f t="shared" si="141"/>
        <v>182.7281953</v>
      </c>
      <c r="O557" s="259">
        <f t="shared" si="142"/>
        <v>182.7281953</v>
      </c>
      <c r="P557" s="260">
        <f t="shared" si="2"/>
        <v>0.0001429435599</v>
      </c>
    </row>
    <row r="558">
      <c r="A558" s="253" t="s">
        <v>711</v>
      </c>
      <c r="B558" s="254">
        <v>7588.0</v>
      </c>
      <c r="C558" s="255" t="str">
        <f t="shared" si="136"/>
        <v>SINAPI</v>
      </c>
      <c r="D558" s="256" t="s">
        <v>286</v>
      </c>
      <c r="E558" s="257" t="str">
        <f>IFERROR(IF(D558="SINAPI-S",VLOOKUP(B558,'20-B.SINAPI-S'!A:J,2,0),IF(D558="SINAPI-I",VLOOKUP(B558,'20-A.SINAPI-I'!A:G,2,0),IF(D558="COMPOSIÇÕES",VLOOKUP(B558,'11.COMPOSIÇÕES GERAIS'!B:I,2,0),VLOOKUP(B558,'12.COT.MERCADO'!A:I,2,0)))),"Em Elaboração")</f>
        <v>AUTOMATICO DE BOIA SUPERIOR / INFERIOR, *15* A / 250 V</v>
      </c>
      <c r="F558" s="258" t="str">
        <f>IFERROR(IF(D558="SINAPI-S",VLOOKUP(B558,'20-B.SINAPI-S'!A:J,3,0),IF(D558="SINAPI-I",VLOOKUP(B558,'20-A.SINAPI-I'!A:G,3,0),IF(D558="COMPOSIÇÕES",VLOOKUP(B558,'11.COMPOSIÇÕES GERAIS'!B:I,3,0),VLOOKUP(B558,'12.COT.MERCADO'!A:I,7,0)))),"Em Elaboração")</f>
        <v>UN</v>
      </c>
      <c r="G558" s="254">
        <v>2.0</v>
      </c>
      <c r="H558" s="259">
        <f>IFERROR(IF(D558="SINAPI-S",VLOOKUP(B558,'20-B.SINAPI-S'!A:J,5,0),IF(D558="SINAPI-I",VLOOKUP(B558,'20-A.SINAPI-I'!A:G,6,0),IF(D558="COMPOSIÇÕES",VLOOKUP(B558,'11.COMPOSIÇÕES GERAIS'!B:I,7,0),0))),"Em Elaboração")</f>
        <v>0</v>
      </c>
      <c r="I558" s="259">
        <f>IFERROR(IF(D558="SINAPI-S",VLOOKUP(B558,'20-B.SINAPI-S'!A:J,6,0),IF(D558="SINAPI-I",VLOOKUP(B558,'20-A.SINAPI-I'!A:G,7,0),IF(D558="COMPOSIÇÕES",VLOOKUP(B558,'11.COMPOSIÇÕES GERAIS'!B:I,8,0),VLOOKUP(B558,'12.COT.MERCADO'!A:I,8,0)))),"Em Elaboração")</f>
        <v>39.6</v>
      </c>
      <c r="J558" s="259">
        <f t="shared" si="137"/>
        <v>0</v>
      </c>
      <c r="K558" s="259">
        <f t="shared" si="138"/>
        <v>46.38484957</v>
      </c>
      <c r="L558" s="259">
        <f t="shared" si="139"/>
        <v>46.38484957</v>
      </c>
      <c r="M558" s="259">
        <f t="shared" si="140"/>
        <v>0</v>
      </c>
      <c r="N558" s="259">
        <f t="shared" si="141"/>
        <v>92.76969914</v>
      </c>
      <c r="O558" s="259">
        <f t="shared" si="142"/>
        <v>92.76969914</v>
      </c>
      <c r="P558" s="260">
        <f t="shared" si="2"/>
        <v>0.00007257134578</v>
      </c>
    </row>
    <row r="559">
      <c r="A559" s="253" t="s">
        <v>712</v>
      </c>
      <c r="B559" s="254">
        <v>3731.0</v>
      </c>
      <c r="C559" s="255" t="str">
        <f t="shared" si="136"/>
        <v>SINAPI</v>
      </c>
      <c r="D559" s="256" t="s">
        <v>286</v>
      </c>
      <c r="E559" s="257" t="str">
        <f>IFERROR(IF(D559="SINAPI-S",VLOOKUP(B559,'20-B.SINAPI-S'!A:J,2,0),IF(D559="SINAPI-I",VLOOKUP(B559,'20-A.SINAPI-I'!A:G,2,0),IF(D559="COMPOSIÇÕES",VLOOKUP(B559,'11.COMPOSIÇÕES GERAIS'!B:I,2,0),VLOOKUP(B559,'12.COT.MERCADO'!A:I,2,0)))),"Em Elaboração")</f>
        <v>LADRILHO HIDRAULICO, *20 X 20* CM, E= 2 CM, DADOS, COR NATURAL</v>
      </c>
      <c r="F559" s="258" t="str">
        <f>IFERROR(IF(D559="SINAPI-S",VLOOKUP(B559,'20-B.SINAPI-S'!A:J,3,0),IF(D559="SINAPI-I",VLOOKUP(B559,'20-A.SINAPI-I'!A:G,3,0),IF(D559="COMPOSIÇÕES",VLOOKUP(B559,'11.COMPOSIÇÕES GERAIS'!B:I,3,0),VLOOKUP(B559,'12.COT.MERCADO'!A:I,7,0)))),"Em Elaboração")</f>
        <v>M2</v>
      </c>
      <c r="G559" s="254">
        <v>3.0</v>
      </c>
      <c r="H559" s="259">
        <f>IFERROR(IF(D559="SINAPI-S",VLOOKUP(B559,'20-B.SINAPI-S'!A:J,5,0),IF(D559="SINAPI-I",VLOOKUP(B559,'20-A.SINAPI-I'!A:G,6,0),IF(D559="COMPOSIÇÕES",VLOOKUP(B559,'11.COMPOSIÇÕES GERAIS'!B:I,7,0),0))),"Em Elaboração")</f>
        <v>0</v>
      </c>
      <c r="I559" s="259">
        <f>IFERROR(IF(D559="SINAPI-S",VLOOKUP(B559,'20-B.SINAPI-S'!A:J,6,0),IF(D559="SINAPI-I",VLOOKUP(B559,'20-A.SINAPI-I'!A:G,7,0),IF(D559="COMPOSIÇÕES",VLOOKUP(B559,'11.COMPOSIÇÕES GERAIS'!B:I,8,0),VLOOKUP(B559,'12.COT.MERCADO'!A:I,8,0)))),"Em Elaboração")</f>
        <v>50</v>
      </c>
      <c r="J559" s="259">
        <f t="shared" si="137"/>
        <v>0</v>
      </c>
      <c r="K559" s="259">
        <f t="shared" si="138"/>
        <v>58.56672926</v>
      </c>
      <c r="L559" s="259">
        <f t="shared" si="139"/>
        <v>58.56672926</v>
      </c>
      <c r="M559" s="259">
        <f t="shared" si="140"/>
        <v>0</v>
      </c>
      <c r="N559" s="259">
        <f t="shared" si="141"/>
        <v>175.7001878</v>
      </c>
      <c r="O559" s="259">
        <f t="shared" si="142"/>
        <v>175.7001878</v>
      </c>
      <c r="P559" s="260">
        <f t="shared" si="2"/>
        <v>0.0001374457306</v>
      </c>
    </row>
    <row r="560">
      <c r="A560" s="253" t="s">
        <v>713</v>
      </c>
      <c r="B560" s="254">
        <v>7271.0</v>
      </c>
      <c r="C560" s="255" t="str">
        <f t="shared" si="136"/>
        <v>SINAPI</v>
      </c>
      <c r="D560" s="256" t="s">
        <v>286</v>
      </c>
      <c r="E560" s="257" t="str">
        <f>IFERROR(IF(D560="SINAPI-S",VLOOKUP(B560,'20-B.SINAPI-S'!A:J,2,0),IF(D560="SINAPI-I",VLOOKUP(B560,'20-A.SINAPI-I'!A:G,2,0),IF(D560="COMPOSIÇÕES",VLOOKUP(B560,'11.COMPOSIÇÕES GERAIS'!B:I,2,0),VLOOKUP(B560,'12.COT.MERCADO'!A:I,2,0)))),"Em Elaboração")</f>
        <v>BLOCO CERAMICO / TIJOLO VAZADO PARA ALVENARIA DE VEDACAO, 8 FUROS NA HORIZONTAL, DE 9 X 19 X 19 CM (L XA X C)</v>
      </c>
      <c r="F560" s="258" t="str">
        <f>IFERROR(IF(D560="SINAPI-S",VLOOKUP(B560,'20-B.SINAPI-S'!A:J,3,0),IF(D560="SINAPI-I",VLOOKUP(B560,'20-A.SINAPI-I'!A:G,3,0),IF(D560="COMPOSIÇÕES",VLOOKUP(B560,'11.COMPOSIÇÕES GERAIS'!B:I,3,0),VLOOKUP(B560,'12.COT.MERCADO'!A:I,7,0)))),"Em Elaboração")</f>
        <v>UN</v>
      </c>
      <c r="G560" s="254">
        <v>45.0</v>
      </c>
      <c r="H560" s="259">
        <f>IFERROR(IF(D560="SINAPI-S",VLOOKUP(B560,'20-B.SINAPI-S'!A:J,5,0),IF(D560="SINAPI-I",VLOOKUP(B560,'20-A.SINAPI-I'!A:G,6,0),IF(D560="COMPOSIÇÕES",VLOOKUP(B560,'11.COMPOSIÇÕES GERAIS'!B:I,7,0),0))),"Em Elaboração")</f>
        <v>0</v>
      </c>
      <c r="I560" s="259">
        <f>IFERROR(IF(D560="SINAPI-S",VLOOKUP(B560,'20-B.SINAPI-S'!A:J,6,0),IF(D560="SINAPI-I",VLOOKUP(B560,'20-A.SINAPI-I'!A:G,7,0),IF(D560="COMPOSIÇÕES",VLOOKUP(B560,'11.COMPOSIÇÕES GERAIS'!B:I,8,0),VLOOKUP(B560,'12.COT.MERCADO'!A:I,8,0)))),"Em Elaboração")</f>
        <v>0.8</v>
      </c>
      <c r="J560" s="259">
        <f t="shared" si="137"/>
        <v>0</v>
      </c>
      <c r="K560" s="259">
        <f t="shared" si="138"/>
        <v>0.9370676681</v>
      </c>
      <c r="L560" s="259">
        <f t="shared" si="139"/>
        <v>0.9370676681</v>
      </c>
      <c r="M560" s="259">
        <f t="shared" si="140"/>
        <v>0</v>
      </c>
      <c r="N560" s="259">
        <f t="shared" si="141"/>
        <v>42.16804506</v>
      </c>
      <c r="O560" s="259">
        <f t="shared" si="142"/>
        <v>42.16804506</v>
      </c>
      <c r="P560" s="260">
        <f t="shared" si="2"/>
        <v>0.00003298697535</v>
      </c>
    </row>
    <row r="561">
      <c r="A561" s="253" t="s">
        <v>714</v>
      </c>
      <c r="B561" s="254">
        <v>820.0</v>
      </c>
      <c r="C561" s="255" t="str">
        <f t="shared" si="136"/>
        <v>SINAPI</v>
      </c>
      <c r="D561" s="256" t="s">
        <v>286</v>
      </c>
      <c r="E561" s="257" t="str">
        <f>IFERROR(IF(D561="SINAPI-S",VLOOKUP(B561,'20-B.SINAPI-S'!A:J,2,0),IF(D561="SINAPI-I",VLOOKUP(B561,'20-A.SINAPI-I'!A:G,2,0),IF(D561="COMPOSIÇÕES",VLOOKUP(B561,'11.COMPOSIÇÕES GERAIS'!B:I,2,0),VLOOKUP(B561,'12.COT.MERCADO'!A:I,2,0)))),"Em Elaboração")</f>
        <v>BUCHA DE REDUCAO DE PVC, SOLDAVEL, LONGA, COM 50 X 32 MM, PARA AGUA FRIA PREDIAL</v>
      </c>
      <c r="F561" s="258" t="str">
        <f>IFERROR(IF(D561="SINAPI-S",VLOOKUP(B561,'20-B.SINAPI-S'!A:J,3,0),IF(D561="SINAPI-I",VLOOKUP(B561,'20-A.SINAPI-I'!A:G,3,0),IF(D561="COMPOSIÇÕES",VLOOKUP(B561,'11.COMPOSIÇÕES GERAIS'!B:I,3,0),VLOOKUP(B561,'12.COT.MERCADO'!A:I,7,0)))),"Em Elaboração")</f>
        <v>UN</v>
      </c>
      <c r="G561" s="254">
        <v>4.0</v>
      </c>
      <c r="H561" s="259">
        <f>IFERROR(IF(D561="SINAPI-S",VLOOKUP(B561,'20-B.SINAPI-S'!A:J,5,0),IF(D561="SINAPI-I",VLOOKUP(B561,'20-A.SINAPI-I'!A:G,6,0),IF(D561="COMPOSIÇÕES",VLOOKUP(B561,'11.COMPOSIÇÕES GERAIS'!B:I,7,0),0))),"Em Elaboração")</f>
        <v>0</v>
      </c>
      <c r="I561" s="259">
        <f>IFERROR(IF(D561="SINAPI-S",VLOOKUP(B561,'20-B.SINAPI-S'!A:J,6,0),IF(D561="SINAPI-I",VLOOKUP(B561,'20-A.SINAPI-I'!A:G,7,0),IF(D561="COMPOSIÇÕES",VLOOKUP(B561,'11.COMPOSIÇÕES GERAIS'!B:I,8,0),VLOOKUP(B561,'12.COT.MERCADO'!A:I,8,0)))),"Em Elaboração")</f>
        <v>5.98</v>
      </c>
      <c r="J561" s="259">
        <f t="shared" si="137"/>
        <v>0</v>
      </c>
      <c r="K561" s="259">
        <f t="shared" si="138"/>
        <v>7.004580819</v>
      </c>
      <c r="L561" s="259">
        <f t="shared" si="139"/>
        <v>7.004580819</v>
      </c>
      <c r="M561" s="259">
        <f t="shared" si="140"/>
        <v>0</v>
      </c>
      <c r="N561" s="259">
        <f t="shared" si="141"/>
        <v>28.01832328</v>
      </c>
      <c r="O561" s="259">
        <f t="shared" si="142"/>
        <v>28.01832328</v>
      </c>
      <c r="P561" s="260">
        <f t="shared" si="2"/>
        <v>0.00002191801251</v>
      </c>
    </row>
    <row r="562">
      <c r="A562" s="253" t="s">
        <v>715</v>
      </c>
      <c r="B562" s="254">
        <v>20086.0</v>
      </c>
      <c r="C562" s="255" t="str">
        <f t="shared" si="136"/>
        <v>SINAPI</v>
      </c>
      <c r="D562" s="256" t="s">
        <v>286</v>
      </c>
      <c r="E562" s="257" t="str">
        <f>IFERROR(IF(D562="SINAPI-S",VLOOKUP(B562,'20-B.SINAPI-S'!A:J,2,0),IF(D562="SINAPI-I",VLOOKUP(B562,'20-A.SINAPI-I'!A:G,2,0),IF(D562="COMPOSIÇÕES",VLOOKUP(B562,'11.COMPOSIÇÕES GERAIS'!B:I,2,0),VLOOKUP(B562,'12.COT.MERCADO'!A:I,2,0)))),"Em Elaboração")</f>
        <v>BUCHA DE REDUCAO DE PVC, SOLDAVEL, LONGA, 50 X 40 MM, PARA ESGOTO PREDIAL</v>
      </c>
      <c r="F562" s="258" t="str">
        <f>IFERROR(IF(D562="SINAPI-S",VLOOKUP(B562,'20-B.SINAPI-S'!A:J,3,0),IF(D562="SINAPI-I",VLOOKUP(B562,'20-A.SINAPI-I'!A:G,3,0),IF(D562="COMPOSIÇÕES",VLOOKUP(B562,'11.COMPOSIÇÕES GERAIS'!B:I,3,0),VLOOKUP(B562,'12.COT.MERCADO'!A:I,7,0)))),"Em Elaboração")</f>
        <v>UN</v>
      </c>
      <c r="G562" s="254">
        <v>4.0</v>
      </c>
      <c r="H562" s="259">
        <f>IFERROR(IF(D562="SINAPI-S",VLOOKUP(B562,'20-B.SINAPI-S'!A:J,5,0),IF(D562="SINAPI-I",VLOOKUP(B562,'20-A.SINAPI-I'!A:G,6,0),IF(D562="COMPOSIÇÕES",VLOOKUP(B562,'11.COMPOSIÇÕES GERAIS'!B:I,7,0),0))),"Em Elaboração")</f>
        <v>0</v>
      </c>
      <c r="I562" s="259">
        <f>IFERROR(IF(D562="SINAPI-S",VLOOKUP(B562,'20-B.SINAPI-S'!A:J,6,0),IF(D562="SINAPI-I",VLOOKUP(B562,'20-A.SINAPI-I'!A:G,7,0),IF(D562="COMPOSIÇÕES",VLOOKUP(B562,'11.COMPOSIÇÕES GERAIS'!B:I,8,0),VLOOKUP(B562,'12.COT.MERCADO'!A:I,8,0)))),"Em Elaboração")</f>
        <v>3.52</v>
      </c>
      <c r="J562" s="259">
        <f t="shared" si="137"/>
        <v>0</v>
      </c>
      <c r="K562" s="259">
        <f t="shared" si="138"/>
        <v>4.12309774</v>
      </c>
      <c r="L562" s="259">
        <f t="shared" si="139"/>
        <v>4.12309774</v>
      </c>
      <c r="M562" s="259">
        <f t="shared" si="140"/>
        <v>0</v>
      </c>
      <c r="N562" s="259">
        <f t="shared" si="141"/>
        <v>16.49239096</v>
      </c>
      <c r="O562" s="259">
        <f t="shared" si="142"/>
        <v>16.49239096</v>
      </c>
      <c r="P562" s="260">
        <f t="shared" si="2"/>
        <v>0.00001290157258</v>
      </c>
    </row>
    <row r="563">
      <c r="A563" s="253" t="s">
        <v>716</v>
      </c>
      <c r="B563" s="254">
        <v>797.0</v>
      </c>
      <c r="C563" s="255" t="str">
        <f t="shared" si="136"/>
        <v>SINAPI</v>
      </c>
      <c r="D563" s="256" t="s">
        <v>286</v>
      </c>
      <c r="E563" s="257" t="str">
        <f>IFERROR(IF(D563="SINAPI-S",VLOOKUP(B563,'20-B.SINAPI-S'!A:J,2,0),IF(D563="SINAPI-I",VLOOKUP(B563,'20-A.SINAPI-I'!A:G,2,0),IF(D563="COMPOSIÇÕES",VLOOKUP(B563,'11.COMPOSIÇÕES GERAIS'!B:I,2,0),VLOOKUP(B563,'12.COT.MERCADO'!A:I,2,0)))),"Em Elaboração")</f>
        <v>BUCHA DE REDUCAO PVC, ROSCAVEL 1 1/2" X 1"</v>
      </c>
      <c r="F563" s="258" t="str">
        <f>IFERROR(IF(D563="SINAPI-S",VLOOKUP(B563,'20-B.SINAPI-S'!A:J,3,0),IF(D563="SINAPI-I",VLOOKUP(B563,'20-A.SINAPI-I'!A:G,3,0),IF(D563="COMPOSIÇÕES",VLOOKUP(B563,'11.COMPOSIÇÕES GERAIS'!B:I,3,0),VLOOKUP(B563,'12.COT.MERCADO'!A:I,7,0)))),"Em Elaboração")</f>
        <v>UN</v>
      </c>
      <c r="G563" s="254">
        <v>3.0</v>
      </c>
      <c r="H563" s="259">
        <f>IFERROR(IF(D563="SINAPI-S",VLOOKUP(B563,'20-B.SINAPI-S'!A:J,5,0),IF(D563="SINAPI-I",VLOOKUP(B563,'20-A.SINAPI-I'!A:G,6,0),IF(D563="COMPOSIÇÕES",VLOOKUP(B563,'11.COMPOSIÇÕES GERAIS'!B:I,7,0),0))),"Em Elaboração")</f>
        <v>0</v>
      </c>
      <c r="I563" s="259">
        <f>IFERROR(IF(D563="SINAPI-S",VLOOKUP(B563,'20-B.SINAPI-S'!A:J,6,0),IF(D563="SINAPI-I",VLOOKUP(B563,'20-A.SINAPI-I'!A:G,7,0),IF(D563="COMPOSIÇÕES",VLOOKUP(B563,'11.COMPOSIÇÕES GERAIS'!B:I,8,0),VLOOKUP(B563,'12.COT.MERCADO'!A:I,8,0)))),"Em Elaboração")</f>
        <v>8.95</v>
      </c>
      <c r="J563" s="259">
        <f t="shared" si="137"/>
        <v>0</v>
      </c>
      <c r="K563" s="259">
        <f t="shared" si="138"/>
        <v>10.48344454</v>
      </c>
      <c r="L563" s="259">
        <f t="shared" si="139"/>
        <v>10.48344454</v>
      </c>
      <c r="M563" s="259">
        <f t="shared" si="140"/>
        <v>0</v>
      </c>
      <c r="N563" s="259">
        <f t="shared" si="141"/>
        <v>31.45033361</v>
      </c>
      <c r="O563" s="259">
        <f t="shared" si="142"/>
        <v>31.45033361</v>
      </c>
      <c r="P563" s="260">
        <f t="shared" si="2"/>
        <v>0.00002460278578</v>
      </c>
    </row>
    <row r="564">
      <c r="A564" s="253" t="s">
        <v>717</v>
      </c>
      <c r="B564" s="254">
        <v>796.0</v>
      </c>
      <c r="C564" s="255" t="str">
        <f t="shared" si="136"/>
        <v>SINAPI</v>
      </c>
      <c r="D564" s="256" t="s">
        <v>286</v>
      </c>
      <c r="E564" s="257" t="str">
        <f>IFERROR(IF(D564="SINAPI-S",VLOOKUP(B564,'20-B.SINAPI-S'!A:J,2,0),IF(D564="SINAPI-I",VLOOKUP(B564,'20-A.SINAPI-I'!A:G,2,0),IF(D564="COMPOSIÇÕES",VLOOKUP(B564,'11.COMPOSIÇÕES GERAIS'!B:I,2,0),VLOOKUP(B564,'12.COT.MERCADO'!A:I,2,0)))),"Em Elaboração")</f>
        <v>BUCHA DE REDUCAO PVC, ROSCAVEL, 1 1/2" X 3/4"</v>
      </c>
      <c r="F564" s="258" t="str">
        <f>IFERROR(IF(D564="SINAPI-S",VLOOKUP(B564,'20-B.SINAPI-S'!A:J,3,0),IF(D564="SINAPI-I",VLOOKUP(B564,'20-A.SINAPI-I'!A:G,3,0),IF(D564="COMPOSIÇÕES",VLOOKUP(B564,'11.COMPOSIÇÕES GERAIS'!B:I,3,0),VLOOKUP(B564,'12.COT.MERCADO'!A:I,7,0)))),"Em Elaboração")</f>
        <v>UN</v>
      </c>
      <c r="G564" s="254">
        <v>3.0</v>
      </c>
      <c r="H564" s="259">
        <f>IFERROR(IF(D564="SINAPI-S",VLOOKUP(B564,'20-B.SINAPI-S'!A:J,5,0),IF(D564="SINAPI-I",VLOOKUP(B564,'20-A.SINAPI-I'!A:G,6,0),IF(D564="COMPOSIÇÕES",VLOOKUP(B564,'11.COMPOSIÇÕES GERAIS'!B:I,7,0),0))),"Em Elaboração")</f>
        <v>0</v>
      </c>
      <c r="I564" s="259">
        <f>IFERROR(IF(D564="SINAPI-S",VLOOKUP(B564,'20-B.SINAPI-S'!A:J,6,0),IF(D564="SINAPI-I",VLOOKUP(B564,'20-A.SINAPI-I'!A:G,7,0),IF(D564="COMPOSIÇÕES",VLOOKUP(B564,'11.COMPOSIÇÕES GERAIS'!B:I,8,0),VLOOKUP(B564,'12.COT.MERCADO'!A:I,8,0)))),"Em Elaboração")</f>
        <v>7.6</v>
      </c>
      <c r="J564" s="259">
        <f t="shared" si="137"/>
        <v>0</v>
      </c>
      <c r="K564" s="259">
        <f t="shared" si="138"/>
        <v>8.902142847</v>
      </c>
      <c r="L564" s="259">
        <f t="shared" si="139"/>
        <v>8.902142847</v>
      </c>
      <c r="M564" s="259">
        <f t="shared" si="140"/>
        <v>0</v>
      </c>
      <c r="N564" s="259">
        <f t="shared" si="141"/>
        <v>26.70642854</v>
      </c>
      <c r="O564" s="259">
        <f t="shared" si="142"/>
        <v>26.70642854</v>
      </c>
      <c r="P564" s="260">
        <f t="shared" si="2"/>
        <v>0.00002089175106</v>
      </c>
    </row>
    <row r="565">
      <c r="A565" s="253" t="s">
        <v>718</v>
      </c>
      <c r="B565" s="254">
        <v>798.0</v>
      </c>
      <c r="C565" s="255" t="str">
        <f t="shared" si="136"/>
        <v>SINAPI</v>
      </c>
      <c r="D565" s="256" t="s">
        <v>286</v>
      </c>
      <c r="E565" s="257" t="str">
        <f>IFERROR(IF(D565="SINAPI-S",VLOOKUP(B565,'20-B.SINAPI-S'!A:J,2,0),IF(D565="SINAPI-I",VLOOKUP(B565,'20-A.SINAPI-I'!A:G,2,0),IF(D565="COMPOSIÇÕES",VLOOKUP(B565,'11.COMPOSIÇÕES GERAIS'!B:I,2,0),VLOOKUP(B565,'12.COT.MERCADO'!A:I,2,0)))),"Em Elaboração")</f>
        <v>BUCHA DE REDUCAO PVC ROSCAVEL 3/4" X 1/2"</v>
      </c>
      <c r="F565" s="258" t="str">
        <f>IFERROR(IF(D565="SINAPI-S",VLOOKUP(B565,'20-B.SINAPI-S'!A:J,3,0),IF(D565="SINAPI-I",VLOOKUP(B565,'20-A.SINAPI-I'!A:G,3,0),IF(D565="COMPOSIÇÕES",VLOOKUP(B565,'11.COMPOSIÇÕES GERAIS'!B:I,3,0),VLOOKUP(B565,'12.COT.MERCADO'!A:I,7,0)))),"Em Elaboração")</f>
        <v>UN</v>
      </c>
      <c r="G565" s="254">
        <v>3.0</v>
      </c>
      <c r="H565" s="259">
        <f>IFERROR(IF(D565="SINAPI-S",VLOOKUP(B565,'20-B.SINAPI-S'!A:J,5,0),IF(D565="SINAPI-I",VLOOKUP(B565,'20-A.SINAPI-I'!A:G,6,0),IF(D565="COMPOSIÇÕES",VLOOKUP(B565,'11.COMPOSIÇÕES GERAIS'!B:I,7,0),0))),"Em Elaboração")</f>
        <v>0</v>
      </c>
      <c r="I565" s="259">
        <f>IFERROR(IF(D565="SINAPI-S",VLOOKUP(B565,'20-B.SINAPI-S'!A:J,6,0),IF(D565="SINAPI-I",VLOOKUP(B565,'20-A.SINAPI-I'!A:G,7,0),IF(D565="COMPOSIÇÕES",VLOOKUP(B565,'11.COMPOSIÇÕES GERAIS'!B:I,8,0),VLOOKUP(B565,'12.COT.MERCADO'!A:I,8,0)))),"Em Elaboração")</f>
        <v>1.23</v>
      </c>
      <c r="J565" s="259">
        <f t="shared" si="137"/>
        <v>0</v>
      </c>
      <c r="K565" s="259">
        <f t="shared" si="138"/>
        <v>1.44074154</v>
      </c>
      <c r="L565" s="259">
        <f t="shared" si="139"/>
        <v>1.44074154</v>
      </c>
      <c r="M565" s="259">
        <f t="shared" si="140"/>
        <v>0</v>
      </c>
      <c r="N565" s="259">
        <f t="shared" si="141"/>
        <v>4.322224619</v>
      </c>
      <c r="O565" s="259">
        <f t="shared" si="142"/>
        <v>4.322224619</v>
      </c>
      <c r="P565" s="260">
        <f t="shared" si="2"/>
        <v>0.000003381164974</v>
      </c>
    </row>
    <row r="566">
      <c r="A566" s="253" t="s">
        <v>719</v>
      </c>
      <c r="B566" s="254">
        <v>829.0</v>
      </c>
      <c r="C566" s="255" t="str">
        <f t="shared" si="136"/>
        <v>SINAPI</v>
      </c>
      <c r="D566" s="256" t="s">
        <v>286</v>
      </c>
      <c r="E566" s="257" t="str">
        <f>IFERROR(IF(D566="SINAPI-S",VLOOKUP(B566,'20-B.SINAPI-S'!A:J,2,0),IF(D566="SINAPI-I",VLOOKUP(B566,'20-A.SINAPI-I'!A:G,2,0),IF(D566="COMPOSIÇÕES",VLOOKUP(B566,'11.COMPOSIÇÕES GERAIS'!B:I,2,0),VLOOKUP(B566,'12.COT.MERCADO'!A:I,2,0)))),"Em Elaboração")</f>
        <v>BUCHA DE REDUCAO DE PVC, SOLDAVEL, CURTA, COM 32 X 25 MM, PARA AGUA FRIA PREDIAL</v>
      </c>
      <c r="F566" s="258" t="str">
        <f>IFERROR(IF(D566="SINAPI-S",VLOOKUP(B566,'20-B.SINAPI-S'!A:J,3,0),IF(D566="SINAPI-I",VLOOKUP(B566,'20-A.SINAPI-I'!A:G,3,0),IF(D566="COMPOSIÇÕES",VLOOKUP(B566,'11.COMPOSIÇÕES GERAIS'!B:I,3,0),VLOOKUP(B566,'12.COT.MERCADO'!A:I,7,0)))),"Em Elaboração")</f>
        <v>UN</v>
      </c>
      <c r="G566" s="254">
        <v>3.0</v>
      </c>
      <c r="H566" s="259">
        <f>IFERROR(IF(D566="SINAPI-S",VLOOKUP(B566,'20-B.SINAPI-S'!A:J,5,0),IF(D566="SINAPI-I",VLOOKUP(B566,'20-A.SINAPI-I'!A:G,6,0),IF(D566="COMPOSIÇÕES",VLOOKUP(B566,'11.COMPOSIÇÕES GERAIS'!B:I,7,0),0))),"Em Elaboração")</f>
        <v>0</v>
      </c>
      <c r="I566" s="259">
        <f>IFERROR(IF(D566="SINAPI-S",VLOOKUP(B566,'20-B.SINAPI-S'!A:J,6,0),IF(D566="SINAPI-I",VLOOKUP(B566,'20-A.SINAPI-I'!A:G,7,0),IF(D566="COMPOSIÇÕES",VLOOKUP(B566,'11.COMPOSIÇÕES GERAIS'!B:I,8,0),VLOOKUP(B566,'12.COT.MERCADO'!A:I,8,0)))),"Em Elaboração")</f>
        <v>1</v>
      </c>
      <c r="J566" s="259">
        <f t="shared" si="137"/>
        <v>0</v>
      </c>
      <c r="K566" s="259">
        <f t="shared" si="138"/>
        <v>1.171334585</v>
      </c>
      <c r="L566" s="259">
        <f t="shared" si="139"/>
        <v>1.171334585</v>
      </c>
      <c r="M566" s="259">
        <f t="shared" si="140"/>
        <v>0</v>
      </c>
      <c r="N566" s="259">
        <f t="shared" si="141"/>
        <v>3.514003755</v>
      </c>
      <c r="O566" s="259">
        <f t="shared" si="142"/>
        <v>3.514003755</v>
      </c>
      <c r="P566" s="260">
        <f t="shared" si="2"/>
        <v>0.000002748914613</v>
      </c>
    </row>
    <row r="567">
      <c r="A567" s="253" t="s">
        <v>720</v>
      </c>
      <c r="B567" s="254">
        <v>812.0</v>
      </c>
      <c r="C567" s="255" t="str">
        <f t="shared" si="136"/>
        <v>SINAPI</v>
      </c>
      <c r="D567" s="256" t="s">
        <v>286</v>
      </c>
      <c r="E567" s="257" t="str">
        <f>IFERROR(IF(D567="SINAPI-S",VLOOKUP(B567,'20-B.SINAPI-S'!A:J,2,0),IF(D567="SINAPI-I",VLOOKUP(B567,'20-A.SINAPI-I'!A:G,2,0),IF(D567="COMPOSIÇÕES",VLOOKUP(B567,'11.COMPOSIÇÕES GERAIS'!B:I,2,0),VLOOKUP(B567,'12.COT.MERCADO'!A:I,2,0)))),"Em Elaboração")</f>
        <v>BUCHA DE REDUCAO DE PVC, SOLDAVEL, CURTA, COM 40 X 32 MM, PARA AGUA FRIA PREDIAL</v>
      </c>
      <c r="F567" s="258" t="str">
        <f>IFERROR(IF(D567="SINAPI-S",VLOOKUP(B567,'20-B.SINAPI-S'!A:J,3,0),IF(D567="SINAPI-I",VLOOKUP(B567,'20-A.SINAPI-I'!A:G,3,0),IF(D567="COMPOSIÇÕES",VLOOKUP(B567,'11.COMPOSIÇÕES GERAIS'!B:I,3,0),VLOOKUP(B567,'12.COT.MERCADO'!A:I,7,0)))),"Em Elaboração")</f>
        <v>UN</v>
      </c>
      <c r="G567" s="254">
        <v>3.0</v>
      </c>
      <c r="H567" s="259">
        <f>IFERROR(IF(D567="SINAPI-S",VLOOKUP(B567,'20-B.SINAPI-S'!A:J,5,0),IF(D567="SINAPI-I",VLOOKUP(B567,'20-A.SINAPI-I'!A:G,6,0),IF(D567="COMPOSIÇÕES",VLOOKUP(B567,'11.COMPOSIÇÕES GERAIS'!B:I,7,0),0))),"Em Elaboração")</f>
        <v>0</v>
      </c>
      <c r="I567" s="259">
        <f>IFERROR(IF(D567="SINAPI-S",VLOOKUP(B567,'20-B.SINAPI-S'!A:J,6,0),IF(D567="SINAPI-I",VLOOKUP(B567,'20-A.SINAPI-I'!A:G,7,0),IF(D567="COMPOSIÇÕES",VLOOKUP(B567,'11.COMPOSIÇÕES GERAIS'!B:I,8,0),VLOOKUP(B567,'12.COT.MERCADO'!A:I,8,0)))),"Em Elaboração")</f>
        <v>2.2</v>
      </c>
      <c r="J567" s="259">
        <f t="shared" si="137"/>
        <v>0</v>
      </c>
      <c r="K567" s="259">
        <f t="shared" si="138"/>
        <v>2.576936087</v>
      </c>
      <c r="L567" s="259">
        <f t="shared" si="139"/>
        <v>2.576936087</v>
      </c>
      <c r="M567" s="259">
        <f t="shared" si="140"/>
        <v>0</v>
      </c>
      <c r="N567" s="259">
        <f t="shared" si="141"/>
        <v>7.730808262</v>
      </c>
      <c r="O567" s="259">
        <f t="shared" si="142"/>
        <v>7.730808262</v>
      </c>
      <c r="P567" s="260">
        <f t="shared" si="2"/>
        <v>0.000006047612148</v>
      </c>
    </row>
    <row r="568">
      <c r="A568" s="253" t="s">
        <v>721</v>
      </c>
      <c r="B568" s="254">
        <v>819.0</v>
      </c>
      <c r="C568" s="255" t="str">
        <f t="shared" si="136"/>
        <v>SINAPI</v>
      </c>
      <c r="D568" s="256" t="s">
        <v>286</v>
      </c>
      <c r="E568" s="257" t="str">
        <f>IFERROR(IF(D568="SINAPI-S",VLOOKUP(B568,'20-B.SINAPI-S'!A:J,2,0),IF(D568="SINAPI-I",VLOOKUP(B568,'20-A.SINAPI-I'!A:G,2,0),IF(D568="COMPOSIÇÕES",VLOOKUP(B568,'11.COMPOSIÇÕES GERAIS'!B:I,2,0),VLOOKUP(B568,'12.COT.MERCADO'!A:I,2,0)))),"Em Elaboração")</f>
        <v>BUCHA DE REDUCAO DE PVC, SOLDAVEL, CURTA, COM 50 X 40 MM, PARA AGUA FRIA PREDIAL</v>
      </c>
      <c r="F568" s="258" t="str">
        <f>IFERROR(IF(D568="SINAPI-S",VLOOKUP(B568,'20-B.SINAPI-S'!A:J,3,0),IF(D568="SINAPI-I",VLOOKUP(B568,'20-A.SINAPI-I'!A:G,3,0),IF(D568="COMPOSIÇÕES",VLOOKUP(B568,'11.COMPOSIÇÕES GERAIS'!B:I,3,0),VLOOKUP(B568,'12.COT.MERCADO'!A:I,7,0)))),"Em Elaboração")</f>
        <v>UN</v>
      </c>
      <c r="G568" s="254">
        <v>3.0</v>
      </c>
      <c r="H568" s="259">
        <f>IFERROR(IF(D568="SINAPI-S",VLOOKUP(B568,'20-B.SINAPI-S'!A:J,5,0),IF(D568="SINAPI-I",VLOOKUP(B568,'20-A.SINAPI-I'!A:G,6,0),IF(D568="COMPOSIÇÕES",VLOOKUP(B568,'11.COMPOSIÇÕES GERAIS'!B:I,7,0),0))),"Em Elaboração")</f>
        <v>0</v>
      </c>
      <c r="I568" s="259">
        <f>IFERROR(IF(D568="SINAPI-S",VLOOKUP(B568,'20-B.SINAPI-S'!A:J,6,0),IF(D568="SINAPI-I",VLOOKUP(B568,'20-A.SINAPI-I'!A:G,7,0),IF(D568="COMPOSIÇÕES",VLOOKUP(B568,'11.COMPOSIÇÕES GERAIS'!B:I,8,0),VLOOKUP(B568,'12.COT.MERCADO'!A:I,8,0)))),"Em Elaboração")</f>
        <v>3.82</v>
      </c>
      <c r="J568" s="259">
        <f t="shared" si="137"/>
        <v>0</v>
      </c>
      <c r="K568" s="259">
        <f t="shared" si="138"/>
        <v>4.474498115</v>
      </c>
      <c r="L568" s="259">
        <f t="shared" si="139"/>
        <v>4.474498115</v>
      </c>
      <c r="M568" s="259">
        <f t="shared" si="140"/>
        <v>0</v>
      </c>
      <c r="N568" s="259">
        <f t="shared" si="141"/>
        <v>13.42349435</v>
      </c>
      <c r="O568" s="259">
        <f t="shared" si="142"/>
        <v>13.42349435</v>
      </c>
      <c r="P568" s="260">
        <f t="shared" si="2"/>
        <v>0.00001050085382</v>
      </c>
    </row>
    <row r="569">
      <c r="A569" s="253" t="s">
        <v>722</v>
      </c>
      <c r="B569" s="254">
        <v>818.0</v>
      </c>
      <c r="C569" s="255" t="str">
        <f t="shared" si="136"/>
        <v>SINAPI</v>
      </c>
      <c r="D569" s="256" t="s">
        <v>286</v>
      </c>
      <c r="E569" s="257" t="str">
        <f>IFERROR(IF(D569="SINAPI-S",VLOOKUP(B569,'20-B.SINAPI-S'!A:J,2,0),IF(D569="SINAPI-I",VLOOKUP(B569,'20-A.SINAPI-I'!A:G,2,0),IF(D569="COMPOSIÇÕES",VLOOKUP(B569,'11.COMPOSIÇÕES GERAIS'!B:I,2,0),VLOOKUP(B569,'12.COT.MERCADO'!A:I,2,0)))),"Em Elaboração")</f>
        <v>BUCHA DE REDUCAO DE PVC, SOLDAVEL, CURTA, COM 60 X 50 MM, PARA AGUA FRIA PREDIAL</v>
      </c>
      <c r="F569" s="258" t="str">
        <f>IFERROR(IF(D569="SINAPI-S",VLOOKUP(B569,'20-B.SINAPI-S'!A:J,3,0),IF(D569="SINAPI-I",VLOOKUP(B569,'20-A.SINAPI-I'!A:G,3,0),IF(D569="COMPOSIÇÕES",VLOOKUP(B569,'11.COMPOSIÇÕES GERAIS'!B:I,3,0),VLOOKUP(B569,'12.COT.MERCADO'!A:I,7,0)))),"Em Elaboração")</f>
        <v>UN</v>
      </c>
      <c r="G569" s="254">
        <v>3.0</v>
      </c>
      <c r="H569" s="259">
        <f>IFERROR(IF(D569="SINAPI-S",VLOOKUP(B569,'20-B.SINAPI-S'!A:J,5,0),IF(D569="SINAPI-I",VLOOKUP(B569,'20-A.SINAPI-I'!A:G,6,0),IF(D569="COMPOSIÇÕES",VLOOKUP(B569,'11.COMPOSIÇÕES GERAIS'!B:I,7,0),0))),"Em Elaboração")</f>
        <v>0</v>
      </c>
      <c r="I569" s="259">
        <f>IFERROR(IF(D569="SINAPI-S",VLOOKUP(B569,'20-B.SINAPI-S'!A:J,6,0),IF(D569="SINAPI-I",VLOOKUP(B569,'20-A.SINAPI-I'!A:G,7,0),IF(D569="COMPOSIÇÕES",VLOOKUP(B569,'11.COMPOSIÇÕES GERAIS'!B:I,8,0),VLOOKUP(B569,'12.COT.MERCADO'!A:I,8,0)))),"Em Elaboração")</f>
        <v>7.14</v>
      </c>
      <c r="J569" s="259">
        <f t="shared" si="137"/>
        <v>0</v>
      </c>
      <c r="K569" s="259">
        <f t="shared" si="138"/>
        <v>8.363328938</v>
      </c>
      <c r="L569" s="259">
        <f t="shared" si="139"/>
        <v>8.363328938</v>
      </c>
      <c r="M569" s="259">
        <f t="shared" si="140"/>
        <v>0</v>
      </c>
      <c r="N569" s="259">
        <f t="shared" si="141"/>
        <v>25.08998681</v>
      </c>
      <c r="O569" s="259">
        <f t="shared" si="142"/>
        <v>25.08998681</v>
      </c>
      <c r="P569" s="260">
        <f t="shared" si="2"/>
        <v>0.00001962725034</v>
      </c>
    </row>
    <row r="570">
      <c r="A570" s="253" t="s">
        <v>723</v>
      </c>
      <c r="B570" s="254">
        <v>832.0</v>
      </c>
      <c r="C570" s="255" t="str">
        <f t="shared" si="136"/>
        <v>SINAPI</v>
      </c>
      <c r="D570" s="256" t="s">
        <v>286</v>
      </c>
      <c r="E570" s="257" t="str">
        <f>IFERROR(IF(D570="SINAPI-S",VLOOKUP(B570,'20-B.SINAPI-S'!A:J,2,0),IF(D570="SINAPI-I",VLOOKUP(B570,'20-A.SINAPI-I'!A:G,2,0),IF(D570="COMPOSIÇÕES",VLOOKUP(B570,'11.COMPOSIÇÕES GERAIS'!B:I,2,0),VLOOKUP(B570,'12.COT.MERCADO'!A:I,2,0)))),"Em Elaboração")</f>
        <v>BUCHA DE REDUCAO DE PVC, SOLDAVEL, LONGA, COM 32 X 20 MM, PARA AGUA FRIA PREDIAL</v>
      </c>
      <c r="F570" s="258" t="str">
        <f>IFERROR(IF(D570="SINAPI-S",VLOOKUP(B570,'20-B.SINAPI-S'!A:J,3,0),IF(D570="SINAPI-I",VLOOKUP(B570,'20-A.SINAPI-I'!A:G,3,0),IF(D570="COMPOSIÇÕES",VLOOKUP(B570,'11.COMPOSIÇÕES GERAIS'!B:I,3,0),VLOOKUP(B570,'12.COT.MERCADO'!A:I,7,0)))),"Em Elaboração")</f>
        <v>UN</v>
      </c>
      <c r="G570" s="254">
        <v>3.0</v>
      </c>
      <c r="H570" s="259">
        <f>IFERROR(IF(D570="SINAPI-S",VLOOKUP(B570,'20-B.SINAPI-S'!A:J,5,0),IF(D570="SINAPI-I",VLOOKUP(B570,'20-A.SINAPI-I'!A:G,6,0),IF(D570="COMPOSIÇÕES",VLOOKUP(B570,'11.COMPOSIÇÕES GERAIS'!B:I,7,0),0))),"Em Elaboração")</f>
        <v>0</v>
      </c>
      <c r="I570" s="259">
        <f>IFERROR(IF(D570="SINAPI-S",VLOOKUP(B570,'20-B.SINAPI-S'!A:J,6,0),IF(D570="SINAPI-I",VLOOKUP(B570,'20-A.SINAPI-I'!A:G,7,0),IF(D570="COMPOSIÇÕES",VLOOKUP(B570,'11.COMPOSIÇÕES GERAIS'!B:I,8,0),VLOOKUP(B570,'12.COT.MERCADO'!A:I,8,0)))),"Em Elaboração")</f>
        <v>2.95</v>
      </c>
      <c r="J570" s="259">
        <f t="shared" si="137"/>
        <v>0</v>
      </c>
      <c r="K570" s="259">
        <f t="shared" si="138"/>
        <v>3.455437026</v>
      </c>
      <c r="L570" s="259">
        <f t="shared" si="139"/>
        <v>3.455437026</v>
      </c>
      <c r="M570" s="259">
        <f t="shared" si="140"/>
        <v>0</v>
      </c>
      <c r="N570" s="259">
        <f t="shared" si="141"/>
        <v>10.36631108</v>
      </c>
      <c r="O570" s="259">
        <f t="shared" si="142"/>
        <v>10.36631108</v>
      </c>
      <c r="P570" s="260">
        <f t="shared" si="2"/>
        <v>0.000008109298108</v>
      </c>
    </row>
    <row r="571">
      <c r="A571" s="253" t="s">
        <v>724</v>
      </c>
      <c r="B571" s="254">
        <v>834.0</v>
      </c>
      <c r="C571" s="255" t="str">
        <f t="shared" si="136"/>
        <v>SINAPI</v>
      </c>
      <c r="D571" s="256" t="s">
        <v>286</v>
      </c>
      <c r="E571" s="257" t="str">
        <f>IFERROR(IF(D571="SINAPI-S",VLOOKUP(B571,'20-B.SINAPI-S'!A:J,2,0),IF(D571="SINAPI-I",VLOOKUP(B571,'20-A.SINAPI-I'!A:G,2,0),IF(D571="COMPOSIÇÕES",VLOOKUP(B571,'11.COMPOSIÇÕES GERAIS'!B:I,2,0),VLOOKUP(B571,'12.COT.MERCADO'!A:I,2,0)))),"Em Elaboração")</f>
        <v>BUCHA DE REDUCAO DE PVC, SOLDAVEL, LONGA, COM 40 X 25 MM, PARA AGUA FRIA PREDIAL</v>
      </c>
      <c r="F571" s="258" t="str">
        <f>IFERROR(IF(D571="SINAPI-S",VLOOKUP(B571,'20-B.SINAPI-S'!A:J,3,0),IF(D571="SINAPI-I",VLOOKUP(B571,'20-A.SINAPI-I'!A:G,3,0),IF(D571="COMPOSIÇÕES",VLOOKUP(B571,'11.COMPOSIÇÕES GERAIS'!B:I,3,0),VLOOKUP(B571,'12.COT.MERCADO'!A:I,7,0)))),"Em Elaboração")</f>
        <v>UN</v>
      </c>
      <c r="G571" s="254">
        <v>3.0</v>
      </c>
      <c r="H571" s="259">
        <f>IFERROR(IF(D571="SINAPI-S",VLOOKUP(B571,'20-B.SINAPI-S'!A:J,5,0),IF(D571="SINAPI-I",VLOOKUP(B571,'20-A.SINAPI-I'!A:G,6,0),IF(D571="COMPOSIÇÕES",VLOOKUP(B571,'11.COMPOSIÇÕES GERAIS'!B:I,7,0),0))),"Em Elaboração")</f>
        <v>0</v>
      </c>
      <c r="I571" s="259">
        <f>IFERROR(IF(D571="SINAPI-S",VLOOKUP(B571,'20-B.SINAPI-S'!A:J,6,0),IF(D571="SINAPI-I",VLOOKUP(B571,'20-A.SINAPI-I'!A:G,7,0),IF(D571="COMPOSIÇÕES",VLOOKUP(B571,'11.COMPOSIÇÕES GERAIS'!B:I,8,0),VLOOKUP(B571,'12.COT.MERCADO'!A:I,8,0)))),"Em Elaboração")</f>
        <v>3.82</v>
      </c>
      <c r="J571" s="259">
        <f t="shared" si="137"/>
        <v>0</v>
      </c>
      <c r="K571" s="259">
        <f t="shared" si="138"/>
        <v>4.474498115</v>
      </c>
      <c r="L571" s="259">
        <f t="shared" si="139"/>
        <v>4.474498115</v>
      </c>
      <c r="M571" s="259">
        <f t="shared" si="140"/>
        <v>0</v>
      </c>
      <c r="N571" s="259">
        <f t="shared" si="141"/>
        <v>13.42349435</v>
      </c>
      <c r="O571" s="259">
        <f t="shared" si="142"/>
        <v>13.42349435</v>
      </c>
      <c r="P571" s="260">
        <f t="shared" si="2"/>
        <v>0.00001050085382</v>
      </c>
    </row>
    <row r="572">
      <c r="A572" s="253" t="s">
        <v>725</v>
      </c>
      <c r="B572" s="254">
        <v>813.0</v>
      </c>
      <c r="C572" s="255" t="str">
        <f t="shared" si="136"/>
        <v>SINAPI</v>
      </c>
      <c r="D572" s="256" t="s">
        <v>286</v>
      </c>
      <c r="E572" s="257" t="str">
        <f>IFERROR(IF(D572="SINAPI-S",VLOOKUP(B572,'20-B.SINAPI-S'!A:J,2,0),IF(D572="SINAPI-I",VLOOKUP(B572,'20-A.SINAPI-I'!A:G,2,0),IF(D572="COMPOSIÇÕES",VLOOKUP(B572,'11.COMPOSIÇÕES GERAIS'!B:I,2,0),VLOOKUP(B572,'12.COT.MERCADO'!A:I,2,0)))),"Em Elaboração")</f>
        <v>BUCHA DE REDUCAO DE PVC, SOLDAVEL, LONGA, COM 50 X 25 MM, PARA AGUA FRIA PREDIAL</v>
      </c>
      <c r="F572" s="258" t="str">
        <f>IFERROR(IF(D572="SINAPI-S",VLOOKUP(B572,'20-B.SINAPI-S'!A:J,3,0),IF(D572="SINAPI-I",VLOOKUP(B572,'20-A.SINAPI-I'!A:G,3,0),IF(D572="COMPOSIÇÕES",VLOOKUP(B572,'11.COMPOSIÇÕES GERAIS'!B:I,3,0),VLOOKUP(B572,'12.COT.MERCADO'!A:I,7,0)))),"Em Elaboração")</f>
        <v>UN</v>
      </c>
      <c r="G572" s="254">
        <v>3.0</v>
      </c>
      <c r="H572" s="259">
        <f>IFERROR(IF(D572="SINAPI-S",VLOOKUP(B572,'20-B.SINAPI-S'!A:J,5,0),IF(D572="SINAPI-I",VLOOKUP(B572,'20-A.SINAPI-I'!A:G,6,0),IF(D572="COMPOSIÇÕES",VLOOKUP(B572,'11.COMPOSIÇÕES GERAIS'!B:I,7,0),0))),"Em Elaboração")</f>
        <v>0</v>
      </c>
      <c r="I572" s="259">
        <f>IFERROR(IF(D572="SINAPI-S",VLOOKUP(B572,'20-B.SINAPI-S'!A:J,6,0),IF(D572="SINAPI-I",VLOOKUP(B572,'20-A.SINAPI-I'!A:G,7,0),IF(D572="COMPOSIÇÕES",VLOOKUP(B572,'11.COMPOSIÇÕES GERAIS'!B:I,8,0),VLOOKUP(B572,'12.COT.MERCADO'!A:I,8,0)))),"Em Elaboração")</f>
        <v>4.44</v>
      </c>
      <c r="J572" s="259">
        <f t="shared" si="137"/>
        <v>0</v>
      </c>
      <c r="K572" s="259">
        <f t="shared" si="138"/>
        <v>5.200725558</v>
      </c>
      <c r="L572" s="259">
        <f t="shared" si="139"/>
        <v>5.200725558</v>
      </c>
      <c r="M572" s="259">
        <f t="shared" si="140"/>
        <v>0</v>
      </c>
      <c r="N572" s="259">
        <f t="shared" si="141"/>
        <v>15.60217667</v>
      </c>
      <c r="O572" s="259">
        <f t="shared" si="142"/>
        <v>15.60217667</v>
      </c>
      <c r="P572" s="260">
        <f t="shared" si="2"/>
        <v>0.00001220518088</v>
      </c>
    </row>
    <row r="573">
      <c r="A573" s="253" t="s">
        <v>726</v>
      </c>
      <c r="B573" s="254">
        <v>816.0</v>
      </c>
      <c r="C573" s="255" t="str">
        <f t="shared" si="136"/>
        <v>SINAPI</v>
      </c>
      <c r="D573" s="256" t="s">
        <v>286</v>
      </c>
      <c r="E573" s="257" t="str">
        <f>IFERROR(IF(D573="SINAPI-S",VLOOKUP(B573,'20-B.SINAPI-S'!A:J,2,0),IF(D573="SINAPI-I",VLOOKUP(B573,'20-A.SINAPI-I'!A:G,2,0),IF(D573="COMPOSIÇÕES",VLOOKUP(B573,'11.COMPOSIÇÕES GERAIS'!B:I,2,0),VLOOKUP(B573,'12.COT.MERCADO'!A:I,2,0)))),"Em Elaboração")</f>
        <v>BUCHA DE REDUCAO DE PVC, SOLDAVEL, LONGA, COM 60 X 25 MM, PARA AGUA FRIA PREDIAL</v>
      </c>
      <c r="F573" s="258" t="str">
        <f>IFERROR(IF(D573="SINAPI-S",VLOOKUP(B573,'20-B.SINAPI-S'!A:J,3,0),IF(D573="SINAPI-I",VLOOKUP(B573,'20-A.SINAPI-I'!A:G,3,0),IF(D573="COMPOSIÇÕES",VLOOKUP(B573,'11.COMPOSIÇÕES GERAIS'!B:I,3,0),VLOOKUP(B573,'12.COT.MERCADO'!A:I,7,0)))),"Em Elaboração")</f>
        <v>UN</v>
      </c>
      <c r="G573" s="254">
        <v>3.0</v>
      </c>
      <c r="H573" s="259">
        <f>IFERROR(IF(D573="SINAPI-S",VLOOKUP(B573,'20-B.SINAPI-S'!A:J,5,0),IF(D573="SINAPI-I",VLOOKUP(B573,'20-A.SINAPI-I'!A:G,6,0),IF(D573="COMPOSIÇÕES",VLOOKUP(B573,'11.COMPOSIÇÕES GERAIS'!B:I,7,0),0))),"Em Elaboração")</f>
        <v>0</v>
      </c>
      <c r="I573" s="259">
        <f>IFERROR(IF(D573="SINAPI-S",VLOOKUP(B573,'20-B.SINAPI-S'!A:J,6,0),IF(D573="SINAPI-I",VLOOKUP(B573,'20-A.SINAPI-I'!A:G,7,0),IF(D573="COMPOSIÇÕES",VLOOKUP(B573,'11.COMPOSIÇÕES GERAIS'!B:I,8,0),VLOOKUP(B573,'12.COT.MERCADO'!A:I,8,0)))),"Em Elaboração")</f>
        <v>10.66</v>
      </c>
      <c r="J573" s="259">
        <f t="shared" si="137"/>
        <v>0</v>
      </c>
      <c r="K573" s="259">
        <f t="shared" si="138"/>
        <v>12.48642668</v>
      </c>
      <c r="L573" s="259">
        <f t="shared" si="139"/>
        <v>12.48642668</v>
      </c>
      <c r="M573" s="259">
        <f t="shared" si="140"/>
        <v>0</v>
      </c>
      <c r="N573" s="259">
        <f t="shared" si="141"/>
        <v>37.45928003</v>
      </c>
      <c r="O573" s="259">
        <f t="shared" si="142"/>
        <v>37.45928003</v>
      </c>
      <c r="P573" s="260">
        <f t="shared" si="2"/>
        <v>0.00002930342977</v>
      </c>
    </row>
    <row r="574">
      <c r="A574" s="253" t="s">
        <v>727</v>
      </c>
      <c r="B574" s="254">
        <v>814.0</v>
      </c>
      <c r="C574" s="255" t="str">
        <f t="shared" si="136"/>
        <v>SINAPI</v>
      </c>
      <c r="D574" s="256" t="s">
        <v>286</v>
      </c>
      <c r="E574" s="257" t="str">
        <f>IFERROR(IF(D574="SINAPI-S",VLOOKUP(B574,'20-B.SINAPI-S'!A:J,2,0),IF(D574="SINAPI-I",VLOOKUP(B574,'20-A.SINAPI-I'!A:G,2,0),IF(D574="COMPOSIÇÕES",VLOOKUP(B574,'11.COMPOSIÇÕES GERAIS'!B:I,2,0),VLOOKUP(B574,'12.COT.MERCADO'!A:I,2,0)))),"Em Elaboração")</f>
        <v>BUCHA DE REDUCAO DE PVC, SOLDAVEL, LONGA, COM 60 X 32 MM, PARA AGUA FRIA PREDIAL</v>
      </c>
      <c r="F574" s="258" t="str">
        <f>IFERROR(IF(D574="SINAPI-S",VLOOKUP(B574,'20-B.SINAPI-S'!A:J,3,0),IF(D574="SINAPI-I",VLOOKUP(B574,'20-A.SINAPI-I'!A:G,3,0),IF(D574="COMPOSIÇÕES",VLOOKUP(B574,'11.COMPOSIÇÕES GERAIS'!B:I,3,0),VLOOKUP(B574,'12.COT.MERCADO'!A:I,7,0)))),"Em Elaboração")</f>
        <v>UN</v>
      </c>
      <c r="G574" s="254">
        <v>3.0</v>
      </c>
      <c r="H574" s="259">
        <f>IFERROR(IF(D574="SINAPI-S",VLOOKUP(B574,'20-B.SINAPI-S'!A:J,5,0),IF(D574="SINAPI-I",VLOOKUP(B574,'20-A.SINAPI-I'!A:G,6,0),IF(D574="COMPOSIÇÕES",VLOOKUP(B574,'11.COMPOSIÇÕES GERAIS'!B:I,7,0),0))),"Em Elaboração")</f>
        <v>0</v>
      </c>
      <c r="I574" s="259">
        <f>IFERROR(IF(D574="SINAPI-S",VLOOKUP(B574,'20-B.SINAPI-S'!A:J,6,0),IF(D574="SINAPI-I",VLOOKUP(B574,'20-A.SINAPI-I'!A:G,7,0),IF(D574="COMPOSIÇÕES",VLOOKUP(B574,'11.COMPOSIÇÕES GERAIS'!B:I,8,0),VLOOKUP(B574,'12.COT.MERCADO'!A:I,8,0)))),"Em Elaboração")</f>
        <v>13.24</v>
      </c>
      <c r="J574" s="259">
        <f t="shared" si="137"/>
        <v>0</v>
      </c>
      <c r="K574" s="259">
        <f t="shared" si="138"/>
        <v>15.50846991</v>
      </c>
      <c r="L574" s="259">
        <f t="shared" si="139"/>
        <v>15.50846991</v>
      </c>
      <c r="M574" s="259">
        <f t="shared" si="140"/>
        <v>0</v>
      </c>
      <c r="N574" s="259">
        <f t="shared" si="141"/>
        <v>46.52540972</v>
      </c>
      <c r="O574" s="259">
        <f t="shared" si="142"/>
        <v>46.52540972</v>
      </c>
      <c r="P574" s="260">
        <f t="shared" si="2"/>
        <v>0.00003639562947</v>
      </c>
    </row>
    <row r="575">
      <c r="A575" s="253" t="s">
        <v>728</v>
      </c>
      <c r="B575" s="254">
        <v>822.0</v>
      </c>
      <c r="C575" s="255" t="str">
        <f t="shared" si="136"/>
        <v>SINAPI</v>
      </c>
      <c r="D575" s="256" t="s">
        <v>286</v>
      </c>
      <c r="E575" s="257" t="str">
        <f>IFERROR(IF(D575="SINAPI-S",VLOOKUP(B575,'20-B.SINAPI-S'!A:J,2,0),IF(D575="SINAPI-I",VLOOKUP(B575,'20-A.SINAPI-I'!A:G,2,0),IF(D575="COMPOSIÇÕES",VLOOKUP(B575,'11.COMPOSIÇÕES GERAIS'!B:I,2,0),VLOOKUP(B575,'12.COT.MERCADO'!A:I,2,0)))),"Em Elaboração")</f>
        <v>BUCHA DE REDUCAO DE PVC, SOLDAVEL, LONGA, COM 60 X 50 MM, PARA AGUA FRIA PREDIAL</v>
      </c>
      <c r="F575" s="258" t="str">
        <f>IFERROR(IF(D575="SINAPI-S",VLOOKUP(B575,'20-B.SINAPI-S'!A:J,3,0),IF(D575="SINAPI-I",VLOOKUP(B575,'20-A.SINAPI-I'!A:G,3,0),IF(D575="COMPOSIÇÕES",VLOOKUP(B575,'11.COMPOSIÇÕES GERAIS'!B:I,3,0),VLOOKUP(B575,'12.COT.MERCADO'!A:I,7,0)))),"Em Elaboração")</f>
        <v>UN</v>
      </c>
      <c r="G575" s="254">
        <v>3.0</v>
      </c>
      <c r="H575" s="259">
        <f>IFERROR(IF(D575="SINAPI-S",VLOOKUP(B575,'20-B.SINAPI-S'!A:J,5,0),IF(D575="SINAPI-I",VLOOKUP(B575,'20-A.SINAPI-I'!A:G,6,0),IF(D575="COMPOSIÇÕES",VLOOKUP(B575,'11.COMPOSIÇÕES GERAIS'!B:I,7,0),0))),"Em Elaboração")</f>
        <v>0</v>
      </c>
      <c r="I575" s="259">
        <f>IFERROR(IF(D575="SINAPI-S",VLOOKUP(B575,'20-B.SINAPI-S'!A:J,6,0),IF(D575="SINAPI-I",VLOOKUP(B575,'20-A.SINAPI-I'!A:G,7,0),IF(D575="COMPOSIÇÕES",VLOOKUP(B575,'11.COMPOSIÇÕES GERAIS'!B:I,8,0),VLOOKUP(B575,'12.COT.MERCADO'!A:I,8,0)))),"Em Elaboração")</f>
        <v>17.28</v>
      </c>
      <c r="J575" s="259">
        <f t="shared" si="137"/>
        <v>0</v>
      </c>
      <c r="K575" s="259">
        <f t="shared" si="138"/>
        <v>20.24066163</v>
      </c>
      <c r="L575" s="259">
        <f t="shared" si="139"/>
        <v>20.24066163</v>
      </c>
      <c r="M575" s="259">
        <f t="shared" si="140"/>
        <v>0</v>
      </c>
      <c r="N575" s="259">
        <f t="shared" si="141"/>
        <v>60.72198489</v>
      </c>
      <c r="O575" s="259">
        <f t="shared" si="142"/>
        <v>60.72198489</v>
      </c>
      <c r="P575" s="260">
        <f t="shared" si="2"/>
        <v>0.00004750124451</v>
      </c>
    </row>
    <row r="576">
      <c r="A576" s="253" t="s">
        <v>729</v>
      </c>
      <c r="B576" s="254">
        <v>11868.0</v>
      </c>
      <c r="C576" s="255" t="str">
        <f t="shared" si="136"/>
        <v>SINAPI</v>
      </c>
      <c r="D576" s="256" t="s">
        <v>286</v>
      </c>
      <c r="E576" s="257" t="str">
        <f>IFERROR(IF(D576="SINAPI-S",VLOOKUP(B576,'20-B.SINAPI-S'!A:J,2,0),IF(D576="SINAPI-I",VLOOKUP(B576,'20-A.SINAPI-I'!A:G,2,0),IF(D576="COMPOSIÇÕES",VLOOKUP(B576,'11.COMPOSIÇÕES GERAIS'!B:I,2,0),VLOOKUP(B576,'12.COT.MERCADO'!A:I,2,0)))),"Em Elaboração")</f>
        <v>CAIXA D'AGUA / RESERVATORIO EM POLIESTER REFORCADO COM FIBRA DE VIDRO,1000 LITROS, COM TAMPA</v>
      </c>
      <c r="F576" s="258" t="str">
        <f>IFERROR(IF(D576="SINAPI-S",VLOOKUP(B576,'20-B.SINAPI-S'!A:J,3,0),IF(D576="SINAPI-I",VLOOKUP(B576,'20-A.SINAPI-I'!A:G,3,0),IF(D576="COMPOSIÇÕES",VLOOKUP(B576,'11.COMPOSIÇÕES GERAIS'!B:I,3,0),VLOOKUP(B576,'12.COT.MERCADO'!A:I,7,0)))),"Em Elaboração")</f>
        <v>UN</v>
      </c>
      <c r="G576" s="254">
        <v>3.0</v>
      </c>
      <c r="H576" s="259">
        <f>IFERROR(IF(D576="SINAPI-S",VLOOKUP(B576,'20-B.SINAPI-S'!A:J,5,0),IF(D576="SINAPI-I",VLOOKUP(B576,'20-A.SINAPI-I'!A:G,6,0),IF(D576="COMPOSIÇÕES",VLOOKUP(B576,'11.COMPOSIÇÕES GERAIS'!B:I,7,0),0))),"Em Elaboração")</f>
        <v>0</v>
      </c>
      <c r="I576" s="259">
        <f>IFERROR(IF(D576="SINAPI-S",VLOOKUP(B576,'20-B.SINAPI-S'!A:J,6,0),IF(D576="SINAPI-I",VLOOKUP(B576,'20-A.SINAPI-I'!A:G,7,0),IF(D576="COMPOSIÇÕES",VLOOKUP(B576,'11.COMPOSIÇÕES GERAIS'!B:I,8,0),VLOOKUP(B576,'12.COT.MERCADO'!A:I,8,0)))),"Em Elaboração")</f>
        <v>667.06</v>
      </c>
      <c r="J576" s="259">
        <f t="shared" si="137"/>
        <v>0</v>
      </c>
      <c r="K576" s="259">
        <f t="shared" si="138"/>
        <v>781.3504484</v>
      </c>
      <c r="L576" s="259">
        <f t="shared" si="139"/>
        <v>781.3504484</v>
      </c>
      <c r="M576" s="259">
        <f t="shared" si="140"/>
        <v>0</v>
      </c>
      <c r="N576" s="259">
        <f t="shared" si="141"/>
        <v>2344.051345</v>
      </c>
      <c r="O576" s="259">
        <f t="shared" si="142"/>
        <v>2344.051345</v>
      </c>
      <c r="P576" s="260">
        <f t="shared" si="2"/>
        <v>0.001833690982</v>
      </c>
    </row>
    <row r="577">
      <c r="A577" s="253" t="s">
        <v>730</v>
      </c>
      <c r="B577" s="254">
        <v>11712.0</v>
      </c>
      <c r="C577" s="255" t="str">
        <f t="shared" si="136"/>
        <v>SINAPI</v>
      </c>
      <c r="D577" s="256" t="s">
        <v>286</v>
      </c>
      <c r="E577" s="257" t="str">
        <f>IFERROR(IF(D577="SINAPI-S",VLOOKUP(B577,'20-B.SINAPI-S'!A:J,2,0),IF(D577="SINAPI-I",VLOOKUP(B577,'20-A.SINAPI-I'!A:G,2,0),IF(D577="COMPOSIÇÕES",VLOOKUP(B577,'11.COMPOSIÇÕES GERAIS'!B:I,2,0),VLOOKUP(B577,'12.COT.MERCADO'!A:I,2,0)))),"Em Elaboração")</f>
        <v>CAIXA SIFONADA, PVC, 150 X 150 X 50 MM, COM GRELHA QUADRADA, BRANCA (NBR 5688)</v>
      </c>
      <c r="F577" s="258" t="str">
        <f>IFERROR(IF(D577="SINAPI-S",VLOOKUP(B577,'20-B.SINAPI-S'!A:J,3,0),IF(D577="SINAPI-I",VLOOKUP(B577,'20-A.SINAPI-I'!A:G,3,0),IF(D577="COMPOSIÇÕES",VLOOKUP(B577,'11.COMPOSIÇÕES GERAIS'!B:I,3,0),VLOOKUP(B577,'12.COT.MERCADO'!A:I,7,0)))),"Em Elaboração")</f>
        <v>UN</v>
      </c>
      <c r="G577" s="254">
        <v>4.0</v>
      </c>
      <c r="H577" s="259">
        <f>IFERROR(IF(D577="SINAPI-S",VLOOKUP(B577,'20-B.SINAPI-S'!A:J,5,0),IF(D577="SINAPI-I",VLOOKUP(B577,'20-A.SINAPI-I'!A:G,6,0),IF(D577="COMPOSIÇÕES",VLOOKUP(B577,'11.COMPOSIÇÕES GERAIS'!B:I,7,0),0))),"Em Elaboração")</f>
        <v>0</v>
      </c>
      <c r="I577" s="259">
        <f>IFERROR(IF(D577="SINAPI-S",VLOOKUP(B577,'20-B.SINAPI-S'!A:J,6,0),IF(D577="SINAPI-I",VLOOKUP(B577,'20-A.SINAPI-I'!A:G,7,0),IF(D577="COMPOSIÇÕES",VLOOKUP(B577,'11.COMPOSIÇÕES GERAIS'!B:I,8,0),VLOOKUP(B577,'12.COT.MERCADO'!A:I,8,0)))),"Em Elaboração")</f>
        <v>43.65</v>
      </c>
      <c r="J577" s="259">
        <f t="shared" si="137"/>
        <v>0</v>
      </c>
      <c r="K577" s="259">
        <f t="shared" si="138"/>
        <v>51.12875464</v>
      </c>
      <c r="L577" s="259">
        <f t="shared" si="139"/>
        <v>51.12875464</v>
      </c>
      <c r="M577" s="259">
        <f t="shared" si="140"/>
        <v>0</v>
      </c>
      <c r="N577" s="259">
        <f t="shared" si="141"/>
        <v>204.5150186</v>
      </c>
      <c r="O577" s="259">
        <f t="shared" si="142"/>
        <v>204.5150186</v>
      </c>
      <c r="P577" s="260">
        <f t="shared" si="2"/>
        <v>0.0001599868305</v>
      </c>
    </row>
    <row r="578">
      <c r="A578" s="253" t="s">
        <v>731</v>
      </c>
      <c r="B578" s="254">
        <v>11880.0</v>
      </c>
      <c r="C578" s="255" t="str">
        <f t="shared" si="136"/>
        <v>SINAPI</v>
      </c>
      <c r="D578" s="256" t="s">
        <v>286</v>
      </c>
      <c r="E578" s="257" t="str">
        <f>IFERROR(IF(D578="SINAPI-S",VLOOKUP(B578,'20-B.SINAPI-S'!A:J,2,0),IF(D578="SINAPI-I",VLOOKUP(B578,'20-A.SINAPI-I'!A:G,2,0),IF(D578="COMPOSIÇÕES",VLOOKUP(B578,'11.COMPOSIÇÕES GERAIS'!B:I,2,0),VLOOKUP(B578,'12.COT.MERCADO'!A:I,2,0)))),"Em Elaboração")</f>
        <v>CAIXA SIFONADA PVC, 250 X 230 X 75 MM, COM TAMPA CEGA QUADRADA, BRANCA</v>
      </c>
      <c r="F578" s="258" t="str">
        <f>IFERROR(IF(D578="SINAPI-S",VLOOKUP(B578,'20-B.SINAPI-S'!A:J,3,0),IF(D578="SINAPI-I",VLOOKUP(B578,'20-A.SINAPI-I'!A:G,3,0),IF(D578="COMPOSIÇÕES",VLOOKUP(B578,'11.COMPOSIÇÕES GERAIS'!B:I,3,0),VLOOKUP(B578,'12.COT.MERCADO'!A:I,7,0)))),"Em Elaboração")</f>
        <v>UN</v>
      </c>
      <c r="G578" s="254">
        <v>4.0</v>
      </c>
      <c r="H578" s="259">
        <f>IFERROR(IF(D578="SINAPI-S",VLOOKUP(B578,'20-B.SINAPI-S'!A:J,5,0),IF(D578="SINAPI-I",VLOOKUP(B578,'20-A.SINAPI-I'!A:G,6,0),IF(D578="COMPOSIÇÕES",VLOOKUP(B578,'11.COMPOSIÇÕES GERAIS'!B:I,7,0),0))),"Em Elaboração")</f>
        <v>0</v>
      </c>
      <c r="I578" s="259">
        <f>IFERROR(IF(D578="SINAPI-S",VLOOKUP(B578,'20-B.SINAPI-S'!A:J,6,0),IF(D578="SINAPI-I",VLOOKUP(B578,'20-A.SINAPI-I'!A:G,7,0),IF(D578="COMPOSIÇÕES",VLOOKUP(B578,'11.COMPOSIÇÕES GERAIS'!B:I,8,0),VLOOKUP(B578,'12.COT.MERCADO'!A:I,8,0)))),"Em Elaboração")</f>
        <v>98.12</v>
      </c>
      <c r="J578" s="259">
        <f t="shared" si="137"/>
        <v>0</v>
      </c>
      <c r="K578" s="259">
        <f t="shared" si="138"/>
        <v>114.9313495</v>
      </c>
      <c r="L578" s="259">
        <f t="shared" si="139"/>
        <v>114.9313495</v>
      </c>
      <c r="M578" s="259">
        <f t="shared" si="140"/>
        <v>0</v>
      </c>
      <c r="N578" s="259">
        <f t="shared" si="141"/>
        <v>459.725398</v>
      </c>
      <c r="O578" s="259">
        <f t="shared" si="142"/>
        <v>459.725398</v>
      </c>
      <c r="P578" s="260">
        <f t="shared" si="2"/>
        <v>0.0003596313357</v>
      </c>
    </row>
    <row r="579">
      <c r="A579" s="253" t="s">
        <v>732</v>
      </c>
      <c r="B579" s="254">
        <v>1030.0</v>
      </c>
      <c r="C579" s="255" t="str">
        <f t="shared" si="136"/>
        <v>SINAPI</v>
      </c>
      <c r="D579" s="256" t="s">
        <v>286</v>
      </c>
      <c r="E579" s="257" t="str">
        <f>IFERROR(IF(D579="SINAPI-S",VLOOKUP(B579,'20-B.SINAPI-S'!A:J,2,0),IF(D579="SINAPI-I",VLOOKUP(B579,'20-A.SINAPI-I'!A:G,2,0),IF(D579="COMPOSIÇÕES",VLOOKUP(B579,'11.COMPOSIÇÕES GERAIS'!B:I,2,0),VLOOKUP(B579,'12.COT.MERCADO'!A:I,2,0)))),"Em Elaboração")</f>
        <v>CAIXA DE DESCARGA DE PLASTICO EXTERNA, DE *9* L, PUXADOR FIO DE NYLON, NAO INCLUSO CANO, BOLSA, ENGATE</v>
      </c>
      <c r="F579" s="258" t="str">
        <f>IFERROR(IF(D579="SINAPI-S",VLOOKUP(B579,'20-B.SINAPI-S'!A:J,3,0),IF(D579="SINAPI-I",VLOOKUP(B579,'20-A.SINAPI-I'!A:G,3,0),IF(D579="COMPOSIÇÕES",VLOOKUP(B579,'11.COMPOSIÇÕES GERAIS'!B:I,3,0),VLOOKUP(B579,'12.COT.MERCADO'!A:I,7,0)))),"Em Elaboração")</f>
        <v>UN</v>
      </c>
      <c r="G579" s="254">
        <v>2.0</v>
      </c>
      <c r="H579" s="259">
        <f>IFERROR(IF(D579="SINAPI-S",VLOOKUP(B579,'20-B.SINAPI-S'!A:J,5,0),IF(D579="SINAPI-I",VLOOKUP(B579,'20-A.SINAPI-I'!A:G,6,0),IF(D579="COMPOSIÇÕES",VLOOKUP(B579,'11.COMPOSIÇÕES GERAIS'!B:I,7,0),0))),"Em Elaboração")</f>
        <v>0</v>
      </c>
      <c r="I579" s="259">
        <f>IFERROR(IF(D579="SINAPI-S",VLOOKUP(B579,'20-B.SINAPI-S'!A:J,6,0),IF(D579="SINAPI-I",VLOOKUP(B579,'20-A.SINAPI-I'!A:G,7,0),IF(D579="COMPOSIÇÕES",VLOOKUP(B579,'11.COMPOSIÇÕES GERAIS'!B:I,8,0),VLOOKUP(B579,'12.COT.MERCADO'!A:I,8,0)))),"Em Elaboração")</f>
        <v>49.34</v>
      </c>
      <c r="J579" s="259">
        <f t="shared" si="137"/>
        <v>0</v>
      </c>
      <c r="K579" s="259">
        <f t="shared" si="138"/>
        <v>57.79364843</v>
      </c>
      <c r="L579" s="259">
        <f t="shared" si="139"/>
        <v>57.79364843</v>
      </c>
      <c r="M579" s="259">
        <f t="shared" si="140"/>
        <v>0</v>
      </c>
      <c r="N579" s="259">
        <f t="shared" si="141"/>
        <v>115.5872969</v>
      </c>
      <c r="O579" s="259">
        <f t="shared" si="142"/>
        <v>115.5872969</v>
      </c>
      <c r="P579" s="260">
        <f t="shared" si="2"/>
        <v>0.00009042096467</v>
      </c>
    </row>
    <row r="580">
      <c r="A580" s="253" t="s">
        <v>733</v>
      </c>
      <c r="B580" s="254">
        <v>5103.0</v>
      </c>
      <c r="C580" s="255" t="str">
        <f t="shared" si="136"/>
        <v>SINAPI</v>
      </c>
      <c r="D580" s="256" t="s">
        <v>286</v>
      </c>
      <c r="E580" s="257" t="str">
        <f>IFERROR(IF(D580="SINAPI-S",VLOOKUP(B580,'20-B.SINAPI-S'!A:J,2,0),IF(D580="SINAPI-I",VLOOKUP(B580,'20-A.SINAPI-I'!A:G,2,0),IF(D580="COMPOSIÇÕES",VLOOKUP(B580,'11.COMPOSIÇÕES GERAIS'!B:I,2,0),VLOOKUP(B580,'12.COT.MERCADO'!A:I,2,0)))),"Em Elaboração")</f>
        <v>CAIXA SIFONADA PVC, 100 X 100 X 50 MM, COM GRELHA REDONDA, BRANCA</v>
      </c>
      <c r="F580" s="258" t="str">
        <f>IFERROR(IF(D580="SINAPI-S",VLOOKUP(B580,'20-B.SINAPI-S'!A:J,3,0),IF(D580="SINAPI-I",VLOOKUP(B580,'20-A.SINAPI-I'!A:G,3,0),IF(D580="COMPOSIÇÕES",VLOOKUP(B580,'11.COMPOSIÇÕES GERAIS'!B:I,3,0),VLOOKUP(B580,'12.COT.MERCADO'!A:I,7,0)))),"Em Elaboração")</f>
        <v>UN</v>
      </c>
      <c r="G580" s="254">
        <v>2.0</v>
      </c>
      <c r="H580" s="259">
        <f>IFERROR(IF(D580="SINAPI-S",VLOOKUP(B580,'20-B.SINAPI-S'!A:J,5,0),IF(D580="SINAPI-I",VLOOKUP(B580,'20-A.SINAPI-I'!A:G,6,0),IF(D580="COMPOSIÇÕES",VLOOKUP(B580,'11.COMPOSIÇÕES GERAIS'!B:I,7,0),0))),"Em Elaboração")</f>
        <v>0</v>
      </c>
      <c r="I580" s="259">
        <f>IFERROR(IF(D580="SINAPI-S",VLOOKUP(B580,'20-B.SINAPI-S'!A:J,6,0),IF(D580="SINAPI-I",VLOOKUP(B580,'20-A.SINAPI-I'!A:G,7,0),IF(D580="COMPOSIÇÕES",VLOOKUP(B580,'11.COMPOSIÇÕES GERAIS'!B:I,8,0),VLOOKUP(B580,'12.COT.MERCADO'!A:I,8,0)))),"Em Elaboração")</f>
        <v>23.33</v>
      </c>
      <c r="J580" s="259">
        <f t="shared" si="137"/>
        <v>0</v>
      </c>
      <c r="K580" s="259">
        <f t="shared" si="138"/>
        <v>27.32723587</v>
      </c>
      <c r="L580" s="259">
        <f t="shared" si="139"/>
        <v>27.32723587</v>
      </c>
      <c r="M580" s="259">
        <f t="shared" si="140"/>
        <v>0</v>
      </c>
      <c r="N580" s="259">
        <f t="shared" si="141"/>
        <v>54.65447174</v>
      </c>
      <c r="O580" s="259">
        <f t="shared" si="142"/>
        <v>54.65447174</v>
      </c>
      <c r="P580" s="260">
        <f t="shared" si="2"/>
        <v>0.00004275478528</v>
      </c>
    </row>
    <row r="581">
      <c r="A581" s="253" t="s">
        <v>734</v>
      </c>
      <c r="B581" s="254">
        <v>40607.0</v>
      </c>
      <c r="C581" s="255" t="str">
        <f t="shared" si="136"/>
        <v>SINAPI</v>
      </c>
      <c r="D581" s="256" t="s">
        <v>286</v>
      </c>
      <c r="E581" s="257" t="str">
        <f>IFERROR(IF(D581="SINAPI-S",VLOOKUP(B581,'20-B.SINAPI-S'!A:J,2,0),IF(D581="SINAPI-I",VLOOKUP(B581,'20-A.SINAPI-I'!A:G,2,0),IF(D581="COMPOSIÇÕES",VLOOKUP(B581,'11.COMPOSIÇÕES GERAIS'!B:I,2,0),VLOOKUP(B581,'12.COT.MERCADO'!A:I,2,0)))),"Em Elaboração")</f>
        <v>CANOPLA ACABAMENTO CROMADO PARA INSTALACAO DE SPRINKLER, SOB FORRO, 15 MM</v>
      </c>
      <c r="F581" s="258" t="str">
        <f>IFERROR(IF(D581="SINAPI-S",VLOOKUP(B581,'20-B.SINAPI-S'!A:J,3,0),IF(D581="SINAPI-I",VLOOKUP(B581,'20-A.SINAPI-I'!A:G,3,0),IF(D581="COMPOSIÇÕES",VLOOKUP(B581,'11.COMPOSIÇÕES GERAIS'!B:I,3,0),VLOOKUP(B581,'12.COT.MERCADO'!A:I,7,0)))),"Em Elaboração")</f>
        <v>UN</v>
      </c>
      <c r="G581" s="254">
        <v>2.0</v>
      </c>
      <c r="H581" s="259">
        <f>IFERROR(IF(D581="SINAPI-S",VLOOKUP(B581,'20-B.SINAPI-S'!A:J,5,0),IF(D581="SINAPI-I",VLOOKUP(B581,'20-A.SINAPI-I'!A:G,6,0),IF(D581="COMPOSIÇÕES",VLOOKUP(B581,'11.COMPOSIÇÕES GERAIS'!B:I,7,0),0))),"Em Elaboração")</f>
        <v>0</v>
      </c>
      <c r="I581" s="259">
        <f>IFERROR(IF(D581="SINAPI-S",VLOOKUP(B581,'20-B.SINAPI-S'!A:J,6,0),IF(D581="SINAPI-I",VLOOKUP(B581,'20-A.SINAPI-I'!A:G,7,0),IF(D581="COMPOSIÇÕES",VLOOKUP(B581,'11.COMPOSIÇÕES GERAIS'!B:I,8,0),VLOOKUP(B581,'12.COT.MERCADO'!A:I,8,0)))),"Em Elaboração")</f>
        <v>7.68</v>
      </c>
      <c r="J581" s="259">
        <f t="shared" si="137"/>
        <v>0</v>
      </c>
      <c r="K581" s="259">
        <f t="shared" si="138"/>
        <v>8.995849614</v>
      </c>
      <c r="L581" s="259">
        <f t="shared" si="139"/>
        <v>8.995849614</v>
      </c>
      <c r="M581" s="259">
        <f t="shared" si="140"/>
        <v>0</v>
      </c>
      <c r="N581" s="259">
        <f t="shared" si="141"/>
        <v>17.99169923</v>
      </c>
      <c r="O581" s="259">
        <f t="shared" si="142"/>
        <v>17.99169923</v>
      </c>
      <c r="P581" s="260">
        <f t="shared" si="2"/>
        <v>0.00001407444282</v>
      </c>
    </row>
    <row r="582">
      <c r="A582" s="253" t="s">
        <v>735</v>
      </c>
      <c r="B582" s="254">
        <v>567.0</v>
      </c>
      <c r="C582" s="255" t="str">
        <f t="shared" si="136"/>
        <v>SINAPI</v>
      </c>
      <c r="D582" s="256" t="s">
        <v>286</v>
      </c>
      <c r="E582" s="257" t="str">
        <f>IFERROR(IF(D582="SINAPI-S",VLOOKUP(B582,'20-B.SINAPI-S'!A:J,2,0),IF(D582="SINAPI-I",VLOOKUP(B582,'20-A.SINAPI-I'!A:G,2,0),IF(D582="COMPOSIÇÕES",VLOOKUP(B582,'11.COMPOSIÇÕES GERAIS'!B:I,2,0),VLOOKUP(B582,'12.COT.MERCADO'!A:I,2,0)))),"Em Elaboração")</f>
        <v>CANTONEIRA (ABAS IGUAIS) EM ACO CARBONO, 25,4 MM X 3,17 MM (L X E), 1,27KG/M</v>
      </c>
      <c r="F582" s="258" t="str">
        <f>IFERROR(IF(D582="SINAPI-S",VLOOKUP(B582,'20-B.SINAPI-S'!A:J,3,0),IF(D582="SINAPI-I",VLOOKUP(B582,'20-A.SINAPI-I'!A:G,3,0),IF(D582="COMPOSIÇÕES",VLOOKUP(B582,'11.COMPOSIÇÕES GERAIS'!B:I,3,0),VLOOKUP(B582,'12.COT.MERCADO'!A:I,7,0)))),"Em Elaboração")</f>
        <v>M</v>
      </c>
      <c r="G582" s="254">
        <v>9.0</v>
      </c>
      <c r="H582" s="259">
        <f>IFERROR(IF(D582="SINAPI-S",VLOOKUP(B582,'20-B.SINAPI-S'!A:J,5,0),IF(D582="SINAPI-I",VLOOKUP(B582,'20-A.SINAPI-I'!A:G,6,0),IF(D582="COMPOSIÇÕES",VLOOKUP(B582,'11.COMPOSIÇÕES GERAIS'!B:I,7,0),0))),"Em Elaboração")</f>
        <v>0</v>
      </c>
      <c r="I582" s="259">
        <f>IFERROR(IF(D582="SINAPI-S",VLOOKUP(B582,'20-B.SINAPI-S'!A:J,6,0),IF(D582="SINAPI-I",VLOOKUP(B582,'20-A.SINAPI-I'!A:G,7,0),IF(D582="COMPOSIÇÕES",VLOOKUP(B582,'11.COMPOSIÇÕES GERAIS'!B:I,8,0),VLOOKUP(B582,'12.COT.MERCADO'!A:I,8,0)))),"Em Elaboração")</f>
        <v>11.96</v>
      </c>
      <c r="J582" s="259">
        <f t="shared" si="137"/>
        <v>0</v>
      </c>
      <c r="K582" s="259">
        <f t="shared" si="138"/>
        <v>14.00916164</v>
      </c>
      <c r="L582" s="259">
        <f t="shared" si="139"/>
        <v>14.00916164</v>
      </c>
      <c r="M582" s="259">
        <f t="shared" si="140"/>
        <v>0</v>
      </c>
      <c r="N582" s="259">
        <f t="shared" si="141"/>
        <v>126.0824547</v>
      </c>
      <c r="O582" s="259">
        <f t="shared" si="142"/>
        <v>126.0824547</v>
      </c>
      <c r="P582" s="260">
        <f t="shared" si="2"/>
        <v>0.00009863105631</v>
      </c>
    </row>
    <row r="583">
      <c r="A583" s="253" t="s">
        <v>736</v>
      </c>
      <c r="B583" s="254">
        <v>1170.0</v>
      </c>
      <c r="C583" s="255" t="str">
        <f t="shared" si="136"/>
        <v>SINAPI</v>
      </c>
      <c r="D583" s="256" t="s">
        <v>286</v>
      </c>
      <c r="E583" s="257" t="str">
        <f>IFERROR(IF(D583="SINAPI-S",VLOOKUP(B583,'20-B.SINAPI-S'!A:J,2,0),IF(D583="SINAPI-I",VLOOKUP(B583,'20-A.SINAPI-I'!A:G,2,0),IF(D583="COMPOSIÇÕES",VLOOKUP(B583,'11.COMPOSIÇÕES GERAIS'!B:I,2,0),VLOOKUP(B583,'12.COT.MERCADO'!A:I,2,0)))),"Em Elaboração")</f>
        <v>CAP OU TAMPAO DE FERRO GALVANIZADO, COM ROSCA BSP, DE 1"</v>
      </c>
      <c r="F583" s="258" t="str">
        <f>IFERROR(IF(D583="SINAPI-S",VLOOKUP(B583,'20-B.SINAPI-S'!A:J,3,0),IF(D583="SINAPI-I",VLOOKUP(B583,'20-A.SINAPI-I'!A:G,3,0),IF(D583="COMPOSIÇÕES",VLOOKUP(B583,'11.COMPOSIÇÕES GERAIS'!B:I,3,0),VLOOKUP(B583,'12.COT.MERCADO'!A:I,7,0)))),"Em Elaboração")</f>
        <v>UN</v>
      </c>
      <c r="G583" s="254">
        <v>2.0</v>
      </c>
      <c r="H583" s="259">
        <f>IFERROR(IF(D583="SINAPI-S",VLOOKUP(B583,'20-B.SINAPI-S'!A:J,5,0),IF(D583="SINAPI-I",VLOOKUP(B583,'20-A.SINAPI-I'!A:G,6,0),IF(D583="COMPOSIÇÕES",VLOOKUP(B583,'11.COMPOSIÇÕES GERAIS'!B:I,7,0),0))),"Em Elaboração")</f>
        <v>0</v>
      </c>
      <c r="I583" s="259">
        <f>IFERROR(IF(D583="SINAPI-S",VLOOKUP(B583,'20-B.SINAPI-S'!A:J,6,0),IF(D583="SINAPI-I",VLOOKUP(B583,'20-A.SINAPI-I'!A:G,7,0),IF(D583="COMPOSIÇÕES",VLOOKUP(B583,'11.COMPOSIÇÕES GERAIS'!B:I,8,0),VLOOKUP(B583,'12.COT.MERCADO'!A:I,8,0)))),"Em Elaboração")</f>
        <v>11.1</v>
      </c>
      <c r="J583" s="259">
        <f t="shared" si="137"/>
        <v>0</v>
      </c>
      <c r="K583" s="259">
        <f t="shared" si="138"/>
        <v>13.00181389</v>
      </c>
      <c r="L583" s="259">
        <f t="shared" si="139"/>
        <v>13.00181389</v>
      </c>
      <c r="M583" s="259">
        <f t="shared" si="140"/>
        <v>0</v>
      </c>
      <c r="N583" s="259">
        <f t="shared" si="141"/>
        <v>26.00362779</v>
      </c>
      <c r="O583" s="259">
        <f t="shared" si="142"/>
        <v>26.00362779</v>
      </c>
      <c r="P583" s="260">
        <f t="shared" si="2"/>
        <v>0.00002034196814</v>
      </c>
    </row>
    <row r="584">
      <c r="A584" s="253" t="s">
        <v>737</v>
      </c>
      <c r="B584" s="254">
        <v>574.0</v>
      </c>
      <c r="C584" s="255" t="str">
        <f t="shared" si="136"/>
        <v>SINAPI</v>
      </c>
      <c r="D584" s="256" t="s">
        <v>286</v>
      </c>
      <c r="E584" s="257" t="str">
        <f>IFERROR(IF(D584="SINAPI-S",VLOOKUP(B584,'20-B.SINAPI-S'!A:J,2,0),IF(D584="SINAPI-I",VLOOKUP(B584,'20-A.SINAPI-I'!A:G,2,0),IF(D584="COMPOSIÇÕES",VLOOKUP(B584,'11.COMPOSIÇÕES GERAIS'!B:I,2,0),VLOOKUP(B584,'12.COT.MERCADO'!A:I,2,0)))),"Em Elaboração")</f>
        <v>CANTONEIRA (ABAS IGUAIS) EM ACO CARBONO, 38,1 MM X 3,17 MM (L X E), 3,48 KG/M</v>
      </c>
      <c r="F584" s="258" t="str">
        <f>IFERROR(IF(D584="SINAPI-S",VLOOKUP(B584,'20-B.SINAPI-S'!A:J,3,0),IF(D584="SINAPI-I",VLOOKUP(B584,'20-A.SINAPI-I'!A:G,3,0),IF(D584="COMPOSIÇÕES",VLOOKUP(B584,'11.COMPOSIÇÕES GERAIS'!B:I,3,0),VLOOKUP(B584,'12.COT.MERCADO'!A:I,7,0)))),"Em Elaboração")</f>
        <v>M</v>
      </c>
      <c r="G584" s="254">
        <v>2.0</v>
      </c>
      <c r="H584" s="259">
        <f>IFERROR(IF(D584="SINAPI-S",VLOOKUP(B584,'20-B.SINAPI-S'!A:J,5,0),IF(D584="SINAPI-I",VLOOKUP(B584,'20-A.SINAPI-I'!A:G,6,0),IF(D584="COMPOSIÇÕES",VLOOKUP(B584,'11.COMPOSIÇÕES GERAIS'!B:I,7,0),0))),"Em Elaboração")</f>
        <v>0</v>
      </c>
      <c r="I584" s="259">
        <f>IFERROR(IF(D584="SINAPI-S",VLOOKUP(B584,'20-B.SINAPI-S'!A:J,6,0),IF(D584="SINAPI-I",VLOOKUP(B584,'20-A.SINAPI-I'!A:G,7,0),IF(D584="COMPOSIÇÕES",VLOOKUP(B584,'11.COMPOSIÇÕES GERAIS'!B:I,8,0),VLOOKUP(B584,'12.COT.MERCADO'!A:I,8,0)))),"Em Elaboração")</f>
        <v>31.44</v>
      </c>
      <c r="J584" s="259">
        <f t="shared" si="137"/>
        <v>0</v>
      </c>
      <c r="K584" s="259">
        <f t="shared" si="138"/>
        <v>36.82675936</v>
      </c>
      <c r="L584" s="259">
        <f t="shared" si="139"/>
        <v>36.82675936</v>
      </c>
      <c r="M584" s="259">
        <f t="shared" si="140"/>
        <v>0</v>
      </c>
      <c r="N584" s="259">
        <f t="shared" si="141"/>
        <v>73.65351871</v>
      </c>
      <c r="O584" s="259">
        <f t="shared" si="142"/>
        <v>73.65351871</v>
      </c>
      <c r="P584" s="260">
        <f t="shared" si="2"/>
        <v>0.00005761725029</v>
      </c>
    </row>
    <row r="585">
      <c r="A585" s="253" t="s">
        <v>738</v>
      </c>
      <c r="B585" s="254">
        <v>20088.0</v>
      </c>
      <c r="C585" s="255" t="str">
        <f t="shared" si="136"/>
        <v>SINAPI</v>
      </c>
      <c r="D585" s="256" t="s">
        <v>286</v>
      </c>
      <c r="E585" s="257" t="str">
        <f>IFERROR(IF(D585="SINAPI-S",VLOOKUP(B585,'20-B.SINAPI-S'!A:J,2,0),IF(D585="SINAPI-I",VLOOKUP(B585,'20-A.SINAPI-I'!A:G,2,0),IF(D585="COMPOSIÇÕES",VLOOKUP(B585,'11.COMPOSIÇÕES GERAIS'!B:I,2,0),VLOOKUP(B585,'12.COT.MERCADO'!A:I,2,0)))),"Em Elaboração")</f>
        <v>CAP PVC, SERIE R, DN 100 MM, PARA ESGOTO PREDIAL</v>
      </c>
      <c r="F585" s="258" t="str">
        <f>IFERROR(IF(D585="SINAPI-S",VLOOKUP(B585,'20-B.SINAPI-S'!A:J,3,0),IF(D585="SINAPI-I",VLOOKUP(B585,'20-A.SINAPI-I'!A:G,3,0),IF(D585="COMPOSIÇÕES",VLOOKUP(B585,'11.COMPOSIÇÕES GERAIS'!B:I,3,0),VLOOKUP(B585,'12.COT.MERCADO'!A:I,7,0)))),"Em Elaboração")</f>
        <v>UN</v>
      </c>
      <c r="G585" s="254">
        <v>2.0</v>
      </c>
      <c r="H585" s="259">
        <f>IFERROR(IF(D585="SINAPI-S",VLOOKUP(B585,'20-B.SINAPI-S'!A:J,5,0),IF(D585="SINAPI-I",VLOOKUP(B585,'20-A.SINAPI-I'!A:G,6,0),IF(D585="COMPOSIÇÕES",VLOOKUP(B585,'11.COMPOSIÇÕES GERAIS'!B:I,7,0),0))),"Em Elaboração")</f>
        <v>0</v>
      </c>
      <c r="I585" s="259">
        <f>IFERROR(IF(D585="SINAPI-S",VLOOKUP(B585,'20-B.SINAPI-S'!A:J,6,0),IF(D585="SINAPI-I",VLOOKUP(B585,'20-A.SINAPI-I'!A:G,7,0),IF(D585="COMPOSIÇÕES",VLOOKUP(B585,'11.COMPOSIÇÕES GERAIS'!B:I,8,0),VLOOKUP(B585,'12.COT.MERCADO'!A:I,8,0)))),"Em Elaboração")</f>
        <v>14.65</v>
      </c>
      <c r="J585" s="259">
        <f t="shared" si="137"/>
        <v>0</v>
      </c>
      <c r="K585" s="259">
        <f t="shared" si="138"/>
        <v>17.16005167</v>
      </c>
      <c r="L585" s="259">
        <f t="shared" si="139"/>
        <v>17.16005167</v>
      </c>
      <c r="M585" s="259">
        <f t="shared" si="140"/>
        <v>0</v>
      </c>
      <c r="N585" s="259">
        <f t="shared" si="141"/>
        <v>34.32010334</v>
      </c>
      <c r="O585" s="259">
        <f t="shared" si="142"/>
        <v>34.32010334</v>
      </c>
      <c r="P585" s="260">
        <f t="shared" si="2"/>
        <v>0.00002684773272</v>
      </c>
    </row>
    <row r="586">
      <c r="A586" s="253" t="s">
        <v>739</v>
      </c>
      <c r="B586" s="254">
        <v>20089.0</v>
      </c>
      <c r="C586" s="255" t="str">
        <f t="shared" si="136"/>
        <v>SINAPI</v>
      </c>
      <c r="D586" s="256" t="s">
        <v>286</v>
      </c>
      <c r="E586" s="257" t="str">
        <f>IFERROR(IF(D586="SINAPI-S",VLOOKUP(B586,'20-B.SINAPI-S'!A:J,2,0),IF(D586="SINAPI-I",VLOOKUP(B586,'20-A.SINAPI-I'!A:G,2,0),IF(D586="COMPOSIÇÕES",VLOOKUP(B586,'11.COMPOSIÇÕES GERAIS'!B:I,2,0),VLOOKUP(B586,'12.COT.MERCADO'!A:I,2,0)))),"Em Elaboração")</f>
        <v>CAP PVC, SERIE R, DN 150 MM, PARA ESGOTO PREDIAL</v>
      </c>
      <c r="F586" s="258" t="str">
        <f>IFERROR(IF(D586="SINAPI-S",VLOOKUP(B586,'20-B.SINAPI-S'!A:J,3,0),IF(D586="SINAPI-I",VLOOKUP(B586,'20-A.SINAPI-I'!A:G,3,0),IF(D586="COMPOSIÇÕES",VLOOKUP(B586,'11.COMPOSIÇÕES GERAIS'!B:I,3,0),VLOOKUP(B586,'12.COT.MERCADO'!A:I,7,0)))),"Em Elaboração")</f>
        <v>UN</v>
      </c>
      <c r="G586" s="254">
        <v>2.0</v>
      </c>
      <c r="H586" s="259">
        <f>IFERROR(IF(D586="SINAPI-S",VLOOKUP(B586,'20-B.SINAPI-S'!A:J,5,0),IF(D586="SINAPI-I",VLOOKUP(B586,'20-A.SINAPI-I'!A:G,6,0),IF(D586="COMPOSIÇÕES",VLOOKUP(B586,'11.COMPOSIÇÕES GERAIS'!B:I,7,0),0))),"Em Elaboração")</f>
        <v>0</v>
      </c>
      <c r="I586" s="259">
        <f>IFERROR(IF(D586="SINAPI-S",VLOOKUP(B586,'20-B.SINAPI-S'!A:J,6,0),IF(D586="SINAPI-I",VLOOKUP(B586,'20-A.SINAPI-I'!A:G,7,0),IF(D586="COMPOSIÇÕES",VLOOKUP(B586,'11.COMPOSIÇÕES GERAIS'!B:I,8,0),VLOOKUP(B586,'12.COT.MERCADO'!A:I,8,0)))),"Em Elaboração")</f>
        <v>71.84</v>
      </c>
      <c r="J586" s="259">
        <f t="shared" si="137"/>
        <v>0</v>
      </c>
      <c r="K586" s="259">
        <f t="shared" si="138"/>
        <v>84.1486766</v>
      </c>
      <c r="L586" s="259">
        <f t="shared" si="139"/>
        <v>84.1486766</v>
      </c>
      <c r="M586" s="259">
        <f t="shared" si="140"/>
        <v>0</v>
      </c>
      <c r="N586" s="259">
        <f t="shared" si="141"/>
        <v>168.2973532</v>
      </c>
      <c r="O586" s="259">
        <f t="shared" si="142"/>
        <v>168.2973532</v>
      </c>
      <c r="P586" s="260">
        <f t="shared" si="2"/>
        <v>0.0001316546839</v>
      </c>
    </row>
    <row r="587">
      <c r="A587" s="253" t="s">
        <v>740</v>
      </c>
      <c r="B587" s="254">
        <v>20087.0</v>
      </c>
      <c r="C587" s="255" t="str">
        <f t="shared" si="136"/>
        <v>SINAPI</v>
      </c>
      <c r="D587" s="256" t="s">
        <v>286</v>
      </c>
      <c r="E587" s="257" t="str">
        <f>IFERROR(IF(D587="SINAPI-S",VLOOKUP(B587,'20-B.SINAPI-S'!A:J,2,0),IF(D587="SINAPI-I",VLOOKUP(B587,'20-A.SINAPI-I'!A:G,2,0),IF(D587="COMPOSIÇÕES",VLOOKUP(B587,'11.COMPOSIÇÕES GERAIS'!B:I,2,0),VLOOKUP(B587,'12.COT.MERCADO'!A:I,2,0)))),"Em Elaboração")</f>
        <v>CAP PVC, SERIE R, DN 75 MM, PARA ESGOTO PREDIAL</v>
      </c>
      <c r="F587" s="258" t="str">
        <f>IFERROR(IF(D587="SINAPI-S",VLOOKUP(B587,'20-B.SINAPI-S'!A:J,3,0),IF(D587="SINAPI-I",VLOOKUP(B587,'20-A.SINAPI-I'!A:G,3,0),IF(D587="COMPOSIÇÕES",VLOOKUP(B587,'11.COMPOSIÇÕES GERAIS'!B:I,3,0),VLOOKUP(B587,'12.COT.MERCADO'!A:I,7,0)))),"Em Elaboração")</f>
        <v>UN</v>
      </c>
      <c r="G587" s="254">
        <v>2.0</v>
      </c>
      <c r="H587" s="259">
        <f>IFERROR(IF(D587="SINAPI-S",VLOOKUP(B587,'20-B.SINAPI-S'!A:J,5,0),IF(D587="SINAPI-I",VLOOKUP(B587,'20-A.SINAPI-I'!A:G,6,0),IF(D587="COMPOSIÇÕES",VLOOKUP(B587,'11.COMPOSIÇÕES GERAIS'!B:I,7,0),0))),"Em Elaboração")</f>
        <v>0</v>
      </c>
      <c r="I587" s="259">
        <f>IFERROR(IF(D587="SINAPI-S",VLOOKUP(B587,'20-B.SINAPI-S'!A:J,6,0),IF(D587="SINAPI-I",VLOOKUP(B587,'20-A.SINAPI-I'!A:G,7,0),IF(D587="COMPOSIÇÕES",VLOOKUP(B587,'11.COMPOSIÇÕES GERAIS'!B:I,8,0),VLOOKUP(B587,'12.COT.MERCADO'!A:I,8,0)))),"Em Elaboração")</f>
        <v>12.12</v>
      </c>
      <c r="J587" s="259">
        <f t="shared" si="137"/>
        <v>0</v>
      </c>
      <c r="K587" s="259">
        <f t="shared" si="138"/>
        <v>14.19657517</v>
      </c>
      <c r="L587" s="259">
        <f t="shared" si="139"/>
        <v>14.19657517</v>
      </c>
      <c r="M587" s="259">
        <f t="shared" si="140"/>
        <v>0</v>
      </c>
      <c r="N587" s="259">
        <f t="shared" si="141"/>
        <v>28.39315034</v>
      </c>
      <c r="O587" s="259">
        <f t="shared" si="142"/>
        <v>28.39315034</v>
      </c>
      <c r="P587" s="260">
        <f t="shared" si="2"/>
        <v>0.00002221123007</v>
      </c>
    </row>
    <row r="588">
      <c r="A588" s="253" t="s">
        <v>741</v>
      </c>
      <c r="B588" s="254">
        <v>1202.0</v>
      </c>
      <c r="C588" s="255" t="str">
        <f t="shared" si="136"/>
        <v>SINAPI</v>
      </c>
      <c r="D588" s="256" t="s">
        <v>286</v>
      </c>
      <c r="E588" s="257" t="str">
        <f>IFERROR(IF(D588="SINAPI-S",VLOOKUP(B588,'20-B.SINAPI-S'!A:J,2,0),IF(D588="SINAPI-I",VLOOKUP(B588,'20-A.SINAPI-I'!A:G,2,0),IF(D588="COMPOSIÇÕES",VLOOKUP(B588,'11.COMPOSIÇÕES GERAIS'!B:I,2,0),VLOOKUP(B588,'12.COT.MERCADO'!A:I,2,0)))),"Em Elaboração")</f>
        <v>CAP PVC, ROSCAVEL, 1",  PARA AGUA FRIA PREDIAL</v>
      </c>
      <c r="F588" s="258" t="str">
        <f>IFERROR(IF(D588="SINAPI-S",VLOOKUP(B588,'20-B.SINAPI-S'!A:J,3,0),IF(D588="SINAPI-I",VLOOKUP(B588,'20-A.SINAPI-I'!A:G,3,0),IF(D588="COMPOSIÇÕES",VLOOKUP(B588,'11.COMPOSIÇÕES GERAIS'!B:I,3,0),VLOOKUP(B588,'12.COT.MERCADO'!A:I,7,0)))),"Em Elaboração")</f>
        <v>UN</v>
      </c>
      <c r="G588" s="254">
        <v>2.0</v>
      </c>
      <c r="H588" s="259">
        <f>IFERROR(IF(D588="SINAPI-S",VLOOKUP(B588,'20-B.SINAPI-S'!A:J,5,0),IF(D588="SINAPI-I",VLOOKUP(B588,'20-A.SINAPI-I'!A:G,6,0),IF(D588="COMPOSIÇÕES",VLOOKUP(B588,'11.COMPOSIÇÕES GERAIS'!B:I,7,0),0))),"Em Elaboração")</f>
        <v>0</v>
      </c>
      <c r="I588" s="259">
        <f>IFERROR(IF(D588="SINAPI-S",VLOOKUP(B588,'20-B.SINAPI-S'!A:J,6,0),IF(D588="SINAPI-I",VLOOKUP(B588,'20-A.SINAPI-I'!A:G,7,0),IF(D588="COMPOSIÇÕES",VLOOKUP(B588,'11.COMPOSIÇÕES GERAIS'!B:I,8,0),VLOOKUP(B588,'12.COT.MERCADO'!A:I,8,0)))),"Em Elaboração")</f>
        <v>5.21</v>
      </c>
      <c r="J588" s="259">
        <f t="shared" si="137"/>
        <v>0</v>
      </c>
      <c r="K588" s="259">
        <f t="shared" si="138"/>
        <v>6.102653189</v>
      </c>
      <c r="L588" s="259">
        <f t="shared" si="139"/>
        <v>6.102653189</v>
      </c>
      <c r="M588" s="259">
        <f t="shared" si="140"/>
        <v>0</v>
      </c>
      <c r="N588" s="259">
        <f t="shared" si="141"/>
        <v>12.20530638</v>
      </c>
      <c r="O588" s="259">
        <f t="shared" si="142"/>
        <v>12.20530638</v>
      </c>
      <c r="P588" s="260">
        <f t="shared" si="2"/>
        <v>0.000009547896755</v>
      </c>
    </row>
    <row r="589">
      <c r="A589" s="253" t="s">
        <v>742</v>
      </c>
      <c r="B589" s="254">
        <v>1197.0</v>
      </c>
      <c r="C589" s="255" t="str">
        <f t="shared" si="136"/>
        <v>SINAPI</v>
      </c>
      <c r="D589" s="256" t="s">
        <v>286</v>
      </c>
      <c r="E589" s="257" t="str">
        <f>IFERROR(IF(D589="SINAPI-S",VLOOKUP(B589,'20-B.SINAPI-S'!A:J,2,0),IF(D589="SINAPI-I",VLOOKUP(B589,'20-A.SINAPI-I'!A:G,2,0),IF(D589="COMPOSIÇÕES",VLOOKUP(B589,'11.COMPOSIÇÕES GERAIS'!B:I,2,0),VLOOKUP(B589,'12.COT.MERCADO'!A:I,2,0)))),"Em Elaboração")</f>
        <v>CAP PVC, ROSCAVEL, 1/2", PARA AGUA FRIA PREDIAL</v>
      </c>
      <c r="F589" s="258" t="str">
        <f>IFERROR(IF(D589="SINAPI-S",VLOOKUP(B589,'20-B.SINAPI-S'!A:J,3,0),IF(D589="SINAPI-I",VLOOKUP(B589,'20-A.SINAPI-I'!A:G,3,0),IF(D589="COMPOSIÇÕES",VLOOKUP(B589,'11.COMPOSIÇÕES GERAIS'!B:I,3,0),VLOOKUP(B589,'12.COT.MERCADO'!A:I,7,0)))),"Em Elaboração")</f>
        <v>UN</v>
      </c>
      <c r="G589" s="254">
        <v>2.0</v>
      </c>
      <c r="H589" s="259">
        <f>IFERROR(IF(D589="SINAPI-S",VLOOKUP(B589,'20-B.SINAPI-S'!A:J,5,0),IF(D589="SINAPI-I",VLOOKUP(B589,'20-A.SINAPI-I'!A:G,6,0),IF(D589="COMPOSIÇÕES",VLOOKUP(B589,'11.COMPOSIÇÕES GERAIS'!B:I,7,0),0))),"Em Elaboração")</f>
        <v>0</v>
      </c>
      <c r="I589" s="259">
        <f>IFERROR(IF(D589="SINAPI-S",VLOOKUP(B589,'20-B.SINAPI-S'!A:J,6,0),IF(D589="SINAPI-I",VLOOKUP(B589,'20-A.SINAPI-I'!A:G,7,0),IF(D589="COMPOSIÇÕES",VLOOKUP(B589,'11.COMPOSIÇÕES GERAIS'!B:I,8,0),VLOOKUP(B589,'12.COT.MERCADO'!A:I,8,0)))),"Em Elaboração")</f>
        <v>1.84</v>
      </c>
      <c r="J589" s="259">
        <f t="shared" si="137"/>
        <v>0</v>
      </c>
      <c r="K589" s="259">
        <f t="shared" si="138"/>
        <v>2.155255637</v>
      </c>
      <c r="L589" s="259">
        <f t="shared" si="139"/>
        <v>2.155255637</v>
      </c>
      <c r="M589" s="259">
        <f t="shared" si="140"/>
        <v>0</v>
      </c>
      <c r="N589" s="259">
        <f t="shared" si="141"/>
        <v>4.310511273</v>
      </c>
      <c r="O589" s="259">
        <f t="shared" si="142"/>
        <v>4.310511273</v>
      </c>
      <c r="P589" s="260">
        <f t="shared" si="2"/>
        <v>0.000003372001925</v>
      </c>
    </row>
    <row r="590">
      <c r="A590" s="253" t="s">
        <v>743</v>
      </c>
      <c r="B590" s="254">
        <v>1198.0</v>
      </c>
      <c r="C590" s="255" t="str">
        <f t="shared" si="136"/>
        <v>SINAPI</v>
      </c>
      <c r="D590" s="256" t="s">
        <v>286</v>
      </c>
      <c r="E590" s="257" t="str">
        <f>IFERROR(IF(D590="SINAPI-S",VLOOKUP(B590,'20-B.SINAPI-S'!A:J,2,0),IF(D590="SINAPI-I",VLOOKUP(B590,'20-A.SINAPI-I'!A:G,2,0),IF(D590="COMPOSIÇÕES",VLOOKUP(B590,'11.COMPOSIÇÕES GERAIS'!B:I,2,0),VLOOKUP(B590,'12.COT.MERCADO'!A:I,2,0)))),"Em Elaboração")</f>
        <v>CAP PVC, ROSCAVEL, 3/4",  PARA AGUA FRIA PREDIAL</v>
      </c>
      <c r="F590" s="258" t="str">
        <f>IFERROR(IF(D590="SINAPI-S",VLOOKUP(B590,'20-B.SINAPI-S'!A:J,3,0),IF(D590="SINAPI-I",VLOOKUP(B590,'20-A.SINAPI-I'!A:G,3,0),IF(D590="COMPOSIÇÕES",VLOOKUP(B590,'11.COMPOSIÇÕES GERAIS'!B:I,3,0),VLOOKUP(B590,'12.COT.MERCADO'!A:I,7,0)))),"Em Elaboração")</f>
        <v>UN</v>
      </c>
      <c r="G590" s="254">
        <v>2.0</v>
      </c>
      <c r="H590" s="259">
        <f>IFERROR(IF(D590="SINAPI-S",VLOOKUP(B590,'20-B.SINAPI-S'!A:J,5,0),IF(D590="SINAPI-I",VLOOKUP(B590,'20-A.SINAPI-I'!A:G,6,0),IF(D590="COMPOSIÇÕES",VLOOKUP(B590,'11.COMPOSIÇÕES GERAIS'!B:I,7,0),0))),"Em Elaboração")</f>
        <v>0</v>
      </c>
      <c r="I590" s="259">
        <f>IFERROR(IF(D590="SINAPI-S",VLOOKUP(B590,'20-B.SINAPI-S'!A:J,6,0),IF(D590="SINAPI-I",VLOOKUP(B590,'20-A.SINAPI-I'!A:G,7,0),IF(D590="COMPOSIÇÕES",VLOOKUP(B590,'11.COMPOSIÇÕES GERAIS'!B:I,8,0),VLOOKUP(B590,'12.COT.MERCADO'!A:I,8,0)))),"Em Elaboração")</f>
        <v>2.4</v>
      </c>
      <c r="J590" s="259">
        <f t="shared" si="137"/>
        <v>0</v>
      </c>
      <c r="K590" s="259">
        <f t="shared" si="138"/>
        <v>2.811203004</v>
      </c>
      <c r="L590" s="259">
        <f t="shared" si="139"/>
        <v>2.811203004</v>
      </c>
      <c r="M590" s="259">
        <f t="shared" si="140"/>
        <v>0</v>
      </c>
      <c r="N590" s="259">
        <f t="shared" si="141"/>
        <v>5.622406009</v>
      </c>
      <c r="O590" s="259">
        <f t="shared" si="142"/>
        <v>5.622406009</v>
      </c>
      <c r="P590" s="260">
        <f t="shared" si="2"/>
        <v>0.000004398263381</v>
      </c>
    </row>
    <row r="591">
      <c r="A591" s="253" t="s">
        <v>744</v>
      </c>
      <c r="B591" s="254">
        <v>1200.0</v>
      </c>
      <c r="C591" s="255" t="str">
        <f t="shared" si="136"/>
        <v>SINAPI</v>
      </c>
      <c r="D591" s="256" t="s">
        <v>286</v>
      </c>
      <c r="E591" s="257" t="str">
        <f>IFERROR(IF(D591="SINAPI-S",VLOOKUP(B591,'20-B.SINAPI-S'!A:J,2,0),IF(D591="SINAPI-I",VLOOKUP(B591,'20-A.SINAPI-I'!A:G,2,0),IF(D591="COMPOSIÇÕES",VLOOKUP(B591,'11.COMPOSIÇÕES GERAIS'!B:I,2,0),VLOOKUP(B591,'12.COT.MERCADO'!A:I,2,0)))),"Em Elaboração")</f>
        <v>CAP PVC, SOLDAVEL, DN 100 MM, SERIE NORMAL, PARA ESGOTO PREDIAL</v>
      </c>
      <c r="F591" s="258" t="str">
        <f>IFERROR(IF(D591="SINAPI-S",VLOOKUP(B591,'20-B.SINAPI-S'!A:J,3,0),IF(D591="SINAPI-I",VLOOKUP(B591,'20-A.SINAPI-I'!A:G,3,0),IF(D591="COMPOSIÇÕES",VLOOKUP(B591,'11.COMPOSIÇÕES GERAIS'!B:I,3,0),VLOOKUP(B591,'12.COT.MERCADO'!A:I,7,0)))),"Em Elaboração")</f>
        <v>UN</v>
      </c>
      <c r="G591" s="254">
        <v>2.0</v>
      </c>
      <c r="H591" s="259">
        <f>IFERROR(IF(D591="SINAPI-S",VLOOKUP(B591,'20-B.SINAPI-S'!A:J,5,0),IF(D591="SINAPI-I",VLOOKUP(B591,'20-A.SINAPI-I'!A:G,6,0),IF(D591="COMPOSIÇÕES",VLOOKUP(B591,'11.COMPOSIÇÕES GERAIS'!B:I,7,0),0))),"Em Elaboração")</f>
        <v>0</v>
      </c>
      <c r="I591" s="259">
        <f>IFERROR(IF(D591="SINAPI-S",VLOOKUP(B591,'20-B.SINAPI-S'!A:J,6,0),IF(D591="SINAPI-I",VLOOKUP(B591,'20-A.SINAPI-I'!A:G,7,0),IF(D591="COMPOSIÇÕES",VLOOKUP(B591,'11.COMPOSIÇÕES GERAIS'!B:I,8,0),VLOOKUP(B591,'12.COT.MERCADO'!A:I,8,0)))),"Em Elaboração")</f>
        <v>11.01</v>
      </c>
      <c r="J591" s="259">
        <f t="shared" si="137"/>
        <v>0</v>
      </c>
      <c r="K591" s="259">
        <f t="shared" si="138"/>
        <v>12.89639378</v>
      </c>
      <c r="L591" s="259">
        <f t="shared" si="139"/>
        <v>12.89639378</v>
      </c>
      <c r="M591" s="259">
        <f t="shared" si="140"/>
        <v>0</v>
      </c>
      <c r="N591" s="259">
        <f t="shared" si="141"/>
        <v>25.79278756</v>
      </c>
      <c r="O591" s="259">
        <f t="shared" si="142"/>
        <v>25.79278756</v>
      </c>
      <c r="P591" s="260">
        <f t="shared" si="2"/>
        <v>0.00002017703326</v>
      </c>
    </row>
    <row r="592">
      <c r="A592" s="253" t="s">
        <v>745</v>
      </c>
      <c r="B592" s="254">
        <v>12909.0</v>
      </c>
      <c r="C592" s="255" t="str">
        <f t="shared" si="136"/>
        <v>SINAPI</v>
      </c>
      <c r="D592" s="256" t="s">
        <v>286</v>
      </c>
      <c r="E592" s="257" t="str">
        <f>IFERROR(IF(D592="SINAPI-S",VLOOKUP(B592,'20-B.SINAPI-S'!A:J,2,0),IF(D592="SINAPI-I",VLOOKUP(B592,'20-A.SINAPI-I'!A:G,2,0),IF(D592="COMPOSIÇÕES",VLOOKUP(B592,'11.COMPOSIÇÕES GERAIS'!B:I,2,0),VLOOKUP(B592,'12.COT.MERCADO'!A:I,2,0)))),"Em Elaboração")</f>
        <v>CAP PVC, SOLDAVEL, DN 50 MM, SERIE NORMAL, PARA ESGOTO PREDIAL</v>
      </c>
      <c r="F592" s="258" t="str">
        <f>IFERROR(IF(D592="SINAPI-S",VLOOKUP(B592,'20-B.SINAPI-S'!A:J,3,0),IF(D592="SINAPI-I",VLOOKUP(B592,'20-A.SINAPI-I'!A:G,3,0),IF(D592="COMPOSIÇÕES",VLOOKUP(B592,'11.COMPOSIÇÕES GERAIS'!B:I,3,0),VLOOKUP(B592,'12.COT.MERCADO'!A:I,7,0)))),"Em Elaboração")</f>
        <v>UN</v>
      </c>
      <c r="G592" s="254">
        <v>2.0</v>
      </c>
      <c r="H592" s="259">
        <f>IFERROR(IF(D592="SINAPI-S",VLOOKUP(B592,'20-B.SINAPI-S'!A:J,5,0),IF(D592="SINAPI-I",VLOOKUP(B592,'20-A.SINAPI-I'!A:G,6,0),IF(D592="COMPOSIÇÕES",VLOOKUP(B592,'11.COMPOSIÇÕES GERAIS'!B:I,7,0),0))),"Em Elaboração")</f>
        <v>0</v>
      </c>
      <c r="I592" s="259">
        <f>IFERROR(IF(D592="SINAPI-S",VLOOKUP(B592,'20-B.SINAPI-S'!A:J,6,0),IF(D592="SINAPI-I",VLOOKUP(B592,'20-A.SINAPI-I'!A:G,7,0),IF(D592="COMPOSIÇÕES",VLOOKUP(B592,'11.COMPOSIÇÕES GERAIS'!B:I,8,0),VLOOKUP(B592,'12.COT.MERCADO'!A:I,8,0)))),"Em Elaboração")</f>
        <v>5.11</v>
      </c>
      <c r="J592" s="259">
        <f t="shared" si="137"/>
        <v>0</v>
      </c>
      <c r="K592" s="259">
        <f t="shared" si="138"/>
        <v>5.98551973</v>
      </c>
      <c r="L592" s="259">
        <f t="shared" si="139"/>
        <v>5.98551973</v>
      </c>
      <c r="M592" s="259">
        <f t="shared" si="140"/>
        <v>0</v>
      </c>
      <c r="N592" s="259">
        <f t="shared" si="141"/>
        <v>11.97103946</v>
      </c>
      <c r="O592" s="259">
        <f t="shared" si="142"/>
        <v>11.97103946</v>
      </c>
      <c r="P592" s="260">
        <f t="shared" si="2"/>
        <v>0.000009364635781</v>
      </c>
    </row>
    <row r="593">
      <c r="A593" s="253" t="s">
        <v>746</v>
      </c>
      <c r="B593" s="254">
        <v>12910.0</v>
      </c>
      <c r="C593" s="255" t="str">
        <f t="shared" si="136"/>
        <v>SINAPI</v>
      </c>
      <c r="D593" s="256" t="s">
        <v>286</v>
      </c>
      <c r="E593" s="257" t="str">
        <f>IFERROR(IF(D593="SINAPI-S",VLOOKUP(B593,'20-B.SINAPI-S'!A:J,2,0),IF(D593="SINAPI-I",VLOOKUP(B593,'20-A.SINAPI-I'!A:G,2,0),IF(D593="COMPOSIÇÕES",VLOOKUP(B593,'11.COMPOSIÇÕES GERAIS'!B:I,2,0),VLOOKUP(B593,'12.COT.MERCADO'!A:I,2,0)))),"Em Elaboração")</f>
        <v>CAP PVC, SOLDAVEL, DN 75 MM, SERIE NORMAL, PARA ESGOTO PREDIAL</v>
      </c>
      <c r="F593" s="258" t="str">
        <f>IFERROR(IF(D593="SINAPI-S",VLOOKUP(B593,'20-B.SINAPI-S'!A:J,3,0),IF(D593="SINAPI-I",VLOOKUP(B593,'20-A.SINAPI-I'!A:G,3,0),IF(D593="COMPOSIÇÕES",VLOOKUP(B593,'11.COMPOSIÇÕES GERAIS'!B:I,3,0),VLOOKUP(B593,'12.COT.MERCADO'!A:I,7,0)))),"Em Elaboração")</f>
        <v>UN</v>
      </c>
      <c r="G593" s="254">
        <v>2.0</v>
      </c>
      <c r="H593" s="259">
        <f>IFERROR(IF(D593="SINAPI-S",VLOOKUP(B593,'20-B.SINAPI-S'!A:J,5,0),IF(D593="SINAPI-I",VLOOKUP(B593,'20-A.SINAPI-I'!A:G,6,0),IF(D593="COMPOSIÇÕES",VLOOKUP(B593,'11.COMPOSIÇÕES GERAIS'!B:I,7,0),0))),"Em Elaboração")</f>
        <v>0</v>
      </c>
      <c r="I593" s="259">
        <f>IFERROR(IF(D593="SINAPI-S",VLOOKUP(B593,'20-B.SINAPI-S'!A:J,6,0),IF(D593="SINAPI-I",VLOOKUP(B593,'20-A.SINAPI-I'!A:G,7,0),IF(D593="COMPOSIÇÕES",VLOOKUP(B593,'11.COMPOSIÇÕES GERAIS'!B:I,8,0),VLOOKUP(B593,'12.COT.MERCADO'!A:I,8,0)))),"Em Elaboração")</f>
        <v>9.18</v>
      </c>
      <c r="J593" s="259">
        <f t="shared" si="137"/>
        <v>0</v>
      </c>
      <c r="K593" s="259">
        <f t="shared" si="138"/>
        <v>10.75285149</v>
      </c>
      <c r="L593" s="259">
        <f t="shared" si="139"/>
        <v>10.75285149</v>
      </c>
      <c r="M593" s="259">
        <f t="shared" si="140"/>
        <v>0</v>
      </c>
      <c r="N593" s="259">
        <f t="shared" si="141"/>
        <v>21.50570298</v>
      </c>
      <c r="O593" s="259">
        <f t="shared" si="142"/>
        <v>21.50570298</v>
      </c>
      <c r="P593" s="260">
        <f t="shared" si="2"/>
        <v>0.00001682335743</v>
      </c>
    </row>
    <row r="594">
      <c r="A594" s="253" t="s">
        <v>747</v>
      </c>
      <c r="B594" s="254">
        <v>1185.0</v>
      </c>
      <c r="C594" s="255" t="str">
        <f t="shared" si="136"/>
        <v>SINAPI</v>
      </c>
      <c r="D594" s="256" t="s">
        <v>286</v>
      </c>
      <c r="E594" s="257" t="str">
        <f>IFERROR(IF(D594="SINAPI-S",VLOOKUP(B594,'20-B.SINAPI-S'!A:J,2,0),IF(D594="SINAPI-I",VLOOKUP(B594,'20-A.SINAPI-I'!A:G,2,0),IF(D594="COMPOSIÇÕES",VLOOKUP(B594,'11.COMPOSIÇÕES GERAIS'!B:I,2,0),VLOOKUP(B594,'12.COT.MERCADO'!A:I,2,0)))),"Em Elaboração")</f>
        <v>CAP PVC, SOLDAVEL, 25 MM, PARA AGUA FRIA PREDIAL</v>
      </c>
      <c r="F594" s="258" t="str">
        <f>IFERROR(IF(D594="SINAPI-S",VLOOKUP(B594,'20-B.SINAPI-S'!A:J,3,0),IF(D594="SINAPI-I",VLOOKUP(B594,'20-A.SINAPI-I'!A:G,3,0),IF(D594="COMPOSIÇÕES",VLOOKUP(B594,'11.COMPOSIÇÕES GERAIS'!B:I,3,0),VLOOKUP(B594,'12.COT.MERCADO'!A:I,7,0)))),"Em Elaboração")</f>
        <v>UN</v>
      </c>
      <c r="G594" s="254">
        <v>2.0</v>
      </c>
      <c r="H594" s="259">
        <f>IFERROR(IF(D594="SINAPI-S",VLOOKUP(B594,'20-B.SINAPI-S'!A:J,5,0),IF(D594="SINAPI-I",VLOOKUP(B594,'20-A.SINAPI-I'!A:G,6,0),IF(D594="COMPOSIÇÕES",VLOOKUP(B594,'11.COMPOSIÇÕES GERAIS'!B:I,7,0),0))),"Em Elaboração")</f>
        <v>0</v>
      </c>
      <c r="I594" s="259">
        <f>IFERROR(IF(D594="SINAPI-S",VLOOKUP(B594,'20-B.SINAPI-S'!A:J,6,0),IF(D594="SINAPI-I",VLOOKUP(B594,'20-A.SINAPI-I'!A:G,7,0),IF(D594="COMPOSIÇÕES",VLOOKUP(B594,'11.COMPOSIÇÕES GERAIS'!B:I,8,0),VLOOKUP(B594,'12.COT.MERCADO'!A:I,8,0)))),"Em Elaboração")</f>
        <v>1.31</v>
      </c>
      <c r="J594" s="259">
        <f t="shared" si="137"/>
        <v>0</v>
      </c>
      <c r="K594" s="259">
        <f t="shared" si="138"/>
        <v>1.534448307</v>
      </c>
      <c r="L594" s="259">
        <f t="shared" si="139"/>
        <v>1.534448307</v>
      </c>
      <c r="M594" s="259">
        <f t="shared" si="140"/>
        <v>0</v>
      </c>
      <c r="N594" s="259">
        <f t="shared" si="141"/>
        <v>3.068896613</v>
      </c>
      <c r="O594" s="259">
        <f t="shared" si="142"/>
        <v>3.068896613</v>
      </c>
      <c r="P594" s="260">
        <f t="shared" si="2"/>
        <v>0.000002400718762</v>
      </c>
    </row>
    <row r="595">
      <c r="A595" s="253" t="s">
        <v>748</v>
      </c>
      <c r="B595" s="254">
        <v>1189.0</v>
      </c>
      <c r="C595" s="255" t="str">
        <f t="shared" si="136"/>
        <v>SINAPI</v>
      </c>
      <c r="D595" s="256" t="s">
        <v>286</v>
      </c>
      <c r="E595" s="257" t="str">
        <f>IFERROR(IF(D595="SINAPI-S",VLOOKUP(B595,'20-B.SINAPI-S'!A:J,2,0),IF(D595="SINAPI-I",VLOOKUP(B595,'20-A.SINAPI-I'!A:G,2,0),IF(D595="COMPOSIÇÕES",VLOOKUP(B595,'11.COMPOSIÇÕES GERAIS'!B:I,2,0),VLOOKUP(B595,'12.COT.MERCADO'!A:I,2,0)))),"Em Elaboração")</f>
        <v>CAP PVC, SOLDAVEL, 32 MM, PARA AGUA FRIA PREDIAL</v>
      </c>
      <c r="F595" s="258" t="str">
        <f>IFERROR(IF(D595="SINAPI-S",VLOOKUP(B595,'20-B.SINAPI-S'!A:J,3,0),IF(D595="SINAPI-I",VLOOKUP(B595,'20-A.SINAPI-I'!A:G,3,0),IF(D595="COMPOSIÇÕES",VLOOKUP(B595,'11.COMPOSIÇÕES GERAIS'!B:I,3,0),VLOOKUP(B595,'12.COT.MERCADO'!A:I,7,0)))),"Em Elaboração")</f>
        <v>UN</v>
      </c>
      <c r="G595" s="254">
        <v>2.0</v>
      </c>
      <c r="H595" s="259">
        <f>IFERROR(IF(D595="SINAPI-S",VLOOKUP(B595,'20-B.SINAPI-S'!A:J,5,0),IF(D595="SINAPI-I",VLOOKUP(B595,'20-A.SINAPI-I'!A:G,6,0),IF(D595="COMPOSIÇÕES",VLOOKUP(B595,'11.COMPOSIÇÕES GERAIS'!B:I,7,0),0))),"Em Elaboração")</f>
        <v>0</v>
      </c>
      <c r="I595" s="259">
        <f>IFERROR(IF(D595="SINAPI-S",VLOOKUP(B595,'20-B.SINAPI-S'!A:J,6,0),IF(D595="SINAPI-I",VLOOKUP(B595,'20-A.SINAPI-I'!A:G,7,0),IF(D595="COMPOSIÇÕES",VLOOKUP(B595,'11.COMPOSIÇÕES GERAIS'!B:I,8,0),VLOOKUP(B595,'12.COT.MERCADO'!A:I,8,0)))),"Em Elaboração")</f>
        <v>2.14</v>
      </c>
      <c r="J595" s="259">
        <f t="shared" si="137"/>
        <v>0</v>
      </c>
      <c r="K595" s="259">
        <f t="shared" si="138"/>
        <v>2.506656012</v>
      </c>
      <c r="L595" s="259">
        <f t="shared" si="139"/>
        <v>2.506656012</v>
      </c>
      <c r="M595" s="259">
        <f t="shared" si="140"/>
        <v>0</v>
      </c>
      <c r="N595" s="259">
        <f t="shared" si="141"/>
        <v>5.013312024</v>
      </c>
      <c r="O595" s="259">
        <f t="shared" si="142"/>
        <v>5.013312024</v>
      </c>
      <c r="P595" s="260">
        <f t="shared" si="2"/>
        <v>0.000003921784848</v>
      </c>
    </row>
    <row r="596">
      <c r="A596" s="253" t="s">
        <v>749</v>
      </c>
      <c r="B596" s="254">
        <v>1193.0</v>
      </c>
      <c r="C596" s="255" t="str">
        <f t="shared" si="136"/>
        <v>SINAPI</v>
      </c>
      <c r="D596" s="256" t="s">
        <v>286</v>
      </c>
      <c r="E596" s="257" t="str">
        <f>IFERROR(IF(D596="SINAPI-S",VLOOKUP(B596,'20-B.SINAPI-S'!A:J,2,0),IF(D596="SINAPI-I",VLOOKUP(B596,'20-A.SINAPI-I'!A:G,2,0),IF(D596="COMPOSIÇÕES",VLOOKUP(B596,'11.COMPOSIÇÕES GERAIS'!B:I,2,0),VLOOKUP(B596,'12.COT.MERCADO'!A:I,2,0)))),"Em Elaboração")</f>
        <v>CAP PVC, SOLDAVEL, 40 MM, PARA AGUA FRIA PREDIAL</v>
      </c>
      <c r="F596" s="258" t="str">
        <f>IFERROR(IF(D596="SINAPI-S",VLOOKUP(B596,'20-B.SINAPI-S'!A:J,3,0),IF(D596="SINAPI-I",VLOOKUP(B596,'20-A.SINAPI-I'!A:G,3,0),IF(D596="COMPOSIÇÕES",VLOOKUP(B596,'11.COMPOSIÇÕES GERAIS'!B:I,3,0),VLOOKUP(B596,'12.COT.MERCADO'!A:I,7,0)))),"Em Elaboração")</f>
        <v>UN</v>
      </c>
      <c r="G596" s="254">
        <v>2.0</v>
      </c>
      <c r="H596" s="259">
        <f>IFERROR(IF(D596="SINAPI-S",VLOOKUP(B596,'20-B.SINAPI-S'!A:J,5,0),IF(D596="SINAPI-I",VLOOKUP(B596,'20-A.SINAPI-I'!A:G,6,0),IF(D596="COMPOSIÇÕES",VLOOKUP(B596,'11.COMPOSIÇÕES GERAIS'!B:I,7,0),0))),"Em Elaboração")</f>
        <v>0</v>
      </c>
      <c r="I596" s="259">
        <f>IFERROR(IF(D596="SINAPI-S",VLOOKUP(B596,'20-B.SINAPI-S'!A:J,6,0),IF(D596="SINAPI-I",VLOOKUP(B596,'20-A.SINAPI-I'!A:G,7,0),IF(D596="COMPOSIÇÕES",VLOOKUP(B596,'11.COMPOSIÇÕES GERAIS'!B:I,8,0),VLOOKUP(B596,'12.COT.MERCADO'!A:I,8,0)))),"Em Elaboração")</f>
        <v>4.11</v>
      </c>
      <c r="J596" s="259">
        <f t="shared" si="137"/>
        <v>0</v>
      </c>
      <c r="K596" s="259">
        <f t="shared" si="138"/>
        <v>4.814185145</v>
      </c>
      <c r="L596" s="259">
        <f t="shared" si="139"/>
        <v>4.814185145</v>
      </c>
      <c r="M596" s="259">
        <f t="shared" si="140"/>
        <v>0</v>
      </c>
      <c r="N596" s="259">
        <f t="shared" si="141"/>
        <v>9.62837029</v>
      </c>
      <c r="O596" s="259">
        <f t="shared" si="142"/>
        <v>9.62837029</v>
      </c>
      <c r="P596" s="260">
        <f t="shared" si="2"/>
        <v>0.000007532026039</v>
      </c>
    </row>
    <row r="597">
      <c r="A597" s="253" t="s">
        <v>750</v>
      </c>
      <c r="B597" s="254">
        <v>1194.0</v>
      </c>
      <c r="C597" s="255" t="str">
        <f t="shared" si="136"/>
        <v>SINAPI</v>
      </c>
      <c r="D597" s="256" t="s">
        <v>286</v>
      </c>
      <c r="E597" s="257" t="str">
        <f>IFERROR(IF(D597="SINAPI-S",VLOOKUP(B597,'20-B.SINAPI-S'!A:J,2,0),IF(D597="SINAPI-I",VLOOKUP(B597,'20-A.SINAPI-I'!A:G,2,0),IF(D597="COMPOSIÇÕES",VLOOKUP(B597,'11.COMPOSIÇÕES GERAIS'!B:I,2,0),VLOOKUP(B597,'12.COT.MERCADO'!A:I,2,0)))),"Em Elaboração")</f>
        <v>CAP PVC, SOLDAVEL, 50 MM, PARA AGUA FRIA PREDIAL</v>
      </c>
      <c r="F597" s="258" t="str">
        <f>IFERROR(IF(D597="SINAPI-S",VLOOKUP(B597,'20-B.SINAPI-S'!A:J,3,0),IF(D597="SINAPI-I",VLOOKUP(B597,'20-A.SINAPI-I'!A:G,3,0),IF(D597="COMPOSIÇÕES",VLOOKUP(B597,'11.COMPOSIÇÕES GERAIS'!B:I,3,0),VLOOKUP(B597,'12.COT.MERCADO'!A:I,7,0)))),"Em Elaboração")</f>
        <v>UN</v>
      </c>
      <c r="G597" s="254">
        <v>2.0</v>
      </c>
      <c r="H597" s="259">
        <f>IFERROR(IF(D597="SINAPI-S",VLOOKUP(B597,'20-B.SINAPI-S'!A:J,5,0),IF(D597="SINAPI-I",VLOOKUP(B597,'20-A.SINAPI-I'!A:G,6,0),IF(D597="COMPOSIÇÕES",VLOOKUP(B597,'11.COMPOSIÇÕES GERAIS'!B:I,7,0),0))),"Em Elaboração")</f>
        <v>0</v>
      </c>
      <c r="I597" s="259">
        <f>IFERROR(IF(D597="SINAPI-S",VLOOKUP(B597,'20-B.SINAPI-S'!A:J,6,0),IF(D597="SINAPI-I",VLOOKUP(B597,'20-A.SINAPI-I'!A:G,7,0),IF(D597="COMPOSIÇÕES",VLOOKUP(B597,'11.COMPOSIÇÕES GERAIS'!B:I,8,0),VLOOKUP(B597,'12.COT.MERCADO'!A:I,8,0)))),"Em Elaboração")</f>
        <v>7.43</v>
      </c>
      <c r="J597" s="259">
        <f t="shared" si="137"/>
        <v>0</v>
      </c>
      <c r="K597" s="259">
        <f t="shared" si="138"/>
        <v>8.703015968</v>
      </c>
      <c r="L597" s="259">
        <f t="shared" si="139"/>
        <v>8.703015968</v>
      </c>
      <c r="M597" s="259">
        <f t="shared" si="140"/>
        <v>0</v>
      </c>
      <c r="N597" s="259">
        <f t="shared" si="141"/>
        <v>17.40603194</v>
      </c>
      <c r="O597" s="259">
        <f t="shared" si="142"/>
        <v>17.40603194</v>
      </c>
      <c r="P597" s="260">
        <f t="shared" si="2"/>
        <v>0.00001361629038</v>
      </c>
    </row>
    <row r="598">
      <c r="A598" s="253" t="s">
        <v>751</v>
      </c>
      <c r="B598" s="254">
        <v>1195.0</v>
      </c>
      <c r="C598" s="255" t="str">
        <f t="shared" si="136"/>
        <v>SINAPI</v>
      </c>
      <c r="D598" s="256" t="s">
        <v>286</v>
      </c>
      <c r="E598" s="257" t="str">
        <f>IFERROR(IF(D598="SINAPI-S",VLOOKUP(B598,'20-B.SINAPI-S'!A:J,2,0),IF(D598="SINAPI-I",VLOOKUP(B598,'20-A.SINAPI-I'!A:G,2,0),IF(D598="COMPOSIÇÕES",VLOOKUP(B598,'11.COMPOSIÇÕES GERAIS'!B:I,2,0),VLOOKUP(B598,'12.COT.MERCADO'!A:I,2,0)))),"Em Elaboração")</f>
        <v>CAP PVC, SOLDAVEL, 60 MM, PARA AGUA FRIA PREDIAL</v>
      </c>
      <c r="F598" s="258" t="str">
        <f>IFERROR(IF(D598="SINAPI-S",VLOOKUP(B598,'20-B.SINAPI-S'!A:J,3,0),IF(D598="SINAPI-I",VLOOKUP(B598,'20-A.SINAPI-I'!A:G,3,0),IF(D598="COMPOSIÇÕES",VLOOKUP(B598,'11.COMPOSIÇÕES GERAIS'!B:I,3,0),VLOOKUP(B598,'12.COT.MERCADO'!A:I,7,0)))),"Em Elaboração")</f>
        <v>UN</v>
      </c>
      <c r="G598" s="254">
        <v>2.0</v>
      </c>
      <c r="H598" s="259">
        <f>IFERROR(IF(D598="SINAPI-S",VLOOKUP(B598,'20-B.SINAPI-S'!A:J,5,0),IF(D598="SINAPI-I",VLOOKUP(B598,'20-A.SINAPI-I'!A:G,6,0),IF(D598="COMPOSIÇÕES",VLOOKUP(B598,'11.COMPOSIÇÕES GERAIS'!B:I,7,0),0))),"Em Elaboração")</f>
        <v>0</v>
      </c>
      <c r="I598" s="259">
        <f>IFERROR(IF(D598="SINAPI-S",VLOOKUP(B598,'20-B.SINAPI-S'!A:J,6,0),IF(D598="SINAPI-I",VLOOKUP(B598,'20-A.SINAPI-I'!A:G,7,0),IF(D598="COMPOSIÇÕES",VLOOKUP(B598,'11.COMPOSIÇÕES GERAIS'!B:I,8,0),VLOOKUP(B598,'12.COT.MERCADO'!A:I,8,0)))),"Em Elaboração")</f>
        <v>12.51</v>
      </c>
      <c r="J598" s="259">
        <f t="shared" si="137"/>
        <v>0</v>
      </c>
      <c r="K598" s="259">
        <f t="shared" si="138"/>
        <v>14.65339566</v>
      </c>
      <c r="L598" s="259">
        <f t="shared" si="139"/>
        <v>14.65339566</v>
      </c>
      <c r="M598" s="259">
        <f t="shared" si="140"/>
        <v>0</v>
      </c>
      <c r="N598" s="259">
        <f t="shared" si="141"/>
        <v>29.30679132</v>
      </c>
      <c r="O598" s="259">
        <f t="shared" si="142"/>
        <v>29.30679132</v>
      </c>
      <c r="P598" s="260">
        <f t="shared" si="2"/>
        <v>0.00002292594787</v>
      </c>
    </row>
    <row r="599">
      <c r="A599" s="253" t="s">
        <v>752</v>
      </c>
      <c r="B599" s="254">
        <v>20971.0</v>
      </c>
      <c r="C599" s="255" t="str">
        <f t="shared" si="136"/>
        <v>SINAPI</v>
      </c>
      <c r="D599" s="256" t="s">
        <v>286</v>
      </c>
      <c r="E599" s="257" t="str">
        <f>IFERROR(IF(D599="SINAPI-S",VLOOKUP(B599,'20-B.SINAPI-S'!A:J,2,0),IF(D599="SINAPI-I",VLOOKUP(B599,'20-A.SINAPI-I'!A:G,2,0),IF(D599="COMPOSIÇÕES",VLOOKUP(B599,'11.COMPOSIÇÕES GERAIS'!B:I,2,0),VLOOKUP(B599,'12.COT.MERCADO'!A:I,2,0)))),"Em Elaboração")</f>
        <v>CHAVE DUPLA PARA CONEXOES TIPO STORZ, ENGATE RAPIDO 1 1/2" X 2 1/2", EM LATAO, PARA INSTALACAO PREDIAL COMBATE A INCENDIO</v>
      </c>
      <c r="F599" s="258" t="str">
        <f>IFERROR(IF(D599="SINAPI-S",VLOOKUP(B599,'20-B.SINAPI-S'!A:J,3,0),IF(D599="SINAPI-I",VLOOKUP(B599,'20-A.SINAPI-I'!A:G,3,0),IF(D599="COMPOSIÇÕES",VLOOKUP(B599,'11.COMPOSIÇÕES GERAIS'!B:I,3,0),VLOOKUP(B599,'12.COT.MERCADO'!A:I,7,0)))),"Em Elaboração")</f>
        <v>UN</v>
      </c>
      <c r="G599" s="254">
        <v>4.0</v>
      </c>
      <c r="H599" s="259">
        <f>IFERROR(IF(D599="SINAPI-S",VLOOKUP(B599,'20-B.SINAPI-S'!A:J,5,0),IF(D599="SINAPI-I",VLOOKUP(B599,'20-A.SINAPI-I'!A:G,6,0),IF(D599="COMPOSIÇÕES",VLOOKUP(B599,'11.COMPOSIÇÕES GERAIS'!B:I,7,0),0))),"Em Elaboração")</f>
        <v>0</v>
      </c>
      <c r="I599" s="259">
        <f>IFERROR(IF(D599="SINAPI-S",VLOOKUP(B599,'20-B.SINAPI-S'!A:J,6,0),IF(D599="SINAPI-I",VLOOKUP(B599,'20-A.SINAPI-I'!A:G,7,0),IF(D599="COMPOSIÇÕES",VLOOKUP(B599,'11.COMPOSIÇÕES GERAIS'!B:I,8,0),VLOOKUP(B599,'12.COT.MERCADO'!A:I,8,0)))),"Em Elaboração")</f>
        <v>24.28</v>
      </c>
      <c r="J599" s="259">
        <f t="shared" si="137"/>
        <v>0</v>
      </c>
      <c r="K599" s="259">
        <f t="shared" si="138"/>
        <v>28.44000373</v>
      </c>
      <c r="L599" s="259">
        <f t="shared" si="139"/>
        <v>28.44000373</v>
      </c>
      <c r="M599" s="259">
        <f t="shared" si="140"/>
        <v>0</v>
      </c>
      <c r="N599" s="259">
        <f t="shared" si="141"/>
        <v>113.7600149</v>
      </c>
      <c r="O599" s="259">
        <f t="shared" si="142"/>
        <v>113.7600149</v>
      </c>
      <c r="P599" s="260">
        <f t="shared" si="2"/>
        <v>0.00008899152907</v>
      </c>
    </row>
    <row r="600">
      <c r="A600" s="253" t="s">
        <v>753</v>
      </c>
      <c r="B600" s="254">
        <v>1647.0</v>
      </c>
      <c r="C600" s="255" t="str">
        <f t="shared" si="136"/>
        <v>SINAPI</v>
      </c>
      <c r="D600" s="256" t="s">
        <v>286</v>
      </c>
      <c r="E600" s="257" t="str">
        <f>IFERROR(IF(D600="SINAPI-S",VLOOKUP(B600,'20-B.SINAPI-S'!A:J,2,0),IF(D600="SINAPI-I",VLOOKUP(B600,'20-A.SINAPI-I'!A:G,2,0),IF(D600="COMPOSIÇÕES",VLOOKUP(B600,'11.COMPOSIÇÕES GERAIS'!B:I,2,0),VLOOKUP(B600,'12.COT.MERCADO'!A:I,2,0)))),"Em Elaboração")</f>
        <v>CRUZETA DE FERRO GALVANIZADO, COM ROSCA BSP, DE 1/2"</v>
      </c>
      <c r="F600" s="258" t="str">
        <f>IFERROR(IF(D600="SINAPI-S",VLOOKUP(B600,'20-B.SINAPI-S'!A:J,3,0),IF(D600="SINAPI-I",VLOOKUP(B600,'20-A.SINAPI-I'!A:G,3,0),IF(D600="COMPOSIÇÕES",VLOOKUP(B600,'11.COMPOSIÇÕES GERAIS'!B:I,3,0),VLOOKUP(B600,'12.COT.MERCADO'!A:I,7,0)))),"Em Elaboração")</f>
        <v>UN</v>
      </c>
      <c r="G600" s="254">
        <v>2.0</v>
      </c>
      <c r="H600" s="259">
        <f>IFERROR(IF(D600="SINAPI-S",VLOOKUP(B600,'20-B.SINAPI-S'!A:J,5,0),IF(D600="SINAPI-I",VLOOKUP(B600,'20-A.SINAPI-I'!A:G,6,0),IF(D600="COMPOSIÇÕES",VLOOKUP(B600,'11.COMPOSIÇÕES GERAIS'!B:I,7,0),0))),"Em Elaboração")</f>
        <v>0</v>
      </c>
      <c r="I600" s="259">
        <f>IFERROR(IF(D600="SINAPI-S",VLOOKUP(B600,'20-B.SINAPI-S'!A:J,6,0),IF(D600="SINAPI-I",VLOOKUP(B600,'20-A.SINAPI-I'!A:G,7,0),IF(D600="COMPOSIÇÕES",VLOOKUP(B600,'11.COMPOSIÇÕES GERAIS'!B:I,8,0),VLOOKUP(B600,'12.COT.MERCADO'!A:I,8,0)))),"Em Elaboração")</f>
        <v>23.45</v>
      </c>
      <c r="J600" s="259">
        <f t="shared" si="137"/>
        <v>0</v>
      </c>
      <c r="K600" s="259">
        <f t="shared" si="138"/>
        <v>27.46779602</v>
      </c>
      <c r="L600" s="259">
        <f t="shared" si="139"/>
        <v>27.46779602</v>
      </c>
      <c r="M600" s="259">
        <f t="shared" si="140"/>
        <v>0</v>
      </c>
      <c r="N600" s="259">
        <f t="shared" si="141"/>
        <v>54.93559204</v>
      </c>
      <c r="O600" s="259">
        <f t="shared" si="142"/>
        <v>54.93559204</v>
      </c>
      <c r="P600" s="260">
        <f t="shared" si="2"/>
        <v>0.00004297469845</v>
      </c>
    </row>
    <row r="601">
      <c r="A601" s="253" t="s">
        <v>754</v>
      </c>
      <c r="B601" s="254">
        <v>1747.0</v>
      </c>
      <c r="C601" s="255" t="str">
        <f t="shared" si="136"/>
        <v>SINAPI</v>
      </c>
      <c r="D601" s="256" t="s">
        <v>286</v>
      </c>
      <c r="E601" s="257" t="str">
        <f>IFERROR(IF(D601="SINAPI-S",VLOOKUP(B601,'20-B.SINAPI-S'!A:J,2,0),IF(D601="SINAPI-I",VLOOKUP(B601,'20-A.SINAPI-I'!A:G,2,0),IF(D601="COMPOSIÇÕES",VLOOKUP(B601,'11.COMPOSIÇÕES GERAIS'!B:I,2,0),VLOOKUP(B601,'12.COT.MERCADO'!A:I,2,0)))),"Em Elaboração")</f>
        <v>CUBA ACO INOX (AISI 304) DE EMBUTIR COM VALVULA DE 3 1/2 ", DE *56 X 33 X 12* CM</v>
      </c>
      <c r="F601" s="258" t="str">
        <f>IFERROR(IF(D601="SINAPI-S",VLOOKUP(B601,'20-B.SINAPI-S'!A:J,3,0),IF(D601="SINAPI-I",VLOOKUP(B601,'20-A.SINAPI-I'!A:G,3,0),IF(D601="COMPOSIÇÕES",VLOOKUP(B601,'11.COMPOSIÇÕES GERAIS'!B:I,3,0),VLOOKUP(B601,'12.COT.MERCADO'!A:I,7,0)))),"Em Elaboração")</f>
        <v>UN</v>
      </c>
      <c r="G601" s="254">
        <v>2.0</v>
      </c>
      <c r="H601" s="259">
        <f>IFERROR(IF(D601="SINAPI-S",VLOOKUP(B601,'20-B.SINAPI-S'!A:J,5,0),IF(D601="SINAPI-I",VLOOKUP(B601,'20-A.SINAPI-I'!A:G,6,0),IF(D601="COMPOSIÇÕES",VLOOKUP(B601,'11.COMPOSIÇÕES GERAIS'!B:I,7,0),0))),"Em Elaboração")</f>
        <v>0</v>
      </c>
      <c r="I601" s="259">
        <f>IFERROR(IF(D601="SINAPI-S",VLOOKUP(B601,'20-B.SINAPI-S'!A:J,6,0),IF(D601="SINAPI-I",VLOOKUP(B601,'20-A.SINAPI-I'!A:G,7,0),IF(D601="COMPOSIÇÕES",VLOOKUP(B601,'11.COMPOSIÇÕES GERAIS'!B:I,8,0),VLOOKUP(B601,'12.COT.MERCADO'!A:I,8,0)))),"Em Elaboração")</f>
        <v>238.9</v>
      </c>
      <c r="J601" s="259">
        <f t="shared" si="137"/>
        <v>0</v>
      </c>
      <c r="K601" s="259">
        <f t="shared" si="138"/>
        <v>279.8318324</v>
      </c>
      <c r="L601" s="259">
        <f t="shared" si="139"/>
        <v>279.8318324</v>
      </c>
      <c r="M601" s="259">
        <f t="shared" si="140"/>
        <v>0</v>
      </c>
      <c r="N601" s="259">
        <f t="shared" si="141"/>
        <v>559.6636648</v>
      </c>
      <c r="O601" s="259">
        <f t="shared" si="142"/>
        <v>559.6636648</v>
      </c>
      <c r="P601" s="260">
        <f t="shared" si="2"/>
        <v>0.0004378104673</v>
      </c>
    </row>
    <row r="602">
      <c r="A602" s="253" t="s">
        <v>755</v>
      </c>
      <c r="B602" s="254">
        <v>4823.0</v>
      </c>
      <c r="C602" s="255" t="str">
        <f t="shared" si="136"/>
        <v>SINAPI</v>
      </c>
      <c r="D602" s="256" t="s">
        <v>286</v>
      </c>
      <c r="E602" s="257" t="str">
        <f>IFERROR(IF(D602="SINAPI-S",VLOOKUP(B602,'20-B.SINAPI-S'!A:J,2,0),IF(D602="SINAPI-I",VLOOKUP(B602,'20-A.SINAPI-I'!A:G,2,0),IF(D602="COMPOSIÇÕES",VLOOKUP(B602,'11.COMPOSIÇÕES GERAIS'!B:I,2,0),VLOOKUP(B602,'12.COT.MERCADO'!A:I,2,0)))),"Em Elaboração")</f>
        <v>MASSA PLASTICA PARA MARMORE/GRANITO</v>
      </c>
      <c r="F602" s="258" t="str">
        <f>IFERROR(IF(D602="SINAPI-S",VLOOKUP(B602,'20-B.SINAPI-S'!A:J,3,0),IF(D602="SINAPI-I",VLOOKUP(B602,'20-A.SINAPI-I'!A:G,3,0),IF(D602="COMPOSIÇÕES",VLOOKUP(B602,'11.COMPOSIÇÕES GERAIS'!B:I,3,0),VLOOKUP(B602,'12.COT.MERCADO'!A:I,7,0)))),"Em Elaboração")</f>
        <v>KG</v>
      </c>
      <c r="G602" s="254">
        <v>2.0</v>
      </c>
      <c r="H602" s="259">
        <f>IFERROR(IF(D602="SINAPI-S",VLOOKUP(B602,'20-B.SINAPI-S'!A:J,5,0),IF(D602="SINAPI-I",VLOOKUP(B602,'20-A.SINAPI-I'!A:G,6,0),IF(D602="COMPOSIÇÕES",VLOOKUP(B602,'11.COMPOSIÇÕES GERAIS'!B:I,7,0),0))),"Em Elaboração")</f>
        <v>0</v>
      </c>
      <c r="I602" s="259">
        <f>IFERROR(IF(D602="SINAPI-S",VLOOKUP(B602,'20-B.SINAPI-S'!A:J,6,0),IF(D602="SINAPI-I",VLOOKUP(B602,'20-A.SINAPI-I'!A:G,7,0),IF(D602="COMPOSIÇÕES",VLOOKUP(B602,'11.COMPOSIÇÕES GERAIS'!B:I,8,0),VLOOKUP(B602,'12.COT.MERCADO'!A:I,8,0)))),"Em Elaboração")</f>
        <v>37.56</v>
      </c>
      <c r="J602" s="259">
        <f t="shared" si="137"/>
        <v>0</v>
      </c>
      <c r="K602" s="259">
        <f t="shared" si="138"/>
        <v>43.99532702</v>
      </c>
      <c r="L602" s="259">
        <f t="shared" si="139"/>
        <v>43.99532702</v>
      </c>
      <c r="M602" s="259">
        <f t="shared" si="140"/>
        <v>0</v>
      </c>
      <c r="N602" s="259">
        <f t="shared" si="141"/>
        <v>87.99065404</v>
      </c>
      <c r="O602" s="259">
        <f t="shared" si="142"/>
        <v>87.99065404</v>
      </c>
      <c r="P602" s="260">
        <f t="shared" si="2"/>
        <v>0.00006883282191</v>
      </c>
    </row>
    <row r="603">
      <c r="A603" s="253" t="s">
        <v>756</v>
      </c>
      <c r="B603" s="254">
        <v>11696.0</v>
      </c>
      <c r="C603" s="255" t="str">
        <f t="shared" si="136"/>
        <v>SINAPI</v>
      </c>
      <c r="D603" s="256" t="s">
        <v>286</v>
      </c>
      <c r="E603" s="257" t="str">
        <f>IFERROR(IF(D603="SINAPI-S",VLOOKUP(B603,'20-B.SINAPI-S'!A:J,2,0),IF(D603="SINAPI-I",VLOOKUP(B603,'20-A.SINAPI-I'!A:G,2,0),IF(D603="COMPOSIÇÕES",VLOOKUP(B603,'11.COMPOSIÇÕES GERAIS'!B:I,2,0),VLOOKUP(B603,'12.COT.MERCADO'!A:I,2,0)))),"Em Elaboração")</f>
        <v>LAVATORIO / CUBA DE SOBREPOR, OVAL PEQUENA, DE LOUCA BRANCA, SEM LADRAO, DIMENSOES *44 X 31* CM (L X C)</v>
      </c>
      <c r="F603" s="258" t="str">
        <f>IFERROR(IF(D603="SINAPI-S",VLOOKUP(B603,'20-B.SINAPI-S'!A:J,3,0),IF(D603="SINAPI-I",VLOOKUP(B603,'20-A.SINAPI-I'!A:G,3,0),IF(D603="COMPOSIÇÕES",VLOOKUP(B603,'11.COMPOSIÇÕES GERAIS'!B:I,3,0),VLOOKUP(B603,'12.COT.MERCADO'!A:I,7,0)))),"Em Elaboração")</f>
        <v>UN</v>
      </c>
      <c r="G603" s="254">
        <v>2.0</v>
      </c>
      <c r="H603" s="259">
        <f>IFERROR(IF(D603="SINAPI-S",VLOOKUP(B603,'20-B.SINAPI-S'!A:J,5,0),IF(D603="SINAPI-I",VLOOKUP(B603,'20-A.SINAPI-I'!A:G,6,0),IF(D603="COMPOSIÇÕES",VLOOKUP(B603,'11.COMPOSIÇÕES GERAIS'!B:I,7,0),0))),"Em Elaboração")</f>
        <v>0</v>
      </c>
      <c r="I603" s="259">
        <f>IFERROR(IF(D603="SINAPI-S",VLOOKUP(B603,'20-B.SINAPI-S'!A:J,6,0),IF(D603="SINAPI-I",VLOOKUP(B603,'20-A.SINAPI-I'!A:G,7,0),IF(D603="COMPOSIÇÕES",VLOOKUP(B603,'11.COMPOSIÇÕES GERAIS'!B:I,8,0),VLOOKUP(B603,'12.COT.MERCADO'!A:I,8,0)))),"Em Elaboração")</f>
        <v>185.24</v>
      </c>
      <c r="J603" s="259">
        <f t="shared" si="137"/>
        <v>0</v>
      </c>
      <c r="K603" s="259">
        <f t="shared" si="138"/>
        <v>216.9780186</v>
      </c>
      <c r="L603" s="259">
        <f t="shared" si="139"/>
        <v>216.9780186</v>
      </c>
      <c r="M603" s="259">
        <f t="shared" si="140"/>
        <v>0</v>
      </c>
      <c r="N603" s="259">
        <f t="shared" si="141"/>
        <v>433.9560371</v>
      </c>
      <c r="O603" s="259">
        <f t="shared" si="142"/>
        <v>433.9560371</v>
      </c>
      <c r="P603" s="260">
        <f t="shared" si="2"/>
        <v>0.0003394726286</v>
      </c>
    </row>
    <row r="604">
      <c r="A604" s="253" t="s">
        <v>757</v>
      </c>
      <c r="B604" s="254">
        <v>1743.0</v>
      </c>
      <c r="C604" s="255" t="str">
        <f t="shared" si="136"/>
        <v>SINAPI</v>
      </c>
      <c r="D604" s="256" t="s">
        <v>286</v>
      </c>
      <c r="E604" s="257" t="str">
        <f>IFERROR(IF(D604="SINAPI-S",VLOOKUP(B604,'20-B.SINAPI-S'!A:J,2,0),IF(D604="SINAPI-I",VLOOKUP(B604,'20-A.SINAPI-I'!A:G,2,0),IF(D604="COMPOSIÇÕES",VLOOKUP(B604,'11.COMPOSIÇÕES GERAIS'!B:I,2,0),VLOOKUP(B604,'12.COT.MERCADO'!A:I,2,0)))),"Em Elaboração")</f>
        <v>CUBA ACO INOX (AISI 304) DE EMBUTIR COM VALVULA 3 1/2 ", DE *46 X 30 X 12* CM</v>
      </c>
      <c r="F604" s="258" t="str">
        <f>IFERROR(IF(D604="SINAPI-S",VLOOKUP(B604,'20-B.SINAPI-S'!A:J,3,0),IF(D604="SINAPI-I",VLOOKUP(B604,'20-A.SINAPI-I'!A:G,3,0),IF(D604="COMPOSIÇÕES",VLOOKUP(B604,'11.COMPOSIÇÕES GERAIS'!B:I,3,0),VLOOKUP(B604,'12.COT.MERCADO'!A:I,7,0)))),"Em Elaboração")</f>
        <v>UN</v>
      </c>
      <c r="G604" s="254">
        <v>2.0</v>
      </c>
      <c r="H604" s="259">
        <f>IFERROR(IF(D604="SINAPI-S",VLOOKUP(B604,'20-B.SINAPI-S'!A:J,5,0),IF(D604="SINAPI-I",VLOOKUP(B604,'20-A.SINAPI-I'!A:G,6,0),IF(D604="COMPOSIÇÕES",VLOOKUP(B604,'11.COMPOSIÇÕES GERAIS'!B:I,7,0),0))),"Em Elaboração")</f>
        <v>0</v>
      </c>
      <c r="I604" s="259">
        <f>IFERROR(IF(D604="SINAPI-S",VLOOKUP(B604,'20-B.SINAPI-S'!A:J,6,0),IF(D604="SINAPI-I",VLOOKUP(B604,'20-A.SINAPI-I'!A:G,7,0),IF(D604="COMPOSIÇÕES",VLOOKUP(B604,'11.COMPOSIÇÕES GERAIS'!B:I,8,0),VLOOKUP(B604,'12.COT.MERCADO'!A:I,8,0)))),"Em Elaboração")</f>
        <v>217.3</v>
      </c>
      <c r="J604" s="259">
        <f t="shared" si="137"/>
        <v>0</v>
      </c>
      <c r="K604" s="259">
        <f t="shared" si="138"/>
        <v>254.5310053</v>
      </c>
      <c r="L604" s="259">
        <f t="shared" si="139"/>
        <v>254.5310053</v>
      </c>
      <c r="M604" s="259">
        <f t="shared" si="140"/>
        <v>0</v>
      </c>
      <c r="N604" s="259">
        <f t="shared" si="141"/>
        <v>509.0620107</v>
      </c>
      <c r="O604" s="259">
        <f t="shared" si="142"/>
        <v>509.0620107</v>
      </c>
      <c r="P604" s="260">
        <f t="shared" si="2"/>
        <v>0.0003982260969</v>
      </c>
    </row>
    <row r="605">
      <c r="A605" s="253" t="s">
        <v>758</v>
      </c>
      <c r="B605" s="254">
        <v>1927.0</v>
      </c>
      <c r="C605" s="255" t="str">
        <f t="shared" si="136"/>
        <v>SINAPI</v>
      </c>
      <c r="D605" s="256" t="s">
        <v>286</v>
      </c>
      <c r="E605" s="257" t="str">
        <f>IFERROR(IF(D605="SINAPI-S",VLOOKUP(B605,'20-B.SINAPI-S'!A:J,2,0),IF(D605="SINAPI-I",VLOOKUP(B605,'20-A.SINAPI-I'!A:G,2,0),IF(D605="COMPOSIÇÕES",VLOOKUP(B605,'11.COMPOSIÇÕES GERAIS'!B:I,2,0),VLOOKUP(B605,'12.COT.MERCADO'!A:I,2,0)))),"Em Elaboração")</f>
        <v>CURVA DE PVC 45 GRAUS, SOLDAVEL, 25 MM, COR MARROM, PARA AGUA FRIA PREDIAL</v>
      </c>
      <c r="F605" s="258" t="str">
        <f>IFERROR(IF(D605="SINAPI-S",VLOOKUP(B605,'20-B.SINAPI-S'!A:J,3,0),IF(D605="SINAPI-I",VLOOKUP(B605,'20-A.SINAPI-I'!A:G,3,0),IF(D605="COMPOSIÇÕES",VLOOKUP(B605,'11.COMPOSIÇÕES GERAIS'!B:I,3,0),VLOOKUP(B605,'12.COT.MERCADO'!A:I,7,0)))),"Em Elaboração")</f>
        <v>UN</v>
      </c>
      <c r="G605" s="254">
        <v>4.0</v>
      </c>
      <c r="H605" s="259">
        <f>IFERROR(IF(D605="SINAPI-S",VLOOKUP(B605,'20-B.SINAPI-S'!A:J,5,0),IF(D605="SINAPI-I",VLOOKUP(B605,'20-A.SINAPI-I'!A:G,6,0),IF(D605="COMPOSIÇÕES",VLOOKUP(B605,'11.COMPOSIÇÕES GERAIS'!B:I,7,0),0))),"Em Elaboração")</f>
        <v>0</v>
      </c>
      <c r="I605" s="259">
        <f>IFERROR(IF(D605="SINAPI-S",VLOOKUP(B605,'20-B.SINAPI-S'!A:J,6,0),IF(D605="SINAPI-I",VLOOKUP(B605,'20-A.SINAPI-I'!A:G,7,0),IF(D605="COMPOSIÇÕES",VLOOKUP(B605,'11.COMPOSIÇÕES GERAIS'!B:I,8,0),VLOOKUP(B605,'12.COT.MERCADO'!A:I,8,0)))),"Em Elaboração")</f>
        <v>2.57</v>
      </c>
      <c r="J605" s="259">
        <f t="shared" si="137"/>
        <v>0</v>
      </c>
      <c r="K605" s="259">
        <f t="shared" si="138"/>
        <v>3.010329884</v>
      </c>
      <c r="L605" s="259">
        <f t="shared" si="139"/>
        <v>3.010329884</v>
      </c>
      <c r="M605" s="259">
        <f t="shared" si="140"/>
        <v>0</v>
      </c>
      <c r="N605" s="259">
        <f t="shared" si="141"/>
        <v>12.04131954</v>
      </c>
      <c r="O605" s="259">
        <f t="shared" si="142"/>
        <v>12.04131954</v>
      </c>
      <c r="P605" s="260">
        <f t="shared" si="2"/>
        <v>0.000009419614073</v>
      </c>
    </row>
    <row r="606">
      <c r="A606" s="253" t="s">
        <v>759</v>
      </c>
      <c r="B606" s="254">
        <v>1923.0</v>
      </c>
      <c r="C606" s="255" t="str">
        <f t="shared" si="136"/>
        <v>SINAPI</v>
      </c>
      <c r="D606" s="256" t="s">
        <v>286</v>
      </c>
      <c r="E606" s="257" t="str">
        <f>IFERROR(IF(D606="SINAPI-S",VLOOKUP(B606,'20-B.SINAPI-S'!A:J,2,0),IF(D606="SINAPI-I",VLOOKUP(B606,'20-A.SINAPI-I'!A:G,2,0),IF(D606="COMPOSIÇÕES",VLOOKUP(B606,'11.COMPOSIÇÕES GERAIS'!B:I,2,0),VLOOKUP(B606,'12.COT.MERCADO'!A:I,2,0)))),"Em Elaboração")</f>
        <v>CURVA DE PVC 45 GRAUS, SOLDAVEL, 32 MM, COR MARROM, PARA AGUA FRIA PREDIAL</v>
      </c>
      <c r="F606" s="258" t="str">
        <f>IFERROR(IF(D606="SINAPI-S",VLOOKUP(B606,'20-B.SINAPI-S'!A:J,3,0),IF(D606="SINAPI-I",VLOOKUP(B606,'20-A.SINAPI-I'!A:G,3,0),IF(D606="COMPOSIÇÕES",VLOOKUP(B606,'11.COMPOSIÇÕES GERAIS'!B:I,3,0),VLOOKUP(B606,'12.COT.MERCADO'!A:I,7,0)))),"Em Elaboração")</f>
        <v>UN</v>
      </c>
      <c r="G606" s="254">
        <v>4.0</v>
      </c>
      <c r="H606" s="259">
        <f>IFERROR(IF(D606="SINAPI-S",VLOOKUP(B606,'20-B.SINAPI-S'!A:J,5,0),IF(D606="SINAPI-I",VLOOKUP(B606,'20-A.SINAPI-I'!A:G,6,0),IF(D606="COMPOSIÇÕES",VLOOKUP(B606,'11.COMPOSIÇÕES GERAIS'!B:I,7,0),0))),"Em Elaboração")</f>
        <v>0</v>
      </c>
      <c r="I606" s="259">
        <f>IFERROR(IF(D606="SINAPI-S",VLOOKUP(B606,'20-B.SINAPI-S'!A:J,6,0),IF(D606="SINAPI-I",VLOOKUP(B606,'20-A.SINAPI-I'!A:G,7,0),IF(D606="COMPOSIÇÕES",VLOOKUP(B606,'11.COMPOSIÇÕES GERAIS'!B:I,8,0),VLOOKUP(B606,'12.COT.MERCADO'!A:I,8,0)))),"Em Elaboração")</f>
        <v>4.68</v>
      </c>
      <c r="J606" s="259">
        <f t="shared" si="137"/>
        <v>0</v>
      </c>
      <c r="K606" s="259">
        <f t="shared" si="138"/>
        <v>5.481845858</v>
      </c>
      <c r="L606" s="259">
        <f t="shared" si="139"/>
        <v>5.481845858</v>
      </c>
      <c r="M606" s="259">
        <f t="shared" si="140"/>
        <v>0</v>
      </c>
      <c r="N606" s="259">
        <f t="shared" si="141"/>
        <v>21.92738343</v>
      </c>
      <c r="O606" s="259">
        <f t="shared" si="142"/>
        <v>21.92738343</v>
      </c>
      <c r="P606" s="260">
        <f t="shared" si="2"/>
        <v>0.00001715322718</v>
      </c>
    </row>
    <row r="607">
      <c r="A607" s="253" t="s">
        <v>760</v>
      </c>
      <c r="B607" s="254">
        <v>1929.0</v>
      </c>
      <c r="C607" s="255" t="str">
        <f t="shared" si="136"/>
        <v>SINAPI</v>
      </c>
      <c r="D607" s="256" t="s">
        <v>286</v>
      </c>
      <c r="E607" s="257" t="str">
        <f>IFERROR(IF(D607="SINAPI-S",VLOOKUP(B607,'20-B.SINAPI-S'!A:J,2,0),IF(D607="SINAPI-I",VLOOKUP(B607,'20-A.SINAPI-I'!A:G,2,0),IF(D607="COMPOSIÇÕES",VLOOKUP(B607,'11.COMPOSIÇÕES GERAIS'!B:I,2,0),VLOOKUP(B607,'12.COT.MERCADO'!A:I,2,0)))),"Em Elaboração")</f>
        <v>CURVA DE PVC 45 GRAUS, SOLDAVEL, 40 MM, COR MARROM, PARA AGUA FRIA PREDIAL</v>
      </c>
      <c r="F607" s="258" t="str">
        <f>IFERROR(IF(D607="SINAPI-S",VLOOKUP(B607,'20-B.SINAPI-S'!A:J,3,0),IF(D607="SINAPI-I",VLOOKUP(B607,'20-A.SINAPI-I'!A:G,3,0),IF(D607="COMPOSIÇÕES",VLOOKUP(B607,'11.COMPOSIÇÕES GERAIS'!B:I,3,0),VLOOKUP(B607,'12.COT.MERCADO'!A:I,7,0)))),"Em Elaboração")</f>
        <v>UN</v>
      </c>
      <c r="G607" s="254">
        <v>4.0</v>
      </c>
      <c r="H607" s="259">
        <f>IFERROR(IF(D607="SINAPI-S",VLOOKUP(B607,'20-B.SINAPI-S'!A:J,5,0),IF(D607="SINAPI-I",VLOOKUP(B607,'20-A.SINAPI-I'!A:G,6,0),IF(D607="COMPOSIÇÕES",VLOOKUP(B607,'11.COMPOSIÇÕES GERAIS'!B:I,7,0),0))),"Em Elaboração")</f>
        <v>0</v>
      </c>
      <c r="I607" s="259">
        <f>IFERROR(IF(D607="SINAPI-S",VLOOKUP(B607,'20-B.SINAPI-S'!A:J,6,0),IF(D607="SINAPI-I",VLOOKUP(B607,'20-A.SINAPI-I'!A:G,7,0),IF(D607="COMPOSIÇÕES",VLOOKUP(B607,'11.COMPOSIÇÕES GERAIS'!B:I,8,0),VLOOKUP(B607,'12.COT.MERCADO'!A:I,8,0)))),"Em Elaboração")</f>
        <v>5.68</v>
      </c>
      <c r="J607" s="259">
        <f t="shared" si="137"/>
        <v>0</v>
      </c>
      <c r="K607" s="259">
        <f t="shared" si="138"/>
        <v>6.653180444</v>
      </c>
      <c r="L607" s="259">
        <f t="shared" si="139"/>
        <v>6.653180444</v>
      </c>
      <c r="M607" s="259">
        <f t="shared" si="140"/>
        <v>0</v>
      </c>
      <c r="N607" s="259">
        <f t="shared" si="141"/>
        <v>26.61272177</v>
      </c>
      <c r="O607" s="259">
        <f t="shared" si="142"/>
        <v>26.61272177</v>
      </c>
      <c r="P607" s="260">
        <f t="shared" si="2"/>
        <v>0.00002081844667</v>
      </c>
    </row>
    <row r="608">
      <c r="A608" s="253" t="s">
        <v>761</v>
      </c>
      <c r="B608" s="254">
        <v>1930.0</v>
      </c>
      <c r="C608" s="255" t="str">
        <f t="shared" si="136"/>
        <v>SINAPI</v>
      </c>
      <c r="D608" s="256" t="s">
        <v>286</v>
      </c>
      <c r="E608" s="257" t="str">
        <f>IFERROR(IF(D608="SINAPI-S",VLOOKUP(B608,'20-B.SINAPI-S'!A:J,2,0),IF(D608="SINAPI-I",VLOOKUP(B608,'20-A.SINAPI-I'!A:G,2,0),IF(D608="COMPOSIÇÕES",VLOOKUP(B608,'11.COMPOSIÇÕES GERAIS'!B:I,2,0),VLOOKUP(B608,'12.COT.MERCADO'!A:I,2,0)))),"Em Elaboração")</f>
        <v>CURVA DE PVC 45 GRAUS, SOLDAVEL, 50 MM, COR MARROM, PARA AGUA FRIA PREDIAL</v>
      </c>
      <c r="F608" s="258" t="str">
        <f>IFERROR(IF(D608="SINAPI-S",VLOOKUP(B608,'20-B.SINAPI-S'!A:J,3,0),IF(D608="SINAPI-I",VLOOKUP(B608,'20-A.SINAPI-I'!A:G,3,0),IF(D608="COMPOSIÇÕES",VLOOKUP(B608,'11.COMPOSIÇÕES GERAIS'!B:I,3,0),VLOOKUP(B608,'12.COT.MERCADO'!A:I,7,0)))),"Em Elaboração")</f>
        <v>UN</v>
      </c>
      <c r="G608" s="254">
        <v>4.0</v>
      </c>
      <c r="H608" s="259">
        <f>IFERROR(IF(D608="SINAPI-S",VLOOKUP(B608,'20-B.SINAPI-S'!A:J,5,0),IF(D608="SINAPI-I",VLOOKUP(B608,'20-A.SINAPI-I'!A:G,6,0),IF(D608="COMPOSIÇÕES",VLOOKUP(B608,'11.COMPOSIÇÕES GERAIS'!B:I,7,0),0))),"Em Elaboração")</f>
        <v>0</v>
      </c>
      <c r="I608" s="259">
        <f>IFERROR(IF(D608="SINAPI-S",VLOOKUP(B608,'20-B.SINAPI-S'!A:J,6,0),IF(D608="SINAPI-I",VLOOKUP(B608,'20-A.SINAPI-I'!A:G,7,0),IF(D608="COMPOSIÇÕES",VLOOKUP(B608,'11.COMPOSIÇÕES GERAIS'!B:I,8,0),VLOOKUP(B608,'12.COT.MERCADO'!A:I,8,0)))),"Em Elaboração")</f>
        <v>9.71</v>
      </c>
      <c r="J608" s="259">
        <f t="shared" si="137"/>
        <v>0</v>
      </c>
      <c r="K608" s="259">
        <f t="shared" si="138"/>
        <v>11.37365882</v>
      </c>
      <c r="L608" s="259">
        <f t="shared" si="139"/>
        <v>11.37365882</v>
      </c>
      <c r="M608" s="259">
        <f t="shared" si="140"/>
        <v>0</v>
      </c>
      <c r="N608" s="259">
        <f t="shared" si="141"/>
        <v>45.49463529</v>
      </c>
      <c r="O608" s="259">
        <f t="shared" si="142"/>
        <v>45.49463529</v>
      </c>
      <c r="P608" s="260">
        <f t="shared" si="2"/>
        <v>0.00003558928119</v>
      </c>
    </row>
    <row r="609">
      <c r="A609" s="253" t="s">
        <v>762</v>
      </c>
      <c r="B609" s="254">
        <v>1924.0</v>
      </c>
      <c r="C609" s="255" t="str">
        <f t="shared" si="136"/>
        <v>SINAPI</v>
      </c>
      <c r="D609" s="256" t="s">
        <v>286</v>
      </c>
      <c r="E609" s="257" t="str">
        <f>IFERROR(IF(D609="SINAPI-S",VLOOKUP(B609,'20-B.SINAPI-S'!A:J,2,0),IF(D609="SINAPI-I",VLOOKUP(B609,'20-A.SINAPI-I'!A:G,2,0),IF(D609="COMPOSIÇÕES",VLOOKUP(B609,'11.COMPOSIÇÕES GERAIS'!B:I,2,0),VLOOKUP(B609,'12.COT.MERCADO'!A:I,2,0)))),"Em Elaboração")</f>
        <v>CURVA DE PVC 45 GRAUS, SOLDAVEL, 60 MM, COR MARROM, PARA AGUA FRIA PREDIAL</v>
      </c>
      <c r="F609" s="258" t="str">
        <f>IFERROR(IF(D609="SINAPI-S",VLOOKUP(B609,'20-B.SINAPI-S'!A:J,3,0),IF(D609="SINAPI-I",VLOOKUP(B609,'20-A.SINAPI-I'!A:G,3,0),IF(D609="COMPOSIÇÕES",VLOOKUP(B609,'11.COMPOSIÇÕES GERAIS'!B:I,3,0),VLOOKUP(B609,'12.COT.MERCADO'!A:I,7,0)))),"Em Elaboração")</f>
        <v>UN</v>
      </c>
      <c r="G609" s="254">
        <v>4.0</v>
      </c>
      <c r="H609" s="259">
        <f>IFERROR(IF(D609="SINAPI-S",VLOOKUP(B609,'20-B.SINAPI-S'!A:J,5,0),IF(D609="SINAPI-I",VLOOKUP(B609,'20-A.SINAPI-I'!A:G,6,0),IF(D609="COMPOSIÇÕES",VLOOKUP(B609,'11.COMPOSIÇÕES GERAIS'!B:I,7,0),0))),"Em Elaboração")</f>
        <v>0</v>
      </c>
      <c r="I609" s="259">
        <f>IFERROR(IF(D609="SINAPI-S",VLOOKUP(B609,'20-B.SINAPI-S'!A:J,6,0),IF(D609="SINAPI-I",VLOOKUP(B609,'20-A.SINAPI-I'!A:G,7,0),IF(D609="COMPOSIÇÕES",VLOOKUP(B609,'11.COMPOSIÇÕES GERAIS'!B:I,8,0),VLOOKUP(B609,'12.COT.MERCADO'!A:I,8,0)))),"Em Elaboração")</f>
        <v>15.68</v>
      </c>
      <c r="J609" s="259">
        <f t="shared" si="137"/>
        <v>0</v>
      </c>
      <c r="K609" s="259">
        <f t="shared" si="138"/>
        <v>18.36652629</v>
      </c>
      <c r="L609" s="259">
        <f t="shared" si="139"/>
        <v>18.36652629</v>
      </c>
      <c r="M609" s="259">
        <f t="shared" si="140"/>
        <v>0</v>
      </c>
      <c r="N609" s="259">
        <f t="shared" si="141"/>
        <v>73.46610518</v>
      </c>
      <c r="O609" s="259">
        <f t="shared" si="142"/>
        <v>73.46610518</v>
      </c>
      <c r="P609" s="260">
        <f t="shared" si="2"/>
        <v>0.00005747064151</v>
      </c>
    </row>
    <row r="610">
      <c r="A610" s="253" t="s">
        <v>763</v>
      </c>
      <c r="B610" s="254">
        <v>1939.0</v>
      </c>
      <c r="C610" s="255" t="str">
        <f t="shared" si="136"/>
        <v>SINAPI</v>
      </c>
      <c r="D610" s="256" t="s">
        <v>286</v>
      </c>
      <c r="E610" s="257" t="str">
        <f>IFERROR(IF(D610="SINAPI-S",VLOOKUP(B610,'20-B.SINAPI-S'!A:J,2,0),IF(D610="SINAPI-I",VLOOKUP(B610,'20-A.SINAPI-I'!A:G,2,0),IF(D610="COMPOSIÇÕES",VLOOKUP(B610,'11.COMPOSIÇÕES GERAIS'!B:I,2,0),VLOOKUP(B610,'12.COT.MERCADO'!A:I,2,0)))),"Em Elaboração")</f>
        <v>CURVA PVC 90 GRAUS, ROSCAVEL, 1", COR BRANCA, AGUA FRIA PREDIAL</v>
      </c>
      <c r="F610" s="258" t="str">
        <f>IFERROR(IF(D610="SINAPI-S",VLOOKUP(B610,'20-B.SINAPI-S'!A:J,3,0),IF(D610="SINAPI-I",VLOOKUP(B610,'20-A.SINAPI-I'!A:G,3,0),IF(D610="COMPOSIÇÕES",VLOOKUP(B610,'11.COMPOSIÇÕES GERAIS'!B:I,3,0),VLOOKUP(B610,'12.COT.MERCADO'!A:I,7,0)))),"Em Elaboração")</f>
        <v>UN</v>
      </c>
      <c r="G610" s="254">
        <v>2.0</v>
      </c>
      <c r="H610" s="259">
        <f>IFERROR(IF(D610="SINAPI-S",VLOOKUP(B610,'20-B.SINAPI-S'!A:J,5,0),IF(D610="SINAPI-I",VLOOKUP(B610,'20-A.SINAPI-I'!A:G,6,0),IF(D610="COMPOSIÇÕES",VLOOKUP(B610,'11.COMPOSIÇÕES GERAIS'!B:I,7,0),0))),"Em Elaboração")</f>
        <v>0</v>
      </c>
      <c r="I610" s="259">
        <f>IFERROR(IF(D610="SINAPI-S",VLOOKUP(B610,'20-B.SINAPI-S'!A:J,6,0),IF(D610="SINAPI-I",VLOOKUP(B610,'20-A.SINAPI-I'!A:G,7,0),IF(D610="COMPOSIÇÕES",VLOOKUP(B610,'11.COMPOSIÇÕES GERAIS'!B:I,8,0),VLOOKUP(B610,'12.COT.MERCADO'!A:I,8,0)))),"Em Elaboração")</f>
        <v>9.57</v>
      </c>
      <c r="J610" s="259">
        <f t="shared" si="137"/>
        <v>0</v>
      </c>
      <c r="K610" s="259">
        <f t="shared" si="138"/>
        <v>11.20967198</v>
      </c>
      <c r="L610" s="259">
        <f t="shared" si="139"/>
        <v>11.20967198</v>
      </c>
      <c r="M610" s="259">
        <f t="shared" si="140"/>
        <v>0</v>
      </c>
      <c r="N610" s="259">
        <f t="shared" si="141"/>
        <v>22.41934396</v>
      </c>
      <c r="O610" s="259">
        <f t="shared" si="142"/>
        <v>22.41934396</v>
      </c>
      <c r="P610" s="260">
        <f t="shared" si="2"/>
        <v>0.00001753807523</v>
      </c>
    </row>
    <row r="611">
      <c r="A611" s="253" t="s">
        <v>764</v>
      </c>
      <c r="B611" s="254">
        <v>1940.0</v>
      </c>
      <c r="C611" s="255" t="str">
        <f t="shared" si="136"/>
        <v>SINAPI</v>
      </c>
      <c r="D611" s="256" t="s">
        <v>286</v>
      </c>
      <c r="E611" s="257" t="str">
        <f>IFERROR(IF(D611="SINAPI-S",VLOOKUP(B611,'20-B.SINAPI-S'!A:J,2,0),IF(D611="SINAPI-I",VLOOKUP(B611,'20-A.SINAPI-I'!A:G,2,0),IF(D611="COMPOSIÇÕES",VLOOKUP(B611,'11.COMPOSIÇÕES GERAIS'!B:I,2,0),VLOOKUP(B611,'12.COT.MERCADO'!A:I,2,0)))),"Em Elaboração")</f>
        <v>CURVA PVC 90 GRAUS, ROSCAVEL, 1 1/4", COR BRANCA, AGUA FRIA PREDIAL</v>
      </c>
      <c r="F611" s="258" t="str">
        <f>IFERROR(IF(D611="SINAPI-S",VLOOKUP(B611,'20-B.SINAPI-S'!A:J,3,0),IF(D611="SINAPI-I",VLOOKUP(B611,'20-A.SINAPI-I'!A:G,3,0),IF(D611="COMPOSIÇÕES",VLOOKUP(B611,'11.COMPOSIÇÕES GERAIS'!B:I,3,0),VLOOKUP(B611,'12.COT.MERCADO'!A:I,7,0)))),"Em Elaboração")</f>
        <v>UN</v>
      </c>
      <c r="G611" s="254">
        <v>2.0</v>
      </c>
      <c r="H611" s="259">
        <f>IFERROR(IF(D611="SINAPI-S",VLOOKUP(B611,'20-B.SINAPI-S'!A:J,5,0),IF(D611="SINAPI-I",VLOOKUP(B611,'20-A.SINAPI-I'!A:G,6,0),IF(D611="COMPOSIÇÕES",VLOOKUP(B611,'11.COMPOSIÇÕES GERAIS'!B:I,7,0),0))),"Em Elaboração")</f>
        <v>0</v>
      </c>
      <c r="I611" s="259">
        <f>IFERROR(IF(D611="SINAPI-S",VLOOKUP(B611,'20-B.SINAPI-S'!A:J,6,0),IF(D611="SINAPI-I",VLOOKUP(B611,'20-A.SINAPI-I'!A:G,7,0),IF(D611="COMPOSIÇÕES",VLOOKUP(B611,'11.COMPOSIÇÕES GERAIS'!B:I,8,0),VLOOKUP(B611,'12.COT.MERCADO'!A:I,8,0)))),"Em Elaboração")</f>
        <v>34.89</v>
      </c>
      <c r="J611" s="259">
        <f t="shared" si="137"/>
        <v>0</v>
      </c>
      <c r="K611" s="259">
        <f t="shared" si="138"/>
        <v>40.86786368</v>
      </c>
      <c r="L611" s="259">
        <f t="shared" si="139"/>
        <v>40.86786368</v>
      </c>
      <c r="M611" s="259">
        <f t="shared" si="140"/>
        <v>0</v>
      </c>
      <c r="N611" s="259">
        <f t="shared" si="141"/>
        <v>81.73572735</v>
      </c>
      <c r="O611" s="259">
        <f t="shared" si="142"/>
        <v>81.73572735</v>
      </c>
      <c r="P611" s="260">
        <f t="shared" si="2"/>
        <v>0.00006393975389</v>
      </c>
    </row>
    <row r="612">
      <c r="A612" s="253" t="s">
        <v>765</v>
      </c>
      <c r="B612" s="254">
        <v>1937.0</v>
      </c>
      <c r="C612" s="255" t="str">
        <f t="shared" si="136"/>
        <v>SINAPI</v>
      </c>
      <c r="D612" s="256" t="s">
        <v>286</v>
      </c>
      <c r="E612" s="257" t="str">
        <f>IFERROR(IF(D612="SINAPI-S",VLOOKUP(B612,'20-B.SINAPI-S'!A:J,2,0),IF(D612="SINAPI-I",VLOOKUP(B612,'20-A.SINAPI-I'!A:G,2,0),IF(D612="COMPOSIÇÕES",VLOOKUP(B612,'11.COMPOSIÇÕES GERAIS'!B:I,2,0),VLOOKUP(B612,'12.COT.MERCADO'!A:I,2,0)))),"Em Elaboração")</f>
        <v>CURVA PVC 90 GRAUS, ROSCAVEL, 1/2", COR BRANCA, AGUA FRIA PREDIAL</v>
      </c>
      <c r="F612" s="258" t="str">
        <f>IFERROR(IF(D612="SINAPI-S",VLOOKUP(B612,'20-B.SINAPI-S'!A:J,3,0),IF(D612="SINAPI-I",VLOOKUP(B612,'20-A.SINAPI-I'!A:G,3,0),IF(D612="COMPOSIÇÕES",VLOOKUP(B612,'11.COMPOSIÇÕES GERAIS'!B:I,3,0),VLOOKUP(B612,'12.COT.MERCADO'!A:I,7,0)))),"Em Elaboração")</f>
        <v>UN</v>
      </c>
      <c r="G612" s="254">
        <v>2.0</v>
      </c>
      <c r="H612" s="259">
        <f>IFERROR(IF(D612="SINAPI-S",VLOOKUP(B612,'20-B.SINAPI-S'!A:J,5,0),IF(D612="SINAPI-I",VLOOKUP(B612,'20-A.SINAPI-I'!A:G,6,0),IF(D612="COMPOSIÇÕES",VLOOKUP(B612,'11.COMPOSIÇÕES GERAIS'!B:I,7,0),0))),"Em Elaboração")</f>
        <v>0</v>
      </c>
      <c r="I612" s="259">
        <f>IFERROR(IF(D612="SINAPI-S",VLOOKUP(B612,'20-B.SINAPI-S'!A:J,6,0),IF(D612="SINAPI-I",VLOOKUP(B612,'20-A.SINAPI-I'!A:G,7,0),IF(D612="COMPOSIÇÕES",VLOOKUP(B612,'11.COMPOSIÇÕES GERAIS'!B:I,8,0),VLOOKUP(B612,'12.COT.MERCADO'!A:I,8,0)))),"Em Elaboração")</f>
        <v>5.89</v>
      </c>
      <c r="J612" s="259">
        <f t="shared" si="137"/>
        <v>0</v>
      </c>
      <c r="K612" s="259">
        <f t="shared" si="138"/>
        <v>6.899160706</v>
      </c>
      <c r="L612" s="259">
        <f t="shared" si="139"/>
        <v>6.899160706</v>
      </c>
      <c r="M612" s="259">
        <f t="shared" si="140"/>
        <v>0</v>
      </c>
      <c r="N612" s="259">
        <f t="shared" si="141"/>
        <v>13.79832141</v>
      </c>
      <c r="O612" s="259">
        <f t="shared" si="142"/>
        <v>13.79832141</v>
      </c>
      <c r="P612" s="260">
        <f t="shared" si="2"/>
        <v>0.00001079407138</v>
      </c>
    </row>
    <row r="613">
      <c r="A613" s="253" t="s">
        <v>766</v>
      </c>
      <c r="B613" s="254">
        <v>1938.0</v>
      </c>
      <c r="C613" s="255" t="str">
        <f t="shared" si="136"/>
        <v>SINAPI</v>
      </c>
      <c r="D613" s="256" t="s">
        <v>286</v>
      </c>
      <c r="E613" s="257" t="str">
        <f>IFERROR(IF(D613="SINAPI-S",VLOOKUP(B613,'20-B.SINAPI-S'!A:J,2,0),IF(D613="SINAPI-I",VLOOKUP(B613,'20-A.SINAPI-I'!A:G,2,0),IF(D613="COMPOSIÇÕES",VLOOKUP(B613,'11.COMPOSIÇÕES GERAIS'!B:I,2,0),VLOOKUP(B613,'12.COT.MERCADO'!A:I,2,0)))),"Em Elaboração")</f>
        <v>CURVA PVC 90 GRAUS, ROSCAVEL, 3/4", COR BRANCA, AGUA FRIA PREDIAL</v>
      </c>
      <c r="F613" s="258" t="str">
        <f>IFERROR(IF(D613="SINAPI-S",VLOOKUP(B613,'20-B.SINAPI-S'!A:J,3,0),IF(D613="SINAPI-I",VLOOKUP(B613,'20-A.SINAPI-I'!A:G,3,0),IF(D613="COMPOSIÇÕES",VLOOKUP(B613,'11.COMPOSIÇÕES GERAIS'!B:I,3,0),VLOOKUP(B613,'12.COT.MERCADO'!A:I,7,0)))),"Em Elaboração")</f>
        <v>UN</v>
      </c>
      <c r="G613" s="254">
        <v>2.0</v>
      </c>
      <c r="H613" s="259">
        <f>IFERROR(IF(D613="SINAPI-S",VLOOKUP(B613,'20-B.SINAPI-S'!A:J,5,0),IF(D613="SINAPI-I",VLOOKUP(B613,'20-A.SINAPI-I'!A:G,6,0),IF(D613="COMPOSIÇÕES",VLOOKUP(B613,'11.COMPOSIÇÕES GERAIS'!B:I,7,0),0))),"Em Elaboração")</f>
        <v>0</v>
      </c>
      <c r="I613" s="259">
        <f>IFERROR(IF(D613="SINAPI-S",VLOOKUP(B613,'20-B.SINAPI-S'!A:J,6,0),IF(D613="SINAPI-I",VLOOKUP(B613,'20-A.SINAPI-I'!A:G,7,0),IF(D613="COMPOSIÇÕES",VLOOKUP(B613,'11.COMPOSIÇÕES GERAIS'!B:I,8,0),VLOOKUP(B613,'12.COT.MERCADO'!A:I,8,0)))),"Em Elaboração")</f>
        <v>6.69</v>
      </c>
      <c r="J613" s="259">
        <f t="shared" si="137"/>
        <v>0</v>
      </c>
      <c r="K613" s="259">
        <f t="shared" si="138"/>
        <v>7.836228375</v>
      </c>
      <c r="L613" s="259">
        <f t="shared" si="139"/>
        <v>7.836228375</v>
      </c>
      <c r="M613" s="259">
        <f t="shared" si="140"/>
        <v>0</v>
      </c>
      <c r="N613" s="259">
        <f t="shared" si="141"/>
        <v>15.67245675</v>
      </c>
      <c r="O613" s="259">
        <f t="shared" si="142"/>
        <v>15.67245675</v>
      </c>
      <c r="P613" s="260">
        <f t="shared" si="2"/>
        <v>0.00001226015917</v>
      </c>
    </row>
    <row r="614">
      <c r="A614" s="253" t="s">
        <v>767</v>
      </c>
      <c r="B614" s="254">
        <v>1955.0</v>
      </c>
      <c r="C614" s="255" t="str">
        <f t="shared" si="136"/>
        <v>SINAPI</v>
      </c>
      <c r="D614" s="256" t="s">
        <v>286</v>
      </c>
      <c r="E614" s="257" t="str">
        <f>IFERROR(IF(D614="SINAPI-S",VLOOKUP(B614,'20-B.SINAPI-S'!A:J,2,0),IF(D614="SINAPI-I",VLOOKUP(B614,'20-A.SINAPI-I'!A:G,2,0),IF(D614="COMPOSIÇÕES",VLOOKUP(B614,'11.COMPOSIÇÕES GERAIS'!B:I,2,0),VLOOKUP(B614,'12.COT.MERCADO'!A:I,2,0)))),"Em Elaboração")</f>
        <v>CURVA DE PVC 90 GRAUS, SOLDAVEL, 20 MM, COR MARROM, PARA AGUA FRIA PREDIAL</v>
      </c>
      <c r="F614" s="258" t="str">
        <f>IFERROR(IF(D614="SINAPI-S",VLOOKUP(B614,'20-B.SINAPI-S'!A:J,3,0),IF(D614="SINAPI-I",VLOOKUP(B614,'20-A.SINAPI-I'!A:G,3,0),IF(D614="COMPOSIÇÕES",VLOOKUP(B614,'11.COMPOSIÇÕES GERAIS'!B:I,3,0),VLOOKUP(B614,'12.COT.MERCADO'!A:I,7,0)))),"Em Elaboração")</f>
        <v>UN</v>
      </c>
      <c r="G614" s="254">
        <v>2.0</v>
      </c>
      <c r="H614" s="259">
        <f>IFERROR(IF(D614="SINAPI-S",VLOOKUP(B614,'20-B.SINAPI-S'!A:J,5,0),IF(D614="SINAPI-I",VLOOKUP(B614,'20-A.SINAPI-I'!A:G,6,0),IF(D614="COMPOSIÇÕES",VLOOKUP(B614,'11.COMPOSIÇÕES GERAIS'!B:I,7,0),0))),"Em Elaboração")</f>
        <v>0</v>
      </c>
      <c r="I614" s="259">
        <f>IFERROR(IF(D614="SINAPI-S",VLOOKUP(B614,'20-B.SINAPI-S'!A:J,6,0),IF(D614="SINAPI-I",VLOOKUP(B614,'20-A.SINAPI-I'!A:G,7,0),IF(D614="COMPOSIÇÕES",VLOOKUP(B614,'11.COMPOSIÇÕES GERAIS'!B:I,8,0),VLOOKUP(B614,'12.COT.MERCADO'!A:I,8,0)))),"Em Elaboração")</f>
        <v>2.21</v>
      </c>
      <c r="J614" s="259">
        <f t="shared" si="137"/>
        <v>0</v>
      </c>
      <c r="K614" s="259">
        <f t="shared" si="138"/>
        <v>2.588649433</v>
      </c>
      <c r="L614" s="259">
        <f t="shared" si="139"/>
        <v>2.588649433</v>
      </c>
      <c r="M614" s="259">
        <f t="shared" si="140"/>
        <v>0</v>
      </c>
      <c r="N614" s="259">
        <f t="shared" si="141"/>
        <v>5.177298866</v>
      </c>
      <c r="O614" s="259">
        <f t="shared" si="142"/>
        <v>5.177298866</v>
      </c>
      <c r="P614" s="260">
        <f t="shared" si="2"/>
        <v>0.00000405006753</v>
      </c>
    </row>
    <row r="615">
      <c r="A615" s="253" t="s">
        <v>768</v>
      </c>
      <c r="B615" s="254">
        <v>1956.0</v>
      </c>
      <c r="C615" s="255" t="str">
        <f t="shared" si="136"/>
        <v>SINAPI</v>
      </c>
      <c r="D615" s="256" t="s">
        <v>286</v>
      </c>
      <c r="E615" s="257" t="str">
        <f>IFERROR(IF(D615="SINAPI-S",VLOOKUP(B615,'20-B.SINAPI-S'!A:J,2,0),IF(D615="SINAPI-I",VLOOKUP(B615,'20-A.SINAPI-I'!A:G,2,0),IF(D615="COMPOSIÇÕES",VLOOKUP(B615,'11.COMPOSIÇÕES GERAIS'!B:I,2,0),VLOOKUP(B615,'12.COT.MERCADO'!A:I,2,0)))),"Em Elaboração")</f>
        <v>CURVA DE PVC 90 GRAUS, SOLDAVEL, 25 MM, COR MARROM, PARA AGUA FRIA PREDIAL</v>
      </c>
      <c r="F615" s="258" t="str">
        <f>IFERROR(IF(D615="SINAPI-S",VLOOKUP(B615,'20-B.SINAPI-S'!A:J,3,0),IF(D615="SINAPI-I",VLOOKUP(B615,'20-A.SINAPI-I'!A:G,3,0),IF(D615="COMPOSIÇÕES",VLOOKUP(B615,'11.COMPOSIÇÕES GERAIS'!B:I,3,0),VLOOKUP(B615,'12.COT.MERCADO'!A:I,7,0)))),"Em Elaboração")</f>
        <v>UN</v>
      </c>
      <c r="G615" s="254">
        <v>2.0</v>
      </c>
      <c r="H615" s="259">
        <f>IFERROR(IF(D615="SINAPI-S",VLOOKUP(B615,'20-B.SINAPI-S'!A:J,5,0),IF(D615="SINAPI-I",VLOOKUP(B615,'20-A.SINAPI-I'!A:G,6,0),IF(D615="COMPOSIÇÕES",VLOOKUP(B615,'11.COMPOSIÇÕES GERAIS'!B:I,7,0),0))),"Em Elaboração")</f>
        <v>0</v>
      </c>
      <c r="I615" s="259">
        <f>IFERROR(IF(D615="SINAPI-S",VLOOKUP(B615,'20-B.SINAPI-S'!A:J,6,0),IF(D615="SINAPI-I",VLOOKUP(B615,'20-A.SINAPI-I'!A:G,7,0),IF(D615="COMPOSIÇÕES",VLOOKUP(B615,'11.COMPOSIÇÕES GERAIS'!B:I,8,0),VLOOKUP(B615,'12.COT.MERCADO'!A:I,8,0)))),"Em Elaboração")</f>
        <v>3.13</v>
      </c>
      <c r="J615" s="259">
        <f t="shared" si="137"/>
        <v>0</v>
      </c>
      <c r="K615" s="259">
        <f t="shared" si="138"/>
        <v>3.666277251</v>
      </c>
      <c r="L615" s="259">
        <f t="shared" si="139"/>
        <v>3.666277251</v>
      </c>
      <c r="M615" s="259">
        <f t="shared" si="140"/>
        <v>0</v>
      </c>
      <c r="N615" s="259">
        <f t="shared" si="141"/>
        <v>7.332554503</v>
      </c>
      <c r="O615" s="259">
        <f t="shared" si="142"/>
        <v>7.332554503</v>
      </c>
      <c r="P615" s="260">
        <f t="shared" si="2"/>
        <v>0.000005736068492</v>
      </c>
    </row>
    <row r="616">
      <c r="A616" s="253" t="s">
        <v>769</v>
      </c>
      <c r="B616" s="254">
        <v>1957.0</v>
      </c>
      <c r="C616" s="255" t="str">
        <f t="shared" si="136"/>
        <v>SINAPI</v>
      </c>
      <c r="D616" s="256" t="s">
        <v>286</v>
      </c>
      <c r="E616" s="257" t="str">
        <f>IFERROR(IF(D616="SINAPI-S",VLOOKUP(B616,'20-B.SINAPI-S'!A:J,2,0),IF(D616="SINAPI-I",VLOOKUP(B616,'20-A.SINAPI-I'!A:G,2,0),IF(D616="COMPOSIÇÕES",VLOOKUP(B616,'11.COMPOSIÇÕES GERAIS'!B:I,2,0),VLOOKUP(B616,'12.COT.MERCADO'!A:I,2,0)))),"Em Elaboração")</f>
        <v>CURVA DE PVC 90 GRAUS, SOLDAVEL, 32 MM, COR MARROM, PARA AGUA FRIA PREDIAL</v>
      </c>
      <c r="F616" s="258" t="str">
        <f>IFERROR(IF(D616="SINAPI-S",VLOOKUP(B616,'20-B.SINAPI-S'!A:J,3,0),IF(D616="SINAPI-I",VLOOKUP(B616,'20-A.SINAPI-I'!A:G,3,0),IF(D616="COMPOSIÇÕES",VLOOKUP(B616,'11.COMPOSIÇÕES GERAIS'!B:I,3,0),VLOOKUP(B616,'12.COT.MERCADO'!A:I,7,0)))),"Em Elaboração")</f>
        <v>UN</v>
      </c>
      <c r="G616" s="254">
        <v>2.0</v>
      </c>
      <c r="H616" s="259">
        <f>IFERROR(IF(D616="SINAPI-S",VLOOKUP(B616,'20-B.SINAPI-S'!A:J,5,0),IF(D616="SINAPI-I",VLOOKUP(B616,'20-A.SINAPI-I'!A:G,6,0),IF(D616="COMPOSIÇÕES",VLOOKUP(B616,'11.COMPOSIÇÕES GERAIS'!B:I,7,0),0))),"Em Elaboração")</f>
        <v>0</v>
      </c>
      <c r="I616" s="259">
        <f>IFERROR(IF(D616="SINAPI-S",VLOOKUP(B616,'20-B.SINAPI-S'!A:J,6,0),IF(D616="SINAPI-I",VLOOKUP(B616,'20-A.SINAPI-I'!A:G,7,0),IF(D616="COMPOSIÇÕES",VLOOKUP(B616,'11.COMPOSIÇÕES GERAIS'!B:I,8,0),VLOOKUP(B616,'12.COT.MERCADO'!A:I,8,0)))),"Em Elaboração")</f>
        <v>6.76</v>
      </c>
      <c r="J616" s="259">
        <f t="shared" si="137"/>
        <v>0</v>
      </c>
      <c r="K616" s="259">
        <f t="shared" si="138"/>
        <v>7.918221796</v>
      </c>
      <c r="L616" s="259">
        <f t="shared" si="139"/>
        <v>7.918221796</v>
      </c>
      <c r="M616" s="259">
        <f t="shared" si="140"/>
        <v>0</v>
      </c>
      <c r="N616" s="259">
        <f t="shared" si="141"/>
        <v>15.83644359</v>
      </c>
      <c r="O616" s="259">
        <f t="shared" si="142"/>
        <v>15.83644359</v>
      </c>
      <c r="P616" s="260">
        <f t="shared" si="2"/>
        <v>0.00001238844186</v>
      </c>
    </row>
    <row r="617">
      <c r="A617" s="253" t="s">
        <v>770</v>
      </c>
      <c r="B617" s="254">
        <v>1958.0</v>
      </c>
      <c r="C617" s="255" t="str">
        <f t="shared" si="136"/>
        <v>SINAPI</v>
      </c>
      <c r="D617" s="256" t="s">
        <v>286</v>
      </c>
      <c r="E617" s="257" t="str">
        <f>IFERROR(IF(D617="SINAPI-S",VLOOKUP(B617,'20-B.SINAPI-S'!A:J,2,0),IF(D617="SINAPI-I",VLOOKUP(B617,'20-A.SINAPI-I'!A:G,2,0),IF(D617="COMPOSIÇÕES",VLOOKUP(B617,'11.COMPOSIÇÕES GERAIS'!B:I,2,0),VLOOKUP(B617,'12.COT.MERCADO'!A:I,2,0)))),"Em Elaboração")</f>
        <v>CURVA DE PVC 90 GRAUS, SOLDAVEL, 40 MM, COR MARROM, PARA AGUA FRIA PREDIAL</v>
      </c>
      <c r="F617" s="258" t="str">
        <f>IFERROR(IF(D617="SINAPI-S",VLOOKUP(B617,'20-B.SINAPI-S'!A:J,3,0),IF(D617="SINAPI-I",VLOOKUP(B617,'20-A.SINAPI-I'!A:G,3,0),IF(D617="COMPOSIÇÕES",VLOOKUP(B617,'11.COMPOSIÇÕES GERAIS'!B:I,3,0),VLOOKUP(B617,'12.COT.MERCADO'!A:I,7,0)))),"Em Elaboração")</f>
        <v>UN</v>
      </c>
      <c r="G617" s="254">
        <v>2.0</v>
      </c>
      <c r="H617" s="259">
        <f>IFERROR(IF(D617="SINAPI-S",VLOOKUP(B617,'20-B.SINAPI-S'!A:J,5,0),IF(D617="SINAPI-I",VLOOKUP(B617,'20-A.SINAPI-I'!A:G,6,0),IF(D617="COMPOSIÇÕES",VLOOKUP(B617,'11.COMPOSIÇÕES GERAIS'!B:I,7,0),0))),"Em Elaboração")</f>
        <v>0</v>
      </c>
      <c r="I617" s="259">
        <f>IFERROR(IF(D617="SINAPI-S",VLOOKUP(B617,'20-B.SINAPI-S'!A:J,6,0),IF(D617="SINAPI-I",VLOOKUP(B617,'20-A.SINAPI-I'!A:G,7,0),IF(D617="COMPOSIÇÕES",VLOOKUP(B617,'11.COMPOSIÇÕES GERAIS'!B:I,8,0),VLOOKUP(B617,'12.COT.MERCADO'!A:I,8,0)))),"Em Elaboração")</f>
        <v>12.59</v>
      </c>
      <c r="J617" s="259">
        <f t="shared" si="137"/>
        <v>0</v>
      </c>
      <c r="K617" s="259">
        <f t="shared" si="138"/>
        <v>14.74710243</v>
      </c>
      <c r="L617" s="259">
        <f t="shared" si="139"/>
        <v>14.74710243</v>
      </c>
      <c r="M617" s="259">
        <f t="shared" si="140"/>
        <v>0</v>
      </c>
      <c r="N617" s="259">
        <f t="shared" si="141"/>
        <v>29.49420485</v>
      </c>
      <c r="O617" s="259">
        <f t="shared" si="142"/>
        <v>29.49420485</v>
      </c>
      <c r="P617" s="260">
        <f t="shared" si="2"/>
        <v>0.00002307255665</v>
      </c>
    </row>
    <row r="618">
      <c r="A618" s="253" t="s">
        <v>771</v>
      </c>
      <c r="B618" s="254">
        <v>1959.0</v>
      </c>
      <c r="C618" s="255" t="str">
        <f t="shared" si="136"/>
        <v>SINAPI</v>
      </c>
      <c r="D618" s="256" t="s">
        <v>286</v>
      </c>
      <c r="E618" s="257" t="str">
        <f>IFERROR(IF(D618="SINAPI-S",VLOOKUP(B618,'20-B.SINAPI-S'!A:J,2,0),IF(D618="SINAPI-I",VLOOKUP(B618,'20-A.SINAPI-I'!A:G,2,0),IF(D618="COMPOSIÇÕES",VLOOKUP(B618,'11.COMPOSIÇÕES GERAIS'!B:I,2,0),VLOOKUP(B618,'12.COT.MERCADO'!A:I,2,0)))),"Em Elaboração")</f>
        <v>CURVA DE PVC 90 GRAUS, SOLDAVEL, 50 MM, COR MARROM, PARA AGUA FRIA PREDIAL</v>
      </c>
      <c r="F618" s="258" t="str">
        <f>IFERROR(IF(D618="SINAPI-S",VLOOKUP(B618,'20-B.SINAPI-S'!A:J,3,0),IF(D618="SINAPI-I",VLOOKUP(B618,'20-A.SINAPI-I'!A:G,3,0),IF(D618="COMPOSIÇÕES",VLOOKUP(B618,'11.COMPOSIÇÕES GERAIS'!B:I,3,0),VLOOKUP(B618,'12.COT.MERCADO'!A:I,7,0)))),"Em Elaboração")</f>
        <v>UN</v>
      </c>
      <c r="G618" s="254">
        <v>2.0</v>
      </c>
      <c r="H618" s="259">
        <f>IFERROR(IF(D618="SINAPI-S",VLOOKUP(B618,'20-B.SINAPI-S'!A:J,5,0),IF(D618="SINAPI-I",VLOOKUP(B618,'20-A.SINAPI-I'!A:G,6,0),IF(D618="COMPOSIÇÕES",VLOOKUP(B618,'11.COMPOSIÇÕES GERAIS'!B:I,7,0),0))),"Em Elaboração")</f>
        <v>0</v>
      </c>
      <c r="I618" s="259">
        <f>IFERROR(IF(D618="SINAPI-S",VLOOKUP(B618,'20-B.SINAPI-S'!A:J,6,0),IF(D618="SINAPI-I",VLOOKUP(B618,'20-A.SINAPI-I'!A:G,7,0),IF(D618="COMPOSIÇÕES",VLOOKUP(B618,'11.COMPOSIÇÕES GERAIS'!B:I,8,0),VLOOKUP(B618,'12.COT.MERCADO'!A:I,8,0)))),"Em Elaboração")</f>
        <v>13.66</v>
      </c>
      <c r="J618" s="259">
        <f t="shared" si="137"/>
        <v>0</v>
      </c>
      <c r="K618" s="259">
        <f t="shared" si="138"/>
        <v>16.00043043</v>
      </c>
      <c r="L618" s="259">
        <f t="shared" si="139"/>
        <v>16.00043043</v>
      </c>
      <c r="M618" s="259">
        <f t="shared" si="140"/>
        <v>0</v>
      </c>
      <c r="N618" s="259">
        <f t="shared" si="141"/>
        <v>32.00086087</v>
      </c>
      <c r="O618" s="259">
        <f t="shared" si="142"/>
        <v>32.00086087</v>
      </c>
      <c r="P618" s="260">
        <f t="shared" si="2"/>
        <v>0.00002503344907</v>
      </c>
    </row>
    <row r="619">
      <c r="A619" s="253" t="s">
        <v>772</v>
      </c>
      <c r="B619" s="254">
        <v>1925.0</v>
      </c>
      <c r="C619" s="255" t="str">
        <f t="shared" si="136"/>
        <v>SINAPI</v>
      </c>
      <c r="D619" s="256" t="s">
        <v>286</v>
      </c>
      <c r="E619" s="257" t="str">
        <f>IFERROR(IF(D619="SINAPI-S",VLOOKUP(B619,'20-B.SINAPI-S'!A:J,2,0),IF(D619="SINAPI-I",VLOOKUP(B619,'20-A.SINAPI-I'!A:G,2,0),IF(D619="COMPOSIÇÕES",VLOOKUP(B619,'11.COMPOSIÇÕES GERAIS'!B:I,2,0),VLOOKUP(B619,'12.COT.MERCADO'!A:I,2,0)))),"Em Elaboração")</f>
        <v>CURVA DE PVC 90 GRAUS, SOLDAVEL, 60 MM, COR MARROM, PARA AGUA FRIA PREDIAL</v>
      </c>
      <c r="F619" s="258" t="str">
        <f>IFERROR(IF(D619="SINAPI-S",VLOOKUP(B619,'20-B.SINAPI-S'!A:J,3,0),IF(D619="SINAPI-I",VLOOKUP(B619,'20-A.SINAPI-I'!A:G,3,0),IF(D619="COMPOSIÇÕES",VLOOKUP(B619,'11.COMPOSIÇÕES GERAIS'!B:I,3,0),VLOOKUP(B619,'12.COT.MERCADO'!A:I,7,0)))),"Em Elaboração")</f>
        <v>UN</v>
      </c>
      <c r="G619" s="254">
        <v>2.0</v>
      </c>
      <c r="H619" s="259">
        <f>IFERROR(IF(D619="SINAPI-S",VLOOKUP(B619,'20-B.SINAPI-S'!A:J,5,0),IF(D619="SINAPI-I",VLOOKUP(B619,'20-A.SINAPI-I'!A:G,6,0),IF(D619="COMPOSIÇÕES",VLOOKUP(B619,'11.COMPOSIÇÕES GERAIS'!B:I,7,0),0))),"Em Elaboração")</f>
        <v>0</v>
      </c>
      <c r="I619" s="259">
        <f>IFERROR(IF(D619="SINAPI-S",VLOOKUP(B619,'20-B.SINAPI-S'!A:J,6,0),IF(D619="SINAPI-I",VLOOKUP(B619,'20-A.SINAPI-I'!A:G,7,0),IF(D619="COMPOSIÇÕES",VLOOKUP(B619,'11.COMPOSIÇÕES GERAIS'!B:I,8,0),VLOOKUP(B619,'12.COT.MERCADO'!A:I,8,0)))),"Em Elaboração")</f>
        <v>35.71</v>
      </c>
      <c r="J619" s="259">
        <f t="shared" si="137"/>
        <v>0</v>
      </c>
      <c r="K619" s="259">
        <f t="shared" si="138"/>
        <v>41.82835804</v>
      </c>
      <c r="L619" s="259">
        <f t="shared" si="139"/>
        <v>41.82835804</v>
      </c>
      <c r="M619" s="259">
        <f t="shared" si="140"/>
        <v>0</v>
      </c>
      <c r="N619" s="259">
        <f t="shared" si="141"/>
        <v>83.65671607</v>
      </c>
      <c r="O619" s="259">
        <f t="shared" si="142"/>
        <v>83.65671607</v>
      </c>
      <c r="P619" s="260">
        <f t="shared" si="2"/>
        <v>0.00006544249388</v>
      </c>
    </row>
    <row r="620">
      <c r="A620" s="253" t="s">
        <v>773</v>
      </c>
      <c r="B620" s="254">
        <v>1966.0</v>
      </c>
      <c r="C620" s="255" t="str">
        <f t="shared" si="136"/>
        <v>SINAPI</v>
      </c>
      <c r="D620" s="256" t="s">
        <v>286</v>
      </c>
      <c r="E620" s="257" t="str">
        <f>IFERROR(IF(D620="SINAPI-S",VLOOKUP(B620,'20-B.SINAPI-S'!A:J,2,0),IF(D620="SINAPI-I",VLOOKUP(B620,'20-A.SINAPI-I'!A:G,2,0),IF(D620="COMPOSIÇÕES",VLOOKUP(B620,'11.COMPOSIÇÕES GERAIS'!B:I,2,0),VLOOKUP(B620,'12.COT.MERCADO'!A:I,2,0)))),"Em Elaboração")</f>
        <v>CURVA PVC CURTA 90 GRAUS, DN 100 MM, PARA ESGOTO PREDIAL</v>
      </c>
      <c r="F620" s="258" t="str">
        <f>IFERROR(IF(D620="SINAPI-S",VLOOKUP(B620,'20-B.SINAPI-S'!A:J,3,0),IF(D620="SINAPI-I",VLOOKUP(B620,'20-A.SINAPI-I'!A:G,3,0),IF(D620="COMPOSIÇÕES",VLOOKUP(B620,'11.COMPOSIÇÕES GERAIS'!B:I,3,0),VLOOKUP(B620,'12.COT.MERCADO'!A:I,7,0)))),"Em Elaboração")</f>
        <v>UN</v>
      </c>
      <c r="G620" s="254">
        <v>3.0</v>
      </c>
      <c r="H620" s="259">
        <f>IFERROR(IF(D620="SINAPI-S",VLOOKUP(B620,'20-B.SINAPI-S'!A:J,5,0),IF(D620="SINAPI-I",VLOOKUP(B620,'20-A.SINAPI-I'!A:G,6,0),IF(D620="COMPOSIÇÕES",VLOOKUP(B620,'11.COMPOSIÇÕES GERAIS'!B:I,7,0),0))),"Em Elaboração")</f>
        <v>0</v>
      </c>
      <c r="I620" s="259">
        <f>IFERROR(IF(D620="SINAPI-S",VLOOKUP(B620,'20-B.SINAPI-S'!A:J,6,0),IF(D620="SINAPI-I",VLOOKUP(B620,'20-A.SINAPI-I'!A:G,7,0),IF(D620="COMPOSIÇÕES",VLOOKUP(B620,'11.COMPOSIÇÕES GERAIS'!B:I,8,0),VLOOKUP(B620,'12.COT.MERCADO'!A:I,8,0)))),"Em Elaboração")</f>
        <v>26.6</v>
      </c>
      <c r="J620" s="259">
        <f t="shared" si="137"/>
        <v>0</v>
      </c>
      <c r="K620" s="259">
        <f t="shared" si="138"/>
        <v>31.15749996</v>
      </c>
      <c r="L620" s="259">
        <f t="shared" si="139"/>
        <v>31.15749996</v>
      </c>
      <c r="M620" s="259">
        <f t="shared" si="140"/>
        <v>0</v>
      </c>
      <c r="N620" s="259">
        <f t="shared" si="141"/>
        <v>93.47249989</v>
      </c>
      <c r="O620" s="259">
        <f t="shared" si="142"/>
        <v>93.47249989</v>
      </c>
      <c r="P620" s="260">
        <f t="shared" si="2"/>
        <v>0.0000731211287</v>
      </c>
    </row>
    <row r="621">
      <c r="A621" s="253" t="s">
        <v>774</v>
      </c>
      <c r="B621" s="254">
        <v>1933.0</v>
      </c>
      <c r="C621" s="255" t="str">
        <f t="shared" si="136"/>
        <v>SINAPI</v>
      </c>
      <c r="D621" s="256" t="s">
        <v>286</v>
      </c>
      <c r="E621" s="257" t="str">
        <f>IFERROR(IF(D621="SINAPI-S",VLOOKUP(B621,'20-B.SINAPI-S'!A:J,2,0),IF(D621="SINAPI-I",VLOOKUP(B621,'20-A.SINAPI-I'!A:G,2,0),IF(D621="COMPOSIÇÕES",VLOOKUP(B621,'11.COMPOSIÇÕES GERAIS'!B:I,2,0),VLOOKUP(B621,'12.COT.MERCADO'!A:I,2,0)))),"Em Elaboração")</f>
        <v>CURVA PVC CURTA 90 GRAUS, DN 40 MM, PARA ESGOTO PREDIAL</v>
      </c>
      <c r="F621" s="258" t="str">
        <f>IFERROR(IF(D621="SINAPI-S",VLOOKUP(B621,'20-B.SINAPI-S'!A:J,3,0),IF(D621="SINAPI-I",VLOOKUP(B621,'20-A.SINAPI-I'!A:G,3,0),IF(D621="COMPOSIÇÕES",VLOOKUP(B621,'11.COMPOSIÇÕES GERAIS'!B:I,3,0),VLOOKUP(B621,'12.COT.MERCADO'!A:I,7,0)))),"Em Elaboração")</f>
        <v>UN</v>
      </c>
      <c r="G621" s="254">
        <v>3.0</v>
      </c>
      <c r="H621" s="259">
        <f>IFERROR(IF(D621="SINAPI-S",VLOOKUP(B621,'20-B.SINAPI-S'!A:J,5,0),IF(D621="SINAPI-I",VLOOKUP(B621,'20-A.SINAPI-I'!A:G,6,0),IF(D621="COMPOSIÇÕES",VLOOKUP(B621,'11.COMPOSIÇÕES GERAIS'!B:I,7,0),0))),"Em Elaboração")</f>
        <v>0</v>
      </c>
      <c r="I621" s="259">
        <f>IFERROR(IF(D621="SINAPI-S",VLOOKUP(B621,'20-B.SINAPI-S'!A:J,6,0),IF(D621="SINAPI-I",VLOOKUP(B621,'20-A.SINAPI-I'!A:G,7,0),IF(D621="COMPOSIÇÕES",VLOOKUP(B621,'11.COMPOSIÇÕES GERAIS'!B:I,8,0),VLOOKUP(B621,'12.COT.MERCADO'!A:I,8,0)))),"Em Elaboração")</f>
        <v>5.73</v>
      </c>
      <c r="J621" s="259">
        <f t="shared" si="137"/>
        <v>0</v>
      </c>
      <c r="K621" s="259">
        <f t="shared" si="138"/>
        <v>6.711747173</v>
      </c>
      <c r="L621" s="259">
        <f t="shared" si="139"/>
        <v>6.711747173</v>
      </c>
      <c r="M621" s="259">
        <f t="shared" si="140"/>
        <v>0</v>
      </c>
      <c r="N621" s="259">
        <f t="shared" si="141"/>
        <v>20.13524152</v>
      </c>
      <c r="O621" s="259">
        <f t="shared" si="142"/>
        <v>20.13524152</v>
      </c>
      <c r="P621" s="260">
        <f t="shared" si="2"/>
        <v>0.00001575128073</v>
      </c>
    </row>
    <row r="622">
      <c r="A622" s="253" t="s">
        <v>775</v>
      </c>
      <c r="B622" s="254">
        <v>1932.0</v>
      </c>
      <c r="C622" s="255" t="str">
        <f t="shared" si="136"/>
        <v>SINAPI</v>
      </c>
      <c r="D622" s="256" t="s">
        <v>286</v>
      </c>
      <c r="E622" s="257" t="str">
        <f>IFERROR(IF(D622="SINAPI-S",VLOOKUP(B622,'20-B.SINAPI-S'!A:J,2,0),IF(D622="SINAPI-I",VLOOKUP(B622,'20-A.SINAPI-I'!A:G,2,0),IF(D622="COMPOSIÇÕES",VLOOKUP(B622,'11.COMPOSIÇÕES GERAIS'!B:I,2,0),VLOOKUP(B622,'12.COT.MERCADO'!A:I,2,0)))),"Em Elaboração")</f>
        <v>CURVA PVC CURTA 90 GRAUS, DN 50 MM, PARA ESGOTO PREDIAL</v>
      </c>
      <c r="F622" s="258" t="str">
        <f>IFERROR(IF(D622="SINAPI-S",VLOOKUP(B622,'20-B.SINAPI-S'!A:J,3,0),IF(D622="SINAPI-I",VLOOKUP(B622,'20-A.SINAPI-I'!A:G,3,0),IF(D622="COMPOSIÇÕES",VLOOKUP(B622,'11.COMPOSIÇÕES GERAIS'!B:I,3,0),VLOOKUP(B622,'12.COT.MERCADO'!A:I,7,0)))),"Em Elaboração")</f>
        <v>UN</v>
      </c>
      <c r="G622" s="254">
        <v>3.0</v>
      </c>
      <c r="H622" s="259">
        <f>IFERROR(IF(D622="SINAPI-S",VLOOKUP(B622,'20-B.SINAPI-S'!A:J,5,0),IF(D622="SINAPI-I",VLOOKUP(B622,'20-A.SINAPI-I'!A:G,6,0),IF(D622="COMPOSIÇÕES",VLOOKUP(B622,'11.COMPOSIÇÕES GERAIS'!B:I,7,0),0))),"Em Elaboração")</f>
        <v>0</v>
      </c>
      <c r="I622" s="259">
        <f>IFERROR(IF(D622="SINAPI-S",VLOOKUP(B622,'20-B.SINAPI-S'!A:J,6,0),IF(D622="SINAPI-I",VLOOKUP(B622,'20-A.SINAPI-I'!A:G,7,0),IF(D622="COMPOSIÇÕES",VLOOKUP(B622,'11.COMPOSIÇÕES GERAIS'!B:I,8,0),VLOOKUP(B622,'12.COT.MERCADO'!A:I,8,0)))),"Em Elaboração")</f>
        <v>13.12</v>
      </c>
      <c r="J622" s="259">
        <f t="shared" si="137"/>
        <v>0</v>
      </c>
      <c r="K622" s="259">
        <f t="shared" si="138"/>
        <v>15.36790976</v>
      </c>
      <c r="L622" s="259">
        <f t="shared" si="139"/>
        <v>15.36790976</v>
      </c>
      <c r="M622" s="259">
        <f t="shared" si="140"/>
        <v>0</v>
      </c>
      <c r="N622" s="259">
        <f t="shared" si="141"/>
        <v>46.10372927</v>
      </c>
      <c r="O622" s="259">
        <f t="shared" si="142"/>
        <v>46.10372927</v>
      </c>
      <c r="P622" s="260">
        <f t="shared" si="2"/>
        <v>0.00003606575972</v>
      </c>
    </row>
    <row r="623">
      <c r="A623" s="253" t="s">
        <v>776</v>
      </c>
      <c r="B623" s="254">
        <v>1951.0</v>
      </c>
      <c r="C623" s="255" t="str">
        <f t="shared" si="136"/>
        <v>SINAPI</v>
      </c>
      <c r="D623" s="256" t="s">
        <v>286</v>
      </c>
      <c r="E623" s="257" t="str">
        <f>IFERROR(IF(D623="SINAPI-S",VLOOKUP(B623,'20-B.SINAPI-S'!A:J,2,0),IF(D623="SINAPI-I",VLOOKUP(B623,'20-A.SINAPI-I'!A:G,2,0),IF(D623="COMPOSIÇÕES",VLOOKUP(B623,'11.COMPOSIÇÕES GERAIS'!B:I,2,0),VLOOKUP(B623,'12.COT.MERCADO'!A:I,2,0)))),"Em Elaboração")</f>
        <v>CURVA PVC CURTA 90 GRAUS, DN 75 MM, PARA ESGOTO PREDIAL</v>
      </c>
      <c r="F623" s="258" t="str">
        <f>IFERROR(IF(D623="SINAPI-S",VLOOKUP(B623,'20-B.SINAPI-S'!A:J,3,0),IF(D623="SINAPI-I",VLOOKUP(B623,'20-A.SINAPI-I'!A:G,3,0),IF(D623="COMPOSIÇÕES",VLOOKUP(B623,'11.COMPOSIÇÕES GERAIS'!B:I,3,0),VLOOKUP(B623,'12.COT.MERCADO'!A:I,7,0)))),"Em Elaboração")</f>
        <v>UN</v>
      </c>
      <c r="G623" s="254">
        <v>2.0</v>
      </c>
      <c r="H623" s="259">
        <f>IFERROR(IF(D623="SINAPI-S",VLOOKUP(B623,'20-B.SINAPI-S'!A:J,5,0),IF(D623="SINAPI-I",VLOOKUP(B623,'20-A.SINAPI-I'!A:G,6,0),IF(D623="COMPOSIÇÕES",VLOOKUP(B623,'11.COMPOSIÇÕES GERAIS'!B:I,7,0),0))),"Em Elaboração")</f>
        <v>0</v>
      </c>
      <c r="I623" s="259">
        <f>IFERROR(IF(D623="SINAPI-S",VLOOKUP(B623,'20-B.SINAPI-S'!A:J,6,0),IF(D623="SINAPI-I",VLOOKUP(B623,'20-A.SINAPI-I'!A:G,7,0),IF(D623="COMPOSIÇÕES",VLOOKUP(B623,'11.COMPOSIÇÕES GERAIS'!B:I,8,0),VLOOKUP(B623,'12.COT.MERCADO'!A:I,8,0)))),"Em Elaboração")</f>
        <v>27.37</v>
      </c>
      <c r="J623" s="259">
        <f t="shared" si="137"/>
        <v>0</v>
      </c>
      <c r="K623" s="259">
        <f t="shared" si="138"/>
        <v>32.0594276</v>
      </c>
      <c r="L623" s="259">
        <f t="shared" si="139"/>
        <v>32.0594276</v>
      </c>
      <c r="M623" s="259">
        <f t="shared" si="140"/>
        <v>0</v>
      </c>
      <c r="N623" s="259">
        <f t="shared" si="141"/>
        <v>64.11885519</v>
      </c>
      <c r="O623" s="259">
        <f t="shared" si="142"/>
        <v>64.11885519</v>
      </c>
      <c r="P623" s="260">
        <f t="shared" si="2"/>
        <v>0.00005015852864</v>
      </c>
    </row>
    <row r="624">
      <c r="A624" s="253" t="s">
        <v>777</v>
      </c>
      <c r="B624" s="254">
        <v>1970.0</v>
      </c>
      <c r="C624" s="255" t="str">
        <f t="shared" si="136"/>
        <v>SINAPI</v>
      </c>
      <c r="D624" s="256" t="s">
        <v>286</v>
      </c>
      <c r="E624" s="257" t="str">
        <f>IFERROR(IF(D624="SINAPI-S",VLOOKUP(B624,'20-B.SINAPI-S'!A:J,2,0),IF(D624="SINAPI-I",VLOOKUP(B624,'20-A.SINAPI-I'!A:G,2,0),IF(D624="COMPOSIÇÕES",VLOOKUP(B624,'11.COMPOSIÇÕES GERAIS'!B:I,2,0),VLOOKUP(B624,'12.COT.MERCADO'!A:I,2,0)))),"Em Elaboração")</f>
        <v>CURVA PVC LONGA 90 GRAUS, DN 100 MM, PARA ESGOTO PREDIAL</v>
      </c>
      <c r="F624" s="258" t="str">
        <f>IFERROR(IF(D624="SINAPI-S",VLOOKUP(B624,'20-B.SINAPI-S'!A:J,3,0),IF(D624="SINAPI-I",VLOOKUP(B624,'20-A.SINAPI-I'!A:G,3,0),IF(D624="COMPOSIÇÕES",VLOOKUP(B624,'11.COMPOSIÇÕES GERAIS'!B:I,3,0),VLOOKUP(B624,'12.COT.MERCADO'!A:I,7,0)))),"Em Elaboração")</f>
        <v>UN</v>
      </c>
      <c r="G624" s="254">
        <v>2.0</v>
      </c>
      <c r="H624" s="259">
        <f>IFERROR(IF(D624="SINAPI-S",VLOOKUP(B624,'20-B.SINAPI-S'!A:J,5,0),IF(D624="SINAPI-I",VLOOKUP(B624,'20-A.SINAPI-I'!A:G,6,0),IF(D624="COMPOSIÇÕES",VLOOKUP(B624,'11.COMPOSIÇÕES GERAIS'!B:I,7,0),0))),"Em Elaboração")</f>
        <v>0</v>
      </c>
      <c r="I624" s="259">
        <f>IFERROR(IF(D624="SINAPI-S",VLOOKUP(B624,'20-B.SINAPI-S'!A:J,6,0),IF(D624="SINAPI-I",VLOOKUP(B624,'20-A.SINAPI-I'!A:G,7,0),IF(D624="COMPOSIÇÕES",VLOOKUP(B624,'11.COMPOSIÇÕES GERAIS'!B:I,8,0),VLOOKUP(B624,'12.COT.MERCADO'!A:I,8,0)))),"Em Elaboração")</f>
        <v>66.49</v>
      </c>
      <c r="J624" s="259">
        <f t="shared" si="137"/>
        <v>0</v>
      </c>
      <c r="K624" s="259">
        <f t="shared" si="138"/>
        <v>77.88203657</v>
      </c>
      <c r="L624" s="259">
        <f t="shared" si="139"/>
        <v>77.88203657</v>
      </c>
      <c r="M624" s="259">
        <f t="shared" si="140"/>
        <v>0</v>
      </c>
      <c r="N624" s="259">
        <f t="shared" si="141"/>
        <v>155.7640731</v>
      </c>
      <c r="O624" s="259">
        <f t="shared" si="142"/>
        <v>155.7640731</v>
      </c>
      <c r="P624" s="260">
        <f t="shared" si="2"/>
        <v>0.0001218502217</v>
      </c>
    </row>
    <row r="625">
      <c r="A625" s="253" t="s">
        <v>778</v>
      </c>
      <c r="B625" s="254">
        <v>1967.0</v>
      </c>
      <c r="C625" s="255" t="str">
        <f t="shared" si="136"/>
        <v>SINAPI</v>
      </c>
      <c r="D625" s="256" t="s">
        <v>286</v>
      </c>
      <c r="E625" s="257" t="str">
        <f>IFERROR(IF(D625="SINAPI-S",VLOOKUP(B625,'20-B.SINAPI-S'!A:J,2,0),IF(D625="SINAPI-I",VLOOKUP(B625,'20-A.SINAPI-I'!A:G,2,0),IF(D625="COMPOSIÇÕES",VLOOKUP(B625,'11.COMPOSIÇÕES GERAIS'!B:I,2,0),VLOOKUP(B625,'12.COT.MERCADO'!A:I,2,0)))),"Em Elaboração")</f>
        <v>CURVA PVC LONGA 90 GRAUS, DN 40 MM, PARA ESGOTO PREDIAL</v>
      </c>
      <c r="F625" s="258" t="str">
        <f>IFERROR(IF(D625="SINAPI-S",VLOOKUP(B625,'20-B.SINAPI-S'!A:J,3,0),IF(D625="SINAPI-I",VLOOKUP(B625,'20-A.SINAPI-I'!A:G,3,0),IF(D625="COMPOSIÇÕES",VLOOKUP(B625,'11.COMPOSIÇÕES GERAIS'!B:I,3,0),VLOOKUP(B625,'12.COT.MERCADO'!A:I,7,0)))),"Em Elaboração")</f>
        <v>UN</v>
      </c>
      <c r="G625" s="254">
        <v>3.0</v>
      </c>
      <c r="H625" s="259">
        <f>IFERROR(IF(D625="SINAPI-S",VLOOKUP(B625,'20-B.SINAPI-S'!A:J,5,0),IF(D625="SINAPI-I",VLOOKUP(B625,'20-A.SINAPI-I'!A:G,6,0),IF(D625="COMPOSIÇÕES",VLOOKUP(B625,'11.COMPOSIÇÕES GERAIS'!B:I,7,0),0))),"Em Elaboração")</f>
        <v>0</v>
      </c>
      <c r="I625" s="259">
        <f>IFERROR(IF(D625="SINAPI-S",VLOOKUP(B625,'20-B.SINAPI-S'!A:J,6,0),IF(D625="SINAPI-I",VLOOKUP(B625,'20-A.SINAPI-I'!A:G,7,0),IF(D625="COMPOSIÇÕES",VLOOKUP(B625,'11.COMPOSIÇÕES GERAIS'!B:I,8,0),VLOOKUP(B625,'12.COT.MERCADO'!A:I,8,0)))),"Em Elaboração")</f>
        <v>7.89</v>
      </c>
      <c r="J625" s="259">
        <f t="shared" si="137"/>
        <v>0</v>
      </c>
      <c r="K625" s="259">
        <f t="shared" si="138"/>
        <v>9.241829877</v>
      </c>
      <c r="L625" s="259">
        <f t="shared" si="139"/>
        <v>9.241829877</v>
      </c>
      <c r="M625" s="259">
        <f t="shared" si="140"/>
        <v>0</v>
      </c>
      <c r="N625" s="259">
        <f t="shared" si="141"/>
        <v>27.72548963</v>
      </c>
      <c r="O625" s="259">
        <f t="shared" si="142"/>
        <v>27.72548963</v>
      </c>
      <c r="P625" s="260">
        <f t="shared" si="2"/>
        <v>0.0000216889363</v>
      </c>
    </row>
    <row r="626">
      <c r="A626" s="253" t="s">
        <v>779</v>
      </c>
      <c r="B626" s="254">
        <v>1968.0</v>
      </c>
      <c r="C626" s="255" t="str">
        <f t="shared" si="136"/>
        <v>SINAPI</v>
      </c>
      <c r="D626" s="256" t="s">
        <v>286</v>
      </c>
      <c r="E626" s="257" t="str">
        <f>IFERROR(IF(D626="SINAPI-S",VLOOKUP(B626,'20-B.SINAPI-S'!A:J,2,0),IF(D626="SINAPI-I",VLOOKUP(B626,'20-A.SINAPI-I'!A:G,2,0),IF(D626="COMPOSIÇÕES",VLOOKUP(B626,'11.COMPOSIÇÕES GERAIS'!B:I,2,0),VLOOKUP(B626,'12.COT.MERCADO'!A:I,2,0)))),"Em Elaboração")</f>
        <v>CURVA PVC LONGA 90 GRAUS, DN 50 MM, PARA ESGOTO PREDIAL</v>
      </c>
      <c r="F626" s="258" t="str">
        <f>IFERROR(IF(D626="SINAPI-S",VLOOKUP(B626,'20-B.SINAPI-S'!A:J,3,0),IF(D626="SINAPI-I",VLOOKUP(B626,'20-A.SINAPI-I'!A:G,3,0),IF(D626="COMPOSIÇÕES",VLOOKUP(B626,'11.COMPOSIÇÕES GERAIS'!B:I,3,0),VLOOKUP(B626,'12.COT.MERCADO'!A:I,7,0)))),"Em Elaboração")</f>
        <v>UN</v>
      </c>
      <c r="G626" s="254">
        <v>3.0</v>
      </c>
      <c r="H626" s="259">
        <f>IFERROR(IF(D626="SINAPI-S",VLOOKUP(B626,'20-B.SINAPI-S'!A:J,5,0),IF(D626="SINAPI-I",VLOOKUP(B626,'20-A.SINAPI-I'!A:G,6,0),IF(D626="COMPOSIÇÕES",VLOOKUP(B626,'11.COMPOSIÇÕES GERAIS'!B:I,7,0),0))),"Em Elaboração")</f>
        <v>0</v>
      </c>
      <c r="I626" s="259">
        <f>IFERROR(IF(D626="SINAPI-S",VLOOKUP(B626,'20-B.SINAPI-S'!A:J,6,0),IF(D626="SINAPI-I",VLOOKUP(B626,'20-A.SINAPI-I'!A:G,7,0),IF(D626="COMPOSIÇÕES",VLOOKUP(B626,'11.COMPOSIÇÕES GERAIS'!B:I,8,0),VLOOKUP(B626,'12.COT.MERCADO'!A:I,8,0)))),"Em Elaboração")</f>
        <v>15.6</v>
      </c>
      <c r="J626" s="259">
        <f t="shared" si="137"/>
        <v>0</v>
      </c>
      <c r="K626" s="259">
        <f t="shared" si="138"/>
        <v>18.27281953</v>
      </c>
      <c r="L626" s="259">
        <f t="shared" si="139"/>
        <v>18.27281953</v>
      </c>
      <c r="M626" s="259">
        <f t="shared" si="140"/>
        <v>0</v>
      </c>
      <c r="N626" s="259">
        <f t="shared" si="141"/>
        <v>54.81845858</v>
      </c>
      <c r="O626" s="259">
        <f t="shared" si="142"/>
        <v>54.81845858</v>
      </c>
      <c r="P626" s="260">
        <f t="shared" si="2"/>
        <v>0.00004288306796</v>
      </c>
    </row>
    <row r="627">
      <c r="A627" s="253" t="s">
        <v>780</v>
      </c>
      <c r="B627" s="254">
        <v>1969.0</v>
      </c>
      <c r="C627" s="255" t="str">
        <f t="shared" si="136"/>
        <v>SINAPI</v>
      </c>
      <c r="D627" s="256" t="s">
        <v>286</v>
      </c>
      <c r="E627" s="257" t="str">
        <f>IFERROR(IF(D627="SINAPI-S",VLOOKUP(B627,'20-B.SINAPI-S'!A:J,2,0),IF(D627="SINAPI-I",VLOOKUP(B627,'20-A.SINAPI-I'!A:G,2,0),IF(D627="COMPOSIÇÕES",VLOOKUP(B627,'11.COMPOSIÇÕES GERAIS'!B:I,2,0),VLOOKUP(B627,'12.COT.MERCADO'!A:I,2,0)))),"Em Elaboração")</f>
        <v>CURVA PVC LONGA 90 GRAUS, DN 75 MM, PARA ESGOTO PREDIAL</v>
      </c>
      <c r="F627" s="258" t="str">
        <f>IFERROR(IF(D627="SINAPI-S",VLOOKUP(B627,'20-B.SINAPI-S'!A:J,3,0),IF(D627="SINAPI-I",VLOOKUP(B627,'20-A.SINAPI-I'!A:G,3,0),IF(D627="COMPOSIÇÕES",VLOOKUP(B627,'11.COMPOSIÇÕES GERAIS'!B:I,3,0),VLOOKUP(B627,'12.COT.MERCADO'!A:I,7,0)))),"Em Elaboração")</f>
        <v>UN</v>
      </c>
      <c r="G627" s="254">
        <v>3.0</v>
      </c>
      <c r="H627" s="259">
        <f>IFERROR(IF(D627="SINAPI-S",VLOOKUP(B627,'20-B.SINAPI-S'!A:J,5,0),IF(D627="SINAPI-I",VLOOKUP(B627,'20-A.SINAPI-I'!A:G,6,0),IF(D627="COMPOSIÇÕES",VLOOKUP(B627,'11.COMPOSIÇÕES GERAIS'!B:I,7,0),0))),"Em Elaboração")</f>
        <v>0</v>
      </c>
      <c r="I627" s="259">
        <f>IFERROR(IF(D627="SINAPI-S",VLOOKUP(B627,'20-B.SINAPI-S'!A:J,6,0),IF(D627="SINAPI-I",VLOOKUP(B627,'20-A.SINAPI-I'!A:G,7,0),IF(D627="COMPOSIÇÕES",VLOOKUP(B627,'11.COMPOSIÇÕES GERAIS'!B:I,8,0),VLOOKUP(B627,'12.COT.MERCADO'!A:I,8,0)))),"Em Elaboração")</f>
        <v>50.8</v>
      </c>
      <c r="J627" s="259">
        <f t="shared" si="137"/>
        <v>0</v>
      </c>
      <c r="K627" s="259">
        <f t="shared" si="138"/>
        <v>59.50379692</v>
      </c>
      <c r="L627" s="259">
        <f t="shared" si="139"/>
        <v>59.50379692</v>
      </c>
      <c r="M627" s="259">
        <f t="shared" si="140"/>
        <v>0</v>
      </c>
      <c r="N627" s="259">
        <f t="shared" si="141"/>
        <v>178.5113908</v>
      </c>
      <c r="O627" s="259">
        <f t="shared" si="142"/>
        <v>178.5113908</v>
      </c>
      <c r="P627" s="260">
        <f t="shared" si="2"/>
        <v>0.0001396448623</v>
      </c>
    </row>
    <row r="628">
      <c r="A628" s="253" t="s">
        <v>781</v>
      </c>
      <c r="B628" s="254">
        <v>1370.0</v>
      </c>
      <c r="C628" s="255" t="str">
        <f t="shared" si="136"/>
        <v>SINAPI</v>
      </c>
      <c r="D628" s="256" t="s">
        <v>286</v>
      </c>
      <c r="E628" s="257" t="str">
        <f>IFERROR(IF(D628="SINAPI-S",VLOOKUP(B628,'20-B.SINAPI-S'!A:J,2,0),IF(D628="SINAPI-I",VLOOKUP(B628,'20-A.SINAPI-I'!A:G,2,0),IF(D628="COMPOSIÇÕES",VLOOKUP(B628,'11.COMPOSIÇÕES GERAIS'!B:I,2,0),VLOOKUP(B628,'12.COT.MERCADO'!A:I,2,0)))),"Em Elaboração")</f>
        <v>DUCHA HIGIENICA PLASTICA COM REGISTRO METALICO 1/2 "</v>
      </c>
      <c r="F628" s="258" t="str">
        <f>IFERROR(IF(D628="SINAPI-S",VLOOKUP(B628,'20-B.SINAPI-S'!A:J,3,0),IF(D628="SINAPI-I",VLOOKUP(B628,'20-A.SINAPI-I'!A:G,3,0),IF(D628="COMPOSIÇÕES",VLOOKUP(B628,'11.COMPOSIÇÕES GERAIS'!B:I,3,0),VLOOKUP(B628,'12.COT.MERCADO'!A:I,7,0)))),"Em Elaboração")</f>
        <v>UN</v>
      </c>
      <c r="G628" s="254">
        <v>1.0</v>
      </c>
      <c r="H628" s="259">
        <f>IFERROR(IF(D628="SINAPI-S",VLOOKUP(B628,'20-B.SINAPI-S'!A:J,5,0),IF(D628="SINAPI-I",VLOOKUP(B628,'20-A.SINAPI-I'!A:G,6,0),IF(D628="COMPOSIÇÕES",VLOOKUP(B628,'11.COMPOSIÇÕES GERAIS'!B:I,7,0),0))),"Em Elaboração")</f>
        <v>0</v>
      </c>
      <c r="I628" s="259">
        <f>IFERROR(IF(D628="SINAPI-S",VLOOKUP(B628,'20-B.SINAPI-S'!A:J,6,0),IF(D628="SINAPI-I",VLOOKUP(B628,'20-A.SINAPI-I'!A:G,7,0),IF(D628="COMPOSIÇÕES",VLOOKUP(B628,'11.COMPOSIÇÕES GERAIS'!B:I,8,0),VLOOKUP(B628,'12.COT.MERCADO'!A:I,8,0)))),"Em Elaboração")</f>
        <v>116.48</v>
      </c>
      <c r="J628" s="259">
        <f t="shared" si="137"/>
        <v>0</v>
      </c>
      <c r="K628" s="259">
        <f t="shared" si="138"/>
        <v>136.4370525</v>
      </c>
      <c r="L628" s="259">
        <f t="shared" si="139"/>
        <v>136.4370525</v>
      </c>
      <c r="M628" s="259">
        <f t="shared" si="140"/>
        <v>0</v>
      </c>
      <c r="N628" s="259">
        <f t="shared" si="141"/>
        <v>136.4370525</v>
      </c>
      <c r="O628" s="259">
        <f t="shared" si="142"/>
        <v>136.4370525</v>
      </c>
      <c r="P628" s="260">
        <f t="shared" si="2"/>
        <v>0.0001067311914</v>
      </c>
    </row>
    <row r="629">
      <c r="A629" s="253" t="s">
        <v>782</v>
      </c>
      <c r="B629" s="254">
        <v>11683.0</v>
      </c>
      <c r="C629" s="255" t="str">
        <f t="shared" si="136"/>
        <v>SINAPI</v>
      </c>
      <c r="D629" s="256" t="s">
        <v>286</v>
      </c>
      <c r="E629" s="257" t="str">
        <f>IFERROR(IF(D629="SINAPI-S",VLOOKUP(B629,'20-B.SINAPI-S'!A:J,2,0),IF(D629="SINAPI-I",VLOOKUP(B629,'20-A.SINAPI-I'!A:G,2,0),IF(D629="COMPOSIÇÕES",VLOOKUP(B629,'11.COMPOSIÇÕES GERAIS'!B:I,2,0),VLOOKUP(B629,'12.COT.MERCADO'!A:I,2,0)))),"Em Elaboração")</f>
        <v>ENGATE / RABICHO FLEXIVEL INOX 1/2 " X 30 CM</v>
      </c>
      <c r="F629" s="258" t="str">
        <f>IFERROR(IF(D629="SINAPI-S",VLOOKUP(B629,'20-B.SINAPI-S'!A:J,3,0),IF(D629="SINAPI-I",VLOOKUP(B629,'20-A.SINAPI-I'!A:G,3,0),IF(D629="COMPOSIÇÕES",VLOOKUP(B629,'11.COMPOSIÇÕES GERAIS'!B:I,3,0),VLOOKUP(B629,'12.COT.MERCADO'!A:I,7,0)))),"Em Elaboração")</f>
        <v>UN</v>
      </c>
      <c r="G629" s="254">
        <v>1.0</v>
      </c>
      <c r="H629" s="259">
        <f>IFERROR(IF(D629="SINAPI-S",VLOOKUP(B629,'20-B.SINAPI-S'!A:J,5,0),IF(D629="SINAPI-I",VLOOKUP(B629,'20-A.SINAPI-I'!A:G,6,0),IF(D629="COMPOSIÇÕES",VLOOKUP(B629,'11.COMPOSIÇÕES GERAIS'!B:I,7,0),0))),"Em Elaboração")</f>
        <v>0</v>
      </c>
      <c r="I629" s="259">
        <f>IFERROR(IF(D629="SINAPI-S",VLOOKUP(B629,'20-B.SINAPI-S'!A:J,6,0),IF(D629="SINAPI-I",VLOOKUP(B629,'20-A.SINAPI-I'!A:G,7,0),IF(D629="COMPOSIÇÕES",VLOOKUP(B629,'11.COMPOSIÇÕES GERAIS'!B:I,8,0),VLOOKUP(B629,'12.COT.MERCADO'!A:I,8,0)))),"Em Elaboração")</f>
        <v>62.49</v>
      </c>
      <c r="J629" s="259">
        <f t="shared" si="137"/>
        <v>0</v>
      </c>
      <c r="K629" s="259">
        <f t="shared" si="138"/>
        <v>73.19669823</v>
      </c>
      <c r="L629" s="259">
        <f t="shared" si="139"/>
        <v>73.19669823</v>
      </c>
      <c r="M629" s="259">
        <f t="shared" si="140"/>
        <v>0</v>
      </c>
      <c r="N629" s="259">
        <f t="shared" si="141"/>
        <v>73.19669823</v>
      </c>
      <c r="O629" s="259">
        <f t="shared" si="142"/>
        <v>73.19669823</v>
      </c>
      <c r="P629" s="260">
        <f t="shared" si="2"/>
        <v>0.00005725989139</v>
      </c>
    </row>
    <row r="630">
      <c r="A630" s="253" t="s">
        <v>783</v>
      </c>
      <c r="B630" s="254">
        <v>11684.0</v>
      </c>
      <c r="C630" s="255" t="str">
        <f t="shared" si="136"/>
        <v>SINAPI</v>
      </c>
      <c r="D630" s="256" t="s">
        <v>286</v>
      </c>
      <c r="E630" s="257" t="str">
        <f>IFERROR(IF(D630="SINAPI-S",VLOOKUP(B630,'20-B.SINAPI-S'!A:J,2,0),IF(D630="SINAPI-I",VLOOKUP(B630,'20-A.SINAPI-I'!A:G,2,0),IF(D630="COMPOSIÇÕES",VLOOKUP(B630,'11.COMPOSIÇÕES GERAIS'!B:I,2,0),VLOOKUP(B630,'12.COT.MERCADO'!A:I,2,0)))),"Em Elaboração")</f>
        <v>ENGATE / RABICHO FLEXIVEL INOX 1/2 " X 40 CM</v>
      </c>
      <c r="F630" s="258" t="str">
        <f>IFERROR(IF(D630="SINAPI-S",VLOOKUP(B630,'20-B.SINAPI-S'!A:J,3,0),IF(D630="SINAPI-I",VLOOKUP(B630,'20-A.SINAPI-I'!A:G,3,0),IF(D630="COMPOSIÇÕES",VLOOKUP(B630,'11.COMPOSIÇÕES GERAIS'!B:I,3,0),VLOOKUP(B630,'12.COT.MERCADO'!A:I,7,0)))),"Em Elaboração")</f>
        <v>UN</v>
      </c>
      <c r="G630" s="254">
        <v>1.0</v>
      </c>
      <c r="H630" s="259">
        <f>IFERROR(IF(D630="SINAPI-S",VLOOKUP(B630,'20-B.SINAPI-S'!A:J,5,0),IF(D630="SINAPI-I",VLOOKUP(B630,'20-A.SINAPI-I'!A:G,6,0),IF(D630="COMPOSIÇÕES",VLOOKUP(B630,'11.COMPOSIÇÕES GERAIS'!B:I,7,0),0))),"Em Elaboração")</f>
        <v>0</v>
      </c>
      <c r="I630" s="259">
        <f>IFERROR(IF(D630="SINAPI-S",VLOOKUP(B630,'20-B.SINAPI-S'!A:J,6,0),IF(D630="SINAPI-I",VLOOKUP(B630,'20-A.SINAPI-I'!A:G,7,0),IF(D630="COMPOSIÇÕES",VLOOKUP(B630,'11.COMPOSIÇÕES GERAIS'!B:I,8,0),VLOOKUP(B630,'12.COT.MERCADO'!A:I,8,0)))),"Em Elaboração")</f>
        <v>68.4</v>
      </c>
      <c r="J630" s="259">
        <f t="shared" si="137"/>
        <v>0</v>
      </c>
      <c r="K630" s="259">
        <f t="shared" si="138"/>
        <v>80.11928562</v>
      </c>
      <c r="L630" s="259">
        <f t="shared" si="139"/>
        <v>80.11928562</v>
      </c>
      <c r="M630" s="259">
        <f t="shared" si="140"/>
        <v>0</v>
      </c>
      <c r="N630" s="259">
        <f t="shared" si="141"/>
        <v>80.11928562</v>
      </c>
      <c r="O630" s="259">
        <f t="shared" si="142"/>
        <v>80.11928562</v>
      </c>
      <c r="P630" s="260">
        <f t="shared" si="2"/>
        <v>0.00006267525317</v>
      </c>
    </row>
    <row r="631">
      <c r="A631" s="253" t="s">
        <v>784</v>
      </c>
      <c r="B631" s="254">
        <v>6142.0</v>
      </c>
      <c r="C631" s="255" t="str">
        <f t="shared" si="136"/>
        <v>SINAPI</v>
      </c>
      <c r="D631" s="256" t="s">
        <v>286</v>
      </c>
      <c r="E631" s="257" t="str">
        <f>IFERROR(IF(D631="SINAPI-S",VLOOKUP(B631,'20-B.SINAPI-S'!A:J,2,0),IF(D631="SINAPI-I",VLOOKUP(B631,'20-A.SINAPI-I'!A:G,2,0),IF(D631="COMPOSIÇÕES",VLOOKUP(B631,'11.COMPOSIÇÕES GERAIS'!B:I,2,0),VLOOKUP(B631,'12.COT.MERCADO'!A:I,2,0)))),"Em Elaboração")</f>
        <v>CONJUNTO DE LIGACAO PARA BACIA SANITARIA AJUSTAVEL, EM PLASTICO BRANCO, COM TUBO, CANOPLA E ESPUDE</v>
      </c>
      <c r="F631" s="258" t="str">
        <f>IFERROR(IF(D631="SINAPI-S",VLOOKUP(B631,'20-B.SINAPI-S'!A:J,3,0),IF(D631="SINAPI-I",VLOOKUP(B631,'20-A.SINAPI-I'!A:G,3,0),IF(D631="COMPOSIÇÕES",VLOOKUP(B631,'11.COMPOSIÇÕES GERAIS'!B:I,3,0),VLOOKUP(B631,'12.COT.MERCADO'!A:I,7,0)))),"Em Elaboração")</f>
        <v>UN</v>
      </c>
      <c r="G631" s="254">
        <v>8.0</v>
      </c>
      <c r="H631" s="259">
        <f>IFERROR(IF(D631="SINAPI-S",VLOOKUP(B631,'20-B.SINAPI-S'!A:J,5,0),IF(D631="SINAPI-I",VLOOKUP(B631,'20-A.SINAPI-I'!A:G,6,0),IF(D631="COMPOSIÇÕES",VLOOKUP(B631,'11.COMPOSIÇÕES GERAIS'!B:I,7,0),0))),"Em Elaboração")</f>
        <v>0</v>
      </c>
      <c r="I631" s="259">
        <f>IFERROR(IF(D631="SINAPI-S",VLOOKUP(B631,'20-B.SINAPI-S'!A:J,6,0),IF(D631="SINAPI-I",VLOOKUP(B631,'20-A.SINAPI-I'!A:G,7,0),IF(D631="COMPOSIÇÕES",VLOOKUP(B631,'11.COMPOSIÇÕES GERAIS'!B:I,8,0),VLOOKUP(B631,'12.COT.MERCADO'!A:I,8,0)))),"Em Elaboração")</f>
        <v>9.33</v>
      </c>
      <c r="J631" s="259">
        <f t="shared" si="137"/>
        <v>0</v>
      </c>
      <c r="K631" s="259">
        <f t="shared" si="138"/>
        <v>10.92855168</v>
      </c>
      <c r="L631" s="259">
        <f t="shared" si="139"/>
        <v>10.92855168</v>
      </c>
      <c r="M631" s="259">
        <f t="shared" si="140"/>
        <v>0</v>
      </c>
      <c r="N631" s="259">
        <f t="shared" si="141"/>
        <v>87.42841343</v>
      </c>
      <c r="O631" s="259">
        <f t="shared" si="142"/>
        <v>87.42841343</v>
      </c>
      <c r="P631" s="260">
        <f t="shared" si="2"/>
        <v>0.00006839299557</v>
      </c>
    </row>
    <row r="632">
      <c r="A632" s="253" t="s">
        <v>785</v>
      </c>
      <c r="B632" s="254">
        <v>3148.0</v>
      </c>
      <c r="C632" s="255" t="str">
        <f t="shared" si="136"/>
        <v>SINAPI</v>
      </c>
      <c r="D632" s="256" t="s">
        <v>286</v>
      </c>
      <c r="E632" s="257" t="str">
        <f>IFERROR(IF(D632="SINAPI-S",VLOOKUP(B632,'20-B.SINAPI-S'!A:J,2,0),IF(D632="SINAPI-I",VLOOKUP(B632,'20-A.SINAPI-I'!A:G,2,0),IF(D632="COMPOSIÇÕES",VLOOKUP(B632,'11.COMPOSIÇÕES GERAIS'!B:I,2,0),VLOOKUP(B632,'12.COT.MERCADO'!A:I,2,0)))),"Em Elaboração")</f>
        <v>FITA VEDA ROSCA EM ROLOS DE 18 MM X 50 M (L X C)</v>
      </c>
      <c r="F632" s="258" t="str">
        <f>IFERROR(IF(D632="SINAPI-S",VLOOKUP(B632,'20-B.SINAPI-S'!A:J,3,0),IF(D632="SINAPI-I",VLOOKUP(B632,'20-A.SINAPI-I'!A:G,3,0),IF(D632="COMPOSIÇÕES",VLOOKUP(B632,'11.COMPOSIÇÕES GERAIS'!B:I,3,0),VLOOKUP(B632,'12.COT.MERCADO'!A:I,7,0)))),"Em Elaboração")</f>
        <v>UN</v>
      </c>
      <c r="G632" s="254">
        <v>15.0</v>
      </c>
      <c r="H632" s="259">
        <f>IFERROR(IF(D632="SINAPI-S",VLOOKUP(B632,'20-B.SINAPI-S'!A:J,5,0),IF(D632="SINAPI-I",VLOOKUP(B632,'20-A.SINAPI-I'!A:G,6,0),IF(D632="COMPOSIÇÕES",VLOOKUP(B632,'11.COMPOSIÇÕES GERAIS'!B:I,7,0),0))),"Em Elaboração")</f>
        <v>0</v>
      </c>
      <c r="I632" s="259">
        <f>IFERROR(IF(D632="SINAPI-S",VLOOKUP(B632,'20-B.SINAPI-S'!A:J,6,0),IF(D632="SINAPI-I",VLOOKUP(B632,'20-A.SINAPI-I'!A:G,7,0),IF(D632="COMPOSIÇÕES",VLOOKUP(B632,'11.COMPOSIÇÕES GERAIS'!B:I,8,0),VLOOKUP(B632,'12.COT.MERCADO'!A:I,8,0)))),"Em Elaboração")</f>
        <v>16.59</v>
      </c>
      <c r="J632" s="259">
        <f t="shared" si="137"/>
        <v>0</v>
      </c>
      <c r="K632" s="259">
        <f t="shared" si="138"/>
        <v>19.43244077</v>
      </c>
      <c r="L632" s="259">
        <f t="shared" si="139"/>
        <v>19.43244077</v>
      </c>
      <c r="M632" s="259">
        <f t="shared" si="140"/>
        <v>0</v>
      </c>
      <c r="N632" s="259">
        <f t="shared" si="141"/>
        <v>291.4866115</v>
      </c>
      <c r="O632" s="259">
        <f t="shared" si="142"/>
        <v>291.4866115</v>
      </c>
      <c r="P632" s="260">
        <f t="shared" si="2"/>
        <v>0.0002280224671</v>
      </c>
    </row>
    <row r="633">
      <c r="A633" s="253" t="s">
        <v>786</v>
      </c>
      <c r="B633" s="254">
        <v>39512.0</v>
      </c>
      <c r="C633" s="255" t="str">
        <f t="shared" si="136"/>
        <v>SINAPI</v>
      </c>
      <c r="D633" s="256" t="s">
        <v>286</v>
      </c>
      <c r="E633" s="257" t="str">
        <f>IFERROR(IF(D633="SINAPI-S",VLOOKUP(B633,'20-B.SINAPI-S'!A:J,2,0),IF(D633="SINAPI-I",VLOOKUP(B633,'20-A.SINAPI-I'!A:G,2,0),IF(D633="COMPOSIÇÕES",VLOOKUP(B633,'11.COMPOSIÇÕES GERAIS'!B:I,2,0),VLOOKUP(B633,'12.COT.MERCADO'!A:I,2,0)))),"Em Elaboração")</f>
        <v>FORRO DE FIBRA MINERAL EM PLACAS DE 1250 X 625 MM, E = 15 MM, BORDA RETA, COM PINTURA ANTIMOFO, APOIADO EM PERFIL DE ACO GALVANIZADO COM 24 MM DE BASE - INSTALADO</v>
      </c>
      <c r="F633" s="258" t="str">
        <f>IFERROR(IF(D633="SINAPI-S",VLOOKUP(B633,'20-B.SINAPI-S'!A:J,3,0),IF(D633="SINAPI-I",VLOOKUP(B633,'20-A.SINAPI-I'!A:G,3,0),IF(D633="COMPOSIÇÕES",VLOOKUP(B633,'11.COMPOSIÇÕES GERAIS'!B:I,3,0),VLOOKUP(B633,'12.COT.MERCADO'!A:I,7,0)))),"Em Elaboração")</f>
        <v>M2</v>
      </c>
      <c r="G633" s="254">
        <v>30.0</v>
      </c>
      <c r="H633" s="259">
        <f>IFERROR(IF(D633="SINAPI-S",VLOOKUP(B633,'20-B.SINAPI-S'!A:J,5,0),IF(D633="SINAPI-I",VLOOKUP(B633,'20-A.SINAPI-I'!A:G,6,0),IF(D633="COMPOSIÇÕES",VLOOKUP(B633,'11.COMPOSIÇÕES GERAIS'!B:I,7,0),0))),"Em Elaboração")</f>
        <v>0</v>
      </c>
      <c r="I633" s="259">
        <f>IFERROR(IF(D633="SINAPI-S",VLOOKUP(B633,'20-B.SINAPI-S'!A:J,6,0),IF(D633="SINAPI-I",VLOOKUP(B633,'20-A.SINAPI-I'!A:G,7,0),IF(D633="COMPOSIÇÕES",VLOOKUP(B633,'11.COMPOSIÇÕES GERAIS'!B:I,8,0),VLOOKUP(B633,'12.COT.MERCADO'!A:I,8,0)))),"Em Elaboração")</f>
        <v>93.3</v>
      </c>
      <c r="J633" s="259">
        <f t="shared" si="137"/>
        <v>0</v>
      </c>
      <c r="K633" s="259">
        <f t="shared" si="138"/>
        <v>109.2855168</v>
      </c>
      <c r="L633" s="259">
        <f t="shared" si="139"/>
        <v>109.2855168</v>
      </c>
      <c r="M633" s="259">
        <f t="shared" si="140"/>
        <v>0</v>
      </c>
      <c r="N633" s="259">
        <f t="shared" si="141"/>
        <v>3278.565504</v>
      </c>
      <c r="O633" s="259">
        <f t="shared" si="142"/>
        <v>3278.565504</v>
      </c>
      <c r="P633" s="260">
        <f t="shared" si="2"/>
        <v>0.002564737334</v>
      </c>
    </row>
    <row r="634">
      <c r="A634" s="253" t="s">
        <v>787</v>
      </c>
      <c r="B634" s="254">
        <v>3315.0</v>
      </c>
      <c r="C634" s="255" t="str">
        <f t="shared" si="136"/>
        <v>SINAPI</v>
      </c>
      <c r="D634" s="256" t="s">
        <v>286</v>
      </c>
      <c r="E634" s="257" t="str">
        <f>IFERROR(IF(D634="SINAPI-S",VLOOKUP(B634,'20-B.SINAPI-S'!A:J,2,0),IF(D634="SINAPI-I",VLOOKUP(B634,'20-A.SINAPI-I'!A:G,2,0),IF(D634="COMPOSIÇÕES",VLOOKUP(B634,'11.COMPOSIÇÕES GERAIS'!B:I,2,0),VLOOKUP(B634,'12.COT.MERCADO'!A:I,2,0)))),"Em Elaboração")</f>
        <v>GESSO EM PO PARA REVESTIMENTOS/MOLDURAS/SANCAS E USO GERAL</v>
      </c>
      <c r="F634" s="258" t="str">
        <f>IFERROR(IF(D634="SINAPI-S",VLOOKUP(B634,'20-B.SINAPI-S'!A:J,3,0),IF(D634="SINAPI-I",VLOOKUP(B634,'20-A.SINAPI-I'!A:G,3,0),IF(D634="COMPOSIÇÕES",VLOOKUP(B634,'11.COMPOSIÇÕES GERAIS'!B:I,3,0),VLOOKUP(B634,'12.COT.MERCADO'!A:I,7,0)))),"Em Elaboração")</f>
        <v>KG</v>
      </c>
      <c r="G634" s="254">
        <v>30.0</v>
      </c>
      <c r="H634" s="259">
        <f>IFERROR(IF(D634="SINAPI-S",VLOOKUP(B634,'20-B.SINAPI-S'!A:J,5,0),IF(D634="SINAPI-I",VLOOKUP(B634,'20-A.SINAPI-I'!A:G,6,0),IF(D634="COMPOSIÇÕES",VLOOKUP(B634,'11.COMPOSIÇÕES GERAIS'!B:I,7,0),0))),"Em Elaboração")</f>
        <v>0</v>
      </c>
      <c r="I634" s="259">
        <f>IFERROR(IF(D634="SINAPI-S",VLOOKUP(B634,'20-B.SINAPI-S'!A:J,6,0),IF(D634="SINAPI-I",VLOOKUP(B634,'20-A.SINAPI-I'!A:G,7,0),IF(D634="COMPOSIÇÕES",VLOOKUP(B634,'11.COMPOSIÇÕES GERAIS'!B:I,8,0),VLOOKUP(B634,'12.COT.MERCADO'!A:I,8,0)))),"Em Elaboração")</f>
        <v>0.77</v>
      </c>
      <c r="J634" s="259">
        <f t="shared" si="137"/>
        <v>0</v>
      </c>
      <c r="K634" s="259">
        <f t="shared" si="138"/>
        <v>0.9019276306</v>
      </c>
      <c r="L634" s="259">
        <f t="shared" si="139"/>
        <v>0.9019276306</v>
      </c>
      <c r="M634" s="259">
        <f t="shared" si="140"/>
        <v>0</v>
      </c>
      <c r="N634" s="259">
        <f t="shared" si="141"/>
        <v>27.05782892</v>
      </c>
      <c r="O634" s="259">
        <f t="shared" si="142"/>
        <v>27.05782892</v>
      </c>
      <c r="P634" s="260">
        <f t="shared" si="2"/>
        <v>0.00002116664252</v>
      </c>
    </row>
    <row r="635">
      <c r="A635" s="253" t="s">
        <v>788</v>
      </c>
      <c r="B635" s="254">
        <v>134.0</v>
      </c>
      <c r="C635" s="255" t="str">
        <f t="shared" si="136"/>
        <v>SINAPI</v>
      </c>
      <c r="D635" s="256" t="s">
        <v>286</v>
      </c>
      <c r="E635" s="257" t="str">
        <f>IFERROR(IF(D635="SINAPI-S",VLOOKUP(B635,'20-B.SINAPI-S'!A:J,2,0),IF(D635="SINAPI-I",VLOOKUP(B635,'20-A.SINAPI-I'!A:G,2,0),IF(D635="COMPOSIÇÕES",VLOOKUP(B635,'11.COMPOSIÇÕES GERAIS'!B:I,2,0),VLOOKUP(B635,'12.COT.MERCADO'!A:I,2,0)))),"Em Elaboração")</f>
        <v>GRAUTE CIMENTICIO PARA USO GERAL</v>
      </c>
      <c r="F635" s="258" t="str">
        <f>IFERROR(IF(D635="SINAPI-S",VLOOKUP(B635,'20-B.SINAPI-S'!A:J,3,0),IF(D635="SINAPI-I",VLOOKUP(B635,'20-A.SINAPI-I'!A:G,3,0),IF(D635="COMPOSIÇÕES",VLOOKUP(B635,'11.COMPOSIÇÕES GERAIS'!B:I,3,0),VLOOKUP(B635,'12.COT.MERCADO'!A:I,7,0)))),"Em Elaboração")</f>
        <v>KG</v>
      </c>
      <c r="G635" s="254">
        <v>30.0</v>
      </c>
      <c r="H635" s="259">
        <f>IFERROR(IF(D635="SINAPI-S",VLOOKUP(B635,'20-B.SINAPI-S'!A:J,5,0),IF(D635="SINAPI-I",VLOOKUP(B635,'20-A.SINAPI-I'!A:G,6,0),IF(D635="COMPOSIÇÕES",VLOOKUP(B635,'11.COMPOSIÇÕES GERAIS'!B:I,7,0),0))),"Em Elaboração")</f>
        <v>0</v>
      </c>
      <c r="I635" s="259">
        <f>IFERROR(IF(D635="SINAPI-S",VLOOKUP(B635,'20-B.SINAPI-S'!A:J,6,0),IF(D635="SINAPI-I",VLOOKUP(B635,'20-A.SINAPI-I'!A:G,7,0),IF(D635="COMPOSIÇÕES",VLOOKUP(B635,'11.COMPOSIÇÕES GERAIS'!B:I,8,0),VLOOKUP(B635,'12.COT.MERCADO'!A:I,8,0)))),"Em Elaboração")</f>
        <v>1.64</v>
      </c>
      <c r="J635" s="259">
        <f t="shared" si="137"/>
        <v>0</v>
      </c>
      <c r="K635" s="259">
        <f t="shared" si="138"/>
        <v>1.92098872</v>
      </c>
      <c r="L635" s="259">
        <f t="shared" si="139"/>
        <v>1.92098872</v>
      </c>
      <c r="M635" s="259">
        <f t="shared" si="140"/>
        <v>0</v>
      </c>
      <c r="N635" s="259">
        <f t="shared" si="141"/>
        <v>57.62966159</v>
      </c>
      <c r="O635" s="259">
        <f t="shared" si="142"/>
        <v>57.62966159</v>
      </c>
      <c r="P635" s="260">
        <f t="shared" si="2"/>
        <v>0.00004508219965</v>
      </c>
    </row>
    <row r="636">
      <c r="A636" s="253" t="s">
        <v>789</v>
      </c>
      <c r="B636" s="254">
        <v>3485.0</v>
      </c>
      <c r="C636" s="255" t="str">
        <f t="shared" si="136"/>
        <v>SINAPI</v>
      </c>
      <c r="D636" s="256" t="s">
        <v>286</v>
      </c>
      <c r="E636" s="257" t="str">
        <f>IFERROR(IF(D636="SINAPI-S",VLOOKUP(B636,'20-B.SINAPI-S'!A:J,2,0),IF(D636="SINAPI-I",VLOOKUP(B636,'20-A.SINAPI-I'!A:G,2,0),IF(D636="COMPOSIÇÕES",VLOOKUP(B636,'11.COMPOSIÇÕES GERAIS'!B:I,2,0),VLOOKUP(B636,'12.COT.MERCADO'!A:I,2,0)))),"Em Elaboração")</f>
        <v>JOELHO PVC, ROSCAVEL, 45 GRAUS, 1", COR BRANCA, PARA AGUA FRIA PREDIAL</v>
      </c>
      <c r="F636" s="258" t="str">
        <f>IFERROR(IF(D636="SINAPI-S",VLOOKUP(B636,'20-B.SINAPI-S'!A:J,3,0),IF(D636="SINAPI-I",VLOOKUP(B636,'20-A.SINAPI-I'!A:G,3,0),IF(D636="COMPOSIÇÕES",VLOOKUP(B636,'11.COMPOSIÇÕES GERAIS'!B:I,3,0),VLOOKUP(B636,'12.COT.MERCADO'!A:I,7,0)))),"Em Elaboração")</f>
        <v>UN</v>
      </c>
      <c r="G636" s="254">
        <v>3.0</v>
      </c>
      <c r="H636" s="259">
        <f>IFERROR(IF(D636="SINAPI-S",VLOOKUP(B636,'20-B.SINAPI-S'!A:J,5,0),IF(D636="SINAPI-I",VLOOKUP(B636,'20-A.SINAPI-I'!A:G,6,0),IF(D636="COMPOSIÇÕES",VLOOKUP(B636,'11.COMPOSIÇÕES GERAIS'!B:I,7,0),0))),"Em Elaboração")</f>
        <v>0</v>
      </c>
      <c r="I636" s="259">
        <f>IFERROR(IF(D636="SINAPI-S",VLOOKUP(B636,'20-B.SINAPI-S'!A:J,6,0),IF(D636="SINAPI-I",VLOOKUP(B636,'20-A.SINAPI-I'!A:G,7,0),IF(D636="COMPOSIÇÕES",VLOOKUP(B636,'11.COMPOSIÇÕES GERAIS'!B:I,8,0),VLOOKUP(B636,'12.COT.MERCADO'!A:I,8,0)))),"Em Elaboração")</f>
        <v>13.88</v>
      </c>
      <c r="J636" s="259">
        <f t="shared" si="137"/>
        <v>0</v>
      </c>
      <c r="K636" s="259">
        <f t="shared" si="138"/>
        <v>16.25812404</v>
      </c>
      <c r="L636" s="259">
        <f t="shared" si="139"/>
        <v>16.25812404</v>
      </c>
      <c r="M636" s="259">
        <f t="shared" si="140"/>
        <v>0</v>
      </c>
      <c r="N636" s="259">
        <f t="shared" si="141"/>
        <v>48.77437212</v>
      </c>
      <c r="O636" s="259">
        <f t="shared" si="142"/>
        <v>48.77437212</v>
      </c>
      <c r="P636" s="260">
        <f t="shared" si="2"/>
        <v>0.00003815493483</v>
      </c>
    </row>
    <row r="637">
      <c r="A637" s="253" t="s">
        <v>790</v>
      </c>
      <c r="B637" s="254">
        <v>3475.0</v>
      </c>
      <c r="C637" s="255" t="str">
        <f t="shared" si="136"/>
        <v>SINAPI</v>
      </c>
      <c r="D637" s="256" t="s">
        <v>286</v>
      </c>
      <c r="E637" s="257" t="str">
        <f>IFERROR(IF(D637="SINAPI-S",VLOOKUP(B637,'20-B.SINAPI-S'!A:J,2,0),IF(D637="SINAPI-I",VLOOKUP(B637,'20-A.SINAPI-I'!A:G,2,0),IF(D637="COMPOSIÇÕES",VLOOKUP(B637,'11.COMPOSIÇÕES GERAIS'!B:I,2,0),VLOOKUP(B637,'12.COT.MERCADO'!A:I,2,0)))),"Em Elaboração")</f>
        <v>JOELHO PVC, ROSCAVEL, 45 GRAUS, 1/2", COR BRANCA, PARA AGUA FRIA PREDIAL</v>
      </c>
      <c r="F637" s="258" t="str">
        <f>IFERROR(IF(D637="SINAPI-S",VLOOKUP(B637,'20-B.SINAPI-S'!A:J,3,0),IF(D637="SINAPI-I",VLOOKUP(B637,'20-A.SINAPI-I'!A:G,3,0),IF(D637="COMPOSIÇÕES",VLOOKUP(B637,'11.COMPOSIÇÕES GERAIS'!B:I,3,0),VLOOKUP(B637,'12.COT.MERCADO'!A:I,7,0)))),"Em Elaboração")</f>
        <v>UN</v>
      </c>
      <c r="G637" s="254">
        <v>3.0</v>
      </c>
      <c r="H637" s="259">
        <f>IFERROR(IF(D637="SINAPI-S",VLOOKUP(B637,'20-B.SINAPI-S'!A:J,5,0),IF(D637="SINAPI-I",VLOOKUP(B637,'20-A.SINAPI-I'!A:G,6,0),IF(D637="COMPOSIÇÕES",VLOOKUP(B637,'11.COMPOSIÇÕES GERAIS'!B:I,7,0),0))),"Em Elaboração")</f>
        <v>0</v>
      </c>
      <c r="I637" s="259">
        <f>IFERROR(IF(D637="SINAPI-S",VLOOKUP(B637,'20-B.SINAPI-S'!A:J,6,0),IF(D637="SINAPI-I",VLOOKUP(B637,'20-A.SINAPI-I'!A:G,7,0),IF(D637="COMPOSIÇÕES",VLOOKUP(B637,'11.COMPOSIÇÕES GERAIS'!B:I,8,0),VLOOKUP(B637,'12.COT.MERCADO'!A:I,8,0)))),"Em Elaboração")</f>
        <v>5.02</v>
      </c>
      <c r="J637" s="259">
        <f t="shared" si="137"/>
        <v>0</v>
      </c>
      <c r="K637" s="259">
        <f t="shared" si="138"/>
        <v>5.880099617</v>
      </c>
      <c r="L637" s="259">
        <f t="shared" si="139"/>
        <v>5.880099617</v>
      </c>
      <c r="M637" s="259">
        <f t="shared" si="140"/>
        <v>0</v>
      </c>
      <c r="N637" s="259">
        <f t="shared" si="141"/>
        <v>17.64029885</v>
      </c>
      <c r="O637" s="259">
        <f t="shared" si="142"/>
        <v>17.64029885</v>
      </c>
      <c r="P637" s="260">
        <f t="shared" si="2"/>
        <v>0.00001379955136</v>
      </c>
    </row>
    <row r="638">
      <c r="A638" s="253" t="s">
        <v>791</v>
      </c>
      <c r="B638" s="254">
        <v>3534.0</v>
      </c>
      <c r="C638" s="255" t="str">
        <f t="shared" si="136"/>
        <v>SINAPI</v>
      </c>
      <c r="D638" s="256" t="s">
        <v>286</v>
      </c>
      <c r="E638" s="257" t="str">
        <f>IFERROR(IF(D638="SINAPI-S",VLOOKUP(B638,'20-B.SINAPI-S'!A:J,2,0),IF(D638="SINAPI-I",VLOOKUP(B638,'20-A.SINAPI-I'!A:G,2,0),IF(D638="COMPOSIÇÕES",VLOOKUP(B638,'11.COMPOSIÇÕES GERAIS'!B:I,2,0),VLOOKUP(B638,'12.COT.MERCADO'!A:I,2,0)))),"Em Elaboração")</f>
        <v>JOELHO PVC, ROSCAVEL, 45 GRAUS, 3/4", COR BRANCA, PARA AGUA FRIA PREDIAL</v>
      </c>
      <c r="F638" s="258" t="str">
        <f>IFERROR(IF(D638="SINAPI-S",VLOOKUP(B638,'20-B.SINAPI-S'!A:J,3,0),IF(D638="SINAPI-I",VLOOKUP(B638,'20-A.SINAPI-I'!A:G,3,0),IF(D638="COMPOSIÇÕES",VLOOKUP(B638,'11.COMPOSIÇÕES GERAIS'!B:I,3,0),VLOOKUP(B638,'12.COT.MERCADO'!A:I,7,0)))),"Em Elaboração")</f>
        <v>UN</v>
      </c>
      <c r="G638" s="254">
        <v>3.0</v>
      </c>
      <c r="H638" s="259">
        <f>IFERROR(IF(D638="SINAPI-S",VLOOKUP(B638,'20-B.SINAPI-S'!A:J,5,0),IF(D638="SINAPI-I",VLOOKUP(B638,'20-A.SINAPI-I'!A:G,6,0),IF(D638="COMPOSIÇÕES",VLOOKUP(B638,'11.COMPOSIÇÕES GERAIS'!B:I,7,0),0))),"Em Elaboração")</f>
        <v>0</v>
      </c>
      <c r="I638" s="259">
        <f>IFERROR(IF(D638="SINAPI-S",VLOOKUP(B638,'20-B.SINAPI-S'!A:J,6,0),IF(D638="SINAPI-I",VLOOKUP(B638,'20-A.SINAPI-I'!A:G,7,0),IF(D638="COMPOSIÇÕES",VLOOKUP(B638,'11.COMPOSIÇÕES GERAIS'!B:I,8,0),VLOOKUP(B638,'12.COT.MERCADO'!A:I,8,0)))),"Em Elaboração")</f>
        <v>7.96</v>
      </c>
      <c r="J638" s="259">
        <f t="shared" si="137"/>
        <v>0</v>
      </c>
      <c r="K638" s="259">
        <f t="shared" si="138"/>
        <v>9.323823298</v>
      </c>
      <c r="L638" s="259">
        <f t="shared" si="139"/>
        <v>9.323823298</v>
      </c>
      <c r="M638" s="259">
        <f t="shared" si="140"/>
        <v>0</v>
      </c>
      <c r="N638" s="259">
        <f t="shared" si="141"/>
        <v>27.97146989</v>
      </c>
      <c r="O638" s="259">
        <f t="shared" si="142"/>
        <v>27.97146989</v>
      </c>
      <c r="P638" s="260">
        <f t="shared" si="2"/>
        <v>0.00002188136032</v>
      </c>
    </row>
    <row r="639">
      <c r="A639" s="253" t="s">
        <v>792</v>
      </c>
      <c r="B639" s="254">
        <v>3499.0</v>
      </c>
      <c r="C639" s="255" t="str">
        <f t="shared" si="136"/>
        <v>SINAPI</v>
      </c>
      <c r="D639" s="256" t="s">
        <v>286</v>
      </c>
      <c r="E639" s="257" t="str">
        <f>IFERROR(IF(D639="SINAPI-S",VLOOKUP(B639,'20-B.SINAPI-S'!A:J,2,0),IF(D639="SINAPI-I",VLOOKUP(B639,'20-A.SINAPI-I'!A:G,2,0),IF(D639="COMPOSIÇÕES",VLOOKUP(B639,'11.COMPOSIÇÕES GERAIS'!B:I,2,0),VLOOKUP(B639,'12.COT.MERCADO'!A:I,2,0)))),"Em Elaboração")</f>
        <v>JOELHO, PVC SOLDAVEL, 45 GRAUS, 20 MM, COR MARROM, PARA AGUA FRIA PREDIAL</v>
      </c>
      <c r="F639" s="258" t="str">
        <f>IFERROR(IF(D639="SINAPI-S",VLOOKUP(B639,'20-B.SINAPI-S'!A:J,3,0),IF(D639="SINAPI-I",VLOOKUP(B639,'20-A.SINAPI-I'!A:G,3,0),IF(D639="COMPOSIÇÕES",VLOOKUP(B639,'11.COMPOSIÇÕES GERAIS'!B:I,3,0),VLOOKUP(B639,'12.COT.MERCADO'!A:I,7,0)))),"Em Elaboração")</f>
        <v>UN</v>
      </c>
      <c r="G639" s="254">
        <v>5.0</v>
      </c>
      <c r="H639" s="259">
        <f>IFERROR(IF(D639="SINAPI-S",VLOOKUP(B639,'20-B.SINAPI-S'!A:J,5,0),IF(D639="SINAPI-I",VLOOKUP(B639,'20-A.SINAPI-I'!A:G,6,0),IF(D639="COMPOSIÇÕES",VLOOKUP(B639,'11.COMPOSIÇÕES GERAIS'!B:I,7,0),0))),"Em Elaboração")</f>
        <v>0</v>
      </c>
      <c r="I639" s="259">
        <f>IFERROR(IF(D639="SINAPI-S",VLOOKUP(B639,'20-B.SINAPI-S'!A:J,6,0),IF(D639="SINAPI-I",VLOOKUP(B639,'20-A.SINAPI-I'!A:G,7,0),IF(D639="COMPOSIÇÕES",VLOOKUP(B639,'11.COMPOSIÇÕES GERAIS'!B:I,8,0),VLOOKUP(B639,'12.COT.MERCADO'!A:I,8,0)))),"Em Elaboração")</f>
        <v>1.18</v>
      </c>
      <c r="J639" s="259">
        <f t="shared" si="137"/>
        <v>0</v>
      </c>
      <c r="K639" s="259">
        <f t="shared" si="138"/>
        <v>1.38217481</v>
      </c>
      <c r="L639" s="259">
        <f t="shared" si="139"/>
        <v>1.38217481</v>
      </c>
      <c r="M639" s="259">
        <f t="shared" si="140"/>
        <v>0</v>
      </c>
      <c r="N639" s="259">
        <f t="shared" si="141"/>
        <v>6.910874052</v>
      </c>
      <c r="O639" s="259">
        <f t="shared" si="142"/>
        <v>6.910874052</v>
      </c>
      <c r="P639" s="260">
        <f t="shared" si="2"/>
        <v>0.000005406198739</v>
      </c>
    </row>
    <row r="640">
      <c r="A640" s="253" t="s">
        <v>793</v>
      </c>
      <c r="B640" s="254">
        <v>3500.0</v>
      </c>
      <c r="C640" s="255" t="str">
        <f t="shared" si="136"/>
        <v>SINAPI</v>
      </c>
      <c r="D640" s="256" t="s">
        <v>286</v>
      </c>
      <c r="E640" s="257" t="str">
        <f>IFERROR(IF(D640="SINAPI-S",VLOOKUP(B640,'20-B.SINAPI-S'!A:J,2,0),IF(D640="SINAPI-I",VLOOKUP(B640,'20-A.SINAPI-I'!A:G,2,0),IF(D640="COMPOSIÇÕES",VLOOKUP(B640,'11.COMPOSIÇÕES GERAIS'!B:I,2,0),VLOOKUP(B640,'12.COT.MERCADO'!A:I,2,0)))),"Em Elaboração")</f>
        <v>JOELHO, PVC SOLDAVEL, 45 GRAUS, 25 MM, COR MARROM, PARA AGUA FRIA PREDIAL</v>
      </c>
      <c r="F640" s="258" t="str">
        <f>IFERROR(IF(D640="SINAPI-S",VLOOKUP(B640,'20-B.SINAPI-S'!A:J,3,0),IF(D640="SINAPI-I",VLOOKUP(B640,'20-A.SINAPI-I'!A:G,3,0),IF(D640="COMPOSIÇÕES",VLOOKUP(B640,'11.COMPOSIÇÕES GERAIS'!B:I,3,0),VLOOKUP(B640,'12.COT.MERCADO'!A:I,7,0)))),"Em Elaboração")</f>
        <v>UN</v>
      </c>
      <c r="G640" s="254">
        <v>5.0</v>
      </c>
      <c r="H640" s="259">
        <f>IFERROR(IF(D640="SINAPI-S",VLOOKUP(B640,'20-B.SINAPI-S'!A:J,5,0),IF(D640="SINAPI-I",VLOOKUP(B640,'20-A.SINAPI-I'!A:G,6,0),IF(D640="COMPOSIÇÕES",VLOOKUP(B640,'11.COMPOSIÇÕES GERAIS'!B:I,7,0),0))),"Em Elaboração")</f>
        <v>0</v>
      </c>
      <c r="I640" s="259">
        <f>IFERROR(IF(D640="SINAPI-S",VLOOKUP(B640,'20-B.SINAPI-S'!A:J,6,0),IF(D640="SINAPI-I",VLOOKUP(B640,'20-A.SINAPI-I'!A:G,7,0),IF(D640="COMPOSIÇÕES",VLOOKUP(B640,'11.COMPOSIÇÕES GERAIS'!B:I,8,0),VLOOKUP(B640,'12.COT.MERCADO'!A:I,8,0)))),"Em Elaboração")</f>
        <v>1.57</v>
      </c>
      <c r="J640" s="259">
        <f t="shared" si="137"/>
        <v>0</v>
      </c>
      <c r="K640" s="259">
        <f t="shared" si="138"/>
        <v>1.838995299</v>
      </c>
      <c r="L640" s="259">
        <f t="shared" si="139"/>
        <v>1.838995299</v>
      </c>
      <c r="M640" s="259">
        <f t="shared" si="140"/>
        <v>0</v>
      </c>
      <c r="N640" s="259">
        <f t="shared" si="141"/>
        <v>9.194976493</v>
      </c>
      <c r="O640" s="259">
        <f t="shared" si="142"/>
        <v>9.194976493</v>
      </c>
      <c r="P640" s="260">
        <f t="shared" si="2"/>
        <v>0.000007192993237</v>
      </c>
    </row>
    <row r="641">
      <c r="A641" s="253" t="s">
        <v>794</v>
      </c>
      <c r="B641" s="254">
        <v>3501.0</v>
      </c>
      <c r="C641" s="255" t="str">
        <f t="shared" si="136"/>
        <v>SINAPI</v>
      </c>
      <c r="D641" s="256" t="s">
        <v>286</v>
      </c>
      <c r="E641" s="257" t="str">
        <f>IFERROR(IF(D641="SINAPI-S",VLOOKUP(B641,'20-B.SINAPI-S'!A:J,2,0),IF(D641="SINAPI-I",VLOOKUP(B641,'20-A.SINAPI-I'!A:G,2,0),IF(D641="COMPOSIÇÕES",VLOOKUP(B641,'11.COMPOSIÇÕES GERAIS'!B:I,2,0),VLOOKUP(B641,'12.COT.MERCADO'!A:I,2,0)))),"Em Elaboração")</f>
        <v>JOELHO, PVC SOLDAVEL, 45 GRAUS, 32 MM, COR MARROM, PARA AGUA FRIA PREDIAL</v>
      </c>
      <c r="F641" s="258" t="str">
        <f>IFERROR(IF(D641="SINAPI-S",VLOOKUP(B641,'20-B.SINAPI-S'!A:J,3,0),IF(D641="SINAPI-I",VLOOKUP(B641,'20-A.SINAPI-I'!A:G,3,0),IF(D641="COMPOSIÇÕES",VLOOKUP(B641,'11.COMPOSIÇÕES GERAIS'!B:I,3,0),VLOOKUP(B641,'12.COT.MERCADO'!A:I,7,0)))),"Em Elaboração")</f>
        <v>UN</v>
      </c>
      <c r="G641" s="254">
        <v>5.0</v>
      </c>
      <c r="H641" s="259">
        <f>IFERROR(IF(D641="SINAPI-S",VLOOKUP(B641,'20-B.SINAPI-S'!A:J,5,0),IF(D641="SINAPI-I",VLOOKUP(B641,'20-A.SINAPI-I'!A:G,6,0),IF(D641="COMPOSIÇÕES",VLOOKUP(B641,'11.COMPOSIÇÕES GERAIS'!B:I,7,0),0))),"Em Elaboração")</f>
        <v>0</v>
      </c>
      <c r="I641" s="259">
        <f>IFERROR(IF(D641="SINAPI-S",VLOOKUP(B641,'20-B.SINAPI-S'!A:J,6,0),IF(D641="SINAPI-I",VLOOKUP(B641,'20-A.SINAPI-I'!A:G,7,0),IF(D641="COMPOSIÇÕES",VLOOKUP(B641,'11.COMPOSIÇÕES GERAIS'!B:I,8,0),VLOOKUP(B641,'12.COT.MERCADO'!A:I,8,0)))),"Em Elaboração")</f>
        <v>4.34</v>
      </c>
      <c r="J641" s="259">
        <f t="shared" si="137"/>
        <v>0</v>
      </c>
      <c r="K641" s="259">
        <f t="shared" si="138"/>
        <v>5.083592099</v>
      </c>
      <c r="L641" s="259">
        <f t="shared" si="139"/>
        <v>5.083592099</v>
      </c>
      <c r="M641" s="259">
        <f t="shared" si="140"/>
        <v>0</v>
      </c>
      <c r="N641" s="259">
        <f t="shared" si="141"/>
        <v>25.4179605</v>
      </c>
      <c r="O641" s="259">
        <f t="shared" si="142"/>
        <v>25.4179605</v>
      </c>
      <c r="P641" s="260">
        <f t="shared" si="2"/>
        <v>0.0000198838157</v>
      </c>
    </row>
    <row r="642">
      <c r="A642" s="253" t="s">
        <v>795</v>
      </c>
      <c r="B642" s="254">
        <v>3502.0</v>
      </c>
      <c r="C642" s="255" t="str">
        <f t="shared" si="136"/>
        <v>SINAPI</v>
      </c>
      <c r="D642" s="256" t="s">
        <v>286</v>
      </c>
      <c r="E642" s="257" t="str">
        <f>IFERROR(IF(D642="SINAPI-S",VLOOKUP(B642,'20-B.SINAPI-S'!A:J,2,0),IF(D642="SINAPI-I",VLOOKUP(B642,'20-A.SINAPI-I'!A:G,2,0),IF(D642="COMPOSIÇÕES",VLOOKUP(B642,'11.COMPOSIÇÕES GERAIS'!B:I,2,0),VLOOKUP(B642,'12.COT.MERCADO'!A:I,2,0)))),"Em Elaboração")</f>
        <v>JOELHO, PVC SOLDAVEL, 45 GRAUS, 40 MM, COR MARROM, PARA AGUA FRIA PREDIAL</v>
      </c>
      <c r="F642" s="258" t="str">
        <f>IFERROR(IF(D642="SINAPI-S",VLOOKUP(B642,'20-B.SINAPI-S'!A:J,3,0),IF(D642="SINAPI-I",VLOOKUP(B642,'20-A.SINAPI-I'!A:G,3,0),IF(D642="COMPOSIÇÕES",VLOOKUP(B642,'11.COMPOSIÇÕES GERAIS'!B:I,3,0),VLOOKUP(B642,'12.COT.MERCADO'!A:I,7,0)))),"Em Elaboração")</f>
        <v>UN</v>
      </c>
      <c r="G642" s="254">
        <v>5.0</v>
      </c>
      <c r="H642" s="259">
        <f>IFERROR(IF(D642="SINAPI-S",VLOOKUP(B642,'20-B.SINAPI-S'!A:J,5,0),IF(D642="SINAPI-I",VLOOKUP(B642,'20-A.SINAPI-I'!A:G,6,0),IF(D642="COMPOSIÇÕES",VLOOKUP(B642,'11.COMPOSIÇÕES GERAIS'!B:I,7,0),0))),"Em Elaboração")</f>
        <v>0</v>
      </c>
      <c r="I642" s="259">
        <f>IFERROR(IF(D642="SINAPI-S",VLOOKUP(B642,'20-B.SINAPI-S'!A:J,6,0),IF(D642="SINAPI-I",VLOOKUP(B642,'20-A.SINAPI-I'!A:G,7,0),IF(D642="COMPOSIÇÕES",VLOOKUP(B642,'11.COMPOSIÇÕES GERAIS'!B:I,8,0),VLOOKUP(B642,'12.COT.MERCADO'!A:I,8,0)))),"Em Elaboração")</f>
        <v>6.24</v>
      </c>
      <c r="J642" s="259">
        <f t="shared" si="137"/>
        <v>0</v>
      </c>
      <c r="K642" s="259">
        <f t="shared" si="138"/>
        <v>7.309127811</v>
      </c>
      <c r="L642" s="259">
        <f t="shared" si="139"/>
        <v>7.309127811</v>
      </c>
      <c r="M642" s="259">
        <f t="shared" si="140"/>
        <v>0</v>
      </c>
      <c r="N642" s="259">
        <f t="shared" si="141"/>
        <v>36.54563906</v>
      </c>
      <c r="O642" s="259">
        <f t="shared" si="142"/>
        <v>36.54563906</v>
      </c>
      <c r="P642" s="260">
        <f t="shared" si="2"/>
        <v>0.00002858871197</v>
      </c>
    </row>
    <row r="643">
      <c r="A643" s="253" t="s">
        <v>796</v>
      </c>
      <c r="B643" s="254">
        <v>3503.0</v>
      </c>
      <c r="C643" s="255" t="str">
        <f t="shared" si="136"/>
        <v>SINAPI</v>
      </c>
      <c r="D643" s="256" t="s">
        <v>286</v>
      </c>
      <c r="E643" s="257" t="str">
        <f>IFERROR(IF(D643="SINAPI-S",VLOOKUP(B643,'20-B.SINAPI-S'!A:J,2,0),IF(D643="SINAPI-I",VLOOKUP(B643,'20-A.SINAPI-I'!A:G,2,0),IF(D643="COMPOSIÇÕES",VLOOKUP(B643,'11.COMPOSIÇÕES GERAIS'!B:I,2,0),VLOOKUP(B643,'12.COT.MERCADO'!A:I,2,0)))),"Em Elaboração")</f>
        <v>JOELHO, PVC SOLDAVEL, 45 GRAUS, 50 MM, COR MARROM, PARA AGUA FRIA PREDIAL</v>
      </c>
      <c r="F643" s="258" t="str">
        <f>IFERROR(IF(D643="SINAPI-S",VLOOKUP(B643,'20-B.SINAPI-S'!A:J,3,0),IF(D643="SINAPI-I",VLOOKUP(B643,'20-A.SINAPI-I'!A:G,3,0),IF(D643="COMPOSIÇÕES",VLOOKUP(B643,'11.COMPOSIÇÕES GERAIS'!B:I,3,0),VLOOKUP(B643,'12.COT.MERCADO'!A:I,7,0)))),"Em Elaboração")</f>
        <v>UN</v>
      </c>
      <c r="G643" s="254">
        <v>5.0</v>
      </c>
      <c r="H643" s="259">
        <f>IFERROR(IF(D643="SINAPI-S",VLOOKUP(B643,'20-B.SINAPI-S'!A:J,5,0),IF(D643="SINAPI-I",VLOOKUP(B643,'20-A.SINAPI-I'!A:G,6,0),IF(D643="COMPOSIÇÕES",VLOOKUP(B643,'11.COMPOSIÇÕES GERAIS'!B:I,7,0),0))),"Em Elaboração")</f>
        <v>0</v>
      </c>
      <c r="I643" s="259">
        <f>IFERROR(IF(D643="SINAPI-S",VLOOKUP(B643,'20-B.SINAPI-S'!A:J,6,0),IF(D643="SINAPI-I",VLOOKUP(B643,'20-A.SINAPI-I'!A:G,7,0),IF(D643="COMPOSIÇÕES",VLOOKUP(B643,'11.COMPOSIÇÕES GERAIS'!B:I,8,0),VLOOKUP(B643,'12.COT.MERCADO'!A:I,8,0)))),"Em Elaboração")</f>
        <v>7.84</v>
      </c>
      <c r="J643" s="259">
        <f t="shared" si="137"/>
        <v>0</v>
      </c>
      <c r="K643" s="259">
        <f t="shared" si="138"/>
        <v>9.183263147</v>
      </c>
      <c r="L643" s="259">
        <f t="shared" si="139"/>
        <v>9.183263147</v>
      </c>
      <c r="M643" s="259">
        <f t="shared" si="140"/>
        <v>0</v>
      </c>
      <c r="N643" s="259">
        <f t="shared" si="141"/>
        <v>45.91631574</v>
      </c>
      <c r="O643" s="259">
        <f t="shared" si="142"/>
        <v>45.91631574</v>
      </c>
      <c r="P643" s="260">
        <f t="shared" si="2"/>
        <v>0.00003591915094</v>
      </c>
    </row>
    <row r="644">
      <c r="A644" s="253" t="s">
        <v>797</v>
      </c>
      <c r="B644" s="254">
        <v>3477.0</v>
      </c>
      <c r="C644" s="255" t="str">
        <f t="shared" si="136"/>
        <v>SINAPI</v>
      </c>
      <c r="D644" s="256" t="s">
        <v>286</v>
      </c>
      <c r="E644" s="257" t="str">
        <f>IFERROR(IF(D644="SINAPI-S",VLOOKUP(B644,'20-B.SINAPI-S'!A:J,2,0),IF(D644="SINAPI-I",VLOOKUP(B644,'20-A.SINAPI-I'!A:G,2,0),IF(D644="COMPOSIÇÕES",VLOOKUP(B644,'11.COMPOSIÇÕES GERAIS'!B:I,2,0),VLOOKUP(B644,'12.COT.MERCADO'!A:I,2,0)))),"Em Elaboração")</f>
        <v>JOELHO, PVC SOLDAVEL, 45 GRAUS, 60 MM, COR MARROM, PARA AGUA FRIA PREDIAL</v>
      </c>
      <c r="F644" s="258" t="str">
        <f>IFERROR(IF(D644="SINAPI-S",VLOOKUP(B644,'20-B.SINAPI-S'!A:J,3,0),IF(D644="SINAPI-I",VLOOKUP(B644,'20-A.SINAPI-I'!A:G,3,0),IF(D644="COMPOSIÇÕES",VLOOKUP(B644,'11.COMPOSIÇÕES GERAIS'!B:I,3,0),VLOOKUP(B644,'12.COT.MERCADO'!A:I,7,0)))),"Em Elaboração")</f>
        <v>UN</v>
      </c>
      <c r="G644" s="254">
        <v>5.0</v>
      </c>
      <c r="H644" s="259">
        <f>IFERROR(IF(D644="SINAPI-S",VLOOKUP(B644,'20-B.SINAPI-S'!A:J,5,0),IF(D644="SINAPI-I",VLOOKUP(B644,'20-A.SINAPI-I'!A:G,6,0),IF(D644="COMPOSIÇÕES",VLOOKUP(B644,'11.COMPOSIÇÕES GERAIS'!B:I,7,0),0))),"Em Elaboração")</f>
        <v>0</v>
      </c>
      <c r="I644" s="259">
        <f>IFERROR(IF(D644="SINAPI-S",VLOOKUP(B644,'20-B.SINAPI-S'!A:J,6,0),IF(D644="SINAPI-I",VLOOKUP(B644,'20-A.SINAPI-I'!A:G,7,0),IF(D644="COMPOSIÇÕES",VLOOKUP(B644,'11.COMPOSIÇÕES GERAIS'!B:I,8,0),VLOOKUP(B644,'12.COT.MERCADO'!A:I,8,0)))),"Em Elaboração")</f>
        <v>28.49</v>
      </c>
      <c r="J644" s="259">
        <f t="shared" si="137"/>
        <v>0</v>
      </c>
      <c r="K644" s="259">
        <f t="shared" si="138"/>
        <v>33.37132233</v>
      </c>
      <c r="L644" s="259">
        <f t="shared" si="139"/>
        <v>33.37132233</v>
      </c>
      <c r="M644" s="259">
        <f t="shared" si="140"/>
        <v>0</v>
      </c>
      <c r="N644" s="259">
        <f t="shared" si="141"/>
        <v>166.8566117</v>
      </c>
      <c r="O644" s="259">
        <f t="shared" si="142"/>
        <v>166.8566117</v>
      </c>
      <c r="P644" s="260">
        <f t="shared" si="2"/>
        <v>0.0001305276289</v>
      </c>
    </row>
    <row r="645">
      <c r="A645" s="253" t="s">
        <v>798</v>
      </c>
      <c r="B645" s="254">
        <v>3472.0</v>
      </c>
      <c r="C645" s="255" t="str">
        <f t="shared" si="136"/>
        <v>SINAPI</v>
      </c>
      <c r="D645" s="256" t="s">
        <v>286</v>
      </c>
      <c r="E645" s="257" t="str">
        <f>IFERROR(IF(D645="SINAPI-S",VLOOKUP(B645,'20-B.SINAPI-S'!A:J,2,0),IF(D645="SINAPI-I",VLOOKUP(B645,'20-A.SINAPI-I'!A:G,2,0),IF(D645="COMPOSIÇÕES",VLOOKUP(B645,'11.COMPOSIÇÕES GERAIS'!B:I,2,0),VLOOKUP(B645,'12.COT.MERCADO'!A:I,2,0)))),"Em Elaboração")</f>
        <v>COTOVELO 90 GRAUS DE FERRO GALVANIZADO, COM ROSCA BSP, DE 1"</v>
      </c>
      <c r="F645" s="258" t="str">
        <f>IFERROR(IF(D645="SINAPI-S",VLOOKUP(B645,'20-B.SINAPI-S'!A:J,3,0),IF(D645="SINAPI-I",VLOOKUP(B645,'20-A.SINAPI-I'!A:G,3,0),IF(D645="COMPOSIÇÕES",VLOOKUP(B645,'11.COMPOSIÇÕES GERAIS'!B:I,3,0),VLOOKUP(B645,'12.COT.MERCADO'!A:I,7,0)))),"Em Elaboração")</f>
        <v>UN</v>
      </c>
      <c r="G645" s="254">
        <v>2.0</v>
      </c>
      <c r="H645" s="259">
        <f>IFERROR(IF(D645="SINAPI-S",VLOOKUP(B645,'20-B.SINAPI-S'!A:J,5,0),IF(D645="SINAPI-I",VLOOKUP(B645,'20-A.SINAPI-I'!A:G,6,0),IF(D645="COMPOSIÇÕES",VLOOKUP(B645,'11.COMPOSIÇÕES GERAIS'!B:I,7,0),0))),"Em Elaboração")</f>
        <v>0</v>
      </c>
      <c r="I645" s="259">
        <f>IFERROR(IF(D645="SINAPI-S",VLOOKUP(B645,'20-B.SINAPI-S'!A:J,6,0),IF(D645="SINAPI-I",VLOOKUP(B645,'20-A.SINAPI-I'!A:G,7,0),IF(D645="COMPOSIÇÕES",VLOOKUP(B645,'11.COMPOSIÇÕES GERAIS'!B:I,8,0),VLOOKUP(B645,'12.COT.MERCADO'!A:I,8,0)))),"Em Elaboração")</f>
        <v>16.98</v>
      </c>
      <c r="J645" s="259">
        <f t="shared" si="137"/>
        <v>0</v>
      </c>
      <c r="K645" s="259">
        <f t="shared" si="138"/>
        <v>19.88926126</v>
      </c>
      <c r="L645" s="259">
        <f t="shared" si="139"/>
        <v>19.88926126</v>
      </c>
      <c r="M645" s="259">
        <f t="shared" si="140"/>
        <v>0</v>
      </c>
      <c r="N645" s="259">
        <f t="shared" si="141"/>
        <v>39.77852251</v>
      </c>
      <c r="O645" s="259">
        <f t="shared" si="142"/>
        <v>39.77852251</v>
      </c>
      <c r="P645" s="260">
        <f t="shared" si="2"/>
        <v>0.00003111771342</v>
      </c>
    </row>
    <row r="646">
      <c r="A646" s="253" t="s">
        <v>799</v>
      </c>
      <c r="B646" s="254">
        <v>3450.0</v>
      </c>
      <c r="C646" s="255" t="str">
        <f t="shared" si="136"/>
        <v>SINAPI</v>
      </c>
      <c r="D646" s="256" t="s">
        <v>286</v>
      </c>
      <c r="E646" s="257" t="str">
        <f>IFERROR(IF(D646="SINAPI-S",VLOOKUP(B646,'20-B.SINAPI-S'!A:J,2,0),IF(D646="SINAPI-I",VLOOKUP(B646,'20-A.SINAPI-I'!A:G,2,0),IF(D646="COMPOSIÇÕES",VLOOKUP(B646,'11.COMPOSIÇÕES GERAIS'!B:I,2,0),VLOOKUP(B646,'12.COT.MERCADO'!A:I,2,0)))),"Em Elaboração")</f>
        <v>COTOVELO 90 GRAUS DE FERRO GALVANIZADO, COM ROSCA BSP MACHO/FEMEA, DE 1/2"</v>
      </c>
      <c r="F646" s="258" t="str">
        <f>IFERROR(IF(D646="SINAPI-S",VLOOKUP(B646,'20-B.SINAPI-S'!A:J,3,0),IF(D646="SINAPI-I",VLOOKUP(B646,'20-A.SINAPI-I'!A:G,3,0),IF(D646="COMPOSIÇÕES",VLOOKUP(B646,'11.COMPOSIÇÕES GERAIS'!B:I,3,0),VLOOKUP(B646,'12.COT.MERCADO'!A:I,7,0)))),"Em Elaboração")</f>
        <v>UN</v>
      </c>
      <c r="G646" s="254">
        <v>3.0</v>
      </c>
      <c r="H646" s="259">
        <f>IFERROR(IF(D646="SINAPI-S",VLOOKUP(B646,'20-B.SINAPI-S'!A:J,5,0),IF(D646="SINAPI-I",VLOOKUP(B646,'20-A.SINAPI-I'!A:G,6,0),IF(D646="COMPOSIÇÕES",VLOOKUP(B646,'11.COMPOSIÇÕES GERAIS'!B:I,7,0),0))),"Em Elaboração")</f>
        <v>0</v>
      </c>
      <c r="I646" s="259">
        <f>IFERROR(IF(D646="SINAPI-S",VLOOKUP(B646,'20-B.SINAPI-S'!A:J,6,0),IF(D646="SINAPI-I",VLOOKUP(B646,'20-A.SINAPI-I'!A:G,7,0),IF(D646="COMPOSIÇÕES",VLOOKUP(B646,'11.COMPOSIÇÕES GERAIS'!B:I,8,0),VLOOKUP(B646,'12.COT.MERCADO'!A:I,8,0)))),"Em Elaboração")</f>
        <v>10.57</v>
      </c>
      <c r="J646" s="259">
        <f t="shared" si="137"/>
        <v>0</v>
      </c>
      <c r="K646" s="259">
        <f t="shared" si="138"/>
        <v>12.38100656</v>
      </c>
      <c r="L646" s="259">
        <f t="shared" si="139"/>
        <v>12.38100656</v>
      </c>
      <c r="M646" s="259">
        <f t="shared" si="140"/>
        <v>0</v>
      </c>
      <c r="N646" s="259">
        <f t="shared" si="141"/>
        <v>37.14301969</v>
      </c>
      <c r="O646" s="259">
        <f t="shared" si="142"/>
        <v>37.14301969</v>
      </c>
      <c r="P646" s="260">
        <f t="shared" si="2"/>
        <v>0.00002905602746</v>
      </c>
    </row>
    <row r="647">
      <c r="A647" s="253" t="s">
        <v>800</v>
      </c>
      <c r="B647" s="254">
        <v>3525.0</v>
      </c>
      <c r="C647" s="255" t="str">
        <f t="shared" si="136"/>
        <v>SINAPI</v>
      </c>
      <c r="D647" s="256" t="s">
        <v>286</v>
      </c>
      <c r="E647" s="257" t="str">
        <f>IFERROR(IF(D647="SINAPI-S",VLOOKUP(B647,'20-B.SINAPI-S'!A:J,2,0),IF(D647="SINAPI-I",VLOOKUP(B647,'20-A.SINAPI-I'!A:G,2,0),IF(D647="COMPOSIÇÕES",VLOOKUP(B647,'11.COMPOSIÇÕES GERAIS'!B:I,2,0),VLOOKUP(B647,'12.COT.MERCADO'!A:I,2,0)))),"Em Elaboração")</f>
        <v>JOELHO, PVC SOLDAVEL, 45 GRAUS, 85 MM, COR MARROM, PARA AGUA FRIA PREDIAL</v>
      </c>
      <c r="F647" s="258" t="str">
        <f>IFERROR(IF(D647="SINAPI-S",VLOOKUP(B647,'20-B.SINAPI-S'!A:J,3,0),IF(D647="SINAPI-I",VLOOKUP(B647,'20-A.SINAPI-I'!A:G,3,0),IF(D647="COMPOSIÇÕES",VLOOKUP(B647,'11.COMPOSIÇÕES GERAIS'!B:I,3,0),VLOOKUP(B647,'12.COT.MERCADO'!A:I,7,0)))),"Em Elaboração")</f>
        <v>UN</v>
      </c>
      <c r="G647" s="254">
        <v>6.0</v>
      </c>
      <c r="H647" s="259">
        <f>IFERROR(IF(D647="SINAPI-S",VLOOKUP(B647,'20-B.SINAPI-S'!A:J,5,0),IF(D647="SINAPI-I",VLOOKUP(B647,'20-A.SINAPI-I'!A:G,6,0),IF(D647="COMPOSIÇÕES",VLOOKUP(B647,'11.COMPOSIÇÕES GERAIS'!B:I,7,0),0))),"Em Elaboração")</f>
        <v>0</v>
      </c>
      <c r="I647" s="259">
        <f>IFERROR(IF(D647="SINAPI-S",VLOOKUP(B647,'20-B.SINAPI-S'!A:J,6,0),IF(D647="SINAPI-I",VLOOKUP(B647,'20-A.SINAPI-I'!A:G,7,0),IF(D647="COMPOSIÇÕES",VLOOKUP(B647,'11.COMPOSIÇÕES GERAIS'!B:I,8,0),VLOOKUP(B647,'12.COT.MERCADO'!A:I,8,0)))),"Em Elaboração")</f>
        <v>84.3</v>
      </c>
      <c r="J647" s="259">
        <f t="shared" si="137"/>
        <v>0</v>
      </c>
      <c r="K647" s="259">
        <f t="shared" si="138"/>
        <v>98.74350553</v>
      </c>
      <c r="L647" s="259">
        <f t="shared" si="139"/>
        <v>98.74350553</v>
      </c>
      <c r="M647" s="259">
        <f t="shared" si="140"/>
        <v>0</v>
      </c>
      <c r="N647" s="259">
        <f t="shared" si="141"/>
        <v>592.4610332</v>
      </c>
      <c r="O647" s="259">
        <f t="shared" si="142"/>
        <v>592.4610332</v>
      </c>
      <c r="P647" s="260">
        <f t="shared" si="2"/>
        <v>0.0004634670037</v>
      </c>
    </row>
    <row r="648">
      <c r="A648" s="253" t="s">
        <v>801</v>
      </c>
      <c r="B648" s="254">
        <v>3482.0</v>
      </c>
      <c r="C648" s="255" t="str">
        <f t="shared" si="136"/>
        <v>SINAPI</v>
      </c>
      <c r="D648" s="256" t="s">
        <v>286</v>
      </c>
      <c r="E648" s="257" t="str">
        <f>IFERROR(IF(D648="SINAPI-S",VLOOKUP(B648,'20-B.SINAPI-S'!A:J,2,0),IF(D648="SINAPI-I",VLOOKUP(B648,'20-A.SINAPI-I'!A:G,2,0),IF(D648="COMPOSIÇÕES",VLOOKUP(B648,'11.COMPOSIÇÕES GERAIS'!B:I,2,0),VLOOKUP(B648,'12.COT.MERCADO'!A:I,2,0)))),"Em Elaboração")</f>
        <v>JOELHO PVC, ROSCAVEL, 90 GRAUS, 1", COR BRANCA, PARA AGUA FRIA PREDIAL</v>
      </c>
      <c r="F648" s="258" t="str">
        <f>IFERROR(IF(D648="SINAPI-S",VLOOKUP(B648,'20-B.SINAPI-S'!A:J,3,0),IF(D648="SINAPI-I",VLOOKUP(B648,'20-A.SINAPI-I'!A:G,3,0),IF(D648="COMPOSIÇÕES",VLOOKUP(B648,'11.COMPOSIÇÕES GERAIS'!B:I,3,0),VLOOKUP(B648,'12.COT.MERCADO'!A:I,7,0)))),"Em Elaboração")</f>
        <v>UN</v>
      </c>
      <c r="G648" s="254">
        <v>9.0</v>
      </c>
      <c r="H648" s="259">
        <f>IFERROR(IF(D648="SINAPI-S",VLOOKUP(B648,'20-B.SINAPI-S'!A:J,5,0),IF(D648="SINAPI-I",VLOOKUP(B648,'20-A.SINAPI-I'!A:G,6,0),IF(D648="COMPOSIÇÕES",VLOOKUP(B648,'11.COMPOSIÇÕES GERAIS'!B:I,7,0),0))),"Em Elaboração")</f>
        <v>0</v>
      </c>
      <c r="I648" s="259">
        <f>IFERROR(IF(D648="SINAPI-S",VLOOKUP(B648,'20-B.SINAPI-S'!A:J,6,0),IF(D648="SINAPI-I",VLOOKUP(B648,'20-A.SINAPI-I'!A:G,7,0),IF(D648="COMPOSIÇÕES",VLOOKUP(B648,'11.COMPOSIÇÕES GERAIS'!B:I,8,0),VLOOKUP(B648,'12.COT.MERCADO'!A:I,8,0)))),"Em Elaboração")</f>
        <v>5.69</v>
      </c>
      <c r="J648" s="259">
        <f t="shared" si="137"/>
        <v>0</v>
      </c>
      <c r="K648" s="259">
        <f t="shared" si="138"/>
        <v>6.664893789</v>
      </c>
      <c r="L648" s="259">
        <f t="shared" si="139"/>
        <v>6.664893789</v>
      </c>
      <c r="M648" s="259">
        <f t="shared" si="140"/>
        <v>0</v>
      </c>
      <c r="N648" s="259">
        <f t="shared" si="141"/>
        <v>59.9840441</v>
      </c>
      <c r="O648" s="259">
        <f t="shared" si="142"/>
        <v>59.9840441</v>
      </c>
      <c r="P648" s="260">
        <f t="shared" si="2"/>
        <v>0.00004692397244</v>
      </c>
    </row>
    <row r="649">
      <c r="A649" s="253" t="s">
        <v>802</v>
      </c>
      <c r="B649" s="254">
        <v>3510.0</v>
      </c>
      <c r="C649" s="255" t="str">
        <f t="shared" si="136"/>
        <v>SINAPI</v>
      </c>
      <c r="D649" s="256" t="s">
        <v>286</v>
      </c>
      <c r="E649" s="257" t="str">
        <f>IFERROR(IF(D649="SINAPI-S",VLOOKUP(B649,'20-B.SINAPI-S'!A:J,2,0),IF(D649="SINAPI-I",VLOOKUP(B649,'20-A.SINAPI-I'!A:G,2,0),IF(D649="COMPOSIÇÕES",VLOOKUP(B649,'11.COMPOSIÇÕES GERAIS'!B:I,2,0),VLOOKUP(B649,'12.COT.MERCADO'!A:I,2,0)))),"Em Elaboração")</f>
        <v>JOELHO PVC, 90 GRAUS, ROSCAVEL, 1 1/4", COR BRANCA, AGUA FRIA PREDIAL</v>
      </c>
      <c r="F649" s="258" t="str">
        <f>IFERROR(IF(D649="SINAPI-S",VLOOKUP(B649,'20-B.SINAPI-S'!A:J,3,0),IF(D649="SINAPI-I",VLOOKUP(B649,'20-A.SINAPI-I'!A:G,3,0),IF(D649="COMPOSIÇÕES",VLOOKUP(B649,'11.COMPOSIÇÕES GERAIS'!B:I,3,0),VLOOKUP(B649,'12.COT.MERCADO'!A:I,7,0)))),"Em Elaboração")</f>
        <v>UN</v>
      </c>
      <c r="G649" s="254">
        <v>3.0</v>
      </c>
      <c r="H649" s="259">
        <f>IFERROR(IF(D649="SINAPI-S",VLOOKUP(B649,'20-B.SINAPI-S'!A:J,5,0),IF(D649="SINAPI-I",VLOOKUP(B649,'20-A.SINAPI-I'!A:G,6,0),IF(D649="COMPOSIÇÕES",VLOOKUP(B649,'11.COMPOSIÇÕES GERAIS'!B:I,7,0),0))),"Em Elaboração")</f>
        <v>0</v>
      </c>
      <c r="I649" s="259">
        <f>IFERROR(IF(D649="SINAPI-S",VLOOKUP(B649,'20-B.SINAPI-S'!A:J,6,0),IF(D649="SINAPI-I",VLOOKUP(B649,'20-A.SINAPI-I'!A:G,7,0),IF(D649="COMPOSIÇÕES",VLOOKUP(B649,'11.COMPOSIÇÕES GERAIS'!B:I,8,0),VLOOKUP(B649,'12.COT.MERCADO'!A:I,8,0)))),"Em Elaboração")</f>
        <v>13.2</v>
      </c>
      <c r="J649" s="259">
        <f t="shared" si="137"/>
        <v>0</v>
      </c>
      <c r="K649" s="259">
        <f t="shared" si="138"/>
        <v>15.46161652</v>
      </c>
      <c r="L649" s="259">
        <f t="shared" si="139"/>
        <v>15.46161652</v>
      </c>
      <c r="M649" s="259">
        <f t="shared" si="140"/>
        <v>0</v>
      </c>
      <c r="N649" s="259">
        <f t="shared" si="141"/>
        <v>46.38484957</v>
      </c>
      <c r="O649" s="259">
        <f t="shared" si="142"/>
        <v>46.38484957</v>
      </c>
      <c r="P649" s="260">
        <f t="shared" si="2"/>
        <v>0.00003628567289</v>
      </c>
    </row>
    <row r="650">
      <c r="A650" s="253" t="s">
        <v>803</v>
      </c>
      <c r="B650" s="254">
        <v>3543.0</v>
      </c>
      <c r="C650" s="255" t="str">
        <f t="shared" si="136"/>
        <v>SINAPI</v>
      </c>
      <c r="D650" s="256" t="s">
        <v>286</v>
      </c>
      <c r="E650" s="257" t="str">
        <f>IFERROR(IF(D650="SINAPI-S",VLOOKUP(B650,'20-B.SINAPI-S'!A:J,2,0),IF(D650="SINAPI-I",VLOOKUP(B650,'20-A.SINAPI-I'!A:G,2,0),IF(D650="COMPOSIÇÕES",VLOOKUP(B650,'11.COMPOSIÇÕES GERAIS'!B:I,2,0),VLOOKUP(B650,'12.COT.MERCADO'!A:I,2,0)))),"Em Elaboração")</f>
        <v>JOELHO PVC, ROSCAVEL, 90 GRAUS, 1/2", COR BRANCA, PARA AGUA FRIA PREDIAL</v>
      </c>
      <c r="F650" s="258" t="str">
        <f>IFERROR(IF(D650="SINAPI-S",VLOOKUP(B650,'20-B.SINAPI-S'!A:J,3,0),IF(D650="SINAPI-I",VLOOKUP(B650,'20-A.SINAPI-I'!A:G,3,0),IF(D650="COMPOSIÇÕES",VLOOKUP(B650,'11.COMPOSIÇÕES GERAIS'!B:I,3,0),VLOOKUP(B650,'12.COT.MERCADO'!A:I,7,0)))),"Em Elaboração")</f>
        <v>UN</v>
      </c>
      <c r="G650" s="254">
        <v>3.0</v>
      </c>
      <c r="H650" s="259">
        <f>IFERROR(IF(D650="SINAPI-S",VLOOKUP(B650,'20-B.SINAPI-S'!A:J,5,0),IF(D650="SINAPI-I",VLOOKUP(B650,'20-A.SINAPI-I'!A:G,6,0),IF(D650="COMPOSIÇÕES",VLOOKUP(B650,'11.COMPOSIÇÕES GERAIS'!B:I,7,0),0))),"Em Elaboração")</f>
        <v>0</v>
      </c>
      <c r="I650" s="259">
        <f>IFERROR(IF(D650="SINAPI-S",VLOOKUP(B650,'20-B.SINAPI-S'!A:J,6,0),IF(D650="SINAPI-I",VLOOKUP(B650,'20-A.SINAPI-I'!A:G,7,0),IF(D650="COMPOSIÇÕES",VLOOKUP(B650,'11.COMPOSIÇÕES GERAIS'!B:I,8,0),VLOOKUP(B650,'12.COT.MERCADO'!A:I,8,0)))),"Em Elaboração")</f>
        <v>1.85</v>
      </c>
      <c r="J650" s="259">
        <f t="shared" si="137"/>
        <v>0</v>
      </c>
      <c r="K650" s="259">
        <f t="shared" si="138"/>
        <v>2.166968982</v>
      </c>
      <c r="L650" s="259">
        <f t="shared" si="139"/>
        <v>2.166968982</v>
      </c>
      <c r="M650" s="259">
        <f t="shared" si="140"/>
        <v>0</v>
      </c>
      <c r="N650" s="259">
        <f t="shared" si="141"/>
        <v>6.500906947</v>
      </c>
      <c r="O650" s="259">
        <f t="shared" si="142"/>
        <v>6.500906947</v>
      </c>
      <c r="P650" s="260">
        <f t="shared" si="2"/>
        <v>0.000005085492034</v>
      </c>
    </row>
    <row r="651">
      <c r="A651" s="253" t="s">
        <v>804</v>
      </c>
      <c r="B651" s="254">
        <v>3505.0</v>
      </c>
      <c r="C651" s="255" t="str">
        <f t="shared" si="136"/>
        <v>SINAPI</v>
      </c>
      <c r="D651" s="256" t="s">
        <v>286</v>
      </c>
      <c r="E651" s="257" t="str">
        <f>IFERROR(IF(D651="SINAPI-S",VLOOKUP(B651,'20-B.SINAPI-S'!A:J,2,0),IF(D651="SINAPI-I",VLOOKUP(B651,'20-A.SINAPI-I'!A:G,2,0),IF(D651="COMPOSIÇÕES",VLOOKUP(B651,'11.COMPOSIÇÕES GERAIS'!B:I,2,0),VLOOKUP(B651,'12.COT.MERCADO'!A:I,2,0)))),"Em Elaboração")</f>
        <v>JOELHO PVC, ROSCAVEL, 90 GRAUS, 3/4", COR BRANCA, PARA AGUA FRIA PREDIAL</v>
      </c>
      <c r="F651" s="258" t="str">
        <f>IFERROR(IF(D651="SINAPI-S",VLOOKUP(B651,'20-B.SINAPI-S'!A:J,3,0),IF(D651="SINAPI-I",VLOOKUP(B651,'20-A.SINAPI-I'!A:G,3,0),IF(D651="COMPOSIÇÕES",VLOOKUP(B651,'11.COMPOSIÇÕES GERAIS'!B:I,3,0),VLOOKUP(B651,'12.COT.MERCADO'!A:I,7,0)))),"Em Elaboração")</f>
        <v>UN</v>
      </c>
      <c r="G651" s="254">
        <v>3.0</v>
      </c>
      <c r="H651" s="259">
        <f>IFERROR(IF(D651="SINAPI-S",VLOOKUP(B651,'20-B.SINAPI-S'!A:J,5,0),IF(D651="SINAPI-I",VLOOKUP(B651,'20-A.SINAPI-I'!A:G,6,0),IF(D651="COMPOSIÇÕES",VLOOKUP(B651,'11.COMPOSIÇÕES GERAIS'!B:I,7,0),0))),"Em Elaboração")</f>
        <v>0</v>
      </c>
      <c r="I651" s="259">
        <f>IFERROR(IF(D651="SINAPI-S",VLOOKUP(B651,'20-B.SINAPI-S'!A:J,6,0),IF(D651="SINAPI-I",VLOOKUP(B651,'20-A.SINAPI-I'!A:G,7,0),IF(D651="COMPOSIÇÕES",VLOOKUP(B651,'11.COMPOSIÇÕES GERAIS'!B:I,8,0),VLOOKUP(B651,'12.COT.MERCADO'!A:I,8,0)))),"Em Elaboração")</f>
        <v>2.75</v>
      </c>
      <c r="J651" s="259">
        <f t="shared" si="137"/>
        <v>0</v>
      </c>
      <c r="K651" s="259">
        <f t="shared" si="138"/>
        <v>3.221170109</v>
      </c>
      <c r="L651" s="259">
        <f t="shared" si="139"/>
        <v>3.221170109</v>
      </c>
      <c r="M651" s="259">
        <f t="shared" si="140"/>
        <v>0</v>
      </c>
      <c r="N651" s="259">
        <f t="shared" si="141"/>
        <v>9.663510327</v>
      </c>
      <c r="O651" s="259">
        <f t="shared" si="142"/>
        <v>9.663510327</v>
      </c>
      <c r="P651" s="260">
        <f t="shared" si="2"/>
        <v>0.000007559515185</v>
      </c>
    </row>
    <row r="652">
      <c r="A652" s="253" t="s">
        <v>805</v>
      </c>
      <c r="B652" s="254">
        <v>3542.0</v>
      </c>
      <c r="C652" s="255" t="str">
        <f t="shared" si="136"/>
        <v>SINAPI</v>
      </c>
      <c r="D652" s="256" t="s">
        <v>286</v>
      </c>
      <c r="E652" s="257" t="str">
        <f>IFERROR(IF(D652="SINAPI-S",VLOOKUP(B652,'20-B.SINAPI-S'!A:J,2,0),IF(D652="SINAPI-I",VLOOKUP(B652,'20-A.SINAPI-I'!A:G,2,0),IF(D652="COMPOSIÇÕES",VLOOKUP(B652,'11.COMPOSIÇÕES GERAIS'!B:I,2,0),VLOOKUP(B652,'12.COT.MERCADO'!A:I,2,0)))),"Em Elaboração")</f>
        <v>JOELHO PVC, SOLDAVEL, 90 GRAUS, 20 MM, COR MARROM, PARA AGUA FRIA PREDIAL</v>
      </c>
      <c r="F652" s="258" t="str">
        <f>IFERROR(IF(D652="SINAPI-S",VLOOKUP(B652,'20-B.SINAPI-S'!A:J,3,0),IF(D652="SINAPI-I",VLOOKUP(B652,'20-A.SINAPI-I'!A:G,3,0),IF(D652="COMPOSIÇÕES",VLOOKUP(B652,'11.COMPOSIÇÕES GERAIS'!B:I,3,0),VLOOKUP(B652,'12.COT.MERCADO'!A:I,7,0)))),"Em Elaboração")</f>
        <v>UN</v>
      </c>
      <c r="G652" s="254">
        <v>15.0</v>
      </c>
      <c r="H652" s="259">
        <f>IFERROR(IF(D652="SINAPI-S",VLOOKUP(B652,'20-B.SINAPI-S'!A:J,5,0),IF(D652="SINAPI-I",VLOOKUP(B652,'20-A.SINAPI-I'!A:G,6,0),IF(D652="COMPOSIÇÕES",VLOOKUP(B652,'11.COMPOSIÇÕES GERAIS'!B:I,7,0),0))),"Em Elaboração")</f>
        <v>0</v>
      </c>
      <c r="I652" s="259">
        <f>IFERROR(IF(D652="SINAPI-S",VLOOKUP(B652,'20-B.SINAPI-S'!A:J,6,0),IF(D652="SINAPI-I",VLOOKUP(B652,'20-A.SINAPI-I'!A:G,7,0),IF(D652="COMPOSIÇÕES",VLOOKUP(B652,'11.COMPOSIÇÕES GERAIS'!B:I,8,0),VLOOKUP(B652,'12.COT.MERCADO'!A:I,8,0)))),"Em Elaboração")</f>
        <v>0.62</v>
      </c>
      <c r="J652" s="259">
        <f t="shared" si="137"/>
        <v>0</v>
      </c>
      <c r="K652" s="259">
        <f t="shared" si="138"/>
        <v>0.7262274428</v>
      </c>
      <c r="L652" s="259">
        <f t="shared" si="139"/>
        <v>0.7262274428</v>
      </c>
      <c r="M652" s="259">
        <f t="shared" si="140"/>
        <v>0</v>
      </c>
      <c r="N652" s="259">
        <f t="shared" si="141"/>
        <v>10.89341164</v>
      </c>
      <c r="O652" s="259">
        <f t="shared" si="142"/>
        <v>10.89341164</v>
      </c>
      <c r="P652" s="260">
        <f t="shared" si="2"/>
        <v>0.0000085216353</v>
      </c>
    </row>
    <row r="653">
      <c r="A653" s="253" t="s">
        <v>806</v>
      </c>
      <c r="B653" s="254">
        <v>3529.0</v>
      </c>
      <c r="C653" s="255" t="str">
        <f t="shared" si="136"/>
        <v>SINAPI</v>
      </c>
      <c r="D653" s="256" t="s">
        <v>286</v>
      </c>
      <c r="E653" s="257" t="str">
        <f>IFERROR(IF(D653="SINAPI-S",VLOOKUP(B653,'20-B.SINAPI-S'!A:J,2,0),IF(D653="SINAPI-I",VLOOKUP(B653,'20-A.SINAPI-I'!A:G,2,0),IF(D653="COMPOSIÇÕES",VLOOKUP(B653,'11.COMPOSIÇÕES GERAIS'!B:I,2,0),VLOOKUP(B653,'12.COT.MERCADO'!A:I,2,0)))),"Em Elaboração")</f>
        <v>JOELHO PVC, SOLDAVEL, 90 GRAUS, 25 MM, COR MARROM, PARA AGUA FRIA PREDIAL</v>
      </c>
      <c r="F653" s="258" t="str">
        <f>IFERROR(IF(D653="SINAPI-S",VLOOKUP(B653,'20-B.SINAPI-S'!A:J,3,0),IF(D653="SINAPI-I",VLOOKUP(B653,'20-A.SINAPI-I'!A:G,3,0),IF(D653="COMPOSIÇÕES",VLOOKUP(B653,'11.COMPOSIÇÕES GERAIS'!B:I,3,0),VLOOKUP(B653,'12.COT.MERCADO'!A:I,7,0)))),"Em Elaboração")</f>
        <v>UN</v>
      </c>
      <c r="G653" s="254">
        <v>15.0</v>
      </c>
      <c r="H653" s="259">
        <f>IFERROR(IF(D653="SINAPI-S",VLOOKUP(B653,'20-B.SINAPI-S'!A:J,5,0),IF(D653="SINAPI-I",VLOOKUP(B653,'20-A.SINAPI-I'!A:G,6,0),IF(D653="COMPOSIÇÕES",VLOOKUP(B653,'11.COMPOSIÇÕES GERAIS'!B:I,7,0),0))),"Em Elaboração")</f>
        <v>0</v>
      </c>
      <c r="I653" s="259">
        <f>IFERROR(IF(D653="SINAPI-S",VLOOKUP(B653,'20-B.SINAPI-S'!A:J,6,0),IF(D653="SINAPI-I",VLOOKUP(B653,'20-A.SINAPI-I'!A:G,7,0),IF(D653="COMPOSIÇÕES",VLOOKUP(B653,'11.COMPOSIÇÕES GERAIS'!B:I,8,0),VLOOKUP(B653,'12.COT.MERCADO'!A:I,8,0)))),"Em Elaboração")</f>
        <v>0.76</v>
      </c>
      <c r="J653" s="259">
        <f t="shared" si="137"/>
        <v>0</v>
      </c>
      <c r="K653" s="259">
        <f t="shared" si="138"/>
        <v>0.8902142847</v>
      </c>
      <c r="L653" s="259">
        <f t="shared" si="139"/>
        <v>0.8902142847</v>
      </c>
      <c r="M653" s="259">
        <f t="shared" si="140"/>
        <v>0</v>
      </c>
      <c r="N653" s="259">
        <f t="shared" si="141"/>
        <v>13.35321427</v>
      </c>
      <c r="O653" s="259">
        <f t="shared" si="142"/>
        <v>13.35321427</v>
      </c>
      <c r="P653" s="260">
        <f t="shared" si="2"/>
        <v>0.00001044587553</v>
      </c>
    </row>
    <row r="654">
      <c r="A654" s="253" t="s">
        <v>807</v>
      </c>
      <c r="B654" s="254">
        <v>3536.0</v>
      </c>
      <c r="C654" s="255" t="str">
        <f t="shared" si="136"/>
        <v>SINAPI</v>
      </c>
      <c r="D654" s="256" t="s">
        <v>286</v>
      </c>
      <c r="E654" s="257" t="str">
        <f>IFERROR(IF(D654="SINAPI-S",VLOOKUP(B654,'20-B.SINAPI-S'!A:J,2,0),IF(D654="SINAPI-I",VLOOKUP(B654,'20-A.SINAPI-I'!A:G,2,0),IF(D654="COMPOSIÇÕES",VLOOKUP(B654,'11.COMPOSIÇÕES GERAIS'!B:I,2,0),VLOOKUP(B654,'12.COT.MERCADO'!A:I,2,0)))),"Em Elaboração")</f>
        <v>JOELHO PVC, SOLDAVEL, 90 GRAUS, 32 MM, COR MARROM, PARA AGUA FRIA PREDIAL</v>
      </c>
      <c r="F654" s="258" t="str">
        <f>IFERROR(IF(D654="SINAPI-S",VLOOKUP(B654,'20-B.SINAPI-S'!A:J,3,0),IF(D654="SINAPI-I",VLOOKUP(B654,'20-A.SINAPI-I'!A:G,3,0),IF(D654="COMPOSIÇÕES",VLOOKUP(B654,'11.COMPOSIÇÕES GERAIS'!B:I,3,0),VLOOKUP(B654,'12.COT.MERCADO'!A:I,7,0)))),"Em Elaboração")</f>
        <v>UN</v>
      </c>
      <c r="G654" s="254">
        <v>15.0</v>
      </c>
      <c r="H654" s="259">
        <f>IFERROR(IF(D654="SINAPI-S",VLOOKUP(B654,'20-B.SINAPI-S'!A:J,5,0),IF(D654="SINAPI-I",VLOOKUP(B654,'20-A.SINAPI-I'!A:G,6,0),IF(D654="COMPOSIÇÕES",VLOOKUP(B654,'11.COMPOSIÇÕES GERAIS'!B:I,7,0),0))),"Em Elaboração")</f>
        <v>0</v>
      </c>
      <c r="I654" s="259">
        <f>IFERROR(IF(D654="SINAPI-S",VLOOKUP(B654,'20-B.SINAPI-S'!A:J,6,0),IF(D654="SINAPI-I",VLOOKUP(B654,'20-A.SINAPI-I'!A:G,7,0),IF(D654="COMPOSIÇÕES",VLOOKUP(B654,'11.COMPOSIÇÕES GERAIS'!B:I,8,0),VLOOKUP(B654,'12.COT.MERCADO'!A:I,8,0)))),"Em Elaboração")</f>
        <v>2.54</v>
      </c>
      <c r="J654" s="259">
        <f t="shared" si="137"/>
        <v>0</v>
      </c>
      <c r="K654" s="259">
        <f t="shared" si="138"/>
        <v>2.975189846</v>
      </c>
      <c r="L654" s="259">
        <f t="shared" si="139"/>
        <v>2.975189846</v>
      </c>
      <c r="M654" s="259">
        <f t="shared" si="140"/>
        <v>0</v>
      </c>
      <c r="N654" s="259">
        <f t="shared" si="141"/>
        <v>44.62784769</v>
      </c>
      <c r="O654" s="259">
        <f t="shared" si="142"/>
        <v>44.62784769</v>
      </c>
      <c r="P654" s="260">
        <f t="shared" si="2"/>
        <v>0.00003491121558</v>
      </c>
    </row>
    <row r="655">
      <c r="A655" s="253" t="s">
        <v>808</v>
      </c>
      <c r="B655" s="254">
        <v>3535.0</v>
      </c>
      <c r="C655" s="255" t="str">
        <f t="shared" si="136"/>
        <v>SINAPI</v>
      </c>
      <c r="D655" s="256" t="s">
        <v>286</v>
      </c>
      <c r="E655" s="257" t="str">
        <f>IFERROR(IF(D655="SINAPI-S",VLOOKUP(B655,'20-B.SINAPI-S'!A:J,2,0),IF(D655="SINAPI-I",VLOOKUP(B655,'20-A.SINAPI-I'!A:G,2,0),IF(D655="COMPOSIÇÕES",VLOOKUP(B655,'11.COMPOSIÇÕES GERAIS'!B:I,2,0),VLOOKUP(B655,'12.COT.MERCADO'!A:I,2,0)))),"Em Elaboração")</f>
        <v>JOELHO PVC, SOLDAVEL, 90 GRAUS, 40 MM, COR MARROM, PARA AGUA FRIA PREDIAL</v>
      </c>
      <c r="F655" s="258" t="str">
        <f>IFERROR(IF(D655="SINAPI-S",VLOOKUP(B655,'20-B.SINAPI-S'!A:J,3,0),IF(D655="SINAPI-I",VLOOKUP(B655,'20-A.SINAPI-I'!A:G,3,0),IF(D655="COMPOSIÇÕES",VLOOKUP(B655,'11.COMPOSIÇÕES GERAIS'!B:I,3,0),VLOOKUP(B655,'12.COT.MERCADO'!A:I,7,0)))),"Em Elaboração")</f>
        <v>UN</v>
      </c>
      <c r="G655" s="254">
        <v>15.0</v>
      </c>
      <c r="H655" s="259">
        <f>IFERROR(IF(D655="SINAPI-S",VLOOKUP(B655,'20-B.SINAPI-S'!A:J,5,0),IF(D655="SINAPI-I",VLOOKUP(B655,'20-A.SINAPI-I'!A:G,6,0),IF(D655="COMPOSIÇÕES",VLOOKUP(B655,'11.COMPOSIÇÕES GERAIS'!B:I,7,0),0))),"Em Elaboração")</f>
        <v>0</v>
      </c>
      <c r="I655" s="259">
        <f>IFERROR(IF(D655="SINAPI-S",VLOOKUP(B655,'20-B.SINAPI-S'!A:J,6,0),IF(D655="SINAPI-I",VLOOKUP(B655,'20-A.SINAPI-I'!A:G,7,0),IF(D655="COMPOSIÇÕES",VLOOKUP(B655,'11.COMPOSIÇÕES GERAIS'!B:I,8,0),VLOOKUP(B655,'12.COT.MERCADO'!A:I,8,0)))),"Em Elaboração")</f>
        <v>6.18</v>
      </c>
      <c r="J655" s="259">
        <f t="shared" si="137"/>
        <v>0</v>
      </c>
      <c r="K655" s="259">
        <f t="shared" si="138"/>
        <v>7.238847736</v>
      </c>
      <c r="L655" s="259">
        <f t="shared" si="139"/>
        <v>7.238847736</v>
      </c>
      <c r="M655" s="259">
        <f t="shared" si="140"/>
        <v>0</v>
      </c>
      <c r="N655" s="259">
        <f t="shared" si="141"/>
        <v>108.582716</v>
      </c>
      <c r="O655" s="259">
        <f t="shared" si="142"/>
        <v>108.582716</v>
      </c>
      <c r="P655" s="260">
        <f t="shared" si="2"/>
        <v>0.00008494146154</v>
      </c>
    </row>
    <row r="656">
      <c r="A656" s="253" t="s">
        <v>809</v>
      </c>
      <c r="B656" s="254">
        <v>3540.0</v>
      </c>
      <c r="C656" s="255" t="str">
        <f t="shared" si="136"/>
        <v>SINAPI</v>
      </c>
      <c r="D656" s="256" t="s">
        <v>286</v>
      </c>
      <c r="E656" s="257" t="str">
        <f>IFERROR(IF(D656="SINAPI-S",VLOOKUP(B656,'20-B.SINAPI-S'!A:J,2,0),IF(D656="SINAPI-I",VLOOKUP(B656,'20-A.SINAPI-I'!A:G,2,0),IF(D656="COMPOSIÇÕES",VLOOKUP(B656,'11.COMPOSIÇÕES GERAIS'!B:I,2,0),VLOOKUP(B656,'12.COT.MERCADO'!A:I,2,0)))),"Em Elaboração")</f>
        <v>JOELHO PVC, SOLDAVEL, 90 GRAUS, 50 MM, COR MARROM, PARA AGUA FRIA PREDIAL</v>
      </c>
      <c r="F656" s="258" t="str">
        <f>IFERROR(IF(D656="SINAPI-S",VLOOKUP(B656,'20-B.SINAPI-S'!A:J,3,0),IF(D656="SINAPI-I",VLOOKUP(B656,'20-A.SINAPI-I'!A:G,3,0),IF(D656="COMPOSIÇÕES",VLOOKUP(B656,'11.COMPOSIÇÕES GERAIS'!B:I,3,0),VLOOKUP(B656,'12.COT.MERCADO'!A:I,7,0)))),"Em Elaboração")</f>
        <v>UN</v>
      </c>
      <c r="G656" s="254">
        <v>8.0</v>
      </c>
      <c r="H656" s="259">
        <f>IFERROR(IF(D656="SINAPI-S",VLOOKUP(B656,'20-B.SINAPI-S'!A:J,5,0),IF(D656="SINAPI-I",VLOOKUP(B656,'20-A.SINAPI-I'!A:G,6,0),IF(D656="COMPOSIÇÕES",VLOOKUP(B656,'11.COMPOSIÇÕES GERAIS'!B:I,7,0),0))),"Em Elaboração")</f>
        <v>0</v>
      </c>
      <c r="I656" s="259">
        <f>IFERROR(IF(D656="SINAPI-S",VLOOKUP(B656,'20-B.SINAPI-S'!A:J,6,0),IF(D656="SINAPI-I",VLOOKUP(B656,'20-A.SINAPI-I'!A:G,7,0),IF(D656="COMPOSIÇÕES",VLOOKUP(B656,'11.COMPOSIÇÕES GERAIS'!B:I,8,0),VLOOKUP(B656,'12.COT.MERCADO'!A:I,8,0)))),"Em Elaboração")</f>
        <v>5.23</v>
      </c>
      <c r="J656" s="259">
        <f t="shared" si="137"/>
        <v>0</v>
      </c>
      <c r="K656" s="259">
        <f t="shared" si="138"/>
        <v>6.12607988</v>
      </c>
      <c r="L656" s="259">
        <f t="shared" si="139"/>
        <v>6.12607988</v>
      </c>
      <c r="M656" s="259">
        <f t="shared" si="140"/>
        <v>0</v>
      </c>
      <c r="N656" s="259">
        <f t="shared" si="141"/>
        <v>49.00863904</v>
      </c>
      <c r="O656" s="259">
        <f t="shared" si="142"/>
        <v>49.00863904</v>
      </c>
      <c r="P656" s="260">
        <f t="shared" si="2"/>
        <v>0.0000383381958</v>
      </c>
    </row>
    <row r="657">
      <c r="A657" s="253" t="s">
        <v>810</v>
      </c>
      <c r="B657" s="254">
        <v>3539.0</v>
      </c>
      <c r="C657" s="255" t="str">
        <f t="shared" si="136"/>
        <v>SINAPI</v>
      </c>
      <c r="D657" s="256" t="s">
        <v>286</v>
      </c>
      <c r="E657" s="257" t="str">
        <f>IFERROR(IF(D657="SINAPI-S",VLOOKUP(B657,'20-B.SINAPI-S'!A:J,2,0),IF(D657="SINAPI-I",VLOOKUP(B657,'20-A.SINAPI-I'!A:G,2,0),IF(D657="COMPOSIÇÕES",VLOOKUP(B657,'11.COMPOSIÇÕES GERAIS'!B:I,2,0),VLOOKUP(B657,'12.COT.MERCADO'!A:I,2,0)))),"Em Elaboração")</f>
        <v>JOELHO PVC, SOLDAVEL, 90 GRAUS, 60 MM, COR MARROM, PARA AGUA FRIA PREDIAL</v>
      </c>
      <c r="F657" s="258" t="str">
        <f>IFERROR(IF(D657="SINAPI-S",VLOOKUP(B657,'20-B.SINAPI-S'!A:J,3,0),IF(D657="SINAPI-I",VLOOKUP(B657,'20-A.SINAPI-I'!A:G,3,0),IF(D657="COMPOSIÇÕES",VLOOKUP(B657,'11.COMPOSIÇÕES GERAIS'!B:I,3,0),VLOOKUP(B657,'12.COT.MERCADO'!A:I,7,0)))),"Em Elaboração")</f>
        <v>UN</v>
      </c>
      <c r="G657" s="254">
        <v>6.0</v>
      </c>
      <c r="H657" s="259">
        <f>IFERROR(IF(D657="SINAPI-S",VLOOKUP(B657,'20-B.SINAPI-S'!A:J,5,0),IF(D657="SINAPI-I",VLOOKUP(B657,'20-A.SINAPI-I'!A:G,6,0),IF(D657="COMPOSIÇÕES",VLOOKUP(B657,'11.COMPOSIÇÕES GERAIS'!B:I,7,0),0))),"Em Elaboração")</f>
        <v>0</v>
      </c>
      <c r="I657" s="259">
        <f>IFERROR(IF(D657="SINAPI-S",VLOOKUP(B657,'20-B.SINAPI-S'!A:J,6,0),IF(D657="SINAPI-I",VLOOKUP(B657,'20-A.SINAPI-I'!A:G,7,0),IF(D657="COMPOSIÇÕES",VLOOKUP(B657,'11.COMPOSIÇÕES GERAIS'!B:I,8,0),VLOOKUP(B657,'12.COT.MERCADO'!A:I,8,0)))),"Em Elaboração")</f>
        <v>30.32</v>
      </c>
      <c r="J657" s="259">
        <f t="shared" si="137"/>
        <v>0</v>
      </c>
      <c r="K657" s="259">
        <f t="shared" si="138"/>
        <v>35.51486462</v>
      </c>
      <c r="L657" s="259">
        <f t="shared" si="139"/>
        <v>35.51486462</v>
      </c>
      <c r="M657" s="259">
        <f t="shared" si="140"/>
        <v>0</v>
      </c>
      <c r="N657" s="259">
        <f t="shared" si="141"/>
        <v>213.0891877</v>
      </c>
      <c r="O657" s="259">
        <f t="shared" si="142"/>
        <v>213.0891877</v>
      </c>
      <c r="P657" s="260">
        <f t="shared" si="2"/>
        <v>0.0001666941821</v>
      </c>
    </row>
    <row r="658">
      <c r="A658" s="253" t="s">
        <v>811</v>
      </c>
      <c r="B658" s="254">
        <v>20147.0</v>
      </c>
      <c r="C658" s="255" t="str">
        <f t="shared" si="136"/>
        <v>SINAPI</v>
      </c>
      <c r="D658" s="256" t="s">
        <v>286</v>
      </c>
      <c r="E658" s="257" t="str">
        <f>IFERROR(IF(D658="SINAPI-S",VLOOKUP(B658,'20-B.SINAPI-S'!A:J,2,0),IF(D658="SINAPI-I",VLOOKUP(B658,'20-A.SINAPI-I'!A:G,2,0),IF(D658="COMPOSIÇÕES",VLOOKUP(B658,'11.COMPOSIÇÕES GERAIS'!B:I,2,0),VLOOKUP(B658,'12.COT.MERCADO'!A:I,2,0)))),"Em Elaboração")</f>
        <v>JOELHO PVC, SOLDAVEL, COM BUCHA DE LATAO, 90 GRAUS, 25 MM X 1/2", PARA AGUA FRIA PREDIAL</v>
      </c>
      <c r="F658" s="258" t="str">
        <f>IFERROR(IF(D658="SINAPI-S",VLOOKUP(B658,'20-B.SINAPI-S'!A:J,3,0),IF(D658="SINAPI-I",VLOOKUP(B658,'20-A.SINAPI-I'!A:G,3,0),IF(D658="COMPOSIÇÕES",VLOOKUP(B658,'11.COMPOSIÇÕES GERAIS'!B:I,3,0),VLOOKUP(B658,'12.COT.MERCADO'!A:I,7,0)))),"Em Elaboração")</f>
        <v>UN</v>
      </c>
      <c r="G658" s="254">
        <v>5.0</v>
      </c>
      <c r="H658" s="259">
        <f>IFERROR(IF(D658="SINAPI-S",VLOOKUP(B658,'20-B.SINAPI-S'!A:J,5,0),IF(D658="SINAPI-I",VLOOKUP(B658,'20-A.SINAPI-I'!A:G,6,0),IF(D658="COMPOSIÇÕES",VLOOKUP(B658,'11.COMPOSIÇÕES GERAIS'!B:I,7,0),0))),"Em Elaboração")</f>
        <v>0</v>
      </c>
      <c r="I658" s="259">
        <f>IFERROR(IF(D658="SINAPI-S",VLOOKUP(B658,'20-B.SINAPI-S'!A:J,6,0),IF(D658="SINAPI-I",VLOOKUP(B658,'20-A.SINAPI-I'!A:G,7,0),IF(D658="COMPOSIÇÕES",VLOOKUP(B658,'11.COMPOSIÇÕES GERAIS'!B:I,8,0),VLOOKUP(B658,'12.COT.MERCADO'!A:I,8,0)))),"Em Elaboração")</f>
        <v>5.61</v>
      </c>
      <c r="J658" s="259">
        <f t="shared" si="137"/>
        <v>0</v>
      </c>
      <c r="K658" s="259">
        <f t="shared" si="138"/>
        <v>6.571187023</v>
      </c>
      <c r="L658" s="259">
        <f t="shared" si="139"/>
        <v>6.571187023</v>
      </c>
      <c r="M658" s="259">
        <f t="shared" si="140"/>
        <v>0</v>
      </c>
      <c r="N658" s="259">
        <f t="shared" si="141"/>
        <v>32.85593511</v>
      </c>
      <c r="O658" s="259">
        <f t="shared" si="142"/>
        <v>32.85593511</v>
      </c>
      <c r="P658" s="260">
        <f t="shared" si="2"/>
        <v>0.00002570235163</v>
      </c>
    </row>
    <row r="659">
      <c r="A659" s="253" t="s">
        <v>812</v>
      </c>
      <c r="B659" s="254">
        <v>3524.0</v>
      </c>
      <c r="C659" s="255" t="str">
        <f t="shared" si="136"/>
        <v>SINAPI</v>
      </c>
      <c r="D659" s="256" t="s">
        <v>286</v>
      </c>
      <c r="E659" s="257" t="str">
        <f>IFERROR(IF(D659="SINAPI-S",VLOOKUP(B659,'20-B.SINAPI-S'!A:J,2,0),IF(D659="SINAPI-I",VLOOKUP(B659,'20-A.SINAPI-I'!A:G,2,0),IF(D659="COMPOSIÇÕES",VLOOKUP(B659,'11.COMPOSIÇÕES GERAIS'!B:I,2,0),VLOOKUP(B659,'12.COT.MERCADO'!A:I,2,0)))),"Em Elaboração")</f>
        <v>JOELHO PVC, SOLDAVEL, COM BUCHA DE LATAO, 90 GRAUS, 25 MM X 3/4", PARA AGUA FRIA PREDIAL</v>
      </c>
      <c r="F659" s="258" t="str">
        <f>IFERROR(IF(D659="SINAPI-S",VLOOKUP(B659,'20-B.SINAPI-S'!A:J,3,0),IF(D659="SINAPI-I",VLOOKUP(B659,'20-A.SINAPI-I'!A:G,3,0),IF(D659="COMPOSIÇÕES",VLOOKUP(B659,'11.COMPOSIÇÕES GERAIS'!B:I,3,0),VLOOKUP(B659,'12.COT.MERCADO'!A:I,7,0)))),"Em Elaboração")</f>
        <v>UN</v>
      </c>
      <c r="G659" s="254">
        <v>5.0</v>
      </c>
      <c r="H659" s="259">
        <f>IFERROR(IF(D659="SINAPI-S",VLOOKUP(B659,'20-B.SINAPI-S'!A:J,5,0),IF(D659="SINAPI-I",VLOOKUP(B659,'20-A.SINAPI-I'!A:G,6,0),IF(D659="COMPOSIÇÕES",VLOOKUP(B659,'11.COMPOSIÇÕES GERAIS'!B:I,7,0),0))),"Em Elaboração")</f>
        <v>0</v>
      </c>
      <c r="I659" s="259">
        <f>IFERROR(IF(D659="SINAPI-S",VLOOKUP(B659,'20-B.SINAPI-S'!A:J,6,0),IF(D659="SINAPI-I",VLOOKUP(B659,'20-A.SINAPI-I'!A:G,7,0),IF(D659="COMPOSIÇÕES",VLOOKUP(B659,'11.COMPOSIÇÕES GERAIS'!B:I,8,0),VLOOKUP(B659,'12.COT.MERCADO'!A:I,8,0)))),"Em Elaboração")</f>
        <v>8.44</v>
      </c>
      <c r="J659" s="259">
        <f t="shared" si="137"/>
        <v>0</v>
      </c>
      <c r="K659" s="259">
        <f t="shared" si="138"/>
        <v>9.886063899</v>
      </c>
      <c r="L659" s="259">
        <f t="shared" si="139"/>
        <v>9.886063899</v>
      </c>
      <c r="M659" s="259">
        <f t="shared" si="140"/>
        <v>0</v>
      </c>
      <c r="N659" s="259">
        <f t="shared" si="141"/>
        <v>49.43031949</v>
      </c>
      <c r="O659" s="259">
        <f t="shared" si="142"/>
        <v>49.43031949</v>
      </c>
      <c r="P659" s="260">
        <f t="shared" si="2"/>
        <v>0.00003866806555</v>
      </c>
    </row>
    <row r="660">
      <c r="A660" s="253" t="s">
        <v>813</v>
      </c>
      <c r="B660" s="254">
        <v>3532.0</v>
      </c>
      <c r="C660" s="255" t="str">
        <f t="shared" si="136"/>
        <v>SINAPI</v>
      </c>
      <c r="D660" s="256" t="s">
        <v>286</v>
      </c>
      <c r="E660" s="257" t="str">
        <f>IFERROR(IF(D660="SINAPI-S",VLOOKUP(B660,'20-B.SINAPI-S'!A:J,2,0),IF(D660="SINAPI-I",VLOOKUP(B660,'20-A.SINAPI-I'!A:G,2,0),IF(D660="COMPOSIÇÕES",VLOOKUP(B660,'11.COMPOSIÇÕES GERAIS'!B:I,2,0),VLOOKUP(B660,'12.COT.MERCADO'!A:I,2,0)))),"Em Elaboração")</f>
        <v>JOELHO PVC, SOLDAVEL, COM BUCHA DE LATAO, 90 GRAUS, 32 MM X 3/4", PARA AGUA FRIA PREDIAL</v>
      </c>
      <c r="F660" s="258" t="str">
        <f>IFERROR(IF(D660="SINAPI-S",VLOOKUP(B660,'20-B.SINAPI-S'!A:J,3,0),IF(D660="SINAPI-I",VLOOKUP(B660,'20-A.SINAPI-I'!A:G,3,0),IF(D660="COMPOSIÇÕES",VLOOKUP(B660,'11.COMPOSIÇÕES GERAIS'!B:I,3,0),VLOOKUP(B660,'12.COT.MERCADO'!A:I,7,0)))),"Em Elaboração")</f>
        <v>UN</v>
      </c>
      <c r="G660" s="254">
        <v>5.0</v>
      </c>
      <c r="H660" s="259">
        <f>IFERROR(IF(D660="SINAPI-S",VLOOKUP(B660,'20-B.SINAPI-S'!A:J,5,0),IF(D660="SINAPI-I",VLOOKUP(B660,'20-A.SINAPI-I'!A:G,6,0),IF(D660="COMPOSIÇÕES",VLOOKUP(B660,'11.COMPOSIÇÕES GERAIS'!B:I,7,0),0))),"Em Elaboração")</f>
        <v>0</v>
      </c>
      <c r="I660" s="259">
        <f>IFERROR(IF(D660="SINAPI-S",VLOOKUP(B660,'20-B.SINAPI-S'!A:J,6,0),IF(D660="SINAPI-I",VLOOKUP(B660,'20-A.SINAPI-I'!A:G,7,0),IF(D660="COMPOSIÇÕES",VLOOKUP(B660,'11.COMPOSIÇÕES GERAIS'!B:I,8,0),VLOOKUP(B660,'12.COT.MERCADO'!A:I,8,0)))),"Em Elaboração")</f>
        <v>19.51</v>
      </c>
      <c r="J660" s="259">
        <f t="shared" si="137"/>
        <v>0</v>
      </c>
      <c r="K660" s="259">
        <f t="shared" si="138"/>
        <v>22.85273776</v>
      </c>
      <c r="L660" s="259">
        <f t="shared" si="139"/>
        <v>22.85273776</v>
      </c>
      <c r="M660" s="259">
        <f t="shared" si="140"/>
        <v>0</v>
      </c>
      <c r="N660" s="259">
        <f t="shared" si="141"/>
        <v>114.2636888</v>
      </c>
      <c r="O660" s="259">
        <f t="shared" si="142"/>
        <v>114.2636888</v>
      </c>
      <c r="P660" s="260">
        <f t="shared" si="2"/>
        <v>0.00008938554016</v>
      </c>
    </row>
    <row r="661">
      <c r="A661" s="253" t="s">
        <v>814</v>
      </c>
      <c r="B661" s="254">
        <v>3531.0</v>
      </c>
      <c r="C661" s="255" t="str">
        <f t="shared" si="136"/>
        <v>SINAPI</v>
      </c>
      <c r="D661" s="256" t="s">
        <v>286</v>
      </c>
      <c r="E661" s="257" t="str">
        <f>IFERROR(IF(D661="SINAPI-S",VLOOKUP(B661,'20-B.SINAPI-S'!A:J,2,0),IF(D661="SINAPI-I",VLOOKUP(B661,'20-A.SINAPI-I'!A:G,2,0),IF(D661="COMPOSIÇÕES",VLOOKUP(B661,'11.COMPOSIÇÕES GERAIS'!B:I,2,0),VLOOKUP(B661,'12.COT.MERCADO'!A:I,2,0)))),"Em Elaboração")</f>
        <v>JOELHO PVC, SOLDAVEL COM ROSCA, 90 GRAUS, 25 MM X 1/2", COR MARROM, PARA AGUA FRIA PREDIAL</v>
      </c>
      <c r="F661" s="258" t="str">
        <f>IFERROR(IF(D661="SINAPI-S",VLOOKUP(B661,'20-B.SINAPI-S'!A:J,3,0),IF(D661="SINAPI-I",VLOOKUP(B661,'20-A.SINAPI-I'!A:G,3,0),IF(D661="COMPOSIÇÕES",VLOOKUP(B661,'11.COMPOSIÇÕES GERAIS'!B:I,3,0),VLOOKUP(B661,'12.COT.MERCADO'!A:I,7,0)))),"Em Elaboração")</f>
        <v>UN</v>
      </c>
      <c r="G661" s="254">
        <v>5.0</v>
      </c>
      <c r="H661" s="259">
        <f>IFERROR(IF(D661="SINAPI-S",VLOOKUP(B661,'20-B.SINAPI-S'!A:J,5,0),IF(D661="SINAPI-I",VLOOKUP(B661,'20-A.SINAPI-I'!A:G,6,0),IF(D661="COMPOSIÇÕES",VLOOKUP(B661,'11.COMPOSIÇÕES GERAIS'!B:I,7,0),0))),"Em Elaboração")</f>
        <v>0</v>
      </c>
      <c r="I661" s="259">
        <f>IFERROR(IF(D661="SINAPI-S",VLOOKUP(B661,'20-B.SINAPI-S'!A:J,6,0),IF(D661="SINAPI-I",VLOOKUP(B661,'20-A.SINAPI-I'!A:G,7,0),IF(D661="COMPOSIÇÕES",VLOOKUP(B661,'11.COMPOSIÇÕES GERAIS'!B:I,8,0),VLOOKUP(B661,'12.COT.MERCADO'!A:I,8,0)))),"Em Elaboração")</f>
        <v>3.94</v>
      </c>
      <c r="J661" s="259">
        <f t="shared" si="137"/>
        <v>0</v>
      </c>
      <c r="K661" s="259">
        <f t="shared" si="138"/>
        <v>4.615058265</v>
      </c>
      <c r="L661" s="259">
        <f t="shared" si="139"/>
        <v>4.615058265</v>
      </c>
      <c r="M661" s="259">
        <f t="shared" si="140"/>
        <v>0</v>
      </c>
      <c r="N661" s="259">
        <f t="shared" si="141"/>
        <v>23.07529133</v>
      </c>
      <c r="O661" s="259">
        <f t="shared" si="142"/>
        <v>23.07529133</v>
      </c>
      <c r="P661" s="260">
        <f t="shared" si="2"/>
        <v>0.00001805120596</v>
      </c>
    </row>
    <row r="662">
      <c r="A662" s="253" t="s">
        <v>815</v>
      </c>
      <c r="B662" s="254">
        <v>3522.0</v>
      </c>
      <c r="C662" s="255" t="str">
        <f t="shared" si="136"/>
        <v>SINAPI</v>
      </c>
      <c r="D662" s="256" t="s">
        <v>286</v>
      </c>
      <c r="E662" s="257" t="str">
        <f>IFERROR(IF(D662="SINAPI-S",VLOOKUP(B662,'20-B.SINAPI-S'!A:J,2,0),IF(D662="SINAPI-I",VLOOKUP(B662,'20-A.SINAPI-I'!A:G,2,0),IF(D662="COMPOSIÇÕES",VLOOKUP(B662,'11.COMPOSIÇÕES GERAIS'!B:I,2,0),VLOOKUP(B662,'12.COT.MERCADO'!A:I,2,0)))),"Em Elaboração")</f>
        <v>JOELHO PVC, SOLDAVEL COM ROSCA, 90 GRAUS, 25 MM X 3/4", COR MARROM, PARA AGUA FRIA PREDIAL</v>
      </c>
      <c r="F662" s="258" t="str">
        <f>IFERROR(IF(D662="SINAPI-S",VLOOKUP(B662,'20-B.SINAPI-S'!A:J,3,0),IF(D662="SINAPI-I",VLOOKUP(B662,'20-A.SINAPI-I'!A:G,3,0),IF(D662="COMPOSIÇÕES",VLOOKUP(B662,'11.COMPOSIÇÕES GERAIS'!B:I,3,0),VLOOKUP(B662,'12.COT.MERCADO'!A:I,7,0)))),"Em Elaboração")</f>
        <v>UN</v>
      </c>
      <c r="G662" s="254">
        <v>10.0</v>
      </c>
      <c r="H662" s="259">
        <f>IFERROR(IF(D662="SINAPI-S",VLOOKUP(B662,'20-B.SINAPI-S'!A:J,5,0),IF(D662="SINAPI-I",VLOOKUP(B662,'20-A.SINAPI-I'!A:G,6,0),IF(D662="COMPOSIÇÕES",VLOOKUP(B662,'11.COMPOSIÇÕES GERAIS'!B:I,7,0),0))),"Em Elaboração")</f>
        <v>0</v>
      </c>
      <c r="I662" s="259">
        <f>IFERROR(IF(D662="SINAPI-S",VLOOKUP(B662,'20-B.SINAPI-S'!A:J,6,0),IF(D662="SINAPI-I",VLOOKUP(B662,'20-A.SINAPI-I'!A:G,7,0),IF(D662="COMPOSIÇÕES",VLOOKUP(B662,'11.COMPOSIÇÕES GERAIS'!B:I,8,0),VLOOKUP(B662,'12.COT.MERCADO'!A:I,8,0)))),"Em Elaboração")</f>
        <v>2.54</v>
      </c>
      <c r="J662" s="259">
        <f t="shared" si="137"/>
        <v>0</v>
      </c>
      <c r="K662" s="259">
        <f t="shared" si="138"/>
        <v>2.975189846</v>
      </c>
      <c r="L662" s="259">
        <f t="shared" si="139"/>
        <v>2.975189846</v>
      </c>
      <c r="M662" s="259">
        <f t="shared" si="140"/>
        <v>0</v>
      </c>
      <c r="N662" s="259">
        <f t="shared" si="141"/>
        <v>29.75189846</v>
      </c>
      <c r="O662" s="259">
        <f t="shared" si="142"/>
        <v>29.75189846</v>
      </c>
      <c r="P662" s="260">
        <f t="shared" si="2"/>
        <v>0.00002327414372</v>
      </c>
    </row>
    <row r="663">
      <c r="A663" s="253" t="s">
        <v>816</v>
      </c>
      <c r="B663" s="254">
        <v>3527.0</v>
      </c>
      <c r="C663" s="255" t="str">
        <f t="shared" si="136"/>
        <v>SINAPI</v>
      </c>
      <c r="D663" s="256" t="s">
        <v>286</v>
      </c>
      <c r="E663" s="257" t="str">
        <f>IFERROR(IF(D663="SINAPI-S",VLOOKUP(B663,'20-B.SINAPI-S'!A:J,2,0),IF(D663="SINAPI-I",VLOOKUP(B663,'20-A.SINAPI-I'!A:G,2,0),IF(D663="COMPOSIÇÕES",VLOOKUP(B663,'11.COMPOSIÇÕES GERAIS'!B:I,2,0),VLOOKUP(B663,'12.COT.MERCADO'!A:I,2,0)))),"Em Elaboração")</f>
        <v>JOELHO PVC, SOLDAVEL COM ROSCA, 90 GRAUS, 32 MM X 3/4", COR MARROM, PARA AGUA FRIA PREDIAL</v>
      </c>
      <c r="F663" s="258" t="str">
        <f>IFERROR(IF(D663="SINAPI-S",VLOOKUP(B663,'20-B.SINAPI-S'!A:J,3,0),IF(D663="SINAPI-I",VLOOKUP(B663,'20-A.SINAPI-I'!A:G,3,0),IF(D663="COMPOSIÇÕES",VLOOKUP(B663,'11.COMPOSIÇÕES GERAIS'!B:I,3,0),VLOOKUP(B663,'12.COT.MERCADO'!A:I,7,0)))),"Em Elaboração")</f>
        <v>UN</v>
      </c>
      <c r="G663" s="254">
        <v>5.0</v>
      </c>
      <c r="H663" s="259">
        <f>IFERROR(IF(D663="SINAPI-S",VLOOKUP(B663,'20-B.SINAPI-S'!A:J,5,0),IF(D663="SINAPI-I",VLOOKUP(B663,'20-A.SINAPI-I'!A:G,6,0),IF(D663="COMPOSIÇÕES",VLOOKUP(B663,'11.COMPOSIÇÕES GERAIS'!B:I,7,0),0))),"Em Elaboração")</f>
        <v>0</v>
      </c>
      <c r="I663" s="259">
        <f>IFERROR(IF(D663="SINAPI-S",VLOOKUP(B663,'20-B.SINAPI-S'!A:J,6,0),IF(D663="SINAPI-I",VLOOKUP(B663,'20-A.SINAPI-I'!A:G,7,0),IF(D663="COMPOSIÇÕES",VLOOKUP(B663,'11.COMPOSIÇÕES GERAIS'!B:I,8,0),VLOOKUP(B663,'12.COT.MERCADO'!A:I,8,0)))),"Em Elaboração")</f>
        <v>13.38</v>
      </c>
      <c r="J663" s="259">
        <f t="shared" si="137"/>
        <v>0</v>
      </c>
      <c r="K663" s="259">
        <f t="shared" si="138"/>
        <v>15.67245675</v>
      </c>
      <c r="L663" s="259">
        <f t="shared" si="139"/>
        <v>15.67245675</v>
      </c>
      <c r="M663" s="259">
        <f t="shared" si="140"/>
        <v>0</v>
      </c>
      <c r="N663" s="259">
        <f t="shared" si="141"/>
        <v>78.36228375</v>
      </c>
      <c r="O663" s="259">
        <f t="shared" si="142"/>
        <v>78.36228375</v>
      </c>
      <c r="P663" s="260">
        <f t="shared" si="2"/>
        <v>0.00006130079587</v>
      </c>
    </row>
    <row r="664">
      <c r="A664" s="253" t="s">
        <v>817</v>
      </c>
      <c r="B664" s="254">
        <v>3463.0</v>
      </c>
      <c r="C664" s="255" t="str">
        <f t="shared" si="136"/>
        <v>SINAPI</v>
      </c>
      <c r="D664" s="256" t="s">
        <v>286</v>
      </c>
      <c r="E664" s="257" t="str">
        <f>IFERROR(IF(D664="SINAPI-S",VLOOKUP(B664,'20-B.SINAPI-S'!A:J,2,0),IF(D664="SINAPI-I",VLOOKUP(B664,'20-A.SINAPI-I'!A:G,2,0),IF(D664="COMPOSIÇÕES",VLOOKUP(B664,'11.COMPOSIÇÕES GERAIS'!B:I,2,0),VLOOKUP(B664,'12.COT.MERCADO'!A:I,2,0)))),"Em Elaboração")</f>
        <v>COTOVELO DE REDUCAO 90 GRAUS DE FERRO GALVANIZADO, COM ROSCA BSP, DE 1" X 1/2"</v>
      </c>
      <c r="F664" s="258" t="str">
        <f>IFERROR(IF(D664="SINAPI-S",VLOOKUP(B664,'20-B.SINAPI-S'!A:J,3,0),IF(D664="SINAPI-I",VLOOKUP(B664,'20-A.SINAPI-I'!A:G,3,0),IF(D664="COMPOSIÇÕES",VLOOKUP(B664,'11.COMPOSIÇÕES GERAIS'!B:I,3,0),VLOOKUP(B664,'12.COT.MERCADO'!A:I,7,0)))),"Em Elaboração")</f>
        <v>UN</v>
      </c>
      <c r="G664" s="254">
        <v>2.0</v>
      </c>
      <c r="H664" s="259">
        <f>IFERROR(IF(D664="SINAPI-S",VLOOKUP(B664,'20-B.SINAPI-S'!A:J,5,0),IF(D664="SINAPI-I",VLOOKUP(B664,'20-A.SINAPI-I'!A:G,6,0),IF(D664="COMPOSIÇÕES",VLOOKUP(B664,'11.COMPOSIÇÕES GERAIS'!B:I,7,0),0))),"Em Elaboração")</f>
        <v>0</v>
      </c>
      <c r="I664" s="259">
        <f>IFERROR(IF(D664="SINAPI-S",VLOOKUP(B664,'20-B.SINAPI-S'!A:J,6,0),IF(D664="SINAPI-I",VLOOKUP(B664,'20-A.SINAPI-I'!A:G,7,0),IF(D664="COMPOSIÇÕES",VLOOKUP(B664,'11.COMPOSIÇÕES GERAIS'!B:I,8,0),VLOOKUP(B664,'12.COT.MERCADO'!A:I,8,0)))),"Em Elaboração")</f>
        <v>19.27</v>
      </c>
      <c r="J664" s="259">
        <f t="shared" si="137"/>
        <v>0</v>
      </c>
      <c r="K664" s="259">
        <f t="shared" si="138"/>
        <v>22.57161746</v>
      </c>
      <c r="L664" s="259">
        <f t="shared" si="139"/>
        <v>22.57161746</v>
      </c>
      <c r="M664" s="259">
        <f t="shared" si="140"/>
        <v>0</v>
      </c>
      <c r="N664" s="259">
        <f t="shared" si="141"/>
        <v>45.14323491</v>
      </c>
      <c r="O664" s="259">
        <f t="shared" si="142"/>
        <v>45.14323491</v>
      </c>
      <c r="P664" s="260">
        <f t="shared" si="2"/>
        <v>0.00003531438973</v>
      </c>
    </row>
    <row r="665">
      <c r="A665" s="253" t="s">
        <v>818</v>
      </c>
      <c r="B665" s="254">
        <v>3464.0</v>
      </c>
      <c r="C665" s="255" t="str">
        <f t="shared" si="136"/>
        <v>SINAPI</v>
      </c>
      <c r="D665" s="256" t="s">
        <v>286</v>
      </c>
      <c r="E665" s="257" t="str">
        <f>IFERROR(IF(D665="SINAPI-S",VLOOKUP(B665,'20-B.SINAPI-S'!A:J,2,0),IF(D665="SINAPI-I",VLOOKUP(B665,'20-A.SINAPI-I'!A:G,2,0),IF(D665="COMPOSIÇÕES",VLOOKUP(B665,'11.COMPOSIÇÕES GERAIS'!B:I,2,0),VLOOKUP(B665,'12.COT.MERCADO'!A:I,2,0)))),"Em Elaboração")</f>
        <v>COTOVELO DE REDUCAO 90 GRAUS DE FERRO GALVANIZADO, COM ROSCA BSP, DE 1" X 3/4"</v>
      </c>
      <c r="F665" s="258" t="str">
        <f>IFERROR(IF(D665="SINAPI-S",VLOOKUP(B665,'20-B.SINAPI-S'!A:J,3,0),IF(D665="SINAPI-I",VLOOKUP(B665,'20-A.SINAPI-I'!A:G,3,0),IF(D665="COMPOSIÇÕES",VLOOKUP(B665,'11.COMPOSIÇÕES GERAIS'!B:I,3,0),VLOOKUP(B665,'12.COT.MERCADO'!A:I,7,0)))),"Em Elaboração")</f>
        <v>UN</v>
      </c>
      <c r="G665" s="254">
        <v>2.0</v>
      </c>
      <c r="H665" s="259">
        <f>IFERROR(IF(D665="SINAPI-S",VLOOKUP(B665,'20-B.SINAPI-S'!A:J,5,0),IF(D665="SINAPI-I",VLOOKUP(B665,'20-A.SINAPI-I'!A:G,6,0),IF(D665="COMPOSIÇÕES",VLOOKUP(B665,'11.COMPOSIÇÕES GERAIS'!B:I,7,0),0))),"Em Elaboração")</f>
        <v>0</v>
      </c>
      <c r="I665" s="259">
        <f>IFERROR(IF(D665="SINAPI-S",VLOOKUP(B665,'20-B.SINAPI-S'!A:J,6,0),IF(D665="SINAPI-I",VLOOKUP(B665,'20-A.SINAPI-I'!A:G,7,0),IF(D665="COMPOSIÇÕES",VLOOKUP(B665,'11.COMPOSIÇÕES GERAIS'!B:I,8,0),VLOOKUP(B665,'12.COT.MERCADO'!A:I,8,0)))),"Em Elaboração")</f>
        <v>19.27</v>
      </c>
      <c r="J665" s="259">
        <f t="shared" si="137"/>
        <v>0</v>
      </c>
      <c r="K665" s="259">
        <f t="shared" si="138"/>
        <v>22.57161746</v>
      </c>
      <c r="L665" s="259">
        <f t="shared" si="139"/>
        <v>22.57161746</v>
      </c>
      <c r="M665" s="259">
        <f t="shared" si="140"/>
        <v>0</v>
      </c>
      <c r="N665" s="259">
        <f t="shared" si="141"/>
        <v>45.14323491</v>
      </c>
      <c r="O665" s="259">
        <f t="shared" si="142"/>
        <v>45.14323491</v>
      </c>
      <c r="P665" s="260">
        <f t="shared" si="2"/>
        <v>0.00003531438973</v>
      </c>
    </row>
    <row r="666">
      <c r="A666" s="253" t="s">
        <v>819</v>
      </c>
      <c r="B666" s="254">
        <v>12403.0</v>
      </c>
      <c r="C666" s="255" t="str">
        <f t="shared" si="136"/>
        <v>SINAPI</v>
      </c>
      <c r="D666" s="256" t="s">
        <v>286</v>
      </c>
      <c r="E666" s="257" t="str">
        <f>IFERROR(IF(D666="SINAPI-S",VLOOKUP(B666,'20-B.SINAPI-S'!A:J,2,0),IF(D666="SINAPI-I",VLOOKUP(B666,'20-A.SINAPI-I'!A:G,2,0),IF(D666="COMPOSIÇÕES",VLOOKUP(B666,'11.COMPOSIÇÕES GERAIS'!B:I,2,0),VLOOKUP(B666,'12.COT.MERCADO'!A:I,2,0)))),"Em Elaboração")</f>
        <v>COTOVELO DE REDUCAO 90 GRAUS DE FERRO GALVANIZADO, COM ROSCA BSP, DE 1 1/4" X 1"</v>
      </c>
      <c r="F666" s="258" t="str">
        <f>IFERROR(IF(D666="SINAPI-S",VLOOKUP(B666,'20-B.SINAPI-S'!A:J,3,0),IF(D666="SINAPI-I",VLOOKUP(B666,'20-A.SINAPI-I'!A:G,3,0),IF(D666="COMPOSIÇÕES",VLOOKUP(B666,'11.COMPOSIÇÕES GERAIS'!B:I,3,0),VLOOKUP(B666,'12.COT.MERCADO'!A:I,7,0)))),"Em Elaboração")</f>
        <v>UN</v>
      </c>
      <c r="G666" s="254">
        <v>2.0</v>
      </c>
      <c r="H666" s="259">
        <f>IFERROR(IF(D666="SINAPI-S",VLOOKUP(B666,'20-B.SINAPI-S'!A:J,5,0),IF(D666="SINAPI-I",VLOOKUP(B666,'20-A.SINAPI-I'!A:G,6,0),IF(D666="COMPOSIÇÕES",VLOOKUP(B666,'11.COMPOSIÇÕES GERAIS'!B:I,7,0),0))),"Em Elaboração")</f>
        <v>0</v>
      </c>
      <c r="I666" s="259">
        <f>IFERROR(IF(D666="SINAPI-S",VLOOKUP(B666,'20-B.SINAPI-S'!A:J,6,0),IF(D666="SINAPI-I",VLOOKUP(B666,'20-A.SINAPI-I'!A:G,7,0),IF(D666="COMPOSIÇÕES",VLOOKUP(B666,'11.COMPOSIÇÕES GERAIS'!B:I,8,0),VLOOKUP(B666,'12.COT.MERCADO'!A:I,8,0)))),"Em Elaboração")</f>
        <v>32.98</v>
      </c>
      <c r="J666" s="259">
        <f t="shared" si="137"/>
        <v>0</v>
      </c>
      <c r="K666" s="259">
        <f t="shared" si="138"/>
        <v>38.63061462</v>
      </c>
      <c r="L666" s="259">
        <f t="shared" si="139"/>
        <v>38.63061462</v>
      </c>
      <c r="M666" s="259">
        <f t="shared" si="140"/>
        <v>0</v>
      </c>
      <c r="N666" s="259">
        <f t="shared" si="141"/>
        <v>77.26122924</v>
      </c>
      <c r="O666" s="259">
        <f t="shared" si="142"/>
        <v>77.26122924</v>
      </c>
      <c r="P666" s="260">
        <f t="shared" si="2"/>
        <v>0.00006043946929</v>
      </c>
    </row>
    <row r="667">
      <c r="A667" s="253" t="s">
        <v>820</v>
      </c>
      <c r="B667" s="254">
        <v>3538.0</v>
      </c>
      <c r="C667" s="255" t="str">
        <f t="shared" si="136"/>
        <v>SINAPI</v>
      </c>
      <c r="D667" s="256" t="s">
        <v>286</v>
      </c>
      <c r="E667" s="257" t="str">
        <f>IFERROR(IF(D667="SINAPI-S",VLOOKUP(B667,'20-B.SINAPI-S'!A:J,2,0),IF(D667="SINAPI-I",VLOOKUP(B667,'20-A.SINAPI-I'!A:G,2,0),IF(D667="COMPOSIÇÕES",VLOOKUP(B667,'11.COMPOSIÇÕES GERAIS'!B:I,2,0),VLOOKUP(B667,'12.COT.MERCADO'!A:I,2,0)))),"Em Elaboração")</f>
        <v>JOELHO DE REDUCAO, PVC SOLDAVEL, 90 GRAUS, 32 MM X 25 MM, COR MARROM, PARA AGUA FRIA PREDIAL</v>
      </c>
      <c r="F667" s="258" t="str">
        <f>IFERROR(IF(D667="SINAPI-S",VLOOKUP(B667,'20-B.SINAPI-S'!A:J,3,0),IF(D667="SINAPI-I",VLOOKUP(B667,'20-A.SINAPI-I'!A:G,3,0),IF(D667="COMPOSIÇÕES",VLOOKUP(B667,'11.COMPOSIÇÕES GERAIS'!B:I,3,0),VLOOKUP(B667,'12.COT.MERCADO'!A:I,7,0)))),"Em Elaboração")</f>
        <v>UN</v>
      </c>
      <c r="G667" s="254">
        <v>4.0</v>
      </c>
      <c r="H667" s="259">
        <f>IFERROR(IF(D667="SINAPI-S",VLOOKUP(B667,'20-B.SINAPI-S'!A:J,5,0),IF(D667="SINAPI-I",VLOOKUP(B667,'20-A.SINAPI-I'!A:G,6,0),IF(D667="COMPOSIÇÕES",VLOOKUP(B667,'11.COMPOSIÇÕES GERAIS'!B:I,7,0),0))),"Em Elaboração")</f>
        <v>0</v>
      </c>
      <c r="I667" s="259">
        <f>IFERROR(IF(D667="SINAPI-S",VLOOKUP(B667,'20-B.SINAPI-S'!A:J,6,0),IF(D667="SINAPI-I",VLOOKUP(B667,'20-A.SINAPI-I'!A:G,7,0),IF(D667="COMPOSIÇÕES",VLOOKUP(B667,'11.COMPOSIÇÕES GERAIS'!B:I,8,0),VLOOKUP(B667,'12.COT.MERCADO'!A:I,8,0)))),"Em Elaboração")</f>
        <v>5.42</v>
      </c>
      <c r="J667" s="259">
        <f t="shared" si="137"/>
        <v>0</v>
      </c>
      <c r="K667" s="259">
        <f t="shared" si="138"/>
        <v>6.348633451</v>
      </c>
      <c r="L667" s="259">
        <f t="shared" si="139"/>
        <v>6.348633451</v>
      </c>
      <c r="M667" s="259">
        <f t="shared" si="140"/>
        <v>0</v>
      </c>
      <c r="N667" s="259">
        <f t="shared" si="141"/>
        <v>25.39453381</v>
      </c>
      <c r="O667" s="259">
        <f t="shared" si="142"/>
        <v>25.39453381</v>
      </c>
      <c r="P667" s="260">
        <f t="shared" si="2"/>
        <v>0.0000198654896</v>
      </c>
    </row>
    <row r="668">
      <c r="A668" s="253" t="s">
        <v>821</v>
      </c>
      <c r="B668" s="254">
        <v>20151.0</v>
      </c>
      <c r="C668" s="255" t="str">
        <f t="shared" si="136"/>
        <v>SINAPI</v>
      </c>
      <c r="D668" s="256" t="s">
        <v>286</v>
      </c>
      <c r="E668" s="257" t="str">
        <f>IFERROR(IF(D668="SINAPI-S",VLOOKUP(B668,'20-B.SINAPI-S'!A:J,2,0),IF(D668="SINAPI-I",VLOOKUP(B668,'20-A.SINAPI-I'!A:G,2,0),IF(D668="COMPOSIÇÕES",VLOOKUP(B668,'11.COMPOSIÇÕES GERAIS'!B:I,2,0),VLOOKUP(B668,'12.COT.MERCADO'!A:I,2,0)))),"Em Elaboração")</f>
        <v>JOELHO, PVC SERIE R, 45 GRAUS, DN 100 MM, PARA ESGOTO PREDIAL</v>
      </c>
      <c r="F668" s="258" t="str">
        <f>IFERROR(IF(D668="SINAPI-S",VLOOKUP(B668,'20-B.SINAPI-S'!A:J,3,0),IF(D668="SINAPI-I",VLOOKUP(B668,'20-A.SINAPI-I'!A:G,3,0),IF(D668="COMPOSIÇÕES",VLOOKUP(B668,'11.COMPOSIÇÕES GERAIS'!B:I,3,0),VLOOKUP(B668,'12.COT.MERCADO'!A:I,7,0)))),"Em Elaboração")</f>
        <v>UN</v>
      </c>
      <c r="G668" s="254">
        <v>2.0</v>
      </c>
      <c r="H668" s="259">
        <f>IFERROR(IF(D668="SINAPI-S",VLOOKUP(B668,'20-B.SINAPI-S'!A:J,5,0),IF(D668="SINAPI-I",VLOOKUP(B668,'20-A.SINAPI-I'!A:G,6,0),IF(D668="COMPOSIÇÕES",VLOOKUP(B668,'11.COMPOSIÇÕES GERAIS'!B:I,7,0),0))),"Em Elaboração")</f>
        <v>0</v>
      </c>
      <c r="I668" s="259">
        <f>IFERROR(IF(D668="SINAPI-S",VLOOKUP(B668,'20-B.SINAPI-S'!A:J,6,0),IF(D668="SINAPI-I",VLOOKUP(B668,'20-A.SINAPI-I'!A:G,7,0),IF(D668="COMPOSIÇÕES",VLOOKUP(B668,'11.COMPOSIÇÕES GERAIS'!B:I,8,0),VLOOKUP(B668,'12.COT.MERCADO'!A:I,8,0)))),"Em Elaboração")</f>
        <v>23.31</v>
      </c>
      <c r="J668" s="259">
        <f t="shared" si="137"/>
        <v>0</v>
      </c>
      <c r="K668" s="259">
        <f t="shared" si="138"/>
        <v>27.30380918</v>
      </c>
      <c r="L668" s="259">
        <f t="shared" si="139"/>
        <v>27.30380918</v>
      </c>
      <c r="M668" s="259">
        <f t="shared" si="140"/>
        <v>0</v>
      </c>
      <c r="N668" s="259">
        <f t="shared" si="141"/>
        <v>54.60761836</v>
      </c>
      <c r="O668" s="259">
        <f t="shared" si="142"/>
        <v>54.60761836</v>
      </c>
      <c r="P668" s="260">
        <f t="shared" si="2"/>
        <v>0.00004271813308</v>
      </c>
    </row>
    <row r="669">
      <c r="A669" s="253" t="s">
        <v>822</v>
      </c>
      <c r="B669" s="254">
        <v>20150.0</v>
      </c>
      <c r="C669" s="255" t="str">
        <f t="shared" si="136"/>
        <v>SINAPI</v>
      </c>
      <c r="D669" s="256" t="s">
        <v>286</v>
      </c>
      <c r="E669" s="257" t="str">
        <f>IFERROR(IF(D669="SINAPI-S",VLOOKUP(B669,'20-B.SINAPI-S'!A:J,2,0),IF(D669="SINAPI-I",VLOOKUP(B669,'20-A.SINAPI-I'!A:G,2,0),IF(D669="COMPOSIÇÕES",VLOOKUP(B669,'11.COMPOSIÇÕES GERAIS'!B:I,2,0),VLOOKUP(B669,'12.COT.MERCADO'!A:I,2,0)))),"Em Elaboração")</f>
        <v>JOELHO, PVC SERIE R, 45 GRAUS, DN 75 MM, PARA ESGOTO PREDIAL</v>
      </c>
      <c r="F669" s="258" t="str">
        <f>IFERROR(IF(D669="SINAPI-S",VLOOKUP(B669,'20-B.SINAPI-S'!A:J,3,0),IF(D669="SINAPI-I",VLOOKUP(B669,'20-A.SINAPI-I'!A:G,3,0),IF(D669="COMPOSIÇÕES",VLOOKUP(B669,'11.COMPOSIÇÕES GERAIS'!B:I,3,0),VLOOKUP(B669,'12.COT.MERCADO'!A:I,7,0)))),"Em Elaboração")</f>
        <v>UN</v>
      </c>
      <c r="G669" s="254">
        <v>2.0</v>
      </c>
      <c r="H669" s="259">
        <f>IFERROR(IF(D669="SINAPI-S",VLOOKUP(B669,'20-B.SINAPI-S'!A:J,5,0),IF(D669="SINAPI-I",VLOOKUP(B669,'20-A.SINAPI-I'!A:G,6,0),IF(D669="COMPOSIÇÕES",VLOOKUP(B669,'11.COMPOSIÇÕES GERAIS'!B:I,7,0),0))),"Em Elaboração")</f>
        <v>0</v>
      </c>
      <c r="I669" s="259">
        <f>IFERROR(IF(D669="SINAPI-S",VLOOKUP(B669,'20-B.SINAPI-S'!A:J,6,0),IF(D669="SINAPI-I",VLOOKUP(B669,'20-A.SINAPI-I'!A:G,7,0),IF(D669="COMPOSIÇÕES",VLOOKUP(B669,'11.COMPOSIÇÕES GERAIS'!B:I,8,0),VLOOKUP(B669,'12.COT.MERCADO'!A:I,8,0)))),"Em Elaboração")</f>
        <v>19.72</v>
      </c>
      <c r="J669" s="259">
        <f t="shared" si="137"/>
        <v>0</v>
      </c>
      <c r="K669" s="259">
        <f t="shared" si="138"/>
        <v>23.09871802</v>
      </c>
      <c r="L669" s="259">
        <f t="shared" si="139"/>
        <v>23.09871802</v>
      </c>
      <c r="M669" s="259">
        <f t="shared" si="140"/>
        <v>0</v>
      </c>
      <c r="N669" s="259">
        <f t="shared" si="141"/>
        <v>46.19743604</v>
      </c>
      <c r="O669" s="259">
        <f t="shared" si="142"/>
        <v>46.19743604</v>
      </c>
      <c r="P669" s="260">
        <f t="shared" si="2"/>
        <v>0.00003613906411</v>
      </c>
    </row>
    <row r="670">
      <c r="A670" s="253" t="s">
        <v>823</v>
      </c>
      <c r="B670" s="254">
        <v>20157.0</v>
      </c>
      <c r="C670" s="255" t="str">
        <f t="shared" si="136"/>
        <v>SINAPI</v>
      </c>
      <c r="D670" s="256" t="s">
        <v>286</v>
      </c>
      <c r="E670" s="257" t="str">
        <f>IFERROR(IF(D670="SINAPI-S",VLOOKUP(B670,'20-B.SINAPI-S'!A:J,2,0),IF(D670="SINAPI-I",VLOOKUP(B670,'20-A.SINAPI-I'!A:G,2,0),IF(D670="COMPOSIÇÕES",VLOOKUP(B670,'11.COMPOSIÇÕES GERAIS'!B:I,2,0),VLOOKUP(B670,'12.COT.MERCADO'!A:I,2,0)))),"Em Elaboração")</f>
        <v>JOELHO, PVC SERIE R, 90 GRAUS, DN 100 MM, PARA ESGOTO PREDIAL</v>
      </c>
      <c r="F670" s="258" t="str">
        <f>IFERROR(IF(D670="SINAPI-S",VLOOKUP(B670,'20-B.SINAPI-S'!A:J,3,0),IF(D670="SINAPI-I",VLOOKUP(B670,'20-A.SINAPI-I'!A:G,3,0),IF(D670="COMPOSIÇÕES",VLOOKUP(B670,'11.COMPOSIÇÕES GERAIS'!B:I,3,0),VLOOKUP(B670,'12.COT.MERCADO'!A:I,7,0)))),"Em Elaboração")</f>
        <v>UN</v>
      </c>
      <c r="G670" s="254">
        <v>2.0</v>
      </c>
      <c r="H670" s="259">
        <f>IFERROR(IF(D670="SINAPI-S",VLOOKUP(B670,'20-B.SINAPI-S'!A:J,5,0),IF(D670="SINAPI-I",VLOOKUP(B670,'20-A.SINAPI-I'!A:G,6,0),IF(D670="COMPOSIÇÕES",VLOOKUP(B670,'11.COMPOSIÇÕES GERAIS'!B:I,7,0),0))),"Em Elaboração")</f>
        <v>0</v>
      </c>
      <c r="I670" s="259">
        <f>IFERROR(IF(D670="SINAPI-S",VLOOKUP(B670,'20-B.SINAPI-S'!A:J,6,0),IF(D670="SINAPI-I",VLOOKUP(B670,'20-A.SINAPI-I'!A:G,7,0),IF(D670="COMPOSIÇÕES",VLOOKUP(B670,'11.COMPOSIÇÕES GERAIS'!B:I,8,0),VLOOKUP(B670,'12.COT.MERCADO'!A:I,8,0)))),"Em Elaboração")</f>
        <v>22.14</v>
      </c>
      <c r="J670" s="259">
        <f t="shared" si="137"/>
        <v>0</v>
      </c>
      <c r="K670" s="259">
        <f t="shared" si="138"/>
        <v>25.93334771</v>
      </c>
      <c r="L670" s="259">
        <f t="shared" si="139"/>
        <v>25.93334771</v>
      </c>
      <c r="M670" s="259">
        <f t="shared" si="140"/>
        <v>0</v>
      </c>
      <c r="N670" s="259">
        <f t="shared" si="141"/>
        <v>51.86669543</v>
      </c>
      <c r="O670" s="259">
        <f t="shared" si="142"/>
        <v>51.86669543</v>
      </c>
      <c r="P670" s="260">
        <f t="shared" si="2"/>
        <v>0.00004057397969</v>
      </c>
    </row>
    <row r="671">
      <c r="A671" s="253" t="s">
        <v>824</v>
      </c>
      <c r="B671" s="254">
        <v>20157.0</v>
      </c>
      <c r="C671" s="255" t="str">
        <f t="shared" si="136"/>
        <v>SINAPI</v>
      </c>
      <c r="D671" s="256" t="s">
        <v>286</v>
      </c>
      <c r="E671" s="257" t="str">
        <f>IFERROR(IF(D671="SINAPI-S",VLOOKUP(B671,'20-B.SINAPI-S'!A:J,2,0),IF(D671="SINAPI-I",VLOOKUP(B671,'20-A.SINAPI-I'!A:G,2,0),IF(D671="COMPOSIÇÕES",VLOOKUP(B671,'11.COMPOSIÇÕES GERAIS'!B:I,2,0),VLOOKUP(B671,'12.COT.MERCADO'!A:I,2,0)))),"Em Elaboração")</f>
        <v>JOELHO, PVC SERIE R, 90 GRAUS, DN 100 MM, PARA ESGOTO PREDIAL</v>
      </c>
      <c r="F671" s="258" t="str">
        <f>IFERROR(IF(D671="SINAPI-S",VLOOKUP(B671,'20-B.SINAPI-S'!A:J,3,0),IF(D671="SINAPI-I",VLOOKUP(B671,'20-A.SINAPI-I'!A:G,3,0),IF(D671="COMPOSIÇÕES",VLOOKUP(B671,'11.COMPOSIÇÕES GERAIS'!B:I,3,0),VLOOKUP(B671,'12.COT.MERCADO'!A:I,7,0)))),"Em Elaboração")</f>
        <v>UN</v>
      </c>
      <c r="G671" s="254">
        <v>2.0</v>
      </c>
      <c r="H671" s="259">
        <f>IFERROR(IF(D671="SINAPI-S",VLOOKUP(B671,'20-B.SINAPI-S'!A:J,5,0),IF(D671="SINAPI-I",VLOOKUP(B671,'20-A.SINAPI-I'!A:G,6,0),IF(D671="COMPOSIÇÕES",VLOOKUP(B671,'11.COMPOSIÇÕES GERAIS'!B:I,7,0),0))),"Em Elaboração")</f>
        <v>0</v>
      </c>
      <c r="I671" s="259">
        <f>IFERROR(IF(D671="SINAPI-S",VLOOKUP(B671,'20-B.SINAPI-S'!A:J,6,0),IF(D671="SINAPI-I",VLOOKUP(B671,'20-A.SINAPI-I'!A:G,7,0),IF(D671="COMPOSIÇÕES",VLOOKUP(B671,'11.COMPOSIÇÕES GERAIS'!B:I,8,0),VLOOKUP(B671,'12.COT.MERCADO'!A:I,8,0)))),"Em Elaboração")</f>
        <v>22.14</v>
      </c>
      <c r="J671" s="259">
        <f t="shared" si="137"/>
        <v>0</v>
      </c>
      <c r="K671" s="259">
        <f t="shared" si="138"/>
        <v>25.93334771</v>
      </c>
      <c r="L671" s="259">
        <f t="shared" si="139"/>
        <v>25.93334771</v>
      </c>
      <c r="M671" s="259">
        <f t="shared" si="140"/>
        <v>0</v>
      </c>
      <c r="N671" s="259">
        <f t="shared" si="141"/>
        <v>51.86669543</v>
      </c>
      <c r="O671" s="259">
        <f t="shared" si="142"/>
        <v>51.86669543</v>
      </c>
      <c r="P671" s="260">
        <f t="shared" si="2"/>
        <v>0.00004057397969</v>
      </c>
    </row>
    <row r="672">
      <c r="A672" s="253" t="s">
        <v>825</v>
      </c>
      <c r="B672" s="254">
        <v>20155.0</v>
      </c>
      <c r="C672" s="255" t="str">
        <f t="shared" si="136"/>
        <v>SINAPI</v>
      </c>
      <c r="D672" s="256" t="s">
        <v>286</v>
      </c>
      <c r="E672" s="257" t="str">
        <f>IFERROR(IF(D672="SINAPI-S",VLOOKUP(B672,'20-B.SINAPI-S'!A:J,2,0),IF(D672="SINAPI-I",VLOOKUP(B672,'20-A.SINAPI-I'!A:G,2,0),IF(D672="COMPOSIÇÕES",VLOOKUP(B672,'11.COMPOSIÇÕES GERAIS'!B:I,2,0),VLOOKUP(B672,'12.COT.MERCADO'!A:I,2,0)))),"Em Elaboração")</f>
        <v>JOELHO, PVC SERIE R, 90 GRAUS, DN 50 MM, PARA ESGOTO PREDIAL</v>
      </c>
      <c r="F672" s="258" t="str">
        <f>IFERROR(IF(D672="SINAPI-S",VLOOKUP(B672,'20-B.SINAPI-S'!A:J,3,0),IF(D672="SINAPI-I",VLOOKUP(B672,'20-A.SINAPI-I'!A:G,3,0),IF(D672="COMPOSIÇÕES",VLOOKUP(B672,'11.COMPOSIÇÕES GERAIS'!B:I,3,0),VLOOKUP(B672,'12.COT.MERCADO'!A:I,7,0)))),"Em Elaboração")</f>
        <v>UN</v>
      </c>
      <c r="G672" s="254">
        <v>2.0</v>
      </c>
      <c r="H672" s="259">
        <f>IFERROR(IF(D672="SINAPI-S",VLOOKUP(B672,'20-B.SINAPI-S'!A:J,5,0),IF(D672="SINAPI-I",VLOOKUP(B672,'20-A.SINAPI-I'!A:G,6,0),IF(D672="COMPOSIÇÕES",VLOOKUP(B672,'11.COMPOSIÇÕES GERAIS'!B:I,7,0),0))),"Em Elaboração")</f>
        <v>0</v>
      </c>
      <c r="I672" s="259">
        <f>IFERROR(IF(D672="SINAPI-S",VLOOKUP(B672,'20-B.SINAPI-S'!A:J,6,0),IF(D672="SINAPI-I",VLOOKUP(B672,'20-A.SINAPI-I'!A:G,7,0),IF(D672="COMPOSIÇÕES",VLOOKUP(B672,'11.COMPOSIÇÕES GERAIS'!B:I,8,0),VLOOKUP(B672,'12.COT.MERCADO'!A:I,8,0)))),"Em Elaboração")</f>
        <v>6.83</v>
      </c>
      <c r="J672" s="259">
        <f t="shared" si="137"/>
        <v>0</v>
      </c>
      <c r="K672" s="259">
        <f t="shared" si="138"/>
        <v>8.000215216</v>
      </c>
      <c r="L672" s="259">
        <f t="shared" si="139"/>
        <v>8.000215216</v>
      </c>
      <c r="M672" s="259">
        <f t="shared" si="140"/>
        <v>0</v>
      </c>
      <c r="N672" s="259">
        <f t="shared" si="141"/>
        <v>16.00043043</v>
      </c>
      <c r="O672" s="259">
        <f t="shared" si="142"/>
        <v>16.00043043</v>
      </c>
      <c r="P672" s="260">
        <f t="shared" si="2"/>
        <v>0.00001251672454</v>
      </c>
    </row>
    <row r="673">
      <c r="A673" s="253" t="s">
        <v>826</v>
      </c>
      <c r="B673" s="254">
        <v>20156.0</v>
      </c>
      <c r="C673" s="255" t="str">
        <f t="shared" si="136"/>
        <v>SINAPI</v>
      </c>
      <c r="D673" s="256" t="s">
        <v>286</v>
      </c>
      <c r="E673" s="257" t="str">
        <f>IFERROR(IF(D673="SINAPI-S",VLOOKUP(B673,'20-B.SINAPI-S'!A:J,2,0),IF(D673="SINAPI-I",VLOOKUP(B673,'20-A.SINAPI-I'!A:G,2,0),IF(D673="COMPOSIÇÕES",VLOOKUP(B673,'11.COMPOSIÇÕES GERAIS'!B:I,2,0),VLOOKUP(B673,'12.COT.MERCADO'!A:I,2,0)))),"Em Elaboração")</f>
        <v>JOELHO, PVC SERIE R, 90 GRAUS, DN 75 MM, PARA ESGOTO PREDIAL</v>
      </c>
      <c r="F673" s="258" t="str">
        <f>IFERROR(IF(D673="SINAPI-S",VLOOKUP(B673,'20-B.SINAPI-S'!A:J,3,0),IF(D673="SINAPI-I",VLOOKUP(B673,'20-A.SINAPI-I'!A:G,3,0),IF(D673="COMPOSIÇÕES",VLOOKUP(B673,'11.COMPOSIÇÕES GERAIS'!B:I,3,0),VLOOKUP(B673,'12.COT.MERCADO'!A:I,7,0)))),"Em Elaboração")</f>
        <v>UN</v>
      </c>
      <c r="G673" s="254">
        <v>2.0</v>
      </c>
      <c r="H673" s="259">
        <f>IFERROR(IF(D673="SINAPI-S",VLOOKUP(B673,'20-B.SINAPI-S'!A:J,5,0),IF(D673="SINAPI-I",VLOOKUP(B673,'20-A.SINAPI-I'!A:G,6,0),IF(D673="COMPOSIÇÕES",VLOOKUP(B673,'11.COMPOSIÇÕES GERAIS'!B:I,7,0),0))),"Em Elaboração")</f>
        <v>0</v>
      </c>
      <c r="I673" s="259">
        <f>IFERROR(IF(D673="SINAPI-S",VLOOKUP(B673,'20-B.SINAPI-S'!A:J,6,0),IF(D673="SINAPI-I",VLOOKUP(B673,'20-A.SINAPI-I'!A:G,7,0),IF(D673="COMPOSIÇÕES",VLOOKUP(B673,'11.COMPOSIÇÕES GERAIS'!B:I,8,0),VLOOKUP(B673,'12.COT.MERCADO'!A:I,8,0)))),"Em Elaboração")</f>
        <v>19.2</v>
      </c>
      <c r="J673" s="259">
        <f t="shared" si="137"/>
        <v>0</v>
      </c>
      <c r="K673" s="259">
        <f t="shared" si="138"/>
        <v>22.48962403</v>
      </c>
      <c r="L673" s="259">
        <f t="shared" si="139"/>
        <v>22.48962403</v>
      </c>
      <c r="M673" s="259">
        <f t="shared" si="140"/>
        <v>0</v>
      </c>
      <c r="N673" s="259">
        <f t="shared" si="141"/>
        <v>44.97924807</v>
      </c>
      <c r="O673" s="259">
        <f t="shared" si="142"/>
        <v>44.97924807</v>
      </c>
      <c r="P673" s="260">
        <f t="shared" si="2"/>
        <v>0.00003518610704</v>
      </c>
    </row>
    <row r="674">
      <c r="A674" s="253" t="s">
        <v>827</v>
      </c>
      <c r="B674" s="254">
        <v>3528.0</v>
      </c>
      <c r="C674" s="255" t="str">
        <f t="shared" si="136"/>
        <v>SINAPI</v>
      </c>
      <c r="D674" s="256" t="s">
        <v>286</v>
      </c>
      <c r="E674" s="257" t="str">
        <f>IFERROR(IF(D674="SINAPI-S",VLOOKUP(B674,'20-B.SINAPI-S'!A:J,2,0),IF(D674="SINAPI-I",VLOOKUP(B674,'20-A.SINAPI-I'!A:G,2,0),IF(D674="COMPOSIÇÕES",VLOOKUP(B674,'11.COMPOSIÇÕES GERAIS'!B:I,2,0),VLOOKUP(B674,'12.COT.MERCADO'!A:I,2,0)))),"Em Elaboração")</f>
        <v>JOELHO PVC, SOLDAVEL, PB, 45 GRAUS, DN 100 MM, PARA ESGOTO PREDIAL</v>
      </c>
      <c r="F674" s="258" t="str">
        <f>IFERROR(IF(D674="SINAPI-S",VLOOKUP(B674,'20-B.SINAPI-S'!A:J,3,0),IF(D674="SINAPI-I",VLOOKUP(B674,'20-A.SINAPI-I'!A:G,3,0),IF(D674="COMPOSIÇÕES",VLOOKUP(B674,'11.COMPOSIÇÕES GERAIS'!B:I,3,0),VLOOKUP(B674,'12.COT.MERCADO'!A:I,7,0)))),"Em Elaboração")</f>
        <v>UN</v>
      </c>
      <c r="G674" s="254">
        <v>2.0</v>
      </c>
      <c r="H674" s="259">
        <f>IFERROR(IF(D674="SINAPI-S",VLOOKUP(B674,'20-B.SINAPI-S'!A:J,5,0),IF(D674="SINAPI-I",VLOOKUP(B674,'20-A.SINAPI-I'!A:G,6,0),IF(D674="COMPOSIÇÕES",VLOOKUP(B674,'11.COMPOSIÇÕES GERAIS'!B:I,7,0),0))),"Em Elaboração")</f>
        <v>0</v>
      </c>
      <c r="I674" s="259">
        <f>IFERROR(IF(D674="SINAPI-S",VLOOKUP(B674,'20-B.SINAPI-S'!A:J,6,0),IF(D674="SINAPI-I",VLOOKUP(B674,'20-A.SINAPI-I'!A:G,7,0),IF(D674="COMPOSIÇÕES",VLOOKUP(B674,'11.COMPOSIÇÕES GERAIS'!B:I,8,0),VLOOKUP(B674,'12.COT.MERCADO'!A:I,8,0)))),"Em Elaboração")</f>
        <v>10.43</v>
      </c>
      <c r="J674" s="259">
        <f t="shared" si="137"/>
        <v>0</v>
      </c>
      <c r="K674" s="259">
        <f t="shared" si="138"/>
        <v>12.21701972</v>
      </c>
      <c r="L674" s="259">
        <f t="shared" si="139"/>
        <v>12.21701972</v>
      </c>
      <c r="M674" s="259">
        <f t="shared" si="140"/>
        <v>0</v>
      </c>
      <c r="N674" s="259">
        <f t="shared" si="141"/>
        <v>24.43403945</v>
      </c>
      <c r="O674" s="259">
        <f t="shared" si="142"/>
        <v>24.43403945</v>
      </c>
      <c r="P674" s="260">
        <f t="shared" si="2"/>
        <v>0.00001911411961</v>
      </c>
    </row>
    <row r="675">
      <c r="A675" s="253" t="s">
        <v>828</v>
      </c>
      <c r="B675" s="254">
        <v>3516.0</v>
      </c>
      <c r="C675" s="255" t="str">
        <f t="shared" si="136"/>
        <v>SINAPI</v>
      </c>
      <c r="D675" s="256" t="s">
        <v>286</v>
      </c>
      <c r="E675" s="257" t="str">
        <f>IFERROR(IF(D675="SINAPI-S",VLOOKUP(B675,'20-B.SINAPI-S'!A:J,2,0),IF(D675="SINAPI-I",VLOOKUP(B675,'20-A.SINAPI-I'!A:G,2,0),IF(D675="COMPOSIÇÕES",VLOOKUP(B675,'11.COMPOSIÇÕES GERAIS'!B:I,2,0),VLOOKUP(B675,'12.COT.MERCADO'!A:I,2,0)))),"Em Elaboração")</f>
        <v>JOELHO PVC, SOLDAVEL, BB, 45 GRAUS, DN 40 MM, PARA ESGOTO PREDIAL</v>
      </c>
      <c r="F675" s="258" t="str">
        <f>IFERROR(IF(D675="SINAPI-S",VLOOKUP(B675,'20-B.SINAPI-S'!A:J,3,0),IF(D675="SINAPI-I",VLOOKUP(B675,'20-A.SINAPI-I'!A:G,3,0),IF(D675="COMPOSIÇÕES",VLOOKUP(B675,'11.COMPOSIÇÕES GERAIS'!B:I,3,0),VLOOKUP(B675,'12.COT.MERCADO'!A:I,7,0)))),"Em Elaboração")</f>
        <v>UN</v>
      </c>
      <c r="G675" s="254">
        <v>2.0</v>
      </c>
      <c r="H675" s="259">
        <f>IFERROR(IF(D675="SINAPI-S",VLOOKUP(B675,'20-B.SINAPI-S'!A:J,5,0),IF(D675="SINAPI-I",VLOOKUP(B675,'20-A.SINAPI-I'!A:G,6,0),IF(D675="COMPOSIÇÕES",VLOOKUP(B675,'11.COMPOSIÇÕES GERAIS'!B:I,7,0),0))),"Em Elaboração")</f>
        <v>0</v>
      </c>
      <c r="I675" s="259">
        <f>IFERROR(IF(D675="SINAPI-S",VLOOKUP(B675,'20-B.SINAPI-S'!A:J,6,0),IF(D675="SINAPI-I",VLOOKUP(B675,'20-A.SINAPI-I'!A:G,7,0),IF(D675="COMPOSIÇÕES",VLOOKUP(B675,'11.COMPOSIÇÕES GERAIS'!B:I,8,0),VLOOKUP(B675,'12.COT.MERCADO'!A:I,8,0)))),"Em Elaboração")</f>
        <v>2.67</v>
      </c>
      <c r="J675" s="259">
        <f t="shared" si="137"/>
        <v>0</v>
      </c>
      <c r="K675" s="259">
        <f t="shared" si="138"/>
        <v>3.127463342</v>
      </c>
      <c r="L675" s="259">
        <f t="shared" si="139"/>
        <v>3.127463342</v>
      </c>
      <c r="M675" s="259">
        <f t="shared" si="140"/>
        <v>0</v>
      </c>
      <c r="N675" s="259">
        <f t="shared" si="141"/>
        <v>6.254926685</v>
      </c>
      <c r="O675" s="259">
        <f t="shared" si="142"/>
        <v>6.254926685</v>
      </c>
      <c r="P675" s="260">
        <f t="shared" si="2"/>
        <v>0.000004893068011</v>
      </c>
    </row>
    <row r="676">
      <c r="A676" s="253" t="s">
        <v>829</v>
      </c>
      <c r="B676" s="254">
        <v>3518.0</v>
      </c>
      <c r="C676" s="255" t="str">
        <f t="shared" si="136"/>
        <v>SINAPI</v>
      </c>
      <c r="D676" s="256" t="s">
        <v>286</v>
      </c>
      <c r="E676" s="257" t="str">
        <f>IFERROR(IF(D676="SINAPI-S",VLOOKUP(B676,'20-B.SINAPI-S'!A:J,2,0),IF(D676="SINAPI-I",VLOOKUP(B676,'20-A.SINAPI-I'!A:G,2,0),IF(D676="COMPOSIÇÕES",VLOOKUP(B676,'11.COMPOSIÇÕES GERAIS'!B:I,2,0),VLOOKUP(B676,'12.COT.MERCADO'!A:I,2,0)))),"Em Elaboração")</f>
        <v>JOELHO PVC, SOLDAVEL, PB, 45 GRAUS, DN 50 MM, PARA ESGOTO PREDIAL</v>
      </c>
      <c r="F676" s="258" t="str">
        <f>IFERROR(IF(D676="SINAPI-S",VLOOKUP(B676,'20-B.SINAPI-S'!A:J,3,0),IF(D676="SINAPI-I",VLOOKUP(B676,'20-A.SINAPI-I'!A:G,3,0),IF(D676="COMPOSIÇÕES",VLOOKUP(B676,'11.COMPOSIÇÕES GERAIS'!B:I,3,0),VLOOKUP(B676,'12.COT.MERCADO'!A:I,7,0)))),"Em Elaboração")</f>
        <v>UN</v>
      </c>
      <c r="G676" s="254">
        <v>2.0</v>
      </c>
      <c r="H676" s="259">
        <f>IFERROR(IF(D676="SINAPI-S",VLOOKUP(B676,'20-B.SINAPI-S'!A:J,5,0),IF(D676="SINAPI-I",VLOOKUP(B676,'20-A.SINAPI-I'!A:G,6,0),IF(D676="COMPOSIÇÕES",VLOOKUP(B676,'11.COMPOSIÇÕES GERAIS'!B:I,7,0),0))),"Em Elaboração")</f>
        <v>0</v>
      </c>
      <c r="I676" s="259">
        <f>IFERROR(IF(D676="SINAPI-S",VLOOKUP(B676,'20-B.SINAPI-S'!A:J,6,0),IF(D676="SINAPI-I",VLOOKUP(B676,'20-A.SINAPI-I'!A:G,7,0),IF(D676="COMPOSIÇÕES",VLOOKUP(B676,'11.COMPOSIÇÕES GERAIS'!B:I,8,0),VLOOKUP(B676,'12.COT.MERCADO'!A:I,8,0)))),"Em Elaboração")</f>
        <v>4.32</v>
      </c>
      <c r="J676" s="259">
        <f t="shared" si="137"/>
        <v>0</v>
      </c>
      <c r="K676" s="259">
        <f t="shared" si="138"/>
        <v>5.060165408</v>
      </c>
      <c r="L676" s="259">
        <f t="shared" si="139"/>
        <v>5.060165408</v>
      </c>
      <c r="M676" s="259">
        <f t="shared" si="140"/>
        <v>0</v>
      </c>
      <c r="N676" s="259">
        <f t="shared" si="141"/>
        <v>10.12033082</v>
      </c>
      <c r="O676" s="259">
        <f t="shared" si="142"/>
        <v>10.12033082</v>
      </c>
      <c r="P676" s="260">
        <f t="shared" si="2"/>
        <v>0.000007916874085</v>
      </c>
    </row>
    <row r="677">
      <c r="A677" s="253" t="s">
        <v>830</v>
      </c>
      <c r="B677" s="254">
        <v>3520.0</v>
      </c>
      <c r="C677" s="255" t="str">
        <f t="shared" si="136"/>
        <v>SINAPI</v>
      </c>
      <c r="D677" s="256" t="s">
        <v>286</v>
      </c>
      <c r="E677" s="257" t="str">
        <f>IFERROR(IF(D677="SINAPI-S",VLOOKUP(B677,'20-B.SINAPI-S'!A:J,2,0),IF(D677="SINAPI-I",VLOOKUP(B677,'20-A.SINAPI-I'!A:G,2,0),IF(D677="COMPOSIÇÕES",VLOOKUP(B677,'11.COMPOSIÇÕES GERAIS'!B:I,2,0),VLOOKUP(B677,'12.COT.MERCADO'!A:I,2,0)))),"Em Elaboração")</f>
        <v>JOELHO PVC, SOLDAVEL, PB, 90 GRAUS, DN 100 MM, PARA ESGOTO PREDIAL</v>
      </c>
      <c r="F677" s="258" t="str">
        <f>IFERROR(IF(D677="SINAPI-S",VLOOKUP(B677,'20-B.SINAPI-S'!A:J,3,0),IF(D677="SINAPI-I",VLOOKUP(B677,'20-A.SINAPI-I'!A:G,3,0),IF(D677="COMPOSIÇÕES",VLOOKUP(B677,'11.COMPOSIÇÕES GERAIS'!B:I,3,0),VLOOKUP(B677,'12.COT.MERCADO'!A:I,7,0)))),"Em Elaboração")</f>
        <v>UN</v>
      </c>
      <c r="G677" s="254">
        <v>2.0</v>
      </c>
      <c r="H677" s="259">
        <f>IFERROR(IF(D677="SINAPI-S",VLOOKUP(B677,'20-B.SINAPI-S'!A:J,5,0),IF(D677="SINAPI-I",VLOOKUP(B677,'20-A.SINAPI-I'!A:G,6,0),IF(D677="COMPOSIÇÕES",VLOOKUP(B677,'11.COMPOSIÇÕES GERAIS'!B:I,7,0),0))),"Em Elaboração")</f>
        <v>0</v>
      </c>
      <c r="I677" s="259">
        <f>IFERROR(IF(D677="SINAPI-S",VLOOKUP(B677,'20-B.SINAPI-S'!A:J,6,0),IF(D677="SINAPI-I",VLOOKUP(B677,'20-A.SINAPI-I'!A:G,7,0),IF(D677="COMPOSIÇÕES",VLOOKUP(B677,'11.COMPOSIÇÕES GERAIS'!B:I,8,0),VLOOKUP(B677,'12.COT.MERCADO'!A:I,8,0)))),"Em Elaboração")</f>
        <v>9.48</v>
      </c>
      <c r="J677" s="259">
        <f t="shared" si="137"/>
        <v>0</v>
      </c>
      <c r="K677" s="259">
        <f t="shared" si="138"/>
        <v>11.10425187</v>
      </c>
      <c r="L677" s="259">
        <f t="shared" si="139"/>
        <v>11.10425187</v>
      </c>
      <c r="M677" s="259">
        <f t="shared" si="140"/>
        <v>0</v>
      </c>
      <c r="N677" s="259">
        <f t="shared" si="141"/>
        <v>22.20850373</v>
      </c>
      <c r="O677" s="259">
        <f t="shared" si="142"/>
        <v>22.20850373</v>
      </c>
      <c r="P677" s="260">
        <f t="shared" si="2"/>
        <v>0.00001737314035</v>
      </c>
    </row>
    <row r="678">
      <c r="A678" s="253" t="s">
        <v>831</v>
      </c>
      <c r="B678" s="254">
        <v>10835.0</v>
      </c>
      <c r="C678" s="255" t="str">
        <f t="shared" si="136"/>
        <v>SINAPI</v>
      </c>
      <c r="D678" s="256" t="s">
        <v>286</v>
      </c>
      <c r="E678" s="257" t="str">
        <f>IFERROR(IF(D678="SINAPI-S",VLOOKUP(B678,'20-B.SINAPI-S'!A:J,2,0),IF(D678="SINAPI-I",VLOOKUP(B678,'20-A.SINAPI-I'!A:G,2,0),IF(D678="COMPOSIÇÕES",VLOOKUP(B678,'11.COMPOSIÇÕES GERAIS'!B:I,2,0),VLOOKUP(B678,'12.COT.MERCADO'!A:I,2,0)))),"Em Elaboração")</f>
        <v>JOELHO PVC, COM BOLSA E ANEL, 90 GRAUS, DN 40 X *38* MM, SERIE NORMAL, PARA ESGOTO PREDIAL</v>
      </c>
      <c r="F678" s="258" t="str">
        <f>IFERROR(IF(D678="SINAPI-S",VLOOKUP(B678,'20-B.SINAPI-S'!A:J,3,0),IF(D678="SINAPI-I",VLOOKUP(B678,'20-A.SINAPI-I'!A:G,3,0),IF(D678="COMPOSIÇÕES",VLOOKUP(B678,'11.COMPOSIÇÕES GERAIS'!B:I,3,0),VLOOKUP(B678,'12.COT.MERCADO'!A:I,7,0)))),"Em Elaboração")</f>
        <v>UN</v>
      </c>
      <c r="G678" s="254">
        <v>2.0</v>
      </c>
      <c r="H678" s="259">
        <f>IFERROR(IF(D678="SINAPI-S",VLOOKUP(B678,'20-B.SINAPI-S'!A:J,5,0),IF(D678="SINAPI-I",VLOOKUP(B678,'20-A.SINAPI-I'!A:G,6,0),IF(D678="COMPOSIÇÕES",VLOOKUP(B678,'11.COMPOSIÇÕES GERAIS'!B:I,7,0),0))),"Em Elaboração")</f>
        <v>0</v>
      </c>
      <c r="I678" s="259">
        <f>IFERROR(IF(D678="SINAPI-S",VLOOKUP(B678,'20-B.SINAPI-S'!A:J,6,0),IF(D678="SINAPI-I",VLOOKUP(B678,'20-A.SINAPI-I'!A:G,7,0),IF(D678="COMPOSIÇÕES",VLOOKUP(B678,'11.COMPOSIÇÕES GERAIS'!B:I,8,0),VLOOKUP(B678,'12.COT.MERCADO'!A:I,8,0)))),"Em Elaboração")</f>
        <v>6.46</v>
      </c>
      <c r="J678" s="259">
        <f t="shared" si="137"/>
        <v>0</v>
      </c>
      <c r="K678" s="259">
        <f t="shared" si="138"/>
        <v>7.56682142</v>
      </c>
      <c r="L678" s="259">
        <f t="shared" si="139"/>
        <v>7.56682142</v>
      </c>
      <c r="M678" s="259">
        <f t="shared" si="140"/>
        <v>0</v>
      </c>
      <c r="N678" s="259">
        <f t="shared" si="141"/>
        <v>15.13364284</v>
      </c>
      <c r="O678" s="259">
        <f t="shared" si="142"/>
        <v>15.13364284</v>
      </c>
      <c r="P678" s="260">
        <f t="shared" si="2"/>
        <v>0.00001183865893</v>
      </c>
    </row>
    <row r="679">
      <c r="A679" s="253" t="s">
        <v>832</v>
      </c>
      <c r="B679" s="254">
        <v>10836.0</v>
      </c>
      <c r="C679" s="255" t="str">
        <f t="shared" si="136"/>
        <v>SINAPI</v>
      </c>
      <c r="D679" s="256" t="s">
        <v>286</v>
      </c>
      <c r="E679" s="257" t="str">
        <f>IFERROR(IF(D679="SINAPI-S",VLOOKUP(B679,'20-B.SINAPI-S'!A:J,2,0),IF(D679="SINAPI-I",VLOOKUP(B679,'20-A.SINAPI-I'!A:G,2,0),IF(D679="COMPOSIÇÕES",VLOOKUP(B679,'11.COMPOSIÇÕES GERAIS'!B:I,2,0),VLOOKUP(B679,'12.COT.MERCADO'!A:I,2,0)))),"Em Elaboração")</f>
        <v>JOELHO PVC COM VISITA, 90 GRAUS, DN 100 X 50 MM, SERIE NORMAL, PARA ESGOTO PREDIAL</v>
      </c>
      <c r="F679" s="258" t="str">
        <f>IFERROR(IF(D679="SINAPI-S",VLOOKUP(B679,'20-B.SINAPI-S'!A:J,3,0),IF(D679="SINAPI-I",VLOOKUP(B679,'20-A.SINAPI-I'!A:G,3,0),IF(D679="COMPOSIÇÕES",VLOOKUP(B679,'11.COMPOSIÇÕES GERAIS'!B:I,3,0),VLOOKUP(B679,'12.COT.MERCADO'!A:I,7,0)))),"Em Elaboração")</f>
        <v>UN</v>
      </c>
      <c r="G679" s="254">
        <v>2.0</v>
      </c>
      <c r="H679" s="259">
        <f>IFERROR(IF(D679="SINAPI-S",VLOOKUP(B679,'20-B.SINAPI-S'!A:J,5,0),IF(D679="SINAPI-I",VLOOKUP(B679,'20-A.SINAPI-I'!A:G,6,0),IF(D679="COMPOSIÇÕES",VLOOKUP(B679,'11.COMPOSIÇÕES GERAIS'!B:I,7,0),0))),"Em Elaboração")</f>
        <v>0</v>
      </c>
      <c r="I679" s="259">
        <f>IFERROR(IF(D679="SINAPI-S",VLOOKUP(B679,'20-B.SINAPI-S'!A:J,6,0),IF(D679="SINAPI-I",VLOOKUP(B679,'20-A.SINAPI-I'!A:G,7,0),IF(D679="COMPOSIÇÕES",VLOOKUP(B679,'11.COMPOSIÇÕES GERAIS'!B:I,8,0),VLOOKUP(B679,'12.COT.MERCADO'!A:I,8,0)))),"Em Elaboração")</f>
        <v>23.16</v>
      </c>
      <c r="J679" s="259">
        <f t="shared" si="137"/>
        <v>0</v>
      </c>
      <c r="K679" s="259">
        <f t="shared" si="138"/>
        <v>27.12810899</v>
      </c>
      <c r="L679" s="259">
        <f t="shared" si="139"/>
        <v>27.12810899</v>
      </c>
      <c r="M679" s="259">
        <f t="shared" si="140"/>
        <v>0</v>
      </c>
      <c r="N679" s="259">
        <f t="shared" si="141"/>
        <v>54.25621798</v>
      </c>
      <c r="O679" s="259">
        <f t="shared" si="142"/>
        <v>54.25621798</v>
      </c>
      <c r="P679" s="260">
        <f t="shared" si="2"/>
        <v>0.00004244324162</v>
      </c>
    </row>
    <row r="680">
      <c r="A680" s="253" t="s">
        <v>833</v>
      </c>
      <c r="B680" s="254">
        <v>3669.0</v>
      </c>
      <c r="C680" s="255" t="str">
        <f t="shared" si="136"/>
        <v>SINAPI</v>
      </c>
      <c r="D680" s="256" t="s">
        <v>286</v>
      </c>
      <c r="E680" s="257" t="str">
        <f>IFERROR(IF(D680="SINAPI-S",VLOOKUP(B680,'20-B.SINAPI-S'!A:J,2,0),IF(D680="SINAPI-I",VLOOKUP(B680,'20-A.SINAPI-I'!A:G,2,0),IF(D680="COMPOSIÇÕES",VLOOKUP(B680,'11.COMPOSIÇÕES GERAIS'!B:I,2,0),VLOOKUP(B680,'12.COT.MERCADO'!A:I,2,0)))),"Em Elaboração")</f>
        <v>JUNCAO DE REDUCAO INVERTIDA, PVC SOLDAVEL, 75 X 50 MM, SERIE NORMAL PARA ESGOTO PREDIAL</v>
      </c>
      <c r="F680" s="258" t="str">
        <f>IFERROR(IF(D680="SINAPI-S",VLOOKUP(B680,'20-B.SINAPI-S'!A:J,3,0),IF(D680="SINAPI-I",VLOOKUP(B680,'20-A.SINAPI-I'!A:G,3,0),IF(D680="COMPOSIÇÕES",VLOOKUP(B680,'11.COMPOSIÇÕES GERAIS'!B:I,3,0),VLOOKUP(B680,'12.COT.MERCADO'!A:I,7,0)))),"Em Elaboração")</f>
        <v>UN</v>
      </c>
      <c r="G680" s="254">
        <v>2.0</v>
      </c>
      <c r="H680" s="259">
        <f>IFERROR(IF(D680="SINAPI-S",VLOOKUP(B680,'20-B.SINAPI-S'!A:J,5,0),IF(D680="SINAPI-I",VLOOKUP(B680,'20-A.SINAPI-I'!A:G,6,0),IF(D680="COMPOSIÇÕES",VLOOKUP(B680,'11.COMPOSIÇÕES GERAIS'!B:I,7,0),0))),"Em Elaboração")</f>
        <v>0</v>
      </c>
      <c r="I680" s="259">
        <f>IFERROR(IF(D680="SINAPI-S",VLOOKUP(B680,'20-B.SINAPI-S'!A:J,6,0),IF(D680="SINAPI-I",VLOOKUP(B680,'20-A.SINAPI-I'!A:G,7,0),IF(D680="COMPOSIÇÕES",VLOOKUP(B680,'11.COMPOSIÇÕES GERAIS'!B:I,8,0),VLOOKUP(B680,'12.COT.MERCADO'!A:I,8,0)))),"Em Elaboração")</f>
        <v>15.55</v>
      </c>
      <c r="J680" s="259">
        <f t="shared" si="137"/>
        <v>0</v>
      </c>
      <c r="K680" s="259">
        <f t="shared" si="138"/>
        <v>18.2142528</v>
      </c>
      <c r="L680" s="259">
        <f t="shared" si="139"/>
        <v>18.2142528</v>
      </c>
      <c r="M680" s="259">
        <f t="shared" si="140"/>
        <v>0</v>
      </c>
      <c r="N680" s="259">
        <f t="shared" si="141"/>
        <v>36.4285056</v>
      </c>
      <c r="O680" s="259">
        <f t="shared" si="142"/>
        <v>36.4285056</v>
      </c>
      <c r="P680" s="260">
        <f t="shared" si="2"/>
        <v>0.00002849708149</v>
      </c>
    </row>
    <row r="681">
      <c r="A681" s="253" t="s">
        <v>834</v>
      </c>
      <c r="B681" s="254">
        <v>10911.0</v>
      </c>
      <c r="C681" s="255" t="str">
        <f t="shared" si="136"/>
        <v>SINAPI</v>
      </c>
      <c r="D681" s="256" t="s">
        <v>286</v>
      </c>
      <c r="E681" s="257" t="str">
        <f>IFERROR(IF(D681="SINAPI-S",VLOOKUP(B681,'20-B.SINAPI-S'!A:J,2,0),IF(D681="SINAPI-I",VLOOKUP(B681,'20-A.SINAPI-I'!A:G,2,0),IF(D681="COMPOSIÇÕES",VLOOKUP(B681,'11.COMPOSIÇÕES GERAIS'!B:I,2,0),VLOOKUP(B681,'12.COT.MERCADO'!A:I,2,0)))),"Em Elaboração")</f>
        <v>JUNCAO INVERTIDA, PVC SOLDAVEL, 75 X 75 MM, SERIE NORMAL PARA ESGOTO PREDIAL</v>
      </c>
      <c r="F681" s="258" t="str">
        <f>IFERROR(IF(D681="SINAPI-S",VLOOKUP(B681,'20-B.SINAPI-S'!A:J,3,0),IF(D681="SINAPI-I",VLOOKUP(B681,'20-A.SINAPI-I'!A:G,3,0),IF(D681="COMPOSIÇÕES",VLOOKUP(B681,'11.COMPOSIÇÕES GERAIS'!B:I,3,0),VLOOKUP(B681,'12.COT.MERCADO'!A:I,7,0)))),"Em Elaboração")</f>
        <v>UN</v>
      </c>
      <c r="G681" s="254">
        <v>2.0</v>
      </c>
      <c r="H681" s="259">
        <f>IFERROR(IF(D681="SINAPI-S",VLOOKUP(B681,'20-B.SINAPI-S'!A:J,5,0),IF(D681="SINAPI-I",VLOOKUP(B681,'20-A.SINAPI-I'!A:G,6,0),IF(D681="COMPOSIÇÕES",VLOOKUP(B681,'11.COMPOSIÇÕES GERAIS'!B:I,7,0),0))),"Em Elaboração")</f>
        <v>0</v>
      </c>
      <c r="I681" s="259">
        <f>IFERROR(IF(D681="SINAPI-S",VLOOKUP(B681,'20-B.SINAPI-S'!A:J,6,0),IF(D681="SINAPI-I",VLOOKUP(B681,'20-A.SINAPI-I'!A:G,7,0),IF(D681="COMPOSIÇÕES",VLOOKUP(B681,'11.COMPOSIÇÕES GERAIS'!B:I,8,0),VLOOKUP(B681,'12.COT.MERCADO'!A:I,8,0)))),"Em Elaboração")</f>
        <v>20.94</v>
      </c>
      <c r="J681" s="259">
        <f t="shared" si="137"/>
        <v>0</v>
      </c>
      <c r="K681" s="259">
        <f t="shared" si="138"/>
        <v>24.52774621</v>
      </c>
      <c r="L681" s="259">
        <f t="shared" si="139"/>
        <v>24.52774621</v>
      </c>
      <c r="M681" s="259">
        <f t="shared" si="140"/>
        <v>0</v>
      </c>
      <c r="N681" s="259">
        <f t="shared" si="141"/>
        <v>49.05549243</v>
      </c>
      <c r="O681" s="259">
        <f t="shared" si="142"/>
        <v>49.05549243</v>
      </c>
      <c r="P681" s="260">
        <f t="shared" si="2"/>
        <v>0.000038374848</v>
      </c>
    </row>
    <row r="682">
      <c r="A682" s="253" t="s">
        <v>835</v>
      </c>
      <c r="B682" s="254">
        <v>3670.0</v>
      </c>
      <c r="C682" s="255" t="str">
        <f t="shared" si="136"/>
        <v>SINAPI</v>
      </c>
      <c r="D682" s="256" t="s">
        <v>286</v>
      </c>
      <c r="E682" s="257" t="str">
        <f>IFERROR(IF(D682="SINAPI-S",VLOOKUP(B682,'20-B.SINAPI-S'!A:J,2,0),IF(D682="SINAPI-I",VLOOKUP(B682,'20-A.SINAPI-I'!A:G,2,0),IF(D682="COMPOSIÇÕES",VLOOKUP(B682,'11.COMPOSIÇÕES GERAIS'!B:I,2,0),VLOOKUP(B682,'12.COT.MERCADO'!A:I,2,0)))),"Em Elaboração")</f>
        <v>JUNCAO SIMPLES, PVC, 45 GRAUS, DN 100 X 100 MM, SERIE NORMAL PARA ESGOTO PREDIAL</v>
      </c>
      <c r="F682" s="258" t="str">
        <f>IFERROR(IF(D682="SINAPI-S",VLOOKUP(B682,'20-B.SINAPI-S'!A:J,3,0),IF(D682="SINAPI-I",VLOOKUP(B682,'20-A.SINAPI-I'!A:G,3,0),IF(D682="COMPOSIÇÕES",VLOOKUP(B682,'11.COMPOSIÇÕES GERAIS'!B:I,3,0),VLOOKUP(B682,'12.COT.MERCADO'!A:I,7,0)))),"Em Elaboração")</f>
        <v>UN</v>
      </c>
      <c r="G682" s="254">
        <v>2.0</v>
      </c>
      <c r="H682" s="259">
        <f>IFERROR(IF(D682="SINAPI-S",VLOOKUP(B682,'20-B.SINAPI-S'!A:J,5,0),IF(D682="SINAPI-I",VLOOKUP(B682,'20-A.SINAPI-I'!A:G,6,0),IF(D682="COMPOSIÇÕES",VLOOKUP(B682,'11.COMPOSIÇÕES GERAIS'!B:I,7,0),0))),"Em Elaboração")</f>
        <v>0</v>
      </c>
      <c r="I682" s="259">
        <f>IFERROR(IF(D682="SINAPI-S",VLOOKUP(B682,'20-B.SINAPI-S'!A:J,6,0),IF(D682="SINAPI-I",VLOOKUP(B682,'20-A.SINAPI-I'!A:G,7,0),IF(D682="COMPOSIÇÕES",VLOOKUP(B682,'11.COMPOSIÇÕES GERAIS'!B:I,8,0),VLOOKUP(B682,'12.COT.MERCADO'!A:I,8,0)))),"Em Elaboração")</f>
        <v>27.4</v>
      </c>
      <c r="J682" s="259">
        <f t="shared" si="137"/>
        <v>0</v>
      </c>
      <c r="K682" s="259">
        <f t="shared" si="138"/>
        <v>32.09456763</v>
      </c>
      <c r="L682" s="259">
        <f t="shared" si="139"/>
        <v>32.09456763</v>
      </c>
      <c r="M682" s="259">
        <f t="shared" si="140"/>
        <v>0</v>
      </c>
      <c r="N682" s="259">
        <f t="shared" si="141"/>
        <v>64.18913527</v>
      </c>
      <c r="O682" s="259">
        <f t="shared" si="142"/>
        <v>64.18913527</v>
      </c>
      <c r="P682" s="260">
        <f t="shared" si="2"/>
        <v>0.00005021350693</v>
      </c>
    </row>
    <row r="683">
      <c r="A683" s="253" t="s">
        <v>836</v>
      </c>
      <c r="B683" s="254">
        <v>3659.0</v>
      </c>
      <c r="C683" s="255" t="str">
        <f t="shared" si="136"/>
        <v>SINAPI</v>
      </c>
      <c r="D683" s="256" t="s">
        <v>286</v>
      </c>
      <c r="E683" s="257" t="str">
        <f>IFERROR(IF(D683="SINAPI-S",VLOOKUP(B683,'20-B.SINAPI-S'!A:J,2,0),IF(D683="SINAPI-I",VLOOKUP(B683,'20-A.SINAPI-I'!A:G,2,0),IF(D683="COMPOSIÇÕES",VLOOKUP(B683,'11.COMPOSIÇÕES GERAIS'!B:I,2,0),VLOOKUP(B683,'12.COT.MERCADO'!A:I,2,0)))),"Em Elaboração")</f>
        <v>JUNCAO SIMPLES DE REDUCAO, PVC, DN 100 X 50 MM, SERIE NORMAL PARA ESGOTO PREDIAL</v>
      </c>
      <c r="F683" s="258" t="str">
        <f>IFERROR(IF(D683="SINAPI-S",VLOOKUP(B683,'20-B.SINAPI-S'!A:J,3,0),IF(D683="SINAPI-I",VLOOKUP(B683,'20-A.SINAPI-I'!A:G,3,0),IF(D683="COMPOSIÇÕES",VLOOKUP(B683,'11.COMPOSIÇÕES GERAIS'!B:I,3,0),VLOOKUP(B683,'12.COT.MERCADO'!A:I,7,0)))),"Em Elaboração")</f>
        <v>UN</v>
      </c>
      <c r="G683" s="254">
        <v>2.0</v>
      </c>
      <c r="H683" s="259">
        <f>IFERROR(IF(D683="SINAPI-S",VLOOKUP(B683,'20-B.SINAPI-S'!A:J,5,0),IF(D683="SINAPI-I",VLOOKUP(B683,'20-A.SINAPI-I'!A:G,6,0),IF(D683="COMPOSIÇÕES",VLOOKUP(B683,'11.COMPOSIÇÕES GERAIS'!B:I,7,0),0))),"Em Elaboração")</f>
        <v>0</v>
      </c>
      <c r="I683" s="259">
        <f>IFERROR(IF(D683="SINAPI-S",VLOOKUP(B683,'20-B.SINAPI-S'!A:J,6,0),IF(D683="SINAPI-I",VLOOKUP(B683,'20-A.SINAPI-I'!A:G,7,0),IF(D683="COMPOSIÇÕES",VLOOKUP(B683,'11.COMPOSIÇÕES GERAIS'!B:I,8,0),VLOOKUP(B683,'12.COT.MERCADO'!A:I,8,0)))),"Em Elaboração")</f>
        <v>21.34</v>
      </c>
      <c r="J683" s="259">
        <f t="shared" si="137"/>
        <v>0</v>
      </c>
      <c r="K683" s="259">
        <f t="shared" si="138"/>
        <v>24.99628005</v>
      </c>
      <c r="L683" s="259">
        <f t="shared" si="139"/>
        <v>24.99628005</v>
      </c>
      <c r="M683" s="259">
        <f t="shared" si="140"/>
        <v>0</v>
      </c>
      <c r="N683" s="259">
        <f t="shared" si="141"/>
        <v>49.99256009</v>
      </c>
      <c r="O683" s="259">
        <f t="shared" si="142"/>
        <v>49.99256009</v>
      </c>
      <c r="P683" s="260">
        <f t="shared" si="2"/>
        <v>0.00003910789189</v>
      </c>
    </row>
    <row r="684">
      <c r="A684" s="253" t="s">
        <v>837</v>
      </c>
      <c r="B684" s="254">
        <v>3660.0</v>
      </c>
      <c r="C684" s="255" t="str">
        <f t="shared" si="136"/>
        <v>SINAPI</v>
      </c>
      <c r="D684" s="256" t="s">
        <v>286</v>
      </c>
      <c r="E684" s="257" t="str">
        <f>IFERROR(IF(D684="SINAPI-S",VLOOKUP(B684,'20-B.SINAPI-S'!A:J,2,0),IF(D684="SINAPI-I",VLOOKUP(B684,'20-A.SINAPI-I'!A:G,2,0),IF(D684="COMPOSIÇÕES",VLOOKUP(B684,'11.COMPOSIÇÕES GERAIS'!B:I,2,0),VLOOKUP(B684,'12.COT.MERCADO'!A:I,2,0)))),"Em Elaboração")</f>
        <v>JUNCAO SIMPLES DE REDUCAO, PVC, DN 100 X 75 MM, SERIE NORMAL PARA ESGOTO PREDIAL</v>
      </c>
      <c r="F684" s="258" t="str">
        <f>IFERROR(IF(D684="SINAPI-S",VLOOKUP(B684,'20-B.SINAPI-S'!A:J,3,0),IF(D684="SINAPI-I",VLOOKUP(B684,'20-A.SINAPI-I'!A:G,3,0),IF(D684="COMPOSIÇÕES",VLOOKUP(B684,'11.COMPOSIÇÕES GERAIS'!B:I,3,0),VLOOKUP(B684,'12.COT.MERCADO'!A:I,7,0)))),"Em Elaboração")</f>
        <v>UN</v>
      </c>
      <c r="G684" s="254">
        <v>2.0</v>
      </c>
      <c r="H684" s="259">
        <f>IFERROR(IF(D684="SINAPI-S",VLOOKUP(B684,'20-B.SINAPI-S'!A:J,5,0),IF(D684="SINAPI-I",VLOOKUP(B684,'20-A.SINAPI-I'!A:G,6,0),IF(D684="COMPOSIÇÕES",VLOOKUP(B684,'11.COMPOSIÇÕES GERAIS'!B:I,7,0),0))),"Em Elaboração")</f>
        <v>0</v>
      </c>
      <c r="I684" s="259">
        <f>IFERROR(IF(D684="SINAPI-S",VLOOKUP(B684,'20-B.SINAPI-S'!A:J,6,0),IF(D684="SINAPI-I",VLOOKUP(B684,'20-A.SINAPI-I'!A:G,7,0),IF(D684="COMPOSIÇÕES",VLOOKUP(B684,'11.COMPOSIÇÕES GERAIS'!B:I,8,0),VLOOKUP(B684,'12.COT.MERCADO'!A:I,8,0)))),"Em Elaboração")</f>
        <v>27.59</v>
      </c>
      <c r="J684" s="259">
        <f t="shared" si="137"/>
        <v>0</v>
      </c>
      <c r="K684" s="259">
        <f t="shared" si="138"/>
        <v>32.3171212</v>
      </c>
      <c r="L684" s="259">
        <f t="shared" si="139"/>
        <v>32.3171212</v>
      </c>
      <c r="M684" s="259">
        <f t="shared" si="140"/>
        <v>0</v>
      </c>
      <c r="N684" s="259">
        <f t="shared" si="141"/>
        <v>64.63424241</v>
      </c>
      <c r="O684" s="259">
        <f t="shared" si="142"/>
        <v>64.63424241</v>
      </c>
      <c r="P684" s="260">
        <f t="shared" si="2"/>
        <v>0.00005056170278</v>
      </c>
    </row>
    <row r="685">
      <c r="A685" s="253" t="s">
        <v>838</v>
      </c>
      <c r="B685" s="254">
        <v>3662.0</v>
      </c>
      <c r="C685" s="255" t="str">
        <f t="shared" si="136"/>
        <v>SINAPI</v>
      </c>
      <c r="D685" s="256" t="s">
        <v>286</v>
      </c>
      <c r="E685" s="257" t="str">
        <f>IFERROR(IF(D685="SINAPI-S",VLOOKUP(B685,'20-B.SINAPI-S'!A:J,2,0),IF(D685="SINAPI-I",VLOOKUP(B685,'20-A.SINAPI-I'!A:G,2,0),IF(D685="COMPOSIÇÕES",VLOOKUP(B685,'11.COMPOSIÇÕES GERAIS'!B:I,2,0),VLOOKUP(B685,'12.COT.MERCADO'!A:I,2,0)))),"Em Elaboração")</f>
        <v>JUNCAO SIMPLES, PVC, 45 GRAUS, DN 50 X 50 MM, SERIE NORMAL PARA ESGOTO PREDIAL</v>
      </c>
      <c r="F685" s="258" t="str">
        <f>IFERROR(IF(D685="SINAPI-S",VLOOKUP(B685,'20-B.SINAPI-S'!A:J,3,0),IF(D685="SINAPI-I",VLOOKUP(B685,'20-A.SINAPI-I'!A:G,3,0),IF(D685="COMPOSIÇÕES",VLOOKUP(B685,'11.COMPOSIÇÕES GERAIS'!B:I,3,0),VLOOKUP(B685,'12.COT.MERCADO'!A:I,7,0)))),"Em Elaboração")</f>
        <v>UN</v>
      </c>
      <c r="G685" s="254">
        <v>2.0</v>
      </c>
      <c r="H685" s="259">
        <f>IFERROR(IF(D685="SINAPI-S",VLOOKUP(B685,'20-B.SINAPI-S'!A:J,5,0),IF(D685="SINAPI-I",VLOOKUP(B685,'20-A.SINAPI-I'!A:G,6,0),IF(D685="COMPOSIÇÕES",VLOOKUP(B685,'11.COMPOSIÇÕES GERAIS'!B:I,7,0),0))),"Em Elaboração")</f>
        <v>0</v>
      </c>
      <c r="I685" s="259">
        <f>IFERROR(IF(D685="SINAPI-S",VLOOKUP(B685,'20-B.SINAPI-S'!A:J,6,0),IF(D685="SINAPI-I",VLOOKUP(B685,'20-A.SINAPI-I'!A:G,7,0),IF(D685="COMPOSIÇÕES",VLOOKUP(B685,'11.COMPOSIÇÕES GERAIS'!B:I,8,0),VLOOKUP(B685,'12.COT.MERCADO'!A:I,8,0)))),"Em Elaboração")</f>
        <v>11.24</v>
      </c>
      <c r="J685" s="259">
        <f t="shared" si="137"/>
        <v>0</v>
      </c>
      <c r="K685" s="259">
        <f t="shared" si="138"/>
        <v>13.16580074</v>
      </c>
      <c r="L685" s="259">
        <f t="shared" si="139"/>
        <v>13.16580074</v>
      </c>
      <c r="M685" s="259">
        <f t="shared" si="140"/>
        <v>0</v>
      </c>
      <c r="N685" s="259">
        <f t="shared" si="141"/>
        <v>26.33160147</v>
      </c>
      <c r="O685" s="259">
        <f t="shared" si="142"/>
        <v>26.33160147</v>
      </c>
      <c r="P685" s="260">
        <f t="shared" si="2"/>
        <v>0.0000205985335</v>
      </c>
    </row>
    <row r="686">
      <c r="A686" s="253" t="s">
        <v>839</v>
      </c>
      <c r="B686" s="254">
        <v>3658.0</v>
      </c>
      <c r="C686" s="255" t="str">
        <f t="shared" si="136"/>
        <v>SINAPI</v>
      </c>
      <c r="D686" s="256" t="s">
        <v>286</v>
      </c>
      <c r="E686" s="257" t="str">
        <f>IFERROR(IF(D686="SINAPI-S",VLOOKUP(B686,'20-B.SINAPI-S'!A:J,2,0),IF(D686="SINAPI-I",VLOOKUP(B686,'20-A.SINAPI-I'!A:G,2,0),IF(D686="COMPOSIÇÕES",VLOOKUP(B686,'11.COMPOSIÇÕES GERAIS'!B:I,2,0),VLOOKUP(B686,'12.COT.MERCADO'!A:I,2,0)))),"Em Elaboração")</f>
        <v>JUNCAO SIMPLES, PVC, 45 GRAUS, DN 75 X 75 MM, SERIE NORMAL PARA ESGOTO PREDIAL</v>
      </c>
      <c r="F686" s="258" t="str">
        <f>IFERROR(IF(D686="SINAPI-S",VLOOKUP(B686,'20-B.SINAPI-S'!A:J,3,0),IF(D686="SINAPI-I",VLOOKUP(B686,'20-A.SINAPI-I'!A:G,3,0),IF(D686="COMPOSIÇÕES",VLOOKUP(B686,'11.COMPOSIÇÕES GERAIS'!B:I,3,0),VLOOKUP(B686,'12.COT.MERCADO'!A:I,7,0)))),"Em Elaboração")</f>
        <v>UN</v>
      </c>
      <c r="G686" s="254">
        <v>2.0</v>
      </c>
      <c r="H686" s="259">
        <f>IFERROR(IF(D686="SINAPI-S",VLOOKUP(B686,'20-B.SINAPI-S'!A:J,5,0),IF(D686="SINAPI-I",VLOOKUP(B686,'20-A.SINAPI-I'!A:G,6,0),IF(D686="COMPOSIÇÕES",VLOOKUP(B686,'11.COMPOSIÇÕES GERAIS'!B:I,7,0),0))),"Em Elaboração")</f>
        <v>0</v>
      </c>
      <c r="I686" s="259">
        <f>IFERROR(IF(D686="SINAPI-S",VLOOKUP(B686,'20-B.SINAPI-S'!A:J,6,0),IF(D686="SINAPI-I",VLOOKUP(B686,'20-A.SINAPI-I'!A:G,7,0),IF(D686="COMPOSIÇÕES",VLOOKUP(B686,'11.COMPOSIÇÕES GERAIS'!B:I,8,0),VLOOKUP(B686,'12.COT.MERCADO'!A:I,8,0)))),"Em Elaboração")</f>
        <v>21.3</v>
      </c>
      <c r="J686" s="259">
        <f t="shared" si="137"/>
        <v>0</v>
      </c>
      <c r="K686" s="259">
        <f t="shared" si="138"/>
        <v>24.94942666</v>
      </c>
      <c r="L686" s="259">
        <f t="shared" si="139"/>
        <v>24.94942666</v>
      </c>
      <c r="M686" s="259">
        <f t="shared" si="140"/>
        <v>0</v>
      </c>
      <c r="N686" s="259">
        <f t="shared" si="141"/>
        <v>49.89885333</v>
      </c>
      <c r="O686" s="259">
        <f t="shared" si="142"/>
        <v>49.89885333</v>
      </c>
      <c r="P686" s="260">
        <f t="shared" si="2"/>
        <v>0.0000390345875</v>
      </c>
    </row>
    <row r="687">
      <c r="A687" s="253" t="s">
        <v>840</v>
      </c>
      <c r="B687" s="254">
        <v>3768.0</v>
      </c>
      <c r="C687" s="255" t="str">
        <f t="shared" si="136"/>
        <v>SINAPI</v>
      </c>
      <c r="D687" s="256" t="s">
        <v>286</v>
      </c>
      <c r="E687" s="257" t="str">
        <f>IFERROR(IF(D687="SINAPI-S",VLOOKUP(B687,'20-B.SINAPI-S'!A:J,2,0),IF(D687="SINAPI-I",VLOOKUP(B687,'20-A.SINAPI-I'!A:G,2,0),IF(D687="COMPOSIÇÕES",VLOOKUP(B687,'11.COMPOSIÇÕES GERAIS'!B:I,2,0),VLOOKUP(B687,'12.COT.MERCADO'!A:I,2,0)))),"Em Elaboração")</f>
        <v>LIXA EM FOLHA PARA FERRO, NUMERO 150</v>
      </c>
      <c r="F687" s="258" t="str">
        <f>IFERROR(IF(D687="SINAPI-S",VLOOKUP(B687,'20-B.SINAPI-S'!A:J,3,0),IF(D687="SINAPI-I",VLOOKUP(B687,'20-A.SINAPI-I'!A:G,3,0),IF(D687="COMPOSIÇÕES",VLOOKUP(B687,'11.COMPOSIÇÕES GERAIS'!B:I,3,0),VLOOKUP(B687,'12.COT.MERCADO'!A:I,7,0)))),"Em Elaboração")</f>
        <v>UN</v>
      </c>
      <c r="G687" s="254">
        <v>15.0</v>
      </c>
      <c r="H687" s="259">
        <f>IFERROR(IF(D687="SINAPI-S",VLOOKUP(B687,'20-B.SINAPI-S'!A:J,5,0),IF(D687="SINAPI-I",VLOOKUP(B687,'20-A.SINAPI-I'!A:G,6,0),IF(D687="COMPOSIÇÕES",VLOOKUP(B687,'11.COMPOSIÇÕES GERAIS'!B:I,7,0),0))),"Em Elaboração")</f>
        <v>0</v>
      </c>
      <c r="I687" s="259">
        <f>IFERROR(IF(D687="SINAPI-S",VLOOKUP(B687,'20-B.SINAPI-S'!A:J,6,0),IF(D687="SINAPI-I",VLOOKUP(B687,'20-A.SINAPI-I'!A:G,7,0),IF(D687="COMPOSIÇÕES",VLOOKUP(B687,'11.COMPOSIÇÕES GERAIS'!B:I,8,0),VLOOKUP(B687,'12.COT.MERCADO'!A:I,8,0)))),"Em Elaboração")</f>
        <v>4.96</v>
      </c>
      <c r="J687" s="259">
        <f t="shared" si="137"/>
        <v>0</v>
      </c>
      <c r="K687" s="259">
        <f t="shared" si="138"/>
        <v>5.809819542</v>
      </c>
      <c r="L687" s="259">
        <f t="shared" si="139"/>
        <v>5.809819542</v>
      </c>
      <c r="M687" s="259">
        <f t="shared" si="140"/>
        <v>0</v>
      </c>
      <c r="N687" s="259">
        <f t="shared" si="141"/>
        <v>87.14729313</v>
      </c>
      <c r="O687" s="259">
        <f t="shared" si="142"/>
        <v>87.14729313</v>
      </c>
      <c r="P687" s="260">
        <f t="shared" si="2"/>
        <v>0.0000681730824</v>
      </c>
    </row>
    <row r="688">
      <c r="A688" s="253" t="s">
        <v>841</v>
      </c>
      <c r="B688" s="254">
        <v>38383.0</v>
      </c>
      <c r="C688" s="255" t="str">
        <f t="shared" si="136"/>
        <v>SINAPI</v>
      </c>
      <c r="D688" s="256" t="s">
        <v>286</v>
      </c>
      <c r="E688" s="257" t="str">
        <f>IFERROR(IF(D688="SINAPI-S",VLOOKUP(B688,'20-B.SINAPI-S'!A:J,2,0),IF(D688="SINAPI-I",VLOOKUP(B688,'20-A.SINAPI-I'!A:G,2,0),IF(D688="COMPOSIÇÕES",VLOOKUP(B688,'11.COMPOSIÇÕES GERAIS'!B:I,2,0),VLOOKUP(B688,'12.COT.MERCADO'!A:I,2,0)))),"Em Elaboração")</f>
        <v>LIXA D'AGUA EM FOLHA, GRAO 100</v>
      </c>
      <c r="F688" s="258" t="str">
        <f>IFERROR(IF(D688="SINAPI-S",VLOOKUP(B688,'20-B.SINAPI-S'!A:J,3,0),IF(D688="SINAPI-I",VLOOKUP(B688,'20-A.SINAPI-I'!A:G,3,0),IF(D688="COMPOSIÇÕES",VLOOKUP(B688,'11.COMPOSIÇÕES GERAIS'!B:I,3,0),VLOOKUP(B688,'12.COT.MERCADO'!A:I,7,0)))),"Em Elaboração")</f>
        <v>UN</v>
      </c>
      <c r="G688" s="254">
        <v>17.0</v>
      </c>
      <c r="H688" s="259">
        <f>IFERROR(IF(D688="SINAPI-S",VLOOKUP(B688,'20-B.SINAPI-S'!A:J,5,0),IF(D688="SINAPI-I",VLOOKUP(B688,'20-A.SINAPI-I'!A:G,6,0),IF(D688="COMPOSIÇÕES",VLOOKUP(B688,'11.COMPOSIÇÕES GERAIS'!B:I,7,0),0))),"Em Elaboração")</f>
        <v>0</v>
      </c>
      <c r="I688" s="259">
        <f>IFERROR(IF(D688="SINAPI-S",VLOOKUP(B688,'20-B.SINAPI-S'!A:J,6,0),IF(D688="SINAPI-I",VLOOKUP(B688,'20-A.SINAPI-I'!A:G,7,0),IF(D688="COMPOSIÇÕES",VLOOKUP(B688,'11.COMPOSIÇÕES GERAIS'!B:I,8,0),VLOOKUP(B688,'12.COT.MERCADO'!A:I,8,0)))),"Em Elaboração")</f>
        <v>2.13</v>
      </c>
      <c r="J688" s="259">
        <f t="shared" si="137"/>
        <v>0</v>
      </c>
      <c r="K688" s="259">
        <f t="shared" si="138"/>
        <v>2.494942666</v>
      </c>
      <c r="L688" s="259">
        <f t="shared" si="139"/>
        <v>2.494942666</v>
      </c>
      <c r="M688" s="259">
        <f t="shared" si="140"/>
        <v>0</v>
      </c>
      <c r="N688" s="259">
        <f t="shared" si="141"/>
        <v>42.41402533</v>
      </c>
      <c r="O688" s="259">
        <f t="shared" si="142"/>
        <v>42.41402533</v>
      </c>
      <c r="P688" s="260">
        <f t="shared" si="2"/>
        <v>0.00003317939938</v>
      </c>
    </row>
    <row r="689">
      <c r="A689" s="253" t="s">
        <v>842</v>
      </c>
      <c r="B689" s="254">
        <v>3893.0</v>
      </c>
      <c r="C689" s="255" t="str">
        <f t="shared" si="136"/>
        <v>SINAPI</v>
      </c>
      <c r="D689" s="256" t="s">
        <v>286</v>
      </c>
      <c r="E689" s="257" t="str">
        <f>IFERROR(IF(D689="SINAPI-S",VLOOKUP(B689,'20-B.SINAPI-S'!A:J,2,0),IF(D689="SINAPI-I",VLOOKUP(B689,'20-A.SINAPI-I'!A:G,2,0),IF(D689="COMPOSIÇÕES",VLOOKUP(B689,'11.COMPOSIÇÕES GERAIS'!B:I,2,0),VLOOKUP(B689,'12.COT.MERCADO'!A:I,2,0)))),"Em Elaboração")</f>
        <v>LUVA DE CORRER, PVC, DN 100 MM, PARA ESGOTO PREDIAL</v>
      </c>
      <c r="F689" s="258" t="str">
        <f>IFERROR(IF(D689="SINAPI-S",VLOOKUP(B689,'20-B.SINAPI-S'!A:J,3,0),IF(D689="SINAPI-I",VLOOKUP(B689,'20-A.SINAPI-I'!A:G,3,0),IF(D689="COMPOSIÇÕES",VLOOKUP(B689,'11.COMPOSIÇÕES GERAIS'!B:I,3,0),VLOOKUP(B689,'12.COT.MERCADO'!A:I,7,0)))),"Em Elaboração")</f>
        <v>UN</v>
      </c>
      <c r="G689" s="254">
        <v>2.0</v>
      </c>
      <c r="H689" s="259">
        <f>IFERROR(IF(D689="SINAPI-S",VLOOKUP(B689,'20-B.SINAPI-S'!A:J,5,0),IF(D689="SINAPI-I",VLOOKUP(B689,'20-A.SINAPI-I'!A:G,6,0),IF(D689="COMPOSIÇÕES",VLOOKUP(B689,'11.COMPOSIÇÕES GERAIS'!B:I,7,0),0))),"Em Elaboração")</f>
        <v>0</v>
      </c>
      <c r="I689" s="259">
        <f>IFERROR(IF(D689="SINAPI-S",VLOOKUP(B689,'20-B.SINAPI-S'!A:J,6,0),IF(D689="SINAPI-I",VLOOKUP(B689,'20-A.SINAPI-I'!A:G,7,0),IF(D689="COMPOSIÇÕES",VLOOKUP(B689,'11.COMPOSIÇÕES GERAIS'!B:I,8,0),VLOOKUP(B689,'12.COT.MERCADO'!A:I,8,0)))),"Em Elaboração")</f>
        <v>21.05</v>
      </c>
      <c r="J689" s="259">
        <f t="shared" si="137"/>
        <v>0</v>
      </c>
      <c r="K689" s="259">
        <f t="shared" si="138"/>
        <v>24.65659302</v>
      </c>
      <c r="L689" s="259">
        <f t="shared" si="139"/>
        <v>24.65659302</v>
      </c>
      <c r="M689" s="259">
        <f t="shared" si="140"/>
        <v>0</v>
      </c>
      <c r="N689" s="259">
        <f t="shared" si="141"/>
        <v>49.31318603</v>
      </c>
      <c r="O689" s="259">
        <f t="shared" si="142"/>
        <v>49.31318603</v>
      </c>
      <c r="P689" s="260">
        <f t="shared" si="2"/>
        <v>0.00003857643507</v>
      </c>
    </row>
    <row r="690">
      <c r="A690" s="253" t="s">
        <v>843</v>
      </c>
      <c r="B690" s="254">
        <v>3895.0</v>
      </c>
      <c r="C690" s="255" t="str">
        <f t="shared" si="136"/>
        <v>SINAPI</v>
      </c>
      <c r="D690" s="256" t="s">
        <v>286</v>
      </c>
      <c r="E690" s="257" t="str">
        <f>IFERROR(IF(D690="SINAPI-S",VLOOKUP(B690,'20-B.SINAPI-S'!A:J,2,0),IF(D690="SINAPI-I",VLOOKUP(B690,'20-A.SINAPI-I'!A:G,2,0),IF(D690="COMPOSIÇÕES",VLOOKUP(B690,'11.COMPOSIÇÕES GERAIS'!B:I,2,0),VLOOKUP(B690,'12.COT.MERCADO'!A:I,2,0)))),"Em Elaboração")</f>
        <v>LUVA DE CORRER, PVC, DN 75 MM, PARA ESGOTO PREDIAL</v>
      </c>
      <c r="F690" s="258" t="str">
        <f>IFERROR(IF(D690="SINAPI-S",VLOOKUP(B690,'20-B.SINAPI-S'!A:J,3,0),IF(D690="SINAPI-I",VLOOKUP(B690,'20-A.SINAPI-I'!A:G,3,0),IF(D690="COMPOSIÇÕES",VLOOKUP(B690,'11.COMPOSIÇÕES GERAIS'!B:I,3,0),VLOOKUP(B690,'12.COT.MERCADO'!A:I,7,0)))),"Em Elaboração")</f>
        <v>UN</v>
      </c>
      <c r="G690" s="254">
        <v>2.0</v>
      </c>
      <c r="H690" s="259">
        <f>IFERROR(IF(D690="SINAPI-S",VLOOKUP(B690,'20-B.SINAPI-S'!A:J,5,0),IF(D690="SINAPI-I",VLOOKUP(B690,'20-A.SINAPI-I'!A:G,6,0),IF(D690="COMPOSIÇÕES",VLOOKUP(B690,'11.COMPOSIÇÕES GERAIS'!B:I,7,0),0))),"Em Elaboração")</f>
        <v>0</v>
      </c>
      <c r="I690" s="259">
        <f>IFERROR(IF(D690="SINAPI-S",VLOOKUP(B690,'20-B.SINAPI-S'!A:J,6,0),IF(D690="SINAPI-I",VLOOKUP(B690,'20-A.SINAPI-I'!A:G,7,0),IF(D690="COMPOSIÇÕES",VLOOKUP(B690,'11.COMPOSIÇÕES GERAIS'!B:I,8,0),VLOOKUP(B690,'12.COT.MERCADO'!A:I,8,0)))),"Em Elaboração")</f>
        <v>14.25</v>
      </c>
      <c r="J690" s="259">
        <f t="shared" si="137"/>
        <v>0</v>
      </c>
      <c r="K690" s="259">
        <f t="shared" si="138"/>
        <v>16.69151784</v>
      </c>
      <c r="L690" s="259">
        <f t="shared" si="139"/>
        <v>16.69151784</v>
      </c>
      <c r="M690" s="259">
        <f t="shared" si="140"/>
        <v>0</v>
      </c>
      <c r="N690" s="259">
        <f t="shared" si="141"/>
        <v>33.38303568</v>
      </c>
      <c r="O690" s="259">
        <f t="shared" si="142"/>
        <v>33.38303568</v>
      </c>
      <c r="P690" s="260">
        <f t="shared" si="2"/>
        <v>0.00002611468882</v>
      </c>
    </row>
    <row r="691">
      <c r="A691" s="253" t="s">
        <v>844</v>
      </c>
      <c r="B691" s="254">
        <v>3848.0</v>
      </c>
      <c r="C691" s="255" t="str">
        <f t="shared" si="136"/>
        <v>SINAPI</v>
      </c>
      <c r="D691" s="256" t="s">
        <v>286</v>
      </c>
      <c r="E691" s="257" t="str">
        <f>IFERROR(IF(D691="SINAPI-S",VLOOKUP(B691,'20-B.SINAPI-S'!A:J,2,0),IF(D691="SINAPI-I",VLOOKUP(B691,'20-A.SINAPI-I'!A:G,2,0),IF(D691="COMPOSIÇÕES",VLOOKUP(B691,'11.COMPOSIÇÕES GERAIS'!B:I,2,0),VLOOKUP(B691,'12.COT.MERCADO'!A:I,2,0)))),"Em Elaboração")</f>
        <v>LUVA DE CORRER, PVC, DN 50 MM, PARA ESGOTO PREDIAL</v>
      </c>
      <c r="F691" s="258" t="str">
        <f>IFERROR(IF(D691="SINAPI-S",VLOOKUP(B691,'20-B.SINAPI-S'!A:J,3,0),IF(D691="SINAPI-I",VLOOKUP(B691,'20-A.SINAPI-I'!A:G,3,0),IF(D691="COMPOSIÇÕES",VLOOKUP(B691,'11.COMPOSIÇÕES GERAIS'!B:I,3,0),VLOOKUP(B691,'12.COT.MERCADO'!A:I,7,0)))),"Em Elaboração")</f>
        <v>UN</v>
      </c>
      <c r="G691" s="254">
        <v>2.0</v>
      </c>
      <c r="H691" s="259">
        <f>IFERROR(IF(D691="SINAPI-S",VLOOKUP(B691,'20-B.SINAPI-S'!A:J,5,0),IF(D691="SINAPI-I",VLOOKUP(B691,'20-A.SINAPI-I'!A:G,6,0),IF(D691="COMPOSIÇÕES",VLOOKUP(B691,'11.COMPOSIÇÕES GERAIS'!B:I,7,0),0))),"Em Elaboração")</f>
        <v>0</v>
      </c>
      <c r="I691" s="259">
        <f>IFERROR(IF(D691="SINAPI-S",VLOOKUP(B691,'20-B.SINAPI-S'!A:J,6,0),IF(D691="SINAPI-I",VLOOKUP(B691,'20-A.SINAPI-I'!A:G,7,0),IF(D691="COMPOSIÇÕES",VLOOKUP(B691,'11.COMPOSIÇÕES GERAIS'!B:I,8,0),VLOOKUP(B691,'12.COT.MERCADO'!A:I,8,0)))),"Em Elaboração")</f>
        <v>12.83</v>
      </c>
      <c r="J691" s="259">
        <f t="shared" si="137"/>
        <v>0</v>
      </c>
      <c r="K691" s="259">
        <f t="shared" si="138"/>
        <v>15.02822273</v>
      </c>
      <c r="L691" s="259">
        <f t="shared" si="139"/>
        <v>15.02822273</v>
      </c>
      <c r="M691" s="259">
        <f t="shared" si="140"/>
        <v>0</v>
      </c>
      <c r="N691" s="259">
        <f t="shared" si="141"/>
        <v>30.05644545</v>
      </c>
      <c r="O691" s="259">
        <f t="shared" si="142"/>
        <v>30.05644545</v>
      </c>
      <c r="P691" s="260">
        <f t="shared" si="2"/>
        <v>0.00002351238299</v>
      </c>
    </row>
    <row r="692">
      <c r="A692" s="253" t="s">
        <v>845</v>
      </c>
      <c r="B692" s="254">
        <v>3869.0</v>
      </c>
      <c r="C692" s="255" t="str">
        <f t="shared" si="136"/>
        <v>SINAPI</v>
      </c>
      <c r="D692" s="256" t="s">
        <v>286</v>
      </c>
      <c r="E692" s="257" t="str">
        <f>IFERROR(IF(D692="SINAPI-S",VLOOKUP(B692,'20-B.SINAPI-S'!A:J,2,0),IF(D692="SINAPI-I",VLOOKUP(B692,'20-A.SINAPI-I'!A:G,2,0),IF(D692="COMPOSIÇÕES",VLOOKUP(B692,'11.COMPOSIÇÕES GERAIS'!B:I,2,0),VLOOKUP(B692,'12.COT.MERCADO'!A:I,2,0)))),"Em Elaboração")</f>
        <v>LUVA DE REDUCAO SOLDAVEL, PVC, 32 MM X 25 MM, PARA AGUA FRIA PREDIAL</v>
      </c>
      <c r="F692" s="258" t="str">
        <f>IFERROR(IF(D692="SINAPI-S",VLOOKUP(B692,'20-B.SINAPI-S'!A:J,3,0),IF(D692="SINAPI-I",VLOOKUP(B692,'20-A.SINAPI-I'!A:G,3,0),IF(D692="COMPOSIÇÕES",VLOOKUP(B692,'11.COMPOSIÇÕES GERAIS'!B:I,3,0),VLOOKUP(B692,'12.COT.MERCADO'!A:I,7,0)))),"Em Elaboração")</f>
        <v>UN</v>
      </c>
      <c r="G692" s="254">
        <v>2.0</v>
      </c>
      <c r="H692" s="259">
        <f>IFERROR(IF(D692="SINAPI-S",VLOOKUP(B692,'20-B.SINAPI-S'!A:J,5,0),IF(D692="SINAPI-I",VLOOKUP(B692,'20-A.SINAPI-I'!A:G,6,0),IF(D692="COMPOSIÇÕES",VLOOKUP(B692,'11.COMPOSIÇÕES GERAIS'!B:I,7,0),0))),"Em Elaboração")</f>
        <v>0</v>
      </c>
      <c r="I692" s="259">
        <f>IFERROR(IF(D692="SINAPI-S",VLOOKUP(B692,'20-B.SINAPI-S'!A:J,6,0),IF(D692="SINAPI-I",VLOOKUP(B692,'20-A.SINAPI-I'!A:G,7,0),IF(D692="COMPOSIÇÕES",VLOOKUP(B692,'11.COMPOSIÇÕES GERAIS'!B:I,8,0),VLOOKUP(B692,'12.COT.MERCADO'!A:I,8,0)))),"Em Elaboração")</f>
        <v>3.25</v>
      </c>
      <c r="J692" s="259">
        <f t="shared" si="137"/>
        <v>0</v>
      </c>
      <c r="K692" s="259">
        <f t="shared" si="138"/>
        <v>3.806837402</v>
      </c>
      <c r="L692" s="259">
        <f t="shared" si="139"/>
        <v>3.806837402</v>
      </c>
      <c r="M692" s="259">
        <f t="shared" si="140"/>
        <v>0</v>
      </c>
      <c r="N692" s="259">
        <f t="shared" si="141"/>
        <v>7.613674803</v>
      </c>
      <c r="O692" s="259">
        <f t="shared" si="142"/>
        <v>7.613674803</v>
      </c>
      <c r="P692" s="260">
        <f t="shared" si="2"/>
        <v>0.000005955981661</v>
      </c>
    </row>
    <row r="693">
      <c r="A693" s="253" t="s">
        <v>846</v>
      </c>
      <c r="B693" s="254">
        <v>3872.0</v>
      </c>
      <c r="C693" s="255" t="str">
        <f t="shared" si="136"/>
        <v>SINAPI</v>
      </c>
      <c r="D693" s="256" t="s">
        <v>286</v>
      </c>
      <c r="E693" s="257" t="str">
        <f>IFERROR(IF(D693="SINAPI-S",VLOOKUP(B693,'20-B.SINAPI-S'!A:J,2,0),IF(D693="SINAPI-I",VLOOKUP(B693,'20-A.SINAPI-I'!A:G,2,0),IF(D693="COMPOSIÇÕES",VLOOKUP(B693,'11.COMPOSIÇÕES GERAIS'!B:I,2,0),VLOOKUP(B693,'12.COT.MERCADO'!A:I,2,0)))),"Em Elaboração")</f>
        <v>LUVA DE REDUCAO SOLDAVEL, PVC, 40 MM X 32 MM, PARA AGUA FRIA PREDIAL</v>
      </c>
      <c r="F693" s="258" t="str">
        <f>IFERROR(IF(D693="SINAPI-S",VLOOKUP(B693,'20-B.SINAPI-S'!A:J,3,0),IF(D693="SINAPI-I",VLOOKUP(B693,'20-A.SINAPI-I'!A:G,3,0),IF(D693="COMPOSIÇÕES",VLOOKUP(B693,'11.COMPOSIÇÕES GERAIS'!B:I,3,0),VLOOKUP(B693,'12.COT.MERCADO'!A:I,7,0)))),"Em Elaboração")</f>
        <v>UN</v>
      </c>
      <c r="G693" s="254">
        <v>2.0</v>
      </c>
      <c r="H693" s="259">
        <f>IFERROR(IF(D693="SINAPI-S",VLOOKUP(B693,'20-B.SINAPI-S'!A:J,5,0),IF(D693="SINAPI-I",VLOOKUP(B693,'20-A.SINAPI-I'!A:G,6,0),IF(D693="COMPOSIÇÕES",VLOOKUP(B693,'11.COMPOSIÇÕES GERAIS'!B:I,7,0),0))),"Em Elaboração")</f>
        <v>0</v>
      </c>
      <c r="I693" s="259">
        <f>IFERROR(IF(D693="SINAPI-S",VLOOKUP(B693,'20-B.SINAPI-S'!A:J,6,0),IF(D693="SINAPI-I",VLOOKUP(B693,'20-A.SINAPI-I'!A:G,7,0),IF(D693="COMPOSIÇÕES",VLOOKUP(B693,'11.COMPOSIÇÕES GERAIS'!B:I,8,0),VLOOKUP(B693,'12.COT.MERCADO'!A:I,8,0)))),"Em Elaboração")</f>
        <v>5.55</v>
      </c>
      <c r="J693" s="259">
        <f t="shared" si="137"/>
        <v>0</v>
      </c>
      <c r="K693" s="259">
        <f t="shared" si="138"/>
        <v>6.500906947</v>
      </c>
      <c r="L693" s="259">
        <f t="shared" si="139"/>
        <v>6.500906947</v>
      </c>
      <c r="M693" s="259">
        <f t="shared" si="140"/>
        <v>0</v>
      </c>
      <c r="N693" s="259">
        <f t="shared" si="141"/>
        <v>13.00181389</v>
      </c>
      <c r="O693" s="259">
        <f t="shared" si="142"/>
        <v>13.00181389</v>
      </c>
      <c r="P693" s="260">
        <f t="shared" si="2"/>
        <v>0.00001017098407</v>
      </c>
    </row>
    <row r="694">
      <c r="A694" s="253" t="s">
        <v>847</v>
      </c>
      <c r="B694" s="254">
        <v>38023.0</v>
      </c>
      <c r="C694" s="255" t="str">
        <f t="shared" si="136"/>
        <v>SINAPI</v>
      </c>
      <c r="D694" s="256" t="s">
        <v>286</v>
      </c>
      <c r="E694" s="257" t="str">
        <f>IFERROR(IF(D694="SINAPI-S",VLOOKUP(B694,'20-B.SINAPI-S'!A:J,2,0),IF(D694="SINAPI-I",VLOOKUP(B694,'20-A.SINAPI-I'!A:G,2,0),IF(D694="COMPOSIÇÕES",VLOOKUP(B694,'11.COMPOSIÇÕES GERAIS'!B:I,2,0),VLOOKUP(B694,'12.COT.MERCADO'!A:I,2,0)))),"Em Elaboração")</f>
        <v>LUVA DE REDUCAO, SOLDAVEL, PVC, 50 X 25 MM, PARA AGUA FRIA PREDIAL</v>
      </c>
      <c r="F694" s="258" t="str">
        <f>IFERROR(IF(D694="SINAPI-S",VLOOKUP(B694,'20-B.SINAPI-S'!A:J,3,0),IF(D694="SINAPI-I",VLOOKUP(B694,'20-A.SINAPI-I'!A:G,3,0),IF(D694="COMPOSIÇÕES",VLOOKUP(B694,'11.COMPOSIÇÕES GERAIS'!B:I,3,0),VLOOKUP(B694,'12.COT.MERCADO'!A:I,7,0)))),"Em Elaboração")</f>
        <v>UN</v>
      </c>
      <c r="G694" s="254">
        <v>2.0</v>
      </c>
      <c r="H694" s="259">
        <f>IFERROR(IF(D694="SINAPI-S",VLOOKUP(B694,'20-B.SINAPI-S'!A:J,5,0),IF(D694="SINAPI-I",VLOOKUP(B694,'20-A.SINAPI-I'!A:G,6,0),IF(D694="COMPOSIÇÕES",VLOOKUP(B694,'11.COMPOSIÇÕES GERAIS'!B:I,7,0),0))),"Em Elaboração")</f>
        <v>0</v>
      </c>
      <c r="I694" s="259">
        <f>IFERROR(IF(D694="SINAPI-S",VLOOKUP(B694,'20-B.SINAPI-S'!A:J,6,0),IF(D694="SINAPI-I",VLOOKUP(B694,'20-A.SINAPI-I'!A:G,7,0),IF(D694="COMPOSIÇÕES",VLOOKUP(B694,'11.COMPOSIÇÕES GERAIS'!B:I,8,0),VLOOKUP(B694,'12.COT.MERCADO'!A:I,8,0)))),"Em Elaboração")</f>
        <v>6.52</v>
      </c>
      <c r="J694" s="259">
        <f t="shared" si="137"/>
        <v>0</v>
      </c>
      <c r="K694" s="259">
        <f t="shared" si="138"/>
        <v>7.637101495</v>
      </c>
      <c r="L694" s="259">
        <f t="shared" si="139"/>
        <v>7.637101495</v>
      </c>
      <c r="M694" s="259">
        <f t="shared" si="140"/>
        <v>0</v>
      </c>
      <c r="N694" s="259">
        <f t="shared" si="141"/>
        <v>15.27420299</v>
      </c>
      <c r="O694" s="259">
        <f t="shared" si="142"/>
        <v>15.27420299</v>
      </c>
      <c r="P694" s="260">
        <f t="shared" si="2"/>
        <v>0.00001194861552</v>
      </c>
    </row>
    <row r="695">
      <c r="A695" s="253" t="s">
        <v>848</v>
      </c>
      <c r="B695" s="254">
        <v>3850.0</v>
      </c>
      <c r="C695" s="255" t="str">
        <f t="shared" si="136"/>
        <v>SINAPI</v>
      </c>
      <c r="D695" s="256" t="s">
        <v>286</v>
      </c>
      <c r="E695" s="257" t="str">
        <f>IFERROR(IF(D695="SINAPI-S",VLOOKUP(B695,'20-B.SINAPI-S'!A:J,2,0),IF(D695="SINAPI-I",VLOOKUP(B695,'20-A.SINAPI-I'!A:G,2,0),IF(D695="COMPOSIÇÕES",VLOOKUP(B695,'11.COMPOSIÇÕES GERAIS'!B:I,2,0),VLOOKUP(B695,'12.COT.MERCADO'!A:I,2,0)))),"Em Elaboração")</f>
        <v>LUVA DE REDUCAO SOLDAVEL, PVC, 60 MM X 50 MM, PARA AGUA FRIA PREDIAL</v>
      </c>
      <c r="F695" s="258" t="str">
        <f>IFERROR(IF(D695="SINAPI-S",VLOOKUP(B695,'20-B.SINAPI-S'!A:J,3,0),IF(D695="SINAPI-I",VLOOKUP(B695,'20-A.SINAPI-I'!A:G,3,0),IF(D695="COMPOSIÇÕES",VLOOKUP(B695,'11.COMPOSIÇÕES GERAIS'!B:I,3,0),VLOOKUP(B695,'12.COT.MERCADO'!A:I,7,0)))),"Em Elaboração")</f>
        <v>UN</v>
      </c>
      <c r="G695" s="254">
        <v>2.0</v>
      </c>
      <c r="H695" s="259">
        <f>IFERROR(IF(D695="SINAPI-S",VLOOKUP(B695,'20-B.SINAPI-S'!A:J,5,0),IF(D695="SINAPI-I",VLOOKUP(B695,'20-A.SINAPI-I'!A:G,6,0),IF(D695="COMPOSIÇÕES",VLOOKUP(B695,'11.COMPOSIÇÕES GERAIS'!B:I,7,0),0))),"Em Elaboração")</f>
        <v>0</v>
      </c>
      <c r="I695" s="259">
        <f>IFERROR(IF(D695="SINAPI-S",VLOOKUP(B695,'20-B.SINAPI-S'!A:J,6,0),IF(D695="SINAPI-I",VLOOKUP(B695,'20-A.SINAPI-I'!A:G,7,0),IF(D695="COMPOSIÇÕES",VLOOKUP(B695,'11.COMPOSIÇÕES GERAIS'!B:I,8,0),VLOOKUP(B695,'12.COT.MERCADO'!A:I,8,0)))),"Em Elaboração")</f>
        <v>12.81</v>
      </c>
      <c r="J695" s="259">
        <f t="shared" si="137"/>
        <v>0</v>
      </c>
      <c r="K695" s="259">
        <f t="shared" si="138"/>
        <v>15.00479604</v>
      </c>
      <c r="L695" s="259">
        <f t="shared" si="139"/>
        <v>15.00479604</v>
      </c>
      <c r="M695" s="259">
        <f t="shared" si="140"/>
        <v>0</v>
      </c>
      <c r="N695" s="259">
        <f t="shared" si="141"/>
        <v>30.00959207</v>
      </c>
      <c r="O695" s="259">
        <f t="shared" si="142"/>
        <v>30.00959207</v>
      </c>
      <c r="P695" s="260">
        <f t="shared" si="2"/>
        <v>0.00002347573079</v>
      </c>
    </row>
    <row r="696">
      <c r="A696" s="253" t="s">
        <v>849</v>
      </c>
      <c r="B696" s="254">
        <v>3910.0</v>
      </c>
      <c r="C696" s="255" t="str">
        <f t="shared" si="136"/>
        <v>SINAPI</v>
      </c>
      <c r="D696" s="256" t="s">
        <v>286</v>
      </c>
      <c r="E696" s="257" t="str">
        <f>IFERROR(IF(D696="SINAPI-S",VLOOKUP(B696,'20-B.SINAPI-S'!A:J,2,0),IF(D696="SINAPI-I",VLOOKUP(B696,'20-A.SINAPI-I'!A:G,2,0),IF(D696="COMPOSIÇÕES",VLOOKUP(B696,'11.COMPOSIÇÕES GERAIS'!B:I,2,0),VLOOKUP(B696,'12.COT.MERCADO'!A:I,2,0)))),"Em Elaboração")</f>
        <v>LUVA DE FERRO GALVANIZADO, COM ROSCA BSP, DE 1"</v>
      </c>
      <c r="F696" s="258" t="str">
        <f>IFERROR(IF(D696="SINAPI-S",VLOOKUP(B696,'20-B.SINAPI-S'!A:J,3,0),IF(D696="SINAPI-I",VLOOKUP(B696,'20-A.SINAPI-I'!A:G,3,0),IF(D696="COMPOSIÇÕES",VLOOKUP(B696,'11.COMPOSIÇÕES GERAIS'!B:I,3,0),VLOOKUP(B696,'12.COT.MERCADO'!A:I,7,0)))),"Em Elaboração")</f>
        <v>UN</v>
      </c>
      <c r="G696" s="254">
        <v>2.0</v>
      </c>
      <c r="H696" s="259">
        <f>IFERROR(IF(D696="SINAPI-S",VLOOKUP(B696,'20-B.SINAPI-S'!A:J,5,0),IF(D696="SINAPI-I",VLOOKUP(B696,'20-A.SINAPI-I'!A:G,6,0),IF(D696="COMPOSIÇÕES",VLOOKUP(B696,'11.COMPOSIÇÕES GERAIS'!B:I,7,0),0))),"Em Elaboração")</f>
        <v>0</v>
      </c>
      <c r="I696" s="259">
        <f>IFERROR(IF(D696="SINAPI-S",VLOOKUP(B696,'20-B.SINAPI-S'!A:J,6,0),IF(D696="SINAPI-I",VLOOKUP(B696,'20-A.SINAPI-I'!A:G,7,0),IF(D696="COMPOSIÇÕES",VLOOKUP(B696,'11.COMPOSIÇÕES GERAIS'!B:I,8,0),VLOOKUP(B696,'12.COT.MERCADO'!A:I,8,0)))),"Em Elaboração")</f>
        <v>14.62</v>
      </c>
      <c r="J696" s="259">
        <f t="shared" si="137"/>
        <v>0</v>
      </c>
      <c r="K696" s="259">
        <f t="shared" si="138"/>
        <v>17.12491163</v>
      </c>
      <c r="L696" s="259">
        <f t="shared" si="139"/>
        <v>17.12491163</v>
      </c>
      <c r="M696" s="259">
        <f t="shared" si="140"/>
        <v>0</v>
      </c>
      <c r="N696" s="259">
        <f t="shared" si="141"/>
        <v>34.24982327</v>
      </c>
      <c r="O696" s="259">
        <f t="shared" si="142"/>
        <v>34.24982327</v>
      </c>
      <c r="P696" s="260">
        <f t="shared" si="2"/>
        <v>0.00002679275443</v>
      </c>
    </row>
    <row r="697">
      <c r="A697" s="253" t="s">
        <v>850</v>
      </c>
      <c r="B697" s="254">
        <v>3939.0</v>
      </c>
      <c r="C697" s="255" t="str">
        <f t="shared" si="136"/>
        <v>SINAPI</v>
      </c>
      <c r="D697" s="256" t="s">
        <v>286</v>
      </c>
      <c r="E697" s="257" t="str">
        <f>IFERROR(IF(D697="SINAPI-S",VLOOKUP(B697,'20-B.SINAPI-S'!A:J,2,0),IF(D697="SINAPI-I",VLOOKUP(B697,'20-A.SINAPI-I'!A:G,2,0),IF(D697="COMPOSIÇÕES",VLOOKUP(B697,'11.COMPOSIÇÕES GERAIS'!B:I,2,0),VLOOKUP(B697,'12.COT.MERCADO'!A:I,2,0)))),"Em Elaboração")</f>
        <v>LUVA DE FERRO GALVANIZADO, COM ROSCA BSP, DE 1 1/2"</v>
      </c>
      <c r="F697" s="258" t="str">
        <f>IFERROR(IF(D697="SINAPI-S",VLOOKUP(B697,'20-B.SINAPI-S'!A:J,3,0),IF(D697="SINAPI-I",VLOOKUP(B697,'20-A.SINAPI-I'!A:G,3,0),IF(D697="COMPOSIÇÕES",VLOOKUP(B697,'11.COMPOSIÇÕES GERAIS'!B:I,3,0),VLOOKUP(B697,'12.COT.MERCADO'!A:I,7,0)))),"Em Elaboração")</f>
        <v>UN</v>
      </c>
      <c r="G697" s="254">
        <v>2.0</v>
      </c>
      <c r="H697" s="259">
        <f>IFERROR(IF(D697="SINAPI-S",VLOOKUP(B697,'20-B.SINAPI-S'!A:J,5,0),IF(D697="SINAPI-I",VLOOKUP(B697,'20-A.SINAPI-I'!A:G,6,0),IF(D697="COMPOSIÇÕES",VLOOKUP(B697,'11.COMPOSIÇÕES GERAIS'!B:I,7,0),0))),"Em Elaboração")</f>
        <v>0</v>
      </c>
      <c r="I697" s="259">
        <f>IFERROR(IF(D697="SINAPI-S",VLOOKUP(B697,'20-B.SINAPI-S'!A:J,6,0),IF(D697="SINAPI-I",VLOOKUP(B697,'20-A.SINAPI-I'!A:G,7,0),IF(D697="COMPOSIÇÕES",VLOOKUP(B697,'11.COMPOSIÇÕES GERAIS'!B:I,8,0),VLOOKUP(B697,'12.COT.MERCADO'!A:I,8,0)))),"Em Elaboração")</f>
        <v>25.01</v>
      </c>
      <c r="J697" s="259">
        <f t="shared" si="137"/>
        <v>0</v>
      </c>
      <c r="K697" s="259">
        <f t="shared" si="138"/>
        <v>29.29507797</v>
      </c>
      <c r="L697" s="259">
        <f t="shared" si="139"/>
        <v>29.29507797</v>
      </c>
      <c r="M697" s="259">
        <f t="shared" si="140"/>
        <v>0</v>
      </c>
      <c r="N697" s="259">
        <f t="shared" si="141"/>
        <v>58.59015595</v>
      </c>
      <c r="O697" s="259">
        <f t="shared" si="142"/>
        <v>58.59015595</v>
      </c>
      <c r="P697" s="260">
        <f t="shared" si="2"/>
        <v>0.00004583356964</v>
      </c>
    </row>
    <row r="698">
      <c r="A698" s="253" t="s">
        <v>851</v>
      </c>
      <c r="B698" s="254">
        <v>3911.0</v>
      </c>
      <c r="C698" s="255" t="str">
        <f t="shared" si="136"/>
        <v>SINAPI</v>
      </c>
      <c r="D698" s="256" t="s">
        <v>286</v>
      </c>
      <c r="E698" s="257" t="str">
        <f>IFERROR(IF(D698="SINAPI-S",VLOOKUP(B698,'20-B.SINAPI-S'!A:J,2,0),IF(D698="SINAPI-I",VLOOKUP(B698,'20-A.SINAPI-I'!A:G,2,0),IF(D698="COMPOSIÇÕES",VLOOKUP(B698,'11.COMPOSIÇÕES GERAIS'!B:I,2,0),VLOOKUP(B698,'12.COT.MERCADO'!A:I,2,0)))),"Em Elaboração")</f>
        <v>LUVA DE FERRO GALVANIZADO, COM ROSCA BSP, DE 1 1/4"</v>
      </c>
      <c r="F698" s="258" t="str">
        <f>IFERROR(IF(D698="SINAPI-S",VLOOKUP(B698,'20-B.SINAPI-S'!A:J,3,0),IF(D698="SINAPI-I",VLOOKUP(B698,'20-A.SINAPI-I'!A:G,3,0),IF(D698="COMPOSIÇÕES",VLOOKUP(B698,'11.COMPOSIÇÕES GERAIS'!B:I,3,0),VLOOKUP(B698,'12.COT.MERCADO'!A:I,7,0)))),"Em Elaboração")</f>
        <v>UN</v>
      </c>
      <c r="G698" s="254">
        <v>2.0</v>
      </c>
      <c r="H698" s="259">
        <f>IFERROR(IF(D698="SINAPI-S",VLOOKUP(B698,'20-B.SINAPI-S'!A:J,5,0),IF(D698="SINAPI-I",VLOOKUP(B698,'20-A.SINAPI-I'!A:G,6,0),IF(D698="COMPOSIÇÕES",VLOOKUP(B698,'11.COMPOSIÇÕES GERAIS'!B:I,7,0),0))),"Em Elaboração")</f>
        <v>0</v>
      </c>
      <c r="I698" s="259">
        <f>IFERROR(IF(D698="SINAPI-S",VLOOKUP(B698,'20-B.SINAPI-S'!A:J,6,0),IF(D698="SINAPI-I",VLOOKUP(B698,'20-A.SINAPI-I'!A:G,7,0),IF(D698="COMPOSIÇÕES",VLOOKUP(B698,'11.COMPOSIÇÕES GERAIS'!B:I,8,0),VLOOKUP(B698,'12.COT.MERCADO'!A:I,8,0)))),"Em Elaboração")</f>
        <v>20.43</v>
      </c>
      <c r="J698" s="259">
        <f t="shared" si="137"/>
        <v>0</v>
      </c>
      <c r="K698" s="259">
        <f t="shared" si="138"/>
        <v>23.93036557</v>
      </c>
      <c r="L698" s="259">
        <f t="shared" si="139"/>
        <v>23.93036557</v>
      </c>
      <c r="M698" s="259">
        <f t="shared" si="140"/>
        <v>0</v>
      </c>
      <c r="N698" s="259">
        <f t="shared" si="141"/>
        <v>47.86073115</v>
      </c>
      <c r="O698" s="259">
        <f t="shared" si="142"/>
        <v>47.86073115</v>
      </c>
      <c r="P698" s="260">
        <f t="shared" si="2"/>
        <v>0.00003744021703</v>
      </c>
    </row>
    <row r="699">
      <c r="A699" s="253" t="s">
        <v>852</v>
      </c>
      <c r="B699" s="254">
        <v>3912.0</v>
      </c>
      <c r="C699" s="255" t="str">
        <f t="shared" si="136"/>
        <v>SINAPI</v>
      </c>
      <c r="D699" s="256" t="s">
        <v>286</v>
      </c>
      <c r="E699" s="257" t="str">
        <f>IFERROR(IF(D699="SINAPI-S",VLOOKUP(B699,'20-B.SINAPI-S'!A:J,2,0),IF(D699="SINAPI-I",VLOOKUP(B699,'20-A.SINAPI-I'!A:G,2,0),IF(D699="COMPOSIÇÕES",VLOOKUP(B699,'11.COMPOSIÇÕES GERAIS'!B:I,2,0),VLOOKUP(B699,'12.COT.MERCADO'!A:I,2,0)))),"Em Elaboração")</f>
        <v>LUVA DE FERRO GALVANIZADO, COM ROSCA BSP, DE 2"</v>
      </c>
      <c r="F699" s="258" t="str">
        <f>IFERROR(IF(D699="SINAPI-S",VLOOKUP(B699,'20-B.SINAPI-S'!A:J,3,0),IF(D699="SINAPI-I",VLOOKUP(B699,'20-A.SINAPI-I'!A:G,3,0),IF(D699="COMPOSIÇÕES",VLOOKUP(B699,'11.COMPOSIÇÕES GERAIS'!B:I,3,0),VLOOKUP(B699,'12.COT.MERCADO'!A:I,7,0)))),"Em Elaboração")</f>
        <v>UN</v>
      </c>
      <c r="G699" s="254">
        <v>2.0</v>
      </c>
      <c r="H699" s="259">
        <f>IFERROR(IF(D699="SINAPI-S",VLOOKUP(B699,'20-B.SINAPI-S'!A:J,5,0),IF(D699="SINAPI-I",VLOOKUP(B699,'20-A.SINAPI-I'!A:G,6,0),IF(D699="COMPOSIÇÕES",VLOOKUP(B699,'11.COMPOSIÇÕES GERAIS'!B:I,7,0),0))),"Em Elaboração")</f>
        <v>0</v>
      </c>
      <c r="I699" s="259">
        <f>IFERROR(IF(D699="SINAPI-S",VLOOKUP(B699,'20-B.SINAPI-S'!A:J,6,0),IF(D699="SINAPI-I",VLOOKUP(B699,'20-A.SINAPI-I'!A:G,7,0),IF(D699="COMPOSIÇÕES",VLOOKUP(B699,'11.COMPOSIÇÕES GERAIS'!B:I,8,0),VLOOKUP(B699,'12.COT.MERCADO'!A:I,8,0)))),"Em Elaboração")</f>
        <v>38.3</v>
      </c>
      <c r="J699" s="259">
        <f t="shared" si="137"/>
        <v>0</v>
      </c>
      <c r="K699" s="259">
        <f t="shared" si="138"/>
        <v>44.86211461</v>
      </c>
      <c r="L699" s="259">
        <f t="shared" si="139"/>
        <v>44.86211461</v>
      </c>
      <c r="M699" s="259">
        <f t="shared" si="140"/>
        <v>0</v>
      </c>
      <c r="N699" s="259">
        <f t="shared" si="141"/>
        <v>89.72422922</v>
      </c>
      <c r="O699" s="259">
        <f t="shared" si="142"/>
        <v>89.72422922</v>
      </c>
      <c r="P699" s="260">
        <f t="shared" si="2"/>
        <v>0.00007018895311</v>
      </c>
    </row>
    <row r="700">
      <c r="A700" s="253" t="s">
        <v>853</v>
      </c>
      <c r="B700" s="254">
        <v>3913.0</v>
      </c>
      <c r="C700" s="255" t="str">
        <f t="shared" si="136"/>
        <v>SINAPI</v>
      </c>
      <c r="D700" s="256" t="s">
        <v>286</v>
      </c>
      <c r="E700" s="257" t="str">
        <f>IFERROR(IF(D700="SINAPI-S",VLOOKUP(B700,'20-B.SINAPI-S'!A:J,2,0),IF(D700="SINAPI-I",VLOOKUP(B700,'20-A.SINAPI-I'!A:G,2,0),IF(D700="COMPOSIÇÕES",VLOOKUP(B700,'11.COMPOSIÇÕES GERAIS'!B:I,2,0),VLOOKUP(B700,'12.COT.MERCADO'!A:I,2,0)))),"Em Elaboração")</f>
        <v>LUVA DE FERRO GALVANIZADO, COM ROSCA BSP, DE 2 1/2"</v>
      </c>
      <c r="F700" s="258" t="str">
        <f>IFERROR(IF(D700="SINAPI-S",VLOOKUP(B700,'20-B.SINAPI-S'!A:J,3,0),IF(D700="SINAPI-I",VLOOKUP(B700,'20-A.SINAPI-I'!A:G,3,0),IF(D700="COMPOSIÇÕES",VLOOKUP(B700,'11.COMPOSIÇÕES GERAIS'!B:I,3,0),VLOOKUP(B700,'12.COT.MERCADO'!A:I,7,0)))),"Em Elaboração")</f>
        <v>UN</v>
      </c>
      <c r="G700" s="254">
        <v>2.0</v>
      </c>
      <c r="H700" s="259">
        <f>IFERROR(IF(D700="SINAPI-S",VLOOKUP(B700,'20-B.SINAPI-S'!A:J,5,0),IF(D700="SINAPI-I",VLOOKUP(B700,'20-A.SINAPI-I'!A:G,6,0),IF(D700="COMPOSIÇÕES",VLOOKUP(B700,'11.COMPOSIÇÕES GERAIS'!B:I,7,0),0))),"Em Elaboração")</f>
        <v>0</v>
      </c>
      <c r="I700" s="259">
        <f>IFERROR(IF(D700="SINAPI-S",VLOOKUP(B700,'20-B.SINAPI-S'!A:J,6,0),IF(D700="SINAPI-I",VLOOKUP(B700,'20-A.SINAPI-I'!A:G,7,0),IF(D700="COMPOSIÇÕES",VLOOKUP(B700,'11.COMPOSIÇÕES GERAIS'!B:I,8,0),VLOOKUP(B700,'12.COT.MERCADO'!A:I,8,0)))),"Em Elaboração")</f>
        <v>69.87</v>
      </c>
      <c r="J700" s="259">
        <f t="shared" si="137"/>
        <v>0</v>
      </c>
      <c r="K700" s="259">
        <f t="shared" si="138"/>
        <v>81.84114746</v>
      </c>
      <c r="L700" s="259">
        <f t="shared" si="139"/>
        <v>81.84114746</v>
      </c>
      <c r="M700" s="259">
        <f t="shared" si="140"/>
        <v>0</v>
      </c>
      <c r="N700" s="259">
        <f t="shared" si="141"/>
        <v>163.6822949</v>
      </c>
      <c r="O700" s="259">
        <f t="shared" si="142"/>
        <v>163.6822949</v>
      </c>
      <c r="P700" s="260">
        <f t="shared" si="2"/>
        <v>0.0001280444427</v>
      </c>
    </row>
    <row r="701">
      <c r="A701" s="253" t="s">
        <v>854</v>
      </c>
      <c r="B701" s="254">
        <v>3914.0</v>
      </c>
      <c r="C701" s="255" t="str">
        <f t="shared" si="136"/>
        <v>SINAPI</v>
      </c>
      <c r="D701" s="256" t="s">
        <v>286</v>
      </c>
      <c r="E701" s="257" t="str">
        <f>IFERROR(IF(D701="SINAPI-S",VLOOKUP(B701,'20-B.SINAPI-S'!A:J,2,0),IF(D701="SINAPI-I",VLOOKUP(B701,'20-A.SINAPI-I'!A:G,2,0),IF(D701="COMPOSIÇÕES",VLOOKUP(B701,'11.COMPOSIÇÕES GERAIS'!B:I,2,0),VLOOKUP(B701,'12.COT.MERCADO'!A:I,2,0)))),"Em Elaboração")</f>
        <v>LUVA DE FERRO GALVANIZADO, COM ROSCA BSP, DE 3"</v>
      </c>
      <c r="F701" s="258" t="str">
        <f>IFERROR(IF(D701="SINAPI-S",VLOOKUP(B701,'20-B.SINAPI-S'!A:J,3,0),IF(D701="SINAPI-I",VLOOKUP(B701,'20-A.SINAPI-I'!A:G,3,0),IF(D701="COMPOSIÇÕES",VLOOKUP(B701,'11.COMPOSIÇÕES GERAIS'!B:I,3,0),VLOOKUP(B701,'12.COT.MERCADO'!A:I,7,0)))),"Em Elaboração")</f>
        <v>UN</v>
      </c>
      <c r="G701" s="254">
        <v>2.0</v>
      </c>
      <c r="H701" s="259">
        <f>IFERROR(IF(D701="SINAPI-S",VLOOKUP(B701,'20-B.SINAPI-S'!A:J,5,0),IF(D701="SINAPI-I",VLOOKUP(B701,'20-A.SINAPI-I'!A:G,6,0),IF(D701="COMPOSIÇÕES",VLOOKUP(B701,'11.COMPOSIÇÕES GERAIS'!B:I,7,0),0))),"Em Elaboração")</f>
        <v>0</v>
      </c>
      <c r="I701" s="259">
        <f>IFERROR(IF(D701="SINAPI-S",VLOOKUP(B701,'20-B.SINAPI-S'!A:J,6,0),IF(D701="SINAPI-I",VLOOKUP(B701,'20-A.SINAPI-I'!A:G,7,0),IF(D701="COMPOSIÇÕES",VLOOKUP(B701,'11.COMPOSIÇÕES GERAIS'!B:I,8,0),VLOOKUP(B701,'12.COT.MERCADO'!A:I,8,0)))),"Em Elaboração")</f>
        <v>105.4</v>
      </c>
      <c r="J701" s="259">
        <f t="shared" si="137"/>
        <v>0</v>
      </c>
      <c r="K701" s="259">
        <f t="shared" si="138"/>
        <v>123.4586653</v>
      </c>
      <c r="L701" s="259">
        <f t="shared" si="139"/>
        <v>123.4586653</v>
      </c>
      <c r="M701" s="259">
        <f t="shared" si="140"/>
        <v>0</v>
      </c>
      <c r="N701" s="259">
        <f t="shared" si="141"/>
        <v>246.9173305</v>
      </c>
      <c r="O701" s="259">
        <f t="shared" si="142"/>
        <v>246.9173305</v>
      </c>
      <c r="P701" s="260">
        <f t="shared" si="2"/>
        <v>0.0001931570668</v>
      </c>
    </row>
    <row r="702">
      <c r="A702" s="253" t="s">
        <v>855</v>
      </c>
      <c r="B702" s="254">
        <v>3909.0</v>
      </c>
      <c r="C702" s="255" t="str">
        <f t="shared" si="136"/>
        <v>SINAPI</v>
      </c>
      <c r="D702" s="256" t="s">
        <v>286</v>
      </c>
      <c r="E702" s="257" t="str">
        <f>IFERROR(IF(D702="SINAPI-S",VLOOKUP(B702,'20-B.SINAPI-S'!A:J,2,0),IF(D702="SINAPI-I",VLOOKUP(B702,'20-A.SINAPI-I'!A:G,2,0),IF(D702="COMPOSIÇÕES",VLOOKUP(B702,'11.COMPOSIÇÕES GERAIS'!B:I,2,0),VLOOKUP(B702,'12.COT.MERCADO'!A:I,2,0)))),"Em Elaboração")</f>
        <v>LUVA DE FERRO GALVANIZADO, COM ROSCA BSP, DE 3/4"</v>
      </c>
      <c r="F702" s="258" t="str">
        <f>IFERROR(IF(D702="SINAPI-S",VLOOKUP(B702,'20-B.SINAPI-S'!A:J,3,0),IF(D702="SINAPI-I",VLOOKUP(B702,'20-A.SINAPI-I'!A:G,3,0),IF(D702="COMPOSIÇÕES",VLOOKUP(B702,'11.COMPOSIÇÕES GERAIS'!B:I,3,0),VLOOKUP(B702,'12.COT.MERCADO'!A:I,7,0)))),"Em Elaboração")</f>
        <v>UN</v>
      </c>
      <c r="G702" s="254">
        <v>2.0</v>
      </c>
      <c r="H702" s="259">
        <f>IFERROR(IF(D702="SINAPI-S",VLOOKUP(B702,'20-B.SINAPI-S'!A:J,5,0),IF(D702="SINAPI-I",VLOOKUP(B702,'20-A.SINAPI-I'!A:G,6,0),IF(D702="COMPOSIÇÕES",VLOOKUP(B702,'11.COMPOSIÇÕES GERAIS'!B:I,7,0),0))),"Em Elaboração")</f>
        <v>0</v>
      </c>
      <c r="I702" s="259">
        <f>IFERROR(IF(D702="SINAPI-S",VLOOKUP(B702,'20-B.SINAPI-S'!A:J,6,0),IF(D702="SINAPI-I",VLOOKUP(B702,'20-A.SINAPI-I'!A:G,7,0),IF(D702="COMPOSIÇÕES",VLOOKUP(B702,'11.COMPOSIÇÕES GERAIS'!B:I,8,0),VLOOKUP(B702,'12.COT.MERCADO'!A:I,8,0)))),"Em Elaboração")</f>
        <v>8.99</v>
      </c>
      <c r="J702" s="259">
        <f t="shared" si="137"/>
        <v>0</v>
      </c>
      <c r="K702" s="259">
        <f t="shared" si="138"/>
        <v>10.53029792</v>
      </c>
      <c r="L702" s="259">
        <f t="shared" si="139"/>
        <v>10.53029792</v>
      </c>
      <c r="M702" s="259">
        <f t="shared" si="140"/>
        <v>0</v>
      </c>
      <c r="N702" s="259">
        <f t="shared" si="141"/>
        <v>21.06059584</v>
      </c>
      <c r="O702" s="259">
        <f t="shared" si="142"/>
        <v>21.06059584</v>
      </c>
      <c r="P702" s="260">
        <f t="shared" si="2"/>
        <v>0.00001647516158</v>
      </c>
    </row>
    <row r="703">
      <c r="A703" s="253" t="s">
        <v>856</v>
      </c>
      <c r="B703" s="254">
        <v>3915.0</v>
      </c>
      <c r="C703" s="255" t="str">
        <f t="shared" si="136"/>
        <v>SINAPI</v>
      </c>
      <c r="D703" s="256" t="s">
        <v>286</v>
      </c>
      <c r="E703" s="257" t="str">
        <f>IFERROR(IF(D703="SINAPI-S",VLOOKUP(B703,'20-B.SINAPI-S'!A:J,2,0),IF(D703="SINAPI-I",VLOOKUP(B703,'20-A.SINAPI-I'!A:G,2,0),IF(D703="COMPOSIÇÕES",VLOOKUP(B703,'11.COMPOSIÇÕES GERAIS'!B:I,2,0),VLOOKUP(B703,'12.COT.MERCADO'!A:I,2,0)))),"Em Elaboração")</f>
        <v>LUVA DE FERRO GALVANIZADO, COM ROSCA BSP, DE 4"</v>
      </c>
      <c r="F703" s="258" t="str">
        <f>IFERROR(IF(D703="SINAPI-S",VLOOKUP(B703,'20-B.SINAPI-S'!A:J,3,0),IF(D703="SINAPI-I",VLOOKUP(B703,'20-A.SINAPI-I'!A:G,3,0),IF(D703="COMPOSIÇÕES",VLOOKUP(B703,'11.COMPOSIÇÕES GERAIS'!B:I,3,0),VLOOKUP(B703,'12.COT.MERCADO'!A:I,7,0)))),"Em Elaboração")</f>
        <v>UN</v>
      </c>
      <c r="G703" s="254">
        <v>2.0</v>
      </c>
      <c r="H703" s="259">
        <f>IFERROR(IF(D703="SINAPI-S",VLOOKUP(B703,'20-B.SINAPI-S'!A:J,5,0),IF(D703="SINAPI-I",VLOOKUP(B703,'20-A.SINAPI-I'!A:G,6,0),IF(D703="COMPOSIÇÕES",VLOOKUP(B703,'11.COMPOSIÇÕES GERAIS'!B:I,7,0),0))),"Em Elaboração")</f>
        <v>0</v>
      </c>
      <c r="I703" s="259">
        <f>IFERROR(IF(D703="SINAPI-S",VLOOKUP(B703,'20-B.SINAPI-S'!A:J,6,0),IF(D703="SINAPI-I",VLOOKUP(B703,'20-A.SINAPI-I'!A:G,7,0),IF(D703="COMPOSIÇÕES",VLOOKUP(B703,'11.COMPOSIÇÕES GERAIS'!B:I,8,0),VLOOKUP(B703,'12.COT.MERCADO'!A:I,8,0)))),"Em Elaboração")</f>
        <v>166.21</v>
      </c>
      <c r="J703" s="259">
        <f t="shared" si="137"/>
        <v>0</v>
      </c>
      <c r="K703" s="259">
        <f t="shared" si="138"/>
        <v>194.6875214</v>
      </c>
      <c r="L703" s="259">
        <f t="shared" si="139"/>
        <v>194.6875214</v>
      </c>
      <c r="M703" s="259">
        <f t="shared" si="140"/>
        <v>0</v>
      </c>
      <c r="N703" s="259">
        <f t="shared" si="141"/>
        <v>389.3750428</v>
      </c>
      <c r="O703" s="259">
        <f t="shared" si="142"/>
        <v>389.3750428</v>
      </c>
      <c r="P703" s="260">
        <f t="shared" si="2"/>
        <v>0.0003045980652</v>
      </c>
    </row>
    <row r="704">
      <c r="A704" s="253" t="s">
        <v>857</v>
      </c>
      <c r="B704" s="254">
        <v>20170.0</v>
      </c>
      <c r="C704" s="255" t="str">
        <f t="shared" si="136"/>
        <v>SINAPI</v>
      </c>
      <c r="D704" s="256" t="s">
        <v>286</v>
      </c>
      <c r="E704" s="257" t="str">
        <f>IFERROR(IF(D704="SINAPI-S",VLOOKUP(B704,'20-B.SINAPI-S'!A:J,2,0),IF(D704="SINAPI-I",VLOOKUP(B704,'20-A.SINAPI-I'!A:G,2,0),IF(D704="COMPOSIÇÕES",VLOOKUP(B704,'11.COMPOSIÇÕES GERAIS'!B:I,2,0),VLOOKUP(B704,'12.COT.MERCADO'!A:I,2,0)))),"Em Elaboração")</f>
        <v>LUVA SIMPLES, PVC SERIE R, 100 MM, PARA ESGOTO PREDIAL</v>
      </c>
      <c r="F704" s="258" t="str">
        <f>IFERROR(IF(D704="SINAPI-S",VLOOKUP(B704,'20-B.SINAPI-S'!A:J,3,0),IF(D704="SINAPI-I",VLOOKUP(B704,'20-A.SINAPI-I'!A:G,3,0),IF(D704="COMPOSIÇÕES",VLOOKUP(B704,'11.COMPOSIÇÕES GERAIS'!B:I,3,0),VLOOKUP(B704,'12.COT.MERCADO'!A:I,7,0)))),"Em Elaboração")</f>
        <v>UN</v>
      </c>
      <c r="G704" s="254">
        <v>2.0</v>
      </c>
      <c r="H704" s="259">
        <f>IFERROR(IF(D704="SINAPI-S",VLOOKUP(B704,'20-B.SINAPI-S'!A:J,5,0),IF(D704="SINAPI-I",VLOOKUP(B704,'20-A.SINAPI-I'!A:G,6,0),IF(D704="COMPOSIÇÕES",VLOOKUP(B704,'11.COMPOSIÇÕES GERAIS'!B:I,7,0),0))),"Em Elaboração")</f>
        <v>0</v>
      </c>
      <c r="I704" s="259">
        <f>IFERROR(IF(D704="SINAPI-S",VLOOKUP(B704,'20-B.SINAPI-S'!A:J,6,0),IF(D704="SINAPI-I",VLOOKUP(B704,'20-A.SINAPI-I'!A:G,7,0),IF(D704="COMPOSIÇÕES",VLOOKUP(B704,'11.COMPOSIÇÕES GERAIS'!B:I,8,0),VLOOKUP(B704,'12.COT.MERCADO'!A:I,8,0)))),"Em Elaboração")</f>
        <v>15.48</v>
      </c>
      <c r="J704" s="259">
        <f t="shared" si="137"/>
        <v>0</v>
      </c>
      <c r="K704" s="259">
        <f t="shared" si="138"/>
        <v>18.13225938</v>
      </c>
      <c r="L704" s="259">
        <f t="shared" si="139"/>
        <v>18.13225938</v>
      </c>
      <c r="M704" s="259">
        <f t="shared" si="140"/>
        <v>0</v>
      </c>
      <c r="N704" s="259">
        <f t="shared" si="141"/>
        <v>36.26451876</v>
      </c>
      <c r="O704" s="259">
        <f t="shared" si="142"/>
        <v>36.26451876</v>
      </c>
      <c r="P704" s="260">
        <f t="shared" si="2"/>
        <v>0.0000283687988</v>
      </c>
    </row>
    <row r="705">
      <c r="A705" s="253" t="s">
        <v>858</v>
      </c>
      <c r="B705" s="254">
        <v>20171.0</v>
      </c>
      <c r="C705" s="255" t="str">
        <f t="shared" si="136"/>
        <v>SINAPI</v>
      </c>
      <c r="D705" s="256" t="s">
        <v>286</v>
      </c>
      <c r="E705" s="257" t="str">
        <f>IFERROR(IF(D705="SINAPI-S",VLOOKUP(B705,'20-B.SINAPI-S'!A:J,2,0),IF(D705="SINAPI-I",VLOOKUP(B705,'20-A.SINAPI-I'!A:G,2,0),IF(D705="COMPOSIÇÕES",VLOOKUP(B705,'11.COMPOSIÇÕES GERAIS'!B:I,2,0),VLOOKUP(B705,'12.COT.MERCADO'!A:I,2,0)))),"Em Elaboração")</f>
        <v>LUVA SIMPLES, PVC SERIE R, 150 MM, PARA ESGOTO PREDIAL</v>
      </c>
      <c r="F705" s="258" t="str">
        <f>IFERROR(IF(D705="SINAPI-S",VLOOKUP(B705,'20-B.SINAPI-S'!A:J,3,0),IF(D705="SINAPI-I",VLOOKUP(B705,'20-A.SINAPI-I'!A:G,3,0),IF(D705="COMPOSIÇÕES",VLOOKUP(B705,'11.COMPOSIÇÕES GERAIS'!B:I,3,0),VLOOKUP(B705,'12.COT.MERCADO'!A:I,7,0)))),"Em Elaboração")</f>
        <v>UN</v>
      </c>
      <c r="G705" s="254">
        <v>2.0</v>
      </c>
      <c r="H705" s="259">
        <f>IFERROR(IF(D705="SINAPI-S",VLOOKUP(B705,'20-B.SINAPI-S'!A:J,5,0),IF(D705="SINAPI-I",VLOOKUP(B705,'20-A.SINAPI-I'!A:G,6,0),IF(D705="COMPOSIÇÕES",VLOOKUP(B705,'11.COMPOSIÇÕES GERAIS'!B:I,7,0),0))),"Em Elaboração")</f>
        <v>0</v>
      </c>
      <c r="I705" s="259">
        <f>IFERROR(IF(D705="SINAPI-S",VLOOKUP(B705,'20-B.SINAPI-S'!A:J,6,0),IF(D705="SINAPI-I",VLOOKUP(B705,'20-A.SINAPI-I'!A:G,7,0),IF(D705="COMPOSIÇÕES",VLOOKUP(B705,'11.COMPOSIÇÕES GERAIS'!B:I,8,0),VLOOKUP(B705,'12.COT.MERCADO'!A:I,8,0)))),"Em Elaboração")</f>
        <v>44.65</v>
      </c>
      <c r="J705" s="259">
        <f t="shared" si="137"/>
        <v>0</v>
      </c>
      <c r="K705" s="259">
        <f t="shared" si="138"/>
        <v>52.30008923</v>
      </c>
      <c r="L705" s="259">
        <f t="shared" si="139"/>
        <v>52.30008923</v>
      </c>
      <c r="M705" s="259">
        <f t="shared" si="140"/>
        <v>0</v>
      </c>
      <c r="N705" s="259">
        <f t="shared" si="141"/>
        <v>104.6001785</v>
      </c>
      <c r="O705" s="259">
        <f t="shared" si="142"/>
        <v>104.6001785</v>
      </c>
      <c r="P705" s="260">
        <f t="shared" si="2"/>
        <v>0.00008182602498</v>
      </c>
    </row>
    <row r="706">
      <c r="A706" s="253" t="s">
        <v>859</v>
      </c>
      <c r="B706" s="254">
        <v>20169.0</v>
      </c>
      <c r="C706" s="255" t="str">
        <f t="shared" si="136"/>
        <v>SINAPI</v>
      </c>
      <c r="D706" s="256" t="s">
        <v>286</v>
      </c>
      <c r="E706" s="257" t="str">
        <f>IFERROR(IF(D706="SINAPI-S",VLOOKUP(B706,'20-B.SINAPI-S'!A:J,2,0),IF(D706="SINAPI-I",VLOOKUP(B706,'20-A.SINAPI-I'!A:G,2,0),IF(D706="COMPOSIÇÕES",VLOOKUP(B706,'11.COMPOSIÇÕES GERAIS'!B:I,2,0),VLOOKUP(B706,'12.COT.MERCADO'!A:I,2,0)))),"Em Elaboração")</f>
        <v>LUVA SIMPLES, PVC SERIE R, 75 MM, PARA ESGOTO PREDIAL</v>
      </c>
      <c r="F706" s="258" t="str">
        <f>IFERROR(IF(D706="SINAPI-S",VLOOKUP(B706,'20-B.SINAPI-S'!A:J,3,0),IF(D706="SINAPI-I",VLOOKUP(B706,'20-A.SINAPI-I'!A:G,3,0),IF(D706="COMPOSIÇÕES",VLOOKUP(B706,'11.COMPOSIÇÕES GERAIS'!B:I,3,0),VLOOKUP(B706,'12.COT.MERCADO'!A:I,7,0)))),"Em Elaboração")</f>
        <v>UN</v>
      </c>
      <c r="G706" s="254">
        <v>2.0</v>
      </c>
      <c r="H706" s="259">
        <f>IFERROR(IF(D706="SINAPI-S",VLOOKUP(B706,'20-B.SINAPI-S'!A:J,5,0),IF(D706="SINAPI-I",VLOOKUP(B706,'20-A.SINAPI-I'!A:G,6,0),IF(D706="COMPOSIÇÕES",VLOOKUP(B706,'11.COMPOSIÇÕES GERAIS'!B:I,7,0),0))),"Em Elaboração")</f>
        <v>0</v>
      </c>
      <c r="I706" s="259">
        <f>IFERROR(IF(D706="SINAPI-S",VLOOKUP(B706,'20-B.SINAPI-S'!A:J,6,0),IF(D706="SINAPI-I",VLOOKUP(B706,'20-A.SINAPI-I'!A:G,7,0),IF(D706="COMPOSIÇÕES",VLOOKUP(B706,'11.COMPOSIÇÕES GERAIS'!B:I,8,0),VLOOKUP(B706,'12.COT.MERCADO'!A:I,8,0)))),"Em Elaboração")</f>
        <v>13.48</v>
      </c>
      <c r="J706" s="259">
        <f t="shared" si="137"/>
        <v>0</v>
      </c>
      <c r="K706" s="259">
        <f t="shared" si="138"/>
        <v>15.78959021</v>
      </c>
      <c r="L706" s="259">
        <f t="shared" si="139"/>
        <v>15.78959021</v>
      </c>
      <c r="M706" s="259">
        <f t="shared" si="140"/>
        <v>0</v>
      </c>
      <c r="N706" s="259">
        <f t="shared" si="141"/>
        <v>31.57918042</v>
      </c>
      <c r="O706" s="259">
        <f t="shared" si="142"/>
        <v>31.57918042</v>
      </c>
      <c r="P706" s="260">
        <f t="shared" si="2"/>
        <v>0.00002470357932</v>
      </c>
    </row>
    <row r="707">
      <c r="A707" s="253" t="s">
        <v>860</v>
      </c>
      <c r="B707" s="254">
        <v>3904.0</v>
      </c>
      <c r="C707" s="255" t="str">
        <f t="shared" si="136"/>
        <v>SINAPI</v>
      </c>
      <c r="D707" s="256" t="s">
        <v>286</v>
      </c>
      <c r="E707" s="257" t="str">
        <f>IFERROR(IF(D707="SINAPI-S",VLOOKUP(B707,'20-B.SINAPI-S'!A:J,2,0),IF(D707="SINAPI-I",VLOOKUP(B707,'20-A.SINAPI-I'!A:G,2,0),IF(D707="COMPOSIÇÕES",VLOOKUP(B707,'11.COMPOSIÇÕES GERAIS'!B:I,2,0),VLOOKUP(B707,'12.COT.MERCADO'!A:I,2,0)))),"Em Elaboração")</f>
        <v>LUVA PVC SOLDAVEL, 25 MM, PARA AGUA FRIA PREDIAL</v>
      </c>
      <c r="F707" s="258" t="str">
        <f>IFERROR(IF(D707="SINAPI-S",VLOOKUP(B707,'20-B.SINAPI-S'!A:J,3,0),IF(D707="SINAPI-I",VLOOKUP(B707,'20-A.SINAPI-I'!A:G,3,0),IF(D707="COMPOSIÇÕES",VLOOKUP(B707,'11.COMPOSIÇÕES GERAIS'!B:I,3,0),VLOOKUP(B707,'12.COT.MERCADO'!A:I,7,0)))),"Em Elaboração")</f>
        <v>UN</v>
      </c>
      <c r="G707" s="254">
        <v>2.0</v>
      </c>
      <c r="H707" s="259">
        <f>IFERROR(IF(D707="SINAPI-S",VLOOKUP(B707,'20-B.SINAPI-S'!A:J,5,0),IF(D707="SINAPI-I",VLOOKUP(B707,'20-A.SINAPI-I'!A:G,6,0),IF(D707="COMPOSIÇÕES",VLOOKUP(B707,'11.COMPOSIÇÕES GERAIS'!B:I,7,0),0))),"Em Elaboração")</f>
        <v>0</v>
      </c>
      <c r="I707" s="259">
        <f>IFERROR(IF(D707="SINAPI-S",VLOOKUP(B707,'20-B.SINAPI-S'!A:J,6,0),IF(D707="SINAPI-I",VLOOKUP(B707,'20-A.SINAPI-I'!A:G,7,0),IF(D707="COMPOSIÇÕES",VLOOKUP(B707,'11.COMPOSIÇÕES GERAIS'!B:I,8,0),VLOOKUP(B707,'12.COT.MERCADO'!A:I,8,0)))),"Em Elaboração")</f>
        <v>0.86</v>
      </c>
      <c r="J707" s="259">
        <f t="shared" si="137"/>
        <v>0</v>
      </c>
      <c r="K707" s="259">
        <f t="shared" si="138"/>
        <v>1.007347743</v>
      </c>
      <c r="L707" s="259">
        <f t="shared" si="139"/>
        <v>1.007347743</v>
      </c>
      <c r="M707" s="259">
        <f t="shared" si="140"/>
        <v>0</v>
      </c>
      <c r="N707" s="259">
        <f t="shared" si="141"/>
        <v>2.014695486</v>
      </c>
      <c r="O707" s="259">
        <f t="shared" si="142"/>
        <v>2.014695486</v>
      </c>
      <c r="P707" s="260">
        <f t="shared" si="2"/>
        <v>0.000001576044378</v>
      </c>
    </row>
    <row r="708">
      <c r="A708" s="253" t="s">
        <v>861</v>
      </c>
      <c r="B708" s="254">
        <v>3903.0</v>
      </c>
      <c r="C708" s="255" t="str">
        <f t="shared" si="136"/>
        <v>SINAPI</v>
      </c>
      <c r="D708" s="256" t="s">
        <v>286</v>
      </c>
      <c r="E708" s="257" t="str">
        <f>IFERROR(IF(D708="SINAPI-S",VLOOKUP(B708,'20-B.SINAPI-S'!A:J,2,0),IF(D708="SINAPI-I",VLOOKUP(B708,'20-A.SINAPI-I'!A:G,2,0),IF(D708="COMPOSIÇÕES",VLOOKUP(B708,'11.COMPOSIÇÕES GERAIS'!B:I,2,0),VLOOKUP(B708,'12.COT.MERCADO'!A:I,2,0)))),"Em Elaboração")</f>
        <v>LUVA PVC SOLDAVEL, 32 MM, PARA AGUA FRIA PREDIAL</v>
      </c>
      <c r="F708" s="258" t="str">
        <f>IFERROR(IF(D708="SINAPI-S",VLOOKUP(B708,'20-B.SINAPI-S'!A:J,3,0),IF(D708="SINAPI-I",VLOOKUP(B708,'20-A.SINAPI-I'!A:G,3,0),IF(D708="COMPOSIÇÕES",VLOOKUP(B708,'11.COMPOSIÇÕES GERAIS'!B:I,3,0),VLOOKUP(B708,'12.COT.MERCADO'!A:I,7,0)))),"Em Elaboração")</f>
        <v>UN</v>
      </c>
      <c r="G708" s="254">
        <v>2.0</v>
      </c>
      <c r="H708" s="259">
        <f>IFERROR(IF(D708="SINAPI-S",VLOOKUP(B708,'20-B.SINAPI-S'!A:J,5,0),IF(D708="SINAPI-I",VLOOKUP(B708,'20-A.SINAPI-I'!A:G,6,0),IF(D708="COMPOSIÇÕES",VLOOKUP(B708,'11.COMPOSIÇÕES GERAIS'!B:I,7,0),0))),"Em Elaboração")</f>
        <v>0</v>
      </c>
      <c r="I708" s="259">
        <f>IFERROR(IF(D708="SINAPI-S",VLOOKUP(B708,'20-B.SINAPI-S'!A:J,6,0),IF(D708="SINAPI-I",VLOOKUP(B708,'20-A.SINAPI-I'!A:G,7,0),IF(D708="COMPOSIÇÕES",VLOOKUP(B708,'11.COMPOSIÇÕES GERAIS'!B:I,8,0),VLOOKUP(B708,'12.COT.MERCADO'!A:I,8,0)))),"Em Elaboração")</f>
        <v>2.09</v>
      </c>
      <c r="J708" s="259">
        <f t="shared" si="137"/>
        <v>0</v>
      </c>
      <c r="K708" s="259">
        <f t="shared" si="138"/>
        <v>2.448089283</v>
      </c>
      <c r="L708" s="259">
        <f t="shared" si="139"/>
        <v>2.448089283</v>
      </c>
      <c r="M708" s="259">
        <f t="shared" si="140"/>
        <v>0</v>
      </c>
      <c r="N708" s="259">
        <f t="shared" si="141"/>
        <v>4.896178566</v>
      </c>
      <c r="O708" s="259">
        <f t="shared" si="142"/>
        <v>4.896178566</v>
      </c>
      <c r="P708" s="260">
        <f t="shared" si="2"/>
        <v>0.000003830154361</v>
      </c>
    </row>
    <row r="709">
      <c r="A709" s="253" t="s">
        <v>862</v>
      </c>
      <c r="B709" s="254">
        <v>3862.0</v>
      </c>
      <c r="C709" s="255" t="str">
        <f t="shared" si="136"/>
        <v>SINAPI</v>
      </c>
      <c r="D709" s="256" t="s">
        <v>286</v>
      </c>
      <c r="E709" s="257" t="str">
        <f>IFERROR(IF(D709="SINAPI-S",VLOOKUP(B709,'20-B.SINAPI-S'!A:J,2,0),IF(D709="SINAPI-I",VLOOKUP(B709,'20-A.SINAPI-I'!A:G,2,0),IF(D709="COMPOSIÇÕES",VLOOKUP(B709,'11.COMPOSIÇÕES GERAIS'!B:I,2,0),VLOOKUP(B709,'12.COT.MERCADO'!A:I,2,0)))),"Em Elaboração")</f>
        <v>LUVA PVC SOLDAVEL, 40 MM, PARA AGUA FRIA PREDIAL</v>
      </c>
      <c r="F709" s="258" t="str">
        <f>IFERROR(IF(D709="SINAPI-S",VLOOKUP(B709,'20-B.SINAPI-S'!A:J,3,0),IF(D709="SINAPI-I",VLOOKUP(B709,'20-A.SINAPI-I'!A:G,3,0),IF(D709="COMPOSIÇÕES",VLOOKUP(B709,'11.COMPOSIÇÕES GERAIS'!B:I,3,0),VLOOKUP(B709,'12.COT.MERCADO'!A:I,7,0)))),"Em Elaboração")</f>
        <v>UN</v>
      </c>
      <c r="G709" s="254">
        <v>2.0</v>
      </c>
      <c r="H709" s="259">
        <f>IFERROR(IF(D709="SINAPI-S",VLOOKUP(B709,'20-B.SINAPI-S'!A:J,5,0),IF(D709="SINAPI-I",VLOOKUP(B709,'20-A.SINAPI-I'!A:G,6,0),IF(D709="COMPOSIÇÕES",VLOOKUP(B709,'11.COMPOSIÇÕES GERAIS'!B:I,7,0),0))),"Em Elaboração")</f>
        <v>0</v>
      </c>
      <c r="I709" s="259">
        <f>IFERROR(IF(D709="SINAPI-S",VLOOKUP(B709,'20-B.SINAPI-S'!A:J,6,0),IF(D709="SINAPI-I",VLOOKUP(B709,'20-A.SINAPI-I'!A:G,7,0),IF(D709="COMPOSIÇÕES",VLOOKUP(B709,'11.COMPOSIÇÕES GERAIS'!B:I,8,0),VLOOKUP(B709,'12.COT.MERCADO'!A:I,8,0)))),"Em Elaboração")</f>
        <v>4.46</v>
      </c>
      <c r="J709" s="259">
        <f t="shared" si="137"/>
        <v>0</v>
      </c>
      <c r="K709" s="259">
        <f t="shared" si="138"/>
        <v>5.22415225</v>
      </c>
      <c r="L709" s="259">
        <f t="shared" si="139"/>
        <v>5.22415225</v>
      </c>
      <c r="M709" s="259">
        <f t="shared" si="140"/>
        <v>0</v>
      </c>
      <c r="N709" s="259">
        <f t="shared" si="141"/>
        <v>10.4483045</v>
      </c>
      <c r="O709" s="259">
        <f t="shared" si="142"/>
        <v>10.4483045</v>
      </c>
      <c r="P709" s="260">
        <f t="shared" si="2"/>
        <v>0.000008173439449</v>
      </c>
    </row>
    <row r="710">
      <c r="A710" s="253" t="s">
        <v>863</v>
      </c>
      <c r="B710" s="254">
        <v>3863.0</v>
      </c>
      <c r="C710" s="255" t="str">
        <f t="shared" si="136"/>
        <v>SINAPI</v>
      </c>
      <c r="D710" s="256" t="s">
        <v>286</v>
      </c>
      <c r="E710" s="257" t="str">
        <f>IFERROR(IF(D710="SINAPI-S",VLOOKUP(B710,'20-B.SINAPI-S'!A:J,2,0),IF(D710="SINAPI-I",VLOOKUP(B710,'20-A.SINAPI-I'!A:G,2,0),IF(D710="COMPOSIÇÕES",VLOOKUP(B710,'11.COMPOSIÇÕES GERAIS'!B:I,2,0),VLOOKUP(B710,'12.COT.MERCADO'!A:I,2,0)))),"Em Elaboração")</f>
        <v>LUVA PVC SOLDAVEL, 50 MM, PARA AGUA FRIA PREDIAL</v>
      </c>
      <c r="F710" s="258" t="str">
        <f>IFERROR(IF(D710="SINAPI-S",VLOOKUP(B710,'20-B.SINAPI-S'!A:J,3,0),IF(D710="SINAPI-I",VLOOKUP(B710,'20-A.SINAPI-I'!A:G,3,0),IF(D710="COMPOSIÇÕES",VLOOKUP(B710,'11.COMPOSIÇÕES GERAIS'!B:I,3,0),VLOOKUP(B710,'12.COT.MERCADO'!A:I,7,0)))),"Em Elaboração")</f>
        <v>UN</v>
      </c>
      <c r="G710" s="254">
        <v>2.0</v>
      </c>
      <c r="H710" s="259">
        <f>IFERROR(IF(D710="SINAPI-S",VLOOKUP(B710,'20-B.SINAPI-S'!A:J,5,0),IF(D710="SINAPI-I",VLOOKUP(B710,'20-A.SINAPI-I'!A:G,6,0),IF(D710="COMPOSIÇÕES",VLOOKUP(B710,'11.COMPOSIÇÕES GERAIS'!B:I,7,0),0))),"Em Elaboração")</f>
        <v>0</v>
      </c>
      <c r="I710" s="259">
        <f>IFERROR(IF(D710="SINAPI-S",VLOOKUP(B710,'20-B.SINAPI-S'!A:J,6,0),IF(D710="SINAPI-I",VLOOKUP(B710,'20-A.SINAPI-I'!A:G,7,0),IF(D710="COMPOSIÇÕES",VLOOKUP(B710,'11.COMPOSIÇÕES GERAIS'!B:I,8,0),VLOOKUP(B710,'12.COT.MERCADO'!A:I,8,0)))),"Em Elaboração")</f>
        <v>4.57</v>
      </c>
      <c r="J710" s="259">
        <f t="shared" si="137"/>
        <v>0</v>
      </c>
      <c r="K710" s="259">
        <f t="shared" si="138"/>
        <v>5.352999054</v>
      </c>
      <c r="L710" s="259">
        <f t="shared" si="139"/>
        <v>5.352999054</v>
      </c>
      <c r="M710" s="259">
        <f t="shared" si="140"/>
        <v>0</v>
      </c>
      <c r="N710" s="259">
        <f t="shared" si="141"/>
        <v>10.70599811</v>
      </c>
      <c r="O710" s="259">
        <f t="shared" si="142"/>
        <v>10.70599811</v>
      </c>
      <c r="P710" s="260">
        <f t="shared" si="2"/>
        <v>0.00000837502652</v>
      </c>
    </row>
    <row r="711">
      <c r="A711" s="253" t="s">
        <v>864</v>
      </c>
      <c r="B711" s="254">
        <v>3864.0</v>
      </c>
      <c r="C711" s="255" t="str">
        <f t="shared" si="136"/>
        <v>SINAPI</v>
      </c>
      <c r="D711" s="256" t="s">
        <v>286</v>
      </c>
      <c r="E711" s="257" t="str">
        <f>IFERROR(IF(D711="SINAPI-S",VLOOKUP(B711,'20-B.SINAPI-S'!A:J,2,0),IF(D711="SINAPI-I",VLOOKUP(B711,'20-A.SINAPI-I'!A:G,2,0),IF(D711="COMPOSIÇÕES",VLOOKUP(B711,'11.COMPOSIÇÕES GERAIS'!B:I,2,0),VLOOKUP(B711,'12.COT.MERCADO'!A:I,2,0)))),"Em Elaboração")</f>
        <v>LUVA PVC SOLDAVEL, 60 MM, PARA AGUA FRIA PREDIAL</v>
      </c>
      <c r="F711" s="258" t="str">
        <f>IFERROR(IF(D711="SINAPI-S",VLOOKUP(B711,'20-B.SINAPI-S'!A:J,3,0),IF(D711="SINAPI-I",VLOOKUP(B711,'20-A.SINAPI-I'!A:G,3,0),IF(D711="COMPOSIÇÕES",VLOOKUP(B711,'11.COMPOSIÇÕES GERAIS'!B:I,3,0),VLOOKUP(B711,'12.COT.MERCADO'!A:I,7,0)))),"Em Elaboração")</f>
        <v>UN</v>
      </c>
      <c r="G711" s="254">
        <v>2.0</v>
      </c>
      <c r="H711" s="259">
        <f>IFERROR(IF(D711="SINAPI-S",VLOOKUP(B711,'20-B.SINAPI-S'!A:J,5,0),IF(D711="SINAPI-I",VLOOKUP(B711,'20-A.SINAPI-I'!A:G,6,0),IF(D711="COMPOSIÇÕES",VLOOKUP(B711,'11.COMPOSIÇÕES GERAIS'!B:I,7,0),0))),"Em Elaboração")</f>
        <v>0</v>
      </c>
      <c r="I711" s="259">
        <f>IFERROR(IF(D711="SINAPI-S",VLOOKUP(B711,'20-B.SINAPI-S'!A:J,6,0),IF(D711="SINAPI-I",VLOOKUP(B711,'20-A.SINAPI-I'!A:G,7,0),IF(D711="COMPOSIÇÕES",VLOOKUP(B711,'11.COMPOSIÇÕES GERAIS'!B:I,8,0),VLOOKUP(B711,'12.COT.MERCADO'!A:I,8,0)))),"Em Elaboração")</f>
        <v>13.99</v>
      </c>
      <c r="J711" s="259">
        <f t="shared" si="137"/>
        <v>0</v>
      </c>
      <c r="K711" s="259">
        <f t="shared" si="138"/>
        <v>16.38697085</v>
      </c>
      <c r="L711" s="259">
        <f t="shared" si="139"/>
        <v>16.38697085</v>
      </c>
      <c r="M711" s="259">
        <f t="shared" si="140"/>
        <v>0</v>
      </c>
      <c r="N711" s="259">
        <f t="shared" si="141"/>
        <v>32.77394169</v>
      </c>
      <c r="O711" s="259">
        <f t="shared" si="142"/>
        <v>32.77394169</v>
      </c>
      <c r="P711" s="260">
        <f t="shared" si="2"/>
        <v>0.00002563821029</v>
      </c>
    </row>
    <row r="712">
      <c r="A712" s="253" t="s">
        <v>865</v>
      </c>
      <c r="B712" s="254">
        <v>37985.0</v>
      </c>
      <c r="C712" s="255" t="str">
        <f t="shared" si="136"/>
        <v>SINAPI</v>
      </c>
      <c r="D712" s="256" t="s">
        <v>286</v>
      </c>
      <c r="E712" s="257" t="str">
        <f>IFERROR(IF(D712="SINAPI-S",VLOOKUP(B712,'20-B.SINAPI-S'!A:J,2,0),IF(D712="SINAPI-I",VLOOKUP(B712,'20-A.SINAPI-I'!A:G,2,0),IF(D712="COMPOSIÇÕES",VLOOKUP(B712,'11.COMPOSIÇÕES GERAIS'!B:I,2,0),VLOOKUP(B712,'12.COT.MERCADO'!A:I,2,0)))),"Em Elaboração")</f>
        <v>LUVA DE CORRER, CPVC, SOLDAVEL, 42 MM, PARA AGUA QUENTE PREDIAL</v>
      </c>
      <c r="F712" s="258" t="str">
        <f>IFERROR(IF(D712="SINAPI-S",VLOOKUP(B712,'20-B.SINAPI-S'!A:J,3,0),IF(D712="SINAPI-I",VLOOKUP(B712,'20-A.SINAPI-I'!A:G,3,0),IF(D712="COMPOSIÇÕES",VLOOKUP(B712,'11.COMPOSIÇÕES GERAIS'!B:I,3,0),VLOOKUP(B712,'12.COT.MERCADO'!A:I,7,0)))),"Em Elaboração")</f>
        <v>UN</v>
      </c>
      <c r="G712" s="254">
        <v>2.0</v>
      </c>
      <c r="H712" s="259">
        <f>IFERROR(IF(D712="SINAPI-S",VLOOKUP(B712,'20-B.SINAPI-S'!A:J,5,0),IF(D712="SINAPI-I",VLOOKUP(B712,'20-A.SINAPI-I'!A:G,6,0),IF(D712="COMPOSIÇÕES",VLOOKUP(B712,'11.COMPOSIÇÕES GERAIS'!B:I,7,0),0))),"Em Elaboração")</f>
        <v>0</v>
      </c>
      <c r="I712" s="259">
        <f>IFERROR(IF(D712="SINAPI-S",VLOOKUP(B712,'20-B.SINAPI-S'!A:J,6,0),IF(D712="SINAPI-I",VLOOKUP(B712,'20-A.SINAPI-I'!A:G,7,0),IF(D712="COMPOSIÇÕES",VLOOKUP(B712,'11.COMPOSIÇÕES GERAIS'!B:I,8,0),VLOOKUP(B712,'12.COT.MERCADO'!A:I,8,0)))),"Em Elaboração")</f>
        <v>30.02</v>
      </c>
      <c r="J712" s="259">
        <f t="shared" si="137"/>
        <v>0</v>
      </c>
      <c r="K712" s="259">
        <f t="shared" si="138"/>
        <v>35.16346425</v>
      </c>
      <c r="L712" s="259">
        <f t="shared" si="139"/>
        <v>35.16346425</v>
      </c>
      <c r="M712" s="259">
        <f t="shared" si="140"/>
        <v>0</v>
      </c>
      <c r="N712" s="259">
        <f t="shared" si="141"/>
        <v>70.32692849</v>
      </c>
      <c r="O712" s="259">
        <f t="shared" si="142"/>
        <v>70.32692849</v>
      </c>
      <c r="P712" s="260">
        <f t="shared" si="2"/>
        <v>0.00005501494445</v>
      </c>
    </row>
    <row r="713">
      <c r="A713" s="253" t="s">
        <v>866</v>
      </c>
      <c r="B713" s="254">
        <v>3871.0</v>
      </c>
      <c r="C713" s="255" t="str">
        <f t="shared" si="136"/>
        <v>SINAPI</v>
      </c>
      <c r="D713" s="256" t="s">
        <v>286</v>
      </c>
      <c r="E713" s="257" t="str">
        <f>IFERROR(IF(D713="SINAPI-S",VLOOKUP(B713,'20-B.SINAPI-S'!A:J,2,0),IF(D713="SINAPI-I",VLOOKUP(B713,'20-A.SINAPI-I'!A:G,2,0),IF(D713="COMPOSIÇÕES",VLOOKUP(B713,'11.COMPOSIÇÕES GERAIS'!B:I,2,0),VLOOKUP(B713,'12.COT.MERCADO'!A:I,2,0)))),"Em Elaboração")</f>
        <v>LUVA SOLDAVEL COM ROSCA, PVC, 50 MM X 1 1/2", PARA AGUA FRIA PREDIAL</v>
      </c>
      <c r="F713" s="258" t="str">
        <f>IFERROR(IF(D713="SINAPI-S",VLOOKUP(B713,'20-B.SINAPI-S'!A:J,3,0),IF(D713="SINAPI-I",VLOOKUP(B713,'20-A.SINAPI-I'!A:G,3,0),IF(D713="COMPOSIÇÕES",VLOOKUP(B713,'11.COMPOSIÇÕES GERAIS'!B:I,3,0),VLOOKUP(B713,'12.COT.MERCADO'!A:I,7,0)))),"Em Elaboração")</f>
        <v>UN</v>
      </c>
      <c r="G713" s="254">
        <v>2.0</v>
      </c>
      <c r="H713" s="259">
        <f>IFERROR(IF(D713="SINAPI-S",VLOOKUP(B713,'20-B.SINAPI-S'!A:J,5,0),IF(D713="SINAPI-I",VLOOKUP(B713,'20-A.SINAPI-I'!A:G,6,0),IF(D713="COMPOSIÇÕES",VLOOKUP(B713,'11.COMPOSIÇÕES GERAIS'!B:I,7,0),0))),"Em Elaboração")</f>
        <v>0</v>
      </c>
      <c r="I713" s="259">
        <f>IFERROR(IF(D713="SINAPI-S",VLOOKUP(B713,'20-B.SINAPI-S'!A:J,6,0),IF(D713="SINAPI-I",VLOOKUP(B713,'20-A.SINAPI-I'!A:G,7,0),IF(D713="COMPOSIÇÕES",VLOOKUP(B713,'11.COMPOSIÇÕES GERAIS'!B:I,8,0),VLOOKUP(B713,'12.COT.MERCADO'!A:I,8,0)))),"Em Elaboração")</f>
        <v>19.14</v>
      </c>
      <c r="J713" s="259">
        <f t="shared" si="137"/>
        <v>0</v>
      </c>
      <c r="K713" s="259">
        <f t="shared" si="138"/>
        <v>22.41934396</v>
      </c>
      <c r="L713" s="259">
        <f t="shared" si="139"/>
        <v>22.41934396</v>
      </c>
      <c r="M713" s="259">
        <f t="shared" si="140"/>
        <v>0</v>
      </c>
      <c r="N713" s="259">
        <f t="shared" si="141"/>
        <v>44.83868792</v>
      </c>
      <c r="O713" s="259">
        <f t="shared" si="142"/>
        <v>44.83868792</v>
      </c>
      <c r="P713" s="260">
        <f t="shared" si="2"/>
        <v>0.00003507615046</v>
      </c>
    </row>
    <row r="714">
      <c r="A714" s="253" t="s">
        <v>867</v>
      </c>
      <c r="B714" s="254">
        <v>3825.0</v>
      </c>
      <c r="C714" s="255" t="str">
        <f t="shared" si="136"/>
        <v>SINAPI</v>
      </c>
      <c r="D714" s="256" t="s">
        <v>286</v>
      </c>
      <c r="E714" s="257" t="str">
        <f>IFERROR(IF(D714="SINAPI-S",VLOOKUP(B714,'20-B.SINAPI-S'!A:J,2,0),IF(D714="SINAPI-I",VLOOKUP(B714,'20-A.SINAPI-I'!A:G,2,0),IF(D714="COMPOSIÇÕES",VLOOKUP(B714,'11.COMPOSIÇÕES GERAIS'!B:I,2,0),VLOOKUP(B714,'12.COT.MERCADO'!A:I,2,0)))),"Em Elaboração")</f>
        <v>LUVA DE CORRER, PVC PBA, JE, DN 50 / DE 60 MM, PARA REDE AGUA (NBR 10351)</v>
      </c>
      <c r="F714" s="258" t="str">
        <f>IFERROR(IF(D714="SINAPI-S",VLOOKUP(B714,'20-B.SINAPI-S'!A:J,3,0),IF(D714="SINAPI-I",VLOOKUP(B714,'20-A.SINAPI-I'!A:G,3,0),IF(D714="COMPOSIÇÕES",VLOOKUP(B714,'11.COMPOSIÇÕES GERAIS'!B:I,3,0),VLOOKUP(B714,'12.COT.MERCADO'!A:I,7,0)))),"Em Elaboração")</f>
        <v>UN</v>
      </c>
      <c r="G714" s="254">
        <v>2.0</v>
      </c>
      <c r="H714" s="259">
        <f>IFERROR(IF(D714="SINAPI-S",VLOOKUP(B714,'20-B.SINAPI-S'!A:J,5,0),IF(D714="SINAPI-I",VLOOKUP(B714,'20-A.SINAPI-I'!A:G,6,0),IF(D714="COMPOSIÇÕES",VLOOKUP(B714,'11.COMPOSIÇÕES GERAIS'!B:I,7,0),0))),"Em Elaboração")</f>
        <v>0</v>
      </c>
      <c r="I714" s="259">
        <f>IFERROR(IF(D714="SINAPI-S",VLOOKUP(B714,'20-B.SINAPI-S'!A:J,6,0),IF(D714="SINAPI-I",VLOOKUP(B714,'20-A.SINAPI-I'!A:G,7,0),IF(D714="COMPOSIÇÕES",VLOOKUP(B714,'11.COMPOSIÇÕES GERAIS'!B:I,8,0),VLOOKUP(B714,'12.COT.MERCADO'!A:I,8,0)))),"Em Elaboração")</f>
        <v>14.49</v>
      </c>
      <c r="J714" s="259">
        <f t="shared" si="137"/>
        <v>0</v>
      </c>
      <c r="K714" s="259">
        <f t="shared" si="138"/>
        <v>16.97263814</v>
      </c>
      <c r="L714" s="259">
        <f t="shared" si="139"/>
        <v>16.97263814</v>
      </c>
      <c r="M714" s="259">
        <f t="shared" si="140"/>
        <v>0</v>
      </c>
      <c r="N714" s="259">
        <f t="shared" si="141"/>
        <v>33.94527628</v>
      </c>
      <c r="O714" s="259">
        <f t="shared" si="142"/>
        <v>33.94527628</v>
      </c>
      <c r="P714" s="260">
        <f t="shared" si="2"/>
        <v>0.00002655451516</v>
      </c>
    </row>
    <row r="715">
      <c r="A715" s="253" t="s">
        <v>868</v>
      </c>
      <c r="B715" s="254">
        <v>3874.0</v>
      </c>
      <c r="C715" s="255" t="str">
        <f t="shared" si="136"/>
        <v>SINAPI</v>
      </c>
      <c r="D715" s="256" t="s">
        <v>286</v>
      </c>
      <c r="E715" s="257" t="str">
        <f>IFERROR(IF(D715="SINAPI-S",VLOOKUP(B715,'20-B.SINAPI-S'!A:J,2,0),IF(D715="SINAPI-I",VLOOKUP(B715,'20-A.SINAPI-I'!A:G,2,0),IF(D715="COMPOSIÇÕES",VLOOKUP(B715,'11.COMPOSIÇÕES GERAIS'!B:I,2,0),VLOOKUP(B715,'12.COT.MERCADO'!A:I,2,0)))),"Em Elaboração")</f>
        <v>LUVA SOLDAVEL COM BUCHA DE LATAO, PVC, 25 MM X 1/2"</v>
      </c>
      <c r="F715" s="258" t="str">
        <f>IFERROR(IF(D715="SINAPI-S",VLOOKUP(B715,'20-B.SINAPI-S'!A:J,3,0),IF(D715="SINAPI-I",VLOOKUP(B715,'20-A.SINAPI-I'!A:G,3,0),IF(D715="COMPOSIÇÕES",VLOOKUP(B715,'11.COMPOSIÇÕES GERAIS'!B:I,3,0),VLOOKUP(B715,'12.COT.MERCADO'!A:I,7,0)))),"Em Elaboração")</f>
        <v>UN</v>
      </c>
      <c r="G715" s="254">
        <v>2.0</v>
      </c>
      <c r="H715" s="259">
        <f>IFERROR(IF(D715="SINAPI-S",VLOOKUP(B715,'20-B.SINAPI-S'!A:J,5,0),IF(D715="SINAPI-I",VLOOKUP(B715,'20-A.SINAPI-I'!A:G,6,0),IF(D715="COMPOSIÇÕES",VLOOKUP(B715,'11.COMPOSIÇÕES GERAIS'!B:I,7,0),0))),"Em Elaboração")</f>
        <v>0</v>
      </c>
      <c r="I715" s="259">
        <f>IFERROR(IF(D715="SINAPI-S",VLOOKUP(B715,'20-B.SINAPI-S'!A:J,6,0),IF(D715="SINAPI-I",VLOOKUP(B715,'20-A.SINAPI-I'!A:G,7,0),IF(D715="COMPOSIÇÕES",VLOOKUP(B715,'11.COMPOSIÇÕES GERAIS'!B:I,8,0),VLOOKUP(B715,'12.COT.MERCADO'!A:I,8,0)))),"Em Elaboração")</f>
        <v>6.27</v>
      </c>
      <c r="J715" s="259">
        <f t="shared" si="137"/>
        <v>0</v>
      </c>
      <c r="K715" s="259">
        <f t="shared" si="138"/>
        <v>7.344267849</v>
      </c>
      <c r="L715" s="259">
        <f t="shared" si="139"/>
        <v>7.344267849</v>
      </c>
      <c r="M715" s="259">
        <f t="shared" si="140"/>
        <v>0</v>
      </c>
      <c r="N715" s="259">
        <f t="shared" si="141"/>
        <v>14.6885357</v>
      </c>
      <c r="O715" s="259">
        <f t="shared" si="142"/>
        <v>14.6885357</v>
      </c>
      <c r="P715" s="260">
        <f t="shared" si="2"/>
        <v>0.00001149046308</v>
      </c>
    </row>
    <row r="716">
      <c r="A716" s="253" t="s">
        <v>869</v>
      </c>
      <c r="B716" s="254">
        <v>3870.0</v>
      </c>
      <c r="C716" s="255" t="str">
        <f t="shared" si="136"/>
        <v>SINAPI</v>
      </c>
      <c r="D716" s="256" t="s">
        <v>286</v>
      </c>
      <c r="E716" s="257" t="str">
        <f>IFERROR(IF(D716="SINAPI-S",VLOOKUP(B716,'20-B.SINAPI-S'!A:J,2,0),IF(D716="SINAPI-I",VLOOKUP(B716,'20-A.SINAPI-I'!A:G,2,0),IF(D716="COMPOSIÇÕES",VLOOKUP(B716,'11.COMPOSIÇÕES GERAIS'!B:I,2,0),VLOOKUP(B716,'12.COT.MERCADO'!A:I,2,0)))),"Em Elaboração")</f>
        <v>LUVA SOLDAVEL COM BUCHA DE LATAO, PVC, 25 MM X 3/4"</v>
      </c>
      <c r="F716" s="258" t="str">
        <f>IFERROR(IF(D716="SINAPI-S",VLOOKUP(B716,'20-B.SINAPI-S'!A:J,3,0),IF(D716="SINAPI-I",VLOOKUP(B716,'20-A.SINAPI-I'!A:G,3,0),IF(D716="COMPOSIÇÕES",VLOOKUP(B716,'11.COMPOSIÇÕES GERAIS'!B:I,3,0),VLOOKUP(B716,'12.COT.MERCADO'!A:I,7,0)))),"Em Elaboração")</f>
        <v>UN</v>
      </c>
      <c r="G716" s="254">
        <v>2.0</v>
      </c>
      <c r="H716" s="259">
        <f>IFERROR(IF(D716="SINAPI-S",VLOOKUP(B716,'20-B.SINAPI-S'!A:J,5,0),IF(D716="SINAPI-I",VLOOKUP(B716,'20-A.SINAPI-I'!A:G,6,0),IF(D716="COMPOSIÇÕES",VLOOKUP(B716,'11.COMPOSIÇÕES GERAIS'!B:I,7,0),0))),"Em Elaboração")</f>
        <v>0</v>
      </c>
      <c r="I716" s="259">
        <f>IFERROR(IF(D716="SINAPI-S",VLOOKUP(B716,'20-B.SINAPI-S'!A:J,6,0),IF(D716="SINAPI-I",VLOOKUP(B716,'20-A.SINAPI-I'!A:G,7,0),IF(D716="COMPOSIÇÕES",VLOOKUP(B716,'11.COMPOSIÇÕES GERAIS'!B:I,8,0),VLOOKUP(B716,'12.COT.MERCADO'!A:I,8,0)))),"Em Elaboração")</f>
        <v>6.88</v>
      </c>
      <c r="J716" s="259">
        <f t="shared" si="137"/>
        <v>0</v>
      </c>
      <c r="K716" s="259">
        <f t="shared" si="138"/>
        <v>8.058781946</v>
      </c>
      <c r="L716" s="259">
        <f t="shared" si="139"/>
        <v>8.058781946</v>
      </c>
      <c r="M716" s="259">
        <f t="shared" si="140"/>
        <v>0</v>
      </c>
      <c r="N716" s="259">
        <f t="shared" si="141"/>
        <v>16.11756389</v>
      </c>
      <c r="O716" s="259">
        <f t="shared" si="142"/>
        <v>16.11756389</v>
      </c>
      <c r="P716" s="260">
        <f t="shared" si="2"/>
        <v>0.00001260835502</v>
      </c>
    </row>
    <row r="717">
      <c r="A717" s="253" t="s">
        <v>870</v>
      </c>
      <c r="B717" s="254">
        <v>3873.0</v>
      </c>
      <c r="C717" s="255" t="str">
        <f t="shared" si="136"/>
        <v>SINAPI</v>
      </c>
      <c r="D717" s="256" t="s">
        <v>286</v>
      </c>
      <c r="E717" s="257" t="str">
        <f>IFERROR(IF(D717="SINAPI-S",VLOOKUP(B717,'20-B.SINAPI-S'!A:J,2,0),IF(D717="SINAPI-I",VLOOKUP(B717,'20-A.SINAPI-I'!A:G,2,0),IF(D717="COMPOSIÇÕES",VLOOKUP(B717,'11.COMPOSIÇÕES GERAIS'!B:I,2,0),VLOOKUP(B717,'12.COT.MERCADO'!A:I,2,0)))),"Em Elaboração")</f>
        <v>LUVA DE CORRER PARA TUBO SOLDAVEL, PVC, 25 MM, PARA AGUA FRIA PREDIAL</v>
      </c>
      <c r="F717" s="258" t="str">
        <f>IFERROR(IF(D717="SINAPI-S",VLOOKUP(B717,'20-B.SINAPI-S'!A:J,3,0),IF(D717="SINAPI-I",VLOOKUP(B717,'20-A.SINAPI-I'!A:G,3,0),IF(D717="COMPOSIÇÕES",VLOOKUP(B717,'11.COMPOSIÇÕES GERAIS'!B:I,3,0),VLOOKUP(B717,'12.COT.MERCADO'!A:I,7,0)))),"Em Elaboração")</f>
        <v>UN</v>
      </c>
      <c r="G717" s="254">
        <v>2.0</v>
      </c>
      <c r="H717" s="259">
        <f>IFERROR(IF(D717="SINAPI-S",VLOOKUP(B717,'20-B.SINAPI-S'!A:J,5,0),IF(D717="SINAPI-I",VLOOKUP(B717,'20-A.SINAPI-I'!A:G,6,0),IF(D717="COMPOSIÇÕES",VLOOKUP(B717,'11.COMPOSIÇÕES GERAIS'!B:I,7,0),0))),"Em Elaboração")</f>
        <v>0</v>
      </c>
      <c r="I717" s="259">
        <f>IFERROR(IF(D717="SINAPI-S",VLOOKUP(B717,'20-B.SINAPI-S'!A:J,6,0),IF(D717="SINAPI-I",VLOOKUP(B717,'20-A.SINAPI-I'!A:G,7,0),IF(D717="COMPOSIÇÕES",VLOOKUP(B717,'11.COMPOSIÇÕES GERAIS'!B:I,8,0),VLOOKUP(B717,'12.COT.MERCADO'!A:I,8,0)))),"Em Elaboração")</f>
        <v>12.93</v>
      </c>
      <c r="J717" s="259">
        <f t="shared" si="137"/>
        <v>0</v>
      </c>
      <c r="K717" s="259">
        <f t="shared" si="138"/>
        <v>15.14535619</v>
      </c>
      <c r="L717" s="259">
        <f t="shared" si="139"/>
        <v>15.14535619</v>
      </c>
      <c r="M717" s="259">
        <f t="shared" si="140"/>
        <v>0</v>
      </c>
      <c r="N717" s="259">
        <f t="shared" si="141"/>
        <v>30.29071237</v>
      </c>
      <c r="O717" s="259">
        <f t="shared" si="142"/>
        <v>30.29071237</v>
      </c>
      <c r="P717" s="260">
        <f t="shared" si="2"/>
        <v>0.00002369564396</v>
      </c>
    </row>
    <row r="718">
      <c r="A718" s="253" t="s">
        <v>871</v>
      </c>
      <c r="B718" s="254">
        <v>38021.0</v>
      </c>
      <c r="C718" s="255" t="str">
        <f t="shared" si="136"/>
        <v>SINAPI</v>
      </c>
      <c r="D718" s="256" t="s">
        <v>286</v>
      </c>
      <c r="E718" s="257" t="str">
        <f>IFERROR(IF(D718="SINAPI-S",VLOOKUP(B718,'20-B.SINAPI-S'!A:J,2,0),IF(D718="SINAPI-I",VLOOKUP(B718,'20-A.SINAPI-I'!A:G,2,0),IF(D718="COMPOSIÇÕES",VLOOKUP(B718,'11.COMPOSIÇÕES GERAIS'!B:I,2,0),VLOOKUP(B718,'12.COT.MERCADO'!A:I,2,0)))),"Em Elaboração")</f>
        <v>LUVA DE CORRER PARA TUBO SOLDAVEL, PVC, 32 MM, PARA AGUA FRIA PREDIAL</v>
      </c>
      <c r="F718" s="258" t="str">
        <f>IFERROR(IF(D718="SINAPI-S",VLOOKUP(B718,'20-B.SINAPI-S'!A:J,3,0),IF(D718="SINAPI-I",VLOOKUP(B718,'20-A.SINAPI-I'!A:G,3,0),IF(D718="COMPOSIÇÕES",VLOOKUP(B718,'11.COMPOSIÇÕES GERAIS'!B:I,3,0),VLOOKUP(B718,'12.COT.MERCADO'!A:I,7,0)))),"Em Elaboração")</f>
        <v>UN</v>
      </c>
      <c r="G718" s="254">
        <v>2.0</v>
      </c>
      <c r="H718" s="259">
        <f>IFERROR(IF(D718="SINAPI-S",VLOOKUP(B718,'20-B.SINAPI-S'!A:J,5,0),IF(D718="SINAPI-I",VLOOKUP(B718,'20-A.SINAPI-I'!A:G,6,0),IF(D718="COMPOSIÇÕES",VLOOKUP(B718,'11.COMPOSIÇÕES GERAIS'!B:I,7,0),0))),"Em Elaboração")</f>
        <v>0</v>
      </c>
      <c r="I718" s="259">
        <f>IFERROR(IF(D718="SINAPI-S",VLOOKUP(B718,'20-B.SINAPI-S'!A:J,6,0),IF(D718="SINAPI-I",VLOOKUP(B718,'20-A.SINAPI-I'!A:G,7,0),IF(D718="COMPOSIÇÕES",VLOOKUP(B718,'11.COMPOSIÇÕES GERAIS'!B:I,8,0),VLOOKUP(B718,'12.COT.MERCADO'!A:I,8,0)))),"Em Elaboração")</f>
        <v>22.95</v>
      </c>
      <c r="J718" s="259">
        <f t="shared" si="137"/>
        <v>0</v>
      </c>
      <c r="K718" s="259">
        <f t="shared" si="138"/>
        <v>26.88212873</v>
      </c>
      <c r="L718" s="259">
        <f t="shared" si="139"/>
        <v>26.88212873</v>
      </c>
      <c r="M718" s="259">
        <f t="shared" si="140"/>
        <v>0</v>
      </c>
      <c r="N718" s="259">
        <f t="shared" si="141"/>
        <v>53.76425746</v>
      </c>
      <c r="O718" s="259">
        <f t="shared" si="142"/>
        <v>53.76425746</v>
      </c>
      <c r="P718" s="260">
        <f t="shared" si="2"/>
        <v>0.00004205839358</v>
      </c>
    </row>
    <row r="719">
      <c r="A719" s="253" t="s">
        <v>872</v>
      </c>
      <c r="B719" s="254">
        <v>3847.0</v>
      </c>
      <c r="C719" s="255" t="str">
        <f t="shared" si="136"/>
        <v>SINAPI</v>
      </c>
      <c r="D719" s="256" t="s">
        <v>286</v>
      </c>
      <c r="E719" s="257" t="str">
        <f>IFERROR(IF(D719="SINAPI-S",VLOOKUP(B719,'20-B.SINAPI-S'!A:J,2,0),IF(D719="SINAPI-I",VLOOKUP(B719,'20-A.SINAPI-I'!A:G,2,0),IF(D719="COMPOSIÇÕES",VLOOKUP(B719,'11.COMPOSIÇÕES GERAIS'!B:I,2,0),VLOOKUP(B719,'12.COT.MERCADO'!A:I,2,0)))),"Em Elaboração")</f>
        <v>LUVA DE CORRER PARA TUBO SOLDAVEL, PVC, 50 MM, PARA AGUA FRIA PREDIAL</v>
      </c>
      <c r="F719" s="258" t="str">
        <f>IFERROR(IF(D719="SINAPI-S",VLOOKUP(B719,'20-B.SINAPI-S'!A:J,3,0),IF(D719="SINAPI-I",VLOOKUP(B719,'20-A.SINAPI-I'!A:G,3,0),IF(D719="COMPOSIÇÕES",VLOOKUP(B719,'11.COMPOSIÇÕES GERAIS'!B:I,3,0),VLOOKUP(B719,'12.COT.MERCADO'!A:I,7,0)))),"Em Elaboração")</f>
        <v>UN</v>
      </c>
      <c r="G719" s="254">
        <v>2.0</v>
      </c>
      <c r="H719" s="259">
        <f>IFERROR(IF(D719="SINAPI-S",VLOOKUP(B719,'20-B.SINAPI-S'!A:J,5,0),IF(D719="SINAPI-I",VLOOKUP(B719,'20-A.SINAPI-I'!A:G,6,0),IF(D719="COMPOSIÇÕES",VLOOKUP(B719,'11.COMPOSIÇÕES GERAIS'!B:I,7,0),0))),"Em Elaboração")</f>
        <v>0</v>
      </c>
      <c r="I719" s="259">
        <f>IFERROR(IF(D719="SINAPI-S",VLOOKUP(B719,'20-B.SINAPI-S'!A:J,6,0),IF(D719="SINAPI-I",VLOOKUP(B719,'20-A.SINAPI-I'!A:G,7,0),IF(D719="COMPOSIÇÕES",VLOOKUP(B719,'11.COMPOSIÇÕES GERAIS'!B:I,8,0),VLOOKUP(B719,'12.COT.MERCADO'!A:I,8,0)))),"Em Elaboração")</f>
        <v>29.91</v>
      </c>
      <c r="J719" s="259">
        <f t="shared" si="137"/>
        <v>0</v>
      </c>
      <c r="K719" s="259">
        <f t="shared" si="138"/>
        <v>35.03461744</v>
      </c>
      <c r="L719" s="259">
        <f t="shared" si="139"/>
        <v>35.03461744</v>
      </c>
      <c r="M719" s="259">
        <f t="shared" si="140"/>
        <v>0</v>
      </c>
      <c r="N719" s="259">
        <f t="shared" si="141"/>
        <v>70.06923488</v>
      </c>
      <c r="O719" s="259">
        <f t="shared" si="142"/>
        <v>70.06923488</v>
      </c>
      <c r="P719" s="260">
        <f t="shared" si="2"/>
        <v>0.00005481335738</v>
      </c>
    </row>
    <row r="720">
      <c r="A720" s="253" t="s">
        <v>873</v>
      </c>
      <c r="B720" s="254">
        <v>38022.0</v>
      </c>
      <c r="C720" s="255" t="str">
        <f t="shared" si="136"/>
        <v>SINAPI</v>
      </c>
      <c r="D720" s="256" t="s">
        <v>286</v>
      </c>
      <c r="E720" s="257" t="str">
        <f>IFERROR(IF(D720="SINAPI-S",VLOOKUP(B720,'20-B.SINAPI-S'!A:J,2,0),IF(D720="SINAPI-I",VLOOKUP(B720,'20-A.SINAPI-I'!A:G,2,0),IF(D720="COMPOSIÇÕES",VLOOKUP(B720,'11.COMPOSIÇÕES GERAIS'!B:I,2,0),VLOOKUP(B720,'12.COT.MERCADO'!A:I,2,0)))),"Em Elaboração")</f>
        <v>LUVA DE CORRER PARA TUBO SOLDAVEL, PVC, 60 MM, PARA AGUA FRIA PREDIAL</v>
      </c>
      <c r="F720" s="258" t="str">
        <f>IFERROR(IF(D720="SINAPI-S",VLOOKUP(B720,'20-B.SINAPI-S'!A:J,3,0),IF(D720="SINAPI-I",VLOOKUP(B720,'20-A.SINAPI-I'!A:G,3,0),IF(D720="COMPOSIÇÕES",VLOOKUP(B720,'11.COMPOSIÇÕES GERAIS'!B:I,3,0),VLOOKUP(B720,'12.COT.MERCADO'!A:I,7,0)))),"Em Elaboração")</f>
        <v>UN</v>
      </c>
      <c r="G720" s="254">
        <v>2.0</v>
      </c>
      <c r="H720" s="259">
        <f>IFERROR(IF(D720="SINAPI-S",VLOOKUP(B720,'20-B.SINAPI-S'!A:J,5,0),IF(D720="SINAPI-I",VLOOKUP(B720,'20-A.SINAPI-I'!A:G,6,0),IF(D720="COMPOSIÇÕES",VLOOKUP(B720,'11.COMPOSIÇÕES GERAIS'!B:I,7,0),0))),"Em Elaboração")</f>
        <v>0</v>
      </c>
      <c r="I720" s="259">
        <f>IFERROR(IF(D720="SINAPI-S",VLOOKUP(B720,'20-B.SINAPI-S'!A:J,6,0),IF(D720="SINAPI-I",VLOOKUP(B720,'20-A.SINAPI-I'!A:G,7,0),IF(D720="COMPOSIÇÕES",VLOOKUP(B720,'11.COMPOSIÇÕES GERAIS'!B:I,8,0),VLOOKUP(B720,'12.COT.MERCADO'!A:I,8,0)))),"Em Elaboração")</f>
        <v>41.12</v>
      </c>
      <c r="J720" s="259">
        <f t="shared" si="137"/>
        <v>0</v>
      </c>
      <c r="K720" s="259">
        <f t="shared" si="138"/>
        <v>48.16527814</v>
      </c>
      <c r="L720" s="259">
        <f t="shared" si="139"/>
        <v>48.16527814</v>
      </c>
      <c r="M720" s="259">
        <f t="shared" si="140"/>
        <v>0</v>
      </c>
      <c r="N720" s="259">
        <f t="shared" si="141"/>
        <v>96.33055628</v>
      </c>
      <c r="O720" s="259">
        <f t="shared" si="142"/>
        <v>96.33055628</v>
      </c>
      <c r="P720" s="260">
        <f t="shared" si="2"/>
        <v>0.00007535691259</v>
      </c>
    </row>
    <row r="721">
      <c r="A721" s="253" t="s">
        <v>874</v>
      </c>
      <c r="B721" s="254">
        <v>3899.0</v>
      </c>
      <c r="C721" s="255" t="str">
        <f t="shared" si="136"/>
        <v>SINAPI</v>
      </c>
      <c r="D721" s="256" t="s">
        <v>286</v>
      </c>
      <c r="E721" s="257" t="str">
        <f>IFERROR(IF(D721="SINAPI-S",VLOOKUP(B721,'20-B.SINAPI-S'!A:J,2,0),IF(D721="SINAPI-I",VLOOKUP(B721,'20-A.SINAPI-I'!A:G,2,0),IF(D721="COMPOSIÇÕES",VLOOKUP(B721,'11.COMPOSIÇÕES GERAIS'!B:I,2,0),VLOOKUP(B721,'12.COT.MERCADO'!A:I,2,0)))),"Em Elaboração")</f>
        <v>LUVA SIMPLES, PVC, SOLDAVEL, DN 100 MM, SERIE NORMAL, PARA ESGOTO PREDIAL</v>
      </c>
      <c r="F721" s="258" t="str">
        <f>IFERROR(IF(D721="SINAPI-S",VLOOKUP(B721,'20-B.SINAPI-S'!A:J,3,0),IF(D721="SINAPI-I",VLOOKUP(B721,'20-A.SINAPI-I'!A:G,3,0),IF(D721="COMPOSIÇÕES",VLOOKUP(B721,'11.COMPOSIÇÕES GERAIS'!B:I,3,0),VLOOKUP(B721,'12.COT.MERCADO'!A:I,7,0)))),"Em Elaboração")</f>
        <v>UN</v>
      </c>
      <c r="G721" s="254">
        <v>2.0</v>
      </c>
      <c r="H721" s="259">
        <f>IFERROR(IF(D721="SINAPI-S",VLOOKUP(B721,'20-B.SINAPI-S'!A:J,5,0),IF(D721="SINAPI-I",VLOOKUP(B721,'20-A.SINAPI-I'!A:G,6,0),IF(D721="COMPOSIÇÕES",VLOOKUP(B721,'11.COMPOSIÇÕES GERAIS'!B:I,7,0),0))),"Em Elaboração")</f>
        <v>0</v>
      </c>
      <c r="I721" s="259">
        <f>IFERROR(IF(D721="SINAPI-S",VLOOKUP(B721,'20-B.SINAPI-S'!A:J,6,0),IF(D721="SINAPI-I",VLOOKUP(B721,'20-A.SINAPI-I'!A:G,7,0),IF(D721="COMPOSIÇÕES",VLOOKUP(B721,'11.COMPOSIÇÕES GERAIS'!B:I,8,0),VLOOKUP(B721,'12.COT.MERCADO'!A:I,8,0)))),"Em Elaboração")</f>
        <v>7.48</v>
      </c>
      <c r="J721" s="259">
        <f t="shared" si="137"/>
        <v>0</v>
      </c>
      <c r="K721" s="259">
        <f t="shared" si="138"/>
        <v>8.761582697</v>
      </c>
      <c r="L721" s="259">
        <f t="shared" si="139"/>
        <v>8.761582697</v>
      </c>
      <c r="M721" s="259">
        <f t="shared" si="140"/>
        <v>0</v>
      </c>
      <c r="N721" s="259">
        <f t="shared" si="141"/>
        <v>17.52316539</v>
      </c>
      <c r="O721" s="259">
        <f t="shared" si="142"/>
        <v>17.52316539</v>
      </c>
      <c r="P721" s="260">
        <f t="shared" si="2"/>
        <v>0.00001370792087</v>
      </c>
    </row>
    <row r="722">
      <c r="A722" s="253" t="s">
        <v>875</v>
      </c>
      <c r="B722" s="254">
        <v>3875.0</v>
      </c>
      <c r="C722" s="255" t="str">
        <f t="shared" si="136"/>
        <v>SINAPI</v>
      </c>
      <c r="D722" s="256" t="s">
        <v>286</v>
      </c>
      <c r="E722" s="257" t="str">
        <f>IFERROR(IF(D722="SINAPI-S",VLOOKUP(B722,'20-B.SINAPI-S'!A:J,2,0),IF(D722="SINAPI-I",VLOOKUP(B722,'20-A.SINAPI-I'!A:G,2,0),IF(D722="COMPOSIÇÕES",VLOOKUP(B722,'11.COMPOSIÇÕES GERAIS'!B:I,2,0),VLOOKUP(B722,'12.COT.MERCADO'!A:I,2,0)))),"Em Elaboração")</f>
        <v>LUVA SIMPLES, PVC, SOLDAVEL, DN 50 MM, SERIE NORMAL, PARA ESGOTO PREDIAL</v>
      </c>
      <c r="F722" s="258" t="str">
        <f>IFERROR(IF(D722="SINAPI-S",VLOOKUP(B722,'20-B.SINAPI-S'!A:J,3,0),IF(D722="SINAPI-I",VLOOKUP(B722,'20-A.SINAPI-I'!A:G,3,0),IF(D722="COMPOSIÇÕES",VLOOKUP(B722,'11.COMPOSIÇÕES GERAIS'!B:I,3,0),VLOOKUP(B722,'12.COT.MERCADO'!A:I,7,0)))),"Em Elaboração")</f>
        <v>UN</v>
      </c>
      <c r="G722" s="254">
        <v>2.0</v>
      </c>
      <c r="H722" s="259">
        <f>IFERROR(IF(D722="SINAPI-S",VLOOKUP(B722,'20-B.SINAPI-S'!A:J,5,0),IF(D722="SINAPI-I",VLOOKUP(B722,'20-A.SINAPI-I'!A:G,6,0),IF(D722="COMPOSIÇÕES",VLOOKUP(B722,'11.COMPOSIÇÕES GERAIS'!B:I,7,0),0))),"Em Elaboração")</f>
        <v>0</v>
      </c>
      <c r="I722" s="259">
        <f>IFERROR(IF(D722="SINAPI-S",VLOOKUP(B722,'20-B.SINAPI-S'!A:J,6,0),IF(D722="SINAPI-I",VLOOKUP(B722,'20-A.SINAPI-I'!A:G,7,0),IF(D722="COMPOSIÇÕES",VLOOKUP(B722,'11.COMPOSIÇÕES GERAIS'!B:I,8,0),VLOOKUP(B722,'12.COT.MERCADO'!A:I,8,0)))),"Em Elaboração")</f>
        <v>3.77</v>
      </c>
      <c r="J722" s="259">
        <f t="shared" si="137"/>
        <v>0</v>
      </c>
      <c r="K722" s="259">
        <f t="shared" si="138"/>
        <v>4.415931386</v>
      </c>
      <c r="L722" s="259">
        <f t="shared" si="139"/>
        <v>4.415931386</v>
      </c>
      <c r="M722" s="259">
        <f t="shared" si="140"/>
        <v>0</v>
      </c>
      <c r="N722" s="259">
        <f t="shared" si="141"/>
        <v>8.831862772</v>
      </c>
      <c r="O722" s="259">
        <f t="shared" si="142"/>
        <v>8.831862772</v>
      </c>
      <c r="P722" s="260">
        <f t="shared" si="2"/>
        <v>0.000006908938727</v>
      </c>
    </row>
    <row r="723">
      <c r="A723" s="253" t="s">
        <v>876</v>
      </c>
      <c r="B723" s="254">
        <v>3898.0</v>
      </c>
      <c r="C723" s="255" t="str">
        <f t="shared" si="136"/>
        <v>SINAPI</v>
      </c>
      <c r="D723" s="256" t="s">
        <v>286</v>
      </c>
      <c r="E723" s="257" t="str">
        <f>IFERROR(IF(D723="SINAPI-S",VLOOKUP(B723,'20-B.SINAPI-S'!A:J,2,0),IF(D723="SINAPI-I",VLOOKUP(B723,'20-A.SINAPI-I'!A:G,2,0),IF(D723="COMPOSIÇÕES",VLOOKUP(B723,'11.COMPOSIÇÕES GERAIS'!B:I,2,0),VLOOKUP(B723,'12.COT.MERCADO'!A:I,2,0)))),"Em Elaboração")</f>
        <v>LUVA SIMPLES, PVC, SOLDAVEL, DN 75 MM, SERIE NORMAL, PARA ESGOTO PREDIAL</v>
      </c>
      <c r="F723" s="258" t="str">
        <f>IFERROR(IF(D723="SINAPI-S",VLOOKUP(B723,'20-B.SINAPI-S'!A:J,3,0),IF(D723="SINAPI-I",VLOOKUP(B723,'20-A.SINAPI-I'!A:G,3,0),IF(D723="COMPOSIÇÕES",VLOOKUP(B723,'11.COMPOSIÇÕES GERAIS'!B:I,3,0),VLOOKUP(B723,'12.COT.MERCADO'!A:I,7,0)))),"Em Elaboração")</f>
        <v>UN</v>
      </c>
      <c r="G723" s="254">
        <v>2.0</v>
      </c>
      <c r="H723" s="259">
        <f>IFERROR(IF(D723="SINAPI-S",VLOOKUP(B723,'20-B.SINAPI-S'!A:J,5,0),IF(D723="SINAPI-I",VLOOKUP(B723,'20-A.SINAPI-I'!A:G,6,0),IF(D723="COMPOSIÇÕES",VLOOKUP(B723,'11.COMPOSIÇÕES GERAIS'!B:I,7,0),0))),"Em Elaboração")</f>
        <v>0</v>
      </c>
      <c r="I723" s="259">
        <f>IFERROR(IF(D723="SINAPI-S",VLOOKUP(B723,'20-B.SINAPI-S'!A:J,6,0),IF(D723="SINAPI-I",VLOOKUP(B723,'20-A.SINAPI-I'!A:G,7,0),IF(D723="COMPOSIÇÕES",VLOOKUP(B723,'11.COMPOSIÇÕES GERAIS'!B:I,8,0),VLOOKUP(B723,'12.COT.MERCADO'!A:I,8,0)))),"Em Elaboração")</f>
        <v>7.65</v>
      </c>
      <c r="J723" s="259">
        <f t="shared" si="137"/>
        <v>0</v>
      </c>
      <c r="K723" s="259">
        <f t="shared" si="138"/>
        <v>8.960709576</v>
      </c>
      <c r="L723" s="259">
        <f t="shared" si="139"/>
        <v>8.960709576</v>
      </c>
      <c r="M723" s="259">
        <f t="shared" si="140"/>
        <v>0</v>
      </c>
      <c r="N723" s="259">
        <f t="shared" si="141"/>
        <v>17.92141915</v>
      </c>
      <c r="O723" s="259">
        <f t="shared" si="142"/>
        <v>17.92141915</v>
      </c>
      <c r="P723" s="260">
        <f t="shared" si="2"/>
        <v>0.00001401946453</v>
      </c>
    </row>
    <row r="724">
      <c r="A724" s="253" t="s">
        <v>877</v>
      </c>
      <c r="B724" s="254">
        <v>37527.0</v>
      </c>
      <c r="C724" s="255" t="str">
        <f t="shared" si="136"/>
        <v>SINAPI</v>
      </c>
      <c r="D724" s="256" t="s">
        <v>286</v>
      </c>
      <c r="E724" s="257" t="str">
        <f>IFERROR(IF(D724="SINAPI-S",VLOOKUP(B724,'20-B.SINAPI-S'!A:J,2,0),IF(D724="SINAPI-I",VLOOKUP(B724,'20-A.SINAPI-I'!A:G,2,0),IF(D724="COMPOSIÇÕES",VLOOKUP(B724,'11.COMPOSIÇÕES GERAIS'!B:I,2,0),VLOOKUP(B724,'12.COT.MERCADO'!A:I,2,0)))),"Em Elaboração")</f>
        <v>MANGUEIRA DE INCENDIO, TIPO 2, DE 1 1/2", COMPRIMENTO = 15 M, TECIDO EM FIO DE POLIESTER E TUBO INTERNO EM BORRACHA SINTETICA, COM UNIOES ENGATE RAPIDO</v>
      </c>
      <c r="F724" s="258" t="str">
        <f>IFERROR(IF(D724="SINAPI-S",VLOOKUP(B724,'20-B.SINAPI-S'!A:J,3,0),IF(D724="SINAPI-I",VLOOKUP(B724,'20-A.SINAPI-I'!A:G,3,0),IF(D724="COMPOSIÇÕES",VLOOKUP(B724,'11.COMPOSIÇÕES GERAIS'!B:I,3,0),VLOOKUP(B724,'12.COT.MERCADO'!A:I,7,0)))),"Em Elaboração")</f>
        <v>UN</v>
      </c>
      <c r="G724" s="254">
        <v>1.0</v>
      </c>
      <c r="H724" s="259">
        <f>IFERROR(IF(D724="SINAPI-S",VLOOKUP(B724,'20-B.SINAPI-S'!A:J,5,0),IF(D724="SINAPI-I",VLOOKUP(B724,'20-A.SINAPI-I'!A:G,6,0),IF(D724="COMPOSIÇÕES",VLOOKUP(B724,'11.COMPOSIÇÕES GERAIS'!B:I,7,0),0))),"Em Elaboração")</f>
        <v>0</v>
      </c>
      <c r="I724" s="259">
        <f>IFERROR(IF(D724="SINAPI-S",VLOOKUP(B724,'20-B.SINAPI-S'!A:J,6,0),IF(D724="SINAPI-I",VLOOKUP(B724,'20-A.SINAPI-I'!A:G,7,0),IF(D724="COMPOSIÇÕES",VLOOKUP(B724,'11.COMPOSIÇÕES GERAIS'!B:I,8,0),VLOOKUP(B724,'12.COT.MERCADO'!A:I,8,0)))),"Em Elaboração")</f>
        <v>436.65</v>
      </c>
      <c r="J724" s="259">
        <f t="shared" si="137"/>
        <v>0</v>
      </c>
      <c r="K724" s="259">
        <f t="shared" si="138"/>
        <v>511.4632466</v>
      </c>
      <c r="L724" s="259">
        <f t="shared" si="139"/>
        <v>511.4632466</v>
      </c>
      <c r="M724" s="259">
        <f t="shared" si="140"/>
        <v>0</v>
      </c>
      <c r="N724" s="259">
        <f t="shared" si="141"/>
        <v>511.4632466</v>
      </c>
      <c r="O724" s="259">
        <f t="shared" si="142"/>
        <v>511.4632466</v>
      </c>
      <c r="P724" s="260">
        <f t="shared" si="2"/>
        <v>0.0004001045219</v>
      </c>
    </row>
    <row r="725">
      <c r="A725" s="253" t="s">
        <v>878</v>
      </c>
      <c r="B725" s="254">
        <v>37459.0</v>
      </c>
      <c r="C725" s="255" t="str">
        <f t="shared" si="136"/>
        <v>SINAPI</v>
      </c>
      <c r="D725" s="256" t="s">
        <v>286</v>
      </c>
      <c r="E725" s="257" t="str">
        <f>IFERROR(IF(D725="SINAPI-S",VLOOKUP(B725,'20-B.SINAPI-S'!A:J,2,0),IF(D725="SINAPI-I",VLOOKUP(B725,'20-A.SINAPI-I'!A:G,2,0),IF(D725="COMPOSIÇÕES",VLOOKUP(B725,'11.COMPOSIÇÕES GERAIS'!B:I,2,0),VLOOKUP(B725,'12.COT.MERCADO'!A:I,2,0)))),"Em Elaboração")</f>
        <v>MANGUEIRA CRISTAL, LISA, PVC TRANSPARENTE, 3/4" X 2 MM</v>
      </c>
      <c r="F725" s="258" t="str">
        <f>IFERROR(IF(D725="SINAPI-S",VLOOKUP(B725,'20-B.SINAPI-S'!A:J,3,0),IF(D725="SINAPI-I",VLOOKUP(B725,'20-A.SINAPI-I'!A:G,3,0),IF(D725="COMPOSIÇÕES",VLOOKUP(B725,'11.COMPOSIÇÕES GERAIS'!B:I,3,0),VLOOKUP(B725,'12.COT.MERCADO'!A:I,7,0)))),"Em Elaboração")</f>
        <v>M</v>
      </c>
      <c r="G725" s="254">
        <v>20.0</v>
      </c>
      <c r="H725" s="259">
        <f>IFERROR(IF(D725="SINAPI-S",VLOOKUP(B725,'20-B.SINAPI-S'!A:J,5,0),IF(D725="SINAPI-I",VLOOKUP(B725,'20-A.SINAPI-I'!A:G,6,0),IF(D725="COMPOSIÇÕES",VLOOKUP(B725,'11.COMPOSIÇÕES GERAIS'!B:I,7,0),0))),"Em Elaboração")</f>
        <v>0</v>
      </c>
      <c r="I725" s="259">
        <f>IFERROR(IF(D725="SINAPI-S",VLOOKUP(B725,'20-B.SINAPI-S'!A:J,6,0),IF(D725="SINAPI-I",VLOOKUP(B725,'20-A.SINAPI-I'!A:G,7,0),IF(D725="COMPOSIÇÕES",VLOOKUP(B725,'11.COMPOSIÇÕES GERAIS'!B:I,8,0),VLOOKUP(B725,'12.COT.MERCADO'!A:I,8,0)))),"Em Elaboração")</f>
        <v>8.76</v>
      </c>
      <c r="J725" s="259">
        <f t="shared" si="137"/>
        <v>0</v>
      </c>
      <c r="K725" s="259">
        <f t="shared" si="138"/>
        <v>10.26089097</v>
      </c>
      <c r="L725" s="259">
        <f t="shared" si="139"/>
        <v>10.26089097</v>
      </c>
      <c r="M725" s="259">
        <f t="shared" si="140"/>
        <v>0</v>
      </c>
      <c r="N725" s="259">
        <f t="shared" si="141"/>
        <v>205.2178193</v>
      </c>
      <c r="O725" s="259">
        <f t="shared" si="142"/>
        <v>205.2178193</v>
      </c>
      <c r="P725" s="260">
        <f t="shared" si="2"/>
        <v>0.0001605366134</v>
      </c>
    </row>
    <row r="726">
      <c r="A726" s="253" t="s">
        <v>879</v>
      </c>
      <c r="B726" s="254">
        <v>12899.0</v>
      </c>
      <c r="C726" s="255" t="str">
        <f t="shared" si="136"/>
        <v>SINAPI</v>
      </c>
      <c r="D726" s="256" t="s">
        <v>286</v>
      </c>
      <c r="E726" s="257" t="str">
        <f>IFERROR(IF(D726="SINAPI-S",VLOOKUP(B726,'20-B.SINAPI-S'!A:J,2,0),IF(D726="SINAPI-I",VLOOKUP(B726,'20-A.SINAPI-I'!A:G,2,0),IF(D726="COMPOSIÇÕES",VLOOKUP(B726,'11.COMPOSIÇÕES GERAIS'!B:I,2,0),VLOOKUP(B726,'12.COT.MERCADO'!A:I,2,0)))),"Em Elaboração")</f>
        <v>MANOMETRO COM CAIXA EM ACO PINTADO, ESCALA *10* KGF/CM2 (*10* BAR), DIAMETRO NOMINAL DE *63* MM, CONEXAO DE 1/4"</v>
      </c>
      <c r="F726" s="258" t="str">
        <f>IFERROR(IF(D726="SINAPI-S",VLOOKUP(B726,'20-B.SINAPI-S'!A:J,3,0),IF(D726="SINAPI-I",VLOOKUP(B726,'20-A.SINAPI-I'!A:G,3,0),IF(D726="COMPOSIÇÕES",VLOOKUP(B726,'11.COMPOSIÇÕES GERAIS'!B:I,3,0),VLOOKUP(B726,'12.COT.MERCADO'!A:I,7,0)))),"Em Elaboração")</f>
        <v>UN</v>
      </c>
      <c r="G726" s="254">
        <v>1.0</v>
      </c>
      <c r="H726" s="259">
        <f>IFERROR(IF(D726="SINAPI-S",VLOOKUP(B726,'20-B.SINAPI-S'!A:J,5,0),IF(D726="SINAPI-I",VLOOKUP(B726,'20-A.SINAPI-I'!A:G,6,0),IF(D726="COMPOSIÇÕES",VLOOKUP(B726,'11.COMPOSIÇÕES GERAIS'!B:I,7,0),0))),"Em Elaboração")</f>
        <v>0</v>
      </c>
      <c r="I726" s="259">
        <f>IFERROR(IF(D726="SINAPI-S",VLOOKUP(B726,'20-B.SINAPI-S'!A:J,6,0),IF(D726="SINAPI-I",VLOOKUP(B726,'20-A.SINAPI-I'!A:G,7,0),IF(D726="COMPOSIÇÕES",VLOOKUP(B726,'11.COMPOSIÇÕES GERAIS'!B:I,8,0),VLOOKUP(B726,'12.COT.MERCADO'!A:I,8,0)))),"Em Elaboração")</f>
        <v>114.55</v>
      </c>
      <c r="J726" s="259">
        <f t="shared" si="137"/>
        <v>0</v>
      </c>
      <c r="K726" s="259">
        <f t="shared" si="138"/>
        <v>134.1763767</v>
      </c>
      <c r="L726" s="259">
        <f t="shared" si="139"/>
        <v>134.1763767</v>
      </c>
      <c r="M726" s="259">
        <f t="shared" si="140"/>
        <v>0</v>
      </c>
      <c r="N726" s="259">
        <f t="shared" si="141"/>
        <v>134.1763767</v>
      </c>
      <c r="O726" s="259">
        <f t="shared" si="142"/>
        <v>134.1763767</v>
      </c>
      <c r="P726" s="260">
        <f t="shared" si="2"/>
        <v>0.000104962723</v>
      </c>
    </row>
    <row r="727">
      <c r="A727" s="253" t="s">
        <v>880</v>
      </c>
      <c r="B727" s="254">
        <v>10432.0</v>
      </c>
      <c r="C727" s="255" t="str">
        <f t="shared" si="136"/>
        <v>SINAPI</v>
      </c>
      <c r="D727" s="256" t="s">
        <v>286</v>
      </c>
      <c r="E727" s="257" t="str">
        <f>IFERROR(IF(D727="SINAPI-S",VLOOKUP(B727,'20-B.SINAPI-S'!A:J,2,0),IF(D727="SINAPI-I",VLOOKUP(B727,'20-A.SINAPI-I'!A:G,2,0),IF(D727="COMPOSIÇÕES",VLOOKUP(B727,'11.COMPOSIÇÕES GERAIS'!B:I,2,0),VLOOKUP(B727,'12.COT.MERCADO'!A:I,2,0)))),"Em Elaboração")</f>
        <v>MICTORIO INDICUDUAL, SIFONADO, LOUCA BRANCA, SEM COMPLEMENTOS</v>
      </c>
      <c r="F727" s="258" t="str">
        <f>IFERROR(IF(D727="SINAPI-S",VLOOKUP(B727,'20-B.SINAPI-S'!A:J,3,0),IF(D727="SINAPI-I",VLOOKUP(B727,'20-A.SINAPI-I'!A:G,3,0),IF(D727="COMPOSIÇÕES",VLOOKUP(B727,'11.COMPOSIÇÕES GERAIS'!B:I,3,0),VLOOKUP(B727,'12.COT.MERCADO'!A:I,7,0)))),"Em Elaboração")</f>
        <v>UN</v>
      </c>
      <c r="G727" s="254">
        <v>2.0</v>
      </c>
      <c r="H727" s="259">
        <f>IFERROR(IF(D727="SINAPI-S",VLOOKUP(B727,'20-B.SINAPI-S'!A:J,5,0),IF(D727="SINAPI-I",VLOOKUP(B727,'20-A.SINAPI-I'!A:G,6,0),IF(D727="COMPOSIÇÕES",VLOOKUP(B727,'11.COMPOSIÇÕES GERAIS'!B:I,7,0),0))),"Em Elaboração")</f>
        <v>0</v>
      </c>
      <c r="I727" s="259">
        <f>IFERROR(IF(D727="SINAPI-S",VLOOKUP(B727,'20-B.SINAPI-S'!A:J,6,0),IF(D727="SINAPI-I",VLOOKUP(B727,'20-A.SINAPI-I'!A:G,7,0),IF(D727="COMPOSIÇÕES",VLOOKUP(B727,'11.COMPOSIÇÕES GERAIS'!B:I,8,0),VLOOKUP(B727,'12.COT.MERCADO'!A:I,8,0)))),"Em Elaboração")</f>
        <v>387.58</v>
      </c>
      <c r="J727" s="259">
        <f t="shared" si="137"/>
        <v>0</v>
      </c>
      <c r="K727" s="259">
        <f t="shared" si="138"/>
        <v>453.9858585</v>
      </c>
      <c r="L727" s="259">
        <f t="shared" si="139"/>
        <v>453.9858585</v>
      </c>
      <c r="M727" s="259">
        <f t="shared" si="140"/>
        <v>0</v>
      </c>
      <c r="N727" s="259">
        <f t="shared" si="141"/>
        <v>907.971717</v>
      </c>
      <c r="O727" s="259">
        <f t="shared" si="142"/>
        <v>907.971717</v>
      </c>
      <c r="P727" s="260">
        <f t="shared" si="2"/>
        <v>0.0007102828838</v>
      </c>
    </row>
    <row r="728">
      <c r="A728" s="253" t="s">
        <v>881</v>
      </c>
      <c r="B728" s="254">
        <v>11560.0</v>
      </c>
      <c r="C728" s="255" t="str">
        <f t="shared" si="136"/>
        <v>SINAPI</v>
      </c>
      <c r="D728" s="256" t="s">
        <v>286</v>
      </c>
      <c r="E728" s="257" t="str">
        <f>IFERROR(IF(D728="SINAPI-S",VLOOKUP(B728,'20-B.SINAPI-S'!A:J,2,0),IF(D728="SINAPI-I",VLOOKUP(B728,'20-A.SINAPI-I'!A:G,2,0),IF(D728="COMPOSIÇÕES",VLOOKUP(B728,'11.COMPOSIÇÕES GERAIS'!B:I,2,0),VLOOKUP(B728,'12.COT.MERCADO'!A:I,2,0)))),"Em Elaboração")</f>
        <v>MOLA HIDRAULICA AEREA, PARA PORTAS DE ATE 950 MM E PESO DE ATE 65 KG, COM CORPO EM ALUMINIO E BRACO EM ACO, SEM BRACO DE PARADA</v>
      </c>
      <c r="F728" s="258" t="str">
        <f>IFERROR(IF(D728="SINAPI-S",VLOOKUP(B728,'20-B.SINAPI-S'!A:J,3,0),IF(D728="SINAPI-I",VLOOKUP(B728,'20-A.SINAPI-I'!A:G,3,0),IF(D728="COMPOSIÇÕES",VLOOKUP(B728,'11.COMPOSIÇÕES GERAIS'!B:I,3,0),VLOOKUP(B728,'12.COT.MERCADO'!A:I,7,0)))),"Em Elaboração")</f>
        <v>UN</v>
      </c>
      <c r="G728" s="254">
        <v>2.0</v>
      </c>
      <c r="H728" s="259">
        <f>IFERROR(IF(D728="SINAPI-S",VLOOKUP(B728,'20-B.SINAPI-S'!A:J,5,0),IF(D728="SINAPI-I",VLOOKUP(B728,'20-A.SINAPI-I'!A:G,6,0),IF(D728="COMPOSIÇÕES",VLOOKUP(B728,'11.COMPOSIÇÕES GERAIS'!B:I,7,0),0))),"Em Elaboração")</f>
        <v>0</v>
      </c>
      <c r="I728" s="259">
        <f>IFERROR(IF(D728="SINAPI-S",VLOOKUP(B728,'20-B.SINAPI-S'!A:J,6,0),IF(D728="SINAPI-I",VLOOKUP(B728,'20-A.SINAPI-I'!A:G,7,0),IF(D728="COMPOSIÇÕES",VLOOKUP(B728,'11.COMPOSIÇÕES GERAIS'!B:I,8,0),VLOOKUP(B728,'12.COT.MERCADO'!A:I,8,0)))),"Em Elaboração")</f>
        <v>178.75</v>
      </c>
      <c r="J728" s="259">
        <f t="shared" si="137"/>
        <v>0</v>
      </c>
      <c r="K728" s="259">
        <f t="shared" si="138"/>
        <v>209.3760571</v>
      </c>
      <c r="L728" s="259">
        <f t="shared" si="139"/>
        <v>209.3760571</v>
      </c>
      <c r="M728" s="259">
        <f t="shared" si="140"/>
        <v>0</v>
      </c>
      <c r="N728" s="259">
        <f t="shared" si="141"/>
        <v>418.7521142</v>
      </c>
      <c r="O728" s="259">
        <f t="shared" si="142"/>
        <v>418.7521142</v>
      </c>
      <c r="P728" s="260">
        <f t="shared" si="2"/>
        <v>0.0003275789914</v>
      </c>
    </row>
    <row r="729">
      <c r="A729" s="253" t="s">
        <v>882</v>
      </c>
      <c r="B729" s="254">
        <v>11960.0</v>
      </c>
      <c r="C729" s="255" t="str">
        <f t="shared" si="136"/>
        <v>SINAPI</v>
      </c>
      <c r="D729" s="256" t="s">
        <v>286</v>
      </c>
      <c r="E729" s="257" t="str">
        <f>IFERROR(IF(D729="SINAPI-S",VLOOKUP(B729,'20-B.SINAPI-S'!A:J,2,0),IF(D729="SINAPI-I",VLOOKUP(B729,'20-A.SINAPI-I'!A:G,2,0),IF(D729="COMPOSIÇÕES",VLOOKUP(B729,'11.COMPOSIÇÕES GERAIS'!B:I,2,0),VLOOKUP(B729,'12.COT.MERCADO'!A:I,2,0)))),"Em Elaboração")</f>
        <v>PARAFUSO DE LATAO COM ROSCA SOBERBA, CABECA CHATA E FENDA SIMPLES, DIAMETRO 2,5 MM, COMPRIMENTO 12 MM</v>
      </c>
      <c r="F729" s="258" t="str">
        <f>IFERROR(IF(D729="SINAPI-S",VLOOKUP(B729,'20-B.SINAPI-S'!A:J,3,0),IF(D729="SINAPI-I",VLOOKUP(B729,'20-A.SINAPI-I'!A:G,3,0),IF(D729="COMPOSIÇÕES",VLOOKUP(B729,'11.COMPOSIÇÕES GERAIS'!B:I,3,0),VLOOKUP(B729,'12.COT.MERCADO'!A:I,7,0)))),"Em Elaboração")</f>
        <v>UN</v>
      </c>
      <c r="G729" s="254">
        <v>15.0</v>
      </c>
      <c r="H729" s="259">
        <f>IFERROR(IF(D729="SINAPI-S",VLOOKUP(B729,'20-B.SINAPI-S'!A:J,5,0),IF(D729="SINAPI-I",VLOOKUP(B729,'20-A.SINAPI-I'!A:G,6,0),IF(D729="COMPOSIÇÕES",VLOOKUP(B729,'11.COMPOSIÇÕES GERAIS'!B:I,7,0),0))),"Em Elaboração")</f>
        <v>0</v>
      </c>
      <c r="I729" s="259">
        <f>IFERROR(IF(D729="SINAPI-S",VLOOKUP(B729,'20-B.SINAPI-S'!A:J,6,0),IF(D729="SINAPI-I",VLOOKUP(B729,'20-A.SINAPI-I'!A:G,7,0),IF(D729="COMPOSIÇÕES",VLOOKUP(B729,'11.COMPOSIÇÕES GERAIS'!B:I,8,0),VLOOKUP(B729,'12.COT.MERCADO'!A:I,8,0)))),"Em Elaboração")</f>
        <v>0.16</v>
      </c>
      <c r="J729" s="259">
        <f t="shared" si="137"/>
        <v>0</v>
      </c>
      <c r="K729" s="259">
        <f t="shared" si="138"/>
        <v>0.1874135336</v>
      </c>
      <c r="L729" s="259">
        <f t="shared" si="139"/>
        <v>0.1874135336</v>
      </c>
      <c r="M729" s="259">
        <f t="shared" si="140"/>
        <v>0</v>
      </c>
      <c r="N729" s="259">
        <f t="shared" si="141"/>
        <v>2.811203004</v>
      </c>
      <c r="O729" s="259">
        <f t="shared" si="142"/>
        <v>2.811203004</v>
      </c>
      <c r="P729" s="260">
        <f t="shared" si="2"/>
        <v>0.00000219913169</v>
      </c>
    </row>
    <row r="730">
      <c r="A730" s="253" t="s">
        <v>883</v>
      </c>
      <c r="B730" s="254">
        <v>4333.0</v>
      </c>
      <c r="C730" s="255" t="str">
        <f t="shared" si="136"/>
        <v>SINAPI</v>
      </c>
      <c r="D730" s="256" t="s">
        <v>286</v>
      </c>
      <c r="E730" s="257" t="str">
        <f>IFERROR(IF(D730="SINAPI-S",VLOOKUP(B730,'20-B.SINAPI-S'!A:J,2,0),IF(D730="SINAPI-I",VLOOKUP(B730,'20-A.SINAPI-I'!A:G,2,0),IF(D730="COMPOSIÇÕES",VLOOKUP(B730,'11.COMPOSIÇÕES GERAIS'!B:I,2,0),VLOOKUP(B730,'12.COT.MERCADO'!A:I,2,0)))),"Em Elaboração")</f>
        <v>PARAFUSO DE LATAO COM ROSCA SOBERBA, CABECA CHATA E FENDA SIMPLES, DIAMETRO 3,2 MM, COMPRIMENTO 16 MM</v>
      </c>
      <c r="F730" s="258" t="str">
        <f>IFERROR(IF(D730="SINAPI-S",VLOOKUP(B730,'20-B.SINAPI-S'!A:J,3,0),IF(D730="SINAPI-I",VLOOKUP(B730,'20-A.SINAPI-I'!A:G,3,0),IF(D730="COMPOSIÇÕES",VLOOKUP(B730,'11.COMPOSIÇÕES GERAIS'!B:I,3,0),VLOOKUP(B730,'12.COT.MERCADO'!A:I,7,0)))),"Em Elaboração")</f>
        <v>UN</v>
      </c>
      <c r="G730" s="254">
        <v>15.0</v>
      </c>
      <c r="H730" s="259">
        <f>IFERROR(IF(D730="SINAPI-S",VLOOKUP(B730,'20-B.SINAPI-S'!A:J,5,0),IF(D730="SINAPI-I",VLOOKUP(B730,'20-A.SINAPI-I'!A:G,6,0),IF(D730="COMPOSIÇÕES",VLOOKUP(B730,'11.COMPOSIÇÕES GERAIS'!B:I,7,0),0))),"Em Elaboração")</f>
        <v>0</v>
      </c>
      <c r="I730" s="259">
        <f>IFERROR(IF(D730="SINAPI-S",VLOOKUP(B730,'20-B.SINAPI-S'!A:J,6,0),IF(D730="SINAPI-I",VLOOKUP(B730,'20-A.SINAPI-I'!A:G,7,0),IF(D730="COMPOSIÇÕES",VLOOKUP(B730,'11.COMPOSIÇÕES GERAIS'!B:I,8,0),VLOOKUP(B730,'12.COT.MERCADO'!A:I,8,0)))),"Em Elaboração")</f>
        <v>0.29</v>
      </c>
      <c r="J730" s="259">
        <f t="shared" si="137"/>
        <v>0</v>
      </c>
      <c r="K730" s="259">
        <f t="shared" si="138"/>
        <v>0.3396870297</v>
      </c>
      <c r="L730" s="259">
        <f t="shared" si="139"/>
        <v>0.3396870297</v>
      </c>
      <c r="M730" s="259">
        <f t="shared" si="140"/>
        <v>0</v>
      </c>
      <c r="N730" s="259">
        <f t="shared" si="141"/>
        <v>5.095305445</v>
      </c>
      <c r="O730" s="259">
        <f t="shared" si="142"/>
        <v>5.095305445</v>
      </c>
      <c r="P730" s="260">
        <f t="shared" si="2"/>
        <v>0.000003985926189</v>
      </c>
    </row>
    <row r="731">
      <c r="A731" s="253" t="s">
        <v>884</v>
      </c>
      <c r="B731" s="254">
        <v>4358.0</v>
      </c>
      <c r="C731" s="255" t="str">
        <f t="shared" si="136"/>
        <v>SINAPI</v>
      </c>
      <c r="D731" s="256" t="s">
        <v>286</v>
      </c>
      <c r="E731" s="257" t="str">
        <f>IFERROR(IF(D731="SINAPI-S",VLOOKUP(B731,'20-B.SINAPI-S'!A:J,2,0),IF(D731="SINAPI-I",VLOOKUP(B731,'20-A.SINAPI-I'!A:G,2,0),IF(D731="COMPOSIÇÕES",VLOOKUP(B731,'11.COMPOSIÇÕES GERAIS'!B:I,2,0),VLOOKUP(B731,'12.COT.MERCADO'!A:I,2,0)))),"Em Elaboração")</f>
        <v>PARAFUSO DE LATAO COM ROSCA SOBERBA, CABECA CHATA E FENDA SIMPLES, DIAMETRO 4,8 MM, COMPRIMENTO 65 MM</v>
      </c>
      <c r="F731" s="258" t="str">
        <f>IFERROR(IF(D731="SINAPI-S",VLOOKUP(B731,'20-B.SINAPI-S'!A:J,3,0),IF(D731="SINAPI-I",VLOOKUP(B731,'20-A.SINAPI-I'!A:G,3,0),IF(D731="COMPOSIÇÕES",VLOOKUP(B731,'11.COMPOSIÇÕES GERAIS'!B:I,3,0),VLOOKUP(B731,'12.COT.MERCADO'!A:I,7,0)))),"Em Elaboração")</f>
        <v>UN</v>
      </c>
      <c r="G731" s="254">
        <v>8.0</v>
      </c>
      <c r="H731" s="259">
        <f>IFERROR(IF(D731="SINAPI-S",VLOOKUP(B731,'20-B.SINAPI-S'!A:J,5,0),IF(D731="SINAPI-I",VLOOKUP(B731,'20-A.SINAPI-I'!A:G,6,0),IF(D731="COMPOSIÇÕES",VLOOKUP(B731,'11.COMPOSIÇÕES GERAIS'!B:I,7,0),0))),"Em Elaboração")</f>
        <v>0</v>
      </c>
      <c r="I731" s="259">
        <f>IFERROR(IF(D731="SINAPI-S",VLOOKUP(B731,'20-B.SINAPI-S'!A:J,6,0),IF(D731="SINAPI-I",VLOOKUP(B731,'20-A.SINAPI-I'!A:G,7,0),IF(D731="COMPOSIÇÕES",VLOOKUP(B731,'11.COMPOSIÇÕES GERAIS'!B:I,8,0),VLOOKUP(B731,'12.COT.MERCADO'!A:I,8,0)))),"Em Elaboração")</f>
        <v>2.25</v>
      </c>
      <c r="J731" s="259">
        <f t="shared" si="137"/>
        <v>0</v>
      </c>
      <c r="K731" s="259">
        <f t="shared" si="138"/>
        <v>2.635502817</v>
      </c>
      <c r="L731" s="259">
        <f t="shared" si="139"/>
        <v>2.635502817</v>
      </c>
      <c r="M731" s="259">
        <f t="shared" si="140"/>
        <v>0</v>
      </c>
      <c r="N731" s="259">
        <f t="shared" si="141"/>
        <v>21.08402253</v>
      </c>
      <c r="O731" s="259">
        <f t="shared" si="142"/>
        <v>21.08402253</v>
      </c>
      <c r="P731" s="260">
        <f t="shared" si="2"/>
        <v>0.00001649348768</v>
      </c>
    </row>
    <row r="732">
      <c r="A732" s="253" t="s">
        <v>885</v>
      </c>
      <c r="B732" s="254">
        <v>11955.0</v>
      </c>
      <c r="C732" s="255" t="str">
        <f t="shared" si="136"/>
        <v>SINAPI</v>
      </c>
      <c r="D732" s="256" t="s">
        <v>286</v>
      </c>
      <c r="E732" s="257" t="str">
        <f>IFERROR(IF(D732="SINAPI-S",VLOOKUP(B732,'20-B.SINAPI-S'!A:J,2,0),IF(D732="SINAPI-I",VLOOKUP(B732,'20-A.SINAPI-I'!A:G,2,0),IF(D732="COMPOSIÇÕES",VLOOKUP(B732,'11.COMPOSIÇÕES GERAIS'!B:I,2,0),VLOOKUP(B732,'12.COT.MERCADO'!A:I,2,0)))),"Em Elaboração")</f>
        <v>PARAFUSO DE LATAO COM ACABAMENTO CROMADO PARA FIXAR PECA SANITARIA, INCLUI PORCA CEGA, ARRUELA E BUCHA DE NYLON TAMANHO S-10</v>
      </c>
      <c r="F732" s="258" t="str">
        <f>IFERROR(IF(D732="SINAPI-S",VLOOKUP(B732,'20-B.SINAPI-S'!A:J,3,0),IF(D732="SINAPI-I",VLOOKUP(B732,'20-A.SINAPI-I'!A:G,3,0),IF(D732="COMPOSIÇÕES",VLOOKUP(B732,'11.COMPOSIÇÕES GERAIS'!B:I,3,0),VLOOKUP(B732,'12.COT.MERCADO'!A:I,7,0)))),"Em Elaboração")</f>
        <v>UN</v>
      </c>
      <c r="G732" s="254">
        <v>15.0</v>
      </c>
      <c r="H732" s="259">
        <f>IFERROR(IF(D732="SINAPI-S",VLOOKUP(B732,'20-B.SINAPI-S'!A:J,5,0),IF(D732="SINAPI-I",VLOOKUP(B732,'20-A.SINAPI-I'!A:G,6,0),IF(D732="COMPOSIÇÕES",VLOOKUP(B732,'11.COMPOSIÇÕES GERAIS'!B:I,7,0),0))),"Em Elaboração")</f>
        <v>0</v>
      </c>
      <c r="I732" s="259">
        <f>IFERROR(IF(D732="SINAPI-S",VLOOKUP(B732,'20-B.SINAPI-S'!A:J,6,0),IF(D732="SINAPI-I",VLOOKUP(B732,'20-A.SINAPI-I'!A:G,7,0),IF(D732="COMPOSIÇÕES",VLOOKUP(B732,'11.COMPOSIÇÕES GERAIS'!B:I,8,0),VLOOKUP(B732,'12.COT.MERCADO'!A:I,8,0)))),"Em Elaboração")</f>
        <v>4.92</v>
      </c>
      <c r="J732" s="259">
        <f t="shared" si="137"/>
        <v>0</v>
      </c>
      <c r="K732" s="259">
        <f t="shared" si="138"/>
        <v>5.762966159</v>
      </c>
      <c r="L732" s="259">
        <f t="shared" si="139"/>
        <v>5.762966159</v>
      </c>
      <c r="M732" s="259">
        <f t="shared" si="140"/>
        <v>0</v>
      </c>
      <c r="N732" s="259">
        <f t="shared" si="141"/>
        <v>86.44449238</v>
      </c>
      <c r="O732" s="259">
        <f t="shared" si="142"/>
        <v>86.44449238</v>
      </c>
      <c r="P732" s="260">
        <f t="shared" si="2"/>
        <v>0.00006762329948</v>
      </c>
    </row>
    <row r="733">
      <c r="A733" s="253" t="s">
        <v>886</v>
      </c>
      <c r="B733" s="254">
        <v>20078.0</v>
      </c>
      <c r="C733" s="255" t="str">
        <f t="shared" si="136"/>
        <v>SINAPI</v>
      </c>
      <c r="D733" s="256" t="s">
        <v>286</v>
      </c>
      <c r="E733" s="257" t="str">
        <f>IFERROR(IF(D733="SINAPI-S",VLOOKUP(B733,'20-B.SINAPI-S'!A:J,2,0),IF(D733="SINAPI-I",VLOOKUP(B733,'20-A.SINAPI-I'!A:G,2,0),IF(D733="COMPOSIÇÕES",VLOOKUP(B733,'11.COMPOSIÇÕES GERAIS'!B:I,2,0),VLOOKUP(B733,'12.COT.MERCADO'!A:I,2,0)))),"Em Elaboração")</f>
        <v>PASTA LUBRIFICANTE PARA TUBOS E CONEXOES COM JUNTA ELASTICA, EMBALAGEM DE *400* GR (USO EM PVC, ACO, POLIETILENO E OUTROS)</v>
      </c>
      <c r="F733" s="258" t="str">
        <f>IFERROR(IF(D733="SINAPI-S",VLOOKUP(B733,'20-B.SINAPI-S'!A:J,3,0),IF(D733="SINAPI-I",VLOOKUP(B733,'20-A.SINAPI-I'!A:G,3,0),IF(D733="COMPOSIÇÕES",VLOOKUP(B733,'11.COMPOSIÇÕES GERAIS'!B:I,3,0),VLOOKUP(B733,'12.COT.MERCADO'!A:I,7,0)))),"Em Elaboração")</f>
        <v>UN</v>
      </c>
      <c r="G733" s="254">
        <v>2.0</v>
      </c>
      <c r="H733" s="259">
        <f>IFERROR(IF(D733="SINAPI-S",VLOOKUP(B733,'20-B.SINAPI-S'!A:J,5,0),IF(D733="SINAPI-I",VLOOKUP(B733,'20-A.SINAPI-I'!A:G,6,0),IF(D733="COMPOSIÇÕES",VLOOKUP(B733,'11.COMPOSIÇÕES GERAIS'!B:I,7,0),0))),"Em Elaboração")</f>
        <v>0</v>
      </c>
      <c r="I733" s="259">
        <f>IFERROR(IF(D733="SINAPI-S",VLOOKUP(B733,'20-B.SINAPI-S'!A:J,6,0),IF(D733="SINAPI-I",VLOOKUP(B733,'20-A.SINAPI-I'!A:G,7,0),IF(D733="COMPOSIÇÕES",VLOOKUP(B733,'11.COMPOSIÇÕES GERAIS'!B:I,8,0),VLOOKUP(B733,'12.COT.MERCADO'!A:I,8,0)))),"Em Elaboração")</f>
        <v>28.8</v>
      </c>
      <c r="J733" s="259">
        <f t="shared" si="137"/>
        <v>0</v>
      </c>
      <c r="K733" s="259">
        <f t="shared" si="138"/>
        <v>33.73443605</v>
      </c>
      <c r="L733" s="259">
        <f t="shared" si="139"/>
        <v>33.73443605</v>
      </c>
      <c r="M733" s="259">
        <f t="shared" si="140"/>
        <v>0</v>
      </c>
      <c r="N733" s="259">
        <f t="shared" si="141"/>
        <v>67.4688721</v>
      </c>
      <c r="O733" s="259">
        <f t="shared" si="142"/>
        <v>67.4688721</v>
      </c>
      <c r="P733" s="260">
        <f t="shared" si="2"/>
        <v>0.00005277916057</v>
      </c>
    </row>
    <row r="734">
      <c r="A734" s="253" t="s">
        <v>887</v>
      </c>
      <c r="B734" s="254">
        <v>4888.0</v>
      </c>
      <c r="C734" s="255" t="str">
        <f t="shared" si="136"/>
        <v>SINAPI</v>
      </c>
      <c r="D734" s="256" t="s">
        <v>286</v>
      </c>
      <c r="E734" s="257" t="str">
        <f>IFERROR(IF(D734="SINAPI-S",VLOOKUP(B734,'20-B.SINAPI-S'!A:J,2,0),IF(D734="SINAPI-I",VLOOKUP(B734,'20-A.SINAPI-I'!A:G,2,0),IF(D734="COMPOSIÇÕES",VLOOKUP(B734,'11.COMPOSIÇÕES GERAIS'!B:I,2,0),VLOOKUP(B734,'12.COT.MERCADO'!A:I,2,0)))),"Em Elaboração")</f>
        <v>PLUG OU BUJAO DE FERRO GALVANIZADO, DE 1/2"</v>
      </c>
      <c r="F734" s="258" t="str">
        <f>IFERROR(IF(D734="SINAPI-S",VLOOKUP(B734,'20-B.SINAPI-S'!A:J,3,0),IF(D734="SINAPI-I",VLOOKUP(B734,'20-A.SINAPI-I'!A:G,3,0),IF(D734="COMPOSIÇÕES",VLOOKUP(B734,'11.COMPOSIÇÕES GERAIS'!B:I,3,0),VLOOKUP(B734,'12.COT.MERCADO'!A:I,7,0)))),"Em Elaboração")</f>
        <v>UN</v>
      </c>
      <c r="G734" s="254">
        <v>2.0</v>
      </c>
      <c r="H734" s="259">
        <f>IFERROR(IF(D734="SINAPI-S",VLOOKUP(B734,'20-B.SINAPI-S'!A:J,5,0),IF(D734="SINAPI-I",VLOOKUP(B734,'20-A.SINAPI-I'!A:G,6,0),IF(D734="COMPOSIÇÕES",VLOOKUP(B734,'11.COMPOSIÇÕES GERAIS'!B:I,7,0),0))),"Em Elaboração")</f>
        <v>0</v>
      </c>
      <c r="I734" s="259">
        <f>IFERROR(IF(D734="SINAPI-S",VLOOKUP(B734,'20-B.SINAPI-S'!A:J,6,0),IF(D734="SINAPI-I",VLOOKUP(B734,'20-A.SINAPI-I'!A:G,7,0),IF(D734="COMPOSIÇÕES",VLOOKUP(B734,'11.COMPOSIÇÕES GERAIS'!B:I,8,0),VLOOKUP(B734,'12.COT.MERCADO'!A:I,8,0)))),"Em Elaboração")</f>
        <v>4.49</v>
      </c>
      <c r="J734" s="259">
        <f t="shared" si="137"/>
        <v>0</v>
      </c>
      <c r="K734" s="259">
        <f t="shared" si="138"/>
        <v>5.259292287</v>
      </c>
      <c r="L734" s="259">
        <f t="shared" si="139"/>
        <v>5.259292287</v>
      </c>
      <c r="M734" s="259">
        <f t="shared" si="140"/>
        <v>0</v>
      </c>
      <c r="N734" s="259">
        <f t="shared" si="141"/>
        <v>10.51858457</v>
      </c>
      <c r="O734" s="259">
        <f t="shared" si="142"/>
        <v>10.51858457</v>
      </c>
      <c r="P734" s="260">
        <f t="shared" si="2"/>
        <v>0.000008228417741</v>
      </c>
    </row>
    <row r="735">
      <c r="A735" s="253" t="s">
        <v>888</v>
      </c>
      <c r="B735" s="254">
        <v>21059.0</v>
      </c>
      <c r="C735" s="255" t="str">
        <f t="shared" si="136"/>
        <v>SINAPI</v>
      </c>
      <c r="D735" s="256" t="s">
        <v>286</v>
      </c>
      <c r="E735" s="257" t="str">
        <f>IFERROR(IF(D735="SINAPI-S",VLOOKUP(B735,'20-B.SINAPI-S'!A:J,2,0),IF(D735="SINAPI-I",VLOOKUP(B735,'20-A.SINAPI-I'!A:G,2,0),IF(D735="COMPOSIÇÕES",VLOOKUP(B735,'11.COMPOSIÇÕES GERAIS'!B:I,2,0),VLOOKUP(B735,'12.COT.MERCADO'!A:I,2,0)))),"Em Elaboração")</f>
        <v>RALO FOFO COM REQUADRO, QUADRADO 150 X 150 MM</v>
      </c>
      <c r="F735" s="258" t="str">
        <f>IFERROR(IF(D735="SINAPI-S",VLOOKUP(B735,'20-B.SINAPI-S'!A:J,3,0),IF(D735="SINAPI-I",VLOOKUP(B735,'20-A.SINAPI-I'!A:G,3,0),IF(D735="COMPOSIÇÕES",VLOOKUP(B735,'11.COMPOSIÇÕES GERAIS'!B:I,3,0),VLOOKUP(B735,'12.COT.MERCADO'!A:I,7,0)))),"Em Elaboração")</f>
        <v>UN</v>
      </c>
      <c r="G735" s="254">
        <v>2.0</v>
      </c>
      <c r="H735" s="259">
        <f>IFERROR(IF(D735="SINAPI-S",VLOOKUP(B735,'20-B.SINAPI-S'!A:J,5,0),IF(D735="SINAPI-I",VLOOKUP(B735,'20-A.SINAPI-I'!A:G,6,0),IF(D735="COMPOSIÇÕES",VLOOKUP(B735,'11.COMPOSIÇÕES GERAIS'!B:I,7,0),0))),"Em Elaboração")</f>
        <v>0</v>
      </c>
      <c r="I735" s="259">
        <f>IFERROR(IF(D735="SINAPI-S",VLOOKUP(B735,'20-B.SINAPI-S'!A:J,6,0),IF(D735="SINAPI-I",VLOOKUP(B735,'20-A.SINAPI-I'!A:G,7,0),IF(D735="COMPOSIÇÕES",VLOOKUP(B735,'11.COMPOSIÇÕES GERAIS'!B:I,8,0),VLOOKUP(B735,'12.COT.MERCADO'!A:I,8,0)))),"Em Elaboração")</f>
        <v>65.64</v>
      </c>
      <c r="J735" s="259">
        <f t="shared" si="137"/>
        <v>0</v>
      </c>
      <c r="K735" s="259">
        <f t="shared" si="138"/>
        <v>76.88640217</v>
      </c>
      <c r="L735" s="259">
        <f t="shared" si="139"/>
        <v>76.88640217</v>
      </c>
      <c r="M735" s="259">
        <f t="shared" si="140"/>
        <v>0</v>
      </c>
      <c r="N735" s="259">
        <f t="shared" si="141"/>
        <v>153.7728043</v>
      </c>
      <c r="O735" s="259">
        <f t="shared" si="142"/>
        <v>153.7728043</v>
      </c>
      <c r="P735" s="260">
        <f t="shared" si="2"/>
        <v>0.0001202925035</v>
      </c>
    </row>
    <row r="736">
      <c r="A736" s="253" t="s">
        <v>889</v>
      </c>
      <c r="B736" s="254">
        <v>11234.0</v>
      </c>
      <c r="C736" s="255" t="str">
        <f t="shared" si="136"/>
        <v>SINAPI</v>
      </c>
      <c r="D736" s="256" t="s">
        <v>286</v>
      </c>
      <c r="E736" s="257" t="str">
        <f>IFERROR(IF(D736="SINAPI-S",VLOOKUP(B736,'20-B.SINAPI-S'!A:J,2,0),IF(D736="SINAPI-I",VLOOKUP(B736,'20-A.SINAPI-I'!A:G,2,0),IF(D736="COMPOSIÇÕES",VLOOKUP(B736,'11.COMPOSIÇÕES GERAIS'!B:I,2,0),VLOOKUP(B736,'12.COT.MERCADO'!A:I,2,0)))),"Em Elaboração")</f>
        <v>RALO FOFO COM REQUADRO, QUADRADO 200 X 200 MM</v>
      </c>
      <c r="F736" s="258" t="str">
        <f>IFERROR(IF(D736="SINAPI-S",VLOOKUP(B736,'20-B.SINAPI-S'!A:J,3,0),IF(D736="SINAPI-I",VLOOKUP(B736,'20-A.SINAPI-I'!A:G,3,0),IF(D736="COMPOSIÇÕES",VLOOKUP(B736,'11.COMPOSIÇÕES GERAIS'!B:I,3,0),VLOOKUP(B736,'12.COT.MERCADO'!A:I,7,0)))),"Em Elaboração")</f>
        <v>UN</v>
      </c>
      <c r="G736" s="254">
        <v>2.0</v>
      </c>
      <c r="H736" s="259">
        <f>IFERROR(IF(D736="SINAPI-S",VLOOKUP(B736,'20-B.SINAPI-S'!A:J,5,0),IF(D736="SINAPI-I",VLOOKUP(B736,'20-A.SINAPI-I'!A:G,6,0),IF(D736="COMPOSIÇÕES",VLOOKUP(B736,'11.COMPOSIÇÕES GERAIS'!B:I,7,0),0))),"Em Elaboração")</f>
        <v>0</v>
      </c>
      <c r="I736" s="259">
        <f>IFERROR(IF(D736="SINAPI-S",VLOOKUP(B736,'20-B.SINAPI-S'!A:J,6,0),IF(D736="SINAPI-I",VLOOKUP(B736,'20-A.SINAPI-I'!A:G,7,0),IF(D736="COMPOSIÇÕES",VLOOKUP(B736,'11.COMPOSIÇÕES GERAIS'!B:I,8,0),VLOOKUP(B736,'12.COT.MERCADO'!A:I,8,0)))),"Em Elaboração")</f>
        <v>98.94</v>
      </c>
      <c r="J736" s="259">
        <f t="shared" si="137"/>
        <v>0</v>
      </c>
      <c r="K736" s="259">
        <f t="shared" si="138"/>
        <v>115.8918439</v>
      </c>
      <c r="L736" s="259">
        <f t="shared" si="139"/>
        <v>115.8918439</v>
      </c>
      <c r="M736" s="259">
        <f t="shared" si="140"/>
        <v>0</v>
      </c>
      <c r="N736" s="259">
        <f t="shared" si="141"/>
        <v>231.7836877</v>
      </c>
      <c r="O736" s="259">
        <f t="shared" si="142"/>
        <v>231.7836877</v>
      </c>
      <c r="P736" s="260">
        <f t="shared" si="2"/>
        <v>0.0001813184079</v>
      </c>
    </row>
    <row r="737">
      <c r="A737" s="253" t="s">
        <v>890</v>
      </c>
      <c r="B737" s="254">
        <v>21060.0</v>
      </c>
      <c r="C737" s="255" t="str">
        <f t="shared" si="136"/>
        <v>SINAPI</v>
      </c>
      <c r="D737" s="256" t="s">
        <v>286</v>
      </c>
      <c r="E737" s="257" t="str">
        <f>IFERROR(IF(D737="SINAPI-S",VLOOKUP(B737,'20-B.SINAPI-S'!A:J,2,0),IF(D737="SINAPI-I",VLOOKUP(B737,'20-A.SINAPI-I'!A:G,2,0),IF(D737="COMPOSIÇÕES",VLOOKUP(B737,'11.COMPOSIÇÕES GERAIS'!B:I,2,0),VLOOKUP(B737,'12.COT.MERCADO'!A:I,2,0)))),"Em Elaboração")</f>
        <v>RALO FOFO COM REQUADRO, QUADRADO 250 X 250 MM</v>
      </c>
      <c r="F737" s="258" t="str">
        <f>IFERROR(IF(D737="SINAPI-S",VLOOKUP(B737,'20-B.SINAPI-S'!A:J,3,0),IF(D737="SINAPI-I",VLOOKUP(B737,'20-A.SINAPI-I'!A:G,3,0),IF(D737="COMPOSIÇÕES",VLOOKUP(B737,'11.COMPOSIÇÕES GERAIS'!B:I,3,0),VLOOKUP(B737,'12.COT.MERCADO'!A:I,7,0)))),"Em Elaboração")</f>
        <v>UN</v>
      </c>
      <c r="G737" s="254">
        <v>2.0</v>
      </c>
      <c r="H737" s="259">
        <f>IFERROR(IF(D737="SINAPI-S",VLOOKUP(B737,'20-B.SINAPI-S'!A:J,5,0),IF(D737="SINAPI-I",VLOOKUP(B737,'20-A.SINAPI-I'!A:G,6,0),IF(D737="COMPOSIÇÕES",VLOOKUP(B737,'11.COMPOSIÇÕES GERAIS'!B:I,7,0),0))),"Em Elaboração")</f>
        <v>0</v>
      </c>
      <c r="I737" s="259">
        <f>IFERROR(IF(D737="SINAPI-S",VLOOKUP(B737,'20-B.SINAPI-S'!A:J,6,0),IF(D737="SINAPI-I",VLOOKUP(B737,'20-A.SINAPI-I'!A:G,7,0),IF(D737="COMPOSIÇÕES",VLOOKUP(B737,'11.COMPOSIÇÕES GERAIS'!B:I,8,0),VLOOKUP(B737,'12.COT.MERCADO'!A:I,8,0)))),"Em Elaboração")</f>
        <v>121.77</v>
      </c>
      <c r="J737" s="259">
        <f t="shared" si="137"/>
        <v>0</v>
      </c>
      <c r="K737" s="259">
        <f t="shared" si="138"/>
        <v>142.6334124</v>
      </c>
      <c r="L737" s="259">
        <f t="shared" si="139"/>
        <v>142.6334124</v>
      </c>
      <c r="M737" s="259">
        <f t="shared" si="140"/>
        <v>0</v>
      </c>
      <c r="N737" s="259">
        <f t="shared" si="141"/>
        <v>285.2668249</v>
      </c>
      <c r="O737" s="259">
        <f t="shared" si="142"/>
        <v>285.2668249</v>
      </c>
      <c r="P737" s="260">
        <f t="shared" si="2"/>
        <v>0.0002231568883</v>
      </c>
    </row>
    <row r="738">
      <c r="A738" s="253" t="s">
        <v>891</v>
      </c>
      <c r="B738" s="254">
        <v>21061.0</v>
      </c>
      <c r="C738" s="255" t="str">
        <f t="shared" si="136"/>
        <v>SINAPI</v>
      </c>
      <c r="D738" s="256" t="s">
        <v>286</v>
      </c>
      <c r="E738" s="257" t="str">
        <f>IFERROR(IF(D738="SINAPI-S",VLOOKUP(B738,'20-B.SINAPI-S'!A:J,2,0),IF(D738="SINAPI-I",VLOOKUP(B738,'20-A.SINAPI-I'!A:G,2,0),IF(D738="COMPOSIÇÕES",VLOOKUP(B738,'11.COMPOSIÇÕES GERAIS'!B:I,2,0),VLOOKUP(B738,'12.COT.MERCADO'!A:I,2,0)))),"Em Elaboração")</f>
        <v>RALO FOFO COM REQUADRO, QUADRADO 300 X 300 MM</v>
      </c>
      <c r="F738" s="258" t="str">
        <f>IFERROR(IF(D738="SINAPI-S",VLOOKUP(B738,'20-B.SINAPI-S'!A:J,3,0),IF(D738="SINAPI-I",VLOOKUP(B738,'20-A.SINAPI-I'!A:G,3,0),IF(D738="COMPOSIÇÕES",VLOOKUP(B738,'11.COMPOSIÇÕES GERAIS'!B:I,3,0),VLOOKUP(B738,'12.COT.MERCADO'!A:I,7,0)))),"Em Elaboração")</f>
        <v>UN</v>
      </c>
      <c r="G738" s="254">
        <v>2.0</v>
      </c>
      <c r="H738" s="259">
        <f>IFERROR(IF(D738="SINAPI-S",VLOOKUP(B738,'20-B.SINAPI-S'!A:J,5,0),IF(D738="SINAPI-I",VLOOKUP(B738,'20-A.SINAPI-I'!A:G,6,0),IF(D738="COMPOSIÇÕES",VLOOKUP(B738,'11.COMPOSIÇÕES GERAIS'!B:I,7,0),0))),"Em Elaboração")</f>
        <v>0</v>
      </c>
      <c r="I738" s="259">
        <f>IFERROR(IF(D738="SINAPI-S",VLOOKUP(B738,'20-B.SINAPI-S'!A:J,6,0),IF(D738="SINAPI-I",VLOOKUP(B738,'20-A.SINAPI-I'!A:G,7,0),IF(D738="COMPOSIÇÕES",VLOOKUP(B738,'11.COMPOSIÇÕES GERAIS'!B:I,8,0),VLOOKUP(B738,'12.COT.MERCADO'!A:I,8,0)))),"Em Elaboração")</f>
        <v>152.22</v>
      </c>
      <c r="J738" s="259">
        <f t="shared" si="137"/>
        <v>0</v>
      </c>
      <c r="K738" s="259">
        <f t="shared" si="138"/>
        <v>178.3005505</v>
      </c>
      <c r="L738" s="259">
        <f t="shared" si="139"/>
        <v>178.3005505</v>
      </c>
      <c r="M738" s="259">
        <f t="shared" si="140"/>
        <v>0</v>
      </c>
      <c r="N738" s="259">
        <f t="shared" si="141"/>
        <v>356.6011011</v>
      </c>
      <c r="O738" s="259">
        <f t="shared" si="142"/>
        <v>356.6011011</v>
      </c>
      <c r="P738" s="260">
        <f t="shared" si="2"/>
        <v>0.0002789598549</v>
      </c>
    </row>
    <row r="739">
      <c r="A739" s="253" t="s">
        <v>892</v>
      </c>
      <c r="B739" s="254">
        <v>21062.0</v>
      </c>
      <c r="C739" s="255" t="str">
        <f t="shared" si="136"/>
        <v>SINAPI</v>
      </c>
      <c r="D739" s="256" t="s">
        <v>286</v>
      </c>
      <c r="E739" s="257" t="str">
        <f>IFERROR(IF(D739="SINAPI-S",VLOOKUP(B739,'20-B.SINAPI-S'!A:J,2,0),IF(D739="SINAPI-I",VLOOKUP(B739,'20-A.SINAPI-I'!A:G,2,0),IF(D739="COMPOSIÇÕES",VLOOKUP(B739,'11.COMPOSIÇÕES GERAIS'!B:I,2,0),VLOOKUP(B739,'12.COT.MERCADO'!A:I,2,0)))),"Em Elaboração")</f>
        <v>RALO FOFO COM REQUADRO, QUADRADO 400 X 400 MM</v>
      </c>
      <c r="F739" s="258" t="str">
        <f>IFERROR(IF(D739="SINAPI-S",VLOOKUP(B739,'20-B.SINAPI-S'!A:J,3,0),IF(D739="SINAPI-I",VLOOKUP(B739,'20-A.SINAPI-I'!A:G,3,0),IF(D739="COMPOSIÇÕES",VLOOKUP(B739,'11.COMPOSIÇÕES GERAIS'!B:I,3,0),VLOOKUP(B739,'12.COT.MERCADO'!A:I,7,0)))),"Em Elaboração")</f>
        <v>UN</v>
      </c>
      <c r="G739" s="254">
        <v>2.0</v>
      </c>
      <c r="H739" s="259">
        <f>IFERROR(IF(D739="SINAPI-S",VLOOKUP(B739,'20-B.SINAPI-S'!A:J,5,0),IF(D739="SINAPI-I",VLOOKUP(B739,'20-A.SINAPI-I'!A:G,6,0),IF(D739="COMPOSIÇÕES",VLOOKUP(B739,'11.COMPOSIÇÕES GERAIS'!B:I,7,0),0))),"Em Elaboração")</f>
        <v>0</v>
      </c>
      <c r="I739" s="259">
        <f>IFERROR(IF(D739="SINAPI-S",VLOOKUP(B739,'20-B.SINAPI-S'!A:J,6,0),IF(D739="SINAPI-I",VLOOKUP(B739,'20-A.SINAPI-I'!A:G,7,0),IF(D739="COMPOSIÇÕES",VLOOKUP(B739,'11.COMPOSIÇÕES GERAIS'!B:I,8,0),VLOOKUP(B739,'12.COT.MERCADO'!A:I,8,0)))),"Em Elaboração")</f>
        <v>239.74</v>
      </c>
      <c r="J739" s="259">
        <f t="shared" si="137"/>
        <v>0</v>
      </c>
      <c r="K739" s="259">
        <f t="shared" si="138"/>
        <v>280.8157534</v>
      </c>
      <c r="L739" s="259">
        <f t="shared" si="139"/>
        <v>280.8157534</v>
      </c>
      <c r="M739" s="259">
        <f t="shared" si="140"/>
        <v>0</v>
      </c>
      <c r="N739" s="259">
        <f t="shared" si="141"/>
        <v>561.6315069</v>
      </c>
      <c r="O739" s="259">
        <f t="shared" si="142"/>
        <v>561.6315069</v>
      </c>
      <c r="P739" s="260">
        <f t="shared" si="2"/>
        <v>0.0004393498595</v>
      </c>
    </row>
    <row r="740">
      <c r="A740" s="253" t="s">
        <v>893</v>
      </c>
      <c r="B740" s="254">
        <v>11708.0</v>
      </c>
      <c r="C740" s="255" t="str">
        <f t="shared" si="136"/>
        <v>SINAPI</v>
      </c>
      <c r="D740" s="256" t="s">
        <v>286</v>
      </c>
      <c r="E740" s="257" t="str">
        <f>IFERROR(IF(D740="SINAPI-S",VLOOKUP(B740,'20-B.SINAPI-S'!A:J,2,0),IF(D740="SINAPI-I",VLOOKUP(B740,'20-A.SINAPI-I'!A:G,2,0),IF(D740="COMPOSIÇÕES",VLOOKUP(B740,'11.COMPOSIÇÕES GERAIS'!B:I,2,0),VLOOKUP(B740,'12.COT.MERCADO'!A:I,2,0)))),"Em Elaboração")</f>
        <v>RALO FOFO SEMIESFERICO, 100 MM, PARA LAJES/ CALHAS</v>
      </c>
      <c r="F740" s="258" t="str">
        <f>IFERROR(IF(D740="SINAPI-S",VLOOKUP(B740,'20-B.SINAPI-S'!A:J,3,0),IF(D740="SINAPI-I",VLOOKUP(B740,'20-A.SINAPI-I'!A:G,3,0),IF(D740="COMPOSIÇÕES",VLOOKUP(B740,'11.COMPOSIÇÕES GERAIS'!B:I,3,0),VLOOKUP(B740,'12.COT.MERCADO'!A:I,7,0)))),"Em Elaboração")</f>
        <v>UN</v>
      </c>
      <c r="G740" s="254">
        <v>2.0</v>
      </c>
      <c r="H740" s="259">
        <f>IFERROR(IF(D740="SINAPI-S",VLOOKUP(B740,'20-B.SINAPI-S'!A:J,5,0),IF(D740="SINAPI-I",VLOOKUP(B740,'20-A.SINAPI-I'!A:G,6,0),IF(D740="COMPOSIÇÕES",VLOOKUP(B740,'11.COMPOSIÇÕES GERAIS'!B:I,7,0),0))),"Em Elaboração")</f>
        <v>0</v>
      </c>
      <c r="I740" s="259">
        <f>IFERROR(IF(D740="SINAPI-S",VLOOKUP(B740,'20-B.SINAPI-S'!A:J,6,0),IF(D740="SINAPI-I",VLOOKUP(B740,'20-A.SINAPI-I'!A:G,7,0),IF(D740="COMPOSIÇÕES",VLOOKUP(B740,'11.COMPOSIÇÕES GERAIS'!B:I,8,0),VLOOKUP(B740,'12.COT.MERCADO'!A:I,8,0)))),"Em Elaboração")</f>
        <v>26.16</v>
      </c>
      <c r="J740" s="259">
        <f t="shared" si="137"/>
        <v>0</v>
      </c>
      <c r="K740" s="259">
        <f t="shared" si="138"/>
        <v>30.64211275</v>
      </c>
      <c r="L740" s="259">
        <f t="shared" si="139"/>
        <v>30.64211275</v>
      </c>
      <c r="M740" s="259">
        <f t="shared" si="140"/>
        <v>0</v>
      </c>
      <c r="N740" s="259">
        <f t="shared" si="141"/>
        <v>61.28422549</v>
      </c>
      <c r="O740" s="259">
        <f t="shared" si="142"/>
        <v>61.28422549</v>
      </c>
      <c r="P740" s="260">
        <f t="shared" si="2"/>
        <v>0.00004794107085</v>
      </c>
    </row>
    <row r="741">
      <c r="A741" s="253" t="s">
        <v>894</v>
      </c>
      <c r="B741" s="254">
        <v>11707.0</v>
      </c>
      <c r="C741" s="255" t="str">
        <f t="shared" si="136"/>
        <v>SINAPI</v>
      </c>
      <c r="D741" s="256" t="s">
        <v>286</v>
      </c>
      <c r="E741" s="257" t="str">
        <f>IFERROR(IF(D741="SINAPI-S",VLOOKUP(B741,'20-B.SINAPI-S'!A:J,2,0),IF(D741="SINAPI-I",VLOOKUP(B741,'20-A.SINAPI-I'!A:G,2,0),IF(D741="COMPOSIÇÕES",VLOOKUP(B741,'11.COMPOSIÇÕES GERAIS'!B:I,2,0),VLOOKUP(B741,'12.COT.MERCADO'!A:I,2,0)))),"Em Elaboração")</f>
        <v>RALO FOFO SEMIESFERICO, 75 MM, PARA LAJES/ CALHAS</v>
      </c>
      <c r="F741" s="258" t="str">
        <f>IFERROR(IF(D741="SINAPI-S",VLOOKUP(B741,'20-B.SINAPI-S'!A:J,3,0),IF(D741="SINAPI-I",VLOOKUP(B741,'20-A.SINAPI-I'!A:G,3,0),IF(D741="COMPOSIÇÕES",VLOOKUP(B741,'11.COMPOSIÇÕES GERAIS'!B:I,3,0),VLOOKUP(B741,'12.COT.MERCADO'!A:I,7,0)))),"Em Elaboração")</f>
        <v>UN</v>
      </c>
      <c r="G741" s="254">
        <v>2.0</v>
      </c>
      <c r="H741" s="259">
        <f>IFERROR(IF(D741="SINAPI-S",VLOOKUP(B741,'20-B.SINAPI-S'!A:J,5,0),IF(D741="SINAPI-I",VLOOKUP(B741,'20-A.SINAPI-I'!A:G,6,0),IF(D741="COMPOSIÇÕES",VLOOKUP(B741,'11.COMPOSIÇÕES GERAIS'!B:I,7,0),0))),"Em Elaboração")</f>
        <v>0</v>
      </c>
      <c r="I741" s="259">
        <f>IFERROR(IF(D741="SINAPI-S",VLOOKUP(B741,'20-B.SINAPI-S'!A:J,6,0),IF(D741="SINAPI-I",VLOOKUP(B741,'20-A.SINAPI-I'!A:G,7,0),IF(D741="COMPOSIÇÕES",VLOOKUP(B741,'11.COMPOSIÇÕES GERAIS'!B:I,8,0),VLOOKUP(B741,'12.COT.MERCADO'!A:I,8,0)))),"Em Elaboração")</f>
        <v>19.59</v>
      </c>
      <c r="J741" s="259">
        <f t="shared" si="137"/>
        <v>0</v>
      </c>
      <c r="K741" s="259">
        <f t="shared" si="138"/>
        <v>22.94644452</v>
      </c>
      <c r="L741" s="259">
        <f t="shared" si="139"/>
        <v>22.94644452</v>
      </c>
      <c r="M741" s="259">
        <f t="shared" si="140"/>
        <v>0</v>
      </c>
      <c r="N741" s="259">
        <f t="shared" si="141"/>
        <v>45.89288905</v>
      </c>
      <c r="O741" s="259">
        <f t="shared" si="142"/>
        <v>45.89288905</v>
      </c>
      <c r="P741" s="260">
        <f t="shared" si="2"/>
        <v>0.00003590082484</v>
      </c>
    </row>
    <row r="742">
      <c r="A742" s="253" t="s">
        <v>895</v>
      </c>
      <c r="B742" s="254">
        <v>11743.0</v>
      </c>
      <c r="C742" s="255" t="str">
        <f t="shared" si="136"/>
        <v>SINAPI</v>
      </c>
      <c r="D742" s="256" t="s">
        <v>286</v>
      </c>
      <c r="E742" s="257" t="str">
        <f>IFERROR(IF(D742="SINAPI-S",VLOOKUP(B742,'20-B.SINAPI-S'!A:J,2,0),IF(D742="SINAPI-I",VLOOKUP(B742,'20-A.SINAPI-I'!A:G,2,0),IF(D742="COMPOSIÇÕES",VLOOKUP(B742,'11.COMPOSIÇÕES GERAIS'!B:I,2,0),VLOOKUP(B742,'12.COT.MERCADO'!A:I,2,0)))),"Em Elaboração")</f>
        <v>RALO SIFONADO REDONDO CONICO, PVC, 100 X 40 MM, COM GRELHA REDONDA BRANCA</v>
      </c>
      <c r="F742" s="258" t="str">
        <f>IFERROR(IF(D742="SINAPI-S",VLOOKUP(B742,'20-B.SINAPI-S'!A:J,3,0),IF(D742="SINAPI-I",VLOOKUP(B742,'20-A.SINAPI-I'!A:G,3,0),IF(D742="COMPOSIÇÕES",VLOOKUP(B742,'11.COMPOSIÇÕES GERAIS'!B:I,3,0),VLOOKUP(B742,'12.COT.MERCADO'!A:I,7,0)))),"Em Elaboração")</f>
        <v>UN</v>
      </c>
      <c r="G742" s="254">
        <v>2.0</v>
      </c>
      <c r="H742" s="259">
        <f>IFERROR(IF(D742="SINAPI-S",VLOOKUP(B742,'20-B.SINAPI-S'!A:J,5,0),IF(D742="SINAPI-I",VLOOKUP(B742,'20-A.SINAPI-I'!A:G,6,0),IF(D742="COMPOSIÇÕES",VLOOKUP(B742,'11.COMPOSIÇÕES GERAIS'!B:I,7,0),0))),"Em Elaboração")</f>
        <v>0</v>
      </c>
      <c r="I742" s="259">
        <f>IFERROR(IF(D742="SINAPI-S",VLOOKUP(B742,'20-B.SINAPI-S'!A:J,6,0),IF(D742="SINAPI-I",VLOOKUP(B742,'20-A.SINAPI-I'!A:G,7,0),IF(D742="COMPOSIÇÕES",VLOOKUP(B742,'11.COMPOSIÇÕES GERAIS'!B:I,8,0),VLOOKUP(B742,'12.COT.MERCADO'!A:I,8,0)))),"Em Elaboração")</f>
        <v>9.82</v>
      </c>
      <c r="J742" s="259">
        <f t="shared" si="137"/>
        <v>0</v>
      </c>
      <c r="K742" s="259">
        <f t="shared" si="138"/>
        <v>11.50250563</v>
      </c>
      <c r="L742" s="259">
        <f t="shared" si="139"/>
        <v>11.50250563</v>
      </c>
      <c r="M742" s="259">
        <f t="shared" si="140"/>
        <v>0</v>
      </c>
      <c r="N742" s="259">
        <f t="shared" si="141"/>
        <v>23.00501125</v>
      </c>
      <c r="O742" s="259">
        <f t="shared" si="142"/>
        <v>23.00501125</v>
      </c>
      <c r="P742" s="260">
        <f t="shared" si="2"/>
        <v>0.00001799622767</v>
      </c>
    </row>
    <row r="743">
      <c r="A743" s="253" t="s">
        <v>896</v>
      </c>
      <c r="B743" s="254">
        <v>20043.0</v>
      </c>
      <c r="C743" s="255" t="str">
        <f t="shared" si="136"/>
        <v>SINAPI</v>
      </c>
      <c r="D743" s="256" t="s">
        <v>286</v>
      </c>
      <c r="E743" s="257" t="str">
        <f>IFERROR(IF(D743="SINAPI-S",VLOOKUP(B743,'20-B.SINAPI-S'!A:J,2,0),IF(D743="SINAPI-I",VLOOKUP(B743,'20-A.SINAPI-I'!A:G,2,0),IF(D743="COMPOSIÇÕES",VLOOKUP(B743,'11.COMPOSIÇÕES GERAIS'!B:I,2,0),VLOOKUP(B743,'12.COT.MERCADO'!A:I,2,0)))),"Em Elaboração")</f>
        <v>REDUCAO EXCENTRICA PVC, DN 100 X 50 MM, PARA ESGOTO PREDIAL</v>
      </c>
      <c r="F743" s="258" t="str">
        <f>IFERROR(IF(D743="SINAPI-S",VLOOKUP(B743,'20-B.SINAPI-S'!A:J,3,0),IF(D743="SINAPI-I",VLOOKUP(B743,'20-A.SINAPI-I'!A:G,3,0),IF(D743="COMPOSIÇÕES",VLOOKUP(B743,'11.COMPOSIÇÕES GERAIS'!B:I,3,0),VLOOKUP(B743,'12.COT.MERCADO'!A:I,7,0)))),"Em Elaboração")</f>
        <v>UN</v>
      </c>
      <c r="G743" s="254">
        <v>3.0</v>
      </c>
      <c r="H743" s="259">
        <f>IFERROR(IF(D743="SINAPI-S",VLOOKUP(B743,'20-B.SINAPI-S'!A:J,5,0),IF(D743="SINAPI-I",VLOOKUP(B743,'20-A.SINAPI-I'!A:G,6,0),IF(D743="COMPOSIÇÕES",VLOOKUP(B743,'11.COMPOSIÇÕES GERAIS'!B:I,7,0),0))),"Em Elaboração")</f>
        <v>0</v>
      </c>
      <c r="I743" s="259">
        <f>IFERROR(IF(D743="SINAPI-S",VLOOKUP(B743,'20-B.SINAPI-S'!A:J,6,0),IF(D743="SINAPI-I",VLOOKUP(B743,'20-A.SINAPI-I'!A:G,7,0),IF(D743="COMPOSIÇÕES",VLOOKUP(B743,'11.COMPOSIÇÕES GERAIS'!B:I,8,0),VLOOKUP(B743,'12.COT.MERCADO'!A:I,8,0)))),"Em Elaboração")</f>
        <v>10.24</v>
      </c>
      <c r="J743" s="259">
        <f t="shared" si="137"/>
        <v>0</v>
      </c>
      <c r="K743" s="259">
        <f t="shared" si="138"/>
        <v>11.99446615</v>
      </c>
      <c r="L743" s="259">
        <f t="shared" si="139"/>
        <v>11.99446615</v>
      </c>
      <c r="M743" s="259">
        <f t="shared" si="140"/>
        <v>0</v>
      </c>
      <c r="N743" s="259">
        <f t="shared" si="141"/>
        <v>35.98339846</v>
      </c>
      <c r="O743" s="259">
        <f t="shared" si="142"/>
        <v>35.98339846</v>
      </c>
      <c r="P743" s="260">
        <f t="shared" si="2"/>
        <v>0.00002814888564</v>
      </c>
    </row>
    <row r="744">
      <c r="A744" s="253" t="s">
        <v>897</v>
      </c>
      <c r="B744" s="254">
        <v>20044.0</v>
      </c>
      <c r="C744" s="255" t="str">
        <f t="shared" si="136"/>
        <v>SINAPI</v>
      </c>
      <c r="D744" s="256" t="s">
        <v>286</v>
      </c>
      <c r="E744" s="257" t="str">
        <f>IFERROR(IF(D744="SINAPI-S",VLOOKUP(B744,'20-B.SINAPI-S'!A:J,2,0),IF(D744="SINAPI-I",VLOOKUP(B744,'20-A.SINAPI-I'!A:G,2,0),IF(D744="COMPOSIÇÕES",VLOOKUP(B744,'11.COMPOSIÇÕES GERAIS'!B:I,2,0),VLOOKUP(B744,'12.COT.MERCADO'!A:I,2,0)))),"Em Elaboração")</f>
        <v>REDUCAO EXCENTRICA PVC, DN 100 X 75 MM, PARA ESGOTO PREDIAL</v>
      </c>
      <c r="F744" s="258" t="str">
        <f>IFERROR(IF(D744="SINAPI-S",VLOOKUP(B744,'20-B.SINAPI-S'!A:J,3,0),IF(D744="SINAPI-I",VLOOKUP(B744,'20-A.SINAPI-I'!A:G,3,0),IF(D744="COMPOSIÇÕES",VLOOKUP(B744,'11.COMPOSIÇÕES GERAIS'!B:I,3,0),VLOOKUP(B744,'12.COT.MERCADO'!A:I,7,0)))),"Em Elaboração")</f>
        <v>UN</v>
      </c>
      <c r="G744" s="254">
        <v>3.0</v>
      </c>
      <c r="H744" s="259">
        <f>IFERROR(IF(D744="SINAPI-S",VLOOKUP(B744,'20-B.SINAPI-S'!A:J,5,0),IF(D744="SINAPI-I",VLOOKUP(B744,'20-A.SINAPI-I'!A:G,6,0),IF(D744="COMPOSIÇÕES",VLOOKUP(B744,'11.COMPOSIÇÕES GERAIS'!B:I,7,0),0))),"Em Elaboração")</f>
        <v>0</v>
      </c>
      <c r="I744" s="259">
        <f>IFERROR(IF(D744="SINAPI-S",VLOOKUP(B744,'20-B.SINAPI-S'!A:J,6,0),IF(D744="SINAPI-I",VLOOKUP(B744,'20-A.SINAPI-I'!A:G,7,0),IF(D744="COMPOSIÇÕES",VLOOKUP(B744,'11.COMPOSIÇÕES GERAIS'!B:I,8,0),VLOOKUP(B744,'12.COT.MERCADO'!A:I,8,0)))),"Em Elaboração")</f>
        <v>11.87</v>
      </c>
      <c r="J744" s="259">
        <f t="shared" si="137"/>
        <v>0</v>
      </c>
      <c r="K744" s="259">
        <f t="shared" si="138"/>
        <v>13.90374153</v>
      </c>
      <c r="L744" s="259">
        <f t="shared" si="139"/>
        <v>13.90374153</v>
      </c>
      <c r="M744" s="259">
        <f t="shared" si="140"/>
        <v>0</v>
      </c>
      <c r="N744" s="259">
        <f t="shared" si="141"/>
        <v>41.71122458</v>
      </c>
      <c r="O744" s="259">
        <f t="shared" si="142"/>
        <v>41.71122458</v>
      </c>
      <c r="P744" s="260">
        <f t="shared" si="2"/>
        <v>0.00003262961645</v>
      </c>
    </row>
    <row r="745">
      <c r="A745" s="253" t="s">
        <v>898</v>
      </c>
      <c r="B745" s="254">
        <v>20042.0</v>
      </c>
      <c r="C745" s="255" t="str">
        <f t="shared" si="136"/>
        <v>SINAPI</v>
      </c>
      <c r="D745" s="256" t="s">
        <v>286</v>
      </c>
      <c r="E745" s="257" t="str">
        <f>IFERROR(IF(D745="SINAPI-S",VLOOKUP(B745,'20-B.SINAPI-S'!A:J,2,0),IF(D745="SINAPI-I",VLOOKUP(B745,'20-A.SINAPI-I'!A:G,2,0),IF(D745="COMPOSIÇÕES",VLOOKUP(B745,'11.COMPOSIÇÕES GERAIS'!B:I,2,0),VLOOKUP(B745,'12.COT.MERCADO'!A:I,2,0)))),"Em Elaboração")</f>
        <v>REDUCAO EXCENTRICA PVC, DN 75 X 50 MM, PARA ESGOTO PREDIAL</v>
      </c>
      <c r="F745" s="258" t="str">
        <f>IFERROR(IF(D745="SINAPI-S",VLOOKUP(B745,'20-B.SINAPI-S'!A:J,3,0),IF(D745="SINAPI-I",VLOOKUP(B745,'20-A.SINAPI-I'!A:G,3,0),IF(D745="COMPOSIÇÕES",VLOOKUP(B745,'11.COMPOSIÇÕES GERAIS'!B:I,3,0),VLOOKUP(B745,'12.COT.MERCADO'!A:I,7,0)))),"Em Elaboração")</f>
        <v>UN</v>
      </c>
      <c r="G745" s="254">
        <v>3.0</v>
      </c>
      <c r="H745" s="259">
        <f>IFERROR(IF(D745="SINAPI-S",VLOOKUP(B745,'20-B.SINAPI-S'!A:J,5,0),IF(D745="SINAPI-I",VLOOKUP(B745,'20-A.SINAPI-I'!A:G,6,0),IF(D745="COMPOSIÇÕES",VLOOKUP(B745,'11.COMPOSIÇÕES GERAIS'!B:I,7,0),0))),"Em Elaboração")</f>
        <v>0</v>
      </c>
      <c r="I745" s="259">
        <f>IFERROR(IF(D745="SINAPI-S",VLOOKUP(B745,'20-B.SINAPI-S'!A:J,6,0),IF(D745="SINAPI-I",VLOOKUP(B745,'20-A.SINAPI-I'!A:G,7,0),IF(D745="COMPOSIÇÕES",VLOOKUP(B745,'11.COMPOSIÇÕES GERAIS'!B:I,8,0),VLOOKUP(B745,'12.COT.MERCADO'!A:I,8,0)))),"Em Elaboração")</f>
        <v>8.88</v>
      </c>
      <c r="J745" s="259">
        <f t="shared" si="137"/>
        <v>0</v>
      </c>
      <c r="K745" s="259">
        <f t="shared" si="138"/>
        <v>10.40145112</v>
      </c>
      <c r="L745" s="259">
        <f t="shared" si="139"/>
        <v>10.40145112</v>
      </c>
      <c r="M745" s="259">
        <f t="shared" si="140"/>
        <v>0</v>
      </c>
      <c r="N745" s="259">
        <f t="shared" si="141"/>
        <v>31.20435335</v>
      </c>
      <c r="O745" s="259">
        <f t="shared" si="142"/>
        <v>31.20435335</v>
      </c>
      <c r="P745" s="260">
        <f t="shared" si="2"/>
        <v>0.00002441036176</v>
      </c>
    </row>
    <row r="746">
      <c r="A746" s="253" t="s">
        <v>899</v>
      </c>
      <c r="B746" s="254">
        <v>11677.0</v>
      </c>
      <c r="C746" s="255" t="str">
        <f t="shared" si="136"/>
        <v>SINAPI</v>
      </c>
      <c r="D746" s="256" t="s">
        <v>286</v>
      </c>
      <c r="E746" s="257" t="str">
        <f>IFERROR(IF(D746="SINAPI-S",VLOOKUP(B746,'20-B.SINAPI-S'!A:J,2,0),IF(D746="SINAPI-I",VLOOKUP(B746,'20-A.SINAPI-I'!A:G,2,0),IF(D746="COMPOSIÇÕES",VLOOKUP(B746,'11.COMPOSIÇÕES GERAIS'!B:I,2,0),VLOOKUP(B746,'12.COT.MERCADO'!A:I,2,0)))),"Em Elaboração")</f>
        <v>REGISTRO DE ESFERA, PVC, COM VOLANTE, VS, SOLDAVEL, DN 50 MM, COM CORPO DIVIDIDO</v>
      </c>
      <c r="F746" s="258" t="str">
        <f>IFERROR(IF(D746="SINAPI-S",VLOOKUP(B746,'20-B.SINAPI-S'!A:J,3,0),IF(D746="SINAPI-I",VLOOKUP(B746,'20-A.SINAPI-I'!A:G,3,0),IF(D746="COMPOSIÇÕES",VLOOKUP(B746,'11.COMPOSIÇÕES GERAIS'!B:I,3,0),VLOOKUP(B746,'12.COT.MERCADO'!A:I,7,0)))),"Em Elaboração")</f>
        <v>UN</v>
      </c>
      <c r="G746" s="254">
        <v>2.0</v>
      </c>
      <c r="H746" s="259">
        <f>IFERROR(IF(D746="SINAPI-S",VLOOKUP(B746,'20-B.SINAPI-S'!A:J,5,0),IF(D746="SINAPI-I",VLOOKUP(B746,'20-A.SINAPI-I'!A:G,6,0),IF(D746="COMPOSIÇÕES",VLOOKUP(B746,'11.COMPOSIÇÕES GERAIS'!B:I,7,0),0))),"Em Elaboração")</f>
        <v>0</v>
      </c>
      <c r="I746" s="259">
        <f>IFERROR(IF(D746="SINAPI-S",VLOOKUP(B746,'20-B.SINAPI-S'!A:J,6,0),IF(D746="SINAPI-I",VLOOKUP(B746,'20-A.SINAPI-I'!A:G,7,0),IF(D746="COMPOSIÇÕES",VLOOKUP(B746,'11.COMPOSIÇÕES GERAIS'!B:I,8,0),VLOOKUP(B746,'12.COT.MERCADO'!A:I,8,0)))),"Em Elaboração")</f>
        <v>58.86</v>
      </c>
      <c r="J746" s="259">
        <f t="shared" si="137"/>
        <v>0</v>
      </c>
      <c r="K746" s="259">
        <f t="shared" si="138"/>
        <v>68.94475368</v>
      </c>
      <c r="L746" s="259">
        <f t="shared" si="139"/>
        <v>68.94475368</v>
      </c>
      <c r="M746" s="259">
        <f t="shared" si="140"/>
        <v>0</v>
      </c>
      <c r="N746" s="259">
        <f t="shared" si="141"/>
        <v>137.8895074</v>
      </c>
      <c r="O746" s="259">
        <f t="shared" si="142"/>
        <v>137.8895074</v>
      </c>
      <c r="P746" s="260">
        <f t="shared" si="2"/>
        <v>0.0001078674094</v>
      </c>
    </row>
    <row r="747">
      <c r="A747" s="253" t="s">
        <v>900</v>
      </c>
      <c r="B747" s="254">
        <v>6019.0</v>
      </c>
      <c r="C747" s="255" t="str">
        <f t="shared" si="136"/>
        <v>SINAPI</v>
      </c>
      <c r="D747" s="256" t="s">
        <v>286</v>
      </c>
      <c r="E747" s="257" t="str">
        <f>IFERROR(IF(D747="SINAPI-S",VLOOKUP(B747,'20-B.SINAPI-S'!A:J,2,0),IF(D747="SINAPI-I",VLOOKUP(B747,'20-A.SINAPI-I'!A:G,2,0),IF(D747="COMPOSIÇÕES",VLOOKUP(B747,'11.COMPOSIÇÕES GERAIS'!B:I,2,0),VLOOKUP(B747,'12.COT.MERCADO'!A:I,2,0)))),"Em Elaboração")</f>
        <v>REGISTRO GAVETA BRUTO EM LATAO FORJADO, BITOLA 1 " (REF 1509)</v>
      </c>
      <c r="F747" s="258" t="str">
        <f>IFERROR(IF(D747="SINAPI-S",VLOOKUP(B747,'20-B.SINAPI-S'!A:J,3,0),IF(D747="SINAPI-I",VLOOKUP(B747,'20-A.SINAPI-I'!A:G,3,0),IF(D747="COMPOSIÇÕES",VLOOKUP(B747,'11.COMPOSIÇÕES GERAIS'!B:I,3,0),VLOOKUP(B747,'12.COT.MERCADO'!A:I,7,0)))),"Em Elaboração")</f>
        <v>UN</v>
      </c>
      <c r="G747" s="254">
        <v>2.0</v>
      </c>
      <c r="H747" s="259">
        <f>IFERROR(IF(D747="SINAPI-S",VLOOKUP(B747,'20-B.SINAPI-S'!A:J,5,0),IF(D747="SINAPI-I",VLOOKUP(B747,'20-A.SINAPI-I'!A:G,6,0),IF(D747="COMPOSIÇÕES",VLOOKUP(B747,'11.COMPOSIÇÕES GERAIS'!B:I,7,0),0))),"Em Elaboração")</f>
        <v>0</v>
      </c>
      <c r="I747" s="259">
        <f>IFERROR(IF(D747="SINAPI-S",VLOOKUP(B747,'20-B.SINAPI-S'!A:J,6,0),IF(D747="SINAPI-I",VLOOKUP(B747,'20-A.SINAPI-I'!A:G,7,0),IF(D747="COMPOSIÇÕES",VLOOKUP(B747,'11.COMPOSIÇÕES GERAIS'!B:I,8,0),VLOOKUP(B747,'12.COT.MERCADO'!A:I,8,0)))),"Em Elaboração")</f>
        <v>60.79</v>
      </c>
      <c r="J747" s="259">
        <f t="shared" si="137"/>
        <v>0</v>
      </c>
      <c r="K747" s="259">
        <f t="shared" si="138"/>
        <v>71.20542943</v>
      </c>
      <c r="L747" s="259">
        <f t="shared" si="139"/>
        <v>71.20542943</v>
      </c>
      <c r="M747" s="259">
        <f t="shared" si="140"/>
        <v>0</v>
      </c>
      <c r="N747" s="259">
        <f t="shared" si="141"/>
        <v>142.4108589</v>
      </c>
      <c r="O747" s="259">
        <f t="shared" si="142"/>
        <v>142.4108589</v>
      </c>
      <c r="P747" s="260">
        <f t="shared" si="2"/>
        <v>0.0001114043462</v>
      </c>
    </row>
    <row r="748">
      <c r="A748" s="253" t="s">
        <v>901</v>
      </c>
      <c r="B748" s="254">
        <v>6010.0</v>
      </c>
      <c r="C748" s="255" t="str">
        <f t="shared" si="136"/>
        <v>SINAPI</v>
      </c>
      <c r="D748" s="256" t="s">
        <v>286</v>
      </c>
      <c r="E748" s="257" t="str">
        <f>IFERROR(IF(D748="SINAPI-S",VLOOKUP(B748,'20-B.SINAPI-S'!A:J,2,0),IF(D748="SINAPI-I",VLOOKUP(B748,'20-A.SINAPI-I'!A:G,2,0),IF(D748="COMPOSIÇÕES",VLOOKUP(B748,'11.COMPOSIÇÕES GERAIS'!B:I,2,0),VLOOKUP(B748,'12.COT.MERCADO'!A:I,2,0)))),"Em Elaboração")</f>
        <v>REGISTRO GAVETA BRUTO EM LATAO FORJADO, BITOLA 1 1/2 " (REF 1509)</v>
      </c>
      <c r="F748" s="258" t="str">
        <f>IFERROR(IF(D748="SINAPI-S",VLOOKUP(B748,'20-B.SINAPI-S'!A:J,3,0),IF(D748="SINAPI-I",VLOOKUP(B748,'20-A.SINAPI-I'!A:G,3,0),IF(D748="COMPOSIÇÕES",VLOOKUP(B748,'11.COMPOSIÇÕES GERAIS'!B:I,3,0),VLOOKUP(B748,'12.COT.MERCADO'!A:I,7,0)))),"Em Elaboração")</f>
        <v>UN</v>
      </c>
      <c r="G748" s="254">
        <v>2.0</v>
      </c>
      <c r="H748" s="259">
        <f>IFERROR(IF(D748="SINAPI-S",VLOOKUP(B748,'20-B.SINAPI-S'!A:J,5,0),IF(D748="SINAPI-I",VLOOKUP(B748,'20-A.SINAPI-I'!A:G,6,0),IF(D748="COMPOSIÇÕES",VLOOKUP(B748,'11.COMPOSIÇÕES GERAIS'!B:I,7,0),0))),"Em Elaboração")</f>
        <v>0</v>
      </c>
      <c r="I748" s="259">
        <f>IFERROR(IF(D748="SINAPI-S",VLOOKUP(B748,'20-B.SINAPI-S'!A:J,6,0),IF(D748="SINAPI-I",VLOOKUP(B748,'20-A.SINAPI-I'!A:G,7,0),IF(D748="COMPOSIÇÕES",VLOOKUP(B748,'11.COMPOSIÇÕES GERAIS'!B:I,8,0),VLOOKUP(B748,'12.COT.MERCADO'!A:I,8,0)))),"Em Elaboração")</f>
        <v>104.59</v>
      </c>
      <c r="J748" s="259">
        <f t="shared" si="137"/>
        <v>0</v>
      </c>
      <c r="K748" s="259">
        <f t="shared" si="138"/>
        <v>122.5098843</v>
      </c>
      <c r="L748" s="259">
        <f t="shared" si="139"/>
        <v>122.5098843</v>
      </c>
      <c r="M748" s="259">
        <f t="shared" si="140"/>
        <v>0</v>
      </c>
      <c r="N748" s="259">
        <f t="shared" si="141"/>
        <v>245.0197685</v>
      </c>
      <c r="O748" s="259">
        <f t="shared" si="142"/>
        <v>245.0197685</v>
      </c>
      <c r="P748" s="260">
        <f t="shared" si="2"/>
        <v>0.0001916726529</v>
      </c>
    </row>
    <row r="749">
      <c r="A749" s="253" t="s">
        <v>902</v>
      </c>
      <c r="B749" s="254">
        <v>6028.0</v>
      </c>
      <c r="C749" s="255" t="str">
        <f t="shared" si="136"/>
        <v>SINAPI</v>
      </c>
      <c r="D749" s="256" t="s">
        <v>286</v>
      </c>
      <c r="E749" s="257" t="str">
        <f>IFERROR(IF(D749="SINAPI-S",VLOOKUP(B749,'20-B.SINAPI-S'!A:J,2,0),IF(D749="SINAPI-I",VLOOKUP(B749,'20-A.SINAPI-I'!A:G,2,0),IF(D749="COMPOSIÇÕES",VLOOKUP(B749,'11.COMPOSIÇÕES GERAIS'!B:I,2,0),VLOOKUP(B749,'12.COT.MERCADO'!A:I,2,0)))),"Em Elaboração")</f>
        <v>REGISTRO GAVETA BRUTO EM LATAO FORJADO, BITOLA 2 " (REF 1509)</v>
      </c>
      <c r="F749" s="258" t="str">
        <f>IFERROR(IF(D749="SINAPI-S",VLOOKUP(B749,'20-B.SINAPI-S'!A:J,3,0),IF(D749="SINAPI-I",VLOOKUP(B749,'20-A.SINAPI-I'!A:G,3,0),IF(D749="COMPOSIÇÕES",VLOOKUP(B749,'11.COMPOSIÇÕES GERAIS'!B:I,3,0),VLOOKUP(B749,'12.COT.MERCADO'!A:I,7,0)))),"Em Elaboração")</f>
        <v>UN</v>
      </c>
      <c r="G749" s="254">
        <v>2.0</v>
      </c>
      <c r="H749" s="259">
        <f>IFERROR(IF(D749="SINAPI-S",VLOOKUP(B749,'20-B.SINAPI-S'!A:J,5,0),IF(D749="SINAPI-I",VLOOKUP(B749,'20-A.SINAPI-I'!A:G,6,0),IF(D749="COMPOSIÇÕES",VLOOKUP(B749,'11.COMPOSIÇÕES GERAIS'!B:I,7,0),0))),"Em Elaboração")</f>
        <v>0</v>
      </c>
      <c r="I749" s="259">
        <f>IFERROR(IF(D749="SINAPI-S",VLOOKUP(B749,'20-B.SINAPI-S'!A:J,6,0),IF(D749="SINAPI-I",VLOOKUP(B749,'20-A.SINAPI-I'!A:G,7,0),IF(D749="COMPOSIÇÕES",VLOOKUP(B749,'11.COMPOSIÇÕES GERAIS'!B:I,8,0),VLOOKUP(B749,'12.COT.MERCADO'!A:I,8,0)))),"Em Elaboração")</f>
        <v>145.68</v>
      </c>
      <c r="J749" s="259">
        <f t="shared" si="137"/>
        <v>0</v>
      </c>
      <c r="K749" s="259">
        <f t="shared" si="138"/>
        <v>170.6400224</v>
      </c>
      <c r="L749" s="259">
        <f t="shared" si="139"/>
        <v>170.6400224</v>
      </c>
      <c r="M749" s="259">
        <f t="shared" si="140"/>
        <v>0</v>
      </c>
      <c r="N749" s="259">
        <f t="shared" si="141"/>
        <v>341.2800447</v>
      </c>
      <c r="O749" s="259">
        <f t="shared" si="142"/>
        <v>341.2800447</v>
      </c>
      <c r="P749" s="260">
        <f t="shared" si="2"/>
        <v>0.0002669745872</v>
      </c>
    </row>
    <row r="750">
      <c r="A750" s="253" t="s">
        <v>903</v>
      </c>
      <c r="B750" s="254">
        <v>6011.0</v>
      </c>
      <c r="C750" s="255" t="str">
        <f t="shared" si="136"/>
        <v>SINAPI</v>
      </c>
      <c r="D750" s="256" t="s">
        <v>286</v>
      </c>
      <c r="E750" s="257" t="str">
        <f>IFERROR(IF(D750="SINAPI-S",VLOOKUP(B750,'20-B.SINAPI-S'!A:J,2,0),IF(D750="SINAPI-I",VLOOKUP(B750,'20-A.SINAPI-I'!A:G,2,0),IF(D750="COMPOSIÇÕES",VLOOKUP(B750,'11.COMPOSIÇÕES GERAIS'!B:I,2,0),VLOOKUP(B750,'12.COT.MERCADO'!A:I,2,0)))),"Em Elaboração")</f>
        <v>REGISTRO GAVETA BRUTO EM LATAO FORJADO, BITOLA 2 1/2 " (REF 1509)</v>
      </c>
      <c r="F750" s="258" t="str">
        <f>IFERROR(IF(D750="SINAPI-S",VLOOKUP(B750,'20-B.SINAPI-S'!A:J,3,0),IF(D750="SINAPI-I",VLOOKUP(B750,'20-A.SINAPI-I'!A:G,3,0),IF(D750="COMPOSIÇÕES",VLOOKUP(B750,'11.COMPOSIÇÕES GERAIS'!B:I,3,0),VLOOKUP(B750,'12.COT.MERCADO'!A:I,7,0)))),"Em Elaboração")</f>
        <v>UN</v>
      </c>
      <c r="G750" s="254">
        <v>2.0</v>
      </c>
      <c r="H750" s="259">
        <f>IFERROR(IF(D750="SINAPI-S",VLOOKUP(B750,'20-B.SINAPI-S'!A:J,5,0),IF(D750="SINAPI-I",VLOOKUP(B750,'20-A.SINAPI-I'!A:G,6,0),IF(D750="COMPOSIÇÕES",VLOOKUP(B750,'11.COMPOSIÇÕES GERAIS'!B:I,7,0),0))),"Em Elaboração")</f>
        <v>0</v>
      </c>
      <c r="I750" s="259">
        <f>IFERROR(IF(D750="SINAPI-S",VLOOKUP(B750,'20-B.SINAPI-S'!A:J,6,0),IF(D750="SINAPI-I",VLOOKUP(B750,'20-A.SINAPI-I'!A:G,7,0),IF(D750="COMPOSIÇÕES",VLOOKUP(B750,'11.COMPOSIÇÕES GERAIS'!B:I,8,0),VLOOKUP(B750,'12.COT.MERCADO'!A:I,8,0)))),"Em Elaboração")</f>
        <v>302.13</v>
      </c>
      <c r="J750" s="259">
        <f t="shared" si="137"/>
        <v>0</v>
      </c>
      <c r="K750" s="259">
        <f t="shared" si="138"/>
        <v>353.8953182</v>
      </c>
      <c r="L750" s="259">
        <f t="shared" si="139"/>
        <v>353.8953182</v>
      </c>
      <c r="M750" s="259">
        <f t="shared" si="140"/>
        <v>0</v>
      </c>
      <c r="N750" s="259">
        <f t="shared" si="141"/>
        <v>707.7906364</v>
      </c>
      <c r="O750" s="259">
        <f t="shared" si="142"/>
        <v>707.7906364</v>
      </c>
      <c r="P750" s="260">
        <f t="shared" si="2"/>
        <v>0.0005536863813</v>
      </c>
    </row>
    <row r="751">
      <c r="A751" s="253" t="s">
        <v>904</v>
      </c>
      <c r="B751" s="254">
        <v>6012.0</v>
      </c>
      <c r="C751" s="255" t="str">
        <f t="shared" si="136"/>
        <v>SINAPI</v>
      </c>
      <c r="D751" s="256" t="s">
        <v>286</v>
      </c>
      <c r="E751" s="257" t="str">
        <f>IFERROR(IF(D751="SINAPI-S",VLOOKUP(B751,'20-B.SINAPI-S'!A:J,2,0),IF(D751="SINAPI-I",VLOOKUP(B751,'20-A.SINAPI-I'!A:G,2,0),IF(D751="COMPOSIÇÕES",VLOOKUP(B751,'11.COMPOSIÇÕES GERAIS'!B:I,2,0),VLOOKUP(B751,'12.COT.MERCADO'!A:I,2,0)))),"Em Elaboração")</f>
        <v>REGISTRO GAVETA BRUTO EM LATAO FORJADO, BITOLA 3 " (REF 1509)</v>
      </c>
      <c r="F751" s="258" t="str">
        <f>IFERROR(IF(D751="SINAPI-S",VLOOKUP(B751,'20-B.SINAPI-S'!A:J,3,0),IF(D751="SINAPI-I",VLOOKUP(B751,'20-A.SINAPI-I'!A:G,3,0),IF(D751="COMPOSIÇÕES",VLOOKUP(B751,'11.COMPOSIÇÕES GERAIS'!B:I,3,0),VLOOKUP(B751,'12.COT.MERCADO'!A:I,7,0)))),"Em Elaboração")</f>
        <v>UN</v>
      </c>
      <c r="G751" s="254">
        <v>2.0</v>
      </c>
      <c r="H751" s="259">
        <f>IFERROR(IF(D751="SINAPI-S",VLOOKUP(B751,'20-B.SINAPI-S'!A:J,5,0),IF(D751="SINAPI-I",VLOOKUP(B751,'20-A.SINAPI-I'!A:G,6,0),IF(D751="COMPOSIÇÕES",VLOOKUP(B751,'11.COMPOSIÇÕES GERAIS'!B:I,7,0),0))),"Em Elaboração")</f>
        <v>0</v>
      </c>
      <c r="I751" s="259">
        <f>IFERROR(IF(D751="SINAPI-S",VLOOKUP(B751,'20-B.SINAPI-S'!A:J,6,0),IF(D751="SINAPI-I",VLOOKUP(B751,'20-A.SINAPI-I'!A:G,7,0),IF(D751="COMPOSIÇÕES",VLOOKUP(B751,'11.COMPOSIÇÕES GERAIS'!B:I,8,0),VLOOKUP(B751,'12.COT.MERCADO'!A:I,8,0)))),"Em Elaboração")</f>
        <v>365.78</v>
      </c>
      <c r="J751" s="259">
        <f t="shared" si="137"/>
        <v>0</v>
      </c>
      <c r="K751" s="259">
        <f t="shared" si="138"/>
        <v>428.4507646</v>
      </c>
      <c r="L751" s="259">
        <f t="shared" si="139"/>
        <v>428.4507646</v>
      </c>
      <c r="M751" s="259">
        <f t="shared" si="140"/>
        <v>0</v>
      </c>
      <c r="N751" s="259">
        <f t="shared" si="141"/>
        <v>856.9015291</v>
      </c>
      <c r="O751" s="259">
        <f t="shared" si="142"/>
        <v>856.9015291</v>
      </c>
      <c r="P751" s="260">
        <f t="shared" si="2"/>
        <v>0.0006703319914</v>
      </c>
    </row>
    <row r="752">
      <c r="A752" s="253" t="s">
        <v>905</v>
      </c>
      <c r="B752" s="254">
        <v>6016.0</v>
      </c>
      <c r="C752" s="255" t="str">
        <f t="shared" si="136"/>
        <v>SINAPI</v>
      </c>
      <c r="D752" s="256" t="s">
        <v>286</v>
      </c>
      <c r="E752" s="257" t="str">
        <f>IFERROR(IF(D752="SINAPI-S",VLOOKUP(B752,'20-B.SINAPI-S'!A:J,2,0),IF(D752="SINAPI-I",VLOOKUP(B752,'20-A.SINAPI-I'!A:G,2,0),IF(D752="COMPOSIÇÕES",VLOOKUP(B752,'11.COMPOSIÇÕES GERAIS'!B:I,2,0),VLOOKUP(B752,'12.COT.MERCADO'!A:I,2,0)))),"Em Elaboração")</f>
        <v>REGISTRO GAVETA BRUTO EM LATAO FORJADO, BITOLA 3/4 " (REF 1509)</v>
      </c>
      <c r="F752" s="258" t="str">
        <f>IFERROR(IF(D752="SINAPI-S",VLOOKUP(B752,'20-B.SINAPI-S'!A:J,3,0),IF(D752="SINAPI-I",VLOOKUP(B752,'20-A.SINAPI-I'!A:G,3,0),IF(D752="COMPOSIÇÕES",VLOOKUP(B752,'11.COMPOSIÇÕES GERAIS'!B:I,3,0),VLOOKUP(B752,'12.COT.MERCADO'!A:I,7,0)))),"Em Elaboração")</f>
        <v>UN</v>
      </c>
      <c r="G752" s="254">
        <v>2.0</v>
      </c>
      <c r="H752" s="259">
        <f>IFERROR(IF(D752="SINAPI-S",VLOOKUP(B752,'20-B.SINAPI-S'!A:J,5,0),IF(D752="SINAPI-I",VLOOKUP(B752,'20-A.SINAPI-I'!A:G,6,0),IF(D752="COMPOSIÇÕES",VLOOKUP(B752,'11.COMPOSIÇÕES GERAIS'!B:I,7,0),0))),"Em Elaboração")</f>
        <v>0</v>
      </c>
      <c r="I752" s="259">
        <f>IFERROR(IF(D752="SINAPI-S",VLOOKUP(B752,'20-B.SINAPI-S'!A:J,6,0),IF(D752="SINAPI-I",VLOOKUP(B752,'20-A.SINAPI-I'!A:G,7,0),IF(D752="COMPOSIÇÕES",VLOOKUP(B752,'11.COMPOSIÇÕES GERAIS'!B:I,8,0),VLOOKUP(B752,'12.COT.MERCADO'!A:I,8,0)))),"Em Elaboração")</f>
        <v>38.51</v>
      </c>
      <c r="J752" s="259">
        <f t="shared" si="137"/>
        <v>0</v>
      </c>
      <c r="K752" s="259">
        <f t="shared" si="138"/>
        <v>45.10809487</v>
      </c>
      <c r="L752" s="259">
        <f t="shared" si="139"/>
        <v>45.10809487</v>
      </c>
      <c r="M752" s="259">
        <f t="shared" si="140"/>
        <v>0</v>
      </c>
      <c r="N752" s="259">
        <f t="shared" si="141"/>
        <v>90.21618975</v>
      </c>
      <c r="O752" s="259">
        <f t="shared" si="142"/>
        <v>90.21618975</v>
      </c>
      <c r="P752" s="260">
        <f t="shared" si="2"/>
        <v>0.00007057380116</v>
      </c>
    </row>
    <row r="753">
      <c r="A753" s="253" t="s">
        <v>906</v>
      </c>
      <c r="B753" s="254">
        <v>6027.0</v>
      </c>
      <c r="C753" s="255" t="str">
        <f t="shared" si="136"/>
        <v>SINAPI</v>
      </c>
      <c r="D753" s="256" t="s">
        <v>286</v>
      </c>
      <c r="E753" s="257" t="str">
        <f>IFERROR(IF(D753="SINAPI-S",VLOOKUP(B753,'20-B.SINAPI-S'!A:J,2,0),IF(D753="SINAPI-I",VLOOKUP(B753,'20-A.SINAPI-I'!A:G,2,0),IF(D753="COMPOSIÇÕES",VLOOKUP(B753,'11.COMPOSIÇÕES GERAIS'!B:I,2,0),VLOOKUP(B753,'12.COT.MERCADO'!A:I,2,0)))),"Em Elaboração")</f>
        <v>REGISTRO GAVETA BRUTO EM LATAO FORJADO, BITOLA 4 " (REF 1509)</v>
      </c>
      <c r="F753" s="258" t="str">
        <f>IFERROR(IF(D753="SINAPI-S",VLOOKUP(B753,'20-B.SINAPI-S'!A:J,3,0),IF(D753="SINAPI-I",VLOOKUP(B753,'20-A.SINAPI-I'!A:G,3,0),IF(D753="COMPOSIÇÕES",VLOOKUP(B753,'11.COMPOSIÇÕES GERAIS'!B:I,3,0),VLOOKUP(B753,'12.COT.MERCADO'!A:I,7,0)))),"Em Elaboração")</f>
        <v>UN</v>
      </c>
      <c r="G753" s="254">
        <v>2.0</v>
      </c>
      <c r="H753" s="259">
        <f>IFERROR(IF(D753="SINAPI-S",VLOOKUP(B753,'20-B.SINAPI-S'!A:J,5,0),IF(D753="SINAPI-I",VLOOKUP(B753,'20-A.SINAPI-I'!A:G,6,0),IF(D753="COMPOSIÇÕES",VLOOKUP(B753,'11.COMPOSIÇÕES GERAIS'!B:I,7,0),0))),"Em Elaboração")</f>
        <v>0</v>
      </c>
      <c r="I753" s="259">
        <f>IFERROR(IF(D753="SINAPI-S",VLOOKUP(B753,'20-B.SINAPI-S'!A:J,6,0),IF(D753="SINAPI-I",VLOOKUP(B753,'20-A.SINAPI-I'!A:G,7,0),IF(D753="COMPOSIÇÕES",VLOOKUP(B753,'11.COMPOSIÇÕES GERAIS'!B:I,8,0),VLOOKUP(B753,'12.COT.MERCADO'!A:I,8,0)))),"Em Elaboração")</f>
        <v>762.16</v>
      </c>
      <c r="J753" s="259">
        <f t="shared" si="137"/>
        <v>0</v>
      </c>
      <c r="K753" s="259">
        <f t="shared" si="138"/>
        <v>892.7443674</v>
      </c>
      <c r="L753" s="259">
        <f t="shared" si="139"/>
        <v>892.7443674</v>
      </c>
      <c r="M753" s="259">
        <f t="shared" si="140"/>
        <v>0</v>
      </c>
      <c r="N753" s="259">
        <f t="shared" si="141"/>
        <v>1785.488735</v>
      </c>
      <c r="O753" s="259">
        <f t="shared" si="142"/>
        <v>1785.488735</v>
      </c>
      <c r="P753" s="260">
        <f t="shared" si="2"/>
        <v>0.001396741841</v>
      </c>
    </row>
    <row r="754">
      <c r="A754" s="253" t="s">
        <v>907</v>
      </c>
      <c r="B754" s="254">
        <v>6020.0</v>
      </c>
      <c r="C754" s="255" t="str">
        <f t="shared" si="136"/>
        <v>SINAPI</v>
      </c>
      <c r="D754" s="256" t="s">
        <v>286</v>
      </c>
      <c r="E754" s="257" t="str">
        <f>IFERROR(IF(D754="SINAPI-S",VLOOKUP(B754,'20-B.SINAPI-S'!A:J,2,0),IF(D754="SINAPI-I",VLOOKUP(B754,'20-A.SINAPI-I'!A:G,2,0),IF(D754="COMPOSIÇÕES",VLOOKUP(B754,'11.COMPOSIÇÕES GERAIS'!B:I,2,0),VLOOKUP(B754,'12.COT.MERCADO'!A:I,2,0)))),"Em Elaboração")</f>
        <v>REGISTRO GAVETA BRUTO EM LATAO FORJADO, BITOLA 1/2 " (REF 1509)</v>
      </c>
      <c r="F754" s="258" t="str">
        <f>IFERROR(IF(D754="SINAPI-S",VLOOKUP(B754,'20-B.SINAPI-S'!A:J,3,0),IF(D754="SINAPI-I",VLOOKUP(B754,'20-A.SINAPI-I'!A:G,3,0),IF(D754="COMPOSIÇÕES",VLOOKUP(B754,'11.COMPOSIÇÕES GERAIS'!B:I,3,0),VLOOKUP(B754,'12.COT.MERCADO'!A:I,7,0)))),"Em Elaboração")</f>
        <v>UN</v>
      </c>
      <c r="G754" s="254">
        <v>2.0</v>
      </c>
      <c r="H754" s="259">
        <f>IFERROR(IF(D754="SINAPI-S",VLOOKUP(B754,'20-B.SINAPI-S'!A:J,5,0),IF(D754="SINAPI-I",VLOOKUP(B754,'20-A.SINAPI-I'!A:G,6,0),IF(D754="COMPOSIÇÕES",VLOOKUP(B754,'11.COMPOSIÇÕES GERAIS'!B:I,7,0),0))),"Em Elaboração")</f>
        <v>0</v>
      </c>
      <c r="I754" s="259">
        <f>IFERROR(IF(D754="SINAPI-S",VLOOKUP(B754,'20-B.SINAPI-S'!A:J,6,0),IF(D754="SINAPI-I",VLOOKUP(B754,'20-A.SINAPI-I'!A:G,7,0),IF(D754="COMPOSIÇÕES",VLOOKUP(B754,'11.COMPOSIÇÕES GERAIS'!B:I,8,0),VLOOKUP(B754,'12.COT.MERCADO'!A:I,8,0)))),"Em Elaboração")</f>
        <v>36.51</v>
      </c>
      <c r="J754" s="259">
        <f t="shared" si="137"/>
        <v>0</v>
      </c>
      <c r="K754" s="259">
        <f t="shared" si="138"/>
        <v>42.7654257</v>
      </c>
      <c r="L754" s="259">
        <f t="shared" si="139"/>
        <v>42.7654257</v>
      </c>
      <c r="M754" s="259">
        <f t="shared" si="140"/>
        <v>0</v>
      </c>
      <c r="N754" s="259">
        <f t="shared" si="141"/>
        <v>85.53085141</v>
      </c>
      <c r="O754" s="259">
        <f t="shared" si="142"/>
        <v>85.53085141</v>
      </c>
      <c r="P754" s="260">
        <f t="shared" si="2"/>
        <v>0.00006690858168</v>
      </c>
    </row>
    <row r="755">
      <c r="A755" s="253" t="s">
        <v>908</v>
      </c>
      <c r="B755" s="254">
        <v>11678.0</v>
      </c>
      <c r="C755" s="255" t="str">
        <f t="shared" si="136"/>
        <v>SINAPI</v>
      </c>
      <c r="D755" s="256" t="s">
        <v>286</v>
      </c>
      <c r="E755" s="257" t="str">
        <f>IFERROR(IF(D755="SINAPI-S",VLOOKUP(B755,'20-B.SINAPI-S'!A:J,2,0),IF(D755="SINAPI-I",VLOOKUP(B755,'20-A.SINAPI-I'!A:G,2,0),IF(D755="COMPOSIÇÕES",VLOOKUP(B755,'11.COMPOSIÇÕES GERAIS'!B:I,2,0),VLOOKUP(B755,'12.COT.MERCADO'!A:I,2,0)))),"Em Elaboração")</f>
        <v>REGISTRO DE ESFERA, PVC, COM VOLANTE, VS, SOLDAVEL, DN 60 MM, COM CORPO DIVIDIDO</v>
      </c>
      <c r="F755" s="258" t="str">
        <f>IFERROR(IF(D755="SINAPI-S",VLOOKUP(B755,'20-B.SINAPI-S'!A:J,3,0),IF(D755="SINAPI-I",VLOOKUP(B755,'20-A.SINAPI-I'!A:G,3,0),IF(D755="COMPOSIÇÕES",VLOOKUP(B755,'11.COMPOSIÇÕES GERAIS'!B:I,3,0),VLOOKUP(B755,'12.COT.MERCADO'!A:I,7,0)))),"Em Elaboração")</f>
        <v>UN</v>
      </c>
      <c r="G755" s="254">
        <v>2.0</v>
      </c>
      <c r="H755" s="259">
        <f>IFERROR(IF(D755="SINAPI-S",VLOOKUP(B755,'20-B.SINAPI-S'!A:J,5,0),IF(D755="SINAPI-I",VLOOKUP(B755,'20-A.SINAPI-I'!A:G,6,0),IF(D755="COMPOSIÇÕES",VLOOKUP(B755,'11.COMPOSIÇÕES GERAIS'!B:I,7,0),0))),"Em Elaboração")</f>
        <v>0</v>
      </c>
      <c r="I755" s="259">
        <f>IFERROR(IF(D755="SINAPI-S",VLOOKUP(B755,'20-B.SINAPI-S'!A:J,6,0),IF(D755="SINAPI-I",VLOOKUP(B755,'20-A.SINAPI-I'!A:G,7,0),IF(D755="COMPOSIÇÕES",VLOOKUP(B755,'11.COMPOSIÇÕES GERAIS'!B:I,8,0),VLOOKUP(B755,'12.COT.MERCADO'!A:I,8,0)))),"Em Elaboração")</f>
        <v>107.8</v>
      </c>
      <c r="J755" s="259">
        <f t="shared" si="137"/>
        <v>0</v>
      </c>
      <c r="K755" s="259">
        <f t="shared" si="138"/>
        <v>126.2698683</v>
      </c>
      <c r="L755" s="259">
        <f t="shared" si="139"/>
        <v>126.2698683</v>
      </c>
      <c r="M755" s="259">
        <f t="shared" si="140"/>
        <v>0</v>
      </c>
      <c r="N755" s="259">
        <f t="shared" si="141"/>
        <v>252.5397366</v>
      </c>
      <c r="O755" s="259">
        <f t="shared" si="142"/>
        <v>252.5397366</v>
      </c>
      <c r="P755" s="260">
        <f t="shared" si="2"/>
        <v>0.0001975553302</v>
      </c>
    </row>
    <row r="756">
      <c r="A756" s="253" t="s">
        <v>909</v>
      </c>
      <c r="B756" s="254">
        <v>6021.0</v>
      </c>
      <c r="C756" s="255" t="str">
        <f t="shared" si="136"/>
        <v>SINAPI</v>
      </c>
      <c r="D756" s="256" t="s">
        <v>286</v>
      </c>
      <c r="E756" s="257" t="str">
        <f>IFERROR(IF(D756="SINAPI-S",VLOOKUP(B756,'20-B.SINAPI-S'!A:J,2,0),IF(D756="SINAPI-I",VLOOKUP(B756,'20-A.SINAPI-I'!A:G,2,0),IF(D756="COMPOSIÇÕES",VLOOKUP(B756,'11.COMPOSIÇÕES GERAIS'!B:I,2,0),VLOOKUP(B756,'12.COT.MERCADO'!A:I,2,0)))),"Em Elaboração")</f>
        <v>REGISTRO PRESSAO COM ACABAMENTO E CANOPLA CROMADA, SIMPLES, BITOLA 1/2 " (REF 1416)</v>
      </c>
      <c r="F756" s="258" t="str">
        <f>IFERROR(IF(D756="SINAPI-S",VLOOKUP(B756,'20-B.SINAPI-S'!A:J,3,0),IF(D756="SINAPI-I",VLOOKUP(B756,'20-A.SINAPI-I'!A:G,3,0),IF(D756="COMPOSIÇÕES",VLOOKUP(B756,'11.COMPOSIÇÕES GERAIS'!B:I,3,0),VLOOKUP(B756,'12.COT.MERCADO'!A:I,7,0)))),"Em Elaboração")</f>
        <v>UN</v>
      </c>
      <c r="G756" s="254">
        <v>2.0</v>
      </c>
      <c r="H756" s="259">
        <f>IFERROR(IF(D756="SINAPI-S",VLOOKUP(B756,'20-B.SINAPI-S'!A:J,5,0),IF(D756="SINAPI-I",VLOOKUP(B756,'20-A.SINAPI-I'!A:G,6,0),IF(D756="COMPOSIÇÕES",VLOOKUP(B756,'11.COMPOSIÇÕES GERAIS'!B:I,7,0),0))),"Em Elaboração")</f>
        <v>0</v>
      </c>
      <c r="I756" s="259">
        <f>IFERROR(IF(D756="SINAPI-S",VLOOKUP(B756,'20-B.SINAPI-S'!A:J,6,0),IF(D756="SINAPI-I",VLOOKUP(B756,'20-A.SINAPI-I'!A:G,7,0),IF(D756="COMPOSIÇÕES",VLOOKUP(B756,'11.COMPOSIÇÕES GERAIS'!B:I,8,0),VLOOKUP(B756,'12.COT.MERCADO'!A:I,8,0)))),"Em Elaboração")</f>
        <v>85.72</v>
      </c>
      <c r="J756" s="259">
        <f t="shared" si="137"/>
        <v>0</v>
      </c>
      <c r="K756" s="259">
        <f t="shared" si="138"/>
        <v>100.4068006</v>
      </c>
      <c r="L756" s="259">
        <f t="shared" si="139"/>
        <v>100.4068006</v>
      </c>
      <c r="M756" s="259">
        <f t="shared" si="140"/>
        <v>0</v>
      </c>
      <c r="N756" s="259">
        <f t="shared" si="141"/>
        <v>200.8136013</v>
      </c>
      <c r="O756" s="259">
        <f t="shared" si="142"/>
        <v>200.8136013</v>
      </c>
      <c r="P756" s="260">
        <f t="shared" si="2"/>
        <v>0.0001570913071</v>
      </c>
    </row>
    <row r="757">
      <c r="A757" s="253" t="s">
        <v>910</v>
      </c>
      <c r="B757" s="254">
        <v>6024.0</v>
      </c>
      <c r="C757" s="255" t="str">
        <f t="shared" si="136"/>
        <v>SINAPI</v>
      </c>
      <c r="D757" s="256" t="s">
        <v>286</v>
      </c>
      <c r="E757" s="257" t="str">
        <f>IFERROR(IF(D757="SINAPI-S",VLOOKUP(B757,'20-B.SINAPI-S'!A:J,2,0),IF(D757="SINAPI-I",VLOOKUP(B757,'20-A.SINAPI-I'!A:G,2,0),IF(D757="COMPOSIÇÕES",VLOOKUP(B757,'11.COMPOSIÇÕES GERAIS'!B:I,2,0),VLOOKUP(B757,'12.COT.MERCADO'!A:I,2,0)))),"Em Elaboração")</f>
        <v>REGISTRO PRESSAO COM ACABAMENTO E CANOPLA CROMADA, SIMPLES, BITOLA 3/4 " (REF 1416)</v>
      </c>
      <c r="F757" s="258" t="str">
        <f>IFERROR(IF(D757="SINAPI-S",VLOOKUP(B757,'20-B.SINAPI-S'!A:J,3,0),IF(D757="SINAPI-I",VLOOKUP(B757,'20-A.SINAPI-I'!A:G,3,0),IF(D757="COMPOSIÇÕES",VLOOKUP(B757,'11.COMPOSIÇÕES GERAIS'!B:I,3,0),VLOOKUP(B757,'12.COT.MERCADO'!A:I,7,0)))),"Em Elaboração")</f>
        <v>UN</v>
      </c>
      <c r="G757" s="254">
        <v>2.0</v>
      </c>
      <c r="H757" s="259">
        <f>IFERROR(IF(D757="SINAPI-S",VLOOKUP(B757,'20-B.SINAPI-S'!A:J,5,0),IF(D757="SINAPI-I",VLOOKUP(B757,'20-A.SINAPI-I'!A:G,6,0),IF(D757="COMPOSIÇÕES",VLOOKUP(B757,'11.COMPOSIÇÕES GERAIS'!B:I,7,0),0))),"Em Elaboração")</f>
        <v>0</v>
      </c>
      <c r="I757" s="259">
        <f>IFERROR(IF(D757="SINAPI-S",VLOOKUP(B757,'20-B.SINAPI-S'!A:J,6,0),IF(D757="SINAPI-I",VLOOKUP(B757,'20-A.SINAPI-I'!A:G,7,0),IF(D757="COMPOSIÇÕES",VLOOKUP(B757,'11.COMPOSIÇÕES GERAIS'!B:I,8,0),VLOOKUP(B757,'12.COT.MERCADO'!A:I,8,0)))),"Em Elaboração")</f>
        <v>88.61</v>
      </c>
      <c r="J757" s="259">
        <f t="shared" si="137"/>
        <v>0</v>
      </c>
      <c r="K757" s="259">
        <f t="shared" si="138"/>
        <v>103.7919576</v>
      </c>
      <c r="L757" s="259">
        <f t="shared" si="139"/>
        <v>103.7919576</v>
      </c>
      <c r="M757" s="259">
        <f t="shared" si="140"/>
        <v>0</v>
      </c>
      <c r="N757" s="259">
        <f t="shared" si="141"/>
        <v>207.5839152</v>
      </c>
      <c r="O757" s="259">
        <f t="shared" si="142"/>
        <v>207.5839152</v>
      </c>
      <c r="P757" s="260">
        <f t="shared" si="2"/>
        <v>0.0001623875492</v>
      </c>
    </row>
    <row r="758">
      <c r="A758" s="253" t="s">
        <v>911</v>
      </c>
      <c r="B758" s="254">
        <v>10904.0</v>
      </c>
      <c r="C758" s="255" t="str">
        <f t="shared" si="136"/>
        <v>SINAPI</v>
      </c>
      <c r="D758" s="256" t="s">
        <v>286</v>
      </c>
      <c r="E758" s="257" t="str">
        <f>IFERROR(IF(D758="SINAPI-S",VLOOKUP(B758,'20-B.SINAPI-S'!A:J,2,0),IF(D758="SINAPI-I",VLOOKUP(B758,'20-A.SINAPI-I'!A:G,2,0),IF(D758="COMPOSIÇÕES",VLOOKUP(B758,'11.COMPOSIÇÕES GERAIS'!B:I,2,0),VLOOKUP(B758,'12.COT.MERCADO'!A:I,2,0)))),"Em Elaboração")</f>
        <v>REGISTRO OU VALVULA GLOBO ANGULAR EM LATAO, PARA HIDRANTES EM INSTALACAO PREDIAL DE INCENDIO, 45 GRAUS, DIAMETRO DE 2 1/2", COM VOLANTE, CLASSE DE PRESSAO DE ATE 200 PSI</v>
      </c>
      <c r="F758" s="258" t="str">
        <f>IFERROR(IF(D758="SINAPI-S",VLOOKUP(B758,'20-B.SINAPI-S'!A:J,3,0),IF(D758="SINAPI-I",VLOOKUP(B758,'20-A.SINAPI-I'!A:G,3,0),IF(D758="COMPOSIÇÕES",VLOOKUP(B758,'11.COMPOSIÇÕES GERAIS'!B:I,3,0),VLOOKUP(B758,'12.COT.MERCADO'!A:I,7,0)))),"Em Elaboração")</f>
        <v>UN</v>
      </c>
      <c r="G758" s="254">
        <v>2.0</v>
      </c>
      <c r="H758" s="259">
        <f>IFERROR(IF(D758="SINAPI-S",VLOOKUP(B758,'20-B.SINAPI-S'!A:J,5,0),IF(D758="SINAPI-I",VLOOKUP(B758,'20-A.SINAPI-I'!A:G,6,0),IF(D758="COMPOSIÇÕES",VLOOKUP(B758,'11.COMPOSIÇÕES GERAIS'!B:I,7,0),0))),"Em Elaboração")</f>
        <v>0</v>
      </c>
      <c r="I758" s="259">
        <f>IFERROR(IF(D758="SINAPI-S",VLOOKUP(B758,'20-B.SINAPI-S'!A:J,6,0),IF(D758="SINAPI-I",VLOOKUP(B758,'20-A.SINAPI-I'!A:G,7,0),IF(D758="COMPOSIÇÕES",VLOOKUP(B758,'11.COMPOSIÇÕES GERAIS'!B:I,8,0),VLOOKUP(B758,'12.COT.MERCADO'!A:I,8,0)))),"Em Elaboração")</f>
        <v>255</v>
      </c>
      <c r="J758" s="259">
        <f t="shared" si="137"/>
        <v>0</v>
      </c>
      <c r="K758" s="259">
        <f t="shared" si="138"/>
        <v>298.6903192</v>
      </c>
      <c r="L758" s="259">
        <f t="shared" si="139"/>
        <v>298.6903192</v>
      </c>
      <c r="M758" s="259">
        <f t="shared" si="140"/>
        <v>0</v>
      </c>
      <c r="N758" s="259">
        <f t="shared" si="141"/>
        <v>597.3806384</v>
      </c>
      <c r="O758" s="259">
        <f t="shared" si="142"/>
        <v>597.3806384</v>
      </c>
      <c r="P758" s="260">
        <f t="shared" si="2"/>
        <v>0.0004673154842</v>
      </c>
    </row>
    <row r="759">
      <c r="A759" s="253" t="s">
        <v>912</v>
      </c>
      <c r="B759" s="254">
        <v>38390.0</v>
      </c>
      <c r="C759" s="255" t="str">
        <f t="shared" si="136"/>
        <v>SINAPI</v>
      </c>
      <c r="D759" s="256" t="s">
        <v>286</v>
      </c>
      <c r="E759" s="257" t="str">
        <f>IFERROR(IF(D759="SINAPI-S",VLOOKUP(B759,'20-B.SINAPI-S'!A:J,2,0),IF(D759="SINAPI-I",VLOOKUP(B759,'20-A.SINAPI-I'!A:G,2,0),IF(D759="COMPOSIÇÕES",VLOOKUP(B759,'11.COMPOSIÇÕES GERAIS'!B:I,2,0),VLOOKUP(B759,'12.COT.MERCADO'!A:I,2,0)))),"Em Elaboração")</f>
        <v>ROLO DE LA DE CARNEIRO 23 CM (SEM CABO)</v>
      </c>
      <c r="F759" s="258" t="str">
        <f>IFERROR(IF(D759="SINAPI-S",VLOOKUP(B759,'20-B.SINAPI-S'!A:J,3,0),IF(D759="SINAPI-I",VLOOKUP(B759,'20-A.SINAPI-I'!A:G,3,0),IF(D759="COMPOSIÇÕES",VLOOKUP(B759,'11.COMPOSIÇÕES GERAIS'!B:I,3,0),VLOOKUP(B759,'12.COT.MERCADO'!A:I,7,0)))),"Em Elaboração")</f>
        <v>UN</v>
      </c>
      <c r="G759" s="254">
        <v>8.0</v>
      </c>
      <c r="H759" s="259">
        <f>IFERROR(IF(D759="SINAPI-S",VLOOKUP(B759,'20-B.SINAPI-S'!A:J,5,0),IF(D759="SINAPI-I",VLOOKUP(B759,'20-A.SINAPI-I'!A:G,6,0),IF(D759="COMPOSIÇÕES",VLOOKUP(B759,'11.COMPOSIÇÕES GERAIS'!B:I,7,0),0))),"Em Elaboração")</f>
        <v>0</v>
      </c>
      <c r="I759" s="259">
        <f>IFERROR(IF(D759="SINAPI-S",VLOOKUP(B759,'20-B.SINAPI-S'!A:J,6,0),IF(D759="SINAPI-I",VLOOKUP(B759,'20-A.SINAPI-I'!A:G,7,0),IF(D759="COMPOSIÇÕES",VLOOKUP(B759,'11.COMPOSIÇÕES GERAIS'!B:I,8,0),VLOOKUP(B759,'12.COT.MERCADO'!A:I,8,0)))),"Em Elaboração")</f>
        <v>34.27</v>
      </c>
      <c r="J759" s="259">
        <f t="shared" si="137"/>
        <v>0</v>
      </c>
      <c r="K759" s="259">
        <f t="shared" si="138"/>
        <v>40.14163623</v>
      </c>
      <c r="L759" s="259">
        <f t="shared" si="139"/>
        <v>40.14163623</v>
      </c>
      <c r="M759" s="259">
        <f t="shared" si="140"/>
        <v>0</v>
      </c>
      <c r="N759" s="259">
        <f t="shared" si="141"/>
        <v>321.1330899</v>
      </c>
      <c r="O759" s="259">
        <f t="shared" si="142"/>
        <v>321.1330899</v>
      </c>
      <c r="P759" s="260">
        <f t="shared" si="2"/>
        <v>0.0002512141434</v>
      </c>
    </row>
    <row r="760">
      <c r="A760" s="253" t="s">
        <v>913</v>
      </c>
      <c r="B760" s="254">
        <v>6150.0</v>
      </c>
      <c r="C760" s="255" t="str">
        <f t="shared" si="136"/>
        <v>SINAPI</v>
      </c>
      <c r="D760" s="256" t="s">
        <v>286</v>
      </c>
      <c r="E760" s="257" t="str">
        <f>IFERROR(IF(D760="SINAPI-S",VLOOKUP(B760,'20-B.SINAPI-S'!A:J,2,0),IF(D760="SINAPI-I",VLOOKUP(B760,'20-A.SINAPI-I'!A:G,2,0),IF(D760="COMPOSIÇÕES",VLOOKUP(B760,'11.COMPOSIÇÕES GERAIS'!B:I,2,0),VLOOKUP(B760,'12.COT.MERCADO'!A:I,2,0)))),"Em Elaboração")</f>
        <v>SIFAO EM METAL CROMADO PARA PIA AMERICANA, 1.1/2 X 2 "</v>
      </c>
      <c r="F760" s="258" t="str">
        <f>IFERROR(IF(D760="SINAPI-S",VLOOKUP(B760,'20-B.SINAPI-S'!A:J,3,0),IF(D760="SINAPI-I",VLOOKUP(B760,'20-A.SINAPI-I'!A:G,3,0),IF(D760="COMPOSIÇÕES",VLOOKUP(B760,'11.COMPOSIÇÕES GERAIS'!B:I,3,0),VLOOKUP(B760,'12.COT.MERCADO'!A:I,7,0)))),"Em Elaboração")</f>
        <v>UN</v>
      </c>
      <c r="G760" s="254">
        <v>1.0</v>
      </c>
      <c r="H760" s="259">
        <f>IFERROR(IF(D760="SINAPI-S",VLOOKUP(B760,'20-B.SINAPI-S'!A:J,5,0),IF(D760="SINAPI-I",VLOOKUP(B760,'20-A.SINAPI-I'!A:G,6,0),IF(D760="COMPOSIÇÕES",VLOOKUP(B760,'11.COMPOSIÇÕES GERAIS'!B:I,7,0),0))),"Em Elaboração")</f>
        <v>0</v>
      </c>
      <c r="I760" s="259">
        <f>IFERROR(IF(D760="SINAPI-S",VLOOKUP(B760,'20-B.SINAPI-S'!A:J,6,0),IF(D760="SINAPI-I",VLOOKUP(B760,'20-A.SINAPI-I'!A:G,7,0),IF(D760="COMPOSIÇÕES",VLOOKUP(B760,'11.COMPOSIÇÕES GERAIS'!B:I,8,0),VLOOKUP(B760,'12.COT.MERCADO'!A:I,8,0)))),"Em Elaboração")</f>
        <v>346.67</v>
      </c>
      <c r="J760" s="259">
        <f t="shared" si="137"/>
        <v>0</v>
      </c>
      <c r="K760" s="259">
        <f t="shared" si="138"/>
        <v>406.0665606</v>
      </c>
      <c r="L760" s="259">
        <f t="shared" si="139"/>
        <v>406.0665606</v>
      </c>
      <c r="M760" s="259">
        <f t="shared" si="140"/>
        <v>0</v>
      </c>
      <c r="N760" s="259">
        <f t="shared" si="141"/>
        <v>406.0665606</v>
      </c>
      <c r="O760" s="259">
        <f t="shared" si="142"/>
        <v>406.0665606</v>
      </c>
      <c r="P760" s="260">
        <f t="shared" si="2"/>
        <v>0.0003176554096</v>
      </c>
    </row>
    <row r="761">
      <c r="A761" s="253" t="s">
        <v>914</v>
      </c>
      <c r="B761" s="254">
        <v>6145.0</v>
      </c>
      <c r="C761" s="255" t="str">
        <f t="shared" si="136"/>
        <v>SINAPI</v>
      </c>
      <c r="D761" s="256" t="s">
        <v>286</v>
      </c>
      <c r="E761" s="257" t="str">
        <f>IFERROR(IF(D761="SINAPI-S",VLOOKUP(B761,'20-B.SINAPI-S'!A:J,2,0),IF(D761="SINAPI-I",VLOOKUP(B761,'20-A.SINAPI-I'!A:G,2,0),IF(D761="COMPOSIÇÕES",VLOOKUP(B761,'11.COMPOSIÇÕES GERAIS'!B:I,2,0),VLOOKUP(B761,'12.COT.MERCADO'!A:I,2,0)))),"Em Elaboração")</f>
        <v>SIFAO PLASTICO TIPO COPO PARA PIA AMERICANA 1.1/2 X 1.1/2 "</v>
      </c>
      <c r="F761" s="258" t="str">
        <f>IFERROR(IF(D761="SINAPI-S",VLOOKUP(B761,'20-B.SINAPI-S'!A:J,3,0),IF(D761="SINAPI-I",VLOOKUP(B761,'20-A.SINAPI-I'!A:G,3,0),IF(D761="COMPOSIÇÕES",VLOOKUP(B761,'11.COMPOSIÇÕES GERAIS'!B:I,3,0),VLOOKUP(B761,'12.COT.MERCADO'!A:I,7,0)))),"Em Elaboração")</f>
        <v>UN</v>
      </c>
      <c r="G761" s="254">
        <v>6.0</v>
      </c>
      <c r="H761" s="259">
        <f>IFERROR(IF(D761="SINAPI-S",VLOOKUP(B761,'20-B.SINAPI-S'!A:J,5,0),IF(D761="SINAPI-I",VLOOKUP(B761,'20-A.SINAPI-I'!A:G,6,0),IF(D761="COMPOSIÇÕES",VLOOKUP(B761,'11.COMPOSIÇÕES GERAIS'!B:I,7,0),0))),"Em Elaboração")</f>
        <v>0</v>
      </c>
      <c r="I761" s="259">
        <f>IFERROR(IF(D761="SINAPI-S",VLOOKUP(B761,'20-B.SINAPI-S'!A:J,6,0),IF(D761="SINAPI-I",VLOOKUP(B761,'20-A.SINAPI-I'!A:G,7,0),IF(D761="COMPOSIÇÕES",VLOOKUP(B761,'11.COMPOSIÇÕES GERAIS'!B:I,8,0),VLOOKUP(B761,'12.COT.MERCADO'!A:I,8,0)))),"Em Elaboração")</f>
        <v>19.2</v>
      </c>
      <c r="J761" s="259">
        <f t="shared" si="137"/>
        <v>0</v>
      </c>
      <c r="K761" s="259">
        <f t="shared" si="138"/>
        <v>22.48962403</v>
      </c>
      <c r="L761" s="259">
        <f t="shared" si="139"/>
        <v>22.48962403</v>
      </c>
      <c r="M761" s="259">
        <f t="shared" si="140"/>
        <v>0</v>
      </c>
      <c r="N761" s="259">
        <f t="shared" si="141"/>
        <v>134.9377442</v>
      </c>
      <c r="O761" s="259">
        <f t="shared" si="142"/>
        <v>134.9377442</v>
      </c>
      <c r="P761" s="260">
        <f t="shared" si="2"/>
        <v>0.0001055583211</v>
      </c>
    </row>
    <row r="762">
      <c r="A762" s="253" t="s">
        <v>915</v>
      </c>
      <c r="B762" s="254">
        <v>20262.0</v>
      </c>
      <c r="C762" s="255" t="str">
        <f t="shared" si="136"/>
        <v>SINAPI</v>
      </c>
      <c r="D762" s="256" t="s">
        <v>286</v>
      </c>
      <c r="E762" s="257" t="str">
        <f>IFERROR(IF(D762="SINAPI-S",VLOOKUP(B762,'20-B.SINAPI-S'!A:J,2,0),IF(D762="SINAPI-I",VLOOKUP(B762,'20-A.SINAPI-I'!A:G,2,0),IF(D762="COMPOSIÇÕES",VLOOKUP(B762,'11.COMPOSIÇÕES GERAIS'!B:I,2,0),VLOOKUP(B762,'12.COT.MERCADO'!A:I,2,0)))),"Em Elaboração")</f>
        <v>SIFAO PLASTICO EXTENSIVEL UNIVERSAL, TIPO COPO</v>
      </c>
      <c r="F762" s="258" t="str">
        <f>IFERROR(IF(D762="SINAPI-S",VLOOKUP(B762,'20-B.SINAPI-S'!A:J,3,0),IF(D762="SINAPI-I",VLOOKUP(B762,'20-A.SINAPI-I'!A:G,3,0),IF(D762="COMPOSIÇÕES",VLOOKUP(B762,'11.COMPOSIÇÕES GERAIS'!B:I,3,0),VLOOKUP(B762,'12.COT.MERCADO'!A:I,7,0)))),"Em Elaboração")</f>
        <v>UN</v>
      </c>
      <c r="G762" s="254">
        <v>6.0</v>
      </c>
      <c r="H762" s="259">
        <f>IFERROR(IF(D762="SINAPI-S",VLOOKUP(B762,'20-B.SINAPI-S'!A:J,5,0),IF(D762="SINAPI-I",VLOOKUP(B762,'20-A.SINAPI-I'!A:G,6,0),IF(D762="COMPOSIÇÕES",VLOOKUP(B762,'11.COMPOSIÇÕES GERAIS'!B:I,7,0),0))),"Em Elaboração")</f>
        <v>0</v>
      </c>
      <c r="I762" s="259">
        <f>IFERROR(IF(D762="SINAPI-S",VLOOKUP(B762,'20-B.SINAPI-S'!A:J,6,0),IF(D762="SINAPI-I",VLOOKUP(B762,'20-A.SINAPI-I'!A:G,7,0),IF(D762="COMPOSIÇÕES",VLOOKUP(B762,'11.COMPOSIÇÕES GERAIS'!B:I,8,0),VLOOKUP(B762,'12.COT.MERCADO'!A:I,8,0)))),"Em Elaboração")</f>
        <v>17.38</v>
      </c>
      <c r="J762" s="259">
        <f t="shared" si="137"/>
        <v>0</v>
      </c>
      <c r="K762" s="259">
        <f t="shared" si="138"/>
        <v>20.35779509</v>
      </c>
      <c r="L762" s="259">
        <f t="shared" si="139"/>
        <v>20.35779509</v>
      </c>
      <c r="M762" s="259">
        <f t="shared" si="140"/>
        <v>0</v>
      </c>
      <c r="N762" s="259">
        <f t="shared" si="141"/>
        <v>122.1467705</v>
      </c>
      <c r="O762" s="259">
        <f t="shared" si="142"/>
        <v>122.1467705</v>
      </c>
      <c r="P762" s="260">
        <f t="shared" si="2"/>
        <v>0.00009555227194</v>
      </c>
    </row>
    <row r="763">
      <c r="A763" s="253" t="s">
        <v>916</v>
      </c>
      <c r="B763" s="254">
        <v>7105.0</v>
      </c>
      <c r="C763" s="255" t="str">
        <f t="shared" si="136"/>
        <v>SINAPI</v>
      </c>
      <c r="D763" s="256" t="s">
        <v>286</v>
      </c>
      <c r="E763" s="257" t="str">
        <f>IFERROR(IF(D763="SINAPI-S",VLOOKUP(B763,'20-B.SINAPI-S'!A:J,2,0),IF(D763="SINAPI-I",VLOOKUP(B763,'20-A.SINAPI-I'!A:G,2,0),IF(D763="COMPOSIÇÕES",VLOOKUP(B763,'11.COMPOSIÇÕES GERAIS'!B:I,2,0),VLOOKUP(B763,'12.COT.MERCADO'!A:I,2,0)))),"Em Elaboração")</f>
        <v>TE DE INSPECAO, PVC,  100 X 75 MM, SERIE NORMAL PARA ESGOTO PREDIAL</v>
      </c>
      <c r="F763" s="258" t="str">
        <f>IFERROR(IF(D763="SINAPI-S",VLOOKUP(B763,'20-B.SINAPI-S'!A:J,3,0),IF(D763="SINAPI-I",VLOOKUP(B763,'20-A.SINAPI-I'!A:G,3,0),IF(D763="COMPOSIÇÕES",VLOOKUP(B763,'11.COMPOSIÇÕES GERAIS'!B:I,3,0),VLOOKUP(B763,'12.COT.MERCADO'!A:I,7,0)))),"Em Elaboração")</f>
        <v>UN</v>
      </c>
      <c r="G763" s="254">
        <v>1.0</v>
      </c>
      <c r="H763" s="259">
        <f>IFERROR(IF(D763="SINAPI-S",VLOOKUP(B763,'20-B.SINAPI-S'!A:J,5,0),IF(D763="SINAPI-I",VLOOKUP(B763,'20-A.SINAPI-I'!A:G,6,0),IF(D763="COMPOSIÇÕES",VLOOKUP(B763,'11.COMPOSIÇÕES GERAIS'!B:I,7,0),0))),"Em Elaboração")</f>
        <v>0</v>
      </c>
      <c r="I763" s="259">
        <f>IFERROR(IF(D763="SINAPI-S",VLOOKUP(B763,'20-B.SINAPI-S'!A:J,6,0),IF(D763="SINAPI-I",VLOOKUP(B763,'20-A.SINAPI-I'!A:G,7,0),IF(D763="COMPOSIÇÕES",VLOOKUP(B763,'11.COMPOSIÇÕES GERAIS'!B:I,8,0),VLOOKUP(B763,'12.COT.MERCADO'!A:I,8,0)))),"Em Elaboração")</f>
        <v>46.81</v>
      </c>
      <c r="J763" s="259">
        <f t="shared" si="137"/>
        <v>0</v>
      </c>
      <c r="K763" s="259">
        <f t="shared" si="138"/>
        <v>54.83017193</v>
      </c>
      <c r="L763" s="259">
        <f t="shared" si="139"/>
        <v>54.83017193</v>
      </c>
      <c r="M763" s="259">
        <f t="shared" si="140"/>
        <v>0</v>
      </c>
      <c r="N763" s="259">
        <f t="shared" si="141"/>
        <v>54.83017193</v>
      </c>
      <c r="O763" s="259">
        <f t="shared" si="142"/>
        <v>54.83017193</v>
      </c>
      <c r="P763" s="260">
        <f t="shared" si="2"/>
        <v>0.00004289223101</v>
      </c>
    </row>
    <row r="764">
      <c r="A764" s="253" t="s">
        <v>917</v>
      </c>
      <c r="B764" s="254">
        <v>7136.0</v>
      </c>
      <c r="C764" s="255" t="str">
        <f t="shared" si="136"/>
        <v>SINAPI</v>
      </c>
      <c r="D764" s="256" t="s">
        <v>286</v>
      </c>
      <c r="E764" s="257" t="str">
        <f>IFERROR(IF(D764="SINAPI-S",VLOOKUP(B764,'20-B.SINAPI-S'!A:J,2,0),IF(D764="SINAPI-I",VLOOKUP(B764,'20-A.SINAPI-I'!A:G,2,0),IF(D764="COMPOSIÇÕES",VLOOKUP(B764,'11.COMPOSIÇÕES GERAIS'!B:I,2,0),VLOOKUP(B764,'12.COT.MERCADO'!A:I,2,0)))),"Em Elaboração")</f>
        <v>TE DE REDUCAO, PVC, SOLDAVEL, 90 GRAUS, 32 MM X 25 MM, PARA AGUA FRIA PREDIAL</v>
      </c>
      <c r="F764" s="258" t="str">
        <f>IFERROR(IF(D764="SINAPI-S",VLOOKUP(B764,'20-B.SINAPI-S'!A:J,3,0),IF(D764="SINAPI-I",VLOOKUP(B764,'20-A.SINAPI-I'!A:G,3,0),IF(D764="COMPOSIÇÕES",VLOOKUP(B764,'11.COMPOSIÇÕES GERAIS'!B:I,3,0),VLOOKUP(B764,'12.COT.MERCADO'!A:I,7,0)))),"Em Elaboração")</f>
        <v>UN</v>
      </c>
      <c r="G764" s="254">
        <v>1.0</v>
      </c>
      <c r="H764" s="259">
        <f>IFERROR(IF(D764="SINAPI-S",VLOOKUP(B764,'20-B.SINAPI-S'!A:J,5,0),IF(D764="SINAPI-I",VLOOKUP(B764,'20-A.SINAPI-I'!A:G,6,0),IF(D764="COMPOSIÇÕES",VLOOKUP(B764,'11.COMPOSIÇÕES GERAIS'!B:I,7,0),0))),"Em Elaboração")</f>
        <v>0</v>
      </c>
      <c r="I764" s="259">
        <f>IFERROR(IF(D764="SINAPI-S",VLOOKUP(B764,'20-B.SINAPI-S'!A:J,6,0),IF(D764="SINAPI-I",VLOOKUP(B764,'20-A.SINAPI-I'!A:G,7,0),IF(D764="COMPOSIÇÕES",VLOOKUP(B764,'11.COMPOSIÇÕES GERAIS'!B:I,8,0),VLOOKUP(B764,'12.COT.MERCADO'!A:I,8,0)))),"Em Elaboração")</f>
        <v>7</v>
      </c>
      <c r="J764" s="259">
        <f t="shared" si="137"/>
        <v>0</v>
      </c>
      <c r="K764" s="259">
        <f t="shared" si="138"/>
        <v>8.199342096</v>
      </c>
      <c r="L764" s="259">
        <f t="shared" si="139"/>
        <v>8.199342096</v>
      </c>
      <c r="M764" s="259">
        <f t="shared" si="140"/>
        <v>0</v>
      </c>
      <c r="N764" s="259">
        <f t="shared" si="141"/>
        <v>8.199342096</v>
      </c>
      <c r="O764" s="259">
        <f t="shared" si="142"/>
        <v>8.199342096</v>
      </c>
      <c r="P764" s="260">
        <f t="shared" si="2"/>
        <v>0.000006414134097</v>
      </c>
    </row>
    <row r="765">
      <c r="A765" s="253" t="s">
        <v>918</v>
      </c>
      <c r="B765" s="254">
        <v>7128.0</v>
      </c>
      <c r="C765" s="255" t="str">
        <f t="shared" si="136"/>
        <v>SINAPI</v>
      </c>
      <c r="D765" s="256" t="s">
        <v>286</v>
      </c>
      <c r="E765" s="257" t="str">
        <f>IFERROR(IF(D765="SINAPI-S",VLOOKUP(B765,'20-B.SINAPI-S'!A:J,2,0),IF(D765="SINAPI-I",VLOOKUP(B765,'20-A.SINAPI-I'!A:G,2,0),IF(D765="COMPOSIÇÕES",VLOOKUP(B765,'11.COMPOSIÇÕES GERAIS'!B:I,2,0),VLOOKUP(B765,'12.COT.MERCADO'!A:I,2,0)))),"Em Elaboração")</f>
        <v>TE DE REDUCAO, PVC, SOLDAVEL, 90 GRAUS, 40 MM X 32 MM, PARA AGUA FRIA PREDIAL</v>
      </c>
      <c r="F765" s="258" t="str">
        <f>IFERROR(IF(D765="SINAPI-S",VLOOKUP(B765,'20-B.SINAPI-S'!A:J,3,0),IF(D765="SINAPI-I",VLOOKUP(B765,'20-A.SINAPI-I'!A:G,3,0),IF(D765="COMPOSIÇÕES",VLOOKUP(B765,'11.COMPOSIÇÕES GERAIS'!B:I,3,0),VLOOKUP(B765,'12.COT.MERCADO'!A:I,7,0)))),"Em Elaboração")</f>
        <v>UN</v>
      </c>
      <c r="G765" s="254">
        <v>1.0</v>
      </c>
      <c r="H765" s="259">
        <f>IFERROR(IF(D765="SINAPI-S",VLOOKUP(B765,'20-B.SINAPI-S'!A:J,5,0),IF(D765="SINAPI-I",VLOOKUP(B765,'20-A.SINAPI-I'!A:G,6,0),IF(D765="COMPOSIÇÕES",VLOOKUP(B765,'11.COMPOSIÇÕES GERAIS'!B:I,7,0),0))),"Em Elaboração")</f>
        <v>0</v>
      </c>
      <c r="I765" s="259">
        <f>IFERROR(IF(D765="SINAPI-S",VLOOKUP(B765,'20-B.SINAPI-S'!A:J,6,0),IF(D765="SINAPI-I",VLOOKUP(B765,'20-A.SINAPI-I'!A:G,7,0),IF(D765="COMPOSIÇÕES",VLOOKUP(B765,'11.COMPOSIÇÕES GERAIS'!B:I,8,0),VLOOKUP(B765,'12.COT.MERCADO'!A:I,8,0)))),"Em Elaboração")</f>
        <v>9.08</v>
      </c>
      <c r="J765" s="259">
        <f t="shared" si="137"/>
        <v>0</v>
      </c>
      <c r="K765" s="259">
        <f t="shared" si="138"/>
        <v>10.63571803</v>
      </c>
      <c r="L765" s="259">
        <f t="shared" si="139"/>
        <v>10.63571803</v>
      </c>
      <c r="M765" s="259">
        <f t="shared" si="140"/>
        <v>0</v>
      </c>
      <c r="N765" s="259">
        <f t="shared" si="141"/>
        <v>10.63571803</v>
      </c>
      <c r="O765" s="259">
        <f t="shared" si="142"/>
        <v>10.63571803</v>
      </c>
      <c r="P765" s="260">
        <f t="shared" si="2"/>
        <v>0.000008320048228</v>
      </c>
    </row>
    <row r="766">
      <c r="A766" s="253" t="s">
        <v>919</v>
      </c>
      <c r="B766" s="254">
        <v>7108.0</v>
      </c>
      <c r="C766" s="255" t="str">
        <f t="shared" si="136"/>
        <v>SINAPI</v>
      </c>
      <c r="D766" s="256" t="s">
        <v>286</v>
      </c>
      <c r="E766" s="257" t="str">
        <f>IFERROR(IF(D766="SINAPI-S",VLOOKUP(B766,'20-B.SINAPI-S'!A:J,2,0),IF(D766="SINAPI-I",VLOOKUP(B766,'20-A.SINAPI-I'!A:G,2,0),IF(D766="COMPOSIÇÕES",VLOOKUP(B766,'11.COMPOSIÇÕES GERAIS'!B:I,2,0),VLOOKUP(B766,'12.COT.MERCADO'!A:I,2,0)))),"Em Elaboração")</f>
        <v>TE DE REDUCAO, PVC, SOLDAVEL, 90 GRAUS, 50 MM X 20 MM, PARA AGUA FRIA PREDIAL</v>
      </c>
      <c r="F766" s="258" t="str">
        <f>IFERROR(IF(D766="SINAPI-S",VLOOKUP(B766,'20-B.SINAPI-S'!A:J,3,0),IF(D766="SINAPI-I",VLOOKUP(B766,'20-A.SINAPI-I'!A:G,3,0),IF(D766="COMPOSIÇÕES",VLOOKUP(B766,'11.COMPOSIÇÕES GERAIS'!B:I,3,0),VLOOKUP(B766,'12.COT.MERCADO'!A:I,7,0)))),"Em Elaboração")</f>
        <v>UN</v>
      </c>
      <c r="G766" s="254">
        <v>1.0</v>
      </c>
      <c r="H766" s="259">
        <f>IFERROR(IF(D766="SINAPI-S",VLOOKUP(B766,'20-B.SINAPI-S'!A:J,5,0),IF(D766="SINAPI-I",VLOOKUP(B766,'20-A.SINAPI-I'!A:G,6,0),IF(D766="COMPOSIÇÕES",VLOOKUP(B766,'11.COMPOSIÇÕES GERAIS'!B:I,7,0),0))),"Em Elaboração")</f>
        <v>0</v>
      </c>
      <c r="I766" s="259">
        <f>IFERROR(IF(D766="SINAPI-S",VLOOKUP(B766,'20-B.SINAPI-S'!A:J,6,0),IF(D766="SINAPI-I",VLOOKUP(B766,'20-A.SINAPI-I'!A:G,7,0),IF(D766="COMPOSIÇÕES",VLOOKUP(B766,'11.COMPOSIÇÕES GERAIS'!B:I,8,0),VLOOKUP(B766,'12.COT.MERCADO'!A:I,8,0)))),"Em Elaboração")</f>
        <v>9.06</v>
      </c>
      <c r="J766" s="259">
        <f t="shared" si="137"/>
        <v>0</v>
      </c>
      <c r="K766" s="259">
        <f t="shared" si="138"/>
        <v>10.61229134</v>
      </c>
      <c r="L766" s="259">
        <f t="shared" si="139"/>
        <v>10.61229134</v>
      </c>
      <c r="M766" s="259">
        <f t="shared" si="140"/>
        <v>0</v>
      </c>
      <c r="N766" s="259">
        <f t="shared" si="141"/>
        <v>10.61229134</v>
      </c>
      <c r="O766" s="259">
        <f t="shared" si="142"/>
        <v>10.61229134</v>
      </c>
      <c r="P766" s="260">
        <f t="shared" si="2"/>
        <v>0.000008301722131</v>
      </c>
    </row>
    <row r="767">
      <c r="A767" s="253" t="s">
        <v>920</v>
      </c>
      <c r="B767" s="254">
        <v>7129.0</v>
      </c>
      <c r="C767" s="255" t="str">
        <f t="shared" si="136"/>
        <v>SINAPI</v>
      </c>
      <c r="D767" s="256" t="s">
        <v>286</v>
      </c>
      <c r="E767" s="257" t="str">
        <f>IFERROR(IF(D767="SINAPI-S",VLOOKUP(B767,'20-B.SINAPI-S'!A:J,2,0),IF(D767="SINAPI-I",VLOOKUP(B767,'20-A.SINAPI-I'!A:G,2,0),IF(D767="COMPOSIÇÕES",VLOOKUP(B767,'11.COMPOSIÇÕES GERAIS'!B:I,2,0),VLOOKUP(B767,'12.COT.MERCADO'!A:I,2,0)))),"Em Elaboração")</f>
        <v>TE DE REDUCAO, PVC, SOLDAVEL, 90 GRAUS, 50 MM X 25 MM, PARA AGUA FRIA PREDIAL</v>
      </c>
      <c r="F767" s="258" t="str">
        <f>IFERROR(IF(D767="SINAPI-S",VLOOKUP(B767,'20-B.SINAPI-S'!A:J,3,0),IF(D767="SINAPI-I",VLOOKUP(B767,'20-A.SINAPI-I'!A:G,3,0),IF(D767="COMPOSIÇÕES",VLOOKUP(B767,'11.COMPOSIÇÕES GERAIS'!B:I,3,0),VLOOKUP(B767,'12.COT.MERCADO'!A:I,7,0)))),"Em Elaboração")</f>
        <v>UN</v>
      </c>
      <c r="G767" s="254">
        <v>1.0</v>
      </c>
      <c r="H767" s="259">
        <f>IFERROR(IF(D767="SINAPI-S",VLOOKUP(B767,'20-B.SINAPI-S'!A:J,5,0),IF(D767="SINAPI-I",VLOOKUP(B767,'20-A.SINAPI-I'!A:G,6,0),IF(D767="COMPOSIÇÕES",VLOOKUP(B767,'11.COMPOSIÇÕES GERAIS'!B:I,7,0),0))),"Em Elaboração")</f>
        <v>0</v>
      </c>
      <c r="I767" s="259">
        <f>IFERROR(IF(D767="SINAPI-S",VLOOKUP(B767,'20-B.SINAPI-S'!A:J,6,0),IF(D767="SINAPI-I",VLOOKUP(B767,'20-A.SINAPI-I'!A:G,7,0),IF(D767="COMPOSIÇÕES",VLOOKUP(B767,'11.COMPOSIÇÕES GERAIS'!B:I,8,0),VLOOKUP(B767,'12.COT.MERCADO'!A:I,8,0)))),"Em Elaboração")</f>
        <v>10.66</v>
      </c>
      <c r="J767" s="259">
        <f t="shared" si="137"/>
        <v>0</v>
      </c>
      <c r="K767" s="259">
        <f t="shared" si="138"/>
        <v>12.48642668</v>
      </c>
      <c r="L767" s="259">
        <f t="shared" si="139"/>
        <v>12.48642668</v>
      </c>
      <c r="M767" s="259">
        <f t="shared" si="140"/>
        <v>0</v>
      </c>
      <c r="N767" s="259">
        <f t="shared" si="141"/>
        <v>12.48642668</v>
      </c>
      <c r="O767" s="259">
        <f t="shared" si="142"/>
        <v>12.48642668</v>
      </c>
      <c r="P767" s="260">
        <f t="shared" si="2"/>
        <v>0.000009767809924</v>
      </c>
    </row>
    <row r="768">
      <c r="A768" s="253" t="s">
        <v>921</v>
      </c>
      <c r="B768" s="254">
        <v>7130.0</v>
      </c>
      <c r="C768" s="255" t="str">
        <f t="shared" si="136"/>
        <v>SINAPI</v>
      </c>
      <c r="D768" s="256" t="s">
        <v>286</v>
      </c>
      <c r="E768" s="257" t="str">
        <f>IFERROR(IF(D768="SINAPI-S",VLOOKUP(B768,'20-B.SINAPI-S'!A:J,2,0),IF(D768="SINAPI-I",VLOOKUP(B768,'20-A.SINAPI-I'!A:G,2,0),IF(D768="COMPOSIÇÕES",VLOOKUP(B768,'11.COMPOSIÇÕES GERAIS'!B:I,2,0),VLOOKUP(B768,'12.COT.MERCADO'!A:I,2,0)))),"Em Elaboração")</f>
        <v>TE DE REDUCAO, PVC, SOLDAVEL, 90 GRAUS, 50 MM X 32 MM, PARA AGUA FRIA PREDIAL</v>
      </c>
      <c r="F768" s="258" t="str">
        <f>IFERROR(IF(D768="SINAPI-S",VLOOKUP(B768,'20-B.SINAPI-S'!A:J,3,0),IF(D768="SINAPI-I",VLOOKUP(B768,'20-A.SINAPI-I'!A:G,3,0),IF(D768="COMPOSIÇÕES",VLOOKUP(B768,'11.COMPOSIÇÕES GERAIS'!B:I,3,0),VLOOKUP(B768,'12.COT.MERCADO'!A:I,7,0)))),"Em Elaboração")</f>
        <v>UN</v>
      </c>
      <c r="G768" s="254">
        <v>1.0</v>
      </c>
      <c r="H768" s="259">
        <f>IFERROR(IF(D768="SINAPI-S",VLOOKUP(B768,'20-B.SINAPI-S'!A:J,5,0),IF(D768="SINAPI-I",VLOOKUP(B768,'20-A.SINAPI-I'!A:G,6,0),IF(D768="COMPOSIÇÕES",VLOOKUP(B768,'11.COMPOSIÇÕES GERAIS'!B:I,7,0),0))),"Em Elaboração")</f>
        <v>0</v>
      </c>
      <c r="I768" s="259">
        <f>IFERROR(IF(D768="SINAPI-S",VLOOKUP(B768,'20-B.SINAPI-S'!A:J,6,0),IF(D768="SINAPI-I",VLOOKUP(B768,'20-A.SINAPI-I'!A:G,7,0),IF(D768="COMPOSIÇÕES",VLOOKUP(B768,'11.COMPOSIÇÕES GERAIS'!B:I,8,0),VLOOKUP(B768,'12.COT.MERCADO'!A:I,8,0)))),"Em Elaboração")</f>
        <v>15.49</v>
      </c>
      <c r="J768" s="259">
        <f t="shared" si="137"/>
        <v>0</v>
      </c>
      <c r="K768" s="259">
        <f t="shared" si="138"/>
        <v>18.14397272</v>
      </c>
      <c r="L768" s="259">
        <f t="shared" si="139"/>
        <v>18.14397272</v>
      </c>
      <c r="M768" s="259">
        <f t="shared" si="140"/>
        <v>0</v>
      </c>
      <c r="N768" s="259">
        <f t="shared" si="141"/>
        <v>18.14397272</v>
      </c>
      <c r="O768" s="259">
        <f t="shared" si="142"/>
        <v>18.14397272</v>
      </c>
      <c r="P768" s="260">
        <f t="shared" si="2"/>
        <v>0.00001419356245</v>
      </c>
    </row>
    <row r="769">
      <c r="A769" s="253" t="s">
        <v>922</v>
      </c>
      <c r="B769" s="254">
        <v>7131.0</v>
      </c>
      <c r="C769" s="255" t="str">
        <f t="shared" si="136"/>
        <v>SINAPI</v>
      </c>
      <c r="D769" s="256" t="s">
        <v>286</v>
      </c>
      <c r="E769" s="257" t="str">
        <f>IFERROR(IF(D769="SINAPI-S",VLOOKUP(B769,'20-B.SINAPI-S'!A:J,2,0),IF(D769="SINAPI-I",VLOOKUP(B769,'20-A.SINAPI-I'!A:G,2,0),IF(D769="COMPOSIÇÕES",VLOOKUP(B769,'11.COMPOSIÇÕES GERAIS'!B:I,2,0),VLOOKUP(B769,'12.COT.MERCADO'!A:I,2,0)))),"Em Elaboração")</f>
        <v>TE DE REDUCAO, PVC, SOLDAVEL, 90 GRAUS, 50 MM X 40 MM, PARA AGUA FRIA PREDIAL</v>
      </c>
      <c r="F769" s="258" t="str">
        <f>IFERROR(IF(D769="SINAPI-S",VLOOKUP(B769,'20-B.SINAPI-S'!A:J,3,0),IF(D769="SINAPI-I",VLOOKUP(B769,'20-A.SINAPI-I'!A:G,3,0),IF(D769="COMPOSIÇÕES",VLOOKUP(B769,'11.COMPOSIÇÕES GERAIS'!B:I,3,0),VLOOKUP(B769,'12.COT.MERCADO'!A:I,7,0)))),"Em Elaboração")</f>
        <v>UN</v>
      </c>
      <c r="G769" s="254">
        <v>1.0</v>
      </c>
      <c r="H769" s="259">
        <f>IFERROR(IF(D769="SINAPI-S",VLOOKUP(B769,'20-B.SINAPI-S'!A:J,5,0),IF(D769="SINAPI-I",VLOOKUP(B769,'20-A.SINAPI-I'!A:G,6,0),IF(D769="COMPOSIÇÕES",VLOOKUP(B769,'11.COMPOSIÇÕES GERAIS'!B:I,7,0),0))),"Em Elaboração")</f>
        <v>0</v>
      </c>
      <c r="I769" s="259">
        <f>IFERROR(IF(D769="SINAPI-S",VLOOKUP(B769,'20-B.SINAPI-S'!A:J,6,0),IF(D769="SINAPI-I",VLOOKUP(B769,'20-A.SINAPI-I'!A:G,7,0),IF(D769="COMPOSIÇÕES",VLOOKUP(B769,'11.COMPOSIÇÕES GERAIS'!B:I,8,0),VLOOKUP(B769,'12.COT.MERCADO'!A:I,8,0)))),"Em Elaboração")</f>
        <v>18.95</v>
      </c>
      <c r="J769" s="259">
        <f t="shared" si="137"/>
        <v>0</v>
      </c>
      <c r="K769" s="259">
        <f t="shared" si="138"/>
        <v>22.19679039</v>
      </c>
      <c r="L769" s="259">
        <f t="shared" si="139"/>
        <v>22.19679039</v>
      </c>
      <c r="M769" s="259">
        <f t="shared" si="140"/>
        <v>0</v>
      </c>
      <c r="N769" s="259">
        <f t="shared" si="141"/>
        <v>22.19679039</v>
      </c>
      <c r="O769" s="259">
        <f t="shared" si="142"/>
        <v>22.19679039</v>
      </c>
      <c r="P769" s="260">
        <f t="shared" si="2"/>
        <v>0.0000173639773</v>
      </c>
    </row>
    <row r="770">
      <c r="A770" s="253" t="s">
        <v>923</v>
      </c>
      <c r="B770" s="254">
        <v>7091.0</v>
      </c>
      <c r="C770" s="255" t="str">
        <f t="shared" si="136"/>
        <v>SINAPI</v>
      </c>
      <c r="D770" s="256" t="s">
        <v>286</v>
      </c>
      <c r="E770" s="257" t="str">
        <f>IFERROR(IF(D770="SINAPI-S",VLOOKUP(B770,'20-B.SINAPI-S'!A:J,2,0),IF(D770="SINAPI-I",VLOOKUP(B770,'20-A.SINAPI-I'!A:G,2,0),IF(D770="COMPOSIÇÕES",VLOOKUP(B770,'11.COMPOSIÇÕES GERAIS'!B:I,2,0),VLOOKUP(B770,'12.COT.MERCADO'!A:I,2,0)))),"Em Elaboração")</f>
        <v>TE SANITARIO, PVC, DN 100 X 100 MM, SERIE NORMAL, PARA ESGOTO PREDIAL</v>
      </c>
      <c r="F770" s="258" t="str">
        <f>IFERROR(IF(D770="SINAPI-S",VLOOKUP(B770,'20-B.SINAPI-S'!A:J,3,0),IF(D770="SINAPI-I",VLOOKUP(B770,'20-A.SINAPI-I'!A:G,3,0),IF(D770="COMPOSIÇÕES",VLOOKUP(B770,'11.COMPOSIÇÕES GERAIS'!B:I,3,0),VLOOKUP(B770,'12.COT.MERCADO'!A:I,7,0)))),"Em Elaboração")</f>
        <v>UN</v>
      </c>
      <c r="G770" s="254">
        <v>1.0</v>
      </c>
      <c r="H770" s="259">
        <f>IFERROR(IF(D770="SINAPI-S",VLOOKUP(B770,'20-B.SINAPI-S'!A:J,5,0),IF(D770="SINAPI-I",VLOOKUP(B770,'20-A.SINAPI-I'!A:G,6,0),IF(D770="COMPOSIÇÕES",VLOOKUP(B770,'11.COMPOSIÇÕES GERAIS'!B:I,7,0),0))),"Em Elaboração")</f>
        <v>0</v>
      </c>
      <c r="I770" s="259">
        <f>IFERROR(IF(D770="SINAPI-S",VLOOKUP(B770,'20-B.SINAPI-S'!A:J,6,0),IF(D770="SINAPI-I",VLOOKUP(B770,'20-A.SINAPI-I'!A:G,7,0),IF(D770="COMPOSIÇÕES",VLOOKUP(B770,'11.COMPOSIÇÕES GERAIS'!B:I,8,0),VLOOKUP(B770,'12.COT.MERCADO'!A:I,8,0)))),"Em Elaboração")</f>
        <v>18.25</v>
      </c>
      <c r="J770" s="259">
        <f t="shared" si="137"/>
        <v>0</v>
      </c>
      <c r="K770" s="259">
        <f t="shared" si="138"/>
        <v>21.37685618</v>
      </c>
      <c r="L770" s="259">
        <f t="shared" si="139"/>
        <v>21.37685618</v>
      </c>
      <c r="M770" s="259">
        <f t="shared" si="140"/>
        <v>0</v>
      </c>
      <c r="N770" s="259">
        <f t="shared" si="141"/>
        <v>21.37685618</v>
      </c>
      <c r="O770" s="259">
        <f t="shared" si="142"/>
        <v>21.37685618</v>
      </c>
      <c r="P770" s="260">
        <f t="shared" si="2"/>
        <v>0.00001672256389</v>
      </c>
    </row>
    <row r="771">
      <c r="A771" s="253" t="s">
        <v>924</v>
      </c>
      <c r="B771" s="254">
        <v>11655.0</v>
      </c>
      <c r="C771" s="255" t="str">
        <f t="shared" si="136"/>
        <v>SINAPI</v>
      </c>
      <c r="D771" s="256" t="s">
        <v>286</v>
      </c>
      <c r="E771" s="257" t="str">
        <f>IFERROR(IF(D771="SINAPI-S",VLOOKUP(B771,'20-B.SINAPI-S'!A:J,2,0),IF(D771="SINAPI-I",VLOOKUP(B771,'20-A.SINAPI-I'!A:G,2,0),IF(D771="COMPOSIÇÕES",VLOOKUP(B771,'11.COMPOSIÇÕES GERAIS'!B:I,2,0),VLOOKUP(B771,'12.COT.MERCADO'!A:I,2,0)))),"Em Elaboração")</f>
        <v>TE SANITARIO DE REDUCAO, PVC, DN 100 X 50 MM, SERIE NORMAL, PARA ESGOTO PREDIAL</v>
      </c>
      <c r="F771" s="258" t="str">
        <f>IFERROR(IF(D771="SINAPI-S",VLOOKUP(B771,'20-B.SINAPI-S'!A:J,3,0),IF(D771="SINAPI-I",VLOOKUP(B771,'20-A.SINAPI-I'!A:G,3,0),IF(D771="COMPOSIÇÕES",VLOOKUP(B771,'11.COMPOSIÇÕES GERAIS'!B:I,3,0),VLOOKUP(B771,'12.COT.MERCADO'!A:I,7,0)))),"Em Elaboração")</f>
        <v>UN</v>
      </c>
      <c r="G771" s="254">
        <v>1.0</v>
      </c>
      <c r="H771" s="259">
        <f>IFERROR(IF(D771="SINAPI-S",VLOOKUP(B771,'20-B.SINAPI-S'!A:J,5,0),IF(D771="SINAPI-I",VLOOKUP(B771,'20-A.SINAPI-I'!A:G,6,0),IF(D771="COMPOSIÇÕES",VLOOKUP(B771,'11.COMPOSIÇÕES GERAIS'!B:I,7,0),0))),"Em Elaboração")</f>
        <v>0</v>
      </c>
      <c r="I771" s="259">
        <f>IFERROR(IF(D771="SINAPI-S",VLOOKUP(B771,'20-B.SINAPI-S'!A:J,6,0),IF(D771="SINAPI-I",VLOOKUP(B771,'20-A.SINAPI-I'!A:G,7,0),IF(D771="COMPOSIÇÕES",VLOOKUP(B771,'11.COMPOSIÇÕES GERAIS'!B:I,8,0),VLOOKUP(B771,'12.COT.MERCADO'!A:I,8,0)))),"Em Elaboração")</f>
        <v>19.4</v>
      </c>
      <c r="J771" s="259">
        <f t="shared" si="137"/>
        <v>0</v>
      </c>
      <c r="K771" s="259">
        <f t="shared" si="138"/>
        <v>22.72389095</v>
      </c>
      <c r="L771" s="259">
        <f t="shared" si="139"/>
        <v>22.72389095</v>
      </c>
      <c r="M771" s="259">
        <f t="shared" si="140"/>
        <v>0</v>
      </c>
      <c r="N771" s="259">
        <f t="shared" si="141"/>
        <v>22.72389095</v>
      </c>
      <c r="O771" s="259">
        <f t="shared" si="142"/>
        <v>22.72389095</v>
      </c>
      <c r="P771" s="260">
        <f t="shared" si="2"/>
        <v>0.0000177763145</v>
      </c>
    </row>
    <row r="772">
      <c r="A772" s="253" t="s">
        <v>925</v>
      </c>
      <c r="B772" s="254">
        <v>11656.0</v>
      </c>
      <c r="C772" s="255" t="str">
        <f t="shared" si="136"/>
        <v>SINAPI</v>
      </c>
      <c r="D772" s="256" t="s">
        <v>286</v>
      </c>
      <c r="E772" s="257" t="str">
        <f>IFERROR(IF(D772="SINAPI-S",VLOOKUP(B772,'20-B.SINAPI-S'!A:J,2,0),IF(D772="SINAPI-I",VLOOKUP(B772,'20-A.SINAPI-I'!A:G,2,0),IF(D772="COMPOSIÇÕES",VLOOKUP(B772,'11.COMPOSIÇÕES GERAIS'!B:I,2,0),VLOOKUP(B772,'12.COT.MERCADO'!A:I,2,0)))),"Em Elaboração")</f>
        <v>TE SANITARIO DE REDUCAO, PVC, DN 100 X 75 MM, SERIE NORMAL PARA ESGOTO PREDIAL</v>
      </c>
      <c r="F772" s="258" t="str">
        <f>IFERROR(IF(D772="SINAPI-S",VLOOKUP(B772,'20-B.SINAPI-S'!A:J,3,0),IF(D772="SINAPI-I",VLOOKUP(B772,'20-A.SINAPI-I'!A:G,3,0),IF(D772="COMPOSIÇÕES",VLOOKUP(B772,'11.COMPOSIÇÕES GERAIS'!B:I,3,0),VLOOKUP(B772,'12.COT.MERCADO'!A:I,7,0)))),"Em Elaboração")</f>
        <v>UN</v>
      </c>
      <c r="G772" s="254">
        <v>1.0</v>
      </c>
      <c r="H772" s="259">
        <f>IFERROR(IF(D772="SINAPI-S",VLOOKUP(B772,'20-B.SINAPI-S'!A:J,5,0),IF(D772="SINAPI-I",VLOOKUP(B772,'20-A.SINAPI-I'!A:G,6,0),IF(D772="COMPOSIÇÕES",VLOOKUP(B772,'11.COMPOSIÇÕES GERAIS'!B:I,7,0),0))),"Em Elaboração")</f>
        <v>0</v>
      </c>
      <c r="I772" s="259">
        <f>IFERROR(IF(D772="SINAPI-S",VLOOKUP(B772,'20-B.SINAPI-S'!A:J,6,0),IF(D772="SINAPI-I",VLOOKUP(B772,'20-A.SINAPI-I'!A:G,7,0),IF(D772="COMPOSIÇÕES",VLOOKUP(B772,'11.COMPOSIÇÕES GERAIS'!B:I,8,0),VLOOKUP(B772,'12.COT.MERCADO'!A:I,8,0)))),"Em Elaboração")</f>
        <v>22.27</v>
      </c>
      <c r="J772" s="259">
        <f t="shared" si="137"/>
        <v>0</v>
      </c>
      <c r="K772" s="259">
        <f t="shared" si="138"/>
        <v>26.08562121</v>
      </c>
      <c r="L772" s="259">
        <f t="shared" si="139"/>
        <v>26.08562121</v>
      </c>
      <c r="M772" s="259">
        <f t="shared" si="140"/>
        <v>0</v>
      </c>
      <c r="N772" s="259">
        <f t="shared" si="141"/>
        <v>26.08562121</v>
      </c>
      <c r="O772" s="259">
        <f t="shared" si="142"/>
        <v>26.08562121</v>
      </c>
      <c r="P772" s="260">
        <f t="shared" si="2"/>
        <v>0.00002040610948</v>
      </c>
    </row>
    <row r="773">
      <c r="A773" s="253" t="s">
        <v>926</v>
      </c>
      <c r="B773" s="254">
        <v>7097.0</v>
      </c>
      <c r="C773" s="255" t="str">
        <f t="shared" si="136"/>
        <v>SINAPI</v>
      </c>
      <c r="D773" s="256" t="s">
        <v>286</v>
      </c>
      <c r="E773" s="257" t="str">
        <f>IFERROR(IF(D773="SINAPI-S",VLOOKUP(B773,'20-B.SINAPI-S'!A:J,2,0),IF(D773="SINAPI-I",VLOOKUP(B773,'20-A.SINAPI-I'!A:G,2,0),IF(D773="COMPOSIÇÕES",VLOOKUP(B773,'11.COMPOSIÇÕES GERAIS'!B:I,2,0),VLOOKUP(B773,'12.COT.MERCADO'!A:I,2,0)))),"Em Elaboração")</f>
        <v>TE SANITARIO, PVC, DN 50 X 50 MM, SERIE NORMAL, PARA ESGOTO PREDIAL</v>
      </c>
      <c r="F773" s="258" t="str">
        <f>IFERROR(IF(D773="SINAPI-S",VLOOKUP(B773,'20-B.SINAPI-S'!A:J,3,0),IF(D773="SINAPI-I",VLOOKUP(B773,'20-A.SINAPI-I'!A:G,3,0),IF(D773="COMPOSIÇÕES",VLOOKUP(B773,'11.COMPOSIÇÕES GERAIS'!B:I,3,0),VLOOKUP(B773,'12.COT.MERCADO'!A:I,7,0)))),"Em Elaboração")</f>
        <v>UN</v>
      </c>
      <c r="G773" s="254">
        <v>1.0</v>
      </c>
      <c r="H773" s="259">
        <f>IFERROR(IF(D773="SINAPI-S",VLOOKUP(B773,'20-B.SINAPI-S'!A:J,5,0),IF(D773="SINAPI-I",VLOOKUP(B773,'20-A.SINAPI-I'!A:G,6,0),IF(D773="COMPOSIÇÕES",VLOOKUP(B773,'11.COMPOSIÇÕES GERAIS'!B:I,7,0),0))),"Em Elaboração")</f>
        <v>0</v>
      </c>
      <c r="I773" s="259">
        <f>IFERROR(IF(D773="SINAPI-S",VLOOKUP(B773,'20-B.SINAPI-S'!A:J,6,0),IF(D773="SINAPI-I",VLOOKUP(B773,'20-A.SINAPI-I'!A:G,7,0),IF(D773="COMPOSIÇÕES",VLOOKUP(B773,'11.COMPOSIÇÕES GERAIS'!B:I,8,0),VLOOKUP(B773,'12.COT.MERCADO'!A:I,8,0)))),"Em Elaboração")</f>
        <v>8.57</v>
      </c>
      <c r="J773" s="259">
        <f t="shared" si="137"/>
        <v>0</v>
      </c>
      <c r="K773" s="259">
        <f t="shared" si="138"/>
        <v>10.03833739</v>
      </c>
      <c r="L773" s="259">
        <f t="shared" si="139"/>
        <v>10.03833739</v>
      </c>
      <c r="M773" s="259">
        <f t="shared" si="140"/>
        <v>0</v>
      </c>
      <c r="N773" s="259">
        <f t="shared" si="141"/>
        <v>10.03833739</v>
      </c>
      <c r="O773" s="259">
        <f t="shared" si="142"/>
        <v>10.03833739</v>
      </c>
      <c r="P773" s="260">
        <f t="shared" si="2"/>
        <v>0.000007852732744</v>
      </c>
    </row>
    <row r="774">
      <c r="A774" s="253" t="s">
        <v>927</v>
      </c>
      <c r="B774" s="254">
        <v>11658.0</v>
      </c>
      <c r="C774" s="255" t="str">
        <f t="shared" si="136"/>
        <v>SINAPI</v>
      </c>
      <c r="D774" s="256" t="s">
        <v>286</v>
      </c>
      <c r="E774" s="257" t="str">
        <f>IFERROR(IF(D774="SINAPI-S",VLOOKUP(B774,'20-B.SINAPI-S'!A:J,2,0),IF(D774="SINAPI-I",VLOOKUP(B774,'20-A.SINAPI-I'!A:G,2,0),IF(D774="COMPOSIÇÕES",VLOOKUP(B774,'11.COMPOSIÇÕES GERAIS'!B:I,2,0),VLOOKUP(B774,'12.COT.MERCADO'!A:I,2,0)))),"Em Elaboração")</f>
        <v>TE SANITARIO, PVC, DN 75 X 75 MM, SERIE NORMAL PARA ESGOTO PREDIAL</v>
      </c>
      <c r="F774" s="258" t="str">
        <f>IFERROR(IF(D774="SINAPI-S",VLOOKUP(B774,'20-B.SINAPI-S'!A:J,3,0),IF(D774="SINAPI-I",VLOOKUP(B774,'20-A.SINAPI-I'!A:G,3,0),IF(D774="COMPOSIÇÕES",VLOOKUP(B774,'11.COMPOSIÇÕES GERAIS'!B:I,3,0),VLOOKUP(B774,'12.COT.MERCADO'!A:I,7,0)))),"Em Elaboração")</f>
        <v>UN</v>
      </c>
      <c r="G774" s="254">
        <v>1.0</v>
      </c>
      <c r="H774" s="259">
        <f>IFERROR(IF(D774="SINAPI-S",VLOOKUP(B774,'20-B.SINAPI-S'!A:J,5,0),IF(D774="SINAPI-I",VLOOKUP(B774,'20-A.SINAPI-I'!A:G,6,0),IF(D774="COMPOSIÇÕES",VLOOKUP(B774,'11.COMPOSIÇÕES GERAIS'!B:I,7,0),0))),"Em Elaboração")</f>
        <v>0</v>
      </c>
      <c r="I774" s="259">
        <f>IFERROR(IF(D774="SINAPI-S",VLOOKUP(B774,'20-B.SINAPI-S'!A:J,6,0),IF(D774="SINAPI-I",VLOOKUP(B774,'20-A.SINAPI-I'!A:G,7,0),IF(D774="COMPOSIÇÕES",VLOOKUP(B774,'11.COMPOSIÇÕES GERAIS'!B:I,8,0),VLOOKUP(B774,'12.COT.MERCADO'!A:I,8,0)))),"Em Elaboração")</f>
        <v>18.94</v>
      </c>
      <c r="J774" s="259">
        <f t="shared" si="137"/>
        <v>0</v>
      </c>
      <c r="K774" s="259">
        <f t="shared" si="138"/>
        <v>22.18507704</v>
      </c>
      <c r="L774" s="259">
        <f t="shared" si="139"/>
        <v>22.18507704</v>
      </c>
      <c r="M774" s="259">
        <f t="shared" si="140"/>
        <v>0</v>
      </c>
      <c r="N774" s="259">
        <f t="shared" si="141"/>
        <v>22.18507704</v>
      </c>
      <c r="O774" s="259">
        <f t="shared" si="142"/>
        <v>22.18507704</v>
      </c>
      <c r="P774" s="260">
        <f t="shared" si="2"/>
        <v>0.00001735481426</v>
      </c>
    </row>
    <row r="775">
      <c r="A775" s="253" t="s">
        <v>928</v>
      </c>
      <c r="B775" s="254">
        <v>7139.0</v>
      </c>
      <c r="C775" s="255" t="str">
        <f t="shared" si="136"/>
        <v>SINAPI</v>
      </c>
      <c r="D775" s="256" t="s">
        <v>286</v>
      </c>
      <c r="E775" s="257" t="str">
        <f>IFERROR(IF(D775="SINAPI-S",VLOOKUP(B775,'20-B.SINAPI-S'!A:J,2,0),IF(D775="SINAPI-I",VLOOKUP(B775,'20-A.SINAPI-I'!A:G,2,0),IF(D775="COMPOSIÇÕES",VLOOKUP(B775,'11.COMPOSIÇÕES GERAIS'!B:I,2,0),VLOOKUP(B775,'12.COT.MERCADO'!A:I,2,0)))),"Em Elaboração")</f>
        <v>TE SOLDAVEL, PVC, 90 GRAUS, 25 MM, PARA AGUA FRIA PREDIAL (NBR 5648)</v>
      </c>
      <c r="F775" s="258" t="str">
        <f>IFERROR(IF(D775="SINAPI-S",VLOOKUP(B775,'20-B.SINAPI-S'!A:J,3,0),IF(D775="SINAPI-I",VLOOKUP(B775,'20-A.SINAPI-I'!A:G,3,0),IF(D775="COMPOSIÇÕES",VLOOKUP(B775,'11.COMPOSIÇÕES GERAIS'!B:I,3,0),VLOOKUP(B775,'12.COT.MERCADO'!A:I,7,0)))),"Em Elaboração")</f>
        <v>UN</v>
      </c>
      <c r="G775" s="254">
        <v>1.0</v>
      </c>
      <c r="H775" s="259">
        <f>IFERROR(IF(D775="SINAPI-S",VLOOKUP(B775,'20-B.SINAPI-S'!A:J,5,0),IF(D775="SINAPI-I",VLOOKUP(B775,'20-A.SINAPI-I'!A:G,6,0),IF(D775="COMPOSIÇÕES",VLOOKUP(B775,'11.COMPOSIÇÕES GERAIS'!B:I,7,0),0))),"Em Elaboração")</f>
        <v>0</v>
      </c>
      <c r="I775" s="259">
        <f>IFERROR(IF(D775="SINAPI-S",VLOOKUP(B775,'20-B.SINAPI-S'!A:J,6,0),IF(D775="SINAPI-I",VLOOKUP(B775,'20-A.SINAPI-I'!A:G,7,0),IF(D775="COMPOSIÇÕES",VLOOKUP(B775,'11.COMPOSIÇÕES GERAIS'!B:I,8,0),VLOOKUP(B775,'12.COT.MERCADO'!A:I,8,0)))),"Em Elaboração")</f>
        <v>1.26</v>
      </c>
      <c r="J775" s="259">
        <f t="shared" si="137"/>
        <v>0</v>
      </c>
      <c r="K775" s="259">
        <f t="shared" si="138"/>
        <v>1.475881577</v>
      </c>
      <c r="L775" s="259">
        <f t="shared" si="139"/>
        <v>1.475881577</v>
      </c>
      <c r="M775" s="259">
        <f t="shared" si="140"/>
        <v>0</v>
      </c>
      <c r="N775" s="259">
        <f t="shared" si="141"/>
        <v>1.475881577</v>
      </c>
      <c r="O775" s="259">
        <f t="shared" si="142"/>
        <v>1.475881577</v>
      </c>
      <c r="P775" s="260">
        <f t="shared" si="2"/>
        <v>0.000001154544137</v>
      </c>
    </row>
    <row r="776">
      <c r="A776" s="253" t="s">
        <v>929</v>
      </c>
      <c r="B776" s="254">
        <v>7140.0</v>
      </c>
      <c r="C776" s="255" t="str">
        <f t="shared" si="136"/>
        <v>SINAPI</v>
      </c>
      <c r="D776" s="256" t="s">
        <v>286</v>
      </c>
      <c r="E776" s="257" t="str">
        <f>IFERROR(IF(D776="SINAPI-S",VLOOKUP(B776,'20-B.SINAPI-S'!A:J,2,0),IF(D776="SINAPI-I",VLOOKUP(B776,'20-A.SINAPI-I'!A:G,2,0),IF(D776="COMPOSIÇÕES",VLOOKUP(B776,'11.COMPOSIÇÕES GERAIS'!B:I,2,0),VLOOKUP(B776,'12.COT.MERCADO'!A:I,2,0)))),"Em Elaboração")</f>
        <v>TE SOLDAVEL, PVC, 90 GRAUS, 32 MM, PARA AGUA FRIA PREDIAL (NBR 5648)</v>
      </c>
      <c r="F776" s="258" t="str">
        <f>IFERROR(IF(D776="SINAPI-S",VLOOKUP(B776,'20-B.SINAPI-S'!A:J,3,0),IF(D776="SINAPI-I",VLOOKUP(B776,'20-A.SINAPI-I'!A:G,3,0),IF(D776="COMPOSIÇÕES",VLOOKUP(B776,'11.COMPOSIÇÕES GERAIS'!B:I,3,0),VLOOKUP(B776,'12.COT.MERCADO'!A:I,7,0)))),"Em Elaboração")</f>
        <v>UN</v>
      </c>
      <c r="G776" s="254">
        <v>1.0</v>
      </c>
      <c r="H776" s="259">
        <f>IFERROR(IF(D776="SINAPI-S",VLOOKUP(B776,'20-B.SINAPI-S'!A:J,5,0),IF(D776="SINAPI-I",VLOOKUP(B776,'20-A.SINAPI-I'!A:G,6,0),IF(D776="COMPOSIÇÕES",VLOOKUP(B776,'11.COMPOSIÇÕES GERAIS'!B:I,7,0),0))),"Em Elaboração")</f>
        <v>0</v>
      </c>
      <c r="I776" s="259">
        <f>IFERROR(IF(D776="SINAPI-S",VLOOKUP(B776,'20-B.SINAPI-S'!A:J,6,0),IF(D776="SINAPI-I",VLOOKUP(B776,'20-A.SINAPI-I'!A:G,7,0),IF(D776="COMPOSIÇÕES",VLOOKUP(B776,'11.COMPOSIÇÕES GERAIS'!B:I,8,0),VLOOKUP(B776,'12.COT.MERCADO'!A:I,8,0)))),"Em Elaboração")</f>
        <v>3.95</v>
      </c>
      <c r="J776" s="259">
        <f t="shared" si="137"/>
        <v>0</v>
      </c>
      <c r="K776" s="259">
        <f t="shared" si="138"/>
        <v>4.626771611</v>
      </c>
      <c r="L776" s="259">
        <f t="shared" si="139"/>
        <v>4.626771611</v>
      </c>
      <c r="M776" s="259">
        <f t="shared" si="140"/>
        <v>0</v>
      </c>
      <c r="N776" s="259">
        <f t="shared" si="141"/>
        <v>4.626771611</v>
      </c>
      <c r="O776" s="259">
        <f t="shared" si="142"/>
        <v>4.626771611</v>
      </c>
      <c r="P776" s="260">
        <f t="shared" si="2"/>
        <v>0.00000361940424</v>
      </c>
    </row>
    <row r="777">
      <c r="A777" s="253" t="s">
        <v>930</v>
      </c>
      <c r="B777" s="254">
        <v>7141.0</v>
      </c>
      <c r="C777" s="255" t="str">
        <f t="shared" si="136"/>
        <v>SINAPI</v>
      </c>
      <c r="D777" s="256" t="s">
        <v>286</v>
      </c>
      <c r="E777" s="257" t="str">
        <f>IFERROR(IF(D777="SINAPI-S",VLOOKUP(B777,'20-B.SINAPI-S'!A:J,2,0),IF(D777="SINAPI-I",VLOOKUP(B777,'20-A.SINAPI-I'!A:G,2,0),IF(D777="COMPOSIÇÕES",VLOOKUP(B777,'11.COMPOSIÇÕES GERAIS'!B:I,2,0),VLOOKUP(B777,'12.COT.MERCADO'!A:I,2,0)))),"Em Elaboração")</f>
        <v>TE SOLDAVEL, PVC, 90 GRAUS, 40 MM, PARA AGUA FRIA PREDIAL (NBR 5648)</v>
      </c>
      <c r="F777" s="258" t="str">
        <f>IFERROR(IF(D777="SINAPI-S",VLOOKUP(B777,'20-B.SINAPI-S'!A:J,3,0),IF(D777="SINAPI-I",VLOOKUP(B777,'20-A.SINAPI-I'!A:G,3,0),IF(D777="COMPOSIÇÕES",VLOOKUP(B777,'11.COMPOSIÇÕES GERAIS'!B:I,3,0),VLOOKUP(B777,'12.COT.MERCADO'!A:I,7,0)))),"Em Elaboração")</f>
        <v>UN</v>
      </c>
      <c r="G777" s="254">
        <v>1.0</v>
      </c>
      <c r="H777" s="259">
        <f>IFERROR(IF(D777="SINAPI-S",VLOOKUP(B777,'20-B.SINAPI-S'!A:J,5,0),IF(D777="SINAPI-I",VLOOKUP(B777,'20-A.SINAPI-I'!A:G,6,0),IF(D777="COMPOSIÇÕES",VLOOKUP(B777,'11.COMPOSIÇÕES GERAIS'!B:I,7,0),0))),"Em Elaboração")</f>
        <v>0</v>
      </c>
      <c r="I777" s="259">
        <f>IFERROR(IF(D777="SINAPI-S",VLOOKUP(B777,'20-B.SINAPI-S'!A:J,6,0),IF(D777="SINAPI-I",VLOOKUP(B777,'20-A.SINAPI-I'!A:G,7,0),IF(D777="COMPOSIÇÕES",VLOOKUP(B777,'11.COMPOSIÇÕES GERAIS'!B:I,8,0),VLOOKUP(B777,'12.COT.MERCADO'!A:I,8,0)))),"Em Elaboração")</f>
        <v>9.66</v>
      </c>
      <c r="J777" s="259">
        <f t="shared" si="137"/>
        <v>0</v>
      </c>
      <c r="K777" s="259">
        <f t="shared" si="138"/>
        <v>11.31509209</v>
      </c>
      <c r="L777" s="259">
        <f t="shared" si="139"/>
        <v>11.31509209</v>
      </c>
      <c r="M777" s="259">
        <f t="shared" si="140"/>
        <v>0</v>
      </c>
      <c r="N777" s="259">
        <f t="shared" si="141"/>
        <v>11.31509209</v>
      </c>
      <c r="O777" s="259">
        <f t="shared" si="142"/>
        <v>11.31509209</v>
      </c>
      <c r="P777" s="260">
        <f t="shared" si="2"/>
        <v>0.000008851505053</v>
      </c>
    </row>
    <row r="778">
      <c r="A778" s="253" t="s">
        <v>931</v>
      </c>
      <c r="B778" s="254">
        <v>7142.0</v>
      </c>
      <c r="C778" s="255" t="str">
        <f t="shared" si="136"/>
        <v>SINAPI</v>
      </c>
      <c r="D778" s="256" t="s">
        <v>286</v>
      </c>
      <c r="E778" s="257" t="str">
        <f>IFERROR(IF(D778="SINAPI-S",VLOOKUP(B778,'20-B.SINAPI-S'!A:J,2,0),IF(D778="SINAPI-I",VLOOKUP(B778,'20-A.SINAPI-I'!A:G,2,0),IF(D778="COMPOSIÇÕES",VLOOKUP(B778,'11.COMPOSIÇÕES GERAIS'!B:I,2,0),VLOOKUP(B778,'12.COT.MERCADO'!A:I,2,0)))),"Em Elaboração")</f>
        <v>TE SOLDAVEL, PVC, 90 GRAUS,50 MM, PARA AGUA FRIA PREDIAL (NBR 5648)</v>
      </c>
      <c r="F778" s="258" t="str">
        <f>IFERROR(IF(D778="SINAPI-S",VLOOKUP(B778,'20-B.SINAPI-S'!A:J,3,0),IF(D778="SINAPI-I",VLOOKUP(B778,'20-A.SINAPI-I'!A:G,3,0),IF(D778="COMPOSIÇÕES",VLOOKUP(B778,'11.COMPOSIÇÕES GERAIS'!B:I,3,0),VLOOKUP(B778,'12.COT.MERCADO'!A:I,7,0)))),"Em Elaboração")</f>
        <v>UN</v>
      </c>
      <c r="G778" s="254">
        <v>1.0</v>
      </c>
      <c r="H778" s="259">
        <f>IFERROR(IF(D778="SINAPI-S",VLOOKUP(B778,'20-B.SINAPI-S'!A:J,5,0),IF(D778="SINAPI-I",VLOOKUP(B778,'20-A.SINAPI-I'!A:G,6,0),IF(D778="COMPOSIÇÕES",VLOOKUP(B778,'11.COMPOSIÇÕES GERAIS'!B:I,7,0),0))),"Em Elaboração")</f>
        <v>0</v>
      </c>
      <c r="I778" s="259">
        <f>IFERROR(IF(D778="SINAPI-S",VLOOKUP(B778,'20-B.SINAPI-S'!A:J,6,0),IF(D778="SINAPI-I",VLOOKUP(B778,'20-A.SINAPI-I'!A:G,7,0),IF(D778="COMPOSIÇÕES",VLOOKUP(B778,'11.COMPOSIÇÕES GERAIS'!B:I,8,0),VLOOKUP(B778,'12.COT.MERCADO'!A:I,8,0)))),"Em Elaboração")</f>
        <v>10.1</v>
      </c>
      <c r="J778" s="259">
        <f t="shared" si="137"/>
        <v>0</v>
      </c>
      <c r="K778" s="259">
        <f t="shared" si="138"/>
        <v>11.83047931</v>
      </c>
      <c r="L778" s="259">
        <f t="shared" si="139"/>
        <v>11.83047931</v>
      </c>
      <c r="M778" s="259">
        <f t="shared" si="140"/>
        <v>0</v>
      </c>
      <c r="N778" s="259">
        <f t="shared" si="141"/>
        <v>11.83047931</v>
      </c>
      <c r="O778" s="259">
        <f t="shared" si="142"/>
        <v>11.83047931</v>
      </c>
      <c r="P778" s="260">
        <f t="shared" si="2"/>
        <v>0.000009254679197</v>
      </c>
    </row>
    <row r="779">
      <c r="A779" s="253" t="s">
        <v>932</v>
      </c>
      <c r="B779" s="254">
        <v>7143.0</v>
      </c>
      <c r="C779" s="255" t="str">
        <f t="shared" si="136"/>
        <v>SINAPI</v>
      </c>
      <c r="D779" s="256" t="s">
        <v>286</v>
      </c>
      <c r="E779" s="257" t="str">
        <f>IFERROR(IF(D779="SINAPI-S",VLOOKUP(B779,'20-B.SINAPI-S'!A:J,2,0),IF(D779="SINAPI-I",VLOOKUP(B779,'20-A.SINAPI-I'!A:G,2,0),IF(D779="COMPOSIÇÕES",VLOOKUP(B779,'11.COMPOSIÇÕES GERAIS'!B:I,2,0),VLOOKUP(B779,'12.COT.MERCADO'!A:I,2,0)))),"Em Elaboração")</f>
        <v>TE SOLDAVEL, PVC, 90 GRAUS, 60 MM, PARA AGUA FRIA PREDIAL (NBR 5648)</v>
      </c>
      <c r="F779" s="258" t="str">
        <f>IFERROR(IF(D779="SINAPI-S",VLOOKUP(B779,'20-B.SINAPI-S'!A:J,3,0),IF(D779="SINAPI-I",VLOOKUP(B779,'20-A.SINAPI-I'!A:G,3,0),IF(D779="COMPOSIÇÕES",VLOOKUP(B779,'11.COMPOSIÇÕES GERAIS'!B:I,3,0),VLOOKUP(B779,'12.COT.MERCADO'!A:I,7,0)))),"Em Elaboração")</f>
        <v>UN</v>
      </c>
      <c r="G779" s="254">
        <v>1.0</v>
      </c>
      <c r="H779" s="259">
        <f>IFERROR(IF(D779="SINAPI-S",VLOOKUP(B779,'20-B.SINAPI-S'!A:J,5,0),IF(D779="SINAPI-I",VLOOKUP(B779,'20-A.SINAPI-I'!A:G,6,0),IF(D779="COMPOSIÇÕES",VLOOKUP(B779,'11.COMPOSIÇÕES GERAIS'!B:I,7,0),0))),"Em Elaboração")</f>
        <v>0</v>
      </c>
      <c r="I779" s="259">
        <f>IFERROR(IF(D779="SINAPI-S",VLOOKUP(B779,'20-B.SINAPI-S'!A:J,6,0),IF(D779="SINAPI-I",VLOOKUP(B779,'20-A.SINAPI-I'!A:G,7,0),IF(D779="COMPOSIÇÕES",VLOOKUP(B779,'11.COMPOSIÇÕES GERAIS'!B:I,8,0),VLOOKUP(B779,'12.COT.MERCADO'!A:I,8,0)))),"Em Elaboração")</f>
        <v>32.42</v>
      </c>
      <c r="J779" s="259">
        <f t="shared" si="137"/>
        <v>0</v>
      </c>
      <c r="K779" s="259">
        <f t="shared" si="138"/>
        <v>37.97466725</v>
      </c>
      <c r="L779" s="259">
        <f t="shared" si="139"/>
        <v>37.97466725</v>
      </c>
      <c r="M779" s="259">
        <f t="shared" si="140"/>
        <v>0</v>
      </c>
      <c r="N779" s="259">
        <f t="shared" si="141"/>
        <v>37.97466725</v>
      </c>
      <c r="O779" s="259">
        <f t="shared" si="142"/>
        <v>37.97466725</v>
      </c>
      <c r="P779" s="260">
        <f t="shared" si="2"/>
        <v>0.00002970660392</v>
      </c>
    </row>
    <row r="780">
      <c r="A780" s="253" t="s">
        <v>933</v>
      </c>
      <c r="B780" s="254">
        <v>7123.0</v>
      </c>
      <c r="C780" s="255" t="str">
        <f t="shared" si="136"/>
        <v>SINAPI</v>
      </c>
      <c r="D780" s="256" t="s">
        <v>286</v>
      </c>
      <c r="E780" s="257" t="str">
        <f>IFERROR(IF(D780="SINAPI-S",VLOOKUP(B780,'20-B.SINAPI-S'!A:J,2,0),IF(D780="SINAPI-I",VLOOKUP(B780,'20-A.SINAPI-I'!A:G,2,0),IF(D780="COMPOSIÇÕES",VLOOKUP(B780,'11.COMPOSIÇÕES GERAIS'!B:I,2,0),VLOOKUP(B780,'12.COT.MERCADO'!A:I,2,0)))),"Em Elaboração")</f>
        <v>TE PVC, ROSCAVEL, 90 GRAUS, 3/4", AGUA FRIA PREDIAL</v>
      </c>
      <c r="F780" s="258" t="str">
        <f>IFERROR(IF(D780="SINAPI-S",VLOOKUP(B780,'20-B.SINAPI-S'!A:J,3,0),IF(D780="SINAPI-I",VLOOKUP(B780,'20-A.SINAPI-I'!A:G,3,0),IF(D780="COMPOSIÇÕES",VLOOKUP(B780,'11.COMPOSIÇÕES GERAIS'!B:I,3,0),VLOOKUP(B780,'12.COT.MERCADO'!A:I,7,0)))),"Em Elaboração")</f>
        <v>UN</v>
      </c>
      <c r="G780" s="254">
        <v>1.0</v>
      </c>
      <c r="H780" s="259">
        <f>IFERROR(IF(D780="SINAPI-S",VLOOKUP(B780,'20-B.SINAPI-S'!A:J,5,0),IF(D780="SINAPI-I",VLOOKUP(B780,'20-A.SINAPI-I'!A:G,6,0),IF(D780="COMPOSIÇÕES",VLOOKUP(B780,'11.COMPOSIÇÕES GERAIS'!B:I,7,0),0))),"Em Elaboração")</f>
        <v>0</v>
      </c>
      <c r="I780" s="259">
        <f>IFERROR(IF(D780="SINAPI-S",VLOOKUP(B780,'20-B.SINAPI-S'!A:J,6,0),IF(D780="SINAPI-I",VLOOKUP(B780,'20-A.SINAPI-I'!A:G,7,0),IF(D780="COMPOSIÇÕES",VLOOKUP(B780,'11.COMPOSIÇÕES GERAIS'!B:I,8,0),VLOOKUP(B780,'12.COT.MERCADO'!A:I,8,0)))),"Em Elaboração")</f>
        <v>4.85</v>
      </c>
      <c r="J780" s="259">
        <f t="shared" si="137"/>
        <v>0</v>
      </c>
      <c r="K780" s="259">
        <f t="shared" si="138"/>
        <v>5.680972738</v>
      </c>
      <c r="L780" s="259">
        <f t="shared" si="139"/>
        <v>5.680972738</v>
      </c>
      <c r="M780" s="259">
        <f t="shared" si="140"/>
        <v>0</v>
      </c>
      <c r="N780" s="259">
        <f t="shared" si="141"/>
        <v>5.680972738</v>
      </c>
      <c r="O780" s="259">
        <f t="shared" si="142"/>
        <v>5.680972738</v>
      </c>
      <c r="P780" s="260">
        <f t="shared" si="2"/>
        <v>0.000004444078624</v>
      </c>
    </row>
    <row r="781">
      <c r="A781" s="253" t="s">
        <v>934</v>
      </c>
      <c r="B781" s="254">
        <v>11762.0</v>
      </c>
      <c r="C781" s="255" t="str">
        <f t="shared" si="136"/>
        <v>SINAPI</v>
      </c>
      <c r="D781" s="256" t="s">
        <v>286</v>
      </c>
      <c r="E781" s="257" t="str">
        <f>IFERROR(IF(D781="SINAPI-S",VLOOKUP(B781,'20-B.SINAPI-S'!A:J,2,0),IF(D781="SINAPI-I",VLOOKUP(B781,'20-A.SINAPI-I'!A:G,2,0),IF(D781="COMPOSIÇÕES",VLOOKUP(B781,'11.COMPOSIÇÕES GERAIS'!B:I,2,0),VLOOKUP(B781,'12.COT.MERCADO'!A:I,2,0)))),"Em Elaboração")</f>
        <v>TORNEIRA METALICA CROMADA PARA JARDIM / TANQUE, COM BICO PLASTICO, CANO LONGO, DE PAREDE, PADRAO POPULAR / USO GERAL , 1/2 " OU 3/4 " (REF 1153 / 1130)</v>
      </c>
      <c r="F781" s="258" t="str">
        <f>IFERROR(IF(D781="SINAPI-S",VLOOKUP(B781,'20-B.SINAPI-S'!A:J,3,0),IF(D781="SINAPI-I",VLOOKUP(B781,'20-A.SINAPI-I'!A:G,3,0),IF(D781="COMPOSIÇÕES",VLOOKUP(B781,'11.COMPOSIÇÕES GERAIS'!B:I,3,0),VLOOKUP(B781,'12.COT.MERCADO'!A:I,7,0)))),"Em Elaboração")</f>
        <v>UN</v>
      </c>
      <c r="G781" s="254">
        <v>2.0</v>
      </c>
      <c r="H781" s="259">
        <f>IFERROR(IF(D781="SINAPI-S",VLOOKUP(B781,'20-B.SINAPI-S'!A:J,5,0),IF(D781="SINAPI-I",VLOOKUP(B781,'20-A.SINAPI-I'!A:G,6,0),IF(D781="COMPOSIÇÕES",VLOOKUP(B781,'11.COMPOSIÇÕES GERAIS'!B:I,7,0),0))),"Em Elaboração")</f>
        <v>0</v>
      </c>
      <c r="I781" s="259">
        <f>IFERROR(IF(D781="SINAPI-S",VLOOKUP(B781,'20-B.SINAPI-S'!A:J,6,0),IF(D781="SINAPI-I",VLOOKUP(B781,'20-A.SINAPI-I'!A:G,7,0),IF(D781="COMPOSIÇÕES",VLOOKUP(B781,'11.COMPOSIÇÕES GERAIS'!B:I,8,0),VLOOKUP(B781,'12.COT.MERCADO'!A:I,8,0)))),"Em Elaboração")</f>
        <v>49.23</v>
      </c>
      <c r="J781" s="259">
        <f t="shared" si="137"/>
        <v>0</v>
      </c>
      <c r="K781" s="259">
        <f t="shared" si="138"/>
        <v>57.66480163</v>
      </c>
      <c r="L781" s="259">
        <f t="shared" si="139"/>
        <v>57.66480163</v>
      </c>
      <c r="M781" s="259">
        <f t="shared" si="140"/>
        <v>0</v>
      </c>
      <c r="N781" s="259">
        <f t="shared" si="141"/>
        <v>115.3296033</v>
      </c>
      <c r="O781" s="259">
        <f t="shared" si="142"/>
        <v>115.3296033</v>
      </c>
      <c r="P781" s="260">
        <f t="shared" si="2"/>
        <v>0.00009021937759</v>
      </c>
    </row>
    <row r="782">
      <c r="A782" s="253" t="s">
        <v>935</v>
      </c>
      <c r="B782" s="254">
        <v>36796.0</v>
      </c>
      <c r="C782" s="255" t="str">
        <f t="shared" si="136"/>
        <v>SINAPI</v>
      </c>
      <c r="D782" s="256" t="s">
        <v>286</v>
      </c>
      <c r="E782" s="257" t="str">
        <f>IFERROR(IF(D782="SINAPI-S",VLOOKUP(B782,'20-B.SINAPI-S'!A:J,2,0),IF(D782="SINAPI-I",VLOOKUP(B782,'20-A.SINAPI-I'!A:G,2,0),IF(D782="COMPOSIÇÕES",VLOOKUP(B782,'11.COMPOSIÇÕES GERAIS'!B:I,2,0),VLOOKUP(B782,'12.COT.MERCADO'!A:I,2,0)))),"Em Elaboração")</f>
        <v>TORNEIRA METALICA CROMADA DE MESA, PARA LAVATORIO, TEMPORIZADA PRESSAO FECHAMENTO AUTOMATICO, BICA BAIXA</v>
      </c>
      <c r="F782" s="258" t="str">
        <f>IFERROR(IF(D782="SINAPI-S",VLOOKUP(B782,'20-B.SINAPI-S'!A:J,3,0),IF(D782="SINAPI-I",VLOOKUP(B782,'20-A.SINAPI-I'!A:G,3,0),IF(D782="COMPOSIÇÕES",VLOOKUP(B782,'11.COMPOSIÇÕES GERAIS'!B:I,3,0),VLOOKUP(B782,'12.COT.MERCADO'!A:I,7,0)))),"Em Elaboração")</f>
        <v>UN</v>
      </c>
      <c r="G782" s="254">
        <v>2.0</v>
      </c>
      <c r="H782" s="259">
        <f>IFERROR(IF(D782="SINAPI-S",VLOOKUP(B782,'20-B.SINAPI-S'!A:J,5,0),IF(D782="SINAPI-I",VLOOKUP(B782,'20-A.SINAPI-I'!A:G,6,0),IF(D782="COMPOSIÇÕES",VLOOKUP(B782,'11.COMPOSIÇÕES GERAIS'!B:I,7,0),0))),"Em Elaboração")</f>
        <v>0</v>
      </c>
      <c r="I782" s="259">
        <f>IFERROR(IF(D782="SINAPI-S",VLOOKUP(B782,'20-B.SINAPI-S'!A:J,6,0),IF(D782="SINAPI-I",VLOOKUP(B782,'20-A.SINAPI-I'!A:G,7,0),IF(D782="COMPOSIÇÕES",VLOOKUP(B782,'11.COMPOSIÇÕES GERAIS'!B:I,8,0),VLOOKUP(B782,'12.COT.MERCADO'!A:I,8,0)))),"Em Elaboração")</f>
        <v>123.08</v>
      </c>
      <c r="J782" s="259">
        <f t="shared" si="137"/>
        <v>0</v>
      </c>
      <c r="K782" s="259">
        <f t="shared" si="138"/>
        <v>144.1678607</v>
      </c>
      <c r="L782" s="259">
        <f t="shared" si="139"/>
        <v>144.1678607</v>
      </c>
      <c r="M782" s="259">
        <f t="shared" si="140"/>
        <v>0</v>
      </c>
      <c r="N782" s="259">
        <f t="shared" si="141"/>
        <v>288.3357215</v>
      </c>
      <c r="O782" s="259">
        <f t="shared" si="142"/>
        <v>288.3357215</v>
      </c>
      <c r="P782" s="260">
        <f t="shared" si="2"/>
        <v>0.000225557607</v>
      </c>
    </row>
    <row r="783">
      <c r="A783" s="253" t="s">
        <v>936</v>
      </c>
      <c r="B783" s="254">
        <v>13417.0</v>
      </c>
      <c r="C783" s="255" t="str">
        <f t="shared" si="136"/>
        <v>SINAPI</v>
      </c>
      <c r="D783" s="256" t="s">
        <v>286</v>
      </c>
      <c r="E783" s="257" t="str">
        <f>IFERROR(IF(D783="SINAPI-S",VLOOKUP(B783,'20-B.SINAPI-S'!A:J,2,0),IF(D783="SINAPI-I",VLOOKUP(B783,'20-A.SINAPI-I'!A:G,2,0),IF(D783="COMPOSIÇÕES",VLOOKUP(B783,'11.COMPOSIÇÕES GERAIS'!B:I,2,0),VLOOKUP(B783,'12.COT.MERCADO'!A:I,2,0)))),"Em Elaboração")</f>
        <v>TORNEIRA METALICA CROMADA CANO CURTO, SEM BICO, SEM AREJADOR, DE PAREDE, PARA TANQUE E USO GERAL, 1/2 " OU 3/4 " (REF 1143)</v>
      </c>
      <c r="F783" s="258" t="str">
        <f>IFERROR(IF(D783="SINAPI-S",VLOOKUP(B783,'20-B.SINAPI-S'!A:J,3,0),IF(D783="SINAPI-I",VLOOKUP(B783,'20-A.SINAPI-I'!A:G,3,0),IF(D783="COMPOSIÇÕES",VLOOKUP(B783,'11.COMPOSIÇÕES GERAIS'!B:I,3,0),VLOOKUP(B783,'12.COT.MERCADO'!A:I,7,0)))),"Em Elaboração")</f>
        <v>UN</v>
      </c>
      <c r="G783" s="254">
        <v>2.0</v>
      </c>
      <c r="H783" s="259">
        <f>IFERROR(IF(D783="SINAPI-S",VLOOKUP(B783,'20-B.SINAPI-S'!A:J,5,0),IF(D783="SINAPI-I",VLOOKUP(B783,'20-A.SINAPI-I'!A:G,6,0),IF(D783="COMPOSIÇÕES",VLOOKUP(B783,'11.COMPOSIÇÕES GERAIS'!B:I,7,0),0))),"Em Elaboração")</f>
        <v>0</v>
      </c>
      <c r="I783" s="259">
        <f>IFERROR(IF(D783="SINAPI-S",VLOOKUP(B783,'20-B.SINAPI-S'!A:J,6,0),IF(D783="SINAPI-I",VLOOKUP(B783,'20-A.SINAPI-I'!A:G,7,0),IF(D783="COMPOSIÇÕES",VLOOKUP(B783,'11.COMPOSIÇÕES GERAIS'!B:I,8,0),VLOOKUP(B783,'12.COT.MERCADO'!A:I,8,0)))),"Em Elaboração")</f>
        <v>78.05</v>
      </c>
      <c r="J783" s="259">
        <f t="shared" si="137"/>
        <v>0</v>
      </c>
      <c r="K783" s="259">
        <f t="shared" si="138"/>
        <v>91.42266437</v>
      </c>
      <c r="L783" s="259">
        <f t="shared" si="139"/>
        <v>91.42266437</v>
      </c>
      <c r="M783" s="259">
        <f t="shared" si="140"/>
        <v>0</v>
      </c>
      <c r="N783" s="259">
        <f t="shared" si="141"/>
        <v>182.8453287</v>
      </c>
      <c r="O783" s="259">
        <f t="shared" si="142"/>
        <v>182.8453287</v>
      </c>
      <c r="P783" s="260">
        <f t="shared" si="2"/>
        <v>0.0001430351904</v>
      </c>
    </row>
    <row r="784">
      <c r="A784" s="253" t="s">
        <v>937</v>
      </c>
      <c r="B784" s="254">
        <v>9866.0</v>
      </c>
      <c r="C784" s="255" t="str">
        <f t="shared" si="136"/>
        <v>SINAPI</v>
      </c>
      <c r="D784" s="256" t="s">
        <v>286</v>
      </c>
      <c r="E784" s="257" t="str">
        <f>IFERROR(IF(D784="SINAPI-S",VLOOKUP(B784,'20-B.SINAPI-S'!A:J,2,0),IF(D784="SINAPI-I",VLOOKUP(B784,'20-A.SINAPI-I'!A:G,2,0),IF(D784="COMPOSIÇÕES",VLOOKUP(B784,'11.COMPOSIÇÕES GERAIS'!B:I,2,0),VLOOKUP(B784,'12.COT.MERCADO'!A:I,2,0)))),"Em Elaboração")</f>
        <v>TUBO PVC, ROSCAVEL, 1", AGUA FRIA PREDIAL</v>
      </c>
      <c r="F784" s="258" t="str">
        <f>IFERROR(IF(D784="SINAPI-S",VLOOKUP(B784,'20-B.SINAPI-S'!A:J,3,0),IF(D784="SINAPI-I",VLOOKUP(B784,'20-A.SINAPI-I'!A:G,3,0),IF(D784="COMPOSIÇÕES",VLOOKUP(B784,'11.COMPOSIÇÕES GERAIS'!B:I,3,0),VLOOKUP(B784,'12.COT.MERCADO'!A:I,7,0)))),"Em Elaboração")</f>
        <v>M</v>
      </c>
      <c r="G784" s="254">
        <v>10.0</v>
      </c>
      <c r="H784" s="259">
        <f>IFERROR(IF(D784="SINAPI-S",VLOOKUP(B784,'20-B.SINAPI-S'!A:J,5,0),IF(D784="SINAPI-I",VLOOKUP(B784,'20-A.SINAPI-I'!A:G,6,0),IF(D784="COMPOSIÇÕES",VLOOKUP(B784,'11.COMPOSIÇÕES GERAIS'!B:I,7,0),0))),"Em Elaboração")</f>
        <v>0</v>
      </c>
      <c r="I784" s="259">
        <f>IFERROR(IF(D784="SINAPI-S",VLOOKUP(B784,'20-B.SINAPI-S'!A:J,6,0),IF(D784="SINAPI-I",VLOOKUP(B784,'20-A.SINAPI-I'!A:G,7,0),IF(D784="COMPOSIÇÕES",VLOOKUP(B784,'11.COMPOSIÇÕES GERAIS'!B:I,8,0),VLOOKUP(B784,'12.COT.MERCADO'!A:I,8,0)))),"Em Elaboração")</f>
        <v>22.24</v>
      </c>
      <c r="J784" s="259">
        <f t="shared" si="137"/>
        <v>0</v>
      </c>
      <c r="K784" s="259">
        <f t="shared" si="138"/>
        <v>26.05048117</v>
      </c>
      <c r="L784" s="259">
        <f t="shared" si="139"/>
        <v>26.05048117</v>
      </c>
      <c r="M784" s="259">
        <f t="shared" si="140"/>
        <v>0</v>
      </c>
      <c r="N784" s="259">
        <f t="shared" si="141"/>
        <v>260.5048117</v>
      </c>
      <c r="O784" s="259">
        <f t="shared" si="142"/>
        <v>260.5048117</v>
      </c>
      <c r="P784" s="260">
        <f t="shared" si="2"/>
        <v>0.0002037862033</v>
      </c>
    </row>
    <row r="785">
      <c r="A785" s="253" t="s">
        <v>938</v>
      </c>
      <c r="B785" s="254">
        <v>9862.0</v>
      </c>
      <c r="C785" s="255" t="str">
        <f t="shared" si="136"/>
        <v>SINAPI</v>
      </c>
      <c r="D785" s="256" t="s">
        <v>286</v>
      </c>
      <c r="E785" s="257" t="str">
        <f>IFERROR(IF(D785="SINAPI-S",VLOOKUP(B785,'20-B.SINAPI-S'!A:J,2,0),IF(D785="SINAPI-I",VLOOKUP(B785,'20-A.SINAPI-I'!A:G,2,0),IF(D785="COMPOSIÇÕES",VLOOKUP(B785,'11.COMPOSIÇÕES GERAIS'!B:I,2,0),VLOOKUP(B785,'12.COT.MERCADO'!A:I,2,0)))),"Em Elaboração")</f>
        <v>TUBO PVC, ROSCAVEL, 1 1/2",  AGUA FRIA PREDIAL</v>
      </c>
      <c r="F785" s="258" t="str">
        <f>IFERROR(IF(D785="SINAPI-S",VLOOKUP(B785,'20-B.SINAPI-S'!A:J,3,0),IF(D785="SINAPI-I",VLOOKUP(B785,'20-A.SINAPI-I'!A:G,3,0),IF(D785="COMPOSIÇÕES",VLOOKUP(B785,'11.COMPOSIÇÕES GERAIS'!B:I,3,0),VLOOKUP(B785,'12.COT.MERCADO'!A:I,7,0)))),"Em Elaboração")</f>
        <v>M</v>
      </c>
      <c r="G785" s="254">
        <v>10.0</v>
      </c>
      <c r="H785" s="259">
        <f>IFERROR(IF(D785="SINAPI-S",VLOOKUP(B785,'20-B.SINAPI-S'!A:J,5,0),IF(D785="SINAPI-I",VLOOKUP(B785,'20-A.SINAPI-I'!A:G,6,0),IF(D785="COMPOSIÇÕES",VLOOKUP(B785,'11.COMPOSIÇÕES GERAIS'!B:I,7,0),0))),"Em Elaboração")</f>
        <v>0</v>
      </c>
      <c r="I785" s="259">
        <f>IFERROR(IF(D785="SINAPI-S",VLOOKUP(B785,'20-B.SINAPI-S'!A:J,6,0),IF(D785="SINAPI-I",VLOOKUP(B785,'20-A.SINAPI-I'!A:G,7,0),IF(D785="COMPOSIÇÕES",VLOOKUP(B785,'11.COMPOSIÇÕES GERAIS'!B:I,8,0),VLOOKUP(B785,'12.COT.MERCADO'!A:I,8,0)))),"Em Elaboração")</f>
        <v>32.82</v>
      </c>
      <c r="J785" s="259">
        <f t="shared" si="137"/>
        <v>0</v>
      </c>
      <c r="K785" s="259">
        <f t="shared" si="138"/>
        <v>38.44320108</v>
      </c>
      <c r="L785" s="259">
        <f t="shared" si="139"/>
        <v>38.44320108</v>
      </c>
      <c r="M785" s="259">
        <f t="shared" si="140"/>
        <v>0</v>
      </c>
      <c r="N785" s="259">
        <f t="shared" si="141"/>
        <v>384.4320108</v>
      </c>
      <c r="O785" s="259">
        <f t="shared" si="142"/>
        <v>384.4320108</v>
      </c>
      <c r="P785" s="260">
        <f t="shared" si="2"/>
        <v>0.0003007312586</v>
      </c>
    </row>
    <row r="786">
      <c r="A786" s="253" t="s">
        <v>939</v>
      </c>
      <c r="B786" s="254">
        <v>9861.0</v>
      </c>
      <c r="C786" s="255" t="str">
        <f t="shared" si="136"/>
        <v>SINAPI</v>
      </c>
      <c r="D786" s="256" t="s">
        <v>286</v>
      </c>
      <c r="E786" s="257" t="str">
        <f>IFERROR(IF(D786="SINAPI-S",VLOOKUP(B786,'20-B.SINAPI-S'!A:J,2,0),IF(D786="SINAPI-I",VLOOKUP(B786,'20-A.SINAPI-I'!A:G,2,0),IF(D786="COMPOSIÇÕES",VLOOKUP(B786,'11.COMPOSIÇÕES GERAIS'!B:I,2,0),VLOOKUP(B786,'12.COT.MERCADO'!A:I,2,0)))),"Em Elaboração")</f>
        <v>TUBO PVC, ROSCAVEL, 1 1/4", AGUA FRIA PREDIAL</v>
      </c>
      <c r="F786" s="258" t="str">
        <f>IFERROR(IF(D786="SINAPI-S",VLOOKUP(B786,'20-B.SINAPI-S'!A:J,3,0),IF(D786="SINAPI-I",VLOOKUP(B786,'20-A.SINAPI-I'!A:G,3,0),IF(D786="COMPOSIÇÕES",VLOOKUP(B786,'11.COMPOSIÇÕES GERAIS'!B:I,3,0),VLOOKUP(B786,'12.COT.MERCADO'!A:I,7,0)))),"Em Elaboração")</f>
        <v>M</v>
      </c>
      <c r="G786" s="254">
        <v>10.0</v>
      </c>
      <c r="H786" s="259">
        <f>IFERROR(IF(D786="SINAPI-S",VLOOKUP(B786,'20-B.SINAPI-S'!A:J,5,0),IF(D786="SINAPI-I",VLOOKUP(B786,'20-A.SINAPI-I'!A:G,6,0),IF(D786="COMPOSIÇÕES",VLOOKUP(B786,'11.COMPOSIÇÕES GERAIS'!B:I,7,0),0))),"Em Elaboração")</f>
        <v>0</v>
      </c>
      <c r="I786" s="259">
        <f>IFERROR(IF(D786="SINAPI-S",VLOOKUP(B786,'20-B.SINAPI-S'!A:J,6,0),IF(D786="SINAPI-I",VLOOKUP(B786,'20-A.SINAPI-I'!A:G,7,0),IF(D786="COMPOSIÇÕES",VLOOKUP(B786,'11.COMPOSIÇÕES GERAIS'!B:I,8,0),VLOOKUP(B786,'12.COT.MERCADO'!A:I,8,0)))),"Em Elaboração")</f>
        <v>25.78</v>
      </c>
      <c r="J786" s="259">
        <f t="shared" si="137"/>
        <v>0</v>
      </c>
      <c r="K786" s="259">
        <f t="shared" si="138"/>
        <v>30.1970056</v>
      </c>
      <c r="L786" s="259">
        <f t="shared" si="139"/>
        <v>30.1970056</v>
      </c>
      <c r="M786" s="259">
        <f t="shared" si="140"/>
        <v>0</v>
      </c>
      <c r="N786" s="259">
        <f t="shared" si="141"/>
        <v>301.970056</v>
      </c>
      <c r="O786" s="259">
        <f t="shared" si="142"/>
        <v>301.970056</v>
      </c>
      <c r="P786" s="260">
        <f t="shared" si="2"/>
        <v>0.0002362233957</v>
      </c>
    </row>
    <row r="787">
      <c r="A787" s="253" t="s">
        <v>940</v>
      </c>
      <c r="B787" s="254">
        <v>9860.0</v>
      </c>
      <c r="C787" s="255" t="str">
        <f t="shared" si="136"/>
        <v>SINAPI</v>
      </c>
      <c r="D787" s="256" t="s">
        <v>286</v>
      </c>
      <c r="E787" s="257" t="str">
        <f>IFERROR(IF(D787="SINAPI-S",VLOOKUP(B787,'20-B.SINAPI-S'!A:J,2,0),IF(D787="SINAPI-I",VLOOKUP(B787,'20-A.SINAPI-I'!A:G,2,0),IF(D787="COMPOSIÇÕES",VLOOKUP(B787,'11.COMPOSIÇÕES GERAIS'!B:I,2,0),VLOOKUP(B787,'12.COT.MERCADO'!A:I,2,0)))),"Em Elaboração")</f>
        <v>TUBO PVC, ROSCAVEL,  2", PARA AGUA FRIA PREDIAL</v>
      </c>
      <c r="F787" s="258" t="str">
        <f>IFERROR(IF(D787="SINAPI-S",VLOOKUP(B787,'20-B.SINAPI-S'!A:J,3,0),IF(D787="SINAPI-I",VLOOKUP(B787,'20-A.SINAPI-I'!A:G,3,0),IF(D787="COMPOSIÇÕES",VLOOKUP(B787,'11.COMPOSIÇÕES GERAIS'!B:I,3,0),VLOOKUP(B787,'12.COT.MERCADO'!A:I,7,0)))),"Em Elaboração")</f>
        <v>M</v>
      </c>
      <c r="G787" s="254">
        <v>10.0</v>
      </c>
      <c r="H787" s="259">
        <f>IFERROR(IF(D787="SINAPI-S",VLOOKUP(B787,'20-B.SINAPI-S'!A:J,5,0),IF(D787="SINAPI-I",VLOOKUP(B787,'20-A.SINAPI-I'!A:G,6,0),IF(D787="COMPOSIÇÕES",VLOOKUP(B787,'11.COMPOSIÇÕES GERAIS'!B:I,7,0),0))),"Em Elaboração")</f>
        <v>0</v>
      </c>
      <c r="I787" s="259">
        <f>IFERROR(IF(D787="SINAPI-S",VLOOKUP(B787,'20-B.SINAPI-S'!A:J,6,0),IF(D787="SINAPI-I",VLOOKUP(B787,'20-A.SINAPI-I'!A:G,7,0),IF(D787="COMPOSIÇÕES",VLOOKUP(B787,'11.COMPOSIÇÕES GERAIS'!B:I,8,0),VLOOKUP(B787,'12.COT.MERCADO'!A:I,8,0)))),"Em Elaboração")</f>
        <v>46.97</v>
      </c>
      <c r="J787" s="259">
        <f t="shared" si="137"/>
        <v>0</v>
      </c>
      <c r="K787" s="259">
        <f t="shared" si="138"/>
        <v>55.01758546</v>
      </c>
      <c r="L787" s="259">
        <f t="shared" si="139"/>
        <v>55.01758546</v>
      </c>
      <c r="M787" s="259">
        <f t="shared" si="140"/>
        <v>0</v>
      </c>
      <c r="N787" s="259">
        <f t="shared" si="141"/>
        <v>550.1758546</v>
      </c>
      <c r="O787" s="259">
        <f t="shared" si="142"/>
        <v>550.1758546</v>
      </c>
      <c r="P787" s="260">
        <f t="shared" si="2"/>
        <v>0.0004303883979</v>
      </c>
    </row>
    <row r="788">
      <c r="A788" s="253" t="s">
        <v>941</v>
      </c>
      <c r="B788" s="254">
        <v>9863.0</v>
      </c>
      <c r="C788" s="255" t="str">
        <f t="shared" si="136"/>
        <v>SINAPI</v>
      </c>
      <c r="D788" s="256" t="s">
        <v>286</v>
      </c>
      <c r="E788" s="257" t="str">
        <f>IFERROR(IF(D788="SINAPI-S",VLOOKUP(B788,'20-B.SINAPI-S'!A:J,2,0),IF(D788="SINAPI-I",VLOOKUP(B788,'20-A.SINAPI-I'!A:G,2,0),IF(D788="COMPOSIÇÕES",VLOOKUP(B788,'11.COMPOSIÇÕES GERAIS'!B:I,2,0),VLOOKUP(B788,'12.COT.MERCADO'!A:I,2,0)))),"Em Elaboração")</f>
        <v>TUBO PVC, ROSCAVEL,  2 1/2", AGUA FRIA PREDIAL</v>
      </c>
      <c r="F788" s="258" t="str">
        <f>IFERROR(IF(D788="SINAPI-S",VLOOKUP(B788,'20-B.SINAPI-S'!A:J,3,0),IF(D788="SINAPI-I",VLOOKUP(B788,'20-A.SINAPI-I'!A:G,3,0),IF(D788="COMPOSIÇÕES",VLOOKUP(B788,'11.COMPOSIÇÕES GERAIS'!B:I,3,0),VLOOKUP(B788,'12.COT.MERCADO'!A:I,7,0)))),"Em Elaboração")</f>
        <v>M</v>
      </c>
      <c r="G788" s="254">
        <v>10.0</v>
      </c>
      <c r="H788" s="259">
        <f>IFERROR(IF(D788="SINAPI-S",VLOOKUP(B788,'20-B.SINAPI-S'!A:J,5,0),IF(D788="SINAPI-I",VLOOKUP(B788,'20-A.SINAPI-I'!A:G,6,0),IF(D788="COMPOSIÇÕES",VLOOKUP(B788,'11.COMPOSIÇÕES GERAIS'!B:I,7,0),0))),"Em Elaboração")</f>
        <v>0</v>
      </c>
      <c r="I788" s="259">
        <f>IFERROR(IF(D788="SINAPI-S",VLOOKUP(B788,'20-B.SINAPI-S'!A:J,6,0),IF(D788="SINAPI-I",VLOOKUP(B788,'20-A.SINAPI-I'!A:G,7,0),IF(D788="COMPOSIÇÕES",VLOOKUP(B788,'11.COMPOSIÇÕES GERAIS'!B:I,8,0),VLOOKUP(B788,'12.COT.MERCADO'!A:I,8,0)))),"Em Elaboração")</f>
        <v>64.35</v>
      </c>
      <c r="J788" s="259">
        <f t="shared" si="137"/>
        <v>0</v>
      </c>
      <c r="K788" s="259">
        <f t="shared" si="138"/>
        <v>75.37538055</v>
      </c>
      <c r="L788" s="259">
        <f t="shared" si="139"/>
        <v>75.37538055</v>
      </c>
      <c r="M788" s="259">
        <f t="shared" si="140"/>
        <v>0</v>
      </c>
      <c r="N788" s="259">
        <f t="shared" si="141"/>
        <v>753.7538055</v>
      </c>
      <c r="O788" s="259">
        <f t="shared" si="142"/>
        <v>753.7538055</v>
      </c>
      <c r="P788" s="260">
        <f t="shared" si="2"/>
        <v>0.0005896421845</v>
      </c>
    </row>
    <row r="789">
      <c r="A789" s="253" t="s">
        <v>942</v>
      </c>
      <c r="B789" s="254">
        <v>9859.0</v>
      </c>
      <c r="C789" s="255" t="str">
        <f t="shared" si="136"/>
        <v>SINAPI</v>
      </c>
      <c r="D789" s="256" t="s">
        <v>286</v>
      </c>
      <c r="E789" s="257" t="str">
        <f>IFERROR(IF(D789="SINAPI-S",VLOOKUP(B789,'20-B.SINAPI-S'!A:J,2,0),IF(D789="SINAPI-I",VLOOKUP(B789,'20-A.SINAPI-I'!A:G,2,0),IF(D789="COMPOSIÇÕES",VLOOKUP(B789,'11.COMPOSIÇÕES GERAIS'!B:I,2,0),VLOOKUP(B789,'12.COT.MERCADO'!A:I,2,0)))),"Em Elaboração")</f>
        <v>TUBO PVC ROSCAVEL, 3/4",  AGUA FRIA PREDIAL</v>
      </c>
      <c r="F789" s="258" t="str">
        <f>IFERROR(IF(D789="SINAPI-S",VLOOKUP(B789,'20-B.SINAPI-S'!A:J,3,0),IF(D789="SINAPI-I",VLOOKUP(B789,'20-A.SINAPI-I'!A:G,3,0),IF(D789="COMPOSIÇÕES",VLOOKUP(B789,'11.COMPOSIÇÕES GERAIS'!B:I,3,0),VLOOKUP(B789,'12.COT.MERCADO'!A:I,7,0)))),"Em Elaboração")</f>
        <v>M</v>
      </c>
      <c r="G789" s="254">
        <v>10.0</v>
      </c>
      <c r="H789" s="259">
        <f>IFERROR(IF(D789="SINAPI-S",VLOOKUP(B789,'20-B.SINAPI-S'!A:J,5,0),IF(D789="SINAPI-I",VLOOKUP(B789,'20-A.SINAPI-I'!A:G,6,0),IF(D789="COMPOSIÇÕES",VLOOKUP(B789,'11.COMPOSIÇÕES GERAIS'!B:I,7,0),0))),"Em Elaboração")</f>
        <v>0</v>
      </c>
      <c r="I789" s="259">
        <f>IFERROR(IF(D789="SINAPI-S",VLOOKUP(B789,'20-B.SINAPI-S'!A:J,6,0),IF(D789="SINAPI-I",VLOOKUP(B789,'20-A.SINAPI-I'!A:G,7,0),IF(D789="COMPOSIÇÕES",VLOOKUP(B789,'11.COMPOSIÇÕES GERAIS'!B:I,8,0),VLOOKUP(B789,'12.COT.MERCADO'!A:I,8,0)))),"Em Elaboração")</f>
        <v>10.65</v>
      </c>
      <c r="J789" s="259">
        <f t="shared" si="137"/>
        <v>0</v>
      </c>
      <c r="K789" s="259">
        <f t="shared" si="138"/>
        <v>12.47471333</v>
      </c>
      <c r="L789" s="259">
        <f t="shared" si="139"/>
        <v>12.47471333</v>
      </c>
      <c r="M789" s="259">
        <f t="shared" si="140"/>
        <v>0</v>
      </c>
      <c r="N789" s="259">
        <f t="shared" si="141"/>
        <v>124.7471333</v>
      </c>
      <c r="O789" s="259">
        <f t="shared" si="142"/>
        <v>124.7471333</v>
      </c>
      <c r="P789" s="260">
        <f t="shared" si="2"/>
        <v>0.00009758646876</v>
      </c>
    </row>
    <row r="790">
      <c r="A790" s="253" t="s">
        <v>943</v>
      </c>
      <c r="B790" s="254">
        <v>9836.0</v>
      </c>
      <c r="C790" s="255" t="str">
        <f t="shared" si="136"/>
        <v>SINAPI</v>
      </c>
      <c r="D790" s="256" t="s">
        <v>286</v>
      </c>
      <c r="E790" s="257" t="str">
        <f>IFERROR(IF(D790="SINAPI-S",VLOOKUP(B790,'20-B.SINAPI-S'!A:J,2,0),IF(D790="SINAPI-I",VLOOKUP(B790,'20-A.SINAPI-I'!A:G,2,0),IF(D790="COMPOSIÇÕES",VLOOKUP(B790,'11.COMPOSIÇÕES GERAIS'!B:I,2,0),VLOOKUP(B790,'12.COT.MERCADO'!A:I,2,0)))),"Em Elaboração")</f>
        <v>TUBO PVC  SERIE NORMAL, DN 100 MM, PARA ESGOTO  PREDIAL (NBR 5688)</v>
      </c>
      <c r="F790" s="258" t="str">
        <f>IFERROR(IF(D790="SINAPI-S",VLOOKUP(B790,'20-B.SINAPI-S'!A:J,3,0),IF(D790="SINAPI-I",VLOOKUP(B790,'20-A.SINAPI-I'!A:G,3,0),IF(D790="COMPOSIÇÕES",VLOOKUP(B790,'11.COMPOSIÇÕES GERAIS'!B:I,3,0),VLOOKUP(B790,'12.COT.MERCADO'!A:I,7,0)))),"Em Elaboração")</f>
        <v>M</v>
      </c>
      <c r="G790" s="254">
        <v>10.0</v>
      </c>
      <c r="H790" s="259">
        <f>IFERROR(IF(D790="SINAPI-S",VLOOKUP(B790,'20-B.SINAPI-S'!A:J,5,0),IF(D790="SINAPI-I",VLOOKUP(B790,'20-A.SINAPI-I'!A:G,6,0),IF(D790="COMPOSIÇÕES",VLOOKUP(B790,'11.COMPOSIÇÕES GERAIS'!B:I,7,0),0))),"Em Elaboração")</f>
        <v>0</v>
      </c>
      <c r="I790" s="259">
        <f>IFERROR(IF(D790="SINAPI-S",VLOOKUP(B790,'20-B.SINAPI-S'!A:J,6,0),IF(D790="SINAPI-I",VLOOKUP(B790,'20-A.SINAPI-I'!A:G,7,0),IF(D790="COMPOSIÇÕES",VLOOKUP(B790,'11.COMPOSIÇÕES GERAIS'!B:I,8,0),VLOOKUP(B790,'12.COT.MERCADO'!A:I,8,0)))),"Em Elaboração")</f>
        <v>17</v>
      </c>
      <c r="J790" s="259">
        <f t="shared" si="137"/>
        <v>0</v>
      </c>
      <c r="K790" s="259">
        <f t="shared" si="138"/>
        <v>19.91268795</v>
      </c>
      <c r="L790" s="259">
        <f t="shared" si="139"/>
        <v>19.91268795</v>
      </c>
      <c r="M790" s="259">
        <f t="shared" si="140"/>
        <v>0</v>
      </c>
      <c r="N790" s="259">
        <f t="shared" si="141"/>
        <v>199.1268795</v>
      </c>
      <c r="O790" s="259">
        <f t="shared" si="142"/>
        <v>199.1268795</v>
      </c>
      <c r="P790" s="260">
        <f t="shared" si="2"/>
        <v>0.0001557718281</v>
      </c>
    </row>
    <row r="791">
      <c r="A791" s="253" t="s">
        <v>944</v>
      </c>
      <c r="B791" s="254">
        <v>9835.0</v>
      </c>
      <c r="C791" s="255" t="str">
        <f t="shared" si="136"/>
        <v>SINAPI</v>
      </c>
      <c r="D791" s="256" t="s">
        <v>286</v>
      </c>
      <c r="E791" s="257" t="str">
        <f>IFERROR(IF(D791="SINAPI-S",VLOOKUP(B791,'20-B.SINAPI-S'!A:J,2,0),IF(D791="SINAPI-I",VLOOKUP(B791,'20-A.SINAPI-I'!A:G,2,0),IF(D791="COMPOSIÇÕES",VLOOKUP(B791,'11.COMPOSIÇÕES GERAIS'!B:I,2,0),VLOOKUP(B791,'12.COT.MERCADO'!A:I,2,0)))),"Em Elaboração")</f>
        <v>TUBO PVC  SERIE NORMAL, DN 40 MM, PARA ESGOTO  PREDIAL (NBR 5688)</v>
      </c>
      <c r="F791" s="258" t="str">
        <f>IFERROR(IF(D791="SINAPI-S",VLOOKUP(B791,'20-B.SINAPI-S'!A:J,3,0),IF(D791="SINAPI-I",VLOOKUP(B791,'20-A.SINAPI-I'!A:G,3,0),IF(D791="COMPOSIÇÕES",VLOOKUP(B791,'11.COMPOSIÇÕES GERAIS'!B:I,3,0),VLOOKUP(B791,'12.COT.MERCADO'!A:I,7,0)))),"Em Elaboração")</f>
        <v>M</v>
      </c>
      <c r="G791" s="254">
        <v>10.0</v>
      </c>
      <c r="H791" s="259">
        <f>IFERROR(IF(D791="SINAPI-S",VLOOKUP(B791,'20-B.SINAPI-S'!A:J,5,0),IF(D791="SINAPI-I",VLOOKUP(B791,'20-A.SINAPI-I'!A:G,6,0),IF(D791="COMPOSIÇÕES",VLOOKUP(B791,'11.COMPOSIÇÕES GERAIS'!B:I,7,0),0))),"Em Elaboração")</f>
        <v>0</v>
      </c>
      <c r="I791" s="259">
        <f>IFERROR(IF(D791="SINAPI-S",VLOOKUP(B791,'20-B.SINAPI-S'!A:J,6,0),IF(D791="SINAPI-I",VLOOKUP(B791,'20-A.SINAPI-I'!A:G,7,0),IF(D791="COMPOSIÇÕES",VLOOKUP(B791,'11.COMPOSIÇÕES GERAIS'!B:I,8,0),VLOOKUP(B791,'12.COT.MERCADO'!A:I,8,0)))),"Em Elaboração")</f>
        <v>7.43</v>
      </c>
      <c r="J791" s="259">
        <f t="shared" si="137"/>
        <v>0</v>
      </c>
      <c r="K791" s="259">
        <f t="shared" si="138"/>
        <v>8.703015968</v>
      </c>
      <c r="L791" s="259">
        <f t="shared" si="139"/>
        <v>8.703015968</v>
      </c>
      <c r="M791" s="259">
        <f t="shared" si="140"/>
        <v>0</v>
      </c>
      <c r="N791" s="259">
        <f t="shared" si="141"/>
        <v>87.03015968</v>
      </c>
      <c r="O791" s="259">
        <f t="shared" si="142"/>
        <v>87.03015968</v>
      </c>
      <c r="P791" s="260">
        <f t="shared" si="2"/>
        <v>0.00006808145191</v>
      </c>
    </row>
    <row r="792">
      <c r="A792" s="253" t="s">
        <v>945</v>
      </c>
      <c r="B792" s="254">
        <v>9838.0</v>
      </c>
      <c r="C792" s="255" t="str">
        <f t="shared" si="136"/>
        <v>SINAPI</v>
      </c>
      <c r="D792" s="256" t="s">
        <v>286</v>
      </c>
      <c r="E792" s="257" t="str">
        <f>IFERROR(IF(D792="SINAPI-S",VLOOKUP(B792,'20-B.SINAPI-S'!A:J,2,0),IF(D792="SINAPI-I",VLOOKUP(B792,'20-A.SINAPI-I'!A:G,2,0),IF(D792="COMPOSIÇÕES",VLOOKUP(B792,'11.COMPOSIÇÕES GERAIS'!B:I,2,0),VLOOKUP(B792,'12.COT.MERCADO'!A:I,2,0)))),"Em Elaboração")</f>
        <v>TUBO PVC SERIE NORMAL, DN 50 MM, PARA ESGOTO PREDIAL (NBR 5688)</v>
      </c>
      <c r="F792" s="258" t="str">
        <f>IFERROR(IF(D792="SINAPI-S",VLOOKUP(B792,'20-B.SINAPI-S'!A:J,3,0),IF(D792="SINAPI-I",VLOOKUP(B792,'20-A.SINAPI-I'!A:G,3,0),IF(D792="COMPOSIÇÕES",VLOOKUP(B792,'11.COMPOSIÇÕES GERAIS'!B:I,3,0),VLOOKUP(B792,'12.COT.MERCADO'!A:I,7,0)))),"Em Elaboração")</f>
        <v>M</v>
      </c>
      <c r="G792" s="254">
        <v>10.0</v>
      </c>
      <c r="H792" s="259">
        <f>IFERROR(IF(D792="SINAPI-S",VLOOKUP(B792,'20-B.SINAPI-S'!A:J,5,0),IF(D792="SINAPI-I",VLOOKUP(B792,'20-A.SINAPI-I'!A:G,6,0),IF(D792="COMPOSIÇÕES",VLOOKUP(B792,'11.COMPOSIÇÕES GERAIS'!B:I,7,0),0))),"Em Elaboração")</f>
        <v>0</v>
      </c>
      <c r="I792" s="259">
        <f>IFERROR(IF(D792="SINAPI-S",VLOOKUP(B792,'20-B.SINAPI-S'!A:J,6,0),IF(D792="SINAPI-I",VLOOKUP(B792,'20-A.SINAPI-I'!A:G,7,0),IF(D792="COMPOSIÇÕES",VLOOKUP(B792,'11.COMPOSIÇÕES GERAIS'!B:I,8,0),VLOOKUP(B792,'12.COT.MERCADO'!A:I,8,0)))),"Em Elaboração")</f>
        <v>12.26</v>
      </c>
      <c r="J792" s="259">
        <f t="shared" si="137"/>
        <v>0</v>
      </c>
      <c r="K792" s="259">
        <f t="shared" si="138"/>
        <v>14.36056201</v>
      </c>
      <c r="L792" s="259">
        <f t="shared" si="139"/>
        <v>14.36056201</v>
      </c>
      <c r="M792" s="259">
        <f t="shared" si="140"/>
        <v>0</v>
      </c>
      <c r="N792" s="259">
        <f t="shared" si="141"/>
        <v>143.6056201</v>
      </c>
      <c r="O792" s="259">
        <f t="shared" si="142"/>
        <v>143.6056201</v>
      </c>
      <c r="P792" s="260">
        <f t="shared" si="2"/>
        <v>0.0001123389772</v>
      </c>
    </row>
    <row r="793">
      <c r="A793" s="253" t="s">
        <v>946</v>
      </c>
      <c r="B793" s="254">
        <v>9837.0</v>
      </c>
      <c r="C793" s="255" t="str">
        <f t="shared" si="136"/>
        <v>SINAPI</v>
      </c>
      <c r="D793" s="256" t="s">
        <v>286</v>
      </c>
      <c r="E793" s="257" t="str">
        <f>IFERROR(IF(D793="SINAPI-S",VLOOKUP(B793,'20-B.SINAPI-S'!A:J,2,0),IF(D793="SINAPI-I",VLOOKUP(B793,'20-A.SINAPI-I'!A:G,2,0),IF(D793="COMPOSIÇÕES",VLOOKUP(B793,'11.COMPOSIÇÕES GERAIS'!B:I,2,0),VLOOKUP(B793,'12.COT.MERCADO'!A:I,2,0)))),"Em Elaboração")</f>
        <v>TUBO PVC SERIE NORMAL, DN 75 MM, PARA ESGOTO PREDIAL (NBR 5688)</v>
      </c>
      <c r="F793" s="258" t="str">
        <f>IFERROR(IF(D793="SINAPI-S",VLOOKUP(B793,'20-B.SINAPI-S'!A:J,3,0),IF(D793="SINAPI-I",VLOOKUP(B793,'20-A.SINAPI-I'!A:G,3,0),IF(D793="COMPOSIÇÕES",VLOOKUP(B793,'11.COMPOSIÇÕES GERAIS'!B:I,3,0),VLOOKUP(B793,'12.COT.MERCADO'!A:I,7,0)))),"Em Elaboração")</f>
        <v>M</v>
      </c>
      <c r="G793" s="254">
        <v>10.0</v>
      </c>
      <c r="H793" s="259">
        <f>IFERROR(IF(D793="SINAPI-S",VLOOKUP(B793,'20-B.SINAPI-S'!A:J,5,0),IF(D793="SINAPI-I",VLOOKUP(B793,'20-A.SINAPI-I'!A:G,6,0),IF(D793="COMPOSIÇÕES",VLOOKUP(B793,'11.COMPOSIÇÕES GERAIS'!B:I,7,0),0))),"Em Elaboração")</f>
        <v>0</v>
      </c>
      <c r="I793" s="259">
        <f>IFERROR(IF(D793="SINAPI-S",VLOOKUP(B793,'20-B.SINAPI-S'!A:J,6,0),IF(D793="SINAPI-I",VLOOKUP(B793,'20-A.SINAPI-I'!A:G,7,0),IF(D793="COMPOSIÇÕES",VLOOKUP(B793,'11.COMPOSIÇÕES GERAIS'!B:I,8,0),VLOOKUP(B793,'12.COT.MERCADO'!A:I,8,0)))),"Em Elaboração")</f>
        <v>16.09</v>
      </c>
      <c r="J793" s="259">
        <f t="shared" si="137"/>
        <v>0</v>
      </c>
      <c r="K793" s="259">
        <f t="shared" si="138"/>
        <v>18.84677347</v>
      </c>
      <c r="L793" s="259">
        <f t="shared" si="139"/>
        <v>18.84677347</v>
      </c>
      <c r="M793" s="259">
        <f t="shared" si="140"/>
        <v>0</v>
      </c>
      <c r="N793" s="259">
        <f t="shared" si="141"/>
        <v>188.4677347</v>
      </c>
      <c r="O793" s="259">
        <f t="shared" si="142"/>
        <v>188.4677347</v>
      </c>
      <c r="P793" s="260">
        <f t="shared" si="2"/>
        <v>0.0001474334537</v>
      </c>
    </row>
    <row r="794">
      <c r="A794" s="253" t="s">
        <v>947</v>
      </c>
      <c r="B794" s="254">
        <v>9868.0</v>
      </c>
      <c r="C794" s="255" t="str">
        <f t="shared" si="136"/>
        <v>SINAPI</v>
      </c>
      <c r="D794" s="256" t="s">
        <v>286</v>
      </c>
      <c r="E794" s="257" t="str">
        <f>IFERROR(IF(D794="SINAPI-S",VLOOKUP(B794,'20-B.SINAPI-S'!A:J,2,0),IF(D794="SINAPI-I",VLOOKUP(B794,'20-A.SINAPI-I'!A:G,2,0),IF(D794="COMPOSIÇÕES",VLOOKUP(B794,'11.COMPOSIÇÕES GERAIS'!B:I,2,0),VLOOKUP(B794,'12.COT.MERCADO'!A:I,2,0)))),"Em Elaboração")</f>
        <v>TUBO PVC, SOLDAVEL, DE 25 MM, AGUA FRIA (NBR-5648)</v>
      </c>
      <c r="F794" s="258" t="str">
        <f>IFERROR(IF(D794="SINAPI-S",VLOOKUP(B794,'20-B.SINAPI-S'!A:J,3,0),IF(D794="SINAPI-I",VLOOKUP(B794,'20-A.SINAPI-I'!A:G,3,0),IF(D794="COMPOSIÇÕES",VLOOKUP(B794,'11.COMPOSIÇÕES GERAIS'!B:I,3,0),VLOOKUP(B794,'12.COT.MERCADO'!A:I,7,0)))),"Em Elaboração")</f>
        <v>M</v>
      </c>
      <c r="G794" s="254">
        <v>10.0</v>
      </c>
      <c r="H794" s="259">
        <f>IFERROR(IF(D794="SINAPI-S",VLOOKUP(B794,'20-B.SINAPI-S'!A:J,5,0),IF(D794="SINAPI-I",VLOOKUP(B794,'20-A.SINAPI-I'!A:G,6,0),IF(D794="COMPOSIÇÕES",VLOOKUP(B794,'11.COMPOSIÇÕES GERAIS'!B:I,7,0),0))),"Em Elaboração")</f>
        <v>0</v>
      </c>
      <c r="I794" s="259">
        <f>IFERROR(IF(D794="SINAPI-S",VLOOKUP(B794,'20-B.SINAPI-S'!A:J,6,0),IF(D794="SINAPI-I",VLOOKUP(B794,'20-A.SINAPI-I'!A:G,7,0),IF(D794="COMPOSIÇÕES",VLOOKUP(B794,'11.COMPOSIÇÕES GERAIS'!B:I,8,0),VLOOKUP(B794,'12.COT.MERCADO'!A:I,8,0)))),"Em Elaboração")</f>
        <v>4.35</v>
      </c>
      <c r="J794" s="259">
        <f t="shared" si="137"/>
        <v>0</v>
      </c>
      <c r="K794" s="259">
        <f t="shared" si="138"/>
        <v>5.095305445</v>
      </c>
      <c r="L794" s="259">
        <f t="shared" si="139"/>
        <v>5.095305445</v>
      </c>
      <c r="M794" s="259">
        <f t="shared" si="140"/>
        <v>0</v>
      </c>
      <c r="N794" s="259">
        <f t="shared" si="141"/>
        <v>50.95305445</v>
      </c>
      <c r="O794" s="259">
        <f t="shared" si="142"/>
        <v>50.95305445</v>
      </c>
      <c r="P794" s="260">
        <f t="shared" si="2"/>
        <v>0.00003985926189</v>
      </c>
    </row>
    <row r="795">
      <c r="A795" s="253" t="s">
        <v>948</v>
      </c>
      <c r="B795" s="254">
        <v>9869.0</v>
      </c>
      <c r="C795" s="255" t="str">
        <f t="shared" si="136"/>
        <v>SINAPI</v>
      </c>
      <c r="D795" s="256" t="s">
        <v>286</v>
      </c>
      <c r="E795" s="257" t="str">
        <f>IFERROR(IF(D795="SINAPI-S",VLOOKUP(B795,'20-B.SINAPI-S'!A:J,2,0),IF(D795="SINAPI-I",VLOOKUP(B795,'20-A.SINAPI-I'!A:G,2,0),IF(D795="COMPOSIÇÕES",VLOOKUP(B795,'11.COMPOSIÇÕES GERAIS'!B:I,2,0),VLOOKUP(B795,'12.COT.MERCADO'!A:I,2,0)))),"Em Elaboração")</f>
        <v>TUBO PVC, SOLDAVEL, DE 32 MM, AGUA FRIA (NBR-5648)</v>
      </c>
      <c r="F795" s="258" t="str">
        <f>IFERROR(IF(D795="SINAPI-S",VLOOKUP(B795,'20-B.SINAPI-S'!A:J,3,0),IF(D795="SINAPI-I",VLOOKUP(B795,'20-A.SINAPI-I'!A:G,3,0),IF(D795="COMPOSIÇÕES",VLOOKUP(B795,'11.COMPOSIÇÕES GERAIS'!B:I,3,0),VLOOKUP(B795,'12.COT.MERCADO'!A:I,7,0)))),"Em Elaboração")</f>
        <v>M</v>
      </c>
      <c r="G795" s="254">
        <v>10.0</v>
      </c>
      <c r="H795" s="259">
        <f>IFERROR(IF(D795="SINAPI-S",VLOOKUP(B795,'20-B.SINAPI-S'!A:J,5,0),IF(D795="SINAPI-I",VLOOKUP(B795,'20-A.SINAPI-I'!A:G,6,0),IF(D795="COMPOSIÇÕES",VLOOKUP(B795,'11.COMPOSIÇÕES GERAIS'!B:I,7,0),0))),"Em Elaboração")</f>
        <v>0</v>
      </c>
      <c r="I795" s="259">
        <f>IFERROR(IF(D795="SINAPI-S",VLOOKUP(B795,'20-B.SINAPI-S'!A:J,6,0),IF(D795="SINAPI-I",VLOOKUP(B795,'20-A.SINAPI-I'!A:G,7,0),IF(D795="COMPOSIÇÕES",VLOOKUP(B795,'11.COMPOSIÇÕES GERAIS'!B:I,8,0),VLOOKUP(B795,'12.COT.MERCADO'!A:I,8,0)))),"Em Elaboração")</f>
        <v>9.39</v>
      </c>
      <c r="J795" s="259">
        <f t="shared" si="137"/>
        <v>0</v>
      </c>
      <c r="K795" s="259">
        <f t="shared" si="138"/>
        <v>10.99883175</v>
      </c>
      <c r="L795" s="259">
        <f t="shared" si="139"/>
        <v>10.99883175</v>
      </c>
      <c r="M795" s="259">
        <f t="shared" si="140"/>
        <v>0</v>
      </c>
      <c r="N795" s="259">
        <f t="shared" si="141"/>
        <v>109.9883175</v>
      </c>
      <c r="O795" s="259">
        <f t="shared" si="142"/>
        <v>109.9883175</v>
      </c>
      <c r="P795" s="260">
        <f t="shared" si="2"/>
        <v>0.00008604102738</v>
      </c>
    </row>
    <row r="796">
      <c r="A796" s="253" t="s">
        <v>949</v>
      </c>
      <c r="B796" s="254">
        <v>9874.0</v>
      </c>
      <c r="C796" s="255" t="str">
        <f t="shared" si="136"/>
        <v>SINAPI</v>
      </c>
      <c r="D796" s="256" t="s">
        <v>286</v>
      </c>
      <c r="E796" s="257" t="str">
        <f>IFERROR(IF(D796="SINAPI-S",VLOOKUP(B796,'20-B.SINAPI-S'!A:J,2,0),IF(D796="SINAPI-I",VLOOKUP(B796,'20-A.SINAPI-I'!A:G,2,0),IF(D796="COMPOSIÇÕES",VLOOKUP(B796,'11.COMPOSIÇÕES GERAIS'!B:I,2,0),VLOOKUP(B796,'12.COT.MERCADO'!A:I,2,0)))),"Em Elaboração")</f>
        <v>TUBO PVC, SOLDAVEL, DE 40 MM, AGUA FRIA (NBR-5648)</v>
      </c>
      <c r="F796" s="258" t="str">
        <f>IFERROR(IF(D796="SINAPI-S",VLOOKUP(B796,'20-B.SINAPI-S'!A:J,3,0),IF(D796="SINAPI-I",VLOOKUP(B796,'20-A.SINAPI-I'!A:G,3,0),IF(D796="COMPOSIÇÕES",VLOOKUP(B796,'11.COMPOSIÇÕES GERAIS'!B:I,3,0),VLOOKUP(B796,'12.COT.MERCADO'!A:I,7,0)))),"Em Elaboração")</f>
        <v>M</v>
      </c>
      <c r="G796" s="254">
        <v>10.0</v>
      </c>
      <c r="H796" s="259">
        <f>IFERROR(IF(D796="SINAPI-S",VLOOKUP(B796,'20-B.SINAPI-S'!A:J,5,0),IF(D796="SINAPI-I",VLOOKUP(B796,'20-A.SINAPI-I'!A:G,6,0),IF(D796="COMPOSIÇÕES",VLOOKUP(B796,'11.COMPOSIÇÕES GERAIS'!B:I,7,0),0))),"Em Elaboração")</f>
        <v>0</v>
      </c>
      <c r="I796" s="259">
        <f>IFERROR(IF(D796="SINAPI-S",VLOOKUP(B796,'20-B.SINAPI-S'!A:J,6,0),IF(D796="SINAPI-I",VLOOKUP(B796,'20-A.SINAPI-I'!A:G,7,0),IF(D796="COMPOSIÇÕES",VLOOKUP(B796,'11.COMPOSIÇÕES GERAIS'!B:I,8,0),VLOOKUP(B796,'12.COT.MERCADO'!A:I,8,0)))),"Em Elaboração")</f>
        <v>14.74</v>
      </c>
      <c r="J796" s="259">
        <f t="shared" si="137"/>
        <v>0</v>
      </c>
      <c r="K796" s="259">
        <f t="shared" si="138"/>
        <v>17.26547178</v>
      </c>
      <c r="L796" s="259">
        <f t="shared" si="139"/>
        <v>17.26547178</v>
      </c>
      <c r="M796" s="259">
        <f t="shared" si="140"/>
        <v>0</v>
      </c>
      <c r="N796" s="259">
        <f t="shared" si="141"/>
        <v>172.6547178</v>
      </c>
      <c r="O796" s="259">
        <f t="shared" si="142"/>
        <v>172.6547178</v>
      </c>
      <c r="P796" s="260">
        <f t="shared" si="2"/>
        <v>0.000135063338</v>
      </c>
    </row>
    <row r="797">
      <c r="A797" s="253" t="s">
        <v>950</v>
      </c>
      <c r="B797" s="254">
        <v>9875.0</v>
      </c>
      <c r="C797" s="255" t="str">
        <f t="shared" si="136"/>
        <v>SINAPI</v>
      </c>
      <c r="D797" s="256" t="s">
        <v>286</v>
      </c>
      <c r="E797" s="257" t="str">
        <f>IFERROR(IF(D797="SINAPI-S",VLOOKUP(B797,'20-B.SINAPI-S'!A:J,2,0),IF(D797="SINAPI-I",VLOOKUP(B797,'20-A.SINAPI-I'!A:G,2,0),IF(D797="COMPOSIÇÕES",VLOOKUP(B797,'11.COMPOSIÇÕES GERAIS'!B:I,2,0),VLOOKUP(B797,'12.COT.MERCADO'!A:I,2,0)))),"Em Elaboração")</f>
        <v>TUBO PVC, SOLDAVEL, DE 50 MM, AGUA FRIA (NBR-5648)</v>
      </c>
      <c r="F797" s="258" t="str">
        <f>IFERROR(IF(D797="SINAPI-S",VLOOKUP(B797,'20-B.SINAPI-S'!A:J,3,0),IF(D797="SINAPI-I",VLOOKUP(B797,'20-A.SINAPI-I'!A:G,3,0),IF(D797="COMPOSIÇÕES",VLOOKUP(B797,'11.COMPOSIÇÕES GERAIS'!B:I,3,0),VLOOKUP(B797,'12.COT.MERCADO'!A:I,7,0)))),"Em Elaboração")</f>
        <v>M</v>
      </c>
      <c r="G797" s="254">
        <v>10.0</v>
      </c>
      <c r="H797" s="259">
        <f>IFERROR(IF(D797="SINAPI-S",VLOOKUP(B797,'20-B.SINAPI-S'!A:J,5,0),IF(D797="SINAPI-I",VLOOKUP(B797,'20-A.SINAPI-I'!A:G,6,0),IF(D797="COMPOSIÇÕES",VLOOKUP(B797,'11.COMPOSIÇÕES GERAIS'!B:I,7,0),0))),"Em Elaboração")</f>
        <v>0</v>
      </c>
      <c r="I797" s="259">
        <f>IFERROR(IF(D797="SINAPI-S",VLOOKUP(B797,'20-B.SINAPI-S'!A:J,6,0),IF(D797="SINAPI-I",VLOOKUP(B797,'20-A.SINAPI-I'!A:G,7,0),IF(D797="COMPOSIÇÕES",VLOOKUP(B797,'11.COMPOSIÇÕES GERAIS'!B:I,8,0),VLOOKUP(B797,'12.COT.MERCADO'!A:I,8,0)))),"Em Elaboração")</f>
        <v>16.17</v>
      </c>
      <c r="J797" s="259">
        <f t="shared" si="137"/>
        <v>0</v>
      </c>
      <c r="K797" s="259">
        <f t="shared" si="138"/>
        <v>18.94048024</v>
      </c>
      <c r="L797" s="259">
        <f t="shared" si="139"/>
        <v>18.94048024</v>
      </c>
      <c r="M797" s="259">
        <f t="shared" si="140"/>
        <v>0</v>
      </c>
      <c r="N797" s="259">
        <f t="shared" si="141"/>
        <v>189.4048024</v>
      </c>
      <c r="O797" s="259">
        <f t="shared" si="142"/>
        <v>189.4048024</v>
      </c>
      <c r="P797" s="260">
        <f t="shared" si="2"/>
        <v>0.0001481664976</v>
      </c>
    </row>
    <row r="798">
      <c r="A798" s="253" t="s">
        <v>951</v>
      </c>
      <c r="B798" s="254">
        <v>9873.0</v>
      </c>
      <c r="C798" s="255" t="str">
        <f t="shared" si="136"/>
        <v>SINAPI</v>
      </c>
      <c r="D798" s="256" t="s">
        <v>286</v>
      </c>
      <c r="E798" s="257" t="str">
        <f>IFERROR(IF(D798="SINAPI-S",VLOOKUP(B798,'20-B.SINAPI-S'!A:J,2,0),IF(D798="SINAPI-I",VLOOKUP(B798,'20-A.SINAPI-I'!A:G,2,0),IF(D798="COMPOSIÇÕES",VLOOKUP(B798,'11.COMPOSIÇÕES GERAIS'!B:I,2,0),VLOOKUP(B798,'12.COT.MERCADO'!A:I,2,0)))),"Em Elaboração")</f>
        <v>TUBO PVC, SOLDAVEL, DE 60 MM, AGUA FRIA (NBR-5648)</v>
      </c>
      <c r="F798" s="258" t="str">
        <f>IFERROR(IF(D798="SINAPI-S",VLOOKUP(B798,'20-B.SINAPI-S'!A:J,3,0),IF(D798="SINAPI-I",VLOOKUP(B798,'20-A.SINAPI-I'!A:G,3,0),IF(D798="COMPOSIÇÕES",VLOOKUP(B798,'11.COMPOSIÇÕES GERAIS'!B:I,3,0),VLOOKUP(B798,'12.COT.MERCADO'!A:I,7,0)))),"Em Elaboração")</f>
        <v>M</v>
      </c>
      <c r="G798" s="254">
        <v>10.0</v>
      </c>
      <c r="H798" s="259">
        <f>IFERROR(IF(D798="SINAPI-S",VLOOKUP(B798,'20-B.SINAPI-S'!A:J,5,0),IF(D798="SINAPI-I",VLOOKUP(B798,'20-A.SINAPI-I'!A:G,6,0),IF(D798="COMPOSIÇÕES",VLOOKUP(B798,'11.COMPOSIÇÕES GERAIS'!B:I,7,0),0))),"Em Elaboração")</f>
        <v>0</v>
      </c>
      <c r="I798" s="259">
        <f>IFERROR(IF(D798="SINAPI-S",VLOOKUP(B798,'20-B.SINAPI-S'!A:J,6,0),IF(D798="SINAPI-I",VLOOKUP(B798,'20-A.SINAPI-I'!A:G,7,0),IF(D798="COMPOSIÇÕES",VLOOKUP(B798,'11.COMPOSIÇÕES GERAIS'!B:I,8,0),VLOOKUP(B798,'12.COT.MERCADO'!A:I,8,0)))),"Em Elaboração")</f>
        <v>26.6</v>
      </c>
      <c r="J798" s="259">
        <f t="shared" si="137"/>
        <v>0</v>
      </c>
      <c r="K798" s="259">
        <f t="shared" si="138"/>
        <v>31.15749996</v>
      </c>
      <c r="L798" s="259">
        <f t="shared" si="139"/>
        <v>31.15749996</v>
      </c>
      <c r="M798" s="259">
        <f t="shared" si="140"/>
        <v>0</v>
      </c>
      <c r="N798" s="259">
        <f t="shared" si="141"/>
        <v>311.5749996</v>
      </c>
      <c r="O798" s="259">
        <f t="shared" si="142"/>
        <v>311.5749996</v>
      </c>
      <c r="P798" s="260">
        <f t="shared" si="2"/>
        <v>0.0002437370957</v>
      </c>
    </row>
    <row r="799">
      <c r="A799" s="253" t="s">
        <v>952</v>
      </c>
      <c r="B799" s="254">
        <v>9871.0</v>
      </c>
      <c r="C799" s="255" t="str">
        <f t="shared" si="136"/>
        <v>SINAPI</v>
      </c>
      <c r="D799" s="256" t="s">
        <v>286</v>
      </c>
      <c r="E799" s="257" t="str">
        <f>IFERROR(IF(D799="SINAPI-S",VLOOKUP(B799,'20-B.SINAPI-S'!A:J,2,0),IF(D799="SINAPI-I",VLOOKUP(B799,'20-A.SINAPI-I'!A:G,2,0),IF(D799="COMPOSIÇÕES",VLOOKUP(B799,'11.COMPOSIÇÕES GERAIS'!B:I,2,0),VLOOKUP(B799,'12.COT.MERCADO'!A:I,2,0)))),"Em Elaboração")</f>
        <v>TUBO PVC, SOLDAVEL, DE 75 MM, AGUA FRIA (NBR-5648)</v>
      </c>
      <c r="F799" s="258" t="str">
        <f>IFERROR(IF(D799="SINAPI-S",VLOOKUP(B799,'20-B.SINAPI-S'!A:J,3,0),IF(D799="SINAPI-I",VLOOKUP(B799,'20-A.SINAPI-I'!A:G,3,0),IF(D799="COMPOSIÇÕES",VLOOKUP(B799,'11.COMPOSIÇÕES GERAIS'!B:I,3,0),VLOOKUP(B799,'12.COT.MERCADO'!A:I,7,0)))),"Em Elaboração")</f>
        <v>M</v>
      </c>
      <c r="G799" s="254">
        <v>10.0</v>
      </c>
      <c r="H799" s="259">
        <f>IFERROR(IF(D799="SINAPI-S",VLOOKUP(B799,'20-B.SINAPI-S'!A:J,5,0),IF(D799="SINAPI-I",VLOOKUP(B799,'20-A.SINAPI-I'!A:G,6,0),IF(D799="COMPOSIÇÕES",VLOOKUP(B799,'11.COMPOSIÇÕES GERAIS'!B:I,7,0),0))),"Em Elaboração")</f>
        <v>0</v>
      </c>
      <c r="I799" s="259">
        <f>IFERROR(IF(D799="SINAPI-S",VLOOKUP(B799,'20-B.SINAPI-S'!A:J,6,0),IF(D799="SINAPI-I",VLOOKUP(B799,'20-A.SINAPI-I'!A:G,7,0),IF(D799="COMPOSIÇÕES",VLOOKUP(B799,'11.COMPOSIÇÕES GERAIS'!B:I,8,0),VLOOKUP(B799,'12.COT.MERCADO'!A:I,8,0)))),"Em Elaboração")</f>
        <v>44.08</v>
      </c>
      <c r="J799" s="259">
        <f t="shared" si="137"/>
        <v>0</v>
      </c>
      <c r="K799" s="259">
        <f t="shared" si="138"/>
        <v>51.63242851</v>
      </c>
      <c r="L799" s="259">
        <f t="shared" si="139"/>
        <v>51.63242851</v>
      </c>
      <c r="M799" s="259">
        <f t="shared" si="140"/>
        <v>0</v>
      </c>
      <c r="N799" s="259">
        <f t="shared" si="141"/>
        <v>516.3242851</v>
      </c>
      <c r="O799" s="259">
        <f t="shared" si="142"/>
        <v>516.3242851</v>
      </c>
      <c r="P799" s="260">
        <f t="shared" si="2"/>
        <v>0.0004039071871</v>
      </c>
    </row>
    <row r="800">
      <c r="A800" s="253" t="s">
        <v>953</v>
      </c>
      <c r="B800" s="254">
        <v>9872.0</v>
      </c>
      <c r="C800" s="255" t="str">
        <f t="shared" si="136"/>
        <v>SINAPI</v>
      </c>
      <c r="D800" s="256" t="s">
        <v>286</v>
      </c>
      <c r="E800" s="257" t="str">
        <f>IFERROR(IF(D800="SINAPI-S",VLOOKUP(B800,'20-B.SINAPI-S'!A:J,2,0),IF(D800="SINAPI-I",VLOOKUP(B800,'20-A.SINAPI-I'!A:G,2,0),IF(D800="COMPOSIÇÕES",VLOOKUP(B800,'11.COMPOSIÇÕES GERAIS'!B:I,2,0),VLOOKUP(B800,'12.COT.MERCADO'!A:I,2,0)))),"Em Elaboração")</f>
        <v>TUBO PVC, SOLDAVEL, DE 85 MM, AGUA FRIA (NBR-5648)</v>
      </c>
      <c r="F800" s="258" t="str">
        <f>IFERROR(IF(D800="SINAPI-S",VLOOKUP(B800,'20-B.SINAPI-S'!A:J,3,0),IF(D800="SINAPI-I",VLOOKUP(B800,'20-A.SINAPI-I'!A:G,3,0),IF(D800="COMPOSIÇÕES",VLOOKUP(B800,'11.COMPOSIÇÕES GERAIS'!B:I,3,0),VLOOKUP(B800,'12.COT.MERCADO'!A:I,7,0)))),"Em Elaboração")</f>
        <v>M</v>
      </c>
      <c r="G800" s="254">
        <v>10.0</v>
      </c>
      <c r="H800" s="259">
        <f>IFERROR(IF(D800="SINAPI-S",VLOOKUP(B800,'20-B.SINAPI-S'!A:J,5,0),IF(D800="SINAPI-I",VLOOKUP(B800,'20-A.SINAPI-I'!A:G,6,0),IF(D800="COMPOSIÇÕES",VLOOKUP(B800,'11.COMPOSIÇÕES GERAIS'!B:I,7,0),0))),"Em Elaboração")</f>
        <v>0</v>
      </c>
      <c r="I800" s="259">
        <f>IFERROR(IF(D800="SINAPI-S",VLOOKUP(B800,'20-B.SINAPI-S'!A:J,6,0),IF(D800="SINAPI-I",VLOOKUP(B800,'20-A.SINAPI-I'!A:G,7,0),IF(D800="COMPOSIÇÕES",VLOOKUP(B800,'11.COMPOSIÇÕES GERAIS'!B:I,8,0),VLOOKUP(B800,'12.COT.MERCADO'!A:I,8,0)))),"Em Elaboração")</f>
        <v>61.32</v>
      </c>
      <c r="J800" s="259">
        <f t="shared" si="137"/>
        <v>0</v>
      </c>
      <c r="K800" s="259">
        <f t="shared" si="138"/>
        <v>71.82623676</v>
      </c>
      <c r="L800" s="259">
        <f t="shared" si="139"/>
        <v>71.82623676</v>
      </c>
      <c r="M800" s="259">
        <f t="shared" si="140"/>
        <v>0</v>
      </c>
      <c r="N800" s="259">
        <f t="shared" si="141"/>
        <v>718.2623676</v>
      </c>
      <c r="O800" s="259">
        <f t="shared" si="142"/>
        <v>718.2623676</v>
      </c>
      <c r="P800" s="260">
        <f t="shared" si="2"/>
        <v>0.0005618781469</v>
      </c>
    </row>
    <row r="801">
      <c r="A801" s="253" t="s">
        <v>954</v>
      </c>
      <c r="B801" s="254">
        <v>13127.0</v>
      </c>
      <c r="C801" s="255" t="str">
        <f t="shared" si="136"/>
        <v>SINAPI</v>
      </c>
      <c r="D801" s="256" t="s">
        <v>286</v>
      </c>
      <c r="E801" s="257" t="str">
        <f>IFERROR(IF(D801="SINAPI-S",VLOOKUP(B801,'20-B.SINAPI-S'!A:J,2,0),IF(D801="SINAPI-I",VLOOKUP(B801,'20-A.SINAPI-I'!A:G,2,0),IF(D801="COMPOSIÇÕES",VLOOKUP(B801,'11.COMPOSIÇÕES GERAIS'!B:I,2,0),VLOOKUP(B801,'12.COT.MERCADO'!A:I,2,0)))),"Em Elaboração")</f>
        <v>TUBO ACO CARBONO SEM COSTURA 1/2", E= *2,77 MM, SCHEDULE 40, *1,27 KG/M</v>
      </c>
      <c r="F801" s="258" t="str">
        <f>IFERROR(IF(D801="SINAPI-S",VLOOKUP(B801,'20-B.SINAPI-S'!A:J,3,0),IF(D801="SINAPI-I",VLOOKUP(B801,'20-A.SINAPI-I'!A:G,3,0),IF(D801="COMPOSIÇÕES",VLOOKUP(B801,'11.COMPOSIÇÕES GERAIS'!B:I,3,0),VLOOKUP(B801,'12.COT.MERCADO'!A:I,7,0)))),"Em Elaboração")</f>
        <v>M</v>
      </c>
      <c r="G801" s="254">
        <v>2.0</v>
      </c>
      <c r="H801" s="259">
        <f>IFERROR(IF(D801="SINAPI-S",VLOOKUP(B801,'20-B.SINAPI-S'!A:J,5,0),IF(D801="SINAPI-I",VLOOKUP(B801,'20-A.SINAPI-I'!A:G,6,0),IF(D801="COMPOSIÇÕES",VLOOKUP(B801,'11.COMPOSIÇÕES GERAIS'!B:I,7,0),0))),"Em Elaboração")</f>
        <v>0</v>
      </c>
      <c r="I801" s="259">
        <f>IFERROR(IF(D801="SINAPI-S",VLOOKUP(B801,'20-B.SINAPI-S'!A:J,6,0),IF(D801="SINAPI-I",VLOOKUP(B801,'20-A.SINAPI-I'!A:G,7,0),IF(D801="COMPOSIÇÕES",VLOOKUP(B801,'11.COMPOSIÇÕES GERAIS'!B:I,8,0),VLOOKUP(B801,'12.COT.MERCADO'!A:I,8,0)))),"Em Elaboração")</f>
        <v>43.5</v>
      </c>
      <c r="J801" s="259">
        <f t="shared" si="137"/>
        <v>0</v>
      </c>
      <c r="K801" s="259">
        <f t="shared" si="138"/>
        <v>50.95305445</v>
      </c>
      <c r="L801" s="259">
        <f t="shared" si="139"/>
        <v>50.95305445</v>
      </c>
      <c r="M801" s="259">
        <f t="shared" si="140"/>
        <v>0</v>
      </c>
      <c r="N801" s="259">
        <f t="shared" si="141"/>
        <v>101.9061089</v>
      </c>
      <c r="O801" s="259">
        <f t="shared" si="142"/>
        <v>101.9061089</v>
      </c>
      <c r="P801" s="260">
        <f t="shared" si="2"/>
        <v>0.00007971852377</v>
      </c>
    </row>
    <row r="802">
      <c r="A802" s="253" t="s">
        <v>955</v>
      </c>
      <c r="B802" s="254">
        <v>12425.0</v>
      </c>
      <c r="C802" s="255" t="str">
        <f t="shared" si="136"/>
        <v>SINAPI</v>
      </c>
      <c r="D802" s="256" t="s">
        <v>286</v>
      </c>
      <c r="E802" s="257" t="str">
        <f>IFERROR(IF(D802="SINAPI-S",VLOOKUP(B802,'20-B.SINAPI-S'!A:J,2,0),IF(D802="SINAPI-I",VLOOKUP(B802,'20-A.SINAPI-I'!A:G,2,0),IF(D802="COMPOSIÇÕES",VLOOKUP(B802,'11.COMPOSIÇÕES GERAIS'!B:I,2,0),VLOOKUP(B802,'12.COT.MERCADO'!A:I,2,0)))),"Em Elaboração")</f>
        <v>UNIAO COM ASSENTO CONICO DE BRONZE, DIAMETRO 1"</v>
      </c>
      <c r="F802" s="258" t="str">
        <f>IFERROR(IF(D802="SINAPI-S",VLOOKUP(B802,'20-B.SINAPI-S'!A:J,3,0),IF(D802="SINAPI-I",VLOOKUP(B802,'20-A.SINAPI-I'!A:G,3,0),IF(D802="COMPOSIÇÕES",VLOOKUP(B802,'11.COMPOSIÇÕES GERAIS'!B:I,3,0),VLOOKUP(B802,'12.COT.MERCADO'!A:I,7,0)))),"Em Elaboração")</f>
        <v>UN</v>
      </c>
      <c r="G802" s="254">
        <v>1.0</v>
      </c>
      <c r="H802" s="259">
        <f>IFERROR(IF(D802="SINAPI-S",VLOOKUP(B802,'20-B.SINAPI-S'!A:J,5,0),IF(D802="SINAPI-I",VLOOKUP(B802,'20-A.SINAPI-I'!A:G,6,0),IF(D802="COMPOSIÇÕES",VLOOKUP(B802,'11.COMPOSIÇÕES GERAIS'!B:I,7,0),0))),"Em Elaboração")</f>
        <v>0</v>
      </c>
      <c r="I802" s="259">
        <f>IFERROR(IF(D802="SINAPI-S",VLOOKUP(B802,'20-B.SINAPI-S'!A:J,6,0),IF(D802="SINAPI-I",VLOOKUP(B802,'20-A.SINAPI-I'!A:G,7,0),IF(D802="COMPOSIÇÕES",VLOOKUP(B802,'11.COMPOSIÇÕES GERAIS'!B:I,8,0),VLOOKUP(B802,'12.COT.MERCADO'!A:I,8,0)))),"Em Elaboração")</f>
        <v>68.03</v>
      </c>
      <c r="J802" s="259">
        <f t="shared" si="137"/>
        <v>0</v>
      </c>
      <c r="K802" s="259">
        <f t="shared" si="138"/>
        <v>79.68589183</v>
      </c>
      <c r="L802" s="259">
        <f t="shared" si="139"/>
        <v>79.68589183</v>
      </c>
      <c r="M802" s="259">
        <f t="shared" si="140"/>
        <v>0</v>
      </c>
      <c r="N802" s="259">
        <f t="shared" si="141"/>
        <v>79.68589183</v>
      </c>
      <c r="O802" s="259">
        <f t="shared" si="142"/>
        <v>79.68589183</v>
      </c>
      <c r="P802" s="260">
        <f t="shared" si="2"/>
        <v>0.00006233622037</v>
      </c>
    </row>
    <row r="803">
      <c r="A803" s="253" t="s">
        <v>956</v>
      </c>
      <c r="B803" s="254">
        <v>12424.0</v>
      </c>
      <c r="C803" s="255" t="str">
        <f t="shared" si="136"/>
        <v>SINAPI</v>
      </c>
      <c r="D803" s="256" t="s">
        <v>286</v>
      </c>
      <c r="E803" s="257" t="str">
        <f>IFERROR(IF(D803="SINAPI-S",VLOOKUP(B803,'20-B.SINAPI-S'!A:J,2,0),IF(D803="SINAPI-I",VLOOKUP(B803,'20-A.SINAPI-I'!A:G,2,0),IF(D803="COMPOSIÇÕES",VLOOKUP(B803,'11.COMPOSIÇÕES GERAIS'!B:I,2,0),VLOOKUP(B803,'12.COT.MERCADO'!A:I,2,0)))),"Em Elaboração")</f>
        <v>UNIAO DE FERRO GALVANIZADO, COM ASSENTO CONICO DE BRONZE, DE 1 1/2"</v>
      </c>
      <c r="F803" s="258" t="str">
        <f>IFERROR(IF(D803="SINAPI-S",VLOOKUP(B803,'20-B.SINAPI-S'!A:J,3,0),IF(D803="SINAPI-I",VLOOKUP(B803,'20-A.SINAPI-I'!A:G,3,0),IF(D803="COMPOSIÇÕES",VLOOKUP(B803,'11.COMPOSIÇÕES GERAIS'!B:I,3,0),VLOOKUP(B803,'12.COT.MERCADO'!A:I,7,0)))),"Em Elaboração")</f>
        <v>UN</v>
      </c>
      <c r="G803" s="254">
        <v>1.0</v>
      </c>
      <c r="H803" s="259">
        <f>IFERROR(IF(D803="SINAPI-S",VLOOKUP(B803,'20-B.SINAPI-S'!A:J,5,0),IF(D803="SINAPI-I",VLOOKUP(B803,'20-A.SINAPI-I'!A:G,6,0),IF(D803="COMPOSIÇÕES",VLOOKUP(B803,'11.COMPOSIÇÕES GERAIS'!B:I,7,0),0))),"Em Elaboração")</f>
        <v>0</v>
      </c>
      <c r="I803" s="259">
        <f>IFERROR(IF(D803="SINAPI-S",VLOOKUP(B803,'20-B.SINAPI-S'!A:J,6,0),IF(D803="SINAPI-I",VLOOKUP(B803,'20-A.SINAPI-I'!A:G,7,0),IF(D803="COMPOSIÇÕES",VLOOKUP(B803,'11.COMPOSIÇÕES GERAIS'!B:I,8,0),VLOOKUP(B803,'12.COT.MERCADO'!A:I,8,0)))),"Em Elaboração")</f>
        <v>104.75</v>
      </c>
      <c r="J803" s="259">
        <f t="shared" si="137"/>
        <v>0</v>
      </c>
      <c r="K803" s="259">
        <f t="shared" si="138"/>
        <v>122.6972978</v>
      </c>
      <c r="L803" s="259">
        <f t="shared" si="139"/>
        <v>122.6972978</v>
      </c>
      <c r="M803" s="259">
        <f t="shared" si="140"/>
        <v>0</v>
      </c>
      <c r="N803" s="259">
        <f t="shared" si="141"/>
        <v>122.6972978</v>
      </c>
      <c r="O803" s="259">
        <f t="shared" si="142"/>
        <v>122.6972978</v>
      </c>
      <c r="P803" s="260">
        <f t="shared" si="2"/>
        <v>0.00009598293523</v>
      </c>
    </row>
    <row r="804">
      <c r="A804" s="253" t="s">
        <v>957</v>
      </c>
      <c r="B804" s="254">
        <v>12426.0</v>
      </c>
      <c r="C804" s="255" t="str">
        <f t="shared" si="136"/>
        <v>SINAPI</v>
      </c>
      <c r="D804" s="256" t="s">
        <v>286</v>
      </c>
      <c r="E804" s="257" t="str">
        <f>IFERROR(IF(D804="SINAPI-S",VLOOKUP(B804,'20-B.SINAPI-S'!A:J,2,0),IF(D804="SINAPI-I",VLOOKUP(B804,'20-A.SINAPI-I'!A:G,2,0),IF(D804="COMPOSIÇÕES",VLOOKUP(B804,'11.COMPOSIÇÕES GERAIS'!B:I,2,0),VLOOKUP(B804,'12.COT.MERCADO'!A:I,2,0)))),"Em Elaboração")</f>
        <v>UNIAO COM ASSENTO CONICO DE BRONZE, DIAMETRO 1/2"</v>
      </c>
      <c r="F804" s="258" t="str">
        <f>IFERROR(IF(D804="SINAPI-S",VLOOKUP(B804,'20-B.SINAPI-S'!A:J,3,0),IF(D804="SINAPI-I",VLOOKUP(B804,'20-A.SINAPI-I'!A:G,3,0),IF(D804="COMPOSIÇÕES",VLOOKUP(B804,'11.COMPOSIÇÕES GERAIS'!B:I,3,0),VLOOKUP(B804,'12.COT.MERCADO'!A:I,7,0)))),"Em Elaboração")</f>
        <v>UN</v>
      </c>
      <c r="G804" s="254">
        <v>1.0</v>
      </c>
      <c r="H804" s="259">
        <f>IFERROR(IF(D804="SINAPI-S",VLOOKUP(B804,'20-B.SINAPI-S'!A:J,5,0),IF(D804="SINAPI-I",VLOOKUP(B804,'20-A.SINAPI-I'!A:G,6,0),IF(D804="COMPOSIÇÕES",VLOOKUP(B804,'11.COMPOSIÇÕES GERAIS'!B:I,7,0),0))),"Em Elaboração")</f>
        <v>0</v>
      </c>
      <c r="I804" s="259">
        <f>IFERROR(IF(D804="SINAPI-S",VLOOKUP(B804,'20-B.SINAPI-S'!A:J,6,0),IF(D804="SINAPI-I",VLOOKUP(B804,'20-A.SINAPI-I'!A:G,7,0),IF(D804="COMPOSIÇÕES",VLOOKUP(B804,'11.COMPOSIÇÕES GERAIS'!B:I,8,0),VLOOKUP(B804,'12.COT.MERCADO'!A:I,8,0)))),"Em Elaboração")</f>
        <v>49.52</v>
      </c>
      <c r="J804" s="259">
        <f t="shared" si="137"/>
        <v>0</v>
      </c>
      <c r="K804" s="259">
        <f t="shared" si="138"/>
        <v>58.00448866</v>
      </c>
      <c r="L804" s="259">
        <f t="shared" si="139"/>
        <v>58.00448866</v>
      </c>
      <c r="M804" s="259">
        <f t="shared" si="140"/>
        <v>0</v>
      </c>
      <c r="N804" s="259">
        <f t="shared" si="141"/>
        <v>58.00448866</v>
      </c>
      <c r="O804" s="259">
        <f t="shared" si="142"/>
        <v>58.00448866</v>
      </c>
      <c r="P804" s="260">
        <f t="shared" si="2"/>
        <v>0.00004537541721</v>
      </c>
    </row>
    <row r="805">
      <c r="A805" s="253" t="s">
        <v>958</v>
      </c>
      <c r="B805" s="254">
        <v>12428.0</v>
      </c>
      <c r="C805" s="255" t="str">
        <f t="shared" si="136"/>
        <v>SINAPI</v>
      </c>
      <c r="D805" s="256" t="s">
        <v>286</v>
      </c>
      <c r="E805" s="257" t="str">
        <f>IFERROR(IF(D805="SINAPI-S",VLOOKUP(B805,'20-B.SINAPI-S'!A:J,2,0),IF(D805="SINAPI-I",VLOOKUP(B805,'20-A.SINAPI-I'!A:G,2,0),IF(D805="COMPOSIÇÕES",VLOOKUP(B805,'11.COMPOSIÇÕES GERAIS'!B:I,2,0),VLOOKUP(B805,'12.COT.MERCADO'!A:I,2,0)))),"Em Elaboração")</f>
        <v>UNIAO COM ASSENTO CONICO DE BRONZE, DIAMETRO 2'</v>
      </c>
      <c r="F805" s="258" t="str">
        <f>IFERROR(IF(D805="SINAPI-S",VLOOKUP(B805,'20-B.SINAPI-S'!A:J,3,0),IF(D805="SINAPI-I",VLOOKUP(B805,'20-A.SINAPI-I'!A:G,3,0),IF(D805="COMPOSIÇÕES",VLOOKUP(B805,'11.COMPOSIÇÕES GERAIS'!B:I,3,0),VLOOKUP(B805,'12.COT.MERCADO'!A:I,7,0)))),"Em Elaboração")</f>
        <v>UN</v>
      </c>
      <c r="G805" s="254">
        <v>1.0</v>
      </c>
      <c r="H805" s="259">
        <f>IFERROR(IF(D805="SINAPI-S",VLOOKUP(B805,'20-B.SINAPI-S'!A:J,5,0),IF(D805="SINAPI-I",VLOOKUP(B805,'20-A.SINAPI-I'!A:G,6,0),IF(D805="COMPOSIÇÕES",VLOOKUP(B805,'11.COMPOSIÇÕES GERAIS'!B:I,7,0),0))),"Em Elaboração")</f>
        <v>0</v>
      </c>
      <c r="I805" s="259">
        <f>IFERROR(IF(D805="SINAPI-S",VLOOKUP(B805,'20-B.SINAPI-S'!A:J,6,0),IF(D805="SINAPI-I",VLOOKUP(B805,'20-A.SINAPI-I'!A:G,7,0),IF(D805="COMPOSIÇÕES",VLOOKUP(B805,'11.COMPOSIÇÕES GERAIS'!B:I,8,0),VLOOKUP(B805,'12.COT.MERCADO'!A:I,8,0)))),"Em Elaboração")</f>
        <v>181.25</v>
      </c>
      <c r="J805" s="259">
        <f t="shared" si="137"/>
        <v>0</v>
      </c>
      <c r="K805" s="259">
        <f t="shared" si="138"/>
        <v>212.3043936</v>
      </c>
      <c r="L805" s="259">
        <f t="shared" si="139"/>
        <v>212.3043936</v>
      </c>
      <c r="M805" s="259">
        <f t="shared" si="140"/>
        <v>0</v>
      </c>
      <c r="N805" s="259">
        <f t="shared" si="141"/>
        <v>212.3043936</v>
      </c>
      <c r="O805" s="259">
        <f t="shared" si="142"/>
        <v>212.3043936</v>
      </c>
      <c r="P805" s="260">
        <f t="shared" si="2"/>
        <v>0.0001660802579</v>
      </c>
    </row>
    <row r="806">
      <c r="A806" s="253" t="s">
        <v>959</v>
      </c>
      <c r="B806" s="254">
        <v>12427.0</v>
      </c>
      <c r="C806" s="255" t="str">
        <f t="shared" si="136"/>
        <v>SINAPI</v>
      </c>
      <c r="D806" s="256" t="s">
        <v>286</v>
      </c>
      <c r="E806" s="257" t="str">
        <f>IFERROR(IF(D806="SINAPI-S",VLOOKUP(B806,'20-B.SINAPI-S'!A:J,2,0),IF(D806="SINAPI-I",VLOOKUP(B806,'20-A.SINAPI-I'!A:G,2,0),IF(D806="COMPOSIÇÕES",VLOOKUP(B806,'11.COMPOSIÇÕES GERAIS'!B:I,2,0),VLOOKUP(B806,'12.COT.MERCADO'!A:I,2,0)))),"Em Elaboração")</f>
        <v>UNIAO COM ASSENTO CONICO DE BRONZE, DIAMETRO 2 1/2"</v>
      </c>
      <c r="F806" s="258" t="str">
        <f>IFERROR(IF(D806="SINAPI-S",VLOOKUP(B806,'20-B.SINAPI-S'!A:J,3,0),IF(D806="SINAPI-I",VLOOKUP(B806,'20-A.SINAPI-I'!A:G,3,0),IF(D806="COMPOSIÇÕES",VLOOKUP(B806,'11.COMPOSIÇÕES GERAIS'!B:I,3,0),VLOOKUP(B806,'12.COT.MERCADO'!A:I,7,0)))),"Em Elaboração")</f>
        <v>UN</v>
      </c>
      <c r="G806" s="254">
        <v>1.0</v>
      </c>
      <c r="H806" s="259">
        <f>IFERROR(IF(D806="SINAPI-S",VLOOKUP(B806,'20-B.SINAPI-S'!A:J,5,0),IF(D806="SINAPI-I",VLOOKUP(B806,'20-A.SINAPI-I'!A:G,6,0),IF(D806="COMPOSIÇÕES",VLOOKUP(B806,'11.COMPOSIÇÕES GERAIS'!B:I,7,0),0))),"Em Elaboração")</f>
        <v>0</v>
      </c>
      <c r="I806" s="259">
        <f>IFERROR(IF(D806="SINAPI-S",VLOOKUP(B806,'20-B.SINAPI-S'!A:J,6,0),IF(D806="SINAPI-I",VLOOKUP(B806,'20-A.SINAPI-I'!A:G,7,0),IF(D806="COMPOSIÇÕES",VLOOKUP(B806,'11.COMPOSIÇÕES GERAIS'!B:I,8,0),VLOOKUP(B806,'12.COT.MERCADO'!A:I,8,0)))),"Em Elaboração")</f>
        <v>282.38</v>
      </c>
      <c r="J806" s="259">
        <f t="shared" si="137"/>
        <v>0</v>
      </c>
      <c r="K806" s="259">
        <f t="shared" si="138"/>
        <v>330.7614602</v>
      </c>
      <c r="L806" s="259">
        <f t="shared" si="139"/>
        <v>330.7614602</v>
      </c>
      <c r="M806" s="259">
        <f t="shared" si="140"/>
        <v>0</v>
      </c>
      <c r="N806" s="259">
        <f t="shared" si="141"/>
        <v>330.7614602</v>
      </c>
      <c r="O806" s="259">
        <f t="shared" si="142"/>
        <v>330.7614602</v>
      </c>
      <c r="P806" s="260">
        <f t="shared" si="2"/>
        <v>0.0002587461695</v>
      </c>
    </row>
    <row r="807">
      <c r="A807" s="253" t="s">
        <v>960</v>
      </c>
      <c r="B807" s="254">
        <v>12429.0</v>
      </c>
      <c r="C807" s="255" t="str">
        <f t="shared" si="136"/>
        <v>SINAPI</v>
      </c>
      <c r="D807" s="256" t="s">
        <v>286</v>
      </c>
      <c r="E807" s="257" t="str">
        <f>IFERROR(IF(D807="SINAPI-S",VLOOKUP(B807,'20-B.SINAPI-S'!A:J,2,0),IF(D807="SINAPI-I",VLOOKUP(B807,'20-A.SINAPI-I'!A:G,2,0),IF(D807="COMPOSIÇÕES",VLOOKUP(B807,'11.COMPOSIÇÕES GERAIS'!B:I,2,0),VLOOKUP(B807,'12.COT.MERCADO'!A:I,2,0)))),"Em Elaboração")</f>
        <v>UNIAO COM ASSENTO CONICO DE BRONZE, DIAMETRO 3"</v>
      </c>
      <c r="F807" s="258" t="str">
        <f>IFERROR(IF(D807="SINAPI-S",VLOOKUP(B807,'20-B.SINAPI-S'!A:J,3,0),IF(D807="SINAPI-I",VLOOKUP(B807,'20-A.SINAPI-I'!A:G,3,0),IF(D807="COMPOSIÇÕES",VLOOKUP(B807,'11.COMPOSIÇÕES GERAIS'!B:I,3,0),VLOOKUP(B807,'12.COT.MERCADO'!A:I,7,0)))),"Em Elaboração")</f>
        <v>UN</v>
      </c>
      <c r="G807" s="254">
        <v>1.0</v>
      </c>
      <c r="H807" s="259">
        <f>IFERROR(IF(D807="SINAPI-S",VLOOKUP(B807,'20-B.SINAPI-S'!A:J,5,0),IF(D807="SINAPI-I",VLOOKUP(B807,'20-A.SINAPI-I'!A:G,6,0),IF(D807="COMPOSIÇÕES",VLOOKUP(B807,'11.COMPOSIÇÕES GERAIS'!B:I,7,0),0))),"Em Elaboração")</f>
        <v>0</v>
      </c>
      <c r="I807" s="259">
        <f>IFERROR(IF(D807="SINAPI-S",VLOOKUP(B807,'20-B.SINAPI-S'!A:J,6,0),IF(D807="SINAPI-I",VLOOKUP(B807,'20-A.SINAPI-I'!A:G,7,0),IF(D807="COMPOSIÇÕES",VLOOKUP(B807,'11.COMPOSIÇÕES GERAIS'!B:I,8,0),VLOOKUP(B807,'12.COT.MERCADO'!A:I,8,0)))),"Em Elaboração")</f>
        <v>456.62</v>
      </c>
      <c r="J807" s="259">
        <f t="shared" si="137"/>
        <v>0</v>
      </c>
      <c r="K807" s="259">
        <f t="shared" si="138"/>
        <v>534.8547983</v>
      </c>
      <c r="L807" s="259">
        <f t="shared" si="139"/>
        <v>534.8547983</v>
      </c>
      <c r="M807" s="259">
        <f t="shared" si="140"/>
        <v>0</v>
      </c>
      <c r="N807" s="259">
        <f t="shared" si="141"/>
        <v>534.8547983</v>
      </c>
      <c r="O807" s="259">
        <f t="shared" si="142"/>
        <v>534.8547983</v>
      </c>
      <c r="P807" s="260">
        <f t="shared" si="2"/>
        <v>0.0004184031302</v>
      </c>
    </row>
    <row r="808">
      <c r="A808" s="253" t="s">
        <v>961</v>
      </c>
      <c r="B808" s="254">
        <v>12430.0</v>
      </c>
      <c r="C808" s="255" t="str">
        <f t="shared" si="136"/>
        <v>SINAPI</v>
      </c>
      <c r="D808" s="256" t="s">
        <v>286</v>
      </c>
      <c r="E808" s="257" t="str">
        <f>IFERROR(IF(D808="SINAPI-S",VLOOKUP(B808,'20-B.SINAPI-S'!A:J,2,0),IF(D808="SINAPI-I",VLOOKUP(B808,'20-A.SINAPI-I'!A:G,2,0),IF(D808="COMPOSIÇÕES",VLOOKUP(B808,'11.COMPOSIÇÕES GERAIS'!B:I,2,0),VLOOKUP(B808,'12.COT.MERCADO'!A:I,2,0)))),"Em Elaboração")</f>
        <v>UNIAO COM ASSENTO CONICO DE BRONZE, DIAMETRO 3/4"</v>
      </c>
      <c r="F808" s="258" t="str">
        <f>IFERROR(IF(D808="SINAPI-S",VLOOKUP(B808,'20-B.SINAPI-S'!A:J,3,0),IF(D808="SINAPI-I",VLOOKUP(B808,'20-A.SINAPI-I'!A:G,3,0),IF(D808="COMPOSIÇÕES",VLOOKUP(B808,'11.COMPOSIÇÕES GERAIS'!B:I,3,0),VLOOKUP(B808,'12.COT.MERCADO'!A:I,7,0)))),"Em Elaboração")</f>
        <v>UN</v>
      </c>
      <c r="G808" s="254">
        <v>1.0</v>
      </c>
      <c r="H808" s="259">
        <f>IFERROR(IF(D808="SINAPI-S",VLOOKUP(B808,'20-B.SINAPI-S'!A:J,5,0),IF(D808="SINAPI-I",VLOOKUP(B808,'20-A.SINAPI-I'!A:G,6,0),IF(D808="COMPOSIÇÕES",VLOOKUP(B808,'11.COMPOSIÇÕES GERAIS'!B:I,7,0),0))),"Em Elaboração")</f>
        <v>0</v>
      </c>
      <c r="I808" s="259">
        <f>IFERROR(IF(D808="SINAPI-S",VLOOKUP(B808,'20-B.SINAPI-S'!A:J,6,0),IF(D808="SINAPI-I",VLOOKUP(B808,'20-A.SINAPI-I'!A:G,7,0),IF(D808="COMPOSIÇÕES",VLOOKUP(B808,'11.COMPOSIÇÕES GERAIS'!B:I,8,0),VLOOKUP(B808,'12.COT.MERCADO'!A:I,8,0)))),"Em Elaboração")</f>
        <v>60.71</v>
      </c>
      <c r="J808" s="259">
        <f t="shared" si="137"/>
        <v>0</v>
      </c>
      <c r="K808" s="259">
        <f t="shared" si="138"/>
        <v>71.11172266</v>
      </c>
      <c r="L808" s="259">
        <f t="shared" si="139"/>
        <v>71.11172266</v>
      </c>
      <c r="M808" s="259">
        <f t="shared" si="140"/>
        <v>0</v>
      </c>
      <c r="N808" s="259">
        <f t="shared" si="141"/>
        <v>71.11172266</v>
      </c>
      <c r="O808" s="259">
        <f t="shared" si="142"/>
        <v>71.11172266</v>
      </c>
      <c r="P808" s="260">
        <f t="shared" si="2"/>
        <v>0.00005562886872</v>
      </c>
    </row>
    <row r="809">
      <c r="A809" s="253" t="s">
        <v>962</v>
      </c>
      <c r="B809" s="254">
        <v>12431.0</v>
      </c>
      <c r="C809" s="255" t="str">
        <f t="shared" si="136"/>
        <v>SINAPI</v>
      </c>
      <c r="D809" s="256" t="s">
        <v>286</v>
      </c>
      <c r="E809" s="257" t="str">
        <f>IFERROR(IF(D809="SINAPI-S",VLOOKUP(B809,'20-B.SINAPI-S'!A:J,2,0),IF(D809="SINAPI-I",VLOOKUP(B809,'20-A.SINAPI-I'!A:G,2,0),IF(D809="COMPOSIÇÕES",VLOOKUP(B809,'11.COMPOSIÇÕES GERAIS'!B:I,2,0),VLOOKUP(B809,'12.COT.MERCADO'!A:I,2,0)))),"Em Elaboração")</f>
        <v>UNIAO COM ASSENTO CONICO DE BRONZE, DIAMETRO 4"</v>
      </c>
      <c r="F809" s="258" t="str">
        <f>IFERROR(IF(D809="SINAPI-S",VLOOKUP(B809,'20-B.SINAPI-S'!A:J,3,0),IF(D809="SINAPI-I",VLOOKUP(B809,'20-A.SINAPI-I'!A:G,3,0),IF(D809="COMPOSIÇÕES",VLOOKUP(B809,'11.COMPOSIÇÕES GERAIS'!B:I,3,0),VLOOKUP(B809,'12.COT.MERCADO'!A:I,7,0)))),"Em Elaboração")</f>
        <v>UN</v>
      </c>
      <c r="G809" s="254">
        <v>1.0</v>
      </c>
      <c r="H809" s="259">
        <f>IFERROR(IF(D809="SINAPI-S",VLOOKUP(B809,'20-B.SINAPI-S'!A:J,5,0),IF(D809="SINAPI-I",VLOOKUP(B809,'20-A.SINAPI-I'!A:G,6,0),IF(D809="COMPOSIÇÕES",VLOOKUP(B809,'11.COMPOSIÇÕES GERAIS'!B:I,7,0),0))),"Em Elaboração")</f>
        <v>0</v>
      </c>
      <c r="I809" s="259">
        <f>IFERROR(IF(D809="SINAPI-S",VLOOKUP(B809,'20-B.SINAPI-S'!A:J,6,0),IF(D809="SINAPI-I",VLOOKUP(B809,'20-A.SINAPI-I'!A:G,7,0),IF(D809="COMPOSIÇÕES",VLOOKUP(B809,'11.COMPOSIÇÕES GERAIS'!B:I,8,0),VLOOKUP(B809,'12.COT.MERCADO'!A:I,8,0)))),"Em Elaboração")</f>
        <v>777.08</v>
      </c>
      <c r="J809" s="259">
        <f t="shared" si="137"/>
        <v>0</v>
      </c>
      <c r="K809" s="259">
        <f t="shared" si="138"/>
        <v>910.2206794</v>
      </c>
      <c r="L809" s="259">
        <f t="shared" si="139"/>
        <v>910.2206794</v>
      </c>
      <c r="M809" s="259">
        <f t="shared" si="140"/>
        <v>0</v>
      </c>
      <c r="N809" s="259">
        <f t="shared" si="141"/>
        <v>910.2206794</v>
      </c>
      <c r="O809" s="259">
        <f t="shared" si="142"/>
        <v>910.2206794</v>
      </c>
      <c r="P809" s="260">
        <f t="shared" si="2"/>
        <v>0.0007120421891</v>
      </c>
    </row>
    <row r="810">
      <c r="A810" s="253" t="s">
        <v>963</v>
      </c>
      <c r="B810" s="254">
        <v>12437.0</v>
      </c>
      <c r="C810" s="255" t="str">
        <f t="shared" si="136"/>
        <v>SINAPI</v>
      </c>
      <c r="D810" s="256" t="s">
        <v>286</v>
      </c>
      <c r="E810" s="257" t="str">
        <f>IFERROR(IF(D810="SINAPI-S",VLOOKUP(B810,'20-B.SINAPI-S'!A:J,2,0),IF(D810="SINAPI-I",VLOOKUP(B810,'20-A.SINAPI-I'!A:G,2,0),IF(D810="COMPOSIÇÕES",VLOOKUP(B810,'11.COMPOSIÇÕES GERAIS'!B:I,2,0),VLOOKUP(B810,'12.COT.MERCADO'!A:I,2,0)))),"Em Elaboração")</f>
        <v>UNIAO COM ASSENTO CONICO DE FERRO LONGO (MACHO-FEMEA), DIAMETRO 2"</v>
      </c>
      <c r="F810" s="258" t="str">
        <f>IFERROR(IF(D810="SINAPI-S",VLOOKUP(B810,'20-B.SINAPI-S'!A:J,3,0),IF(D810="SINAPI-I",VLOOKUP(B810,'20-A.SINAPI-I'!A:G,3,0),IF(D810="COMPOSIÇÕES",VLOOKUP(B810,'11.COMPOSIÇÕES GERAIS'!B:I,3,0),VLOOKUP(B810,'12.COT.MERCADO'!A:I,7,0)))),"Em Elaboração")</f>
        <v>UN</v>
      </c>
      <c r="G810" s="254">
        <v>1.0</v>
      </c>
      <c r="H810" s="259">
        <f>IFERROR(IF(D810="SINAPI-S",VLOOKUP(B810,'20-B.SINAPI-S'!A:J,5,0),IF(D810="SINAPI-I",VLOOKUP(B810,'20-A.SINAPI-I'!A:G,6,0),IF(D810="COMPOSIÇÕES",VLOOKUP(B810,'11.COMPOSIÇÕES GERAIS'!B:I,7,0),0))),"Em Elaboração")</f>
        <v>0</v>
      </c>
      <c r="I810" s="259">
        <f>IFERROR(IF(D810="SINAPI-S",VLOOKUP(B810,'20-B.SINAPI-S'!A:J,6,0),IF(D810="SINAPI-I",VLOOKUP(B810,'20-A.SINAPI-I'!A:G,7,0),IF(D810="COMPOSIÇÕES",VLOOKUP(B810,'11.COMPOSIÇÕES GERAIS'!B:I,8,0),VLOOKUP(B810,'12.COT.MERCADO'!A:I,8,0)))),"Em Elaboração")</f>
        <v>254.3</v>
      </c>
      <c r="J810" s="259">
        <f t="shared" si="137"/>
        <v>0</v>
      </c>
      <c r="K810" s="259">
        <f t="shared" si="138"/>
        <v>297.870385</v>
      </c>
      <c r="L810" s="259">
        <f t="shared" si="139"/>
        <v>297.870385</v>
      </c>
      <c r="M810" s="259">
        <f t="shared" si="140"/>
        <v>0</v>
      </c>
      <c r="N810" s="259">
        <f t="shared" si="141"/>
        <v>297.870385</v>
      </c>
      <c r="O810" s="259">
        <f t="shared" si="142"/>
        <v>297.870385</v>
      </c>
      <c r="P810" s="260">
        <f t="shared" si="2"/>
        <v>0.0002330163287</v>
      </c>
    </row>
    <row r="811">
      <c r="A811" s="253" t="s">
        <v>964</v>
      </c>
      <c r="B811" s="254">
        <v>12436.0</v>
      </c>
      <c r="C811" s="255" t="str">
        <f t="shared" si="136"/>
        <v>SINAPI</v>
      </c>
      <c r="D811" s="256" t="s">
        <v>286</v>
      </c>
      <c r="E811" s="257" t="str">
        <f>IFERROR(IF(D811="SINAPI-S",VLOOKUP(B811,'20-B.SINAPI-S'!A:J,2,0),IF(D811="SINAPI-I",VLOOKUP(B811,'20-A.SINAPI-I'!A:G,2,0),IF(D811="COMPOSIÇÕES",VLOOKUP(B811,'11.COMPOSIÇÕES GERAIS'!B:I,2,0),VLOOKUP(B811,'12.COT.MERCADO'!A:I,2,0)))),"Em Elaboração")</f>
        <v>UNIAO COM ASSENTO CONICO DE FERRO LONGO (MACHO-FEMEA), DIAMETRO 4"</v>
      </c>
      <c r="F811" s="258" t="str">
        <f>IFERROR(IF(D811="SINAPI-S",VLOOKUP(B811,'20-B.SINAPI-S'!A:J,3,0),IF(D811="SINAPI-I",VLOOKUP(B811,'20-A.SINAPI-I'!A:G,3,0),IF(D811="COMPOSIÇÕES",VLOOKUP(B811,'11.COMPOSIÇÕES GERAIS'!B:I,3,0),VLOOKUP(B811,'12.COT.MERCADO'!A:I,7,0)))),"Em Elaboração")</f>
        <v>UN</v>
      </c>
      <c r="G811" s="254">
        <v>1.0</v>
      </c>
      <c r="H811" s="259">
        <f>IFERROR(IF(D811="SINAPI-S",VLOOKUP(B811,'20-B.SINAPI-S'!A:J,5,0),IF(D811="SINAPI-I",VLOOKUP(B811,'20-A.SINAPI-I'!A:G,6,0),IF(D811="COMPOSIÇÕES",VLOOKUP(B811,'11.COMPOSIÇÕES GERAIS'!B:I,7,0),0))),"Em Elaboração")</f>
        <v>0</v>
      </c>
      <c r="I811" s="259">
        <f>IFERROR(IF(D811="SINAPI-S",VLOOKUP(B811,'20-B.SINAPI-S'!A:J,6,0),IF(D811="SINAPI-I",VLOOKUP(B811,'20-A.SINAPI-I'!A:G,7,0),IF(D811="COMPOSIÇÕES",VLOOKUP(B811,'11.COMPOSIÇÕES GERAIS'!B:I,8,0),VLOOKUP(B811,'12.COT.MERCADO'!A:I,8,0)))),"Em Elaboração")</f>
        <v>581.33</v>
      </c>
      <c r="J811" s="259">
        <f t="shared" si="137"/>
        <v>0</v>
      </c>
      <c r="K811" s="259">
        <f t="shared" si="138"/>
        <v>680.9319344</v>
      </c>
      <c r="L811" s="259">
        <f t="shared" si="139"/>
        <v>680.9319344</v>
      </c>
      <c r="M811" s="259">
        <f t="shared" si="140"/>
        <v>0</v>
      </c>
      <c r="N811" s="259">
        <f t="shared" si="141"/>
        <v>680.9319344</v>
      </c>
      <c r="O811" s="259">
        <f t="shared" si="142"/>
        <v>680.9319344</v>
      </c>
      <c r="P811" s="260">
        <f t="shared" si="2"/>
        <v>0.0005326755106</v>
      </c>
    </row>
    <row r="812">
      <c r="A812" s="253" t="s">
        <v>965</v>
      </c>
      <c r="B812" s="254">
        <v>9900.0</v>
      </c>
      <c r="C812" s="255" t="str">
        <f t="shared" si="136"/>
        <v>SINAPI</v>
      </c>
      <c r="D812" s="256" t="s">
        <v>286</v>
      </c>
      <c r="E812" s="257" t="str">
        <f>IFERROR(IF(D812="SINAPI-S",VLOOKUP(B812,'20-B.SINAPI-S'!A:J,2,0),IF(D812="SINAPI-I",VLOOKUP(B812,'20-A.SINAPI-I'!A:G,2,0),IF(D812="COMPOSIÇÕES",VLOOKUP(B812,'11.COMPOSIÇÕES GERAIS'!B:I,2,0),VLOOKUP(B812,'12.COT.MERCADO'!A:I,2,0)))),"Em Elaboração")</f>
        <v>UNIAO PVC, ROSCAVEL, 1",  AGUA FRIA PREDIAL</v>
      </c>
      <c r="F812" s="258" t="str">
        <f>IFERROR(IF(D812="SINAPI-S",VLOOKUP(B812,'20-B.SINAPI-S'!A:J,3,0),IF(D812="SINAPI-I",VLOOKUP(B812,'20-A.SINAPI-I'!A:G,3,0),IF(D812="COMPOSIÇÕES",VLOOKUP(B812,'11.COMPOSIÇÕES GERAIS'!B:I,3,0),VLOOKUP(B812,'12.COT.MERCADO'!A:I,7,0)))),"Em Elaboração")</f>
        <v>UN</v>
      </c>
      <c r="G812" s="254">
        <v>4.0</v>
      </c>
      <c r="H812" s="259">
        <f>IFERROR(IF(D812="SINAPI-S",VLOOKUP(B812,'20-B.SINAPI-S'!A:J,5,0),IF(D812="SINAPI-I",VLOOKUP(B812,'20-A.SINAPI-I'!A:G,6,0),IF(D812="COMPOSIÇÕES",VLOOKUP(B812,'11.COMPOSIÇÕES GERAIS'!B:I,7,0),0))),"Em Elaboração")</f>
        <v>0</v>
      </c>
      <c r="I812" s="259">
        <f>IFERROR(IF(D812="SINAPI-S",VLOOKUP(B812,'20-B.SINAPI-S'!A:J,6,0),IF(D812="SINAPI-I",VLOOKUP(B812,'20-A.SINAPI-I'!A:G,7,0),IF(D812="COMPOSIÇÕES",VLOOKUP(B812,'11.COMPOSIÇÕES GERAIS'!B:I,8,0),VLOOKUP(B812,'12.COT.MERCADO'!A:I,8,0)))),"Em Elaboração")</f>
        <v>19.79</v>
      </c>
      <c r="J812" s="259">
        <f t="shared" si="137"/>
        <v>0</v>
      </c>
      <c r="K812" s="259">
        <f t="shared" si="138"/>
        <v>23.18071144</v>
      </c>
      <c r="L812" s="259">
        <f t="shared" si="139"/>
        <v>23.18071144</v>
      </c>
      <c r="M812" s="259">
        <f t="shared" si="140"/>
        <v>0</v>
      </c>
      <c r="N812" s="259">
        <f t="shared" si="141"/>
        <v>92.72284576</v>
      </c>
      <c r="O812" s="259">
        <f t="shared" si="142"/>
        <v>92.72284576</v>
      </c>
      <c r="P812" s="260">
        <f t="shared" si="2"/>
        <v>0.00007253469358</v>
      </c>
    </row>
    <row r="813">
      <c r="A813" s="253" t="s">
        <v>966</v>
      </c>
      <c r="B813" s="254">
        <v>9901.0</v>
      </c>
      <c r="C813" s="255" t="str">
        <f t="shared" si="136"/>
        <v>SINAPI</v>
      </c>
      <c r="D813" s="256" t="s">
        <v>286</v>
      </c>
      <c r="E813" s="257" t="str">
        <f>IFERROR(IF(D813="SINAPI-S",VLOOKUP(B813,'20-B.SINAPI-S'!A:J,2,0),IF(D813="SINAPI-I",VLOOKUP(B813,'20-A.SINAPI-I'!A:G,2,0),IF(D813="COMPOSIÇÕES",VLOOKUP(B813,'11.COMPOSIÇÕES GERAIS'!B:I,2,0),VLOOKUP(B813,'12.COT.MERCADO'!A:I,2,0)))),"Em Elaboração")</f>
        <v>UNIAO PVC, ROSCAVEL, 1 1/2",  AGUA FRIA PREDIAL</v>
      </c>
      <c r="F813" s="258" t="str">
        <f>IFERROR(IF(D813="SINAPI-S",VLOOKUP(B813,'20-B.SINAPI-S'!A:J,3,0),IF(D813="SINAPI-I",VLOOKUP(B813,'20-A.SINAPI-I'!A:G,3,0),IF(D813="COMPOSIÇÕES",VLOOKUP(B813,'11.COMPOSIÇÕES GERAIS'!B:I,3,0),VLOOKUP(B813,'12.COT.MERCADO'!A:I,7,0)))),"Em Elaboração")</f>
        <v>UN</v>
      </c>
      <c r="G813" s="254">
        <v>4.0</v>
      </c>
      <c r="H813" s="259">
        <f>IFERROR(IF(D813="SINAPI-S",VLOOKUP(B813,'20-B.SINAPI-S'!A:J,5,0),IF(D813="SINAPI-I",VLOOKUP(B813,'20-A.SINAPI-I'!A:G,6,0),IF(D813="COMPOSIÇÕES",VLOOKUP(B813,'11.COMPOSIÇÕES GERAIS'!B:I,7,0),0))),"Em Elaboração")</f>
        <v>0</v>
      </c>
      <c r="I813" s="259">
        <f>IFERROR(IF(D813="SINAPI-S",VLOOKUP(B813,'20-B.SINAPI-S'!A:J,6,0),IF(D813="SINAPI-I",VLOOKUP(B813,'20-A.SINAPI-I'!A:G,7,0),IF(D813="COMPOSIÇÕES",VLOOKUP(B813,'11.COMPOSIÇÕES GERAIS'!B:I,8,0),VLOOKUP(B813,'12.COT.MERCADO'!A:I,8,0)))),"Em Elaboração")</f>
        <v>34.16</v>
      </c>
      <c r="J813" s="259">
        <f t="shared" si="137"/>
        <v>0</v>
      </c>
      <c r="K813" s="259">
        <f t="shared" si="138"/>
        <v>40.01278943</v>
      </c>
      <c r="L813" s="259">
        <f t="shared" si="139"/>
        <v>40.01278943</v>
      </c>
      <c r="M813" s="259">
        <f t="shared" si="140"/>
        <v>0</v>
      </c>
      <c r="N813" s="259">
        <f t="shared" si="141"/>
        <v>160.0511577</v>
      </c>
      <c r="O813" s="259">
        <f t="shared" si="142"/>
        <v>160.0511577</v>
      </c>
      <c r="P813" s="260">
        <f t="shared" si="2"/>
        <v>0.0001252038976</v>
      </c>
    </row>
    <row r="814">
      <c r="A814" s="253" t="s">
        <v>967</v>
      </c>
      <c r="B814" s="254">
        <v>9892.0</v>
      </c>
      <c r="C814" s="255" t="str">
        <f t="shared" si="136"/>
        <v>SINAPI</v>
      </c>
      <c r="D814" s="256" t="s">
        <v>286</v>
      </c>
      <c r="E814" s="257" t="str">
        <f>IFERROR(IF(D814="SINAPI-S",VLOOKUP(B814,'20-B.SINAPI-S'!A:J,2,0),IF(D814="SINAPI-I",VLOOKUP(B814,'20-A.SINAPI-I'!A:G,2,0),IF(D814="COMPOSIÇÕES",VLOOKUP(B814,'11.COMPOSIÇÕES GERAIS'!B:I,2,0),VLOOKUP(B814,'12.COT.MERCADO'!A:I,2,0)))),"Em Elaboração")</f>
        <v>UNIAO PVC, ROSCAVEL 1/2",  AGUA FRIA PREDIAL</v>
      </c>
      <c r="F814" s="258" t="str">
        <f>IFERROR(IF(D814="SINAPI-S",VLOOKUP(B814,'20-B.SINAPI-S'!A:J,3,0),IF(D814="SINAPI-I",VLOOKUP(B814,'20-A.SINAPI-I'!A:G,3,0),IF(D814="COMPOSIÇÕES",VLOOKUP(B814,'11.COMPOSIÇÕES GERAIS'!B:I,3,0),VLOOKUP(B814,'12.COT.MERCADO'!A:I,7,0)))),"Em Elaboração")</f>
        <v>UN</v>
      </c>
      <c r="G814" s="254">
        <v>4.0</v>
      </c>
      <c r="H814" s="259">
        <f>IFERROR(IF(D814="SINAPI-S",VLOOKUP(B814,'20-B.SINAPI-S'!A:J,5,0),IF(D814="SINAPI-I",VLOOKUP(B814,'20-A.SINAPI-I'!A:G,6,0),IF(D814="COMPOSIÇÕES",VLOOKUP(B814,'11.COMPOSIÇÕES GERAIS'!B:I,7,0),0))),"Em Elaboração")</f>
        <v>0</v>
      </c>
      <c r="I814" s="259">
        <f>IFERROR(IF(D814="SINAPI-S",VLOOKUP(B814,'20-B.SINAPI-S'!A:J,6,0),IF(D814="SINAPI-I",VLOOKUP(B814,'20-A.SINAPI-I'!A:G,7,0),IF(D814="COMPOSIÇÕES",VLOOKUP(B814,'11.COMPOSIÇÕES GERAIS'!B:I,8,0),VLOOKUP(B814,'12.COT.MERCADO'!A:I,8,0)))),"Em Elaboração")</f>
        <v>7.06</v>
      </c>
      <c r="J814" s="259">
        <f t="shared" si="137"/>
        <v>0</v>
      </c>
      <c r="K814" s="259">
        <f t="shared" si="138"/>
        <v>8.269622171</v>
      </c>
      <c r="L814" s="259">
        <f t="shared" si="139"/>
        <v>8.269622171</v>
      </c>
      <c r="M814" s="259">
        <f t="shared" si="140"/>
        <v>0</v>
      </c>
      <c r="N814" s="259">
        <f t="shared" si="141"/>
        <v>33.07848868</v>
      </c>
      <c r="O814" s="259">
        <f t="shared" si="142"/>
        <v>33.07848868</v>
      </c>
      <c r="P814" s="260">
        <f t="shared" si="2"/>
        <v>0.00002587644956</v>
      </c>
    </row>
    <row r="815">
      <c r="A815" s="253" t="s">
        <v>968</v>
      </c>
      <c r="B815" s="254">
        <v>9905.0</v>
      </c>
      <c r="C815" s="255" t="str">
        <f t="shared" si="136"/>
        <v>SINAPI</v>
      </c>
      <c r="D815" s="256" t="s">
        <v>286</v>
      </c>
      <c r="E815" s="257" t="str">
        <f>IFERROR(IF(D815="SINAPI-S",VLOOKUP(B815,'20-B.SINAPI-S'!A:J,2,0),IF(D815="SINAPI-I",VLOOKUP(B815,'20-A.SINAPI-I'!A:G,2,0),IF(D815="COMPOSIÇÕES",VLOOKUP(B815,'11.COMPOSIÇÕES GERAIS'!B:I,2,0),VLOOKUP(B815,'12.COT.MERCADO'!A:I,2,0)))),"Em Elaboração")</f>
        <v>UNIAO PVC, SOLDAVEL, 20 MM,  PARA AGUA FRIA PREDIAL</v>
      </c>
      <c r="F815" s="258" t="str">
        <f>IFERROR(IF(D815="SINAPI-S",VLOOKUP(B815,'20-B.SINAPI-S'!A:J,3,0),IF(D815="SINAPI-I",VLOOKUP(B815,'20-A.SINAPI-I'!A:G,3,0),IF(D815="COMPOSIÇÕES",VLOOKUP(B815,'11.COMPOSIÇÕES GERAIS'!B:I,3,0),VLOOKUP(B815,'12.COT.MERCADO'!A:I,7,0)))),"Em Elaboração")</f>
        <v>UN</v>
      </c>
      <c r="G815" s="254">
        <v>4.0</v>
      </c>
      <c r="H815" s="259">
        <f>IFERROR(IF(D815="SINAPI-S",VLOOKUP(B815,'20-B.SINAPI-S'!A:J,5,0),IF(D815="SINAPI-I",VLOOKUP(B815,'20-A.SINAPI-I'!A:G,6,0),IF(D815="COMPOSIÇÕES",VLOOKUP(B815,'11.COMPOSIÇÕES GERAIS'!B:I,7,0),0))),"Em Elaboração")</f>
        <v>0</v>
      </c>
      <c r="I815" s="259">
        <f>IFERROR(IF(D815="SINAPI-S",VLOOKUP(B815,'20-B.SINAPI-S'!A:J,6,0),IF(D815="SINAPI-I",VLOOKUP(B815,'20-A.SINAPI-I'!A:G,7,0),IF(D815="COMPOSIÇÕES",VLOOKUP(B815,'11.COMPOSIÇÕES GERAIS'!B:I,8,0),VLOOKUP(B815,'12.COT.MERCADO'!A:I,8,0)))),"Em Elaboração")</f>
        <v>6.94</v>
      </c>
      <c r="J815" s="259">
        <f t="shared" si="137"/>
        <v>0</v>
      </c>
      <c r="K815" s="259">
        <f t="shared" si="138"/>
        <v>8.129062021</v>
      </c>
      <c r="L815" s="259">
        <f t="shared" si="139"/>
        <v>8.129062021</v>
      </c>
      <c r="M815" s="259">
        <f t="shared" si="140"/>
        <v>0</v>
      </c>
      <c r="N815" s="259">
        <f t="shared" si="141"/>
        <v>32.51624808</v>
      </c>
      <c r="O815" s="259">
        <f t="shared" si="142"/>
        <v>32.51624808</v>
      </c>
      <c r="P815" s="260">
        <f t="shared" si="2"/>
        <v>0.00002543662322</v>
      </c>
    </row>
    <row r="816">
      <c r="A816" s="253" t="s">
        <v>969</v>
      </c>
      <c r="B816" s="254">
        <v>9906.0</v>
      </c>
      <c r="C816" s="255" t="str">
        <f t="shared" si="136"/>
        <v>SINAPI</v>
      </c>
      <c r="D816" s="256" t="s">
        <v>286</v>
      </c>
      <c r="E816" s="257" t="str">
        <f>IFERROR(IF(D816="SINAPI-S",VLOOKUP(B816,'20-B.SINAPI-S'!A:J,2,0),IF(D816="SINAPI-I",VLOOKUP(B816,'20-A.SINAPI-I'!A:G,2,0),IF(D816="COMPOSIÇÕES",VLOOKUP(B816,'11.COMPOSIÇÕES GERAIS'!B:I,2,0),VLOOKUP(B816,'12.COT.MERCADO'!A:I,2,0)))),"Em Elaboração")</f>
        <v>UNIAO PVC, SOLDAVEL, 25 MM,  PARA AGUA FRIA PREDIAL</v>
      </c>
      <c r="F816" s="258" t="str">
        <f>IFERROR(IF(D816="SINAPI-S",VLOOKUP(B816,'20-B.SINAPI-S'!A:J,3,0),IF(D816="SINAPI-I",VLOOKUP(B816,'20-A.SINAPI-I'!A:G,3,0),IF(D816="COMPOSIÇÕES",VLOOKUP(B816,'11.COMPOSIÇÕES GERAIS'!B:I,3,0),VLOOKUP(B816,'12.COT.MERCADO'!A:I,7,0)))),"Em Elaboração")</f>
        <v>UN</v>
      </c>
      <c r="G816" s="254">
        <v>4.0</v>
      </c>
      <c r="H816" s="259">
        <f>IFERROR(IF(D816="SINAPI-S",VLOOKUP(B816,'20-B.SINAPI-S'!A:J,5,0),IF(D816="SINAPI-I",VLOOKUP(B816,'20-A.SINAPI-I'!A:G,6,0),IF(D816="COMPOSIÇÕES",VLOOKUP(B816,'11.COMPOSIÇÕES GERAIS'!B:I,7,0),0))),"Em Elaboração")</f>
        <v>0</v>
      </c>
      <c r="I816" s="259">
        <f>IFERROR(IF(D816="SINAPI-S",VLOOKUP(B816,'20-B.SINAPI-S'!A:J,6,0),IF(D816="SINAPI-I",VLOOKUP(B816,'20-A.SINAPI-I'!A:G,7,0),IF(D816="COMPOSIÇÕES",VLOOKUP(B816,'11.COMPOSIÇÕES GERAIS'!B:I,8,0),VLOOKUP(B816,'12.COT.MERCADO'!A:I,8,0)))),"Em Elaboração")</f>
        <v>8.37</v>
      </c>
      <c r="J816" s="259">
        <f t="shared" si="137"/>
        <v>0</v>
      </c>
      <c r="K816" s="259">
        <f t="shared" si="138"/>
        <v>9.804070478</v>
      </c>
      <c r="L816" s="259">
        <f t="shared" si="139"/>
        <v>9.804070478</v>
      </c>
      <c r="M816" s="259">
        <f t="shared" si="140"/>
        <v>0</v>
      </c>
      <c r="N816" s="259">
        <f t="shared" si="141"/>
        <v>39.21628191</v>
      </c>
      <c r="O816" s="259">
        <f t="shared" si="142"/>
        <v>39.21628191</v>
      </c>
      <c r="P816" s="260">
        <f t="shared" si="2"/>
        <v>0.00003067788708</v>
      </c>
    </row>
    <row r="817">
      <c r="A817" s="253" t="s">
        <v>970</v>
      </c>
      <c r="B817" s="254">
        <v>9899.0</v>
      </c>
      <c r="C817" s="255" t="str">
        <f t="shared" si="136"/>
        <v>SINAPI</v>
      </c>
      <c r="D817" s="256" t="s">
        <v>286</v>
      </c>
      <c r="E817" s="257" t="str">
        <f>IFERROR(IF(D817="SINAPI-S",VLOOKUP(B817,'20-B.SINAPI-S'!A:J,2,0),IF(D817="SINAPI-I",VLOOKUP(B817,'20-A.SINAPI-I'!A:G,2,0),IF(D817="COMPOSIÇÕES",VLOOKUP(B817,'11.COMPOSIÇÕES GERAIS'!B:I,2,0),VLOOKUP(B817,'12.COT.MERCADO'!A:I,2,0)))),"Em Elaboração")</f>
        <v>UNIAO PVC, ROSCAVEL, 3/4",  AGUA FRIA PREDIAL</v>
      </c>
      <c r="F817" s="258" t="str">
        <f>IFERROR(IF(D817="SINAPI-S",VLOOKUP(B817,'20-B.SINAPI-S'!A:J,3,0),IF(D817="SINAPI-I",VLOOKUP(B817,'20-A.SINAPI-I'!A:G,3,0),IF(D817="COMPOSIÇÕES",VLOOKUP(B817,'11.COMPOSIÇÕES GERAIS'!B:I,3,0),VLOOKUP(B817,'12.COT.MERCADO'!A:I,7,0)))),"Em Elaboração")</f>
        <v>UN</v>
      </c>
      <c r="G817" s="254">
        <v>4.0</v>
      </c>
      <c r="H817" s="259">
        <f>IFERROR(IF(D817="SINAPI-S",VLOOKUP(B817,'20-B.SINAPI-S'!A:J,5,0),IF(D817="SINAPI-I",VLOOKUP(B817,'20-A.SINAPI-I'!A:G,6,0),IF(D817="COMPOSIÇÕES",VLOOKUP(B817,'11.COMPOSIÇÕES GERAIS'!B:I,7,0),0))),"Em Elaboração")</f>
        <v>0</v>
      </c>
      <c r="I817" s="259">
        <f>IFERROR(IF(D817="SINAPI-S",VLOOKUP(B817,'20-B.SINAPI-S'!A:J,6,0),IF(D817="SINAPI-I",VLOOKUP(B817,'20-A.SINAPI-I'!A:G,7,0),IF(D817="COMPOSIÇÕES",VLOOKUP(B817,'11.COMPOSIÇÕES GERAIS'!B:I,8,0),VLOOKUP(B817,'12.COT.MERCADO'!A:I,8,0)))),"Em Elaboração")</f>
        <v>8.87</v>
      </c>
      <c r="J817" s="259">
        <f t="shared" si="137"/>
        <v>0</v>
      </c>
      <c r="K817" s="259">
        <f t="shared" si="138"/>
        <v>10.38973777</v>
      </c>
      <c r="L817" s="259">
        <f t="shared" si="139"/>
        <v>10.38973777</v>
      </c>
      <c r="M817" s="259">
        <f t="shared" si="140"/>
        <v>0</v>
      </c>
      <c r="N817" s="259">
        <f t="shared" si="141"/>
        <v>41.55895108</v>
      </c>
      <c r="O817" s="259">
        <f t="shared" si="142"/>
        <v>41.55895108</v>
      </c>
      <c r="P817" s="260">
        <f t="shared" si="2"/>
        <v>0.00003251049682</v>
      </c>
    </row>
    <row r="818">
      <c r="A818" s="253" t="s">
        <v>971</v>
      </c>
      <c r="B818" s="254">
        <v>9907.0</v>
      </c>
      <c r="C818" s="255" t="str">
        <f t="shared" si="136"/>
        <v>SINAPI</v>
      </c>
      <c r="D818" s="256" t="s">
        <v>286</v>
      </c>
      <c r="E818" s="257" t="str">
        <f>IFERROR(IF(D818="SINAPI-S",VLOOKUP(B818,'20-B.SINAPI-S'!A:J,2,0),IF(D818="SINAPI-I",VLOOKUP(B818,'20-A.SINAPI-I'!A:G,2,0),IF(D818="COMPOSIÇÕES",VLOOKUP(B818,'11.COMPOSIÇÕES GERAIS'!B:I,2,0),VLOOKUP(B818,'12.COT.MERCADO'!A:I,2,0)))),"Em Elaboração")</f>
        <v>UNIAO PVC, SOLDAVEL, 85 MM,  PARA AGUA FRIA PREDIAL</v>
      </c>
      <c r="F818" s="258" t="str">
        <f>IFERROR(IF(D818="SINAPI-S",VLOOKUP(B818,'20-B.SINAPI-S'!A:J,3,0),IF(D818="SINAPI-I",VLOOKUP(B818,'20-A.SINAPI-I'!A:G,3,0),IF(D818="COMPOSIÇÕES",VLOOKUP(B818,'11.COMPOSIÇÕES GERAIS'!B:I,3,0),VLOOKUP(B818,'12.COT.MERCADO'!A:I,7,0)))),"Em Elaboração")</f>
        <v>UN</v>
      </c>
      <c r="G818" s="254">
        <v>4.0</v>
      </c>
      <c r="H818" s="259">
        <f>IFERROR(IF(D818="SINAPI-S",VLOOKUP(B818,'20-B.SINAPI-S'!A:J,5,0),IF(D818="SINAPI-I",VLOOKUP(B818,'20-A.SINAPI-I'!A:G,6,0),IF(D818="COMPOSIÇÕES",VLOOKUP(B818,'11.COMPOSIÇÕES GERAIS'!B:I,7,0),0))),"Em Elaboração")</f>
        <v>0</v>
      </c>
      <c r="I818" s="259">
        <f>IFERROR(IF(D818="SINAPI-S",VLOOKUP(B818,'20-B.SINAPI-S'!A:J,6,0),IF(D818="SINAPI-I",VLOOKUP(B818,'20-A.SINAPI-I'!A:G,7,0),IF(D818="COMPOSIÇÕES",VLOOKUP(B818,'11.COMPOSIÇÕES GERAIS'!B:I,8,0),VLOOKUP(B818,'12.COT.MERCADO'!A:I,8,0)))),"Em Elaboração")</f>
        <v>181.08</v>
      </c>
      <c r="J818" s="259">
        <f t="shared" si="137"/>
        <v>0</v>
      </c>
      <c r="K818" s="259">
        <f t="shared" si="138"/>
        <v>212.1052667</v>
      </c>
      <c r="L818" s="259">
        <f t="shared" si="139"/>
        <v>212.1052667</v>
      </c>
      <c r="M818" s="259">
        <f t="shared" si="140"/>
        <v>0</v>
      </c>
      <c r="N818" s="259">
        <f t="shared" si="141"/>
        <v>848.4210667</v>
      </c>
      <c r="O818" s="259">
        <f t="shared" si="142"/>
        <v>848.4210667</v>
      </c>
      <c r="P818" s="260">
        <f t="shared" si="2"/>
        <v>0.0006636979441</v>
      </c>
    </row>
    <row r="819">
      <c r="A819" s="253" t="s">
        <v>972</v>
      </c>
      <c r="B819" s="254">
        <v>9895.0</v>
      </c>
      <c r="C819" s="255" t="str">
        <f t="shared" si="136"/>
        <v>SINAPI</v>
      </c>
      <c r="D819" s="256" t="s">
        <v>286</v>
      </c>
      <c r="E819" s="257" t="str">
        <f>IFERROR(IF(D819="SINAPI-S",VLOOKUP(B819,'20-B.SINAPI-S'!A:J,2,0),IF(D819="SINAPI-I",VLOOKUP(B819,'20-A.SINAPI-I'!A:G,2,0),IF(D819="COMPOSIÇÕES",VLOOKUP(B819,'11.COMPOSIÇÕES GERAIS'!B:I,2,0),VLOOKUP(B819,'12.COT.MERCADO'!A:I,2,0)))),"Em Elaboração")</f>
        <v>UNIAO PVC, SOLDAVEL, 32 MM,  PARA AGUA FRIA PREDIAL</v>
      </c>
      <c r="F819" s="258" t="str">
        <f>IFERROR(IF(D819="SINAPI-S",VLOOKUP(B819,'20-B.SINAPI-S'!A:J,3,0),IF(D819="SINAPI-I",VLOOKUP(B819,'20-A.SINAPI-I'!A:G,3,0),IF(D819="COMPOSIÇÕES",VLOOKUP(B819,'11.COMPOSIÇÕES GERAIS'!B:I,3,0),VLOOKUP(B819,'12.COT.MERCADO'!A:I,7,0)))),"Em Elaboração")</f>
        <v>UN</v>
      </c>
      <c r="G819" s="254">
        <v>4.0</v>
      </c>
      <c r="H819" s="259">
        <f>IFERROR(IF(D819="SINAPI-S",VLOOKUP(B819,'20-B.SINAPI-S'!A:J,5,0),IF(D819="SINAPI-I",VLOOKUP(B819,'20-A.SINAPI-I'!A:G,6,0),IF(D819="COMPOSIÇÕES",VLOOKUP(B819,'11.COMPOSIÇÕES GERAIS'!B:I,7,0),0))),"Em Elaboração")</f>
        <v>0</v>
      </c>
      <c r="I819" s="259">
        <f>IFERROR(IF(D819="SINAPI-S",VLOOKUP(B819,'20-B.SINAPI-S'!A:J,6,0),IF(D819="SINAPI-I",VLOOKUP(B819,'20-A.SINAPI-I'!A:G,7,0),IF(D819="COMPOSIÇÕES",VLOOKUP(B819,'11.COMPOSIÇÕES GERAIS'!B:I,8,0),VLOOKUP(B819,'12.COT.MERCADO'!A:I,8,0)))),"Em Elaboração")</f>
        <v>14.09</v>
      </c>
      <c r="J819" s="259">
        <f t="shared" si="137"/>
        <v>0</v>
      </c>
      <c r="K819" s="259">
        <f t="shared" si="138"/>
        <v>16.5041043</v>
      </c>
      <c r="L819" s="259">
        <f t="shared" si="139"/>
        <v>16.5041043</v>
      </c>
      <c r="M819" s="259">
        <f t="shared" si="140"/>
        <v>0</v>
      </c>
      <c r="N819" s="259">
        <f t="shared" si="141"/>
        <v>66.01641722</v>
      </c>
      <c r="O819" s="259">
        <f t="shared" si="142"/>
        <v>66.01641722</v>
      </c>
      <c r="P819" s="260">
        <f t="shared" si="2"/>
        <v>0.00005164294253</v>
      </c>
    </row>
    <row r="820">
      <c r="A820" s="253" t="s">
        <v>973</v>
      </c>
      <c r="B820" s="254">
        <v>9894.0</v>
      </c>
      <c r="C820" s="255" t="str">
        <f t="shared" si="136"/>
        <v>SINAPI</v>
      </c>
      <c r="D820" s="256" t="s">
        <v>286</v>
      </c>
      <c r="E820" s="257" t="str">
        <f>IFERROR(IF(D820="SINAPI-S",VLOOKUP(B820,'20-B.SINAPI-S'!A:J,2,0),IF(D820="SINAPI-I",VLOOKUP(B820,'20-A.SINAPI-I'!A:G,2,0),IF(D820="COMPOSIÇÕES",VLOOKUP(B820,'11.COMPOSIÇÕES GERAIS'!B:I,2,0),VLOOKUP(B820,'12.COT.MERCADO'!A:I,2,0)))),"Em Elaboração")</f>
        <v>UNIAO PVC, SOLDAVEL, 40 MM,  PARA AGUA FRIA PREDIAL</v>
      </c>
      <c r="F820" s="258" t="str">
        <f>IFERROR(IF(D820="SINAPI-S",VLOOKUP(B820,'20-B.SINAPI-S'!A:J,3,0),IF(D820="SINAPI-I",VLOOKUP(B820,'20-A.SINAPI-I'!A:G,3,0),IF(D820="COMPOSIÇÕES",VLOOKUP(B820,'11.COMPOSIÇÕES GERAIS'!B:I,3,0),VLOOKUP(B820,'12.COT.MERCADO'!A:I,7,0)))),"Em Elaboração")</f>
        <v>UN</v>
      </c>
      <c r="G820" s="254">
        <v>4.0</v>
      </c>
      <c r="H820" s="259">
        <f>IFERROR(IF(D820="SINAPI-S",VLOOKUP(B820,'20-B.SINAPI-S'!A:J,5,0),IF(D820="SINAPI-I",VLOOKUP(B820,'20-A.SINAPI-I'!A:G,6,0),IF(D820="COMPOSIÇÕES",VLOOKUP(B820,'11.COMPOSIÇÕES GERAIS'!B:I,7,0),0))),"Em Elaboração")</f>
        <v>0</v>
      </c>
      <c r="I820" s="259">
        <f>IFERROR(IF(D820="SINAPI-S",VLOOKUP(B820,'20-B.SINAPI-S'!A:J,6,0),IF(D820="SINAPI-I",VLOOKUP(B820,'20-A.SINAPI-I'!A:G,7,0),IF(D820="COMPOSIÇÕES",VLOOKUP(B820,'11.COMPOSIÇÕES GERAIS'!B:I,8,0),VLOOKUP(B820,'12.COT.MERCADO'!A:I,8,0)))),"Em Elaboração")</f>
        <v>27.11</v>
      </c>
      <c r="J820" s="259">
        <f t="shared" si="137"/>
        <v>0</v>
      </c>
      <c r="K820" s="259">
        <f t="shared" si="138"/>
        <v>31.7548806</v>
      </c>
      <c r="L820" s="259">
        <f t="shared" si="139"/>
        <v>31.7548806</v>
      </c>
      <c r="M820" s="259">
        <f t="shared" si="140"/>
        <v>0</v>
      </c>
      <c r="N820" s="259">
        <f t="shared" si="141"/>
        <v>127.0195224</v>
      </c>
      <c r="O820" s="259">
        <f t="shared" si="142"/>
        <v>127.0195224</v>
      </c>
      <c r="P820" s="260">
        <f t="shared" si="2"/>
        <v>0.00009936410021</v>
      </c>
    </row>
    <row r="821">
      <c r="A821" s="253" t="s">
        <v>974</v>
      </c>
      <c r="B821" s="254">
        <v>9897.0</v>
      </c>
      <c r="C821" s="255" t="str">
        <f t="shared" si="136"/>
        <v>SINAPI</v>
      </c>
      <c r="D821" s="256" t="s">
        <v>286</v>
      </c>
      <c r="E821" s="257" t="str">
        <f>IFERROR(IF(D821="SINAPI-S",VLOOKUP(B821,'20-B.SINAPI-S'!A:J,2,0),IF(D821="SINAPI-I",VLOOKUP(B821,'20-A.SINAPI-I'!A:G,2,0),IF(D821="COMPOSIÇÕES",VLOOKUP(B821,'11.COMPOSIÇÕES GERAIS'!B:I,2,0),VLOOKUP(B821,'12.COT.MERCADO'!A:I,2,0)))),"Em Elaboração")</f>
        <v>UNIAO PVC, SOLDAVEL, 50 MM,  PARA AGUA FRIA PREDIAL</v>
      </c>
      <c r="F821" s="258" t="str">
        <f>IFERROR(IF(D821="SINAPI-S",VLOOKUP(B821,'20-B.SINAPI-S'!A:J,3,0),IF(D821="SINAPI-I",VLOOKUP(B821,'20-A.SINAPI-I'!A:G,3,0),IF(D821="COMPOSIÇÕES",VLOOKUP(B821,'11.COMPOSIÇÕES GERAIS'!B:I,3,0),VLOOKUP(B821,'12.COT.MERCADO'!A:I,7,0)))),"Em Elaboração")</f>
        <v>UN</v>
      </c>
      <c r="G821" s="254">
        <v>4.0</v>
      </c>
      <c r="H821" s="259">
        <f>IFERROR(IF(D821="SINAPI-S",VLOOKUP(B821,'20-B.SINAPI-S'!A:J,5,0),IF(D821="SINAPI-I",VLOOKUP(B821,'20-A.SINAPI-I'!A:G,6,0),IF(D821="COMPOSIÇÕES",VLOOKUP(B821,'11.COMPOSIÇÕES GERAIS'!B:I,7,0),0))),"Em Elaboração")</f>
        <v>0</v>
      </c>
      <c r="I821" s="259">
        <f>IFERROR(IF(D821="SINAPI-S",VLOOKUP(B821,'20-B.SINAPI-S'!A:J,6,0),IF(D821="SINAPI-I",VLOOKUP(B821,'20-A.SINAPI-I'!A:G,7,0),IF(D821="COMPOSIÇÕES",VLOOKUP(B821,'11.COMPOSIÇÕES GERAIS'!B:I,8,0),VLOOKUP(B821,'12.COT.MERCADO'!A:I,8,0)))),"Em Elaboração")</f>
        <v>28.94</v>
      </c>
      <c r="J821" s="259">
        <f t="shared" si="137"/>
        <v>0</v>
      </c>
      <c r="K821" s="259">
        <f t="shared" si="138"/>
        <v>33.89842289</v>
      </c>
      <c r="L821" s="259">
        <f t="shared" si="139"/>
        <v>33.89842289</v>
      </c>
      <c r="M821" s="259">
        <f t="shared" si="140"/>
        <v>0</v>
      </c>
      <c r="N821" s="259">
        <f t="shared" si="141"/>
        <v>135.5936916</v>
      </c>
      <c r="O821" s="259">
        <f t="shared" si="142"/>
        <v>135.5936916</v>
      </c>
      <c r="P821" s="260">
        <f t="shared" si="2"/>
        <v>0.0001060714519</v>
      </c>
    </row>
    <row r="822">
      <c r="A822" s="253" t="s">
        <v>975</v>
      </c>
      <c r="B822" s="254">
        <v>9910.0</v>
      </c>
      <c r="C822" s="255" t="str">
        <f t="shared" si="136"/>
        <v>SINAPI</v>
      </c>
      <c r="D822" s="256" t="s">
        <v>286</v>
      </c>
      <c r="E822" s="257" t="str">
        <f>IFERROR(IF(D822="SINAPI-S",VLOOKUP(B822,'20-B.SINAPI-S'!A:J,2,0),IF(D822="SINAPI-I",VLOOKUP(B822,'20-A.SINAPI-I'!A:G,2,0),IF(D822="COMPOSIÇÕES",VLOOKUP(B822,'11.COMPOSIÇÕES GERAIS'!B:I,2,0),VLOOKUP(B822,'12.COT.MERCADO'!A:I,2,0)))),"Em Elaboração")</f>
        <v>UNIAO PVC, SOLDAVEL, 60 MM,  PARA AGUA FRIA PREDIAL</v>
      </c>
      <c r="F822" s="258" t="str">
        <f>IFERROR(IF(D822="SINAPI-S",VLOOKUP(B822,'20-B.SINAPI-S'!A:J,3,0),IF(D822="SINAPI-I",VLOOKUP(B822,'20-A.SINAPI-I'!A:G,3,0),IF(D822="COMPOSIÇÕES",VLOOKUP(B822,'11.COMPOSIÇÕES GERAIS'!B:I,3,0),VLOOKUP(B822,'12.COT.MERCADO'!A:I,7,0)))),"Em Elaboração")</f>
        <v>UN</v>
      </c>
      <c r="G822" s="254">
        <v>4.0</v>
      </c>
      <c r="H822" s="259">
        <f>IFERROR(IF(D822="SINAPI-S",VLOOKUP(B822,'20-B.SINAPI-S'!A:J,5,0),IF(D822="SINAPI-I",VLOOKUP(B822,'20-A.SINAPI-I'!A:G,6,0),IF(D822="COMPOSIÇÕES",VLOOKUP(B822,'11.COMPOSIÇÕES GERAIS'!B:I,7,0),0))),"Em Elaboração")</f>
        <v>0</v>
      </c>
      <c r="I822" s="259">
        <f>IFERROR(IF(D822="SINAPI-S",VLOOKUP(B822,'20-B.SINAPI-S'!A:J,6,0),IF(D822="SINAPI-I",VLOOKUP(B822,'20-A.SINAPI-I'!A:G,7,0),IF(D822="COMPOSIÇÕES",VLOOKUP(B822,'11.COMPOSIÇÕES GERAIS'!B:I,8,0),VLOOKUP(B822,'12.COT.MERCADO'!A:I,8,0)))),"Em Elaboração")</f>
        <v>75.31</v>
      </c>
      <c r="J822" s="259">
        <f t="shared" si="137"/>
        <v>0</v>
      </c>
      <c r="K822" s="259">
        <f t="shared" si="138"/>
        <v>88.21320761</v>
      </c>
      <c r="L822" s="259">
        <f t="shared" si="139"/>
        <v>88.21320761</v>
      </c>
      <c r="M822" s="259">
        <f t="shared" si="140"/>
        <v>0</v>
      </c>
      <c r="N822" s="259">
        <f t="shared" si="141"/>
        <v>352.8528304</v>
      </c>
      <c r="O822" s="259">
        <f t="shared" si="142"/>
        <v>352.8528304</v>
      </c>
      <c r="P822" s="260">
        <f t="shared" si="2"/>
        <v>0.0002760276793</v>
      </c>
    </row>
    <row r="823">
      <c r="A823" s="253" t="s">
        <v>976</v>
      </c>
      <c r="B823" s="254">
        <v>9909.0</v>
      </c>
      <c r="C823" s="255" t="str">
        <f t="shared" si="136"/>
        <v>SINAPI</v>
      </c>
      <c r="D823" s="256" t="s">
        <v>286</v>
      </c>
      <c r="E823" s="257" t="str">
        <f>IFERROR(IF(D823="SINAPI-S",VLOOKUP(B823,'20-B.SINAPI-S'!A:J,2,0),IF(D823="SINAPI-I",VLOOKUP(B823,'20-A.SINAPI-I'!A:G,2,0),IF(D823="COMPOSIÇÕES",VLOOKUP(B823,'11.COMPOSIÇÕES GERAIS'!B:I,2,0),VLOOKUP(B823,'12.COT.MERCADO'!A:I,2,0)))),"Em Elaboração")</f>
        <v>UNIAO PVC, SOLDAVEL, 75 MM,  PARA AGUA FRIA PREDIAL</v>
      </c>
      <c r="F823" s="258" t="str">
        <f>IFERROR(IF(D823="SINAPI-S",VLOOKUP(B823,'20-B.SINAPI-S'!A:J,3,0),IF(D823="SINAPI-I",VLOOKUP(B823,'20-A.SINAPI-I'!A:G,3,0),IF(D823="COMPOSIÇÕES",VLOOKUP(B823,'11.COMPOSIÇÕES GERAIS'!B:I,3,0),VLOOKUP(B823,'12.COT.MERCADO'!A:I,7,0)))),"Em Elaboração")</f>
        <v>UN</v>
      </c>
      <c r="G823" s="254">
        <v>4.0</v>
      </c>
      <c r="H823" s="259">
        <f>IFERROR(IF(D823="SINAPI-S",VLOOKUP(B823,'20-B.SINAPI-S'!A:J,5,0),IF(D823="SINAPI-I",VLOOKUP(B823,'20-A.SINAPI-I'!A:G,6,0),IF(D823="COMPOSIÇÕES",VLOOKUP(B823,'11.COMPOSIÇÕES GERAIS'!B:I,7,0),0))),"Em Elaboração")</f>
        <v>0</v>
      </c>
      <c r="I823" s="259">
        <f>IFERROR(IF(D823="SINAPI-S",VLOOKUP(B823,'20-B.SINAPI-S'!A:J,6,0),IF(D823="SINAPI-I",VLOOKUP(B823,'20-A.SINAPI-I'!A:G,7,0),IF(D823="COMPOSIÇÕES",VLOOKUP(B823,'11.COMPOSIÇÕES GERAIS'!B:I,8,0),VLOOKUP(B823,'12.COT.MERCADO'!A:I,8,0)))),"Em Elaboração")</f>
        <v>153.37</v>
      </c>
      <c r="J823" s="259">
        <f t="shared" si="137"/>
        <v>0</v>
      </c>
      <c r="K823" s="259">
        <f t="shared" si="138"/>
        <v>179.6475853</v>
      </c>
      <c r="L823" s="259">
        <f t="shared" si="139"/>
        <v>179.6475853</v>
      </c>
      <c r="M823" s="259">
        <f t="shared" si="140"/>
        <v>0</v>
      </c>
      <c r="N823" s="259">
        <f t="shared" si="141"/>
        <v>718.5903413</v>
      </c>
      <c r="O823" s="259">
        <f t="shared" si="142"/>
        <v>718.5903413</v>
      </c>
      <c r="P823" s="260">
        <f t="shared" si="2"/>
        <v>0.0005621347122</v>
      </c>
    </row>
    <row r="824">
      <c r="A824" s="253" t="s">
        <v>977</v>
      </c>
      <c r="B824" s="254">
        <v>10228.0</v>
      </c>
      <c r="C824" s="255" t="str">
        <f t="shared" si="136"/>
        <v>SINAPI</v>
      </c>
      <c r="D824" s="256" t="s">
        <v>286</v>
      </c>
      <c r="E824" s="257" t="str">
        <f>IFERROR(IF(D824="SINAPI-S",VLOOKUP(B824,'20-B.SINAPI-S'!A:J,2,0),IF(D824="SINAPI-I",VLOOKUP(B824,'20-A.SINAPI-I'!A:G,2,0),IF(D824="COMPOSIÇÕES",VLOOKUP(B824,'11.COMPOSIÇÕES GERAIS'!B:I,2,0),VLOOKUP(B824,'12.COT.MERCADO'!A:I,2,0)))),"Em Elaboração")</f>
        <v>VALVULA DE DESCARGA METALICA, BASE 1 1/2 " E ACABAMENTO METALICO CROMADO</v>
      </c>
      <c r="F824" s="258" t="str">
        <f>IFERROR(IF(D824="SINAPI-S",VLOOKUP(B824,'20-B.SINAPI-S'!A:J,3,0),IF(D824="SINAPI-I",VLOOKUP(B824,'20-A.SINAPI-I'!A:G,3,0),IF(D824="COMPOSIÇÕES",VLOOKUP(B824,'11.COMPOSIÇÕES GERAIS'!B:I,3,0),VLOOKUP(B824,'12.COT.MERCADO'!A:I,7,0)))),"Em Elaboração")</f>
        <v>UN</v>
      </c>
      <c r="G824" s="254">
        <v>2.0</v>
      </c>
      <c r="H824" s="259">
        <f>IFERROR(IF(D824="SINAPI-S",VLOOKUP(B824,'20-B.SINAPI-S'!A:J,5,0),IF(D824="SINAPI-I",VLOOKUP(B824,'20-A.SINAPI-I'!A:G,6,0),IF(D824="COMPOSIÇÕES",VLOOKUP(B824,'11.COMPOSIÇÕES GERAIS'!B:I,7,0),0))),"Em Elaboração")</f>
        <v>0</v>
      </c>
      <c r="I824" s="259">
        <f>IFERROR(IF(D824="SINAPI-S",VLOOKUP(B824,'20-B.SINAPI-S'!A:J,6,0),IF(D824="SINAPI-I",VLOOKUP(B824,'20-A.SINAPI-I'!A:G,7,0),IF(D824="COMPOSIÇÕES",VLOOKUP(B824,'11.COMPOSIÇÕES GERAIS'!B:I,8,0),VLOOKUP(B824,'12.COT.MERCADO'!A:I,8,0)))),"Em Elaboração")</f>
        <v>266.85</v>
      </c>
      <c r="J824" s="259">
        <f t="shared" si="137"/>
        <v>0</v>
      </c>
      <c r="K824" s="259">
        <f t="shared" si="138"/>
        <v>312.570634</v>
      </c>
      <c r="L824" s="259">
        <f t="shared" si="139"/>
        <v>312.570634</v>
      </c>
      <c r="M824" s="259">
        <f t="shared" si="140"/>
        <v>0</v>
      </c>
      <c r="N824" s="259">
        <f t="shared" si="141"/>
        <v>625.1412681</v>
      </c>
      <c r="O824" s="259">
        <f t="shared" si="142"/>
        <v>625.1412681</v>
      </c>
      <c r="P824" s="260">
        <f t="shared" si="2"/>
        <v>0.0004890319096</v>
      </c>
    </row>
    <row r="825">
      <c r="A825" s="253" t="s">
        <v>978</v>
      </c>
      <c r="B825" s="254">
        <v>21112.0</v>
      </c>
      <c r="C825" s="255" t="str">
        <f t="shared" si="136"/>
        <v>SINAPI</v>
      </c>
      <c r="D825" s="256" t="s">
        <v>286</v>
      </c>
      <c r="E825" s="257" t="str">
        <f>IFERROR(IF(D825="SINAPI-S",VLOOKUP(B825,'20-B.SINAPI-S'!A:J,2,0),IF(D825="SINAPI-I",VLOOKUP(B825,'20-A.SINAPI-I'!A:G,2,0),IF(D825="COMPOSIÇÕES",VLOOKUP(B825,'11.COMPOSIÇÕES GERAIS'!B:I,2,0),VLOOKUP(B825,'12.COT.MERCADO'!A:I,2,0)))),"Em Elaboração")</f>
        <v>VALVULA DE DESCARGA EM METAL CROMADO PARA MICTORIO COM ACIONAMENTO POR PRESSAO E FECHAMENTO AUTOMATICO</v>
      </c>
      <c r="F825" s="258" t="str">
        <f>IFERROR(IF(D825="SINAPI-S",VLOOKUP(B825,'20-B.SINAPI-S'!A:J,3,0),IF(D825="SINAPI-I",VLOOKUP(B825,'20-A.SINAPI-I'!A:G,3,0),IF(D825="COMPOSIÇÕES",VLOOKUP(B825,'11.COMPOSIÇÕES GERAIS'!B:I,3,0),VLOOKUP(B825,'12.COT.MERCADO'!A:I,7,0)))),"Em Elaboração")</f>
        <v>UN</v>
      </c>
      <c r="G825" s="254">
        <v>2.0</v>
      </c>
      <c r="H825" s="259">
        <f>IFERROR(IF(D825="SINAPI-S",VLOOKUP(B825,'20-B.SINAPI-S'!A:J,5,0),IF(D825="SINAPI-I",VLOOKUP(B825,'20-A.SINAPI-I'!A:G,6,0),IF(D825="COMPOSIÇÕES",VLOOKUP(B825,'11.COMPOSIÇÕES GERAIS'!B:I,7,0),0))),"Em Elaboração")</f>
        <v>0</v>
      </c>
      <c r="I825" s="259">
        <f>IFERROR(IF(D825="SINAPI-S",VLOOKUP(B825,'20-B.SINAPI-S'!A:J,6,0),IF(D825="SINAPI-I",VLOOKUP(B825,'20-A.SINAPI-I'!A:G,7,0),IF(D825="COMPOSIÇÕES",VLOOKUP(B825,'11.COMPOSIÇÕES GERAIS'!B:I,8,0),VLOOKUP(B825,'12.COT.MERCADO'!A:I,8,0)))),"Em Elaboração")</f>
        <v>229.7</v>
      </c>
      <c r="J825" s="259">
        <f t="shared" si="137"/>
        <v>0</v>
      </c>
      <c r="K825" s="259">
        <f t="shared" si="138"/>
        <v>269.0555542</v>
      </c>
      <c r="L825" s="259">
        <f t="shared" si="139"/>
        <v>269.0555542</v>
      </c>
      <c r="M825" s="259">
        <f t="shared" si="140"/>
        <v>0</v>
      </c>
      <c r="N825" s="259">
        <f t="shared" si="141"/>
        <v>538.1111084</v>
      </c>
      <c r="O825" s="259">
        <f t="shared" si="142"/>
        <v>538.1111084</v>
      </c>
      <c r="P825" s="260">
        <f t="shared" si="2"/>
        <v>0.0004209504577</v>
      </c>
    </row>
    <row r="826">
      <c r="A826" s="253" t="s">
        <v>979</v>
      </c>
      <c r="B826" s="254">
        <v>10408.0</v>
      </c>
      <c r="C826" s="255" t="str">
        <f t="shared" si="136"/>
        <v>SINAPI</v>
      </c>
      <c r="D826" s="256" t="s">
        <v>286</v>
      </c>
      <c r="E826" s="257" t="str">
        <f>IFERROR(IF(D826="SINAPI-S",VLOOKUP(B826,'20-B.SINAPI-S'!A:J,2,0),IF(D826="SINAPI-I",VLOOKUP(B826,'20-A.SINAPI-I'!A:G,2,0),IF(D826="COMPOSIÇÕES",VLOOKUP(B826,'11.COMPOSIÇÕES GERAIS'!B:I,2,0),VLOOKUP(B826,'12.COT.MERCADO'!A:I,2,0)))),"Em Elaboração")</f>
        <v>VALVULA DE RETENCAO HORIZONTAL, DE BRONZE (PN-25), 2", 400 PSI, TAMPA DE PORCA DE UNIAO, EXTREMIDADES COM ROSCA</v>
      </c>
      <c r="F826" s="258" t="str">
        <f>IFERROR(IF(D826="SINAPI-S",VLOOKUP(B826,'20-B.SINAPI-S'!A:J,3,0),IF(D826="SINAPI-I",VLOOKUP(B826,'20-A.SINAPI-I'!A:G,3,0),IF(D826="COMPOSIÇÕES",VLOOKUP(B826,'11.COMPOSIÇÕES GERAIS'!B:I,3,0),VLOOKUP(B826,'12.COT.MERCADO'!A:I,7,0)))),"Em Elaboração")</f>
        <v>UN</v>
      </c>
      <c r="G826" s="254">
        <v>1.0</v>
      </c>
      <c r="H826" s="259">
        <f>IFERROR(IF(D826="SINAPI-S",VLOOKUP(B826,'20-B.SINAPI-S'!A:J,5,0),IF(D826="SINAPI-I",VLOOKUP(B826,'20-A.SINAPI-I'!A:G,6,0),IF(D826="COMPOSIÇÕES",VLOOKUP(B826,'11.COMPOSIÇÕES GERAIS'!B:I,7,0),0))),"Em Elaboração")</f>
        <v>0</v>
      </c>
      <c r="I826" s="259">
        <f>IFERROR(IF(D826="SINAPI-S",VLOOKUP(B826,'20-B.SINAPI-S'!A:J,6,0),IF(D826="SINAPI-I",VLOOKUP(B826,'20-A.SINAPI-I'!A:G,7,0),IF(D826="COMPOSIÇÕES",VLOOKUP(B826,'11.COMPOSIÇÕES GERAIS'!B:I,8,0),VLOOKUP(B826,'12.COT.MERCADO'!A:I,8,0)))),"Em Elaboração")</f>
        <v>359.74</v>
      </c>
      <c r="J826" s="259">
        <f t="shared" si="137"/>
        <v>0</v>
      </c>
      <c r="K826" s="259">
        <f t="shared" si="138"/>
        <v>421.3759037</v>
      </c>
      <c r="L826" s="259">
        <f t="shared" si="139"/>
        <v>421.3759037</v>
      </c>
      <c r="M826" s="259">
        <f t="shared" si="140"/>
        <v>0</v>
      </c>
      <c r="N826" s="259">
        <f t="shared" si="141"/>
        <v>421.3759037</v>
      </c>
      <c r="O826" s="259">
        <f t="shared" si="142"/>
        <v>421.3759037</v>
      </c>
      <c r="P826" s="260">
        <f t="shared" si="2"/>
        <v>0.0003296315143</v>
      </c>
    </row>
    <row r="827">
      <c r="A827" s="253" t="s">
        <v>980</v>
      </c>
      <c r="B827" s="254">
        <v>10405.0</v>
      </c>
      <c r="C827" s="255" t="str">
        <f t="shared" si="136"/>
        <v>SINAPI</v>
      </c>
      <c r="D827" s="256" t="s">
        <v>286</v>
      </c>
      <c r="E827" s="257" t="str">
        <f>IFERROR(IF(D827="SINAPI-S",VLOOKUP(B827,'20-B.SINAPI-S'!A:J,2,0),IF(D827="SINAPI-I",VLOOKUP(B827,'20-A.SINAPI-I'!A:G,2,0),IF(D827="COMPOSIÇÕES",VLOOKUP(B827,'11.COMPOSIÇÕES GERAIS'!B:I,2,0),VLOOKUP(B827,'12.COT.MERCADO'!A:I,2,0)))),"Em Elaboração")</f>
        <v>VALVULA DE RETENCAO HORIZONTAL, DE BRONZE (PN-25), 2 1/2", 400 PSI, TAMPA DE PORCA DE UNIAO, EXTREMIDADES COM ROSCA</v>
      </c>
      <c r="F827" s="258" t="str">
        <f>IFERROR(IF(D827="SINAPI-S",VLOOKUP(B827,'20-B.SINAPI-S'!A:J,3,0),IF(D827="SINAPI-I",VLOOKUP(B827,'20-A.SINAPI-I'!A:G,3,0),IF(D827="COMPOSIÇÕES",VLOOKUP(B827,'11.COMPOSIÇÕES GERAIS'!B:I,3,0),VLOOKUP(B827,'12.COT.MERCADO'!A:I,7,0)))),"Em Elaboração")</f>
        <v>UN</v>
      </c>
      <c r="G827" s="254">
        <v>1.0</v>
      </c>
      <c r="H827" s="259">
        <f>IFERROR(IF(D827="SINAPI-S",VLOOKUP(B827,'20-B.SINAPI-S'!A:J,5,0),IF(D827="SINAPI-I",VLOOKUP(B827,'20-A.SINAPI-I'!A:G,6,0),IF(D827="COMPOSIÇÕES",VLOOKUP(B827,'11.COMPOSIÇÕES GERAIS'!B:I,7,0),0))),"Em Elaboração")</f>
        <v>0</v>
      </c>
      <c r="I827" s="259">
        <f>IFERROR(IF(D827="SINAPI-S",VLOOKUP(B827,'20-B.SINAPI-S'!A:J,6,0),IF(D827="SINAPI-I",VLOOKUP(B827,'20-A.SINAPI-I'!A:G,7,0),IF(D827="COMPOSIÇÕES",VLOOKUP(B827,'11.COMPOSIÇÕES GERAIS'!B:I,8,0),VLOOKUP(B827,'12.COT.MERCADO'!A:I,8,0)))),"Em Elaboração")</f>
        <v>514.44</v>
      </c>
      <c r="J827" s="259">
        <f t="shared" si="137"/>
        <v>0</v>
      </c>
      <c r="K827" s="259">
        <f t="shared" si="138"/>
        <v>602.581364</v>
      </c>
      <c r="L827" s="259">
        <f t="shared" si="139"/>
        <v>602.581364</v>
      </c>
      <c r="M827" s="259">
        <f t="shared" si="140"/>
        <v>0</v>
      </c>
      <c r="N827" s="259">
        <f t="shared" si="141"/>
        <v>602.581364</v>
      </c>
      <c r="O827" s="259">
        <f t="shared" si="142"/>
        <v>602.581364</v>
      </c>
      <c r="P827" s="260">
        <f t="shared" si="2"/>
        <v>0.0004713838778</v>
      </c>
    </row>
    <row r="828">
      <c r="A828" s="253" t="s">
        <v>981</v>
      </c>
      <c r="B828" s="254">
        <v>10406.0</v>
      </c>
      <c r="C828" s="255" t="str">
        <f t="shared" si="136"/>
        <v>SINAPI</v>
      </c>
      <c r="D828" s="256" t="s">
        <v>286</v>
      </c>
      <c r="E828" s="257" t="str">
        <f>IFERROR(IF(D828="SINAPI-S",VLOOKUP(B828,'20-B.SINAPI-S'!A:J,2,0),IF(D828="SINAPI-I",VLOOKUP(B828,'20-A.SINAPI-I'!A:G,2,0),IF(D828="COMPOSIÇÕES",VLOOKUP(B828,'11.COMPOSIÇÕES GERAIS'!B:I,2,0),VLOOKUP(B828,'12.COT.MERCADO'!A:I,2,0)))),"Em Elaboração")</f>
        <v>VALVULA DE RETENCAO HORIZONTAL, DE BRONZE (PN-25), 3", 400 PSI, TAMPA DE PORCA DE UNIAO, EXTREMIDADES COM ROSCA</v>
      </c>
      <c r="F828" s="258" t="str">
        <f>IFERROR(IF(D828="SINAPI-S",VLOOKUP(B828,'20-B.SINAPI-S'!A:J,3,0),IF(D828="SINAPI-I",VLOOKUP(B828,'20-A.SINAPI-I'!A:G,3,0),IF(D828="COMPOSIÇÕES",VLOOKUP(B828,'11.COMPOSIÇÕES GERAIS'!B:I,3,0),VLOOKUP(B828,'12.COT.MERCADO'!A:I,7,0)))),"Em Elaboração")</f>
        <v>UN</v>
      </c>
      <c r="G828" s="254">
        <v>1.0</v>
      </c>
      <c r="H828" s="259">
        <f>IFERROR(IF(D828="SINAPI-S",VLOOKUP(B828,'20-B.SINAPI-S'!A:J,5,0),IF(D828="SINAPI-I",VLOOKUP(B828,'20-A.SINAPI-I'!A:G,6,0),IF(D828="COMPOSIÇÕES",VLOOKUP(B828,'11.COMPOSIÇÕES GERAIS'!B:I,7,0),0))),"Em Elaboração")</f>
        <v>0</v>
      </c>
      <c r="I828" s="259">
        <f>IFERROR(IF(D828="SINAPI-S",VLOOKUP(B828,'20-B.SINAPI-S'!A:J,6,0),IF(D828="SINAPI-I",VLOOKUP(B828,'20-A.SINAPI-I'!A:G,7,0),IF(D828="COMPOSIÇÕES",VLOOKUP(B828,'11.COMPOSIÇÕES GERAIS'!B:I,8,0),VLOOKUP(B828,'12.COT.MERCADO'!A:I,8,0)))),"Em Elaboração")</f>
        <v>710.55</v>
      </c>
      <c r="J828" s="259">
        <f t="shared" si="137"/>
        <v>0</v>
      </c>
      <c r="K828" s="259">
        <f t="shared" si="138"/>
        <v>832.2917895</v>
      </c>
      <c r="L828" s="259">
        <f t="shared" si="139"/>
        <v>832.2917895</v>
      </c>
      <c r="M828" s="259">
        <f t="shared" si="140"/>
        <v>0</v>
      </c>
      <c r="N828" s="259">
        <f t="shared" si="141"/>
        <v>832.2917895</v>
      </c>
      <c r="O828" s="259">
        <f t="shared" si="142"/>
        <v>832.2917895</v>
      </c>
      <c r="P828" s="260">
        <f t="shared" si="2"/>
        <v>0.0006510804261</v>
      </c>
    </row>
    <row r="829">
      <c r="A829" s="253" t="s">
        <v>982</v>
      </c>
      <c r="B829" s="254">
        <v>10407.0</v>
      </c>
      <c r="C829" s="255" t="str">
        <f t="shared" si="136"/>
        <v>SINAPI</v>
      </c>
      <c r="D829" s="256" t="s">
        <v>286</v>
      </c>
      <c r="E829" s="257" t="str">
        <f>IFERROR(IF(D829="SINAPI-S",VLOOKUP(B829,'20-B.SINAPI-S'!A:J,2,0),IF(D829="SINAPI-I",VLOOKUP(B829,'20-A.SINAPI-I'!A:G,2,0),IF(D829="COMPOSIÇÕES",VLOOKUP(B829,'11.COMPOSIÇÕES GERAIS'!B:I,2,0),VLOOKUP(B829,'12.COT.MERCADO'!A:I,2,0)))),"Em Elaboração")</f>
        <v>VALVULA DE RETENCAO HORIZONTAL, DE BRONZE (PN-25), 4", 400 PSI, TAMPA DE PORCA DE UNIAO, EXTREMIDADES COM ROSCA</v>
      </c>
      <c r="F829" s="258" t="str">
        <f>IFERROR(IF(D829="SINAPI-S",VLOOKUP(B829,'20-B.SINAPI-S'!A:J,3,0),IF(D829="SINAPI-I",VLOOKUP(B829,'20-A.SINAPI-I'!A:G,3,0),IF(D829="COMPOSIÇÕES",VLOOKUP(B829,'11.COMPOSIÇÕES GERAIS'!B:I,3,0),VLOOKUP(B829,'12.COT.MERCADO'!A:I,7,0)))),"Em Elaboração")</f>
        <v>UN</v>
      </c>
      <c r="G829" s="254">
        <v>1.0</v>
      </c>
      <c r="H829" s="259">
        <f>IFERROR(IF(D829="SINAPI-S",VLOOKUP(B829,'20-B.SINAPI-S'!A:J,5,0),IF(D829="SINAPI-I",VLOOKUP(B829,'20-A.SINAPI-I'!A:G,6,0),IF(D829="COMPOSIÇÕES",VLOOKUP(B829,'11.COMPOSIÇÕES GERAIS'!B:I,7,0),0))),"Em Elaboração")</f>
        <v>0</v>
      </c>
      <c r="I829" s="259">
        <f>IFERROR(IF(D829="SINAPI-S",VLOOKUP(B829,'20-B.SINAPI-S'!A:J,6,0),IF(D829="SINAPI-I",VLOOKUP(B829,'20-A.SINAPI-I'!A:G,7,0),IF(D829="COMPOSIÇÕES",VLOOKUP(B829,'11.COMPOSIÇÕES GERAIS'!B:I,8,0),VLOOKUP(B829,'12.COT.MERCADO'!A:I,8,0)))),"Em Elaboração")</f>
        <v>1102.07</v>
      </c>
      <c r="J829" s="259">
        <f t="shared" si="137"/>
        <v>0</v>
      </c>
      <c r="K829" s="259">
        <f t="shared" si="138"/>
        <v>1290.892706</v>
      </c>
      <c r="L829" s="259">
        <f t="shared" si="139"/>
        <v>1290.892706</v>
      </c>
      <c r="M829" s="259">
        <f t="shared" si="140"/>
        <v>0</v>
      </c>
      <c r="N829" s="259">
        <f t="shared" si="141"/>
        <v>1290.892706</v>
      </c>
      <c r="O829" s="259">
        <f t="shared" si="142"/>
        <v>1290.892706</v>
      </c>
      <c r="P829" s="260">
        <f t="shared" si="2"/>
        <v>0.001009832109</v>
      </c>
    </row>
    <row r="830">
      <c r="A830" s="253" t="s">
        <v>983</v>
      </c>
      <c r="B830" s="254">
        <v>12657.0</v>
      </c>
      <c r="C830" s="255" t="str">
        <f t="shared" si="136"/>
        <v>SINAPI</v>
      </c>
      <c r="D830" s="256" t="s">
        <v>286</v>
      </c>
      <c r="E830" s="257" t="str">
        <f>IFERROR(IF(D830="SINAPI-S",VLOOKUP(B830,'20-B.SINAPI-S'!A:J,2,0),IF(D830="SINAPI-I",VLOOKUP(B830,'20-A.SINAPI-I'!A:G,2,0),IF(D830="COMPOSIÇÕES",VLOOKUP(B830,'11.COMPOSIÇÕES GERAIS'!B:I,2,0),VLOOKUP(B830,'12.COT.MERCADO'!A:I,2,0)))),"Em Elaboração")</f>
        <v>VALVULA DE RETENCAO VERTICAL, DE BRONZE (PN-16), 2 1/2", 200 PSI, EXTREMIDADES COM ROSCA</v>
      </c>
      <c r="F830" s="258" t="str">
        <f>IFERROR(IF(D830="SINAPI-S",VLOOKUP(B830,'20-B.SINAPI-S'!A:J,3,0),IF(D830="SINAPI-I",VLOOKUP(B830,'20-A.SINAPI-I'!A:G,3,0),IF(D830="COMPOSIÇÕES",VLOOKUP(B830,'11.COMPOSIÇÕES GERAIS'!B:I,3,0),VLOOKUP(B830,'12.COT.MERCADO'!A:I,7,0)))),"Em Elaboração")</f>
        <v>UN</v>
      </c>
      <c r="G830" s="254">
        <v>1.0</v>
      </c>
      <c r="H830" s="259">
        <f>IFERROR(IF(D830="SINAPI-S",VLOOKUP(B830,'20-B.SINAPI-S'!A:J,5,0),IF(D830="SINAPI-I",VLOOKUP(B830,'20-A.SINAPI-I'!A:G,6,0),IF(D830="COMPOSIÇÕES",VLOOKUP(B830,'11.COMPOSIÇÕES GERAIS'!B:I,7,0),0))),"Em Elaboração")</f>
        <v>0</v>
      </c>
      <c r="I830" s="259">
        <f>IFERROR(IF(D830="SINAPI-S",VLOOKUP(B830,'20-B.SINAPI-S'!A:J,6,0),IF(D830="SINAPI-I",VLOOKUP(B830,'20-A.SINAPI-I'!A:G,7,0),IF(D830="COMPOSIÇÕES",VLOOKUP(B830,'11.COMPOSIÇÕES GERAIS'!B:I,8,0),VLOOKUP(B830,'12.COT.MERCADO'!A:I,8,0)))),"Em Elaboração")</f>
        <v>319.16</v>
      </c>
      <c r="J830" s="259">
        <f t="shared" si="137"/>
        <v>0</v>
      </c>
      <c r="K830" s="259">
        <f t="shared" si="138"/>
        <v>373.8431462</v>
      </c>
      <c r="L830" s="259">
        <f t="shared" si="139"/>
        <v>373.8431462</v>
      </c>
      <c r="M830" s="259">
        <f t="shared" si="140"/>
        <v>0</v>
      </c>
      <c r="N830" s="259">
        <f t="shared" si="141"/>
        <v>373.8431462</v>
      </c>
      <c r="O830" s="259">
        <f t="shared" si="142"/>
        <v>373.8431462</v>
      </c>
      <c r="P830" s="260">
        <f t="shared" si="2"/>
        <v>0.0002924478626</v>
      </c>
    </row>
    <row r="831">
      <c r="A831" s="253" t="s">
        <v>984</v>
      </c>
      <c r="B831" s="254">
        <v>10414.0</v>
      </c>
      <c r="C831" s="255" t="str">
        <f t="shared" si="136"/>
        <v>SINAPI</v>
      </c>
      <c r="D831" s="256" t="s">
        <v>286</v>
      </c>
      <c r="E831" s="257" t="str">
        <f>IFERROR(IF(D831="SINAPI-S",VLOOKUP(B831,'20-B.SINAPI-S'!A:J,2,0),IF(D831="SINAPI-I",VLOOKUP(B831,'20-A.SINAPI-I'!A:G,2,0),IF(D831="COMPOSIÇÕES",VLOOKUP(B831,'11.COMPOSIÇÕES GERAIS'!B:I,2,0),VLOOKUP(B831,'12.COT.MERCADO'!A:I,2,0)))),"Em Elaboração")</f>
        <v>VALVULA DE RETENCAO VERTICAL, DE BRONZE (PN-16), 3", 200 PSI, EXTREMIDADES COM ROSCA</v>
      </c>
      <c r="F831" s="258" t="str">
        <f>IFERROR(IF(D831="SINAPI-S",VLOOKUP(B831,'20-B.SINAPI-S'!A:J,3,0),IF(D831="SINAPI-I",VLOOKUP(B831,'20-A.SINAPI-I'!A:G,3,0),IF(D831="COMPOSIÇÕES",VLOOKUP(B831,'11.COMPOSIÇÕES GERAIS'!B:I,3,0),VLOOKUP(B831,'12.COT.MERCADO'!A:I,7,0)))),"Em Elaboração")</f>
        <v>UN</v>
      </c>
      <c r="G831" s="254">
        <v>1.0</v>
      </c>
      <c r="H831" s="259">
        <f>IFERROR(IF(D831="SINAPI-S",VLOOKUP(B831,'20-B.SINAPI-S'!A:J,5,0),IF(D831="SINAPI-I",VLOOKUP(B831,'20-A.SINAPI-I'!A:G,6,0),IF(D831="COMPOSIÇÕES",VLOOKUP(B831,'11.COMPOSIÇÕES GERAIS'!B:I,7,0),0))),"Em Elaboração")</f>
        <v>0</v>
      </c>
      <c r="I831" s="259">
        <f>IFERROR(IF(D831="SINAPI-S",VLOOKUP(B831,'20-B.SINAPI-S'!A:J,6,0),IF(D831="SINAPI-I",VLOOKUP(B831,'20-A.SINAPI-I'!A:G,7,0),IF(D831="COMPOSIÇÕES",VLOOKUP(B831,'11.COMPOSIÇÕES GERAIS'!B:I,8,0),VLOOKUP(B831,'12.COT.MERCADO'!A:I,8,0)))),"Em Elaboração")</f>
        <v>435.84</v>
      </c>
      <c r="J831" s="259">
        <f t="shared" si="137"/>
        <v>0</v>
      </c>
      <c r="K831" s="259">
        <f t="shared" si="138"/>
        <v>510.5144656</v>
      </c>
      <c r="L831" s="259">
        <f t="shared" si="139"/>
        <v>510.5144656</v>
      </c>
      <c r="M831" s="259">
        <f t="shared" si="140"/>
        <v>0</v>
      </c>
      <c r="N831" s="259">
        <f t="shared" si="141"/>
        <v>510.5144656</v>
      </c>
      <c r="O831" s="259">
        <f t="shared" si="142"/>
        <v>510.5144656</v>
      </c>
      <c r="P831" s="260">
        <f t="shared" si="2"/>
        <v>0.000399362315</v>
      </c>
    </row>
    <row r="832">
      <c r="A832" s="253" t="s">
        <v>985</v>
      </c>
      <c r="B832" s="254">
        <v>6157.0</v>
      </c>
      <c r="C832" s="255" t="str">
        <f t="shared" si="136"/>
        <v>SINAPI</v>
      </c>
      <c r="D832" s="256" t="s">
        <v>286</v>
      </c>
      <c r="E832" s="257" t="str">
        <f>IFERROR(IF(D832="SINAPI-S",VLOOKUP(B832,'20-B.SINAPI-S'!A:J,2,0),IF(D832="SINAPI-I",VLOOKUP(B832,'20-A.SINAPI-I'!A:G,2,0),IF(D832="COMPOSIÇÕES",VLOOKUP(B832,'11.COMPOSIÇÕES GERAIS'!B:I,2,0),VLOOKUP(B832,'12.COT.MERCADO'!A:I,2,0)))),"Em Elaboração")</f>
        <v>VALVULA EM METAL CROMADO PARA PIA AMERICANA 3.1/2 X 1.1/2 "</v>
      </c>
      <c r="F832" s="258" t="str">
        <f>IFERROR(IF(D832="SINAPI-S",VLOOKUP(B832,'20-B.SINAPI-S'!A:J,3,0),IF(D832="SINAPI-I",VLOOKUP(B832,'20-A.SINAPI-I'!A:G,3,0),IF(D832="COMPOSIÇÕES",VLOOKUP(B832,'11.COMPOSIÇÕES GERAIS'!B:I,3,0),VLOOKUP(B832,'12.COT.MERCADO'!A:I,7,0)))),"Em Elaboração")</f>
        <v>UN</v>
      </c>
      <c r="G832" s="254">
        <v>2.0</v>
      </c>
      <c r="H832" s="259">
        <f>IFERROR(IF(D832="SINAPI-S",VLOOKUP(B832,'20-B.SINAPI-S'!A:J,5,0),IF(D832="SINAPI-I",VLOOKUP(B832,'20-A.SINAPI-I'!A:G,6,0),IF(D832="COMPOSIÇÕES",VLOOKUP(B832,'11.COMPOSIÇÕES GERAIS'!B:I,7,0),0))),"Em Elaboração")</f>
        <v>0</v>
      </c>
      <c r="I832" s="259">
        <f>IFERROR(IF(D832="SINAPI-S",VLOOKUP(B832,'20-B.SINAPI-S'!A:J,6,0),IF(D832="SINAPI-I",VLOOKUP(B832,'20-A.SINAPI-I'!A:G,7,0),IF(D832="COMPOSIÇÕES",VLOOKUP(B832,'11.COMPOSIÇÕES GERAIS'!B:I,8,0),VLOOKUP(B832,'12.COT.MERCADO'!A:I,8,0)))),"Em Elaboração")</f>
        <v>93.06</v>
      </c>
      <c r="J832" s="259">
        <f t="shared" si="137"/>
        <v>0</v>
      </c>
      <c r="K832" s="259">
        <f t="shared" si="138"/>
        <v>109.0043965</v>
      </c>
      <c r="L832" s="259">
        <f t="shared" si="139"/>
        <v>109.0043965</v>
      </c>
      <c r="M832" s="259">
        <f t="shared" si="140"/>
        <v>0</v>
      </c>
      <c r="N832" s="259">
        <f t="shared" si="141"/>
        <v>218.008793</v>
      </c>
      <c r="O832" s="259">
        <f t="shared" si="142"/>
        <v>218.008793</v>
      </c>
      <c r="P832" s="260">
        <f t="shared" si="2"/>
        <v>0.0001705426626</v>
      </c>
    </row>
    <row r="833">
      <c r="A833" s="253" t="s">
        <v>986</v>
      </c>
      <c r="B833" s="254">
        <v>10422.0</v>
      </c>
      <c r="C833" s="255" t="str">
        <f t="shared" si="136"/>
        <v>SINAPI</v>
      </c>
      <c r="D833" s="256" t="s">
        <v>286</v>
      </c>
      <c r="E833" s="257" t="str">
        <f>IFERROR(IF(D833="SINAPI-S",VLOOKUP(B833,'20-B.SINAPI-S'!A:J,2,0),IF(D833="SINAPI-I",VLOOKUP(B833,'20-A.SINAPI-I'!A:G,2,0),IF(D833="COMPOSIÇÕES",VLOOKUP(B833,'11.COMPOSIÇÕES GERAIS'!B:I,2,0),VLOOKUP(B833,'12.COT.MERCADO'!A:I,2,0)))),"Em Elaboração")</f>
        <v>BACIA SANITARIA (VASO) COM CAIXA ACOPLADA, SIFAO APARENTE, DE LOUCA BRANCA (SEM ASSENTO)</v>
      </c>
      <c r="F833" s="258" t="str">
        <f>IFERROR(IF(D833="SINAPI-S",VLOOKUP(B833,'20-B.SINAPI-S'!A:J,3,0),IF(D833="SINAPI-I",VLOOKUP(B833,'20-A.SINAPI-I'!A:G,3,0),IF(D833="COMPOSIÇÕES",VLOOKUP(B833,'11.COMPOSIÇÕES GERAIS'!B:I,3,0),VLOOKUP(B833,'12.COT.MERCADO'!A:I,7,0)))),"Em Elaboração")</f>
        <v>UN</v>
      </c>
      <c r="G833" s="254">
        <v>1.0</v>
      </c>
      <c r="H833" s="259">
        <f>IFERROR(IF(D833="SINAPI-S",VLOOKUP(B833,'20-B.SINAPI-S'!A:J,5,0),IF(D833="SINAPI-I",VLOOKUP(B833,'20-A.SINAPI-I'!A:G,6,0),IF(D833="COMPOSIÇÕES",VLOOKUP(B833,'11.COMPOSIÇÕES GERAIS'!B:I,7,0),0))),"Em Elaboração")</f>
        <v>0</v>
      </c>
      <c r="I833" s="259">
        <f>IFERROR(IF(D833="SINAPI-S",VLOOKUP(B833,'20-B.SINAPI-S'!A:J,6,0),IF(D833="SINAPI-I",VLOOKUP(B833,'20-A.SINAPI-I'!A:G,7,0),IF(D833="COMPOSIÇÕES",VLOOKUP(B833,'11.COMPOSIÇÕES GERAIS'!B:I,8,0),VLOOKUP(B833,'12.COT.MERCADO'!A:I,8,0)))),"Em Elaboração")</f>
        <v>416.1</v>
      </c>
      <c r="J833" s="259">
        <f t="shared" si="137"/>
        <v>0</v>
      </c>
      <c r="K833" s="259">
        <f t="shared" si="138"/>
        <v>487.3923209</v>
      </c>
      <c r="L833" s="259">
        <f t="shared" si="139"/>
        <v>487.3923209</v>
      </c>
      <c r="M833" s="259">
        <f t="shared" si="140"/>
        <v>0</v>
      </c>
      <c r="N833" s="259">
        <f t="shared" si="141"/>
        <v>487.3923209</v>
      </c>
      <c r="O833" s="259">
        <f t="shared" si="142"/>
        <v>487.3923209</v>
      </c>
      <c r="P833" s="260">
        <f t="shared" si="2"/>
        <v>0.0003812744568</v>
      </c>
    </row>
    <row r="834">
      <c r="A834" s="253" t="s">
        <v>987</v>
      </c>
      <c r="B834" s="254">
        <v>10414.0</v>
      </c>
      <c r="C834" s="255" t="str">
        <f t="shared" si="136"/>
        <v>SINAPI</v>
      </c>
      <c r="D834" s="256" t="s">
        <v>286</v>
      </c>
      <c r="E834" s="257" t="str">
        <f>IFERROR(IF(D834="SINAPI-S",VLOOKUP(B834,'20-B.SINAPI-S'!A:J,2,0),IF(D834="SINAPI-I",VLOOKUP(B834,'20-A.SINAPI-I'!A:G,2,0),IF(D834="COMPOSIÇÕES",VLOOKUP(B834,'11.COMPOSIÇÕES GERAIS'!B:I,2,0),VLOOKUP(B834,'12.COT.MERCADO'!A:I,2,0)))),"Em Elaboração")</f>
        <v>VALVULA DE RETENCAO VERTICAL, DE BRONZE (PN-16), 3", 200 PSI, EXTREMIDADES COM ROSCA</v>
      </c>
      <c r="F834" s="258" t="str">
        <f>IFERROR(IF(D834="SINAPI-S",VLOOKUP(B834,'20-B.SINAPI-S'!A:J,3,0),IF(D834="SINAPI-I",VLOOKUP(B834,'20-A.SINAPI-I'!A:G,3,0),IF(D834="COMPOSIÇÕES",VLOOKUP(B834,'11.COMPOSIÇÕES GERAIS'!B:I,3,0),VLOOKUP(B834,'12.COT.MERCADO'!A:I,7,0)))),"Em Elaboração")</f>
        <v>UN</v>
      </c>
      <c r="G834" s="254">
        <v>1.0</v>
      </c>
      <c r="H834" s="259">
        <f>IFERROR(IF(D834="SINAPI-S",VLOOKUP(B834,'20-B.SINAPI-S'!A:J,5,0),IF(D834="SINAPI-I",VLOOKUP(B834,'20-A.SINAPI-I'!A:G,6,0),IF(D834="COMPOSIÇÕES",VLOOKUP(B834,'11.COMPOSIÇÕES GERAIS'!B:I,7,0),0))),"Em Elaboração")</f>
        <v>0</v>
      </c>
      <c r="I834" s="259">
        <f>IFERROR(IF(D834="SINAPI-S",VLOOKUP(B834,'20-B.SINAPI-S'!A:J,6,0),IF(D834="SINAPI-I",VLOOKUP(B834,'20-A.SINAPI-I'!A:G,7,0),IF(D834="COMPOSIÇÕES",VLOOKUP(B834,'11.COMPOSIÇÕES GERAIS'!B:I,8,0),VLOOKUP(B834,'12.COT.MERCADO'!A:I,8,0)))),"Em Elaboração")</f>
        <v>435.84</v>
      </c>
      <c r="J834" s="259">
        <f t="shared" si="137"/>
        <v>0</v>
      </c>
      <c r="K834" s="259">
        <f t="shared" si="138"/>
        <v>510.5144656</v>
      </c>
      <c r="L834" s="259">
        <f t="shared" si="139"/>
        <v>510.5144656</v>
      </c>
      <c r="M834" s="259">
        <f t="shared" si="140"/>
        <v>0</v>
      </c>
      <c r="N834" s="259">
        <f t="shared" si="141"/>
        <v>510.5144656</v>
      </c>
      <c r="O834" s="259">
        <f t="shared" si="142"/>
        <v>510.5144656</v>
      </c>
      <c r="P834" s="260">
        <f t="shared" si="2"/>
        <v>0.000399362315</v>
      </c>
    </row>
    <row r="835">
      <c r="A835" s="253" t="s">
        <v>988</v>
      </c>
      <c r="B835" s="254">
        <v>10420.0</v>
      </c>
      <c r="C835" s="255" t="str">
        <f t="shared" si="136"/>
        <v>SINAPI</v>
      </c>
      <c r="D835" s="256" t="s">
        <v>286</v>
      </c>
      <c r="E835" s="257" t="str">
        <f>IFERROR(IF(D835="SINAPI-S",VLOOKUP(B835,'20-B.SINAPI-S'!A:J,2,0),IF(D835="SINAPI-I",VLOOKUP(B835,'20-A.SINAPI-I'!A:G,2,0),IF(D835="COMPOSIÇÕES",VLOOKUP(B835,'11.COMPOSIÇÕES GERAIS'!B:I,2,0),VLOOKUP(B835,'12.COT.MERCADO'!A:I,2,0)))),"Em Elaboração")</f>
        <v>BACIA SANITARIA (VASO) CONVENCIONAL, DE LOUCA BRANCA, SIFAO APARENTE, SAIDA VERTICAL (SEM ASSENTO)</v>
      </c>
      <c r="F835" s="258" t="str">
        <f>IFERROR(IF(D835="SINAPI-S",VLOOKUP(B835,'20-B.SINAPI-S'!A:J,3,0),IF(D835="SINAPI-I",VLOOKUP(B835,'20-A.SINAPI-I'!A:G,3,0),IF(D835="COMPOSIÇÕES",VLOOKUP(B835,'11.COMPOSIÇÕES GERAIS'!B:I,3,0),VLOOKUP(B835,'12.COT.MERCADO'!A:I,7,0)))),"Em Elaboração")</f>
        <v>UN</v>
      </c>
      <c r="G835" s="254">
        <v>1.0</v>
      </c>
      <c r="H835" s="259">
        <f>IFERROR(IF(D835="SINAPI-S",VLOOKUP(B835,'20-B.SINAPI-S'!A:J,5,0),IF(D835="SINAPI-I",VLOOKUP(B835,'20-A.SINAPI-I'!A:G,6,0),IF(D835="COMPOSIÇÕES",VLOOKUP(B835,'11.COMPOSIÇÕES GERAIS'!B:I,7,0),0))),"Em Elaboração")</f>
        <v>0</v>
      </c>
      <c r="I835" s="259">
        <f>IFERROR(IF(D835="SINAPI-S",VLOOKUP(B835,'20-B.SINAPI-S'!A:J,6,0),IF(D835="SINAPI-I",VLOOKUP(B835,'20-A.SINAPI-I'!A:G,7,0),IF(D835="COMPOSIÇÕES",VLOOKUP(B835,'11.COMPOSIÇÕES GERAIS'!B:I,8,0),VLOOKUP(B835,'12.COT.MERCADO'!A:I,8,0)))),"Em Elaboração")</f>
        <v>222.61</v>
      </c>
      <c r="J835" s="259">
        <f t="shared" si="137"/>
        <v>0</v>
      </c>
      <c r="K835" s="259">
        <f t="shared" si="138"/>
        <v>260.750792</v>
      </c>
      <c r="L835" s="259">
        <f t="shared" si="139"/>
        <v>260.750792</v>
      </c>
      <c r="M835" s="259">
        <f t="shared" si="140"/>
        <v>0</v>
      </c>
      <c r="N835" s="259">
        <f t="shared" si="141"/>
        <v>260.750792</v>
      </c>
      <c r="O835" s="259">
        <f t="shared" si="142"/>
        <v>260.750792</v>
      </c>
      <c r="P835" s="260">
        <f t="shared" si="2"/>
        <v>0.0002039786273</v>
      </c>
    </row>
    <row r="836">
      <c r="A836" s="253" t="s">
        <v>989</v>
      </c>
      <c r="B836" s="254">
        <v>7307.0</v>
      </c>
      <c r="C836" s="255" t="str">
        <f t="shared" si="136"/>
        <v>SINAPI</v>
      </c>
      <c r="D836" s="256" t="s">
        <v>286</v>
      </c>
      <c r="E836" s="257" t="str">
        <f>IFERROR(IF(D836="SINAPI-S",VLOOKUP(B836,'20-B.SINAPI-S'!A:J,2,0),IF(D836="SINAPI-I",VLOOKUP(B836,'20-A.SINAPI-I'!A:G,2,0),IF(D836="COMPOSIÇÕES",VLOOKUP(B836,'11.COMPOSIÇÕES GERAIS'!B:I,2,0),VLOOKUP(B836,'12.COT.MERCADO'!A:I,2,0)))),"Em Elaboração")</f>
        <v>FUNDO ANTICORROSIVO PARA METAIS FERROSOS (ZARCAO)</v>
      </c>
      <c r="F836" s="258" t="str">
        <f>IFERROR(IF(D836="SINAPI-S",VLOOKUP(B836,'20-B.SINAPI-S'!A:J,3,0),IF(D836="SINAPI-I",VLOOKUP(B836,'20-A.SINAPI-I'!A:G,3,0),IF(D836="COMPOSIÇÕES",VLOOKUP(B836,'11.COMPOSIÇÕES GERAIS'!B:I,3,0),VLOOKUP(B836,'12.COT.MERCADO'!A:I,7,0)))),"Em Elaboração")</f>
        <v>L</v>
      </c>
      <c r="G836" s="254">
        <v>3.0</v>
      </c>
      <c r="H836" s="259">
        <f>IFERROR(IF(D836="SINAPI-S",VLOOKUP(B836,'20-B.SINAPI-S'!A:J,5,0),IF(D836="SINAPI-I",VLOOKUP(B836,'20-A.SINAPI-I'!A:G,6,0),IF(D836="COMPOSIÇÕES",VLOOKUP(B836,'11.COMPOSIÇÕES GERAIS'!B:I,7,0),0))),"Em Elaboração")</f>
        <v>0</v>
      </c>
      <c r="I836" s="259">
        <f>IFERROR(IF(D836="SINAPI-S",VLOOKUP(B836,'20-B.SINAPI-S'!A:J,6,0),IF(D836="SINAPI-I",VLOOKUP(B836,'20-A.SINAPI-I'!A:G,7,0),IF(D836="COMPOSIÇÕES",VLOOKUP(B836,'11.COMPOSIÇÕES GERAIS'!B:I,8,0),VLOOKUP(B836,'12.COT.MERCADO'!A:I,8,0)))),"Em Elaboração")</f>
        <v>40.72</v>
      </c>
      <c r="J836" s="259">
        <f t="shared" si="137"/>
        <v>0</v>
      </c>
      <c r="K836" s="259">
        <f t="shared" si="138"/>
        <v>47.69674431</v>
      </c>
      <c r="L836" s="259">
        <f t="shared" si="139"/>
        <v>47.69674431</v>
      </c>
      <c r="M836" s="259">
        <f t="shared" si="140"/>
        <v>0</v>
      </c>
      <c r="N836" s="259">
        <f t="shared" si="141"/>
        <v>143.0902329</v>
      </c>
      <c r="O836" s="259">
        <f t="shared" si="142"/>
        <v>143.0902329</v>
      </c>
      <c r="P836" s="260">
        <f t="shared" si="2"/>
        <v>0.000111935803</v>
      </c>
    </row>
    <row r="837">
      <c r="A837" s="253" t="s">
        <v>990</v>
      </c>
      <c r="B837" s="254">
        <v>1360.0</v>
      </c>
      <c r="C837" s="255" t="str">
        <f t="shared" si="136"/>
        <v>SINAPI</v>
      </c>
      <c r="D837" s="256" t="s">
        <v>286</v>
      </c>
      <c r="E837" s="257" t="str">
        <f>IFERROR(IF(D837="SINAPI-S",VLOOKUP(B837,'20-B.SINAPI-S'!A:J,2,0),IF(D837="SINAPI-I",VLOOKUP(B837,'20-A.SINAPI-I'!A:G,2,0),IF(D837="COMPOSIÇÕES",VLOOKUP(B837,'11.COMPOSIÇÕES GERAIS'!B:I,2,0),VLOOKUP(B837,'12.COT.MERCADO'!A:I,2,0)))),"Em Elaboração")</f>
        <v>COMPENSADO NAVAL - CHAPA/PAINEL EM MADEIRA COMPENSADA PRENSADA, DE 2200 X 1600 MM, E = 6 MM</v>
      </c>
      <c r="F837" s="258" t="str">
        <f>IFERROR(IF(D837="SINAPI-S",VLOOKUP(B837,'20-B.SINAPI-S'!A:J,3,0),IF(D837="SINAPI-I",VLOOKUP(B837,'20-A.SINAPI-I'!A:G,3,0),IF(D837="COMPOSIÇÕES",VLOOKUP(B837,'11.COMPOSIÇÕES GERAIS'!B:I,3,0),VLOOKUP(B837,'12.COT.MERCADO'!A:I,7,0)))),"Em Elaboração")</f>
        <v>M2</v>
      </c>
      <c r="G837" s="254">
        <v>10.0</v>
      </c>
      <c r="H837" s="259">
        <f>IFERROR(IF(D837="SINAPI-S",VLOOKUP(B837,'20-B.SINAPI-S'!A:J,5,0),IF(D837="SINAPI-I",VLOOKUP(B837,'20-A.SINAPI-I'!A:G,6,0),IF(D837="COMPOSIÇÕES",VLOOKUP(B837,'11.COMPOSIÇÕES GERAIS'!B:I,7,0),0))),"Em Elaboração")</f>
        <v>0</v>
      </c>
      <c r="I837" s="259">
        <f>IFERROR(IF(D837="SINAPI-S",VLOOKUP(B837,'20-B.SINAPI-S'!A:J,6,0),IF(D837="SINAPI-I",VLOOKUP(B837,'20-A.SINAPI-I'!A:G,7,0),IF(D837="COMPOSIÇÕES",VLOOKUP(B837,'11.COMPOSIÇÕES GERAIS'!B:I,8,0),VLOOKUP(B837,'12.COT.MERCADO'!A:I,8,0)))),"Em Elaboração")</f>
        <v>39.23</v>
      </c>
      <c r="J837" s="259">
        <f t="shared" si="137"/>
        <v>0</v>
      </c>
      <c r="K837" s="259">
        <f t="shared" si="138"/>
        <v>45.95145577</v>
      </c>
      <c r="L837" s="259">
        <f t="shared" si="139"/>
        <v>45.95145577</v>
      </c>
      <c r="M837" s="259">
        <f t="shared" si="140"/>
        <v>0</v>
      </c>
      <c r="N837" s="259">
        <f t="shared" si="141"/>
        <v>459.5145577</v>
      </c>
      <c r="O837" s="259">
        <f t="shared" si="142"/>
        <v>459.5145577</v>
      </c>
      <c r="P837" s="260">
        <f t="shared" si="2"/>
        <v>0.0003594664009</v>
      </c>
    </row>
    <row r="838">
      <c r="A838" s="253" t="s">
        <v>991</v>
      </c>
      <c r="B838" s="254">
        <v>34357.0</v>
      </c>
      <c r="C838" s="255" t="str">
        <f t="shared" si="136"/>
        <v>SINAPI</v>
      </c>
      <c r="D838" s="256" t="s">
        <v>286</v>
      </c>
      <c r="E838" s="257" t="str">
        <f>IFERROR(IF(D838="SINAPI-S",VLOOKUP(B838,'20-B.SINAPI-S'!A:J,2,0),IF(D838="SINAPI-I",VLOOKUP(B838,'20-A.SINAPI-I'!A:G,2,0),IF(D838="COMPOSIÇÕES",VLOOKUP(B838,'11.COMPOSIÇÕES GERAIS'!B:I,2,0),VLOOKUP(B838,'12.COT.MERCADO'!A:I,2,0)))),"Em Elaboração")</f>
        <v>REJUNTE CIMENTICIO, QUALQUER COR</v>
      </c>
      <c r="F838" s="258" t="str">
        <f>IFERROR(IF(D838="SINAPI-S",VLOOKUP(B838,'20-B.SINAPI-S'!A:J,3,0),IF(D838="SINAPI-I",VLOOKUP(B838,'20-A.SINAPI-I'!A:G,3,0),IF(D838="COMPOSIÇÕES",VLOOKUP(B838,'11.COMPOSIÇÕES GERAIS'!B:I,3,0),VLOOKUP(B838,'12.COT.MERCADO'!A:I,7,0)))),"Em Elaboração")</f>
        <v>KG</v>
      </c>
      <c r="G838" s="254">
        <v>10.0</v>
      </c>
      <c r="H838" s="259">
        <f>IFERROR(IF(D838="SINAPI-S",VLOOKUP(B838,'20-B.SINAPI-S'!A:J,5,0),IF(D838="SINAPI-I",VLOOKUP(B838,'20-A.SINAPI-I'!A:G,6,0),IF(D838="COMPOSIÇÕES",VLOOKUP(B838,'11.COMPOSIÇÕES GERAIS'!B:I,7,0),0))),"Em Elaboração")</f>
        <v>0</v>
      </c>
      <c r="I838" s="259">
        <f>IFERROR(IF(D838="SINAPI-S",VLOOKUP(B838,'20-B.SINAPI-S'!A:J,6,0),IF(D838="SINAPI-I",VLOOKUP(B838,'20-A.SINAPI-I'!A:G,7,0),IF(D838="COMPOSIÇÕES",VLOOKUP(B838,'11.COMPOSIÇÕES GERAIS'!B:I,8,0),VLOOKUP(B838,'12.COT.MERCADO'!A:I,8,0)))),"Em Elaboração")</f>
        <v>4.28</v>
      </c>
      <c r="J838" s="259">
        <f t="shared" si="137"/>
        <v>0</v>
      </c>
      <c r="K838" s="259">
        <f t="shared" si="138"/>
        <v>5.013312024</v>
      </c>
      <c r="L838" s="259">
        <f t="shared" si="139"/>
        <v>5.013312024</v>
      </c>
      <c r="M838" s="259">
        <f t="shared" si="140"/>
        <v>0</v>
      </c>
      <c r="N838" s="259">
        <f t="shared" si="141"/>
        <v>50.13312024</v>
      </c>
      <c r="O838" s="259">
        <f t="shared" si="142"/>
        <v>50.13312024</v>
      </c>
      <c r="P838" s="260">
        <f t="shared" si="2"/>
        <v>0.00003921784848</v>
      </c>
    </row>
    <row r="839">
      <c r="A839" s="253" t="s">
        <v>992</v>
      </c>
      <c r="B839" s="254">
        <v>10909.0</v>
      </c>
      <c r="C839" s="255" t="str">
        <f t="shared" si="136"/>
        <v>SINAPI</v>
      </c>
      <c r="D839" s="256" t="s">
        <v>286</v>
      </c>
      <c r="E839" s="257" t="str">
        <f>IFERROR(IF(D839="SINAPI-S",VLOOKUP(B839,'20-B.SINAPI-S'!A:J,2,0),IF(D839="SINAPI-I",VLOOKUP(B839,'20-A.SINAPI-I'!A:G,2,0),IF(D839="COMPOSIÇÕES",VLOOKUP(B839,'11.COMPOSIÇÕES GERAIS'!B:I,2,0),VLOOKUP(B839,'12.COT.MERCADO'!A:I,2,0)))),"Em Elaboração")</f>
        <v>JUNCAO DE REDUCAO INVERTIDA, PVC SOLDAVEL, 100 X 75 MM, SERIE NORMAL PARA ESGOTO PREDIAL</v>
      </c>
      <c r="F839" s="258" t="str">
        <f>IFERROR(IF(D839="SINAPI-S",VLOOKUP(B839,'20-B.SINAPI-S'!A:J,3,0),IF(D839="SINAPI-I",VLOOKUP(B839,'20-A.SINAPI-I'!A:G,3,0),IF(D839="COMPOSIÇÕES",VLOOKUP(B839,'11.COMPOSIÇÕES GERAIS'!B:I,3,0),VLOOKUP(B839,'12.COT.MERCADO'!A:I,7,0)))),"Em Elaboração")</f>
        <v>UN</v>
      </c>
      <c r="G839" s="254">
        <v>8.0</v>
      </c>
      <c r="H839" s="259">
        <f>IFERROR(IF(D839="SINAPI-S",VLOOKUP(B839,'20-B.SINAPI-S'!A:J,5,0),IF(D839="SINAPI-I",VLOOKUP(B839,'20-A.SINAPI-I'!A:G,6,0),IF(D839="COMPOSIÇÕES",VLOOKUP(B839,'11.COMPOSIÇÕES GERAIS'!B:I,7,0),0))),"Em Elaboração")</f>
        <v>0</v>
      </c>
      <c r="I839" s="259">
        <f>IFERROR(IF(D839="SINAPI-S",VLOOKUP(B839,'20-B.SINAPI-S'!A:J,6,0),IF(D839="SINAPI-I",VLOOKUP(B839,'20-A.SINAPI-I'!A:G,7,0),IF(D839="COMPOSIÇÕES",VLOOKUP(B839,'11.COMPOSIÇÕES GERAIS'!B:I,8,0),VLOOKUP(B839,'12.COT.MERCADO'!A:I,8,0)))),"Em Elaboração")</f>
        <v>25.31</v>
      </c>
      <c r="J839" s="259">
        <f t="shared" si="137"/>
        <v>0</v>
      </c>
      <c r="K839" s="259">
        <f t="shared" si="138"/>
        <v>29.64647835</v>
      </c>
      <c r="L839" s="259">
        <f t="shared" si="139"/>
        <v>29.64647835</v>
      </c>
      <c r="M839" s="259">
        <f t="shared" si="140"/>
        <v>0</v>
      </c>
      <c r="N839" s="259">
        <f t="shared" si="141"/>
        <v>237.1718268</v>
      </c>
      <c r="O839" s="259">
        <f t="shared" si="142"/>
        <v>237.1718268</v>
      </c>
      <c r="P839" s="260">
        <f t="shared" si="2"/>
        <v>0.0001855334103</v>
      </c>
    </row>
    <row r="840">
      <c r="A840" s="253" t="s">
        <v>993</v>
      </c>
      <c r="B840" s="254">
        <v>6136.0</v>
      </c>
      <c r="C840" s="255" t="str">
        <f t="shared" si="136"/>
        <v>SINAPI</v>
      </c>
      <c r="D840" s="256" t="s">
        <v>286</v>
      </c>
      <c r="E840" s="257" t="str">
        <f>IFERROR(IF(D840="SINAPI-S",VLOOKUP(B840,'20-B.SINAPI-S'!A:J,2,0),IF(D840="SINAPI-I",VLOOKUP(B840,'20-A.SINAPI-I'!A:G,2,0),IF(D840="COMPOSIÇÕES",VLOOKUP(B840,'11.COMPOSIÇÕES GERAIS'!B:I,2,0),VLOOKUP(B840,'12.COT.MERCADO'!A:I,2,0)))),"Em Elaboração")</f>
        <v>SIFAO EM METAL CROMADO PARA PIA OU LAVATORIO, 1 X 1.1/2 "</v>
      </c>
      <c r="F840" s="258" t="str">
        <f>IFERROR(IF(D840="SINAPI-S",VLOOKUP(B840,'20-B.SINAPI-S'!A:J,3,0),IF(D840="SINAPI-I",VLOOKUP(B840,'20-A.SINAPI-I'!A:G,3,0),IF(D840="COMPOSIÇÕES",VLOOKUP(B840,'11.COMPOSIÇÕES GERAIS'!B:I,3,0),VLOOKUP(B840,'12.COT.MERCADO'!A:I,7,0)))),"Em Elaboração")</f>
        <v>UN</v>
      </c>
      <c r="G840" s="254">
        <v>2.0</v>
      </c>
      <c r="H840" s="259">
        <f>IFERROR(IF(D840="SINAPI-S",VLOOKUP(B840,'20-B.SINAPI-S'!A:J,5,0),IF(D840="SINAPI-I",VLOOKUP(B840,'20-A.SINAPI-I'!A:G,6,0),IF(D840="COMPOSIÇÕES",VLOOKUP(B840,'11.COMPOSIÇÕES GERAIS'!B:I,7,0),0))),"Em Elaboração")</f>
        <v>0</v>
      </c>
      <c r="I840" s="259">
        <f>IFERROR(IF(D840="SINAPI-S",VLOOKUP(B840,'20-B.SINAPI-S'!A:J,6,0),IF(D840="SINAPI-I",VLOOKUP(B840,'20-A.SINAPI-I'!A:G,7,0),IF(D840="COMPOSIÇÕES",VLOOKUP(B840,'11.COMPOSIÇÕES GERAIS'!B:I,8,0),VLOOKUP(B840,'12.COT.MERCADO'!A:I,8,0)))),"Em Elaboração")</f>
        <v>272.5</v>
      </c>
      <c r="J840" s="259">
        <f t="shared" si="137"/>
        <v>0</v>
      </c>
      <c r="K840" s="259">
        <f t="shared" si="138"/>
        <v>319.1886744</v>
      </c>
      <c r="L840" s="259">
        <f t="shared" si="139"/>
        <v>319.1886744</v>
      </c>
      <c r="M840" s="259">
        <f t="shared" si="140"/>
        <v>0</v>
      </c>
      <c r="N840" s="259">
        <f t="shared" si="141"/>
        <v>638.3773489</v>
      </c>
      <c r="O840" s="259">
        <f t="shared" si="142"/>
        <v>638.3773489</v>
      </c>
      <c r="P840" s="260">
        <f t="shared" si="2"/>
        <v>0.0004993861547</v>
      </c>
    </row>
    <row r="841">
      <c r="A841" s="253" t="s">
        <v>994</v>
      </c>
      <c r="B841" s="254">
        <v>38386.0</v>
      </c>
      <c r="C841" s="255" t="str">
        <f t="shared" si="136"/>
        <v>SINAPI</v>
      </c>
      <c r="D841" s="256" t="s">
        <v>286</v>
      </c>
      <c r="E841" s="257" t="str">
        <f>IFERROR(IF(D841="SINAPI-S",VLOOKUP(B841,'20-B.SINAPI-S'!A:J,2,0),IF(D841="SINAPI-I",VLOOKUP(B841,'20-A.SINAPI-I'!A:G,2,0),IF(D841="COMPOSIÇÕES",VLOOKUP(B841,'11.COMPOSIÇÕES GERAIS'!B:I,2,0),VLOOKUP(B841,'12.COT.MERCADO'!A:I,2,0)))),"Em Elaboração")</f>
        <v>PINCEL CHATO (TRINCHA) CERDAS GRIS 1.1/2 " (38 MM)</v>
      </c>
      <c r="F841" s="258" t="str">
        <f>IFERROR(IF(D841="SINAPI-S",VLOOKUP(B841,'20-B.SINAPI-S'!A:J,3,0),IF(D841="SINAPI-I",VLOOKUP(B841,'20-A.SINAPI-I'!A:G,3,0),IF(D841="COMPOSIÇÕES",VLOOKUP(B841,'11.COMPOSIÇÕES GERAIS'!B:I,3,0),VLOOKUP(B841,'12.COT.MERCADO'!A:I,7,0)))),"Em Elaboração")</f>
        <v>UN</v>
      </c>
      <c r="G841" s="254">
        <v>9.0</v>
      </c>
      <c r="H841" s="259">
        <f>IFERROR(IF(D841="SINAPI-S",VLOOKUP(B841,'20-B.SINAPI-S'!A:J,5,0),IF(D841="SINAPI-I",VLOOKUP(B841,'20-A.SINAPI-I'!A:G,6,0),IF(D841="COMPOSIÇÕES",VLOOKUP(B841,'11.COMPOSIÇÕES GERAIS'!B:I,7,0),0))),"Em Elaboração")</f>
        <v>0</v>
      </c>
      <c r="I841" s="259">
        <f>IFERROR(IF(D841="SINAPI-S",VLOOKUP(B841,'20-B.SINAPI-S'!A:J,6,0),IF(D841="SINAPI-I",VLOOKUP(B841,'20-A.SINAPI-I'!A:G,7,0),IF(D841="COMPOSIÇÕES",VLOOKUP(B841,'11.COMPOSIÇÕES GERAIS'!B:I,8,0),VLOOKUP(B841,'12.COT.MERCADO'!A:I,8,0)))),"Em Elaboração")</f>
        <v>5</v>
      </c>
      <c r="J841" s="259">
        <f t="shared" si="137"/>
        <v>0</v>
      </c>
      <c r="K841" s="259">
        <f t="shared" si="138"/>
        <v>5.856672926</v>
      </c>
      <c r="L841" s="259">
        <f t="shared" si="139"/>
        <v>5.856672926</v>
      </c>
      <c r="M841" s="259">
        <f t="shared" si="140"/>
        <v>0</v>
      </c>
      <c r="N841" s="259">
        <f t="shared" si="141"/>
        <v>52.71005633</v>
      </c>
      <c r="O841" s="259">
        <f t="shared" si="142"/>
        <v>52.71005633</v>
      </c>
      <c r="P841" s="260">
        <f t="shared" si="2"/>
        <v>0.00004123371919</v>
      </c>
    </row>
    <row r="842">
      <c r="A842" s="249" t="s">
        <v>995</v>
      </c>
      <c r="B842" s="250" t="s">
        <v>996</v>
      </c>
      <c r="C842" s="44"/>
      <c r="D842" s="44"/>
      <c r="E842" s="44"/>
      <c r="F842" s="44"/>
      <c r="G842" s="44"/>
      <c r="H842" s="44"/>
      <c r="I842" s="44"/>
      <c r="J842" s="44"/>
      <c r="K842" s="44"/>
      <c r="L842" s="44"/>
      <c r="M842" s="251">
        <f t="shared" ref="M842:O842" si="143">SUM(M843:M879)</f>
        <v>0</v>
      </c>
      <c r="N842" s="251">
        <f t="shared" si="143"/>
        <v>16260.06846</v>
      </c>
      <c r="O842" s="251">
        <f t="shared" si="143"/>
        <v>16260.06846</v>
      </c>
      <c r="P842" s="252">
        <f t="shared" si="2"/>
        <v>0.01271983267</v>
      </c>
    </row>
    <row r="843">
      <c r="A843" s="253" t="s">
        <v>997</v>
      </c>
      <c r="B843" s="254">
        <v>4791.0</v>
      </c>
      <c r="C843" s="255" t="str">
        <f t="shared" ref="C843:C879" si="144">IF(OR(D843="SINAPI-S",D843="SINAPI-I"),"SINAPI","PRÓPRIO")</f>
        <v>SINAPI</v>
      </c>
      <c r="D843" s="256" t="s">
        <v>286</v>
      </c>
      <c r="E843" s="257" t="str">
        <f>IFERROR(IF(D843="SINAPI-S",VLOOKUP(B843,'20-B.SINAPI-S'!A:J,2,0),IF(D843="SINAPI-I",VLOOKUP(B843,'20-A.SINAPI-I'!A:G,2,0),IF(D843="COMPOSIÇÕES",VLOOKUP(B843,'11.COMPOSIÇÕES GERAIS'!B:I,2,0),VLOOKUP(B843,'12.COT.MERCADO'!A:I,2,0)))),"Em Elaboração")</f>
        <v>ADESIVO ACRILICO DE BASE AQUOSA / COLA DE CONTATO</v>
      </c>
      <c r="F843" s="258" t="str">
        <f>IFERROR(IF(D843="SINAPI-S",VLOOKUP(B843,'20-B.SINAPI-S'!A:J,3,0),IF(D843="SINAPI-I",VLOOKUP(B843,'20-A.SINAPI-I'!A:G,3,0),IF(D843="COMPOSIÇÕES",VLOOKUP(B843,'11.COMPOSIÇÕES GERAIS'!B:I,3,0),VLOOKUP(B843,'12.COT.MERCADO'!A:I,7,0)))),"Em Elaboração")</f>
        <v>KG</v>
      </c>
      <c r="G843" s="254">
        <v>2.0</v>
      </c>
      <c r="H843" s="259">
        <f>IFERROR(IF(D843="SINAPI-S",VLOOKUP(B843,'20-B.SINAPI-S'!A:J,5,0),IF(D843="SINAPI-I",VLOOKUP(B843,'20-A.SINAPI-I'!A:G,6,0),IF(D843="COMPOSIÇÕES",VLOOKUP(B843,'11.COMPOSIÇÕES GERAIS'!B:I,7,0),0))),"Em Elaboração")</f>
        <v>0</v>
      </c>
      <c r="I843" s="259">
        <f>IFERROR(IF(D843="SINAPI-S",VLOOKUP(B843,'20-B.SINAPI-S'!A:J,6,0),IF(D843="SINAPI-I",VLOOKUP(B843,'20-A.SINAPI-I'!A:G,7,0),IF(D843="COMPOSIÇÕES",VLOOKUP(B843,'11.COMPOSIÇÕES GERAIS'!B:I,8,0),VLOOKUP(B843,'12.COT.MERCADO'!A:I,8,0)))),"Em Elaboração")</f>
        <v>43.68</v>
      </c>
      <c r="J843" s="259">
        <f t="shared" ref="J843:J879" si="145">H843*(1+$J$5)</f>
        <v>0</v>
      </c>
      <c r="K843" s="259">
        <f t="shared" ref="K843:K879" si="146">I843*(1+$J$8)</f>
        <v>51.16389468</v>
      </c>
      <c r="L843" s="259">
        <f t="shared" ref="L843:L879" si="147">SUM(J843:K843)</f>
        <v>51.16389468</v>
      </c>
      <c r="M843" s="259">
        <f t="shared" ref="M843:M879" si="148">J843*G843</f>
        <v>0</v>
      </c>
      <c r="N843" s="259">
        <f t="shared" ref="N843:N879" si="149">K843*G843</f>
        <v>102.3277894</v>
      </c>
      <c r="O843" s="259">
        <f t="shared" ref="O843:O879" si="150">SUM(M843:N843)</f>
        <v>102.3277894</v>
      </c>
      <c r="P843" s="260">
        <f t="shared" si="2"/>
        <v>0.00008004839353</v>
      </c>
    </row>
    <row r="844">
      <c r="A844" s="253" t="s">
        <v>998</v>
      </c>
      <c r="B844" s="254">
        <v>20080.0</v>
      </c>
      <c r="C844" s="255" t="str">
        <f t="shared" si="144"/>
        <v>SINAPI</v>
      </c>
      <c r="D844" s="256" t="s">
        <v>286</v>
      </c>
      <c r="E844" s="257" t="str">
        <f>IFERROR(IF(D844="SINAPI-S",VLOOKUP(B844,'20-B.SINAPI-S'!A:J,2,0),IF(D844="SINAPI-I",VLOOKUP(B844,'20-A.SINAPI-I'!A:G,2,0),IF(D844="COMPOSIÇÕES",VLOOKUP(B844,'11.COMPOSIÇÕES GERAIS'!B:I,2,0),VLOOKUP(B844,'12.COT.MERCADO'!A:I,2,0)))),"Em Elaboração")</f>
        <v>ADESIVO PLASTICO PARA PVC, FRASCO COM 175 GR</v>
      </c>
      <c r="F844" s="258" t="str">
        <f>IFERROR(IF(D844="SINAPI-S",VLOOKUP(B844,'20-B.SINAPI-S'!A:J,3,0),IF(D844="SINAPI-I",VLOOKUP(B844,'20-A.SINAPI-I'!A:G,3,0),IF(D844="COMPOSIÇÕES",VLOOKUP(B844,'11.COMPOSIÇÕES GERAIS'!B:I,3,0),VLOOKUP(B844,'12.COT.MERCADO'!A:I,7,0)))),"Em Elaboração")</f>
        <v>UN</v>
      </c>
      <c r="G844" s="254">
        <v>2.0</v>
      </c>
      <c r="H844" s="259">
        <f>IFERROR(IF(D844="SINAPI-S",VLOOKUP(B844,'20-B.SINAPI-S'!A:J,5,0),IF(D844="SINAPI-I",VLOOKUP(B844,'20-A.SINAPI-I'!A:G,6,0),IF(D844="COMPOSIÇÕES",VLOOKUP(B844,'11.COMPOSIÇÕES GERAIS'!B:I,7,0),0))),"Em Elaboração")</f>
        <v>0</v>
      </c>
      <c r="I844" s="259">
        <f>IFERROR(IF(D844="SINAPI-S",VLOOKUP(B844,'20-B.SINAPI-S'!A:J,6,0),IF(D844="SINAPI-I",VLOOKUP(B844,'20-A.SINAPI-I'!A:G,7,0),IF(D844="COMPOSIÇÕES",VLOOKUP(B844,'11.COMPOSIÇÕES GERAIS'!B:I,8,0),VLOOKUP(B844,'12.COT.MERCADO'!A:I,8,0)))),"Em Elaboração")</f>
        <v>22.77</v>
      </c>
      <c r="J844" s="259">
        <f t="shared" si="145"/>
        <v>0</v>
      </c>
      <c r="K844" s="259">
        <f t="shared" si="146"/>
        <v>26.6712885</v>
      </c>
      <c r="L844" s="259">
        <f t="shared" si="147"/>
        <v>26.6712885</v>
      </c>
      <c r="M844" s="259">
        <f t="shared" si="148"/>
        <v>0</v>
      </c>
      <c r="N844" s="259">
        <f t="shared" si="149"/>
        <v>53.34257701</v>
      </c>
      <c r="O844" s="259">
        <f t="shared" si="150"/>
        <v>53.34257701</v>
      </c>
      <c r="P844" s="260">
        <f t="shared" si="2"/>
        <v>0.00004172852382</v>
      </c>
    </row>
    <row r="845">
      <c r="A845" s="253" t="s">
        <v>999</v>
      </c>
      <c r="B845" s="254">
        <v>366.0</v>
      </c>
      <c r="C845" s="255" t="str">
        <f t="shared" si="144"/>
        <v>SINAPI</v>
      </c>
      <c r="D845" s="256" t="s">
        <v>286</v>
      </c>
      <c r="E845" s="257" t="str">
        <f>IFERROR(IF(D845="SINAPI-S",VLOOKUP(B845,'20-B.SINAPI-S'!A:J,2,0),IF(D845="SINAPI-I",VLOOKUP(B845,'20-A.SINAPI-I'!A:G,2,0),IF(D845="COMPOSIÇÕES",VLOOKUP(B845,'11.COMPOSIÇÕES GERAIS'!B:I,2,0),VLOOKUP(B845,'12.COT.MERCADO'!A:I,2,0)))),"Em Elaboração")</f>
        <v>AREIA FINA - POSTO JAZIDA/FORNECEDOR (RETIRADO NA JAZIDA, SEM TRANSPORTE)</v>
      </c>
      <c r="F845" s="258" t="str">
        <f>IFERROR(IF(D845="SINAPI-S",VLOOKUP(B845,'20-B.SINAPI-S'!A:J,3,0),IF(D845="SINAPI-I",VLOOKUP(B845,'20-A.SINAPI-I'!A:G,3,0),IF(D845="COMPOSIÇÕES",VLOOKUP(B845,'11.COMPOSIÇÕES GERAIS'!B:I,3,0),VLOOKUP(B845,'12.COT.MERCADO'!A:I,7,0)))),"Em Elaboração")</f>
        <v>M3</v>
      </c>
      <c r="G845" s="254">
        <v>1.0</v>
      </c>
      <c r="H845" s="259">
        <f>IFERROR(IF(D845="SINAPI-S",VLOOKUP(B845,'20-B.SINAPI-S'!A:J,5,0),IF(D845="SINAPI-I",VLOOKUP(B845,'20-A.SINAPI-I'!A:G,6,0),IF(D845="COMPOSIÇÕES",VLOOKUP(B845,'11.COMPOSIÇÕES GERAIS'!B:I,7,0),0))),"Em Elaboração")</f>
        <v>0</v>
      </c>
      <c r="I845" s="259">
        <f>IFERROR(IF(D845="SINAPI-S",VLOOKUP(B845,'20-B.SINAPI-S'!A:J,6,0),IF(D845="SINAPI-I",VLOOKUP(B845,'20-A.SINAPI-I'!A:G,7,0),IF(D845="COMPOSIÇÕES",VLOOKUP(B845,'11.COMPOSIÇÕES GERAIS'!B:I,8,0),VLOOKUP(B845,'12.COT.MERCADO'!A:I,8,0)))),"Em Elaboração")</f>
        <v>109.41</v>
      </c>
      <c r="J845" s="259">
        <f t="shared" si="145"/>
        <v>0</v>
      </c>
      <c r="K845" s="259">
        <f t="shared" si="146"/>
        <v>128.155717</v>
      </c>
      <c r="L845" s="259">
        <f t="shared" si="147"/>
        <v>128.155717</v>
      </c>
      <c r="M845" s="259">
        <f t="shared" si="148"/>
        <v>0</v>
      </c>
      <c r="N845" s="259">
        <f t="shared" si="149"/>
        <v>128.155717</v>
      </c>
      <c r="O845" s="259">
        <f t="shared" si="150"/>
        <v>128.155717</v>
      </c>
      <c r="P845" s="260">
        <f t="shared" si="2"/>
        <v>0.0001002529159</v>
      </c>
    </row>
    <row r="846">
      <c r="A846" s="253" t="s">
        <v>1000</v>
      </c>
      <c r="B846" s="254">
        <v>370.0</v>
      </c>
      <c r="C846" s="255" t="str">
        <f t="shared" si="144"/>
        <v>SINAPI</v>
      </c>
      <c r="D846" s="256" t="s">
        <v>286</v>
      </c>
      <c r="E846" s="257" t="str">
        <f>IFERROR(IF(D846="SINAPI-S",VLOOKUP(B846,'20-B.SINAPI-S'!A:J,2,0),IF(D846="SINAPI-I",VLOOKUP(B846,'20-A.SINAPI-I'!A:G,2,0),IF(D846="COMPOSIÇÕES",VLOOKUP(B846,'11.COMPOSIÇÕES GERAIS'!B:I,2,0),VLOOKUP(B846,'12.COT.MERCADO'!A:I,2,0)))),"Em Elaboração")</f>
        <v>AREIA MEDIA - POSTO JAZIDA/FORNECEDOR (RETIRADO NA JAZIDA, SEM TRANSPORTE)</v>
      </c>
      <c r="F846" s="258" t="str">
        <f>IFERROR(IF(D846="SINAPI-S",VLOOKUP(B846,'20-B.SINAPI-S'!A:J,3,0),IF(D846="SINAPI-I",VLOOKUP(B846,'20-A.SINAPI-I'!A:G,3,0),IF(D846="COMPOSIÇÕES",VLOOKUP(B846,'11.COMPOSIÇÕES GERAIS'!B:I,3,0),VLOOKUP(B846,'12.COT.MERCADO'!A:I,7,0)))),"Em Elaboração")</f>
        <v>M3</v>
      </c>
      <c r="G846" s="254">
        <v>1.0</v>
      </c>
      <c r="H846" s="259">
        <f>IFERROR(IF(D846="SINAPI-S",VLOOKUP(B846,'20-B.SINAPI-S'!A:J,5,0),IF(D846="SINAPI-I",VLOOKUP(B846,'20-A.SINAPI-I'!A:G,6,0),IF(D846="COMPOSIÇÕES",VLOOKUP(B846,'11.COMPOSIÇÕES GERAIS'!B:I,7,0),0))),"Em Elaboração")</f>
        <v>0</v>
      </c>
      <c r="I846" s="259">
        <f>IFERROR(IF(D846="SINAPI-S",VLOOKUP(B846,'20-B.SINAPI-S'!A:J,6,0),IF(D846="SINAPI-I",VLOOKUP(B846,'20-A.SINAPI-I'!A:G,7,0),IF(D846="COMPOSIÇÕES",VLOOKUP(B846,'11.COMPOSIÇÕES GERAIS'!B:I,8,0),VLOOKUP(B846,'12.COT.MERCADO'!A:I,8,0)))),"Em Elaboração")</f>
        <v>109.41</v>
      </c>
      <c r="J846" s="259">
        <f t="shared" si="145"/>
        <v>0</v>
      </c>
      <c r="K846" s="259">
        <f t="shared" si="146"/>
        <v>128.155717</v>
      </c>
      <c r="L846" s="259">
        <f t="shared" si="147"/>
        <v>128.155717</v>
      </c>
      <c r="M846" s="259">
        <f t="shared" si="148"/>
        <v>0</v>
      </c>
      <c r="N846" s="259">
        <f t="shared" si="149"/>
        <v>128.155717</v>
      </c>
      <c r="O846" s="259">
        <f t="shared" si="150"/>
        <v>128.155717</v>
      </c>
      <c r="P846" s="260">
        <f t="shared" si="2"/>
        <v>0.0001002529159</v>
      </c>
    </row>
    <row r="847">
      <c r="A847" s="253" t="s">
        <v>1001</v>
      </c>
      <c r="B847" s="254">
        <v>371.0</v>
      </c>
      <c r="C847" s="255" t="str">
        <f t="shared" si="144"/>
        <v>SINAPI</v>
      </c>
      <c r="D847" s="256" t="s">
        <v>286</v>
      </c>
      <c r="E847" s="257" t="str">
        <f>IFERROR(IF(D847="SINAPI-S",VLOOKUP(B847,'20-B.SINAPI-S'!A:J,2,0),IF(D847="SINAPI-I",VLOOKUP(B847,'20-A.SINAPI-I'!A:G,2,0),IF(D847="COMPOSIÇÕES",VLOOKUP(B847,'11.COMPOSIÇÕES GERAIS'!B:I,2,0),VLOOKUP(B847,'12.COT.MERCADO'!A:I,2,0)))),"Em Elaboração")</f>
        <v>ARGAMASSA INDUSTRIALIZADA MULTIUSO, PARA REVESTIMENTO INTERNO E EXTERNO E ASSENTAMENTO DE BLOCOS DIVERSOS</v>
      </c>
      <c r="F847" s="258" t="str">
        <f>IFERROR(IF(D847="SINAPI-S",VLOOKUP(B847,'20-B.SINAPI-S'!A:J,3,0),IF(D847="SINAPI-I",VLOOKUP(B847,'20-A.SINAPI-I'!A:G,3,0),IF(D847="COMPOSIÇÕES",VLOOKUP(B847,'11.COMPOSIÇÕES GERAIS'!B:I,3,0),VLOOKUP(B847,'12.COT.MERCADO'!A:I,7,0)))),"Em Elaboração")</f>
        <v>KG</v>
      </c>
      <c r="G847" s="254">
        <v>100.0</v>
      </c>
      <c r="H847" s="259">
        <f>IFERROR(IF(D847="SINAPI-S",VLOOKUP(B847,'20-B.SINAPI-S'!A:J,5,0),IF(D847="SINAPI-I",VLOOKUP(B847,'20-A.SINAPI-I'!A:G,6,0),IF(D847="COMPOSIÇÕES",VLOOKUP(B847,'11.COMPOSIÇÕES GERAIS'!B:I,7,0),0))),"Em Elaboração")</f>
        <v>0</v>
      </c>
      <c r="I847" s="259">
        <f>IFERROR(IF(D847="SINAPI-S",VLOOKUP(B847,'20-B.SINAPI-S'!A:J,6,0),IF(D847="SINAPI-I",VLOOKUP(B847,'20-A.SINAPI-I'!A:G,7,0),IF(D847="COMPOSIÇÕES",VLOOKUP(B847,'11.COMPOSIÇÕES GERAIS'!B:I,8,0),VLOOKUP(B847,'12.COT.MERCADO'!A:I,8,0)))),"Em Elaboração")</f>
        <v>0.79</v>
      </c>
      <c r="J847" s="259">
        <f t="shared" si="145"/>
        <v>0</v>
      </c>
      <c r="K847" s="259">
        <f t="shared" si="146"/>
        <v>0.9253543223</v>
      </c>
      <c r="L847" s="259">
        <f t="shared" si="147"/>
        <v>0.9253543223</v>
      </c>
      <c r="M847" s="259">
        <f t="shared" si="148"/>
        <v>0</v>
      </c>
      <c r="N847" s="259">
        <f t="shared" si="149"/>
        <v>92.53543223</v>
      </c>
      <c r="O847" s="259">
        <f t="shared" si="150"/>
        <v>92.53543223</v>
      </c>
      <c r="P847" s="260">
        <f t="shared" si="2"/>
        <v>0.0000723880848</v>
      </c>
    </row>
    <row r="848">
      <c r="A848" s="253" t="s">
        <v>1002</v>
      </c>
      <c r="B848" s="254">
        <v>4721.0</v>
      </c>
      <c r="C848" s="255" t="str">
        <f t="shared" si="144"/>
        <v>SINAPI</v>
      </c>
      <c r="D848" s="256" t="s">
        <v>286</v>
      </c>
      <c r="E848" s="257" t="str">
        <f>IFERROR(IF(D848="SINAPI-S",VLOOKUP(B848,'20-B.SINAPI-S'!A:J,2,0),IF(D848="SINAPI-I",VLOOKUP(B848,'20-A.SINAPI-I'!A:G,2,0),IF(D848="COMPOSIÇÕES",VLOOKUP(B848,'11.COMPOSIÇÕES GERAIS'!B:I,2,0),VLOOKUP(B848,'12.COT.MERCADO'!A:I,2,0)))),"Em Elaboração")</f>
        <v>PEDRA BRITADA N. 1 (9,5 a 19 MM) POSTO PEDREIRA/FORNECEDOR, SEM FRETE</v>
      </c>
      <c r="F848" s="258" t="str">
        <f>IFERROR(IF(D848="SINAPI-S",VLOOKUP(B848,'20-B.SINAPI-S'!A:J,3,0),IF(D848="SINAPI-I",VLOOKUP(B848,'20-A.SINAPI-I'!A:G,3,0),IF(D848="COMPOSIÇÕES",VLOOKUP(B848,'11.COMPOSIÇÕES GERAIS'!B:I,3,0),VLOOKUP(B848,'12.COT.MERCADO'!A:I,7,0)))),"Em Elaboração")</f>
        <v>M3</v>
      </c>
      <c r="G848" s="254">
        <v>1.0</v>
      </c>
      <c r="H848" s="259">
        <f>IFERROR(IF(D848="SINAPI-S",VLOOKUP(B848,'20-B.SINAPI-S'!A:J,5,0),IF(D848="SINAPI-I",VLOOKUP(B848,'20-A.SINAPI-I'!A:G,6,0),IF(D848="COMPOSIÇÕES",VLOOKUP(B848,'11.COMPOSIÇÕES GERAIS'!B:I,7,0),0))),"Em Elaboração")</f>
        <v>0</v>
      </c>
      <c r="I848" s="259">
        <f>IFERROR(IF(D848="SINAPI-S",VLOOKUP(B848,'20-B.SINAPI-S'!A:J,6,0),IF(D848="SINAPI-I",VLOOKUP(B848,'20-A.SINAPI-I'!A:G,7,0),IF(D848="COMPOSIÇÕES",VLOOKUP(B848,'11.COMPOSIÇÕES GERAIS'!B:I,8,0),VLOOKUP(B848,'12.COT.MERCADO'!A:I,8,0)))),"Em Elaboração")</f>
        <v>65.65</v>
      </c>
      <c r="J848" s="259">
        <f t="shared" si="145"/>
        <v>0</v>
      </c>
      <c r="K848" s="259">
        <f t="shared" si="146"/>
        <v>76.89811551</v>
      </c>
      <c r="L848" s="259">
        <f t="shared" si="147"/>
        <v>76.89811551</v>
      </c>
      <c r="M848" s="259">
        <f t="shared" si="148"/>
        <v>0</v>
      </c>
      <c r="N848" s="259">
        <f t="shared" si="149"/>
        <v>76.89811551</v>
      </c>
      <c r="O848" s="259">
        <f t="shared" si="150"/>
        <v>76.89811551</v>
      </c>
      <c r="P848" s="260">
        <f t="shared" si="2"/>
        <v>0.00006015541478</v>
      </c>
    </row>
    <row r="849">
      <c r="A849" s="253" t="s">
        <v>1003</v>
      </c>
      <c r="B849" s="254">
        <v>4718.0</v>
      </c>
      <c r="C849" s="255" t="str">
        <f t="shared" si="144"/>
        <v>SINAPI</v>
      </c>
      <c r="D849" s="256" t="s">
        <v>286</v>
      </c>
      <c r="E849" s="257" t="str">
        <f>IFERROR(IF(D849="SINAPI-S",VLOOKUP(B849,'20-B.SINAPI-S'!A:J,2,0),IF(D849="SINAPI-I",VLOOKUP(B849,'20-A.SINAPI-I'!A:G,2,0),IF(D849="COMPOSIÇÕES",VLOOKUP(B849,'11.COMPOSIÇÕES GERAIS'!B:I,2,0),VLOOKUP(B849,'12.COT.MERCADO'!A:I,2,0)))),"Em Elaboração")</f>
        <v>PEDRA BRITADA N. 2 (19 A 38 MM) POSTO PEDREIRA/FORNECEDOR, SEM FRETE</v>
      </c>
      <c r="F849" s="258" t="str">
        <f>IFERROR(IF(D849="SINAPI-S",VLOOKUP(B849,'20-B.SINAPI-S'!A:J,3,0),IF(D849="SINAPI-I",VLOOKUP(B849,'20-A.SINAPI-I'!A:G,3,0),IF(D849="COMPOSIÇÕES",VLOOKUP(B849,'11.COMPOSIÇÕES GERAIS'!B:I,3,0),VLOOKUP(B849,'12.COT.MERCADO'!A:I,7,0)))),"Em Elaboração")</f>
        <v>M3</v>
      </c>
      <c r="G849" s="254">
        <v>1.0</v>
      </c>
      <c r="H849" s="259">
        <f>IFERROR(IF(D849="SINAPI-S",VLOOKUP(B849,'20-B.SINAPI-S'!A:J,5,0),IF(D849="SINAPI-I",VLOOKUP(B849,'20-A.SINAPI-I'!A:G,6,0),IF(D849="COMPOSIÇÕES",VLOOKUP(B849,'11.COMPOSIÇÕES GERAIS'!B:I,7,0),0))),"Em Elaboração")</f>
        <v>0</v>
      </c>
      <c r="I849" s="259">
        <f>IFERROR(IF(D849="SINAPI-S",VLOOKUP(B849,'20-B.SINAPI-S'!A:J,6,0),IF(D849="SINAPI-I",VLOOKUP(B849,'20-A.SINAPI-I'!A:G,7,0),IF(D849="COMPOSIÇÕES",VLOOKUP(B849,'11.COMPOSIÇÕES GERAIS'!B:I,8,0),VLOOKUP(B849,'12.COT.MERCADO'!A:I,8,0)))),"Em Elaboração")</f>
        <v>66</v>
      </c>
      <c r="J849" s="259">
        <f t="shared" si="145"/>
        <v>0</v>
      </c>
      <c r="K849" s="259">
        <f t="shared" si="146"/>
        <v>77.30808262</v>
      </c>
      <c r="L849" s="259">
        <f t="shared" si="147"/>
        <v>77.30808262</v>
      </c>
      <c r="M849" s="259">
        <f t="shared" si="148"/>
        <v>0</v>
      </c>
      <c r="N849" s="259">
        <f t="shared" si="149"/>
        <v>77.30808262</v>
      </c>
      <c r="O849" s="259">
        <f t="shared" si="150"/>
        <v>77.30808262</v>
      </c>
      <c r="P849" s="260">
        <f t="shared" si="2"/>
        <v>0.00006047612148</v>
      </c>
    </row>
    <row r="850">
      <c r="A850" s="253" t="s">
        <v>1004</v>
      </c>
      <c r="B850" s="254">
        <v>4722.0</v>
      </c>
      <c r="C850" s="255" t="str">
        <f t="shared" si="144"/>
        <v>SINAPI</v>
      </c>
      <c r="D850" s="256" t="s">
        <v>286</v>
      </c>
      <c r="E850" s="257" t="str">
        <f>IFERROR(IF(D850="SINAPI-S",VLOOKUP(B850,'20-B.SINAPI-S'!A:J,2,0),IF(D850="SINAPI-I",VLOOKUP(B850,'20-A.SINAPI-I'!A:G,2,0),IF(D850="COMPOSIÇÕES",VLOOKUP(B850,'11.COMPOSIÇÕES GERAIS'!B:I,2,0),VLOOKUP(B850,'12.COT.MERCADO'!A:I,2,0)))),"Em Elaboração")</f>
        <v>PEDRA BRITADA N. 3 (38 A 50 MM) POSTO PEDREIRA/FORNECEDOR, SEM FRETE</v>
      </c>
      <c r="F850" s="258" t="str">
        <f>IFERROR(IF(D850="SINAPI-S",VLOOKUP(B850,'20-B.SINAPI-S'!A:J,3,0),IF(D850="SINAPI-I",VLOOKUP(B850,'20-A.SINAPI-I'!A:G,3,0),IF(D850="COMPOSIÇÕES",VLOOKUP(B850,'11.COMPOSIÇÕES GERAIS'!B:I,3,0),VLOOKUP(B850,'12.COT.MERCADO'!A:I,7,0)))),"Em Elaboração")</f>
        <v>M3</v>
      </c>
      <c r="G850" s="254">
        <v>1.0</v>
      </c>
      <c r="H850" s="259">
        <f>IFERROR(IF(D850="SINAPI-S",VLOOKUP(B850,'20-B.SINAPI-S'!A:J,5,0),IF(D850="SINAPI-I",VLOOKUP(B850,'20-A.SINAPI-I'!A:G,6,0),IF(D850="COMPOSIÇÕES",VLOOKUP(B850,'11.COMPOSIÇÕES GERAIS'!B:I,7,0),0))),"Em Elaboração")</f>
        <v>0</v>
      </c>
      <c r="I850" s="259">
        <f>IFERROR(IF(D850="SINAPI-S",VLOOKUP(B850,'20-B.SINAPI-S'!A:J,6,0),IF(D850="SINAPI-I",VLOOKUP(B850,'20-A.SINAPI-I'!A:G,7,0),IF(D850="COMPOSIÇÕES",VLOOKUP(B850,'11.COMPOSIÇÕES GERAIS'!B:I,8,0),VLOOKUP(B850,'12.COT.MERCADO'!A:I,8,0)))),"Em Elaboração")</f>
        <v>62.01</v>
      </c>
      <c r="J850" s="259">
        <f t="shared" si="145"/>
        <v>0</v>
      </c>
      <c r="K850" s="259">
        <f t="shared" si="146"/>
        <v>72.63445762</v>
      </c>
      <c r="L850" s="259">
        <f t="shared" si="147"/>
        <v>72.63445762</v>
      </c>
      <c r="M850" s="259">
        <f t="shared" si="148"/>
        <v>0</v>
      </c>
      <c r="N850" s="259">
        <f t="shared" si="149"/>
        <v>72.63445762</v>
      </c>
      <c r="O850" s="259">
        <f t="shared" si="150"/>
        <v>72.63445762</v>
      </c>
      <c r="P850" s="260">
        <f t="shared" si="2"/>
        <v>0.00005682006505</v>
      </c>
    </row>
    <row r="851">
      <c r="A851" s="253" t="s">
        <v>1005</v>
      </c>
      <c r="B851" s="254">
        <v>38392.0</v>
      </c>
      <c r="C851" s="255" t="str">
        <f t="shared" si="144"/>
        <v>SINAPI</v>
      </c>
      <c r="D851" s="256" t="s">
        <v>286</v>
      </c>
      <c r="E851" s="257" t="str">
        <f>IFERROR(IF(D851="SINAPI-S",VLOOKUP(B851,'20-B.SINAPI-S'!A:J,2,0),IF(D851="SINAPI-I",VLOOKUP(B851,'20-A.SINAPI-I'!A:G,2,0),IF(D851="COMPOSIÇÕES",VLOOKUP(B851,'11.COMPOSIÇÕES GERAIS'!B:I,2,0),VLOOKUP(B851,'12.COT.MERCADO'!A:I,2,0)))),"Em Elaboração")</f>
        <v>PROLONGADOR/EXTENSOR PARA ROLO DE PINTURA 3 M</v>
      </c>
      <c r="F851" s="258" t="str">
        <f>IFERROR(IF(D851="SINAPI-S",VLOOKUP(B851,'20-B.SINAPI-S'!A:J,3,0),IF(D851="SINAPI-I",VLOOKUP(B851,'20-A.SINAPI-I'!A:G,3,0),IF(D851="COMPOSIÇÕES",VLOOKUP(B851,'11.COMPOSIÇÕES GERAIS'!B:I,3,0),VLOOKUP(B851,'12.COT.MERCADO'!A:I,7,0)))),"Em Elaboração")</f>
        <v>UN</v>
      </c>
      <c r="G851" s="254">
        <v>5.0</v>
      </c>
      <c r="H851" s="259">
        <f>IFERROR(IF(D851="SINAPI-S",VLOOKUP(B851,'20-B.SINAPI-S'!A:J,5,0),IF(D851="SINAPI-I",VLOOKUP(B851,'20-A.SINAPI-I'!A:G,6,0),IF(D851="COMPOSIÇÕES",VLOOKUP(B851,'11.COMPOSIÇÕES GERAIS'!B:I,7,0),0))),"Em Elaboração")</f>
        <v>0</v>
      </c>
      <c r="I851" s="259">
        <f>IFERROR(IF(D851="SINAPI-S",VLOOKUP(B851,'20-B.SINAPI-S'!A:J,6,0),IF(D851="SINAPI-I",VLOOKUP(B851,'20-A.SINAPI-I'!A:G,7,0),IF(D851="COMPOSIÇÕES",VLOOKUP(B851,'11.COMPOSIÇÕES GERAIS'!B:I,8,0),VLOOKUP(B851,'12.COT.MERCADO'!A:I,8,0)))),"Em Elaboração")</f>
        <v>55.16</v>
      </c>
      <c r="J851" s="259">
        <f t="shared" si="145"/>
        <v>0</v>
      </c>
      <c r="K851" s="259">
        <f t="shared" si="146"/>
        <v>64.61081572</v>
      </c>
      <c r="L851" s="259">
        <f t="shared" si="147"/>
        <v>64.61081572</v>
      </c>
      <c r="M851" s="259">
        <f t="shared" si="148"/>
        <v>0</v>
      </c>
      <c r="N851" s="259">
        <f t="shared" si="149"/>
        <v>323.0540786</v>
      </c>
      <c r="O851" s="259">
        <f t="shared" si="150"/>
        <v>323.0540786</v>
      </c>
      <c r="P851" s="260">
        <f t="shared" si="2"/>
        <v>0.0002527168834</v>
      </c>
    </row>
    <row r="852">
      <c r="A852" s="253" t="s">
        <v>1006</v>
      </c>
      <c r="B852" s="254">
        <v>1379.0</v>
      </c>
      <c r="C852" s="255" t="str">
        <f t="shared" si="144"/>
        <v>SINAPI</v>
      </c>
      <c r="D852" s="256" t="s">
        <v>286</v>
      </c>
      <c r="E852" s="257" t="str">
        <f>IFERROR(IF(D852="SINAPI-S",VLOOKUP(B852,'20-B.SINAPI-S'!A:J,2,0),IF(D852="SINAPI-I",VLOOKUP(B852,'20-A.SINAPI-I'!A:G,2,0),IF(D852="COMPOSIÇÕES",VLOOKUP(B852,'11.COMPOSIÇÕES GERAIS'!B:I,2,0),VLOOKUP(B852,'12.COT.MERCADO'!A:I,2,0)))),"Em Elaboração")</f>
        <v>CIMENTO PORTLAND COMPOSTO CP II-32</v>
      </c>
      <c r="F852" s="258" t="str">
        <f>IFERROR(IF(D852="SINAPI-S",VLOOKUP(B852,'20-B.SINAPI-S'!A:J,3,0),IF(D852="SINAPI-I",VLOOKUP(B852,'20-A.SINAPI-I'!A:G,3,0),IF(D852="COMPOSIÇÕES",VLOOKUP(B852,'11.COMPOSIÇÕES GERAIS'!B:I,3,0),VLOOKUP(B852,'12.COT.MERCADO'!A:I,7,0)))),"Em Elaboração")</f>
        <v>KG</v>
      </c>
      <c r="G852" s="254">
        <v>900.0</v>
      </c>
      <c r="H852" s="259">
        <f>IFERROR(IF(D852="SINAPI-S",VLOOKUP(B852,'20-B.SINAPI-S'!A:J,5,0),IF(D852="SINAPI-I",VLOOKUP(B852,'20-A.SINAPI-I'!A:G,6,0),IF(D852="COMPOSIÇÕES",VLOOKUP(B852,'11.COMPOSIÇÕES GERAIS'!B:I,7,0),0))),"Em Elaboração")</f>
        <v>0</v>
      </c>
      <c r="I852" s="259">
        <f>IFERROR(IF(D852="SINAPI-S",VLOOKUP(B852,'20-B.SINAPI-S'!A:J,6,0),IF(D852="SINAPI-I",VLOOKUP(B852,'20-A.SINAPI-I'!A:G,7,0),IF(D852="COMPOSIÇÕES",VLOOKUP(B852,'11.COMPOSIÇÕES GERAIS'!B:I,8,0),VLOOKUP(B852,'12.COT.MERCADO'!A:I,8,0)))),"Em Elaboração")</f>
        <v>0.7</v>
      </c>
      <c r="J852" s="259">
        <f t="shared" si="145"/>
        <v>0</v>
      </c>
      <c r="K852" s="259">
        <f t="shared" si="146"/>
        <v>0.8199342096</v>
      </c>
      <c r="L852" s="259">
        <f t="shared" si="147"/>
        <v>0.8199342096</v>
      </c>
      <c r="M852" s="259">
        <f t="shared" si="148"/>
        <v>0</v>
      </c>
      <c r="N852" s="259">
        <f t="shared" si="149"/>
        <v>737.9407886</v>
      </c>
      <c r="O852" s="259">
        <f t="shared" si="150"/>
        <v>737.9407886</v>
      </c>
      <c r="P852" s="260">
        <f t="shared" si="2"/>
        <v>0.0005772720687</v>
      </c>
    </row>
    <row r="853">
      <c r="A853" s="253" t="s">
        <v>1007</v>
      </c>
      <c r="B853" s="254">
        <v>38367.0</v>
      </c>
      <c r="C853" s="255" t="str">
        <f t="shared" si="144"/>
        <v>SINAPI</v>
      </c>
      <c r="D853" s="256" t="s">
        <v>286</v>
      </c>
      <c r="E853" s="257" t="str">
        <f>IFERROR(IF(D853="SINAPI-S",VLOOKUP(B853,'20-B.SINAPI-S'!A:J,2,0),IF(D853="SINAPI-I",VLOOKUP(B853,'20-A.SINAPI-I'!A:G,2,0),IF(D853="COMPOSIÇÕES",VLOOKUP(B853,'11.COMPOSIÇÕES GERAIS'!B:I,2,0),VLOOKUP(B853,'12.COT.MERCADO'!A:I,2,0)))),"Em Elaboração")</f>
        <v>ESPATULA DE ACO INOX COM CABO DE MADEIRA, LARGURA 8 CM</v>
      </c>
      <c r="F853" s="258" t="str">
        <f>IFERROR(IF(D853="SINAPI-S",VLOOKUP(B853,'20-B.SINAPI-S'!A:J,3,0),IF(D853="SINAPI-I",VLOOKUP(B853,'20-A.SINAPI-I'!A:G,3,0),IF(D853="COMPOSIÇÕES",VLOOKUP(B853,'11.COMPOSIÇÕES GERAIS'!B:I,3,0),VLOOKUP(B853,'12.COT.MERCADO'!A:I,7,0)))),"Em Elaboração")</f>
        <v>UN</v>
      </c>
      <c r="G853" s="254">
        <v>8.0</v>
      </c>
      <c r="H853" s="259">
        <f>IFERROR(IF(D853="SINAPI-S",VLOOKUP(B853,'20-B.SINAPI-S'!A:J,5,0),IF(D853="SINAPI-I",VLOOKUP(B853,'20-A.SINAPI-I'!A:G,6,0),IF(D853="COMPOSIÇÕES",VLOOKUP(B853,'11.COMPOSIÇÕES GERAIS'!B:I,7,0),0))),"Em Elaboração")</f>
        <v>0</v>
      </c>
      <c r="I853" s="259">
        <f>IFERROR(IF(D853="SINAPI-S",VLOOKUP(B853,'20-B.SINAPI-S'!A:J,6,0),IF(D853="SINAPI-I",VLOOKUP(B853,'20-A.SINAPI-I'!A:G,7,0),IF(D853="COMPOSIÇÕES",VLOOKUP(B853,'11.COMPOSIÇÕES GERAIS'!B:I,8,0),VLOOKUP(B853,'12.COT.MERCADO'!A:I,8,0)))),"Em Elaboração")</f>
        <v>16.99</v>
      </c>
      <c r="J853" s="259">
        <f t="shared" si="145"/>
        <v>0</v>
      </c>
      <c r="K853" s="259">
        <f t="shared" si="146"/>
        <v>19.9009746</v>
      </c>
      <c r="L853" s="259">
        <f t="shared" si="147"/>
        <v>19.9009746</v>
      </c>
      <c r="M853" s="259">
        <f t="shared" si="148"/>
        <v>0</v>
      </c>
      <c r="N853" s="259">
        <f t="shared" si="149"/>
        <v>159.2077968</v>
      </c>
      <c r="O853" s="259">
        <f t="shared" si="150"/>
        <v>159.2077968</v>
      </c>
      <c r="P853" s="260">
        <f t="shared" si="2"/>
        <v>0.0001245441581</v>
      </c>
    </row>
    <row r="854">
      <c r="A854" s="253" t="s">
        <v>1008</v>
      </c>
      <c r="B854" s="254">
        <v>38124.0</v>
      </c>
      <c r="C854" s="255" t="str">
        <f t="shared" si="144"/>
        <v>SINAPI</v>
      </c>
      <c r="D854" s="256" t="s">
        <v>286</v>
      </c>
      <c r="E854" s="257" t="str">
        <f>IFERROR(IF(D854="SINAPI-S",VLOOKUP(B854,'20-B.SINAPI-S'!A:J,2,0),IF(D854="SINAPI-I",VLOOKUP(B854,'20-A.SINAPI-I'!A:G,2,0),IF(D854="COMPOSIÇÕES",VLOOKUP(B854,'11.COMPOSIÇÕES GERAIS'!B:I,2,0),VLOOKUP(B854,'12.COT.MERCADO'!A:I,2,0)))),"Em Elaboração")</f>
        <v>ESPUMA EXPANSIVA DE POLIURETANO, APLICACAO MANUAL - 500 ML</v>
      </c>
      <c r="F854" s="258" t="str">
        <f>IFERROR(IF(D854="SINAPI-S",VLOOKUP(B854,'20-B.SINAPI-S'!A:J,3,0),IF(D854="SINAPI-I",VLOOKUP(B854,'20-A.SINAPI-I'!A:G,3,0),IF(D854="COMPOSIÇÕES",VLOOKUP(B854,'11.COMPOSIÇÕES GERAIS'!B:I,3,0),VLOOKUP(B854,'12.COT.MERCADO'!A:I,7,0)))),"Em Elaboração")</f>
        <v>UN</v>
      </c>
      <c r="G854" s="254">
        <v>5.0</v>
      </c>
      <c r="H854" s="259">
        <f>IFERROR(IF(D854="SINAPI-S",VLOOKUP(B854,'20-B.SINAPI-S'!A:J,5,0),IF(D854="SINAPI-I",VLOOKUP(B854,'20-A.SINAPI-I'!A:G,6,0),IF(D854="COMPOSIÇÕES",VLOOKUP(B854,'11.COMPOSIÇÕES GERAIS'!B:I,7,0),0))),"Em Elaboração")</f>
        <v>0</v>
      </c>
      <c r="I854" s="259">
        <f>IFERROR(IF(D854="SINAPI-S",VLOOKUP(B854,'20-B.SINAPI-S'!A:J,6,0),IF(D854="SINAPI-I",VLOOKUP(B854,'20-A.SINAPI-I'!A:G,7,0),IF(D854="COMPOSIÇÕES",VLOOKUP(B854,'11.COMPOSIÇÕES GERAIS'!B:I,8,0),VLOOKUP(B854,'12.COT.MERCADO'!A:I,8,0)))),"Em Elaboração")</f>
        <v>29.41</v>
      </c>
      <c r="J854" s="259">
        <f t="shared" si="145"/>
        <v>0</v>
      </c>
      <c r="K854" s="259">
        <f t="shared" si="146"/>
        <v>34.44895015</v>
      </c>
      <c r="L854" s="259">
        <f t="shared" si="147"/>
        <v>34.44895015</v>
      </c>
      <c r="M854" s="259">
        <f t="shared" si="148"/>
        <v>0</v>
      </c>
      <c r="N854" s="259">
        <f t="shared" si="149"/>
        <v>172.2447507</v>
      </c>
      <c r="O854" s="259">
        <f t="shared" si="150"/>
        <v>172.2447507</v>
      </c>
      <c r="P854" s="260">
        <f t="shared" si="2"/>
        <v>0.0001347426313</v>
      </c>
    </row>
    <row r="855">
      <c r="A855" s="253" t="s">
        <v>1009</v>
      </c>
      <c r="B855" s="254">
        <v>38152.0</v>
      </c>
      <c r="C855" s="255" t="str">
        <f t="shared" si="144"/>
        <v>SINAPI</v>
      </c>
      <c r="D855" s="256" t="s">
        <v>286</v>
      </c>
      <c r="E855" s="257" t="str">
        <f>IFERROR(IF(D855="SINAPI-S",VLOOKUP(B855,'20-B.SINAPI-S'!A:J,2,0),IF(D855="SINAPI-I",VLOOKUP(B855,'20-A.SINAPI-I'!A:G,2,0),IF(D855="COMPOSIÇÕES",VLOOKUP(B855,'11.COMPOSIÇÕES GERAIS'!B:I,2,0),VLOOKUP(B855,'12.COT.MERCADO'!A:I,2,0)))),"Em Elaboração")</f>
        <v>FECHADURA ROSETA REDONDA PARA PORTA EXTERNA, EM ACO INOX (MAQUINA, TESTA E CONTRA-TESTA) E EM ZAMAC (MACANETA, LINGUETA E TRINCOS) COM ACABAMENTO CROMADO, MAQUINA DE 55 MM, INCLUINDO CHAVE TIPO CILINDRO</v>
      </c>
      <c r="F855" s="258" t="str">
        <f>IFERROR(IF(D855="SINAPI-S",VLOOKUP(B855,'20-B.SINAPI-S'!A:J,3,0),IF(D855="SINAPI-I",VLOOKUP(B855,'20-A.SINAPI-I'!A:G,3,0),IF(D855="COMPOSIÇÕES",VLOOKUP(B855,'11.COMPOSIÇÕES GERAIS'!B:I,3,0),VLOOKUP(B855,'12.COT.MERCADO'!A:I,7,0)))),"Em Elaboração")</f>
        <v>CJ</v>
      </c>
      <c r="G855" s="254">
        <v>2.0</v>
      </c>
      <c r="H855" s="259">
        <f>IFERROR(IF(D855="SINAPI-S",VLOOKUP(B855,'20-B.SINAPI-S'!A:J,5,0),IF(D855="SINAPI-I",VLOOKUP(B855,'20-A.SINAPI-I'!A:G,6,0),IF(D855="COMPOSIÇÕES",VLOOKUP(B855,'11.COMPOSIÇÕES GERAIS'!B:I,7,0),0))),"Em Elaboração")</f>
        <v>0</v>
      </c>
      <c r="I855" s="259">
        <f>IFERROR(IF(D855="SINAPI-S",VLOOKUP(B855,'20-B.SINAPI-S'!A:J,6,0),IF(D855="SINAPI-I",VLOOKUP(B855,'20-A.SINAPI-I'!A:G,7,0),IF(D855="COMPOSIÇÕES",VLOOKUP(B855,'11.COMPOSIÇÕES GERAIS'!B:I,8,0),VLOOKUP(B855,'12.COT.MERCADO'!A:I,8,0)))),"Em Elaboração")</f>
        <v>145.4</v>
      </c>
      <c r="J855" s="259">
        <f t="shared" si="145"/>
        <v>0</v>
      </c>
      <c r="K855" s="259">
        <f t="shared" si="146"/>
        <v>170.3120487</v>
      </c>
      <c r="L855" s="259">
        <f t="shared" si="147"/>
        <v>170.3120487</v>
      </c>
      <c r="M855" s="259">
        <f t="shared" si="148"/>
        <v>0</v>
      </c>
      <c r="N855" s="259">
        <f t="shared" si="149"/>
        <v>340.6240974</v>
      </c>
      <c r="O855" s="259">
        <f t="shared" si="150"/>
        <v>340.6240974</v>
      </c>
      <c r="P855" s="260">
        <f t="shared" si="2"/>
        <v>0.0002664614565</v>
      </c>
    </row>
    <row r="856">
      <c r="A856" s="253" t="s">
        <v>1010</v>
      </c>
      <c r="B856" s="254">
        <v>11468.0</v>
      </c>
      <c r="C856" s="255" t="str">
        <f t="shared" si="144"/>
        <v>SINAPI</v>
      </c>
      <c r="D856" s="256" t="s">
        <v>286</v>
      </c>
      <c r="E856" s="257" t="str">
        <f>IFERROR(IF(D856="SINAPI-S",VLOOKUP(B856,'20-B.SINAPI-S'!A:J,2,0),IF(D856="SINAPI-I",VLOOKUP(B856,'20-A.SINAPI-I'!A:G,2,0),IF(D856="COMPOSIÇÕES",VLOOKUP(B856,'11.COMPOSIÇÕES GERAIS'!B:I,2,0),VLOOKUP(B856,'12.COT.MERCADO'!A:I,2,0)))),"Em Elaboração")</f>
        <v>FECHADURA DE SOBREPOR PARA GAVETAS E ARMARIOS, EM ACO INOX COM ACABAMENTO CROMADO, COM CILINDRO DE APROX 20 MM</v>
      </c>
      <c r="F856" s="258" t="str">
        <f>IFERROR(IF(D856="SINAPI-S",VLOOKUP(B856,'20-B.SINAPI-S'!A:J,3,0),IF(D856="SINAPI-I",VLOOKUP(B856,'20-A.SINAPI-I'!A:G,3,0),IF(D856="COMPOSIÇÕES",VLOOKUP(B856,'11.COMPOSIÇÕES GERAIS'!B:I,3,0),VLOOKUP(B856,'12.COT.MERCADO'!A:I,7,0)))),"Em Elaboração")</f>
        <v>UN</v>
      </c>
      <c r="G856" s="254">
        <v>2.0</v>
      </c>
      <c r="H856" s="259">
        <f>IFERROR(IF(D856="SINAPI-S",VLOOKUP(B856,'20-B.SINAPI-S'!A:J,5,0),IF(D856="SINAPI-I",VLOOKUP(B856,'20-A.SINAPI-I'!A:G,6,0),IF(D856="COMPOSIÇÕES",VLOOKUP(B856,'11.COMPOSIÇÕES GERAIS'!B:I,7,0),0))),"Em Elaboração")</f>
        <v>0</v>
      </c>
      <c r="I856" s="259">
        <f>IFERROR(IF(D856="SINAPI-S",VLOOKUP(B856,'20-B.SINAPI-S'!A:J,6,0),IF(D856="SINAPI-I",VLOOKUP(B856,'20-A.SINAPI-I'!A:G,7,0),IF(D856="COMPOSIÇÕES",VLOOKUP(B856,'11.COMPOSIÇÕES GERAIS'!B:I,8,0),VLOOKUP(B856,'12.COT.MERCADO'!A:I,8,0)))),"Em Elaboração")</f>
        <v>13.7</v>
      </c>
      <c r="J856" s="259">
        <f t="shared" si="145"/>
        <v>0</v>
      </c>
      <c r="K856" s="259">
        <f t="shared" si="146"/>
        <v>16.04728382</v>
      </c>
      <c r="L856" s="259">
        <f t="shared" si="147"/>
        <v>16.04728382</v>
      </c>
      <c r="M856" s="259">
        <f t="shared" si="148"/>
        <v>0</v>
      </c>
      <c r="N856" s="259">
        <f t="shared" si="149"/>
        <v>32.09456763</v>
      </c>
      <c r="O856" s="259">
        <f t="shared" si="150"/>
        <v>32.09456763</v>
      </c>
      <c r="P856" s="260">
        <f t="shared" si="2"/>
        <v>0.00002510675346</v>
      </c>
    </row>
    <row r="857">
      <c r="A857" s="253" t="s">
        <v>1011</v>
      </c>
      <c r="B857" s="254">
        <v>34546.0</v>
      </c>
      <c r="C857" s="255" t="str">
        <f t="shared" si="144"/>
        <v>SINAPI</v>
      </c>
      <c r="D857" s="256" t="s">
        <v>286</v>
      </c>
      <c r="E857" s="257" t="str">
        <f>IFERROR(IF(D857="SINAPI-S",VLOOKUP(B857,'20-B.SINAPI-S'!A:J,2,0),IF(D857="SINAPI-I",VLOOKUP(B857,'20-A.SINAPI-I'!A:G,2,0),IF(D857="COMPOSIÇÕES",VLOOKUP(B857,'11.COMPOSIÇÕES GERAIS'!B:I,2,0),VLOOKUP(B857,'12.COT.MERCADO'!A:I,2,0)))),"Em Elaboração")</f>
        <v>MASSA PREMIUM PARA TEXTURA RUSTICA DE BASE ACRILICA, COR BRANCA, USO INTERNO E EXTERNO</v>
      </c>
      <c r="F857" s="258" t="str">
        <f>IFERROR(IF(D857="SINAPI-S",VLOOKUP(B857,'20-B.SINAPI-S'!A:J,3,0),IF(D857="SINAPI-I",VLOOKUP(B857,'20-A.SINAPI-I'!A:G,3,0),IF(D857="COMPOSIÇÕES",VLOOKUP(B857,'11.COMPOSIÇÕES GERAIS'!B:I,3,0),VLOOKUP(B857,'12.COT.MERCADO'!A:I,7,0)))),"Em Elaboração")</f>
        <v>KG</v>
      </c>
      <c r="G857" s="254">
        <v>30.0</v>
      </c>
      <c r="H857" s="259">
        <f>IFERROR(IF(D857="SINAPI-S",VLOOKUP(B857,'20-B.SINAPI-S'!A:J,5,0),IF(D857="SINAPI-I",VLOOKUP(B857,'20-A.SINAPI-I'!A:G,6,0),IF(D857="COMPOSIÇÕES",VLOOKUP(B857,'11.COMPOSIÇÕES GERAIS'!B:I,7,0),0))),"Em Elaboração")</f>
        <v>0</v>
      </c>
      <c r="I857" s="259">
        <f>IFERROR(IF(D857="SINAPI-S",VLOOKUP(B857,'20-B.SINAPI-S'!A:J,6,0),IF(D857="SINAPI-I",VLOOKUP(B857,'20-A.SINAPI-I'!A:G,7,0),IF(D857="COMPOSIÇÕES",VLOOKUP(B857,'11.COMPOSIÇÕES GERAIS'!B:I,8,0),VLOOKUP(B857,'12.COT.MERCADO'!A:I,8,0)))),"Em Elaboração")</f>
        <v>6.76</v>
      </c>
      <c r="J857" s="259">
        <f t="shared" si="145"/>
        <v>0</v>
      </c>
      <c r="K857" s="259">
        <f t="shared" si="146"/>
        <v>7.918221796</v>
      </c>
      <c r="L857" s="259">
        <f t="shared" si="147"/>
        <v>7.918221796</v>
      </c>
      <c r="M857" s="259">
        <f t="shared" si="148"/>
        <v>0</v>
      </c>
      <c r="N857" s="259">
        <f t="shared" si="149"/>
        <v>237.5466539</v>
      </c>
      <c r="O857" s="259">
        <f t="shared" si="150"/>
        <v>237.5466539</v>
      </c>
      <c r="P857" s="260">
        <f t="shared" si="2"/>
        <v>0.0001858266278</v>
      </c>
    </row>
    <row r="858">
      <c r="A858" s="253" t="s">
        <v>1012</v>
      </c>
      <c r="B858" s="254">
        <v>5065.0</v>
      </c>
      <c r="C858" s="255" t="str">
        <f t="shared" si="144"/>
        <v>SINAPI</v>
      </c>
      <c r="D858" s="256" t="s">
        <v>286</v>
      </c>
      <c r="E858" s="257" t="str">
        <f>IFERROR(IF(D858="SINAPI-S",VLOOKUP(B858,'20-B.SINAPI-S'!A:J,2,0),IF(D858="SINAPI-I",VLOOKUP(B858,'20-A.SINAPI-I'!A:G,2,0),IF(D858="COMPOSIÇÕES",VLOOKUP(B858,'11.COMPOSIÇÕES GERAIS'!B:I,2,0),VLOOKUP(B858,'12.COT.MERCADO'!A:I,2,0)))),"Em Elaboração")</f>
        <v>PREGO DE ACO POLIDO COM CABECA 10 X 10 (7/8 X 17)</v>
      </c>
      <c r="F858" s="258" t="str">
        <f>IFERROR(IF(D858="SINAPI-S",VLOOKUP(B858,'20-B.SINAPI-S'!A:J,3,0),IF(D858="SINAPI-I",VLOOKUP(B858,'20-A.SINAPI-I'!A:G,3,0),IF(D858="COMPOSIÇÕES",VLOOKUP(B858,'11.COMPOSIÇÕES GERAIS'!B:I,3,0),VLOOKUP(B858,'12.COT.MERCADO'!A:I,7,0)))),"Em Elaboração")</f>
        <v>KG</v>
      </c>
      <c r="G858" s="254">
        <v>2.0</v>
      </c>
      <c r="H858" s="259">
        <f>IFERROR(IF(D858="SINAPI-S",VLOOKUP(B858,'20-B.SINAPI-S'!A:J,5,0),IF(D858="SINAPI-I",VLOOKUP(B858,'20-A.SINAPI-I'!A:G,6,0),IF(D858="COMPOSIÇÕES",VLOOKUP(B858,'11.COMPOSIÇÕES GERAIS'!B:I,7,0),0))),"Em Elaboração")</f>
        <v>0</v>
      </c>
      <c r="I858" s="259">
        <f>IFERROR(IF(D858="SINAPI-S",VLOOKUP(B858,'20-B.SINAPI-S'!A:J,6,0),IF(D858="SINAPI-I",VLOOKUP(B858,'20-A.SINAPI-I'!A:G,7,0),IF(D858="COMPOSIÇÕES",VLOOKUP(B858,'11.COMPOSIÇÕES GERAIS'!B:I,8,0),VLOOKUP(B858,'12.COT.MERCADO'!A:I,8,0)))),"Em Elaboração")</f>
        <v>30.96</v>
      </c>
      <c r="J858" s="259">
        <f t="shared" si="145"/>
        <v>0</v>
      </c>
      <c r="K858" s="259">
        <f t="shared" si="146"/>
        <v>36.26451876</v>
      </c>
      <c r="L858" s="259">
        <f t="shared" si="147"/>
        <v>36.26451876</v>
      </c>
      <c r="M858" s="259">
        <f t="shared" si="148"/>
        <v>0</v>
      </c>
      <c r="N858" s="259">
        <f t="shared" si="149"/>
        <v>72.52903751</v>
      </c>
      <c r="O858" s="259">
        <f t="shared" si="150"/>
        <v>72.52903751</v>
      </c>
      <c r="P858" s="260">
        <f t="shared" si="2"/>
        <v>0.00005673759761</v>
      </c>
    </row>
    <row r="859">
      <c r="A859" s="253" t="s">
        <v>1013</v>
      </c>
      <c r="B859" s="254">
        <v>5066.0</v>
      </c>
      <c r="C859" s="255" t="str">
        <f t="shared" si="144"/>
        <v>SINAPI</v>
      </c>
      <c r="D859" s="256" t="s">
        <v>286</v>
      </c>
      <c r="E859" s="257" t="str">
        <f>IFERROR(IF(D859="SINAPI-S",VLOOKUP(B859,'20-B.SINAPI-S'!A:J,2,0),IF(D859="SINAPI-I",VLOOKUP(B859,'20-A.SINAPI-I'!A:G,2,0),IF(D859="COMPOSIÇÕES",VLOOKUP(B859,'11.COMPOSIÇÕES GERAIS'!B:I,2,0),VLOOKUP(B859,'12.COT.MERCADO'!A:I,2,0)))),"Em Elaboração")</f>
        <v>PREGO DE ACO POLIDO COM CABECA 12 X 12</v>
      </c>
      <c r="F859" s="258" t="str">
        <f>IFERROR(IF(D859="SINAPI-S",VLOOKUP(B859,'20-B.SINAPI-S'!A:J,3,0),IF(D859="SINAPI-I",VLOOKUP(B859,'20-A.SINAPI-I'!A:G,3,0),IF(D859="COMPOSIÇÕES",VLOOKUP(B859,'11.COMPOSIÇÕES GERAIS'!B:I,3,0),VLOOKUP(B859,'12.COT.MERCADO'!A:I,7,0)))),"Em Elaboração")</f>
        <v>KG</v>
      </c>
      <c r="G859" s="254">
        <v>2.0</v>
      </c>
      <c r="H859" s="259">
        <f>IFERROR(IF(D859="SINAPI-S",VLOOKUP(B859,'20-B.SINAPI-S'!A:J,5,0),IF(D859="SINAPI-I",VLOOKUP(B859,'20-A.SINAPI-I'!A:G,6,0),IF(D859="COMPOSIÇÕES",VLOOKUP(B859,'11.COMPOSIÇÕES GERAIS'!B:I,7,0),0))),"Em Elaboração")</f>
        <v>0</v>
      </c>
      <c r="I859" s="259">
        <f>IFERROR(IF(D859="SINAPI-S",VLOOKUP(B859,'20-B.SINAPI-S'!A:J,6,0),IF(D859="SINAPI-I",VLOOKUP(B859,'20-A.SINAPI-I'!A:G,7,0),IF(D859="COMPOSIÇÕES",VLOOKUP(B859,'11.COMPOSIÇÕES GERAIS'!B:I,8,0),VLOOKUP(B859,'12.COT.MERCADO'!A:I,8,0)))),"Em Elaboração")</f>
        <v>21.44</v>
      </c>
      <c r="J859" s="259">
        <f t="shared" si="145"/>
        <v>0</v>
      </c>
      <c r="K859" s="259">
        <f t="shared" si="146"/>
        <v>25.11341351</v>
      </c>
      <c r="L859" s="259">
        <f t="shared" si="147"/>
        <v>25.11341351</v>
      </c>
      <c r="M859" s="259">
        <f t="shared" si="148"/>
        <v>0</v>
      </c>
      <c r="N859" s="259">
        <f t="shared" si="149"/>
        <v>50.22682701</v>
      </c>
      <c r="O859" s="259">
        <f t="shared" si="150"/>
        <v>50.22682701</v>
      </c>
      <c r="P859" s="260">
        <f t="shared" si="2"/>
        <v>0.00003929115287</v>
      </c>
    </row>
    <row r="860">
      <c r="A860" s="253" t="s">
        <v>1014</v>
      </c>
      <c r="B860" s="254">
        <v>5067.0</v>
      </c>
      <c r="C860" s="255" t="str">
        <f t="shared" si="144"/>
        <v>SINAPI</v>
      </c>
      <c r="D860" s="256" t="s">
        <v>286</v>
      </c>
      <c r="E860" s="257" t="str">
        <f>IFERROR(IF(D860="SINAPI-S",VLOOKUP(B860,'20-B.SINAPI-S'!A:J,2,0),IF(D860="SINAPI-I",VLOOKUP(B860,'20-A.SINAPI-I'!A:G,2,0),IF(D860="COMPOSIÇÕES",VLOOKUP(B860,'11.COMPOSIÇÕES GERAIS'!B:I,2,0),VLOOKUP(B860,'12.COT.MERCADO'!A:I,2,0)))),"Em Elaboração")</f>
        <v>PREGO DE ACO POLIDO COM CABECA 16 X 24 (2 1/4 X 12)</v>
      </c>
      <c r="F860" s="258" t="str">
        <f>IFERROR(IF(D860="SINAPI-S",VLOOKUP(B860,'20-B.SINAPI-S'!A:J,3,0),IF(D860="SINAPI-I",VLOOKUP(B860,'20-A.SINAPI-I'!A:G,3,0),IF(D860="COMPOSIÇÕES",VLOOKUP(B860,'11.COMPOSIÇÕES GERAIS'!B:I,3,0),VLOOKUP(B860,'12.COT.MERCADO'!A:I,7,0)))),"Em Elaboração")</f>
        <v>KG</v>
      </c>
      <c r="G860" s="254">
        <v>2.0</v>
      </c>
      <c r="H860" s="259">
        <f>IFERROR(IF(D860="SINAPI-S",VLOOKUP(B860,'20-B.SINAPI-S'!A:J,5,0),IF(D860="SINAPI-I",VLOOKUP(B860,'20-A.SINAPI-I'!A:G,6,0),IF(D860="COMPOSIÇÕES",VLOOKUP(B860,'11.COMPOSIÇÕES GERAIS'!B:I,7,0),0))),"Em Elaboração")</f>
        <v>0</v>
      </c>
      <c r="I860" s="259">
        <f>IFERROR(IF(D860="SINAPI-S",VLOOKUP(B860,'20-B.SINAPI-S'!A:J,6,0),IF(D860="SINAPI-I",VLOOKUP(B860,'20-A.SINAPI-I'!A:G,7,0),IF(D860="COMPOSIÇÕES",VLOOKUP(B860,'11.COMPOSIÇÕES GERAIS'!B:I,8,0),VLOOKUP(B860,'12.COT.MERCADO'!A:I,8,0)))),"Em Elaboração")</f>
        <v>17.34</v>
      </c>
      <c r="J860" s="259">
        <f t="shared" si="145"/>
        <v>0</v>
      </c>
      <c r="K860" s="259">
        <f t="shared" si="146"/>
        <v>20.31094171</v>
      </c>
      <c r="L860" s="259">
        <f t="shared" si="147"/>
        <v>20.31094171</v>
      </c>
      <c r="M860" s="259">
        <f t="shared" si="148"/>
        <v>0</v>
      </c>
      <c r="N860" s="259">
        <f t="shared" si="149"/>
        <v>40.62188341</v>
      </c>
      <c r="O860" s="259">
        <f t="shared" si="150"/>
        <v>40.62188341</v>
      </c>
      <c r="P860" s="260">
        <f t="shared" si="2"/>
        <v>0.00003177745292</v>
      </c>
    </row>
    <row r="861">
      <c r="A861" s="253" t="s">
        <v>1015</v>
      </c>
      <c r="B861" s="254">
        <v>34357.0</v>
      </c>
      <c r="C861" s="255" t="str">
        <f t="shared" si="144"/>
        <v>SINAPI</v>
      </c>
      <c r="D861" s="256" t="s">
        <v>286</v>
      </c>
      <c r="E861" s="257" t="str">
        <f>IFERROR(IF(D861="SINAPI-S",VLOOKUP(B861,'20-B.SINAPI-S'!A:J,2,0),IF(D861="SINAPI-I",VLOOKUP(B861,'20-A.SINAPI-I'!A:G,2,0),IF(D861="COMPOSIÇÕES",VLOOKUP(B861,'11.COMPOSIÇÕES GERAIS'!B:I,2,0),VLOOKUP(B861,'12.COT.MERCADO'!A:I,2,0)))),"Em Elaboração")</f>
        <v>REJUNTE CIMENTICIO, QUALQUER COR</v>
      </c>
      <c r="F861" s="258" t="str">
        <f>IFERROR(IF(D861="SINAPI-S",VLOOKUP(B861,'20-B.SINAPI-S'!A:J,3,0),IF(D861="SINAPI-I",VLOOKUP(B861,'20-A.SINAPI-I'!A:G,3,0),IF(D861="COMPOSIÇÕES",VLOOKUP(B861,'11.COMPOSIÇÕES GERAIS'!B:I,3,0),VLOOKUP(B861,'12.COT.MERCADO'!A:I,7,0)))),"Em Elaboração")</f>
        <v>KG</v>
      </c>
      <c r="G861" s="254">
        <v>3.0</v>
      </c>
      <c r="H861" s="259">
        <f>IFERROR(IF(D861="SINAPI-S",VLOOKUP(B861,'20-B.SINAPI-S'!A:J,5,0),IF(D861="SINAPI-I",VLOOKUP(B861,'20-A.SINAPI-I'!A:G,6,0),IF(D861="COMPOSIÇÕES",VLOOKUP(B861,'11.COMPOSIÇÕES GERAIS'!B:I,7,0),0))),"Em Elaboração")</f>
        <v>0</v>
      </c>
      <c r="I861" s="259">
        <f>IFERROR(IF(D861="SINAPI-S",VLOOKUP(B861,'20-B.SINAPI-S'!A:J,6,0),IF(D861="SINAPI-I",VLOOKUP(B861,'20-A.SINAPI-I'!A:G,7,0),IF(D861="COMPOSIÇÕES",VLOOKUP(B861,'11.COMPOSIÇÕES GERAIS'!B:I,8,0),VLOOKUP(B861,'12.COT.MERCADO'!A:I,8,0)))),"Em Elaboração")</f>
        <v>4.28</v>
      </c>
      <c r="J861" s="259">
        <f t="shared" si="145"/>
        <v>0</v>
      </c>
      <c r="K861" s="259">
        <f t="shared" si="146"/>
        <v>5.013312024</v>
      </c>
      <c r="L861" s="259">
        <f t="shared" si="147"/>
        <v>5.013312024</v>
      </c>
      <c r="M861" s="259">
        <f t="shared" si="148"/>
        <v>0</v>
      </c>
      <c r="N861" s="259">
        <f t="shared" si="149"/>
        <v>15.03993607</v>
      </c>
      <c r="O861" s="259">
        <f t="shared" si="150"/>
        <v>15.03993607</v>
      </c>
      <c r="P861" s="260">
        <f t="shared" si="2"/>
        <v>0.00001176535454</v>
      </c>
    </row>
    <row r="862">
      <c r="A862" s="253" t="s">
        <v>1016</v>
      </c>
      <c r="B862" s="254">
        <v>38393.0</v>
      </c>
      <c r="C862" s="255" t="str">
        <f t="shared" si="144"/>
        <v>SINAPI</v>
      </c>
      <c r="D862" s="256" t="s">
        <v>286</v>
      </c>
      <c r="E862" s="257" t="str">
        <f>IFERROR(IF(D862="SINAPI-S",VLOOKUP(B862,'20-B.SINAPI-S'!A:J,2,0),IF(D862="SINAPI-I",VLOOKUP(B862,'20-A.SINAPI-I'!A:G,2,0),IF(D862="COMPOSIÇÕES",VLOOKUP(B862,'11.COMPOSIÇÕES GERAIS'!B:I,2,0),VLOOKUP(B862,'12.COT.MERCADO'!A:I,2,0)))),"Em Elaboração")</f>
        <v>ROLO DE ESPUMA POLIESTER 23 CM (SEM CABO)</v>
      </c>
      <c r="F862" s="258" t="str">
        <f>IFERROR(IF(D862="SINAPI-S",VLOOKUP(B862,'20-B.SINAPI-S'!A:J,3,0),IF(D862="SINAPI-I",VLOOKUP(B862,'20-A.SINAPI-I'!A:G,3,0),IF(D862="COMPOSIÇÕES",VLOOKUP(B862,'11.COMPOSIÇÕES GERAIS'!B:I,3,0),VLOOKUP(B862,'12.COT.MERCADO'!A:I,7,0)))),"Em Elaboração")</f>
        <v>UN</v>
      </c>
      <c r="G862" s="254">
        <v>8.0</v>
      </c>
      <c r="H862" s="259">
        <f>IFERROR(IF(D862="SINAPI-S",VLOOKUP(B862,'20-B.SINAPI-S'!A:J,5,0),IF(D862="SINAPI-I",VLOOKUP(B862,'20-A.SINAPI-I'!A:G,6,0),IF(D862="COMPOSIÇÕES",VLOOKUP(B862,'11.COMPOSIÇÕES GERAIS'!B:I,7,0),0))),"Em Elaboração")</f>
        <v>0</v>
      </c>
      <c r="I862" s="259">
        <f>IFERROR(IF(D862="SINAPI-S",VLOOKUP(B862,'20-B.SINAPI-S'!A:J,6,0),IF(D862="SINAPI-I",VLOOKUP(B862,'20-A.SINAPI-I'!A:G,7,0),IF(D862="COMPOSIÇÕES",VLOOKUP(B862,'11.COMPOSIÇÕES GERAIS'!B:I,8,0),VLOOKUP(B862,'12.COT.MERCADO'!A:I,8,0)))),"Em Elaboração")</f>
        <v>15.45</v>
      </c>
      <c r="J862" s="259">
        <f t="shared" si="145"/>
        <v>0</v>
      </c>
      <c r="K862" s="259">
        <f t="shared" si="146"/>
        <v>18.09711934</v>
      </c>
      <c r="L862" s="259">
        <f t="shared" si="147"/>
        <v>18.09711934</v>
      </c>
      <c r="M862" s="259">
        <f t="shared" si="148"/>
        <v>0</v>
      </c>
      <c r="N862" s="259">
        <f t="shared" si="149"/>
        <v>144.7769547</v>
      </c>
      <c r="O862" s="259">
        <f t="shared" si="150"/>
        <v>144.7769547</v>
      </c>
      <c r="P862" s="260">
        <f t="shared" si="2"/>
        <v>0.000113255282</v>
      </c>
    </row>
    <row r="863">
      <c r="A863" s="253" t="s">
        <v>1017</v>
      </c>
      <c r="B863" s="254">
        <v>6085.0</v>
      </c>
      <c r="C863" s="255" t="str">
        <f t="shared" si="144"/>
        <v>SINAPI</v>
      </c>
      <c r="D863" s="256" t="s">
        <v>286</v>
      </c>
      <c r="E863" s="257" t="str">
        <f>IFERROR(IF(D863="SINAPI-S",VLOOKUP(B863,'20-B.SINAPI-S'!A:J,2,0),IF(D863="SINAPI-I",VLOOKUP(B863,'20-A.SINAPI-I'!A:G,2,0),IF(D863="COMPOSIÇÕES",VLOOKUP(B863,'11.COMPOSIÇÕES GERAIS'!B:I,2,0),VLOOKUP(B863,'12.COT.MERCADO'!A:I,2,0)))),"Em Elaboração")</f>
        <v>SELADOR ACRILICO OPACO PREMIUM INTERIOR/EXTERIOR</v>
      </c>
      <c r="F863" s="258" t="str">
        <f>IFERROR(IF(D863="SINAPI-S",VLOOKUP(B863,'20-B.SINAPI-S'!A:J,3,0),IF(D863="SINAPI-I",VLOOKUP(B863,'20-A.SINAPI-I'!A:G,3,0),IF(D863="COMPOSIÇÕES",VLOOKUP(B863,'11.COMPOSIÇÕES GERAIS'!B:I,3,0),VLOOKUP(B863,'12.COT.MERCADO'!A:I,7,0)))),"Em Elaboração")</f>
        <v>L</v>
      </c>
      <c r="G863" s="254">
        <v>15.0</v>
      </c>
      <c r="H863" s="259">
        <f>IFERROR(IF(D863="SINAPI-S",VLOOKUP(B863,'20-B.SINAPI-S'!A:J,5,0),IF(D863="SINAPI-I",VLOOKUP(B863,'20-A.SINAPI-I'!A:G,6,0),IF(D863="COMPOSIÇÕES",VLOOKUP(B863,'11.COMPOSIÇÕES GERAIS'!B:I,7,0),0))),"Em Elaboração")</f>
        <v>0</v>
      </c>
      <c r="I863" s="259">
        <f>IFERROR(IF(D863="SINAPI-S",VLOOKUP(B863,'20-B.SINAPI-S'!A:J,6,0),IF(D863="SINAPI-I",VLOOKUP(B863,'20-A.SINAPI-I'!A:G,7,0),IF(D863="COMPOSIÇÕES",VLOOKUP(B863,'11.COMPOSIÇÕES GERAIS'!B:I,8,0),VLOOKUP(B863,'12.COT.MERCADO'!A:I,8,0)))),"Em Elaboração")</f>
        <v>10.14</v>
      </c>
      <c r="J863" s="259">
        <f t="shared" si="145"/>
        <v>0</v>
      </c>
      <c r="K863" s="259">
        <f t="shared" si="146"/>
        <v>11.87733269</v>
      </c>
      <c r="L863" s="259">
        <f t="shared" si="147"/>
        <v>11.87733269</v>
      </c>
      <c r="M863" s="259">
        <f t="shared" si="148"/>
        <v>0</v>
      </c>
      <c r="N863" s="259">
        <f t="shared" si="149"/>
        <v>178.1599904</v>
      </c>
      <c r="O863" s="259">
        <f t="shared" si="150"/>
        <v>178.1599904</v>
      </c>
      <c r="P863" s="260">
        <f t="shared" si="2"/>
        <v>0.0001393699709</v>
      </c>
    </row>
    <row r="864">
      <c r="A864" s="253" t="s">
        <v>1018</v>
      </c>
      <c r="B864" s="254">
        <v>39961.0</v>
      </c>
      <c r="C864" s="255" t="str">
        <f t="shared" si="144"/>
        <v>SINAPI</v>
      </c>
      <c r="D864" s="256" t="s">
        <v>286</v>
      </c>
      <c r="E864" s="257" t="str">
        <f>IFERROR(IF(D864="SINAPI-S",VLOOKUP(B864,'20-B.SINAPI-S'!A:J,2,0),IF(D864="SINAPI-I",VLOOKUP(B864,'20-A.SINAPI-I'!A:G,2,0),IF(D864="COMPOSIÇÕES",VLOOKUP(B864,'11.COMPOSIÇÕES GERAIS'!B:I,2,0),VLOOKUP(B864,'12.COT.MERCADO'!A:I,2,0)))),"Em Elaboração")</f>
        <v>SILICONE ACETICO USO GERAL INCOLOR 280 G</v>
      </c>
      <c r="F864" s="258" t="str">
        <f>IFERROR(IF(D864="SINAPI-S",VLOOKUP(B864,'20-B.SINAPI-S'!A:J,3,0),IF(D864="SINAPI-I",VLOOKUP(B864,'20-A.SINAPI-I'!A:G,3,0),IF(D864="COMPOSIÇÕES",VLOOKUP(B864,'11.COMPOSIÇÕES GERAIS'!B:I,3,0),VLOOKUP(B864,'12.COT.MERCADO'!A:I,7,0)))),"Em Elaboração")</f>
        <v>UN</v>
      </c>
      <c r="G864" s="254">
        <v>30.0</v>
      </c>
      <c r="H864" s="259">
        <f>IFERROR(IF(D864="SINAPI-S",VLOOKUP(B864,'20-B.SINAPI-S'!A:J,5,0),IF(D864="SINAPI-I",VLOOKUP(B864,'20-A.SINAPI-I'!A:G,6,0),IF(D864="COMPOSIÇÕES",VLOOKUP(B864,'11.COMPOSIÇÕES GERAIS'!B:I,7,0),0))),"Em Elaboração")</f>
        <v>0</v>
      </c>
      <c r="I864" s="259">
        <f>IFERROR(IF(D864="SINAPI-S",VLOOKUP(B864,'20-B.SINAPI-S'!A:J,6,0),IF(D864="SINAPI-I",VLOOKUP(B864,'20-A.SINAPI-I'!A:G,7,0),IF(D864="COMPOSIÇÕES",VLOOKUP(B864,'11.COMPOSIÇÕES GERAIS'!B:I,8,0),VLOOKUP(B864,'12.COT.MERCADO'!A:I,8,0)))),"Em Elaboração")</f>
        <v>22.15</v>
      </c>
      <c r="J864" s="259">
        <f t="shared" si="145"/>
        <v>0</v>
      </c>
      <c r="K864" s="259">
        <f t="shared" si="146"/>
        <v>25.94506106</v>
      </c>
      <c r="L864" s="259">
        <f t="shared" si="147"/>
        <v>25.94506106</v>
      </c>
      <c r="M864" s="259">
        <f t="shared" si="148"/>
        <v>0</v>
      </c>
      <c r="N864" s="259">
        <f t="shared" si="149"/>
        <v>778.3518318</v>
      </c>
      <c r="O864" s="259">
        <f t="shared" si="150"/>
        <v>778.3518318</v>
      </c>
      <c r="P864" s="260">
        <f t="shared" si="2"/>
        <v>0.0006088845867</v>
      </c>
    </row>
    <row r="865">
      <c r="A865" s="253" t="s">
        <v>1019</v>
      </c>
      <c r="B865" s="254">
        <v>34401.0</v>
      </c>
      <c r="C865" s="255" t="str">
        <f t="shared" si="144"/>
        <v>SINAPI</v>
      </c>
      <c r="D865" s="256" t="s">
        <v>286</v>
      </c>
      <c r="E865" s="257" t="str">
        <f>IFERROR(IF(D865="SINAPI-S",VLOOKUP(B865,'20-B.SINAPI-S'!A:J,2,0),IF(D865="SINAPI-I",VLOOKUP(B865,'20-A.SINAPI-I'!A:G,2,0),IF(D865="COMPOSIÇÕES",VLOOKUP(B865,'11.COMPOSIÇÕES GERAIS'!B:I,2,0),VLOOKUP(B865,'12.COT.MERCADO'!A:I,2,0)))),"Em Elaboração")</f>
        <v>TIJOLO CERAMICO LAMINADO 5,5 X 11 X 23 CM (L X A X C)</v>
      </c>
      <c r="F865" s="258" t="str">
        <f>IFERROR(IF(D865="SINAPI-S",VLOOKUP(B865,'20-B.SINAPI-S'!A:J,3,0),IF(D865="SINAPI-I",VLOOKUP(B865,'20-A.SINAPI-I'!A:G,3,0),IF(D865="COMPOSIÇÕES",VLOOKUP(B865,'11.COMPOSIÇÕES GERAIS'!B:I,3,0),VLOOKUP(B865,'12.COT.MERCADO'!A:I,7,0)))),"Em Elaboração")</f>
        <v>UN</v>
      </c>
      <c r="G865" s="254">
        <v>150.0</v>
      </c>
      <c r="H865" s="259">
        <f>IFERROR(IF(D865="SINAPI-S",VLOOKUP(B865,'20-B.SINAPI-S'!A:J,5,0),IF(D865="SINAPI-I",VLOOKUP(B865,'20-A.SINAPI-I'!A:G,6,0),IF(D865="COMPOSIÇÕES",VLOOKUP(B865,'11.COMPOSIÇÕES GERAIS'!B:I,7,0),0))),"Em Elaboração")</f>
        <v>0</v>
      </c>
      <c r="I865" s="259">
        <f>IFERROR(IF(D865="SINAPI-S",VLOOKUP(B865,'20-B.SINAPI-S'!A:J,6,0),IF(D865="SINAPI-I",VLOOKUP(B865,'20-A.SINAPI-I'!A:G,7,0),IF(D865="COMPOSIÇÕES",VLOOKUP(B865,'11.COMPOSIÇÕES GERAIS'!B:I,8,0),VLOOKUP(B865,'12.COT.MERCADO'!A:I,8,0)))),"Em Elaboração")</f>
        <v>1.91</v>
      </c>
      <c r="J865" s="259">
        <f t="shared" si="145"/>
        <v>0</v>
      </c>
      <c r="K865" s="259">
        <f t="shared" si="146"/>
        <v>2.237249058</v>
      </c>
      <c r="L865" s="259">
        <f t="shared" si="147"/>
        <v>2.237249058</v>
      </c>
      <c r="M865" s="259">
        <f t="shared" si="148"/>
        <v>0</v>
      </c>
      <c r="N865" s="259">
        <f t="shared" si="149"/>
        <v>335.5873586</v>
      </c>
      <c r="O865" s="259">
        <f t="shared" si="150"/>
        <v>335.5873586</v>
      </c>
      <c r="P865" s="260">
        <f t="shared" si="2"/>
        <v>0.0002625213455</v>
      </c>
    </row>
    <row r="866">
      <c r="A866" s="253" t="s">
        <v>1020</v>
      </c>
      <c r="B866" s="254">
        <v>7258.0</v>
      </c>
      <c r="C866" s="255" t="str">
        <f t="shared" si="144"/>
        <v>SINAPI</v>
      </c>
      <c r="D866" s="256" t="s">
        <v>286</v>
      </c>
      <c r="E866" s="257" t="str">
        <f>IFERROR(IF(D866="SINAPI-S",VLOOKUP(B866,'20-B.SINAPI-S'!A:J,2,0),IF(D866="SINAPI-I",VLOOKUP(B866,'20-A.SINAPI-I'!A:G,2,0),IF(D866="COMPOSIÇÕES",VLOOKUP(B866,'11.COMPOSIÇÕES GERAIS'!B:I,2,0),VLOOKUP(B866,'12.COT.MERCADO'!A:I,2,0)))),"Em Elaboração")</f>
        <v>TIJOLO CERAMICO MACICO COMUM *5 X 10 X 20* CM (L X A X C)</v>
      </c>
      <c r="F866" s="258" t="str">
        <f>IFERROR(IF(D866="SINAPI-S",VLOOKUP(B866,'20-B.SINAPI-S'!A:J,3,0),IF(D866="SINAPI-I",VLOOKUP(B866,'20-A.SINAPI-I'!A:G,3,0),IF(D866="COMPOSIÇÕES",VLOOKUP(B866,'11.COMPOSIÇÕES GERAIS'!B:I,3,0),VLOOKUP(B866,'12.COT.MERCADO'!A:I,7,0)))),"Em Elaboração")</f>
        <v>UN</v>
      </c>
      <c r="G866" s="254">
        <v>60.0</v>
      </c>
      <c r="H866" s="259">
        <f>IFERROR(IF(D866="SINAPI-S",VLOOKUP(B866,'20-B.SINAPI-S'!A:J,5,0),IF(D866="SINAPI-I",VLOOKUP(B866,'20-A.SINAPI-I'!A:G,6,0),IF(D866="COMPOSIÇÕES",VLOOKUP(B866,'11.COMPOSIÇÕES GERAIS'!B:I,7,0),0))),"Em Elaboração")</f>
        <v>0</v>
      </c>
      <c r="I866" s="259">
        <f>IFERROR(IF(D866="SINAPI-S",VLOOKUP(B866,'20-B.SINAPI-S'!A:J,6,0),IF(D866="SINAPI-I",VLOOKUP(B866,'20-A.SINAPI-I'!A:G,7,0),IF(D866="COMPOSIÇÕES",VLOOKUP(B866,'11.COMPOSIÇÕES GERAIS'!B:I,8,0),VLOOKUP(B866,'12.COT.MERCADO'!A:I,8,0)))),"Em Elaboração")</f>
        <v>0.68</v>
      </c>
      <c r="J866" s="259">
        <f t="shared" si="145"/>
        <v>0</v>
      </c>
      <c r="K866" s="259">
        <f t="shared" si="146"/>
        <v>0.7965075179</v>
      </c>
      <c r="L866" s="259">
        <f t="shared" si="147"/>
        <v>0.7965075179</v>
      </c>
      <c r="M866" s="259">
        <f t="shared" si="148"/>
        <v>0</v>
      </c>
      <c r="N866" s="259">
        <f t="shared" si="149"/>
        <v>47.79045107</v>
      </c>
      <c r="O866" s="259">
        <f t="shared" si="150"/>
        <v>47.79045107</v>
      </c>
      <c r="P866" s="260">
        <f t="shared" si="2"/>
        <v>0.00003738523873</v>
      </c>
    </row>
    <row r="867">
      <c r="A867" s="253" t="s">
        <v>1021</v>
      </c>
      <c r="B867" s="254">
        <v>7356.0</v>
      </c>
      <c r="C867" s="255" t="str">
        <f t="shared" si="144"/>
        <v>SINAPI</v>
      </c>
      <c r="D867" s="256" t="s">
        <v>286</v>
      </c>
      <c r="E867" s="257" t="str">
        <f>IFERROR(IF(D867="SINAPI-S",VLOOKUP(B867,'20-B.SINAPI-S'!A:J,2,0),IF(D867="SINAPI-I",VLOOKUP(B867,'20-A.SINAPI-I'!A:G,2,0),IF(D867="COMPOSIÇÕES",VLOOKUP(B867,'11.COMPOSIÇÕES GERAIS'!B:I,2,0),VLOOKUP(B867,'12.COT.MERCADO'!A:I,2,0)))),"Em Elaboração")</f>
        <v>TINTA LATEX ACRILICA PREMIUM, COR BRANCO FOSCO</v>
      </c>
      <c r="F867" s="258" t="str">
        <f>IFERROR(IF(D867="SINAPI-S",VLOOKUP(B867,'20-B.SINAPI-S'!A:J,3,0),IF(D867="SINAPI-I",VLOOKUP(B867,'20-A.SINAPI-I'!A:G,3,0),IF(D867="COMPOSIÇÕES",VLOOKUP(B867,'11.COMPOSIÇÕES GERAIS'!B:I,3,0),VLOOKUP(B867,'12.COT.MERCADO'!A:I,7,0)))),"Em Elaboração")</f>
        <v>L</v>
      </c>
      <c r="G867" s="254">
        <v>30.0</v>
      </c>
      <c r="H867" s="259">
        <f>IFERROR(IF(D867="SINAPI-S",VLOOKUP(B867,'20-B.SINAPI-S'!A:J,5,0),IF(D867="SINAPI-I",VLOOKUP(B867,'20-A.SINAPI-I'!A:G,6,0),IF(D867="COMPOSIÇÕES",VLOOKUP(B867,'11.COMPOSIÇÕES GERAIS'!B:I,7,0),0))),"Em Elaboração")</f>
        <v>0</v>
      </c>
      <c r="I867" s="259">
        <f>IFERROR(IF(D867="SINAPI-S",VLOOKUP(B867,'20-B.SINAPI-S'!A:J,6,0),IF(D867="SINAPI-I",VLOOKUP(B867,'20-A.SINAPI-I'!A:G,7,0),IF(D867="COMPOSIÇÕES",VLOOKUP(B867,'11.COMPOSIÇÕES GERAIS'!B:I,8,0),VLOOKUP(B867,'12.COT.MERCADO'!A:I,8,0)))),"Em Elaboração")</f>
        <v>27.55</v>
      </c>
      <c r="J867" s="259">
        <f t="shared" si="145"/>
        <v>0</v>
      </c>
      <c r="K867" s="259">
        <f t="shared" si="146"/>
        <v>32.27026782</v>
      </c>
      <c r="L867" s="259">
        <f t="shared" si="147"/>
        <v>32.27026782</v>
      </c>
      <c r="M867" s="259">
        <f t="shared" si="148"/>
        <v>0</v>
      </c>
      <c r="N867" s="259">
        <f t="shared" si="149"/>
        <v>968.1080346</v>
      </c>
      <c r="O867" s="259">
        <f t="shared" si="150"/>
        <v>968.1080346</v>
      </c>
      <c r="P867" s="260">
        <f t="shared" si="2"/>
        <v>0.0007573259758</v>
      </c>
    </row>
    <row r="868">
      <c r="A868" s="253" t="s">
        <v>1022</v>
      </c>
      <c r="B868" s="254">
        <v>7348.0</v>
      </c>
      <c r="C868" s="255" t="str">
        <f t="shared" si="144"/>
        <v>SINAPI</v>
      </c>
      <c r="D868" s="256" t="s">
        <v>286</v>
      </c>
      <c r="E868" s="257" t="str">
        <f>IFERROR(IF(D868="SINAPI-S",VLOOKUP(B868,'20-B.SINAPI-S'!A:J,2,0),IF(D868="SINAPI-I",VLOOKUP(B868,'20-A.SINAPI-I'!A:G,2,0),IF(D868="COMPOSIÇÕES",VLOOKUP(B868,'11.COMPOSIÇÕES GERAIS'!B:I,2,0),VLOOKUP(B868,'12.COT.MERCADO'!A:I,2,0)))),"Em Elaboração")</f>
        <v>TINTA ACRILICA PREMIUM PARA PISO</v>
      </c>
      <c r="F868" s="258" t="str">
        <f>IFERROR(IF(D868="SINAPI-S",VLOOKUP(B868,'20-B.SINAPI-S'!A:J,3,0),IF(D868="SINAPI-I",VLOOKUP(B868,'20-A.SINAPI-I'!A:G,3,0),IF(D868="COMPOSIÇÕES",VLOOKUP(B868,'11.COMPOSIÇÕES GERAIS'!B:I,3,0),VLOOKUP(B868,'12.COT.MERCADO'!A:I,7,0)))),"Em Elaboração")</f>
        <v>L</v>
      </c>
      <c r="G868" s="254">
        <v>18.0</v>
      </c>
      <c r="H868" s="259">
        <f>IFERROR(IF(D868="SINAPI-S",VLOOKUP(B868,'20-B.SINAPI-S'!A:J,5,0),IF(D868="SINAPI-I",VLOOKUP(B868,'20-A.SINAPI-I'!A:G,6,0),IF(D868="COMPOSIÇÕES",VLOOKUP(B868,'11.COMPOSIÇÕES GERAIS'!B:I,7,0),0))),"Em Elaboração")</f>
        <v>0</v>
      </c>
      <c r="I868" s="259">
        <f>IFERROR(IF(D868="SINAPI-S",VLOOKUP(B868,'20-B.SINAPI-S'!A:J,6,0),IF(D868="SINAPI-I",VLOOKUP(B868,'20-A.SINAPI-I'!A:G,7,0),IF(D868="COMPOSIÇÕES",VLOOKUP(B868,'11.COMPOSIÇÕES GERAIS'!B:I,8,0),VLOOKUP(B868,'12.COT.MERCADO'!A:I,8,0)))),"Em Elaboração")</f>
        <v>18.48</v>
      </c>
      <c r="J868" s="259">
        <f t="shared" si="145"/>
        <v>0</v>
      </c>
      <c r="K868" s="259">
        <f t="shared" si="146"/>
        <v>21.64626313</v>
      </c>
      <c r="L868" s="259">
        <f t="shared" si="147"/>
        <v>21.64626313</v>
      </c>
      <c r="M868" s="259">
        <f t="shared" si="148"/>
        <v>0</v>
      </c>
      <c r="N868" s="259">
        <f t="shared" si="149"/>
        <v>389.6327364</v>
      </c>
      <c r="O868" s="259">
        <f t="shared" si="150"/>
        <v>389.6327364</v>
      </c>
      <c r="P868" s="260">
        <f t="shared" si="2"/>
        <v>0.0003047996523</v>
      </c>
    </row>
    <row r="869">
      <c r="A869" s="253" t="s">
        <v>1023</v>
      </c>
      <c r="B869" s="254">
        <v>7288.0</v>
      </c>
      <c r="C869" s="255" t="str">
        <f t="shared" si="144"/>
        <v>SINAPI</v>
      </c>
      <c r="D869" s="256" t="s">
        <v>286</v>
      </c>
      <c r="E869" s="257" t="str">
        <f>IFERROR(IF(D869="SINAPI-S",VLOOKUP(B869,'20-B.SINAPI-S'!A:J,2,0),IF(D869="SINAPI-I",VLOOKUP(B869,'20-A.SINAPI-I'!A:G,2,0),IF(D869="COMPOSIÇÕES",VLOOKUP(B869,'11.COMPOSIÇÕES GERAIS'!B:I,2,0),VLOOKUP(B869,'12.COT.MERCADO'!A:I,2,0)))),"Em Elaboração")</f>
        <v>TINTA ESMALTE SINTETICO PREMIUM FOSCO</v>
      </c>
      <c r="F869" s="258" t="str">
        <f>IFERROR(IF(D869="SINAPI-S",VLOOKUP(B869,'20-B.SINAPI-S'!A:J,3,0),IF(D869="SINAPI-I",VLOOKUP(B869,'20-A.SINAPI-I'!A:G,3,0),IF(D869="COMPOSIÇÕES",VLOOKUP(B869,'11.COMPOSIÇÕES GERAIS'!B:I,3,0),VLOOKUP(B869,'12.COT.MERCADO'!A:I,7,0)))),"Em Elaboração")</f>
        <v>L</v>
      </c>
      <c r="G869" s="254">
        <v>18.0</v>
      </c>
      <c r="H869" s="259">
        <f>IFERROR(IF(D869="SINAPI-S",VLOOKUP(B869,'20-B.SINAPI-S'!A:J,5,0),IF(D869="SINAPI-I",VLOOKUP(B869,'20-A.SINAPI-I'!A:G,6,0),IF(D869="COMPOSIÇÕES",VLOOKUP(B869,'11.COMPOSIÇÕES GERAIS'!B:I,7,0),0))),"Em Elaboração")</f>
        <v>0</v>
      </c>
      <c r="I869" s="259">
        <f>IFERROR(IF(D869="SINAPI-S",VLOOKUP(B869,'20-B.SINAPI-S'!A:J,6,0),IF(D869="SINAPI-I",VLOOKUP(B869,'20-A.SINAPI-I'!A:G,7,0),IF(D869="COMPOSIÇÕES",VLOOKUP(B869,'11.COMPOSIÇÕES GERAIS'!B:I,8,0),VLOOKUP(B869,'12.COT.MERCADO'!A:I,8,0)))),"Em Elaboração")</f>
        <v>38.27</v>
      </c>
      <c r="J869" s="259">
        <f t="shared" si="145"/>
        <v>0</v>
      </c>
      <c r="K869" s="259">
        <f t="shared" si="146"/>
        <v>44.82697457</v>
      </c>
      <c r="L869" s="259">
        <f t="shared" si="147"/>
        <v>44.82697457</v>
      </c>
      <c r="M869" s="259">
        <f t="shared" si="148"/>
        <v>0</v>
      </c>
      <c r="N869" s="259">
        <f t="shared" si="149"/>
        <v>806.8855423</v>
      </c>
      <c r="O869" s="259">
        <f t="shared" si="150"/>
        <v>806.8855423</v>
      </c>
      <c r="P869" s="260">
        <f t="shared" si="2"/>
        <v>0.0006312057734</v>
      </c>
    </row>
    <row r="870">
      <c r="A870" s="253" t="s">
        <v>1024</v>
      </c>
      <c r="B870" s="254">
        <v>7306.0</v>
      </c>
      <c r="C870" s="255" t="str">
        <f t="shared" si="144"/>
        <v>SINAPI</v>
      </c>
      <c r="D870" s="256" t="s">
        <v>286</v>
      </c>
      <c r="E870" s="257" t="str">
        <f>IFERROR(IF(D870="SINAPI-S",VLOOKUP(B870,'20-B.SINAPI-S'!A:J,2,0),IF(D870="SINAPI-I",VLOOKUP(B870,'20-A.SINAPI-I'!A:G,2,0),IF(D870="COMPOSIÇÕES",VLOOKUP(B870,'11.COMPOSIÇÕES GERAIS'!B:I,2,0),VLOOKUP(B870,'12.COT.MERCADO'!A:I,2,0)))),"Em Elaboração")</f>
        <v>TINTA ESMALTE SINTETICO PREMIUM DE EFEITO PROTETOR DE SUPERFICIE METALICA ALUMINIO</v>
      </c>
      <c r="F870" s="258" t="str">
        <f>IFERROR(IF(D870="SINAPI-S",VLOOKUP(B870,'20-B.SINAPI-S'!A:J,3,0),IF(D870="SINAPI-I",VLOOKUP(B870,'20-A.SINAPI-I'!A:G,3,0),IF(D870="COMPOSIÇÕES",VLOOKUP(B870,'11.COMPOSIÇÕES GERAIS'!B:I,3,0),VLOOKUP(B870,'12.COT.MERCADO'!A:I,7,0)))),"Em Elaboração")</f>
        <v>L</v>
      </c>
      <c r="G870" s="254">
        <v>18.0</v>
      </c>
      <c r="H870" s="259">
        <f>IFERROR(IF(D870="SINAPI-S",VLOOKUP(B870,'20-B.SINAPI-S'!A:J,5,0),IF(D870="SINAPI-I",VLOOKUP(B870,'20-A.SINAPI-I'!A:G,6,0),IF(D870="COMPOSIÇÕES",VLOOKUP(B870,'11.COMPOSIÇÕES GERAIS'!B:I,7,0),0))),"Em Elaboração")</f>
        <v>0</v>
      </c>
      <c r="I870" s="259">
        <f>IFERROR(IF(D870="SINAPI-S",VLOOKUP(B870,'20-B.SINAPI-S'!A:J,6,0),IF(D870="SINAPI-I",VLOOKUP(B870,'20-A.SINAPI-I'!A:G,7,0),IF(D870="COMPOSIÇÕES",VLOOKUP(B870,'11.COMPOSIÇÕES GERAIS'!B:I,8,0),VLOOKUP(B870,'12.COT.MERCADO'!A:I,8,0)))),"Em Elaboração")</f>
        <v>46.09</v>
      </c>
      <c r="J870" s="259">
        <f t="shared" si="145"/>
        <v>0</v>
      </c>
      <c r="K870" s="259">
        <f t="shared" si="146"/>
        <v>53.98681103</v>
      </c>
      <c r="L870" s="259">
        <f t="shared" si="147"/>
        <v>53.98681103</v>
      </c>
      <c r="M870" s="259">
        <f t="shared" si="148"/>
        <v>0</v>
      </c>
      <c r="N870" s="259">
        <f t="shared" si="149"/>
        <v>971.7625985</v>
      </c>
      <c r="O870" s="259">
        <f t="shared" si="150"/>
        <v>971.7625985</v>
      </c>
      <c r="P870" s="260">
        <f t="shared" si="2"/>
        <v>0.000760184847</v>
      </c>
    </row>
    <row r="871">
      <c r="A871" s="253" t="s">
        <v>1025</v>
      </c>
      <c r="B871" s="254">
        <v>7311.0</v>
      </c>
      <c r="C871" s="255" t="str">
        <f t="shared" si="144"/>
        <v>SINAPI</v>
      </c>
      <c r="D871" s="256" t="s">
        <v>286</v>
      </c>
      <c r="E871" s="257" t="str">
        <f>IFERROR(IF(D871="SINAPI-S",VLOOKUP(B871,'20-B.SINAPI-S'!A:J,2,0),IF(D871="SINAPI-I",VLOOKUP(B871,'20-A.SINAPI-I'!A:G,2,0),IF(D871="COMPOSIÇÕES",VLOOKUP(B871,'11.COMPOSIÇÕES GERAIS'!B:I,2,0),VLOOKUP(B871,'12.COT.MERCADO'!A:I,2,0)))),"Em Elaboração")</f>
        <v>TINTA ESMALTE SINTETICO PREMIUM ACETINADO</v>
      </c>
      <c r="F871" s="258" t="str">
        <f>IFERROR(IF(D871="SINAPI-S",VLOOKUP(B871,'20-B.SINAPI-S'!A:J,3,0),IF(D871="SINAPI-I",VLOOKUP(B871,'20-A.SINAPI-I'!A:G,3,0),IF(D871="COMPOSIÇÕES",VLOOKUP(B871,'11.COMPOSIÇÕES GERAIS'!B:I,3,0),VLOOKUP(B871,'12.COT.MERCADO'!A:I,7,0)))),"Em Elaboração")</f>
        <v>L</v>
      </c>
      <c r="G871" s="254">
        <v>36.0</v>
      </c>
      <c r="H871" s="259">
        <f>IFERROR(IF(D871="SINAPI-S",VLOOKUP(B871,'20-B.SINAPI-S'!A:J,5,0),IF(D871="SINAPI-I",VLOOKUP(B871,'20-A.SINAPI-I'!A:G,6,0),IF(D871="COMPOSIÇÕES",VLOOKUP(B871,'11.COMPOSIÇÕES GERAIS'!B:I,7,0),0))),"Em Elaboração")</f>
        <v>0</v>
      </c>
      <c r="I871" s="259">
        <f>IFERROR(IF(D871="SINAPI-S",VLOOKUP(B871,'20-B.SINAPI-S'!A:J,6,0),IF(D871="SINAPI-I",VLOOKUP(B871,'20-A.SINAPI-I'!A:G,7,0),IF(D871="COMPOSIÇÕES",VLOOKUP(B871,'11.COMPOSIÇÕES GERAIS'!B:I,8,0),VLOOKUP(B871,'12.COT.MERCADO'!A:I,8,0)))),"Em Elaboração")</f>
        <v>38.99</v>
      </c>
      <c r="J871" s="259">
        <f t="shared" si="145"/>
        <v>0</v>
      </c>
      <c r="K871" s="259">
        <f t="shared" si="146"/>
        <v>45.67033547</v>
      </c>
      <c r="L871" s="259">
        <f t="shared" si="147"/>
        <v>45.67033547</v>
      </c>
      <c r="M871" s="259">
        <f t="shared" si="148"/>
        <v>0</v>
      </c>
      <c r="N871" s="259">
        <f t="shared" si="149"/>
        <v>1644.132077</v>
      </c>
      <c r="O871" s="259">
        <f t="shared" si="150"/>
        <v>1644.132077</v>
      </c>
      <c r="P871" s="260">
        <f t="shared" si="2"/>
        <v>0.001286162169</v>
      </c>
    </row>
    <row r="872">
      <c r="A872" s="253" t="s">
        <v>1026</v>
      </c>
      <c r="B872" s="254">
        <v>35692.0</v>
      </c>
      <c r="C872" s="255" t="str">
        <f t="shared" si="144"/>
        <v>SINAPI</v>
      </c>
      <c r="D872" s="256" t="s">
        <v>286</v>
      </c>
      <c r="E872" s="257" t="str">
        <f>IFERROR(IF(D872="SINAPI-S",VLOOKUP(B872,'20-B.SINAPI-S'!A:J,2,0),IF(D872="SINAPI-I",VLOOKUP(B872,'20-A.SINAPI-I'!A:G,2,0),IF(D872="COMPOSIÇÕES",VLOOKUP(B872,'11.COMPOSIÇÕES GERAIS'!B:I,2,0),VLOOKUP(B872,'12.COT.MERCADO'!A:I,2,0)))),"Em Elaboração")</f>
        <v>TINTA LATEX ACRILICA STANDARD, COR BRANCA</v>
      </c>
      <c r="F872" s="258" t="str">
        <f>IFERROR(IF(D872="SINAPI-S",VLOOKUP(B872,'20-B.SINAPI-S'!A:J,3,0),IF(D872="SINAPI-I",VLOOKUP(B872,'20-A.SINAPI-I'!A:G,3,0),IF(D872="COMPOSIÇÕES",VLOOKUP(B872,'11.COMPOSIÇÕES GERAIS'!B:I,3,0),VLOOKUP(B872,'12.COT.MERCADO'!A:I,7,0)))),"Em Elaboração")</f>
        <v>L</v>
      </c>
      <c r="G872" s="254">
        <v>36.0</v>
      </c>
      <c r="H872" s="259">
        <f>IFERROR(IF(D872="SINAPI-S",VLOOKUP(B872,'20-B.SINAPI-S'!A:J,5,0),IF(D872="SINAPI-I",VLOOKUP(B872,'20-A.SINAPI-I'!A:G,6,0),IF(D872="COMPOSIÇÕES",VLOOKUP(B872,'11.COMPOSIÇÕES GERAIS'!B:I,7,0),0))),"Em Elaboração")</f>
        <v>0</v>
      </c>
      <c r="I872" s="259">
        <f>IFERROR(IF(D872="SINAPI-S",VLOOKUP(B872,'20-B.SINAPI-S'!A:J,6,0),IF(D872="SINAPI-I",VLOOKUP(B872,'20-A.SINAPI-I'!A:G,7,0),IF(D872="COMPOSIÇÕES",VLOOKUP(B872,'11.COMPOSIÇÕES GERAIS'!B:I,8,0),VLOOKUP(B872,'12.COT.MERCADO'!A:I,8,0)))),"Em Elaboração")</f>
        <v>18.03</v>
      </c>
      <c r="J872" s="259">
        <f t="shared" si="145"/>
        <v>0</v>
      </c>
      <c r="K872" s="259">
        <f t="shared" si="146"/>
        <v>21.11916257</v>
      </c>
      <c r="L872" s="259">
        <f t="shared" si="147"/>
        <v>21.11916257</v>
      </c>
      <c r="M872" s="259">
        <f t="shared" si="148"/>
        <v>0</v>
      </c>
      <c r="N872" s="259">
        <f t="shared" si="149"/>
        <v>760.2898525</v>
      </c>
      <c r="O872" s="259">
        <f t="shared" si="150"/>
        <v>760.2898525</v>
      </c>
      <c r="P872" s="260">
        <f t="shared" si="2"/>
        <v>0.0005947551656</v>
      </c>
    </row>
    <row r="873">
      <c r="A873" s="253" t="s">
        <v>1027</v>
      </c>
      <c r="B873" s="254">
        <v>7304.0</v>
      </c>
      <c r="C873" s="255" t="str">
        <f t="shared" si="144"/>
        <v>SINAPI</v>
      </c>
      <c r="D873" s="256" t="s">
        <v>286</v>
      </c>
      <c r="E873" s="257" t="str">
        <f>IFERROR(IF(D873="SINAPI-S",VLOOKUP(B873,'20-B.SINAPI-S'!A:J,2,0),IF(D873="SINAPI-I",VLOOKUP(B873,'20-A.SINAPI-I'!A:G,2,0),IF(D873="COMPOSIÇÕES",VLOOKUP(B873,'11.COMPOSIÇÕES GERAIS'!B:I,2,0),VLOOKUP(B873,'12.COT.MERCADO'!A:I,2,0)))),"Em Elaboração")</f>
        <v>TINTA EPOXI BASE AGUA PREMIUM, BRANCA</v>
      </c>
      <c r="F873" s="258" t="str">
        <f>IFERROR(IF(D873="SINAPI-S",VLOOKUP(B873,'20-B.SINAPI-S'!A:J,3,0),IF(D873="SINAPI-I",VLOOKUP(B873,'20-A.SINAPI-I'!A:G,3,0),IF(D873="COMPOSIÇÕES",VLOOKUP(B873,'11.COMPOSIÇÕES GERAIS'!B:I,3,0),VLOOKUP(B873,'12.COT.MERCADO'!A:I,7,0)))),"Em Elaboração")</f>
        <v>L</v>
      </c>
      <c r="G873" s="254">
        <v>10.0</v>
      </c>
      <c r="H873" s="259">
        <f>IFERROR(IF(D873="SINAPI-S",VLOOKUP(B873,'20-B.SINAPI-S'!A:J,5,0),IF(D873="SINAPI-I",VLOOKUP(B873,'20-A.SINAPI-I'!A:G,6,0),IF(D873="COMPOSIÇÕES",VLOOKUP(B873,'11.COMPOSIÇÕES GERAIS'!B:I,7,0),0))),"Em Elaboração")</f>
        <v>0</v>
      </c>
      <c r="I873" s="259">
        <f>IFERROR(IF(D873="SINAPI-S",VLOOKUP(B873,'20-B.SINAPI-S'!A:J,6,0),IF(D873="SINAPI-I",VLOOKUP(B873,'20-A.SINAPI-I'!A:G,7,0),IF(D873="COMPOSIÇÕES",VLOOKUP(B873,'11.COMPOSIÇÕES GERAIS'!B:I,8,0),VLOOKUP(B873,'12.COT.MERCADO'!A:I,8,0)))),"Em Elaboração")</f>
        <v>77.88</v>
      </c>
      <c r="J873" s="259">
        <f t="shared" si="145"/>
        <v>0</v>
      </c>
      <c r="K873" s="259">
        <f t="shared" si="146"/>
        <v>91.22353749</v>
      </c>
      <c r="L873" s="259">
        <f t="shared" si="147"/>
        <v>91.22353749</v>
      </c>
      <c r="M873" s="259">
        <f t="shared" si="148"/>
        <v>0</v>
      </c>
      <c r="N873" s="259">
        <f t="shared" si="149"/>
        <v>912.2353749</v>
      </c>
      <c r="O873" s="259">
        <f t="shared" si="150"/>
        <v>912.2353749</v>
      </c>
      <c r="P873" s="260">
        <f t="shared" si="2"/>
        <v>0.0007136182335</v>
      </c>
    </row>
    <row r="874">
      <c r="A874" s="253" t="s">
        <v>1028</v>
      </c>
      <c r="B874" s="254">
        <v>7348.0</v>
      </c>
      <c r="C874" s="255" t="str">
        <f t="shared" si="144"/>
        <v>SINAPI</v>
      </c>
      <c r="D874" s="256" t="s">
        <v>286</v>
      </c>
      <c r="E874" s="257" t="str">
        <f>IFERROR(IF(D874="SINAPI-S",VLOOKUP(B874,'20-B.SINAPI-S'!A:J,2,0),IF(D874="SINAPI-I",VLOOKUP(B874,'20-A.SINAPI-I'!A:G,2,0),IF(D874="COMPOSIÇÕES",VLOOKUP(B874,'11.COMPOSIÇÕES GERAIS'!B:I,2,0),VLOOKUP(B874,'12.COT.MERCADO'!A:I,2,0)))),"Em Elaboração")</f>
        <v>TINTA ACRILICA PREMIUM PARA PISO</v>
      </c>
      <c r="F874" s="258" t="str">
        <f>IFERROR(IF(D874="SINAPI-S",VLOOKUP(B874,'20-B.SINAPI-S'!A:J,3,0),IF(D874="SINAPI-I",VLOOKUP(B874,'20-A.SINAPI-I'!A:G,3,0),IF(D874="COMPOSIÇÕES",VLOOKUP(B874,'11.COMPOSIÇÕES GERAIS'!B:I,3,0),VLOOKUP(B874,'12.COT.MERCADO'!A:I,7,0)))),"Em Elaboração")</f>
        <v>L</v>
      </c>
      <c r="G874" s="254">
        <v>10.0</v>
      </c>
      <c r="H874" s="259">
        <f>IFERROR(IF(D874="SINAPI-S",VLOOKUP(B874,'20-B.SINAPI-S'!A:J,5,0),IF(D874="SINAPI-I",VLOOKUP(B874,'20-A.SINAPI-I'!A:G,6,0),IF(D874="COMPOSIÇÕES",VLOOKUP(B874,'11.COMPOSIÇÕES GERAIS'!B:I,7,0),0))),"Em Elaboração")</f>
        <v>0</v>
      </c>
      <c r="I874" s="259">
        <f>IFERROR(IF(D874="SINAPI-S",VLOOKUP(B874,'20-B.SINAPI-S'!A:J,6,0),IF(D874="SINAPI-I",VLOOKUP(B874,'20-A.SINAPI-I'!A:G,7,0),IF(D874="COMPOSIÇÕES",VLOOKUP(B874,'11.COMPOSIÇÕES GERAIS'!B:I,8,0),VLOOKUP(B874,'12.COT.MERCADO'!A:I,8,0)))),"Em Elaboração")</f>
        <v>18.48</v>
      </c>
      <c r="J874" s="259">
        <f t="shared" si="145"/>
        <v>0</v>
      </c>
      <c r="K874" s="259">
        <f t="shared" si="146"/>
        <v>21.64626313</v>
      </c>
      <c r="L874" s="259">
        <f t="shared" si="147"/>
        <v>21.64626313</v>
      </c>
      <c r="M874" s="259">
        <f t="shared" si="148"/>
        <v>0</v>
      </c>
      <c r="N874" s="259">
        <f t="shared" si="149"/>
        <v>216.4626313</v>
      </c>
      <c r="O874" s="259">
        <f t="shared" si="150"/>
        <v>216.4626313</v>
      </c>
      <c r="P874" s="260">
        <f t="shared" si="2"/>
        <v>0.0001693331402</v>
      </c>
    </row>
    <row r="875">
      <c r="A875" s="253" t="s">
        <v>1029</v>
      </c>
      <c r="B875" s="254">
        <v>10527.0</v>
      </c>
      <c r="C875" s="255" t="str">
        <f t="shared" si="144"/>
        <v>SINAPI</v>
      </c>
      <c r="D875" s="256" t="s">
        <v>286</v>
      </c>
      <c r="E875" s="257" t="str">
        <f>IFERROR(IF(D875="SINAPI-S",VLOOKUP(B875,'20-B.SINAPI-S'!A:J,2,0),IF(D875="SINAPI-I",VLOOKUP(B875,'20-A.SINAPI-I'!A:G,2,0),IF(D875="COMPOSIÇÕES",VLOOKUP(B875,'11.COMPOSIÇÕES GERAIS'!B:I,2,0),VLOOKUP(B875,'12.COT.MERCADO'!A:I,2,0)))),"Em Elaboração")</f>
        <v>LOCACAO DE ANDAIME METALICO TUBULAR DE ENCAIXE, TIPO DE TORRE, CADA PAINEL COM LARGURA DE 1 ATE 1,5 M E ALTURA DE *1,00* M, INCLUINDO DIAGONAL, BARRAS DE LIGACAO, SAPATAS OU RODIZIOS E DEMAIS ITENS NECESSARIOS A MONTAGEM (NAO INCLUI INSTALACAO)</v>
      </c>
      <c r="F875" s="258" t="str">
        <f>IFERROR(IF(D875="SINAPI-S",VLOOKUP(B875,'20-B.SINAPI-S'!A:J,3,0),IF(D875="SINAPI-I",VLOOKUP(B875,'20-A.SINAPI-I'!A:G,3,0),IF(D875="COMPOSIÇÕES",VLOOKUP(B875,'11.COMPOSIÇÕES GERAIS'!B:I,3,0),VLOOKUP(B875,'12.COT.MERCADO'!A:I,7,0)))),"Em Elaboração")</f>
        <v>MXMES</v>
      </c>
      <c r="G875" s="254">
        <v>25.0</v>
      </c>
      <c r="H875" s="259">
        <f>IFERROR(IF(D875="SINAPI-S",VLOOKUP(B875,'20-B.SINAPI-S'!A:J,5,0),IF(D875="SINAPI-I",VLOOKUP(B875,'20-A.SINAPI-I'!A:G,6,0),IF(D875="COMPOSIÇÕES",VLOOKUP(B875,'11.COMPOSIÇÕES GERAIS'!B:I,7,0),0))),"Em Elaboração")</f>
        <v>0</v>
      </c>
      <c r="I875" s="259">
        <f>IFERROR(IF(D875="SINAPI-S",VLOOKUP(B875,'20-B.SINAPI-S'!A:J,6,0),IF(D875="SINAPI-I",VLOOKUP(B875,'20-A.SINAPI-I'!A:G,7,0),IF(D875="COMPOSIÇÕES",VLOOKUP(B875,'11.COMPOSIÇÕES GERAIS'!B:I,8,0),VLOOKUP(B875,'12.COT.MERCADO'!A:I,8,0)))),"Em Elaboração")</f>
        <v>20</v>
      </c>
      <c r="J875" s="259">
        <f t="shared" si="145"/>
        <v>0</v>
      </c>
      <c r="K875" s="259">
        <f t="shared" si="146"/>
        <v>23.4266917</v>
      </c>
      <c r="L875" s="259">
        <f t="shared" si="147"/>
        <v>23.4266917</v>
      </c>
      <c r="M875" s="259">
        <f t="shared" si="148"/>
        <v>0</v>
      </c>
      <c r="N875" s="259">
        <f t="shared" si="149"/>
        <v>585.6672926</v>
      </c>
      <c r="O875" s="259">
        <f t="shared" si="150"/>
        <v>585.6672926</v>
      </c>
      <c r="P875" s="260">
        <f t="shared" si="2"/>
        <v>0.0004581524355</v>
      </c>
    </row>
    <row r="876">
      <c r="A876" s="253" t="s">
        <v>1030</v>
      </c>
      <c r="B876" s="254">
        <v>43130.0</v>
      </c>
      <c r="C876" s="255" t="str">
        <f t="shared" si="144"/>
        <v>SINAPI</v>
      </c>
      <c r="D876" s="256" t="s">
        <v>286</v>
      </c>
      <c r="E876" s="257" t="str">
        <f>IFERROR(IF(D876="SINAPI-S",VLOOKUP(B876,'20-B.SINAPI-S'!A:J,2,0),IF(D876="SINAPI-I",VLOOKUP(B876,'20-A.SINAPI-I'!A:G,2,0),IF(D876="COMPOSIÇÕES",VLOOKUP(B876,'11.COMPOSIÇÕES GERAIS'!B:I,2,0),VLOOKUP(B876,'12.COT.MERCADO'!A:I,2,0)))),"Em Elaboração")</f>
        <v>ARAME GALVANIZADO 12 BWG, D = 2,76 MM (0,048 KG/M) OU 14 BWG, D = 2,11 MM (0,026 KG/M)</v>
      </c>
      <c r="F876" s="258" t="str">
        <f>IFERROR(IF(D876="SINAPI-S",VLOOKUP(B876,'20-B.SINAPI-S'!A:J,3,0),IF(D876="SINAPI-I",VLOOKUP(B876,'20-A.SINAPI-I'!A:G,3,0),IF(D876="COMPOSIÇÕES",VLOOKUP(B876,'11.COMPOSIÇÕES GERAIS'!B:I,3,0),VLOOKUP(B876,'12.COT.MERCADO'!A:I,7,0)))),"Em Elaboração")</f>
        <v>KG</v>
      </c>
      <c r="G876" s="254">
        <v>25.0</v>
      </c>
      <c r="H876" s="259">
        <f>IFERROR(IF(D876="SINAPI-S",VLOOKUP(B876,'20-B.SINAPI-S'!A:J,5,0),IF(D876="SINAPI-I",VLOOKUP(B876,'20-A.SINAPI-I'!A:G,6,0),IF(D876="COMPOSIÇÕES",VLOOKUP(B876,'11.COMPOSIÇÕES GERAIS'!B:I,7,0),0))),"Em Elaboração")</f>
        <v>0</v>
      </c>
      <c r="I876" s="259">
        <f>IFERROR(IF(D876="SINAPI-S",VLOOKUP(B876,'20-B.SINAPI-S'!A:J,6,0),IF(D876="SINAPI-I",VLOOKUP(B876,'20-A.SINAPI-I'!A:G,7,0),IF(D876="COMPOSIÇÕES",VLOOKUP(B876,'11.COMPOSIÇÕES GERAIS'!B:I,8,0),VLOOKUP(B876,'12.COT.MERCADO'!A:I,8,0)))),"Em Elaboração")</f>
        <v>27.75</v>
      </c>
      <c r="J876" s="259">
        <f t="shared" si="145"/>
        <v>0</v>
      </c>
      <c r="K876" s="259">
        <f t="shared" si="146"/>
        <v>32.50453474</v>
      </c>
      <c r="L876" s="259">
        <f t="shared" si="147"/>
        <v>32.50453474</v>
      </c>
      <c r="M876" s="259">
        <f t="shared" si="148"/>
        <v>0</v>
      </c>
      <c r="N876" s="259">
        <f t="shared" si="149"/>
        <v>812.6133684</v>
      </c>
      <c r="O876" s="259">
        <f t="shared" si="150"/>
        <v>812.6133684</v>
      </c>
      <c r="P876" s="260">
        <f t="shared" si="2"/>
        <v>0.0006356865042</v>
      </c>
    </row>
    <row r="877">
      <c r="A877" s="253" t="s">
        <v>1031</v>
      </c>
      <c r="B877" s="254">
        <v>37329.0</v>
      </c>
      <c r="C877" s="255" t="str">
        <f t="shared" si="144"/>
        <v>SINAPI</v>
      </c>
      <c r="D877" s="256" t="s">
        <v>286</v>
      </c>
      <c r="E877" s="257" t="str">
        <f>IFERROR(IF(D877="SINAPI-S",VLOOKUP(B877,'20-B.SINAPI-S'!A:J,2,0),IF(D877="SINAPI-I",VLOOKUP(B877,'20-A.SINAPI-I'!A:G,2,0),IF(D877="COMPOSIÇÕES",VLOOKUP(B877,'11.COMPOSIÇÕES GERAIS'!B:I,2,0),VLOOKUP(B877,'12.COT.MERCADO'!A:I,2,0)))),"Em Elaboração")</f>
        <v>REJUNTE EPOXI, QUALQUER COR</v>
      </c>
      <c r="F877" s="258" t="str">
        <f>IFERROR(IF(D877="SINAPI-S",VLOOKUP(B877,'20-B.SINAPI-S'!A:J,3,0),IF(D877="SINAPI-I",VLOOKUP(B877,'20-A.SINAPI-I'!A:G,3,0),IF(D877="COMPOSIÇÕES",VLOOKUP(B877,'11.COMPOSIÇÕES GERAIS'!B:I,3,0),VLOOKUP(B877,'12.COT.MERCADO'!A:I,7,0)))),"Em Elaboração")</f>
        <v>KG</v>
      </c>
      <c r="G877" s="254">
        <v>3.0</v>
      </c>
      <c r="H877" s="259">
        <f>IFERROR(IF(D877="SINAPI-S",VLOOKUP(B877,'20-B.SINAPI-S'!A:J,5,0),IF(D877="SINAPI-I",VLOOKUP(B877,'20-A.SINAPI-I'!A:G,6,0),IF(D877="COMPOSIÇÕES",VLOOKUP(B877,'11.COMPOSIÇÕES GERAIS'!B:I,7,0),0))),"Em Elaboração")</f>
        <v>0</v>
      </c>
      <c r="I877" s="259">
        <f>IFERROR(IF(D877="SINAPI-S",VLOOKUP(B877,'20-B.SINAPI-S'!A:J,6,0),IF(D877="SINAPI-I",VLOOKUP(B877,'20-A.SINAPI-I'!A:G,7,0),IF(D877="COMPOSIÇÕES",VLOOKUP(B877,'11.COMPOSIÇÕES GERAIS'!B:I,8,0),VLOOKUP(B877,'12.COT.MERCADO'!A:I,8,0)))),"Em Elaboração")</f>
        <v>90.28</v>
      </c>
      <c r="J877" s="259">
        <f t="shared" si="145"/>
        <v>0</v>
      </c>
      <c r="K877" s="259">
        <f t="shared" si="146"/>
        <v>105.7480863</v>
      </c>
      <c r="L877" s="259">
        <f t="shared" si="147"/>
        <v>105.7480863</v>
      </c>
      <c r="M877" s="259">
        <f t="shared" si="148"/>
        <v>0</v>
      </c>
      <c r="N877" s="259">
        <f t="shared" si="149"/>
        <v>317.244259</v>
      </c>
      <c r="O877" s="259">
        <f t="shared" si="150"/>
        <v>317.244259</v>
      </c>
      <c r="P877" s="260">
        <f t="shared" si="2"/>
        <v>0.0002481720112</v>
      </c>
    </row>
    <row r="878">
      <c r="A878" s="253" t="s">
        <v>1032</v>
      </c>
      <c r="B878" s="254">
        <v>39897.0</v>
      </c>
      <c r="C878" s="255" t="str">
        <f t="shared" si="144"/>
        <v>SINAPI</v>
      </c>
      <c r="D878" s="256" t="s">
        <v>286</v>
      </c>
      <c r="E878" s="257" t="str">
        <f>IFERROR(IF(D878="SINAPI-S",VLOOKUP(B878,'20-B.SINAPI-S'!A:J,2,0),IF(D878="SINAPI-I",VLOOKUP(B878,'20-A.SINAPI-I'!A:G,2,0),IF(D878="COMPOSIÇÕES",VLOOKUP(B878,'11.COMPOSIÇÕES GERAIS'!B:I,2,0),VLOOKUP(B878,'12.COT.MERCADO'!A:I,2,0)))),"Em Elaboração")</f>
        <v>PASTA PARA SOLDA DE TUBOS E CONEXOES DE COBRE (EMBALAGEM COM 250 G)</v>
      </c>
      <c r="F878" s="258" t="str">
        <f>IFERROR(IF(D878="SINAPI-S",VLOOKUP(B878,'20-B.SINAPI-S'!A:J,3,0),IF(D878="SINAPI-I",VLOOKUP(B878,'20-A.SINAPI-I'!A:G,3,0),IF(D878="COMPOSIÇÕES",VLOOKUP(B878,'11.COMPOSIÇÕES GERAIS'!B:I,3,0),VLOOKUP(B878,'12.COT.MERCADO'!A:I,7,0)))),"Em Elaboração")</f>
        <v>UN</v>
      </c>
      <c r="G878" s="254">
        <v>3.0</v>
      </c>
      <c r="H878" s="259">
        <f>IFERROR(IF(D878="SINAPI-S",VLOOKUP(B878,'20-B.SINAPI-S'!A:J,5,0),IF(D878="SINAPI-I",VLOOKUP(B878,'20-A.SINAPI-I'!A:G,6,0),IF(D878="COMPOSIÇÕES",VLOOKUP(B878,'11.COMPOSIÇÕES GERAIS'!B:I,7,0),0))),"Em Elaboração")</f>
        <v>0</v>
      </c>
      <c r="I878" s="259">
        <f>IFERROR(IF(D878="SINAPI-S",VLOOKUP(B878,'20-B.SINAPI-S'!A:J,6,0),IF(D878="SINAPI-I",VLOOKUP(B878,'20-A.SINAPI-I'!A:G,7,0),IF(D878="COMPOSIÇÕES",VLOOKUP(B878,'11.COMPOSIÇÕES GERAIS'!B:I,8,0),VLOOKUP(B878,'12.COT.MERCADO'!A:I,8,0)))),"Em Elaboração")</f>
        <v>52.22</v>
      </c>
      <c r="J878" s="259">
        <f t="shared" si="145"/>
        <v>0</v>
      </c>
      <c r="K878" s="259">
        <f t="shared" si="146"/>
        <v>61.16709204</v>
      </c>
      <c r="L878" s="259">
        <f t="shared" si="147"/>
        <v>61.16709204</v>
      </c>
      <c r="M878" s="259">
        <f t="shared" si="148"/>
        <v>0</v>
      </c>
      <c r="N878" s="259">
        <f t="shared" si="149"/>
        <v>183.5012761</v>
      </c>
      <c r="O878" s="259">
        <f t="shared" si="150"/>
        <v>183.5012761</v>
      </c>
      <c r="P878" s="260">
        <f t="shared" si="2"/>
        <v>0.0001435483211</v>
      </c>
    </row>
    <row r="879">
      <c r="A879" s="253" t="s">
        <v>1033</v>
      </c>
      <c r="B879" s="254">
        <v>626.0</v>
      </c>
      <c r="C879" s="255" t="str">
        <f t="shared" si="144"/>
        <v>SINAPI</v>
      </c>
      <c r="D879" s="256" t="s">
        <v>286</v>
      </c>
      <c r="E879" s="257" t="str">
        <f>IFERROR(IF(D879="SINAPI-S",VLOOKUP(B879,'20-B.SINAPI-S'!A:J,2,0),IF(D879="SINAPI-I",VLOOKUP(B879,'20-A.SINAPI-I'!A:G,2,0),IF(D879="COMPOSIÇÕES",VLOOKUP(B879,'11.COMPOSIÇÕES GERAIS'!B:I,2,0),VLOOKUP(B879,'12.COT.MERCADO'!A:I,2,0)))),"Em Elaboração")</f>
        <v>MANTA LIQUIDA DE BASE ASFALTICA MODIFICADA COM A ADICAO DE ELASTOMEROS DILUIDOS EM SOLVENTE ORGANICO, APLICACAO A FRIO (MEMBRANA IMPERMEABILIZANTE ASFASTICA)</v>
      </c>
      <c r="F879" s="258" t="str">
        <f>IFERROR(IF(D879="SINAPI-S",VLOOKUP(B879,'20-B.SINAPI-S'!A:J,3,0),IF(D879="SINAPI-I",VLOOKUP(B879,'20-A.SINAPI-I'!A:G,3,0),IF(D879="COMPOSIÇÕES",VLOOKUP(B879,'11.COMPOSIÇÕES GERAIS'!B:I,3,0),VLOOKUP(B879,'12.COT.MERCADO'!A:I,7,0)))),"Em Elaboração")</f>
        <v>KG</v>
      </c>
      <c r="G879" s="254">
        <v>150.0</v>
      </c>
      <c r="H879" s="259">
        <f>IFERROR(IF(D879="SINAPI-S",VLOOKUP(B879,'20-B.SINAPI-S'!A:J,5,0),IF(D879="SINAPI-I",VLOOKUP(B879,'20-A.SINAPI-I'!A:G,6,0),IF(D879="COMPOSIÇÕES",VLOOKUP(B879,'11.COMPOSIÇÕES GERAIS'!B:I,7,0),0))),"Em Elaboração")</f>
        <v>0</v>
      </c>
      <c r="I879" s="259">
        <f>IFERROR(IF(D879="SINAPI-S",VLOOKUP(B879,'20-B.SINAPI-S'!A:J,6,0),IF(D879="SINAPI-I",VLOOKUP(B879,'20-A.SINAPI-I'!A:G,7,0),IF(D879="COMPOSIÇÕES",VLOOKUP(B879,'11.COMPOSIÇÕES GERAIS'!B:I,8,0),VLOOKUP(B879,'12.COT.MERCADO'!A:I,8,0)))),"Em Elaboração")</f>
        <v>18.75</v>
      </c>
      <c r="J879" s="259">
        <f t="shared" si="145"/>
        <v>0</v>
      </c>
      <c r="K879" s="259">
        <f t="shared" si="146"/>
        <v>21.96252347</v>
      </c>
      <c r="L879" s="259">
        <f t="shared" si="147"/>
        <v>21.96252347</v>
      </c>
      <c r="M879" s="259">
        <f t="shared" si="148"/>
        <v>0</v>
      </c>
      <c r="N879" s="259">
        <f t="shared" si="149"/>
        <v>3294.378521</v>
      </c>
      <c r="O879" s="259">
        <f t="shared" si="150"/>
        <v>3294.378521</v>
      </c>
      <c r="P879" s="260">
        <f t="shared" si="2"/>
        <v>0.00257710745</v>
      </c>
    </row>
    <row r="880">
      <c r="A880" s="249" t="s">
        <v>1034</v>
      </c>
      <c r="B880" s="250" t="s">
        <v>1035</v>
      </c>
      <c r="C880" s="44"/>
      <c r="D880" s="44"/>
      <c r="E880" s="44"/>
      <c r="F880" s="44"/>
      <c r="G880" s="44"/>
      <c r="H880" s="44"/>
      <c r="I880" s="44"/>
      <c r="J880" s="44"/>
      <c r="K880" s="44"/>
      <c r="L880" s="44"/>
      <c r="M880" s="251">
        <f t="shared" ref="M880:O880" si="151">SUM(M881:M888)</f>
        <v>0</v>
      </c>
      <c r="N880" s="251">
        <f t="shared" si="151"/>
        <v>1365.448153</v>
      </c>
      <c r="O880" s="251">
        <f t="shared" si="151"/>
        <v>1365.448153</v>
      </c>
      <c r="P880" s="252">
        <f t="shared" si="2"/>
        <v>0.001068154914</v>
      </c>
    </row>
    <row r="881">
      <c r="A881" s="253" t="s">
        <v>1036</v>
      </c>
      <c r="B881" s="254">
        <v>13.0</v>
      </c>
      <c r="C881" s="255" t="str">
        <f t="shared" ref="C881:C888" si="152">IF(OR(D881="SINAPI-S",D881="SINAPI-I"),"SINAPI","PRÓPRIO")</f>
        <v>SINAPI</v>
      </c>
      <c r="D881" s="256" t="s">
        <v>286</v>
      </c>
      <c r="E881" s="257" t="str">
        <f>IFERROR(IF(D881="SINAPI-S",VLOOKUP(B881,'20-B.SINAPI-S'!A:J,2,0),IF(D881="SINAPI-I",VLOOKUP(B881,'20-A.SINAPI-I'!A:G,2,0),IF(D881="COMPOSIÇÕES",VLOOKUP(B881,'11.COMPOSIÇÕES GERAIS'!B:I,2,0),VLOOKUP(B881,'12.COT.MERCADO'!A:I,2,0)))),"Em Elaboração")</f>
        <v>ESTOPA</v>
      </c>
      <c r="F881" s="258" t="str">
        <f>IFERROR(IF(D881="SINAPI-S",VLOOKUP(B881,'20-B.SINAPI-S'!A:J,3,0),IF(D881="SINAPI-I",VLOOKUP(B881,'20-A.SINAPI-I'!A:G,3,0),IF(D881="COMPOSIÇÕES",VLOOKUP(B881,'11.COMPOSIÇÕES GERAIS'!B:I,3,0),VLOOKUP(B881,'12.COT.MERCADO'!A:I,7,0)))),"Em Elaboração")</f>
        <v>KG</v>
      </c>
      <c r="G881" s="254">
        <v>9.0</v>
      </c>
      <c r="H881" s="259">
        <f>IFERROR(IF(D881="SINAPI-S",VLOOKUP(B881,'20-B.SINAPI-S'!A:J,5,0),IF(D881="SINAPI-I",VLOOKUP(B881,'20-A.SINAPI-I'!A:G,6,0),IF(D881="COMPOSIÇÕES",VLOOKUP(B881,'11.COMPOSIÇÕES GERAIS'!B:I,7,0),0))),"Em Elaboração")</f>
        <v>0</v>
      </c>
      <c r="I881" s="259">
        <f>IFERROR(IF(D881="SINAPI-S",VLOOKUP(B881,'20-B.SINAPI-S'!A:J,6,0),IF(D881="SINAPI-I",VLOOKUP(B881,'20-A.SINAPI-I'!A:G,7,0),IF(D881="COMPOSIÇÕES",VLOOKUP(B881,'11.COMPOSIÇÕES GERAIS'!B:I,8,0),VLOOKUP(B881,'12.COT.MERCADO'!A:I,8,0)))),"Em Elaboração")</f>
        <v>19.21</v>
      </c>
      <c r="J881" s="259">
        <f t="shared" ref="J881:J888" si="153">H881*(1+$J$5)</f>
        <v>0</v>
      </c>
      <c r="K881" s="259">
        <f t="shared" ref="K881:K888" si="154">I881*(1+$J$8)</f>
        <v>22.50133738</v>
      </c>
      <c r="L881" s="259">
        <f t="shared" ref="L881:L888" si="155">SUM(J881:K881)</f>
        <v>22.50133738</v>
      </c>
      <c r="M881" s="259">
        <f t="shared" ref="M881:M888" si="156">J881*G881</f>
        <v>0</v>
      </c>
      <c r="N881" s="259">
        <f t="shared" ref="N881:N888" si="157">K881*G881</f>
        <v>202.5120364</v>
      </c>
      <c r="O881" s="259">
        <f t="shared" ref="O881:O888" si="158">SUM(M881:N881)</f>
        <v>202.5120364</v>
      </c>
      <c r="P881" s="260">
        <f t="shared" si="2"/>
        <v>0.0001584199491</v>
      </c>
    </row>
    <row r="882">
      <c r="A882" s="253" t="s">
        <v>1037</v>
      </c>
      <c r="B882" s="254">
        <v>20111.0</v>
      </c>
      <c r="C882" s="255" t="str">
        <f t="shared" si="152"/>
        <v>SINAPI</v>
      </c>
      <c r="D882" s="256" t="s">
        <v>286</v>
      </c>
      <c r="E882" s="257" t="str">
        <f>IFERROR(IF(D882="SINAPI-S",VLOOKUP(B882,'20-B.SINAPI-S'!A:J,2,0),IF(D882="SINAPI-I",VLOOKUP(B882,'20-A.SINAPI-I'!A:G,2,0),IF(D882="COMPOSIÇÕES",VLOOKUP(B882,'11.COMPOSIÇÕES GERAIS'!B:I,2,0),VLOOKUP(B882,'12.COT.MERCADO'!A:I,2,0)))),"Em Elaboração")</f>
        <v>FITA ISOLANTE ADESIVA ANTICHAMA, USO ATE 750 V, EM ROLO DE 19 MM X 20 M</v>
      </c>
      <c r="F882" s="258" t="str">
        <f>IFERROR(IF(D882="SINAPI-S",VLOOKUP(B882,'20-B.SINAPI-S'!A:J,3,0),IF(D882="SINAPI-I",VLOOKUP(B882,'20-A.SINAPI-I'!A:G,3,0),IF(D882="COMPOSIÇÕES",VLOOKUP(B882,'11.COMPOSIÇÕES GERAIS'!B:I,3,0),VLOOKUP(B882,'12.COT.MERCADO'!A:I,7,0)))),"Em Elaboração")</f>
        <v>UN</v>
      </c>
      <c r="G882" s="254">
        <v>24.0</v>
      </c>
      <c r="H882" s="259">
        <f>IFERROR(IF(D882="SINAPI-S",VLOOKUP(B882,'20-B.SINAPI-S'!A:J,5,0),IF(D882="SINAPI-I",VLOOKUP(B882,'20-A.SINAPI-I'!A:G,6,0),IF(D882="COMPOSIÇÕES",VLOOKUP(B882,'11.COMPOSIÇÕES GERAIS'!B:I,7,0),0))),"Em Elaboração")</f>
        <v>0</v>
      </c>
      <c r="I882" s="259">
        <f>IFERROR(IF(D882="SINAPI-S",VLOOKUP(B882,'20-B.SINAPI-S'!A:J,6,0),IF(D882="SINAPI-I",VLOOKUP(B882,'20-A.SINAPI-I'!A:G,7,0),IF(D882="COMPOSIÇÕES",VLOOKUP(B882,'11.COMPOSIÇÕES GERAIS'!B:I,8,0),VLOOKUP(B882,'12.COT.MERCADO'!A:I,8,0)))),"Em Elaboração")</f>
        <v>12.9</v>
      </c>
      <c r="J882" s="259">
        <f t="shared" si="153"/>
        <v>0</v>
      </c>
      <c r="K882" s="259">
        <f t="shared" si="154"/>
        <v>15.11021615</v>
      </c>
      <c r="L882" s="259">
        <f t="shared" si="155"/>
        <v>15.11021615</v>
      </c>
      <c r="M882" s="259">
        <f t="shared" si="156"/>
        <v>0</v>
      </c>
      <c r="N882" s="259">
        <f t="shared" si="157"/>
        <v>362.6451876</v>
      </c>
      <c r="O882" s="259">
        <f t="shared" si="158"/>
        <v>362.6451876</v>
      </c>
      <c r="P882" s="260">
        <f t="shared" si="2"/>
        <v>0.000283687988</v>
      </c>
    </row>
    <row r="883">
      <c r="A883" s="253" t="s">
        <v>1038</v>
      </c>
      <c r="B883" s="254">
        <v>3767.0</v>
      </c>
      <c r="C883" s="255" t="str">
        <f t="shared" si="152"/>
        <v>SINAPI</v>
      </c>
      <c r="D883" s="256" t="s">
        <v>286</v>
      </c>
      <c r="E883" s="257" t="str">
        <f>IFERROR(IF(D883="SINAPI-S",VLOOKUP(B883,'20-B.SINAPI-S'!A:J,2,0),IF(D883="SINAPI-I",VLOOKUP(B883,'20-A.SINAPI-I'!A:G,2,0),IF(D883="COMPOSIÇÕES",VLOOKUP(B883,'11.COMPOSIÇÕES GERAIS'!B:I,2,0),VLOOKUP(B883,'12.COT.MERCADO'!A:I,2,0)))),"Em Elaboração")</f>
        <v>LIXA EM FOLHA PARA PAREDE OU MADEIRA, NUMERO 120, COR VERMELHA</v>
      </c>
      <c r="F883" s="258" t="str">
        <f>IFERROR(IF(D883="SINAPI-S",VLOOKUP(B883,'20-B.SINAPI-S'!A:J,3,0),IF(D883="SINAPI-I",VLOOKUP(B883,'20-A.SINAPI-I'!A:G,3,0),IF(D883="COMPOSIÇÕES",VLOOKUP(B883,'11.COMPOSIÇÕES GERAIS'!B:I,3,0),VLOOKUP(B883,'12.COT.MERCADO'!A:I,7,0)))),"Em Elaboração")</f>
        <v>UN</v>
      </c>
      <c r="G883" s="254">
        <v>40.0</v>
      </c>
      <c r="H883" s="259">
        <f>IFERROR(IF(D883="SINAPI-S",VLOOKUP(B883,'20-B.SINAPI-S'!A:J,5,0),IF(D883="SINAPI-I",VLOOKUP(B883,'20-A.SINAPI-I'!A:G,6,0),IF(D883="COMPOSIÇÕES",VLOOKUP(B883,'11.COMPOSIÇÕES GERAIS'!B:I,7,0),0))),"Em Elaboração")</f>
        <v>0</v>
      </c>
      <c r="I883" s="259">
        <f>IFERROR(IF(D883="SINAPI-S",VLOOKUP(B883,'20-B.SINAPI-S'!A:J,6,0),IF(D883="SINAPI-I",VLOOKUP(B883,'20-A.SINAPI-I'!A:G,7,0),IF(D883="COMPOSIÇÕES",VLOOKUP(B883,'11.COMPOSIÇÕES GERAIS'!B:I,8,0),VLOOKUP(B883,'12.COT.MERCADO'!A:I,8,0)))),"Em Elaboração")</f>
        <v>1.66</v>
      </c>
      <c r="J883" s="259">
        <f t="shared" si="153"/>
        <v>0</v>
      </c>
      <c r="K883" s="259">
        <f t="shared" si="154"/>
        <v>1.944415411</v>
      </c>
      <c r="L883" s="259">
        <f t="shared" si="155"/>
        <v>1.944415411</v>
      </c>
      <c r="M883" s="259">
        <f t="shared" si="156"/>
        <v>0</v>
      </c>
      <c r="N883" s="259">
        <f t="shared" si="157"/>
        <v>77.77661645</v>
      </c>
      <c r="O883" s="259">
        <f t="shared" si="158"/>
        <v>77.77661645</v>
      </c>
      <c r="P883" s="260">
        <f t="shared" si="2"/>
        <v>0.00006084264343</v>
      </c>
    </row>
    <row r="884">
      <c r="A884" s="253" t="s">
        <v>1039</v>
      </c>
      <c r="B884" s="254">
        <v>5318.0</v>
      </c>
      <c r="C884" s="255" t="str">
        <f t="shared" si="152"/>
        <v>SINAPI</v>
      </c>
      <c r="D884" s="256" t="s">
        <v>286</v>
      </c>
      <c r="E884" s="257" t="str">
        <f>IFERROR(IF(D884="SINAPI-S",VLOOKUP(B884,'20-B.SINAPI-S'!A:J,2,0),IF(D884="SINAPI-I",VLOOKUP(B884,'20-A.SINAPI-I'!A:G,2,0),IF(D884="COMPOSIÇÕES",VLOOKUP(B884,'11.COMPOSIÇÕES GERAIS'!B:I,2,0),VLOOKUP(B884,'12.COT.MERCADO'!A:I,2,0)))),"Em Elaboração")</f>
        <v>DILUENTE AGUARRAS</v>
      </c>
      <c r="F884" s="258" t="str">
        <f>IFERROR(IF(D884="SINAPI-S",VLOOKUP(B884,'20-B.SINAPI-S'!A:J,3,0),IF(D884="SINAPI-I",VLOOKUP(B884,'20-A.SINAPI-I'!A:G,3,0),IF(D884="COMPOSIÇÕES",VLOOKUP(B884,'11.COMPOSIÇÕES GERAIS'!B:I,3,0),VLOOKUP(B884,'12.COT.MERCADO'!A:I,7,0)))),"Em Elaboração")</f>
        <v>L</v>
      </c>
      <c r="G884" s="254">
        <v>8.0</v>
      </c>
      <c r="H884" s="259">
        <f>IFERROR(IF(D884="SINAPI-S",VLOOKUP(B884,'20-B.SINAPI-S'!A:J,5,0),IF(D884="SINAPI-I",VLOOKUP(B884,'20-A.SINAPI-I'!A:G,6,0),IF(D884="COMPOSIÇÕES",VLOOKUP(B884,'11.COMPOSIÇÕES GERAIS'!B:I,7,0),0))),"Em Elaboração")</f>
        <v>0</v>
      </c>
      <c r="I884" s="259">
        <f>IFERROR(IF(D884="SINAPI-S",VLOOKUP(B884,'20-B.SINAPI-S'!A:J,6,0),IF(D884="SINAPI-I",VLOOKUP(B884,'20-A.SINAPI-I'!A:G,7,0),IF(D884="COMPOSIÇÕES",VLOOKUP(B884,'11.COMPOSIÇÕES GERAIS'!B:I,8,0),VLOOKUP(B884,'12.COT.MERCADO'!A:I,8,0)))),"Em Elaboração")</f>
        <v>22.59</v>
      </c>
      <c r="J884" s="259">
        <f t="shared" si="153"/>
        <v>0</v>
      </c>
      <c r="K884" s="259">
        <f t="shared" si="154"/>
        <v>26.46044828</v>
      </c>
      <c r="L884" s="259">
        <f t="shared" si="155"/>
        <v>26.46044828</v>
      </c>
      <c r="M884" s="259">
        <f t="shared" si="156"/>
        <v>0</v>
      </c>
      <c r="N884" s="259">
        <f t="shared" si="157"/>
        <v>211.6835862</v>
      </c>
      <c r="O884" s="259">
        <f t="shared" si="158"/>
        <v>211.6835862</v>
      </c>
      <c r="P884" s="260">
        <f t="shared" si="2"/>
        <v>0.0001655946163</v>
      </c>
    </row>
    <row r="885">
      <c r="A885" s="253" t="s">
        <v>1040</v>
      </c>
      <c r="B885" s="254">
        <v>151.0</v>
      </c>
      <c r="C885" s="255" t="str">
        <f t="shared" si="152"/>
        <v>SINAPI</v>
      </c>
      <c r="D885" s="256" t="s">
        <v>286</v>
      </c>
      <c r="E885" s="257" t="str">
        <f>IFERROR(IF(D885="SINAPI-S",VLOOKUP(B885,'20-B.SINAPI-S'!A:J,2,0),IF(D885="SINAPI-I",VLOOKUP(B885,'20-A.SINAPI-I'!A:G,2,0),IF(D885="COMPOSIÇÕES",VLOOKUP(B885,'11.COMPOSIÇÕES GERAIS'!B:I,2,0),VLOOKUP(B885,'12.COT.MERCADO'!A:I,2,0)))),"Em Elaboração")</f>
        <v>IMPERMEABILIZANTE INCOLOR,  BASE SILICONE, PARA TRATAMENTO DE FACHADAS, TELHAS, PEDRAS E OUTRAS SUPERFICIES</v>
      </c>
      <c r="F885" s="258" t="str">
        <f>IFERROR(IF(D885="SINAPI-S",VLOOKUP(B885,'20-B.SINAPI-S'!A:J,3,0),IF(D885="SINAPI-I",VLOOKUP(B885,'20-A.SINAPI-I'!A:G,3,0),IF(D885="COMPOSIÇÕES",VLOOKUP(B885,'11.COMPOSIÇÕES GERAIS'!B:I,3,0),VLOOKUP(B885,'12.COT.MERCADO'!A:I,7,0)))),"Em Elaboração")</f>
        <v>L</v>
      </c>
      <c r="G885" s="254">
        <v>4.0</v>
      </c>
      <c r="H885" s="259">
        <f>IFERROR(IF(D885="SINAPI-S",VLOOKUP(B885,'20-B.SINAPI-S'!A:J,5,0),IF(D885="SINAPI-I",VLOOKUP(B885,'20-A.SINAPI-I'!A:G,6,0),IF(D885="COMPOSIÇÕES",VLOOKUP(B885,'11.COMPOSIÇÕES GERAIS'!B:I,7,0),0))),"Em Elaboração")</f>
        <v>0</v>
      </c>
      <c r="I885" s="259">
        <f>IFERROR(IF(D885="SINAPI-S",VLOOKUP(B885,'20-B.SINAPI-S'!A:J,6,0),IF(D885="SINAPI-I",VLOOKUP(B885,'20-A.SINAPI-I'!A:G,7,0),IF(D885="COMPOSIÇÕES",VLOOKUP(B885,'11.COMPOSIÇÕES GERAIS'!B:I,8,0),VLOOKUP(B885,'12.COT.MERCADO'!A:I,8,0)))),"Em Elaboração")</f>
        <v>27.12</v>
      </c>
      <c r="J885" s="259">
        <f t="shared" si="153"/>
        <v>0</v>
      </c>
      <c r="K885" s="259">
        <f t="shared" si="154"/>
        <v>31.76659395</v>
      </c>
      <c r="L885" s="259">
        <f t="shared" si="155"/>
        <v>31.76659395</v>
      </c>
      <c r="M885" s="259">
        <f t="shared" si="156"/>
        <v>0</v>
      </c>
      <c r="N885" s="259">
        <f t="shared" si="157"/>
        <v>127.0663758</v>
      </c>
      <c r="O885" s="259">
        <f t="shared" si="158"/>
        <v>127.0663758</v>
      </c>
      <c r="P885" s="260">
        <f t="shared" si="2"/>
        <v>0.0000994007524</v>
      </c>
    </row>
    <row r="886">
      <c r="A886" s="253" t="s">
        <v>1041</v>
      </c>
      <c r="B886" s="254">
        <v>38123.0</v>
      </c>
      <c r="C886" s="255" t="str">
        <f t="shared" si="152"/>
        <v>SINAPI</v>
      </c>
      <c r="D886" s="256" t="s">
        <v>286</v>
      </c>
      <c r="E886" s="257" t="str">
        <f>IFERROR(IF(D886="SINAPI-S",VLOOKUP(B886,'20-B.SINAPI-S'!A:J,2,0),IF(D886="SINAPI-I",VLOOKUP(B886,'20-A.SINAPI-I'!A:G,2,0),IF(D886="COMPOSIÇÕES",VLOOKUP(B886,'11.COMPOSIÇÕES GERAIS'!B:I,2,0),VLOOKUP(B886,'12.COT.MERCADO'!A:I,2,0)))),"Em Elaboração")</f>
        <v>SELANTE TIPO VEDA CALHA PARA METAL E FIBROCIMENTO</v>
      </c>
      <c r="F886" s="258" t="str">
        <f>IFERROR(IF(D886="SINAPI-S",VLOOKUP(B886,'20-B.SINAPI-S'!A:J,3,0),IF(D886="SINAPI-I",VLOOKUP(B886,'20-A.SINAPI-I'!A:G,3,0),IF(D886="COMPOSIÇÕES",VLOOKUP(B886,'11.COMPOSIÇÕES GERAIS'!B:I,3,0),VLOOKUP(B886,'12.COT.MERCADO'!A:I,7,0)))),"Em Elaboração")</f>
        <v>KG</v>
      </c>
      <c r="G886" s="254">
        <v>2.0</v>
      </c>
      <c r="H886" s="259">
        <f>IFERROR(IF(D886="SINAPI-S",VLOOKUP(B886,'20-B.SINAPI-S'!A:J,5,0),IF(D886="SINAPI-I",VLOOKUP(B886,'20-A.SINAPI-I'!A:G,6,0),IF(D886="COMPOSIÇÕES",VLOOKUP(B886,'11.COMPOSIÇÕES GERAIS'!B:I,7,0),0))),"Em Elaboração")</f>
        <v>0</v>
      </c>
      <c r="I886" s="259">
        <f>IFERROR(IF(D886="SINAPI-S",VLOOKUP(B886,'20-B.SINAPI-S'!A:J,6,0),IF(D886="SINAPI-I",VLOOKUP(B886,'20-A.SINAPI-I'!A:G,7,0),IF(D886="COMPOSIÇÕES",VLOOKUP(B886,'11.COMPOSIÇÕES GERAIS'!B:I,8,0),VLOOKUP(B886,'12.COT.MERCADO'!A:I,8,0)))),"Em Elaboração")</f>
        <v>64.1</v>
      </c>
      <c r="J886" s="259">
        <f t="shared" si="153"/>
        <v>0</v>
      </c>
      <c r="K886" s="259">
        <f t="shared" si="154"/>
        <v>75.08254691</v>
      </c>
      <c r="L886" s="259">
        <f t="shared" si="155"/>
        <v>75.08254691</v>
      </c>
      <c r="M886" s="259">
        <f t="shared" si="156"/>
        <v>0</v>
      </c>
      <c r="N886" s="259">
        <f t="shared" si="157"/>
        <v>150.1650938</v>
      </c>
      <c r="O886" s="259">
        <f t="shared" si="158"/>
        <v>150.1650938</v>
      </c>
      <c r="P886" s="260">
        <f t="shared" si="2"/>
        <v>0.0001174702845</v>
      </c>
    </row>
    <row r="887">
      <c r="A887" s="253" t="s">
        <v>1042</v>
      </c>
      <c r="B887" s="254">
        <v>37590.0</v>
      </c>
      <c r="C887" s="255" t="str">
        <f t="shared" si="152"/>
        <v>SINAPI</v>
      </c>
      <c r="D887" s="256" t="s">
        <v>286</v>
      </c>
      <c r="E887" s="257" t="str">
        <f>IFERROR(IF(D887="SINAPI-S",VLOOKUP(B887,'20-B.SINAPI-S'!A:J,2,0),IF(D887="SINAPI-I",VLOOKUP(B887,'20-A.SINAPI-I'!A:G,2,0),IF(D887="COMPOSIÇÕES",VLOOKUP(B887,'11.COMPOSIÇÕES GERAIS'!B:I,2,0),VLOOKUP(B887,'12.COT.MERCADO'!A:I,2,0)))),"Em Elaboração")</f>
        <v>SUPORTE MAO-FRANCESA EM ACO, ABAS IGUAIS 30 CM, CAPACIDADE MINIMA 60 KG, BRANCO</v>
      </c>
      <c r="F887" s="258" t="str">
        <f>IFERROR(IF(D887="SINAPI-S",VLOOKUP(B887,'20-B.SINAPI-S'!A:J,3,0),IF(D887="SINAPI-I",VLOOKUP(B887,'20-A.SINAPI-I'!A:G,3,0),IF(D887="COMPOSIÇÕES",VLOOKUP(B887,'11.COMPOSIÇÕES GERAIS'!B:I,3,0),VLOOKUP(B887,'12.COT.MERCADO'!A:I,7,0)))),"Em Elaboração")</f>
        <v>UN</v>
      </c>
      <c r="G887" s="254">
        <v>4.0</v>
      </c>
      <c r="H887" s="259">
        <f>IFERROR(IF(D887="SINAPI-S",VLOOKUP(B887,'20-B.SINAPI-S'!A:J,5,0),IF(D887="SINAPI-I",VLOOKUP(B887,'20-A.SINAPI-I'!A:G,6,0),IF(D887="COMPOSIÇÕES",VLOOKUP(B887,'11.COMPOSIÇÕES GERAIS'!B:I,7,0),0))),"Em Elaboração")</f>
        <v>0</v>
      </c>
      <c r="I887" s="259">
        <f>IFERROR(IF(D887="SINAPI-S",VLOOKUP(B887,'20-B.SINAPI-S'!A:J,6,0),IF(D887="SINAPI-I",VLOOKUP(B887,'20-A.SINAPI-I'!A:G,7,0),IF(D887="COMPOSIÇÕES",VLOOKUP(B887,'11.COMPOSIÇÕES GERAIS'!B:I,8,0),VLOOKUP(B887,'12.COT.MERCADO'!A:I,8,0)))),"Em Elaboração")</f>
        <v>21.92</v>
      </c>
      <c r="J887" s="259">
        <f t="shared" si="153"/>
        <v>0</v>
      </c>
      <c r="K887" s="259">
        <f t="shared" si="154"/>
        <v>25.67565411</v>
      </c>
      <c r="L887" s="259">
        <f t="shared" si="155"/>
        <v>25.67565411</v>
      </c>
      <c r="M887" s="259">
        <f t="shared" si="156"/>
        <v>0</v>
      </c>
      <c r="N887" s="259">
        <f t="shared" si="157"/>
        <v>102.7026164</v>
      </c>
      <c r="O887" s="259">
        <f t="shared" si="158"/>
        <v>102.7026164</v>
      </c>
      <c r="P887" s="260">
        <f t="shared" si="2"/>
        <v>0.00008034161108</v>
      </c>
    </row>
    <row r="888">
      <c r="A888" s="253" t="s">
        <v>1043</v>
      </c>
      <c r="B888" s="254">
        <v>938.0</v>
      </c>
      <c r="C888" s="255" t="str">
        <f t="shared" si="152"/>
        <v>SINAPI</v>
      </c>
      <c r="D888" s="256" t="s">
        <v>286</v>
      </c>
      <c r="E888" s="257" t="str">
        <f>IFERROR(IF(D888="SINAPI-S",VLOOKUP(B888,'20-B.SINAPI-S'!A:J,2,0),IF(D888="SINAPI-I",VLOOKUP(B888,'20-A.SINAPI-I'!A:G,2,0),IF(D888="COMPOSIÇÕES",VLOOKUP(B888,'11.COMPOSIÇÕES GERAIS'!B:I,2,0),VLOOKUP(B888,'12.COT.MERCADO'!A:I,2,0)))),"Em Elaboração")</f>
        <v>FIO DE COBRE, SOLIDO, CLASSE 1, ISOLACAO EM PVC/A, ANTICHAMA BWF-B, 450/750V, SECAO NOMINAL 1,5 MM2</v>
      </c>
      <c r="F888" s="258" t="str">
        <f>IFERROR(IF(D888="SINAPI-S",VLOOKUP(B888,'20-B.SINAPI-S'!A:J,3,0),IF(D888="SINAPI-I",VLOOKUP(B888,'20-A.SINAPI-I'!A:G,3,0),IF(D888="COMPOSIÇÕES",VLOOKUP(B888,'11.COMPOSIÇÕES GERAIS'!B:I,3,0),VLOOKUP(B888,'12.COT.MERCADO'!A:I,7,0)))),"Em Elaboração")</f>
        <v>M</v>
      </c>
      <c r="G888" s="254">
        <v>75.0</v>
      </c>
      <c r="H888" s="259">
        <f>IFERROR(IF(D888="SINAPI-S",VLOOKUP(B888,'20-B.SINAPI-S'!A:J,5,0),IF(D888="SINAPI-I",VLOOKUP(B888,'20-A.SINAPI-I'!A:G,6,0),IF(D888="COMPOSIÇÕES",VLOOKUP(B888,'11.COMPOSIÇÕES GERAIS'!B:I,7,0),0))),"Em Elaboração")</f>
        <v>0</v>
      </c>
      <c r="I888" s="259">
        <f>IFERROR(IF(D888="SINAPI-S",VLOOKUP(B888,'20-B.SINAPI-S'!A:J,6,0),IF(D888="SINAPI-I",VLOOKUP(B888,'20-A.SINAPI-I'!A:G,7,0),IF(D888="COMPOSIÇÕES",VLOOKUP(B888,'11.COMPOSIÇÕES GERAIS'!B:I,8,0),VLOOKUP(B888,'12.COT.MERCADO'!A:I,8,0)))),"Em Elaboração")</f>
        <v>1.49</v>
      </c>
      <c r="J888" s="259">
        <f t="shared" si="153"/>
        <v>0</v>
      </c>
      <c r="K888" s="259">
        <f t="shared" si="154"/>
        <v>1.745288532</v>
      </c>
      <c r="L888" s="259">
        <f t="shared" si="155"/>
        <v>1.745288532</v>
      </c>
      <c r="M888" s="259">
        <f t="shared" si="156"/>
        <v>0</v>
      </c>
      <c r="N888" s="259">
        <f t="shared" si="157"/>
        <v>130.8966399</v>
      </c>
      <c r="O888" s="259">
        <f t="shared" si="158"/>
        <v>130.8966399</v>
      </c>
      <c r="P888" s="260">
        <f t="shared" si="2"/>
        <v>0.0001023970693</v>
      </c>
    </row>
    <row r="889">
      <c r="A889" s="249" t="s">
        <v>1044</v>
      </c>
      <c r="B889" s="250" t="s">
        <v>1045</v>
      </c>
      <c r="C889" s="44"/>
      <c r="D889" s="44"/>
      <c r="E889" s="44"/>
      <c r="F889" s="44"/>
      <c r="G889" s="44"/>
      <c r="H889" s="44"/>
      <c r="I889" s="44"/>
      <c r="J889" s="44"/>
      <c r="K889" s="44"/>
      <c r="L889" s="44"/>
      <c r="M889" s="251">
        <f t="shared" ref="M889:O889" si="159">SUM(M890,M919,M932,M936,M939,M947,M960,M963,M976,M1014,M1033,M1039,M1045,M1058,M1068,M1076)</f>
        <v>0</v>
      </c>
      <c r="N889" s="251">
        <f t="shared" si="159"/>
        <v>65897.44348</v>
      </c>
      <c r="O889" s="251">
        <f t="shared" si="159"/>
        <v>65897.44348</v>
      </c>
      <c r="P889" s="252">
        <f t="shared" si="2"/>
        <v>0.05154987243</v>
      </c>
    </row>
    <row r="890">
      <c r="A890" s="261" t="s">
        <v>1046</v>
      </c>
      <c r="B890" s="262" t="s">
        <v>1047</v>
      </c>
      <c r="C890" s="44"/>
      <c r="D890" s="44"/>
      <c r="E890" s="44"/>
      <c r="F890" s="44"/>
      <c r="G890" s="44"/>
      <c r="H890" s="44"/>
      <c r="I890" s="44"/>
      <c r="J890" s="44"/>
      <c r="K890" s="44"/>
      <c r="L890" s="44"/>
      <c r="M890" s="263">
        <f t="shared" ref="M890:O890" si="160">SUM(M891:M918)</f>
        <v>0</v>
      </c>
      <c r="N890" s="263">
        <f t="shared" si="160"/>
        <v>30939.0812</v>
      </c>
      <c r="O890" s="263">
        <f t="shared" si="160"/>
        <v>30939.0812</v>
      </c>
      <c r="P890" s="264">
        <f t="shared" si="2"/>
        <v>0.0242028462</v>
      </c>
    </row>
    <row r="891">
      <c r="A891" s="253" t="s">
        <v>1048</v>
      </c>
      <c r="B891" s="254" t="s">
        <v>1049</v>
      </c>
      <c r="C891" s="255" t="str">
        <f t="shared" ref="C891:C918" si="161">IF(OR(D891="SINAPI-S",D891="SINAPI-I"),"SINAPI","PRÓPRIO")</f>
        <v>PRÓPRIO</v>
      </c>
      <c r="D891" s="256" t="s">
        <v>110</v>
      </c>
      <c r="E891" s="257" t="str">
        <f>IFERROR(IF(D891="SINAPI-S",VLOOKUP(B891,'20-B.SINAPI-S'!A:J,2,0),IF(D891="SINAPI-I",VLOOKUP(B891,'20-A.SINAPI-I'!A:G,2,0),IF(D891="COMPOSIÇÕES",VLOOKUP(B891,'11.COMPOSIÇÕES GERAIS'!B:I,2,0),VLOOKUP(B891,'12.COT.MERCADO'!A:I,2,0)))),"Em Elaboração")</f>
        <v>COMPRESSOR CAPACIDADE 7.000 A 7.500 BTUS ROTATIVO R22 220V</v>
      </c>
      <c r="F891" s="258" t="str">
        <f>IFERROR(IF(D891="SINAPI-S",VLOOKUP(B891,'20-B.SINAPI-S'!A:J,3,0),IF(D891="SINAPI-I",VLOOKUP(B891,'20-A.SINAPI-I'!A:G,3,0),IF(D891="COMPOSIÇÕES",VLOOKUP(B891,'11.COMPOSIÇÕES GERAIS'!B:I,3,0),VLOOKUP(B891,'12.COT.MERCADO'!A:I,7,0)))),"Em Elaboração")</f>
        <v>UN </v>
      </c>
      <c r="G891" s="254">
        <v>1.0</v>
      </c>
      <c r="H891" s="259">
        <f>IFERROR(IF(D891="SINAPI-S",VLOOKUP(B891,'20-B.SINAPI-S'!A:J,5,0),IF(D891="SINAPI-I",VLOOKUP(B891,'20-A.SINAPI-I'!A:G,6,0),IF(D891="COMPOSIÇÕES",VLOOKUP(B891,'11.COMPOSIÇÕES GERAIS'!B:I,7,0),0))),"Em Elaboração")</f>
        <v>0</v>
      </c>
      <c r="I891" s="259">
        <f>IFERROR(IF(D891="SINAPI-S",VLOOKUP(B891,'20-B.SINAPI-S'!A:J,6,0),IF(D891="SINAPI-I",VLOOKUP(B891,'20-A.SINAPI-I'!A:G,7,0),IF(D891="COMPOSIÇÕES",VLOOKUP(B891,'11.COMPOSIÇÕES GERAIS'!B:I,8,0),VLOOKUP(B891,'12.COT.MERCADO'!A:I,8,0)))),"Em Elaboração")</f>
        <v>634.43</v>
      </c>
      <c r="J891" s="259">
        <f t="shared" ref="J891:J918" si="162">H891*(1+$J$5)</f>
        <v>0</v>
      </c>
      <c r="K891" s="259">
        <f t="shared" ref="K891:K918" si="163">I891*(1+$J$8)</f>
        <v>743.1298008</v>
      </c>
      <c r="L891" s="259">
        <f t="shared" ref="L891:L918" si="164">SUM(J891:K891)</f>
        <v>743.1298008</v>
      </c>
      <c r="M891" s="259">
        <f t="shared" ref="M891:M918" si="165">J891*G891</f>
        <v>0</v>
      </c>
      <c r="N891" s="259">
        <f t="shared" ref="N891:N918" si="166">K891*G891</f>
        <v>743.1298008</v>
      </c>
      <c r="O891" s="259">
        <f t="shared" ref="O891:O918" si="167">SUM(M891:N891)</f>
        <v>743.1298008</v>
      </c>
      <c r="P891" s="260">
        <f t="shared" si="2"/>
        <v>0.0005813312993</v>
      </c>
    </row>
    <row r="892">
      <c r="A892" s="253" t="s">
        <v>1050</v>
      </c>
      <c r="B892" s="254" t="s">
        <v>1051</v>
      </c>
      <c r="C892" s="255" t="str">
        <f t="shared" si="161"/>
        <v>PRÓPRIO</v>
      </c>
      <c r="D892" s="256" t="s">
        <v>110</v>
      </c>
      <c r="E892" s="257" t="str">
        <f>IFERROR(IF(D892="SINAPI-S",VLOOKUP(B892,'20-B.SINAPI-S'!A:J,2,0),IF(D892="SINAPI-I",VLOOKUP(B892,'20-A.SINAPI-I'!A:G,2,0),IF(D892="COMPOSIÇÕES",VLOOKUP(B892,'11.COMPOSIÇÕES GERAIS'!B:I,2,0),VLOOKUP(B892,'12.COT.MERCADO'!A:I,2,0)))),"Em Elaboração")</f>
        <v>COMPRESSOR CAPACIDADE 9.000 BTUS ROTATIVO R22 220V</v>
      </c>
      <c r="F892" s="258" t="str">
        <f>IFERROR(IF(D892="SINAPI-S",VLOOKUP(B892,'20-B.SINAPI-S'!A:J,3,0),IF(D892="SINAPI-I",VLOOKUP(B892,'20-A.SINAPI-I'!A:G,3,0),IF(D892="COMPOSIÇÕES",VLOOKUP(B892,'11.COMPOSIÇÕES GERAIS'!B:I,3,0),VLOOKUP(B892,'12.COT.MERCADO'!A:I,7,0)))),"Em Elaboração")</f>
        <v>UN </v>
      </c>
      <c r="G892" s="254">
        <v>1.0</v>
      </c>
      <c r="H892" s="259">
        <f>IFERROR(IF(D892="SINAPI-S",VLOOKUP(B892,'20-B.SINAPI-S'!A:J,5,0),IF(D892="SINAPI-I",VLOOKUP(B892,'20-A.SINAPI-I'!A:G,6,0),IF(D892="COMPOSIÇÕES",VLOOKUP(B892,'11.COMPOSIÇÕES GERAIS'!B:I,7,0),0))),"Em Elaboração")</f>
        <v>0</v>
      </c>
      <c r="I892" s="259">
        <f>IFERROR(IF(D892="SINAPI-S",VLOOKUP(B892,'20-B.SINAPI-S'!A:J,6,0),IF(D892="SINAPI-I",VLOOKUP(B892,'20-A.SINAPI-I'!A:G,7,0),IF(D892="COMPOSIÇÕES",VLOOKUP(B892,'11.COMPOSIÇÕES GERAIS'!B:I,8,0),VLOOKUP(B892,'12.COT.MERCADO'!A:I,8,0)))),"Em Elaboração")</f>
        <v>527.02</v>
      </c>
      <c r="J892" s="259">
        <f t="shared" si="162"/>
        <v>0</v>
      </c>
      <c r="K892" s="259">
        <f t="shared" si="163"/>
        <v>617.3167531</v>
      </c>
      <c r="L892" s="259">
        <f t="shared" si="164"/>
        <v>617.3167531</v>
      </c>
      <c r="M892" s="259">
        <f t="shared" si="165"/>
        <v>0</v>
      </c>
      <c r="N892" s="259">
        <f t="shared" si="166"/>
        <v>617.3167531</v>
      </c>
      <c r="O892" s="259">
        <f t="shared" si="167"/>
        <v>617.3167531</v>
      </c>
      <c r="P892" s="260">
        <f t="shared" si="2"/>
        <v>0.0004829109931</v>
      </c>
    </row>
    <row r="893">
      <c r="A893" s="253" t="s">
        <v>1052</v>
      </c>
      <c r="B893" s="254" t="s">
        <v>1053</v>
      </c>
      <c r="C893" s="255" t="str">
        <f t="shared" si="161"/>
        <v>PRÓPRIO</v>
      </c>
      <c r="D893" s="256" t="s">
        <v>110</v>
      </c>
      <c r="E893" s="257" t="str">
        <f>IFERROR(IF(D893="SINAPI-S",VLOOKUP(B893,'20-B.SINAPI-S'!A:J,2,0),IF(D893="SINAPI-I",VLOOKUP(B893,'20-A.SINAPI-I'!A:G,2,0),IF(D893="COMPOSIÇÕES",VLOOKUP(B893,'11.COMPOSIÇÕES GERAIS'!B:I,2,0),VLOOKUP(B893,'12.COT.MERCADO'!A:I,2,0)))),"Em Elaboração")</f>
        <v>COMPRESSOR CAPACIDADE 12.000 BTUS ROTATIVO R22 220V</v>
      </c>
      <c r="F893" s="258" t="str">
        <f>IFERROR(IF(D893="SINAPI-S",VLOOKUP(B893,'20-B.SINAPI-S'!A:J,3,0),IF(D893="SINAPI-I",VLOOKUP(B893,'20-A.SINAPI-I'!A:G,3,0),IF(D893="COMPOSIÇÕES",VLOOKUP(B893,'11.COMPOSIÇÕES GERAIS'!B:I,3,0),VLOOKUP(B893,'12.COT.MERCADO'!A:I,7,0)))),"Em Elaboração")</f>
        <v>UN </v>
      </c>
      <c r="G893" s="254">
        <v>1.0</v>
      </c>
      <c r="H893" s="259">
        <f>IFERROR(IF(D893="SINAPI-S",VLOOKUP(B893,'20-B.SINAPI-S'!A:J,5,0),IF(D893="SINAPI-I",VLOOKUP(B893,'20-A.SINAPI-I'!A:G,6,0),IF(D893="COMPOSIÇÕES",VLOOKUP(B893,'11.COMPOSIÇÕES GERAIS'!B:I,7,0),0))),"Em Elaboração")</f>
        <v>0</v>
      </c>
      <c r="I893" s="259">
        <f>IFERROR(IF(D893="SINAPI-S",VLOOKUP(B893,'20-B.SINAPI-S'!A:J,6,0),IF(D893="SINAPI-I",VLOOKUP(B893,'20-A.SINAPI-I'!A:G,7,0),IF(D893="COMPOSIÇÕES",VLOOKUP(B893,'11.COMPOSIÇÕES GERAIS'!B:I,8,0),VLOOKUP(B893,'12.COT.MERCADO'!A:I,8,0)))),"Em Elaboração")</f>
        <v>792.9</v>
      </c>
      <c r="J893" s="259">
        <f t="shared" si="162"/>
        <v>0</v>
      </c>
      <c r="K893" s="259">
        <f t="shared" si="163"/>
        <v>928.7511926</v>
      </c>
      <c r="L893" s="259">
        <f t="shared" si="164"/>
        <v>928.7511926</v>
      </c>
      <c r="M893" s="259">
        <f t="shared" si="165"/>
        <v>0</v>
      </c>
      <c r="N893" s="259">
        <f t="shared" si="166"/>
        <v>928.7511926</v>
      </c>
      <c r="O893" s="259">
        <f t="shared" si="167"/>
        <v>928.7511926</v>
      </c>
      <c r="P893" s="260">
        <f t="shared" si="2"/>
        <v>0.0007265381322</v>
      </c>
    </row>
    <row r="894">
      <c r="A894" s="253" t="s">
        <v>1054</v>
      </c>
      <c r="B894" s="254" t="s">
        <v>1055</v>
      </c>
      <c r="C894" s="255" t="str">
        <f t="shared" si="161"/>
        <v>PRÓPRIO</v>
      </c>
      <c r="D894" s="256" t="s">
        <v>110</v>
      </c>
      <c r="E894" s="257" t="str">
        <f>IFERROR(IF(D894="SINAPI-S",VLOOKUP(B894,'20-B.SINAPI-S'!A:J,2,0),IF(D894="SINAPI-I",VLOOKUP(B894,'20-A.SINAPI-I'!A:G,2,0),IF(D894="COMPOSIÇÕES",VLOOKUP(B894,'11.COMPOSIÇÕES GERAIS'!B:I,2,0),VLOOKUP(B894,'12.COT.MERCADO'!A:I,2,0)))),"Em Elaboração")</f>
        <v>COMPRESSOR CAPACIDADE 18.000 BTUS ROTATIVO R22 220V</v>
      </c>
      <c r="F894" s="258" t="str">
        <f>IFERROR(IF(D894="SINAPI-S",VLOOKUP(B894,'20-B.SINAPI-S'!A:J,3,0),IF(D894="SINAPI-I",VLOOKUP(B894,'20-A.SINAPI-I'!A:G,3,0),IF(D894="COMPOSIÇÕES",VLOOKUP(B894,'11.COMPOSIÇÕES GERAIS'!B:I,3,0),VLOOKUP(B894,'12.COT.MERCADO'!A:I,7,0)))),"Em Elaboração")</f>
        <v>UN </v>
      </c>
      <c r="G894" s="254">
        <v>1.0</v>
      </c>
      <c r="H894" s="259">
        <f>IFERROR(IF(D894="SINAPI-S",VLOOKUP(B894,'20-B.SINAPI-S'!A:J,5,0),IF(D894="SINAPI-I",VLOOKUP(B894,'20-A.SINAPI-I'!A:G,6,0),IF(D894="COMPOSIÇÕES",VLOOKUP(B894,'11.COMPOSIÇÕES GERAIS'!B:I,7,0),0))),"Em Elaboração")</f>
        <v>0</v>
      </c>
      <c r="I894" s="259">
        <f>IFERROR(IF(D894="SINAPI-S",VLOOKUP(B894,'20-B.SINAPI-S'!A:J,6,0),IF(D894="SINAPI-I",VLOOKUP(B894,'20-A.SINAPI-I'!A:G,7,0),IF(D894="COMPOSIÇÕES",VLOOKUP(B894,'11.COMPOSIÇÕES GERAIS'!B:I,8,0),VLOOKUP(B894,'12.COT.MERCADO'!A:I,8,0)))),"Em Elaboração")</f>
        <v>1078.92</v>
      </c>
      <c r="J894" s="259">
        <f t="shared" si="162"/>
        <v>0</v>
      </c>
      <c r="K894" s="259">
        <f t="shared" si="163"/>
        <v>1263.776311</v>
      </c>
      <c r="L894" s="259">
        <f t="shared" si="164"/>
        <v>1263.776311</v>
      </c>
      <c r="M894" s="259">
        <f t="shared" si="165"/>
        <v>0</v>
      </c>
      <c r="N894" s="259">
        <f t="shared" si="166"/>
        <v>1263.776311</v>
      </c>
      <c r="O894" s="259">
        <f t="shared" si="167"/>
        <v>1263.776311</v>
      </c>
      <c r="P894" s="260">
        <f t="shared" si="2"/>
        <v>0.0009886196514</v>
      </c>
    </row>
    <row r="895">
      <c r="A895" s="253" t="s">
        <v>1056</v>
      </c>
      <c r="B895" s="254" t="s">
        <v>1057</v>
      </c>
      <c r="C895" s="255" t="str">
        <f t="shared" si="161"/>
        <v>PRÓPRIO</v>
      </c>
      <c r="D895" s="256" t="s">
        <v>110</v>
      </c>
      <c r="E895" s="257" t="str">
        <f>IFERROR(IF(D895="SINAPI-S",VLOOKUP(B895,'20-B.SINAPI-S'!A:J,2,0),IF(D895="SINAPI-I",VLOOKUP(B895,'20-A.SINAPI-I'!A:G,2,0),IF(D895="COMPOSIÇÕES",VLOOKUP(B895,'11.COMPOSIÇÕES GERAIS'!B:I,2,0),VLOOKUP(B895,'12.COT.MERCADO'!A:I,2,0)))),"Em Elaboração")</f>
        <v>COMPRESSOR CAPACIDADE 24.000 BTUS ROTATIVO R22 220V</v>
      </c>
      <c r="F895" s="258" t="str">
        <f>IFERROR(IF(D895="SINAPI-S",VLOOKUP(B895,'20-B.SINAPI-S'!A:J,3,0),IF(D895="SINAPI-I",VLOOKUP(B895,'20-A.SINAPI-I'!A:G,3,0),IF(D895="COMPOSIÇÕES",VLOOKUP(B895,'11.COMPOSIÇÕES GERAIS'!B:I,3,0),VLOOKUP(B895,'12.COT.MERCADO'!A:I,7,0)))),"Em Elaboração")</f>
        <v>UN </v>
      </c>
      <c r="G895" s="254">
        <v>1.0</v>
      </c>
      <c r="H895" s="259">
        <f>IFERROR(IF(D895="SINAPI-S",VLOOKUP(B895,'20-B.SINAPI-S'!A:J,5,0),IF(D895="SINAPI-I",VLOOKUP(B895,'20-A.SINAPI-I'!A:G,6,0),IF(D895="COMPOSIÇÕES",VLOOKUP(B895,'11.COMPOSIÇÕES GERAIS'!B:I,7,0),0))),"Em Elaboração")</f>
        <v>0</v>
      </c>
      <c r="I895" s="259">
        <f>IFERROR(IF(D895="SINAPI-S",VLOOKUP(B895,'20-B.SINAPI-S'!A:J,6,0),IF(D895="SINAPI-I",VLOOKUP(B895,'20-A.SINAPI-I'!A:G,7,0),IF(D895="COMPOSIÇÕES",VLOOKUP(B895,'11.COMPOSIÇÕES GERAIS'!B:I,8,0),VLOOKUP(B895,'12.COT.MERCADO'!A:I,8,0)))),"Em Elaboração")</f>
        <v>899.99</v>
      </c>
      <c r="J895" s="259">
        <f t="shared" si="162"/>
        <v>0</v>
      </c>
      <c r="K895" s="259">
        <f t="shared" si="163"/>
        <v>1054.189413</v>
      </c>
      <c r="L895" s="259">
        <f t="shared" si="164"/>
        <v>1054.189413</v>
      </c>
      <c r="M895" s="259">
        <f t="shared" si="165"/>
        <v>0</v>
      </c>
      <c r="N895" s="259">
        <f t="shared" si="166"/>
        <v>1054.189413</v>
      </c>
      <c r="O895" s="259">
        <f t="shared" si="167"/>
        <v>1054.189413</v>
      </c>
      <c r="P895" s="260">
        <f t="shared" si="2"/>
        <v>0.0008246652208</v>
      </c>
    </row>
    <row r="896">
      <c r="A896" s="253" t="s">
        <v>1058</v>
      </c>
      <c r="B896" s="254" t="s">
        <v>1059</v>
      </c>
      <c r="C896" s="255" t="str">
        <f t="shared" si="161"/>
        <v>PRÓPRIO</v>
      </c>
      <c r="D896" s="256" t="s">
        <v>110</v>
      </c>
      <c r="E896" s="257" t="str">
        <f>IFERROR(IF(D896="SINAPI-S",VLOOKUP(B896,'20-B.SINAPI-S'!A:J,2,0),IF(D896="SINAPI-I",VLOOKUP(B896,'20-A.SINAPI-I'!A:G,2,0),IF(D896="COMPOSIÇÕES",VLOOKUP(B896,'11.COMPOSIÇÕES GERAIS'!B:I,2,0),VLOOKUP(B896,'12.COT.MERCADO'!A:I,2,0)))),"Em Elaboração")</f>
        <v>COMPRESSOR CAPACIDADE 30.000 BTUS ROTATIVO R22 220V</v>
      </c>
      <c r="F896" s="258" t="str">
        <f>IFERROR(IF(D896="SINAPI-S",VLOOKUP(B896,'20-B.SINAPI-S'!A:J,3,0),IF(D896="SINAPI-I",VLOOKUP(B896,'20-A.SINAPI-I'!A:G,3,0),IF(D896="COMPOSIÇÕES",VLOOKUP(B896,'11.COMPOSIÇÕES GERAIS'!B:I,3,0),VLOOKUP(B896,'12.COT.MERCADO'!A:I,7,0)))),"Em Elaboração")</f>
        <v>UN </v>
      </c>
      <c r="G896" s="254">
        <v>1.0</v>
      </c>
      <c r="H896" s="259">
        <f>IFERROR(IF(D896="SINAPI-S",VLOOKUP(B896,'20-B.SINAPI-S'!A:J,5,0),IF(D896="SINAPI-I",VLOOKUP(B896,'20-A.SINAPI-I'!A:G,6,0),IF(D896="COMPOSIÇÕES",VLOOKUP(B896,'11.COMPOSIÇÕES GERAIS'!B:I,7,0),0))),"Em Elaboração")</f>
        <v>0</v>
      </c>
      <c r="I896" s="259">
        <f>IFERROR(IF(D896="SINAPI-S",VLOOKUP(B896,'20-B.SINAPI-S'!A:J,6,0),IF(D896="SINAPI-I",VLOOKUP(B896,'20-A.SINAPI-I'!A:G,7,0),IF(D896="COMPOSIÇÕES",VLOOKUP(B896,'11.COMPOSIÇÕES GERAIS'!B:I,8,0),VLOOKUP(B896,'12.COT.MERCADO'!A:I,8,0)))),"Em Elaboração")</f>
        <v>1510.5</v>
      </c>
      <c r="J896" s="259">
        <f t="shared" si="162"/>
        <v>0</v>
      </c>
      <c r="K896" s="259">
        <f t="shared" si="163"/>
        <v>1769.300891</v>
      </c>
      <c r="L896" s="259">
        <f t="shared" si="164"/>
        <v>1769.300891</v>
      </c>
      <c r="M896" s="259">
        <f t="shared" si="165"/>
        <v>0</v>
      </c>
      <c r="N896" s="259">
        <f t="shared" si="166"/>
        <v>1769.300891</v>
      </c>
      <c r="O896" s="259">
        <f t="shared" si="167"/>
        <v>1769.300891</v>
      </c>
      <c r="P896" s="260">
        <f t="shared" si="2"/>
        <v>0.001384078508</v>
      </c>
    </row>
    <row r="897">
      <c r="A897" s="253" t="s">
        <v>1060</v>
      </c>
      <c r="B897" s="254" t="s">
        <v>1061</v>
      </c>
      <c r="C897" s="255" t="str">
        <f t="shared" si="161"/>
        <v>PRÓPRIO</v>
      </c>
      <c r="D897" s="256" t="s">
        <v>110</v>
      </c>
      <c r="E897" s="257" t="str">
        <f>IFERROR(IF(D897="SINAPI-S",VLOOKUP(B897,'20-B.SINAPI-S'!A:J,2,0),IF(D897="SINAPI-I",VLOOKUP(B897,'20-A.SINAPI-I'!A:G,2,0),IF(D897="COMPOSIÇÕES",VLOOKUP(B897,'11.COMPOSIÇÕES GERAIS'!B:I,2,0),VLOOKUP(B897,'12.COT.MERCADO'!A:I,2,0)))),"Em Elaboração")</f>
        <v>COMPRESSOR CAPACIDADE 36.000 BTUS ROTATIVO R22 220V. </v>
      </c>
      <c r="F897" s="258" t="str">
        <f>IFERROR(IF(D897="SINAPI-S",VLOOKUP(B897,'20-B.SINAPI-S'!A:J,3,0),IF(D897="SINAPI-I",VLOOKUP(B897,'20-A.SINAPI-I'!A:G,3,0),IF(D897="COMPOSIÇÕES",VLOOKUP(B897,'11.COMPOSIÇÕES GERAIS'!B:I,3,0),VLOOKUP(B897,'12.COT.MERCADO'!A:I,7,0)))),"Em Elaboração")</f>
        <v>UN </v>
      </c>
      <c r="G897" s="254">
        <v>1.0</v>
      </c>
      <c r="H897" s="259">
        <f>IFERROR(IF(D897="SINAPI-S",VLOOKUP(B897,'20-B.SINAPI-S'!A:J,5,0),IF(D897="SINAPI-I",VLOOKUP(B897,'20-A.SINAPI-I'!A:G,6,0),IF(D897="COMPOSIÇÕES",VLOOKUP(B897,'11.COMPOSIÇÕES GERAIS'!B:I,7,0),0))),"Em Elaboração")</f>
        <v>0</v>
      </c>
      <c r="I897" s="259">
        <f>IFERROR(IF(D897="SINAPI-S",VLOOKUP(B897,'20-B.SINAPI-S'!A:J,6,0),IF(D897="SINAPI-I",VLOOKUP(B897,'20-A.SINAPI-I'!A:G,7,0),IF(D897="COMPOSIÇÕES",VLOOKUP(B897,'11.COMPOSIÇÕES GERAIS'!B:I,8,0),VLOOKUP(B897,'12.COT.MERCADO'!A:I,8,0)))),"Em Elaboração")</f>
        <v>2332.48</v>
      </c>
      <c r="J897" s="259">
        <f t="shared" si="162"/>
        <v>0</v>
      </c>
      <c r="K897" s="259">
        <f t="shared" si="163"/>
        <v>2732.114493</v>
      </c>
      <c r="L897" s="259">
        <f t="shared" si="164"/>
        <v>2732.114493</v>
      </c>
      <c r="M897" s="259">
        <f t="shared" si="165"/>
        <v>0</v>
      </c>
      <c r="N897" s="259">
        <f t="shared" si="166"/>
        <v>2732.114493</v>
      </c>
      <c r="O897" s="259">
        <f t="shared" si="167"/>
        <v>2732.114493</v>
      </c>
      <c r="P897" s="260">
        <f t="shared" si="2"/>
        <v>0.002137262785</v>
      </c>
    </row>
    <row r="898">
      <c r="A898" s="253" t="s">
        <v>1062</v>
      </c>
      <c r="B898" s="254" t="s">
        <v>1063</v>
      </c>
      <c r="C898" s="255" t="str">
        <f t="shared" si="161"/>
        <v>PRÓPRIO</v>
      </c>
      <c r="D898" s="256" t="s">
        <v>110</v>
      </c>
      <c r="E898" s="257" t="str">
        <f>IFERROR(IF(D898="SINAPI-S",VLOOKUP(B898,'20-B.SINAPI-S'!A:J,2,0),IF(D898="SINAPI-I",VLOOKUP(B898,'20-A.SINAPI-I'!A:G,2,0),IF(D898="COMPOSIÇÕES",VLOOKUP(B898,'11.COMPOSIÇÕES GERAIS'!B:I,2,0),VLOOKUP(B898,'12.COT.MERCADO'!A:I,2,0)))),"Em Elaboração")</f>
        <v>COMPRESSOR CAPACIDADE 48.000 BTUS ROTATIVO R22 220V. REF.: SCROLL SANYO CSB303H6B</v>
      </c>
      <c r="F898" s="258" t="str">
        <f>IFERROR(IF(D898="SINAPI-S",VLOOKUP(B898,'20-B.SINAPI-S'!A:J,3,0),IF(D898="SINAPI-I",VLOOKUP(B898,'20-A.SINAPI-I'!A:G,3,0),IF(D898="COMPOSIÇÕES",VLOOKUP(B898,'11.COMPOSIÇÕES GERAIS'!B:I,3,0),VLOOKUP(B898,'12.COT.MERCADO'!A:I,7,0)))),"Em Elaboração")</f>
        <v>UN </v>
      </c>
      <c r="G898" s="254">
        <v>1.0</v>
      </c>
      <c r="H898" s="259">
        <f>IFERROR(IF(D898="SINAPI-S",VLOOKUP(B898,'20-B.SINAPI-S'!A:J,5,0),IF(D898="SINAPI-I",VLOOKUP(B898,'20-A.SINAPI-I'!A:G,6,0),IF(D898="COMPOSIÇÕES",VLOOKUP(B898,'11.COMPOSIÇÕES GERAIS'!B:I,7,0),0))),"Em Elaboração")</f>
        <v>0</v>
      </c>
      <c r="I898" s="259">
        <f>IFERROR(IF(D898="SINAPI-S",VLOOKUP(B898,'20-B.SINAPI-S'!A:J,6,0),IF(D898="SINAPI-I",VLOOKUP(B898,'20-A.SINAPI-I'!A:G,7,0),IF(D898="COMPOSIÇÕES",VLOOKUP(B898,'11.COMPOSIÇÕES GERAIS'!B:I,8,0),VLOOKUP(B898,'12.COT.MERCADO'!A:I,8,0)))),"Em Elaboração")</f>
        <v>2223.49</v>
      </c>
      <c r="J898" s="259">
        <f t="shared" si="162"/>
        <v>0</v>
      </c>
      <c r="K898" s="259">
        <f t="shared" si="163"/>
        <v>2604.450737</v>
      </c>
      <c r="L898" s="259">
        <f t="shared" si="164"/>
        <v>2604.450737</v>
      </c>
      <c r="M898" s="259">
        <f t="shared" si="165"/>
        <v>0</v>
      </c>
      <c r="N898" s="259">
        <f t="shared" si="166"/>
        <v>2604.450737</v>
      </c>
      <c r="O898" s="259">
        <f t="shared" si="167"/>
        <v>2604.450737</v>
      </c>
      <c r="P898" s="260">
        <f t="shared" si="2"/>
        <v>0.002037394718</v>
      </c>
    </row>
    <row r="899">
      <c r="A899" s="253" t="s">
        <v>1064</v>
      </c>
      <c r="B899" s="254" t="s">
        <v>1065</v>
      </c>
      <c r="C899" s="255" t="str">
        <f t="shared" si="161"/>
        <v>PRÓPRIO</v>
      </c>
      <c r="D899" s="256" t="s">
        <v>110</v>
      </c>
      <c r="E899" s="257" t="str">
        <f>IFERROR(IF(D899="SINAPI-S",VLOOKUP(B899,'20-B.SINAPI-S'!A:J,2,0),IF(D899="SINAPI-I",VLOOKUP(B899,'20-A.SINAPI-I'!A:G,2,0),IF(D899="COMPOSIÇÕES",VLOOKUP(B899,'11.COMPOSIÇÕES GERAIS'!B:I,2,0),VLOOKUP(B899,'12.COT.MERCADO'!A:I,2,0)))),"Em Elaboração")</f>
        <v>COMPRESSOR CAPACIDADE 60.000 BTUS ROTATIVO R22 220V. REF.: SRCOLL COPELAND ZR57KETF552E</v>
      </c>
      <c r="F899" s="258" t="str">
        <f>IFERROR(IF(D899="SINAPI-S",VLOOKUP(B899,'20-B.SINAPI-S'!A:J,3,0),IF(D899="SINAPI-I",VLOOKUP(B899,'20-A.SINAPI-I'!A:G,3,0),IF(D899="COMPOSIÇÕES",VLOOKUP(B899,'11.COMPOSIÇÕES GERAIS'!B:I,3,0),VLOOKUP(B899,'12.COT.MERCADO'!A:I,7,0)))),"Em Elaboração")</f>
        <v>UN </v>
      </c>
      <c r="G899" s="254">
        <v>1.0</v>
      </c>
      <c r="H899" s="259">
        <f>IFERROR(IF(D899="SINAPI-S",VLOOKUP(B899,'20-B.SINAPI-S'!A:J,5,0),IF(D899="SINAPI-I",VLOOKUP(B899,'20-A.SINAPI-I'!A:G,6,0),IF(D899="COMPOSIÇÕES",VLOOKUP(B899,'11.COMPOSIÇÕES GERAIS'!B:I,7,0),0))),"Em Elaboração")</f>
        <v>0</v>
      </c>
      <c r="I899" s="259">
        <f>IFERROR(IF(D899="SINAPI-S",VLOOKUP(B899,'20-B.SINAPI-S'!A:J,6,0),IF(D899="SINAPI-I",VLOOKUP(B899,'20-A.SINAPI-I'!A:G,7,0),IF(D899="COMPOSIÇÕES",VLOOKUP(B899,'11.COMPOSIÇÕES GERAIS'!B:I,8,0),VLOOKUP(B899,'12.COT.MERCADO'!A:I,8,0)))),"Em Elaboração")</f>
        <v>2462.4</v>
      </c>
      <c r="J899" s="259">
        <f t="shared" si="162"/>
        <v>0</v>
      </c>
      <c r="K899" s="259">
        <f t="shared" si="163"/>
        <v>2884.294282</v>
      </c>
      <c r="L899" s="259">
        <f t="shared" si="164"/>
        <v>2884.294282</v>
      </c>
      <c r="M899" s="259">
        <f t="shared" si="165"/>
        <v>0</v>
      </c>
      <c r="N899" s="259">
        <f t="shared" si="166"/>
        <v>2884.294282</v>
      </c>
      <c r="O899" s="259">
        <f t="shared" si="167"/>
        <v>2884.294282</v>
      </c>
      <c r="P899" s="260">
        <f t="shared" si="2"/>
        <v>0.002256309114</v>
      </c>
    </row>
    <row r="900">
      <c r="A900" s="253" t="s">
        <v>1066</v>
      </c>
      <c r="B900" s="254" t="s">
        <v>1067</v>
      </c>
      <c r="C900" s="255" t="str">
        <f t="shared" si="161"/>
        <v>PRÓPRIO</v>
      </c>
      <c r="D900" s="256" t="s">
        <v>110</v>
      </c>
      <c r="E900" s="257" t="str">
        <f>IFERROR(IF(D900="SINAPI-S",VLOOKUP(B900,'20-B.SINAPI-S'!A:J,2,0),IF(D900="SINAPI-I",VLOOKUP(B900,'20-A.SINAPI-I'!A:G,2,0),IF(D900="COMPOSIÇÕES",VLOOKUP(B900,'11.COMPOSIÇÕES GERAIS'!B:I,2,0),VLOOKUP(B900,'12.COT.MERCADO'!A:I,2,0)))),"Em Elaboração")</f>
        <v>MOTOR VENTILADOR DA CONDENSADORA AR CONDICIONADO SPLIT DE 9.000 ATÉ 12.000 BTUS 220V. REF.: MIDEA, CARRIER 25906085</v>
      </c>
      <c r="F900" s="258" t="str">
        <f>IFERROR(IF(D900="SINAPI-S",VLOOKUP(B900,'20-B.SINAPI-S'!A:J,3,0),IF(D900="SINAPI-I",VLOOKUP(B900,'20-A.SINAPI-I'!A:G,3,0),IF(D900="COMPOSIÇÕES",VLOOKUP(B900,'11.COMPOSIÇÕES GERAIS'!B:I,3,0),VLOOKUP(B900,'12.COT.MERCADO'!A:I,7,0)))),"Em Elaboração")</f>
        <v>UN </v>
      </c>
      <c r="G900" s="254">
        <v>1.0</v>
      </c>
      <c r="H900" s="259">
        <f>IFERROR(IF(D900="SINAPI-S",VLOOKUP(B900,'20-B.SINAPI-S'!A:J,5,0),IF(D900="SINAPI-I",VLOOKUP(B900,'20-A.SINAPI-I'!A:G,6,0),IF(D900="COMPOSIÇÕES",VLOOKUP(B900,'11.COMPOSIÇÕES GERAIS'!B:I,7,0),0))),"Em Elaboração")</f>
        <v>0</v>
      </c>
      <c r="I900" s="259">
        <f>IFERROR(IF(D900="SINAPI-S",VLOOKUP(B900,'20-B.SINAPI-S'!A:J,6,0),IF(D900="SINAPI-I",VLOOKUP(B900,'20-A.SINAPI-I'!A:G,7,0),IF(D900="COMPOSIÇÕES",VLOOKUP(B900,'11.COMPOSIÇÕES GERAIS'!B:I,8,0),VLOOKUP(B900,'12.COT.MERCADO'!A:I,8,0)))),"Em Elaboração")</f>
        <v>163.6</v>
      </c>
      <c r="J900" s="259">
        <f t="shared" si="162"/>
        <v>0</v>
      </c>
      <c r="K900" s="259">
        <f t="shared" si="163"/>
        <v>191.6303381</v>
      </c>
      <c r="L900" s="259">
        <f t="shared" si="164"/>
        <v>191.6303381</v>
      </c>
      <c r="M900" s="259">
        <f t="shared" si="165"/>
        <v>0</v>
      </c>
      <c r="N900" s="259">
        <f t="shared" si="166"/>
        <v>191.6303381</v>
      </c>
      <c r="O900" s="259">
        <f t="shared" si="167"/>
        <v>191.6303381</v>
      </c>
      <c r="P900" s="260">
        <f t="shared" si="2"/>
        <v>0.0001499074769</v>
      </c>
    </row>
    <row r="901">
      <c r="A901" s="253" t="s">
        <v>1068</v>
      </c>
      <c r="B901" s="254" t="s">
        <v>1069</v>
      </c>
      <c r="C901" s="255" t="str">
        <f t="shared" si="161"/>
        <v>PRÓPRIO</v>
      </c>
      <c r="D901" s="256" t="s">
        <v>110</v>
      </c>
      <c r="E901" s="257" t="str">
        <f>IFERROR(IF(D901="SINAPI-S",VLOOKUP(B901,'20-B.SINAPI-S'!A:J,2,0),IF(D901="SINAPI-I",VLOOKUP(B901,'20-A.SINAPI-I'!A:G,2,0),IF(D901="COMPOSIÇÕES",VLOOKUP(B901,'11.COMPOSIÇÕES GERAIS'!B:I,2,0),VLOOKUP(B901,'12.COT.MERCADO'!A:I,2,0)))),"Em Elaboração")</f>
        <v>MOTOR VENTILADOR DA CONDENSADORA AR CONDICIONADO SPLIT DE 18.000 ATÉ 30.000 BTUS 220V. REF.: CARRIER 25906088</v>
      </c>
      <c r="F901" s="258" t="str">
        <f>IFERROR(IF(D901="SINAPI-S",VLOOKUP(B901,'20-B.SINAPI-S'!A:J,3,0),IF(D901="SINAPI-I",VLOOKUP(B901,'20-A.SINAPI-I'!A:G,3,0),IF(D901="COMPOSIÇÕES",VLOOKUP(B901,'11.COMPOSIÇÕES GERAIS'!B:I,3,0),VLOOKUP(B901,'12.COT.MERCADO'!A:I,7,0)))),"Em Elaboração")</f>
        <v>UN </v>
      </c>
      <c r="G901" s="254">
        <v>1.0</v>
      </c>
      <c r="H901" s="259">
        <f>IFERROR(IF(D901="SINAPI-S",VLOOKUP(B901,'20-B.SINAPI-S'!A:J,5,0),IF(D901="SINAPI-I",VLOOKUP(B901,'20-A.SINAPI-I'!A:G,6,0),IF(D901="COMPOSIÇÕES",VLOOKUP(B901,'11.COMPOSIÇÕES GERAIS'!B:I,7,0),0))),"Em Elaboração")</f>
        <v>0</v>
      </c>
      <c r="I901" s="259">
        <f>IFERROR(IF(D901="SINAPI-S",VLOOKUP(B901,'20-B.SINAPI-S'!A:J,6,0),IF(D901="SINAPI-I",VLOOKUP(B901,'20-A.SINAPI-I'!A:G,7,0),IF(D901="COMPOSIÇÕES",VLOOKUP(B901,'11.COMPOSIÇÕES GERAIS'!B:I,8,0),VLOOKUP(B901,'12.COT.MERCADO'!A:I,8,0)))),"Em Elaboração")</f>
        <v>319.21</v>
      </c>
      <c r="J901" s="259">
        <f t="shared" si="162"/>
        <v>0</v>
      </c>
      <c r="K901" s="259">
        <f t="shared" si="163"/>
        <v>373.9017129</v>
      </c>
      <c r="L901" s="259">
        <f t="shared" si="164"/>
        <v>373.9017129</v>
      </c>
      <c r="M901" s="259">
        <f t="shared" si="165"/>
        <v>0</v>
      </c>
      <c r="N901" s="259">
        <f t="shared" si="166"/>
        <v>373.9017129</v>
      </c>
      <c r="O901" s="259">
        <f t="shared" si="167"/>
        <v>373.9017129</v>
      </c>
      <c r="P901" s="260">
        <f t="shared" si="2"/>
        <v>0.0002924936779</v>
      </c>
    </row>
    <row r="902">
      <c r="A902" s="253" t="s">
        <v>1070</v>
      </c>
      <c r="B902" s="254" t="s">
        <v>1071</v>
      </c>
      <c r="C902" s="255" t="str">
        <f t="shared" si="161"/>
        <v>PRÓPRIO</v>
      </c>
      <c r="D902" s="256" t="s">
        <v>110</v>
      </c>
      <c r="E902" s="257" t="str">
        <f>IFERROR(IF(D902="SINAPI-S",VLOOKUP(B902,'20-B.SINAPI-S'!A:J,2,0),IF(D902="SINAPI-I",VLOOKUP(B902,'20-A.SINAPI-I'!A:G,2,0),IF(D902="COMPOSIÇÕES",VLOOKUP(B902,'11.COMPOSIÇÕES GERAIS'!B:I,2,0),VLOOKUP(B902,'12.COT.MERCADO'!A:I,2,0)))),"Em Elaboração")</f>
        <v>MOTOR VENTILADOR DA CONDENSADORA AR CONDICIONADO SPLIT DE 36.000 ATÉ 60.000 BTUS 220V/380V. REF.: MIDEA, SPRINGER, CARRIER 25901797</v>
      </c>
      <c r="F902" s="258" t="str">
        <f>IFERROR(IF(D902="SINAPI-S",VLOOKUP(B902,'20-B.SINAPI-S'!A:J,3,0),IF(D902="SINAPI-I",VLOOKUP(B902,'20-A.SINAPI-I'!A:G,3,0),IF(D902="COMPOSIÇÕES",VLOOKUP(B902,'11.COMPOSIÇÕES GERAIS'!B:I,3,0),VLOOKUP(B902,'12.COT.MERCADO'!A:I,7,0)))),"Em Elaboração")</f>
        <v>UN </v>
      </c>
      <c r="G902" s="254">
        <v>1.0</v>
      </c>
      <c r="H902" s="259">
        <f>IFERROR(IF(D902="SINAPI-S",VLOOKUP(B902,'20-B.SINAPI-S'!A:J,5,0),IF(D902="SINAPI-I",VLOOKUP(B902,'20-A.SINAPI-I'!A:G,6,0),IF(D902="COMPOSIÇÕES",VLOOKUP(B902,'11.COMPOSIÇÕES GERAIS'!B:I,7,0),0))),"Em Elaboração")</f>
        <v>0</v>
      </c>
      <c r="I902" s="259">
        <f>IFERROR(IF(D902="SINAPI-S",VLOOKUP(B902,'20-B.SINAPI-S'!A:J,6,0),IF(D902="SINAPI-I",VLOOKUP(B902,'20-A.SINAPI-I'!A:G,7,0),IF(D902="COMPOSIÇÕES",VLOOKUP(B902,'11.COMPOSIÇÕES GERAIS'!B:I,8,0),VLOOKUP(B902,'12.COT.MERCADO'!A:I,8,0)))),"Em Elaboração")</f>
        <v>571.67</v>
      </c>
      <c r="J902" s="259">
        <f t="shared" si="162"/>
        <v>0</v>
      </c>
      <c r="K902" s="259">
        <f t="shared" si="163"/>
        <v>669.6168423</v>
      </c>
      <c r="L902" s="259">
        <f t="shared" si="164"/>
        <v>669.6168423</v>
      </c>
      <c r="M902" s="259">
        <f t="shared" si="165"/>
        <v>0</v>
      </c>
      <c r="N902" s="259">
        <f t="shared" si="166"/>
        <v>669.6168423</v>
      </c>
      <c r="O902" s="259">
        <f t="shared" si="167"/>
        <v>669.6168423</v>
      </c>
      <c r="P902" s="260">
        <f t="shared" si="2"/>
        <v>0.0005238240056</v>
      </c>
    </row>
    <row r="903">
      <c r="A903" s="253" t="s">
        <v>1072</v>
      </c>
      <c r="B903" s="254" t="s">
        <v>1073</v>
      </c>
      <c r="C903" s="255" t="str">
        <f t="shared" si="161"/>
        <v>PRÓPRIO</v>
      </c>
      <c r="D903" s="256" t="s">
        <v>110</v>
      </c>
      <c r="E903" s="257" t="str">
        <f>IFERROR(IF(D903="SINAPI-S",VLOOKUP(B903,'20-B.SINAPI-S'!A:J,2,0),IF(D903="SINAPI-I",VLOOKUP(B903,'20-A.SINAPI-I'!A:G,2,0),IF(D903="COMPOSIÇÕES",VLOOKUP(B903,'11.COMPOSIÇÕES GERAIS'!B:I,2,0),VLOOKUP(B903,'12.COT.MERCADO'!A:I,2,0)))),"Em Elaboração")</f>
        <v>MOTOR VENTILADOR DA EVAPORADORA AR CONDICIONADO SPLIT DE 7.500 ATÉ 12.000 BTUS 220V. REF. EOS UNIVERSAL OU SIMILAR</v>
      </c>
      <c r="F903" s="258" t="str">
        <f>IFERROR(IF(D903="SINAPI-S",VLOOKUP(B903,'20-B.SINAPI-S'!A:J,3,0),IF(D903="SINAPI-I",VLOOKUP(B903,'20-A.SINAPI-I'!A:G,3,0),IF(D903="COMPOSIÇÕES",VLOOKUP(B903,'11.COMPOSIÇÕES GERAIS'!B:I,3,0),VLOOKUP(B903,'12.COT.MERCADO'!A:I,7,0)))),"Em Elaboração")</f>
        <v>UN </v>
      </c>
      <c r="G903" s="254">
        <v>1.0</v>
      </c>
      <c r="H903" s="259">
        <f>IFERROR(IF(D903="SINAPI-S",VLOOKUP(B903,'20-B.SINAPI-S'!A:J,5,0),IF(D903="SINAPI-I",VLOOKUP(B903,'20-A.SINAPI-I'!A:G,6,0),IF(D903="COMPOSIÇÕES",VLOOKUP(B903,'11.COMPOSIÇÕES GERAIS'!B:I,7,0),0))),"Em Elaboração")</f>
        <v>0</v>
      </c>
      <c r="I903" s="259">
        <f>IFERROR(IF(D903="SINAPI-S",VLOOKUP(B903,'20-B.SINAPI-S'!A:J,6,0),IF(D903="SINAPI-I",VLOOKUP(B903,'20-A.SINAPI-I'!A:G,7,0),IF(D903="COMPOSIÇÕES",VLOOKUP(B903,'11.COMPOSIÇÕES GERAIS'!B:I,8,0),VLOOKUP(B903,'12.COT.MERCADO'!A:I,8,0)))),"Em Elaboração")</f>
        <v>209.9</v>
      </c>
      <c r="J903" s="259">
        <f t="shared" si="162"/>
        <v>0</v>
      </c>
      <c r="K903" s="259">
        <f t="shared" si="163"/>
        <v>245.8631294</v>
      </c>
      <c r="L903" s="259">
        <f t="shared" si="164"/>
        <v>245.8631294</v>
      </c>
      <c r="M903" s="259">
        <f t="shared" si="165"/>
        <v>0</v>
      </c>
      <c r="N903" s="259">
        <f t="shared" si="166"/>
        <v>245.8631294</v>
      </c>
      <c r="O903" s="259">
        <f t="shared" si="167"/>
        <v>245.8631294</v>
      </c>
      <c r="P903" s="260">
        <f t="shared" si="2"/>
        <v>0.0001923323924</v>
      </c>
    </row>
    <row r="904">
      <c r="A904" s="253" t="s">
        <v>1074</v>
      </c>
      <c r="B904" s="254" t="s">
        <v>1075</v>
      </c>
      <c r="C904" s="255" t="str">
        <f t="shared" si="161"/>
        <v>PRÓPRIO</v>
      </c>
      <c r="D904" s="256" t="s">
        <v>110</v>
      </c>
      <c r="E904" s="257" t="str">
        <f>IFERROR(IF(D904="SINAPI-S",VLOOKUP(B904,'20-B.SINAPI-S'!A:J,2,0),IF(D904="SINAPI-I",VLOOKUP(B904,'20-A.SINAPI-I'!A:G,2,0),IF(D904="COMPOSIÇÕES",VLOOKUP(B904,'11.COMPOSIÇÕES GERAIS'!B:I,2,0),VLOOKUP(B904,'12.COT.MERCADO'!A:I,2,0)))),"Em Elaboração")</f>
        <v>MOTOR VENTILADOR DA EVAPORADORA AR CONDICIONADO SPLIT DE 18.000 BTUS BTUS 220V. REF. SPRINGER CARRIER MIDEA 2024003A0009 OU SIMILAR</v>
      </c>
      <c r="F904" s="258" t="str">
        <f>IFERROR(IF(D904="SINAPI-S",VLOOKUP(B904,'20-B.SINAPI-S'!A:J,3,0),IF(D904="SINAPI-I",VLOOKUP(B904,'20-A.SINAPI-I'!A:G,3,0),IF(D904="COMPOSIÇÕES",VLOOKUP(B904,'11.COMPOSIÇÕES GERAIS'!B:I,3,0),VLOOKUP(B904,'12.COT.MERCADO'!A:I,7,0)))),"Em Elaboração")</f>
        <v>UN </v>
      </c>
      <c r="G904" s="254">
        <v>1.0</v>
      </c>
      <c r="H904" s="259">
        <f>IFERROR(IF(D904="SINAPI-S",VLOOKUP(B904,'20-B.SINAPI-S'!A:J,5,0),IF(D904="SINAPI-I",VLOOKUP(B904,'20-A.SINAPI-I'!A:G,6,0),IF(D904="COMPOSIÇÕES",VLOOKUP(B904,'11.COMPOSIÇÕES GERAIS'!B:I,7,0),0))),"Em Elaboração")</f>
        <v>0</v>
      </c>
      <c r="I904" s="259">
        <f>IFERROR(IF(D904="SINAPI-S",VLOOKUP(B904,'20-B.SINAPI-S'!A:J,6,0),IF(D904="SINAPI-I",VLOOKUP(B904,'20-A.SINAPI-I'!A:G,7,0),IF(D904="COMPOSIÇÕES",VLOOKUP(B904,'11.COMPOSIÇÕES GERAIS'!B:I,8,0),VLOOKUP(B904,'12.COT.MERCADO'!A:I,8,0)))),"Em Elaboração")</f>
        <v>267.09</v>
      </c>
      <c r="J904" s="259">
        <f t="shared" si="162"/>
        <v>0</v>
      </c>
      <c r="K904" s="259">
        <f t="shared" si="163"/>
        <v>312.8517543</v>
      </c>
      <c r="L904" s="259">
        <f t="shared" si="164"/>
        <v>312.8517543</v>
      </c>
      <c r="M904" s="259">
        <f t="shared" si="165"/>
        <v>0</v>
      </c>
      <c r="N904" s="259">
        <f t="shared" si="166"/>
        <v>312.8517543</v>
      </c>
      <c r="O904" s="259">
        <f t="shared" si="167"/>
        <v>312.8517543</v>
      </c>
      <c r="P904" s="260">
        <f t="shared" si="2"/>
        <v>0.000244735868</v>
      </c>
    </row>
    <row r="905">
      <c r="A905" s="253" t="s">
        <v>1076</v>
      </c>
      <c r="B905" s="254" t="s">
        <v>1077</v>
      </c>
      <c r="C905" s="255" t="str">
        <f t="shared" si="161"/>
        <v>PRÓPRIO</v>
      </c>
      <c r="D905" s="256" t="s">
        <v>110</v>
      </c>
      <c r="E905" s="257" t="str">
        <f>IFERROR(IF(D905="SINAPI-S",VLOOKUP(B905,'20-B.SINAPI-S'!A:J,2,0),IF(D905="SINAPI-I",VLOOKUP(B905,'20-A.SINAPI-I'!A:G,2,0),IF(D905="COMPOSIÇÕES",VLOOKUP(B905,'11.COMPOSIÇÕES GERAIS'!B:I,2,0),VLOOKUP(B905,'12.COT.MERCADO'!A:I,2,0)))),"Em Elaboração")</f>
        <v>MOTOR VENTILADOR DA EVAPORADORA AR CONDICIONADO SPLIT DE 24.000 BTUS 220V. REF. ELGIN, SPRINGER, MIDEA OU SIMILAR</v>
      </c>
      <c r="F905" s="258" t="str">
        <f>IFERROR(IF(D905="SINAPI-S",VLOOKUP(B905,'20-B.SINAPI-S'!A:J,3,0),IF(D905="SINAPI-I",VLOOKUP(B905,'20-A.SINAPI-I'!A:G,3,0),IF(D905="COMPOSIÇÕES",VLOOKUP(B905,'11.COMPOSIÇÕES GERAIS'!B:I,3,0),VLOOKUP(B905,'12.COT.MERCADO'!A:I,7,0)))),"Em Elaboração")</f>
        <v>UN </v>
      </c>
      <c r="G905" s="254">
        <v>1.0</v>
      </c>
      <c r="H905" s="259">
        <f>IFERROR(IF(D905="SINAPI-S",VLOOKUP(B905,'20-B.SINAPI-S'!A:J,5,0),IF(D905="SINAPI-I",VLOOKUP(B905,'20-A.SINAPI-I'!A:G,6,0),IF(D905="COMPOSIÇÕES",VLOOKUP(B905,'11.COMPOSIÇÕES GERAIS'!B:I,7,0),0))),"Em Elaboração")</f>
        <v>0</v>
      </c>
      <c r="I905" s="259">
        <f>IFERROR(IF(D905="SINAPI-S",VLOOKUP(B905,'20-B.SINAPI-S'!A:J,6,0),IF(D905="SINAPI-I",VLOOKUP(B905,'20-A.SINAPI-I'!A:G,7,0),IF(D905="COMPOSIÇÕES",VLOOKUP(B905,'11.COMPOSIÇÕES GERAIS'!B:I,8,0),VLOOKUP(B905,'12.COT.MERCADO'!A:I,8,0)))),"Em Elaboração")</f>
        <v>260.21</v>
      </c>
      <c r="J905" s="259">
        <f t="shared" si="162"/>
        <v>0</v>
      </c>
      <c r="K905" s="259">
        <f t="shared" si="163"/>
        <v>304.7929724</v>
      </c>
      <c r="L905" s="259">
        <f t="shared" si="164"/>
        <v>304.7929724</v>
      </c>
      <c r="M905" s="259">
        <f t="shared" si="165"/>
        <v>0</v>
      </c>
      <c r="N905" s="259">
        <f t="shared" si="166"/>
        <v>304.7929724</v>
      </c>
      <c r="O905" s="259">
        <f t="shared" si="167"/>
        <v>304.7929724</v>
      </c>
      <c r="P905" s="260">
        <f t="shared" si="2"/>
        <v>0.0002384316905</v>
      </c>
    </row>
    <row r="906">
      <c r="A906" s="253" t="s">
        <v>1078</v>
      </c>
      <c r="B906" s="254" t="s">
        <v>1079</v>
      </c>
      <c r="C906" s="255" t="str">
        <f t="shared" si="161"/>
        <v>PRÓPRIO</v>
      </c>
      <c r="D906" s="256" t="s">
        <v>110</v>
      </c>
      <c r="E906" s="257" t="str">
        <f>IFERROR(IF(D906="SINAPI-S",VLOOKUP(B906,'20-B.SINAPI-S'!A:J,2,0),IF(D906="SINAPI-I",VLOOKUP(B906,'20-A.SINAPI-I'!A:G,2,0),IF(D906="COMPOSIÇÕES",VLOOKUP(B906,'11.COMPOSIÇÕES GERAIS'!B:I,2,0),VLOOKUP(B906,'12.COT.MERCADO'!A:I,2,0)))),"Em Elaboração")</f>
        <v>MOTOR VENTILADOR DA EVAPORADORA AR CONDICIONADO SPLIT DE 30.000 BTUS 220V. REF. AGRATTO, CARRIER, ELGIN OU SIMILAR</v>
      </c>
      <c r="F906" s="258" t="str">
        <f>IFERROR(IF(D906="SINAPI-S",VLOOKUP(B906,'20-B.SINAPI-S'!A:J,3,0),IF(D906="SINAPI-I",VLOOKUP(B906,'20-A.SINAPI-I'!A:G,3,0),IF(D906="COMPOSIÇÕES",VLOOKUP(B906,'11.COMPOSIÇÕES GERAIS'!B:I,3,0),VLOOKUP(B906,'12.COT.MERCADO'!A:I,7,0)))),"Em Elaboração")</f>
        <v>UN </v>
      </c>
      <c r="G906" s="254">
        <v>1.0</v>
      </c>
      <c r="H906" s="259">
        <f>IFERROR(IF(D906="SINAPI-S",VLOOKUP(B906,'20-B.SINAPI-S'!A:J,5,0),IF(D906="SINAPI-I",VLOOKUP(B906,'20-A.SINAPI-I'!A:G,6,0),IF(D906="COMPOSIÇÕES",VLOOKUP(B906,'11.COMPOSIÇÕES GERAIS'!B:I,7,0),0))),"Em Elaboração")</f>
        <v>0</v>
      </c>
      <c r="I906" s="259">
        <f>IFERROR(IF(D906="SINAPI-S",VLOOKUP(B906,'20-B.SINAPI-S'!A:J,6,0),IF(D906="SINAPI-I",VLOOKUP(B906,'20-A.SINAPI-I'!A:G,7,0),IF(D906="COMPOSIÇÕES",VLOOKUP(B906,'11.COMPOSIÇÕES GERAIS'!B:I,8,0),VLOOKUP(B906,'12.COT.MERCADO'!A:I,8,0)))),"Em Elaboração")</f>
        <v>411.35</v>
      </c>
      <c r="J906" s="259">
        <f t="shared" si="162"/>
        <v>0</v>
      </c>
      <c r="K906" s="259">
        <f t="shared" si="163"/>
        <v>481.8284816</v>
      </c>
      <c r="L906" s="259">
        <f t="shared" si="164"/>
        <v>481.8284816</v>
      </c>
      <c r="M906" s="259">
        <f t="shared" si="165"/>
        <v>0</v>
      </c>
      <c r="N906" s="259">
        <f t="shared" si="166"/>
        <v>481.8284816</v>
      </c>
      <c r="O906" s="259">
        <f t="shared" si="167"/>
        <v>481.8284816</v>
      </c>
      <c r="P906" s="260">
        <f t="shared" si="2"/>
        <v>0.0003769220087</v>
      </c>
    </row>
    <row r="907">
      <c r="A907" s="253" t="s">
        <v>1080</v>
      </c>
      <c r="B907" s="254" t="s">
        <v>1081</v>
      </c>
      <c r="C907" s="255" t="str">
        <f t="shared" si="161"/>
        <v>PRÓPRIO</v>
      </c>
      <c r="D907" s="256" t="s">
        <v>110</v>
      </c>
      <c r="E907" s="257" t="str">
        <f>IFERROR(IF(D907="SINAPI-S",VLOOKUP(B907,'20-B.SINAPI-S'!A:J,2,0),IF(D907="SINAPI-I",VLOOKUP(B907,'20-A.SINAPI-I'!A:G,2,0),IF(D907="COMPOSIÇÕES",VLOOKUP(B907,'11.COMPOSIÇÕES GERAIS'!B:I,2,0),VLOOKUP(B907,'12.COT.MERCADO'!A:I,2,0)))),"Em Elaboração")</f>
        <v>MOTOR VENTILADOR DA EVAPORADORA AR CONDICIONADO SPLIT DE 36.000 BTUS 220V. REF. SPLIT TETO CARRIER SPRINGER 36000 BTUS</v>
      </c>
      <c r="F907" s="258" t="str">
        <f>IFERROR(IF(D907="SINAPI-S",VLOOKUP(B907,'20-B.SINAPI-S'!A:J,3,0),IF(D907="SINAPI-I",VLOOKUP(B907,'20-A.SINAPI-I'!A:G,3,0),IF(D907="COMPOSIÇÕES",VLOOKUP(B907,'11.COMPOSIÇÕES GERAIS'!B:I,3,0),VLOOKUP(B907,'12.COT.MERCADO'!A:I,7,0)))),"Em Elaboração")</f>
        <v>UN </v>
      </c>
      <c r="G907" s="254">
        <v>1.0</v>
      </c>
      <c r="H907" s="259">
        <f>IFERROR(IF(D907="SINAPI-S",VLOOKUP(B907,'20-B.SINAPI-S'!A:J,5,0),IF(D907="SINAPI-I",VLOOKUP(B907,'20-A.SINAPI-I'!A:G,6,0),IF(D907="COMPOSIÇÕES",VLOOKUP(B907,'11.COMPOSIÇÕES GERAIS'!B:I,7,0),0))),"Em Elaboração")</f>
        <v>0</v>
      </c>
      <c r="I907" s="259">
        <f>IFERROR(IF(D907="SINAPI-S",VLOOKUP(B907,'20-B.SINAPI-S'!A:J,6,0),IF(D907="SINAPI-I",VLOOKUP(B907,'20-A.SINAPI-I'!A:G,7,0),IF(D907="COMPOSIÇÕES",VLOOKUP(B907,'11.COMPOSIÇÕES GERAIS'!B:I,8,0),VLOOKUP(B907,'12.COT.MERCADO'!A:I,8,0)))),"Em Elaboração")</f>
        <v>474.05</v>
      </c>
      <c r="J907" s="259">
        <f t="shared" si="162"/>
        <v>0</v>
      </c>
      <c r="K907" s="259">
        <f t="shared" si="163"/>
        <v>555.2711601</v>
      </c>
      <c r="L907" s="259">
        <f t="shared" si="164"/>
        <v>555.2711601</v>
      </c>
      <c r="M907" s="259">
        <f t="shared" si="165"/>
        <v>0</v>
      </c>
      <c r="N907" s="259">
        <f t="shared" si="166"/>
        <v>555.2711601</v>
      </c>
      <c r="O907" s="259">
        <f t="shared" si="167"/>
        <v>555.2711601</v>
      </c>
      <c r="P907" s="260">
        <f t="shared" si="2"/>
        <v>0.0004343743241</v>
      </c>
    </row>
    <row r="908">
      <c r="A908" s="253" t="s">
        <v>1082</v>
      </c>
      <c r="B908" s="254" t="s">
        <v>1083</v>
      </c>
      <c r="C908" s="255" t="str">
        <f t="shared" si="161"/>
        <v>PRÓPRIO</v>
      </c>
      <c r="D908" s="256" t="s">
        <v>110</v>
      </c>
      <c r="E908" s="257" t="str">
        <f>IFERROR(IF(D908="SINAPI-S",VLOOKUP(B908,'20-B.SINAPI-S'!A:J,2,0),IF(D908="SINAPI-I",VLOOKUP(B908,'20-A.SINAPI-I'!A:G,2,0),IF(D908="COMPOSIÇÕES",VLOOKUP(B908,'11.COMPOSIÇÕES GERAIS'!B:I,2,0),VLOOKUP(B908,'12.COT.MERCADO'!A:I,2,0)))),"Em Elaboração")</f>
        <v>MOTOR VENTILADOR DA EVAPORADORA AR CONDICIONADO SPLIT DE 48.000 BTUS A 60.000 BTUS 220V. REF. SPLIT TETO CARRIER SPRINGER 48000 BTUS</v>
      </c>
      <c r="F908" s="258" t="str">
        <f>IFERROR(IF(D908="SINAPI-S",VLOOKUP(B908,'20-B.SINAPI-S'!A:J,3,0),IF(D908="SINAPI-I",VLOOKUP(B908,'20-A.SINAPI-I'!A:G,3,0),IF(D908="COMPOSIÇÕES",VLOOKUP(B908,'11.COMPOSIÇÕES GERAIS'!B:I,3,0),VLOOKUP(B908,'12.COT.MERCADO'!A:I,7,0)))),"Em Elaboração")</f>
        <v>UN </v>
      </c>
      <c r="G908" s="254">
        <v>1.0</v>
      </c>
      <c r="H908" s="259">
        <f>IFERROR(IF(D908="SINAPI-S",VLOOKUP(B908,'20-B.SINAPI-S'!A:J,5,0),IF(D908="SINAPI-I",VLOOKUP(B908,'20-A.SINAPI-I'!A:G,6,0),IF(D908="COMPOSIÇÕES",VLOOKUP(B908,'11.COMPOSIÇÕES GERAIS'!B:I,7,0),0))),"Em Elaboração")</f>
        <v>0</v>
      </c>
      <c r="I908" s="259">
        <f>IFERROR(IF(D908="SINAPI-S",VLOOKUP(B908,'20-B.SINAPI-S'!A:J,6,0),IF(D908="SINAPI-I",VLOOKUP(B908,'20-A.SINAPI-I'!A:G,7,0),IF(D908="COMPOSIÇÕES",VLOOKUP(B908,'11.COMPOSIÇÕES GERAIS'!B:I,8,0),VLOOKUP(B908,'12.COT.MERCADO'!A:I,8,0)))),"Em Elaboração")</f>
        <v>568.9</v>
      </c>
      <c r="J908" s="259">
        <f t="shared" si="162"/>
        <v>0</v>
      </c>
      <c r="K908" s="259">
        <f t="shared" si="163"/>
        <v>666.3722455</v>
      </c>
      <c r="L908" s="259">
        <f t="shared" si="164"/>
        <v>666.3722455</v>
      </c>
      <c r="M908" s="259">
        <f t="shared" si="165"/>
        <v>0</v>
      </c>
      <c r="N908" s="259">
        <f t="shared" si="166"/>
        <v>666.3722455</v>
      </c>
      <c r="O908" s="259">
        <f t="shared" si="167"/>
        <v>666.3722455</v>
      </c>
      <c r="P908" s="260">
        <f t="shared" si="2"/>
        <v>0.0005212858411</v>
      </c>
    </row>
    <row r="909">
      <c r="A909" s="253" t="s">
        <v>1084</v>
      </c>
      <c r="B909" s="254" t="s">
        <v>1085</v>
      </c>
      <c r="C909" s="255" t="str">
        <f t="shared" si="161"/>
        <v>PRÓPRIO</v>
      </c>
      <c r="D909" s="256" t="s">
        <v>110</v>
      </c>
      <c r="E909" s="257" t="str">
        <f>IFERROR(IF(D909="SINAPI-S",VLOOKUP(B909,'20-B.SINAPI-S'!A:J,2,0),IF(D909="SINAPI-I",VLOOKUP(B909,'20-A.SINAPI-I'!A:G,2,0),IF(D909="COMPOSIÇÕES",VLOOKUP(B909,'11.COMPOSIÇÕES GERAIS'!B:I,2,0),VLOOKUP(B909,'12.COT.MERCADO'!A:I,2,0)))),"Em Elaboração")</f>
        <v>Placa de comando (da unidade evaporadora) ar condicionado SPLIT HI-WALL 9.000 Btus  REF.: Midea 17122000A15551 ou similar </v>
      </c>
      <c r="F909" s="258" t="str">
        <f>IFERROR(IF(D909="SINAPI-S",VLOOKUP(B909,'20-B.SINAPI-S'!A:J,3,0),IF(D909="SINAPI-I",VLOOKUP(B909,'20-A.SINAPI-I'!A:G,3,0),IF(D909="COMPOSIÇÕES",VLOOKUP(B909,'11.COMPOSIÇÕES GERAIS'!B:I,3,0),VLOOKUP(B909,'12.COT.MERCADO'!A:I,7,0)))),"Em Elaboração")</f>
        <v>UN </v>
      </c>
      <c r="G909" s="254">
        <v>1.0</v>
      </c>
      <c r="H909" s="259">
        <f>IFERROR(IF(D909="SINAPI-S",VLOOKUP(B909,'20-B.SINAPI-S'!A:J,5,0),IF(D909="SINAPI-I",VLOOKUP(B909,'20-A.SINAPI-I'!A:G,6,0),IF(D909="COMPOSIÇÕES",VLOOKUP(B909,'11.COMPOSIÇÕES GERAIS'!B:I,7,0),0))),"Em Elaboração")</f>
        <v>0</v>
      </c>
      <c r="I909" s="259">
        <f>IFERROR(IF(D909="SINAPI-S",VLOOKUP(B909,'20-B.SINAPI-S'!A:J,6,0),IF(D909="SINAPI-I",VLOOKUP(B909,'20-A.SINAPI-I'!A:G,7,0),IF(D909="COMPOSIÇÕES",VLOOKUP(B909,'11.COMPOSIÇÕES GERAIS'!B:I,8,0),VLOOKUP(B909,'12.COT.MERCADO'!A:I,8,0)))),"Em Elaboração")</f>
        <v>320</v>
      </c>
      <c r="J909" s="259">
        <f t="shared" si="162"/>
        <v>0</v>
      </c>
      <c r="K909" s="259">
        <f t="shared" si="163"/>
        <v>374.8270672</v>
      </c>
      <c r="L909" s="259">
        <f t="shared" si="164"/>
        <v>374.8270672</v>
      </c>
      <c r="M909" s="259">
        <f t="shared" si="165"/>
        <v>0</v>
      </c>
      <c r="N909" s="259">
        <f t="shared" si="166"/>
        <v>374.8270672</v>
      </c>
      <c r="O909" s="259">
        <f t="shared" si="167"/>
        <v>374.8270672</v>
      </c>
      <c r="P909" s="260">
        <f t="shared" si="2"/>
        <v>0.0002932175587</v>
      </c>
    </row>
    <row r="910">
      <c r="A910" s="253" t="s">
        <v>1086</v>
      </c>
      <c r="B910" s="254" t="s">
        <v>1087</v>
      </c>
      <c r="C910" s="255" t="str">
        <f t="shared" si="161"/>
        <v>PRÓPRIO</v>
      </c>
      <c r="D910" s="256" t="s">
        <v>110</v>
      </c>
      <c r="E910" s="257" t="str">
        <f>IFERROR(IF(D910="SINAPI-S",VLOOKUP(B910,'20-B.SINAPI-S'!A:J,2,0),IF(D910="SINAPI-I",VLOOKUP(B910,'20-A.SINAPI-I'!A:G,2,0),IF(D910="COMPOSIÇÕES",VLOOKUP(B910,'11.COMPOSIÇÕES GERAIS'!B:I,2,0),VLOOKUP(B910,'12.COT.MERCADO'!A:I,2,0)))),"Em Elaboração")</f>
        <v>Placa de comando (da unidade evaporadora) ar condicionado SPLIT HI-WALL 12.000 Btus  REF.: MIDEA CARRIER 42MTCB12M5 201332590965 ou similar</v>
      </c>
      <c r="F910" s="258" t="str">
        <f>IFERROR(IF(D910="SINAPI-S",VLOOKUP(B910,'20-B.SINAPI-S'!A:J,3,0),IF(D910="SINAPI-I",VLOOKUP(B910,'20-A.SINAPI-I'!A:G,3,0),IF(D910="COMPOSIÇÕES",VLOOKUP(B910,'11.COMPOSIÇÕES GERAIS'!B:I,3,0),VLOOKUP(B910,'12.COT.MERCADO'!A:I,7,0)))),"Em Elaboração")</f>
        <v>UN </v>
      </c>
      <c r="G910" s="254">
        <v>2.0</v>
      </c>
      <c r="H910" s="259">
        <f>IFERROR(IF(D910="SINAPI-S",VLOOKUP(B910,'20-B.SINAPI-S'!A:J,5,0),IF(D910="SINAPI-I",VLOOKUP(B910,'20-A.SINAPI-I'!A:G,6,0),IF(D910="COMPOSIÇÕES",VLOOKUP(B910,'11.COMPOSIÇÕES GERAIS'!B:I,7,0),0))),"Em Elaboração")</f>
        <v>0</v>
      </c>
      <c r="I910" s="259">
        <f>IFERROR(IF(D910="SINAPI-S",VLOOKUP(B910,'20-B.SINAPI-S'!A:J,6,0),IF(D910="SINAPI-I",VLOOKUP(B910,'20-A.SINAPI-I'!A:G,7,0),IF(D910="COMPOSIÇÕES",VLOOKUP(B910,'11.COMPOSIÇÕES GERAIS'!B:I,8,0),VLOOKUP(B910,'12.COT.MERCADO'!A:I,8,0)))),"Em Elaboração")</f>
        <v>451.27</v>
      </c>
      <c r="J910" s="259">
        <f t="shared" si="162"/>
        <v>0</v>
      </c>
      <c r="K910" s="259">
        <f t="shared" si="163"/>
        <v>528.5881582</v>
      </c>
      <c r="L910" s="259">
        <f t="shared" si="164"/>
        <v>528.5881582</v>
      </c>
      <c r="M910" s="259">
        <f t="shared" si="165"/>
        <v>0</v>
      </c>
      <c r="N910" s="259">
        <f t="shared" si="166"/>
        <v>1057.176316</v>
      </c>
      <c r="O910" s="259">
        <f t="shared" si="167"/>
        <v>1057.176316</v>
      </c>
      <c r="P910" s="260">
        <f t="shared" si="2"/>
        <v>0.0008270017982</v>
      </c>
    </row>
    <row r="911">
      <c r="A911" s="253" t="s">
        <v>1088</v>
      </c>
      <c r="B911" s="254" t="s">
        <v>1089</v>
      </c>
      <c r="C911" s="255" t="str">
        <f t="shared" si="161"/>
        <v>PRÓPRIO</v>
      </c>
      <c r="D911" s="256" t="s">
        <v>110</v>
      </c>
      <c r="E911" s="257" t="str">
        <f>IFERROR(IF(D911="SINAPI-S",VLOOKUP(B911,'20-B.SINAPI-S'!A:J,2,0),IF(D911="SINAPI-I",VLOOKUP(B911,'20-A.SINAPI-I'!A:G,2,0),IF(D911="COMPOSIÇÕES",VLOOKUP(B911,'11.COMPOSIÇÕES GERAIS'!B:I,2,0),VLOOKUP(B911,'12.COT.MERCADO'!A:I,2,0)))),"Em Elaboração")</f>
        <v>Placa de comando (da unidade evaporadora) ar condicionado SPLIT HI-WALL 18.000 Btus  REF.: New Carrier mod 2013328A0364 ou similar</v>
      </c>
      <c r="F911" s="258" t="str">
        <f>IFERROR(IF(D911="SINAPI-S",VLOOKUP(B911,'20-B.SINAPI-S'!A:J,3,0),IF(D911="SINAPI-I",VLOOKUP(B911,'20-A.SINAPI-I'!A:G,3,0),IF(D911="COMPOSIÇÕES",VLOOKUP(B911,'11.COMPOSIÇÕES GERAIS'!B:I,3,0),VLOOKUP(B911,'12.COT.MERCADO'!A:I,7,0)))),"Em Elaboração")</f>
        <v>UN </v>
      </c>
      <c r="G911" s="254">
        <v>2.0</v>
      </c>
      <c r="H911" s="259">
        <f>IFERROR(IF(D911="SINAPI-S",VLOOKUP(B911,'20-B.SINAPI-S'!A:J,5,0),IF(D911="SINAPI-I",VLOOKUP(B911,'20-A.SINAPI-I'!A:G,6,0),IF(D911="COMPOSIÇÕES",VLOOKUP(B911,'11.COMPOSIÇÕES GERAIS'!B:I,7,0),0))),"Em Elaboração")</f>
        <v>0</v>
      </c>
      <c r="I911" s="259">
        <f>IFERROR(IF(D911="SINAPI-S",VLOOKUP(B911,'20-B.SINAPI-S'!A:J,6,0),IF(D911="SINAPI-I",VLOOKUP(B911,'20-A.SINAPI-I'!A:G,7,0),IF(D911="COMPOSIÇÕES",VLOOKUP(B911,'11.COMPOSIÇÕES GERAIS'!B:I,8,0),VLOOKUP(B911,'12.COT.MERCADO'!A:I,8,0)))),"Em Elaboração")</f>
        <v>219</v>
      </c>
      <c r="J911" s="259">
        <f t="shared" si="162"/>
        <v>0</v>
      </c>
      <c r="K911" s="259">
        <f t="shared" si="163"/>
        <v>256.5222741</v>
      </c>
      <c r="L911" s="259">
        <f t="shared" si="164"/>
        <v>256.5222741</v>
      </c>
      <c r="M911" s="259">
        <f t="shared" si="165"/>
        <v>0</v>
      </c>
      <c r="N911" s="259">
        <f t="shared" si="166"/>
        <v>513.0445483</v>
      </c>
      <c r="O911" s="259">
        <f t="shared" si="167"/>
        <v>513.0445483</v>
      </c>
      <c r="P911" s="260">
        <f t="shared" si="2"/>
        <v>0.0004013415335</v>
      </c>
    </row>
    <row r="912">
      <c r="A912" s="253" t="s">
        <v>1090</v>
      </c>
      <c r="B912" s="254" t="s">
        <v>1091</v>
      </c>
      <c r="C912" s="255" t="str">
        <f t="shared" si="161"/>
        <v>PRÓPRIO</v>
      </c>
      <c r="D912" s="256" t="s">
        <v>110</v>
      </c>
      <c r="E912" s="257" t="str">
        <f>IFERROR(IF(D912="SINAPI-S",VLOOKUP(B912,'20-B.SINAPI-S'!A:J,2,0),IF(D912="SINAPI-I",VLOOKUP(B912,'20-A.SINAPI-I'!A:G,2,0),IF(D912="COMPOSIÇÕES",VLOOKUP(B912,'11.COMPOSIÇÕES GERAIS'!B:I,2,0),VLOOKUP(B912,'12.COT.MERCADO'!A:I,2,0)))),"Em Elaboração")</f>
        <v>Placa de comando (da unidade evaporadora) ar condicionado SPLIT HI-WALL 24.000  - 30.000 Btus  REF.: Media mod 201333090103 ou similar</v>
      </c>
      <c r="F912" s="258" t="str">
        <f>IFERROR(IF(D912="SINAPI-S",VLOOKUP(B912,'20-B.SINAPI-S'!A:J,3,0),IF(D912="SINAPI-I",VLOOKUP(B912,'20-A.SINAPI-I'!A:G,3,0),IF(D912="COMPOSIÇÕES",VLOOKUP(B912,'11.COMPOSIÇÕES GERAIS'!B:I,3,0),VLOOKUP(B912,'12.COT.MERCADO'!A:I,7,0)))),"Em Elaboração")</f>
        <v>UN </v>
      </c>
      <c r="G912" s="254">
        <v>2.0</v>
      </c>
      <c r="H912" s="259">
        <f>IFERROR(IF(D912="SINAPI-S",VLOOKUP(B912,'20-B.SINAPI-S'!A:J,5,0),IF(D912="SINAPI-I",VLOOKUP(B912,'20-A.SINAPI-I'!A:G,6,0),IF(D912="COMPOSIÇÕES",VLOOKUP(B912,'11.COMPOSIÇÕES GERAIS'!B:I,7,0),0))),"Em Elaboração")</f>
        <v>0</v>
      </c>
      <c r="I912" s="259">
        <f>IFERROR(IF(D912="SINAPI-S",VLOOKUP(B912,'20-B.SINAPI-S'!A:J,6,0),IF(D912="SINAPI-I",VLOOKUP(B912,'20-A.SINAPI-I'!A:G,7,0),IF(D912="COMPOSIÇÕES",VLOOKUP(B912,'11.COMPOSIÇÕES GERAIS'!B:I,8,0),VLOOKUP(B912,'12.COT.MERCADO'!A:I,8,0)))),"Em Elaboração")</f>
        <v>267.07</v>
      </c>
      <c r="J912" s="259">
        <f t="shared" si="162"/>
        <v>0</v>
      </c>
      <c r="K912" s="259">
        <f t="shared" si="163"/>
        <v>312.8283277</v>
      </c>
      <c r="L912" s="259">
        <f t="shared" si="164"/>
        <v>312.8283277</v>
      </c>
      <c r="M912" s="259">
        <f t="shared" si="165"/>
        <v>0</v>
      </c>
      <c r="N912" s="259">
        <f t="shared" si="166"/>
        <v>625.6566553</v>
      </c>
      <c r="O912" s="259">
        <f t="shared" si="167"/>
        <v>625.6566553</v>
      </c>
      <c r="P912" s="260">
        <f t="shared" si="2"/>
        <v>0.0004894350838</v>
      </c>
    </row>
    <row r="913">
      <c r="A913" s="253" t="s">
        <v>1092</v>
      </c>
      <c r="B913" s="254" t="s">
        <v>1093</v>
      </c>
      <c r="C913" s="255" t="str">
        <f t="shared" si="161"/>
        <v>PRÓPRIO</v>
      </c>
      <c r="D913" s="256" t="s">
        <v>110</v>
      </c>
      <c r="E913" s="257" t="str">
        <f>IFERROR(IF(D913="SINAPI-S",VLOOKUP(B913,'20-B.SINAPI-S'!A:J,2,0),IF(D913="SINAPI-I",VLOOKUP(B913,'20-A.SINAPI-I'!A:G,2,0),IF(D913="COMPOSIÇÕES",VLOOKUP(B913,'11.COMPOSIÇÕES GERAIS'!B:I,2,0),VLOOKUP(B913,'12.COT.MERCADO'!A:I,2,0)))),"Em Elaboração")</f>
        <v>Placa de comando (da unidade evaporadora) ar condicionado SPLIT PISO/TETO 30.000 - 60.000 BTUS. REF.: Eco Elgin ARC141290609401 ou similar</v>
      </c>
      <c r="F913" s="258" t="str">
        <f>IFERROR(IF(D913="SINAPI-S",VLOOKUP(B913,'20-B.SINAPI-S'!A:J,3,0),IF(D913="SINAPI-I",VLOOKUP(B913,'20-A.SINAPI-I'!A:G,3,0),IF(D913="COMPOSIÇÕES",VLOOKUP(B913,'11.COMPOSIÇÕES GERAIS'!B:I,3,0),VLOOKUP(B913,'12.COT.MERCADO'!A:I,7,0)))),"Em Elaboração")</f>
        <v>UN </v>
      </c>
      <c r="G913" s="254">
        <v>2.0</v>
      </c>
      <c r="H913" s="259">
        <f>IFERROR(IF(D913="SINAPI-S",VLOOKUP(B913,'20-B.SINAPI-S'!A:J,5,0),IF(D913="SINAPI-I",VLOOKUP(B913,'20-A.SINAPI-I'!A:G,6,0),IF(D913="COMPOSIÇÕES",VLOOKUP(B913,'11.COMPOSIÇÕES GERAIS'!B:I,7,0),0))),"Em Elaboração")</f>
        <v>0</v>
      </c>
      <c r="I913" s="259">
        <f>IFERROR(IF(D913="SINAPI-S",VLOOKUP(B913,'20-B.SINAPI-S'!A:J,6,0),IF(D913="SINAPI-I",VLOOKUP(B913,'20-A.SINAPI-I'!A:G,7,0),IF(D913="COMPOSIÇÕES",VLOOKUP(B913,'11.COMPOSIÇÕES GERAIS'!B:I,8,0),VLOOKUP(B913,'12.COT.MERCADO'!A:I,8,0)))),"Em Elaboração")</f>
        <v>474.05</v>
      </c>
      <c r="J913" s="259">
        <f t="shared" si="162"/>
        <v>0</v>
      </c>
      <c r="K913" s="259">
        <f t="shared" si="163"/>
        <v>555.2711601</v>
      </c>
      <c r="L913" s="259">
        <f t="shared" si="164"/>
        <v>555.2711601</v>
      </c>
      <c r="M913" s="259">
        <f t="shared" si="165"/>
        <v>0</v>
      </c>
      <c r="N913" s="259">
        <f t="shared" si="166"/>
        <v>1110.54232</v>
      </c>
      <c r="O913" s="259">
        <f t="shared" si="167"/>
        <v>1110.54232</v>
      </c>
      <c r="P913" s="260">
        <f t="shared" si="2"/>
        <v>0.0008687486481</v>
      </c>
    </row>
    <row r="914">
      <c r="A914" s="253" t="s">
        <v>1094</v>
      </c>
      <c r="B914" s="254" t="s">
        <v>1095</v>
      </c>
      <c r="C914" s="255" t="str">
        <f t="shared" si="161"/>
        <v>PRÓPRIO</v>
      </c>
      <c r="D914" s="256" t="s">
        <v>110</v>
      </c>
      <c r="E914" s="257" t="str">
        <f>IFERROR(IF(D914="SINAPI-S",VLOOKUP(B914,'20-B.SINAPI-S'!A:J,2,0),IF(D914="SINAPI-I",VLOOKUP(B914,'20-A.SINAPI-I'!A:G,2,0),IF(D914="COMPOSIÇÕES",VLOOKUP(B914,'11.COMPOSIÇÕES GERAIS'!B:I,2,0),VLOOKUP(B914,'12.COT.MERCADO'!A:I,2,0)))),"Em Elaboração")</f>
        <v>Placa de comando (da unidade condensadora) ar condicionado SPLIT HI-WALL 9.000 até 12.000 Btus  REF.: MIDEA CARRIER 201337390164 ou similar</v>
      </c>
      <c r="F914" s="258" t="str">
        <f>IFERROR(IF(D914="SINAPI-S",VLOOKUP(B914,'20-B.SINAPI-S'!A:J,3,0),IF(D914="SINAPI-I",VLOOKUP(B914,'20-A.SINAPI-I'!A:G,3,0),IF(D914="COMPOSIÇÕES",VLOOKUP(B914,'11.COMPOSIÇÕES GERAIS'!B:I,3,0),VLOOKUP(B914,'12.COT.MERCADO'!A:I,7,0)))),"Em Elaboração")</f>
        <v>UN </v>
      </c>
      <c r="G914" s="254">
        <v>2.0</v>
      </c>
      <c r="H914" s="259">
        <f>IFERROR(IF(D914="SINAPI-S",VLOOKUP(B914,'20-B.SINAPI-S'!A:J,5,0),IF(D914="SINAPI-I",VLOOKUP(B914,'20-A.SINAPI-I'!A:G,6,0),IF(D914="COMPOSIÇÕES",VLOOKUP(B914,'11.COMPOSIÇÕES GERAIS'!B:I,7,0),0))),"Em Elaboração")</f>
        <v>0</v>
      </c>
      <c r="I914" s="259">
        <f>IFERROR(IF(D914="SINAPI-S",VLOOKUP(B914,'20-B.SINAPI-S'!A:J,6,0),IF(D914="SINAPI-I",VLOOKUP(B914,'20-A.SINAPI-I'!A:G,7,0),IF(D914="COMPOSIÇÕES",VLOOKUP(B914,'11.COMPOSIÇÕES GERAIS'!B:I,8,0),VLOOKUP(B914,'12.COT.MERCADO'!A:I,8,0)))),"Em Elaboração")</f>
        <v>1308.72</v>
      </c>
      <c r="J914" s="259">
        <f t="shared" si="162"/>
        <v>0</v>
      </c>
      <c r="K914" s="259">
        <f t="shared" si="163"/>
        <v>1532.948998</v>
      </c>
      <c r="L914" s="259">
        <f t="shared" si="164"/>
        <v>1532.948998</v>
      </c>
      <c r="M914" s="259">
        <f t="shared" si="165"/>
        <v>0</v>
      </c>
      <c r="N914" s="259">
        <f t="shared" si="166"/>
        <v>3065.897997</v>
      </c>
      <c r="O914" s="259">
        <f t="shared" si="167"/>
        <v>3065.897997</v>
      </c>
      <c r="P914" s="260">
        <f t="shared" si="2"/>
        <v>0.002398373021</v>
      </c>
    </row>
    <row r="915">
      <c r="A915" s="253" t="s">
        <v>1096</v>
      </c>
      <c r="B915" s="254" t="s">
        <v>1097</v>
      </c>
      <c r="C915" s="255" t="str">
        <f t="shared" si="161"/>
        <v>PRÓPRIO</v>
      </c>
      <c r="D915" s="256" t="s">
        <v>110</v>
      </c>
      <c r="E915" s="257" t="str">
        <f>IFERROR(IF(D915="SINAPI-S",VLOOKUP(B915,'20-B.SINAPI-S'!A:J,2,0),IF(D915="SINAPI-I",VLOOKUP(B915,'20-A.SINAPI-I'!A:G,2,0),IF(D915="COMPOSIÇÕES",VLOOKUP(B915,'11.COMPOSIÇÕES GERAIS'!B:I,2,0),VLOOKUP(B915,'12.COT.MERCADO'!A:I,2,0)))),"Em Elaboração")</f>
        <v>Placa de comando (da unidade condensadora) ar condicionado SPLIT HI-WALL 18.000 Btus  REF.: CARRIER ECO INVERTER 201337790035 ou similar</v>
      </c>
      <c r="F915" s="258" t="str">
        <f>IFERROR(IF(D915="SINAPI-S",VLOOKUP(B915,'20-B.SINAPI-S'!A:J,3,0),IF(D915="SINAPI-I",VLOOKUP(B915,'20-A.SINAPI-I'!A:G,3,0),IF(D915="COMPOSIÇÕES",VLOOKUP(B915,'11.COMPOSIÇÕES GERAIS'!B:I,3,0),VLOOKUP(B915,'12.COT.MERCADO'!A:I,7,0)))),"Em Elaboração")</f>
        <v>UN </v>
      </c>
      <c r="G915" s="254">
        <v>2.0</v>
      </c>
      <c r="H915" s="259">
        <f>IFERROR(IF(D915="SINAPI-S",VLOOKUP(B915,'20-B.SINAPI-S'!A:J,5,0),IF(D915="SINAPI-I",VLOOKUP(B915,'20-A.SINAPI-I'!A:G,6,0),IF(D915="COMPOSIÇÕES",VLOOKUP(B915,'11.COMPOSIÇÕES GERAIS'!B:I,7,0),0))),"Em Elaboração")</f>
        <v>0</v>
      </c>
      <c r="I915" s="259">
        <f>IFERROR(IF(D915="SINAPI-S",VLOOKUP(B915,'20-B.SINAPI-S'!A:J,6,0),IF(D915="SINAPI-I",VLOOKUP(B915,'20-A.SINAPI-I'!A:G,7,0),IF(D915="COMPOSIÇÕES",VLOOKUP(B915,'11.COMPOSIÇÕES GERAIS'!B:I,8,0),VLOOKUP(B915,'12.COT.MERCADO'!A:I,8,0)))),"Em Elaboração")</f>
        <v>870.7</v>
      </c>
      <c r="J915" s="259">
        <f t="shared" si="162"/>
        <v>0</v>
      </c>
      <c r="K915" s="259">
        <f t="shared" si="163"/>
        <v>1019.881023</v>
      </c>
      <c r="L915" s="259">
        <f t="shared" si="164"/>
        <v>1019.881023</v>
      </c>
      <c r="M915" s="259">
        <f t="shared" si="165"/>
        <v>0</v>
      </c>
      <c r="N915" s="259">
        <f t="shared" si="166"/>
        <v>2039.762047</v>
      </c>
      <c r="O915" s="259">
        <f t="shared" si="167"/>
        <v>2039.762047</v>
      </c>
      <c r="P915" s="260">
        <f t="shared" si="2"/>
        <v>0.001595653302</v>
      </c>
    </row>
    <row r="916">
      <c r="A916" s="253" t="s">
        <v>1098</v>
      </c>
      <c r="B916" s="254" t="s">
        <v>1099</v>
      </c>
      <c r="C916" s="255" t="str">
        <f t="shared" si="161"/>
        <v>PRÓPRIO</v>
      </c>
      <c r="D916" s="256" t="s">
        <v>110</v>
      </c>
      <c r="E916" s="257" t="str">
        <f>IFERROR(IF(D916="SINAPI-S",VLOOKUP(B916,'20-B.SINAPI-S'!A:J,2,0),IF(D916="SINAPI-I",VLOOKUP(B916,'20-A.SINAPI-I'!A:G,2,0),IF(D916="COMPOSIÇÕES",VLOOKUP(B916,'11.COMPOSIÇÕES GERAIS'!B:I,2,0),VLOOKUP(B916,'12.COT.MERCADO'!A:I,2,0)))),"Em Elaboração")</f>
        <v>Placa de comando (da unidade condensadora) ar condicionado SPLIT HI-WALL 24.000 Btus  REF.: ELGIN MOD HVQE24B2IA ou similar</v>
      </c>
      <c r="F916" s="258" t="str">
        <f>IFERROR(IF(D916="SINAPI-S",VLOOKUP(B916,'20-B.SINAPI-S'!A:J,3,0),IF(D916="SINAPI-I",VLOOKUP(B916,'20-A.SINAPI-I'!A:G,3,0),IF(D916="COMPOSIÇÕES",VLOOKUP(B916,'11.COMPOSIÇÕES GERAIS'!B:I,3,0),VLOOKUP(B916,'12.COT.MERCADO'!A:I,7,0)))),"Em Elaboração")</f>
        <v>UN </v>
      </c>
      <c r="G916" s="254">
        <v>2.0</v>
      </c>
      <c r="H916" s="259">
        <f>IFERROR(IF(D916="SINAPI-S",VLOOKUP(B916,'20-B.SINAPI-S'!A:J,5,0),IF(D916="SINAPI-I",VLOOKUP(B916,'20-A.SINAPI-I'!A:G,6,0),IF(D916="COMPOSIÇÕES",VLOOKUP(B916,'11.COMPOSIÇÕES GERAIS'!B:I,7,0),0))),"Em Elaboração")</f>
        <v>0</v>
      </c>
      <c r="I916" s="259">
        <f>IFERROR(IF(D916="SINAPI-S",VLOOKUP(B916,'20-B.SINAPI-S'!A:J,6,0),IF(D916="SINAPI-I",VLOOKUP(B916,'20-A.SINAPI-I'!A:G,7,0),IF(D916="COMPOSIÇÕES",VLOOKUP(B916,'11.COMPOSIÇÕES GERAIS'!B:I,8,0),VLOOKUP(B916,'12.COT.MERCADO'!A:I,8,0)))),"Em Elaboração")</f>
        <v>1169.05</v>
      </c>
      <c r="J916" s="259">
        <f t="shared" si="162"/>
        <v>0</v>
      </c>
      <c r="K916" s="259">
        <f t="shared" si="163"/>
        <v>1369.348697</v>
      </c>
      <c r="L916" s="259">
        <f t="shared" si="164"/>
        <v>1369.348697</v>
      </c>
      <c r="M916" s="259">
        <f t="shared" si="165"/>
        <v>0</v>
      </c>
      <c r="N916" s="259">
        <f t="shared" si="166"/>
        <v>2738.697394</v>
      </c>
      <c r="O916" s="259">
        <f t="shared" si="167"/>
        <v>2738.697394</v>
      </c>
      <c r="P916" s="260">
        <f t="shared" si="2"/>
        <v>0.002142412419</v>
      </c>
    </row>
    <row r="917">
      <c r="A917" s="253" t="s">
        <v>1100</v>
      </c>
      <c r="B917" s="254" t="s">
        <v>1101</v>
      </c>
      <c r="C917" s="255" t="str">
        <f t="shared" si="161"/>
        <v>PRÓPRIO</v>
      </c>
      <c r="D917" s="256" t="s">
        <v>110</v>
      </c>
      <c r="E917" s="257" t="str">
        <f>IFERROR(IF(D917="SINAPI-S",VLOOKUP(B917,'20-B.SINAPI-S'!A:J,2,0),IF(D917="SINAPI-I",VLOOKUP(B917,'20-A.SINAPI-I'!A:G,2,0),IF(D917="COMPOSIÇÕES",VLOOKUP(B917,'11.COMPOSIÇÕES GERAIS'!B:I,2,0),VLOOKUP(B917,'12.COT.MERCADO'!A:I,2,0)))),"Em Elaboração")</f>
        <v>Placa de comando (da unidade condensadora) ar condicionado SPLIT HI-WALL 30.000 Btus  REF.: Springer, Midea, Carrier INVERTER FRIO ou similar</v>
      </c>
      <c r="F917" s="258" t="str">
        <f>IFERROR(IF(D917="SINAPI-S",VLOOKUP(B917,'20-B.SINAPI-S'!A:J,3,0),IF(D917="SINAPI-I",VLOOKUP(B917,'20-A.SINAPI-I'!A:G,3,0),IF(D917="COMPOSIÇÕES",VLOOKUP(B917,'11.COMPOSIÇÕES GERAIS'!B:I,3,0),VLOOKUP(B917,'12.COT.MERCADO'!A:I,7,0)))),"Em Elaboração")</f>
        <v>UN </v>
      </c>
      <c r="G917" s="254">
        <v>1.0</v>
      </c>
      <c r="H917" s="259">
        <f>IFERROR(IF(D917="SINAPI-S",VLOOKUP(B917,'20-B.SINAPI-S'!A:J,5,0),IF(D917="SINAPI-I",VLOOKUP(B917,'20-A.SINAPI-I'!A:G,6,0),IF(D917="COMPOSIÇÕES",VLOOKUP(B917,'11.COMPOSIÇÕES GERAIS'!B:I,7,0),0))),"Em Elaboração")</f>
        <v>0</v>
      </c>
      <c r="I917" s="259">
        <f>IFERROR(IF(D917="SINAPI-S",VLOOKUP(B917,'20-B.SINAPI-S'!A:J,6,0),IF(D917="SINAPI-I",VLOOKUP(B917,'20-A.SINAPI-I'!A:G,7,0),IF(D917="COMPOSIÇÕES",VLOOKUP(B917,'11.COMPOSIÇÕES GERAIS'!B:I,8,0),VLOOKUP(B917,'12.COT.MERCADO'!A:I,8,0)))),"Em Elaboração")</f>
        <v>217</v>
      </c>
      <c r="J917" s="259">
        <f t="shared" si="162"/>
        <v>0</v>
      </c>
      <c r="K917" s="259">
        <f t="shared" si="163"/>
        <v>254.179605</v>
      </c>
      <c r="L917" s="259">
        <f t="shared" si="164"/>
        <v>254.179605</v>
      </c>
      <c r="M917" s="259">
        <f t="shared" si="165"/>
        <v>0</v>
      </c>
      <c r="N917" s="259">
        <f t="shared" si="166"/>
        <v>254.179605</v>
      </c>
      <c r="O917" s="259">
        <f t="shared" si="167"/>
        <v>254.179605</v>
      </c>
      <c r="P917" s="260">
        <f t="shared" si="2"/>
        <v>0.000198838157</v>
      </c>
    </row>
    <row r="918">
      <c r="A918" s="253" t="s">
        <v>1102</v>
      </c>
      <c r="B918" s="254" t="s">
        <v>1103</v>
      </c>
      <c r="C918" s="255" t="str">
        <f t="shared" si="161"/>
        <v>PRÓPRIO</v>
      </c>
      <c r="D918" s="256" t="s">
        <v>110</v>
      </c>
      <c r="E918" s="257" t="str">
        <f>IFERROR(IF(D918="SINAPI-S",VLOOKUP(B918,'20-B.SINAPI-S'!A:J,2,0),IF(D918="SINAPI-I",VLOOKUP(B918,'20-A.SINAPI-I'!A:G,2,0),IF(D918="COMPOSIÇÕES",VLOOKUP(B918,'11.COMPOSIÇÕES GERAIS'!B:I,2,0),VLOOKUP(B918,'12.COT.MERCADO'!A:I,2,0)))),"Em Elaboração")</f>
        <v>Placa de comando (da unidade condensadora) ar condicionado SPLIT PISO/TETO 48.000 Btus  REF.: KOMECO kop36.48fcqc koc36.48fcqc 380v g4 ou similar</v>
      </c>
      <c r="F918" s="258" t="str">
        <f>IFERROR(IF(D918="SINAPI-S",VLOOKUP(B918,'20-B.SINAPI-S'!A:J,3,0),IF(D918="SINAPI-I",VLOOKUP(B918,'20-A.SINAPI-I'!A:G,3,0),IF(D918="COMPOSIÇÕES",VLOOKUP(B918,'11.COMPOSIÇÕES GERAIS'!B:I,3,0),VLOOKUP(B918,'12.COT.MERCADO'!A:I,7,0)))),"Em Elaboração")</f>
        <v>UN </v>
      </c>
      <c r="G918" s="254">
        <v>1.0</v>
      </c>
      <c r="H918" s="259">
        <f>IFERROR(IF(D918="SINAPI-S",VLOOKUP(B918,'20-B.SINAPI-S'!A:J,5,0),IF(D918="SINAPI-I",VLOOKUP(B918,'20-A.SINAPI-I'!A:G,6,0),IF(D918="COMPOSIÇÕES",VLOOKUP(B918,'11.COMPOSIÇÕES GERAIS'!B:I,7,0),0))),"Em Elaboração")</f>
        <v>0</v>
      </c>
      <c r="I918" s="259">
        <f>IFERROR(IF(D918="SINAPI-S",VLOOKUP(B918,'20-B.SINAPI-S'!A:J,6,0),IF(D918="SINAPI-I",VLOOKUP(B918,'20-A.SINAPI-I'!A:G,7,0),IF(D918="COMPOSIÇÕES",VLOOKUP(B918,'11.COMPOSIÇÕES GERAIS'!B:I,8,0),VLOOKUP(B918,'12.COT.MERCADO'!A:I,8,0)))),"Em Elaboração")</f>
        <v>648.7</v>
      </c>
      <c r="J918" s="259">
        <f t="shared" si="162"/>
        <v>0</v>
      </c>
      <c r="K918" s="259">
        <f t="shared" si="163"/>
        <v>759.8447454</v>
      </c>
      <c r="L918" s="259">
        <f t="shared" si="164"/>
        <v>759.8447454</v>
      </c>
      <c r="M918" s="259">
        <f t="shared" si="165"/>
        <v>0</v>
      </c>
      <c r="N918" s="259">
        <f t="shared" si="166"/>
        <v>759.8447454</v>
      </c>
      <c r="O918" s="259">
        <f t="shared" si="167"/>
        <v>759.8447454</v>
      </c>
      <c r="P918" s="260">
        <f t="shared" si="2"/>
        <v>0.0005944069698</v>
      </c>
    </row>
    <row r="919">
      <c r="A919" s="261" t="s">
        <v>1104</v>
      </c>
      <c r="B919" s="262" t="s">
        <v>1105</v>
      </c>
      <c r="C919" s="44"/>
      <c r="D919" s="44"/>
      <c r="E919" s="44"/>
      <c r="F919" s="44"/>
      <c r="G919" s="44"/>
      <c r="H919" s="44"/>
      <c r="I919" s="44"/>
      <c r="J919" s="44"/>
      <c r="K919" s="44"/>
      <c r="L919" s="44"/>
      <c r="M919" s="263">
        <f t="shared" ref="M919:O919" si="168">SUM(M920:M931)</f>
        <v>0</v>
      </c>
      <c r="N919" s="263">
        <f t="shared" si="168"/>
        <v>1459.272053</v>
      </c>
      <c r="O919" s="263">
        <f t="shared" si="168"/>
        <v>1459.272053</v>
      </c>
      <c r="P919" s="264">
        <f t="shared" si="2"/>
        <v>0.001141550934</v>
      </c>
    </row>
    <row r="920">
      <c r="A920" s="253" t="s">
        <v>1106</v>
      </c>
      <c r="B920" s="254" t="s">
        <v>1107</v>
      </c>
      <c r="C920" s="255" t="str">
        <f t="shared" ref="C920:C931" si="169">IF(OR(D920="SINAPI-S",D920="SINAPI-I"),"SINAPI","PRÓPRIO")</f>
        <v>PRÓPRIO</v>
      </c>
      <c r="D920" s="256" t="s">
        <v>110</v>
      </c>
      <c r="E920" s="257" t="str">
        <f>IFERROR(IF(D920="SINAPI-S",VLOOKUP(B920,'20-B.SINAPI-S'!A:J,2,0),IF(D920="SINAPI-I",VLOOKUP(B920,'20-A.SINAPI-I'!A:G,2,0),IF(D920="COMPOSIÇÕES",VLOOKUP(B920,'11.COMPOSIÇÕES GERAIS'!B:I,2,0),VLOOKUP(B920,'12.COT.MERCADO'!A:I,2,0)))),"Em Elaboração")</f>
        <v>Correia tipo V A-32. REF: WORKER, REXON OU SIMILAR</v>
      </c>
      <c r="F920" s="258" t="str">
        <f>IFERROR(IF(D920="SINAPI-S",VLOOKUP(B920,'20-B.SINAPI-S'!A:J,3,0),IF(D920="SINAPI-I",VLOOKUP(B920,'20-A.SINAPI-I'!A:G,3,0),IF(D920="COMPOSIÇÕES",VLOOKUP(B920,'11.COMPOSIÇÕES GERAIS'!B:I,3,0),VLOOKUP(B920,'12.COT.MERCADO'!A:I,7,0)))),"Em Elaboração")</f>
        <v>UN </v>
      </c>
      <c r="G920" s="254">
        <v>4.0</v>
      </c>
      <c r="H920" s="259">
        <f>IFERROR(IF(D920="SINAPI-S",VLOOKUP(B920,'20-B.SINAPI-S'!A:J,5,0),IF(D920="SINAPI-I",VLOOKUP(B920,'20-A.SINAPI-I'!A:G,6,0),IF(D920="COMPOSIÇÕES",VLOOKUP(B920,'11.COMPOSIÇÕES GERAIS'!B:I,7,0),0))),"Em Elaboração")</f>
        <v>0</v>
      </c>
      <c r="I920" s="259">
        <f>IFERROR(IF(D920="SINAPI-S",VLOOKUP(B920,'20-B.SINAPI-S'!A:J,6,0),IF(D920="SINAPI-I",VLOOKUP(B920,'20-A.SINAPI-I'!A:G,7,0),IF(D920="COMPOSIÇÕES",VLOOKUP(B920,'11.COMPOSIÇÕES GERAIS'!B:I,8,0),VLOOKUP(B920,'12.COT.MERCADO'!A:I,8,0)))),"Em Elaboração")</f>
        <v>9.18</v>
      </c>
      <c r="J920" s="259">
        <f t="shared" ref="J920:J931" si="170">H920*(1+$J$5)</f>
        <v>0</v>
      </c>
      <c r="K920" s="259">
        <f t="shared" ref="K920:K931" si="171">I920*(1+$J$8)</f>
        <v>10.75285149</v>
      </c>
      <c r="L920" s="259">
        <f t="shared" ref="L920:L931" si="172">SUM(J920:K920)</f>
        <v>10.75285149</v>
      </c>
      <c r="M920" s="259">
        <f t="shared" ref="M920:M931" si="173">J920*G920</f>
        <v>0</v>
      </c>
      <c r="N920" s="259">
        <f t="shared" ref="N920:N931" si="174">K920*G920</f>
        <v>43.01140597</v>
      </c>
      <c r="O920" s="259">
        <f t="shared" ref="O920:O931" si="175">SUM(M920:N920)</f>
        <v>43.01140597</v>
      </c>
      <c r="P920" s="260">
        <f t="shared" si="2"/>
        <v>0.00003364671486</v>
      </c>
    </row>
    <row r="921">
      <c r="A921" s="253" t="s">
        <v>1108</v>
      </c>
      <c r="B921" s="254" t="s">
        <v>1109</v>
      </c>
      <c r="C921" s="255" t="str">
        <f t="shared" si="169"/>
        <v>PRÓPRIO</v>
      </c>
      <c r="D921" s="256" t="s">
        <v>110</v>
      </c>
      <c r="E921" s="257" t="str">
        <f>IFERROR(IF(D921="SINAPI-S",VLOOKUP(B921,'20-B.SINAPI-S'!A:J,2,0),IF(D921="SINAPI-I",VLOOKUP(B921,'20-A.SINAPI-I'!A:G,2,0),IF(D921="COMPOSIÇÕES",VLOOKUP(B921,'11.COMPOSIÇÕES GERAIS'!B:I,2,0),VLOOKUP(B921,'12.COT.MERCADO'!A:I,2,0)))),"Em Elaboração")</f>
        <v>Correia tipo V B-41. REF.: POWER MAKE, REXON OU SIMILAR</v>
      </c>
      <c r="F921" s="258" t="str">
        <f>IFERROR(IF(D921="SINAPI-S",VLOOKUP(B921,'20-B.SINAPI-S'!A:J,3,0),IF(D921="SINAPI-I",VLOOKUP(B921,'20-A.SINAPI-I'!A:G,3,0),IF(D921="COMPOSIÇÕES",VLOOKUP(B921,'11.COMPOSIÇÕES GERAIS'!B:I,3,0),VLOOKUP(B921,'12.COT.MERCADO'!A:I,7,0)))),"Em Elaboração")</f>
        <v>UN </v>
      </c>
      <c r="G921" s="254">
        <v>2.0</v>
      </c>
      <c r="H921" s="259">
        <f>IFERROR(IF(D921="SINAPI-S",VLOOKUP(B921,'20-B.SINAPI-S'!A:J,5,0),IF(D921="SINAPI-I",VLOOKUP(B921,'20-A.SINAPI-I'!A:G,6,0),IF(D921="COMPOSIÇÕES",VLOOKUP(B921,'11.COMPOSIÇÕES GERAIS'!B:I,7,0),0))),"Em Elaboração")</f>
        <v>0</v>
      </c>
      <c r="I921" s="259">
        <f>IFERROR(IF(D921="SINAPI-S",VLOOKUP(B921,'20-B.SINAPI-S'!A:J,6,0),IF(D921="SINAPI-I",VLOOKUP(B921,'20-A.SINAPI-I'!A:G,7,0),IF(D921="COMPOSIÇÕES",VLOOKUP(B921,'11.COMPOSIÇÕES GERAIS'!B:I,8,0),VLOOKUP(B921,'12.COT.MERCADO'!A:I,8,0)))),"Em Elaboração")</f>
        <v>14.99</v>
      </c>
      <c r="J921" s="259">
        <f t="shared" si="170"/>
        <v>0</v>
      </c>
      <c r="K921" s="259">
        <f t="shared" si="171"/>
        <v>17.55830543</v>
      </c>
      <c r="L921" s="259">
        <f t="shared" si="172"/>
        <v>17.55830543</v>
      </c>
      <c r="M921" s="259">
        <f t="shared" si="173"/>
        <v>0</v>
      </c>
      <c r="N921" s="259">
        <f t="shared" si="174"/>
        <v>35.11661086</v>
      </c>
      <c r="O921" s="259">
        <f t="shared" si="175"/>
        <v>35.11661086</v>
      </c>
      <c r="P921" s="260">
        <f t="shared" si="2"/>
        <v>0.00002747082003</v>
      </c>
    </row>
    <row r="922">
      <c r="A922" s="253" t="s">
        <v>1110</v>
      </c>
      <c r="B922" s="254" t="s">
        <v>1111</v>
      </c>
      <c r="C922" s="255" t="str">
        <f t="shared" si="169"/>
        <v>PRÓPRIO</v>
      </c>
      <c r="D922" s="256" t="s">
        <v>110</v>
      </c>
      <c r="E922" s="257" t="str">
        <f>IFERROR(IF(D922="SINAPI-S",VLOOKUP(B922,'20-B.SINAPI-S'!A:J,2,0),IF(D922="SINAPI-I",VLOOKUP(B922,'20-A.SINAPI-I'!A:G,2,0),IF(D922="COMPOSIÇÕES",VLOOKUP(B922,'11.COMPOSIÇÕES GERAIS'!B:I,2,0),VLOOKUP(B922,'12.COT.MERCADO'!A:I,2,0)))),"Em Elaboração")</f>
        <v>Correia tipo V B-54. REF.: POWER SPAN OU SIMILAR</v>
      </c>
      <c r="F922" s="258" t="str">
        <f>IFERROR(IF(D922="SINAPI-S",VLOOKUP(B922,'20-B.SINAPI-S'!A:J,3,0),IF(D922="SINAPI-I",VLOOKUP(B922,'20-A.SINAPI-I'!A:G,3,0),IF(D922="COMPOSIÇÕES",VLOOKUP(B922,'11.COMPOSIÇÕES GERAIS'!B:I,3,0),VLOOKUP(B922,'12.COT.MERCADO'!A:I,7,0)))),"Em Elaboração")</f>
        <v>UN </v>
      </c>
      <c r="G922" s="254">
        <v>2.0</v>
      </c>
      <c r="H922" s="259">
        <f>IFERROR(IF(D922="SINAPI-S",VLOOKUP(B922,'20-B.SINAPI-S'!A:J,5,0),IF(D922="SINAPI-I",VLOOKUP(B922,'20-A.SINAPI-I'!A:G,6,0),IF(D922="COMPOSIÇÕES",VLOOKUP(B922,'11.COMPOSIÇÕES GERAIS'!B:I,7,0),0))),"Em Elaboração")</f>
        <v>0</v>
      </c>
      <c r="I922" s="259">
        <f>IFERROR(IF(D922="SINAPI-S",VLOOKUP(B922,'20-B.SINAPI-S'!A:J,6,0),IF(D922="SINAPI-I",VLOOKUP(B922,'20-A.SINAPI-I'!A:G,7,0),IF(D922="COMPOSIÇÕES",VLOOKUP(B922,'11.COMPOSIÇÕES GERAIS'!B:I,8,0),VLOOKUP(B922,'12.COT.MERCADO'!A:I,8,0)))),"Em Elaboração")</f>
        <v>24.96</v>
      </c>
      <c r="J922" s="259">
        <f t="shared" si="170"/>
        <v>0</v>
      </c>
      <c r="K922" s="259">
        <f t="shared" si="171"/>
        <v>29.23651124</v>
      </c>
      <c r="L922" s="259">
        <f t="shared" si="172"/>
        <v>29.23651124</v>
      </c>
      <c r="M922" s="259">
        <f t="shared" si="173"/>
        <v>0</v>
      </c>
      <c r="N922" s="259">
        <f t="shared" si="174"/>
        <v>58.47302249</v>
      </c>
      <c r="O922" s="259">
        <f t="shared" si="175"/>
        <v>58.47302249</v>
      </c>
      <c r="P922" s="260">
        <f t="shared" si="2"/>
        <v>0.00004574193916</v>
      </c>
    </row>
    <row r="923">
      <c r="A923" s="253" t="s">
        <v>1112</v>
      </c>
      <c r="B923" s="254" t="s">
        <v>1113</v>
      </c>
      <c r="C923" s="255" t="str">
        <f t="shared" si="169"/>
        <v>PRÓPRIO</v>
      </c>
      <c r="D923" s="256" t="s">
        <v>110</v>
      </c>
      <c r="E923" s="257" t="str">
        <f>IFERROR(IF(D923="SINAPI-S",VLOOKUP(B923,'20-B.SINAPI-S'!A:J,2,0),IF(D923="SINAPI-I",VLOOKUP(B923,'20-A.SINAPI-I'!A:G,2,0),IF(D923="COMPOSIÇÕES",VLOOKUP(B923,'11.COMPOSIÇÕES GERAIS'!B:I,2,0),VLOOKUP(B923,'12.COT.MERCADO'!A:I,2,0)))),"Em Elaboração")</f>
        <v>Correia tipo V B-53. REF.: POWER SPAN OU SIMILAR</v>
      </c>
      <c r="F923" s="258" t="str">
        <f>IFERROR(IF(D923="SINAPI-S",VLOOKUP(B923,'20-B.SINAPI-S'!A:J,3,0),IF(D923="SINAPI-I",VLOOKUP(B923,'20-A.SINAPI-I'!A:G,3,0),IF(D923="COMPOSIÇÕES",VLOOKUP(B923,'11.COMPOSIÇÕES GERAIS'!B:I,3,0),VLOOKUP(B923,'12.COT.MERCADO'!A:I,7,0)))),"Em Elaboração")</f>
        <v>UN </v>
      </c>
      <c r="G923" s="254">
        <v>2.0</v>
      </c>
      <c r="H923" s="259">
        <f>IFERROR(IF(D923="SINAPI-S",VLOOKUP(B923,'20-B.SINAPI-S'!A:J,5,0),IF(D923="SINAPI-I",VLOOKUP(B923,'20-A.SINAPI-I'!A:G,6,0),IF(D923="COMPOSIÇÕES",VLOOKUP(B923,'11.COMPOSIÇÕES GERAIS'!B:I,7,0),0))),"Em Elaboração")</f>
        <v>0</v>
      </c>
      <c r="I923" s="259">
        <f>IFERROR(IF(D923="SINAPI-S",VLOOKUP(B923,'20-B.SINAPI-S'!A:J,6,0),IF(D923="SINAPI-I",VLOOKUP(B923,'20-A.SINAPI-I'!A:G,7,0),IF(D923="COMPOSIÇÕES",VLOOKUP(B923,'11.COMPOSIÇÕES GERAIS'!B:I,8,0),VLOOKUP(B923,'12.COT.MERCADO'!A:I,8,0)))),"Em Elaboração")</f>
        <v>31.63</v>
      </c>
      <c r="J923" s="259">
        <f t="shared" si="170"/>
        <v>0</v>
      </c>
      <c r="K923" s="259">
        <f t="shared" si="171"/>
        <v>37.04931293</v>
      </c>
      <c r="L923" s="259">
        <f t="shared" si="172"/>
        <v>37.04931293</v>
      </c>
      <c r="M923" s="259">
        <f t="shared" si="173"/>
        <v>0</v>
      </c>
      <c r="N923" s="259">
        <f t="shared" si="174"/>
        <v>74.09862586</v>
      </c>
      <c r="O923" s="259">
        <f t="shared" si="175"/>
        <v>74.09862586</v>
      </c>
      <c r="P923" s="260">
        <f t="shared" si="2"/>
        <v>0.00005796544614</v>
      </c>
    </row>
    <row r="924">
      <c r="A924" s="253" t="s">
        <v>1114</v>
      </c>
      <c r="B924" s="254" t="s">
        <v>1115</v>
      </c>
      <c r="C924" s="255" t="str">
        <f t="shared" si="169"/>
        <v>PRÓPRIO</v>
      </c>
      <c r="D924" s="256" t="s">
        <v>110</v>
      </c>
      <c r="E924" s="257" t="str">
        <f>IFERROR(IF(D924="SINAPI-S",VLOOKUP(B924,'20-B.SINAPI-S'!A:J,2,0),IF(D924="SINAPI-I",VLOOKUP(B924,'20-A.SINAPI-I'!A:G,2,0),IF(D924="COMPOSIÇÕES",VLOOKUP(B924,'11.COMPOSIÇÕES GERAIS'!B:I,2,0),VLOOKUP(B924,'12.COT.MERCADO'!A:I,2,0)))),"Em Elaboração")</f>
        <v>Correia tipo V B-64. REF.: POWER SPAN OU SIMILAR</v>
      </c>
      <c r="F924" s="258" t="str">
        <f>IFERROR(IF(D924="SINAPI-S",VLOOKUP(B924,'20-B.SINAPI-S'!A:J,3,0),IF(D924="SINAPI-I",VLOOKUP(B924,'20-A.SINAPI-I'!A:G,3,0),IF(D924="COMPOSIÇÕES",VLOOKUP(B924,'11.COMPOSIÇÕES GERAIS'!B:I,3,0),VLOOKUP(B924,'12.COT.MERCADO'!A:I,7,0)))),"Em Elaboração")</f>
        <v>UN </v>
      </c>
      <c r="G924" s="254">
        <v>2.0</v>
      </c>
      <c r="H924" s="259">
        <f>IFERROR(IF(D924="SINAPI-S",VLOOKUP(B924,'20-B.SINAPI-S'!A:J,5,0),IF(D924="SINAPI-I",VLOOKUP(B924,'20-A.SINAPI-I'!A:G,6,0),IF(D924="COMPOSIÇÕES",VLOOKUP(B924,'11.COMPOSIÇÕES GERAIS'!B:I,7,0),0))),"Em Elaboração")</f>
        <v>0</v>
      </c>
      <c r="I924" s="259">
        <f>IFERROR(IF(D924="SINAPI-S",VLOOKUP(B924,'20-B.SINAPI-S'!A:J,6,0),IF(D924="SINAPI-I",VLOOKUP(B924,'20-A.SINAPI-I'!A:G,7,0),IF(D924="COMPOSIÇÕES",VLOOKUP(B924,'11.COMPOSIÇÕES GERAIS'!B:I,8,0),VLOOKUP(B924,'12.COT.MERCADO'!A:I,8,0)))),"Em Elaboração")</f>
        <v>28.9</v>
      </c>
      <c r="J924" s="259">
        <f t="shared" si="170"/>
        <v>0</v>
      </c>
      <c r="K924" s="259">
        <f t="shared" si="171"/>
        <v>33.85156951</v>
      </c>
      <c r="L924" s="259">
        <f t="shared" si="172"/>
        <v>33.85156951</v>
      </c>
      <c r="M924" s="259">
        <f t="shared" si="173"/>
        <v>0</v>
      </c>
      <c r="N924" s="259">
        <f t="shared" si="174"/>
        <v>67.70313902</v>
      </c>
      <c r="O924" s="259">
        <f t="shared" si="175"/>
        <v>67.70313902</v>
      </c>
      <c r="P924" s="260">
        <f t="shared" si="2"/>
        <v>0.00005296242154</v>
      </c>
    </row>
    <row r="925">
      <c r="A925" s="253" t="s">
        <v>1116</v>
      </c>
      <c r="B925" s="254" t="s">
        <v>1117</v>
      </c>
      <c r="C925" s="255" t="str">
        <f t="shared" si="169"/>
        <v>PRÓPRIO</v>
      </c>
      <c r="D925" s="256" t="s">
        <v>110</v>
      </c>
      <c r="E925" s="257" t="str">
        <f>IFERROR(IF(D925="SINAPI-S",VLOOKUP(B925,'20-B.SINAPI-S'!A:J,2,0),IF(D925="SINAPI-I",VLOOKUP(B925,'20-A.SINAPI-I'!A:G,2,0),IF(D925="COMPOSIÇÕES",VLOOKUP(B925,'11.COMPOSIÇÕES GERAIS'!B:I,2,0),VLOOKUP(B925,'12.COT.MERCADO'!A:I,2,0)))),"Em Elaboração")</f>
        <v>Correia tipo V B-52. REF.: POWER SPAN OU SIMILAR</v>
      </c>
      <c r="F925" s="258" t="str">
        <f>IFERROR(IF(D925="SINAPI-S",VLOOKUP(B925,'20-B.SINAPI-S'!A:J,3,0),IF(D925="SINAPI-I",VLOOKUP(B925,'20-A.SINAPI-I'!A:G,3,0),IF(D925="COMPOSIÇÕES",VLOOKUP(B925,'11.COMPOSIÇÕES GERAIS'!B:I,3,0),VLOOKUP(B925,'12.COT.MERCADO'!A:I,7,0)))),"Em Elaboração")</f>
        <v>UN </v>
      </c>
      <c r="G925" s="254">
        <v>2.0</v>
      </c>
      <c r="H925" s="259">
        <f>IFERROR(IF(D925="SINAPI-S",VLOOKUP(B925,'20-B.SINAPI-S'!A:J,5,0),IF(D925="SINAPI-I",VLOOKUP(B925,'20-A.SINAPI-I'!A:G,6,0),IF(D925="COMPOSIÇÕES",VLOOKUP(B925,'11.COMPOSIÇÕES GERAIS'!B:I,7,0),0))),"Em Elaboração")</f>
        <v>0</v>
      </c>
      <c r="I925" s="259">
        <f>IFERROR(IF(D925="SINAPI-S",VLOOKUP(B925,'20-B.SINAPI-S'!A:J,6,0),IF(D925="SINAPI-I",VLOOKUP(B925,'20-A.SINAPI-I'!A:G,7,0),IF(D925="COMPOSIÇÕES",VLOOKUP(B925,'11.COMPOSIÇÕES GERAIS'!B:I,8,0),VLOOKUP(B925,'12.COT.MERCADO'!A:I,8,0)))),"Em Elaboração")</f>
        <v>35.6</v>
      </c>
      <c r="J925" s="259">
        <f t="shared" si="170"/>
        <v>0</v>
      </c>
      <c r="K925" s="259">
        <f t="shared" si="171"/>
        <v>41.69951123</v>
      </c>
      <c r="L925" s="259">
        <f t="shared" si="172"/>
        <v>41.69951123</v>
      </c>
      <c r="M925" s="259">
        <f t="shared" si="173"/>
        <v>0</v>
      </c>
      <c r="N925" s="259">
        <f t="shared" si="174"/>
        <v>83.39902246</v>
      </c>
      <c r="O925" s="259">
        <f t="shared" si="175"/>
        <v>83.39902246</v>
      </c>
      <c r="P925" s="260">
        <f t="shared" si="2"/>
        <v>0.00006524090681</v>
      </c>
    </row>
    <row r="926">
      <c r="A926" s="253" t="s">
        <v>1118</v>
      </c>
      <c r="B926" s="254" t="s">
        <v>1119</v>
      </c>
      <c r="C926" s="255" t="str">
        <f t="shared" si="169"/>
        <v>PRÓPRIO</v>
      </c>
      <c r="D926" s="256" t="s">
        <v>110</v>
      </c>
      <c r="E926" s="257" t="str">
        <f>IFERROR(IF(D926="SINAPI-S",VLOOKUP(B926,'20-B.SINAPI-S'!A:J,2,0),IF(D926="SINAPI-I",VLOOKUP(B926,'20-A.SINAPI-I'!A:G,2,0),IF(D926="COMPOSIÇÕES",VLOOKUP(B926,'11.COMPOSIÇÕES GERAIS'!B:I,2,0),VLOOKUP(B926,'12.COT.MERCADO'!A:I,2,0)))),"Em Elaboração")</f>
        <v>Correia tipo V B-49. REF.: POWER SPAN OU SIMILAR</v>
      </c>
      <c r="F926" s="258" t="str">
        <f>IFERROR(IF(D926="SINAPI-S",VLOOKUP(B926,'20-B.SINAPI-S'!A:J,3,0),IF(D926="SINAPI-I",VLOOKUP(B926,'20-A.SINAPI-I'!A:G,3,0),IF(D926="COMPOSIÇÕES",VLOOKUP(B926,'11.COMPOSIÇÕES GERAIS'!B:I,3,0),VLOOKUP(B926,'12.COT.MERCADO'!A:I,7,0)))),"Em Elaboração")</f>
        <v>UN </v>
      </c>
      <c r="G926" s="254">
        <v>1.0</v>
      </c>
      <c r="H926" s="259">
        <f>IFERROR(IF(D926="SINAPI-S",VLOOKUP(B926,'20-B.SINAPI-S'!A:J,5,0),IF(D926="SINAPI-I",VLOOKUP(B926,'20-A.SINAPI-I'!A:G,6,0),IF(D926="COMPOSIÇÕES",VLOOKUP(B926,'11.COMPOSIÇÕES GERAIS'!B:I,7,0),0))),"Em Elaboração")</f>
        <v>0</v>
      </c>
      <c r="I926" s="259">
        <f>IFERROR(IF(D926="SINAPI-S",VLOOKUP(B926,'20-B.SINAPI-S'!A:J,6,0),IF(D926="SINAPI-I",VLOOKUP(B926,'20-A.SINAPI-I'!A:G,7,0),IF(D926="COMPOSIÇÕES",VLOOKUP(B926,'11.COMPOSIÇÕES GERAIS'!B:I,8,0),VLOOKUP(B926,'12.COT.MERCADO'!A:I,8,0)))),"Em Elaboração")</f>
        <v>31.6</v>
      </c>
      <c r="J926" s="259">
        <f t="shared" si="170"/>
        <v>0</v>
      </c>
      <c r="K926" s="259">
        <f t="shared" si="171"/>
        <v>37.01417289</v>
      </c>
      <c r="L926" s="259">
        <f t="shared" si="172"/>
        <v>37.01417289</v>
      </c>
      <c r="M926" s="259">
        <f t="shared" si="173"/>
        <v>0</v>
      </c>
      <c r="N926" s="259">
        <f t="shared" si="174"/>
        <v>37.01417289</v>
      </c>
      <c r="O926" s="259">
        <f t="shared" si="175"/>
        <v>37.01417289</v>
      </c>
      <c r="P926" s="260">
        <f t="shared" si="2"/>
        <v>0.00002895523392</v>
      </c>
    </row>
    <row r="927">
      <c r="A927" s="253" t="s">
        <v>1120</v>
      </c>
      <c r="B927" s="254" t="s">
        <v>1121</v>
      </c>
      <c r="C927" s="255" t="str">
        <f t="shared" si="169"/>
        <v>PRÓPRIO</v>
      </c>
      <c r="D927" s="256" t="s">
        <v>110</v>
      </c>
      <c r="E927" s="257" t="str">
        <f>IFERROR(IF(D927="SINAPI-S",VLOOKUP(B927,'20-B.SINAPI-S'!A:J,2,0),IF(D927="SINAPI-I",VLOOKUP(B927,'20-A.SINAPI-I'!A:G,2,0),IF(D927="COMPOSIÇÕES",VLOOKUP(B927,'11.COMPOSIÇÕES GERAIS'!B:I,2,0),VLOOKUP(B927,'12.COT.MERCADO'!A:I,2,0)))),"Em Elaboração")</f>
        <v>Correia tipo V B-42. REF.: POWER SPAN OU SIMILAR</v>
      </c>
      <c r="F927" s="258" t="str">
        <f>IFERROR(IF(D927="SINAPI-S",VLOOKUP(B927,'20-B.SINAPI-S'!A:J,3,0),IF(D927="SINAPI-I",VLOOKUP(B927,'20-A.SINAPI-I'!A:G,3,0),IF(D927="COMPOSIÇÕES",VLOOKUP(B927,'11.COMPOSIÇÕES GERAIS'!B:I,3,0),VLOOKUP(B927,'12.COT.MERCADO'!A:I,7,0)))),"Em Elaboração")</f>
        <v>UN </v>
      </c>
      <c r="G927" s="254">
        <v>2.0</v>
      </c>
      <c r="H927" s="259">
        <f>IFERROR(IF(D927="SINAPI-S",VLOOKUP(B927,'20-B.SINAPI-S'!A:J,5,0),IF(D927="SINAPI-I",VLOOKUP(B927,'20-A.SINAPI-I'!A:G,6,0),IF(D927="COMPOSIÇÕES",VLOOKUP(B927,'11.COMPOSIÇÕES GERAIS'!B:I,7,0),0))),"Em Elaboração")</f>
        <v>0</v>
      </c>
      <c r="I927" s="259">
        <f>IFERROR(IF(D927="SINAPI-S",VLOOKUP(B927,'20-B.SINAPI-S'!A:J,6,0),IF(D927="SINAPI-I",VLOOKUP(B927,'20-A.SINAPI-I'!A:G,7,0),IF(D927="COMPOSIÇÕES",VLOOKUP(B927,'11.COMPOSIÇÕES GERAIS'!B:I,8,0),VLOOKUP(B927,'12.COT.MERCADO'!A:I,8,0)))),"Em Elaboração")</f>
        <v>27.12</v>
      </c>
      <c r="J927" s="259">
        <f t="shared" si="170"/>
        <v>0</v>
      </c>
      <c r="K927" s="259">
        <f t="shared" si="171"/>
        <v>31.76659395</v>
      </c>
      <c r="L927" s="259">
        <f t="shared" si="172"/>
        <v>31.76659395</v>
      </c>
      <c r="M927" s="259">
        <f t="shared" si="173"/>
        <v>0</v>
      </c>
      <c r="N927" s="259">
        <f t="shared" si="174"/>
        <v>63.5331879</v>
      </c>
      <c r="O927" s="259">
        <f t="shared" si="175"/>
        <v>63.5331879</v>
      </c>
      <c r="P927" s="260">
        <f t="shared" si="2"/>
        <v>0.0000497003762</v>
      </c>
    </row>
    <row r="928">
      <c r="A928" s="253" t="s">
        <v>1122</v>
      </c>
      <c r="B928" s="254" t="s">
        <v>1123</v>
      </c>
      <c r="C928" s="255" t="str">
        <f t="shared" si="169"/>
        <v>PRÓPRIO</v>
      </c>
      <c r="D928" s="256" t="s">
        <v>110</v>
      </c>
      <c r="E928" s="257" t="str">
        <f>IFERROR(IF(D928="SINAPI-S",VLOOKUP(B928,'20-B.SINAPI-S'!A:J,2,0),IF(D928="SINAPI-I",VLOOKUP(B928,'20-A.SINAPI-I'!A:G,2,0),IF(D928="COMPOSIÇÕES",VLOOKUP(B928,'11.COMPOSIÇÕES GERAIS'!B:I,2,0),VLOOKUP(B928,'12.COT.MERCADO'!A:I,2,0)))),"Em Elaboração")</f>
        <v>Correia tipo V A-55. REF.: POWER SPAN OU SIMILAR</v>
      </c>
      <c r="F928" s="258" t="str">
        <f>IFERROR(IF(D928="SINAPI-S",VLOOKUP(B928,'20-B.SINAPI-S'!A:J,3,0),IF(D928="SINAPI-I",VLOOKUP(B928,'20-A.SINAPI-I'!A:G,3,0),IF(D928="COMPOSIÇÕES",VLOOKUP(B928,'11.COMPOSIÇÕES GERAIS'!B:I,3,0),VLOOKUP(B928,'12.COT.MERCADO'!A:I,7,0)))),"Em Elaboração")</f>
        <v>UN </v>
      </c>
      <c r="G928" s="254">
        <v>2.0</v>
      </c>
      <c r="H928" s="259">
        <f>IFERROR(IF(D928="SINAPI-S",VLOOKUP(B928,'20-B.SINAPI-S'!A:J,5,0),IF(D928="SINAPI-I",VLOOKUP(B928,'20-A.SINAPI-I'!A:G,6,0),IF(D928="COMPOSIÇÕES",VLOOKUP(B928,'11.COMPOSIÇÕES GERAIS'!B:I,7,0),0))),"Em Elaboração")</f>
        <v>0</v>
      </c>
      <c r="I928" s="259">
        <f>IFERROR(IF(D928="SINAPI-S",VLOOKUP(B928,'20-B.SINAPI-S'!A:J,6,0),IF(D928="SINAPI-I",VLOOKUP(B928,'20-A.SINAPI-I'!A:G,7,0),IF(D928="COMPOSIÇÕES",VLOOKUP(B928,'11.COMPOSIÇÕES GERAIS'!B:I,8,0),VLOOKUP(B928,'12.COT.MERCADO'!A:I,8,0)))),"Em Elaboração")</f>
        <v>26.25</v>
      </c>
      <c r="J928" s="259">
        <f t="shared" si="170"/>
        <v>0</v>
      </c>
      <c r="K928" s="259">
        <f t="shared" si="171"/>
        <v>30.74753286</v>
      </c>
      <c r="L928" s="259">
        <f t="shared" si="172"/>
        <v>30.74753286</v>
      </c>
      <c r="M928" s="259">
        <f t="shared" si="173"/>
        <v>0</v>
      </c>
      <c r="N928" s="259">
        <f t="shared" si="174"/>
        <v>61.49506572</v>
      </c>
      <c r="O928" s="259">
        <f t="shared" si="175"/>
        <v>61.49506572</v>
      </c>
      <c r="P928" s="260">
        <f t="shared" si="2"/>
        <v>0.00004810600572</v>
      </c>
    </row>
    <row r="929">
      <c r="A929" s="253" t="s">
        <v>1124</v>
      </c>
      <c r="B929" s="254" t="s">
        <v>1125</v>
      </c>
      <c r="C929" s="255" t="str">
        <f t="shared" si="169"/>
        <v>PRÓPRIO</v>
      </c>
      <c r="D929" s="256" t="s">
        <v>110</v>
      </c>
      <c r="E929" s="257" t="str">
        <f>IFERROR(IF(D929="SINAPI-S",VLOOKUP(B929,'20-B.SINAPI-S'!A:J,2,0),IF(D929="SINAPI-I",VLOOKUP(B929,'20-A.SINAPI-I'!A:G,2,0),IF(D929="COMPOSIÇÕES",VLOOKUP(B929,'11.COMPOSIÇÕES GERAIS'!B:I,2,0),VLOOKUP(B929,'12.COT.MERCADO'!A:I,2,0)))),"Em Elaboração")</f>
        <v>Correia C 128 multi v 3T. REF: VONDER OU SIMILAR</v>
      </c>
      <c r="F929" s="258" t="str">
        <f>IFERROR(IF(D929="SINAPI-S",VLOOKUP(B929,'20-B.SINAPI-S'!A:J,3,0),IF(D929="SINAPI-I",VLOOKUP(B929,'20-A.SINAPI-I'!A:G,3,0),IF(D929="COMPOSIÇÕES",VLOOKUP(B929,'11.COMPOSIÇÕES GERAIS'!B:I,3,0),VLOOKUP(B929,'12.COT.MERCADO'!A:I,7,0)))),"Em Elaboração")</f>
        <v>UN </v>
      </c>
      <c r="G929" s="254">
        <v>2.0</v>
      </c>
      <c r="H929" s="259">
        <f>IFERROR(IF(D929="SINAPI-S",VLOOKUP(B929,'20-B.SINAPI-S'!A:J,5,0),IF(D929="SINAPI-I",VLOOKUP(B929,'20-A.SINAPI-I'!A:G,6,0),IF(D929="COMPOSIÇÕES",VLOOKUP(B929,'11.COMPOSIÇÕES GERAIS'!B:I,7,0),0))),"Em Elaboração")</f>
        <v>0</v>
      </c>
      <c r="I929" s="259">
        <f>IFERROR(IF(D929="SINAPI-S",VLOOKUP(B929,'20-B.SINAPI-S'!A:J,6,0),IF(D929="SINAPI-I",VLOOKUP(B929,'20-A.SINAPI-I'!A:G,7,0),IF(D929="COMPOSIÇÕES",VLOOKUP(B929,'11.COMPOSIÇÕES GERAIS'!B:I,8,0),VLOOKUP(B929,'12.COT.MERCADO'!A:I,8,0)))),"Em Elaboração")</f>
        <v>89.05</v>
      </c>
      <c r="J929" s="259">
        <f t="shared" si="170"/>
        <v>0</v>
      </c>
      <c r="K929" s="259">
        <f t="shared" si="171"/>
        <v>104.3073448</v>
      </c>
      <c r="L929" s="259">
        <f t="shared" si="172"/>
        <v>104.3073448</v>
      </c>
      <c r="M929" s="259">
        <f t="shared" si="173"/>
        <v>0</v>
      </c>
      <c r="N929" s="259">
        <f t="shared" si="174"/>
        <v>208.6146896</v>
      </c>
      <c r="O929" s="259">
        <f t="shared" si="175"/>
        <v>208.6146896</v>
      </c>
      <c r="P929" s="260">
        <f t="shared" si="2"/>
        <v>0.0001631938975</v>
      </c>
    </row>
    <row r="930">
      <c r="A930" s="253" t="s">
        <v>1126</v>
      </c>
      <c r="B930" s="254" t="s">
        <v>1127</v>
      </c>
      <c r="C930" s="255" t="str">
        <f t="shared" si="169"/>
        <v>PRÓPRIO</v>
      </c>
      <c r="D930" s="256" t="s">
        <v>110</v>
      </c>
      <c r="E930" s="257" t="str">
        <f>IFERROR(IF(D930="SINAPI-S",VLOOKUP(B930,'20-B.SINAPI-S'!A:J,2,0),IF(D930="SINAPI-I",VLOOKUP(B930,'20-A.SINAPI-I'!A:G,2,0),IF(D930="COMPOSIÇÕES",VLOOKUP(B930,'11.COMPOSIÇÕES GERAIS'!B:I,2,0),VLOOKUP(B930,'12.COT.MERCADO'!A:I,2,0)))),"Em Elaboração")</f>
        <v>Correia C 112 multi v 3T. REF: VONDER OU SIMILAR</v>
      </c>
      <c r="F930" s="258" t="str">
        <f>IFERROR(IF(D930="SINAPI-S",VLOOKUP(B930,'20-B.SINAPI-S'!A:J,3,0),IF(D930="SINAPI-I",VLOOKUP(B930,'20-A.SINAPI-I'!A:G,3,0),IF(D930="COMPOSIÇÕES",VLOOKUP(B930,'11.COMPOSIÇÕES GERAIS'!B:I,3,0),VLOOKUP(B930,'12.COT.MERCADO'!A:I,7,0)))),"Em Elaboração")</f>
        <v>UN </v>
      </c>
      <c r="G930" s="254">
        <v>2.0</v>
      </c>
      <c r="H930" s="259">
        <f>IFERROR(IF(D930="SINAPI-S",VLOOKUP(B930,'20-B.SINAPI-S'!A:J,5,0),IF(D930="SINAPI-I",VLOOKUP(B930,'20-A.SINAPI-I'!A:G,6,0),IF(D930="COMPOSIÇÕES",VLOOKUP(B930,'11.COMPOSIÇÕES GERAIS'!B:I,7,0),0))),"Em Elaboração")</f>
        <v>0</v>
      </c>
      <c r="I930" s="259">
        <f>IFERROR(IF(D930="SINAPI-S",VLOOKUP(B930,'20-B.SINAPI-S'!A:J,6,0),IF(D930="SINAPI-I",VLOOKUP(B930,'20-A.SINAPI-I'!A:G,7,0),IF(D930="COMPOSIÇÕES",VLOOKUP(B930,'11.COMPOSIÇÕES GERAIS'!B:I,8,0),VLOOKUP(B930,'12.COT.MERCADO'!A:I,8,0)))),"Em Elaboração")</f>
        <v>99.25</v>
      </c>
      <c r="J930" s="259">
        <f t="shared" si="170"/>
        <v>0</v>
      </c>
      <c r="K930" s="259">
        <f t="shared" si="171"/>
        <v>116.2549576</v>
      </c>
      <c r="L930" s="259">
        <f t="shared" si="172"/>
        <v>116.2549576</v>
      </c>
      <c r="M930" s="259">
        <f t="shared" si="173"/>
        <v>0</v>
      </c>
      <c r="N930" s="259">
        <f t="shared" si="174"/>
        <v>232.5099151</v>
      </c>
      <c r="O930" s="259">
        <f t="shared" si="175"/>
        <v>232.5099151</v>
      </c>
      <c r="P930" s="260">
        <f t="shared" si="2"/>
        <v>0.0001818865169</v>
      </c>
    </row>
    <row r="931">
      <c r="A931" s="253" t="s">
        <v>1128</v>
      </c>
      <c r="B931" s="254" t="s">
        <v>1129</v>
      </c>
      <c r="C931" s="255" t="str">
        <f t="shared" si="169"/>
        <v>PRÓPRIO</v>
      </c>
      <c r="D931" s="256" t="s">
        <v>110</v>
      </c>
      <c r="E931" s="257" t="str">
        <f>IFERROR(IF(D931="SINAPI-S",VLOOKUP(B931,'20-B.SINAPI-S'!A:J,2,0),IF(D931="SINAPI-I",VLOOKUP(B931,'20-A.SINAPI-I'!A:G,2,0),IF(D931="COMPOSIÇÕES",VLOOKUP(B931,'11.COMPOSIÇÕES GERAIS'!B:I,2,0),VLOOKUP(B931,'12.COT.MERCADO'!A:I,2,0)))),"Em Elaboração")</f>
        <v>Correia C 225 multi v 3T. REF: POWER SPAN, VONDER OU SIMILAR</v>
      </c>
      <c r="F931" s="258" t="str">
        <f>IFERROR(IF(D931="SINAPI-S",VLOOKUP(B931,'20-B.SINAPI-S'!A:J,3,0),IF(D931="SINAPI-I",VLOOKUP(B931,'20-A.SINAPI-I'!A:G,3,0),IF(D931="COMPOSIÇÕES",VLOOKUP(B931,'11.COMPOSIÇÕES GERAIS'!B:I,3,0),VLOOKUP(B931,'12.COT.MERCADO'!A:I,7,0)))),"Em Elaboração")</f>
        <v>UN </v>
      </c>
      <c r="G931" s="254">
        <v>2.0</v>
      </c>
      <c r="H931" s="259">
        <f>IFERROR(IF(D931="SINAPI-S",VLOOKUP(B931,'20-B.SINAPI-S'!A:J,5,0),IF(D931="SINAPI-I",VLOOKUP(B931,'20-A.SINAPI-I'!A:G,6,0),IF(D931="COMPOSIÇÕES",VLOOKUP(B931,'11.COMPOSIÇÕES GERAIS'!B:I,7,0),0))),"Em Elaboração")</f>
        <v>0</v>
      </c>
      <c r="I931" s="259">
        <f>IFERROR(IF(D931="SINAPI-S",VLOOKUP(B931,'20-B.SINAPI-S'!A:J,6,0),IF(D931="SINAPI-I",VLOOKUP(B931,'20-A.SINAPI-I'!A:G,7,0),IF(D931="COMPOSIÇÕES",VLOOKUP(B931,'11.COMPOSIÇÕES GERAIS'!B:I,8,0),VLOOKUP(B931,'12.COT.MERCADO'!A:I,8,0)))),"Em Elaboração")</f>
        <v>211</v>
      </c>
      <c r="J931" s="259">
        <f t="shared" si="170"/>
        <v>0</v>
      </c>
      <c r="K931" s="259">
        <f t="shared" si="171"/>
        <v>247.1515975</v>
      </c>
      <c r="L931" s="259">
        <f t="shared" si="172"/>
        <v>247.1515975</v>
      </c>
      <c r="M931" s="259">
        <f t="shared" si="173"/>
        <v>0</v>
      </c>
      <c r="N931" s="259">
        <f t="shared" si="174"/>
        <v>494.3031949</v>
      </c>
      <c r="O931" s="259">
        <f t="shared" si="175"/>
        <v>494.3031949</v>
      </c>
      <c r="P931" s="260">
        <f t="shared" si="2"/>
        <v>0.0003866806555</v>
      </c>
    </row>
    <row r="932">
      <c r="A932" s="261" t="s">
        <v>1130</v>
      </c>
      <c r="B932" s="262" t="s">
        <v>1131</v>
      </c>
      <c r="C932" s="44"/>
      <c r="D932" s="44"/>
      <c r="E932" s="44"/>
      <c r="F932" s="44"/>
      <c r="G932" s="44"/>
      <c r="H932" s="44"/>
      <c r="I932" s="44"/>
      <c r="J932" s="44"/>
      <c r="K932" s="44"/>
      <c r="L932" s="44"/>
      <c r="M932" s="263">
        <f t="shared" ref="M932:O932" si="176">SUM(M933:M935)</f>
        <v>0</v>
      </c>
      <c r="N932" s="263">
        <f t="shared" si="176"/>
        <v>2592.514837</v>
      </c>
      <c r="O932" s="263">
        <f t="shared" si="176"/>
        <v>2592.514837</v>
      </c>
      <c r="P932" s="264">
        <f t="shared" si="2"/>
        <v>0.002028057571</v>
      </c>
    </row>
    <row r="933">
      <c r="A933" s="253" t="s">
        <v>1132</v>
      </c>
      <c r="B933" s="254" t="s">
        <v>1133</v>
      </c>
      <c r="C933" s="255" t="str">
        <f t="shared" ref="C933:C935" si="177">IF(OR(D933="SINAPI-S",D933="SINAPI-I"),"SINAPI","PRÓPRIO")</f>
        <v>PRÓPRIO</v>
      </c>
      <c r="D933" s="256" t="s">
        <v>110</v>
      </c>
      <c r="E933" s="257" t="str">
        <f>IFERROR(IF(D933="SINAPI-S",VLOOKUP(B933,'20-B.SINAPI-S'!A:J,2,0),IF(D933="SINAPI-I",VLOOKUP(B933,'20-A.SINAPI-I'!A:G,2,0),IF(D933="COMPOSIÇÕES",VLOOKUP(B933,'11.COMPOSIÇÕES GERAIS'!B:I,2,0),VLOOKUP(B933,'12.COT.MERCADO'!A:I,2,0)))),"Em Elaboração")</f>
        <v>Gás refrigerante R22</v>
      </c>
      <c r="F933" s="258" t="str">
        <f>IFERROR(IF(D933="SINAPI-S",VLOOKUP(B933,'20-B.SINAPI-S'!A:J,3,0),IF(D933="SINAPI-I",VLOOKUP(B933,'20-A.SINAPI-I'!A:G,3,0),IF(D933="COMPOSIÇÕES",VLOOKUP(B933,'11.COMPOSIÇÕES GERAIS'!B:I,3,0),VLOOKUP(B933,'12.COT.MERCADO'!A:I,7,0)))),"Em Elaboração")</f>
        <v>KG</v>
      </c>
      <c r="G933" s="254">
        <v>10.0</v>
      </c>
      <c r="H933" s="259">
        <f>IFERROR(IF(D933="SINAPI-S",VLOOKUP(B933,'20-B.SINAPI-S'!A:J,5,0),IF(D933="SINAPI-I",VLOOKUP(B933,'20-A.SINAPI-I'!A:G,6,0),IF(D933="COMPOSIÇÕES",VLOOKUP(B933,'11.COMPOSIÇÕES GERAIS'!B:I,7,0),0))),"Em Elaboração")</f>
        <v>0</v>
      </c>
      <c r="I933" s="259">
        <f>IFERROR(IF(D933="SINAPI-S",VLOOKUP(B933,'20-B.SINAPI-S'!A:J,6,0),IF(D933="SINAPI-I",VLOOKUP(B933,'20-A.SINAPI-I'!A:G,7,0),IF(D933="COMPOSIÇÕES",VLOOKUP(B933,'11.COMPOSIÇÕES GERAIS'!B:I,8,0),VLOOKUP(B933,'12.COT.MERCADO'!A:I,8,0)))),"Em Elaboração")</f>
        <v>85.83</v>
      </c>
      <c r="J933" s="259">
        <f t="shared" ref="J933:J935" si="178">H933*(1+$J$5)</f>
        <v>0</v>
      </c>
      <c r="K933" s="259">
        <f t="shared" ref="K933:K935" si="179">I933*(1+$J$8)</f>
        <v>100.5356474</v>
      </c>
      <c r="L933" s="259">
        <f t="shared" ref="L933:L935" si="180">SUM(J933:K933)</f>
        <v>100.5356474</v>
      </c>
      <c r="M933" s="259">
        <f t="shared" ref="M933:M935" si="181">J933*G933</f>
        <v>0</v>
      </c>
      <c r="N933" s="259">
        <f t="shared" ref="N933:N935" si="182">K933*G933</f>
        <v>1005.356474</v>
      </c>
      <c r="O933" s="259">
        <f t="shared" ref="O933:O935" si="183">SUM(M933:N933)</f>
        <v>1005.356474</v>
      </c>
      <c r="P933" s="260">
        <f t="shared" si="2"/>
        <v>0.0007864644707</v>
      </c>
    </row>
    <row r="934">
      <c r="A934" s="253" t="s">
        <v>1134</v>
      </c>
      <c r="B934" s="254" t="s">
        <v>1135</v>
      </c>
      <c r="C934" s="255" t="str">
        <f t="shared" si="177"/>
        <v>PRÓPRIO</v>
      </c>
      <c r="D934" s="256" t="s">
        <v>110</v>
      </c>
      <c r="E934" s="257" t="str">
        <f>IFERROR(IF(D934="SINAPI-S",VLOOKUP(B934,'20-B.SINAPI-S'!A:J,2,0),IF(D934="SINAPI-I",VLOOKUP(B934,'20-A.SINAPI-I'!A:G,2,0),IF(D934="COMPOSIÇÕES",VLOOKUP(B934,'11.COMPOSIÇÕES GERAIS'!B:I,2,0),VLOOKUP(B934,'12.COT.MERCADO'!A:I,2,0)))),"Em Elaboração")</f>
        <v>Gás R410 A - 750g</v>
      </c>
      <c r="F934" s="258" t="str">
        <f>IFERROR(IF(D934="SINAPI-S",VLOOKUP(B934,'20-B.SINAPI-S'!A:J,3,0),IF(D934="SINAPI-I",VLOOKUP(B934,'20-A.SINAPI-I'!A:G,3,0),IF(D934="COMPOSIÇÕES",VLOOKUP(B934,'11.COMPOSIÇÕES GERAIS'!B:I,3,0),VLOOKUP(B934,'12.COT.MERCADO'!A:I,7,0)))),"Em Elaboração")</f>
        <v>UN </v>
      </c>
      <c r="G934" s="254">
        <v>10.0</v>
      </c>
      <c r="H934" s="259">
        <f>IFERROR(IF(D934="SINAPI-S",VLOOKUP(B934,'20-B.SINAPI-S'!A:J,5,0),IF(D934="SINAPI-I",VLOOKUP(B934,'20-A.SINAPI-I'!A:G,6,0),IF(D934="COMPOSIÇÕES",VLOOKUP(B934,'11.COMPOSIÇÕES GERAIS'!B:I,7,0),0))),"Em Elaboração")</f>
        <v>0</v>
      </c>
      <c r="I934" s="259">
        <f>IFERROR(IF(D934="SINAPI-S",VLOOKUP(B934,'20-B.SINAPI-S'!A:J,6,0),IF(D934="SINAPI-I",VLOOKUP(B934,'20-A.SINAPI-I'!A:G,7,0),IF(D934="COMPOSIÇÕES",VLOOKUP(B934,'11.COMPOSIÇÕES GERAIS'!B:I,8,0),VLOOKUP(B934,'12.COT.MERCADO'!A:I,8,0)))),"Em Elaboração")</f>
        <v>89</v>
      </c>
      <c r="J934" s="259">
        <f t="shared" si="178"/>
        <v>0</v>
      </c>
      <c r="K934" s="259">
        <f t="shared" si="179"/>
        <v>104.2487781</v>
      </c>
      <c r="L934" s="259">
        <f t="shared" si="180"/>
        <v>104.2487781</v>
      </c>
      <c r="M934" s="259">
        <f t="shared" si="181"/>
        <v>0</v>
      </c>
      <c r="N934" s="259">
        <f t="shared" si="182"/>
        <v>1042.487781</v>
      </c>
      <c r="O934" s="259">
        <f t="shared" si="183"/>
        <v>1042.487781</v>
      </c>
      <c r="P934" s="260">
        <f t="shared" si="2"/>
        <v>0.0008155113351</v>
      </c>
    </row>
    <row r="935">
      <c r="A935" s="253" t="s">
        <v>1136</v>
      </c>
      <c r="B935" s="254" t="s">
        <v>1137</v>
      </c>
      <c r="C935" s="255" t="str">
        <f t="shared" si="177"/>
        <v>PRÓPRIO</v>
      </c>
      <c r="D935" s="256" t="s">
        <v>110</v>
      </c>
      <c r="E935" s="257" t="str">
        <f>IFERROR(IF(D935="SINAPI-S",VLOOKUP(B935,'20-B.SINAPI-S'!A:J,2,0),IF(D935="SINAPI-I",VLOOKUP(B935,'20-A.SINAPI-I'!A:G,2,0),IF(D935="COMPOSIÇÕES",VLOOKUP(B935,'11.COMPOSIÇÕES GERAIS'!B:I,2,0),VLOOKUP(B935,'12.COT.MERCADO'!A:I,2,0)))),"Em Elaboração")</f>
        <v>Gás R134a - 13,6 Kg</v>
      </c>
      <c r="F935" s="258" t="str">
        <f>IFERROR(IF(D935="SINAPI-S",VLOOKUP(B935,'20-B.SINAPI-S'!A:J,3,0),IF(D935="SINAPI-I",VLOOKUP(B935,'20-A.SINAPI-I'!A:G,3,0),IF(D935="COMPOSIÇÕES",VLOOKUP(B935,'11.COMPOSIÇÕES GERAIS'!B:I,3,0),VLOOKUP(B935,'12.COT.MERCADO'!A:I,7,0)))),"Em Elaboração")</f>
        <v>UN </v>
      </c>
      <c r="G935" s="254">
        <v>1.0</v>
      </c>
      <c r="H935" s="259">
        <f>IFERROR(IF(D935="SINAPI-S",VLOOKUP(B935,'20-B.SINAPI-S'!A:J,5,0),IF(D935="SINAPI-I",VLOOKUP(B935,'20-A.SINAPI-I'!A:G,6,0),IF(D935="COMPOSIÇÕES",VLOOKUP(B935,'11.COMPOSIÇÕES GERAIS'!B:I,7,0),0))),"Em Elaboração")</f>
        <v>0</v>
      </c>
      <c r="I935" s="259">
        <f>IFERROR(IF(D935="SINAPI-S",VLOOKUP(B935,'20-B.SINAPI-S'!A:J,6,0),IF(D935="SINAPI-I",VLOOKUP(B935,'20-A.SINAPI-I'!A:G,7,0),IF(D935="COMPOSIÇÕES",VLOOKUP(B935,'11.COMPOSIÇÕES GERAIS'!B:I,8,0),VLOOKUP(B935,'12.COT.MERCADO'!A:I,8,0)))),"Em Elaboração")</f>
        <v>465</v>
      </c>
      <c r="J935" s="259">
        <f t="shared" si="178"/>
        <v>0</v>
      </c>
      <c r="K935" s="259">
        <f t="shared" si="179"/>
        <v>544.6705821</v>
      </c>
      <c r="L935" s="259">
        <f t="shared" si="180"/>
        <v>544.6705821</v>
      </c>
      <c r="M935" s="259">
        <f t="shared" si="181"/>
        <v>0</v>
      </c>
      <c r="N935" s="259">
        <f t="shared" si="182"/>
        <v>544.6705821</v>
      </c>
      <c r="O935" s="259">
        <f t="shared" si="183"/>
        <v>544.6705821</v>
      </c>
      <c r="P935" s="260">
        <f t="shared" si="2"/>
        <v>0.000426081765</v>
      </c>
    </row>
    <row r="936">
      <c r="A936" s="261" t="s">
        <v>1138</v>
      </c>
      <c r="B936" s="262" t="s">
        <v>1139</v>
      </c>
      <c r="C936" s="44"/>
      <c r="D936" s="44"/>
      <c r="E936" s="44"/>
      <c r="F936" s="44"/>
      <c r="G936" s="44"/>
      <c r="H936" s="44"/>
      <c r="I936" s="44"/>
      <c r="J936" s="44"/>
      <c r="K936" s="44"/>
      <c r="L936" s="44"/>
      <c r="M936" s="263">
        <f t="shared" ref="M936:O936" si="184">SUM(M937:M938)</f>
        <v>0</v>
      </c>
      <c r="N936" s="263">
        <f t="shared" si="184"/>
        <v>1166.813234</v>
      </c>
      <c r="O936" s="263">
        <f t="shared" si="184"/>
        <v>1166.813234</v>
      </c>
      <c r="P936" s="264">
        <f t="shared" si="2"/>
        <v>0.0009127679341</v>
      </c>
    </row>
    <row r="937">
      <c r="A937" s="253" t="s">
        <v>1140</v>
      </c>
      <c r="B937" s="254">
        <v>12898.0</v>
      </c>
      <c r="C937" s="255" t="str">
        <f t="shared" ref="C937:C938" si="185">IF(OR(D937="SINAPI-S",D937="SINAPI-I"),"SINAPI","PRÓPRIO")</f>
        <v>SINAPI</v>
      </c>
      <c r="D937" s="256" t="s">
        <v>286</v>
      </c>
      <c r="E937" s="257" t="str">
        <f>IFERROR(IF(D937="SINAPI-S",VLOOKUP(B937,'20-B.SINAPI-S'!A:J,2,0),IF(D937="SINAPI-I",VLOOKUP(B937,'20-A.SINAPI-I'!A:G,2,0),IF(D937="COMPOSIÇÕES",VLOOKUP(B937,'11.COMPOSIÇÕES GERAIS'!B:I,2,0),VLOOKUP(B937,'12.COT.MERCADO'!A:I,2,0)))),"Em Elaboração")</f>
        <v>MANOMETRO COM CAIXA EM ACO PINTADO, ESCALA *10* KGF/CM2 (*10* BAR), DIAMETRO NOMINAL DE 100 MM, CONEXAO DE 1/2"</v>
      </c>
      <c r="F937" s="258" t="str">
        <f>IFERROR(IF(D937="SINAPI-S",VLOOKUP(B937,'20-B.SINAPI-S'!A:J,3,0),IF(D937="SINAPI-I",VLOOKUP(B937,'20-A.SINAPI-I'!A:G,3,0),IF(D937="COMPOSIÇÕES",VLOOKUP(B937,'11.COMPOSIÇÕES GERAIS'!B:I,3,0),VLOOKUP(B937,'12.COT.MERCADO'!A:I,7,0)))),"Em Elaboração")</f>
        <v>UN</v>
      </c>
      <c r="G937" s="254">
        <v>2.0</v>
      </c>
      <c r="H937" s="259">
        <f>IFERROR(IF(D937="SINAPI-S",VLOOKUP(B937,'20-B.SINAPI-S'!A:J,5,0),IF(D937="SINAPI-I",VLOOKUP(B937,'20-A.SINAPI-I'!A:G,6,0),IF(D937="COMPOSIÇÕES",VLOOKUP(B937,'11.COMPOSIÇÕES GERAIS'!B:I,7,0),0))),"Em Elaboração")</f>
        <v>0</v>
      </c>
      <c r="I937" s="259">
        <f>IFERROR(IF(D937="SINAPI-S",VLOOKUP(B937,'20-B.SINAPI-S'!A:J,6,0),IF(D937="SINAPI-I",VLOOKUP(B937,'20-A.SINAPI-I'!A:G,7,0),IF(D937="COMPOSIÇÕES",VLOOKUP(B937,'11.COMPOSIÇÕES GERAIS'!B:I,8,0),VLOOKUP(B937,'12.COT.MERCADO'!A:I,8,0)))),"Em Elaboração")</f>
        <v>181.71</v>
      </c>
      <c r="J937" s="259">
        <f t="shared" ref="J937:J938" si="186">H937*(1+$J$5)</f>
        <v>0</v>
      </c>
      <c r="K937" s="259">
        <f t="shared" ref="K937:K938" si="187">I937*(1+$J$8)</f>
        <v>212.8432075</v>
      </c>
      <c r="L937" s="259">
        <f t="shared" ref="L937:L938" si="188">SUM(J937:K937)</f>
        <v>212.8432075</v>
      </c>
      <c r="M937" s="259">
        <f t="shared" ref="M937:M938" si="189">J937*G937</f>
        <v>0</v>
      </c>
      <c r="N937" s="259">
        <f t="shared" ref="N937:N938" si="190">K937*G937</f>
        <v>425.6864149</v>
      </c>
      <c r="O937" s="259">
        <f t="shared" ref="O937:O938" si="191">SUM(M937:N937)</f>
        <v>425.6864149</v>
      </c>
      <c r="P937" s="260">
        <f t="shared" si="2"/>
        <v>0.0003330035162</v>
      </c>
    </row>
    <row r="938">
      <c r="A938" s="253" t="s">
        <v>1141</v>
      </c>
      <c r="B938" s="254" t="s">
        <v>1142</v>
      </c>
      <c r="C938" s="255" t="str">
        <f t="shared" si="185"/>
        <v>PRÓPRIO</v>
      </c>
      <c r="D938" s="256" t="s">
        <v>110</v>
      </c>
      <c r="E938" s="257" t="str">
        <f>IFERROR(IF(D938="SINAPI-S",VLOOKUP(B938,'20-B.SINAPI-S'!A:J,2,0),IF(D938="SINAPI-I",VLOOKUP(B938,'20-A.SINAPI-I'!A:G,2,0),IF(D938="COMPOSIÇÕES",VLOOKUP(B938,'11.COMPOSIÇÕES GERAIS'!B:I,2,0),VLOOKUP(B938,'12.COT.MERCADO'!A:I,2,0)))),"Em Elaboração")</f>
        <v>Termômetro Capela Reto 0 a 50 Graus Haste 50mm</v>
      </c>
      <c r="F938" s="258" t="str">
        <f>IFERROR(IF(D938="SINAPI-S",VLOOKUP(B938,'20-B.SINAPI-S'!A:J,3,0),IF(D938="SINAPI-I",VLOOKUP(B938,'20-A.SINAPI-I'!A:G,3,0),IF(D938="COMPOSIÇÕES",VLOOKUP(B938,'11.COMPOSIÇÕES GERAIS'!B:I,3,0),VLOOKUP(B938,'12.COT.MERCADO'!A:I,7,0)))),"Em Elaboração")</f>
        <v>UN </v>
      </c>
      <c r="G938" s="254">
        <v>2.0</v>
      </c>
      <c r="H938" s="259">
        <f>IFERROR(IF(D938="SINAPI-S",VLOOKUP(B938,'20-B.SINAPI-S'!A:J,5,0),IF(D938="SINAPI-I",VLOOKUP(B938,'20-A.SINAPI-I'!A:G,6,0),IF(D938="COMPOSIÇÕES",VLOOKUP(B938,'11.COMPOSIÇÕES GERAIS'!B:I,7,0),0))),"Em Elaboração")</f>
        <v>0</v>
      </c>
      <c r="I938" s="259">
        <f>IFERROR(IF(D938="SINAPI-S",VLOOKUP(B938,'20-B.SINAPI-S'!A:J,6,0),IF(D938="SINAPI-I",VLOOKUP(B938,'20-A.SINAPI-I'!A:G,7,0),IF(D938="COMPOSIÇÕES",VLOOKUP(B938,'11.COMPOSIÇÕES GERAIS'!B:I,8,0),VLOOKUP(B938,'12.COT.MERCADO'!A:I,8,0)))),"Em Elaboração")</f>
        <v>316.36</v>
      </c>
      <c r="J938" s="259">
        <f t="shared" si="186"/>
        <v>0</v>
      </c>
      <c r="K938" s="259">
        <f t="shared" si="187"/>
        <v>370.5634094</v>
      </c>
      <c r="L938" s="259">
        <f t="shared" si="188"/>
        <v>370.5634094</v>
      </c>
      <c r="M938" s="259">
        <f t="shared" si="189"/>
        <v>0</v>
      </c>
      <c r="N938" s="259">
        <f t="shared" si="190"/>
        <v>741.1268187</v>
      </c>
      <c r="O938" s="259">
        <f t="shared" si="191"/>
        <v>741.1268187</v>
      </c>
      <c r="P938" s="260">
        <f t="shared" si="2"/>
        <v>0.0005797644179</v>
      </c>
    </row>
    <row r="939">
      <c r="A939" s="261" t="s">
        <v>1143</v>
      </c>
      <c r="B939" s="262" t="s">
        <v>1144</v>
      </c>
      <c r="C939" s="44"/>
      <c r="D939" s="44"/>
      <c r="E939" s="44"/>
      <c r="F939" s="44"/>
      <c r="G939" s="44"/>
      <c r="H939" s="44"/>
      <c r="I939" s="44"/>
      <c r="J939" s="44"/>
      <c r="K939" s="44"/>
      <c r="L939" s="44"/>
      <c r="M939" s="263">
        <f t="shared" ref="M939:O939" si="192">SUM(M940:M946)</f>
        <v>0</v>
      </c>
      <c r="N939" s="263">
        <f t="shared" si="192"/>
        <v>273.4597722</v>
      </c>
      <c r="O939" s="263">
        <f t="shared" si="192"/>
        <v>273.4597722</v>
      </c>
      <c r="P939" s="264">
        <f t="shared" si="2"/>
        <v>0.0002139205352</v>
      </c>
    </row>
    <row r="940">
      <c r="A940" s="253" t="s">
        <v>1145</v>
      </c>
      <c r="B940" s="254">
        <v>39660.0</v>
      </c>
      <c r="C940" s="255" t="str">
        <f t="shared" ref="C940:C946" si="193">IF(OR(D940="SINAPI-S",D940="SINAPI-I"),"SINAPI","PRÓPRIO")</f>
        <v>SINAPI</v>
      </c>
      <c r="D940" s="256" t="s">
        <v>286</v>
      </c>
      <c r="E940" s="257" t="str">
        <f>IFERROR(IF(D940="SINAPI-S",VLOOKUP(B940,'20-B.SINAPI-S'!A:J,2,0),IF(D940="SINAPI-I",VLOOKUP(B940,'20-A.SINAPI-I'!A:G,2,0),IF(D940="COMPOSIÇÕES",VLOOKUP(B940,'11.COMPOSIÇÕES GERAIS'!B:I,2,0),VLOOKUP(B940,'12.COT.MERCADO'!A:I,2,0)))),"Em Elaboração")</f>
        <v>TUBO DE COBRE FLEXIVEL, D = 1/2 ", E = 0,79 MM, PARA AR-CONDICIONADO/ INSTALACOES GAS RESIDENCIAIS E COMERCIAIS</v>
      </c>
      <c r="F940" s="258" t="str">
        <f>IFERROR(IF(D940="SINAPI-S",VLOOKUP(B940,'20-B.SINAPI-S'!A:J,3,0),IF(D940="SINAPI-I",VLOOKUP(B940,'20-A.SINAPI-I'!A:G,3,0),IF(D940="COMPOSIÇÕES",VLOOKUP(B940,'11.COMPOSIÇÕES GERAIS'!B:I,3,0),VLOOKUP(B940,'12.COT.MERCADO'!A:I,7,0)))),"Em Elaboração")</f>
        <v>M</v>
      </c>
      <c r="G940" s="254">
        <v>1.0</v>
      </c>
      <c r="H940" s="259">
        <f>IFERROR(IF(D940="SINAPI-S",VLOOKUP(B940,'20-B.SINAPI-S'!A:J,5,0),IF(D940="SINAPI-I",VLOOKUP(B940,'20-A.SINAPI-I'!A:G,6,0),IF(D940="COMPOSIÇÕES",VLOOKUP(B940,'11.COMPOSIÇÕES GERAIS'!B:I,7,0),0))),"Em Elaboração")</f>
        <v>0</v>
      </c>
      <c r="I940" s="259">
        <f>IFERROR(IF(D940="SINAPI-S",VLOOKUP(B940,'20-B.SINAPI-S'!A:J,6,0),IF(D940="SINAPI-I",VLOOKUP(B940,'20-A.SINAPI-I'!A:G,7,0),IF(D940="COMPOSIÇÕES",VLOOKUP(B940,'11.COMPOSIÇÕES GERAIS'!B:I,8,0),VLOOKUP(B940,'12.COT.MERCADO'!A:I,8,0)))),"Em Elaboração")</f>
        <v>39.7</v>
      </c>
      <c r="J940" s="259">
        <f t="shared" ref="J940:J946" si="194">H940*(1+$J$5)</f>
        <v>0</v>
      </c>
      <c r="K940" s="259">
        <f t="shared" ref="K940:K946" si="195">I940*(1+$J$8)</f>
        <v>46.50198303</v>
      </c>
      <c r="L940" s="259">
        <f t="shared" ref="L940:L946" si="196">SUM(J940:K940)</f>
        <v>46.50198303</v>
      </c>
      <c r="M940" s="259">
        <f t="shared" ref="M940:M946" si="197">J940*G940</f>
        <v>0</v>
      </c>
      <c r="N940" s="259">
        <f t="shared" ref="N940:N946" si="198">K940*G940</f>
        <v>46.50198303</v>
      </c>
      <c r="O940" s="259">
        <f t="shared" ref="O940:O946" si="199">SUM(M940:N940)</f>
        <v>46.50198303</v>
      </c>
      <c r="P940" s="260">
        <f t="shared" si="2"/>
        <v>0.00003637730338</v>
      </c>
    </row>
    <row r="941">
      <c r="A941" s="253" t="s">
        <v>1146</v>
      </c>
      <c r="B941" s="254">
        <v>39661.0</v>
      </c>
      <c r="C941" s="255" t="str">
        <f t="shared" si="193"/>
        <v>SINAPI</v>
      </c>
      <c r="D941" s="256" t="s">
        <v>286</v>
      </c>
      <c r="E941" s="257" t="str">
        <f>IFERROR(IF(D941="SINAPI-S",VLOOKUP(B941,'20-B.SINAPI-S'!A:J,2,0),IF(D941="SINAPI-I",VLOOKUP(B941,'20-A.SINAPI-I'!A:G,2,0),IF(D941="COMPOSIÇÕES",VLOOKUP(B941,'11.COMPOSIÇÕES GERAIS'!B:I,2,0),VLOOKUP(B941,'12.COT.MERCADO'!A:I,2,0)))),"Em Elaboração")</f>
        <v>TUBO DE COBRE FLEXIVEL, D = 3/16 ", E = 0,79 MM, PARA AR-CONDICIONADO/ INSTALACOES GAS RESIDENCIAIS E COMERCIAIS</v>
      </c>
      <c r="F941" s="258" t="str">
        <f>IFERROR(IF(D941="SINAPI-S",VLOOKUP(B941,'20-B.SINAPI-S'!A:J,3,0),IF(D941="SINAPI-I",VLOOKUP(B941,'20-A.SINAPI-I'!A:G,3,0),IF(D941="COMPOSIÇÕES",VLOOKUP(B941,'11.COMPOSIÇÕES GERAIS'!B:I,3,0),VLOOKUP(B941,'12.COT.MERCADO'!A:I,7,0)))),"Em Elaboração")</f>
        <v>M</v>
      </c>
      <c r="G941" s="254">
        <v>1.0</v>
      </c>
      <c r="H941" s="259">
        <f>IFERROR(IF(D941="SINAPI-S",VLOOKUP(B941,'20-B.SINAPI-S'!A:J,5,0),IF(D941="SINAPI-I",VLOOKUP(B941,'20-A.SINAPI-I'!A:G,6,0),IF(D941="COMPOSIÇÕES",VLOOKUP(B941,'11.COMPOSIÇÕES GERAIS'!B:I,7,0),0))),"Em Elaboração")</f>
        <v>0</v>
      </c>
      <c r="I941" s="259">
        <f>IFERROR(IF(D941="SINAPI-S",VLOOKUP(B941,'20-B.SINAPI-S'!A:J,6,0),IF(D941="SINAPI-I",VLOOKUP(B941,'20-A.SINAPI-I'!A:G,7,0),IF(D941="COMPOSIÇÕES",VLOOKUP(B941,'11.COMPOSIÇÕES GERAIS'!B:I,8,0),VLOOKUP(B941,'12.COT.MERCADO'!A:I,8,0)))),"Em Elaboração")</f>
        <v>12.97</v>
      </c>
      <c r="J941" s="259">
        <f t="shared" si="194"/>
        <v>0</v>
      </c>
      <c r="K941" s="259">
        <f t="shared" si="195"/>
        <v>15.19220957</v>
      </c>
      <c r="L941" s="259">
        <f t="shared" si="196"/>
        <v>15.19220957</v>
      </c>
      <c r="M941" s="259">
        <f t="shared" si="197"/>
        <v>0</v>
      </c>
      <c r="N941" s="259">
        <f t="shared" si="198"/>
        <v>15.19220957</v>
      </c>
      <c r="O941" s="259">
        <f t="shared" si="199"/>
        <v>15.19220957</v>
      </c>
      <c r="P941" s="260">
        <f t="shared" si="2"/>
        <v>0.00001188447418</v>
      </c>
    </row>
    <row r="942">
      <c r="A942" s="253" t="s">
        <v>1147</v>
      </c>
      <c r="B942" s="254">
        <v>39662.0</v>
      </c>
      <c r="C942" s="255" t="str">
        <f t="shared" si="193"/>
        <v>SINAPI</v>
      </c>
      <c r="D942" s="256" t="s">
        <v>286</v>
      </c>
      <c r="E942" s="257" t="str">
        <f>IFERROR(IF(D942="SINAPI-S",VLOOKUP(B942,'20-B.SINAPI-S'!A:J,2,0),IF(D942="SINAPI-I",VLOOKUP(B942,'20-A.SINAPI-I'!A:G,2,0),IF(D942="COMPOSIÇÕES",VLOOKUP(B942,'11.COMPOSIÇÕES GERAIS'!B:I,2,0),VLOOKUP(B942,'12.COT.MERCADO'!A:I,2,0)))),"Em Elaboração")</f>
        <v>TUBO DE COBRE FLEXIVEL, D = 1/4 ", E = 0,79 MM, PARA AR-CONDICIONADO/ INSTALACOES GAS RESIDENCIAIS E COMERCIAIS</v>
      </c>
      <c r="F942" s="258" t="str">
        <f>IFERROR(IF(D942="SINAPI-S",VLOOKUP(B942,'20-B.SINAPI-S'!A:J,3,0),IF(D942="SINAPI-I",VLOOKUP(B942,'20-A.SINAPI-I'!A:G,3,0),IF(D942="COMPOSIÇÕES",VLOOKUP(B942,'11.COMPOSIÇÕES GERAIS'!B:I,3,0),VLOOKUP(B942,'12.COT.MERCADO'!A:I,7,0)))),"Em Elaboração")</f>
        <v>M</v>
      </c>
      <c r="G942" s="254">
        <v>1.0</v>
      </c>
      <c r="H942" s="259">
        <f>IFERROR(IF(D942="SINAPI-S",VLOOKUP(B942,'20-B.SINAPI-S'!A:J,5,0),IF(D942="SINAPI-I",VLOOKUP(B942,'20-A.SINAPI-I'!A:G,6,0),IF(D942="COMPOSIÇÕES",VLOOKUP(B942,'11.COMPOSIÇÕES GERAIS'!B:I,7,0),0))),"Em Elaboração")</f>
        <v>0</v>
      </c>
      <c r="I942" s="259">
        <f>IFERROR(IF(D942="SINAPI-S",VLOOKUP(B942,'20-B.SINAPI-S'!A:J,6,0),IF(D942="SINAPI-I",VLOOKUP(B942,'20-A.SINAPI-I'!A:G,7,0),IF(D942="COMPOSIÇÕES",VLOOKUP(B942,'11.COMPOSIÇÕES GERAIS'!B:I,8,0),VLOOKUP(B942,'12.COT.MERCADO'!A:I,8,0)))),"Em Elaboração")</f>
        <v>19.02</v>
      </c>
      <c r="J942" s="259">
        <f t="shared" si="194"/>
        <v>0</v>
      </c>
      <c r="K942" s="259">
        <f t="shared" si="195"/>
        <v>22.27878381</v>
      </c>
      <c r="L942" s="259">
        <f t="shared" si="196"/>
        <v>22.27878381</v>
      </c>
      <c r="M942" s="259">
        <f t="shared" si="197"/>
        <v>0</v>
      </c>
      <c r="N942" s="259">
        <f t="shared" si="198"/>
        <v>22.27878381</v>
      </c>
      <c r="O942" s="259">
        <f t="shared" si="199"/>
        <v>22.27878381</v>
      </c>
      <c r="P942" s="260">
        <f t="shared" si="2"/>
        <v>0.00001742811865</v>
      </c>
    </row>
    <row r="943">
      <c r="A943" s="253" t="s">
        <v>1148</v>
      </c>
      <c r="B943" s="254">
        <v>39663.0</v>
      </c>
      <c r="C943" s="255" t="str">
        <f t="shared" si="193"/>
        <v>SINAPI</v>
      </c>
      <c r="D943" s="256" t="s">
        <v>286</v>
      </c>
      <c r="E943" s="257" t="str">
        <f>IFERROR(IF(D943="SINAPI-S",VLOOKUP(B943,'20-B.SINAPI-S'!A:J,2,0),IF(D943="SINAPI-I",VLOOKUP(B943,'20-A.SINAPI-I'!A:G,2,0),IF(D943="COMPOSIÇÕES",VLOOKUP(B943,'11.COMPOSIÇÕES GERAIS'!B:I,2,0),VLOOKUP(B943,'12.COT.MERCADO'!A:I,2,0)))),"Em Elaboração")</f>
        <v>TUBO DE COBRE FLEXIVEL, D = 5/16 ", E = 0,79 MM, PARA AR-CONDICIONADO/ INSTALACOES GAS RESIDENCIAIS E COMERCIAIS</v>
      </c>
      <c r="F943" s="258" t="str">
        <f>IFERROR(IF(D943="SINAPI-S",VLOOKUP(B943,'20-B.SINAPI-S'!A:J,3,0),IF(D943="SINAPI-I",VLOOKUP(B943,'20-A.SINAPI-I'!A:G,3,0),IF(D943="COMPOSIÇÕES",VLOOKUP(B943,'11.COMPOSIÇÕES GERAIS'!B:I,3,0),VLOOKUP(B943,'12.COT.MERCADO'!A:I,7,0)))),"Em Elaboração")</f>
        <v>M</v>
      </c>
      <c r="G943" s="254">
        <v>1.0</v>
      </c>
      <c r="H943" s="259">
        <f>IFERROR(IF(D943="SINAPI-S",VLOOKUP(B943,'20-B.SINAPI-S'!A:J,5,0),IF(D943="SINAPI-I",VLOOKUP(B943,'20-A.SINAPI-I'!A:G,6,0),IF(D943="COMPOSIÇÕES",VLOOKUP(B943,'11.COMPOSIÇÕES GERAIS'!B:I,7,0),0))),"Em Elaboração")</f>
        <v>0</v>
      </c>
      <c r="I943" s="259">
        <f>IFERROR(IF(D943="SINAPI-S",VLOOKUP(B943,'20-B.SINAPI-S'!A:J,6,0),IF(D943="SINAPI-I",VLOOKUP(B943,'20-A.SINAPI-I'!A:G,7,0),IF(D943="COMPOSIÇÕES",VLOOKUP(B943,'11.COMPOSIÇÕES GERAIS'!B:I,8,0),VLOOKUP(B943,'12.COT.MERCADO'!A:I,8,0)))),"Em Elaboração")</f>
        <v>23.4</v>
      </c>
      <c r="J943" s="259">
        <f t="shared" si="194"/>
        <v>0</v>
      </c>
      <c r="K943" s="259">
        <f t="shared" si="195"/>
        <v>27.40922929</v>
      </c>
      <c r="L943" s="259">
        <f t="shared" si="196"/>
        <v>27.40922929</v>
      </c>
      <c r="M943" s="259">
        <f t="shared" si="197"/>
        <v>0</v>
      </c>
      <c r="N943" s="259">
        <f t="shared" si="198"/>
        <v>27.40922929</v>
      </c>
      <c r="O943" s="259">
        <f t="shared" si="199"/>
        <v>27.40922929</v>
      </c>
      <c r="P943" s="260">
        <f t="shared" si="2"/>
        <v>0.00002144153398</v>
      </c>
    </row>
    <row r="944">
      <c r="A944" s="253" t="s">
        <v>1149</v>
      </c>
      <c r="B944" s="254">
        <v>39664.0</v>
      </c>
      <c r="C944" s="255" t="str">
        <f t="shared" si="193"/>
        <v>SINAPI</v>
      </c>
      <c r="D944" s="256" t="s">
        <v>286</v>
      </c>
      <c r="E944" s="257" t="str">
        <f>IFERROR(IF(D944="SINAPI-S",VLOOKUP(B944,'20-B.SINAPI-S'!A:J,2,0),IF(D944="SINAPI-I",VLOOKUP(B944,'20-A.SINAPI-I'!A:G,2,0),IF(D944="COMPOSIÇÕES",VLOOKUP(B944,'11.COMPOSIÇÕES GERAIS'!B:I,2,0),VLOOKUP(B944,'12.COT.MERCADO'!A:I,2,0)))),"Em Elaboração")</f>
        <v>TUBO DE COBRE FLEXIVEL, D = 3/8 ", E = 0,79 MM, PARA AR-CONDICIONADO/ INSTALACOES GAS RESIDENCIAIS E COMERCIAIS</v>
      </c>
      <c r="F944" s="258" t="str">
        <f>IFERROR(IF(D944="SINAPI-S",VLOOKUP(B944,'20-B.SINAPI-S'!A:J,3,0),IF(D944="SINAPI-I",VLOOKUP(B944,'20-A.SINAPI-I'!A:G,3,0),IF(D944="COMPOSIÇÕES",VLOOKUP(B944,'11.COMPOSIÇÕES GERAIS'!B:I,3,0),VLOOKUP(B944,'12.COT.MERCADO'!A:I,7,0)))),"Em Elaboração")</f>
        <v>M</v>
      </c>
      <c r="G944" s="254">
        <v>1.0</v>
      </c>
      <c r="H944" s="259">
        <f>IFERROR(IF(D944="SINAPI-S",VLOOKUP(B944,'20-B.SINAPI-S'!A:J,5,0),IF(D944="SINAPI-I",VLOOKUP(B944,'20-A.SINAPI-I'!A:G,6,0),IF(D944="COMPOSIÇÕES",VLOOKUP(B944,'11.COMPOSIÇÕES GERAIS'!B:I,7,0),0))),"Em Elaboração")</f>
        <v>0</v>
      </c>
      <c r="I944" s="259">
        <f>IFERROR(IF(D944="SINAPI-S",VLOOKUP(B944,'20-B.SINAPI-S'!A:J,6,0),IF(D944="SINAPI-I",VLOOKUP(B944,'20-A.SINAPI-I'!A:G,7,0),IF(D944="COMPOSIÇÕES",VLOOKUP(B944,'11.COMPOSIÇÕES GERAIS'!B:I,8,0),VLOOKUP(B944,'12.COT.MERCADO'!A:I,8,0)))),"Em Elaboração")</f>
        <v>29.27</v>
      </c>
      <c r="J944" s="259">
        <f t="shared" si="194"/>
        <v>0</v>
      </c>
      <c r="K944" s="259">
        <f t="shared" si="195"/>
        <v>34.28496331</v>
      </c>
      <c r="L944" s="259">
        <f t="shared" si="196"/>
        <v>34.28496331</v>
      </c>
      <c r="M944" s="259">
        <f t="shared" si="197"/>
        <v>0</v>
      </c>
      <c r="N944" s="259">
        <f t="shared" si="198"/>
        <v>34.28496331</v>
      </c>
      <c r="O944" s="259">
        <f t="shared" si="199"/>
        <v>34.28496331</v>
      </c>
      <c r="P944" s="260">
        <f t="shared" si="2"/>
        <v>0.00002682024357</v>
      </c>
    </row>
    <row r="945">
      <c r="A945" s="253" t="s">
        <v>1150</v>
      </c>
      <c r="B945" s="254">
        <v>39665.0</v>
      </c>
      <c r="C945" s="255" t="str">
        <f t="shared" si="193"/>
        <v>SINAPI</v>
      </c>
      <c r="D945" s="256" t="s">
        <v>286</v>
      </c>
      <c r="E945" s="257" t="str">
        <f>IFERROR(IF(D945="SINAPI-S",VLOOKUP(B945,'20-B.SINAPI-S'!A:J,2,0),IF(D945="SINAPI-I",VLOOKUP(B945,'20-A.SINAPI-I'!A:G,2,0),IF(D945="COMPOSIÇÕES",VLOOKUP(B945,'11.COMPOSIÇÕES GERAIS'!B:I,2,0),VLOOKUP(B945,'12.COT.MERCADO'!A:I,2,0)))),"Em Elaboração")</f>
        <v>TUBO DE COBRE FLEXIVEL, D = 5/8 ", E = 0,79 MM, PARA AR-CONDICIONADO/ INSTALACOES GAS RESIDENCIAIS E COMERCIAIS</v>
      </c>
      <c r="F945" s="258" t="str">
        <f>IFERROR(IF(D945="SINAPI-S",VLOOKUP(B945,'20-B.SINAPI-S'!A:J,3,0),IF(D945="SINAPI-I",VLOOKUP(B945,'20-A.SINAPI-I'!A:G,3,0),IF(D945="COMPOSIÇÕES",VLOOKUP(B945,'11.COMPOSIÇÕES GERAIS'!B:I,3,0),VLOOKUP(B945,'12.COT.MERCADO'!A:I,7,0)))),"Em Elaboração")</f>
        <v>M</v>
      </c>
      <c r="G945" s="254">
        <v>1.0</v>
      </c>
      <c r="H945" s="259">
        <f>IFERROR(IF(D945="SINAPI-S",VLOOKUP(B945,'20-B.SINAPI-S'!A:J,5,0),IF(D945="SINAPI-I",VLOOKUP(B945,'20-A.SINAPI-I'!A:G,6,0),IF(D945="COMPOSIÇÕES",VLOOKUP(B945,'11.COMPOSIÇÕES GERAIS'!B:I,7,0),0))),"Em Elaboração")</f>
        <v>0</v>
      </c>
      <c r="I945" s="259">
        <f>IFERROR(IF(D945="SINAPI-S",VLOOKUP(B945,'20-B.SINAPI-S'!A:J,6,0),IF(D945="SINAPI-I",VLOOKUP(B945,'20-A.SINAPI-I'!A:G,7,0),IF(D945="COMPOSIÇÕES",VLOOKUP(B945,'11.COMPOSIÇÕES GERAIS'!B:I,8,0),VLOOKUP(B945,'12.COT.MERCADO'!A:I,8,0)))),"Em Elaboração")</f>
        <v>49.38</v>
      </c>
      <c r="J945" s="259">
        <f t="shared" si="194"/>
        <v>0</v>
      </c>
      <c r="K945" s="259">
        <f t="shared" si="195"/>
        <v>57.84050181</v>
      </c>
      <c r="L945" s="259">
        <f t="shared" si="196"/>
        <v>57.84050181</v>
      </c>
      <c r="M945" s="259">
        <f t="shared" si="197"/>
        <v>0</v>
      </c>
      <c r="N945" s="259">
        <f t="shared" si="198"/>
        <v>57.84050181</v>
      </c>
      <c r="O945" s="259">
        <f t="shared" si="199"/>
        <v>57.84050181</v>
      </c>
      <c r="P945" s="260">
        <f t="shared" si="2"/>
        <v>0.00004524713453</v>
      </c>
    </row>
    <row r="946">
      <c r="A946" s="253" t="s">
        <v>1151</v>
      </c>
      <c r="B946" s="254">
        <v>39666.0</v>
      </c>
      <c r="C946" s="255" t="str">
        <f t="shared" si="193"/>
        <v>SINAPI</v>
      </c>
      <c r="D946" s="256" t="s">
        <v>286</v>
      </c>
      <c r="E946" s="257" t="str">
        <f>IFERROR(IF(D946="SINAPI-S",VLOOKUP(B946,'20-B.SINAPI-S'!A:J,2,0),IF(D946="SINAPI-I",VLOOKUP(B946,'20-A.SINAPI-I'!A:G,2,0),IF(D946="COMPOSIÇÕES",VLOOKUP(B946,'11.COMPOSIÇÕES GERAIS'!B:I,2,0),VLOOKUP(B946,'12.COT.MERCADO'!A:I,2,0)))),"Em Elaboração")</f>
        <v>TUBO DE COBRE FLEXIVEL, D = 3/4 ", E = 0,79 MM, PARA AR-CONDICIONADO/ INSTALACOES GAS RESIDENCIAIS E COMERCIAIS</v>
      </c>
      <c r="F946" s="258" t="str">
        <f>IFERROR(IF(D946="SINAPI-S",VLOOKUP(B946,'20-B.SINAPI-S'!A:J,3,0),IF(D946="SINAPI-I",VLOOKUP(B946,'20-A.SINAPI-I'!A:G,3,0),IF(D946="COMPOSIÇÕES",VLOOKUP(B946,'11.COMPOSIÇÕES GERAIS'!B:I,3,0),VLOOKUP(B946,'12.COT.MERCADO'!A:I,7,0)))),"Em Elaboração")</f>
        <v>M</v>
      </c>
      <c r="G946" s="254">
        <v>1.0</v>
      </c>
      <c r="H946" s="259">
        <f>IFERROR(IF(D946="SINAPI-S",VLOOKUP(B946,'20-B.SINAPI-S'!A:J,5,0),IF(D946="SINAPI-I",VLOOKUP(B946,'20-A.SINAPI-I'!A:G,6,0),IF(D946="COMPOSIÇÕES",VLOOKUP(B946,'11.COMPOSIÇÕES GERAIS'!B:I,7,0),0))),"Em Elaboração")</f>
        <v>0</v>
      </c>
      <c r="I946" s="259">
        <f>IFERROR(IF(D946="SINAPI-S",VLOOKUP(B946,'20-B.SINAPI-S'!A:J,6,0),IF(D946="SINAPI-I",VLOOKUP(B946,'20-A.SINAPI-I'!A:G,7,0),IF(D946="COMPOSIÇÕES",VLOOKUP(B946,'11.COMPOSIÇÕES GERAIS'!B:I,8,0),VLOOKUP(B946,'12.COT.MERCADO'!A:I,8,0)))),"Em Elaboração")</f>
        <v>59.72</v>
      </c>
      <c r="J946" s="259">
        <f t="shared" si="194"/>
        <v>0</v>
      </c>
      <c r="K946" s="259">
        <f t="shared" si="195"/>
        <v>69.95210142</v>
      </c>
      <c r="L946" s="259">
        <f t="shared" si="196"/>
        <v>69.95210142</v>
      </c>
      <c r="M946" s="259">
        <f t="shared" si="197"/>
        <v>0</v>
      </c>
      <c r="N946" s="259">
        <f t="shared" si="198"/>
        <v>69.95210142</v>
      </c>
      <c r="O946" s="259">
        <f t="shared" si="199"/>
        <v>69.95210142</v>
      </c>
      <c r="P946" s="260">
        <f t="shared" si="2"/>
        <v>0.00005472172689</v>
      </c>
    </row>
    <row r="947">
      <c r="A947" s="261" t="s">
        <v>1152</v>
      </c>
      <c r="B947" s="262" t="s">
        <v>1153</v>
      </c>
      <c r="C947" s="44"/>
      <c r="D947" s="44"/>
      <c r="E947" s="44"/>
      <c r="F947" s="44"/>
      <c r="G947" s="44"/>
      <c r="H947" s="44"/>
      <c r="I947" s="44"/>
      <c r="J947" s="44"/>
      <c r="K947" s="44"/>
      <c r="L947" s="44"/>
      <c r="M947" s="263">
        <f t="shared" ref="M947:O947" si="200">SUM(M948:M959)</f>
        <v>0</v>
      </c>
      <c r="N947" s="263">
        <f t="shared" si="200"/>
        <v>604.4906394</v>
      </c>
      <c r="O947" s="263">
        <f t="shared" si="200"/>
        <v>604.4906394</v>
      </c>
      <c r="P947" s="264">
        <f t="shared" si="2"/>
        <v>0.0004728774548</v>
      </c>
    </row>
    <row r="948">
      <c r="A948" s="253" t="s">
        <v>1154</v>
      </c>
      <c r="B948" s="254">
        <v>4777.0</v>
      </c>
      <c r="C948" s="255" t="str">
        <f t="shared" ref="C948:C959" si="201">IF(OR(D948="SINAPI-S",D948="SINAPI-I"),"SINAPI","PRÓPRIO")</f>
        <v>SINAPI</v>
      </c>
      <c r="D948" s="256" t="s">
        <v>286</v>
      </c>
      <c r="E948" s="257" t="str">
        <f>IFERROR(IF(D948="SINAPI-S",VLOOKUP(B948,'20-B.SINAPI-S'!A:J,2,0),IF(D948="SINAPI-I",VLOOKUP(B948,'20-A.SINAPI-I'!A:G,2,0),IF(D948="COMPOSIÇÕES",VLOOKUP(B948,'11.COMPOSIÇÕES GERAIS'!B:I,2,0),VLOOKUP(B948,'12.COT.MERCADO'!A:I,2,0)))),"Em Elaboração")</f>
        <v>CANTONEIRA ACO ABAS IGUAIS (QUALQUER BITOLA), ESPESSURA ENTRE 1/8" E 1/4"</v>
      </c>
      <c r="F948" s="258" t="str">
        <f>IFERROR(IF(D948="SINAPI-S",VLOOKUP(B948,'20-B.SINAPI-S'!A:J,3,0),IF(D948="SINAPI-I",VLOOKUP(B948,'20-A.SINAPI-I'!A:G,3,0),IF(D948="COMPOSIÇÕES",VLOOKUP(B948,'11.COMPOSIÇÕES GERAIS'!B:I,3,0),VLOOKUP(B948,'12.COT.MERCADO'!A:I,7,0)))),"Em Elaboração")</f>
        <v>KG</v>
      </c>
      <c r="G948" s="254">
        <v>25.0</v>
      </c>
      <c r="H948" s="259">
        <f>IFERROR(IF(D948="SINAPI-S",VLOOKUP(B948,'20-B.SINAPI-S'!A:J,5,0),IF(D948="SINAPI-I",VLOOKUP(B948,'20-A.SINAPI-I'!A:G,6,0),IF(D948="COMPOSIÇÕES",VLOOKUP(B948,'11.COMPOSIÇÕES GERAIS'!B:I,7,0),0))),"Em Elaboração")</f>
        <v>0</v>
      </c>
      <c r="I948" s="259">
        <f>IFERROR(IF(D948="SINAPI-S",VLOOKUP(B948,'20-B.SINAPI-S'!A:J,6,0),IF(D948="SINAPI-I",VLOOKUP(B948,'20-A.SINAPI-I'!A:G,7,0),IF(D948="COMPOSIÇÕES",VLOOKUP(B948,'11.COMPOSIÇÕES GERAIS'!B:I,8,0),VLOOKUP(B948,'12.COT.MERCADO'!A:I,8,0)))),"Em Elaboração")</f>
        <v>10.43</v>
      </c>
      <c r="J948" s="259">
        <f t="shared" ref="J948:J959" si="202">H948*(1+$J$5)</f>
        <v>0</v>
      </c>
      <c r="K948" s="259">
        <f t="shared" ref="K948:K959" si="203">I948*(1+$J$8)</f>
        <v>12.21701972</v>
      </c>
      <c r="L948" s="259">
        <f t="shared" ref="L948:L959" si="204">SUM(J948:K948)</f>
        <v>12.21701972</v>
      </c>
      <c r="M948" s="259">
        <f t="shared" ref="M948:M959" si="205">J948*G948</f>
        <v>0</v>
      </c>
      <c r="N948" s="259">
        <f t="shared" ref="N948:N959" si="206">K948*G948</f>
        <v>305.4254931</v>
      </c>
      <c r="O948" s="259">
        <f t="shared" ref="O948:O959" si="207">SUM(M948:N948)</f>
        <v>305.4254931</v>
      </c>
      <c r="P948" s="260">
        <f t="shared" si="2"/>
        <v>0.0002389264951</v>
      </c>
    </row>
    <row r="949">
      <c r="A949" s="253" t="s">
        <v>1155</v>
      </c>
      <c r="B949" s="254">
        <v>4331.0</v>
      </c>
      <c r="C949" s="255" t="str">
        <f t="shared" si="201"/>
        <v>SINAPI</v>
      </c>
      <c r="D949" s="256" t="s">
        <v>286</v>
      </c>
      <c r="E949" s="257" t="str">
        <f>IFERROR(IF(D949="SINAPI-S",VLOOKUP(B949,'20-B.SINAPI-S'!A:J,2,0),IF(D949="SINAPI-I",VLOOKUP(B949,'20-A.SINAPI-I'!A:G,2,0),IF(D949="COMPOSIÇÕES",VLOOKUP(B949,'11.COMPOSIÇÕES GERAIS'!B:I,2,0),VLOOKUP(B949,'12.COT.MERCADO'!A:I,2,0)))),"Em Elaboração")</f>
        <v>PARAFUSO ZINCADO, SEXTAVADO, COM ROSCA INTEIRA, DIAMETRO 5/8", COMPRIMENTO 2 1/4"</v>
      </c>
      <c r="F949" s="258" t="str">
        <f>IFERROR(IF(D949="SINAPI-S",VLOOKUP(B949,'20-B.SINAPI-S'!A:J,3,0),IF(D949="SINAPI-I",VLOOKUP(B949,'20-A.SINAPI-I'!A:G,3,0),IF(D949="COMPOSIÇÕES",VLOOKUP(B949,'11.COMPOSIÇÕES GERAIS'!B:I,3,0),VLOOKUP(B949,'12.COT.MERCADO'!A:I,7,0)))),"Em Elaboração")</f>
        <v>UN</v>
      </c>
      <c r="G949" s="254">
        <v>15.0</v>
      </c>
      <c r="H949" s="259">
        <f>IFERROR(IF(D949="SINAPI-S",VLOOKUP(B949,'20-B.SINAPI-S'!A:J,5,0),IF(D949="SINAPI-I",VLOOKUP(B949,'20-A.SINAPI-I'!A:G,6,0),IF(D949="COMPOSIÇÕES",VLOOKUP(B949,'11.COMPOSIÇÕES GERAIS'!B:I,7,0),0))),"Em Elaboração")</f>
        <v>0</v>
      </c>
      <c r="I949" s="259">
        <f>IFERROR(IF(D949="SINAPI-S",VLOOKUP(B949,'20-B.SINAPI-S'!A:J,6,0),IF(D949="SINAPI-I",VLOOKUP(B949,'20-A.SINAPI-I'!A:G,7,0),IF(D949="COMPOSIÇÕES",VLOOKUP(B949,'11.COMPOSIÇÕES GERAIS'!B:I,8,0),VLOOKUP(B949,'12.COT.MERCADO'!A:I,8,0)))),"Em Elaboração")</f>
        <v>4.54</v>
      </c>
      <c r="J949" s="259">
        <f t="shared" si="202"/>
        <v>0</v>
      </c>
      <c r="K949" s="259">
        <f t="shared" si="203"/>
        <v>5.317859017</v>
      </c>
      <c r="L949" s="259">
        <f t="shared" si="204"/>
        <v>5.317859017</v>
      </c>
      <c r="M949" s="259">
        <f t="shared" si="205"/>
        <v>0</v>
      </c>
      <c r="N949" s="259">
        <f t="shared" si="206"/>
        <v>79.76788525</v>
      </c>
      <c r="O949" s="259">
        <f t="shared" si="207"/>
        <v>79.76788525</v>
      </c>
      <c r="P949" s="260">
        <f t="shared" si="2"/>
        <v>0.00006240036171</v>
      </c>
    </row>
    <row r="950">
      <c r="A950" s="253" t="s">
        <v>1156</v>
      </c>
      <c r="B950" s="254">
        <v>4382.0</v>
      </c>
      <c r="C950" s="255" t="str">
        <f t="shared" si="201"/>
        <v>SINAPI</v>
      </c>
      <c r="D950" s="256" t="s">
        <v>286</v>
      </c>
      <c r="E950" s="257" t="str">
        <f>IFERROR(IF(D950="SINAPI-S",VLOOKUP(B950,'20-B.SINAPI-S'!A:J,2,0),IF(D950="SINAPI-I",VLOOKUP(B950,'20-A.SINAPI-I'!A:G,2,0),IF(D950="COMPOSIÇÕES",VLOOKUP(B950,'11.COMPOSIÇÕES GERAIS'!B:I,2,0),VLOOKUP(B950,'12.COT.MERCADO'!A:I,2,0)))),"Em Elaboração")</f>
        <v>PARAFUSO ZINCADO, SEXTAVADO, COM ROSCA SOBERBA, DIAMETRO 5/16", COMPRIMENTO 80 MM</v>
      </c>
      <c r="F950" s="258" t="str">
        <f>IFERROR(IF(D950="SINAPI-S",VLOOKUP(B950,'20-B.SINAPI-S'!A:J,3,0),IF(D950="SINAPI-I",VLOOKUP(B950,'20-A.SINAPI-I'!A:G,3,0),IF(D950="COMPOSIÇÕES",VLOOKUP(B950,'11.COMPOSIÇÕES GERAIS'!B:I,3,0),VLOOKUP(B950,'12.COT.MERCADO'!A:I,7,0)))),"Em Elaboração")</f>
        <v>UN</v>
      </c>
      <c r="G950" s="254">
        <v>20.0</v>
      </c>
      <c r="H950" s="259">
        <f>IFERROR(IF(D950="SINAPI-S",VLOOKUP(B950,'20-B.SINAPI-S'!A:J,5,0),IF(D950="SINAPI-I",VLOOKUP(B950,'20-A.SINAPI-I'!A:G,6,0),IF(D950="COMPOSIÇÕES",VLOOKUP(B950,'11.COMPOSIÇÕES GERAIS'!B:I,7,0),0))),"Em Elaboração")</f>
        <v>0</v>
      </c>
      <c r="I950" s="259">
        <f>IFERROR(IF(D950="SINAPI-S",VLOOKUP(B950,'20-B.SINAPI-S'!A:J,6,0),IF(D950="SINAPI-I",VLOOKUP(B950,'20-A.SINAPI-I'!A:G,7,0),IF(D950="COMPOSIÇÕES",VLOOKUP(B950,'11.COMPOSIÇÕES GERAIS'!B:I,8,0),VLOOKUP(B950,'12.COT.MERCADO'!A:I,8,0)))),"Em Elaboração")</f>
        <v>1.25</v>
      </c>
      <c r="J950" s="259">
        <f t="shared" si="202"/>
        <v>0</v>
      </c>
      <c r="K950" s="259">
        <f t="shared" si="203"/>
        <v>1.464168231</v>
      </c>
      <c r="L950" s="259">
        <f t="shared" si="204"/>
        <v>1.464168231</v>
      </c>
      <c r="M950" s="259">
        <f t="shared" si="205"/>
        <v>0</v>
      </c>
      <c r="N950" s="259">
        <f t="shared" si="206"/>
        <v>29.28336463</v>
      </c>
      <c r="O950" s="259">
        <f t="shared" si="207"/>
        <v>29.28336463</v>
      </c>
      <c r="P950" s="260">
        <f t="shared" si="2"/>
        <v>0.00002290762177</v>
      </c>
    </row>
    <row r="951">
      <c r="A951" s="253" t="s">
        <v>1157</v>
      </c>
      <c r="B951" s="254">
        <v>4330.0</v>
      </c>
      <c r="C951" s="255" t="str">
        <f t="shared" si="201"/>
        <v>SINAPI</v>
      </c>
      <c r="D951" s="256" t="s">
        <v>286</v>
      </c>
      <c r="E951" s="257" t="str">
        <f>IFERROR(IF(D951="SINAPI-S",VLOOKUP(B951,'20-B.SINAPI-S'!A:J,2,0),IF(D951="SINAPI-I",VLOOKUP(B951,'20-A.SINAPI-I'!A:G,2,0),IF(D951="COMPOSIÇÕES",VLOOKUP(B951,'11.COMPOSIÇÕES GERAIS'!B:I,2,0),VLOOKUP(B951,'12.COT.MERCADO'!A:I,2,0)))),"Em Elaboração")</f>
        <v>PORCA ZINCADA, SEXTAVADA, DIAMETRO 5/16"</v>
      </c>
      <c r="F951" s="258" t="str">
        <f>IFERROR(IF(D951="SINAPI-S",VLOOKUP(B951,'20-B.SINAPI-S'!A:J,3,0),IF(D951="SINAPI-I",VLOOKUP(B951,'20-A.SINAPI-I'!A:G,3,0),IF(D951="COMPOSIÇÕES",VLOOKUP(B951,'11.COMPOSIÇÕES GERAIS'!B:I,3,0),VLOOKUP(B951,'12.COT.MERCADO'!A:I,7,0)))),"Em Elaboração")</f>
        <v>UN</v>
      </c>
      <c r="G951" s="254">
        <v>20.0</v>
      </c>
      <c r="H951" s="259">
        <f>IFERROR(IF(D951="SINAPI-S",VLOOKUP(B951,'20-B.SINAPI-S'!A:J,5,0),IF(D951="SINAPI-I",VLOOKUP(B951,'20-A.SINAPI-I'!A:G,6,0),IF(D951="COMPOSIÇÕES",VLOOKUP(B951,'11.COMPOSIÇÕES GERAIS'!B:I,7,0),0))),"Em Elaboração")</f>
        <v>0</v>
      </c>
      <c r="I951" s="259">
        <f>IFERROR(IF(D951="SINAPI-S",VLOOKUP(B951,'20-B.SINAPI-S'!A:J,6,0),IF(D951="SINAPI-I",VLOOKUP(B951,'20-A.SINAPI-I'!A:G,7,0),IF(D951="COMPOSIÇÕES",VLOOKUP(B951,'11.COMPOSIÇÕES GERAIS'!B:I,8,0),VLOOKUP(B951,'12.COT.MERCADO'!A:I,8,0)))),"Em Elaboração")</f>
        <v>0.16</v>
      </c>
      <c r="J951" s="259">
        <f t="shared" si="202"/>
        <v>0</v>
      </c>
      <c r="K951" s="259">
        <f t="shared" si="203"/>
        <v>0.1874135336</v>
      </c>
      <c r="L951" s="259">
        <f t="shared" si="204"/>
        <v>0.1874135336</v>
      </c>
      <c r="M951" s="259">
        <f t="shared" si="205"/>
        <v>0</v>
      </c>
      <c r="N951" s="259">
        <f t="shared" si="206"/>
        <v>3.748270672</v>
      </c>
      <c r="O951" s="259">
        <f t="shared" si="207"/>
        <v>3.748270672</v>
      </c>
      <c r="P951" s="260">
        <f t="shared" si="2"/>
        <v>0.000002932175587</v>
      </c>
    </row>
    <row r="952">
      <c r="A952" s="253" t="s">
        <v>1158</v>
      </c>
      <c r="B952" s="254">
        <v>11950.0</v>
      </c>
      <c r="C952" s="255" t="str">
        <f t="shared" si="201"/>
        <v>SINAPI</v>
      </c>
      <c r="D952" s="256" t="s">
        <v>286</v>
      </c>
      <c r="E952" s="257" t="str">
        <f>IFERROR(IF(D952="SINAPI-S",VLOOKUP(B952,'20-B.SINAPI-S'!A:J,2,0),IF(D952="SINAPI-I",VLOOKUP(B952,'20-A.SINAPI-I'!A:G,2,0),IF(D952="COMPOSIÇÕES",VLOOKUP(B952,'11.COMPOSIÇÕES GERAIS'!B:I,2,0),VLOOKUP(B952,'12.COT.MERCADO'!A:I,2,0)))),"Em Elaboração")</f>
        <v>BUCHA DE NYLON SEM ABA S6, COM PARAFUSO DE 4,20 X 40 MM EM ACO ZINCADO COM ROSCA SOBERBA, CABECA CHATA E FENDA PHILLIPS</v>
      </c>
      <c r="F952" s="258" t="str">
        <f>IFERROR(IF(D952="SINAPI-S",VLOOKUP(B952,'20-B.SINAPI-S'!A:J,3,0),IF(D952="SINAPI-I",VLOOKUP(B952,'20-A.SINAPI-I'!A:G,3,0),IF(D952="COMPOSIÇÕES",VLOOKUP(B952,'11.COMPOSIÇÕES GERAIS'!B:I,3,0),VLOOKUP(B952,'12.COT.MERCADO'!A:I,7,0)))),"Em Elaboração")</f>
        <v>UN</v>
      </c>
      <c r="G952" s="254">
        <v>50.0</v>
      </c>
      <c r="H952" s="259">
        <f>IFERROR(IF(D952="SINAPI-S",VLOOKUP(B952,'20-B.SINAPI-S'!A:J,5,0),IF(D952="SINAPI-I",VLOOKUP(B952,'20-A.SINAPI-I'!A:G,6,0),IF(D952="COMPOSIÇÕES",VLOOKUP(B952,'11.COMPOSIÇÕES GERAIS'!B:I,7,0),0))),"Em Elaboração")</f>
        <v>0</v>
      </c>
      <c r="I952" s="259">
        <f>IFERROR(IF(D952="SINAPI-S",VLOOKUP(B952,'20-B.SINAPI-S'!A:J,6,0),IF(D952="SINAPI-I",VLOOKUP(B952,'20-A.SINAPI-I'!A:G,7,0),IF(D952="COMPOSIÇÕES",VLOOKUP(B952,'11.COMPOSIÇÕES GERAIS'!B:I,8,0),VLOOKUP(B952,'12.COT.MERCADO'!A:I,8,0)))),"Em Elaboração")</f>
        <v>0.24</v>
      </c>
      <c r="J952" s="259">
        <f t="shared" si="202"/>
        <v>0</v>
      </c>
      <c r="K952" s="259">
        <f t="shared" si="203"/>
        <v>0.2811203004</v>
      </c>
      <c r="L952" s="259">
        <f t="shared" si="204"/>
        <v>0.2811203004</v>
      </c>
      <c r="M952" s="259">
        <f t="shared" si="205"/>
        <v>0</v>
      </c>
      <c r="N952" s="259">
        <f t="shared" si="206"/>
        <v>14.05601502</v>
      </c>
      <c r="O952" s="259">
        <f t="shared" si="207"/>
        <v>14.05601502</v>
      </c>
      <c r="P952" s="260">
        <f t="shared" si="2"/>
        <v>0.00001099565845</v>
      </c>
    </row>
    <row r="953">
      <c r="A953" s="253" t="s">
        <v>1159</v>
      </c>
      <c r="B953" s="254" t="s">
        <v>1160</v>
      </c>
      <c r="C953" s="255" t="str">
        <f t="shared" si="201"/>
        <v>PRÓPRIO</v>
      </c>
      <c r="D953" s="256" t="s">
        <v>110</v>
      </c>
      <c r="E953" s="257" t="str">
        <f>IFERROR(IF(D953="SINAPI-S",VLOOKUP(B953,'20-B.SINAPI-S'!A:J,2,0),IF(D953="SINAPI-I",VLOOKUP(B953,'20-A.SINAPI-I'!A:G,2,0),IF(D953="COMPOSIÇÕES",VLOOKUP(B953,'11.COMPOSIÇÕES GERAIS'!B:I,2,0),VLOOKUP(B953,'12.COT.MERCADO'!A:I,2,0)))),"Em Elaboração")</f>
        <v>Arruela lisa de aço galvanizada de Ø 1/4"</v>
      </c>
      <c r="F953" s="258" t="str">
        <f>IFERROR(IF(D953="SINAPI-S",VLOOKUP(B953,'20-B.SINAPI-S'!A:J,3,0),IF(D953="SINAPI-I",VLOOKUP(B953,'20-A.SINAPI-I'!A:G,3,0),IF(D953="COMPOSIÇÕES",VLOOKUP(B953,'11.COMPOSIÇÕES GERAIS'!B:I,3,0),VLOOKUP(B953,'12.COT.MERCADO'!A:I,7,0)))),"Em Elaboração")</f>
        <v>UN </v>
      </c>
      <c r="G953" s="254">
        <v>10.0</v>
      </c>
      <c r="H953" s="259">
        <f>IFERROR(IF(D953="SINAPI-S",VLOOKUP(B953,'20-B.SINAPI-S'!A:J,5,0),IF(D953="SINAPI-I",VLOOKUP(B953,'20-A.SINAPI-I'!A:G,6,0),IF(D953="COMPOSIÇÕES",VLOOKUP(B953,'11.COMPOSIÇÕES GERAIS'!B:I,7,0),0))),"Em Elaboração")</f>
        <v>0</v>
      </c>
      <c r="I953" s="259">
        <f>IFERROR(IF(D953="SINAPI-S",VLOOKUP(B953,'20-B.SINAPI-S'!A:J,6,0),IF(D953="SINAPI-I",VLOOKUP(B953,'20-A.SINAPI-I'!A:G,7,0),IF(D953="COMPOSIÇÕES",VLOOKUP(B953,'11.COMPOSIÇÕES GERAIS'!B:I,8,0),VLOOKUP(B953,'12.COT.MERCADO'!A:I,8,0)))),"Em Elaboração")</f>
        <v>0.09</v>
      </c>
      <c r="J953" s="259">
        <f t="shared" si="202"/>
        <v>0</v>
      </c>
      <c r="K953" s="259">
        <f t="shared" si="203"/>
        <v>0.1054201127</v>
      </c>
      <c r="L953" s="259">
        <f t="shared" si="204"/>
        <v>0.1054201127</v>
      </c>
      <c r="M953" s="259">
        <f t="shared" si="205"/>
        <v>0</v>
      </c>
      <c r="N953" s="259">
        <f t="shared" si="206"/>
        <v>1.054201127</v>
      </c>
      <c r="O953" s="259">
        <f t="shared" si="207"/>
        <v>1.054201127</v>
      </c>
      <c r="P953" s="260">
        <f t="shared" si="2"/>
        <v>0.0000008246743839</v>
      </c>
    </row>
    <row r="954">
      <c r="A954" s="253" t="s">
        <v>1161</v>
      </c>
      <c r="B954" s="254" t="s">
        <v>1162</v>
      </c>
      <c r="C954" s="255" t="str">
        <f t="shared" si="201"/>
        <v>PRÓPRIO</v>
      </c>
      <c r="D954" s="256" t="s">
        <v>110</v>
      </c>
      <c r="E954" s="257" t="str">
        <f>IFERROR(IF(D954="SINAPI-S",VLOOKUP(B954,'20-B.SINAPI-S'!A:J,2,0),IF(D954="SINAPI-I",VLOOKUP(B954,'20-A.SINAPI-I'!A:G,2,0),IF(D954="COMPOSIÇÕES",VLOOKUP(B954,'11.COMPOSIÇÕES GERAIS'!B:I,2,0),VLOOKUP(B954,'12.COT.MERCADO'!A:I,2,0)))),"Em Elaboração")</f>
        <v>Arruela lisa de 3/8"</v>
      </c>
      <c r="F954" s="258" t="str">
        <f>IFERROR(IF(D954="SINAPI-S",VLOOKUP(B954,'20-B.SINAPI-S'!A:J,3,0),IF(D954="SINAPI-I",VLOOKUP(B954,'20-A.SINAPI-I'!A:G,3,0),IF(D954="COMPOSIÇÕES",VLOOKUP(B954,'11.COMPOSIÇÕES GERAIS'!B:I,3,0),VLOOKUP(B954,'12.COT.MERCADO'!A:I,7,0)))),"Em Elaboração")</f>
        <v>UN </v>
      </c>
      <c r="G954" s="254">
        <v>10.0</v>
      </c>
      <c r="H954" s="259">
        <f>IFERROR(IF(D954="SINAPI-S",VLOOKUP(B954,'20-B.SINAPI-S'!A:J,5,0),IF(D954="SINAPI-I",VLOOKUP(B954,'20-A.SINAPI-I'!A:G,6,0),IF(D954="COMPOSIÇÕES",VLOOKUP(B954,'11.COMPOSIÇÕES GERAIS'!B:I,7,0),0))),"Em Elaboração")</f>
        <v>0</v>
      </c>
      <c r="I954" s="259">
        <f>IFERROR(IF(D954="SINAPI-S",VLOOKUP(B954,'20-B.SINAPI-S'!A:J,6,0),IF(D954="SINAPI-I",VLOOKUP(B954,'20-A.SINAPI-I'!A:G,7,0),IF(D954="COMPOSIÇÕES",VLOOKUP(B954,'11.COMPOSIÇÕES GERAIS'!B:I,8,0),VLOOKUP(B954,'12.COT.MERCADO'!A:I,8,0)))),"Em Elaboração")</f>
        <v>0.16</v>
      </c>
      <c r="J954" s="259">
        <f t="shared" si="202"/>
        <v>0</v>
      </c>
      <c r="K954" s="259">
        <f t="shared" si="203"/>
        <v>0.1874135336</v>
      </c>
      <c r="L954" s="259">
        <f t="shared" si="204"/>
        <v>0.1874135336</v>
      </c>
      <c r="M954" s="259">
        <f t="shared" si="205"/>
        <v>0</v>
      </c>
      <c r="N954" s="259">
        <f t="shared" si="206"/>
        <v>1.874135336</v>
      </c>
      <c r="O954" s="259">
        <f t="shared" si="207"/>
        <v>1.874135336</v>
      </c>
      <c r="P954" s="260">
        <f t="shared" si="2"/>
        <v>0.000001466087794</v>
      </c>
    </row>
    <row r="955">
      <c r="A955" s="253" t="s">
        <v>1163</v>
      </c>
      <c r="B955" s="254" t="s">
        <v>1164</v>
      </c>
      <c r="C955" s="255" t="str">
        <f t="shared" si="201"/>
        <v>PRÓPRIO</v>
      </c>
      <c r="D955" s="256" t="s">
        <v>110</v>
      </c>
      <c r="E955" s="257" t="str">
        <f>IFERROR(IF(D955="SINAPI-S",VLOOKUP(B955,'20-B.SINAPI-S'!A:J,2,0),IF(D955="SINAPI-I",VLOOKUP(B955,'20-A.SINAPI-I'!A:G,2,0),IF(D955="COMPOSIÇÕES",VLOOKUP(B955,'11.COMPOSIÇÕES GERAIS'!B:I,2,0),VLOOKUP(B955,'12.COT.MERCADO'!A:I,2,0)))),"Em Elaboração")</f>
        <v>Arruela lisa de 5/16"</v>
      </c>
      <c r="F955" s="258" t="str">
        <f>IFERROR(IF(D955="SINAPI-S",VLOOKUP(B955,'20-B.SINAPI-S'!A:J,3,0),IF(D955="SINAPI-I",VLOOKUP(B955,'20-A.SINAPI-I'!A:G,3,0),IF(D955="COMPOSIÇÕES",VLOOKUP(B955,'11.COMPOSIÇÕES GERAIS'!B:I,3,0),VLOOKUP(B955,'12.COT.MERCADO'!A:I,7,0)))),"Em Elaboração")</f>
        <v>UN </v>
      </c>
      <c r="G955" s="254">
        <v>10.0</v>
      </c>
      <c r="H955" s="259">
        <f>IFERROR(IF(D955="SINAPI-S",VLOOKUP(B955,'20-B.SINAPI-S'!A:J,5,0),IF(D955="SINAPI-I",VLOOKUP(B955,'20-A.SINAPI-I'!A:G,6,0),IF(D955="COMPOSIÇÕES",VLOOKUP(B955,'11.COMPOSIÇÕES GERAIS'!B:I,7,0),0))),"Em Elaboração")</f>
        <v>0</v>
      </c>
      <c r="I955" s="259">
        <f>IFERROR(IF(D955="SINAPI-S",VLOOKUP(B955,'20-B.SINAPI-S'!A:J,6,0),IF(D955="SINAPI-I",VLOOKUP(B955,'20-A.SINAPI-I'!A:G,7,0),IF(D955="COMPOSIÇÕES",VLOOKUP(B955,'11.COMPOSIÇÕES GERAIS'!B:I,8,0),VLOOKUP(B955,'12.COT.MERCADO'!A:I,8,0)))),"Em Elaboração")</f>
        <v>0.3</v>
      </c>
      <c r="J955" s="259">
        <f t="shared" si="202"/>
        <v>0</v>
      </c>
      <c r="K955" s="259">
        <f t="shared" si="203"/>
        <v>0.3514003755</v>
      </c>
      <c r="L955" s="259">
        <f t="shared" si="204"/>
        <v>0.3514003755</v>
      </c>
      <c r="M955" s="259">
        <f t="shared" si="205"/>
        <v>0</v>
      </c>
      <c r="N955" s="259">
        <f t="shared" si="206"/>
        <v>3.514003755</v>
      </c>
      <c r="O955" s="259">
        <f t="shared" si="207"/>
        <v>3.514003755</v>
      </c>
      <c r="P955" s="260">
        <f t="shared" si="2"/>
        <v>0.000002748914613</v>
      </c>
    </row>
    <row r="956">
      <c r="A956" s="253" t="s">
        <v>1165</v>
      </c>
      <c r="B956" s="254" t="s">
        <v>1166</v>
      </c>
      <c r="C956" s="255" t="str">
        <f t="shared" si="201"/>
        <v>PRÓPRIO</v>
      </c>
      <c r="D956" s="256" t="s">
        <v>110</v>
      </c>
      <c r="E956" s="257" t="str">
        <f>IFERROR(IF(D956="SINAPI-S",VLOOKUP(B956,'20-B.SINAPI-S'!A:J,2,0),IF(D956="SINAPI-I",VLOOKUP(B956,'20-A.SINAPI-I'!A:G,2,0),IF(D956="COMPOSIÇÕES",VLOOKUP(B956,'11.COMPOSIÇÕES GERAIS'!B:I,2,0),VLOOKUP(B956,'12.COT.MERCADO'!A:I,2,0)))),"Em Elaboração")</f>
        <v>Porca sextavada 1/4"</v>
      </c>
      <c r="F956" s="258" t="str">
        <f>IFERROR(IF(D956="SINAPI-S",VLOOKUP(B956,'20-B.SINAPI-S'!A:J,3,0),IF(D956="SINAPI-I",VLOOKUP(B956,'20-A.SINAPI-I'!A:G,3,0),IF(D956="COMPOSIÇÕES",VLOOKUP(B956,'11.COMPOSIÇÕES GERAIS'!B:I,3,0),VLOOKUP(B956,'12.COT.MERCADO'!A:I,7,0)))),"Em Elaboração")</f>
        <v>UN </v>
      </c>
      <c r="G956" s="254">
        <v>10.0</v>
      </c>
      <c r="H956" s="259">
        <f>IFERROR(IF(D956="SINAPI-S",VLOOKUP(B956,'20-B.SINAPI-S'!A:J,5,0),IF(D956="SINAPI-I",VLOOKUP(B956,'20-A.SINAPI-I'!A:G,6,0),IF(D956="COMPOSIÇÕES",VLOOKUP(B956,'11.COMPOSIÇÕES GERAIS'!B:I,7,0),0))),"Em Elaboração")</f>
        <v>0</v>
      </c>
      <c r="I956" s="259">
        <f>IFERROR(IF(D956="SINAPI-S",VLOOKUP(B956,'20-B.SINAPI-S'!A:J,6,0),IF(D956="SINAPI-I",VLOOKUP(B956,'20-A.SINAPI-I'!A:G,7,0),IF(D956="COMPOSIÇÕES",VLOOKUP(B956,'11.COMPOSIÇÕES GERAIS'!B:I,8,0),VLOOKUP(B956,'12.COT.MERCADO'!A:I,8,0)))),"Em Elaboração")</f>
        <v>0.14</v>
      </c>
      <c r="J956" s="259">
        <f t="shared" si="202"/>
        <v>0</v>
      </c>
      <c r="K956" s="259">
        <f t="shared" si="203"/>
        <v>0.1639868419</v>
      </c>
      <c r="L956" s="259">
        <f t="shared" si="204"/>
        <v>0.1639868419</v>
      </c>
      <c r="M956" s="259">
        <f t="shared" si="205"/>
        <v>0</v>
      </c>
      <c r="N956" s="259">
        <f t="shared" si="206"/>
        <v>1.639868419</v>
      </c>
      <c r="O956" s="259">
        <f t="shared" si="207"/>
        <v>1.639868419</v>
      </c>
      <c r="P956" s="260">
        <f t="shared" si="2"/>
        <v>0.000001282826819</v>
      </c>
    </row>
    <row r="957">
      <c r="A957" s="253" t="s">
        <v>1167</v>
      </c>
      <c r="B957" s="254" t="s">
        <v>1168</v>
      </c>
      <c r="C957" s="255" t="str">
        <f t="shared" si="201"/>
        <v>PRÓPRIO</v>
      </c>
      <c r="D957" s="256" t="s">
        <v>110</v>
      </c>
      <c r="E957" s="257" t="str">
        <f>IFERROR(IF(D957="SINAPI-S",VLOOKUP(B957,'20-B.SINAPI-S'!A:J,2,0),IF(D957="SINAPI-I",VLOOKUP(B957,'20-A.SINAPI-I'!A:G,2,0),IF(D957="COMPOSIÇÕES",VLOOKUP(B957,'11.COMPOSIÇÕES GERAIS'!B:I,2,0),VLOOKUP(B957,'12.COT.MERCADO'!A:I,2,0)))),"Em Elaboração")</f>
        <v>Porca sextavada 5/16"</v>
      </c>
      <c r="F957" s="258" t="str">
        <f>IFERROR(IF(D957="SINAPI-S",VLOOKUP(B957,'20-B.SINAPI-S'!A:J,3,0),IF(D957="SINAPI-I",VLOOKUP(B957,'20-A.SINAPI-I'!A:G,3,0),IF(D957="COMPOSIÇÕES",VLOOKUP(B957,'11.COMPOSIÇÕES GERAIS'!B:I,3,0),VLOOKUP(B957,'12.COT.MERCADO'!A:I,7,0)))),"Em Elaboração")</f>
        <v>UN </v>
      </c>
      <c r="G957" s="254">
        <v>10.0</v>
      </c>
      <c r="H957" s="259">
        <f>IFERROR(IF(D957="SINAPI-S",VLOOKUP(B957,'20-B.SINAPI-S'!A:J,5,0),IF(D957="SINAPI-I",VLOOKUP(B957,'20-A.SINAPI-I'!A:G,6,0),IF(D957="COMPOSIÇÕES",VLOOKUP(B957,'11.COMPOSIÇÕES GERAIS'!B:I,7,0),0))),"Em Elaboração")</f>
        <v>0</v>
      </c>
      <c r="I957" s="259">
        <f>IFERROR(IF(D957="SINAPI-S",VLOOKUP(B957,'20-B.SINAPI-S'!A:J,6,0),IF(D957="SINAPI-I",VLOOKUP(B957,'20-A.SINAPI-I'!A:G,7,0),IF(D957="COMPOSIÇÕES",VLOOKUP(B957,'11.COMPOSIÇÕES GERAIS'!B:I,8,0),VLOOKUP(B957,'12.COT.MERCADO'!A:I,8,0)))),"Em Elaboração")</f>
        <v>0.13</v>
      </c>
      <c r="J957" s="259">
        <f t="shared" si="202"/>
        <v>0</v>
      </c>
      <c r="K957" s="259">
        <f t="shared" si="203"/>
        <v>0.1522734961</v>
      </c>
      <c r="L957" s="259">
        <f t="shared" si="204"/>
        <v>0.1522734961</v>
      </c>
      <c r="M957" s="259">
        <f t="shared" si="205"/>
        <v>0</v>
      </c>
      <c r="N957" s="259">
        <f t="shared" si="206"/>
        <v>1.522734961</v>
      </c>
      <c r="O957" s="259">
        <f t="shared" si="207"/>
        <v>1.522734961</v>
      </c>
      <c r="P957" s="260">
        <f t="shared" si="2"/>
        <v>0.000001191196332</v>
      </c>
    </row>
    <row r="958">
      <c r="A958" s="253" t="s">
        <v>1169</v>
      </c>
      <c r="B958" s="254" t="s">
        <v>1170</v>
      </c>
      <c r="C958" s="255" t="str">
        <f t="shared" si="201"/>
        <v>PRÓPRIO</v>
      </c>
      <c r="D958" s="256" t="s">
        <v>110</v>
      </c>
      <c r="E958" s="257" t="str">
        <f>IFERROR(IF(D958="SINAPI-S",VLOOKUP(B958,'20-B.SINAPI-S'!A:J,2,0),IF(D958="SINAPI-I",VLOOKUP(B958,'20-A.SINAPI-I'!A:G,2,0),IF(D958="COMPOSIÇÕES",VLOOKUP(B958,'11.COMPOSIÇÕES GERAIS'!B:I,2,0),VLOOKUP(B958,'12.COT.MERCADO'!A:I,2,0)))),"Em Elaboração")</f>
        <v>Porca sextavada 3/8 "</v>
      </c>
      <c r="F958" s="258" t="str">
        <f>IFERROR(IF(D958="SINAPI-S",VLOOKUP(B958,'20-B.SINAPI-S'!A:J,3,0),IF(D958="SINAPI-I",VLOOKUP(B958,'20-A.SINAPI-I'!A:G,3,0),IF(D958="COMPOSIÇÕES",VLOOKUP(B958,'11.COMPOSIÇÕES GERAIS'!B:I,3,0),VLOOKUP(B958,'12.COT.MERCADO'!A:I,7,0)))),"Em Elaboração")</f>
        <v>UN </v>
      </c>
      <c r="G958" s="254">
        <v>10.0</v>
      </c>
      <c r="H958" s="259">
        <f>IFERROR(IF(D958="SINAPI-S",VLOOKUP(B958,'20-B.SINAPI-S'!A:J,5,0),IF(D958="SINAPI-I",VLOOKUP(B958,'20-A.SINAPI-I'!A:G,6,0),IF(D958="COMPOSIÇÕES",VLOOKUP(B958,'11.COMPOSIÇÕES GERAIS'!B:I,7,0),0))),"Em Elaboração")</f>
        <v>0</v>
      </c>
      <c r="I958" s="259">
        <f>IFERROR(IF(D958="SINAPI-S",VLOOKUP(B958,'20-B.SINAPI-S'!A:J,6,0),IF(D958="SINAPI-I",VLOOKUP(B958,'20-A.SINAPI-I'!A:G,7,0),IF(D958="COMPOSIÇÕES",VLOOKUP(B958,'11.COMPOSIÇÕES GERAIS'!B:I,8,0),VLOOKUP(B958,'12.COT.MERCADO'!A:I,8,0)))),"Em Elaboração")</f>
        <v>0.22</v>
      </c>
      <c r="J958" s="259">
        <f t="shared" si="202"/>
        <v>0</v>
      </c>
      <c r="K958" s="259">
        <f t="shared" si="203"/>
        <v>0.2576936087</v>
      </c>
      <c r="L958" s="259">
        <f t="shared" si="204"/>
        <v>0.2576936087</v>
      </c>
      <c r="M958" s="259">
        <f t="shared" si="205"/>
        <v>0</v>
      </c>
      <c r="N958" s="259">
        <f t="shared" si="206"/>
        <v>2.576936087</v>
      </c>
      <c r="O958" s="259">
        <f t="shared" si="207"/>
        <v>2.576936087</v>
      </c>
      <c r="P958" s="260">
        <f t="shared" si="2"/>
        <v>0.000002015870716</v>
      </c>
    </row>
    <row r="959">
      <c r="A959" s="253" t="s">
        <v>1171</v>
      </c>
      <c r="B959" s="254">
        <v>5104.0</v>
      </c>
      <c r="C959" s="255" t="str">
        <f t="shared" si="201"/>
        <v>SINAPI</v>
      </c>
      <c r="D959" s="256" t="s">
        <v>286</v>
      </c>
      <c r="E959" s="257" t="str">
        <f>IFERROR(IF(D959="SINAPI-S",VLOOKUP(B959,'20-B.SINAPI-S'!A:J,2,0),IF(D959="SINAPI-I",VLOOKUP(B959,'20-A.SINAPI-I'!A:G,2,0),IF(D959="COMPOSIÇÕES",VLOOKUP(B959,'11.COMPOSIÇÕES GERAIS'!B:I,2,0),VLOOKUP(B959,'12.COT.MERCADO'!A:I,2,0)))),"Em Elaboração")</f>
        <v>REBITE DE ALUMINIO VAZADO DE REPUXO, 3,2 X 8 MM (1KG = 1025 UNIDADES)</v>
      </c>
      <c r="F959" s="258" t="str">
        <f>IFERROR(IF(D959="SINAPI-S",VLOOKUP(B959,'20-B.SINAPI-S'!A:J,3,0),IF(D959="SINAPI-I",VLOOKUP(B959,'20-A.SINAPI-I'!A:G,3,0),IF(D959="COMPOSIÇÕES",VLOOKUP(B959,'11.COMPOSIÇÕES GERAIS'!B:I,3,0),VLOOKUP(B959,'12.COT.MERCADO'!A:I,7,0)))),"Em Elaboração")</f>
        <v>KG</v>
      </c>
      <c r="G959" s="254">
        <v>2.0</v>
      </c>
      <c r="H959" s="259">
        <f>IFERROR(IF(D959="SINAPI-S",VLOOKUP(B959,'20-B.SINAPI-S'!A:J,5,0),IF(D959="SINAPI-I",VLOOKUP(B959,'20-A.SINAPI-I'!A:G,6,0),IF(D959="COMPOSIÇÕES",VLOOKUP(B959,'11.COMPOSIÇÕES GERAIS'!B:I,7,0),0))),"Em Elaboração")</f>
        <v>0</v>
      </c>
      <c r="I959" s="259">
        <f>IFERROR(IF(D959="SINAPI-S",VLOOKUP(B959,'20-B.SINAPI-S'!A:J,6,0),IF(D959="SINAPI-I",VLOOKUP(B959,'20-A.SINAPI-I'!A:G,7,0),IF(D959="COMPOSIÇÕES",VLOOKUP(B959,'11.COMPOSIÇÕES GERAIS'!B:I,8,0),VLOOKUP(B959,'12.COT.MERCADO'!A:I,8,0)))),"Em Elaboração")</f>
        <v>68.31</v>
      </c>
      <c r="J959" s="259">
        <f t="shared" si="202"/>
        <v>0</v>
      </c>
      <c r="K959" s="259">
        <f t="shared" si="203"/>
        <v>80.01386551</v>
      </c>
      <c r="L959" s="259">
        <f t="shared" si="204"/>
        <v>80.01386551</v>
      </c>
      <c r="M959" s="259">
        <f t="shared" si="205"/>
        <v>0</v>
      </c>
      <c r="N959" s="259">
        <f t="shared" si="206"/>
        <v>160.027731</v>
      </c>
      <c r="O959" s="259">
        <f t="shared" si="207"/>
        <v>160.027731</v>
      </c>
      <c r="P959" s="260">
        <f t="shared" si="2"/>
        <v>0.0001251855715</v>
      </c>
    </row>
    <row r="960">
      <c r="A960" s="261" t="s">
        <v>1172</v>
      </c>
      <c r="B960" s="262" t="s">
        <v>1173</v>
      </c>
      <c r="C960" s="44"/>
      <c r="D960" s="44"/>
      <c r="E960" s="44"/>
      <c r="F960" s="44"/>
      <c r="G960" s="44"/>
      <c r="H960" s="44"/>
      <c r="I960" s="44"/>
      <c r="J960" s="44"/>
      <c r="K960" s="44"/>
      <c r="L960" s="44"/>
      <c r="M960" s="263">
        <f t="shared" ref="M960:O960" si="208">SUM(M961:M962)</f>
        <v>0</v>
      </c>
      <c r="N960" s="263">
        <f t="shared" si="208"/>
        <v>287.9374677</v>
      </c>
      <c r="O960" s="263">
        <f t="shared" si="208"/>
        <v>287.9374677</v>
      </c>
      <c r="P960" s="264">
        <f t="shared" si="2"/>
        <v>0.0002252460634</v>
      </c>
    </row>
    <row r="961">
      <c r="A961" s="253" t="s">
        <v>1174</v>
      </c>
      <c r="B961" s="254" t="s">
        <v>1175</v>
      </c>
      <c r="C961" s="255" t="str">
        <f t="shared" ref="C961:C962" si="209">IF(OR(D961="SINAPI-S",D961="SINAPI-I"),"SINAPI","PRÓPRIO")</f>
        <v>PRÓPRIO</v>
      </c>
      <c r="D961" s="256" t="s">
        <v>110</v>
      </c>
      <c r="E961" s="257" t="str">
        <f>IFERROR(IF(D961="SINAPI-S",VLOOKUP(B961,'20-B.SINAPI-S'!A:J,2,0),IF(D961="SINAPI-I",VLOOKUP(B961,'20-A.SINAPI-I'!A:G,2,0),IF(D961="COMPOSIÇÕES",VLOOKUP(B961,'11.COMPOSIÇÕES GERAIS'!B:I,2,0),VLOOKUP(B961,'12.COT.MERCADO'!A:I,2,0)))),"Em Elaboração")</f>
        <v>Rolamento 6209 ZZ/C3. REF: NSK OU SIMILAR</v>
      </c>
      <c r="F961" s="258" t="str">
        <f>IFERROR(IF(D961="SINAPI-S",VLOOKUP(B961,'20-B.SINAPI-S'!A:J,3,0),IF(D961="SINAPI-I",VLOOKUP(B961,'20-A.SINAPI-I'!A:G,3,0),IF(D961="COMPOSIÇÕES",VLOOKUP(B961,'11.COMPOSIÇÕES GERAIS'!B:I,3,0),VLOOKUP(B961,'12.COT.MERCADO'!A:I,7,0)))),"Em Elaboração")</f>
        <v>UN </v>
      </c>
      <c r="G961" s="254">
        <v>2.0</v>
      </c>
      <c r="H961" s="259">
        <f>IFERROR(IF(D961="SINAPI-S",VLOOKUP(B961,'20-B.SINAPI-S'!A:J,5,0),IF(D961="SINAPI-I",VLOOKUP(B961,'20-A.SINAPI-I'!A:G,6,0),IF(D961="COMPOSIÇÕES",VLOOKUP(B961,'11.COMPOSIÇÕES GERAIS'!B:I,7,0),0))),"Em Elaboração")</f>
        <v>0</v>
      </c>
      <c r="I961" s="259">
        <f>IFERROR(IF(D961="SINAPI-S",VLOOKUP(B961,'20-B.SINAPI-S'!A:J,6,0),IF(D961="SINAPI-I",VLOOKUP(B961,'20-A.SINAPI-I'!A:G,7,0),IF(D961="COMPOSIÇÕES",VLOOKUP(B961,'11.COMPOSIÇÕES GERAIS'!B:I,8,0),VLOOKUP(B961,'12.COT.MERCADO'!A:I,8,0)))),"Em Elaboração")</f>
        <v>56.91</v>
      </c>
      <c r="J961" s="259">
        <f t="shared" ref="J961:J962" si="210">H961*(1+$J$5)</f>
        <v>0</v>
      </c>
      <c r="K961" s="259">
        <f t="shared" ref="K961:K962" si="211">I961*(1+$J$8)</f>
        <v>66.66065124</v>
      </c>
      <c r="L961" s="259">
        <f t="shared" ref="L961:L962" si="212">SUM(J961:K961)</f>
        <v>66.66065124</v>
      </c>
      <c r="M961" s="259">
        <f t="shared" ref="M961:M962" si="213">J961*G961</f>
        <v>0</v>
      </c>
      <c r="N961" s="259">
        <f t="shared" ref="N961:N962" si="214">K961*G961</f>
        <v>133.3213025</v>
      </c>
      <c r="O961" s="259">
        <f t="shared" ref="O961:O962" si="215">SUM(M961:N961)</f>
        <v>133.3213025</v>
      </c>
      <c r="P961" s="260">
        <f t="shared" si="2"/>
        <v>0.0001042938204</v>
      </c>
    </row>
    <row r="962">
      <c r="A962" s="253" t="s">
        <v>1176</v>
      </c>
      <c r="B962" s="254" t="s">
        <v>1177</v>
      </c>
      <c r="C962" s="255" t="str">
        <f t="shared" si="209"/>
        <v>PRÓPRIO</v>
      </c>
      <c r="D962" s="256" t="s">
        <v>110</v>
      </c>
      <c r="E962" s="257" t="str">
        <f>IFERROR(IF(D962="SINAPI-S",VLOOKUP(B962,'20-B.SINAPI-S'!A:J,2,0),IF(D962="SINAPI-I",VLOOKUP(B962,'20-A.SINAPI-I'!A:G,2,0),IF(D962="COMPOSIÇÕES",VLOOKUP(B962,'11.COMPOSIÇÕES GERAIS'!B:I,2,0),VLOOKUP(B962,'12.COT.MERCADO'!A:I,2,0)))),"Em Elaboração")</f>
        <v>Rolamento Rígido de Esferas 6307-ZZ/C3. REF: NSK 6307-ZZ/C3</v>
      </c>
      <c r="F962" s="258" t="str">
        <f>IFERROR(IF(D962="SINAPI-S",VLOOKUP(B962,'20-B.SINAPI-S'!A:J,3,0),IF(D962="SINAPI-I",VLOOKUP(B962,'20-A.SINAPI-I'!A:G,3,0),IF(D962="COMPOSIÇÕES",VLOOKUP(B962,'11.COMPOSIÇÕES GERAIS'!B:I,3,0),VLOOKUP(B962,'12.COT.MERCADO'!A:I,7,0)))),"Em Elaboração")</f>
        <v>UN </v>
      </c>
      <c r="G962" s="254">
        <v>2.0</v>
      </c>
      <c r="H962" s="259">
        <f>IFERROR(IF(D962="SINAPI-S",VLOOKUP(B962,'20-B.SINAPI-S'!A:J,5,0),IF(D962="SINAPI-I",VLOOKUP(B962,'20-A.SINAPI-I'!A:G,6,0),IF(D962="COMPOSIÇÕES",VLOOKUP(B962,'11.COMPOSIÇÕES GERAIS'!B:I,7,0),0))),"Em Elaboração")</f>
        <v>0</v>
      </c>
      <c r="I962" s="259">
        <f>IFERROR(IF(D962="SINAPI-S",VLOOKUP(B962,'20-B.SINAPI-S'!A:J,6,0),IF(D962="SINAPI-I",VLOOKUP(B962,'20-A.SINAPI-I'!A:G,7,0),IF(D962="COMPOSIÇÕES",VLOOKUP(B962,'11.COMPOSIÇÕES GERAIS'!B:I,8,0),VLOOKUP(B962,'12.COT.MERCADO'!A:I,8,0)))),"Em Elaboração")</f>
        <v>66</v>
      </c>
      <c r="J962" s="259">
        <f t="shared" si="210"/>
        <v>0</v>
      </c>
      <c r="K962" s="259">
        <f t="shared" si="211"/>
        <v>77.30808262</v>
      </c>
      <c r="L962" s="259">
        <f t="shared" si="212"/>
        <v>77.30808262</v>
      </c>
      <c r="M962" s="259">
        <f t="shared" si="213"/>
        <v>0</v>
      </c>
      <c r="N962" s="259">
        <f t="shared" si="214"/>
        <v>154.6161652</v>
      </c>
      <c r="O962" s="259">
        <f t="shared" si="215"/>
        <v>154.6161652</v>
      </c>
      <c r="P962" s="260">
        <f t="shared" si="2"/>
        <v>0.000120952243</v>
      </c>
    </row>
    <row r="963">
      <c r="A963" s="261" t="s">
        <v>1178</v>
      </c>
      <c r="B963" s="262" t="s">
        <v>1179</v>
      </c>
      <c r="C963" s="44"/>
      <c r="D963" s="44"/>
      <c r="E963" s="44"/>
      <c r="F963" s="44"/>
      <c r="G963" s="44"/>
      <c r="H963" s="44"/>
      <c r="I963" s="44"/>
      <c r="J963" s="44"/>
      <c r="K963" s="44"/>
      <c r="L963" s="44"/>
      <c r="M963" s="263">
        <f t="shared" ref="M963:O963" si="216">SUM(M964:M975)</f>
        <v>0</v>
      </c>
      <c r="N963" s="263">
        <f t="shared" si="216"/>
        <v>1246.616259</v>
      </c>
      <c r="O963" s="263">
        <f t="shared" si="216"/>
        <v>1246.616259</v>
      </c>
      <c r="P963" s="264">
        <f t="shared" si="2"/>
        <v>0.000975195785</v>
      </c>
    </row>
    <row r="964">
      <c r="A964" s="253" t="s">
        <v>1180</v>
      </c>
      <c r="B964" s="254">
        <v>6298.0</v>
      </c>
      <c r="C964" s="255" t="str">
        <f t="shared" ref="C964:C975" si="217">IF(OR(D964="SINAPI-S",D964="SINAPI-I"),"SINAPI","PRÓPRIO")</f>
        <v>SINAPI</v>
      </c>
      <c r="D964" s="256" t="s">
        <v>286</v>
      </c>
      <c r="E964" s="257" t="str">
        <f>IFERROR(IF(D964="SINAPI-S",VLOOKUP(B964,'20-B.SINAPI-S'!A:J,2,0),IF(D964="SINAPI-I",VLOOKUP(B964,'20-A.SINAPI-I'!A:G,2,0),IF(D964="COMPOSIÇÕES",VLOOKUP(B964,'11.COMPOSIÇÕES GERAIS'!B:I,2,0),VLOOKUP(B964,'12.COT.MERCADO'!A:I,2,0)))),"Em Elaboração")</f>
        <v>TE DE FERRO GALVANIZADO, DE 2"</v>
      </c>
      <c r="F964" s="258" t="str">
        <f>IFERROR(IF(D964="SINAPI-S",VLOOKUP(B964,'20-B.SINAPI-S'!A:J,3,0),IF(D964="SINAPI-I",VLOOKUP(B964,'20-A.SINAPI-I'!A:G,3,0),IF(D964="COMPOSIÇÕES",VLOOKUP(B964,'11.COMPOSIÇÕES GERAIS'!B:I,3,0),VLOOKUP(B964,'12.COT.MERCADO'!A:I,7,0)))),"Em Elaboração")</f>
        <v>UN</v>
      </c>
      <c r="G964" s="254">
        <v>1.0</v>
      </c>
      <c r="H964" s="259">
        <f>IFERROR(IF(D964="SINAPI-S",VLOOKUP(B964,'20-B.SINAPI-S'!A:J,5,0),IF(D964="SINAPI-I",VLOOKUP(B964,'20-A.SINAPI-I'!A:G,6,0),IF(D964="COMPOSIÇÕES",VLOOKUP(B964,'11.COMPOSIÇÕES GERAIS'!B:I,7,0),0))),"Em Elaboração")</f>
        <v>0</v>
      </c>
      <c r="I964" s="259">
        <f>IFERROR(IF(D964="SINAPI-S",VLOOKUP(B964,'20-B.SINAPI-S'!A:J,6,0),IF(D964="SINAPI-I",VLOOKUP(B964,'20-A.SINAPI-I'!A:G,7,0),IF(D964="COMPOSIÇÕES",VLOOKUP(B964,'11.COMPOSIÇÕES GERAIS'!B:I,8,0),VLOOKUP(B964,'12.COT.MERCADO'!A:I,8,0)))),"Em Elaboração")</f>
        <v>72.33</v>
      </c>
      <c r="J964" s="259">
        <f t="shared" ref="J964:J975" si="218">H964*(1+$J$5)</f>
        <v>0</v>
      </c>
      <c r="K964" s="259">
        <f t="shared" ref="K964:K975" si="219">I964*(1+$J$8)</f>
        <v>84.72263054</v>
      </c>
      <c r="L964" s="259">
        <f t="shared" ref="L964:L975" si="220">SUM(J964:K964)</f>
        <v>84.72263054</v>
      </c>
      <c r="M964" s="259">
        <f t="shared" ref="M964:M975" si="221">J964*G964</f>
        <v>0</v>
      </c>
      <c r="N964" s="259">
        <f t="shared" ref="N964:N975" si="222">K964*G964</f>
        <v>84.72263054</v>
      </c>
      <c r="O964" s="259">
        <f t="shared" ref="O964:O975" si="223">SUM(M964:N964)</f>
        <v>84.72263054</v>
      </c>
      <c r="P964" s="260">
        <f t="shared" si="2"/>
        <v>0.00006627633132</v>
      </c>
    </row>
    <row r="965">
      <c r="A965" s="253" t="s">
        <v>1181</v>
      </c>
      <c r="B965" s="254" t="s">
        <v>1182</v>
      </c>
      <c r="C965" s="255" t="str">
        <f t="shared" si="217"/>
        <v>PRÓPRIO</v>
      </c>
      <c r="D965" s="256" t="s">
        <v>110</v>
      </c>
      <c r="E965" s="257" t="str">
        <f>IFERROR(IF(D965="SINAPI-S",VLOOKUP(B965,'20-B.SINAPI-S'!A:J,2,0),IF(D965="SINAPI-I",VLOOKUP(B965,'20-A.SINAPI-I'!A:G,2,0),IF(D965="COMPOSIÇÕES",VLOOKUP(B965,'11.COMPOSIÇÕES GERAIS'!B:I,2,0),VLOOKUP(B965,'12.COT.MERCADO'!A:I,2,0)))),"Em Elaboração")</f>
        <v>Válvula Filtro Y em Latão com Tela Inox de 1.1/2"</v>
      </c>
      <c r="F965" s="258" t="str">
        <f>IFERROR(IF(D965="SINAPI-S",VLOOKUP(B965,'20-B.SINAPI-S'!A:J,3,0),IF(D965="SINAPI-I",VLOOKUP(B965,'20-A.SINAPI-I'!A:G,3,0),IF(D965="COMPOSIÇÕES",VLOOKUP(B965,'11.COMPOSIÇÕES GERAIS'!B:I,3,0),VLOOKUP(B965,'12.COT.MERCADO'!A:I,7,0)))),"Em Elaboração")</f>
        <v>UN </v>
      </c>
      <c r="G965" s="254">
        <v>4.0</v>
      </c>
      <c r="H965" s="259">
        <f>IFERROR(IF(D965="SINAPI-S",VLOOKUP(B965,'20-B.SINAPI-S'!A:J,5,0),IF(D965="SINAPI-I",VLOOKUP(B965,'20-A.SINAPI-I'!A:G,6,0),IF(D965="COMPOSIÇÕES",VLOOKUP(B965,'11.COMPOSIÇÕES GERAIS'!B:I,7,0),0))),"Em Elaboração")</f>
        <v>0</v>
      </c>
      <c r="I965" s="259">
        <f>IFERROR(IF(D965="SINAPI-S",VLOOKUP(B965,'20-B.SINAPI-S'!A:J,6,0),IF(D965="SINAPI-I",VLOOKUP(B965,'20-A.SINAPI-I'!A:G,7,0),IF(D965="COMPOSIÇÕES",VLOOKUP(B965,'11.COMPOSIÇÕES GERAIS'!B:I,8,0),VLOOKUP(B965,'12.COT.MERCADO'!A:I,8,0)))),"Em Elaboração")</f>
        <v>145.93</v>
      </c>
      <c r="J965" s="259">
        <f t="shared" si="218"/>
        <v>0</v>
      </c>
      <c r="K965" s="259">
        <f t="shared" si="219"/>
        <v>170.932856</v>
      </c>
      <c r="L965" s="259">
        <f t="shared" si="220"/>
        <v>170.932856</v>
      </c>
      <c r="M965" s="259">
        <f t="shared" si="221"/>
        <v>0</v>
      </c>
      <c r="N965" s="259">
        <f t="shared" si="222"/>
        <v>683.731424</v>
      </c>
      <c r="O965" s="259">
        <f t="shared" si="223"/>
        <v>683.731424</v>
      </c>
      <c r="P965" s="260">
        <f t="shared" si="2"/>
        <v>0.0005348654793</v>
      </c>
    </row>
    <row r="966">
      <c r="A966" s="253" t="s">
        <v>1183</v>
      </c>
      <c r="B966" s="254">
        <v>3482.0</v>
      </c>
      <c r="C966" s="255" t="str">
        <f t="shared" si="217"/>
        <v>SINAPI</v>
      </c>
      <c r="D966" s="256" t="s">
        <v>286</v>
      </c>
      <c r="E966" s="257" t="str">
        <f>IFERROR(IF(D966="SINAPI-S",VLOOKUP(B966,'20-B.SINAPI-S'!A:J,2,0),IF(D966="SINAPI-I",VLOOKUP(B966,'20-A.SINAPI-I'!A:G,2,0),IF(D966="COMPOSIÇÕES",VLOOKUP(B966,'11.COMPOSIÇÕES GERAIS'!B:I,2,0),VLOOKUP(B966,'12.COT.MERCADO'!A:I,2,0)))),"Em Elaboração")</f>
        <v>JOELHO PVC, ROSCAVEL, 90 GRAUS, 1", COR BRANCA, PARA AGUA FRIA PREDIAL</v>
      </c>
      <c r="F966" s="258" t="str">
        <f>IFERROR(IF(D966="SINAPI-S",VLOOKUP(B966,'20-B.SINAPI-S'!A:J,3,0),IF(D966="SINAPI-I",VLOOKUP(B966,'20-A.SINAPI-I'!A:G,3,0),IF(D966="COMPOSIÇÕES",VLOOKUP(B966,'11.COMPOSIÇÕES GERAIS'!B:I,3,0),VLOOKUP(B966,'12.COT.MERCADO'!A:I,7,0)))),"Em Elaboração")</f>
        <v>UN</v>
      </c>
      <c r="G966" s="254">
        <v>4.0</v>
      </c>
      <c r="H966" s="259">
        <f>IFERROR(IF(D966="SINAPI-S",VLOOKUP(B966,'20-B.SINAPI-S'!A:J,5,0),IF(D966="SINAPI-I",VLOOKUP(B966,'20-A.SINAPI-I'!A:G,6,0),IF(D966="COMPOSIÇÕES",VLOOKUP(B966,'11.COMPOSIÇÕES GERAIS'!B:I,7,0),0))),"Em Elaboração")</f>
        <v>0</v>
      </c>
      <c r="I966" s="259">
        <f>IFERROR(IF(D966="SINAPI-S",VLOOKUP(B966,'20-B.SINAPI-S'!A:J,6,0),IF(D966="SINAPI-I",VLOOKUP(B966,'20-A.SINAPI-I'!A:G,7,0),IF(D966="COMPOSIÇÕES",VLOOKUP(B966,'11.COMPOSIÇÕES GERAIS'!B:I,8,0),VLOOKUP(B966,'12.COT.MERCADO'!A:I,8,0)))),"Em Elaboração")</f>
        <v>5.69</v>
      </c>
      <c r="J966" s="259">
        <f t="shared" si="218"/>
        <v>0</v>
      </c>
      <c r="K966" s="259">
        <f t="shared" si="219"/>
        <v>6.664893789</v>
      </c>
      <c r="L966" s="259">
        <f t="shared" si="220"/>
        <v>6.664893789</v>
      </c>
      <c r="M966" s="259">
        <f t="shared" si="221"/>
        <v>0</v>
      </c>
      <c r="N966" s="259">
        <f t="shared" si="222"/>
        <v>26.65957516</v>
      </c>
      <c r="O966" s="259">
        <f t="shared" si="223"/>
        <v>26.65957516</v>
      </c>
      <c r="P966" s="260">
        <f t="shared" si="2"/>
        <v>0.00002085509886</v>
      </c>
    </row>
    <row r="967">
      <c r="A967" s="253" t="s">
        <v>1184</v>
      </c>
      <c r="B967" s="254">
        <v>3522.0</v>
      </c>
      <c r="C967" s="255" t="str">
        <f t="shared" si="217"/>
        <v>SINAPI</v>
      </c>
      <c r="D967" s="256" t="s">
        <v>286</v>
      </c>
      <c r="E967" s="257" t="str">
        <f>IFERROR(IF(D967="SINAPI-S",VLOOKUP(B967,'20-B.SINAPI-S'!A:J,2,0),IF(D967="SINAPI-I",VLOOKUP(B967,'20-A.SINAPI-I'!A:G,2,0),IF(D967="COMPOSIÇÕES",VLOOKUP(B967,'11.COMPOSIÇÕES GERAIS'!B:I,2,0),VLOOKUP(B967,'12.COT.MERCADO'!A:I,2,0)))),"Em Elaboração")</f>
        <v>JOELHO PVC, SOLDAVEL COM ROSCA, 90 GRAUS, 25 MM X 3/4", COR MARROM, PARA AGUA FRIA PREDIAL</v>
      </c>
      <c r="F967" s="258" t="str">
        <f>IFERROR(IF(D967="SINAPI-S",VLOOKUP(B967,'20-B.SINAPI-S'!A:J,3,0),IF(D967="SINAPI-I",VLOOKUP(B967,'20-A.SINAPI-I'!A:G,3,0),IF(D967="COMPOSIÇÕES",VLOOKUP(B967,'11.COMPOSIÇÕES GERAIS'!B:I,3,0),VLOOKUP(B967,'12.COT.MERCADO'!A:I,7,0)))),"Em Elaboração")</f>
        <v>UN</v>
      </c>
      <c r="G967" s="254">
        <v>4.0</v>
      </c>
      <c r="H967" s="259">
        <f>IFERROR(IF(D967="SINAPI-S",VLOOKUP(B967,'20-B.SINAPI-S'!A:J,5,0),IF(D967="SINAPI-I",VLOOKUP(B967,'20-A.SINAPI-I'!A:G,6,0),IF(D967="COMPOSIÇÕES",VLOOKUP(B967,'11.COMPOSIÇÕES GERAIS'!B:I,7,0),0))),"Em Elaboração")</f>
        <v>0</v>
      </c>
      <c r="I967" s="259">
        <f>IFERROR(IF(D967="SINAPI-S",VLOOKUP(B967,'20-B.SINAPI-S'!A:J,6,0),IF(D967="SINAPI-I",VLOOKUP(B967,'20-A.SINAPI-I'!A:G,7,0),IF(D967="COMPOSIÇÕES",VLOOKUP(B967,'11.COMPOSIÇÕES GERAIS'!B:I,8,0),VLOOKUP(B967,'12.COT.MERCADO'!A:I,8,0)))),"Em Elaboração")</f>
        <v>2.54</v>
      </c>
      <c r="J967" s="259">
        <f t="shared" si="218"/>
        <v>0</v>
      </c>
      <c r="K967" s="259">
        <f t="shared" si="219"/>
        <v>2.975189846</v>
      </c>
      <c r="L967" s="259">
        <f t="shared" si="220"/>
        <v>2.975189846</v>
      </c>
      <c r="M967" s="259">
        <f t="shared" si="221"/>
        <v>0</v>
      </c>
      <c r="N967" s="259">
        <f t="shared" si="222"/>
        <v>11.90075938</v>
      </c>
      <c r="O967" s="259">
        <f t="shared" si="223"/>
        <v>11.90075938</v>
      </c>
      <c r="P967" s="260">
        <f t="shared" si="2"/>
        <v>0.000009309657489</v>
      </c>
    </row>
    <row r="968">
      <c r="A968" s="253" t="s">
        <v>1185</v>
      </c>
      <c r="B968" s="254">
        <v>3908.0</v>
      </c>
      <c r="C968" s="255" t="str">
        <f t="shared" si="217"/>
        <v>SINAPI</v>
      </c>
      <c r="D968" s="256" t="s">
        <v>286</v>
      </c>
      <c r="E968" s="257" t="str">
        <f>IFERROR(IF(D968="SINAPI-S",VLOOKUP(B968,'20-B.SINAPI-S'!A:J,2,0),IF(D968="SINAPI-I",VLOOKUP(B968,'20-A.SINAPI-I'!A:G,2,0),IF(D968="COMPOSIÇÕES",VLOOKUP(B968,'11.COMPOSIÇÕES GERAIS'!B:I,2,0),VLOOKUP(B968,'12.COT.MERCADO'!A:I,2,0)))),"Em Elaboração")</f>
        <v>LUVA DE FERRO GALVANIZADO, COM ROSCA BSP, DE 1/2"</v>
      </c>
      <c r="F968" s="258" t="str">
        <f>IFERROR(IF(D968="SINAPI-S",VLOOKUP(B968,'20-B.SINAPI-S'!A:J,3,0),IF(D968="SINAPI-I",VLOOKUP(B968,'20-A.SINAPI-I'!A:G,3,0),IF(D968="COMPOSIÇÕES",VLOOKUP(B968,'11.COMPOSIÇÕES GERAIS'!B:I,3,0),VLOOKUP(B968,'12.COT.MERCADO'!A:I,7,0)))),"Em Elaboração")</f>
        <v>UN</v>
      </c>
      <c r="G968" s="254">
        <v>4.0</v>
      </c>
      <c r="H968" s="259">
        <f>IFERROR(IF(D968="SINAPI-S",VLOOKUP(B968,'20-B.SINAPI-S'!A:J,5,0),IF(D968="SINAPI-I",VLOOKUP(B968,'20-A.SINAPI-I'!A:G,6,0),IF(D968="COMPOSIÇÕES",VLOOKUP(B968,'11.COMPOSIÇÕES GERAIS'!B:I,7,0),0))),"Em Elaboração")</f>
        <v>0</v>
      </c>
      <c r="I968" s="259">
        <f>IFERROR(IF(D968="SINAPI-S",VLOOKUP(B968,'20-B.SINAPI-S'!A:J,6,0),IF(D968="SINAPI-I",VLOOKUP(B968,'20-A.SINAPI-I'!A:G,7,0),IF(D968="COMPOSIÇÕES",VLOOKUP(B968,'11.COMPOSIÇÕES GERAIS'!B:I,8,0),VLOOKUP(B968,'12.COT.MERCADO'!A:I,8,0)))),"Em Elaboração")</f>
        <v>6.61</v>
      </c>
      <c r="J968" s="259">
        <f t="shared" si="218"/>
        <v>0</v>
      </c>
      <c r="K968" s="259">
        <f t="shared" si="219"/>
        <v>7.742521608</v>
      </c>
      <c r="L968" s="259">
        <f t="shared" si="220"/>
        <v>7.742521608</v>
      </c>
      <c r="M968" s="259">
        <f t="shared" si="221"/>
        <v>0</v>
      </c>
      <c r="N968" s="259">
        <f t="shared" si="222"/>
        <v>30.97008643</v>
      </c>
      <c r="O968" s="259">
        <f t="shared" si="223"/>
        <v>30.97008643</v>
      </c>
      <c r="P968" s="260">
        <f t="shared" si="2"/>
        <v>0.00002422710079</v>
      </c>
    </row>
    <row r="969">
      <c r="A969" s="253" t="s">
        <v>1186</v>
      </c>
      <c r="B969" s="254">
        <v>12404.0</v>
      </c>
      <c r="C969" s="255" t="str">
        <f t="shared" si="217"/>
        <v>SINAPI</v>
      </c>
      <c r="D969" s="256" t="s">
        <v>286</v>
      </c>
      <c r="E969" s="257" t="str">
        <f>IFERROR(IF(D969="SINAPI-S",VLOOKUP(B969,'20-B.SINAPI-S'!A:J,2,0),IF(D969="SINAPI-I",VLOOKUP(B969,'20-A.SINAPI-I'!A:G,2,0),IF(D969="COMPOSIÇÕES",VLOOKUP(B969,'11.COMPOSIÇÕES GERAIS'!B:I,2,0),VLOOKUP(B969,'12.COT.MERCADO'!A:I,2,0)))),"Em Elaboração")</f>
        <v>LUVA DE FERRO GALVANIZADO, COM ROSCA BSP MACHO/FEMEA, DE 3/4"</v>
      </c>
      <c r="F969" s="258" t="str">
        <f>IFERROR(IF(D969="SINAPI-S",VLOOKUP(B969,'20-B.SINAPI-S'!A:J,3,0),IF(D969="SINAPI-I",VLOOKUP(B969,'20-A.SINAPI-I'!A:G,3,0),IF(D969="COMPOSIÇÕES",VLOOKUP(B969,'11.COMPOSIÇÕES GERAIS'!B:I,3,0),VLOOKUP(B969,'12.COT.MERCADO'!A:I,7,0)))),"Em Elaboração")</f>
        <v>UN</v>
      </c>
      <c r="G969" s="254">
        <v>4.0</v>
      </c>
      <c r="H969" s="259">
        <f>IFERROR(IF(D969="SINAPI-S",VLOOKUP(B969,'20-B.SINAPI-S'!A:J,5,0),IF(D969="SINAPI-I",VLOOKUP(B969,'20-A.SINAPI-I'!A:G,6,0),IF(D969="COMPOSIÇÕES",VLOOKUP(B969,'11.COMPOSIÇÕES GERAIS'!B:I,7,0),0))),"Em Elaboração")</f>
        <v>0</v>
      </c>
      <c r="I969" s="259">
        <f>IFERROR(IF(D969="SINAPI-S",VLOOKUP(B969,'20-B.SINAPI-S'!A:J,6,0),IF(D969="SINAPI-I",VLOOKUP(B969,'20-A.SINAPI-I'!A:G,7,0),IF(D969="COMPOSIÇÕES",VLOOKUP(B969,'11.COMPOSIÇÕES GERAIS'!B:I,8,0),VLOOKUP(B969,'12.COT.MERCADO'!A:I,8,0)))),"Em Elaboração")</f>
        <v>12.14</v>
      </c>
      <c r="J969" s="259">
        <f t="shared" si="218"/>
        <v>0</v>
      </c>
      <c r="K969" s="259">
        <f t="shared" si="219"/>
        <v>14.22000186</v>
      </c>
      <c r="L969" s="259">
        <f t="shared" si="220"/>
        <v>14.22000186</v>
      </c>
      <c r="M969" s="259">
        <f t="shared" si="221"/>
        <v>0</v>
      </c>
      <c r="N969" s="259">
        <f t="shared" si="222"/>
        <v>56.88000745</v>
      </c>
      <c r="O969" s="259">
        <f t="shared" si="223"/>
        <v>56.88000745</v>
      </c>
      <c r="P969" s="260">
        <f t="shared" si="2"/>
        <v>0.00004449576453</v>
      </c>
    </row>
    <row r="970">
      <c r="A970" s="253" t="s">
        <v>1187</v>
      </c>
      <c r="B970" s="254">
        <v>3925.0</v>
      </c>
      <c r="C970" s="255" t="str">
        <f t="shared" si="217"/>
        <v>SINAPI</v>
      </c>
      <c r="D970" s="256" t="s">
        <v>286</v>
      </c>
      <c r="E970" s="257" t="str">
        <f>IFERROR(IF(D970="SINAPI-S",VLOOKUP(B970,'20-B.SINAPI-S'!A:J,2,0),IF(D970="SINAPI-I",VLOOKUP(B970,'20-A.SINAPI-I'!A:G,2,0),IF(D970="COMPOSIÇÕES",VLOOKUP(B970,'11.COMPOSIÇÕES GERAIS'!B:I,2,0),VLOOKUP(B970,'12.COT.MERCADO'!A:I,2,0)))),"Em Elaboração")</f>
        <v>LUVA DE REDUCAO DE FERRO GALVANIZADO, COM ROSCA BSP, DE 2" X 1"</v>
      </c>
      <c r="F970" s="258" t="str">
        <f>IFERROR(IF(D970="SINAPI-S",VLOOKUP(B970,'20-B.SINAPI-S'!A:J,3,0),IF(D970="SINAPI-I",VLOOKUP(B970,'20-A.SINAPI-I'!A:G,3,0),IF(D970="COMPOSIÇÕES",VLOOKUP(B970,'11.COMPOSIÇÕES GERAIS'!B:I,3,0),VLOOKUP(B970,'12.COT.MERCADO'!A:I,7,0)))),"Em Elaboração")</f>
        <v>UN</v>
      </c>
      <c r="G970" s="254">
        <v>1.0</v>
      </c>
      <c r="H970" s="259">
        <f>IFERROR(IF(D970="SINAPI-S",VLOOKUP(B970,'20-B.SINAPI-S'!A:J,5,0),IF(D970="SINAPI-I",VLOOKUP(B970,'20-A.SINAPI-I'!A:G,6,0),IF(D970="COMPOSIÇÕES",VLOOKUP(B970,'11.COMPOSIÇÕES GERAIS'!B:I,7,0),0))),"Em Elaboração")</f>
        <v>0</v>
      </c>
      <c r="I970" s="259">
        <f>IFERROR(IF(D970="SINAPI-S",VLOOKUP(B970,'20-B.SINAPI-S'!A:J,6,0),IF(D970="SINAPI-I",VLOOKUP(B970,'20-A.SINAPI-I'!A:G,7,0),IF(D970="COMPOSIÇÕES",VLOOKUP(B970,'11.COMPOSIÇÕES GERAIS'!B:I,8,0),VLOOKUP(B970,'12.COT.MERCADO'!A:I,8,0)))),"Em Elaboração")</f>
        <v>42.53</v>
      </c>
      <c r="J970" s="259">
        <f t="shared" si="218"/>
        <v>0</v>
      </c>
      <c r="K970" s="259">
        <f t="shared" si="219"/>
        <v>49.81685991</v>
      </c>
      <c r="L970" s="259">
        <f t="shared" si="220"/>
        <v>49.81685991</v>
      </c>
      <c r="M970" s="259">
        <f t="shared" si="221"/>
        <v>0</v>
      </c>
      <c r="N970" s="259">
        <f t="shared" si="222"/>
        <v>49.81685991</v>
      </c>
      <c r="O970" s="259">
        <f t="shared" si="223"/>
        <v>49.81685991</v>
      </c>
      <c r="P970" s="260">
        <f t="shared" si="2"/>
        <v>0.00003897044616</v>
      </c>
    </row>
    <row r="971">
      <c r="A971" s="253" t="s">
        <v>1188</v>
      </c>
      <c r="B971" s="254">
        <v>12410.0</v>
      </c>
      <c r="C971" s="255" t="str">
        <f t="shared" si="217"/>
        <v>SINAPI</v>
      </c>
      <c r="D971" s="256" t="s">
        <v>286</v>
      </c>
      <c r="E971" s="257" t="str">
        <f>IFERROR(IF(D971="SINAPI-S",VLOOKUP(B971,'20-B.SINAPI-S'!A:J,2,0),IF(D971="SINAPI-I",VLOOKUP(B971,'20-A.SINAPI-I'!A:G,2,0),IF(D971="COMPOSIÇÕES",VLOOKUP(B971,'11.COMPOSIÇÕES GERAIS'!B:I,2,0),VLOOKUP(B971,'12.COT.MERCADO'!A:I,2,0)))),"Em Elaboração")</f>
        <v>LUVA DE REDUCAO DE FERRO GALVANIZADO, COM ROSCA BSP MACHO/FEMEA, DE 3/4" X 1/2"</v>
      </c>
      <c r="F971" s="258" t="str">
        <f>IFERROR(IF(D971="SINAPI-S",VLOOKUP(B971,'20-B.SINAPI-S'!A:J,3,0),IF(D971="SINAPI-I",VLOOKUP(B971,'20-A.SINAPI-I'!A:G,3,0),IF(D971="COMPOSIÇÕES",VLOOKUP(B971,'11.COMPOSIÇÕES GERAIS'!B:I,3,0),VLOOKUP(B971,'12.COT.MERCADO'!A:I,7,0)))),"Em Elaboração")</f>
        <v>UN</v>
      </c>
      <c r="G971" s="254">
        <v>4.0</v>
      </c>
      <c r="H971" s="259">
        <f>IFERROR(IF(D971="SINAPI-S",VLOOKUP(B971,'20-B.SINAPI-S'!A:J,5,0),IF(D971="SINAPI-I",VLOOKUP(B971,'20-A.SINAPI-I'!A:G,6,0),IF(D971="COMPOSIÇÕES",VLOOKUP(B971,'11.COMPOSIÇÕES GERAIS'!B:I,7,0),0))),"Em Elaboração")</f>
        <v>0</v>
      </c>
      <c r="I971" s="259">
        <f>IFERROR(IF(D971="SINAPI-S",VLOOKUP(B971,'20-B.SINAPI-S'!A:J,6,0),IF(D971="SINAPI-I",VLOOKUP(B971,'20-A.SINAPI-I'!A:G,7,0),IF(D971="COMPOSIÇÕES",VLOOKUP(B971,'11.COMPOSIÇÕES GERAIS'!B:I,8,0),VLOOKUP(B971,'12.COT.MERCADO'!A:I,8,0)))),"Em Elaboração")</f>
        <v>14.7</v>
      </c>
      <c r="J971" s="259">
        <f t="shared" si="218"/>
        <v>0</v>
      </c>
      <c r="K971" s="259">
        <f t="shared" si="219"/>
        <v>17.2186184</v>
      </c>
      <c r="L971" s="259">
        <f t="shared" si="220"/>
        <v>17.2186184</v>
      </c>
      <c r="M971" s="259">
        <f t="shared" si="221"/>
        <v>0</v>
      </c>
      <c r="N971" s="259">
        <f t="shared" si="222"/>
        <v>68.87447361</v>
      </c>
      <c r="O971" s="259">
        <f t="shared" si="223"/>
        <v>68.87447361</v>
      </c>
      <c r="P971" s="260">
        <f t="shared" si="2"/>
        <v>0.00005387872641</v>
      </c>
    </row>
    <row r="972">
      <c r="A972" s="253" t="s">
        <v>1189</v>
      </c>
      <c r="B972" s="254">
        <v>6016.0</v>
      </c>
      <c r="C972" s="255" t="str">
        <f t="shared" si="217"/>
        <v>SINAPI</v>
      </c>
      <c r="D972" s="256" t="s">
        <v>286</v>
      </c>
      <c r="E972" s="257" t="str">
        <f>IFERROR(IF(D972="SINAPI-S",VLOOKUP(B972,'20-B.SINAPI-S'!A:J,2,0),IF(D972="SINAPI-I",VLOOKUP(B972,'20-A.SINAPI-I'!A:G,2,0),IF(D972="COMPOSIÇÕES",VLOOKUP(B972,'11.COMPOSIÇÕES GERAIS'!B:I,2,0),VLOOKUP(B972,'12.COT.MERCADO'!A:I,2,0)))),"Em Elaboração")</f>
        <v>REGISTRO GAVETA BRUTO EM LATAO FORJADO, BITOLA 3/4 " (REF 1509)</v>
      </c>
      <c r="F972" s="258" t="str">
        <f>IFERROR(IF(D972="SINAPI-S",VLOOKUP(B972,'20-B.SINAPI-S'!A:J,3,0),IF(D972="SINAPI-I",VLOOKUP(B972,'20-A.SINAPI-I'!A:G,3,0),IF(D972="COMPOSIÇÕES",VLOOKUP(B972,'11.COMPOSIÇÕES GERAIS'!B:I,3,0),VLOOKUP(B972,'12.COT.MERCADO'!A:I,7,0)))),"Em Elaboração")</f>
        <v>UN</v>
      </c>
      <c r="G972" s="254">
        <v>3.0</v>
      </c>
      <c r="H972" s="259">
        <f>IFERROR(IF(D972="SINAPI-S",VLOOKUP(B972,'20-B.SINAPI-S'!A:J,5,0),IF(D972="SINAPI-I",VLOOKUP(B972,'20-A.SINAPI-I'!A:G,6,0),IF(D972="COMPOSIÇÕES",VLOOKUP(B972,'11.COMPOSIÇÕES GERAIS'!B:I,7,0),0))),"Em Elaboração")</f>
        <v>0</v>
      </c>
      <c r="I972" s="259">
        <f>IFERROR(IF(D972="SINAPI-S",VLOOKUP(B972,'20-B.SINAPI-S'!A:J,6,0),IF(D972="SINAPI-I",VLOOKUP(B972,'20-A.SINAPI-I'!A:G,7,0),IF(D972="COMPOSIÇÕES",VLOOKUP(B972,'11.COMPOSIÇÕES GERAIS'!B:I,8,0),VLOOKUP(B972,'12.COT.MERCADO'!A:I,8,0)))),"Em Elaboração")</f>
        <v>38.51</v>
      </c>
      <c r="J972" s="259">
        <f t="shared" si="218"/>
        <v>0</v>
      </c>
      <c r="K972" s="259">
        <f t="shared" si="219"/>
        <v>45.10809487</v>
      </c>
      <c r="L972" s="259">
        <f t="shared" si="220"/>
        <v>45.10809487</v>
      </c>
      <c r="M972" s="259">
        <f t="shared" si="221"/>
        <v>0</v>
      </c>
      <c r="N972" s="259">
        <f t="shared" si="222"/>
        <v>135.3242846</v>
      </c>
      <c r="O972" s="259">
        <f t="shared" si="223"/>
        <v>135.3242846</v>
      </c>
      <c r="P972" s="260">
        <f t="shared" si="2"/>
        <v>0.0001058607017</v>
      </c>
    </row>
    <row r="973">
      <c r="A973" s="253" t="s">
        <v>1190</v>
      </c>
      <c r="B973" s="254">
        <v>4177.0</v>
      </c>
      <c r="C973" s="255" t="str">
        <f t="shared" si="217"/>
        <v>SINAPI</v>
      </c>
      <c r="D973" s="256" t="s">
        <v>286</v>
      </c>
      <c r="E973" s="257" t="str">
        <f>IFERROR(IF(D973="SINAPI-S",VLOOKUP(B973,'20-B.SINAPI-S'!A:J,2,0),IF(D973="SINAPI-I",VLOOKUP(B973,'20-A.SINAPI-I'!A:G,2,0),IF(D973="COMPOSIÇÕES",VLOOKUP(B973,'11.COMPOSIÇÕES GERAIS'!B:I,2,0),VLOOKUP(B973,'12.COT.MERCADO'!A:I,2,0)))),"Em Elaboração")</f>
        <v>NIPLE DE FERRO GALVANIZADO, COM ROSCA BSP, DE 1/2"</v>
      </c>
      <c r="F973" s="258" t="str">
        <f>IFERROR(IF(D973="SINAPI-S",VLOOKUP(B973,'20-B.SINAPI-S'!A:J,3,0),IF(D973="SINAPI-I",VLOOKUP(B973,'20-A.SINAPI-I'!A:G,3,0),IF(D973="COMPOSIÇÕES",VLOOKUP(B973,'11.COMPOSIÇÕES GERAIS'!B:I,3,0),VLOOKUP(B973,'12.COT.MERCADO'!A:I,7,0)))),"Em Elaboração")</f>
        <v>UN</v>
      </c>
      <c r="G973" s="254">
        <v>4.0</v>
      </c>
      <c r="H973" s="259">
        <f>IFERROR(IF(D973="SINAPI-S",VLOOKUP(B973,'20-B.SINAPI-S'!A:J,5,0),IF(D973="SINAPI-I",VLOOKUP(B973,'20-A.SINAPI-I'!A:G,6,0),IF(D973="COMPOSIÇÕES",VLOOKUP(B973,'11.COMPOSIÇÕES GERAIS'!B:I,7,0),0))),"Em Elaboração")</f>
        <v>0</v>
      </c>
      <c r="I973" s="259">
        <f>IFERROR(IF(D973="SINAPI-S",VLOOKUP(B973,'20-B.SINAPI-S'!A:J,6,0),IF(D973="SINAPI-I",VLOOKUP(B973,'20-A.SINAPI-I'!A:G,7,0),IF(D973="COMPOSIÇÕES",VLOOKUP(B973,'11.COMPOSIÇÕES GERAIS'!B:I,8,0),VLOOKUP(B973,'12.COT.MERCADO'!A:I,8,0)))),"Em Elaboração")</f>
        <v>6.16</v>
      </c>
      <c r="J973" s="259">
        <f t="shared" si="218"/>
        <v>0</v>
      </c>
      <c r="K973" s="259">
        <f t="shared" si="219"/>
        <v>7.215421044</v>
      </c>
      <c r="L973" s="259">
        <f t="shared" si="220"/>
        <v>7.215421044</v>
      </c>
      <c r="M973" s="259">
        <f t="shared" si="221"/>
        <v>0</v>
      </c>
      <c r="N973" s="259">
        <f t="shared" si="222"/>
        <v>28.86168418</v>
      </c>
      <c r="O973" s="259">
        <f t="shared" si="223"/>
        <v>28.86168418</v>
      </c>
      <c r="P973" s="260">
        <f t="shared" si="2"/>
        <v>0.00002257775202</v>
      </c>
    </row>
    <row r="974">
      <c r="A974" s="253" t="s">
        <v>1191</v>
      </c>
      <c r="B974" s="254">
        <v>4178.0</v>
      </c>
      <c r="C974" s="255" t="str">
        <f t="shared" si="217"/>
        <v>SINAPI</v>
      </c>
      <c r="D974" s="256" t="s">
        <v>286</v>
      </c>
      <c r="E974" s="257" t="str">
        <f>IFERROR(IF(D974="SINAPI-S",VLOOKUP(B974,'20-B.SINAPI-S'!A:J,2,0),IF(D974="SINAPI-I",VLOOKUP(B974,'20-A.SINAPI-I'!A:G,2,0),IF(D974="COMPOSIÇÕES",VLOOKUP(B974,'11.COMPOSIÇÕES GERAIS'!B:I,2,0),VLOOKUP(B974,'12.COT.MERCADO'!A:I,2,0)))),"Em Elaboração")</f>
        <v>NIPLE DE FERRO GALVANIZADO, COM ROSCA BSP, DE 3/4"</v>
      </c>
      <c r="F974" s="258" t="str">
        <f>IFERROR(IF(D974="SINAPI-S",VLOOKUP(B974,'20-B.SINAPI-S'!A:J,3,0),IF(D974="SINAPI-I",VLOOKUP(B974,'20-A.SINAPI-I'!A:G,3,0),IF(D974="COMPOSIÇÕES",VLOOKUP(B974,'11.COMPOSIÇÕES GERAIS'!B:I,3,0),VLOOKUP(B974,'12.COT.MERCADO'!A:I,7,0)))),"Em Elaboração")</f>
        <v>UN</v>
      </c>
      <c r="G974" s="254">
        <v>4.0</v>
      </c>
      <c r="H974" s="259">
        <f>IFERROR(IF(D974="SINAPI-S",VLOOKUP(B974,'20-B.SINAPI-S'!A:J,5,0),IF(D974="SINAPI-I",VLOOKUP(B974,'20-A.SINAPI-I'!A:G,6,0),IF(D974="COMPOSIÇÕES",VLOOKUP(B974,'11.COMPOSIÇÕES GERAIS'!B:I,7,0),0))),"Em Elaboração")</f>
        <v>0</v>
      </c>
      <c r="I974" s="259">
        <f>IFERROR(IF(D974="SINAPI-S",VLOOKUP(B974,'20-B.SINAPI-S'!A:J,6,0),IF(D974="SINAPI-I",VLOOKUP(B974,'20-A.SINAPI-I'!A:G,7,0),IF(D974="COMPOSIÇÕES",VLOOKUP(B974,'11.COMPOSIÇÕES GERAIS'!B:I,8,0),VLOOKUP(B974,'12.COT.MERCADO'!A:I,8,0)))),"Em Elaboração")</f>
        <v>8.54</v>
      </c>
      <c r="J974" s="259">
        <f t="shared" si="218"/>
        <v>0</v>
      </c>
      <c r="K974" s="259">
        <f t="shared" si="219"/>
        <v>10.00319736</v>
      </c>
      <c r="L974" s="259">
        <f t="shared" si="220"/>
        <v>10.00319736</v>
      </c>
      <c r="M974" s="259">
        <f t="shared" si="221"/>
        <v>0</v>
      </c>
      <c r="N974" s="259">
        <f t="shared" si="222"/>
        <v>40.01278943</v>
      </c>
      <c r="O974" s="259">
        <f t="shared" si="223"/>
        <v>40.01278943</v>
      </c>
      <c r="P974" s="260">
        <f t="shared" si="2"/>
        <v>0.00003130097439</v>
      </c>
    </row>
    <row r="975">
      <c r="A975" s="253" t="s">
        <v>1192</v>
      </c>
      <c r="B975" s="254">
        <v>4209.0</v>
      </c>
      <c r="C975" s="255" t="str">
        <f t="shared" si="217"/>
        <v>SINAPI</v>
      </c>
      <c r="D975" s="256" t="s">
        <v>286</v>
      </c>
      <c r="E975" s="257" t="str">
        <f>IFERROR(IF(D975="SINAPI-S",VLOOKUP(B975,'20-B.SINAPI-S'!A:J,2,0),IF(D975="SINAPI-I",VLOOKUP(B975,'20-A.SINAPI-I'!A:G,2,0),IF(D975="COMPOSIÇÕES",VLOOKUP(B975,'11.COMPOSIÇÕES GERAIS'!B:I,2,0),VLOOKUP(B975,'12.COT.MERCADO'!A:I,2,0)))),"Em Elaboração")</f>
        <v>NIPLE DE FERRO GALVANIZADO, COM ROSCA BSP, DE 1 1/2"</v>
      </c>
      <c r="F975" s="258" t="str">
        <f>IFERROR(IF(D975="SINAPI-S",VLOOKUP(B975,'20-B.SINAPI-S'!A:J,3,0),IF(D975="SINAPI-I",VLOOKUP(B975,'20-A.SINAPI-I'!A:G,3,0),IF(D975="COMPOSIÇÕES",VLOOKUP(B975,'11.COMPOSIÇÕES GERAIS'!B:I,3,0),VLOOKUP(B975,'12.COT.MERCADO'!A:I,7,0)))),"Em Elaboração")</f>
        <v>UN</v>
      </c>
      <c r="G975" s="254">
        <v>1.0</v>
      </c>
      <c r="H975" s="259">
        <f>IFERROR(IF(D975="SINAPI-S",VLOOKUP(B975,'20-B.SINAPI-S'!A:J,5,0),IF(D975="SINAPI-I",VLOOKUP(B975,'20-A.SINAPI-I'!A:G,6,0),IF(D975="COMPOSIÇÕES",VLOOKUP(B975,'11.COMPOSIÇÕES GERAIS'!B:I,7,0),0))),"Em Elaboração")</f>
        <v>0</v>
      </c>
      <c r="I975" s="259">
        <f>IFERROR(IF(D975="SINAPI-S",VLOOKUP(B975,'20-B.SINAPI-S'!A:J,6,0),IF(D975="SINAPI-I",VLOOKUP(B975,'20-A.SINAPI-I'!A:G,7,0),IF(D975="COMPOSIÇÕES",VLOOKUP(B975,'11.COMPOSIÇÕES GERAIS'!B:I,8,0),VLOOKUP(B975,'12.COT.MERCADO'!A:I,8,0)))),"Em Elaboração")</f>
        <v>24.64</v>
      </c>
      <c r="J975" s="259">
        <f t="shared" si="218"/>
        <v>0</v>
      </c>
      <c r="K975" s="259">
        <f t="shared" si="219"/>
        <v>28.86168418</v>
      </c>
      <c r="L975" s="259">
        <f t="shared" si="220"/>
        <v>28.86168418</v>
      </c>
      <c r="M975" s="259">
        <f t="shared" si="221"/>
        <v>0</v>
      </c>
      <c r="N975" s="259">
        <f t="shared" si="222"/>
        <v>28.86168418</v>
      </c>
      <c r="O975" s="259">
        <f t="shared" si="223"/>
        <v>28.86168418</v>
      </c>
      <c r="P975" s="260">
        <f t="shared" si="2"/>
        <v>0.00002257775202</v>
      </c>
    </row>
    <row r="976">
      <c r="A976" s="261" t="s">
        <v>1193</v>
      </c>
      <c r="B976" s="262" t="s">
        <v>1194</v>
      </c>
      <c r="C976" s="44"/>
      <c r="D976" s="44"/>
      <c r="E976" s="44"/>
      <c r="F976" s="44"/>
      <c r="G976" s="44"/>
      <c r="H976" s="44"/>
      <c r="I976" s="44"/>
      <c r="J976" s="44"/>
      <c r="K976" s="44"/>
      <c r="L976" s="44"/>
      <c r="M976" s="263">
        <f t="shared" ref="M976:O976" si="224">SUM(M977:M1013)</f>
        <v>0</v>
      </c>
      <c r="N976" s="263">
        <f t="shared" si="224"/>
        <v>14445.00926</v>
      </c>
      <c r="O976" s="263">
        <f t="shared" si="224"/>
        <v>14445.00926</v>
      </c>
      <c r="P976" s="264">
        <f t="shared" si="2"/>
        <v>0.01129995863</v>
      </c>
    </row>
    <row r="977">
      <c r="A977" s="253" t="s">
        <v>1195</v>
      </c>
      <c r="B977" s="254">
        <v>11950.0</v>
      </c>
      <c r="C977" s="255" t="str">
        <f t="shared" ref="C977:C1013" si="225">IF(OR(D977="SINAPI-S",D977="SINAPI-I"),"SINAPI","PRÓPRIO")</f>
        <v>SINAPI</v>
      </c>
      <c r="D977" s="256" t="s">
        <v>286</v>
      </c>
      <c r="E977" s="257" t="str">
        <f>IFERROR(IF(D977="SINAPI-S",VLOOKUP(B977,'20-B.SINAPI-S'!A:J,2,0),IF(D977="SINAPI-I",VLOOKUP(B977,'20-A.SINAPI-I'!A:G,2,0),IF(D977="COMPOSIÇÕES",VLOOKUP(B977,'11.COMPOSIÇÕES GERAIS'!B:I,2,0),VLOOKUP(B977,'12.COT.MERCADO'!A:I,2,0)))),"Em Elaboração")</f>
        <v>BUCHA DE NYLON SEM ABA S6, COM PARAFUSO DE 4,20 X 40 MM EM ACO ZINCADO COM ROSCA SOBERBA, CABECA CHATA E FENDA PHILLIPS</v>
      </c>
      <c r="F977" s="258" t="str">
        <f>IFERROR(IF(D977="SINAPI-S",VLOOKUP(B977,'20-B.SINAPI-S'!A:J,3,0),IF(D977="SINAPI-I",VLOOKUP(B977,'20-A.SINAPI-I'!A:G,3,0),IF(D977="COMPOSIÇÕES",VLOOKUP(B977,'11.COMPOSIÇÕES GERAIS'!B:I,3,0),VLOOKUP(B977,'12.COT.MERCADO'!A:I,7,0)))),"Em Elaboração")</f>
        <v>UN</v>
      </c>
      <c r="G977" s="254">
        <v>1.0</v>
      </c>
      <c r="H977" s="259">
        <f>IFERROR(IF(D977="SINAPI-S",VLOOKUP(B977,'20-B.SINAPI-S'!A:J,5,0),IF(D977="SINAPI-I",VLOOKUP(B977,'20-A.SINAPI-I'!A:G,6,0),IF(D977="COMPOSIÇÕES",VLOOKUP(B977,'11.COMPOSIÇÕES GERAIS'!B:I,7,0),0))),"Em Elaboração")</f>
        <v>0</v>
      </c>
      <c r="I977" s="259">
        <f>IFERROR(IF(D977="SINAPI-S",VLOOKUP(B977,'20-B.SINAPI-S'!A:J,6,0),IF(D977="SINAPI-I",VLOOKUP(B977,'20-A.SINAPI-I'!A:G,7,0),IF(D977="COMPOSIÇÕES",VLOOKUP(B977,'11.COMPOSIÇÕES GERAIS'!B:I,8,0),VLOOKUP(B977,'12.COT.MERCADO'!A:I,8,0)))),"Em Elaboração")</f>
        <v>0.24</v>
      </c>
      <c r="J977" s="259">
        <f t="shared" ref="J977:J1013" si="226">H977*(1+$J$5)</f>
        <v>0</v>
      </c>
      <c r="K977" s="259">
        <f t="shared" ref="K977:K1013" si="227">I977*(1+$J$8)</f>
        <v>0.2811203004</v>
      </c>
      <c r="L977" s="259">
        <f t="shared" ref="L977:L1013" si="228">SUM(J977:K977)</f>
        <v>0.2811203004</v>
      </c>
      <c r="M977" s="259">
        <f t="shared" ref="M977:M1013" si="229">J977*G977</f>
        <v>0</v>
      </c>
      <c r="N977" s="259">
        <f t="shared" ref="N977:N1013" si="230">K977*G977</f>
        <v>0.2811203004</v>
      </c>
      <c r="O977" s="259">
        <f t="shared" ref="O977:O1013" si="231">SUM(M977:N977)</f>
        <v>0.2811203004</v>
      </c>
      <c r="P977" s="260">
        <f t="shared" si="2"/>
        <v>0.000000219913169</v>
      </c>
    </row>
    <row r="978">
      <c r="A978" s="253" t="s">
        <v>1196</v>
      </c>
      <c r="B978" s="254" t="s">
        <v>1197</v>
      </c>
      <c r="C978" s="255" t="str">
        <f t="shared" si="225"/>
        <v>PRÓPRIO</v>
      </c>
      <c r="D978" s="256" t="s">
        <v>110</v>
      </c>
      <c r="E978" s="257" t="str">
        <f>IFERROR(IF(D978="SINAPI-S",VLOOKUP(B978,'20-B.SINAPI-S'!A:J,2,0),IF(D978="SINAPI-I",VLOOKUP(B978,'20-A.SINAPI-I'!A:G,2,0),IF(D978="COMPOSIÇÕES",VLOOKUP(B978,'11.COMPOSIÇÕES GERAIS'!B:I,2,0),VLOOKUP(B978,'12.COT.MERCADO'!A:I,2,0)))),"Em Elaboração")</f>
        <v>Filtro Y de 1.1/2"</v>
      </c>
      <c r="F978" s="258" t="str">
        <f>IFERROR(IF(D978="SINAPI-S",VLOOKUP(B978,'20-B.SINAPI-S'!A:J,3,0),IF(D978="SINAPI-I",VLOOKUP(B978,'20-A.SINAPI-I'!A:G,3,0),IF(D978="COMPOSIÇÕES",VLOOKUP(B978,'11.COMPOSIÇÕES GERAIS'!B:I,3,0),VLOOKUP(B978,'12.COT.MERCADO'!A:I,7,0)))),"Em Elaboração")</f>
        <v>UN </v>
      </c>
      <c r="G978" s="254">
        <v>1.0</v>
      </c>
      <c r="H978" s="259">
        <f>IFERROR(IF(D978="SINAPI-S",VLOOKUP(B978,'20-B.SINAPI-S'!A:J,5,0),IF(D978="SINAPI-I",VLOOKUP(B978,'20-A.SINAPI-I'!A:G,6,0),IF(D978="COMPOSIÇÕES",VLOOKUP(B978,'11.COMPOSIÇÕES GERAIS'!B:I,7,0),0))),"Em Elaboração")</f>
        <v>0</v>
      </c>
      <c r="I978" s="259">
        <f>IFERROR(IF(D978="SINAPI-S",VLOOKUP(B978,'20-B.SINAPI-S'!A:J,6,0),IF(D978="SINAPI-I",VLOOKUP(B978,'20-A.SINAPI-I'!A:G,7,0),IF(D978="COMPOSIÇÕES",VLOOKUP(B978,'11.COMPOSIÇÕES GERAIS'!B:I,8,0),VLOOKUP(B978,'12.COT.MERCADO'!A:I,8,0)))),"Em Elaboração")</f>
        <v>279.95</v>
      </c>
      <c r="J978" s="259">
        <f t="shared" si="226"/>
        <v>0</v>
      </c>
      <c r="K978" s="259">
        <f t="shared" si="227"/>
        <v>327.9151171</v>
      </c>
      <c r="L978" s="259">
        <f t="shared" si="228"/>
        <v>327.9151171</v>
      </c>
      <c r="M978" s="259">
        <f t="shared" si="229"/>
        <v>0</v>
      </c>
      <c r="N978" s="259">
        <f t="shared" si="230"/>
        <v>327.9151171</v>
      </c>
      <c r="O978" s="259">
        <f t="shared" si="231"/>
        <v>327.9151171</v>
      </c>
      <c r="P978" s="260">
        <f t="shared" si="2"/>
        <v>0.0002565195486</v>
      </c>
    </row>
    <row r="979">
      <c r="A979" s="253" t="s">
        <v>1198</v>
      </c>
      <c r="B979" s="254" t="s">
        <v>1199</v>
      </c>
      <c r="C979" s="255" t="str">
        <f t="shared" si="225"/>
        <v>PRÓPRIO</v>
      </c>
      <c r="D979" s="256" t="s">
        <v>110</v>
      </c>
      <c r="E979" s="257" t="str">
        <f>IFERROR(IF(D979="SINAPI-S",VLOOKUP(B979,'20-B.SINAPI-S'!A:J,2,0),IF(D979="SINAPI-I",VLOOKUP(B979,'20-A.SINAPI-I'!A:G,2,0),IF(D979="COMPOSIÇÕES",VLOOKUP(B979,'11.COMPOSIÇÕES GERAIS'!B:I,2,0),VLOOKUP(B979,'12.COT.MERCADO'!A:I,2,0)))),"Em Elaboração")</f>
        <v>Proteção Mecânica do isolamento, em alumínio liso espessUrí 0,5mm - 15M²</v>
      </c>
      <c r="F979" s="258" t="str">
        <f>IFERROR(IF(D979="SINAPI-S",VLOOKUP(B979,'20-B.SINAPI-S'!A:J,3,0),IF(D979="SINAPI-I",VLOOKUP(B979,'20-A.SINAPI-I'!A:G,3,0),IF(D979="COMPOSIÇÕES",VLOOKUP(B979,'11.COMPOSIÇÕES GERAIS'!B:I,3,0),VLOOKUP(B979,'12.COT.MERCADO'!A:I,7,0)))),"Em Elaboração")</f>
        <v>UN </v>
      </c>
      <c r="G979" s="254">
        <v>1.0</v>
      </c>
      <c r="H979" s="259">
        <f>IFERROR(IF(D979="SINAPI-S",VLOOKUP(B979,'20-B.SINAPI-S'!A:J,5,0),IF(D979="SINAPI-I",VLOOKUP(B979,'20-A.SINAPI-I'!A:G,6,0),IF(D979="COMPOSIÇÕES",VLOOKUP(B979,'11.COMPOSIÇÕES GERAIS'!B:I,7,0),0))),"Em Elaboração")</f>
        <v>0</v>
      </c>
      <c r="I979" s="259">
        <f>IFERROR(IF(D979="SINAPI-S",VLOOKUP(B979,'20-B.SINAPI-S'!A:J,6,0),IF(D979="SINAPI-I",VLOOKUP(B979,'20-A.SINAPI-I'!A:G,7,0),IF(D979="COMPOSIÇÕES",VLOOKUP(B979,'11.COMPOSIÇÕES GERAIS'!B:I,8,0),VLOOKUP(B979,'12.COT.MERCADO'!A:I,8,0)))),"Em Elaboração")</f>
        <v>946.5</v>
      </c>
      <c r="J979" s="259">
        <f t="shared" si="226"/>
        <v>0</v>
      </c>
      <c r="K979" s="259">
        <f t="shared" si="227"/>
        <v>1108.668185</v>
      </c>
      <c r="L979" s="259">
        <f t="shared" si="228"/>
        <v>1108.668185</v>
      </c>
      <c r="M979" s="259">
        <f t="shared" si="229"/>
        <v>0</v>
      </c>
      <c r="N979" s="259">
        <f t="shared" si="230"/>
        <v>1108.668185</v>
      </c>
      <c r="O979" s="259">
        <f t="shared" si="231"/>
        <v>1108.668185</v>
      </c>
      <c r="P979" s="260">
        <f t="shared" si="2"/>
        <v>0.0008672825604</v>
      </c>
    </row>
    <row r="980">
      <c r="A980" s="253" t="s">
        <v>1200</v>
      </c>
      <c r="B980" s="254" t="s">
        <v>1201</v>
      </c>
      <c r="C980" s="255" t="str">
        <f t="shared" si="225"/>
        <v>PRÓPRIO</v>
      </c>
      <c r="D980" s="256" t="s">
        <v>110</v>
      </c>
      <c r="E980" s="257" t="str">
        <f>IFERROR(IF(D980="SINAPI-S",VLOOKUP(B980,'20-B.SINAPI-S'!A:J,2,0),IF(D980="SINAPI-I",VLOOKUP(B980,'20-A.SINAPI-I'!A:G,2,0),IF(D980="COMPOSIÇÕES",VLOOKUP(B980,'11.COMPOSIÇÕES GERAIS'!B:I,2,0),VLOOKUP(B980,'12.COT.MERCADO'!A:I,2,0)))),"Em Elaboração")</f>
        <v>Nitrogênio</v>
      </c>
      <c r="F980" s="258" t="str">
        <f>IFERROR(IF(D980="SINAPI-S",VLOOKUP(B980,'20-B.SINAPI-S'!A:J,3,0),IF(D980="SINAPI-I",VLOOKUP(B980,'20-A.SINAPI-I'!A:G,3,0),IF(D980="COMPOSIÇÕES",VLOOKUP(B980,'11.COMPOSIÇÕES GERAIS'!B:I,3,0),VLOOKUP(B980,'12.COT.MERCADO'!A:I,7,0)))),"Em Elaboração")</f>
        <v>M³ </v>
      </c>
      <c r="G980" s="254">
        <v>1.0</v>
      </c>
      <c r="H980" s="259">
        <f>IFERROR(IF(D980="SINAPI-S",VLOOKUP(B980,'20-B.SINAPI-S'!A:J,5,0),IF(D980="SINAPI-I",VLOOKUP(B980,'20-A.SINAPI-I'!A:G,6,0),IF(D980="COMPOSIÇÕES",VLOOKUP(B980,'11.COMPOSIÇÕES GERAIS'!B:I,7,0),0))),"Em Elaboração")</f>
        <v>0</v>
      </c>
      <c r="I980" s="259">
        <f>IFERROR(IF(D980="SINAPI-S",VLOOKUP(B980,'20-B.SINAPI-S'!A:J,6,0),IF(D980="SINAPI-I",VLOOKUP(B980,'20-A.SINAPI-I'!A:G,7,0),IF(D980="COMPOSIÇÕES",VLOOKUP(B980,'11.COMPOSIÇÕES GERAIS'!B:I,8,0),VLOOKUP(B980,'12.COT.MERCADO'!A:I,8,0)))),"Em Elaboração")</f>
        <v>70</v>
      </c>
      <c r="J980" s="259">
        <f t="shared" si="226"/>
        <v>0</v>
      </c>
      <c r="K980" s="259">
        <f t="shared" si="227"/>
        <v>81.99342096</v>
      </c>
      <c r="L980" s="259">
        <f t="shared" si="228"/>
        <v>81.99342096</v>
      </c>
      <c r="M980" s="259">
        <f t="shared" si="229"/>
        <v>0</v>
      </c>
      <c r="N980" s="259">
        <f t="shared" si="230"/>
        <v>81.99342096</v>
      </c>
      <c r="O980" s="259">
        <f t="shared" si="231"/>
        <v>81.99342096</v>
      </c>
      <c r="P980" s="260">
        <f t="shared" si="2"/>
        <v>0.00006414134097</v>
      </c>
    </row>
    <row r="981">
      <c r="A981" s="253" t="s">
        <v>1202</v>
      </c>
      <c r="B981" s="254" t="s">
        <v>1203</v>
      </c>
      <c r="C981" s="255" t="str">
        <f t="shared" si="225"/>
        <v>PRÓPRIO</v>
      </c>
      <c r="D981" s="256" t="s">
        <v>110</v>
      </c>
      <c r="E981" s="257" t="str">
        <f>IFERROR(IF(D981="SINAPI-S",VLOOKUP(B981,'20-B.SINAPI-S'!A:J,2,0),IF(D981="SINAPI-I",VLOOKUP(B981,'20-A.SINAPI-I'!A:G,2,0),IF(D981="COMPOSIÇÕES",VLOOKUP(B981,'11.COMPOSIÇÕES GERAIS'!B:I,2,0),VLOOKUP(B981,'12.COT.MERCADO'!A:I,2,0)))),"Em Elaboração")</f>
        <v>Termômetro Capela Reto Conexäo 1/2 BSP  Escala -10 A 50GR</v>
      </c>
      <c r="F981" s="258" t="str">
        <f>IFERROR(IF(D981="SINAPI-S",VLOOKUP(B981,'20-B.SINAPI-S'!A:J,3,0),IF(D981="SINAPI-I",VLOOKUP(B981,'20-A.SINAPI-I'!A:G,3,0),IF(D981="COMPOSIÇÕES",VLOOKUP(B981,'11.COMPOSIÇÕES GERAIS'!B:I,3,0),VLOOKUP(B981,'12.COT.MERCADO'!A:I,7,0)))),"Em Elaboração")</f>
        <v>UN </v>
      </c>
      <c r="G981" s="254">
        <v>1.0</v>
      </c>
      <c r="H981" s="259">
        <f>IFERROR(IF(D981="SINAPI-S",VLOOKUP(B981,'20-B.SINAPI-S'!A:J,5,0),IF(D981="SINAPI-I",VLOOKUP(B981,'20-A.SINAPI-I'!A:G,6,0),IF(D981="COMPOSIÇÕES",VLOOKUP(B981,'11.COMPOSIÇÕES GERAIS'!B:I,7,0),0))),"Em Elaboração")</f>
        <v>0</v>
      </c>
      <c r="I981" s="259">
        <f>IFERROR(IF(D981="SINAPI-S",VLOOKUP(B981,'20-B.SINAPI-S'!A:J,6,0),IF(D981="SINAPI-I",VLOOKUP(B981,'20-A.SINAPI-I'!A:G,7,0),IF(D981="COMPOSIÇÕES",VLOOKUP(B981,'11.COMPOSIÇÕES GERAIS'!B:I,8,0),VLOOKUP(B981,'12.COT.MERCADO'!A:I,8,0)))),"Em Elaboração")</f>
        <v>333.75</v>
      </c>
      <c r="J981" s="259">
        <f t="shared" si="226"/>
        <v>0</v>
      </c>
      <c r="K981" s="259">
        <f t="shared" si="227"/>
        <v>390.9329178</v>
      </c>
      <c r="L981" s="259">
        <f t="shared" si="228"/>
        <v>390.9329178</v>
      </c>
      <c r="M981" s="259">
        <f t="shared" si="229"/>
        <v>0</v>
      </c>
      <c r="N981" s="259">
        <f t="shared" si="230"/>
        <v>390.9329178</v>
      </c>
      <c r="O981" s="259">
        <f t="shared" si="231"/>
        <v>390.9329178</v>
      </c>
      <c r="P981" s="260">
        <f t="shared" si="2"/>
        <v>0.0003058167507</v>
      </c>
    </row>
    <row r="982">
      <c r="A982" s="253" t="s">
        <v>1204</v>
      </c>
      <c r="B982" s="254" t="s">
        <v>1205</v>
      </c>
      <c r="C982" s="255" t="str">
        <f t="shared" si="225"/>
        <v>PRÓPRIO</v>
      </c>
      <c r="D982" s="256" t="s">
        <v>110</v>
      </c>
      <c r="E982" s="257" t="str">
        <f>IFERROR(IF(D982="SINAPI-S",VLOOKUP(B982,'20-B.SINAPI-S'!A:J,2,0),IF(D982="SINAPI-I",VLOOKUP(B982,'20-A.SINAPI-I'!A:G,2,0),IF(D982="COMPOSIÇÕES",VLOOKUP(B982,'11.COMPOSIÇÕES GERAIS'!B:I,2,0),VLOOKUP(B982,'12.COT.MERCADO'!A:I,2,0)))),"Em Elaboração")</f>
        <v>Tubo esponjoso l9mm para revest. de tubo de cobre 5/8", tipo armaftex</v>
      </c>
      <c r="F982" s="258" t="str">
        <f>IFERROR(IF(D982="SINAPI-S",VLOOKUP(B982,'20-B.SINAPI-S'!A:J,3,0),IF(D982="SINAPI-I",VLOOKUP(B982,'20-A.SINAPI-I'!A:G,3,0),IF(D982="COMPOSIÇÕES",VLOOKUP(B982,'11.COMPOSIÇÕES GERAIS'!B:I,3,0),VLOOKUP(B982,'12.COT.MERCADO'!A:I,7,0)))),"Em Elaboração")</f>
        <v>M</v>
      </c>
      <c r="G982" s="254">
        <v>1.0</v>
      </c>
      <c r="H982" s="259">
        <f>IFERROR(IF(D982="SINAPI-S",VLOOKUP(B982,'20-B.SINAPI-S'!A:J,5,0),IF(D982="SINAPI-I",VLOOKUP(B982,'20-A.SINAPI-I'!A:G,6,0),IF(D982="COMPOSIÇÕES",VLOOKUP(B982,'11.COMPOSIÇÕES GERAIS'!B:I,7,0),0))),"Em Elaboração")</f>
        <v>0</v>
      </c>
      <c r="I982" s="259">
        <f>IFERROR(IF(D982="SINAPI-S",VLOOKUP(B982,'20-B.SINAPI-S'!A:J,6,0),IF(D982="SINAPI-I",VLOOKUP(B982,'20-A.SINAPI-I'!A:G,7,0),IF(D982="COMPOSIÇÕES",VLOOKUP(B982,'11.COMPOSIÇÕES GERAIS'!B:I,8,0),VLOOKUP(B982,'12.COT.MERCADO'!A:I,8,0)))),"Em Elaboração")</f>
        <v>15</v>
      </c>
      <c r="J982" s="259">
        <f t="shared" si="226"/>
        <v>0</v>
      </c>
      <c r="K982" s="259">
        <f t="shared" si="227"/>
        <v>17.57001878</v>
      </c>
      <c r="L982" s="259">
        <f t="shared" si="228"/>
        <v>17.57001878</v>
      </c>
      <c r="M982" s="259">
        <f t="shared" si="229"/>
        <v>0</v>
      </c>
      <c r="N982" s="259">
        <f t="shared" si="230"/>
        <v>17.57001878</v>
      </c>
      <c r="O982" s="259">
        <f t="shared" si="231"/>
        <v>17.57001878</v>
      </c>
      <c r="P982" s="260">
        <f t="shared" si="2"/>
        <v>0.00001374457306</v>
      </c>
    </row>
    <row r="983">
      <c r="A983" s="253" t="s">
        <v>1206</v>
      </c>
      <c r="B983" s="254" t="s">
        <v>1207</v>
      </c>
      <c r="C983" s="255" t="str">
        <f t="shared" si="225"/>
        <v>PRÓPRIO</v>
      </c>
      <c r="D983" s="256" t="s">
        <v>110</v>
      </c>
      <c r="E983" s="257" t="str">
        <f>IFERROR(IF(D983="SINAPI-S",VLOOKUP(B983,'20-B.SINAPI-S'!A:J,2,0),IF(D983="SINAPI-I",VLOOKUP(B983,'20-A.SINAPI-I'!A:G,2,0),IF(D983="COMPOSIÇÕES",VLOOKUP(B983,'11.COMPOSIÇÕES GERAIS'!B:I,2,0),VLOOKUP(B983,'12.COT.MERCADO'!A:I,2,0)))),"Em Elaboração")</f>
        <v>Tubo esponjoso 19mm para revest. de tubo de cobre 3/8", tipo armaflex</v>
      </c>
      <c r="F983" s="258" t="str">
        <f>IFERROR(IF(D983="SINAPI-S",VLOOKUP(B983,'20-B.SINAPI-S'!A:J,3,0),IF(D983="SINAPI-I",VLOOKUP(B983,'20-A.SINAPI-I'!A:G,3,0),IF(D983="COMPOSIÇÕES",VLOOKUP(B983,'11.COMPOSIÇÕES GERAIS'!B:I,3,0),VLOOKUP(B983,'12.COT.MERCADO'!A:I,7,0)))),"Em Elaboração")</f>
        <v>M</v>
      </c>
      <c r="G983" s="254">
        <v>1.0</v>
      </c>
      <c r="H983" s="259">
        <f>IFERROR(IF(D983="SINAPI-S",VLOOKUP(B983,'20-B.SINAPI-S'!A:J,5,0),IF(D983="SINAPI-I",VLOOKUP(B983,'20-A.SINAPI-I'!A:G,6,0),IF(D983="COMPOSIÇÕES",VLOOKUP(B983,'11.COMPOSIÇÕES GERAIS'!B:I,7,0),0))),"Em Elaboração")</f>
        <v>0</v>
      </c>
      <c r="I983" s="259">
        <f>IFERROR(IF(D983="SINAPI-S",VLOOKUP(B983,'20-B.SINAPI-S'!A:J,6,0),IF(D983="SINAPI-I",VLOOKUP(B983,'20-A.SINAPI-I'!A:G,7,0),IF(D983="COMPOSIÇÕES",VLOOKUP(B983,'11.COMPOSIÇÕES GERAIS'!B:I,8,0),VLOOKUP(B983,'12.COT.MERCADO'!A:I,8,0)))),"Em Elaboração")</f>
        <v>12.53</v>
      </c>
      <c r="J983" s="259">
        <f t="shared" si="226"/>
        <v>0</v>
      </c>
      <c r="K983" s="259">
        <f t="shared" si="227"/>
        <v>14.67682235</v>
      </c>
      <c r="L983" s="259">
        <f t="shared" si="228"/>
        <v>14.67682235</v>
      </c>
      <c r="M983" s="259">
        <f t="shared" si="229"/>
        <v>0</v>
      </c>
      <c r="N983" s="259">
        <f t="shared" si="230"/>
        <v>14.67682235</v>
      </c>
      <c r="O983" s="259">
        <f t="shared" si="231"/>
        <v>14.67682235</v>
      </c>
      <c r="P983" s="260">
        <f t="shared" si="2"/>
        <v>0.00001148130003</v>
      </c>
    </row>
    <row r="984">
      <c r="A984" s="253" t="s">
        <v>1208</v>
      </c>
      <c r="B984" s="254" t="s">
        <v>1209</v>
      </c>
      <c r="C984" s="255" t="str">
        <f t="shared" si="225"/>
        <v>PRÓPRIO</v>
      </c>
      <c r="D984" s="256" t="s">
        <v>110</v>
      </c>
      <c r="E984" s="257" t="str">
        <f>IFERROR(IF(D984="SINAPI-S",VLOOKUP(B984,'20-B.SINAPI-S'!A:J,2,0),IF(D984="SINAPI-I",VLOOKUP(B984,'20-A.SINAPI-I'!A:G,2,0),IF(D984="COMPOSIÇÕES",VLOOKUP(B984,'11.COMPOSIÇÕES GERAIS'!B:I,2,0),VLOOKUP(B984,'12.COT.MERCADO'!A:I,2,0)))),"Em Elaboração")</f>
        <v>Arruela lisa Ø 1/4” - cento</v>
      </c>
      <c r="F984" s="258" t="str">
        <f>IFERROR(IF(D984="SINAPI-S",VLOOKUP(B984,'20-B.SINAPI-S'!A:J,3,0),IF(D984="SINAPI-I",VLOOKUP(B984,'20-A.SINAPI-I'!A:G,3,0),IF(D984="COMPOSIÇÕES",VLOOKUP(B984,'11.COMPOSIÇÕES GERAIS'!B:I,3,0),VLOOKUP(B984,'12.COT.MERCADO'!A:I,7,0)))),"Em Elaboração")</f>
        <v>UN </v>
      </c>
      <c r="G984" s="254">
        <v>4.0</v>
      </c>
      <c r="H984" s="259">
        <f>IFERROR(IF(D984="SINAPI-S",VLOOKUP(B984,'20-B.SINAPI-S'!A:J,5,0),IF(D984="SINAPI-I",VLOOKUP(B984,'20-A.SINAPI-I'!A:G,6,0),IF(D984="COMPOSIÇÕES",VLOOKUP(B984,'11.COMPOSIÇÕES GERAIS'!B:I,7,0),0))),"Em Elaboração")</f>
        <v>0</v>
      </c>
      <c r="I984" s="259">
        <f>IFERROR(IF(D984="SINAPI-S",VLOOKUP(B984,'20-B.SINAPI-S'!A:J,6,0),IF(D984="SINAPI-I",VLOOKUP(B984,'20-A.SINAPI-I'!A:G,7,0),IF(D984="COMPOSIÇÕES",VLOOKUP(B984,'11.COMPOSIÇÕES GERAIS'!B:I,8,0),VLOOKUP(B984,'12.COT.MERCADO'!A:I,8,0)))),"Em Elaboração")</f>
        <v>0.1</v>
      </c>
      <c r="J984" s="259">
        <f t="shared" si="226"/>
        <v>0</v>
      </c>
      <c r="K984" s="259">
        <f t="shared" si="227"/>
        <v>0.1171334585</v>
      </c>
      <c r="L984" s="259">
        <f t="shared" si="228"/>
        <v>0.1171334585</v>
      </c>
      <c r="M984" s="259">
        <f t="shared" si="229"/>
        <v>0</v>
      </c>
      <c r="N984" s="259">
        <f t="shared" si="230"/>
        <v>0.4685338341</v>
      </c>
      <c r="O984" s="259">
        <f t="shared" si="231"/>
        <v>0.4685338341</v>
      </c>
      <c r="P984" s="260">
        <f t="shared" si="2"/>
        <v>0.0000003665219484</v>
      </c>
    </row>
    <row r="985">
      <c r="A985" s="253" t="s">
        <v>1210</v>
      </c>
      <c r="B985" s="254" t="s">
        <v>1211</v>
      </c>
      <c r="C985" s="255" t="str">
        <f t="shared" si="225"/>
        <v>PRÓPRIO</v>
      </c>
      <c r="D985" s="256" t="s">
        <v>110</v>
      </c>
      <c r="E985" s="257" t="str">
        <f>IFERROR(IF(D985="SINAPI-S",VLOOKUP(B985,'20-B.SINAPI-S'!A:J,2,0),IF(D985="SINAPI-I",VLOOKUP(B985,'20-A.SINAPI-I'!A:G,2,0),IF(D985="COMPOSIÇÕES",VLOOKUP(B985,'11.COMPOSIÇÕES GERAIS'!B:I,2,0),VLOOKUP(B985,'12.COT.MERCADO'!A:I,2,0)))),"Em Elaboração")</f>
        <v>Arruela lisa Ø 3/8”</v>
      </c>
      <c r="F985" s="258" t="str">
        <f>IFERROR(IF(D985="SINAPI-S",VLOOKUP(B985,'20-B.SINAPI-S'!A:J,3,0),IF(D985="SINAPI-I",VLOOKUP(B985,'20-A.SINAPI-I'!A:G,3,0),IF(D985="COMPOSIÇÕES",VLOOKUP(B985,'11.COMPOSIÇÕES GERAIS'!B:I,3,0),VLOOKUP(B985,'12.COT.MERCADO'!A:I,7,0)))),"Em Elaboração")</f>
        <v>UN </v>
      </c>
      <c r="G985" s="254">
        <v>4.0</v>
      </c>
      <c r="H985" s="259">
        <f>IFERROR(IF(D985="SINAPI-S",VLOOKUP(B985,'20-B.SINAPI-S'!A:J,5,0),IF(D985="SINAPI-I",VLOOKUP(B985,'20-A.SINAPI-I'!A:G,6,0),IF(D985="COMPOSIÇÕES",VLOOKUP(B985,'11.COMPOSIÇÕES GERAIS'!B:I,7,0),0))),"Em Elaboração")</f>
        <v>0</v>
      </c>
      <c r="I985" s="259">
        <f>IFERROR(IF(D985="SINAPI-S",VLOOKUP(B985,'20-B.SINAPI-S'!A:J,6,0),IF(D985="SINAPI-I",VLOOKUP(B985,'20-A.SINAPI-I'!A:G,7,0),IF(D985="COMPOSIÇÕES",VLOOKUP(B985,'11.COMPOSIÇÕES GERAIS'!B:I,8,0),VLOOKUP(B985,'12.COT.MERCADO'!A:I,8,0)))),"Em Elaboração")</f>
        <v>0.209</v>
      </c>
      <c r="J985" s="259">
        <f t="shared" si="226"/>
        <v>0</v>
      </c>
      <c r="K985" s="259">
        <f t="shared" si="227"/>
        <v>0.2448089283</v>
      </c>
      <c r="L985" s="259">
        <f t="shared" si="228"/>
        <v>0.2448089283</v>
      </c>
      <c r="M985" s="259">
        <f t="shared" si="229"/>
        <v>0</v>
      </c>
      <c r="N985" s="259">
        <f t="shared" si="230"/>
        <v>0.9792357132</v>
      </c>
      <c r="O985" s="259">
        <f t="shared" si="231"/>
        <v>0.9792357132</v>
      </c>
      <c r="P985" s="260">
        <f t="shared" si="2"/>
        <v>0.0000007660308721</v>
      </c>
    </row>
    <row r="986">
      <c r="A986" s="253" t="s">
        <v>1212</v>
      </c>
      <c r="B986" s="254" t="s">
        <v>1213</v>
      </c>
      <c r="C986" s="255" t="str">
        <f t="shared" si="225"/>
        <v>PRÓPRIO</v>
      </c>
      <c r="D986" s="256" t="s">
        <v>110</v>
      </c>
      <c r="E986" s="257" t="str">
        <f>IFERROR(IF(D986="SINAPI-S",VLOOKUP(B986,'20-B.SINAPI-S'!A:J,2,0),IF(D986="SINAPI-I",VLOOKUP(B986,'20-A.SINAPI-I'!A:G,2,0),IF(D986="COMPOSIÇÕES",VLOOKUP(B986,'11.COMPOSIÇÕES GERAIS'!B:I,2,0),VLOOKUP(B986,'12.COT.MERCADO'!A:I,2,0)))),"Em Elaboração")</f>
        <v>Arruela lisa Ø 5/16” </v>
      </c>
      <c r="F986" s="258" t="str">
        <f>IFERROR(IF(D986="SINAPI-S",VLOOKUP(B986,'20-B.SINAPI-S'!A:J,3,0),IF(D986="SINAPI-I",VLOOKUP(B986,'20-A.SINAPI-I'!A:G,3,0),IF(D986="COMPOSIÇÕES",VLOOKUP(B986,'11.COMPOSIÇÕES GERAIS'!B:I,3,0),VLOOKUP(B986,'12.COT.MERCADO'!A:I,7,0)))),"Em Elaboração")</f>
        <v>UN </v>
      </c>
      <c r="G986" s="254">
        <v>1.0</v>
      </c>
      <c r="H986" s="259">
        <f>IFERROR(IF(D986="SINAPI-S",VLOOKUP(B986,'20-B.SINAPI-S'!A:J,5,0),IF(D986="SINAPI-I",VLOOKUP(B986,'20-A.SINAPI-I'!A:G,6,0),IF(D986="COMPOSIÇÕES",VLOOKUP(B986,'11.COMPOSIÇÕES GERAIS'!B:I,7,0),0))),"Em Elaboração")</f>
        <v>0</v>
      </c>
      <c r="I986" s="259">
        <f>IFERROR(IF(D986="SINAPI-S",VLOOKUP(B986,'20-B.SINAPI-S'!A:J,6,0),IF(D986="SINAPI-I",VLOOKUP(B986,'20-A.SINAPI-I'!A:G,7,0),IF(D986="COMPOSIÇÕES",VLOOKUP(B986,'11.COMPOSIÇÕES GERAIS'!B:I,8,0),VLOOKUP(B986,'12.COT.MERCADO'!A:I,8,0)))),"Em Elaboração")</f>
        <v>0.2</v>
      </c>
      <c r="J986" s="259">
        <f t="shared" si="226"/>
        <v>0</v>
      </c>
      <c r="K986" s="259">
        <f t="shared" si="227"/>
        <v>0.234266917</v>
      </c>
      <c r="L986" s="259">
        <f t="shared" si="228"/>
        <v>0.234266917</v>
      </c>
      <c r="M986" s="259">
        <f t="shared" si="229"/>
        <v>0</v>
      </c>
      <c r="N986" s="259">
        <f t="shared" si="230"/>
        <v>0.234266917</v>
      </c>
      <c r="O986" s="259">
        <f t="shared" si="231"/>
        <v>0.234266917</v>
      </c>
      <c r="P986" s="260">
        <f t="shared" si="2"/>
        <v>0.0000001832609742</v>
      </c>
    </row>
    <row r="987">
      <c r="A987" s="253" t="s">
        <v>1214</v>
      </c>
      <c r="B987" s="254" t="s">
        <v>1215</v>
      </c>
      <c r="C987" s="255" t="str">
        <f t="shared" si="225"/>
        <v>PRÓPRIO</v>
      </c>
      <c r="D987" s="256" t="s">
        <v>110</v>
      </c>
      <c r="E987" s="257" t="str">
        <f>IFERROR(IF(D987="SINAPI-S",VLOOKUP(B987,'20-B.SINAPI-S'!A:J,2,0),IF(D987="SINAPI-I",VLOOKUP(B987,'20-A.SINAPI-I'!A:G,2,0),IF(D987="COMPOSIÇÕES",VLOOKUP(B987,'11.COMPOSIÇÕES GERAIS'!B:I,2,0),VLOOKUP(B987,'12.COT.MERCADO'!A:I,2,0)))),"Em Elaboração")</f>
        <v>Barra roscada Ø 1/2”com 1 metro - galvanizada</v>
      </c>
      <c r="F987" s="258" t="str">
        <f>IFERROR(IF(D987="SINAPI-S",VLOOKUP(B987,'20-B.SINAPI-S'!A:J,3,0),IF(D987="SINAPI-I",VLOOKUP(B987,'20-A.SINAPI-I'!A:G,3,0),IF(D987="COMPOSIÇÕES",VLOOKUP(B987,'11.COMPOSIÇÕES GERAIS'!B:I,3,0),VLOOKUP(B987,'12.COT.MERCADO'!A:I,7,0)))),"Em Elaboração")</f>
        <v>UN </v>
      </c>
      <c r="G987" s="254">
        <v>1.0</v>
      </c>
      <c r="H987" s="259">
        <f>IFERROR(IF(D987="SINAPI-S",VLOOKUP(B987,'20-B.SINAPI-S'!A:J,5,0),IF(D987="SINAPI-I",VLOOKUP(B987,'20-A.SINAPI-I'!A:G,6,0),IF(D987="COMPOSIÇÕES",VLOOKUP(B987,'11.COMPOSIÇÕES GERAIS'!B:I,7,0),0))),"Em Elaboração")</f>
        <v>0</v>
      </c>
      <c r="I987" s="259">
        <f>IFERROR(IF(D987="SINAPI-S",VLOOKUP(B987,'20-B.SINAPI-S'!A:J,6,0),IF(D987="SINAPI-I",VLOOKUP(B987,'20-A.SINAPI-I'!A:G,7,0),IF(D987="COMPOSIÇÕES",VLOOKUP(B987,'11.COMPOSIÇÕES GERAIS'!B:I,8,0),VLOOKUP(B987,'12.COT.MERCADO'!A:I,8,0)))),"Em Elaboração")</f>
        <v>20.9</v>
      </c>
      <c r="J987" s="259">
        <f t="shared" si="226"/>
        <v>0</v>
      </c>
      <c r="K987" s="259">
        <f t="shared" si="227"/>
        <v>24.48089283</v>
      </c>
      <c r="L987" s="259">
        <f t="shared" si="228"/>
        <v>24.48089283</v>
      </c>
      <c r="M987" s="259">
        <f t="shared" si="229"/>
        <v>0</v>
      </c>
      <c r="N987" s="259">
        <f t="shared" si="230"/>
        <v>24.48089283</v>
      </c>
      <c r="O987" s="259">
        <f t="shared" si="231"/>
        <v>24.48089283</v>
      </c>
      <c r="P987" s="260">
        <f t="shared" si="2"/>
        <v>0.0000191507718</v>
      </c>
    </row>
    <row r="988">
      <c r="A988" s="253" t="s">
        <v>1216</v>
      </c>
      <c r="B988" s="254" t="s">
        <v>1217</v>
      </c>
      <c r="C988" s="255" t="str">
        <f t="shared" si="225"/>
        <v>PRÓPRIO</v>
      </c>
      <c r="D988" s="256" t="s">
        <v>110</v>
      </c>
      <c r="E988" s="257" t="str">
        <f>IFERROR(IF(D988="SINAPI-S",VLOOKUP(B988,'20-B.SINAPI-S'!A:J,2,0),IF(D988="SINAPI-I",VLOOKUP(B988,'20-A.SINAPI-I'!A:G,2,0),IF(D988="COMPOSIÇÕES",VLOOKUP(B988,'11.COMPOSIÇÕES GERAIS'!B:I,2,0),VLOOKUP(B988,'12.COT.MERCADO'!A:I,2,0)))),"Em Elaboração")</f>
        <v>Rebite de Repuxo 3,2 x 6,0mm - cento</v>
      </c>
      <c r="F988" s="258" t="str">
        <f>IFERROR(IF(D988="SINAPI-S",VLOOKUP(B988,'20-B.SINAPI-S'!A:J,3,0),IF(D988="SINAPI-I",VLOOKUP(B988,'20-A.SINAPI-I'!A:G,3,0),IF(D988="COMPOSIÇÕES",VLOOKUP(B988,'11.COMPOSIÇÕES GERAIS'!B:I,3,0),VLOOKUP(B988,'12.COT.MERCADO'!A:I,7,0)))),"Em Elaboração")</f>
        <v>UN </v>
      </c>
      <c r="G988" s="254">
        <v>1.0</v>
      </c>
      <c r="H988" s="259">
        <f>IFERROR(IF(D988="SINAPI-S",VLOOKUP(B988,'20-B.SINAPI-S'!A:J,5,0),IF(D988="SINAPI-I",VLOOKUP(B988,'20-A.SINAPI-I'!A:G,6,0),IF(D988="COMPOSIÇÕES",VLOOKUP(B988,'11.COMPOSIÇÕES GERAIS'!B:I,7,0),0))),"Em Elaboração")</f>
        <v>0</v>
      </c>
      <c r="I988" s="259">
        <f>IFERROR(IF(D988="SINAPI-S",VLOOKUP(B988,'20-B.SINAPI-S'!A:J,6,0),IF(D988="SINAPI-I",VLOOKUP(B988,'20-A.SINAPI-I'!A:G,7,0),IF(D988="COMPOSIÇÕES",VLOOKUP(B988,'11.COMPOSIÇÕES GERAIS'!B:I,8,0),VLOOKUP(B988,'12.COT.MERCADO'!A:I,8,0)))),"Em Elaboração")</f>
        <v>8.77</v>
      </c>
      <c r="J988" s="259">
        <f t="shared" si="226"/>
        <v>0</v>
      </c>
      <c r="K988" s="259">
        <f t="shared" si="227"/>
        <v>10.27260431</v>
      </c>
      <c r="L988" s="259">
        <f t="shared" si="228"/>
        <v>10.27260431</v>
      </c>
      <c r="M988" s="259">
        <f t="shared" si="229"/>
        <v>0</v>
      </c>
      <c r="N988" s="259">
        <f t="shared" si="230"/>
        <v>10.27260431</v>
      </c>
      <c r="O988" s="259">
        <f t="shared" si="231"/>
        <v>10.27260431</v>
      </c>
      <c r="P988" s="260">
        <f t="shared" si="2"/>
        <v>0.000008035993718</v>
      </c>
    </row>
    <row r="989">
      <c r="A989" s="253" t="s">
        <v>1218</v>
      </c>
      <c r="B989" s="254" t="s">
        <v>1219</v>
      </c>
      <c r="C989" s="255" t="str">
        <f t="shared" si="225"/>
        <v>PRÓPRIO</v>
      </c>
      <c r="D989" s="256" t="s">
        <v>110</v>
      </c>
      <c r="E989" s="257" t="str">
        <f>IFERROR(IF(D989="SINAPI-S",VLOOKUP(B989,'20-B.SINAPI-S'!A:J,2,0),IF(D989="SINAPI-I",VLOOKUP(B989,'20-A.SINAPI-I'!A:G,2,0),IF(D989="COMPOSIÇÕES",VLOOKUP(B989,'11.COMPOSIÇÕES GERAIS'!B:I,2,0),VLOOKUP(B989,'12.COT.MERCADO'!A:I,2,0)))),"Em Elaboração")</f>
        <v>Rebite de Repuxo 4,8 x 12mm - cento</v>
      </c>
      <c r="F989" s="258" t="str">
        <f>IFERROR(IF(D989="SINAPI-S",VLOOKUP(B989,'20-B.SINAPI-S'!A:J,3,0),IF(D989="SINAPI-I",VLOOKUP(B989,'20-A.SINAPI-I'!A:G,3,0),IF(D989="COMPOSIÇÕES",VLOOKUP(B989,'11.COMPOSIÇÕES GERAIS'!B:I,3,0),VLOOKUP(B989,'12.COT.MERCADO'!A:I,7,0)))),"Em Elaboração")</f>
        <v>UN </v>
      </c>
      <c r="G989" s="254">
        <v>1.0</v>
      </c>
      <c r="H989" s="259">
        <f>IFERROR(IF(D989="SINAPI-S",VLOOKUP(B989,'20-B.SINAPI-S'!A:J,5,0),IF(D989="SINAPI-I",VLOOKUP(B989,'20-A.SINAPI-I'!A:G,6,0),IF(D989="COMPOSIÇÕES",VLOOKUP(B989,'11.COMPOSIÇÕES GERAIS'!B:I,7,0),0))),"Em Elaboração")</f>
        <v>0</v>
      </c>
      <c r="I989" s="259">
        <f>IFERROR(IF(D989="SINAPI-S",VLOOKUP(B989,'20-B.SINAPI-S'!A:J,6,0),IF(D989="SINAPI-I",VLOOKUP(B989,'20-A.SINAPI-I'!A:G,7,0),IF(D989="COMPOSIÇÕES",VLOOKUP(B989,'11.COMPOSIÇÕES GERAIS'!B:I,8,0),VLOOKUP(B989,'12.COT.MERCADO'!A:I,8,0)))),"Em Elaboração")</f>
        <v>18</v>
      </c>
      <c r="J989" s="259">
        <f t="shared" si="226"/>
        <v>0</v>
      </c>
      <c r="K989" s="259">
        <f t="shared" si="227"/>
        <v>21.08402253</v>
      </c>
      <c r="L989" s="259">
        <f t="shared" si="228"/>
        <v>21.08402253</v>
      </c>
      <c r="M989" s="259">
        <f t="shared" si="229"/>
        <v>0</v>
      </c>
      <c r="N989" s="259">
        <f t="shared" si="230"/>
        <v>21.08402253</v>
      </c>
      <c r="O989" s="259">
        <f t="shared" si="231"/>
        <v>21.08402253</v>
      </c>
      <c r="P989" s="260">
        <f t="shared" si="2"/>
        <v>0.00001649348768</v>
      </c>
    </row>
    <row r="990">
      <c r="A990" s="253" t="s">
        <v>1220</v>
      </c>
      <c r="B990" s="254" t="s">
        <v>1221</v>
      </c>
      <c r="C990" s="255" t="str">
        <f t="shared" si="225"/>
        <v>PRÓPRIO</v>
      </c>
      <c r="D990" s="256" t="s">
        <v>110</v>
      </c>
      <c r="E990" s="257" t="str">
        <f>IFERROR(IF(D990="SINAPI-S",VLOOKUP(B990,'20-B.SINAPI-S'!A:J,2,0),IF(D990="SINAPI-I",VLOOKUP(B990,'20-A.SINAPI-I'!A:G,2,0),IF(D990="COMPOSIÇÕES",VLOOKUP(B990,'11.COMPOSIÇÕES GERAIS'!B:I,2,0),VLOOKUP(B990,'12.COT.MERCADO'!A:I,2,0)))),"Em Elaboração")</f>
        <v>Rebite de Repuxo 4,0 x 16,0mm - cento</v>
      </c>
      <c r="F990" s="258" t="str">
        <f>IFERROR(IF(D990="SINAPI-S",VLOOKUP(B990,'20-B.SINAPI-S'!A:J,3,0),IF(D990="SINAPI-I",VLOOKUP(B990,'20-A.SINAPI-I'!A:G,3,0),IF(D990="COMPOSIÇÕES",VLOOKUP(B990,'11.COMPOSIÇÕES GERAIS'!B:I,3,0),VLOOKUP(B990,'12.COT.MERCADO'!A:I,7,0)))),"Em Elaboração")</f>
        <v>UN </v>
      </c>
      <c r="G990" s="254">
        <v>4.0</v>
      </c>
      <c r="H990" s="259">
        <f>IFERROR(IF(D990="SINAPI-S",VLOOKUP(B990,'20-B.SINAPI-S'!A:J,5,0),IF(D990="SINAPI-I",VLOOKUP(B990,'20-A.SINAPI-I'!A:G,6,0),IF(D990="COMPOSIÇÕES",VLOOKUP(B990,'11.COMPOSIÇÕES GERAIS'!B:I,7,0),0))),"Em Elaboração")</f>
        <v>0</v>
      </c>
      <c r="I990" s="259">
        <f>IFERROR(IF(D990="SINAPI-S",VLOOKUP(B990,'20-B.SINAPI-S'!A:J,6,0),IF(D990="SINAPI-I",VLOOKUP(B990,'20-A.SINAPI-I'!A:G,7,0),IF(D990="COMPOSIÇÕES",VLOOKUP(B990,'11.COMPOSIÇÕES GERAIS'!B:I,8,0),VLOOKUP(B990,'12.COT.MERCADO'!A:I,8,0)))),"Em Elaboração")</f>
        <v>28.24</v>
      </c>
      <c r="J990" s="259">
        <f t="shared" si="226"/>
        <v>0</v>
      </c>
      <c r="K990" s="259">
        <f t="shared" si="227"/>
        <v>33.07848868</v>
      </c>
      <c r="L990" s="259">
        <f t="shared" si="228"/>
        <v>33.07848868</v>
      </c>
      <c r="M990" s="259">
        <f t="shared" si="229"/>
        <v>0</v>
      </c>
      <c r="N990" s="259">
        <f t="shared" si="230"/>
        <v>132.3139547</v>
      </c>
      <c r="O990" s="259">
        <f t="shared" si="231"/>
        <v>132.3139547</v>
      </c>
      <c r="P990" s="260">
        <f t="shared" si="2"/>
        <v>0.0001035057982</v>
      </c>
    </row>
    <row r="991">
      <c r="A991" s="253" t="s">
        <v>1222</v>
      </c>
      <c r="B991" s="254" t="s">
        <v>1223</v>
      </c>
      <c r="C991" s="255" t="str">
        <f t="shared" si="225"/>
        <v>PRÓPRIO</v>
      </c>
      <c r="D991" s="256" t="s">
        <v>110</v>
      </c>
      <c r="E991" s="257" t="str">
        <f>IFERROR(IF(D991="SINAPI-S",VLOOKUP(B991,'20-B.SINAPI-S'!A:J,2,0),IF(D991="SINAPI-I",VLOOKUP(B991,'20-A.SINAPI-I'!A:G,2,0),IF(D991="COMPOSIÇÕES",VLOOKUP(B991,'11.COMPOSIÇÕES GERAIS'!B:I,2,0),VLOOKUP(B991,'12.COT.MERCADO'!A:I,2,0)))),"Em Elaboração")</f>
        <v>Parafuso parabolt Ø 1/4” x 1.3/4”</v>
      </c>
      <c r="F991" s="258" t="str">
        <f>IFERROR(IF(D991="SINAPI-S",VLOOKUP(B991,'20-B.SINAPI-S'!A:J,3,0),IF(D991="SINAPI-I",VLOOKUP(B991,'20-A.SINAPI-I'!A:G,3,0),IF(D991="COMPOSIÇÕES",VLOOKUP(B991,'11.COMPOSIÇÕES GERAIS'!B:I,3,0),VLOOKUP(B991,'12.COT.MERCADO'!A:I,7,0)))),"Em Elaboração")</f>
        <v>UN </v>
      </c>
      <c r="G991" s="254">
        <v>1.0</v>
      </c>
      <c r="H991" s="259">
        <f>IFERROR(IF(D991="SINAPI-S",VLOOKUP(B991,'20-B.SINAPI-S'!A:J,5,0),IF(D991="SINAPI-I",VLOOKUP(B991,'20-A.SINAPI-I'!A:G,6,0),IF(D991="COMPOSIÇÕES",VLOOKUP(B991,'11.COMPOSIÇÕES GERAIS'!B:I,7,0),0))),"Em Elaboração")</f>
        <v>0</v>
      </c>
      <c r="I991" s="259">
        <f>IFERROR(IF(D991="SINAPI-S",VLOOKUP(B991,'20-B.SINAPI-S'!A:J,6,0),IF(D991="SINAPI-I",VLOOKUP(B991,'20-A.SINAPI-I'!A:G,7,0),IF(D991="COMPOSIÇÕES",VLOOKUP(B991,'11.COMPOSIÇÕES GERAIS'!B:I,8,0),VLOOKUP(B991,'12.COT.MERCADO'!A:I,8,0)))),"Em Elaboração")</f>
        <v>1.2789</v>
      </c>
      <c r="J991" s="259">
        <f t="shared" si="226"/>
        <v>0</v>
      </c>
      <c r="K991" s="259">
        <f t="shared" si="227"/>
        <v>1.498019801</v>
      </c>
      <c r="L991" s="259">
        <f t="shared" si="228"/>
        <v>1.498019801</v>
      </c>
      <c r="M991" s="259">
        <f t="shared" si="229"/>
        <v>0</v>
      </c>
      <c r="N991" s="259">
        <f t="shared" si="230"/>
        <v>1.498019801</v>
      </c>
      <c r="O991" s="259">
        <f t="shared" si="231"/>
        <v>1.498019801</v>
      </c>
      <c r="P991" s="260">
        <f t="shared" si="2"/>
        <v>0.000001171862299</v>
      </c>
    </row>
    <row r="992">
      <c r="A992" s="253" t="s">
        <v>1224</v>
      </c>
      <c r="B992" s="254" t="s">
        <v>1225</v>
      </c>
      <c r="C992" s="255" t="str">
        <f t="shared" si="225"/>
        <v>PRÓPRIO</v>
      </c>
      <c r="D992" s="256" t="s">
        <v>110</v>
      </c>
      <c r="E992" s="257" t="str">
        <f>IFERROR(IF(D992="SINAPI-S",VLOOKUP(B992,'20-B.SINAPI-S'!A:J,2,0),IF(D992="SINAPI-I",VLOOKUP(B992,'20-A.SINAPI-I'!A:G,2,0),IF(D992="COMPOSIÇÕES",VLOOKUP(B992,'11.COMPOSIÇÕES GERAIS'!B:I,2,0),VLOOKUP(B992,'12.COT.MERCADO'!A:I,2,0)))),"Em Elaboração")</f>
        <v>Parafuso parabolt Ø 5/16”x 2”</v>
      </c>
      <c r="F992" s="258" t="str">
        <f>IFERROR(IF(D992="SINAPI-S",VLOOKUP(B992,'20-B.SINAPI-S'!A:J,3,0),IF(D992="SINAPI-I",VLOOKUP(B992,'20-A.SINAPI-I'!A:G,3,0),IF(D992="COMPOSIÇÕES",VLOOKUP(B992,'11.COMPOSIÇÕES GERAIS'!B:I,3,0),VLOOKUP(B992,'12.COT.MERCADO'!A:I,7,0)))),"Em Elaboração")</f>
        <v>UN </v>
      </c>
      <c r="G992" s="254">
        <v>1.0</v>
      </c>
      <c r="H992" s="259">
        <f>IFERROR(IF(D992="SINAPI-S",VLOOKUP(B992,'20-B.SINAPI-S'!A:J,5,0),IF(D992="SINAPI-I",VLOOKUP(B992,'20-A.SINAPI-I'!A:G,6,0),IF(D992="COMPOSIÇÕES",VLOOKUP(B992,'11.COMPOSIÇÕES GERAIS'!B:I,7,0),0))),"Em Elaboração")</f>
        <v>0</v>
      </c>
      <c r="I992" s="259">
        <f>IFERROR(IF(D992="SINAPI-S",VLOOKUP(B992,'20-B.SINAPI-S'!A:J,6,0),IF(D992="SINAPI-I",VLOOKUP(B992,'20-A.SINAPI-I'!A:G,7,0),IF(D992="COMPOSIÇÕES",VLOOKUP(B992,'11.COMPOSIÇÕES GERAIS'!B:I,8,0),VLOOKUP(B992,'12.COT.MERCADO'!A:I,8,0)))),"Em Elaboração")</f>
        <v>1.71</v>
      </c>
      <c r="J992" s="259">
        <f t="shared" si="226"/>
        <v>0</v>
      </c>
      <c r="K992" s="259">
        <f t="shared" si="227"/>
        <v>2.002982141</v>
      </c>
      <c r="L992" s="259">
        <f t="shared" si="228"/>
        <v>2.002982141</v>
      </c>
      <c r="M992" s="259">
        <f t="shared" si="229"/>
        <v>0</v>
      </c>
      <c r="N992" s="259">
        <f t="shared" si="230"/>
        <v>2.002982141</v>
      </c>
      <c r="O992" s="259">
        <f t="shared" si="231"/>
        <v>2.002982141</v>
      </c>
      <c r="P992" s="260">
        <f t="shared" si="2"/>
        <v>0.000001566881329</v>
      </c>
    </row>
    <row r="993">
      <c r="A993" s="253" t="s">
        <v>1226</v>
      </c>
      <c r="B993" s="254" t="s">
        <v>1227</v>
      </c>
      <c r="C993" s="255" t="str">
        <f t="shared" si="225"/>
        <v>PRÓPRIO</v>
      </c>
      <c r="D993" s="256" t="s">
        <v>110</v>
      </c>
      <c r="E993" s="257" t="str">
        <f>IFERROR(IF(D993="SINAPI-S",VLOOKUP(B993,'20-B.SINAPI-S'!A:J,2,0),IF(D993="SINAPI-I",VLOOKUP(B993,'20-A.SINAPI-I'!A:G,2,0),IF(D993="COMPOSIÇÕES",VLOOKUP(B993,'11.COMPOSIÇÕES GERAIS'!B:I,2,0),VLOOKUP(B993,'12.COT.MERCADO'!A:I,2,0)))),"Em Elaboração")</f>
        <v>Parafuso cabeça sextavada Ø 1/2" x 4"</v>
      </c>
      <c r="F993" s="258" t="str">
        <f>IFERROR(IF(D993="SINAPI-S",VLOOKUP(B993,'20-B.SINAPI-S'!A:J,3,0),IF(D993="SINAPI-I",VLOOKUP(B993,'20-A.SINAPI-I'!A:G,3,0),IF(D993="COMPOSIÇÕES",VLOOKUP(B993,'11.COMPOSIÇÕES GERAIS'!B:I,3,0),VLOOKUP(B993,'12.COT.MERCADO'!A:I,7,0)))),"Em Elaboração")</f>
        <v>UN </v>
      </c>
      <c r="G993" s="254">
        <v>8.0</v>
      </c>
      <c r="H993" s="259">
        <f>IFERROR(IF(D993="SINAPI-S",VLOOKUP(B993,'20-B.SINAPI-S'!A:J,5,0),IF(D993="SINAPI-I",VLOOKUP(B993,'20-A.SINAPI-I'!A:G,6,0),IF(D993="COMPOSIÇÕES",VLOOKUP(B993,'11.COMPOSIÇÕES GERAIS'!B:I,7,0),0))),"Em Elaboração")</f>
        <v>0</v>
      </c>
      <c r="I993" s="259">
        <f>IFERROR(IF(D993="SINAPI-S",VLOOKUP(B993,'20-B.SINAPI-S'!A:J,6,0),IF(D993="SINAPI-I",VLOOKUP(B993,'20-A.SINAPI-I'!A:G,7,0),IF(D993="COMPOSIÇÕES",VLOOKUP(B993,'11.COMPOSIÇÕES GERAIS'!B:I,8,0),VLOOKUP(B993,'12.COT.MERCADO'!A:I,8,0)))),"Em Elaboração")</f>
        <v>4.54</v>
      </c>
      <c r="J993" s="259">
        <f t="shared" si="226"/>
        <v>0</v>
      </c>
      <c r="K993" s="259">
        <f t="shared" si="227"/>
        <v>5.317859017</v>
      </c>
      <c r="L993" s="259">
        <f t="shared" si="228"/>
        <v>5.317859017</v>
      </c>
      <c r="M993" s="259">
        <f t="shared" si="229"/>
        <v>0</v>
      </c>
      <c r="N993" s="259">
        <f t="shared" si="230"/>
        <v>42.54287213</v>
      </c>
      <c r="O993" s="259">
        <f t="shared" si="231"/>
        <v>42.54287213</v>
      </c>
      <c r="P993" s="260">
        <f t="shared" si="2"/>
        <v>0.00003328019291</v>
      </c>
    </row>
    <row r="994">
      <c r="A994" s="253" t="s">
        <v>1228</v>
      </c>
      <c r="B994" s="254" t="s">
        <v>1229</v>
      </c>
      <c r="C994" s="255" t="str">
        <f t="shared" si="225"/>
        <v>PRÓPRIO</v>
      </c>
      <c r="D994" s="256" t="s">
        <v>110</v>
      </c>
      <c r="E994" s="257" t="str">
        <f>IFERROR(IF(D994="SINAPI-S",VLOOKUP(B994,'20-B.SINAPI-S'!A:J,2,0),IF(D994="SINAPI-I",VLOOKUP(B994,'20-A.SINAPI-I'!A:G,2,0),IF(D994="COMPOSIÇÕES",VLOOKUP(B994,'11.COMPOSIÇÕES GERAIS'!B:I,2,0),VLOOKUP(B994,'12.COT.MERCADO'!A:I,2,0)))),"Em Elaboração")</f>
        <v>Parafuso cabeça sextavada Ø 1/4" x 4"</v>
      </c>
      <c r="F994" s="258" t="str">
        <f>IFERROR(IF(D994="SINAPI-S",VLOOKUP(B994,'20-B.SINAPI-S'!A:J,3,0),IF(D994="SINAPI-I",VLOOKUP(B994,'20-A.SINAPI-I'!A:G,3,0),IF(D994="COMPOSIÇÕES",VLOOKUP(B994,'11.COMPOSIÇÕES GERAIS'!B:I,3,0),VLOOKUP(B994,'12.COT.MERCADO'!A:I,7,0)))),"Em Elaboração")</f>
        <v>UN </v>
      </c>
      <c r="G994" s="254">
        <v>4.0</v>
      </c>
      <c r="H994" s="259">
        <f>IFERROR(IF(D994="SINAPI-S",VLOOKUP(B994,'20-B.SINAPI-S'!A:J,5,0),IF(D994="SINAPI-I",VLOOKUP(B994,'20-A.SINAPI-I'!A:G,6,0),IF(D994="COMPOSIÇÕES",VLOOKUP(B994,'11.COMPOSIÇÕES GERAIS'!B:I,7,0),0))),"Em Elaboração")</f>
        <v>0</v>
      </c>
      <c r="I994" s="259">
        <f>IFERROR(IF(D994="SINAPI-S",VLOOKUP(B994,'20-B.SINAPI-S'!A:J,6,0),IF(D994="SINAPI-I",VLOOKUP(B994,'20-A.SINAPI-I'!A:G,7,0),IF(D994="COMPOSIÇÕES",VLOOKUP(B994,'11.COMPOSIÇÕES GERAIS'!B:I,8,0),VLOOKUP(B994,'12.COT.MERCADO'!A:I,8,0)))),"Em Elaboração")</f>
        <v>2.06</v>
      </c>
      <c r="J994" s="259">
        <f t="shared" si="226"/>
        <v>0</v>
      </c>
      <c r="K994" s="259">
        <f t="shared" si="227"/>
        <v>2.412949245</v>
      </c>
      <c r="L994" s="259">
        <f t="shared" si="228"/>
        <v>2.412949245</v>
      </c>
      <c r="M994" s="259">
        <f t="shared" si="229"/>
        <v>0</v>
      </c>
      <c r="N994" s="259">
        <f t="shared" si="230"/>
        <v>9.651796982</v>
      </c>
      <c r="O994" s="259">
        <f t="shared" si="231"/>
        <v>9.651796982</v>
      </c>
      <c r="P994" s="260">
        <f t="shared" si="2"/>
        <v>0.000007550352137</v>
      </c>
    </row>
    <row r="995">
      <c r="A995" s="253" t="s">
        <v>1230</v>
      </c>
      <c r="B995" s="254" t="s">
        <v>1231</v>
      </c>
      <c r="C995" s="255" t="str">
        <f t="shared" si="225"/>
        <v>PRÓPRIO</v>
      </c>
      <c r="D995" s="256" t="s">
        <v>110</v>
      </c>
      <c r="E995" s="257" t="str">
        <f>IFERROR(IF(D995="SINAPI-S",VLOOKUP(B995,'20-B.SINAPI-S'!A:J,2,0),IF(D995="SINAPI-I",VLOOKUP(B995,'20-A.SINAPI-I'!A:G,2,0),IF(D995="COMPOSIÇÕES",VLOOKUP(B995,'11.COMPOSIÇÕES GERAIS'!B:I,2,0),VLOOKUP(B995,'12.COT.MERCADO'!A:I,2,0)))),"Em Elaboração")</f>
        <v>Parafuso cabeça sextavada Ø 3/8" x 1.1/4"</v>
      </c>
      <c r="F995" s="258" t="str">
        <f>IFERROR(IF(D995="SINAPI-S",VLOOKUP(B995,'20-B.SINAPI-S'!A:J,3,0),IF(D995="SINAPI-I",VLOOKUP(B995,'20-A.SINAPI-I'!A:G,3,0),IF(D995="COMPOSIÇÕES",VLOOKUP(B995,'11.COMPOSIÇÕES GERAIS'!B:I,3,0),VLOOKUP(B995,'12.COT.MERCADO'!A:I,7,0)))),"Em Elaboração")</f>
        <v>UN </v>
      </c>
      <c r="G995" s="254">
        <v>1.0</v>
      </c>
      <c r="H995" s="259">
        <f>IFERROR(IF(D995="SINAPI-S",VLOOKUP(B995,'20-B.SINAPI-S'!A:J,5,0),IF(D995="SINAPI-I",VLOOKUP(B995,'20-A.SINAPI-I'!A:G,6,0),IF(D995="COMPOSIÇÕES",VLOOKUP(B995,'11.COMPOSIÇÕES GERAIS'!B:I,7,0),0))),"Em Elaboração")</f>
        <v>0</v>
      </c>
      <c r="I995" s="259">
        <f>IFERROR(IF(D995="SINAPI-S",VLOOKUP(B995,'20-B.SINAPI-S'!A:J,6,0),IF(D995="SINAPI-I",VLOOKUP(B995,'20-A.SINAPI-I'!A:G,7,0),IF(D995="COMPOSIÇÕES",VLOOKUP(B995,'11.COMPOSIÇÕES GERAIS'!B:I,8,0),VLOOKUP(B995,'12.COT.MERCADO'!A:I,8,0)))),"Em Elaboração")</f>
        <v>1.14</v>
      </c>
      <c r="J995" s="259">
        <f t="shared" si="226"/>
        <v>0</v>
      </c>
      <c r="K995" s="259">
        <f t="shared" si="227"/>
        <v>1.335321427</v>
      </c>
      <c r="L995" s="259">
        <f t="shared" si="228"/>
        <v>1.335321427</v>
      </c>
      <c r="M995" s="259">
        <f t="shared" si="229"/>
        <v>0</v>
      </c>
      <c r="N995" s="259">
        <f t="shared" si="230"/>
        <v>1.335321427</v>
      </c>
      <c r="O995" s="259">
        <f t="shared" si="231"/>
        <v>1.335321427</v>
      </c>
      <c r="P995" s="260">
        <f t="shared" si="2"/>
        <v>0.000001044587553</v>
      </c>
    </row>
    <row r="996">
      <c r="A996" s="253" t="s">
        <v>1232</v>
      </c>
      <c r="B996" s="254" t="s">
        <v>1233</v>
      </c>
      <c r="C996" s="255" t="str">
        <f t="shared" si="225"/>
        <v>PRÓPRIO</v>
      </c>
      <c r="D996" s="256" t="s">
        <v>110</v>
      </c>
      <c r="E996" s="257" t="str">
        <f>IFERROR(IF(D996="SINAPI-S",VLOOKUP(B996,'20-B.SINAPI-S'!A:J,2,0),IF(D996="SINAPI-I",VLOOKUP(B996,'20-A.SINAPI-I'!A:G,2,0),IF(D996="COMPOSIÇÕES",VLOOKUP(B996,'11.COMPOSIÇÕES GERAIS'!B:I,2,0),VLOOKUP(B996,'12.COT.MERCADO'!A:I,2,0)))),"Em Elaboração")</f>
        <v>Porca sextavada Ø 1/4” - cento</v>
      </c>
      <c r="F996" s="258" t="str">
        <f>IFERROR(IF(D996="SINAPI-S",VLOOKUP(B996,'20-B.SINAPI-S'!A:J,3,0),IF(D996="SINAPI-I",VLOOKUP(B996,'20-A.SINAPI-I'!A:G,3,0),IF(D996="COMPOSIÇÕES",VLOOKUP(B996,'11.COMPOSIÇÕES GERAIS'!B:I,3,0),VLOOKUP(B996,'12.COT.MERCADO'!A:I,7,0)))),"Em Elaboração")</f>
        <v>UN </v>
      </c>
      <c r="G996" s="254">
        <v>2.0</v>
      </c>
      <c r="H996" s="259">
        <f>IFERROR(IF(D996="SINAPI-S",VLOOKUP(B996,'20-B.SINAPI-S'!A:J,5,0),IF(D996="SINAPI-I",VLOOKUP(B996,'20-A.SINAPI-I'!A:G,6,0),IF(D996="COMPOSIÇÕES",VLOOKUP(B996,'11.COMPOSIÇÕES GERAIS'!B:I,7,0),0))),"Em Elaboração")</f>
        <v>0</v>
      </c>
      <c r="I996" s="259">
        <f>IFERROR(IF(D996="SINAPI-S",VLOOKUP(B996,'20-B.SINAPI-S'!A:J,6,0),IF(D996="SINAPI-I",VLOOKUP(B996,'20-A.SINAPI-I'!A:G,7,0),IF(D996="COMPOSIÇÕES",VLOOKUP(B996,'11.COMPOSIÇÕES GERAIS'!B:I,8,0),VLOOKUP(B996,'12.COT.MERCADO'!A:I,8,0)))),"Em Elaboração")</f>
        <v>14.42</v>
      </c>
      <c r="J996" s="259">
        <f t="shared" si="226"/>
        <v>0</v>
      </c>
      <c r="K996" s="259">
        <f t="shared" si="227"/>
        <v>16.89064472</v>
      </c>
      <c r="L996" s="259">
        <f t="shared" si="228"/>
        <v>16.89064472</v>
      </c>
      <c r="M996" s="259">
        <f t="shared" si="229"/>
        <v>0</v>
      </c>
      <c r="N996" s="259">
        <f t="shared" si="230"/>
        <v>33.78128944</v>
      </c>
      <c r="O996" s="259">
        <f t="shared" si="231"/>
        <v>33.78128944</v>
      </c>
      <c r="P996" s="260">
        <f t="shared" si="2"/>
        <v>0.00002642623248</v>
      </c>
    </row>
    <row r="997">
      <c r="A997" s="253" t="s">
        <v>1234</v>
      </c>
      <c r="B997" s="254" t="s">
        <v>1235</v>
      </c>
      <c r="C997" s="255" t="str">
        <f t="shared" si="225"/>
        <v>PRÓPRIO</v>
      </c>
      <c r="D997" s="256" t="s">
        <v>110</v>
      </c>
      <c r="E997" s="257" t="str">
        <f>IFERROR(IF(D997="SINAPI-S",VLOOKUP(B997,'20-B.SINAPI-S'!A:J,2,0),IF(D997="SINAPI-I",VLOOKUP(B997,'20-A.SINAPI-I'!A:G,2,0),IF(D997="COMPOSIÇÕES",VLOOKUP(B997,'11.COMPOSIÇÕES GERAIS'!B:I,2,0),VLOOKUP(B997,'12.COT.MERCADO'!A:I,2,0)))),"Em Elaboração")</f>
        <v>Porca sextavada Ø 3/8” - cento</v>
      </c>
      <c r="F997" s="258" t="str">
        <f>IFERROR(IF(D997="SINAPI-S",VLOOKUP(B997,'20-B.SINAPI-S'!A:J,3,0),IF(D997="SINAPI-I",VLOOKUP(B997,'20-A.SINAPI-I'!A:G,3,0),IF(D997="COMPOSIÇÕES",VLOOKUP(B997,'11.COMPOSIÇÕES GERAIS'!B:I,3,0),VLOOKUP(B997,'12.COT.MERCADO'!A:I,7,0)))),"Em Elaboração")</f>
        <v>UN </v>
      </c>
      <c r="G997" s="254">
        <v>2.0</v>
      </c>
      <c r="H997" s="259">
        <f>IFERROR(IF(D997="SINAPI-S",VLOOKUP(B997,'20-B.SINAPI-S'!A:J,5,0),IF(D997="SINAPI-I",VLOOKUP(B997,'20-A.SINAPI-I'!A:G,6,0),IF(D997="COMPOSIÇÕES",VLOOKUP(B997,'11.COMPOSIÇÕES GERAIS'!B:I,7,0),0))),"Em Elaboração")</f>
        <v>0</v>
      </c>
      <c r="I997" s="259">
        <f>IFERROR(IF(D997="SINAPI-S",VLOOKUP(B997,'20-B.SINAPI-S'!A:J,6,0),IF(D997="SINAPI-I",VLOOKUP(B997,'20-A.SINAPI-I'!A:G,7,0),IF(D997="COMPOSIÇÕES",VLOOKUP(B997,'11.COMPOSIÇÕES GERAIS'!B:I,8,0),VLOOKUP(B997,'12.COT.MERCADO'!A:I,8,0)))),"Em Elaboração")</f>
        <v>26.32</v>
      </c>
      <c r="J997" s="259">
        <f t="shared" si="226"/>
        <v>0</v>
      </c>
      <c r="K997" s="259">
        <f t="shared" si="227"/>
        <v>30.82952628</v>
      </c>
      <c r="L997" s="259">
        <f t="shared" si="228"/>
        <v>30.82952628</v>
      </c>
      <c r="M997" s="259">
        <f t="shared" si="229"/>
        <v>0</v>
      </c>
      <c r="N997" s="259">
        <f t="shared" si="230"/>
        <v>61.65905256</v>
      </c>
      <c r="O997" s="259">
        <f t="shared" si="231"/>
        <v>61.65905256</v>
      </c>
      <c r="P997" s="260">
        <f t="shared" si="2"/>
        <v>0.00004823428841</v>
      </c>
    </row>
    <row r="998">
      <c r="A998" s="253" t="s">
        <v>1236</v>
      </c>
      <c r="B998" s="254" t="s">
        <v>1237</v>
      </c>
      <c r="C998" s="255" t="str">
        <f t="shared" si="225"/>
        <v>PRÓPRIO</v>
      </c>
      <c r="D998" s="256" t="s">
        <v>110</v>
      </c>
      <c r="E998" s="257" t="str">
        <f>IFERROR(IF(D998="SINAPI-S",VLOOKUP(B998,'20-B.SINAPI-S'!A:J,2,0),IF(D998="SINAPI-I",VLOOKUP(B998,'20-A.SINAPI-I'!A:G,2,0),IF(D998="COMPOSIÇÕES",VLOOKUP(B998,'11.COMPOSIÇÕES GERAIS'!B:I,2,0),VLOOKUP(B998,'12.COT.MERCADO'!A:I,2,0)))),"Em Elaboração")</f>
        <v>Manta de borracha 3,2mm X 1m</v>
      </c>
      <c r="F998" s="258" t="str">
        <f>IFERROR(IF(D998="SINAPI-S",VLOOKUP(B998,'20-B.SINAPI-S'!A:J,3,0),IF(D998="SINAPI-I",VLOOKUP(B998,'20-A.SINAPI-I'!A:G,3,0),IF(D998="COMPOSIÇÕES",VLOOKUP(B998,'11.COMPOSIÇÕES GERAIS'!B:I,3,0),VLOOKUP(B998,'12.COT.MERCADO'!A:I,7,0)))),"Em Elaboração")</f>
        <v>M </v>
      </c>
      <c r="G998" s="254">
        <v>1.0</v>
      </c>
      <c r="H998" s="259">
        <f>IFERROR(IF(D998="SINAPI-S",VLOOKUP(B998,'20-B.SINAPI-S'!A:J,5,0),IF(D998="SINAPI-I",VLOOKUP(B998,'20-A.SINAPI-I'!A:G,6,0),IF(D998="COMPOSIÇÕES",VLOOKUP(B998,'11.COMPOSIÇÕES GERAIS'!B:I,7,0),0))),"Em Elaboração")</f>
        <v>0</v>
      </c>
      <c r="I998" s="259">
        <f>IFERROR(IF(D998="SINAPI-S",VLOOKUP(B998,'20-B.SINAPI-S'!A:J,6,0),IF(D998="SINAPI-I",VLOOKUP(B998,'20-A.SINAPI-I'!A:G,7,0),IF(D998="COMPOSIÇÕES",VLOOKUP(B998,'11.COMPOSIÇÕES GERAIS'!B:I,8,0),VLOOKUP(B998,'12.COT.MERCADO'!A:I,8,0)))),"Em Elaboração")</f>
        <v>160.2</v>
      </c>
      <c r="J998" s="259">
        <f t="shared" si="226"/>
        <v>0</v>
      </c>
      <c r="K998" s="259">
        <f t="shared" si="227"/>
        <v>187.6478005</v>
      </c>
      <c r="L998" s="259">
        <f t="shared" si="228"/>
        <v>187.6478005</v>
      </c>
      <c r="M998" s="259">
        <f t="shared" si="229"/>
        <v>0</v>
      </c>
      <c r="N998" s="259">
        <f t="shared" si="230"/>
        <v>187.6478005</v>
      </c>
      <c r="O998" s="259">
        <f t="shared" si="231"/>
        <v>187.6478005</v>
      </c>
      <c r="P998" s="260">
        <f t="shared" si="2"/>
        <v>0.0001467920403</v>
      </c>
    </row>
    <row r="999">
      <c r="A999" s="253" t="s">
        <v>1238</v>
      </c>
      <c r="B999" s="254" t="s">
        <v>1239</v>
      </c>
      <c r="C999" s="255" t="str">
        <f t="shared" si="225"/>
        <v>PRÓPRIO</v>
      </c>
      <c r="D999" s="256" t="s">
        <v>110</v>
      </c>
      <c r="E999" s="257" t="str">
        <f>IFERROR(IF(D999="SINAPI-S",VLOOKUP(B999,'20-B.SINAPI-S'!A:J,2,0),IF(D999="SINAPI-I",VLOOKUP(B999,'20-A.SINAPI-I'!A:G,2,0),IF(D999="COMPOSIÇÕES",VLOOKUP(B999,'11.COMPOSIÇÕES GERAIS'!B:I,2,0),VLOOKUP(B999,'12.COT.MERCADO'!A:I,2,0)))),"Em Elaboração")</f>
        <v>Manta filtrante Poliéster</v>
      </c>
      <c r="F999" s="258" t="str">
        <f>IFERROR(IF(D999="SINAPI-S",VLOOKUP(B999,'20-B.SINAPI-S'!A:J,3,0),IF(D999="SINAPI-I",VLOOKUP(B999,'20-A.SINAPI-I'!A:G,3,0),IF(D999="COMPOSIÇÕES",VLOOKUP(B999,'11.COMPOSIÇÕES GERAIS'!B:I,3,0),VLOOKUP(B999,'12.COT.MERCADO'!A:I,7,0)))),"Em Elaboração")</f>
        <v>M </v>
      </c>
      <c r="G999" s="254">
        <v>2.0</v>
      </c>
      <c r="H999" s="259">
        <f>IFERROR(IF(D999="SINAPI-S",VLOOKUP(B999,'20-B.SINAPI-S'!A:J,5,0),IF(D999="SINAPI-I",VLOOKUP(B999,'20-A.SINAPI-I'!A:G,6,0),IF(D999="COMPOSIÇÕES",VLOOKUP(B999,'11.COMPOSIÇÕES GERAIS'!B:I,7,0),0))),"Em Elaboração")</f>
        <v>0</v>
      </c>
      <c r="I999" s="259">
        <f>IFERROR(IF(D999="SINAPI-S",VLOOKUP(B999,'20-B.SINAPI-S'!A:J,6,0),IF(D999="SINAPI-I",VLOOKUP(B999,'20-A.SINAPI-I'!A:G,7,0),IF(D999="COMPOSIÇÕES",VLOOKUP(B999,'11.COMPOSIÇÕES GERAIS'!B:I,8,0),VLOOKUP(B999,'12.COT.MERCADO'!A:I,8,0)))),"Em Elaboração")</f>
        <v>194.75</v>
      </c>
      <c r="J999" s="259">
        <f t="shared" si="226"/>
        <v>0</v>
      </c>
      <c r="K999" s="259">
        <f t="shared" si="227"/>
        <v>228.1174105</v>
      </c>
      <c r="L999" s="259">
        <f t="shared" si="228"/>
        <v>228.1174105</v>
      </c>
      <c r="M999" s="259">
        <f t="shared" si="229"/>
        <v>0</v>
      </c>
      <c r="N999" s="259">
        <f t="shared" si="230"/>
        <v>456.2348209</v>
      </c>
      <c r="O999" s="259">
        <f t="shared" si="231"/>
        <v>456.2348209</v>
      </c>
      <c r="P999" s="260">
        <f t="shared" si="2"/>
        <v>0.0003569007472</v>
      </c>
    </row>
    <row r="1000">
      <c r="A1000" s="253" t="s">
        <v>1240</v>
      </c>
      <c r="B1000" s="254" t="s">
        <v>1241</v>
      </c>
      <c r="C1000" s="255" t="str">
        <f t="shared" si="225"/>
        <v>PRÓPRIO</v>
      </c>
      <c r="D1000" s="256" t="s">
        <v>110</v>
      </c>
      <c r="E1000" s="257" t="str">
        <f>IFERROR(IF(D1000="SINAPI-S",VLOOKUP(B1000,'20-B.SINAPI-S'!A:J,2,0),IF(D1000="SINAPI-I",VLOOKUP(B1000,'20-A.SINAPI-I'!A:G,2,0),IF(D1000="COMPOSIÇÕES",VLOOKUP(B1000,'11.COMPOSIÇÕES GERAIS'!B:I,2,0),VLOOKUP(B1000,'12.COT.MERCADO'!A:I,2,0)))),"Em Elaboração")</f>
        <v>Óleo lubrificante SAE 90</v>
      </c>
      <c r="F1000" s="258" t="str">
        <f>IFERROR(IF(D1000="SINAPI-S",VLOOKUP(B1000,'20-B.SINAPI-S'!A:J,3,0),IF(D1000="SINAPI-I",VLOOKUP(B1000,'20-A.SINAPI-I'!A:G,3,0),IF(D1000="COMPOSIÇÕES",VLOOKUP(B1000,'11.COMPOSIÇÕES GERAIS'!B:I,3,0),VLOOKUP(B1000,'12.COT.MERCADO'!A:I,7,0)))),"Em Elaboração")</f>
        <v>L</v>
      </c>
      <c r="G1000" s="254">
        <v>3.0</v>
      </c>
      <c r="H1000" s="259">
        <f>IFERROR(IF(D1000="SINAPI-S",VLOOKUP(B1000,'20-B.SINAPI-S'!A:J,5,0),IF(D1000="SINAPI-I",VLOOKUP(B1000,'20-A.SINAPI-I'!A:G,6,0),IF(D1000="COMPOSIÇÕES",VLOOKUP(B1000,'11.COMPOSIÇÕES GERAIS'!B:I,7,0),0))),"Em Elaboração")</f>
        <v>0</v>
      </c>
      <c r="I1000" s="259">
        <f>IFERROR(IF(D1000="SINAPI-S",VLOOKUP(B1000,'20-B.SINAPI-S'!A:J,6,0),IF(D1000="SINAPI-I",VLOOKUP(B1000,'20-A.SINAPI-I'!A:G,7,0),IF(D1000="COMPOSIÇÕES",VLOOKUP(B1000,'11.COMPOSIÇÕES GERAIS'!B:I,8,0),VLOOKUP(B1000,'12.COT.MERCADO'!A:I,8,0)))),"Em Elaboração")</f>
        <v>41.23</v>
      </c>
      <c r="J1000" s="259">
        <f t="shared" si="226"/>
        <v>0</v>
      </c>
      <c r="K1000" s="259">
        <f t="shared" si="227"/>
        <v>48.29412495</v>
      </c>
      <c r="L1000" s="259">
        <f t="shared" si="228"/>
        <v>48.29412495</v>
      </c>
      <c r="M1000" s="259">
        <f t="shared" si="229"/>
        <v>0</v>
      </c>
      <c r="N1000" s="259">
        <f t="shared" si="230"/>
        <v>144.8823748</v>
      </c>
      <c r="O1000" s="259">
        <f t="shared" si="231"/>
        <v>144.8823748</v>
      </c>
      <c r="P1000" s="260">
        <f t="shared" si="2"/>
        <v>0.0001133377495</v>
      </c>
    </row>
    <row r="1001">
      <c r="A1001" s="253" t="s">
        <v>1242</v>
      </c>
      <c r="B1001" s="254" t="s">
        <v>1243</v>
      </c>
      <c r="C1001" s="255" t="str">
        <f t="shared" si="225"/>
        <v>PRÓPRIO</v>
      </c>
      <c r="D1001" s="256" t="s">
        <v>110</v>
      </c>
      <c r="E1001" s="257" t="str">
        <f>IFERROR(IF(D1001="SINAPI-S",VLOOKUP(B1001,'20-B.SINAPI-S'!A:J,2,0),IF(D1001="SINAPI-I",VLOOKUP(B1001,'20-A.SINAPI-I'!A:G,2,0),IF(D1001="COMPOSIÇÕES",VLOOKUP(B1001,'11.COMPOSIÇÕES GERAIS'!B:I,2,0),VLOOKUP(B1001,'12.COT.MERCADO'!A:I,2,0)))),"Em Elaboração")</f>
        <v>Parafuso sextavado rosca parcial 5/16" x 3"</v>
      </c>
      <c r="F1001" s="258" t="str">
        <f>IFERROR(IF(D1001="SINAPI-S",VLOOKUP(B1001,'20-B.SINAPI-S'!A:J,3,0),IF(D1001="SINAPI-I",VLOOKUP(B1001,'20-A.SINAPI-I'!A:G,3,0),IF(D1001="COMPOSIÇÕES",VLOOKUP(B1001,'11.COMPOSIÇÕES GERAIS'!B:I,3,0),VLOOKUP(B1001,'12.COT.MERCADO'!A:I,7,0)))),"Em Elaboração")</f>
        <v>UN </v>
      </c>
      <c r="G1001" s="254">
        <v>4.0</v>
      </c>
      <c r="H1001" s="259">
        <f>IFERROR(IF(D1001="SINAPI-S",VLOOKUP(B1001,'20-B.SINAPI-S'!A:J,5,0),IF(D1001="SINAPI-I",VLOOKUP(B1001,'20-A.SINAPI-I'!A:G,6,0),IF(D1001="COMPOSIÇÕES",VLOOKUP(B1001,'11.COMPOSIÇÕES GERAIS'!B:I,7,0),0))),"Em Elaboração")</f>
        <v>0</v>
      </c>
      <c r="I1001" s="259">
        <f>IFERROR(IF(D1001="SINAPI-S",VLOOKUP(B1001,'20-B.SINAPI-S'!A:J,6,0),IF(D1001="SINAPI-I",VLOOKUP(B1001,'20-A.SINAPI-I'!A:G,7,0),IF(D1001="COMPOSIÇÕES",VLOOKUP(B1001,'11.COMPOSIÇÕES GERAIS'!B:I,8,0),VLOOKUP(B1001,'12.COT.MERCADO'!A:I,8,0)))),"Em Elaboração")</f>
        <v>49.41</v>
      </c>
      <c r="J1001" s="259">
        <f t="shared" si="226"/>
        <v>0</v>
      </c>
      <c r="K1001" s="259">
        <f t="shared" si="227"/>
        <v>57.87564185</v>
      </c>
      <c r="L1001" s="259">
        <f t="shared" si="228"/>
        <v>57.87564185</v>
      </c>
      <c r="M1001" s="259">
        <f t="shared" si="229"/>
        <v>0</v>
      </c>
      <c r="N1001" s="259">
        <f t="shared" si="230"/>
        <v>231.5025674</v>
      </c>
      <c r="O1001" s="259">
        <f t="shared" si="231"/>
        <v>231.5025674</v>
      </c>
      <c r="P1001" s="260">
        <f t="shared" si="2"/>
        <v>0.0001810984947</v>
      </c>
    </row>
    <row r="1002">
      <c r="A1002" s="253" t="s">
        <v>1244</v>
      </c>
      <c r="B1002" s="254" t="s">
        <v>1245</v>
      </c>
      <c r="C1002" s="255" t="str">
        <f t="shared" si="225"/>
        <v>PRÓPRIO</v>
      </c>
      <c r="D1002" s="256" t="s">
        <v>110</v>
      </c>
      <c r="E1002" s="257" t="str">
        <f>IFERROR(IF(D1002="SINAPI-S",VLOOKUP(B1002,'20-B.SINAPI-S'!A:J,2,0),IF(D1002="SINAPI-I",VLOOKUP(B1002,'20-A.SINAPI-I'!A:G,2,0),IF(D1002="COMPOSIÇÕES",VLOOKUP(B1002,'11.COMPOSIÇÕES GERAIS'!B:I,2,0),VLOOKUP(B1002,'12.COT.MERCADO'!A:I,2,0)))),"Em Elaboração")</f>
        <v>Detergente Desincrustante Profissional limpa metal 5L. Ref: Thilex, Solupan, Metasil ou similar</v>
      </c>
      <c r="F1002" s="258" t="str">
        <f>IFERROR(IF(D1002="SINAPI-S",VLOOKUP(B1002,'20-B.SINAPI-S'!A:J,3,0),IF(D1002="SINAPI-I",VLOOKUP(B1002,'20-A.SINAPI-I'!A:G,3,0),IF(D1002="COMPOSIÇÕES",VLOOKUP(B1002,'11.COMPOSIÇÕES GERAIS'!B:I,3,0),VLOOKUP(B1002,'12.COT.MERCADO'!A:I,7,0)))),"Em Elaboração")</f>
        <v>UN </v>
      </c>
      <c r="G1002" s="254">
        <v>3.0</v>
      </c>
      <c r="H1002" s="259">
        <f>IFERROR(IF(D1002="SINAPI-S",VLOOKUP(B1002,'20-B.SINAPI-S'!A:J,5,0),IF(D1002="SINAPI-I",VLOOKUP(B1002,'20-A.SINAPI-I'!A:G,6,0),IF(D1002="COMPOSIÇÕES",VLOOKUP(B1002,'11.COMPOSIÇÕES GERAIS'!B:I,7,0),0))),"Em Elaboração")</f>
        <v>0</v>
      </c>
      <c r="I1002" s="259">
        <f>IFERROR(IF(D1002="SINAPI-S",VLOOKUP(B1002,'20-B.SINAPI-S'!A:J,6,0),IF(D1002="SINAPI-I",VLOOKUP(B1002,'20-A.SINAPI-I'!A:G,7,0),IF(D1002="COMPOSIÇÕES",VLOOKUP(B1002,'11.COMPOSIÇÕES GERAIS'!B:I,8,0),VLOOKUP(B1002,'12.COT.MERCADO'!A:I,8,0)))),"Em Elaboração")</f>
        <v>109</v>
      </c>
      <c r="J1002" s="259">
        <f t="shared" si="226"/>
        <v>0</v>
      </c>
      <c r="K1002" s="259">
        <f t="shared" si="227"/>
        <v>127.6754698</v>
      </c>
      <c r="L1002" s="259">
        <f t="shared" si="228"/>
        <v>127.6754698</v>
      </c>
      <c r="M1002" s="259">
        <f t="shared" si="229"/>
        <v>0</v>
      </c>
      <c r="N1002" s="259">
        <f t="shared" si="230"/>
        <v>383.0264093</v>
      </c>
      <c r="O1002" s="259">
        <f t="shared" si="231"/>
        <v>383.0264093</v>
      </c>
      <c r="P1002" s="260">
        <f t="shared" si="2"/>
        <v>0.0002996316928</v>
      </c>
    </row>
    <row r="1003">
      <c r="A1003" s="253" t="s">
        <v>1246</v>
      </c>
      <c r="B1003" s="254" t="s">
        <v>1247</v>
      </c>
      <c r="C1003" s="255" t="str">
        <f t="shared" si="225"/>
        <v>PRÓPRIO</v>
      </c>
      <c r="D1003" s="256" t="s">
        <v>110</v>
      </c>
      <c r="E1003" s="257" t="str">
        <f>IFERROR(IF(D1003="SINAPI-S",VLOOKUP(B1003,'20-B.SINAPI-S'!A:J,2,0),IF(D1003="SINAPI-I",VLOOKUP(B1003,'20-A.SINAPI-I'!A:G,2,0),IF(D1003="COMPOSIÇÕES",VLOOKUP(B1003,'11.COMPOSIÇÕES GERAIS'!B:I,2,0),VLOOKUP(B1003,'12.COT.MERCADO'!A:I,2,0)))),"Em Elaboração")</f>
        <v>Vaselina Sólida 3kg</v>
      </c>
      <c r="F1003" s="258" t="str">
        <f>IFERROR(IF(D1003="SINAPI-S",VLOOKUP(B1003,'20-B.SINAPI-S'!A:J,3,0),IF(D1003="SINAPI-I",VLOOKUP(B1003,'20-A.SINAPI-I'!A:G,3,0),IF(D1003="COMPOSIÇÕES",VLOOKUP(B1003,'11.COMPOSIÇÕES GERAIS'!B:I,3,0),VLOOKUP(B1003,'12.COT.MERCADO'!A:I,7,0)))),"Em Elaboração")</f>
        <v>UN </v>
      </c>
      <c r="G1003" s="254">
        <v>3.0</v>
      </c>
      <c r="H1003" s="259">
        <f>IFERROR(IF(D1003="SINAPI-S",VLOOKUP(B1003,'20-B.SINAPI-S'!A:J,5,0),IF(D1003="SINAPI-I",VLOOKUP(B1003,'20-A.SINAPI-I'!A:G,6,0),IF(D1003="COMPOSIÇÕES",VLOOKUP(B1003,'11.COMPOSIÇÕES GERAIS'!B:I,7,0),0))),"Em Elaboração")</f>
        <v>0</v>
      </c>
      <c r="I1003" s="259">
        <f>IFERROR(IF(D1003="SINAPI-S",VLOOKUP(B1003,'20-B.SINAPI-S'!A:J,6,0),IF(D1003="SINAPI-I",VLOOKUP(B1003,'20-A.SINAPI-I'!A:G,7,0),IF(D1003="COMPOSIÇÕES",VLOOKUP(B1003,'11.COMPOSIÇÕES GERAIS'!B:I,8,0),VLOOKUP(B1003,'12.COT.MERCADO'!A:I,8,0)))),"Em Elaboração")</f>
        <v>83.84</v>
      </c>
      <c r="J1003" s="259">
        <f t="shared" si="226"/>
        <v>0</v>
      </c>
      <c r="K1003" s="259">
        <f t="shared" si="227"/>
        <v>98.20469162</v>
      </c>
      <c r="L1003" s="259">
        <f t="shared" si="228"/>
        <v>98.20469162</v>
      </c>
      <c r="M1003" s="259">
        <f t="shared" si="229"/>
        <v>0</v>
      </c>
      <c r="N1003" s="259">
        <f t="shared" si="230"/>
        <v>294.6140749</v>
      </c>
      <c r="O1003" s="259">
        <f t="shared" si="231"/>
        <v>294.6140749</v>
      </c>
      <c r="P1003" s="260">
        <f t="shared" si="2"/>
        <v>0.0002304690011</v>
      </c>
    </row>
    <row r="1004">
      <c r="A1004" s="253" t="s">
        <v>1248</v>
      </c>
      <c r="B1004" s="254" t="s">
        <v>1249</v>
      </c>
      <c r="C1004" s="255" t="str">
        <f t="shared" si="225"/>
        <v>PRÓPRIO</v>
      </c>
      <c r="D1004" s="256" t="s">
        <v>110</v>
      </c>
      <c r="E1004" s="257" t="str">
        <f>IFERROR(IF(D1004="SINAPI-S",VLOOKUP(B1004,'20-B.SINAPI-S'!A:J,2,0),IF(D1004="SINAPI-I",VLOOKUP(B1004,'20-A.SINAPI-I'!A:G,2,0),IF(D1004="COMPOSIÇÕES",VLOOKUP(B1004,'11.COMPOSIÇÕES GERAIS'!B:I,2,0),VLOOKUP(B1004,'12.COT.MERCADO'!A:I,2,0)))),"Em Elaboração")</f>
        <v>Lâmina para Serra</v>
      </c>
      <c r="F1004" s="258" t="str">
        <f>IFERROR(IF(D1004="SINAPI-S",VLOOKUP(B1004,'20-B.SINAPI-S'!A:J,3,0),IF(D1004="SINAPI-I",VLOOKUP(B1004,'20-A.SINAPI-I'!A:G,3,0),IF(D1004="COMPOSIÇÕES",VLOOKUP(B1004,'11.COMPOSIÇÕES GERAIS'!B:I,3,0),VLOOKUP(B1004,'12.COT.MERCADO'!A:I,7,0)))),"Em Elaboração")</f>
        <v>UN </v>
      </c>
      <c r="G1004" s="254">
        <v>6.0</v>
      </c>
      <c r="H1004" s="259">
        <f>IFERROR(IF(D1004="SINAPI-S",VLOOKUP(B1004,'20-B.SINAPI-S'!A:J,5,0),IF(D1004="SINAPI-I",VLOOKUP(B1004,'20-A.SINAPI-I'!A:G,6,0),IF(D1004="COMPOSIÇÕES",VLOOKUP(B1004,'11.COMPOSIÇÕES GERAIS'!B:I,7,0),0))),"Em Elaboração")</f>
        <v>0</v>
      </c>
      <c r="I1004" s="259">
        <f>IFERROR(IF(D1004="SINAPI-S",VLOOKUP(B1004,'20-B.SINAPI-S'!A:J,6,0),IF(D1004="SINAPI-I",VLOOKUP(B1004,'20-A.SINAPI-I'!A:G,7,0),IF(D1004="COMPOSIÇÕES",VLOOKUP(B1004,'11.COMPOSIÇÕES GERAIS'!B:I,8,0),VLOOKUP(B1004,'12.COT.MERCADO'!A:I,8,0)))),"Em Elaboração")</f>
        <v>6.65</v>
      </c>
      <c r="J1004" s="259">
        <f t="shared" si="226"/>
        <v>0</v>
      </c>
      <c r="K1004" s="259">
        <f t="shared" si="227"/>
        <v>7.789374991</v>
      </c>
      <c r="L1004" s="259">
        <f t="shared" si="228"/>
        <v>7.789374991</v>
      </c>
      <c r="M1004" s="259">
        <f t="shared" si="229"/>
        <v>0</v>
      </c>
      <c r="N1004" s="259">
        <f t="shared" si="230"/>
        <v>46.73624995</v>
      </c>
      <c r="O1004" s="259">
        <f t="shared" si="231"/>
        <v>46.73624995</v>
      </c>
      <c r="P1004" s="260">
        <f t="shared" si="2"/>
        <v>0.00003656056435</v>
      </c>
    </row>
    <row r="1005">
      <c r="A1005" s="253" t="s">
        <v>1250</v>
      </c>
      <c r="B1005" s="254" t="s">
        <v>1251</v>
      </c>
      <c r="C1005" s="255" t="str">
        <f t="shared" si="225"/>
        <v>PRÓPRIO</v>
      </c>
      <c r="D1005" s="256" t="s">
        <v>110</v>
      </c>
      <c r="E1005" s="257" t="str">
        <f>IFERROR(IF(D1005="SINAPI-S",VLOOKUP(B1005,'20-B.SINAPI-S'!A:J,2,0),IF(D1005="SINAPI-I",VLOOKUP(B1005,'20-A.SINAPI-I'!A:G,2,0),IF(D1005="COMPOSIÇÕES",VLOOKUP(B1005,'11.COMPOSIÇÕES GERAIS'!B:I,2,0),VLOOKUP(B1005,'12.COT.MERCADO'!A:I,2,0)))),"Em Elaboração")</f>
        <v>Grelha de Insuflamento 40x40</v>
      </c>
      <c r="F1005" s="258" t="str">
        <f>IFERROR(IF(D1005="SINAPI-S",VLOOKUP(B1005,'20-B.SINAPI-S'!A:J,3,0),IF(D1005="SINAPI-I",VLOOKUP(B1005,'20-A.SINAPI-I'!A:G,3,0),IF(D1005="COMPOSIÇÕES",VLOOKUP(B1005,'11.COMPOSIÇÕES GERAIS'!B:I,3,0),VLOOKUP(B1005,'12.COT.MERCADO'!A:I,7,0)))),"Em Elaboração")</f>
        <v>UN </v>
      </c>
      <c r="G1005" s="254">
        <v>2.0</v>
      </c>
      <c r="H1005" s="259">
        <f>IFERROR(IF(D1005="SINAPI-S",VLOOKUP(B1005,'20-B.SINAPI-S'!A:J,5,0),IF(D1005="SINAPI-I",VLOOKUP(B1005,'20-A.SINAPI-I'!A:G,6,0),IF(D1005="COMPOSIÇÕES",VLOOKUP(B1005,'11.COMPOSIÇÕES GERAIS'!B:I,7,0),0))),"Em Elaboração")</f>
        <v>0</v>
      </c>
      <c r="I1005" s="259">
        <f>IFERROR(IF(D1005="SINAPI-S",VLOOKUP(B1005,'20-B.SINAPI-S'!A:J,6,0),IF(D1005="SINAPI-I",VLOOKUP(B1005,'20-A.SINAPI-I'!A:G,7,0),IF(D1005="COMPOSIÇÕES",VLOOKUP(B1005,'11.COMPOSIÇÕES GERAIS'!B:I,8,0),VLOOKUP(B1005,'12.COT.MERCADO'!A:I,8,0)))),"Em Elaboração")</f>
        <v>240</v>
      </c>
      <c r="J1005" s="259">
        <f t="shared" si="226"/>
        <v>0</v>
      </c>
      <c r="K1005" s="259">
        <f t="shared" si="227"/>
        <v>281.1203004</v>
      </c>
      <c r="L1005" s="259">
        <f t="shared" si="228"/>
        <v>281.1203004</v>
      </c>
      <c r="M1005" s="259">
        <f t="shared" si="229"/>
        <v>0</v>
      </c>
      <c r="N1005" s="259">
        <f t="shared" si="230"/>
        <v>562.2406009</v>
      </c>
      <c r="O1005" s="259">
        <f t="shared" si="231"/>
        <v>562.2406009</v>
      </c>
      <c r="P1005" s="260">
        <f t="shared" si="2"/>
        <v>0.0004398263381</v>
      </c>
    </row>
    <row r="1006">
      <c r="A1006" s="253" t="s">
        <v>1252</v>
      </c>
      <c r="B1006" s="254" t="s">
        <v>1253</v>
      </c>
      <c r="C1006" s="255" t="str">
        <f t="shared" si="225"/>
        <v>PRÓPRIO</v>
      </c>
      <c r="D1006" s="256" t="s">
        <v>110</v>
      </c>
      <c r="E1006" s="257" t="str">
        <f>IFERROR(IF(D1006="SINAPI-S",VLOOKUP(B1006,'20-B.SINAPI-S'!A:J,2,0),IF(D1006="SINAPI-I",VLOOKUP(B1006,'20-A.SINAPI-I'!A:G,2,0),IF(D1006="COMPOSIÇÕES",VLOOKUP(B1006,'11.COMPOSIÇÕES GERAIS'!B:I,2,0),VLOOKUP(B1006,'12.COT.MERCADO'!A:I,2,0)))),"Em Elaboração")</f>
        <v>SENSOR TEMPERATURA 30RB 10M</v>
      </c>
      <c r="F1006" s="258" t="str">
        <f>IFERROR(IF(D1006="SINAPI-S",VLOOKUP(B1006,'20-B.SINAPI-S'!A:J,3,0),IF(D1006="SINAPI-I",VLOOKUP(B1006,'20-A.SINAPI-I'!A:G,3,0),IF(D1006="COMPOSIÇÕES",VLOOKUP(B1006,'11.COMPOSIÇÕES GERAIS'!B:I,3,0),VLOOKUP(B1006,'12.COT.MERCADO'!A:I,7,0)))),"Em Elaboração")</f>
        <v>UN </v>
      </c>
      <c r="G1006" s="254">
        <v>2.0</v>
      </c>
      <c r="H1006" s="259">
        <f>IFERROR(IF(D1006="SINAPI-S",VLOOKUP(B1006,'20-B.SINAPI-S'!A:J,5,0),IF(D1006="SINAPI-I",VLOOKUP(B1006,'20-A.SINAPI-I'!A:G,6,0),IF(D1006="COMPOSIÇÕES",VLOOKUP(B1006,'11.COMPOSIÇÕES GERAIS'!B:I,7,0),0))),"Em Elaboração")</f>
        <v>0</v>
      </c>
      <c r="I1006" s="259">
        <f>IFERROR(IF(D1006="SINAPI-S",VLOOKUP(B1006,'20-B.SINAPI-S'!A:J,6,0),IF(D1006="SINAPI-I",VLOOKUP(B1006,'20-A.SINAPI-I'!A:G,7,0),IF(D1006="COMPOSIÇÕES",VLOOKUP(B1006,'11.COMPOSIÇÕES GERAIS'!B:I,8,0),VLOOKUP(B1006,'12.COT.MERCADO'!A:I,8,0)))),"Em Elaboração")</f>
        <v>267.48</v>
      </c>
      <c r="J1006" s="259">
        <f t="shared" si="226"/>
        <v>0</v>
      </c>
      <c r="K1006" s="259">
        <f t="shared" si="227"/>
        <v>313.3085748</v>
      </c>
      <c r="L1006" s="259">
        <f t="shared" si="228"/>
        <v>313.3085748</v>
      </c>
      <c r="M1006" s="259">
        <f t="shared" si="229"/>
        <v>0</v>
      </c>
      <c r="N1006" s="259">
        <f t="shared" si="230"/>
        <v>626.6171497</v>
      </c>
      <c r="O1006" s="259">
        <f t="shared" si="231"/>
        <v>626.6171497</v>
      </c>
      <c r="P1006" s="260">
        <f t="shared" si="2"/>
        <v>0.0004901864538</v>
      </c>
    </row>
    <row r="1007">
      <c r="A1007" s="253" t="s">
        <v>1254</v>
      </c>
      <c r="B1007" s="254" t="s">
        <v>1255</v>
      </c>
      <c r="C1007" s="255" t="str">
        <f t="shared" si="225"/>
        <v>PRÓPRIO</v>
      </c>
      <c r="D1007" s="256" t="s">
        <v>110</v>
      </c>
      <c r="E1007" s="257" t="str">
        <f>IFERROR(IF(D1007="SINAPI-S",VLOOKUP(B1007,'20-B.SINAPI-S'!A:J,2,0),IF(D1007="SINAPI-I",VLOOKUP(B1007,'20-A.SINAPI-I'!A:G,2,0),IF(D1007="COMPOSIÇÕES",VLOOKUP(B1007,'11.COMPOSIÇÕES GERAIS'!B:I,2,0),VLOOKUP(B1007,'12.COT.MERCADO'!A:I,2,0)))),"Em Elaboração")</f>
        <v>CONECTOR TRANSDUTOR  DE PRESSAO</v>
      </c>
      <c r="F1007" s="258" t="str">
        <f>IFERROR(IF(D1007="SINAPI-S",VLOOKUP(B1007,'20-B.SINAPI-S'!A:J,3,0),IF(D1007="SINAPI-I",VLOOKUP(B1007,'20-A.SINAPI-I'!A:G,3,0),IF(D1007="COMPOSIÇÕES",VLOOKUP(B1007,'11.COMPOSIÇÕES GERAIS'!B:I,3,0),VLOOKUP(B1007,'12.COT.MERCADO'!A:I,7,0)))),"Em Elaboração")</f>
        <v>UN </v>
      </c>
      <c r="G1007" s="254">
        <v>2.0</v>
      </c>
      <c r="H1007" s="259">
        <f>IFERROR(IF(D1007="SINAPI-S",VLOOKUP(B1007,'20-B.SINAPI-S'!A:J,5,0),IF(D1007="SINAPI-I",VLOOKUP(B1007,'20-A.SINAPI-I'!A:G,6,0),IF(D1007="COMPOSIÇÕES",VLOOKUP(B1007,'11.COMPOSIÇÕES GERAIS'!B:I,7,0),0))),"Em Elaboração")</f>
        <v>0</v>
      </c>
      <c r="I1007" s="259">
        <f>IFERROR(IF(D1007="SINAPI-S",VLOOKUP(B1007,'20-B.SINAPI-S'!A:J,6,0),IF(D1007="SINAPI-I",VLOOKUP(B1007,'20-A.SINAPI-I'!A:G,7,0),IF(D1007="COMPOSIÇÕES",VLOOKUP(B1007,'11.COMPOSIÇÕES GERAIS'!B:I,8,0),VLOOKUP(B1007,'12.COT.MERCADO'!A:I,8,0)))),"Em Elaboração")</f>
        <v>472.5</v>
      </c>
      <c r="J1007" s="259">
        <f t="shared" si="226"/>
        <v>0</v>
      </c>
      <c r="K1007" s="259">
        <f t="shared" si="227"/>
        <v>553.4555915</v>
      </c>
      <c r="L1007" s="259">
        <f t="shared" si="228"/>
        <v>553.4555915</v>
      </c>
      <c r="M1007" s="259">
        <f t="shared" si="229"/>
        <v>0</v>
      </c>
      <c r="N1007" s="259">
        <f t="shared" si="230"/>
        <v>1106.911183</v>
      </c>
      <c r="O1007" s="259">
        <f t="shared" si="231"/>
        <v>1106.911183</v>
      </c>
      <c r="P1007" s="260">
        <f t="shared" si="2"/>
        <v>0.000865908103</v>
      </c>
    </row>
    <row r="1008">
      <c r="A1008" s="253" t="s">
        <v>1256</v>
      </c>
      <c r="B1008" s="254" t="s">
        <v>1257</v>
      </c>
      <c r="C1008" s="255" t="str">
        <f t="shared" si="225"/>
        <v>PRÓPRIO</v>
      </c>
      <c r="D1008" s="256" t="s">
        <v>110</v>
      </c>
      <c r="E1008" s="257" t="str">
        <f>IFERROR(IF(D1008="SINAPI-S",VLOOKUP(B1008,'20-B.SINAPI-S'!A:J,2,0),IF(D1008="SINAPI-I",VLOOKUP(B1008,'20-A.SINAPI-I'!A:G,2,0),IF(D1008="COMPOSIÇÕES",VLOOKUP(B1008,'11.COMPOSIÇÕES GERAIS'!B:I,2,0),VLOOKUP(B1008,'12.COT.MERCADO'!A:I,2,0)))),"Em Elaboração")</f>
        <v>CABO/CONECTOR  DO SENSOR NACIONAL</v>
      </c>
      <c r="F1008" s="258" t="str">
        <f>IFERROR(IF(D1008="SINAPI-S",VLOOKUP(B1008,'20-B.SINAPI-S'!A:J,3,0),IF(D1008="SINAPI-I",VLOOKUP(B1008,'20-A.SINAPI-I'!A:G,3,0),IF(D1008="COMPOSIÇÕES",VLOOKUP(B1008,'11.COMPOSIÇÕES GERAIS'!B:I,3,0),VLOOKUP(B1008,'12.COT.MERCADO'!A:I,7,0)))),"Em Elaboração")</f>
        <v>UN </v>
      </c>
      <c r="G1008" s="254">
        <v>2.0</v>
      </c>
      <c r="H1008" s="259">
        <f>IFERROR(IF(D1008="SINAPI-S",VLOOKUP(B1008,'20-B.SINAPI-S'!A:J,5,0),IF(D1008="SINAPI-I",VLOOKUP(B1008,'20-A.SINAPI-I'!A:G,6,0),IF(D1008="COMPOSIÇÕES",VLOOKUP(B1008,'11.COMPOSIÇÕES GERAIS'!B:I,7,0),0))),"Em Elaboração")</f>
        <v>0</v>
      </c>
      <c r="I1008" s="259">
        <f>IFERROR(IF(D1008="SINAPI-S",VLOOKUP(B1008,'20-B.SINAPI-S'!A:J,6,0),IF(D1008="SINAPI-I",VLOOKUP(B1008,'20-A.SINAPI-I'!A:G,7,0),IF(D1008="COMPOSIÇÕES",VLOOKUP(B1008,'11.COMPOSIÇÕES GERAIS'!B:I,8,0),VLOOKUP(B1008,'12.COT.MERCADO'!A:I,8,0)))),"Em Elaboração")</f>
        <v>56.58</v>
      </c>
      <c r="J1008" s="259">
        <f t="shared" si="226"/>
        <v>0</v>
      </c>
      <c r="K1008" s="259">
        <f t="shared" si="227"/>
        <v>66.27411083</v>
      </c>
      <c r="L1008" s="259">
        <f t="shared" si="228"/>
        <v>66.27411083</v>
      </c>
      <c r="M1008" s="259">
        <f t="shared" si="229"/>
        <v>0</v>
      </c>
      <c r="N1008" s="259">
        <f t="shared" si="230"/>
        <v>132.5482217</v>
      </c>
      <c r="O1008" s="259">
        <f t="shared" si="231"/>
        <v>132.5482217</v>
      </c>
      <c r="P1008" s="260">
        <f t="shared" si="2"/>
        <v>0.0001036890592</v>
      </c>
    </row>
    <row r="1009">
      <c r="A1009" s="253" t="s">
        <v>1258</v>
      </c>
      <c r="B1009" s="254" t="s">
        <v>1259</v>
      </c>
      <c r="C1009" s="255" t="str">
        <f t="shared" si="225"/>
        <v>PRÓPRIO</v>
      </c>
      <c r="D1009" s="256" t="s">
        <v>110</v>
      </c>
      <c r="E1009" s="257" t="str">
        <f>IFERROR(IF(D1009="SINAPI-S",VLOOKUP(B1009,'20-B.SINAPI-S'!A:J,2,0),IF(D1009="SINAPI-I",VLOOKUP(B1009,'20-A.SINAPI-I'!A:G,2,0),IF(D1009="COMPOSIÇÕES",VLOOKUP(B1009,'11.COMPOSIÇÕES GERAIS'!B:I,2,0),VLOOKUP(B1009,'12.COT.MERCADO'!A:I,2,0)))),"Em Elaboração")</f>
        <v>TRANSD DE BAIXA PRESSAO </v>
      </c>
      <c r="F1009" s="258" t="str">
        <f>IFERROR(IF(D1009="SINAPI-S",VLOOKUP(B1009,'20-B.SINAPI-S'!A:J,3,0),IF(D1009="SINAPI-I",VLOOKUP(B1009,'20-A.SINAPI-I'!A:G,3,0),IF(D1009="COMPOSIÇÕES",VLOOKUP(B1009,'11.COMPOSIÇÕES GERAIS'!B:I,3,0),VLOOKUP(B1009,'12.COT.MERCADO'!A:I,7,0)))),"Em Elaboração")</f>
        <v>UN </v>
      </c>
      <c r="G1009" s="254">
        <v>2.0</v>
      </c>
      <c r="H1009" s="259">
        <f>IFERROR(IF(D1009="SINAPI-S",VLOOKUP(B1009,'20-B.SINAPI-S'!A:J,5,0),IF(D1009="SINAPI-I",VLOOKUP(B1009,'20-A.SINAPI-I'!A:G,6,0),IF(D1009="COMPOSIÇÕES",VLOOKUP(B1009,'11.COMPOSIÇÕES GERAIS'!B:I,7,0),0))),"Em Elaboração")</f>
        <v>0</v>
      </c>
      <c r="I1009" s="259">
        <f>IFERROR(IF(D1009="SINAPI-S",VLOOKUP(B1009,'20-B.SINAPI-S'!A:J,6,0),IF(D1009="SINAPI-I",VLOOKUP(B1009,'20-A.SINAPI-I'!A:G,7,0),IF(D1009="COMPOSIÇÕES",VLOOKUP(B1009,'11.COMPOSIÇÕES GERAIS'!B:I,8,0),VLOOKUP(B1009,'12.COT.MERCADO'!A:I,8,0)))),"Em Elaboração")</f>
        <v>815</v>
      </c>
      <c r="J1009" s="259">
        <f t="shared" si="226"/>
        <v>0</v>
      </c>
      <c r="K1009" s="259">
        <f t="shared" si="227"/>
        <v>954.6376869</v>
      </c>
      <c r="L1009" s="259">
        <f t="shared" si="228"/>
        <v>954.6376869</v>
      </c>
      <c r="M1009" s="259">
        <f t="shared" si="229"/>
        <v>0</v>
      </c>
      <c r="N1009" s="259">
        <f t="shared" si="230"/>
        <v>1909.275374</v>
      </c>
      <c r="O1009" s="259">
        <f t="shared" si="231"/>
        <v>1909.275374</v>
      </c>
      <c r="P1009" s="260">
        <f t="shared" si="2"/>
        <v>0.00149357694</v>
      </c>
    </row>
    <row r="1010">
      <c r="A1010" s="253" t="s">
        <v>1260</v>
      </c>
      <c r="B1010" s="254" t="s">
        <v>1261</v>
      </c>
      <c r="C1010" s="255" t="str">
        <f t="shared" si="225"/>
        <v>PRÓPRIO</v>
      </c>
      <c r="D1010" s="256" t="s">
        <v>110</v>
      </c>
      <c r="E1010" s="257" t="str">
        <f>IFERROR(IF(D1010="SINAPI-S",VLOOKUP(B1010,'20-B.SINAPI-S'!A:J,2,0),IF(D1010="SINAPI-I",VLOOKUP(B1010,'20-A.SINAPI-I'!A:G,2,0),IF(D1010="COMPOSIÇÕES",VLOOKUP(B1010,'11.COMPOSIÇÕES GERAIS'!B:I,2,0),VLOOKUP(B1010,'12.COT.MERCADO'!A:I,2,0)))),"Em Elaboração")</f>
        <v>FILTRO SECADOR SMICRONS CHILLER 30XA</v>
      </c>
      <c r="F1010" s="258" t="str">
        <f>IFERROR(IF(D1010="SINAPI-S",VLOOKUP(B1010,'20-B.SINAPI-S'!A:J,3,0),IF(D1010="SINAPI-I",VLOOKUP(B1010,'20-A.SINAPI-I'!A:G,3,0),IF(D1010="COMPOSIÇÕES",VLOOKUP(B1010,'11.COMPOSIÇÕES GERAIS'!B:I,3,0),VLOOKUP(B1010,'12.COT.MERCADO'!A:I,7,0)))),"Em Elaboração")</f>
        <v>UN </v>
      </c>
      <c r="G1010" s="254">
        <v>2.0</v>
      </c>
      <c r="H1010" s="259">
        <f>IFERROR(IF(D1010="SINAPI-S",VLOOKUP(B1010,'20-B.SINAPI-S'!A:J,5,0),IF(D1010="SINAPI-I",VLOOKUP(B1010,'20-A.SINAPI-I'!A:G,6,0),IF(D1010="COMPOSIÇÕES",VLOOKUP(B1010,'11.COMPOSIÇÕES GERAIS'!B:I,7,0),0))),"Em Elaboração")</f>
        <v>0</v>
      </c>
      <c r="I1010" s="259">
        <f>IFERROR(IF(D1010="SINAPI-S",VLOOKUP(B1010,'20-B.SINAPI-S'!A:J,6,0),IF(D1010="SINAPI-I",VLOOKUP(B1010,'20-A.SINAPI-I'!A:G,7,0),IF(D1010="COMPOSIÇÕES",VLOOKUP(B1010,'11.COMPOSIÇÕES GERAIS'!B:I,8,0),VLOOKUP(B1010,'12.COT.MERCADO'!A:I,8,0)))),"Em Elaboração")</f>
        <v>1700</v>
      </c>
      <c r="J1010" s="259">
        <f t="shared" si="226"/>
        <v>0</v>
      </c>
      <c r="K1010" s="259">
        <f t="shared" si="227"/>
        <v>1991.268795</v>
      </c>
      <c r="L1010" s="259">
        <f t="shared" si="228"/>
        <v>1991.268795</v>
      </c>
      <c r="M1010" s="259">
        <f t="shared" si="229"/>
        <v>0</v>
      </c>
      <c r="N1010" s="259">
        <f t="shared" si="230"/>
        <v>3982.537589</v>
      </c>
      <c r="O1010" s="259">
        <f t="shared" si="231"/>
        <v>3982.537589</v>
      </c>
      <c r="P1010" s="260">
        <f t="shared" si="2"/>
        <v>0.003115436561</v>
      </c>
    </row>
    <row r="1011">
      <c r="A1011" s="253" t="s">
        <v>1262</v>
      </c>
      <c r="B1011" s="254" t="s">
        <v>1263</v>
      </c>
      <c r="C1011" s="255" t="str">
        <f t="shared" si="225"/>
        <v>PRÓPRIO</v>
      </c>
      <c r="D1011" s="256" t="s">
        <v>110</v>
      </c>
      <c r="E1011" s="257" t="str">
        <f>IFERROR(IF(D1011="SINAPI-S",VLOOKUP(B1011,'20-B.SINAPI-S'!A:J,2,0),IF(D1011="SINAPI-I",VLOOKUP(B1011,'20-A.SINAPI-I'!A:G,2,0),IF(D1011="COMPOSIÇÕES",VLOOKUP(B1011,'11.COMPOSIÇÕES GERAIS'!B:I,2,0),VLOOKUP(B1011,'12.COT.MERCADO'!A:I,2,0)))),"Em Elaboração")</f>
        <v>CHAVE DE FLUXO DE AGUA ELET.</v>
      </c>
      <c r="F1011" s="258" t="str">
        <f>IFERROR(IF(D1011="SINAPI-S",VLOOKUP(B1011,'20-B.SINAPI-S'!A:J,3,0),IF(D1011="SINAPI-I",VLOOKUP(B1011,'20-A.SINAPI-I'!A:G,3,0),IF(D1011="COMPOSIÇÕES",VLOOKUP(B1011,'11.COMPOSIÇÕES GERAIS'!B:I,3,0),VLOOKUP(B1011,'12.COT.MERCADO'!A:I,7,0)))),"Em Elaboração")</f>
        <v>UN </v>
      </c>
      <c r="G1011" s="254">
        <v>4.0</v>
      </c>
      <c r="H1011" s="259">
        <f>IFERROR(IF(D1011="SINAPI-S",VLOOKUP(B1011,'20-B.SINAPI-S'!A:J,5,0),IF(D1011="SINAPI-I",VLOOKUP(B1011,'20-A.SINAPI-I'!A:G,6,0),IF(D1011="COMPOSIÇÕES",VLOOKUP(B1011,'11.COMPOSIÇÕES GERAIS'!B:I,7,0),0))),"Em Elaboração")</f>
        <v>0</v>
      </c>
      <c r="I1011" s="259">
        <f>IFERROR(IF(D1011="SINAPI-S",VLOOKUP(B1011,'20-B.SINAPI-S'!A:J,6,0),IF(D1011="SINAPI-I",VLOOKUP(B1011,'20-A.SINAPI-I'!A:G,7,0),IF(D1011="COMPOSIÇÕES",VLOOKUP(B1011,'11.COMPOSIÇÕES GERAIS'!B:I,8,0),VLOOKUP(B1011,'12.COT.MERCADO'!A:I,8,0)))),"Em Elaboração")</f>
        <v>149.58</v>
      </c>
      <c r="J1011" s="259">
        <f t="shared" si="226"/>
        <v>0</v>
      </c>
      <c r="K1011" s="259">
        <f t="shared" si="227"/>
        <v>175.2082272</v>
      </c>
      <c r="L1011" s="259">
        <f t="shared" si="228"/>
        <v>175.2082272</v>
      </c>
      <c r="M1011" s="259">
        <f t="shared" si="229"/>
        <v>0</v>
      </c>
      <c r="N1011" s="259">
        <f t="shared" si="230"/>
        <v>700.832909</v>
      </c>
      <c r="O1011" s="259">
        <f t="shared" si="231"/>
        <v>700.832909</v>
      </c>
      <c r="P1011" s="260">
        <f t="shared" si="2"/>
        <v>0.0005482435304</v>
      </c>
    </row>
    <row r="1012">
      <c r="A1012" s="253" t="s">
        <v>1264</v>
      </c>
      <c r="B1012" s="254" t="s">
        <v>1265</v>
      </c>
      <c r="C1012" s="255" t="str">
        <f t="shared" si="225"/>
        <v>PRÓPRIO</v>
      </c>
      <c r="D1012" s="256" t="s">
        <v>110</v>
      </c>
      <c r="E1012" s="257" t="str">
        <f>IFERROR(IF(D1012="SINAPI-S",VLOOKUP(B1012,'20-B.SINAPI-S'!A:J,2,0),IF(D1012="SINAPI-I",VLOOKUP(B1012,'20-A.SINAPI-I'!A:G,2,0),IF(D1012="COMPOSIÇÕES",VLOOKUP(B1012,'11.COMPOSIÇÕES GERAIS'!B:I,2,0),VLOOKUP(B1012,'12.COT.MERCADO'!A:I,2,0)))),"Em Elaboração")</f>
        <v>BOBINA DA SOLENOIDE 24V - COMPR. 06T/06N</v>
      </c>
      <c r="F1012" s="258" t="str">
        <f>IFERROR(IF(D1012="SINAPI-S",VLOOKUP(B1012,'20-B.SINAPI-S'!A:J,3,0),IF(D1012="SINAPI-I",VLOOKUP(B1012,'20-A.SINAPI-I'!A:G,3,0),IF(D1012="COMPOSIÇÕES",VLOOKUP(B1012,'11.COMPOSIÇÕES GERAIS'!B:I,3,0),VLOOKUP(B1012,'12.COT.MERCADO'!A:I,7,0)))),"Em Elaboração")</f>
        <v>UN </v>
      </c>
      <c r="G1012" s="254">
        <v>4.0</v>
      </c>
      <c r="H1012" s="259">
        <f>IFERROR(IF(D1012="SINAPI-S",VLOOKUP(B1012,'20-B.SINAPI-S'!A:J,5,0),IF(D1012="SINAPI-I",VLOOKUP(B1012,'20-A.SINAPI-I'!A:G,6,0),IF(D1012="COMPOSIÇÕES",VLOOKUP(B1012,'11.COMPOSIÇÕES GERAIS'!B:I,7,0),0))),"Em Elaboração")</f>
        <v>0</v>
      </c>
      <c r="I1012" s="259">
        <f>IFERROR(IF(D1012="SINAPI-S",VLOOKUP(B1012,'20-B.SINAPI-S'!A:J,6,0),IF(D1012="SINAPI-I",VLOOKUP(B1012,'20-A.SINAPI-I'!A:G,7,0),IF(D1012="COMPOSIÇÕES",VLOOKUP(B1012,'11.COMPOSIÇÕES GERAIS'!B:I,8,0),VLOOKUP(B1012,'12.COT.MERCADO'!A:I,8,0)))),"Em Elaboração")</f>
        <v>161.86</v>
      </c>
      <c r="J1012" s="259">
        <f t="shared" si="226"/>
        <v>0</v>
      </c>
      <c r="K1012" s="259">
        <f t="shared" si="227"/>
        <v>189.5922159</v>
      </c>
      <c r="L1012" s="259">
        <f t="shared" si="228"/>
        <v>189.5922159</v>
      </c>
      <c r="M1012" s="259">
        <f t="shared" si="229"/>
        <v>0</v>
      </c>
      <c r="N1012" s="259">
        <f t="shared" si="230"/>
        <v>758.3688638</v>
      </c>
      <c r="O1012" s="259">
        <f t="shared" si="231"/>
        <v>758.3688638</v>
      </c>
      <c r="P1012" s="260">
        <f t="shared" si="2"/>
        <v>0.0005932524256</v>
      </c>
    </row>
    <row r="1013">
      <c r="A1013" s="253" t="s">
        <v>1266</v>
      </c>
      <c r="B1013" s="254" t="s">
        <v>1267</v>
      </c>
      <c r="C1013" s="255" t="str">
        <f t="shared" si="225"/>
        <v>PRÓPRIO</v>
      </c>
      <c r="D1013" s="256" t="s">
        <v>110</v>
      </c>
      <c r="E1013" s="257" t="str">
        <f>IFERROR(IF(D1013="SINAPI-S",VLOOKUP(B1013,'20-B.SINAPI-S'!A:J,2,0),IF(D1013="SINAPI-I",VLOOKUP(B1013,'20-A.SINAPI-I'!A:G,2,0),IF(D1013="COMPOSIÇÕES",VLOOKUP(B1013,'11.COMPOSIÇÕES GERAIS'!B:I,2,0),VLOOKUP(B1013,'12.COT.MERCADO'!A:I,2,0)))),"Em Elaboração")</f>
        <v>PRESSOSTATO DE ALTA 30XW STD - 203 PSIG</v>
      </c>
      <c r="F1013" s="258" t="str">
        <f>IFERROR(IF(D1013="SINAPI-S",VLOOKUP(B1013,'20-B.SINAPI-S'!A:J,3,0),IF(D1013="SINAPI-I",VLOOKUP(B1013,'20-A.SINAPI-I'!A:G,3,0),IF(D1013="COMPOSIÇÕES",VLOOKUP(B1013,'11.COMPOSIÇÕES GERAIS'!B:I,3,0),VLOOKUP(B1013,'12.COT.MERCADO'!A:I,7,0)))),"Em Elaboração")</f>
        <v>UN </v>
      </c>
      <c r="G1013" s="254">
        <v>4.0</v>
      </c>
      <c r="H1013" s="259">
        <f>IFERROR(IF(D1013="SINAPI-S",VLOOKUP(B1013,'20-B.SINAPI-S'!A:J,5,0),IF(D1013="SINAPI-I",VLOOKUP(B1013,'20-A.SINAPI-I'!A:G,6,0),IF(D1013="COMPOSIÇÕES",VLOOKUP(B1013,'11.COMPOSIÇÕES GERAIS'!B:I,7,0),0))),"Em Elaboração")</f>
        <v>0</v>
      </c>
      <c r="I1013" s="259">
        <f>IFERROR(IF(D1013="SINAPI-S",VLOOKUP(B1013,'20-B.SINAPI-S'!A:J,6,0),IF(D1013="SINAPI-I",VLOOKUP(B1013,'20-A.SINAPI-I'!A:G,7,0),IF(D1013="COMPOSIÇÕES",VLOOKUP(B1013,'11.COMPOSIÇÕES GERAIS'!B:I,8,0),VLOOKUP(B1013,'12.COT.MERCADO'!A:I,8,0)))),"Em Elaboração")</f>
        <v>135.89</v>
      </c>
      <c r="J1013" s="259">
        <f t="shared" si="226"/>
        <v>0</v>
      </c>
      <c r="K1013" s="259">
        <f t="shared" si="227"/>
        <v>159.1726568</v>
      </c>
      <c r="L1013" s="259">
        <f t="shared" si="228"/>
        <v>159.1726568</v>
      </c>
      <c r="M1013" s="259">
        <f t="shared" si="229"/>
        <v>0</v>
      </c>
      <c r="N1013" s="259">
        <f t="shared" si="230"/>
        <v>636.6906271</v>
      </c>
      <c r="O1013" s="259">
        <f t="shared" si="231"/>
        <v>636.6906271</v>
      </c>
      <c r="P1013" s="260">
        <f t="shared" si="2"/>
        <v>0.0004980666757</v>
      </c>
    </row>
    <row r="1014">
      <c r="A1014" s="261" t="s">
        <v>1268</v>
      </c>
      <c r="B1014" s="262" t="s">
        <v>1269</v>
      </c>
      <c r="C1014" s="44"/>
      <c r="D1014" s="44"/>
      <c r="E1014" s="44"/>
      <c r="F1014" s="44"/>
      <c r="G1014" s="44"/>
      <c r="H1014" s="44"/>
      <c r="I1014" s="44"/>
      <c r="J1014" s="44"/>
      <c r="K1014" s="44"/>
      <c r="L1014" s="44"/>
      <c r="M1014" s="263">
        <f t="shared" ref="M1014:O1014" si="232">SUM(M1015:M1032)</f>
        <v>0</v>
      </c>
      <c r="N1014" s="263">
        <f t="shared" si="232"/>
        <v>2317.267608</v>
      </c>
      <c r="O1014" s="263">
        <f t="shared" si="232"/>
        <v>2317.267608</v>
      </c>
      <c r="P1014" s="264">
        <f t="shared" si="2"/>
        <v>0.001812738754</v>
      </c>
    </row>
    <row r="1015">
      <c r="A1015" s="253" t="s">
        <v>1270</v>
      </c>
      <c r="B1015" s="254">
        <v>3148.0</v>
      </c>
      <c r="C1015" s="255" t="str">
        <f t="shared" ref="C1015:C1032" si="233">IF(OR(D1015="SINAPI-S",D1015="SINAPI-I"),"SINAPI","PRÓPRIO")</f>
        <v>SINAPI</v>
      </c>
      <c r="D1015" s="256" t="s">
        <v>286</v>
      </c>
      <c r="E1015" s="257" t="str">
        <f>IFERROR(IF(D1015="SINAPI-S",VLOOKUP(B1015,'20-B.SINAPI-S'!A:J,2,0),IF(D1015="SINAPI-I",VLOOKUP(B1015,'20-A.SINAPI-I'!A:G,2,0),IF(D1015="COMPOSIÇÕES",VLOOKUP(B1015,'11.COMPOSIÇÕES GERAIS'!B:I,2,0),VLOOKUP(B1015,'12.COT.MERCADO'!A:I,2,0)))),"Em Elaboração")</f>
        <v>FITA VEDA ROSCA EM ROLOS DE 18 MM X 50 M (L X C)</v>
      </c>
      <c r="F1015" s="258" t="str">
        <f>IFERROR(IF(D1015="SINAPI-S",VLOOKUP(B1015,'20-B.SINAPI-S'!A:J,3,0),IF(D1015="SINAPI-I",VLOOKUP(B1015,'20-A.SINAPI-I'!A:G,3,0),IF(D1015="COMPOSIÇÕES",VLOOKUP(B1015,'11.COMPOSIÇÕES GERAIS'!B:I,3,0),VLOOKUP(B1015,'12.COT.MERCADO'!A:I,7,0)))),"Em Elaboração")</f>
        <v>UN</v>
      </c>
      <c r="G1015" s="254">
        <v>6.0</v>
      </c>
      <c r="H1015" s="259">
        <f>IFERROR(IF(D1015="SINAPI-S",VLOOKUP(B1015,'20-B.SINAPI-S'!A:J,5,0),IF(D1015="SINAPI-I",VLOOKUP(B1015,'20-A.SINAPI-I'!A:G,6,0),IF(D1015="COMPOSIÇÕES",VLOOKUP(B1015,'11.COMPOSIÇÕES GERAIS'!B:I,7,0),0))),"Em Elaboração")</f>
        <v>0</v>
      </c>
      <c r="I1015" s="259">
        <f>IFERROR(IF(D1015="SINAPI-S",VLOOKUP(B1015,'20-B.SINAPI-S'!A:J,6,0),IF(D1015="SINAPI-I",VLOOKUP(B1015,'20-A.SINAPI-I'!A:G,7,0),IF(D1015="COMPOSIÇÕES",VLOOKUP(B1015,'11.COMPOSIÇÕES GERAIS'!B:I,8,0),VLOOKUP(B1015,'12.COT.MERCADO'!A:I,8,0)))),"Em Elaboração")</f>
        <v>16.59</v>
      </c>
      <c r="J1015" s="259">
        <f t="shared" ref="J1015:J1032" si="234">H1015*(1+$J$5)</f>
        <v>0</v>
      </c>
      <c r="K1015" s="259">
        <f t="shared" ref="K1015:K1032" si="235">I1015*(1+$J$8)</f>
        <v>19.43244077</v>
      </c>
      <c r="L1015" s="259">
        <f t="shared" ref="L1015:L1032" si="236">SUM(J1015:K1015)</f>
        <v>19.43244077</v>
      </c>
      <c r="M1015" s="259">
        <f t="shared" ref="M1015:M1032" si="237">J1015*G1015</f>
        <v>0</v>
      </c>
      <c r="N1015" s="259">
        <f t="shared" ref="N1015:N1032" si="238">K1015*G1015</f>
        <v>116.5946446</v>
      </c>
      <c r="O1015" s="259">
        <f t="shared" ref="O1015:O1032" si="239">SUM(M1015:N1015)</f>
        <v>116.5946446</v>
      </c>
      <c r="P1015" s="260">
        <f t="shared" si="2"/>
        <v>0.00009120898685</v>
      </c>
    </row>
    <row r="1016">
      <c r="A1016" s="253" t="s">
        <v>1271</v>
      </c>
      <c r="B1016" s="254">
        <v>5318.0</v>
      </c>
      <c r="C1016" s="255" t="str">
        <f t="shared" si="233"/>
        <v>SINAPI</v>
      </c>
      <c r="D1016" s="256" t="s">
        <v>286</v>
      </c>
      <c r="E1016" s="257" t="str">
        <f>IFERROR(IF(D1016="SINAPI-S",VLOOKUP(B1016,'20-B.SINAPI-S'!A:J,2,0),IF(D1016="SINAPI-I",VLOOKUP(B1016,'20-A.SINAPI-I'!A:G,2,0),IF(D1016="COMPOSIÇÕES",VLOOKUP(B1016,'11.COMPOSIÇÕES GERAIS'!B:I,2,0),VLOOKUP(B1016,'12.COT.MERCADO'!A:I,2,0)))),"Em Elaboração")</f>
        <v>DILUENTE AGUARRAS</v>
      </c>
      <c r="F1016" s="258" t="str">
        <f>IFERROR(IF(D1016="SINAPI-S",VLOOKUP(B1016,'20-B.SINAPI-S'!A:J,3,0),IF(D1016="SINAPI-I",VLOOKUP(B1016,'20-A.SINAPI-I'!A:G,3,0),IF(D1016="COMPOSIÇÕES",VLOOKUP(B1016,'11.COMPOSIÇÕES GERAIS'!B:I,3,0),VLOOKUP(B1016,'12.COT.MERCADO'!A:I,7,0)))),"Em Elaboração")</f>
        <v>L</v>
      </c>
      <c r="G1016" s="254">
        <v>6.0</v>
      </c>
      <c r="H1016" s="259">
        <f>IFERROR(IF(D1016="SINAPI-S",VLOOKUP(B1016,'20-B.SINAPI-S'!A:J,5,0),IF(D1016="SINAPI-I",VLOOKUP(B1016,'20-A.SINAPI-I'!A:G,6,0),IF(D1016="COMPOSIÇÕES",VLOOKUP(B1016,'11.COMPOSIÇÕES GERAIS'!B:I,7,0),0))),"Em Elaboração")</f>
        <v>0</v>
      </c>
      <c r="I1016" s="259">
        <f>IFERROR(IF(D1016="SINAPI-S",VLOOKUP(B1016,'20-B.SINAPI-S'!A:J,6,0),IF(D1016="SINAPI-I",VLOOKUP(B1016,'20-A.SINAPI-I'!A:G,7,0),IF(D1016="COMPOSIÇÕES",VLOOKUP(B1016,'11.COMPOSIÇÕES GERAIS'!B:I,8,0),VLOOKUP(B1016,'12.COT.MERCADO'!A:I,8,0)))),"Em Elaboração")</f>
        <v>22.59</v>
      </c>
      <c r="J1016" s="259">
        <f t="shared" si="234"/>
        <v>0</v>
      </c>
      <c r="K1016" s="259">
        <f t="shared" si="235"/>
        <v>26.46044828</v>
      </c>
      <c r="L1016" s="259">
        <f t="shared" si="236"/>
        <v>26.46044828</v>
      </c>
      <c r="M1016" s="259">
        <f t="shared" si="237"/>
        <v>0</v>
      </c>
      <c r="N1016" s="259">
        <f t="shared" si="238"/>
        <v>158.7626897</v>
      </c>
      <c r="O1016" s="259">
        <f t="shared" si="239"/>
        <v>158.7626897</v>
      </c>
      <c r="P1016" s="260">
        <f t="shared" si="2"/>
        <v>0.0001241959622</v>
      </c>
    </row>
    <row r="1017">
      <c r="A1017" s="253" t="s">
        <v>1272</v>
      </c>
      <c r="B1017" s="254">
        <v>20080.0</v>
      </c>
      <c r="C1017" s="255" t="str">
        <f t="shared" si="233"/>
        <v>SINAPI</v>
      </c>
      <c r="D1017" s="256" t="s">
        <v>286</v>
      </c>
      <c r="E1017" s="257" t="str">
        <f>IFERROR(IF(D1017="SINAPI-S",VLOOKUP(B1017,'20-B.SINAPI-S'!A:J,2,0),IF(D1017="SINAPI-I",VLOOKUP(B1017,'20-A.SINAPI-I'!A:G,2,0),IF(D1017="COMPOSIÇÕES",VLOOKUP(B1017,'11.COMPOSIÇÕES GERAIS'!B:I,2,0),VLOOKUP(B1017,'12.COT.MERCADO'!A:I,2,0)))),"Em Elaboração")</f>
        <v>ADESIVO PLASTICO PARA PVC, FRASCO COM 175 GR</v>
      </c>
      <c r="F1017" s="258" t="str">
        <f>IFERROR(IF(D1017="SINAPI-S",VLOOKUP(B1017,'20-B.SINAPI-S'!A:J,3,0),IF(D1017="SINAPI-I",VLOOKUP(B1017,'20-A.SINAPI-I'!A:G,3,0),IF(D1017="COMPOSIÇÕES",VLOOKUP(B1017,'11.COMPOSIÇÕES GERAIS'!B:I,3,0),VLOOKUP(B1017,'12.COT.MERCADO'!A:I,7,0)))),"Em Elaboração")</f>
        <v>UN</v>
      </c>
      <c r="G1017" s="254">
        <v>3.0</v>
      </c>
      <c r="H1017" s="259">
        <f>IFERROR(IF(D1017="SINAPI-S",VLOOKUP(B1017,'20-B.SINAPI-S'!A:J,5,0),IF(D1017="SINAPI-I",VLOOKUP(B1017,'20-A.SINAPI-I'!A:G,6,0),IF(D1017="COMPOSIÇÕES",VLOOKUP(B1017,'11.COMPOSIÇÕES GERAIS'!B:I,7,0),0))),"Em Elaboração")</f>
        <v>0</v>
      </c>
      <c r="I1017" s="259">
        <f>IFERROR(IF(D1017="SINAPI-S",VLOOKUP(B1017,'20-B.SINAPI-S'!A:J,6,0),IF(D1017="SINAPI-I",VLOOKUP(B1017,'20-A.SINAPI-I'!A:G,7,0),IF(D1017="COMPOSIÇÕES",VLOOKUP(B1017,'11.COMPOSIÇÕES GERAIS'!B:I,8,0),VLOOKUP(B1017,'12.COT.MERCADO'!A:I,8,0)))),"Em Elaboração")</f>
        <v>22.77</v>
      </c>
      <c r="J1017" s="259">
        <f t="shared" si="234"/>
        <v>0</v>
      </c>
      <c r="K1017" s="259">
        <f t="shared" si="235"/>
        <v>26.6712885</v>
      </c>
      <c r="L1017" s="259">
        <f t="shared" si="236"/>
        <v>26.6712885</v>
      </c>
      <c r="M1017" s="259">
        <f t="shared" si="237"/>
        <v>0</v>
      </c>
      <c r="N1017" s="259">
        <f t="shared" si="238"/>
        <v>80.01386551</v>
      </c>
      <c r="O1017" s="259">
        <f t="shared" si="239"/>
        <v>80.01386551</v>
      </c>
      <c r="P1017" s="260">
        <f t="shared" si="2"/>
        <v>0.00006259278573</v>
      </c>
    </row>
    <row r="1018">
      <c r="A1018" s="253" t="s">
        <v>1273</v>
      </c>
      <c r="B1018" s="254">
        <v>13.0</v>
      </c>
      <c r="C1018" s="255" t="str">
        <f t="shared" si="233"/>
        <v>SINAPI</v>
      </c>
      <c r="D1018" s="256" t="s">
        <v>286</v>
      </c>
      <c r="E1018" s="257" t="str">
        <f>IFERROR(IF(D1018="SINAPI-S",VLOOKUP(B1018,'20-B.SINAPI-S'!A:J,2,0),IF(D1018="SINAPI-I",VLOOKUP(B1018,'20-A.SINAPI-I'!A:G,2,0),IF(D1018="COMPOSIÇÕES",VLOOKUP(B1018,'11.COMPOSIÇÕES GERAIS'!B:I,2,0),VLOOKUP(B1018,'12.COT.MERCADO'!A:I,2,0)))),"Em Elaboração")</f>
        <v>ESTOPA</v>
      </c>
      <c r="F1018" s="258" t="str">
        <f>IFERROR(IF(D1018="SINAPI-S",VLOOKUP(B1018,'20-B.SINAPI-S'!A:J,3,0),IF(D1018="SINAPI-I",VLOOKUP(B1018,'20-A.SINAPI-I'!A:G,3,0),IF(D1018="COMPOSIÇÕES",VLOOKUP(B1018,'11.COMPOSIÇÕES GERAIS'!B:I,3,0),VLOOKUP(B1018,'12.COT.MERCADO'!A:I,7,0)))),"Em Elaboração")</f>
        <v>KG</v>
      </c>
      <c r="G1018" s="254">
        <v>8.0</v>
      </c>
      <c r="H1018" s="259">
        <f>IFERROR(IF(D1018="SINAPI-S",VLOOKUP(B1018,'20-B.SINAPI-S'!A:J,5,0),IF(D1018="SINAPI-I",VLOOKUP(B1018,'20-A.SINAPI-I'!A:G,6,0),IF(D1018="COMPOSIÇÕES",VLOOKUP(B1018,'11.COMPOSIÇÕES GERAIS'!B:I,7,0),0))),"Em Elaboração")</f>
        <v>0</v>
      </c>
      <c r="I1018" s="259">
        <f>IFERROR(IF(D1018="SINAPI-S",VLOOKUP(B1018,'20-B.SINAPI-S'!A:J,6,0),IF(D1018="SINAPI-I",VLOOKUP(B1018,'20-A.SINAPI-I'!A:G,7,0),IF(D1018="COMPOSIÇÕES",VLOOKUP(B1018,'11.COMPOSIÇÕES GERAIS'!B:I,8,0),VLOOKUP(B1018,'12.COT.MERCADO'!A:I,8,0)))),"Em Elaboração")</f>
        <v>19.21</v>
      </c>
      <c r="J1018" s="259">
        <f t="shared" si="234"/>
        <v>0</v>
      </c>
      <c r="K1018" s="259">
        <f t="shared" si="235"/>
        <v>22.50133738</v>
      </c>
      <c r="L1018" s="259">
        <f t="shared" si="236"/>
        <v>22.50133738</v>
      </c>
      <c r="M1018" s="259">
        <f t="shared" si="237"/>
        <v>0</v>
      </c>
      <c r="N1018" s="259">
        <f t="shared" si="238"/>
        <v>180.010699</v>
      </c>
      <c r="O1018" s="259">
        <f t="shared" si="239"/>
        <v>180.010699</v>
      </c>
      <c r="P1018" s="260">
        <f t="shared" si="2"/>
        <v>0.0001408177326</v>
      </c>
    </row>
    <row r="1019">
      <c r="A1019" s="253" t="s">
        <v>1274</v>
      </c>
      <c r="B1019" s="254">
        <v>3143.0</v>
      </c>
      <c r="C1019" s="255" t="str">
        <f t="shared" si="233"/>
        <v>SINAPI</v>
      </c>
      <c r="D1019" s="256" t="s">
        <v>286</v>
      </c>
      <c r="E1019" s="257" t="str">
        <f>IFERROR(IF(D1019="SINAPI-S",VLOOKUP(B1019,'20-B.SINAPI-S'!A:J,2,0),IF(D1019="SINAPI-I",VLOOKUP(B1019,'20-A.SINAPI-I'!A:G,2,0),IF(D1019="COMPOSIÇÕES",VLOOKUP(B1019,'11.COMPOSIÇÕES GERAIS'!B:I,2,0),VLOOKUP(B1019,'12.COT.MERCADO'!A:I,2,0)))),"Em Elaboração")</f>
        <v>FITA VEDA ROSCA EM ROLOS DE 18 MM X 25 M (L X C)</v>
      </c>
      <c r="F1019" s="258" t="str">
        <f>IFERROR(IF(D1019="SINAPI-S",VLOOKUP(B1019,'20-B.SINAPI-S'!A:J,3,0),IF(D1019="SINAPI-I",VLOOKUP(B1019,'20-A.SINAPI-I'!A:G,3,0),IF(D1019="COMPOSIÇÕES",VLOOKUP(B1019,'11.COMPOSIÇÕES GERAIS'!B:I,3,0),VLOOKUP(B1019,'12.COT.MERCADO'!A:I,7,0)))),"Em Elaboração")</f>
        <v>UN</v>
      </c>
      <c r="G1019" s="254">
        <v>3.0</v>
      </c>
      <c r="H1019" s="259">
        <f>IFERROR(IF(D1019="SINAPI-S",VLOOKUP(B1019,'20-B.SINAPI-S'!A:J,5,0),IF(D1019="SINAPI-I",VLOOKUP(B1019,'20-A.SINAPI-I'!A:G,6,0),IF(D1019="COMPOSIÇÕES",VLOOKUP(B1019,'11.COMPOSIÇÕES GERAIS'!B:I,7,0),0))),"Em Elaboração")</f>
        <v>0</v>
      </c>
      <c r="I1019" s="259">
        <f>IFERROR(IF(D1019="SINAPI-S",VLOOKUP(B1019,'20-B.SINAPI-S'!A:J,6,0),IF(D1019="SINAPI-I",VLOOKUP(B1019,'20-A.SINAPI-I'!A:G,7,0),IF(D1019="COMPOSIÇÕES",VLOOKUP(B1019,'11.COMPOSIÇÕES GERAIS'!B:I,8,0),VLOOKUP(B1019,'12.COT.MERCADO'!A:I,8,0)))),"Em Elaboração")</f>
        <v>10.23</v>
      </c>
      <c r="J1019" s="259">
        <f t="shared" si="234"/>
        <v>0</v>
      </c>
      <c r="K1019" s="259">
        <f t="shared" si="235"/>
        <v>11.98275281</v>
      </c>
      <c r="L1019" s="259">
        <f t="shared" si="236"/>
        <v>11.98275281</v>
      </c>
      <c r="M1019" s="259">
        <f t="shared" si="237"/>
        <v>0</v>
      </c>
      <c r="N1019" s="259">
        <f t="shared" si="238"/>
        <v>35.94825842</v>
      </c>
      <c r="O1019" s="259">
        <f t="shared" si="239"/>
        <v>35.94825842</v>
      </c>
      <c r="P1019" s="260">
        <f t="shared" si="2"/>
        <v>0.00002812139649</v>
      </c>
    </row>
    <row r="1020">
      <c r="A1020" s="253" t="s">
        <v>1275</v>
      </c>
      <c r="B1020" s="254" t="s">
        <v>1276</v>
      </c>
      <c r="C1020" s="255" t="str">
        <f t="shared" si="233"/>
        <v>PRÓPRIO</v>
      </c>
      <c r="D1020" s="256" t="s">
        <v>110</v>
      </c>
      <c r="E1020" s="257" t="str">
        <f>IFERROR(IF(D1020="SINAPI-S",VLOOKUP(B1020,'20-B.SINAPI-S'!A:J,2,0),IF(D1020="SINAPI-I",VLOOKUP(B1020,'20-A.SINAPI-I'!A:G,2,0),IF(D1020="COMPOSIÇÕES",VLOOKUP(B1020,'11.COMPOSIÇÕES GERAIS'!B:I,2,0),VLOOKUP(B1020,'12.COT.MERCADO'!A:I,2,0)))),"Em Elaboração")</f>
        <v>Fita adesiva silver tape 48mm x 50m</v>
      </c>
      <c r="F1020" s="258" t="str">
        <f>IFERROR(IF(D1020="SINAPI-S",VLOOKUP(B1020,'20-B.SINAPI-S'!A:J,3,0),IF(D1020="SINAPI-I",VLOOKUP(B1020,'20-A.SINAPI-I'!A:G,3,0),IF(D1020="COMPOSIÇÕES",VLOOKUP(B1020,'11.COMPOSIÇÕES GERAIS'!B:I,3,0),VLOOKUP(B1020,'12.COT.MERCADO'!A:I,7,0)))),"Em Elaboração")</f>
        <v>UN </v>
      </c>
      <c r="G1020" s="254">
        <v>2.0</v>
      </c>
      <c r="H1020" s="259">
        <f>IFERROR(IF(D1020="SINAPI-S",VLOOKUP(B1020,'20-B.SINAPI-S'!A:J,5,0),IF(D1020="SINAPI-I",VLOOKUP(B1020,'20-A.SINAPI-I'!A:G,6,0),IF(D1020="COMPOSIÇÕES",VLOOKUP(B1020,'11.COMPOSIÇÕES GERAIS'!B:I,7,0),0))),"Em Elaboração")</f>
        <v>0</v>
      </c>
      <c r="I1020" s="259">
        <f>IFERROR(IF(D1020="SINAPI-S",VLOOKUP(B1020,'20-B.SINAPI-S'!A:J,6,0),IF(D1020="SINAPI-I",VLOOKUP(B1020,'20-A.SINAPI-I'!A:G,7,0),IF(D1020="COMPOSIÇÕES",VLOOKUP(B1020,'11.COMPOSIÇÕES GERAIS'!B:I,8,0),VLOOKUP(B1020,'12.COT.MERCADO'!A:I,8,0)))),"Em Elaboração")</f>
        <v>41.99</v>
      </c>
      <c r="J1020" s="259">
        <f t="shared" si="234"/>
        <v>0</v>
      </c>
      <c r="K1020" s="259">
        <f t="shared" si="235"/>
        <v>49.18433923</v>
      </c>
      <c r="L1020" s="259">
        <f t="shared" si="236"/>
        <v>49.18433923</v>
      </c>
      <c r="M1020" s="259">
        <f t="shared" si="237"/>
        <v>0</v>
      </c>
      <c r="N1020" s="259">
        <f t="shared" si="238"/>
        <v>98.36867846</v>
      </c>
      <c r="O1020" s="259">
        <f t="shared" si="239"/>
        <v>98.36867846</v>
      </c>
      <c r="P1020" s="260">
        <f t="shared" si="2"/>
        <v>0.00007695128306</v>
      </c>
    </row>
    <row r="1021">
      <c r="A1021" s="253" t="s">
        <v>1277</v>
      </c>
      <c r="B1021" s="254" t="s">
        <v>1278</v>
      </c>
      <c r="C1021" s="255" t="str">
        <f t="shared" si="233"/>
        <v>PRÓPRIO</v>
      </c>
      <c r="D1021" s="256" t="s">
        <v>110</v>
      </c>
      <c r="E1021" s="257" t="str">
        <f>IFERROR(IF(D1021="SINAPI-S",VLOOKUP(B1021,'20-B.SINAPI-S'!A:J,2,0),IF(D1021="SINAPI-I",VLOOKUP(B1021,'20-A.SINAPI-I'!A:G,2,0),IF(D1021="COMPOSIÇÕES",VLOOKUP(B1021,'11.COMPOSIÇÕES GERAIS'!B:I,2,0),VLOOKUP(B1021,'12.COT.MERCADO'!A:I,2,0)))),"Em Elaboração")</f>
        <v>Thinner, ref. Natrielli ou equivalente</v>
      </c>
      <c r="F1021" s="258" t="str">
        <f>IFERROR(IF(D1021="SINAPI-S",VLOOKUP(B1021,'20-B.SINAPI-S'!A:J,3,0),IF(D1021="SINAPI-I",VLOOKUP(B1021,'20-A.SINAPI-I'!A:G,3,0),IF(D1021="COMPOSIÇÕES",VLOOKUP(B1021,'11.COMPOSIÇÕES GERAIS'!B:I,3,0),VLOOKUP(B1021,'12.COT.MERCADO'!A:I,7,0)))),"Em Elaboração")</f>
        <v>L </v>
      </c>
      <c r="G1021" s="254">
        <v>10.0</v>
      </c>
      <c r="H1021" s="259">
        <f>IFERROR(IF(D1021="SINAPI-S",VLOOKUP(B1021,'20-B.SINAPI-S'!A:J,5,0),IF(D1021="SINAPI-I",VLOOKUP(B1021,'20-A.SINAPI-I'!A:G,6,0),IF(D1021="COMPOSIÇÕES",VLOOKUP(B1021,'11.COMPOSIÇÕES GERAIS'!B:I,7,0),0))),"Em Elaboração")</f>
        <v>0</v>
      </c>
      <c r="I1021" s="259">
        <f>IFERROR(IF(D1021="SINAPI-S",VLOOKUP(B1021,'20-B.SINAPI-S'!A:J,6,0),IF(D1021="SINAPI-I",VLOOKUP(B1021,'20-A.SINAPI-I'!A:G,7,0),IF(D1021="COMPOSIÇÕES",VLOOKUP(B1021,'11.COMPOSIÇÕES GERAIS'!B:I,8,0),VLOOKUP(B1021,'12.COT.MERCADO'!A:I,8,0)))),"Em Elaboração")</f>
        <v>17.58</v>
      </c>
      <c r="J1021" s="259">
        <f t="shared" si="234"/>
        <v>0</v>
      </c>
      <c r="K1021" s="259">
        <f t="shared" si="235"/>
        <v>20.59206201</v>
      </c>
      <c r="L1021" s="259">
        <f t="shared" si="236"/>
        <v>20.59206201</v>
      </c>
      <c r="M1021" s="259">
        <f t="shared" si="237"/>
        <v>0</v>
      </c>
      <c r="N1021" s="259">
        <f t="shared" si="238"/>
        <v>205.9206201</v>
      </c>
      <c r="O1021" s="259">
        <f t="shared" si="239"/>
        <v>205.9206201</v>
      </c>
      <c r="P1021" s="260">
        <f t="shared" si="2"/>
        <v>0.0001610863963</v>
      </c>
    </row>
    <row r="1022">
      <c r="A1022" s="253" t="s">
        <v>1279</v>
      </c>
      <c r="B1022" s="254">
        <v>7307.0</v>
      </c>
      <c r="C1022" s="255" t="str">
        <f t="shared" si="233"/>
        <v>SINAPI</v>
      </c>
      <c r="D1022" s="256" t="s">
        <v>286</v>
      </c>
      <c r="E1022" s="257" t="str">
        <f>IFERROR(IF(D1022="SINAPI-S",VLOOKUP(B1022,'20-B.SINAPI-S'!A:J,2,0),IF(D1022="SINAPI-I",VLOOKUP(B1022,'20-A.SINAPI-I'!A:G,2,0),IF(D1022="COMPOSIÇÕES",VLOOKUP(B1022,'11.COMPOSIÇÕES GERAIS'!B:I,2,0),VLOOKUP(B1022,'12.COT.MERCADO'!A:I,2,0)))),"Em Elaboração")</f>
        <v>FUNDO ANTICORROSIVO PARA METAIS FERROSOS (ZARCAO)</v>
      </c>
      <c r="F1022" s="258" t="str">
        <f>IFERROR(IF(D1022="SINAPI-S",VLOOKUP(B1022,'20-B.SINAPI-S'!A:J,3,0),IF(D1022="SINAPI-I",VLOOKUP(B1022,'20-A.SINAPI-I'!A:G,3,0),IF(D1022="COMPOSIÇÕES",VLOOKUP(B1022,'11.COMPOSIÇÕES GERAIS'!B:I,3,0),VLOOKUP(B1022,'12.COT.MERCADO'!A:I,7,0)))),"Em Elaboração")</f>
        <v>L</v>
      </c>
      <c r="G1022" s="254">
        <v>7.2</v>
      </c>
      <c r="H1022" s="259">
        <f>IFERROR(IF(D1022="SINAPI-S",VLOOKUP(B1022,'20-B.SINAPI-S'!A:J,5,0),IF(D1022="SINAPI-I",VLOOKUP(B1022,'20-A.SINAPI-I'!A:G,6,0),IF(D1022="COMPOSIÇÕES",VLOOKUP(B1022,'11.COMPOSIÇÕES GERAIS'!B:I,7,0),0))),"Em Elaboração")</f>
        <v>0</v>
      </c>
      <c r="I1022" s="259">
        <f>IFERROR(IF(D1022="SINAPI-S",VLOOKUP(B1022,'20-B.SINAPI-S'!A:J,6,0),IF(D1022="SINAPI-I",VLOOKUP(B1022,'20-A.SINAPI-I'!A:G,7,0),IF(D1022="COMPOSIÇÕES",VLOOKUP(B1022,'11.COMPOSIÇÕES GERAIS'!B:I,8,0),VLOOKUP(B1022,'12.COT.MERCADO'!A:I,8,0)))),"Em Elaboração")</f>
        <v>40.72</v>
      </c>
      <c r="J1022" s="259">
        <f t="shared" si="234"/>
        <v>0</v>
      </c>
      <c r="K1022" s="259">
        <f t="shared" si="235"/>
        <v>47.69674431</v>
      </c>
      <c r="L1022" s="259">
        <f t="shared" si="236"/>
        <v>47.69674431</v>
      </c>
      <c r="M1022" s="259">
        <f t="shared" si="237"/>
        <v>0</v>
      </c>
      <c r="N1022" s="259">
        <f t="shared" si="238"/>
        <v>343.416559</v>
      </c>
      <c r="O1022" s="259">
        <f t="shared" si="239"/>
        <v>343.416559</v>
      </c>
      <c r="P1022" s="260">
        <f t="shared" si="2"/>
        <v>0.0002686459273</v>
      </c>
    </row>
    <row r="1023">
      <c r="A1023" s="253" t="s">
        <v>1280</v>
      </c>
      <c r="B1023" s="254" t="s">
        <v>1281</v>
      </c>
      <c r="C1023" s="255" t="str">
        <f t="shared" si="233"/>
        <v>PRÓPRIO</v>
      </c>
      <c r="D1023" s="256" t="s">
        <v>110</v>
      </c>
      <c r="E1023" s="257" t="str">
        <f>IFERROR(IF(D1023="SINAPI-S",VLOOKUP(B1023,'20-B.SINAPI-S'!A:J,2,0),IF(D1023="SINAPI-I",VLOOKUP(B1023,'20-A.SINAPI-I'!A:G,2,0),IF(D1023="COMPOSIÇÕES",VLOOKUP(B1023,'11.COMPOSIÇÕES GERAIS'!B:I,2,0),VLOOKUP(B1023,'12.COT.MERCADO'!A:I,2,0)))),"Em Elaboração")</f>
        <v>Detergente Desincrustante Profissional limpa metal 5L. Ref: Thilex, Solupan, Metasil ou similar</v>
      </c>
      <c r="F1023" s="258" t="str">
        <f>IFERROR(IF(D1023="SINAPI-S",VLOOKUP(B1023,'20-B.SINAPI-S'!A:J,3,0),IF(D1023="SINAPI-I",VLOOKUP(B1023,'20-A.SINAPI-I'!A:G,3,0),IF(D1023="COMPOSIÇÕES",VLOOKUP(B1023,'11.COMPOSIÇÕES GERAIS'!B:I,3,0),VLOOKUP(B1023,'12.COT.MERCADO'!A:I,7,0)))),"Em Elaboração")</f>
        <v>UN </v>
      </c>
      <c r="G1023" s="254">
        <v>4.0</v>
      </c>
      <c r="H1023" s="259">
        <f>IFERROR(IF(D1023="SINAPI-S",VLOOKUP(B1023,'20-B.SINAPI-S'!A:J,5,0),IF(D1023="SINAPI-I",VLOOKUP(B1023,'20-A.SINAPI-I'!A:G,6,0),IF(D1023="COMPOSIÇÕES",VLOOKUP(B1023,'11.COMPOSIÇÕES GERAIS'!B:I,7,0),0))),"Em Elaboração")</f>
        <v>0</v>
      </c>
      <c r="I1023" s="259">
        <f>IFERROR(IF(D1023="SINAPI-S",VLOOKUP(B1023,'20-B.SINAPI-S'!A:J,6,0),IF(D1023="SINAPI-I",VLOOKUP(B1023,'20-A.SINAPI-I'!A:G,7,0),IF(D1023="COMPOSIÇÕES",VLOOKUP(B1023,'11.COMPOSIÇÕES GERAIS'!B:I,8,0),VLOOKUP(B1023,'12.COT.MERCADO'!A:I,8,0)))),"Em Elaboração")</f>
        <v>109</v>
      </c>
      <c r="J1023" s="259">
        <f t="shared" si="234"/>
        <v>0</v>
      </c>
      <c r="K1023" s="259">
        <f t="shared" si="235"/>
        <v>127.6754698</v>
      </c>
      <c r="L1023" s="259">
        <f t="shared" si="236"/>
        <v>127.6754698</v>
      </c>
      <c r="M1023" s="259">
        <f t="shared" si="237"/>
        <v>0</v>
      </c>
      <c r="N1023" s="259">
        <f t="shared" si="238"/>
        <v>510.7018791</v>
      </c>
      <c r="O1023" s="259">
        <f t="shared" si="239"/>
        <v>510.7018791</v>
      </c>
      <c r="P1023" s="260">
        <f t="shared" si="2"/>
        <v>0.0003995089237</v>
      </c>
    </row>
    <row r="1024">
      <c r="A1024" s="253" t="s">
        <v>1282</v>
      </c>
      <c r="B1024" s="254">
        <v>39701.0</v>
      </c>
      <c r="C1024" s="255" t="str">
        <f t="shared" si="233"/>
        <v>SINAPI</v>
      </c>
      <c r="D1024" s="256" t="s">
        <v>286</v>
      </c>
      <c r="E1024" s="257" t="str">
        <f>IFERROR(IF(D1024="SINAPI-S",VLOOKUP(B1024,'20-B.SINAPI-S'!A:J,2,0),IF(D1024="SINAPI-I",VLOOKUP(B1024,'20-A.SINAPI-I'!A:G,2,0),IF(D1024="COMPOSIÇÕES",VLOOKUP(B1024,'11.COMPOSIÇÕES GERAIS'!B:I,2,0),VLOOKUP(B1024,'12.COT.MERCADO'!A:I,2,0)))),"Em Elaboração")</f>
        <v>FITA ADESIVA ASFALTICA ALUMINIZADA MULTIUSO, L = 10 CM, ROLO DE 10 M</v>
      </c>
      <c r="F1024" s="258" t="str">
        <f>IFERROR(IF(D1024="SINAPI-S",VLOOKUP(B1024,'20-B.SINAPI-S'!A:J,3,0),IF(D1024="SINAPI-I",VLOOKUP(B1024,'20-A.SINAPI-I'!A:G,3,0),IF(D1024="COMPOSIÇÕES",VLOOKUP(B1024,'11.COMPOSIÇÕES GERAIS'!B:I,3,0),VLOOKUP(B1024,'12.COT.MERCADO'!A:I,7,0)))),"Em Elaboração")</f>
        <v>UN</v>
      </c>
      <c r="G1024" s="254">
        <v>1.0</v>
      </c>
      <c r="H1024" s="259">
        <f>IFERROR(IF(D1024="SINAPI-S",VLOOKUP(B1024,'20-B.SINAPI-S'!A:J,5,0),IF(D1024="SINAPI-I",VLOOKUP(B1024,'20-A.SINAPI-I'!A:G,6,0),IF(D1024="COMPOSIÇÕES",VLOOKUP(B1024,'11.COMPOSIÇÕES GERAIS'!B:I,7,0),0))),"Em Elaboração")</f>
        <v>0</v>
      </c>
      <c r="I1024" s="259">
        <f>IFERROR(IF(D1024="SINAPI-S",VLOOKUP(B1024,'20-B.SINAPI-S'!A:J,6,0),IF(D1024="SINAPI-I",VLOOKUP(B1024,'20-A.SINAPI-I'!A:G,7,0),IF(D1024="COMPOSIÇÕES",VLOOKUP(B1024,'11.COMPOSIÇÕES GERAIS'!B:I,8,0),VLOOKUP(B1024,'12.COT.MERCADO'!A:I,8,0)))),"Em Elaboração")</f>
        <v>102.7</v>
      </c>
      <c r="J1024" s="259">
        <f t="shared" si="234"/>
        <v>0</v>
      </c>
      <c r="K1024" s="259">
        <f t="shared" si="235"/>
        <v>120.2960619</v>
      </c>
      <c r="L1024" s="259">
        <f t="shared" si="236"/>
        <v>120.2960619</v>
      </c>
      <c r="M1024" s="259">
        <f t="shared" si="237"/>
        <v>0</v>
      </c>
      <c r="N1024" s="259">
        <f t="shared" si="238"/>
        <v>120.2960619</v>
      </c>
      <c r="O1024" s="259">
        <f t="shared" si="239"/>
        <v>120.2960619</v>
      </c>
      <c r="P1024" s="260">
        <f t="shared" si="2"/>
        <v>0.00009410451025</v>
      </c>
    </row>
    <row r="1025">
      <c r="A1025" s="253" t="s">
        <v>1283</v>
      </c>
      <c r="B1025" s="254">
        <v>410.0</v>
      </c>
      <c r="C1025" s="255" t="str">
        <f t="shared" si="233"/>
        <v>SINAPI</v>
      </c>
      <c r="D1025" s="256" t="s">
        <v>286</v>
      </c>
      <c r="E1025" s="257" t="str">
        <f>IFERROR(IF(D1025="SINAPI-S",VLOOKUP(B1025,'20-B.SINAPI-S'!A:J,2,0),IF(D1025="SINAPI-I",VLOOKUP(B1025,'20-A.SINAPI-I'!A:G,2,0),IF(D1025="COMPOSIÇÕES",VLOOKUP(B1025,'11.COMPOSIÇÕES GERAIS'!B:I,2,0),VLOOKUP(B1025,'12.COT.MERCADO'!A:I,2,0)))),"Em Elaboração")</f>
        <v>ABRACADEIRA DE NYLON PARA AMARRACAO DE CABOS, COMPRIMENTO DE 150 X *3,6* MM</v>
      </c>
      <c r="F1025" s="258" t="str">
        <f>IFERROR(IF(D1025="SINAPI-S",VLOOKUP(B1025,'20-B.SINAPI-S'!A:J,3,0),IF(D1025="SINAPI-I",VLOOKUP(B1025,'20-A.SINAPI-I'!A:G,3,0),IF(D1025="COMPOSIÇÕES",VLOOKUP(B1025,'11.COMPOSIÇÕES GERAIS'!B:I,3,0),VLOOKUP(B1025,'12.COT.MERCADO'!A:I,7,0)))),"Em Elaboração")</f>
        <v>UN</v>
      </c>
      <c r="G1025" s="254">
        <v>100.0</v>
      </c>
      <c r="H1025" s="259">
        <f>IFERROR(IF(D1025="SINAPI-S",VLOOKUP(B1025,'20-B.SINAPI-S'!A:J,5,0),IF(D1025="SINAPI-I",VLOOKUP(B1025,'20-A.SINAPI-I'!A:G,6,0),IF(D1025="COMPOSIÇÕES",VLOOKUP(B1025,'11.COMPOSIÇÕES GERAIS'!B:I,7,0),0))),"Em Elaboração")</f>
        <v>0</v>
      </c>
      <c r="I1025" s="259">
        <f>IFERROR(IF(D1025="SINAPI-S",VLOOKUP(B1025,'20-B.SINAPI-S'!A:J,6,0),IF(D1025="SINAPI-I",VLOOKUP(B1025,'20-A.SINAPI-I'!A:G,7,0),IF(D1025="COMPOSIÇÕES",VLOOKUP(B1025,'11.COMPOSIÇÕES GERAIS'!B:I,8,0),VLOOKUP(B1025,'12.COT.MERCADO'!A:I,8,0)))),"Em Elaboração")</f>
        <v>0.15</v>
      </c>
      <c r="J1025" s="259">
        <f t="shared" si="234"/>
        <v>0</v>
      </c>
      <c r="K1025" s="259">
        <f t="shared" si="235"/>
        <v>0.1757001878</v>
      </c>
      <c r="L1025" s="259">
        <f t="shared" si="236"/>
        <v>0.1757001878</v>
      </c>
      <c r="M1025" s="259">
        <f t="shared" si="237"/>
        <v>0</v>
      </c>
      <c r="N1025" s="259">
        <f t="shared" si="238"/>
        <v>17.57001878</v>
      </c>
      <c r="O1025" s="259">
        <f t="shared" si="239"/>
        <v>17.57001878</v>
      </c>
      <c r="P1025" s="260">
        <f t="shared" si="2"/>
        <v>0.00001374457306</v>
      </c>
    </row>
    <row r="1026">
      <c r="A1026" s="253" t="s">
        <v>1284</v>
      </c>
      <c r="B1026" s="254">
        <v>411.0</v>
      </c>
      <c r="C1026" s="255" t="str">
        <f t="shared" si="233"/>
        <v>SINAPI</v>
      </c>
      <c r="D1026" s="256" t="s">
        <v>286</v>
      </c>
      <c r="E1026" s="257" t="str">
        <f>IFERROR(IF(D1026="SINAPI-S",VLOOKUP(B1026,'20-B.SINAPI-S'!A:J,2,0),IF(D1026="SINAPI-I",VLOOKUP(B1026,'20-A.SINAPI-I'!A:G,2,0),IF(D1026="COMPOSIÇÕES",VLOOKUP(B1026,'11.COMPOSIÇÕES GERAIS'!B:I,2,0),VLOOKUP(B1026,'12.COT.MERCADO'!A:I,2,0)))),"Em Elaboração")</f>
        <v>ABRACADEIRA DE NYLON PARA AMARRACAO DE CABOS, COMPRIMENTO DE 200 X *4,6* MM</v>
      </c>
      <c r="F1026" s="258" t="str">
        <f>IFERROR(IF(D1026="SINAPI-S",VLOOKUP(B1026,'20-B.SINAPI-S'!A:J,3,0),IF(D1026="SINAPI-I",VLOOKUP(B1026,'20-A.SINAPI-I'!A:G,3,0),IF(D1026="COMPOSIÇÕES",VLOOKUP(B1026,'11.COMPOSIÇÕES GERAIS'!B:I,3,0),VLOOKUP(B1026,'12.COT.MERCADO'!A:I,7,0)))),"Em Elaboração")</f>
        <v>UN</v>
      </c>
      <c r="G1026" s="254">
        <v>100.0</v>
      </c>
      <c r="H1026" s="259">
        <f>IFERROR(IF(D1026="SINAPI-S",VLOOKUP(B1026,'20-B.SINAPI-S'!A:J,5,0),IF(D1026="SINAPI-I",VLOOKUP(B1026,'20-A.SINAPI-I'!A:G,6,0),IF(D1026="COMPOSIÇÕES",VLOOKUP(B1026,'11.COMPOSIÇÕES GERAIS'!B:I,7,0),0))),"Em Elaboração")</f>
        <v>0</v>
      </c>
      <c r="I1026" s="259">
        <f>IFERROR(IF(D1026="SINAPI-S",VLOOKUP(B1026,'20-B.SINAPI-S'!A:J,6,0),IF(D1026="SINAPI-I",VLOOKUP(B1026,'20-A.SINAPI-I'!A:G,7,0),IF(D1026="COMPOSIÇÕES",VLOOKUP(B1026,'11.COMPOSIÇÕES GERAIS'!B:I,8,0),VLOOKUP(B1026,'12.COT.MERCADO'!A:I,8,0)))),"Em Elaboração")</f>
        <v>0.2</v>
      </c>
      <c r="J1026" s="259">
        <f t="shared" si="234"/>
        <v>0</v>
      </c>
      <c r="K1026" s="259">
        <f t="shared" si="235"/>
        <v>0.234266917</v>
      </c>
      <c r="L1026" s="259">
        <f t="shared" si="236"/>
        <v>0.234266917</v>
      </c>
      <c r="M1026" s="259">
        <f t="shared" si="237"/>
        <v>0</v>
      </c>
      <c r="N1026" s="259">
        <f t="shared" si="238"/>
        <v>23.4266917</v>
      </c>
      <c r="O1026" s="259">
        <f t="shared" si="239"/>
        <v>23.4266917</v>
      </c>
      <c r="P1026" s="260">
        <f t="shared" si="2"/>
        <v>0.00001832609742</v>
      </c>
    </row>
    <row r="1027">
      <c r="A1027" s="253" t="s">
        <v>1285</v>
      </c>
      <c r="B1027" s="254">
        <v>414.0</v>
      </c>
      <c r="C1027" s="255" t="str">
        <f t="shared" si="233"/>
        <v>SINAPI</v>
      </c>
      <c r="D1027" s="256" t="s">
        <v>286</v>
      </c>
      <c r="E1027" s="257" t="str">
        <f>IFERROR(IF(D1027="SINAPI-S",VLOOKUP(B1027,'20-B.SINAPI-S'!A:J,2,0),IF(D1027="SINAPI-I",VLOOKUP(B1027,'20-A.SINAPI-I'!A:G,2,0),IF(D1027="COMPOSIÇÕES",VLOOKUP(B1027,'11.COMPOSIÇÕES GERAIS'!B:I,2,0),VLOOKUP(B1027,'12.COT.MERCADO'!A:I,2,0)))),"Em Elaboração")</f>
        <v>ABRACADEIRA DE NYLON PARA AMARRACAO DE CABOS, COMPRIMENTO DE 100 X 2,5 MM</v>
      </c>
      <c r="F1027" s="258" t="str">
        <f>IFERROR(IF(D1027="SINAPI-S",VLOOKUP(B1027,'20-B.SINAPI-S'!A:J,3,0),IF(D1027="SINAPI-I",VLOOKUP(B1027,'20-A.SINAPI-I'!A:G,3,0),IF(D1027="COMPOSIÇÕES",VLOOKUP(B1027,'11.COMPOSIÇÕES GERAIS'!B:I,3,0),VLOOKUP(B1027,'12.COT.MERCADO'!A:I,7,0)))),"Em Elaboração")</f>
        <v>UN</v>
      </c>
      <c r="G1027" s="254">
        <v>100.0</v>
      </c>
      <c r="H1027" s="259">
        <f>IFERROR(IF(D1027="SINAPI-S",VLOOKUP(B1027,'20-B.SINAPI-S'!A:J,5,0),IF(D1027="SINAPI-I",VLOOKUP(B1027,'20-A.SINAPI-I'!A:G,6,0),IF(D1027="COMPOSIÇÕES",VLOOKUP(B1027,'11.COMPOSIÇÕES GERAIS'!B:I,7,0),0))),"Em Elaboração")</f>
        <v>0</v>
      </c>
      <c r="I1027" s="259">
        <f>IFERROR(IF(D1027="SINAPI-S",VLOOKUP(B1027,'20-B.SINAPI-S'!A:J,6,0),IF(D1027="SINAPI-I",VLOOKUP(B1027,'20-A.SINAPI-I'!A:G,7,0),IF(D1027="COMPOSIÇÕES",VLOOKUP(B1027,'11.COMPOSIÇÕES GERAIS'!B:I,8,0),VLOOKUP(B1027,'12.COT.MERCADO'!A:I,8,0)))),"Em Elaboração")</f>
        <v>0.06</v>
      </c>
      <c r="J1027" s="259">
        <f t="shared" si="234"/>
        <v>0</v>
      </c>
      <c r="K1027" s="259">
        <f t="shared" si="235"/>
        <v>0.07028007511</v>
      </c>
      <c r="L1027" s="259">
        <f t="shared" si="236"/>
        <v>0.07028007511</v>
      </c>
      <c r="M1027" s="259">
        <f t="shared" si="237"/>
        <v>0</v>
      </c>
      <c r="N1027" s="259">
        <f t="shared" si="238"/>
        <v>7.028007511</v>
      </c>
      <c r="O1027" s="259">
        <f t="shared" si="239"/>
        <v>7.028007511</v>
      </c>
      <c r="P1027" s="260">
        <f t="shared" si="2"/>
        <v>0.000005497829226</v>
      </c>
    </row>
    <row r="1028">
      <c r="A1028" s="253" t="s">
        <v>1286</v>
      </c>
      <c r="B1028" s="254">
        <v>37458.0</v>
      </c>
      <c r="C1028" s="255" t="str">
        <f t="shared" si="233"/>
        <v>SINAPI</v>
      </c>
      <c r="D1028" s="256" t="s">
        <v>286</v>
      </c>
      <c r="E1028" s="257" t="str">
        <f>IFERROR(IF(D1028="SINAPI-S",VLOOKUP(B1028,'20-B.SINAPI-S'!A:J,2,0),IF(D1028="SINAPI-I",VLOOKUP(B1028,'20-A.SINAPI-I'!A:G,2,0),IF(D1028="COMPOSIÇÕES",VLOOKUP(B1028,'11.COMPOSIÇÕES GERAIS'!B:I,2,0),VLOOKUP(B1028,'12.COT.MERCADO'!A:I,2,0)))),"Em Elaboração")</f>
        <v>MANGUEIRA CRISTAL, LISA, PVC TRANSPARENTE, 1/2" X 2 MM</v>
      </c>
      <c r="F1028" s="258" t="str">
        <f>IFERROR(IF(D1028="SINAPI-S",VLOOKUP(B1028,'20-B.SINAPI-S'!A:J,3,0),IF(D1028="SINAPI-I",VLOOKUP(B1028,'20-A.SINAPI-I'!A:G,3,0),IF(D1028="COMPOSIÇÕES",VLOOKUP(B1028,'11.COMPOSIÇÕES GERAIS'!B:I,3,0),VLOOKUP(B1028,'12.COT.MERCADO'!A:I,7,0)))),"Em Elaboração")</f>
        <v>M</v>
      </c>
      <c r="G1028" s="254">
        <v>35.0</v>
      </c>
      <c r="H1028" s="259">
        <f>IFERROR(IF(D1028="SINAPI-S",VLOOKUP(B1028,'20-B.SINAPI-S'!A:J,5,0),IF(D1028="SINAPI-I",VLOOKUP(B1028,'20-A.SINAPI-I'!A:G,6,0),IF(D1028="COMPOSIÇÕES",VLOOKUP(B1028,'11.COMPOSIÇÕES GERAIS'!B:I,7,0),0))),"Em Elaboração")</f>
        <v>0</v>
      </c>
      <c r="I1028" s="259">
        <f>IFERROR(IF(D1028="SINAPI-S",VLOOKUP(B1028,'20-B.SINAPI-S'!A:J,6,0),IF(D1028="SINAPI-I",VLOOKUP(B1028,'20-A.SINAPI-I'!A:G,7,0),IF(D1028="COMPOSIÇÕES",VLOOKUP(B1028,'11.COMPOSIÇÕES GERAIS'!B:I,8,0),VLOOKUP(B1028,'12.COT.MERCADO'!A:I,8,0)))),"Em Elaboração")</f>
        <v>6.24</v>
      </c>
      <c r="J1028" s="259">
        <f t="shared" si="234"/>
        <v>0</v>
      </c>
      <c r="K1028" s="259">
        <f t="shared" si="235"/>
        <v>7.309127811</v>
      </c>
      <c r="L1028" s="259">
        <f t="shared" si="236"/>
        <v>7.309127811</v>
      </c>
      <c r="M1028" s="259">
        <f t="shared" si="237"/>
        <v>0</v>
      </c>
      <c r="N1028" s="259">
        <f t="shared" si="238"/>
        <v>255.8194734</v>
      </c>
      <c r="O1028" s="259">
        <f t="shared" si="239"/>
        <v>255.8194734</v>
      </c>
      <c r="P1028" s="260">
        <f t="shared" si="2"/>
        <v>0.0002001209838</v>
      </c>
    </row>
    <row r="1029">
      <c r="A1029" s="253" t="s">
        <v>1287</v>
      </c>
      <c r="B1029" s="254">
        <v>3143.0</v>
      </c>
      <c r="C1029" s="255" t="str">
        <f t="shared" si="233"/>
        <v>SINAPI</v>
      </c>
      <c r="D1029" s="256" t="s">
        <v>286</v>
      </c>
      <c r="E1029" s="257" t="str">
        <f>IFERROR(IF(D1029="SINAPI-S",VLOOKUP(B1029,'20-B.SINAPI-S'!A:J,2,0),IF(D1029="SINAPI-I",VLOOKUP(B1029,'20-A.SINAPI-I'!A:G,2,0),IF(D1029="COMPOSIÇÕES",VLOOKUP(B1029,'11.COMPOSIÇÕES GERAIS'!B:I,2,0),VLOOKUP(B1029,'12.COT.MERCADO'!A:I,2,0)))),"Em Elaboração")</f>
        <v>FITA VEDA ROSCA EM ROLOS DE 18 MM X 25 M (L X C)</v>
      </c>
      <c r="F1029" s="258" t="str">
        <f>IFERROR(IF(D1029="SINAPI-S",VLOOKUP(B1029,'20-B.SINAPI-S'!A:J,3,0),IF(D1029="SINAPI-I",VLOOKUP(B1029,'20-A.SINAPI-I'!A:G,3,0),IF(D1029="COMPOSIÇÕES",VLOOKUP(B1029,'11.COMPOSIÇÕES GERAIS'!B:I,3,0),VLOOKUP(B1029,'12.COT.MERCADO'!A:I,7,0)))),"Em Elaboração")</f>
        <v>UN</v>
      </c>
      <c r="G1029" s="254">
        <v>3.0</v>
      </c>
      <c r="H1029" s="259">
        <f>IFERROR(IF(D1029="SINAPI-S",VLOOKUP(B1029,'20-B.SINAPI-S'!A:J,5,0),IF(D1029="SINAPI-I",VLOOKUP(B1029,'20-A.SINAPI-I'!A:G,6,0),IF(D1029="COMPOSIÇÕES",VLOOKUP(B1029,'11.COMPOSIÇÕES GERAIS'!B:I,7,0),0))),"Em Elaboração")</f>
        <v>0</v>
      </c>
      <c r="I1029" s="259">
        <f>IFERROR(IF(D1029="SINAPI-S",VLOOKUP(B1029,'20-B.SINAPI-S'!A:J,6,0),IF(D1029="SINAPI-I",VLOOKUP(B1029,'20-A.SINAPI-I'!A:G,7,0),IF(D1029="COMPOSIÇÕES",VLOOKUP(B1029,'11.COMPOSIÇÕES GERAIS'!B:I,8,0),VLOOKUP(B1029,'12.COT.MERCADO'!A:I,8,0)))),"Em Elaboração")</f>
        <v>10.23</v>
      </c>
      <c r="J1029" s="259">
        <f t="shared" si="234"/>
        <v>0</v>
      </c>
      <c r="K1029" s="259">
        <f t="shared" si="235"/>
        <v>11.98275281</v>
      </c>
      <c r="L1029" s="259">
        <f t="shared" si="236"/>
        <v>11.98275281</v>
      </c>
      <c r="M1029" s="259">
        <f t="shared" si="237"/>
        <v>0</v>
      </c>
      <c r="N1029" s="259">
        <f t="shared" si="238"/>
        <v>35.94825842</v>
      </c>
      <c r="O1029" s="259">
        <f t="shared" si="239"/>
        <v>35.94825842</v>
      </c>
      <c r="P1029" s="260">
        <f t="shared" si="2"/>
        <v>0.00002812139649</v>
      </c>
    </row>
    <row r="1030">
      <c r="A1030" s="253" t="s">
        <v>1288</v>
      </c>
      <c r="B1030" s="254" t="s">
        <v>1289</v>
      </c>
      <c r="C1030" s="255" t="str">
        <f t="shared" si="233"/>
        <v>PRÓPRIO</v>
      </c>
      <c r="D1030" s="256" t="s">
        <v>110</v>
      </c>
      <c r="E1030" s="257" t="str">
        <f>IFERROR(IF(D1030="SINAPI-S",VLOOKUP(B1030,'20-B.SINAPI-S'!A:J,2,0),IF(D1030="SINAPI-I",VLOOKUP(B1030,'20-A.SINAPI-I'!A:G,2,0),IF(D1030="COMPOSIÇÕES",VLOOKUP(B1030,'11.COMPOSIÇÕES GERAIS'!B:I,2,0),VLOOKUP(B1030,'12.COT.MERCADO'!A:I,2,0)))),"Em Elaboração")</f>
        <v>Filtro Secador de cobre 1" com Ponteira comp. 70mm</v>
      </c>
      <c r="F1030" s="258" t="str">
        <f>IFERROR(IF(D1030="SINAPI-S",VLOOKUP(B1030,'20-B.SINAPI-S'!A:J,3,0),IF(D1030="SINAPI-I",VLOOKUP(B1030,'20-A.SINAPI-I'!A:G,3,0),IF(D1030="COMPOSIÇÕES",VLOOKUP(B1030,'11.COMPOSIÇÕES GERAIS'!B:I,3,0),VLOOKUP(B1030,'12.COT.MERCADO'!A:I,7,0)))),"Em Elaboração")</f>
        <v>UN </v>
      </c>
      <c r="G1030" s="254">
        <v>1.0</v>
      </c>
      <c r="H1030" s="259">
        <f>IFERROR(IF(D1030="SINAPI-S",VLOOKUP(B1030,'20-B.SINAPI-S'!A:J,5,0),IF(D1030="SINAPI-I",VLOOKUP(B1030,'20-A.SINAPI-I'!A:G,6,0),IF(D1030="COMPOSIÇÕES",VLOOKUP(B1030,'11.COMPOSIÇÕES GERAIS'!B:I,7,0),0))),"Em Elaboração")</f>
        <v>0</v>
      </c>
      <c r="I1030" s="259">
        <f>IFERROR(IF(D1030="SINAPI-S",VLOOKUP(B1030,'20-B.SINAPI-S'!A:J,6,0),IF(D1030="SINAPI-I",VLOOKUP(B1030,'20-A.SINAPI-I'!A:G,7,0),IF(D1030="COMPOSIÇÕES",VLOOKUP(B1030,'11.COMPOSIÇÕES GERAIS'!B:I,8,0),VLOOKUP(B1030,'12.COT.MERCADO'!A:I,8,0)))),"Em Elaboração")</f>
        <v>7.9</v>
      </c>
      <c r="J1030" s="259">
        <f t="shared" si="234"/>
        <v>0</v>
      </c>
      <c r="K1030" s="259">
        <f t="shared" si="235"/>
        <v>9.253543223</v>
      </c>
      <c r="L1030" s="259">
        <f t="shared" si="236"/>
        <v>9.253543223</v>
      </c>
      <c r="M1030" s="259">
        <f t="shared" si="237"/>
        <v>0</v>
      </c>
      <c r="N1030" s="259">
        <f t="shared" si="238"/>
        <v>9.253543223</v>
      </c>
      <c r="O1030" s="259">
        <f t="shared" si="239"/>
        <v>9.253543223</v>
      </c>
      <c r="P1030" s="260">
        <f t="shared" si="2"/>
        <v>0.00000723880848</v>
      </c>
    </row>
    <row r="1031">
      <c r="A1031" s="253" t="s">
        <v>1290</v>
      </c>
      <c r="B1031" s="254" t="s">
        <v>1291</v>
      </c>
      <c r="C1031" s="255" t="str">
        <f t="shared" si="233"/>
        <v>PRÓPRIO</v>
      </c>
      <c r="D1031" s="256" t="s">
        <v>110</v>
      </c>
      <c r="E1031" s="257" t="str">
        <f>IFERROR(IF(D1031="SINAPI-S",VLOOKUP(B1031,'20-B.SINAPI-S'!A:J,2,0),IF(D1031="SINAPI-I",VLOOKUP(B1031,'20-A.SINAPI-I'!A:G,2,0),IF(D1031="COMPOSIÇÕES",VLOOKUP(B1031,'11.COMPOSIÇÕES GERAIS'!B:I,2,0),VLOOKUP(B1031,'12.COT.MERCADO'!A:I,2,0)))),"Em Elaboração")</f>
        <v>Controle Remoto Universal EOS para Ar Condicionado Split. REF: EOS KIT000687 ou similar</v>
      </c>
      <c r="F1031" s="258" t="str">
        <f>IFERROR(IF(D1031="SINAPI-S",VLOOKUP(B1031,'20-B.SINAPI-S'!A:J,3,0),IF(D1031="SINAPI-I",VLOOKUP(B1031,'20-A.SINAPI-I'!A:G,3,0),IF(D1031="COMPOSIÇÕES",VLOOKUP(B1031,'11.COMPOSIÇÕES GERAIS'!B:I,3,0),VLOOKUP(B1031,'12.COT.MERCADO'!A:I,7,0)))),"Em Elaboração")</f>
        <v>UN </v>
      </c>
      <c r="G1031" s="254">
        <v>1.0</v>
      </c>
      <c r="H1031" s="259">
        <f>IFERROR(IF(D1031="SINAPI-S",VLOOKUP(B1031,'20-B.SINAPI-S'!A:J,5,0),IF(D1031="SINAPI-I",VLOOKUP(B1031,'20-A.SINAPI-I'!A:G,6,0),IF(D1031="COMPOSIÇÕES",VLOOKUP(B1031,'11.COMPOSIÇÕES GERAIS'!B:I,7,0),0))),"Em Elaboração")</f>
        <v>0</v>
      </c>
      <c r="I1031" s="259">
        <f>IFERROR(IF(D1031="SINAPI-S",VLOOKUP(B1031,'20-B.SINAPI-S'!A:J,6,0),IF(D1031="SINAPI-I",VLOOKUP(B1031,'20-A.SINAPI-I'!A:G,7,0),IF(D1031="COMPOSIÇÕES",VLOOKUP(B1031,'11.COMPOSIÇÕES GERAIS'!B:I,8,0),VLOOKUP(B1031,'12.COT.MERCADO'!A:I,8,0)))),"Em Elaboração")</f>
        <v>21</v>
      </c>
      <c r="J1031" s="259">
        <f t="shared" si="234"/>
        <v>0</v>
      </c>
      <c r="K1031" s="259">
        <f t="shared" si="235"/>
        <v>24.59802629</v>
      </c>
      <c r="L1031" s="259">
        <f t="shared" si="236"/>
        <v>24.59802629</v>
      </c>
      <c r="M1031" s="259">
        <f t="shared" si="237"/>
        <v>0</v>
      </c>
      <c r="N1031" s="259">
        <f t="shared" si="238"/>
        <v>24.59802629</v>
      </c>
      <c r="O1031" s="259">
        <f t="shared" si="239"/>
        <v>24.59802629</v>
      </c>
      <c r="P1031" s="260">
        <f t="shared" si="2"/>
        <v>0.00001924240229</v>
      </c>
    </row>
    <row r="1032">
      <c r="A1032" s="253" t="s">
        <v>1292</v>
      </c>
      <c r="B1032" s="254" t="s">
        <v>1293</v>
      </c>
      <c r="C1032" s="255" t="str">
        <f t="shared" si="233"/>
        <v>PRÓPRIO</v>
      </c>
      <c r="D1032" s="256" t="s">
        <v>110</v>
      </c>
      <c r="E1032" s="257" t="str">
        <f>IFERROR(IF(D1032="SINAPI-S",VLOOKUP(B1032,'20-B.SINAPI-S'!A:J,2,0),IF(D1032="SINAPI-I",VLOOKUP(B1032,'20-A.SINAPI-I'!A:G,2,0),IF(D1032="COMPOSIÇÕES",VLOOKUP(B1032,'11.COMPOSIÇÕES GERAIS'!B:I,2,0),VLOOKUP(B1032,'12.COT.MERCADO'!A:I,2,0)))),"Em Elaboração")</f>
        <v>Kit de Pilhas Alcalinas AAA Palito com 16 unidades. REF: DURACELL ou similar</v>
      </c>
      <c r="F1032" s="258" t="str">
        <f>IFERROR(IF(D1032="SINAPI-S",VLOOKUP(B1032,'20-B.SINAPI-S'!A:J,3,0),IF(D1032="SINAPI-I",VLOOKUP(B1032,'20-A.SINAPI-I'!A:G,3,0),IF(D1032="COMPOSIÇÕES",VLOOKUP(B1032,'11.COMPOSIÇÕES GERAIS'!B:I,3,0),VLOOKUP(B1032,'12.COT.MERCADO'!A:I,7,0)))),"Em Elaboração")</f>
        <v>UN </v>
      </c>
      <c r="G1032" s="254">
        <v>1.0</v>
      </c>
      <c r="H1032" s="259">
        <f>IFERROR(IF(D1032="SINAPI-S",VLOOKUP(B1032,'20-B.SINAPI-S'!A:J,5,0),IF(D1032="SINAPI-I",VLOOKUP(B1032,'20-A.SINAPI-I'!A:G,6,0),IF(D1032="COMPOSIÇÕES",VLOOKUP(B1032,'11.COMPOSIÇÕES GERAIS'!B:I,7,0),0))),"Em Elaboração")</f>
        <v>0</v>
      </c>
      <c r="I1032" s="259">
        <f>IFERROR(IF(D1032="SINAPI-S",VLOOKUP(B1032,'20-B.SINAPI-S'!A:J,6,0),IF(D1032="SINAPI-I",VLOOKUP(B1032,'20-A.SINAPI-I'!A:G,7,0),IF(D1032="COMPOSIÇÕES",VLOOKUP(B1032,'11.COMPOSIÇÕES GERAIS'!B:I,8,0),VLOOKUP(B1032,'12.COT.MERCADO'!A:I,8,0)))),"Em Elaboração")</f>
        <v>79.9</v>
      </c>
      <c r="J1032" s="259">
        <f t="shared" si="234"/>
        <v>0</v>
      </c>
      <c r="K1032" s="259">
        <f t="shared" si="235"/>
        <v>93.58963335</v>
      </c>
      <c r="L1032" s="259">
        <f t="shared" si="236"/>
        <v>93.58963335</v>
      </c>
      <c r="M1032" s="259">
        <f t="shared" si="237"/>
        <v>0</v>
      </c>
      <c r="N1032" s="259">
        <f t="shared" si="238"/>
        <v>93.58963335</v>
      </c>
      <c r="O1032" s="259">
        <f t="shared" si="239"/>
        <v>93.58963335</v>
      </c>
      <c r="P1032" s="260">
        <f t="shared" si="2"/>
        <v>0.00007321275919</v>
      </c>
    </row>
    <row r="1033">
      <c r="A1033" s="261" t="s">
        <v>1294</v>
      </c>
      <c r="B1033" s="262" t="s">
        <v>1295</v>
      </c>
      <c r="C1033" s="44"/>
      <c r="D1033" s="44"/>
      <c r="E1033" s="44"/>
      <c r="F1033" s="44"/>
      <c r="G1033" s="44"/>
      <c r="H1033" s="44"/>
      <c r="I1033" s="44"/>
      <c r="J1033" s="44"/>
      <c r="K1033" s="44"/>
      <c r="L1033" s="44"/>
      <c r="M1033" s="263">
        <f t="shared" ref="M1033:O1033" si="240">SUM(M1034:M1038)</f>
        <v>0</v>
      </c>
      <c r="N1033" s="263">
        <f t="shared" si="240"/>
        <v>899.0110074</v>
      </c>
      <c r="O1033" s="263">
        <f t="shared" si="240"/>
        <v>899.0110074</v>
      </c>
      <c r="P1033" s="264">
        <f t="shared" si="2"/>
        <v>0.0007032731515</v>
      </c>
    </row>
    <row r="1034">
      <c r="A1034" s="253" t="s">
        <v>1296</v>
      </c>
      <c r="B1034" s="254">
        <v>11002.0</v>
      </c>
      <c r="C1034" s="255" t="str">
        <f t="shared" ref="C1034:C1038" si="241">IF(OR(D1034="SINAPI-S",D1034="SINAPI-I"),"SINAPI","PRÓPRIO")</f>
        <v>SINAPI</v>
      </c>
      <c r="D1034" s="256" t="s">
        <v>286</v>
      </c>
      <c r="E1034" s="257" t="str">
        <f>IFERROR(IF(D1034="SINAPI-S",VLOOKUP(B1034,'20-B.SINAPI-S'!A:J,2,0),IF(D1034="SINAPI-I",VLOOKUP(B1034,'20-A.SINAPI-I'!A:G,2,0),IF(D1034="COMPOSIÇÕES",VLOOKUP(B1034,'11.COMPOSIÇÕES GERAIS'!B:I,2,0),VLOOKUP(B1034,'12.COT.MERCADO'!A:I,2,0)))),"Em Elaboração")</f>
        <v>ELETRODO REVESTIDO AWS - E6013, DIAMETRO IGUAL A 2,50 MM</v>
      </c>
      <c r="F1034" s="258" t="str">
        <f>IFERROR(IF(D1034="SINAPI-S",VLOOKUP(B1034,'20-B.SINAPI-S'!A:J,3,0),IF(D1034="SINAPI-I",VLOOKUP(B1034,'20-A.SINAPI-I'!A:G,3,0),IF(D1034="COMPOSIÇÕES",VLOOKUP(B1034,'11.COMPOSIÇÕES GERAIS'!B:I,3,0),VLOOKUP(B1034,'12.COT.MERCADO'!A:I,7,0)))),"Em Elaboração")</f>
        <v>KG</v>
      </c>
      <c r="G1034" s="254">
        <v>5.0</v>
      </c>
      <c r="H1034" s="259">
        <f>IFERROR(IF(D1034="SINAPI-S",VLOOKUP(B1034,'20-B.SINAPI-S'!A:J,5,0),IF(D1034="SINAPI-I",VLOOKUP(B1034,'20-A.SINAPI-I'!A:G,6,0),IF(D1034="COMPOSIÇÕES",VLOOKUP(B1034,'11.COMPOSIÇÕES GERAIS'!B:I,7,0),0))),"Em Elaboração")</f>
        <v>0</v>
      </c>
      <c r="I1034" s="259">
        <f>IFERROR(IF(D1034="SINAPI-S",VLOOKUP(B1034,'20-B.SINAPI-S'!A:J,6,0),IF(D1034="SINAPI-I",VLOOKUP(B1034,'20-A.SINAPI-I'!A:G,7,0),IF(D1034="COMPOSIÇÕES",VLOOKUP(B1034,'11.COMPOSIÇÕES GERAIS'!B:I,8,0),VLOOKUP(B1034,'12.COT.MERCADO'!A:I,8,0)))),"Em Elaboração")</f>
        <v>31.68</v>
      </c>
      <c r="J1034" s="259">
        <f t="shared" ref="J1034:J1038" si="242">H1034*(1+$J$5)</f>
        <v>0</v>
      </c>
      <c r="K1034" s="259">
        <f t="shared" ref="K1034:K1038" si="243">I1034*(1+$J$8)</f>
        <v>37.10787966</v>
      </c>
      <c r="L1034" s="259">
        <f t="shared" ref="L1034:L1038" si="244">SUM(J1034:K1034)</f>
        <v>37.10787966</v>
      </c>
      <c r="M1034" s="259">
        <f t="shared" ref="M1034:M1038" si="245">J1034*G1034</f>
        <v>0</v>
      </c>
      <c r="N1034" s="259">
        <f t="shared" ref="N1034:N1038" si="246">K1034*G1034</f>
        <v>185.5393983</v>
      </c>
      <c r="O1034" s="259">
        <f t="shared" ref="O1034:O1038" si="247">SUM(M1034:N1034)</f>
        <v>185.5393983</v>
      </c>
      <c r="P1034" s="260">
        <f t="shared" si="2"/>
        <v>0.0001451426916</v>
      </c>
    </row>
    <row r="1035">
      <c r="A1035" s="253" t="s">
        <v>1297</v>
      </c>
      <c r="B1035" s="254">
        <v>39914.0</v>
      </c>
      <c r="C1035" s="255" t="str">
        <f t="shared" si="241"/>
        <v>SINAPI</v>
      </c>
      <c r="D1035" s="256" t="s">
        <v>286</v>
      </c>
      <c r="E1035" s="257" t="str">
        <f>IFERROR(IF(D1035="SINAPI-S",VLOOKUP(B1035,'20-B.SINAPI-S'!A:J,2,0),IF(D1035="SINAPI-I",VLOOKUP(B1035,'20-A.SINAPI-I'!A:G,2,0),IF(D1035="COMPOSIÇÕES",VLOOKUP(B1035,'11.COMPOSIÇÕES GERAIS'!B:I,2,0),VLOOKUP(B1035,'12.COT.MERCADO'!A:I,2,0)))),"Em Elaboração")</f>
        <v>SOLDA EM VARETA FOSCOPER, D = *2,5* MM  X COMPRIMENTO 500 MM</v>
      </c>
      <c r="F1035" s="258" t="str">
        <f>IFERROR(IF(D1035="SINAPI-S",VLOOKUP(B1035,'20-B.SINAPI-S'!A:J,3,0),IF(D1035="SINAPI-I",VLOOKUP(B1035,'20-A.SINAPI-I'!A:G,3,0),IF(D1035="COMPOSIÇÕES",VLOOKUP(B1035,'11.COMPOSIÇÕES GERAIS'!B:I,3,0),VLOOKUP(B1035,'12.COT.MERCADO'!A:I,7,0)))),"Em Elaboração")</f>
        <v>KG</v>
      </c>
      <c r="G1035" s="254">
        <v>1.0</v>
      </c>
      <c r="H1035" s="259">
        <f>IFERROR(IF(D1035="SINAPI-S",VLOOKUP(B1035,'20-B.SINAPI-S'!A:J,5,0),IF(D1035="SINAPI-I",VLOOKUP(B1035,'20-A.SINAPI-I'!A:G,6,0),IF(D1035="COMPOSIÇÕES",VLOOKUP(B1035,'11.COMPOSIÇÕES GERAIS'!B:I,7,0),0))),"Em Elaboração")</f>
        <v>0</v>
      </c>
      <c r="I1035" s="259">
        <f>IFERROR(IF(D1035="SINAPI-S",VLOOKUP(B1035,'20-B.SINAPI-S'!A:J,6,0),IF(D1035="SINAPI-I",VLOOKUP(B1035,'20-A.SINAPI-I'!A:G,7,0),IF(D1035="COMPOSIÇÕES",VLOOKUP(B1035,'11.COMPOSIÇÕES GERAIS'!B:I,8,0),VLOOKUP(B1035,'12.COT.MERCADO'!A:I,8,0)))),"Em Elaboração")</f>
        <v>246.88</v>
      </c>
      <c r="J1035" s="259">
        <f t="shared" si="242"/>
        <v>0</v>
      </c>
      <c r="K1035" s="259">
        <f t="shared" si="243"/>
        <v>289.1790824</v>
      </c>
      <c r="L1035" s="259">
        <f t="shared" si="244"/>
        <v>289.1790824</v>
      </c>
      <c r="M1035" s="259">
        <f t="shared" si="245"/>
        <v>0</v>
      </c>
      <c r="N1035" s="259">
        <f t="shared" si="246"/>
        <v>289.1790824</v>
      </c>
      <c r="O1035" s="259">
        <f t="shared" si="247"/>
        <v>289.1790824</v>
      </c>
      <c r="P1035" s="260">
        <f t="shared" si="2"/>
        <v>0.0002262173465</v>
      </c>
    </row>
    <row r="1036">
      <c r="A1036" s="253" t="s">
        <v>1298</v>
      </c>
      <c r="B1036" s="254">
        <v>1.0</v>
      </c>
      <c r="C1036" s="255" t="str">
        <f t="shared" si="241"/>
        <v>SINAPI</v>
      </c>
      <c r="D1036" s="256" t="s">
        <v>286</v>
      </c>
      <c r="E1036" s="257" t="str">
        <f>IFERROR(IF(D1036="SINAPI-S",VLOOKUP(B1036,'20-B.SINAPI-S'!A:J,2,0),IF(D1036="SINAPI-I",VLOOKUP(B1036,'20-A.SINAPI-I'!A:G,2,0),IF(D1036="COMPOSIÇÕES",VLOOKUP(B1036,'11.COMPOSIÇÕES GERAIS'!B:I,2,0),VLOOKUP(B1036,'12.COT.MERCADO'!A:I,2,0)))),"Em Elaboração")</f>
        <v>ACETILENO (RECARGA DE GAS ACETILENO PARA CILINDRO DE CONJUNTO OXICORTE GRANDE) NAO INCLUI TROCA/MANUTENCAO DO CILINDRO</v>
      </c>
      <c r="F1036" s="258" t="str">
        <f>IFERROR(IF(D1036="SINAPI-S",VLOOKUP(B1036,'20-B.SINAPI-S'!A:J,3,0),IF(D1036="SINAPI-I",VLOOKUP(B1036,'20-A.SINAPI-I'!A:G,3,0),IF(D1036="COMPOSIÇÕES",VLOOKUP(B1036,'11.COMPOSIÇÕES GERAIS'!B:I,3,0),VLOOKUP(B1036,'12.COT.MERCADO'!A:I,7,0)))),"Em Elaboração")</f>
        <v>KG</v>
      </c>
      <c r="G1036" s="254">
        <v>1.0</v>
      </c>
      <c r="H1036" s="259">
        <f>IFERROR(IF(D1036="SINAPI-S",VLOOKUP(B1036,'20-B.SINAPI-S'!A:J,5,0),IF(D1036="SINAPI-I",VLOOKUP(B1036,'20-A.SINAPI-I'!A:G,6,0),IF(D1036="COMPOSIÇÕES",VLOOKUP(B1036,'11.COMPOSIÇÕES GERAIS'!B:I,7,0),0))),"Em Elaboração")</f>
        <v>0</v>
      </c>
      <c r="I1036" s="259">
        <f>IFERROR(IF(D1036="SINAPI-S",VLOOKUP(B1036,'20-B.SINAPI-S'!A:J,6,0),IF(D1036="SINAPI-I",VLOOKUP(B1036,'20-A.SINAPI-I'!A:G,7,0),IF(D1036="COMPOSIÇÕES",VLOOKUP(B1036,'11.COMPOSIÇÕES GERAIS'!B:I,8,0),VLOOKUP(B1036,'12.COT.MERCADO'!A:I,8,0)))),"Em Elaboração")</f>
        <v>84.45</v>
      </c>
      <c r="J1036" s="259">
        <f t="shared" si="242"/>
        <v>0</v>
      </c>
      <c r="K1036" s="259">
        <f t="shared" si="243"/>
        <v>98.91920571</v>
      </c>
      <c r="L1036" s="259">
        <f t="shared" si="244"/>
        <v>98.91920571</v>
      </c>
      <c r="M1036" s="259">
        <f t="shared" si="245"/>
        <v>0</v>
      </c>
      <c r="N1036" s="259">
        <f t="shared" si="246"/>
        <v>98.91920571</v>
      </c>
      <c r="O1036" s="259">
        <f t="shared" si="247"/>
        <v>98.91920571</v>
      </c>
      <c r="P1036" s="260">
        <f t="shared" si="2"/>
        <v>0.00007738194635</v>
      </c>
    </row>
    <row r="1037">
      <c r="A1037" s="253" t="s">
        <v>1299</v>
      </c>
      <c r="B1037" s="254">
        <v>2.0</v>
      </c>
      <c r="C1037" s="255" t="str">
        <f t="shared" si="241"/>
        <v>SINAPI</v>
      </c>
      <c r="D1037" s="256" t="s">
        <v>286</v>
      </c>
      <c r="E1037" s="257" t="str">
        <f>IFERROR(IF(D1037="SINAPI-S",VLOOKUP(B1037,'20-B.SINAPI-S'!A:J,2,0),IF(D1037="SINAPI-I",VLOOKUP(B1037,'20-A.SINAPI-I'!A:G,2,0),IF(D1037="COMPOSIÇÕES",VLOOKUP(B1037,'11.COMPOSIÇÕES GERAIS'!B:I,2,0),VLOOKUP(B1037,'12.COT.MERCADO'!A:I,2,0)))),"Em Elaboração")</f>
        <v>OXIGENIO, RECARGA PARA CILINDRO DE CONJUNTO OXICORTE GRANDE</v>
      </c>
      <c r="F1037" s="258" t="str">
        <f>IFERROR(IF(D1037="SINAPI-S",VLOOKUP(B1037,'20-B.SINAPI-S'!A:J,3,0),IF(D1037="SINAPI-I",VLOOKUP(B1037,'20-A.SINAPI-I'!A:G,3,0),IF(D1037="COMPOSIÇÕES",VLOOKUP(B1037,'11.COMPOSIÇÕES GERAIS'!B:I,3,0),VLOOKUP(B1037,'12.COT.MERCADO'!A:I,7,0)))),"Em Elaboração")</f>
        <v>M3</v>
      </c>
      <c r="G1037" s="254">
        <v>10.0</v>
      </c>
      <c r="H1037" s="259">
        <f>IFERROR(IF(D1037="SINAPI-S",VLOOKUP(B1037,'20-B.SINAPI-S'!A:J,5,0),IF(D1037="SINAPI-I",VLOOKUP(B1037,'20-A.SINAPI-I'!A:G,6,0),IF(D1037="COMPOSIÇÕES",VLOOKUP(B1037,'11.COMPOSIÇÕES GERAIS'!B:I,7,0),0))),"Em Elaboração")</f>
        <v>0</v>
      </c>
      <c r="I1037" s="259">
        <f>IFERROR(IF(D1037="SINAPI-S",VLOOKUP(B1037,'20-B.SINAPI-S'!A:J,6,0),IF(D1037="SINAPI-I",VLOOKUP(B1037,'20-A.SINAPI-I'!A:G,7,0),IF(D1037="COMPOSIÇÕES",VLOOKUP(B1037,'11.COMPOSIÇÕES GERAIS'!B:I,8,0),VLOOKUP(B1037,'12.COT.MERCADO'!A:I,8,0)))),"Em Elaboração")</f>
        <v>18.5</v>
      </c>
      <c r="J1037" s="259">
        <f t="shared" si="242"/>
        <v>0</v>
      </c>
      <c r="K1037" s="259">
        <f t="shared" si="243"/>
        <v>21.66968982</v>
      </c>
      <c r="L1037" s="259">
        <f t="shared" si="244"/>
        <v>21.66968982</v>
      </c>
      <c r="M1037" s="259">
        <f t="shared" si="245"/>
        <v>0</v>
      </c>
      <c r="N1037" s="259">
        <f t="shared" si="246"/>
        <v>216.6968982</v>
      </c>
      <c r="O1037" s="259">
        <f t="shared" si="247"/>
        <v>216.6968982</v>
      </c>
      <c r="P1037" s="260">
        <f t="shared" si="2"/>
        <v>0.0001695164011</v>
      </c>
    </row>
    <row r="1038">
      <c r="A1038" s="253" t="s">
        <v>1300</v>
      </c>
      <c r="B1038" s="254" t="s">
        <v>1301</v>
      </c>
      <c r="C1038" s="255" t="str">
        <f t="shared" si="241"/>
        <v>PRÓPRIO</v>
      </c>
      <c r="D1038" s="256" t="s">
        <v>110</v>
      </c>
      <c r="E1038" s="257" t="str">
        <f>IFERROR(IF(D1038="SINAPI-S",VLOOKUP(B1038,'20-B.SINAPI-S'!A:J,2,0),IF(D1038="SINAPI-I",VLOOKUP(B1038,'20-A.SINAPI-I'!A:G,2,0),IF(D1038="COMPOSIÇÕES",VLOOKUP(B1038,'11.COMPOSIÇÕES GERAIS'!B:I,2,0),VLOOKUP(B1038,'12.COT.MERCADO'!A:I,2,0)))),"Em Elaboração")</f>
        <v>Refil Gás Map Pro Para Maçarico Com 400g</v>
      </c>
      <c r="F1038" s="258" t="str">
        <f>IFERROR(IF(D1038="SINAPI-S",VLOOKUP(B1038,'20-B.SINAPI-S'!A:J,3,0),IF(D1038="SINAPI-I",VLOOKUP(B1038,'20-A.SINAPI-I'!A:G,3,0),IF(D1038="COMPOSIÇÕES",VLOOKUP(B1038,'11.COMPOSIÇÕES GERAIS'!B:I,3,0),VLOOKUP(B1038,'12.COT.MERCADO'!A:I,7,0)))),"Em Elaboração")</f>
        <v>UN </v>
      </c>
      <c r="G1038" s="254">
        <v>2.0</v>
      </c>
      <c r="H1038" s="259">
        <f>IFERROR(IF(D1038="SINAPI-S",VLOOKUP(B1038,'20-B.SINAPI-S'!A:J,5,0),IF(D1038="SINAPI-I",VLOOKUP(B1038,'20-A.SINAPI-I'!A:G,6,0),IF(D1038="COMPOSIÇÕES",VLOOKUP(B1038,'11.COMPOSIÇÕES GERAIS'!B:I,7,0),0))),"Em Elaboração")</f>
        <v>0</v>
      </c>
      <c r="I1038" s="259">
        <f>IFERROR(IF(D1038="SINAPI-S",VLOOKUP(B1038,'20-B.SINAPI-S'!A:J,6,0),IF(D1038="SINAPI-I",VLOOKUP(B1038,'20-A.SINAPI-I'!A:G,7,0),IF(D1038="COMPOSIÇÕES",VLOOKUP(B1038,'11.COMPOSIÇÕES GERAIS'!B:I,8,0),VLOOKUP(B1038,'12.COT.MERCADO'!A:I,8,0)))),"Em Elaboração")</f>
        <v>46.39</v>
      </c>
      <c r="J1038" s="259">
        <f t="shared" si="242"/>
        <v>0</v>
      </c>
      <c r="K1038" s="259">
        <f t="shared" si="243"/>
        <v>54.3382114</v>
      </c>
      <c r="L1038" s="259">
        <f t="shared" si="244"/>
        <v>54.3382114</v>
      </c>
      <c r="M1038" s="259">
        <f t="shared" si="245"/>
        <v>0</v>
      </c>
      <c r="N1038" s="259">
        <f t="shared" si="246"/>
        <v>108.6764228</v>
      </c>
      <c r="O1038" s="259">
        <f t="shared" si="247"/>
        <v>108.6764228</v>
      </c>
      <c r="P1038" s="260">
        <f t="shared" si="2"/>
        <v>0.00008501476593</v>
      </c>
    </row>
    <row r="1039">
      <c r="A1039" s="261" t="s">
        <v>1302</v>
      </c>
      <c r="B1039" s="262" t="s">
        <v>1303</v>
      </c>
      <c r="C1039" s="44"/>
      <c r="D1039" s="44"/>
      <c r="E1039" s="44"/>
      <c r="F1039" s="44"/>
      <c r="G1039" s="44"/>
      <c r="H1039" s="44"/>
      <c r="I1039" s="44"/>
      <c r="J1039" s="44"/>
      <c r="K1039" s="44"/>
      <c r="L1039" s="44"/>
      <c r="M1039" s="263">
        <f t="shared" ref="M1039:O1039" si="248">SUM(M1040:M1044)</f>
        <v>0</v>
      </c>
      <c r="N1039" s="263">
        <f t="shared" si="248"/>
        <v>3483.408496</v>
      </c>
      <c r="O1039" s="263">
        <f t="shared" si="248"/>
        <v>3483.408496</v>
      </c>
      <c r="P1039" s="264">
        <f t="shared" si="2"/>
        <v>0.00272498073</v>
      </c>
    </row>
    <row r="1040">
      <c r="A1040" s="253" t="s">
        <v>1304</v>
      </c>
      <c r="B1040" s="254">
        <v>10416.0</v>
      </c>
      <c r="C1040" s="255" t="str">
        <f t="shared" ref="C1040:C1044" si="249">IF(OR(D1040="SINAPI-S",D1040="SINAPI-I"),"SINAPI","PRÓPRIO")</f>
        <v>SINAPI</v>
      </c>
      <c r="D1040" s="256" t="s">
        <v>286</v>
      </c>
      <c r="E1040" s="257" t="str">
        <f>IFERROR(IF(D1040="SINAPI-S",VLOOKUP(B1040,'20-B.SINAPI-S'!A:J,2,0),IF(D1040="SINAPI-I",VLOOKUP(B1040,'20-A.SINAPI-I'!A:G,2,0),IF(D1040="COMPOSIÇÕES",VLOOKUP(B1040,'11.COMPOSIÇÕES GERAIS'!B:I,2,0),VLOOKUP(B1040,'12.COT.MERCADO'!A:I,2,0)))),"Em Elaboração")</f>
        <v>VALVULA DE RETENCAO VERTICAL, DE BRONZE (PN-16), 1 1/2", 200 PSI, EXTREMIDADES COM ROSCA</v>
      </c>
      <c r="F1040" s="258" t="str">
        <f>IFERROR(IF(D1040="SINAPI-S",VLOOKUP(B1040,'20-B.SINAPI-S'!A:J,3,0),IF(D1040="SINAPI-I",VLOOKUP(B1040,'20-A.SINAPI-I'!A:G,3,0),IF(D1040="COMPOSIÇÕES",VLOOKUP(B1040,'11.COMPOSIÇÕES GERAIS'!B:I,3,0),VLOOKUP(B1040,'12.COT.MERCADO'!A:I,7,0)))),"Em Elaboração")</f>
        <v>UN</v>
      </c>
      <c r="G1040" s="254">
        <v>1.0</v>
      </c>
      <c r="H1040" s="259">
        <f>IFERROR(IF(D1040="SINAPI-S",VLOOKUP(B1040,'20-B.SINAPI-S'!A:J,5,0),IF(D1040="SINAPI-I",VLOOKUP(B1040,'20-A.SINAPI-I'!A:G,6,0),IF(D1040="COMPOSIÇÕES",VLOOKUP(B1040,'11.COMPOSIÇÕES GERAIS'!B:I,7,0),0))),"Em Elaboração")</f>
        <v>0</v>
      </c>
      <c r="I1040" s="259">
        <f>IFERROR(IF(D1040="SINAPI-S",VLOOKUP(B1040,'20-B.SINAPI-S'!A:J,6,0),IF(D1040="SINAPI-I",VLOOKUP(B1040,'20-A.SINAPI-I'!A:G,7,0),IF(D1040="COMPOSIÇÕES",VLOOKUP(B1040,'11.COMPOSIÇÕES GERAIS'!B:I,8,0),VLOOKUP(B1040,'12.COT.MERCADO'!A:I,8,0)))),"Em Elaboração")</f>
        <v>136.7</v>
      </c>
      <c r="J1040" s="259">
        <f t="shared" ref="J1040:J1044" si="250">H1040*(1+$J$5)</f>
        <v>0</v>
      </c>
      <c r="K1040" s="259">
        <f t="shared" ref="K1040:K1044" si="251">I1040*(1+$J$8)</f>
        <v>160.1214378</v>
      </c>
      <c r="L1040" s="259">
        <f t="shared" ref="L1040:L1044" si="252">SUM(J1040:K1040)</f>
        <v>160.1214378</v>
      </c>
      <c r="M1040" s="259">
        <f t="shared" ref="M1040:M1044" si="253">J1040*G1040</f>
        <v>0</v>
      </c>
      <c r="N1040" s="259">
        <f t="shared" ref="N1040:N1044" si="254">K1040*G1040</f>
        <v>160.1214378</v>
      </c>
      <c r="O1040" s="259">
        <f t="shared" ref="O1040:O1044" si="255">SUM(M1040:N1040)</f>
        <v>160.1214378</v>
      </c>
      <c r="P1040" s="260">
        <f t="shared" si="2"/>
        <v>0.0001252588759</v>
      </c>
    </row>
    <row r="1041">
      <c r="A1041" s="253" t="s">
        <v>1305</v>
      </c>
      <c r="B1041" s="254" t="s">
        <v>1306</v>
      </c>
      <c r="C1041" s="255" t="str">
        <f t="shared" si="249"/>
        <v>PRÓPRIO</v>
      </c>
      <c r="D1041" s="256" t="s">
        <v>110</v>
      </c>
      <c r="E1041" s="257" t="str">
        <f>IFERROR(IF(D1041="SINAPI-S",VLOOKUP(B1041,'20-B.SINAPI-S'!A:J,2,0),IF(D1041="SINAPI-I",VLOOKUP(B1041,'20-A.SINAPI-I'!A:G,2,0),IF(D1041="COMPOSIÇÕES",VLOOKUP(B1041,'11.COMPOSIÇÕES GERAIS'!B:I,2,0),VLOOKUP(B1041,'12.COT.MERCADO'!A:I,2,0)))),"Em Elaboração")</f>
        <v>Válvula Motorizada 3 Vias 1” ON-OFF Retorno Elétrico REF: Actua Controls ou similar</v>
      </c>
      <c r="F1041" s="258" t="str">
        <f>IFERROR(IF(D1041="SINAPI-S",VLOOKUP(B1041,'20-B.SINAPI-S'!A:J,3,0),IF(D1041="SINAPI-I",VLOOKUP(B1041,'20-A.SINAPI-I'!A:G,3,0),IF(D1041="COMPOSIÇÕES",VLOOKUP(B1041,'11.COMPOSIÇÕES GERAIS'!B:I,3,0),VLOOKUP(B1041,'12.COT.MERCADO'!A:I,7,0)))),"Em Elaboração")</f>
        <v>UN </v>
      </c>
      <c r="G1041" s="254">
        <v>2.0</v>
      </c>
      <c r="H1041" s="259">
        <f>IFERROR(IF(D1041="SINAPI-S",VLOOKUP(B1041,'20-B.SINAPI-S'!A:J,5,0),IF(D1041="SINAPI-I",VLOOKUP(B1041,'20-A.SINAPI-I'!A:G,6,0),IF(D1041="COMPOSIÇÕES",VLOOKUP(B1041,'11.COMPOSIÇÕES GERAIS'!B:I,7,0),0))),"Em Elaboração")</f>
        <v>0</v>
      </c>
      <c r="I1041" s="259">
        <f>IFERROR(IF(D1041="SINAPI-S",VLOOKUP(B1041,'20-B.SINAPI-S'!A:J,6,0),IF(D1041="SINAPI-I",VLOOKUP(B1041,'20-A.SINAPI-I'!A:G,7,0),IF(D1041="COMPOSIÇÕES",VLOOKUP(B1041,'11.COMPOSIÇÕES GERAIS'!B:I,8,0),VLOOKUP(B1041,'12.COT.MERCADO'!A:I,8,0)))),"Em Elaboração")</f>
        <v>652.8</v>
      </c>
      <c r="J1041" s="259">
        <f t="shared" si="250"/>
        <v>0</v>
      </c>
      <c r="K1041" s="259">
        <f t="shared" si="251"/>
        <v>764.6472172</v>
      </c>
      <c r="L1041" s="259">
        <f t="shared" si="252"/>
        <v>764.6472172</v>
      </c>
      <c r="M1041" s="259">
        <f t="shared" si="253"/>
        <v>0</v>
      </c>
      <c r="N1041" s="259">
        <f t="shared" si="254"/>
        <v>1529.294434</v>
      </c>
      <c r="O1041" s="259">
        <f t="shared" si="255"/>
        <v>1529.294434</v>
      </c>
      <c r="P1041" s="260">
        <f t="shared" si="2"/>
        <v>0.00119632764</v>
      </c>
    </row>
    <row r="1042">
      <c r="A1042" s="253" t="s">
        <v>1307</v>
      </c>
      <c r="B1042" s="254" t="s">
        <v>1308</v>
      </c>
      <c r="C1042" s="255" t="str">
        <f t="shared" si="249"/>
        <v>PRÓPRIO</v>
      </c>
      <c r="D1042" s="256" t="s">
        <v>110</v>
      </c>
      <c r="E1042" s="257" t="str">
        <f>IFERROR(IF(D1042="SINAPI-S",VLOOKUP(B1042,'20-B.SINAPI-S'!A:J,2,0),IF(D1042="SINAPI-I",VLOOKUP(B1042,'20-A.SINAPI-I'!A:G,2,0),IF(D1042="COMPOSIÇÕES",VLOOKUP(B1042,'11.COMPOSIÇÕES GERAIS'!B:I,2,0),VLOOKUP(B1042,'12.COT.MERCADO'!A:I,2,0)))),"Em Elaboração")</f>
        <v>Válvula Motorizada 3 Vias 3/4” ON-OFF Retorno Elétrico REF: Actua Controls ou similar</v>
      </c>
      <c r="F1042" s="258" t="str">
        <f>IFERROR(IF(D1042="SINAPI-S",VLOOKUP(B1042,'20-B.SINAPI-S'!A:J,3,0),IF(D1042="SINAPI-I",VLOOKUP(B1042,'20-A.SINAPI-I'!A:G,3,0),IF(D1042="COMPOSIÇÕES",VLOOKUP(B1042,'11.COMPOSIÇÕES GERAIS'!B:I,3,0),VLOOKUP(B1042,'12.COT.MERCADO'!A:I,7,0)))),"Em Elaboração")</f>
        <v>UN </v>
      </c>
      <c r="G1042" s="254">
        <v>2.0</v>
      </c>
      <c r="H1042" s="259">
        <f>IFERROR(IF(D1042="SINAPI-S",VLOOKUP(B1042,'20-B.SINAPI-S'!A:J,5,0),IF(D1042="SINAPI-I",VLOOKUP(B1042,'20-A.SINAPI-I'!A:G,6,0),IF(D1042="COMPOSIÇÕES",VLOOKUP(B1042,'11.COMPOSIÇÕES GERAIS'!B:I,7,0),0))),"Em Elaboração")</f>
        <v>0</v>
      </c>
      <c r="I1042" s="259">
        <f>IFERROR(IF(D1042="SINAPI-S",VLOOKUP(B1042,'20-B.SINAPI-S'!A:J,6,0),IF(D1042="SINAPI-I",VLOOKUP(B1042,'20-A.SINAPI-I'!A:G,7,0),IF(D1042="COMPOSIÇÕES",VLOOKUP(B1042,'11.COMPOSIÇÕES GERAIS'!B:I,8,0),VLOOKUP(B1042,'12.COT.MERCADO'!A:I,8,0)))),"Em Elaboração")</f>
        <v>463.88</v>
      </c>
      <c r="J1042" s="259">
        <f t="shared" si="250"/>
        <v>0</v>
      </c>
      <c r="K1042" s="259">
        <f t="shared" si="251"/>
        <v>543.3586874</v>
      </c>
      <c r="L1042" s="259">
        <f t="shared" si="252"/>
        <v>543.3586874</v>
      </c>
      <c r="M1042" s="259">
        <f t="shared" si="253"/>
        <v>0</v>
      </c>
      <c r="N1042" s="259">
        <f t="shared" si="254"/>
        <v>1086.717375</v>
      </c>
      <c r="O1042" s="259">
        <f t="shared" si="255"/>
        <v>1086.717375</v>
      </c>
      <c r="P1042" s="260">
        <f t="shared" si="2"/>
        <v>0.0008501110071</v>
      </c>
    </row>
    <row r="1043">
      <c r="A1043" s="253" t="s">
        <v>1309</v>
      </c>
      <c r="B1043" s="254" t="s">
        <v>1310</v>
      </c>
      <c r="C1043" s="255" t="str">
        <f t="shared" si="249"/>
        <v>PRÓPRIO</v>
      </c>
      <c r="D1043" s="256" t="s">
        <v>110</v>
      </c>
      <c r="E1043" s="257" t="str">
        <f>IFERROR(IF(D1043="SINAPI-S",VLOOKUP(B1043,'20-B.SINAPI-S'!A:J,2,0),IF(D1043="SINAPI-I",VLOOKUP(B1043,'20-A.SINAPI-I'!A:G,2,0),IF(D1043="COMPOSIÇÕES",VLOOKUP(B1043,'11.COMPOSIÇÕES GERAIS'!B:I,2,0),VLOOKUP(B1043,'12.COT.MERCADO'!A:I,2,0)))),"Em Elaboração")</f>
        <v>Válvula Motorizada 3 Vias 1/2” ON-OFF Retorno Elétrico REF: Actua Controls ou similar</v>
      </c>
      <c r="F1043" s="258" t="str">
        <f>IFERROR(IF(D1043="SINAPI-S",VLOOKUP(B1043,'20-B.SINAPI-S'!A:J,3,0),IF(D1043="SINAPI-I",VLOOKUP(B1043,'20-A.SINAPI-I'!A:G,3,0),IF(D1043="COMPOSIÇÕES",VLOOKUP(B1043,'11.COMPOSIÇÕES GERAIS'!B:I,3,0),VLOOKUP(B1043,'12.COT.MERCADO'!A:I,7,0)))),"Em Elaboração")</f>
        <v>UN </v>
      </c>
      <c r="G1043" s="254">
        <v>1.0</v>
      </c>
      <c r="H1043" s="259">
        <f>IFERROR(IF(D1043="SINAPI-S",VLOOKUP(B1043,'20-B.SINAPI-S'!A:J,5,0),IF(D1043="SINAPI-I",VLOOKUP(B1043,'20-A.SINAPI-I'!A:G,6,0),IF(D1043="COMPOSIÇÕES",VLOOKUP(B1043,'11.COMPOSIÇÕES GERAIS'!B:I,7,0),0))),"Em Elaboração")</f>
        <v>0</v>
      </c>
      <c r="I1043" s="259">
        <f>IFERROR(IF(D1043="SINAPI-S",VLOOKUP(B1043,'20-B.SINAPI-S'!A:J,6,0),IF(D1043="SINAPI-I",VLOOKUP(B1043,'20-A.SINAPI-I'!A:G,7,0),IF(D1043="COMPOSIÇÕES",VLOOKUP(B1043,'11.COMPOSIÇÕES GERAIS'!B:I,8,0),VLOOKUP(B1043,'12.COT.MERCADO'!A:I,8,0)))),"Em Elaboração")</f>
        <v>429.8</v>
      </c>
      <c r="J1043" s="259">
        <f t="shared" si="250"/>
        <v>0</v>
      </c>
      <c r="K1043" s="259">
        <f t="shared" si="251"/>
        <v>503.4396047</v>
      </c>
      <c r="L1043" s="259">
        <f t="shared" si="252"/>
        <v>503.4396047</v>
      </c>
      <c r="M1043" s="259">
        <f t="shared" si="253"/>
        <v>0</v>
      </c>
      <c r="N1043" s="259">
        <f t="shared" si="254"/>
        <v>503.4396047</v>
      </c>
      <c r="O1043" s="259">
        <f t="shared" si="255"/>
        <v>503.4396047</v>
      </c>
      <c r="P1043" s="260">
        <f t="shared" si="2"/>
        <v>0.0003938278335</v>
      </c>
    </row>
    <row r="1044">
      <c r="A1044" s="253" t="s">
        <v>1311</v>
      </c>
      <c r="B1044" s="254" t="s">
        <v>1312</v>
      </c>
      <c r="C1044" s="255" t="str">
        <f t="shared" si="249"/>
        <v>PRÓPRIO</v>
      </c>
      <c r="D1044" s="256" t="s">
        <v>110</v>
      </c>
      <c r="E1044" s="257" t="str">
        <f>IFERROR(IF(D1044="SINAPI-S",VLOOKUP(B1044,'20-B.SINAPI-S'!A:J,2,0),IF(D1044="SINAPI-I",VLOOKUP(B1044,'20-A.SINAPI-I'!A:G,2,0),IF(D1044="COMPOSIÇÕES",VLOOKUP(B1044,'11.COMPOSIÇÕES GERAIS'!B:I,2,0),VLOOKUP(B1044,'12.COT.MERCADO'!A:I,2,0)))),"Em Elaboração")</f>
        <v>Válvula De Esfera GBC 5/8"</v>
      </c>
      <c r="F1044" s="258" t="str">
        <f>IFERROR(IF(D1044="SINAPI-S",VLOOKUP(B1044,'20-B.SINAPI-S'!A:J,3,0),IF(D1044="SINAPI-I",VLOOKUP(B1044,'20-A.SINAPI-I'!A:G,3,0),IF(D1044="COMPOSIÇÕES",VLOOKUP(B1044,'11.COMPOSIÇÕES GERAIS'!B:I,3,0),VLOOKUP(B1044,'12.COT.MERCADO'!A:I,7,0)))),"Em Elaboração")</f>
        <v>UN </v>
      </c>
      <c r="G1044" s="254">
        <v>1.0</v>
      </c>
      <c r="H1044" s="259">
        <f>IFERROR(IF(D1044="SINAPI-S",VLOOKUP(B1044,'20-B.SINAPI-S'!A:J,5,0),IF(D1044="SINAPI-I",VLOOKUP(B1044,'20-A.SINAPI-I'!A:G,6,0),IF(D1044="COMPOSIÇÕES",VLOOKUP(B1044,'11.COMPOSIÇÕES GERAIS'!B:I,7,0),0))),"Em Elaboração")</f>
        <v>0</v>
      </c>
      <c r="I1044" s="259">
        <f>IFERROR(IF(D1044="SINAPI-S",VLOOKUP(B1044,'20-B.SINAPI-S'!A:J,6,0),IF(D1044="SINAPI-I",VLOOKUP(B1044,'20-A.SINAPI-I'!A:G,7,0),IF(D1044="COMPOSIÇÕES",VLOOKUP(B1044,'11.COMPOSIÇÕES GERAIS'!B:I,8,0),VLOOKUP(B1044,'12.COT.MERCADO'!A:I,8,0)))),"Em Elaboração")</f>
        <v>174.02</v>
      </c>
      <c r="J1044" s="259">
        <f t="shared" si="250"/>
        <v>0</v>
      </c>
      <c r="K1044" s="259">
        <f t="shared" si="251"/>
        <v>203.8356445</v>
      </c>
      <c r="L1044" s="259">
        <f t="shared" si="252"/>
        <v>203.8356445</v>
      </c>
      <c r="M1044" s="259">
        <f t="shared" si="253"/>
        <v>0</v>
      </c>
      <c r="N1044" s="259">
        <f t="shared" si="254"/>
        <v>203.8356445</v>
      </c>
      <c r="O1044" s="259">
        <f t="shared" si="255"/>
        <v>203.8356445</v>
      </c>
      <c r="P1044" s="260">
        <f t="shared" si="2"/>
        <v>0.0001594553736</v>
      </c>
    </row>
    <row r="1045">
      <c r="A1045" s="261" t="s">
        <v>1313</v>
      </c>
      <c r="B1045" s="262" t="s">
        <v>1314</v>
      </c>
      <c r="C1045" s="44"/>
      <c r="D1045" s="44"/>
      <c r="E1045" s="44"/>
      <c r="F1045" s="44"/>
      <c r="G1045" s="44"/>
      <c r="H1045" s="44"/>
      <c r="I1045" s="44"/>
      <c r="J1045" s="44"/>
      <c r="K1045" s="44"/>
      <c r="L1045" s="44"/>
      <c r="M1045" s="263">
        <f t="shared" ref="M1045:O1045" si="256">SUM(M1046:M1057)</f>
        <v>0</v>
      </c>
      <c r="N1045" s="263">
        <f t="shared" si="256"/>
        <v>4309.902179</v>
      </c>
      <c r="O1045" s="263">
        <f t="shared" si="256"/>
        <v>4309.902179</v>
      </c>
      <c r="P1045" s="264">
        <f t="shared" si="2"/>
        <v>0.003371525447</v>
      </c>
    </row>
    <row r="1046">
      <c r="A1046" s="253" t="s">
        <v>1315</v>
      </c>
      <c r="B1046" s="254" t="s">
        <v>1316</v>
      </c>
      <c r="C1046" s="255" t="str">
        <f t="shared" ref="C1046:C1057" si="257">IF(OR(D1046="SINAPI-S",D1046="SINAPI-I"),"SINAPI","PRÓPRIO")</f>
        <v>PRÓPRIO</v>
      </c>
      <c r="D1046" s="256" t="s">
        <v>110</v>
      </c>
      <c r="E1046" s="257" t="str">
        <f>IFERROR(IF(D1046="SINAPI-S",VLOOKUP(B1046,'20-B.SINAPI-S'!A:J,2,0),IF(D1046="SINAPI-I",VLOOKUP(B1046,'20-A.SINAPI-I'!A:G,2,0),IF(D1046="COMPOSIÇÕES",VLOOKUP(B1046,'11.COMPOSIÇÕES GERAIS'!B:I,2,0),VLOOKUP(B1046,'12.COT.MERCADO'!A:I,2,0)))),"Em Elaboração")</f>
        <v>Isolamento esponjoso elastomérico para tubo de cobre 1/4"</v>
      </c>
      <c r="F1046" s="258" t="str">
        <f>IFERROR(IF(D1046="SINAPI-S",VLOOKUP(B1046,'20-B.SINAPI-S'!A:J,3,0),IF(D1046="SINAPI-I",VLOOKUP(B1046,'20-A.SINAPI-I'!A:G,3,0),IF(D1046="COMPOSIÇÕES",VLOOKUP(B1046,'11.COMPOSIÇÕES GERAIS'!B:I,3,0),VLOOKUP(B1046,'12.COT.MERCADO'!A:I,7,0)))),"Em Elaboração")</f>
        <v>M</v>
      </c>
      <c r="G1046" s="254">
        <v>20.0</v>
      </c>
      <c r="H1046" s="259">
        <f>IFERROR(IF(D1046="SINAPI-S",VLOOKUP(B1046,'20-B.SINAPI-S'!A:J,5,0),IF(D1046="SINAPI-I",VLOOKUP(B1046,'20-A.SINAPI-I'!A:G,6,0),IF(D1046="COMPOSIÇÕES",VLOOKUP(B1046,'11.COMPOSIÇÕES GERAIS'!B:I,7,0),0))),"Em Elaboração")</f>
        <v>0</v>
      </c>
      <c r="I1046" s="259">
        <f>IFERROR(IF(D1046="SINAPI-S",VLOOKUP(B1046,'20-B.SINAPI-S'!A:J,6,0),IF(D1046="SINAPI-I",VLOOKUP(B1046,'20-A.SINAPI-I'!A:G,7,0),IF(D1046="COMPOSIÇÕES",VLOOKUP(B1046,'11.COMPOSIÇÕES GERAIS'!B:I,8,0),VLOOKUP(B1046,'12.COT.MERCADO'!A:I,8,0)))),"Em Elaboração")</f>
        <v>8.55</v>
      </c>
      <c r="J1046" s="259">
        <f t="shared" ref="J1046:J1057" si="258">H1046*(1+$J$5)</f>
        <v>0</v>
      </c>
      <c r="K1046" s="259">
        <f t="shared" ref="K1046:K1057" si="259">I1046*(1+$J$8)</f>
        <v>10.0149107</v>
      </c>
      <c r="L1046" s="259">
        <f t="shared" ref="L1046:L1057" si="260">SUM(J1046:K1046)</f>
        <v>10.0149107</v>
      </c>
      <c r="M1046" s="259">
        <f t="shared" ref="M1046:M1057" si="261">J1046*G1046</f>
        <v>0</v>
      </c>
      <c r="N1046" s="259">
        <f t="shared" ref="N1046:N1057" si="262">K1046*G1046</f>
        <v>200.2982141</v>
      </c>
      <c r="O1046" s="259">
        <f t="shared" ref="O1046:O1057" si="263">SUM(M1046:N1046)</f>
        <v>200.2982141</v>
      </c>
      <c r="P1046" s="260">
        <f t="shared" si="2"/>
        <v>0.0001566881329</v>
      </c>
    </row>
    <row r="1047">
      <c r="A1047" s="253" t="s">
        <v>1317</v>
      </c>
      <c r="B1047" s="254" t="s">
        <v>1318</v>
      </c>
      <c r="C1047" s="255" t="str">
        <f t="shared" si="257"/>
        <v>PRÓPRIO</v>
      </c>
      <c r="D1047" s="256" t="s">
        <v>110</v>
      </c>
      <c r="E1047" s="257" t="str">
        <f>IFERROR(IF(D1047="SINAPI-S",VLOOKUP(B1047,'20-B.SINAPI-S'!A:J,2,0),IF(D1047="SINAPI-I",VLOOKUP(B1047,'20-A.SINAPI-I'!A:G,2,0),IF(D1047="COMPOSIÇÕES",VLOOKUP(B1047,'11.COMPOSIÇÕES GERAIS'!B:I,2,0),VLOOKUP(B1047,'12.COT.MERCADO'!A:I,2,0)))),"Em Elaboração")</f>
        <v>Isolamento esponjoso elastomérico para tubo de cobre 3/8"</v>
      </c>
      <c r="F1047" s="258" t="str">
        <f>IFERROR(IF(D1047="SINAPI-S",VLOOKUP(B1047,'20-B.SINAPI-S'!A:J,3,0),IF(D1047="SINAPI-I",VLOOKUP(B1047,'20-A.SINAPI-I'!A:G,3,0),IF(D1047="COMPOSIÇÕES",VLOOKUP(B1047,'11.COMPOSIÇÕES GERAIS'!B:I,3,0),VLOOKUP(B1047,'12.COT.MERCADO'!A:I,7,0)))),"Em Elaboração")</f>
        <v>M</v>
      </c>
      <c r="G1047" s="254">
        <v>20.0</v>
      </c>
      <c r="H1047" s="259">
        <f>IFERROR(IF(D1047="SINAPI-S",VLOOKUP(B1047,'20-B.SINAPI-S'!A:J,5,0),IF(D1047="SINAPI-I",VLOOKUP(B1047,'20-A.SINAPI-I'!A:G,6,0),IF(D1047="COMPOSIÇÕES",VLOOKUP(B1047,'11.COMPOSIÇÕES GERAIS'!B:I,7,0),0))),"Em Elaboração")</f>
        <v>0</v>
      </c>
      <c r="I1047" s="259">
        <f>IFERROR(IF(D1047="SINAPI-S",VLOOKUP(B1047,'20-B.SINAPI-S'!A:J,6,0),IF(D1047="SINAPI-I",VLOOKUP(B1047,'20-A.SINAPI-I'!A:G,7,0),IF(D1047="COMPOSIÇÕES",VLOOKUP(B1047,'11.COMPOSIÇÕES GERAIS'!B:I,8,0),VLOOKUP(B1047,'12.COT.MERCADO'!A:I,8,0)))),"Em Elaboração")</f>
        <v>11.23</v>
      </c>
      <c r="J1047" s="259">
        <f t="shared" si="258"/>
        <v>0</v>
      </c>
      <c r="K1047" s="259">
        <f t="shared" si="259"/>
        <v>13.15408739</v>
      </c>
      <c r="L1047" s="259">
        <f t="shared" si="260"/>
        <v>13.15408739</v>
      </c>
      <c r="M1047" s="259">
        <f t="shared" si="261"/>
        <v>0</v>
      </c>
      <c r="N1047" s="259">
        <f t="shared" si="262"/>
        <v>263.0817478</v>
      </c>
      <c r="O1047" s="259">
        <f t="shared" si="263"/>
        <v>263.0817478</v>
      </c>
      <c r="P1047" s="260">
        <f t="shared" si="2"/>
        <v>0.000205802074</v>
      </c>
    </row>
    <row r="1048">
      <c r="A1048" s="253" t="s">
        <v>1319</v>
      </c>
      <c r="B1048" s="254" t="s">
        <v>1320</v>
      </c>
      <c r="C1048" s="255" t="str">
        <f t="shared" si="257"/>
        <v>PRÓPRIO</v>
      </c>
      <c r="D1048" s="256" t="s">
        <v>110</v>
      </c>
      <c r="E1048" s="257" t="str">
        <f>IFERROR(IF(D1048="SINAPI-S",VLOOKUP(B1048,'20-B.SINAPI-S'!A:J,2,0),IF(D1048="SINAPI-I",VLOOKUP(B1048,'20-A.SINAPI-I'!A:G,2,0),IF(D1048="COMPOSIÇÕES",VLOOKUP(B1048,'11.COMPOSIÇÕES GERAIS'!B:I,2,0),VLOOKUP(B1048,'12.COT.MERCADO'!A:I,2,0)))),"Em Elaboração")</f>
        <v>Isolamento esponjoso elastomérico para tubo de cobre 1/2"</v>
      </c>
      <c r="F1048" s="258" t="str">
        <f>IFERROR(IF(D1048="SINAPI-S",VLOOKUP(B1048,'20-B.SINAPI-S'!A:J,3,0),IF(D1048="SINAPI-I",VLOOKUP(B1048,'20-A.SINAPI-I'!A:G,3,0),IF(D1048="COMPOSIÇÕES",VLOOKUP(B1048,'11.COMPOSIÇÕES GERAIS'!B:I,3,0),VLOOKUP(B1048,'12.COT.MERCADO'!A:I,7,0)))),"Em Elaboração")</f>
        <v>M</v>
      </c>
      <c r="G1048" s="254">
        <v>20.0</v>
      </c>
      <c r="H1048" s="259">
        <f>IFERROR(IF(D1048="SINAPI-S",VLOOKUP(B1048,'20-B.SINAPI-S'!A:J,5,0),IF(D1048="SINAPI-I",VLOOKUP(B1048,'20-A.SINAPI-I'!A:G,6,0),IF(D1048="COMPOSIÇÕES",VLOOKUP(B1048,'11.COMPOSIÇÕES GERAIS'!B:I,7,0),0))),"Em Elaboração")</f>
        <v>0</v>
      </c>
      <c r="I1048" s="259">
        <f>IFERROR(IF(D1048="SINAPI-S",VLOOKUP(B1048,'20-B.SINAPI-S'!A:J,6,0),IF(D1048="SINAPI-I",VLOOKUP(B1048,'20-A.SINAPI-I'!A:G,7,0),IF(D1048="COMPOSIÇÕES",VLOOKUP(B1048,'11.COMPOSIÇÕES GERAIS'!B:I,8,0),VLOOKUP(B1048,'12.COT.MERCADO'!A:I,8,0)))),"Em Elaboração")</f>
        <v>11.92</v>
      </c>
      <c r="J1048" s="259">
        <f t="shared" si="258"/>
        <v>0</v>
      </c>
      <c r="K1048" s="259">
        <f t="shared" si="259"/>
        <v>13.96230825</v>
      </c>
      <c r="L1048" s="259">
        <f t="shared" si="260"/>
        <v>13.96230825</v>
      </c>
      <c r="M1048" s="259">
        <f t="shared" si="261"/>
        <v>0</v>
      </c>
      <c r="N1048" s="259">
        <f t="shared" si="262"/>
        <v>279.2461651</v>
      </c>
      <c r="O1048" s="259">
        <f t="shared" si="263"/>
        <v>279.2461651</v>
      </c>
      <c r="P1048" s="260">
        <f t="shared" si="2"/>
        <v>0.0002184470812</v>
      </c>
    </row>
    <row r="1049">
      <c r="A1049" s="253" t="s">
        <v>1321</v>
      </c>
      <c r="B1049" s="254" t="s">
        <v>1322</v>
      </c>
      <c r="C1049" s="255" t="str">
        <f t="shared" si="257"/>
        <v>PRÓPRIO</v>
      </c>
      <c r="D1049" s="256" t="s">
        <v>110</v>
      </c>
      <c r="E1049" s="257" t="str">
        <f>IFERROR(IF(D1049="SINAPI-S",VLOOKUP(B1049,'20-B.SINAPI-S'!A:J,2,0),IF(D1049="SINAPI-I",VLOOKUP(B1049,'20-A.SINAPI-I'!A:G,2,0),IF(D1049="COMPOSIÇÕES",VLOOKUP(B1049,'11.COMPOSIÇÕES GERAIS'!B:I,2,0),VLOOKUP(B1049,'12.COT.MERCADO'!A:I,2,0)))),"Em Elaboração")</f>
        <v>Isolamento esponjoso elastomérico para tubo de cobre 5/8"</v>
      </c>
      <c r="F1049" s="258" t="str">
        <f>IFERROR(IF(D1049="SINAPI-S",VLOOKUP(B1049,'20-B.SINAPI-S'!A:J,3,0),IF(D1049="SINAPI-I",VLOOKUP(B1049,'20-A.SINAPI-I'!A:G,3,0),IF(D1049="COMPOSIÇÕES",VLOOKUP(B1049,'11.COMPOSIÇÕES GERAIS'!B:I,3,0),VLOOKUP(B1049,'12.COT.MERCADO'!A:I,7,0)))),"Em Elaboração")</f>
        <v>M</v>
      </c>
      <c r="G1049" s="254">
        <v>20.0</v>
      </c>
      <c r="H1049" s="259">
        <f>IFERROR(IF(D1049="SINAPI-S",VLOOKUP(B1049,'20-B.SINAPI-S'!A:J,5,0),IF(D1049="SINAPI-I",VLOOKUP(B1049,'20-A.SINAPI-I'!A:G,6,0),IF(D1049="COMPOSIÇÕES",VLOOKUP(B1049,'11.COMPOSIÇÕES GERAIS'!B:I,7,0),0))),"Em Elaboração")</f>
        <v>0</v>
      </c>
      <c r="I1049" s="259">
        <f>IFERROR(IF(D1049="SINAPI-S",VLOOKUP(B1049,'20-B.SINAPI-S'!A:J,6,0),IF(D1049="SINAPI-I",VLOOKUP(B1049,'20-A.SINAPI-I'!A:G,7,0),IF(D1049="COMPOSIÇÕES",VLOOKUP(B1049,'11.COMPOSIÇÕES GERAIS'!B:I,8,0),VLOOKUP(B1049,'12.COT.MERCADO'!A:I,8,0)))),"Em Elaboração")</f>
        <v>36.48</v>
      </c>
      <c r="J1049" s="259">
        <f t="shared" si="258"/>
        <v>0</v>
      </c>
      <c r="K1049" s="259">
        <f t="shared" si="259"/>
        <v>42.73028567</v>
      </c>
      <c r="L1049" s="259">
        <f t="shared" si="260"/>
        <v>42.73028567</v>
      </c>
      <c r="M1049" s="259">
        <f t="shared" si="261"/>
        <v>0</v>
      </c>
      <c r="N1049" s="259">
        <f t="shared" si="262"/>
        <v>854.6057133</v>
      </c>
      <c r="O1049" s="259">
        <f t="shared" si="263"/>
        <v>854.6057133</v>
      </c>
      <c r="P1049" s="260">
        <f t="shared" si="2"/>
        <v>0.0006685360338</v>
      </c>
    </row>
    <row r="1050">
      <c r="A1050" s="253" t="s">
        <v>1323</v>
      </c>
      <c r="B1050" s="254" t="s">
        <v>1324</v>
      </c>
      <c r="C1050" s="255" t="str">
        <f t="shared" si="257"/>
        <v>PRÓPRIO</v>
      </c>
      <c r="D1050" s="256" t="s">
        <v>110</v>
      </c>
      <c r="E1050" s="257" t="str">
        <f>IFERROR(IF(D1050="SINAPI-S",VLOOKUP(B1050,'20-B.SINAPI-S'!A:J,2,0),IF(D1050="SINAPI-I",VLOOKUP(B1050,'20-A.SINAPI-I'!A:G,2,0),IF(D1050="COMPOSIÇÕES",VLOOKUP(B1050,'11.COMPOSIÇÕES GERAIS'!B:I,2,0),VLOOKUP(B1050,'12.COT.MERCADO'!A:I,2,0)))),"Em Elaboração")</f>
        <v>Isolamento esponjoso elastomérico para tubo de cobre 3/4"</v>
      </c>
      <c r="F1050" s="258" t="str">
        <f>IFERROR(IF(D1050="SINAPI-S",VLOOKUP(B1050,'20-B.SINAPI-S'!A:J,3,0),IF(D1050="SINAPI-I",VLOOKUP(B1050,'20-A.SINAPI-I'!A:G,3,0),IF(D1050="COMPOSIÇÕES",VLOOKUP(B1050,'11.COMPOSIÇÕES GERAIS'!B:I,3,0),VLOOKUP(B1050,'12.COT.MERCADO'!A:I,7,0)))),"Em Elaboração")</f>
        <v>M</v>
      </c>
      <c r="G1050" s="254">
        <v>20.0</v>
      </c>
      <c r="H1050" s="259">
        <f>IFERROR(IF(D1050="SINAPI-S",VLOOKUP(B1050,'20-B.SINAPI-S'!A:J,5,0),IF(D1050="SINAPI-I",VLOOKUP(B1050,'20-A.SINAPI-I'!A:G,6,0),IF(D1050="COMPOSIÇÕES",VLOOKUP(B1050,'11.COMPOSIÇÕES GERAIS'!B:I,7,0),0))),"Em Elaboração")</f>
        <v>0</v>
      </c>
      <c r="I1050" s="259">
        <f>IFERROR(IF(D1050="SINAPI-S",VLOOKUP(B1050,'20-B.SINAPI-S'!A:J,6,0),IF(D1050="SINAPI-I",VLOOKUP(B1050,'20-A.SINAPI-I'!A:G,7,0),IF(D1050="COMPOSIÇÕES",VLOOKUP(B1050,'11.COMPOSIÇÕES GERAIS'!B:I,8,0),VLOOKUP(B1050,'12.COT.MERCADO'!A:I,8,0)))),"Em Elaboração")</f>
        <v>18.14</v>
      </c>
      <c r="J1050" s="259">
        <f t="shared" si="258"/>
        <v>0</v>
      </c>
      <c r="K1050" s="259">
        <f t="shared" si="259"/>
        <v>21.24800937</v>
      </c>
      <c r="L1050" s="259">
        <f t="shared" si="260"/>
        <v>21.24800937</v>
      </c>
      <c r="M1050" s="259">
        <f t="shared" si="261"/>
        <v>0</v>
      </c>
      <c r="N1050" s="259">
        <f t="shared" si="262"/>
        <v>424.9601875</v>
      </c>
      <c r="O1050" s="259">
        <f t="shared" si="263"/>
        <v>424.9601875</v>
      </c>
      <c r="P1050" s="260">
        <f t="shared" si="2"/>
        <v>0.0003324354072</v>
      </c>
    </row>
    <row r="1051">
      <c r="A1051" s="253" t="s">
        <v>1325</v>
      </c>
      <c r="B1051" s="254" t="s">
        <v>1326</v>
      </c>
      <c r="C1051" s="255" t="str">
        <f t="shared" si="257"/>
        <v>PRÓPRIO</v>
      </c>
      <c r="D1051" s="256" t="s">
        <v>110</v>
      </c>
      <c r="E1051" s="257" t="str">
        <f>IFERROR(IF(D1051="SINAPI-S",VLOOKUP(B1051,'20-B.SINAPI-S'!A:J,2,0),IF(D1051="SINAPI-I",VLOOKUP(B1051,'20-A.SINAPI-I'!A:G,2,0),IF(D1051="COMPOSIÇÕES",VLOOKUP(B1051,'11.COMPOSIÇÕES GERAIS'!B:I,2,0),VLOOKUP(B1051,'12.COT.MERCADO'!A:I,2,0)))),"Em Elaboração")</f>
        <v>Isolamento esponjoso elastomérico para tubo de cobre 7/8"</v>
      </c>
      <c r="F1051" s="258" t="str">
        <f>IFERROR(IF(D1051="SINAPI-S",VLOOKUP(B1051,'20-B.SINAPI-S'!A:J,3,0),IF(D1051="SINAPI-I",VLOOKUP(B1051,'20-A.SINAPI-I'!A:G,3,0),IF(D1051="COMPOSIÇÕES",VLOOKUP(B1051,'11.COMPOSIÇÕES GERAIS'!B:I,3,0),VLOOKUP(B1051,'12.COT.MERCADO'!A:I,7,0)))),"Em Elaboração")</f>
        <v>M</v>
      </c>
      <c r="G1051" s="254">
        <v>20.0</v>
      </c>
      <c r="H1051" s="259">
        <f>IFERROR(IF(D1051="SINAPI-S",VLOOKUP(B1051,'20-B.SINAPI-S'!A:J,5,0),IF(D1051="SINAPI-I",VLOOKUP(B1051,'20-A.SINAPI-I'!A:G,6,0),IF(D1051="COMPOSIÇÕES",VLOOKUP(B1051,'11.COMPOSIÇÕES GERAIS'!B:I,7,0),0))),"Em Elaboração")</f>
        <v>0</v>
      </c>
      <c r="I1051" s="259">
        <f>IFERROR(IF(D1051="SINAPI-S",VLOOKUP(B1051,'20-B.SINAPI-S'!A:J,6,0),IF(D1051="SINAPI-I",VLOOKUP(B1051,'20-A.SINAPI-I'!A:G,7,0),IF(D1051="COMPOSIÇÕES",VLOOKUP(B1051,'11.COMPOSIÇÕES GERAIS'!B:I,8,0),VLOOKUP(B1051,'12.COT.MERCADO'!A:I,8,0)))),"Em Elaboração")</f>
        <v>19</v>
      </c>
      <c r="J1051" s="259">
        <f t="shared" si="258"/>
        <v>0</v>
      </c>
      <c r="K1051" s="259">
        <f t="shared" si="259"/>
        <v>22.25535712</v>
      </c>
      <c r="L1051" s="259">
        <f t="shared" si="260"/>
        <v>22.25535712</v>
      </c>
      <c r="M1051" s="259">
        <f t="shared" si="261"/>
        <v>0</v>
      </c>
      <c r="N1051" s="259">
        <f t="shared" si="262"/>
        <v>445.1071424</v>
      </c>
      <c r="O1051" s="259">
        <f t="shared" si="263"/>
        <v>445.1071424</v>
      </c>
      <c r="P1051" s="260">
        <f t="shared" si="2"/>
        <v>0.000348195851</v>
      </c>
    </row>
    <row r="1052">
      <c r="A1052" s="253" t="s">
        <v>1327</v>
      </c>
      <c r="B1052" s="254">
        <v>407.0</v>
      </c>
      <c r="C1052" s="255" t="str">
        <f t="shared" si="257"/>
        <v>SINAPI</v>
      </c>
      <c r="D1052" s="256" t="s">
        <v>286</v>
      </c>
      <c r="E1052" s="257" t="str">
        <f>IFERROR(IF(D1052="SINAPI-S",VLOOKUP(B1052,'20-B.SINAPI-S'!A:J,2,0),IF(D1052="SINAPI-I",VLOOKUP(B1052,'20-A.SINAPI-I'!A:G,2,0),IF(D1052="COMPOSIÇÕES",VLOOKUP(B1052,'11.COMPOSIÇÕES GERAIS'!B:I,2,0),VLOOKUP(B1052,'12.COT.MERCADO'!A:I,2,0)))),"Em Elaboração")</f>
        <v>FITA DE ALUMINIO PARA PROTECAO DO CONDUTOR LARGURA 10 MM</v>
      </c>
      <c r="F1052" s="258" t="str">
        <f>IFERROR(IF(D1052="SINAPI-S",VLOOKUP(B1052,'20-B.SINAPI-S'!A:J,3,0),IF(D1052="SINAPI-I",VLOOKUP(B1052,'20-A.SINAPI-I'!A:G,3,0),IF(D1052="COMPOSIÇÕES",VLOOKUP(B1052,'11.COMPOSIÇÕES GERAIS'!B:I,3,0),VLOOKUP(B1052,'12.COT.MERCADO'!A:I,7,0)))),"Em Elaboração")</f>
        <v>KG</v>
      </c>
      <c r="G1052" s="254">
        <v>4.0</v>
      </c>
      <c r="H1052" s="259">
        <f>IFERROR(IF(D1052="SINAPI-S",VLOOKUP(B1052,'20-B.SINAPI-S'!A:J,5,0),IF(D1052="SINAPI-I",VLOOKUP(B1052,'20-A.SINAPI-I'!A:G,6,0),IF(D1052="COMPOSIÇÕES",VLOOKUP(B1052,'11.COMPOSIÇÕES GERAIS'!B:I,7,0),0))),"Em Elaboração")</f>
        <v>0</v>
      </c>
      <c r="I1052" s="259">
        <f>IFERROR(IF(D1052="SINAPI-S",VLOOKUP(B1052,'20-B.SINAPI-S'!A:J,6,0),IF(D1052="SINAPI-I",VLOOKUP(B1052,'20-A.SINAPI-I'!A:G,7,0),IF(D1052="COMPOSIÇÕES",VLOOKUP(B1052,'11.COMPOSIÇÕES GERAIS'!B:I,8,0),VLOOKUP(B1052,'12.COT.MERCADO'!A:I,8,0)))),"Em Elaboração")</f>
        <v>57.47</v>
      </c>
      <c r="J1052" s="259">
        <f t="shared" si="258"/>
        <v>0</v>
      </c>
      <c r="K1052" s="259">
        <f t="shared" si="259"/>
        <v>67.31659861</v>
      </c>
      <c r="L1052" s="259">
        <f t="shared" si="260"/>
        <v>67.31659861</v>
      </c>
      <c r="M1052" s="259">
        <f t="shared" si="261"/>
        <v>0</v>
      </c>
      <c r="N1052" s="259">
        <f t="shared" si="262"/>
        <v>269.2663944</v>
      </c>
      <c r="O1052" s="259">
        <f t="shared" si="263"/>
        <v>269.2663944</v>
      </c>
      <c r="P1052" s="260">
        <f t="shared" si="2"/>
        <v>0.0002106401637</v>
      </c>
    </row>
    <row r="1053">
      <c r="A1053" s="253" t="s">
        <v>1328</v>
      </c>
      <c r="B1053" s="254">
        <v>39699.0</v>
      </c>
      <c r="C1053" s="255" t="str">
        <f t="shared" si="257"/>
        <v>SINAPI</v>
      </c>
      <c r="D1053" s="256" t="s">
        <v>286</v>
      </c>
      <c r="E1053" s="257" t="str">
        <f>IFERROR(IF(D1053="SINAPI-S",VLOOKUP(B1053,'20-B.SINAPI-S'!A:J,2,0),IF(D1053="SINAPI-I",VLOOKUP(B1053,'20-A.SINAPI-I'!A:G,2,0),IF(D1053="COMPOSIÇÕES",VLOOKUP(B1053,'11.COMPOSIÇÕES GERAIS'!B:I,2,0),VLOOKUP(B1053,'12.COT.MERCADO'!A:I,2,0)))),"Em Elaboração")</f>
        <v>MANTA / LENCOL DE BORRACHA, SBR, ANTIRRUIDO, E = 5 MM</v>
      </c>
      <c r="F1053" s="258" t="str">
        <f>IFERROR(IF(D1053="SINAPI-S",VLOOKUP(B1053,'20-B.SINAPI-S'!A:J,3,0),IF(D1053="SINAPI-I",VLOOKUP(B1053,'20-A.SINAPI-I'!A:G,3,0),IF(D1053="COMPOSIÇÕES",VLOOKUP(B1053,'11.COMPOSIÇÕES GERAIS'!B:I,3,0),VLOOKUP(B1053,'12.COT.MERCADO'!A:I,7,0)))),"Em Elaboração")</f>
        <v>M2</v>
      </c>
      <c r="G1053" s="254">
        <v>40.0</v>
      </c>
      <c r="H1053" s="259">
        <f>IFERROR(IF(D1053="SINAPI-S",VLOOKUP(B1053,'20-B.SINAPI-S'!A:J,5,0),IF(D1053="SINAPI-I",VLOOKUP(B1053,'20-A.SINAPI-I'!A:G,6,0),IF(D1053="COMPOSIÇÕES",VLOOKUP(B1053,'11.COMPOSIÇÕES GERAIS'!B:I,7,0),0))),"Em Elaboração")</f>
        <v>0</v>
      </c>
      <c r="I1053" s="259">
        <f>IFERROR(IF(D1053="SINAPI-S",VLOOKUP(B1053,'20-B.SINAPI-S'!A:J,6,0),IF(D1053="SINAPI-I",VLOOKUP(B1053,'20-A.SINAPI-I'!A:G,7,0),IF(D1053="COMPOSIÇÕES",VLOOKUP(B1053,'11.COMPOSIÇÕES GERAIS'!B:I,8,0),VLOOKUP(B1053,'12.COT.MERCADO'!A:I,8,0)))),"Em Elaboração")</f>
        <v>15.83</v>
      </c>
      <c r="J1053" s="259">
        <f t="shared" si="258"/>
        <v>0</v>
      </c>
      <c r="K1053" s="259">
        <f t="shared" si="259"/>
        <v>18.54222648</v>
      </c>
      <c r="L1053" s="259">
        <f t="shared" si="260"/>
        <v>18.54222648</v>
      </c>
      <c r="M1053" s="259">
        <f t="shared" si="261"/>
        <v>0</v>
      </c>
      <c r="N1053" s="259">
        <f t="shared" si="262"/>
        <v>741.6890593</v>
      </c>
      <c r="O1053" s="259">
        <f t="shared" si="263"/>
        <v>741.6890593</v>
      </c>
      <c r="P1053" s="260">
        <f t="shared" si="2"/>
        <v>0.0005802042443</v>
      </c>
    </row>
    <row r="1054">
      <c r="A1054" s="253" t="s">
        <v>1329</v>
      </c>
      <c r="B1054" s="254" t="s">
        <v>1330</v>
      </c>
      <c r="C1054" s="255" t="str">
        <f t="shared" si="257"/>
        <v>PRÓPRIO</v>
      </c>
      <c r="D1054" s="256" t="s">
        <v>110</v>
      </c>
      <c r="E1054" s="257" t="str">
        <f>IFERROR(IF(D1054="SINAPI-S",VLOOKUP(B1054,'20-B.SINAPI-S'!A:J,2,0),IF(D1054="SINAPI-I",VLOOKUP(B1054,'20-A.SINAPI-I'!A:G,2,0),IF(D1054="COMPOSIÇÕES",VLOOKUP(B1054,'11.COMPOSIÇÕES GERAIS'!B:I,2,0),VLOOKUP(B1054,'12.COT.MERCADO'!A:I,2,0)))),"Em Elaboração")</f>
        <v>TUBO ESPONJOSO 1/2 BLINDADO PRETO BARRA COM 2 METROS. REF: VIX OU SIMILAR</v>
      </c>
      <c r="F1054" s="258" t="str">
        <f>IFERROR(IF(D1054="SINAPI-S",VLOOKUP(B1054,'20-B.SINAPI-S'!A:J,3,0),IF(D1054="SINAPI-I",VLOOKUP(B1054,'20-A.SINAPI-I'!A:G,3,0),IF(D1054="COMPOSIÇÕES",VLOOKUP(B1054,'11.COMPOSIÇÕES GERAIS'!B:I,3,0),VLOOKUP(B1054,'12.COT.MERCADO'!A:I,7,0)))),"Em Elaboração")</f>
        <v>UN </v>
      </c>
      <c r="G1054" s="254">
        <v>30.0</v>
      </c>
      <c r="H1054" s="259">
        <f>IFERROR(IF(D1054="SINAPI-S",VLOOKUP(B1054,'20-B.SINAPI-S'!A:J,5,0),IF(D1054="SINAPI-I",VLOOKUP(B1054,'20-A.SINAPI-I'!A:G,6,0),IF(D1054="COMPOSIÇÕES",VLOOKUP(B1054,'11.COMPOSIÇÕES GERAIS'!B:I,7,0),0))),"Em Elaboração")</f>
        <v>0</v>
      </c>
      <c r="I1054" s="259">
        <f>IFERROR(IF(D1054="SINAPI-S",VLOOKUP(B1054,'20-B.SINAPI-S'!A:J,6,0),IF(D1054="SINAPI-I",VLOOKUP(B1054,'20-A.SINAPI-I'!A:G,7,0),IF(D1054="COMPOSIÇÕES",VLOOKUP(B1054,'11.COMPOSIÇÕES GERAIS'!B:I,8,0),VLOOKUP(B1054,'12.COT.MERCADO'!A:I,8,0)))),"Em Elaboração")</f>
        <v>2.57</v>
      </c>
      <c r="J1054" s="259">
        <f t="shared" si="258"/>
        <v>0</v>
      </c>
      <c r="K1054" s="259">
        <f t="shared" si="259"/>
        <v>3.010329884</v>
      </c>
      <c r="L1054" s="259">
        <f t="shared" si="260"/>
        <v>3.010329884</v>
      </c>
      <c r="M1054" s="259">
        <f t="shared" si="261"/>
        <v>0</v>
      </c>
      <c r="N1054" s="259">
        <f t="shared" si="262"/>
        <v>90.30989651</v>
      </c>
      <c r="O1054" s="259">
        <f t="shared" si="263"/>
        <v>90.30989651</v>
      </c>
      <c r="P1054" s="260">
        <f t="shared" si="2"/>
        <v>0.00007064710555</v>
      </c>
    </row>
    <row r="1055">
      <c r="A1055" s="253" t="s">
        <v>1331</v>
      </c>
      <c r="B1055" s="254" t="s">
        <v>1332</v>
      </c>
      <c r="C1055" s="255" t="str">
        <f t="shared" si="257"/>
        <v>PRÓPRIO</v>
      </c>
      <c r="D1055" s="256" t="s">
        <v>110</v>
      </c>
      <c r="E1055" s="257" t="str">
        <f>IFERROR(IF(D1055="SINAPI-S",VLOOKUP(B1055,'20-B.SINAPI-S'!A:J,2,0),IF(D1055="SINAPI-I",VLOOKUP(B1055,'20-A.SINAPI-I'!A:G,2,0),IF(D1055="COMPOSIÇÕES",VLOOKUP(B1055,'11.COMPOSIÇÕES GERAIS'!B:I,2,0),VLOOKUP(B1055,'12.COT.MERCADO'!A:I,2,0)))),"Em Elaboração")</f>
        <v>TUBO ESPONJOSO 3/4 BLINDADO PRETO BARRA COM 2 METROS. REF: VIX OU SIMILAR</v>
      </c>
      <c r="F1055" s="258" t="str">
        <f>IFERROR(IF(D1055="SINAPI-S",VLOOKUP(B1055,'20-B.SINAPI-S'!A:J,3,0),IF(D1055="SINAPI-I",VLOOKUP(B1055,'20-A.SINAPI-I'!A:G,3,0),IF(D1055="COMPOSIÇÕES",VLOOKUP(B1055,'11.COMPOSIÇÕES GERAIS'!B:I,3,0),VLOOKUP(B1055,'12.COT.MERCADO'!A:I,7,0)))),"Em Elaboração")</f>
        <v>UN </v>
      </c>
      <c r="G1055" s="254">
        <v>20.0</v>
      </c>
      <c r="H1055" s="259">
        <f>IFERROR(IF(D1055="SINAPI-S",VLOOKUP(B1055,'20-B.SINAPI-S'!A:J,5,0),IF(D1055="SINAPI-I",VLOOKUP(B1055,'20-A.SINAPI-I'!A:G,6,0),IF(D1055="COMPOSIÇÕES",VLOOKUP(B1055,'11.COMPOSIÇÕES GERAIS'!B:I,7,0),0))),"Em Elaboração")</f>
        <v>0</v>
      </c>
      <c r="I1055" s="259">
        <f>IFERROR(IF(D1055="SINAPI-S",VLOOKUP(B1055,'20-B.SINAPI-S'!A:J,6,0),IF(D1055="SINAPI-I",VLOOKUP(B1055,'20-A.SINAPI-I'!A:G,7,0),IF(D1055="COMPOSIÇÕES",VLOOKUP(B1055,'11.COMPOSIÇÕES GERAIS'!B:I,8,0),VLOOKUP(B1055,'12.COT.MERCADO'!A:I,8,0)))),"Em Elaboração")</f>
        <v>3.09</v>
      </c>
      <c r="J1055" s="259">
        <f t="shared" si="258"/>
        <v>0</v>
      </c>
      <c r="K1055" s="259">
        <f t="shared" si="259"/>
        <v>3.619423868</v>
      </c>
      <c r="L1055" s="259">
        <f t="shared" si="260"/>
        <v>3.619423868</v>
      </c>
      <c r="M1055" s="259">
        <f t="shared" si="261"/>
        <v>0</v>
      </c>
      <c r="N1055" s="259">
        <f t="shared" si="262"/>
        <v>72.38847736</v>
      </c>
      <c r="O1055" s="259">
        <f t="shared" si="263"/>
        <v>72.38847736</v>
      </c>
      <c r="P1055" s="260">
        <f t="shared" si="2"/>
        <v>0.00005662764102</v>
      </c>
    </row>
    <row r="1056">
      <c r="A1056" s="253" t="s">
        <v>1333</v>
      </c>
      <c r="B1056" s="254" t="s">
        <v>1334</v>
      </c>
      <c r="C1056" s="255" t="str">
        <f t="shared" si="257"/>
        <v>PRÓPRIO</v>
      </c>
      <c r="D1056" s="256" t="s">
        <v>110</v>
      </c>
      <c r="E1056" s="257" t="str">
        <f>IFERROR(IF(D1056="SINAPI-S",VLOOKUP(B1056,'20-B.SINAPI-S'!A:J,2,0),IF(D1056="SINAPI-I",VLOOKUP(B1056,'20-A.SINAPI-I'!A:G,2,0),IF(D1056="COMPOSIÇÕES",VLOOKUP(B1056,'11.COMPOSIÇÕES GERAIS'!B:I,2,0),VLOOKUP(B1056,'12.COT.MERCADO'!A:I,2,0)))),"Em Elaboração")</f>
        <v>Duto flexível aluminizado 200mm com 10 metros para exaustão. REF: SICFLUX OU SIMILAR</v>
      </c>
      <c r="F1056" s="258" t="str">
        <f>IFERROR(IF(D1056="SINAPI-S",VLOOKUP(B1056,'20-B.SINAPI-S'!A:J,3,0),IF(D1056="SINAPI-I",VLOOKUP(B1056,'20-A.SINAPI-I'!A:G,3,0),IF(D1056="COMPOSIÇÕES",VLOOKUP(B1056,'11.COMPOSIÇÕES GERAIS'!B:I,3,0),VLOOKUP(B1056,'12.COT.MERCADO'!A:I,7,0)))),"Em Elaboração")</f>
        <v>UN </v>
      </c>
      <c r="G1056" s="254">
        <v>2.0</v>
      </c>
      <c r="H1056" s="259">
        <f>IFERROR(IF(D1056="SINAPI-S",VLOOKUP(B1056,'20-B.SINAPI-S'!A:J,5,0),IF(D1056="SINAPI-I",VLOOKUP(B1056,'20-A.SINAPI-I'!A:G,6,0),IF(D1056="COMPOSIÇÕES",VLOOKUP(B1056,'11.COMPOSIÇÕES GERAIS'!B:I,7,0),0))),"Em Elaboração")</f>
        <v>0</v>
      </c>
      <c r="I1056" s="259">
        <f>IFERROR(IF(D1056="SINAPI-S",VLOOKUP(B1056,'20-B.SINAPI-S'!A:J,6,0),IF(D1056="SINAPI-I",VLOOKUP(B1056,'20-A.SINAPI-I'!A:G,7,0),IF(D1056="COMPOSIÇÕES",VLOOKUP(B1056,'11.COMPOSIÇÕES GERAIS'!B:I,8,0),VLOOKUP(B1056,'12.COT.MERCADO'!A:I,8,0)))),"Em Elaboração")</f>
        <v>255</v>
      </c>
      <c r="J1056" s="259">
        <f t="shared" si="258"/>
        <v>0</v>
      </c>
      <c r="K1056" s="259">
        <f t="shared" si="259"/>
        <v>298.6903192</v>
      </c>
      <c r="L1056" s="259">
        <f t="shared" si="260"/>
        <v>298.6903192</v>
      </c>
      <c r="M1056" s="259">
        <f t="shared" si="261"/>
        <v>0</v>
      </c>
      <c r="N1056" s="259">
        <f t="shared" si="262"/>
        <v>597.3806384</v>
      </c>
      <c r="O1056" s="259">
        <f t="shared" si="263"/>
        <v>597.3806384</v>
      </c>
      <c r="P1056" s="260">
        <f t="shared" si="2"/>
        <v>0.0004673154842</v>
      </c>
    </row>
    <row r="1057">
      <c r="A1057" s="253" t="s">
        <v>1335</v>
      </c>
      <c r="B1057" s="254" t="s">
        <v>1336</v>
      </c>
      <c r="C1057" s="255" t="str">
        <f t="shared" si="257"/>
        <v>PRÓPRIO</v>
      </c>
      <c r="D1057" s="256" t="s">
        <v>110</v>
      </c>
      <c r="E1057" s="257" t="str">
        <f>IFERROR(IF(D1057="SINAPI-S",VLOOKUP(B1057,'20-B.SINAPI-S'!A:J,2,0),IF(D1057="SINAPI-I",VLOOKUP(B1057,'20-A.SINAPI-I'!A:G,2,0),IF(D1057="COMPOSIÇÕES",VLOOKUP(B1057,'11.COMPOSIÇÕES GERAIS'!B:I,2,0),VLOOKUP(B1057,'12.COT.MERCADO'!A:I,2,0)))),"Em Elaboração")</f>
        <v>FITA ALUMíNIO ALUMINIZADA REFRIGERAÇÃO AR CONDICIONADO 48MM X 50M. REF: VIX ou similar</v>
      </c>
      <c r="F1057" s="258" t="str">
        <f>IFERROR(IF(D1057="SINAPI-S",VLOOKUP(B1057,'20-B.SINAPI-S'!A:J,3,0),IF(D1057="SINAPI-I",VLOOKUP(B1057,'20-A.SINAPI-I'!A:G,3,0),IF(D1057="COMPOSIÇÕES",VLOOKUP(B1057,'11.COMPOSIÇÕES GERAIS'!B:I,3,0),VLOOKUP(B1057,'12.COT.MERCADO'!A:I,7,0)))),"Em Elaboração")</f>
        <v>UN </v>
      </c>
      <c r="G1057" s="254">
        <v>10.0</v>
      </c>
      <c r="H1057" s="259">
        <f>IFERROR(IF(D1057="SINAPI-S",VLOOKUP(B1057,'20-B.SINAPI-S'!A:J,5,0),IF(D1057="SINAPI-I",VLOOKUP(B1057,'20-A.SINAPI-I'!A:G,6,0),IF(D1057="COMPOSIÇÕES",VLOOKUP(B1057,'11.COMPOSIÇÕES GERAIS'!B:I,7,0),0))),"Em Elaboração")</f>
        <v>0</v>
      </c>
      <c r="I1057" s="259">
        <f>IFERROR(IF(D1057="SINAPI-S",VLOOKUP(B1057,'20-B.SINAPI-S'!A:J,6,0),IF(D1057="SINAPI-I",VLOOKUP(B1057,'20-A.SINAPI-I'!A:G,7,0),IF(D1057="COMPOSIÇÕES",VLOOKUP(B1057,'11.COMPOSIÇÕES GERAIS'!B:I,8,0),VLOOKUP(B1057,'12.COT.MERCADO'!A:I,8,0)))),"Em Elaboração")</f>
        <v>6.11</v>
      </c>
      <c r="J1057" s="259">
        <f t="shared" si="258"/>
        <v>0</v>
      </c>
      <c r="K1057" s="259">
        <f t="shared" si="259"/>
        <v>7.156854315</v>
      </c>
      <c r="L1057" s="259">
        <f t="shared" si="260"/>
        <v>7.156854315</v>
      </c>
      <c r="M1057" s="259">
        <f t="shared" si="261"/>
        <v>0</v>
      </c>
      <c r="N1057" s="259">
        <f t="shared" si="262"/>
        <v>71.56854315</v>
      </c>
      <c r="O1057" s="259">
        <f t="shared" si="263"/>
        <v>71.56854315</v>
      </c>
      <c r="P1057" s="260">
        <f t="shared" si="2"/>
        <v>0.00005598622761</v>
      </c>
    </row>
    <row r="1058">
      <c r="A1058" s="261" t="s">
        <v>1337</v>
      </c>
      <c r="B1058" s="262" t="s">
        <v>1338</v>
      </c>
      <c r="C1058" s="44"/>
      <c r="D1058" s="44"/>
      <c r="E1058" s="44"/>
      <c r="F1058" s="44"/>
      <c r="G1058" s="44"/>
      <c r="H1058" s="44"/>
      <c r="I1058" s="44"/>
      <c r="J1058" s="44"/>
      <c r="K1058" s="44"/>
      <c r="L1058" s="44"/>
      <c r="M1058" s="263">
        <f t="shared" ref="M1058:O1058" si="264">SUM(M1059:M1067)</f>
        <v>0</v>
      </c>
      <c r="N1058" s="263">
        <f t="shared" si="264"/>
        <v>355.6874601</v>
      </c>
      <c r="O1058" s="263">
        <f t="shared" si="264"/>
        <v>355.6874601</v>
      </c>
      <c r="P1058" s="264">
        <f t="shared" si="2"/>
        <v>0.0002782451371</v>
      </c>
    </row>
    <row r="1059">
      <c r="A1059" s="253" t="s">
        <v>1339</v>
      </c>
      <c r="B1059" s="254" t="s">
        <v>1340</v>
      </c>
      <c r="C1059" s="255" t="str">
        <f t="shared" ref="C1059:C1067" si="265">IF(OR(D1059="SINAPI-S",D1059="SINAPI-I"),"SINAPI","PRÓPRIO")</f>
        <v>PRÓPRIO</v>
      </c>
      <c r="D1059" s="256" t="s">
        <v>110</v>
      </c>
      <c r="E1059" s="257" t="str">
        <f>IFERROR(IF(D1059="SINAPI-S",VLOOKUP(B1059,'20-B.SINAPI-S'!A:J,2,0),IF(D1059="SINAPI-I",VLOOKUP(B1059,'20-A.SINAPI-I'!A:G,2,0),IF(D1059="COMPOSIÇÕES",VLOOKUP(B1059,'11.COMPOSIÇÕES GERAIS'!B:I,2,0),VLOOKUP(B1059,'12.COT.MERCADO'!A:I,2,0)))),"Em Elaboração")</f>
        <v>Capacitor Partida 2,0 μF 380 V TML. REF.: VIX OU SIMILAR</v>
      </c>
      <c r="F1059" s="258" t="str">
        <f>IFERROR(IF(D1059="SINAPI-S",VLOOKUP(B1059,'20-B.SINAPI-S'!A:J,3,0),IF(D1059="SINAPI-I",VLOOKUP(B1059,'20-A.SINAPI-I'!A:G,3,0),IF(D1059="COMPOSIÇÕES",VLOOKUP(B1059,'11.COMPOSIÇÕES GERAIS'!B:I,3,0),VLOOKUP(B1059,'12.COT.MERCADO'!A:I,7,0)))),"Em Elaboração")</f>
        <v>UN </v>
      </c>
      <c r="G1059" s="254">
        <v>4.0</v>
      </c>
      <c r="H1059" s="259">
        <f>IFERROR(IF(D1059="SINAPI-S",VLOOKUP(B1059,'20-B.SINAPI-S'!A:J,5,0),IF(D1059="SINAPI-I",VLOOKUP(B1059,'20-A.SINAPI-I'!A:G,6,0),IF(D1059="COMPOSIÇÕES",VLOOKUP(B1059,'11.COMPOSIÇÕES GERAIS'!B:I,7,0),0))),"Em Elaboração")</f>
        <v>0</v>
      </c>
      <c r="I1059" s="259">
        <f>IFERROR(IF(D1059="SINAPI-S",VLOOKUP(B1059,'20-B.SINAPI-S'!A:J,6,0),IF(D1059="SINAPI-I",VLOOKUP(B1059,'20-A.SINAPI-I'!A:G,7,0),IF(D1059="COMPOSIÇÕES",VLOOKUP(B1059,'11.COMPOSIÇÕES GERAIS'!B:I,8,0),VLOOKUP(B1059,'12.COT.MERCADO'!A:I,8,0)))),"Em Elaboração")</f>
        <v>10.15</v>
      </c>
      <c r="J1059" s="259">
        <f t="shared" ref="J1059:J1067" si="266">H1059*(1+$J$5)</f>
        <v>0</v>
      </c>
      <c r="K1059" s="259">
        <f t="shared" ref="K1059:K1067" si="267">I1059*(1+$J$8)</f>
        <v>11.88904604</v>
      </c>
      <c r="L1059" s="259">
        <f t="shared" ref="L1059:L1067" si="268">SUM(J1059:K1059)</f>
        <v>11.88904604</v>
      </c>
      <c r="M1059" s="259">
        <f t="shared" ref="M1059:M1067" si="269">J1059*G1059</f>
        <v>0</v>
      </c>
      <c r="N1059" s="259">
        <f t="shared" ref="N1059:N1067" si="270">K1059*G1059</f>
        <v>47.55618416</v>
      </c>
      <c r="O1059" s="259">
        <f t="shared" ref="O1059:O1067" si="271">SUM(M1059:N1059)</f>
        <v>47.55618416</v>
      </c>
      <c r="P1059" s="260">
        <f t="shared" si="2"/>
        <v>0.00003720197776</v>
      </c>
    </row>
    <row r="1060">
      <c r="A1060" s="253" t="s">
        <v>1341</v>
      </c>
      <c r="B1060" s="254" t="s">
        <v>1342</v>
      </c>
      <c r="C1060" s="255" t="str">
        <f t="shared" si="265"/>
        <v>PRÓPRIO</v>
      </c>
      <c r="D1060" s="256" t="s">
        <v>110</v>
      </c>
      <c r="E1060" s="257" t="str">
        <f>IFERROR(IF(D1060="SINAPI-S",VLOOKUP(B1060,'20-B.SINAPI-S'!A:J,2,0),IF(D1060="SINAPI-I",VLOOKUP(B1060,'20-A.SINAPI-I'!A:G,2,0),IF(D1060="COMPOSIÇÕES",VLOOKUP(B1060,'11.COMPOSIÇÕES GERAIS'!B:I,2,0),VLOOKUP(B1060,'12.COT.MERCADO'!A:I,2,0)))),"Em Elaboração")</f>
        <v>Capacitor Partida 3,0 μF  380V. REF.: VIX OU SIMILAR</v>
      </c>
      <c r="F1060" s="258" t="str">
        <f>IFERROR(IF(D1060="SINAPI-S",VLOOKUP(B1060,'20-B.SINAPI-S'!A:J,3,0),IF(D1060="SINAPI-I",VLOOKUP(B1060,'20-A.SINAPI-I'!A:G,3,0),IF(D1060="COMPOSIÇÕES",VLOOKUP(B1060,'11.COMPOSIÇÕES GERAIS'!B:I,3,0),VLOOKUP(B1060,'12.COT.MERCADO'!A:I,7,0)))),"Em Elaboração")</f>
        <v>UN </v>
      </c>
      <c r="G1060" s="254">
        <v>4.0</v>
      </c>
      <c r="H1060" s="259">
        <f>IFERROR(IF(D1060="SINAPI-S",VLOOKUP(B1060,'20-B.SINAPI-S'!A:J,5,0),IF(D1060="SINAPI-I",VLOOKUP(B1060,'20-A.SINAPI-I'!A:G,6,0),IF(D1060="COMPOSIÇÕES",VLOOKUP(B1060,'11.COMPOSIÇÕES GERAIS'!B:I,7,0),0))),"Em Elaboração")</f>
        <v>0</v>
      </c>
      <c r="I1060" s="259">
        <f>IFERROR(IF(D1060="SINAPI-S",VLOOKUP(B1060,'20-B.SINAPI-S'!A:J,6,0),IF(D1060="SINAPI-I",VLOOKUP(B1060,'20-A.SINAPI-I'!A:G,7,0),IF(D1060="COMPOSIÇÕES",VLOOKUP(B1060,'11.COMPOSIÇÕES GERAIS'!B:I,8,0),VLOOKUP(B1060,'12.COT.MERCADO'!A:I,8,0)))),"Em Elaboração")</f>
        <v>7</v>
      </c>
      <c r="J1060" s="259">
        <f t="shared" si="266"/>
        <v>0</v>
      </c>
      <c r="K1060" s="259">
        <f t="shared" si="267"/>
        <v>8.199342096</v>
      </c>
      <c r="L1060" s="259">
        <f t="shared" si="268"/>
        <v>8.199342096</v>
      </c>
      <c r="M1060" s="259">
        <f t="shared" si="269"/>
        <v>0</v>
      </c>
      <c r="N1060" s="259">
        <f t="shared" si="270"/>
        <v>32.79736838</v>
      </c>
      <c r="O1060" s="259">
        <f t="shared" si="271"/>
        <v>32.79736838</v>
      </c>
      <c r="P1060" s="260">
        <f t="shared" si="2"/>
        <v>0.00002565653639</v>
      </c>
    </row>
    <row r="1061">
      <c r="A1061" s="253" t="s">
        <v>1343</v>
      </c>
      <c r="B1061" s="254" t="s">
        <v>1344</v>
      </c>
      <c r="C1061" s="255" t="str">
        <f t="shared" si="265"/>
        <v>PRÓPRIO</v>
      </c>
      <c r="D1061" s="256" t="s">
        <v>110</v>
      </c>
      <c r="E1061" s="257" t="str">
        <f>IFERROR(IF(D1061="SINAPI-S",VLOOKUP(B1061,'20-B.SINAPI-S'!A:J,2,0),IF(D1061="SINAPI-I",VLOOKUP(B1061,'20-A.SINAPI-I'!A:G,2,0),IF(D1061="COMPOSIÇÕES",VLOOKUP(B1061,'11.COMPOSIÇÕES GERAIS'!B:I,2,0),VLOOKUP(B1061,'12.COT.MERCADO'!A:I,2,0)))),"Em Elaboração")</f>
        <v>Capacitor Partida 6,0 μF  380V TML. REF.: VIX OU SIMILAR</v>
      </c>
      <c r="F1061" s="258" t="str">
        <f>IFERROR(IF(D1061="SINAPI-S",VLOOKUP(B1061,'20-B.SINAPI-S'!A:J,3,0),IF(D1061="SINAPI-I",VLOOKUP(B1061,'20-A.SINAPI-I'!A:G,3,0),IF(D1061="COMPOSIÇÕES",VLOOKUP(B1061,'11.COMPOSIÇÕES GERAIS'!B:I,3,0),VLOOKUP(B1061,'12.COT.MERCADO'!A:I,7,0)))),"Em Elaboração")</f>
        <v>UN </v>
      </c>
      <c r="G1061" s="254">
        <v>4.0</v>
      </c>
      <c r="H1061" s="259">
        <f>IFERROR(IF(D1061="SINAPI-S",VLOOKUP(B1061,'20-B.SINAPI-S'!A:J,5,0),IF(D1061="SINAPI-I",VLOOKUP(B1061,'20-A.SINAPI-I'!A:G,6,0),IF(D1061="COMPOSIÇÕES",VLOOKUP(B1061,'11.COMPOSIÇÕES GERAIS'!B:I,7,0),0))),"Em Elaboração")</f>
        <v>0</v>
      </c>
      <c r="I1061" s="259">
        <f>IFERROR(IF(D1061="SINAPI-S",VLOOKUP(B1061,'20-B.SINAPI-S'!A:J,6,0),IF(D1061="SINAPI-I",VLOOKUP(B1061,'20-A.SINAPI-I'!A:G,7,0),IF(D1061="COMPOSIÇÕES",VLOOKUP(B1061,'11.COMPOSIÇÕES GERAIS'!B:I,8,0),VLOOKUP(B1061,'12.COT.MERCADO'!A:I,8,0)))),"Em Elaboração")</f>
        <v>7.58</v>
      </c>
      <c r="J1061" s="259">
        <f t="shared" si="266"/>
        <v>0</v>
      </c>
      <c r="K1061" s="259">
        <f t="shared" si="267"/>
        <v>8.878716155</v>
      </c>
      <c r="L1061" s="259">
        <f t="shared" si="268"/>
        <v>8.878716155</v>
      </c>
      <c r="M1061" s="259">
        <f t="shared" si="269"/>
        <v>0</v>
      </c>
      <c r="N1061" s="259">
        <f t="shared" si="270"/>
        <v>35.51486462</v>
      </c>
      <c r="O1061" s="259">
        <f t="shared" si="271"/>
        <v>35.51486462</v>
      </c>
      <c r="P1061" s="260">
        <f t="shared" si="2"/>
        <v>0.00002778236369</v>
      </c>
    </row>
    <row r="1062">
      <c r="A1062" s="253" t="s">
        <v>1345</v>
      </c>
      <c r="B1062" s="254" t="s">
        <v>1346</v>
      </c>
      <c r="C1062" s="255" t="str">
        <f t="shared" si="265"/>
        <v>PRÓPRIO</v>
      </c>
      <c r="D1062" s="256" t="s">
        <v>110</v>
      </c>
      <c r="E1062" s="257" t="str">
        <f>IFERROR(IF(D1062="SINAPI-S",VLOOKUP(B1062,'20-B.SINAPI-S'!A:J,2,0),IF(D1062="SINAPI-I",VLOOKUP(B1062,'20-A.SINAPI-I'!A:G,2,0),IF(D1062="COMPOSIÇÕES",VLOOKUP(B1062,'11.COMPOSIÇÕES GERAIS'!B:I,2,0),VLOOKUP(B1062,'12.COT.MERCADO'!A:I,2,0)))),"Em Elaboração")</f>
        <v>Capacitor Partida 20 μF  380V - TML. REF.: VIX OU SIMILAR</v>
      </c>
      <c r="F1062" s="258" t="str">
        <f>IFERROR(IF(D1062="SINAPI-S",VLOOKUP(B1062,'20-B.SINAPI-S'!A:J,3,0),IF(D1062="SINAPI-I",VLOOKUP(B1062,'20-A.SINAPI-I'!A:G,3,0),IF(D1062="COMPOSIÇÕES",VLOOKUP(B1062,'11.COMPOSIÇÕES GERAIS'!B:I,3,0),VLOOKUP(B1062,'12.COT.MERCADO'!A:I,7,0)))),"Em Elaboração")</f>
        <v>UN </v>
      </c>
      <c r="G1062" s="254">
        <v>2.0</v>
      </c>
      <c r="H1062" s="259">
        <f>IFERROR(IF(D1062="SINAPI-S",VLOOKUP(B1062,'20-B.SINAPI-S'!A:J,5,0),IF(D1062="SINAPI-I",VLOOKUP(B1062,'20-A.SINAPI-I'!A:G,6,0),IF(D1062="COMPOSIÇÕES",VLOOKUP(B1062,'11.COMPOSIÇÕES GERAIS'!B:I,7,0),0))),"Em Elaboração")</f>
        <v>0</v>
      </c>
      <c r="I1062" s="259">
        <f>IFERROR(IF(D1062="SINAPI-S",VLOOKUP(B1062,'20-B.SINAPI-S'!A:J,6,0),IF(D1062="SINAPI-I",VLOOKUP(B1062,'20-A.SINAPI-I'!A:G,7,0),IF(D1062="COMPOSIÇÕES",VLOOKUP(B1062,'11.COMPOSIÇÕES GERAIS'!B:I,8,0),VLOOKUP(B1062,'12.COT.MERCADO'!A:I,8,0)))),"Em Elaboração")</f>
        <v>9.36</v>
      </c>
      <c r="J1062" s="259">
        <f t="shared" si="266"/>
        <v>0</v>
      </c>
      <c r="K1062" s="259">
        <f t="shared" si="267"/>
        <v>10.96369172</v>
      </c>
      <c r="L1062" s="259">
        <f t="shared" si="268"/>
        <v>10.96369172</v>
      </c>
      <c r="M1062" s="259">
        <f t="shared" si="269"/>
        <v>0</v>
      </c>
      <c r="N1062" s="259">
        <f t="shared" si="270"/>
        <v>21.92738343</v>
      </c>
      <c r="O1062" s="259">
        <f t="shared" si="271"/>
        <v>21.92738343</v>
      </c>
      <c r="P1062" s="260">
        <f t="shared" si="2"/>
        <v>0.00001715322718</v>
      </c>
    </row>
    <row r="1063">
      <c r="A1063" s="253" t="s">
        <v>1347</v>
      </c>
      <c r="B1063" s="254" t="s">
        <v>1348</v>
      </c>
      <c r="C1063" s="255" t="str">
        <f t="shared" si="265"/>
        <v>PRÓPRIO</v>
      </c>
      <c r="D1063" s="256" t="s">
        <v>110</v>
      </c>
      <c r="E1063" s="257" t="str">
        <f>IFERROR(IF(D1063="SINAPI-S",VLOOKUP(B1063,'20-B.SINAPI-S'!A:J,2,0),IF(D1063="SINAPI-I",VLOOKUP(B1063,'20-A.SINAPI-I'!A:G,2,0),IF(D1063="COMPOSIÇÕES",VLOOKUP(B1063,'11.COMPOSIÇÕES GERAIS'!B:I,2,0),VLOOKUP(B1063,'12.COT.MERCADO'!A:I,2,0)))),"Em Elaboração")</f>
        <v>Capacitor Partida 25 μF  380/400V TML. REF.: VIX OU SIMILAR</v>
      </c>
      <c r="F1063" s="258" t="str">
        <f>IFERROR(IF(D1063="SINAPI-S",VLOOKUP(B1063,'20-B.SINAPI-S'!A:J,3,0),IF(D1063="SINAPI-I",VLOOKUP(B1063,'20-A.SINAPI-I'!A:G,3,0),IF(D1063="COMPOSIÇÕES",VLOOKUP(B1063,'11.COMPOSIÇÕES GERAIS'!B:I,3,0),VLOOKUP(B1063,'12.COT.MERCADO'!A:I,7,0)))),"Em Elaboração")</f>
        <v>UN </v>
      </c>
      <c r="G1063" s="254">
        <v>2.0</v>
      </c>
      <c r="H1063" s="259">
        <f>IFERROR(IF(D1063="SINAPI-S",VLOOKUP(B1063,'20-B.SINAPI-S'!A:J,5,0),IF(D1063="SINAPI-I",VLOOKUP(B1063,'20-A.SINAPI-I'!A:G,6,0),IF(D1063="COMPOSIÇÕES",VLOOKUP(B1063,'11.COMPOSIÇÕES GERAIS'!B:I,7,0),0))),"Em Elaboração")</f>
        <v>0</v>
      </c>
      <c r="I1063" s="259">
        <f>IFERROR(IF(D1063="SINAPI-S",VLOOKUP(B1063,'20-B.SINAPI-S'!A:J,6,0),IF(D1063="SINAPI-I",VLOOKUP(B1063,'20-A.SINAPI-I'!A:G,7,0),IF(D1063="COMPOSIÇÕES",VLOOKUP(B1063,'11.COMPOSIÇÕES GERAIS'!B:I,8,0),VLOOKUP(B1063,'12.COT.MERCADO'!A:I,8,0)))),"Em Elaboração")</f>
        <v>12.59</v>
      </c>
      <c r="J1063" s="259">
        <f t="shared" si="266"/>
        <v>0</v>
      </c>
      <c r="K1063" s="259">
        <f t="shared" si="267"/>
        <v>14.74710243</v>
      </c>
      <c r="L1063" s="259">
        <f t="shared" si="268"/>
        <v>14.74710243</v>
      </c>
      <c r="M1063" s="259">
        <f t="shared" si="269"/>
        <v>0</v>
      </c>
      <c r="N1063" s="259">
        <f t="shared" si="270"/>
        <v>29.49420485</v>
      </c>
      <c r="O1063" s="259">
        <f t="shared" si="271"/>
        <v>29.49420485</v>
      </c>
      <c r="P1063" s="260">
        <f t="shared" si="2"/>
        <v>0.00002307255665</v>
      </c>
    </row>
    <row r="1064">
      <c r="A1064" s="253" t="s">
        <v>1349</v>
      </c>
      <c r="B1064" s="254" t="s">
        <v>1350</v>
      </c>
      <c r="C1064" s="255" t="str">
        <f t="shared" si="265"/>
        <v>PRÓPRIO</v>
      </c>
      <c r="D1064" s="256" t="s">
        <v>110</v>
      </c>
      <c r="E1064" s="257" t="str">
        <f>IFERROR(IF(D1064="SINAPI-S",VLOOKUP(B1064,'20-B.SINAPI-S'!A:J,2,0),IF(D1064="SINAPI-I",VLOOKUP(B1064,'20-A.SINAPI-I'!A:G,2,0),IF(D1064="COMPOSIÇÕES",VLOOKUP(B1064,'11.COMPOSIÇÕES GERAIS'!B:I,2,0),VLOOKUP(B1064,'12.COT.MERCADO'!A:I,2,0)))),"Em Elaboração")</f>
        <v>Capacitor Partida 30 μF  380V TML. REF.: VIX OU SIMILAR</v>
      </c>
      <c r="F1064" s="258" t="str">
        <f>IFERROR(IF(D1064="SINAPI-S",VLOOKUP(B1064,'20-B.SINAPI-S'!A:J,3,0),IF(D1064="SINAPI-I",VLOOKUP(B1064,'20-A.SINAPI-I'!A:G,3,0),IF(D1064="COMPOSIÇÕES",VLOOKUP(B1064,'11.COMPOSIÇÕES GERAIS'!B:I,3,0),VLOOKUP(B1064,'12.COT.MERCADO'!A:I,7,0)))),"Em Elaboração")</f>
        <v>UN </v>
      </c>
      <c r="G1064" s="254">
        <v>2.0</v>
      </c>
      <c r="H1064" s="259">
        <f>IFERROR(IF(D1064="SINAPI-S",VLOOKUP(B1064,'20-B.SINAPI-S'!A:J,5,0),IF(D1064="SINAPI-I",VLOOKUP(B1064,'20-A.SINAPI-I'!A:G,6,0),IF(D1064="COMPOSIÇÕES",VLOOKUP(B1064,'11.COMPOSIÇÕES GERAIS'!B:I,7,0),0))),"Em Elaboração")</f>
        <v>0</v>
      </c>
      <c r="I1064" s="259">
        <f>IFERROR(IF(D1064="SINAPI-S",VLOOKUP(B1064,'20-B.SINAPI-S'!A:J,6,0),IF(D1064="SINAPI-I",VLOOKUP(B1064,'20-A.SINAPI-I'!A:G,7,0),IF(D1064="COMPOSIÇÕES",VLOOKUP(B1064,'11.COMPOSIÇÕES GERAIS'!B:I,8,0),VLOOKUP(B1064,'12.COT.MERCADO'!A:I,8,0)))),"Em Elaboração")</f>
        <v>16.75</v>
      </c>
      <c r="J1064" s="259">
        <f t="shared" si="266"/>
        <v>0</v>
      </c>
      <c r="K1064" s="259">
        <f t="shared" si="267"/>
        <v>19.6198543</v>
      </c>
      <c r="L1064" s="259">
        <f t="shared" si="268"/>
        <v>19.6198543</v>
      </c>
      <c r="M1064" s="259">
        <f t="shared" si="269"/>
        <v>0</v>
      </c>
      <c r="N1064" s="259">
        <f t="shared" si="270"/>
        <v>39.2397086</v>
      </c>
      <c r="O1064" s="259">
        <f t="shared" si="271"/>
        <v>39.2397086</v>
      </c>
      <c r="P1064" s="260">
        <f t="shared" si="2"/>
        <v>0.00003069621318</v>
      </c>
    </row>
    <row r="1065">
      <c r="A1065" s="253" t="s">
        <v>1351</v>
      </c>
      <c r="B1065" s="254" t="s">
        <v>1352</v>
      </c>
      <c r="C1065" s="255" t="str">
        <f t="shared" si="265"/>
        <v>PRÓPRIO</v>
      </c>
      <c r="D1065" s="256" t="s">
        <v>110</v>
      </c>
      <c r="E1065" s="257" t="str">
        <f>IFERROR(IF(D1065="SINAPI-S",VLOOKUP(B1065,'20-B.SINAPI-S'!A:J,2,0),IF(D1065="SINAPI-I",VLOOKUP(B1065,'20-A.SINAPI-I'!A:G,2,0),IF(D1065="COMPOSIÇÕES",VLOOKUP(B1065,'11.COMPOSIÇÕES GERAIS'!B:I,2,0),VLOOKUP(B1065,'12.COT.MERCADO'!A:I,2,0)))),"Em Elaboração")</f>
        <v>Capacitor Partida 35 μF  380V TML. REF.: VIX OU SIMILAR</v>
      </c>
      <c r="F1065" s="258" t="str">
        <f>IFERROR(IF(D1065="SINAPI-S",VLOOKUP(B1065,'20-B.SINAPI-S'!A:J,3,0),IF(D1065="SINAPI-I",VLOOKUP(B1065,'20-A.SINAPI-I'!A:G,3,0),IF(D1065="COMPOSIÇÕES",VLOOKUP(B1065,'11.COMPOSIÇÕES GERAIS'!B:I,3,0),VLOOKUP(B1065,'12.COT.MERCADO'!A:I,7,0)))),"Em Elaboração")</f>
        <v>UN </v>
      </c>
      <c r="G1065" s="254">
        <v>2.0</v>
      </c>
      <c r="H1065" s="259">
        <f>IFERROR(IF(D1065="SINAPI-S",VLOOKUP(B1065,'20-B.SINAPI-S'!A:J,5,0),IF(D1065="SINAPI-I",VLOOKUP(B1065,'20-A.SINAPI-I'!A:G,6,0),IF(D1065="COMPOSIÇÕES",VLOOKUP(B1065,'11.COMPOSIÇÕES GERAIS'!B:I,7,0),0))),"Em Elaboração")</f>
        <v>0</v>
      </c>
      <c r="I1065" s="259">
        <f>IFERROR(IF(D1065="SINAPI-S",VLOOKUP(B1065,'20-B.SINAPI-S'!A:J,6,0),IF(D1065="SINAPI-I",VLOOKUP(B1065,'20-A.SINAPI-I'!A:G,7,0),IF(D1065="COMPOSIÇÕES",VLOOKUP(B1065,'11.COMPOSIÇÕES GERAIS'!B:I,8,0),VLOOKUP(B1065,'12.COT.MERCADO'!A:I,8,0)))),"Em Elaboração")</f>
        <v>32.75</v>
      </c>
      <c r="J1065" s="259">
        <f t="shared" si="266"/>
        <v>0</v>
      </c>
      <c r="K1065" s="259">
        <f t="shared" si="267"/>
        <v>38.36120766</v>
      </c>
      <c r="L1065" s="259">
        <f t="shared" si="268"/>
        <v>38.36120766</v>
      </c>
      <c r="M1065" s="259">
        <f t="shared" si="269"/>
        <v>0</v>
      </c>
      <c r="N1065" s="259">
        <f t="shared" si="270"/>
        <v>76.72241533</v>
      </c>
      <c r="O1065" s="259">
        <f t="shared" si="271"/>
        <v>76.72241533</v>
      </c>
      <c r="P1065" s="260">
        <f t="shared" si="2"/>
        <v>0.00006001796905</v>
      </c>
    </row>
    <row r="1066">
      <c r="A1066" s="253" t="s">
        <v>1353</v>
      </c>
      <c r="B1066" s="254" t="s">
        <v>1354</v>
      </c>
      <c r="C1066" s="255" t="str">
        <f t="shared" si="265"/>
        <v>PRÓPRIO</v>
      </c>
      <c r="D1066" s="256" t="s">
        <v>110</v>
      </c>
      <c r="E1066" s="257" t="str">
        <f>IFERROR(IF(D1066="SINAPI-S",VLOOKUP(B1066,'20-B.SINAPI-S'!A:J,2,0),IF(D1066="SINAPI-I",VLOOKUP(B1066,'20-A.SINAPI-I'!A:G,2,0),IF(D1066="COMPOSIÇÕES",VLOOKUP(B1066,'11.COMPOSIÇÕES GERAIS'!B:I,2,0),VLOOKUP(B1066,'12.COT.MERCADO'!A:I,2,0)))),"Em Elaboração")</f>
        <v>Capacitor Partida 40 μF  380V TML. REF.: VIX OU SIMILAR</v>
      </c>
      <c r="F1066" s="258" t="str">
        <f>IFERROR(IF(D1066="SINAPI-S",VLOOKUP(B1066,'20-B.SINAPI-S'!A:J,3,0),IF(D1066="SINAPI-I",VLOOKUP(B1066,'20-A.SINAPI-I'!A:G,3,0),IF(D1066="COMPOSIÇÕES",VLOOKUP(B1066,'11.COMPOSIÇÕES GERAIS'!B:I,3,0),VLOOKUP(B1066,'12.COT.MERCADO'!A:I,7,0)))),"Em Elaboração")</f>
        <v>UN </v>
      </c>
      <c r="G1066" s="254">
        <v>2.0</v>
      </c>
      <c r="H1066" s="259">
        <f>IFERROR(IF(D1066="SINAPI-S",VLOOKUP(B1066,'20-B.SINAPI-S'!A:J,5,0),IF(D1066="SINAPI-I",VLOOKUP(B1066,'20-A.SINAPI-I'!A:G,6,0),IF(D1066="COMPOSIÇÕES",VLOOKUP(B1066,'11.COMPOSIÇÕES GERAIS'!B:I,7,0),0))),"Em Elaboração")</f>
        <v>0</v>
      </c>
      <c r="I1066" s="259">
        <f>IFERROR(IF(D1066="SINAPI-S",VLOOKUP(B1066,'20-B.SINAPI-S'!A:J,6,0),IF(D1066="SINAPI-I",VLOOKUP(B1066,'20-A.SINAPI-I'!A:G,7,0),IF(D1066="COMPOSIÇÕES",VLOOKUP(B1066,'11.COMPOSIÇÕES GERAIS'!B:I,8,0),VLOOKUP(B1066,'12.COT.MERCADO'!A:I,8,0)))),"Em Elaboração")</f>
        <v>14.22</v>
      </c>
      <c r="J1066" s="259">
        <f t="shared" si="266"/>
        <v>0</v>
      </c>
      <c r="K1066" s="259">
        <f t="shared" si="267"/>
        <v>16.6563778</v>
      </c>
      <c r="L1066" s="259">
        <f t="shared" si="268"/>
        <v>16.6563778</v>
      </c>
      <c r="M1066" s="259">
        <f t="shared" si="269"/>
        <v>0</v>
      </c>
      <c r="N1066" s="259">
        <f t="shared" si="270"/>
        <v>33.3127556</v>
      </c>
      <c r="O1066" s="259">
        <f t="shared" si="271"/>
        <v>33.3127556</v>
      </c>
      <c r="P1066" s="260">
        <f t="shared" si="2"/>
        <v>0.00002605971053</v>
      </c>
    </row>
    <row r="1067">
      <c r="A1067" s="253" t="s">
        <v>1355</v>
      </c>
      <c r="B1067" s="254" t="s">
        <v>1356</v>
      </c>
      <c r="C1067" s="255" t="str">
        <f t="shared" si="265"/>
        <v>PRÓPRIO</v>
      </c>
      <c r="D1067" s="256" t="s">
        <v>110</v>
      </c>
      <c r="E1067" s="257" t="str">
        <f>IFERROR(IF(D1067="SINAPI-S",VLOOKUP(B1067,'20-B.SINAPI-S'!A:J,2,0),IF(D1067="SINAPI-I",VLOOKUP(B1067,'20-A.SINAPI-I'!A:G,2,0),IF(D1067="COMPOSIÇÕES",VLOOKUP(B1067,'11.COMPOSIÇÕES GERAIS'!B:I,2,0),VLOOKUP(B1067,'12.COT.MERCADO'!A:I,2,0)))),"Em Elaboração")</f>
        <v>Capacitor Partida 45 μF  380V TML. REF.: VIX OU SIMILAR</v>
      </c>
      <c r="F1067" s="258" t="str">
        <f>IFERROR(IF(D1067="SINAPI-S",VLOOKUP(B1067,'20-B.SINAPI-S'!A:J,3,0),IF(D1067="SINAPI-I",VLOOKUP(B1067,'20-A.SINAPI-I'!A:G,3,0),IF(D1067="COMPOSIÇÕES",VLOOKUP(B1067,'11.COMPOSIÇÕES GERAIS'!B:I,3,0),VLOOKUP(B1067,'12.COT.MERCADO'!A:I,7,0)))),"Em Elaboração")</f>
        <v>UN </v>
      </c>
      <c r="G1067" s="254">
        <v>2.0</v>
      </c>
      <c r="H1067" s="259">
        <f>IFERROR(IF(D1067="SINAPI-S",VLOOKUP(B1067,'20-B.SINAPI-S'!A:J,5,0),IF(D1067="SINAPI-I",VLOOKUP(B1067,'20-A.SINAPI-I'!A:G,6,0),IF(D1067="COMPOSIÇÕES",VLOOKUP(B1067,'11.COMPOSIÇÕES GERAIS'!B:I,7,0),0))),"Em Elaboração")</f>
        <v>0</v>
      </c>
      <c r="I1067" s="259">
        <f>IFERROR(IF(D1067="SINAPI-S",VLOOKUP(B1067,'20-B.SINAPI-S'!A:J,6,0),IF(D1067="SINAPI-I",VLOOKUP(B1067,'20-A.SINAPI-I'!A:G,7,0),IF(D1067="COMPOSIÇÕES",VLOOKUP(B1067,'11.COMPOSIÇÕES GERAIS'!B:I,8,0),VLOOKUP(B1067,'12.COT.MERCADO'!A:I,8,0)))),"Em Elaboração")</f>
        <v>16.7</v>
      </c>
      <c r="J1067" s="259">
        <f t="shared" si="266"/>
        <v>0</v>
      </c>
      <c r="K1067" s="259">
        <f t="shared" si="267"/>
        <v>19.56128757</v>
      </c>
      <c r="L1067" s="259">
        <f t="shared" si="268"/>
        <v>19.56128757</v>
      </c>
      <c r="M1067" s="259">
        <f t="shared" si="269"/>
        <v>0</v>
      </c>
      <c r="N1067" s="259">
        <f t="shared" si="270"/>
        <v>39.12257514</v>
      </c>
      <c r="O1067" s="259">
        <f t="shared" si="271"/>
        <v>39.12257514</v>
      </c>
      <c r="P1067" s="260">
        <f t="shared" si="2"/>
        <v>0.00003060458269</v>
      </c>
    </row>
    <row r="1068">
      <c r="A1068" s="261" t="s">
        <v>1357</v>
      </c>
      <c r="B1068" s="262" t="s">
        <v>1358</v>
      </c>
      <c r="C1068" s="44"/>
      <c r="D1068" s="44"/>
      <c r="E1068" s="44"/>
      <c r="F1068" s="44"/>
      <c r="G1068" s="44"/>
      <c r="H1068" s="44"/>
      <c r="I1068" s="44"/>
      <c r="J1068" s="44"/>
      <c r="K1068" s="44"/>
      <c r="L1068" s="44"/>
      <c r="M1068" s="263">
        <f t="shared" ref="M1068:O1068" si="272">SUM(M1069:M1075)</f>
        <v>0</v>
      </c>
      <c r="N1068" s="263">
        <f t="shared" si="272"/>
        <v>893.4237415</v>
      </c>
      <c r="O1068" s="263">
        <f t="shared" si="272"/>
        <v>893.4237415</v>
      </c>
      <c r="P1068" s="264">
        <f t="shared" si="2"/>
        <v>0.0006989023773</v>
      </c>
    </row>
    <row r="1069">
      <c r="A1069" s="253" t="s">
        <v>1359</v>
      </c>
      <c r="B1069" s="254">
        <v>34653.0</v>
      </c>
      <c r="C1069" s="255" t="str">
        <f t="shared" ref="C1069:C1075" si="273">IF(OR(D1069="SINAPI-S",D1069="SINAPI-I"),"SINAPI","PRÓPRIO")</f>
        <v>SINAPI</v>
      </c>
      <c r="D1069" s="256" t="s">
        <v>286</v>
      </c>
      <c r="E1069" s="257" t="str">
        <f>IFERROR(IF(D1069="SINAPI-S",VLOOKUP(B1069,'20-B.SINAPI-S'!A:J,2,0),IF(D1069="SINAPI-I",VLOOKUP(B1069,'20-A.SINAPI-I'!A:G,2,0),IF(D1069="COMPOSIÇÕES",VLOOKUP(B1069,'11.COMPOSIÇÕES GERAIS'!B:I,2,0),VLOOKUP(B1069,'12.COT.MERCADO'!A:I,2,0)))),"Em Elaboração")</f>
        <v>DISJUNTOR TIPO DIN/IEC, MONOPOLAR DE 6  ATE  32A</v>
      </c>
      <c r="F1069" s="258" t="str">
        <f>IFERROR(IF(D1069="SINAPI-S",VLOOKUP(B1069,'20-B.SINAPI-S'!A:J,3,0),IF(D1069="SINAPI-I",VLOOKUP(B1069,'20-A.SINAPI-I'!A:G,3,0),IF(D1069="COMPOSIÇÕES",VLOOKUP(B1069,'11.COMPOSIÇÕES GERAIS'!B:I,3,0),VLOOKUP(B1069,'12.COT.MERCADO'!A:I,7,0)))),"Em Elaboração")</f>
        <v>UN</v>
      </c>
      <c r="G1069" s="254">
        <v>8.0</v>
      </c>
      <c r="H1069" s="259">
        <f>IFERROR(IF(D1069="SINAPI-S",VLOOKUP(B1069,'20-B.SINAPI-S'!A:J,5,0),IF(D1069="SINAPI-I",VLOOKUP(B1069,'20-A.SINAPI-I'!A:G,6,0),IF(D1069="COMPOSIÇÕES",VLOOKUP(B1069,'11.COMPOSIÇÕES GERAIS'!B:I,7,0),0))),"Em Elaboração")</f>
        <v>0</v>
      </c>
      <c r="I1069" s="259">
        <f>IFERROR(IF(D1069="SINAPI-S",VLOOKUP(B1069,'20-B.SINAPI-S'!A:J,6,0),IF(D1069="SINAPI-I",VLOOKUP(B1069,'20-A.SINAPI-I'!A:G,7,0),IF(D1069="COMPOSIÇÕES",VLOOKUP(B1069,'11.COMPOSIÇÕES GERAIS'!B:I,8,0),VLOOKUP(B1069,'12.COT.MERCADO'!A:I,8,0)))),"Em Elaboração")</f>
        <v>9.19</v>
      </c>
      <c r="J1069" s="259">
        <f t="shared" ref="J1069:J1075" si="274">H1069*(1+$J$5)</f>
        <v>0</v>
      </c>
      <c r="K1069" s="259">
        <f t="shared" ref="K1069:K1075" si="275">I1069*(1+$J$8)</f>
        <v>10.76456484</v>
      </c>
      <c r="L1069" s="259">
        <f t="shared" ref="L1069:L1075" si="276">SUM(J1069:K1069)</f>
        <v>10.76456484</v>
      </c>
      <c r="M1069" s="259">
        <f t="shared" ref="M1069:M1075" si="277">J1069*G1069</f>
        <v>0</v>
      </c>
      <c r="N1069" s="259">
        <f t="shared" ref="N1069:N1075" si="278">K1069*G1069</f>
        <v>86.1165187</v>
      </c>
      <c r="O1069" s="259">
        <f t="shared" ref="O1069:O1075" si="279">SUM(M1069:N1069)</f>
        <v>86.1165187</v>
      </c>
      <c r="P1069" s="260">
        <f t="shared" si="2"/>
        <v>0.00006736673411</v>
      </c>
    </row>
    <row r="1070">
      <c r="A1070" s="253" t="s">
        <v>1360</v>
      </c>
      <c r="B1070" s="254">
        <v>20111.0</v>
      </c>
      <c r="C1070" s="255" t="str">
        <f t="shared" si="273"/>
        <v>SINAPI</v>
      </c>
      <c r="D1070" s="256" t="s">
        <v>286</v>
      </c>
      <c r="E1070" s="257" t="str">
        <f>IFERROR(IF(D1070="SINAPI-S",VLOOKUP(B1070,'20-B.SINAPI-S'!A:J,2,0),IF(D1070="SINAPI-I",VLOOKUP(B1070,'20-A.SINAPI-I'!A:G,2,0),IF(D1070="COMPOSIÇÕES",VLOOKUP(B1070,'11.COMPOSIÇÕES GERAIS'!B:I,2,0),VLOOKUP(B1070,'12.COT.MERCADO'!A:I,2,0)))),"Em Elaboração")</f>
        <v>FITA ISOLANTE ADESIVA ANTICHAMA, USO ATE 750 V, EM ROLO DE 19 MM X 20 M</v>
      </c>
      <c r="F1070" s="258" t="str">
        <f>IFERROR(IF(D1070="SINAPI-S",VLOOKUP(B1070,'20-B.SINAPI-S'!A:J,3,0),IF(D1070="SINAPI-I",VLOOKUP(B1070,'20-A.SINAPI-I'!A:G,3,0),IF(D1070="COMPOSIÇÕES",VLOOKUP(B1070,'11.COMPOSIÇÕES GERAIS'!B:I,3,0),VLOOKUP(B1070,'12.COT.MERCADO'!A:I,7,0)))),"Em Elaboração")</f>
        <v>UN</v>
      </c>
      <c r="G1070" s="254">
        <v>2.0</v>
      </c>
      <c r="H1070" s="259">
        <f>IFERROR(IF(D1070="SINAPI-S",VLOOKUP(B1070,'20-B.SINAPI-S'!A:J,5,0),IF(D1070="SINAPI-I",VLOOKUP(B1070,'20-A.SINAPI-I'!A:G,6,0),IF(D1070="COMPOSIÇÕES",VLOOKUP(B1070,'11.COMPOSIÇÕES GERAIS'!B:I,7,0),0))),"Em Elaboração")</f>
        <v>0</v>
      </c>
      <c r="I1070" s="259">
        <f>IFERROR(IF(D1070="SINAPI-S",VLOOKUP(B1070,'20-B.SINAPI-S'!A:J,6,0),IF(D1070="SINAPI-I",VLOOKUP(B1070,'20-A.SINAPI-I'!A:G,7,0),IF(D1070="COMPOSIÇÕES",VLOOKUP(B1070,'11.COMPOSIÇÕES GERAIS'!B:I,8,0),VLOOKUP(B1070,'12.COT.MERCADO'!A:I,8,0)))),"Em Elaboração")</f>
        <v>12.9</v>
      </c>
      <c r="J1070" s="259">
        <f t="shared" si="274"/>
        <v>0</v>
      </c>
      <c r="K1070" s="259">
        <f t="shared" si="275"/>
        <v>15.11021615</v>
      </c>
      <c r="L1070" s="259">
        <f t="shared" si="276"/>
        <v>15.11021615</v>
      </c>
      <c r="M1070" s="259">
        <f t="shared" si="277"/>
        <v>0</v>
      </c>
      <c r="N1070" s="259">
        <f t="shared" si="278"/>
        <v>30.2204323</v>
      </c>
      <c r="O1070" s="259">
        <f t="shared" si="279"/>
        <v>30.2204323</v>
      </c>
      <c r="P1070" s="260">
        <f t="shared" si="2"/>
        <v>0.00002364066567</v>
      </c>
    </row>
    <row r="1071">
      <c r="A1071" s="253" t="s">
        <v>1361</v>
      </c>
      <c r="B1071" s="254" t="s">
        <v>1362</v>
      </c>
      <c r="C1071" s="255" t="str">
        <f t="shared" si="273"/>
        <v>PRÓPRIO</v>
      </c>
      <c r="D1071" s="256" t="s">
        <v>110</v>
      </c>
      <c r="E1071" s="257" t="str">
        <f>IFERROR(IF(D1071="SINAPI-S",VLOOKUP(B1071,'20-B.SINAPI-S'!A:J,2,0),IF(D1071="SINAPI-I",VLOOKUP(B1071,'20-A.SINAPI-I'!A:G,2,0),IF(D1071="COMPOSIÇÕES",VLOOKUP(B1071,'11.COMPOSIÇÕES GERAIS'!B:I,2,0),VLOOKUP(B1071,'12.COT.MERCADO'!A:I,2,0)))),"Em Elaboração")</f>
        <v>Cabo de cobre PP Cordplast 3 x 1,5 mm2, 450/750v</v>
      </c>
      <c r="F1071" s="258" t="str">
        <f>IFERROR(IF(D1071="SINAPI-S",VLOOKUP(B1071,'20-B.SINAPI-S'!A:J,3,0),IF(D1071="SINAPI-I",VLOOKUP(B1071,'20-A.SINAPI-I'!A:G,3,0),IF(D1071="COMPOSIÇÕES",VLOOKUP(B1071,'11.COMPOSIÇÕES GERAIS'!B:I,3,0),VLOOKUP(B1071,'12.COT.MERCADO'!A:I,7,0)))),"Em Elaboração")</f>
        <v>M</v>
      </c>
      <c r="G1071" s="254">
        <v>30.0</v>
      </c>
      <c r="H1071" s="259">
        <f>IFERROR(IF(D1071="SINAPI-S",VLOOKUP(B1071,'20-B.SINAPI-S'!A:J,5,0),IF(D1071="SINAPI-I",VLOOKUP(B1071,'20-A.SINAPI-I'!A:G,6,0),IF(D1071="COMPOSIÇÕES",VLOOKUP(B1071,'11.COMPOSIÇÕES GERAIS'!B:I,7,0),0))),"Em Elaboração")</f>
        <v>0</v>
      </c>
      <c r="I1071" s="259">
        <f>IFERROR(IF(D1071="SINAPI-S",VLOOKUP(B1071,'20-B.SINAPI-S'!A:J,6,0),IF(D1071="SINAPI-I",VLOOKUP(B1071,'20-A.SINAPI-I'!A:G,7,0),IF(D1071="COMPOSIÇÕES",VLOOKUP(B1071,'11.COMPOSIÇÕES GERAIS'!B:I,8,0),VLOOKUP(B1071,'12.COT.MERCADO'!A:I,8,0)))),"Em Elaboração")</f>
        <v>4.49</v>
      </c>
      <c r="J1071" s="259">
        <f t="shared" si="274"/>
        <v>0</v>
      </c>
      <c r="K1071" s="259">
        <f t="shared" si="275"/>
        <v>5.259292287</v>
      </c>
      <c r="L1071" s="259">
        <f t="shared" si="276"/>
        <v>5.259292287</v>
      </c>
      <c r="M1071" s="259">
        <f t="shared" si="277"/>
        <v>0</v>
      </c>
      <c r="N1071" s="259">
        <f t="shared" si="278"/>
        <v>157.7787686</v>
      </c>
      <c r="O1071" s="259">
        <f t="shared" si="279"/>
        <v>157.7787686</v>
      </c>
      <c r="P1071" s="260">
        <f t="shared" si="2"/>
        <v>0.0001234262661</v>
      </c>
    </row>
    <row r="1072">
      <c r="A1072" s="253" t="s">
        <v>1363</v>
      </c>
      <c r="B1072" s="254" t="s">
        <v>1364</v>
      </c>
      <c r="C1072" s="255" t="str">
        <f t="shared" si="273"/>
        <v>PRÓPRIO</v>
      </c>
      <c r="D1072" s="256" t="s">
        <v>110</v>
      </c>
      <c r="E1072" s="257" t="str">
        <f>IFERROR(IF(D1072="SINAPI-S",VLOOKUP(B1072,'20-B.SINAPI-S'!A:J,2,0),IF(D1072="SINAPI-I",VLOOKUP(B1072,'20-A.SINAPI-I'!A:G,2,0),IF(D1072="COMPOSIÇÕES",VLOOKUP(B1072,'11.COMPOSIÇÕES GERAIS'!B:I,2,0),VLOOKUP(B1072,'12.COT.MERCADO'!A:I,2,0)))),"Em Elaboração")</f>
        <v>Relé de falta de fase 127-220V, ref. 3UGO2 40-OA507</v>
      </c>
      <c r="F1072" s="258" t="str">
        <f>IFERROR(IF(D1072="SINAPI-S",VLOOKUP(B1072,'20-B.SINAPI-S'!A:J,3,0),IF(D1072="SINAPI-I",VLOOKUP(B1072,'20-A.SINAPI-I'!A:G,3,0),IF(D1072="COMPOSIÇÕES",VLOOKUP(B1072,'11.COMPOSIÇÕES GERAIS'!B:I,3,0),VLOOKUP(B1072,'12.COT.MERCADO'!A:I,7,0)))),"Em Elaboração")</f>
        <v>UN </v>
      </c>
      <c r="G1072" s="254">
        <v>2.0</v>
      </c>
      <c r="H1072" s="259">
        <f>IFERROR(IF(D1072="SINAPI-S",VLOOKUP(B1072,'20-B.SINAPI-S'!A:J,5,0),IF(D1072="SINAPI-I",VLOOKUP(B1072,'20-A.SINAPI-I'!A:G,6,0),IF(D1072="COMPOSIÇÕES",VLOOKUP(B1072,'11.COMPOSIÇÕES GERAIS'!B:I,7,0),0))),"Em Elaboração")</f>
        <v>0</v>
      </c>
      <c r="I1072" s="259">
        <f>IFERROR(IF(D1072="SINAPI-S",VLOOKUP(B1072,'20-B.SINAPI-S'!A:J,6,0),IF(D1072="SINAPI-I",VLOOKUP(B1072,'20-A.SINAPI-I'!A:G,7,0),IF(D1072="COMPOSIÇÕES",VLOOKUP(B1072,'11.COMPOSIÇÕES GERAIS'!B:I,8,0),VLOOKUP(B1072,'12.COT.MERCADO'!A:I,8,0)))),"Em Elaboração")</f>
        <v>172.8</v>
      </c>
      <c r="J1072" s="259">
        <f t="shared" si="274"/>
        <v>0</v>
      </c>
      <c r="K1072" s="259">
        <f t="shared" si="275"/>
        <v>202.4066163</v>
      </c>
      <c r="L1072" s="259">
        <f t="shared" si="276"/>
        <v>202.4066163</v>
      </c>
      <c r="M1072" s="259">
        <f t="shared" si="277"/>
        <v>0</v>
      </c>
      <c r="N1072" s="259">
        <f t="shared" si="278"/>
        <v>404.8132326</v>
      </c>
      <c r="O1072" s="259">
        <f t="shared" si="279"/>
        <v>404.8132326</v>
      </c>
      <c r="P1072" s="260">
        <f t="shared" si="2"/>
        <v>0.0003166749634</v>
      </c>
    </row>
    <row r="1073">
      <c r="A1073" s="253" t="s">
        <v>1365</v>
      </c>
      <c r="B1073" s="254" t="s">
        <v>1366</v>
      </c>
      <c r="C1073" s="255" t="str">
        <f t="shared" si="273"/>
        <v>PRÓPRIO</v>
      </c>
      <c r="D1073" s="256" t="s">
        <v>110</v>
      </c>
      <c r="E1073" s="257" t="str">
        <f>IFERROR(IF(D1073="SINAPI-S",VLOOKUP(B1073,'20-B.SINAPI-S'!A:J,2,0),IF(D1073="SINAPI-I",VLOOKUP(B1073,'20-A.SINAPI-I'!A:G,2,0),IF(D1073="COMPOSIÇÕES",VLOOKUP(B1073,'11.COMPOSIÇÕES GERAIS'!B:I,2,0),VLOOKUP(B1073,'12.COT.MERCADO'!A:I,2,0)))),"Em Elaboração")</f>
        <v>Plugue para tomada, tipo macho, 2P+T 10A</v>
      </c>
      <c r="F1073" s="258" t="str">
        <f>IFERROR(IF(D1073="SINAPI-S",VLOOKUP(B1073,'20-B.SINAPI-S'!A:J,3,0),IF(D1073="SINAPI-I",VLOOKUP(B1073,'20-A.SINAPI-I'!A:G,3,0),IF(D1073="COMPOSIÇÕES",VLOOKUP(B1073,'11.COMPOSIÇÕES GERAIS'!B:I,3,0),VLOOKUP(B1073,'12.COT.MERCADO'!A:I,7,0)))),"Em Elaboração")</f>
        <v>UN </v>
      </c>
      <c r="G1073" s="254">
        <v>8.0</v>
      </c>
      <c r="H1073" s="259">
        <f>IFERROR(IF(D1073="SINAPI-S",VLOOKUP(B1073,'20-B.SINAPI-S'!A:J,5,0),IF(D1073="SINAPI-I",VLOOKUP(B1073,'20-A.SINAPI-I'!A:G,6,0),IF(D1073="COMPOSIÇÕES",VLOOKUP(B1073,'11.COMPOSIÇÕES GERAIS'!B:I,7,0),0))),"Em Elaboração")</f>
        <v>0</v>
      </c>
      <c r="I1073" s="259">
        <f>IFERROR(IF(D1073="SINAPI-S",VLOOKUP(B1073,'20-B.SINAPI-S'!A:J,6,0),IF(D1073="SINAPI-I",VLOOKUP(B1073,'20-A.SINAPI-I'!A:G,7,0),IF(D1073="COMPOSIÇÕES",VLOOKUP(B1073,'11.COMPOSIÇÕES GERAIS'!B:I,8,0),VLOOKUP(B1073,'12.COT.MERCADO'!A:I,8,0)))),"Em Elaboração")</f>
        <v>5.19</v>
      </c>
      <c r="J1073" s="259">
        <f t="shared" si="274"/>
        <v>0</v>
      </c>
      <c r="K1073" s="259">
        <f t="shared" si="275"/>
        <v>6.079226497</v>
      </c>
      <c r="L1073" s="259">
        <f t="shared" si="276"/>
        <v>6.079226497</v>
      </c>
      <c r="M1073" s="259">
        <f t="shared" si="277"/>
        <v>0</v>
      </c>
      <c r="N1073" s="259">
        <f t="shared" si="278"/>
        <v>48.63381197</v>
      </c>
      <c r="O1073" s="259">
        <f t="shared" si="279"/>
        <v>48.63381197</v>
      </c>
      <c r="P1073" s="260">
        <f t="shared" si="2"/>
        <v>0.00003804497824</v>
      </c>
    </row>
    <row r="1074">
      <c r="A1074" s="253" t="s">
        <v>1367</v>
      </c>
      <c r="B1074" s="254">
        <v>12147.0</v>
      </c>
      <c r="C1074" s="255" t="str">
        <f t="shared" si="273"/>
        <v>SINAPI</v>
      </c>
      <c r="D1074" s="256" t="s">
        <v>286</v>
      </c>
      <c r="E1074" s="257" t="str">
        <f>IFERROR(IF(D1074="SINAPI-S",VLOOKUP(B1074,'20-B.SINAPI-S'!A:J,2,0),IF(D1074="SINAPI-I",VLOOKUP(B1074,'20-A.SINAPI-I'!A:G,2,0),IF(D1074="COMPOSIÇÕES",VLOOKUP(B1074,'11.COMPOSIÇÕES GERAIS'!B:I,2,0),VLOOKUP(B1074,'12.COT.MERCADO'!A:I,2,0)))),"Em Elaboração")</f>
        <v>TOMADA 2P+T 10A, 250V, CONJUNTO MONTADO PARA SOBREPOR 4" X 2" (CAIXA + MODULO)</v>
      </c>
      <c r="F1074" s="258" t="str">
        <f>IFERROR(IF(D1074="SINAPI-S",VLOOKUP(B1074,'20-B.SINAPI-S'!A:J,3,0),IF(D1074="SINAPI-I",VLOOKUP(B1074,'20-A.SINAPI-I'!A:G,3,0),IF(D1074="COMPOSIÇÕES",VLOOKUP(B1074,'11.COMPOSIÇÕES GERAIS'!B:I,3,0),VLOOKUP(B1074,'12.COT.MERCADO'!A:I,7,0)))),"Em Elaboração")</f>
        <v>UN</v>
      </c>
      <c r="G1074" s="254">
        <v>8.0</v>
      </c>
      <c r="H1074" s="259">
        <f>IFERROR(IF(D1074="SINAPI-S",VLOOKUP(B1074,'20-B.SINAPI-S'!A:J,5,0),IF(D1074="SINAPI-I",VLOOKUP(B1074,'20-A.SINAPI-I'!A:G,6,0),IF(D1074="COMPOSIÇÕES",VLOOKUP(B1074,'11.COMPOSIÇÕES GERAIS'!B:I,7,0),0))),"Em Elaboração")</f>
        <v>0</v>
      </c>
      <c r="I1074" s="259">
        <f>IFERROR(IF(D1074="SINAPI-S",VLOOKUP(B1074,'20-B.SINAPI-S'!A:J,6,0),IF(D1074="SINAPI-I",VLOOKUP(B1074,'20-A.SINAPI-I'!A:G,7,0),IF(D1074="COMPOSIÇÕES",VLOOKUP(B1074,'11.COMPOSIÇÕES GERAIS'!B:I,8,0),VLOOKUP(B1074,'12.COT.MERCADO'!A:I,8,0)))),"Em Elaboração")</f>
        <v>15.09</v>
      </c>
      <c r="J1074" s="259">
        <f t="shared" si="274"/>
        <v>0</v>
      </c>
      <c r="K1074" s="259">
        <f t="shared" si="275"/>
        <v>17.67543889</v>
      </c>
      <c r="L1074" s="259">
        <f t="shared" si="276"/>
        <v>17.67543889</v>
      </c>
      <c r="M1074" s="259">
        <f t="shared" si="277"/>
        <v>0</v>
      </c>
      <c r="N1074" s="259">
        <f t="shared" si="278"/>
        <v>141.4035111</v>
      </c>
      <c r="O1074" s="259">
        <f t="shared" si="279"/>
        <v>141.4035111</v>
      </c>
      <c r="P1074" s="260">
        <f t="shared" si="2"/>
        <v>0.000110616324</v>
      </c>
    </row>
    <row r="1075">
      <c r="A1075" s="253" t="s">
        <v>1368</v>
      </c>
      <c r="B1075" s="254">
        <v>38091.0</v>
      </c>
      <c r="C1075" s="255" t="str">
        <f t="shared" si="273"/>
        <v>SINAPI</v>
      </c>
      <c r="D1075" s="256" t="s">
        <v>286</v>
      </c>
      <c r="E1075" s="257" t="str">
        <f>IFERROR(IF(D1075="SINAPI-S",VLOOKUP(B1075,'20-B.SINAPI-S'!A:J,2,0),IF(D1075="SINAPI-I",VLOOKUP(B1075,'20-A.SINAPI-I'!A:G,2,0),IF(D1075="COMPOSIÇÕES",VLOOKUP(B1075,'11.COMPOSIÇÕES GERAIS'!B:I,2,0),VLOOKUP(B1075,'12.COT.MERCADO'!A:I,2,0)))),"Em Elaboração")</f>
        <v>ESPELHO / PLACA CEGA 4" X 2", PARA INSTALACAO DE TOMADAS E INTERRUPTORES</v>
      </c>
      <c r="F1075" s="258" t="str">
        <f>IFERROR(IF(D1075="SINAPI-S",VLOOKUP(B1075,'20-B.SINAPI-S'!A:J,3,0),IF(D1075="SINAPI-I",VLOOKUP(B1075,'20-A.SINAPI-I'!A:G,3,0),IF(D1075="COMPOSIÇÕES",VLOOKUP(B1075,'11.COMPOSIÇÕES GERAIS'!B:I,3,0),VLOOKUP(B1075,'12.COT.MERCADO'!A:I,7,0)))),"Em Elaboração")</f>
        <v>UN</v>
      </c>
      <c r="G1075" s="254">
        <v>8.0</v>
      </c>
      <c r="H1075" s="259">
        <f>IFERROR(IF(D1075="SINAPI-S",VLOOKUP(B1075,'20-B.SINAPI-S'!A:J,5,0),IF(D1075="SINAPI-I",VLOOKUP(B1075,'20-A.SINAPI-I'!A:G,6,0),IF(D1075="COMPOSIÇÕES",VLOOKUP(B1075,'11.COMPOSIÇÕES GERAIS'!B:I,7,0),0))),"Em Elaboração")</f>
        <v>0</v>
      </c>
      <c r="I1075" s="259">
        <f>IFERROR(IF(D1075="SINAPI-S",VLOOKUP(B1075,'20-B.SINAPI-S'!A:J,6,0),IF(D1075="SINAPI-I",VLOOKUP(B1075,'20-A.SINAPI-I'!A:G,7,0),IF(D1075="COMPOSIÇÕES",VLOOKUP(B1075,'11.COMPOSIÇÕES GERAIS'!B:I,8,0),VLOOKUP(B1075,'12.COT.MERCADO'!A:I,8,0)))),"Em Elaboração")</f>
        <v>2.61</v>
      </c>
      <c r="J1075" s="259">
        <f t="shared" si="274"/>
        <v>0</v>
      </c>
      <c r="K1075" s="259">
        <f t="shared" si="275"/>
        <v>3.057183267</v>
      </c>
      <c r="L1075" s="259">
        <f t="shared" si="276"/>
        <v>3.057183267</v>
      </c>
      <c r="M1075" s="259">
        <f t="shared" si="277"/>
        <v>0</v>
      </c>
      <c r="N1075" s="259">
        <f t="shared" si="278"/>
        <v>24.45746614</v>
      </c>
      <c r="O1075" s="259">
        <f t="shared" si="279"/>
        <v>24.45746614</v>
      </c>
      <c r="P1075" s="260">
        <f t="shared" si="2"/>
        <v>0.00001913244571</v>
      </c>
    </row>
    <row r="1076">
      <c r="A1076" s="261" t="s">
        <v>1369</v>
      </c>
      <c r="B1076" s="262" t="s">
        <v>1370</v>
      </c>
      <c r="C1076" s="44"/>
      <c r="D1076" s="44"/>
      <c r="E1076" s="44"/>
      <c r="F1076" s="44"/>
      <c r="G1076" s="44"/>
      <c r="H1076" s="44"/>
      <c r="I1076" s="44"/>
      <c r="J1076" s="44"/>
      <c r="K1076" s="44"/>
      <c r="L1076" s="44"/>
      <c r="M1076" s="263">
        <f t="shared" ref="M1076:O1076" si="280">SUM(M1077:M1081)</f>
        <v>0</v>
      </c>
      <c r="N1076" s="263">
        <f t="shared" si="280"/>
        <v>623.5482531</v>
      </c>
      <c r="O1076" s="263">
        <f t="shared" si="280"/>
        <v>623.5482531</v>
      </c>
      <c r="P1076" s="264">
        <f t="shared" si="2"/>
        <v>0.000487785735</v>
      </c>
    </row>
    <row r="1077">
      <c r="A1077" s="253" t="s">
        <v>1371</v>
      </c>
      <c r="B1077" s="254">
        <v>4229.0</v>
      </c>
      <c r="C1077" s="255" t="str">
        <f t="shared" ref="C1077:C1081" si="281">IF(OR(D1077="SINAPI-S",D1077="SINAPI-I"),"SINAPI","PRÓPRIO")</f>
        <v>SINAPI</v>
      </c>
      <c r="D1077" s="256" t="s">
        <v>286</v>
      </c>
      <c r="E1077" s="257" t="str">
        <f>IFERROR(IF(D1077="SINAPI-S",VLOOKUP(B1077,'20-B.SINAPI-S'!A:J,2,0),IF(D1077="SINAPI-I",VLOOKUP(B1077,'20-A.SINAPI-I'!A:G,2,0),IF(D1077="COMPOSIÇÕES",VLOOKUP(B1077,'11.COMPOSIÇÕES GERAIS'!B:I,2,0),VLOOKUP(B1077,'12.COT.MERCADO'!A:I,2,0)))),"Em Elaboração")</f>
        <v>GRAXA LUBRIFICANTE</v>
      </c>
      <c r="F1077" s="258" t="str">
        <f>IFERROR(IF(D1077="SINAPI-S",VLOOKUP(B1077,'20-B.SINAPI-S'!A:J,3,0),IF(D1077="SINAPI-I",VLOOKUP(B1077,'20-A.SINAPI-I'!A:G,3,0),IF(D1077="COMPOSIÇÕES",VLOOKUP(B1077,'11.COMPOSIÇÕES GERAIS'!B:I,3,0),VLOOKUP(B1077,'12.COT.MERCADO'!A:I,7,0)))),"Em Elaboração")</f>
        <v>KG</v>
      </c>
      <c r="G1077" s="254">
        <v>4.0</v>
      </c>
      <c r="H1077" s="259">
        <f>IFERROR(IF(D1077="SINAPI-S",VLOOKUP(B1077,'20-B.SINAPI-S'!A:J,5,0),IF(D1077="SINAPI-I",VLOOKUP(B1077,'20-A.SINAPI-I'!A:G,6,0),IF(D1077="COMPOSIÇÕES",VLOOKUP(B1077,'11.COMPOSIÇÕES GERAIS'!B:I,7,0),0))),"Em Elaboração")</f>
        <v>0</v>
      </c>
      <c r="I1077" s="259">
        <f>IFERROR(IF(D1077="SINAPI-S",VLOOKUP(B1077,'20-B.SINAPI-S'!A:J,6,0),IF(D1077="SINAPI-I",VLOOKUP(B1077,'20-A.SINAPI-I'!A:G,7,0),IF(D1077="COMPOSIÇÕES",VLOOKUP(B1077,'11.COMPOSIÇÕES GERAIS'!B:I,8,0),VLOOKUP(B1077,'12.COT.MERCADO'!A:I,8,0)))),"Em Elaboração")</f>
        <v>32.85</v>
      </c>
      <c r="J1077" s="259">
        <f t="shared" ref="J1077:J1081" si="282">H1077*(1+$J$5)</f>
        <v>0</v>
      </c>
      <c r="K1077" s="259">
        <f t="shared" ref="K1077:K1081" si="283">I1077*(1+$J$8)</f>
        <v>38.47834112</v>
      </c>
      <c r="L1077" s="259">
        <f t="shared" ref="L1077:L1081" si="284">SUM(J1077:K1077)</f>
        <v>38.47834112</v>
      </c>
      <c r="M1077" s="259">
        <f t="shared" ref="M1077:M1081" si="285">J1077*G1077</f>
        <v>0</v>
      </c>
      <c r="N1077" s="259">
        <f t="shared" ref="N1077:N1081" si="286">K1077*G1077</f>
        <v>153.9133645</v>
      </c>
      <c r="O1077" s="259">
        <f t="shared" ref="O1077:O1081" si="287">SUM(M1077:N1077)</f>
        <v>153.9133645</v>
      </c>
      <c r="P1077" s="260">
        <f t="shared" si="2"/>
        <v>0.00012040246</v>
      </c>
    </row>
    <row r="1078">
      <c r="A1078" s="253" t="s">
        <v>1372</v>
      </c>
      <c r="B1078" s="254" t="s">
        <v>1373</v>
      </c>
      <c r="C1078" s="255" t="str">
        <f t="shared" si="281"/>
        <v>PRÓPRIO</v>
      </c>
      <c r="D1078" s="256" t="s">
        <v>110</v>
      </c>
      <c r="E1078" s="257" t="str">
        <f>IFERROR(IF(D1078="SINAPI-S",VLOOKUP(B1078,'20-B.SINAPI-S'!A:J,2,0),IF(D1078="SINAPI-I",VLOOKUP(B1078,'20-A.SINAPI-I'!A:G,2,0),IF(D1078="COMPOSIÇÕES",VLOOKUP(B1078,'11.COMPOSIÇÕES GERAIS'!B:I,2,0),VLOOKUP(B1078,'12.COT.MERCADO'!A:I,2,0)))),"Em Elaboração")</f>
        <v>Lubrificante Spray - 200g/300 ml. REF: VONDER ou similar</v>
      </c>
      <c r="F1078" s="258" t="str">
        <f>IFERROR(IF(D1078="SINAPI-S",VLOOKUP(B1078,'20-B.SINAPI-S'!A:J,3,0),IF(D1078="SINAPI-I",VLOOKUP(B1078,'20-A.SINAPI-I'!A:G,3,0),IF(D1078="COMPOSIÇÕES",VLOOKUP(B1078,'11.COMPOSIÇÕES GERAIS'!B:I,3,0),VLOOKUP(B1078,'12.COT.MERCADO'!A:I,7,0)))),"Em Elaboração")</f>
        <v>UN </v>
      </c>
      <c r="G1078" s="254">
        <v>5.0</v>
      </c>
      <c r="H1078" s="259">
        <f>IFERROR(IF(D1078="SINAPI-S",VLOOKUP(B1078,'20-B.SINAPI-S'!A:J,5,0),IF(D1078="SINAPI-I",VLOOKUP(B1078,'20-A.SINAPI-I'!A:G,6,0),IF(D1078="COMPOSIÇÕES",VLOOKUP(B1078,'11.COMPOSIÇÕES GERAIS'!B:I,7,0),0))),"Em Elaboração")</f>
        <v>0</v>
      </c>
      <c r="I1078" s="259">
        <f>IFERROR(IF(D1078="SINAPI-S",VLOOKUP(B1078,'20-B.SINAPI-S'!A:J,6,0),IF(D1078="SINAPI-I",VLOOKUP(B1078,'20-A.SINAPI-I'!A:G,7,0),IF(D1078="COMPOSIÇÕES",VLOOKUP(B1078,'11.COMPOSIÇÕES GERAIS'!B:I,8,0),VLOOKUP(B1078,'12.COT.MERCADO'!A:I,8,0)))),"Em Elaboração")</f>
        <v>16.56</v>
      </c>
      <c r="J1078" s="259">
        <f t="shared" si="282"/>
        <v>0</v>
      </c>
      <c r="K1078" s="259">
        <f t="shared" si="283"/>
        <v>19.39730073</v>
      </c>
      <c r="L1078" s="259">
        <f t="shared" si="284"/>
        <v>19.39730073</v>
      </c>
      <c r="M1078" s="259">
        <f t="shared" si="285"/>
        <v>0</v>
      </c>
      <c r="N1078" s="259">
        <f t="shared" si="286"/>
        <v>96.98650365</v>
      </c>
      <c r="O1078" s="259">
        <f t="shared" si="287"/>
        <v>96.98650365</v>
      </c>
      <c r="P1078" s="260">
        <f t="shared" si="2"/>
        <v>0.00007587004331</v>
      </c>
    </row>
    <row r="1079">
      <c r="A1079" s="253" t="s">
        <v>1374</v>
      </c>
      <c r="B1079" s="254" t="s">
        <v>1375</v>
      </c>
      <c r="C1079" s="255" t="str">
        <f t="shared" si="281"/>
        <v>PRÓPRIO</v>
      </c>
      <c r="D1079" s="256" t="s">
        <v>110</v>
      </c>
      <c r="E1079" s="257" t="str">
        <f>IFERROR(IF(D1079="SINAPI-S",VLOOKUP(B1079,'20-B.SINAPI-S'!A:J,2,0),IF(D1079="SINAPI-I",VLOOKUP(B1079,'20-A.SINAPI-I'!A:G,2,0),IF(D1079="COMPOSIÇÕES",VLOOKUP(B1079,'11.COMPOSIÇÕES GERAIS'!B:I,2,0),VLOOKUP(B1079,'12.COT.MERCADO'!A:I,2,0)))),"Em Elaboração")</f>
        <v>Desingripante Spray 300 ml. REF: White Lub Super ORBI-03 ou similar</v>
      </c>
      <c r="F1079" s="258" t="str">
        <f>IFERROR(IF(D1079="SINAPI-S",VLOOKUP(B1079,'20-B.SINAPI-S'!A:J,3,0),IF(D1079="SINAPI-I",VLOOKUP(B1079,'20-A.SINAPI-I'!A:G,3,0),IF(D1079="COMPOSIÇÕES",VLOOKUP(B1079,'11.COMPOSIÇÕES GERAIS'!B:I,3,0),VLOOKUP(B1079,'12.COT.MERCADO'!A:I,7,0)))),"Em Elaboração")</f>
        <v>UN </v>
      </c>
      <c r="G1079" s="254">
        <v>3.0</v>
      </c>
      <c r="H1079" s="259">
        <f>IFERROR(IF(D1079="SINAPI-S",VLOOKUP(B1079,'20-B.SINAPI-S'!A:J,5,0),IF(D1079="SINAPI-I",VLOOKUP(B1079,'20-A.SINAPI-I'!A:G,6,0),IF(D1079="COMPOSIÇÕES",VLOOKUP(B1079,'11.COMPOSIÇÕES GERAIS'!B:I,7,0),0))),"Em Elaboração")</f>
        <v>0</v>
      </c>
      <c r="I1079" s="259">
        <f>IFERROR(IF(D1079="SINAPI-S",VLOOKUP(B1079,'20-B.SINAPI-S'!A:J,6,0),IF(D1079="SINAPI-I",VLOOKUP(B1079,'20-A.SINAPI-I'!A:G,7,0),IF(D1079="COMPOSIÇÕES",VLOOKUP(B1079,'11.COMPOSIÇÕES GERAIS'!B:I,8,0),VLOOKUP(B1079,'12.COT.MERCADO'!A:I,8,0)))),"Em Elaboração")</f>
        <v>12.23</v>
      </c>
      <c r="J1079" s="259">
        <f t="shared" si="282"/>
        <v>0</v>
      </c>
      <c r="K1079" s="259">
        <f t="shared" si="283"/>
        <v>14.32542198</v>
      </c>
      <c r="L1079" s="259">
        <f t="shared" si="284"/>
        <v>14.32542198</v>
      </c>
      <c r="M1079" s="259">
        <f t="shared" si="285"/>
        <v>0</v>
      </c>
      <c r="N1079" s="259">
        <f t="shared" si="286"/>
        <v>42.97626593</v>
      </c>
      <c r="O1079" s="259">
        <f t="shared" si="287"/>
        <v>42.97626593</v>
      </c>
      <c r="P1079" s="260">
        <f t="shared" si="2"/>
        <v>0.00003361922572</v>
      </c>
    </row>
    <row r="1080">
      <c r="A1080" s="253" t="s">
        <v>1376</v>
      </c>
      <c r="B1080" s="254" t="s">
        <v>1377</v>
      </c>
      <c r="C1080" s="255" t="str">
        <f t="shared" si="281"/>
        <v>PRÓPRIO</v>
      </c>
      <c r="D1080" s="256" t="s">
        <v>110</v>
      </c>
      <c r="E1080" s="257" t="str">
        <f>IFERROR(IF(D1080="SINAPI-S",VLOOKUP(B1080,'20-B.SINAPI-S'!A:J,2,0),IF(D1080="SINAPI-I",VLOOKUP(B1080,'20-A.SINAPI-I'!A:G,2,0),IF(D1080="COMPOSIÇÕES",VLOOKUP(B1080,'11.COMPOSIÇÕES GERAIS'!B:I,2,0),VLOOKUP(B1080,'12.COT.MERCADO'!A:I,2,0)))),"Em Elaboração")</f>
        <v>Adesivo Bond em Bisnarga 3g. REF: Scoth Bond ou similar</v>
      </c>
      <c r="F1080" s="258" t="str">
        <f>IFERROR(IF(D1080="SINAPI-S",VLOOKUP(B1080,'20-B.SINAPI-S'!A:J,3,0),IF(D1080="SINAPI-I",VLOOKUP(B1080,'20-A.SINAPI-I'!A:G,3,0),IF(D1080="COMPOSIÇÕES",VLOOKUP(B1080,'11.COMPOSIÇÕES GERAIS'!B:I,3,0),VLOOKUP(B1080,'12.COT.MERCADO'!A:I,7,0)))),"Em Elaboração")</f>
        <v>UN </v>
      </c>
      <c r="G1080" s="254">
        <v>1.0</v>
      </c>
      <c r="H1080" s="259">
        <f>IFERROR(IF(D1080="SINAPI-S",VLOOKUP(B1080,'20-B.SINAPI-S'!A:J,5,0),IF(D1080="SINAPI-I",VLOOKUP(B1080,'20-A.SINAPI-I'!A:G,6,0),IF(D1080="COMPOSIÇÕES",VLOOKUP(B1080,'11.COMPOSIÇÕES GERAIS'!B:I,7,0),0))),"Em Elaboração")</f>
        <v>0</v>
      </c>
      <c r="I1080" s="259">
        <f>IFERROR(IF(D1080="SINAPI-S",VLOOKUP(B1080,'20-B.SINAPI-S'!A:J,6,0),IF(D1080="SINAPI-I",VLOOKUP(B1080,'20-A.SINAPI-I'!A:G,7,0),IF(D1080="COMPOSIÇÕES",VLOOKUP(B1080,'11.COMPOSIÇÕES GERAIS'!B:I,8,0),VLOOKUP(B1080,'12.COT.MERCADO'!A:I,8,0)))),"Em Elaboração")</f>
        <v>6.9</v>
      </c>
      <c r="J1080" s="259">
        <f t="shared" si="282"/>
        <v>0</v>
      </c>
      <c r="K1080" s="259">
        <f t="shared" si="283"/>
        <v>8.082208637</v>
      </c>
      <c r="L1080" s="259">
        <f t="shared" si="284"/>
        <v>8.082208637</v>
      </c>
      <c r="M1080" s="259">
        <f t="shared" si="285"/>
        <v>0</v>
      </c>
      <c r="N1080" s="259">
        <f t="shared" si="286"/>
        <v>8.082208637</v>
      </c>
      <c r="O1080" s="259">
        <f t="shared" si="287"/>
        <v>8.082208637</v>
      </c>
      <c r="P1080" s="260">
        <f t="shared" si="2"/>
        <v>0.00000632250361</v>
      </c>
    </row>
    <row r="1081">
      <c r="A1081" s="253" t="s">
        <v>1378</v>
      </c>
      <c r="B1081" s="254" t="s">
        <v>1379</v>
      </c>
      <c r="C1081" s="255" t="str">
        <f t="shared" si="281"/>
        <v>PRÓPRIO</v>
      </c>
      <c r="D1081" s="256" t="s">
        <v>110</v>
      </c>
      <c r="E1081" s="257" t="str">
        <f>IFERROR(IF(D1081="SINAPI-S",VLOOKUP(B1081,'20-B.SINAPI-S'!A:J,2,0),IF(D1081="SINAPI-I",VLOOKUP(B1081,'20-A.SINAPI-I'!A:G,2,0),IF(D1081="COMPOSIÇÕES",VLOOKUP(B1081,'11.COMPOSIÇÕES GERAIS'!B:I,2,0),VLOOKUP(B1081,'12.COT.MERCADO'!A:I,2,0)))),"Em Elaboração")</f>
        <v>Graxa Especial Para Lubrificação - 10KG. REF: Unigrax Ca-2 10kg Ingrax ou similar</v>
      </c>
      <c r="F1081" s="258" t="str">
        <f>IFERROR(IF(D1081="SINAPI-S",VLOOKUP(B1081,'20-B.SINAPI-S'!A:J,3,0),IF(D1081="SINAPI-I",VLOOKUP(B1081,'20-A.SINAPI-I'!A:G,3,0),IF(D1081="COMPOSIÇÕES",VLOOKUP(B1081,'11.COMPOSIÇÕES GERAIS'!B:I,3,0),VLOOKUP(B1081,'12.COT.MERCADO'!A:I,7,0)))),"Em Elaboração")</f>
        <v>UN </v>
      </c>
      <c r="G1081" s="254">
        <v>1.0</v>
      </c>
      <c r="H1081" s="259">
        <f>IFERROR(IF(D1081="SINAPI-S",VLOOKUP(B1081,'20-B.SINAPI-S'!A:J,5,0),IF(D1081="SINAPI-I",VLOOKUP(B1081,'20-A.SINAPI-I'!A:G,6,0),IF(D1081="COMPOSIÇÕES",VLOOKUP(B1081,'11.COMPOSIÇÕES GERAIS'!B:I,7,0),0))),"Em Elaboração")</f>
        <v>0</v>
      </c>
      <c r="I1081" s="259">
        <f>IFERROR(IF(D1081="SINAPI-S",VLOOKUP(B1081,'20-B.SINAPI-S'!A:J,6,0),IF(D1081="SINAPI-I",VLOOKUP(B1081,'20-A.SINAPI-I'!A:G,7,0),IF(D1081="COMPOSIÇÕES",VLOOKUP(B1081,'11.COMPOSIÇÕES GERAIS'!B:I,8,0),VLOOKUP(B1081,'12.COT.MERCADO'!A:I,8,0)))),"Em Elaboração")</f>
        <v>274.55</v>
      </c>
      <c r="J1081" s="259">
        <f t="shared" si="282"/>
        <v>0</v>
      </c>
      <c r="K1081" s="259">
        <f t="shared" si="283"/>
        <v>321.5899103</v>
      </c>
      <c r="L1081" s="259">
        <f t="shared" si="284"/>
        <v>321.5899103</v>
      </c>
      <c r="M1081" s="259">
        <f t="shared" si="285"/>
        <v>0</v>
      </c>
      <c r="N1081" s="259">
        <f t="shared" si="286"/>
        <v>321.5899103</v>
      </c>
      <c r="O1081" s="259">
        <f t="shared" si="287"/>
        <v>321.5899103</v>
      </c>
      <c r="P1081" s="260">
        <f t="shared" si="2"/>
        <v>0.0002515715023</v>
      </c>
    </row>
    <row r="1082">
      <c r="A1082" s="265" t="s">
        <v>1380</v>
      </c>
      <c r="B1082" s="266" t="s">
        <v>1381</v>
      </c>
      <c r="C1082" s="44"/>
      <c r="D1082" s="44"/>
      <c r="E1082" s="44"/>
      <c r="F1082" s="44"/>
      <c r="G1082" s="44"/>
      <c r="H1082" s="44"/>
      <c r="I1082" s="44"/>
      <c r="J1082" s="44"/>
      <c r="K1082" s="44"/>
      <c r="L1082" s="44"/>
      <c r="M1082" s="267">
        <f t="shared" ref="M1082:O1082" si="288">SUM(M1083:M1096)</f>
        <v>0</v>
      </c>
      <c r="N1082" s="267">
        <f t="shared" si="288"/>
        <v>7337.954355</v>
      </c>
      <c r="O1082" s="267">
        <f t="shared" si="288"/>
        <v>7337.954355</v>
      </c>
      <c r="P1082" s="268">
        <f t="shared" si="2"/>
        <v>0.005740292658</v>
      </c>
    </row>
    <row r="1083">
      <c r="A1083" s="253" t="s">
        <v>1382</v>
      </c>
      <c r="B1083" s="254">
        <v>34616.0</v>
      </c>
      <c r="C1083" s="255" t="str">
        <f t="shared" ref="C1083:C1096" si="289">IF(OR(D1083="SINAPI-S",D1083="SINAPI-I"),"SINAPI","PRÓPRIO")</f>
        <v>SINAPI</v>
      </c>
      <c r="D1083" s="256" t="s">
        <v>286</v>
      </c>
      <c r="E1083" s="257" t="str">
        <f>IFERROR(IF(D1083="SINAPI-S",VLOOKUP(B1083,'20-B.SINAPI-S'!A:J,2,0),IF(D1083="SINAPI-I",VLOOKUP(B1083,'20-A.SINAPI-I'!A:G,2,0),IF(D1083="COMPOSIÇÕES",VLOOKUP(B1083,'11.COMPOSIÇÕES GERAIS'!B:I,2,0),VLOOKUP(B1083,'12.COT.MERCADO'!A:I,2,0)))),"Em Elaboração")</f>
        <v>DISJUNTOR TIPO DIN/IEC, BIPOLAR DE 6 ATE 32A</v>
      </c>
      <c r="F1083" s="258" t="str">
        <f>IFERROR(IF(D1083="SINAPI-S",VLOOKUP(B1083,'20-B.SINAPI-S'!A:J,3,0),IF(D1083="SINAPI-I",VLOOKUP(B1083,'20-A.SINAPI-I'!A:G,3,0),IF(D1083="COMPOSIÇÕES",VLOOKUP(B1083,'11.COMPOSIÇÕES GERAIS'!B:I,3,0),VLOOKUP(B1083,'12.COT.MERCADO'!A:I,7,0)))),"Em Elaboração")</f>
        <v>UN</v>
      </c>
      <c r="G1083" s="254">
        <v>1.0</v>
      </c>
      <c r="H1083" s="259">
        <f>IFERROR(IF(D1083="SINAPI-S",VLOOKUP(B1083,'20-B.SINAPI-S'!A:J,5,0),IF(D1083="SINAPI-I",VLOOKUP(B1083,'20-A.SINAPI-I'!A:G,6,0),IF(D1083="COMPOSIÇÕES",VLOOKUP(B1083,'11.COMPOSIÇÕES GERAIS'!B:I,7,0),0))),"Em Elaboração")</f>
        <v>0</v>
      </c>
      <c r="I1083" s="259">
        <f>IFERROR(IF(D1083="SINAPI-S",VLOOKUP(B1083,'20-B.SINAPI-S'!A:J,6,0),IF(D1083="SINAPI-I",VLOOKUP(B1083,'20-A.SINAPI-I'!A:G,7,0),IF(D1083="COMPOSIÇÕES",VLOOKUP(B1083,'11.COMPOSIÇÕES GERAIS'!B:I,8,0),VLOOKUP(B1083,'12.COT.MERCADO'!A:I,8,0)))),"Em Elaboração")</f>
        <v>52.67</v>
      </c>
      <c r="J1083" s="259">
        <f t="shared" ref="J1083:J1096" si="290">H1083*(1+$J$5)</f>
        <v>0</v>
      </c>
      <c r="K1083" s="259">
        <f t="shared" ref="K1083:K1096" si="291">I1083*(1+$J$8)</f>
        <v>61.6941926</v>
      </c>
      <c r="L1083" s="259">
        <f t="shared" ref="L1083:L1096" si="292">SUM(J1083:K1083)</f>
        <v>61.6941926</v>
      </c>
      <c r="M1083" s="259">
        <f t="shared" ref="M1083:M1096" si="293">J1083*G1083</f>
        <v>0</v>
      </c>
      <c r="N1083" s="259">
        <f t="shared" ref="N1083:N1096" si="294">K1083*G1083</f>
        <v>61.6941926</v>
      </c>
      <c r="O1083" s="259">
        <f t="shared" ref="O1083:O1096" si="295">SUM(M1083:N1083)</f>
        <v>61.6941926</v>
      </c>
      <c r="P1083" s="260">
        <f t="shared" si="2"/>
        <v>0.00004826177755</v>
      </c>
    </row>
    <row r="1084">
      <c r="A1084" s="253" t="s">
        <v>1383</v>
      </c>
      <c r="B1084" s="254">
        <v>34709.0</v>
      </c>
      <c r="C1084" s="255" t="str">
        <f t="shared" si="289"/>
        <v>SINAPI</v>
      </c>
      <c r="D1084" s="256" t="s">
        <v>286</v>
      </c>
      <c r="E1084" s="257" t="str">
        <f>IFERROR(IF(D1084="SINAPI-S",VLOOKUP(B1084,'20-B.SINAPI-S'!A:J,2,0),IF(D1084="SINAPI-I",VLOOKUP(B1084,'20-A.SINAPI-I'!A:G,2,0),IF(D1084="COMPOSIÇÕES",VLOOKUP(B1084,'11.COMPOSIÇÕES GERAIS'!B:I,2,0),VLOOKUP(B1084,'12.COT.MERCADO'!A:I,2,0)))),"Em Elaboração")</f>
        <v>DISJUNTOR TIPO DIN/IEC, TRIPOLAR DE 10 ATE 50A</v>
      </c>
      <c r="F1084" s="258" t="str">
        <f>IFERROR(IF(D1084="SINAPI-S",VLOOKUP(B1084,'20-B.SINAPI-S'!A:J,3,0),IF(D1084="SINAPI-I",VLOOKUP(B1084,'20-A.SINAPI-I'!A:G,3,0),IF(D1084="COMPOSIÇÕES",VLOOKUP(B1084,'11.COMPOSIÇÕES GERAIS'!B:I,3,0),VLOOKUP(B1084,'12.COT.MERCADO'!A:I,7,0)))),"Em Elaboração")</f>
        <v>UN</v>
      </c>
      <c r="G1084" s="254">
        <v>1.0</v>
      </c>
      <c r="H1084" s="259">
        <f>IFERROR(IF(D1084="SINAPI-S",VLOOKUP(B1084,'20-B.SINAPI-S'!A:J,5,0),IF(D1084="SINAPI-I",VLOOKUP(B1084,'20-A.SINAPI-I'!A:G,6,0),IF(D1084="COMPOSIÇÕES",VLOOKUP(B1084,'11.COMPOSIÇÕES GERAIS'!B:I,7,0),0))),"Em Elaboração")</f>
        <v>0</v>
      </c>
      <c r="I1084" s="259">
        <f>IFERROR(IF(D1084="SINAPI-S",VLOOKUP(B1084,'20-B.SINAPI-S'!A:J,6,0),IF(D1084="SINAPI-I",VLOOKUP(B1084,'20-A.SINAPI-I'!A:G,7,0),IF(D1084="COMPOSIÇÕES",VLOOKUP(B1084,'11.COMPOSIÇÕES GERAIS'!B:I,8,0),VLOOKUP(B1084,'12.COT.MERCADO'!A:I,8,0)))),"Em Elaboração")</f>
        <v>64.53</v>
      </c>
      <c r="J1084" s="259">
        <f t="shared" si="290"/>
        <v>0</v>
      </c>
      <c r="K1084" s="259">
        <f t="shared" si="291"/>
        <v>75.58622078</v>
      </c>
      <c r="L1084" s="259">
        <f t="shared" si="292"/>
        <v>75.58622078</v>
      </c>
      <c r="M1084" s="259">
        <f t="shared" si="293"/>
        <v>0</v>
      </c>
      <c r="N1084" s="259">
        <f t="shared" si="294"/>
        <v>75.58622078</v>
      </c>
      <c r="O1084" s="259">
        <f t="shared" si="295"/>
        <v>75.58622078</v>
      </c>
      <c r="P1084" s="260">
        <f t="shared" si="2"/>
        <v>0.00005912915332</v>
      </c>
    </row>
    <row r="1085">
      <c r="A1085" s="253" t="s">
        <v>1384</v>
      </c>
      <c r="B1085" s="254">
        <v>1570.0</v>
      </c>
      <c r="C1085" s="255" t="str">
        <f t="shared" si="289"/>
        <v>SINAPI</v>
      </c>
      <c r="D1085" s="256" t="s">
        <v>286</v>
      </c>
      <c r="E1085" s="257" t="str">
        <f>IFERROR(IF(D1085="SINAPI-S",VLOOKUP(B1085,'20-B.SINAPI-S'!A:J,2,0),IF(D1085="SINAPI-I",VLOOKUP(B1085,'20-A.SINAPI-I'!A:G,2,0),IF(D1085="COMPOSIÇÕES",VLOOKUP(B1085,'11.COMPOSIÇÕES GERAIS'!B:I,2,0),VLOOKUP(B1085,'12.COT.MERCADO'!A:I,2,0)))),"Em Elaboração")</f>
        <v>TERMINAL A COMPRESSAO EM COBRE ESTANHADO PARA CABO 2,5 MM2, 1 FURO E 1 COMPRESSAO, PARA PARAFUSO DE FIXACAO M5</v>
      </c>
      <c r="F1085" s="258" t="str">
        <f>IFERROR(IF(D1085="SINAPI-S",VLOOKUP(B1085,'20-B.SINAPI-S'!A:J,3,0),IF(D1085="SINAPI-I",VLOOKUP(B1085,'20-A.SINAPI-I'!A:G,3,0),IF(D1085="COMPOSIÇÕES",VLOOKUP(B1085,'11.COMPOSIÇÕES GERAIS'!B:I,3,0),VLOOKUP(B1085,'12.COT.MERCADO'!A:I,7,0)))),"Em Elaboração")</f>
        <v>UN</v>
      </c>
      <c r="G1085" s="254">
        <v>50.0</v>
      </c>
      <c r="H1085" s="259">
        <f>IFERROR(IF(D1085="SINAPI-S",VLOOKUP(B1085,'20-B.SINAPI-S'!A:J,5,0),IF(D1085="SINAPI-I",VLOOKUP(B1085,'20-A.SINAPI-I'!A:G,6,0),IF(D1085="COMPOSIÇÕES",VLOOKUP(B1085,'11.COMPOSIÇÕES GERAIS'!B:I,7,0),0))),"Em Elaboração")</f>
        <v>0</v>
      </c>
      <c r="I1085" s="259">
        <f>IFERROR(IF(D1085="SINAPI-S",VLOOKUP(B1085,'20-B.SINAPI-S'!A:J,6,0),IF(D1085="SINAPI-I",VLOOKUP(B1085,'20-A.SINAPI-I'!A:G,7,0),IF(D1085="COMPOSIÇÕES",VLOOKUP(B1085,'11.COMPOSIÇÕES GERAIS'!B:I,8,0),VLOOKUP(B1085,'12.COT.MERCADO'!A:I,8,0)))),"Em Elaboração")</f>
        <v>0.99</v>
      </c>
      <c r="J1085" s="259">
        <f t="shared" si="290"/>
        <v>0</v>
      </c>
      <c r="K1085" s="259">
        <f t="shared" si="291"/>
        <v>1.159621239</v>
      </c>
      <c r="L1085" s="259">
        <f t="shared" si="292"/>
        <v>1.159621239</v>
      </c>
      <c r="M1085" s="259">
        <f t="shared" si="293"/>
        <v>0</v>
      </c>
      <c r="N1085" s="259">
        <f t="shared" si="294"/>
        <v>57.98106196</v>
      </c>
      <c r="O1085" s="259">
        <f t="shared" si="295"/>
        <v>57.98106196</v>
      </c>
      <c r="P1085" s="260">
        <f t="shared" si="2"/>
        <v>0.00004535709111</v>
      </c>
    </row>
    <row r="1086">
      <c r="A1086" s="253" t="s">
        <v>1385</v>
      </c>
      <c r="B1086" s="254">
        <v>1571.0</v>
      </c>
      <c r="C1086" s="255" t="str">
        <f t="shared" si="289"/>
        <v>SINAPI</v>
      </c>
      <c r="D1086" s="256" t="s">
        <v>286</v>
      </c>
      <c r="E1086" s="257" t="str">
        <f>IFERROR(IF(D1086="SINAPI-S",VLOOKUP(B1086,'20-B.SINAPI-S'!A:J,2,0),IF(D1086="SINAPI-I",VLOOKUP(B1086,'20-A.SINAPI-I'!A:G,2,0),IF(D1086="COMPOSIÇÕES",VLOOKUP(B1086,'11.COMPOSIÇÕES GERAIS'!B:I,2,0),VLOOKUP(B1086,'12.COT.MERCADO'!A:I,2,0)))),"Em Elaboração")</f>
        <v>TERMINAL A COMPRESSAO EM COBRE ESTANHADO PARA CABO 4 MM2, 1 FURO E 1 COMPRESSAO, PARA PARAFUSO DE FIXACAO M5</v>
      </c>
      <c r="F1086" s="258" t="str">
        <f>IFERROR(IF(D1086="SINAPI-S",VLOOKUP(B1086,'20-B.SINAPI-S'!A:J,3,0),IF(D1086="SINAPI-I",VLOOKUP(B1086,'20-A.SINAPI-I'!A:G,3,0),IF(D1086="COMPOSIÇÕES",VLOOKUP(B1086,'11.COMPOSIÇÕES GERAIS'!B:I,3,0),VLOOKUP(B1086,'12.COT.MERCADO'!A:I,7,0)))),"Em Elaboração")</f>
        <v>UN</v>
      </c>
      <c r="G1086" s="254">
        <v>50.0</v>
      </c>
      <c r="H1086" s="259">
        <f>IFERROR(IF(D1086="SINAPI-S",VLOOKUP(B1086,'20-B.SINAPI-S'!A:J,5,0),IF(D1086="SINAPI-I",VLOOKUP(B1086,'20-A.SINAPI-I'!A:G,6,0),IF(D1086="COMPOSIÇÕES",VLOOKUP(B1086,'11.COMPOSIÇÕES GERAIS'!B:I,7,0),0))),"Em Elaboração")</f>
        <v>0</v>
      </c>
      <c r="I1086" s="259">
        <f>IFERROR(IF(D1086="SINAPI-S",VLOOKUP(B1086,'20-B.SINAPI-S'!A:J,6,0),IF(D1086="SINAPI-I",VLOOKUP(B1086,'20-A.SINAPI-I'!A:G,7,0),IF(D1086="COMPOSIÇÕES",VLOOKUP(B1086,'11.COMPOSIÇÕES GERAIS'!B:I,8,0),VLOOKUP(B1086,'12.COT.MERCADO'!A:I,8,0)))),"Em Elaboração")</f>
        <v>1.29</v>
      </c>
      <c r="J1086" s="259">
        <f t="shared" si="290"/>
        <v>0</v>
      </c>
      <c r="K1086" s="259">
        <f t="shared" si="291"/>
        <v>1.511021615</v>
      </c>
      <c r="L1086" s="259">
        <f t="shared" si="292"/>
        <v>1.511021615</v>
      </c>
      <c r="M1086" s="259">
        <f t="shared" si="293"/>
        <v>0</v>
      </c>
      <c r="N1086" s="259">
        <f t="shared" si="294"/>
        <v>75.55108074</v>
      </c>
      <c r="O1086" s="259">
        <f t="shared" si="295"/>
        <v>75.55108074</v>
      </c>
      <c r="P1086" s="260">
        <f t="shared" si="2"/>
        <v>0.00005910166418</v>
      </c>
    </row>
    <row r="1087">
      <c r="A1087" s="253" t="s">
        <v>1386</v>
      </c>
      <c r="B1087" s="254">
        <v>1578.0</v>
      </c>
      <c r="C1087" s="255" t="str">
        <f t="shared" si="289"/>
        <v>SINAPI</v>
      </c>
      <c r="D1087" s="256" t="s">
        <v>286</v>
      </c>
      <c r="E1087" s="257" t="str">
        <f>IFERROR(IF(D1087="SINAPI-S",VLOOKUP(B1087,'20-B.SINAPI-S'!A:J,2,0),IF(D1087="SINAPI-I",VLOOKUP(B1087,'20-A.SINAPI-I'!A:G,2,0),IF(D1087="COMPOSIÇÕES",VLOOKUP(B1087,'11.COMPOSIÇÕES GERAIS'!B:I,2,0),VLOOKUP(B1087,'12.COT.MERCADO'!A:I,2,0)))),"Em Elaboração")</f>
        <v>TERMINAL A COMPRESSAO EM COBRE ESTANHADO PARA CABO 50 MM2, 1 FURO E 1 COMPRESSAO, PARA PARAFUSO DE FIXACAO M8</v>
      </c>
      <c r="F1087" s="258" t="str">
        <f>IFERROR(IF(D1087="SINAPI-S",VLOOKUP(B1087,'20-B.SINAPI-S'!A:J,3,0),IF(D1087="SINAPI-I",VLOOKUP(B1087,'20-A.SINAPI-I'!A:G,3,0),IF(D1087="COMPOSIÇÕES",VLOOKUP(B1087,'11.COMPOSIÇÕES GERAIS'!B:I,3,0),VLOOKUP(B1087,'12.COT.MERCADO'!A:I,7,0)))),"Em Elaboração")</f>
        <v>UN</v>
      </c>
      <c r="G1087" s="254">
        <v>15.0</v>
      </c>
      <c r="H1087" s="259">
        <f>IFERROR(IF(D1087="SINAPI-S",VLOOKUP(B1087,'20-B.SINAPI-S'!A:J,5,0),IF(D1087="SINAPI-I",VLOOKUP(B1087,'20-A.SINAPI-I'!A:G,6,0),IF(D1087="COMPOSIÇÕES",VLOOKUP(B1087,'11.COMPOSIÇÕES GERAIS'!B:I,7,0),0))),"Em Elaboração")</f>
        <v>0</v>
      </c>
      <c r="I1087" s="259">
        <f>IFERROR(IF(D1087="SINAPI-S",VLOOKUP(B1087,'20-B.SINAPI-S'!A:J,6,0),IF(D1087="SINAPI-I",VLOOKUP(B1087,'20-A.SINAPI-I'!A:G,7,0),IF(D1087="COMPOSIÇÕES",VLOOKUP(B1087,'11.COMPOSIÇÕES GERAIS'!B:I,8,0),VLOOKUP(B1087,'12.COT.MERCADO'!A:I,8,0)))),"Em Elaboração")</f>
        <v>5.34</v>
      </c>
      <c r="J1087" s="259">
        <f t="shared" si="290"/>
        <v>0</v>
      </c>
      <c r="K1087" s="259">
        <f t="shared" si="291"/>
        <v>6.254926685</v>
      </c>
      <c r="L1087" s="259">
        <f t="shared" si="292"/>
        <v>6.254926685</v>
      </c>
      <c r="M1087" s="259">
        <f t="shared" si="293"/>
        <v>0</v>
      </c>
      <c r="N1087" s="259">
        <f t="shared" si="294"/>
        <v>93.82390027</v>
      </c>
      <c r="O1087" s="259">
        <f t="shared" si="295"/>
        <v>93.82390027</v>
      </c>
      <c r="P1087" s="260">
        <f t="shared" si="2"/>
        <v>0.00007339602016</v>
      </c>
    </row>
    <row r="1088">
      <c r="A1088" s="253" t="s">
        <v>1387</v>
      </c>
      <c r="B1088" s="254">
        <v>1579.0</v>
      </c>
      <c r="C1088" s="255" t="str">
        <f t="shared" si="289"/>
        <v>SINAPI</v>
      </c>
      <c r="D1088" s="256" t="s">
        <v>286</v>
      </c>
      <c r="E1088" s="257" t="str">
        <f>IFERROR(IF(D1088="SINAPI-S",VLOOKUP(B1088,'20-B.SINAPI-S'!A:J,2,0),IF(D1088="SINAPI-I",VLOOKUP(B1088,'20-A.SINAPI-I'!A:G,2,0),IF(D1088="COMPOSIÇÕES",VLOOKUP(B1088,'11.COMPOSIÇÕES GERAIS'!B:I,2,0),VLOOKUP(B1088,'12.COT.MERCADO'!A:I,2,0)))),"Em Elaboração")</f>
        <v>TERMINAL A COMPRESSAO EM COBRE ESTANHADO PARA CABO 70 MM2, 1 FURO E 1 COMPRESSAO, PARA PARAFUSO DE FIXACAO M10</v>
      </c>
      <c r="F1088" s="258" t="str">
        <f>IFERROR(IF(D1088="SINAPI-S",VLOOKUP(B1088,'20-B.SINAPI-S'!A:J,3,0),IF(D1088="SINAPI-I",VLOOKUP(B1088,'20-A.SINAPI-I'!A:G,3,0),IF(D1088="COMPOSIÇÕES",VLOOKUP(B1088,'11.COMPOSIÇÕES GERAIS'!B:I,3,0),VLOOKUP(B1088,'12.COT.MERCADO'!A:I,7,0)))),"Em Elaboração")</f>
        <v>UN</v>
      </c>
      <c r="G1088" s="254">
        <v>15.0</v>
      </c>
      <c r="H1088" s="259">
        <f>IFERROR(IF(D1088="SINAPI-S",VLOOKUP(B1088,'20-B.SINAPI-S'!A:J,5,0),IF(D1088="SINAPI-I",VLOOKUP(B1088,'20-A.SINAPI-I'!A:G,6,0),IF(D1088="COMPOSIÇÕES",VLOOKUP(B1088,'11.COMPOSIÇÕES GERAIS'!B:I,7,0),0))),"Em Elaboração")</f>
        <v>0</v>
      </c>
      <c r="I1088" s="259">
        <f>IFERROR(IF(D1088="SINAPI-S",VLOOKUP(B1088,'20-B.SINAPI-S'!A:J,6,0),IF(D1088="SINAPI-I",VLOOKUP(B1088,'20-A.SINAPI-I'!A:G,7,0),IF(D1088="COMPOSIÇÕES",VLOOKUP(B1088,'11.COMPOSIÇÕES GERAIS'!B:I,8,0),VLOOKUP(B1088,'12.COT.MERCADO'!A:I,8,0)))),"Em Elaboração")</f>
        <v>6.65</v>
      </c>
      <c r="J1088" s="259">
        <f t="shared" si="290"/>
        <v>0</v>
      </c>
      <c r="K1088" s="259">
        <f t="shared" si="291"/>
        <v>7.789374991</v>
      </c>
      <c r="L1088" s="259">
        <f t="shared" si="292"/>
        <v>7.789374991</v>
      </c>
      <c r="M1088" s="259">
        <f t="shared" si="293"/>
        <v>0</v>
      </c>
      <c r="N1088" s="259">
        <f t="shared" si="294"/>
        <v>116.8406249</v>
      </c>
      <c r="O1088" s="259">
        <f t="shared" si="295"/>
        <v>116.8406249</v>
      </c>
      <c r="P1088" s="260">
        <f t="shared" si="2"/>
        <v>0.00009140141088</v>
      </c>
    </row>
    <row r="1089">
      <c r="A1089" s="253" t="s">
        <v>1388</v>
      </c>
      <c r="B1089" s="254">
        <v>1580.0</v>
      </c>
      <c r="C1089" s="255" t="str">
        <f t="shared" si="289"/>
        <v>SINAPI</v>
      </c>
      <c r="D1089" s="256" t="s">
        <v>286</v>
      </c>
      <c r="E1089" s="257" t="str">
        <f>IFERROR(IF(D1089="SINAPI-S",VLOOKUP(B1089,'20-B.SINAPI-S'!A:J,2,0),IF(D1089="SINAPI-I",VLOOKUP(B1089,'20-A.SINAPI-I'!A:G,2,0),IF(D1089="COMPOSIÇÕES",VLOOKUP(B1089,'11.COMPOSIÇÕES GERAIS'!B:I,2,0),VLOOKUP(B1089,'12.COT.MERCADO'!A:I,2,0)))),"Em Elaboração")</f>
        <v>TERMINAL A COMPRESSAO EM COBRE ESTANHADO PARA CABO 95 MM2, 1 FURO E 1 COMPRESSAO, PARA PARAFUSO DE FIXACAO M12</v>
      </c>
      <c r="F1089" s="258" t="str">
        <f>IFERROR(IF(D1089="SINAPI-S",VLOOKUP(B1089,'20-B.SINAPI-S'!A:J,3,0),IF(D1089="SINAPI-I",VLOOKUP(B1089,'20-A.SINAPI-I'!A:G,3,0),IF(D1089="COMPOSIÇÕES",VLOOKUP(B1089,'11.COMPOSIÇÕES GERAIS'!B:I,3,0),VLOOKUP(B1089,'12.COT.MERCADO'!A:I,7,0)))),"Em Elaboração")</f>
        <v>UN</v>
      </c>
      <c r="G1089" s="254">
        <v>15.0</v>
      </c>
      <c r="H1089" s="259">
        <f>IFERROR(IF(D1089="SINAPI-S",VLOOKUP(B1089,'20-B.SINAPI-S'!A:J,5,0),IF(D1089="SINAPI-I",VLOOKUP(B1089,'20-A.SINAPI-I'!A:G,6,0),IF(D1089="COMPOSIÇÕES",VLOOKUP(B1089,'11.COMPOSIÇÕES GERAIS'!B:I,7,0),0))),"Em Elaboração")</f>
        <v>0</v>
      </c>
      <c r="I1089" s="259">
        <f>IFERROR(IF(D1089="SINAPI-S",VLOOKUP(B1089,'20-B.SINAPI-S'!A:J,6,0),IF(D1089="SINAPI-I",VLOOKUP(B1089,'20-A.SINAPI-I'!A:G,7,0),IF(D1089="COMPOSIÇÕES",VLOOKUP(B1089,'11.COMPOSIÇÕES GERAIS'!B:I,8,0),VLOOKUP(B1089,'12.COT.MERCADO'!A:I,8,0)))),"Em Elaboração")</f>
        <v>8.19</v>
      </c>
      <c r="J1089" s="259">
        <f t="shared" si="290"/>
        <v>0</v>
      </c>
      <c r="K1089" s="259">
        <f t="shared" si="291"/>
        <v>9.593230252</v>
      </c>
      <c r="L1089" s="259">
        <f t="shared" si="292"/>
        <v>9.593230252</v>
      </c>
      <c r="M1089" s="259">
        <f t="shared" si="293"/>
        <v>0</v>
      </c>
      <c r="N1089" s="259">
        <f t="shared" si="294"/>
        <v>143.8984538</v>
      </c>
      <c r="O1089" s="259">
        <f t="shared" si="295"/>
        <v>143.8984538</v>
      </c>
      <c r="P1089" s="260">
        <f t="shared" si="2"/>
        <v>0.0001125680534</v>
      </c>
    </row>
    <row r="1090">
      <c r="A1090" s="253" t="s">
        <v>1389</v>
      </c>
      <c r="B1090" s="254">
        <v>11953.0</v>
      </c>
      <c r="C1090" s="255" t="str">
        <f t="shared" si="289"/>
        <v>SINAPI</v>
      </c>
      <c r="D1090" s="256" t="s">
        <v>286</v>
      </c>
      <c r="E1090" s="257" t="str">
        <f>IFERROR(IF(D1090="SINAPI-S",VLOOKUP(B1090,'20-B.SINAPI-S'!A:J,2,0),IF(D1090="SINAPI-I",VLOOKUP(B1090,'20-A.SINAPI-I'!A:G,2,0),IF(D1090="COMPOSIÇÕES",VLOOKUP(B1090,'11.COMPOSIÇÕES GERAIS'!B:I,2,0),VLOOKUP(B1090,'12.COT.MERCADO'!A:I,2,0)))),"Em Elaboração")</f>
        <v>PARAFUSO FRANCES ZINCADO, DIAMETRO 1/2'', COMPRIMENTO 2'', COM PORCA E ARRUELA</v>
      </c>
      <c r="F1090" s="258" t="str">
        <f>IFERROR(IF(D1090="SINAPI-S",VLOOKUP(B1090,'20-B.SINAPI-S'!A:J,3,0),IF(D1090="SINAPI-I",VLOOKUP(B1090,'20-A.SINAPI-I'!A:G,3,0),IF(D1090="COMPOSIÇÕES",VLOOKUP(B1090,'11.COMPOSIÇÕES GERAIS'!B:I,3,0),VLOOKUP(B1090,'12.COT.MERCADO'!A:I,7,0)))),"Em Elaboração")</f>
        <v>UN</v>
      </c>
      <c r="G1090" s="254">
        <v>15.0</v>
      </c>
      <c r="H1090" s="259">
        <f>IFERROR(IF(D1090="SINAPI-S",VLOOKUP(B1090,'20-B.SINAPI-S'!A:J,5,0),IF(D1090="SINAPI-I",VLOOKUP(B1090,'20-A.SINAPI-I'!A:G,6,0),IF(D1090="COMPOSIÇÕES",VLOOKUP(B1090,'11.COMPOSIÇÕES GERAIS'!B:I,7,0),0))),"Em Elaboração")</f>
        <v>0</v>
      </c>
      <c r="I1090" s="259">
        <f>IFERROR(IF(D1090="SINAPI-S",VLOOKUP(B1090,'20-B.SINAPI-S'!A:J,6,0),IF(D1090="SINAPI-I",VLOOKUP(B1090,'20-A.SINAPI-I'!A:G,7,0),IF(D1090="COMPOSIÇÕES",VLOOKUP(B1090,'11.COMPOSIÇÕES GERAIS'!B:I,8,0),VLOOKUP(B1090,'12.COT.MERCADO'!A:I,8,0)))),"Em Elaboração")</f>
        <v>3.61</v>
      </c>
      <c r="J1090" s="259">
        <f t="shared" si="290"/>
        <v>0</v>
      </c>
      <c r="K1090" s="259">
        <f t="shared" si="291"/>
        <v>4.228517852</v>
      </c>
      <c r="L1090" s="259">
        <f t="shared" si="292"/>
        <v>4.228517852</v>
      </c>
      <c r="M1090" s="259">
        <f t="shared" si="293"/>
        <v>0</v>
      </c>
      <c r="N1090" s="259">
        <f t="shared" si="294"/>
        <v>63.42776779</v>
      </c>
      <c r="O1090" s="259">
        <f t="shared" si="295"/>
        <v>63.42776779</v>
      </c>
      <c r="P1090" s="260">
        <f t="shared" si="2"/>
        <v>0.00004961790876</v>
      </c>
    </row>
    <row r="1091">
      <c r="A1091" s="253" t="s">
        <v>1390</v>
      </c>
      <c r="B1091" s="254">
        <v>21127.0</v>
      </c>
      <c r="C1091" s="255" t="str">
        <f t="shared" si="289"/>
        <v>SINAPI</v>
      </c>
      <c r="D1091" s="256" t="s">
        <v>286</v>
      </c>
      <c r="E1091" s="257" t="str">
        <f>IFERROR(IF(D1091="SINAPI-S",VLOOKUP(B1091,'20-B.SINAPI-S'!A:J,2,0),IF(D1091="SINAPI-I",VLOOKUP(B1091,'20-A.SINAPI-I'!A:G,2,0),IF(D1091="COMPOSIÇÕES",VLOOKUP(B1091,'11.COMPOSIÇÕES GERAIS'!B:I,2,0),VLOOKUP(B1091,'12.COT.MERCADO'!A:I,2,0)))),"Em Elaboração")</f>
        <v>FITA ISOLANTE ADESIVA ANTICHAMA, USO ATE 750 V, EM ROLO DE 19 MM X 5 M</v>
      </c>
      <c r="F1091" s="258" t="str">
        <f>IFERROR(IF(D1091="SINAPI-S",VLOOKUP(B1091,'20-B.SINAPI-S'!A:J,3,0),IF(D1091="SINAPI-I",VLOOKUP(B1091,'20-A.SINAPI-I'!A:G,3,0),IF(D1091="COMPOSIÇÕES",VLOOKUP(B1091,'11.COMPOSIÇÕES GERAIS'!B:I,3,0),VLOOKUP(B1091,'12.COT.MERCADO'!A:I,7,0)))),"Em Elaboração")</f>
        <v>UN</v>
      </c>
      <c r="G1091" s="254">
        <v>5.0</v>
      </c>
      <c r="H1091" s="259">
        <f>IFERROR(IF(D1091="SINAPI-S",VLOOKUP(B1091,'20-B.SINAPI-S'!A:J,5,0),IF(D1091="SINAPI-I",VLOOKUP(B1091,'20-A.SINAPI-I'!A:G,6,0),IF(D1091="COMPOSIÇÕES",VLOOKUP(B1091,'11.COMPOSIÇÕES GERAIS'!B:I,7,0),0))),"Em Elaboração")</f>
        <v>0</v>
      </c>
      <c r="I1091" s="259">
        <f>IFERROR(IF(D1091="SINAPI-S",VLOOKUP(B1091,'20-B.SINAPI-S'!A:J,6,0),IF(D1091="SINAPI-I",VLOOKUP(B1091,'20-A.SINAPI-I'!A:G,7,0),IF(D1091="COMPOSIÇÕES",VLOOKUP(B1091,'11.COMPOSIÇÕES GERAIS'!B:I,8,0),VLOOKUP(B1091,'12.COT.MERCADO'!A:I,8,0)))),"Em Elaboração")</f>
        <v>4.87</v>
      </c>
      <c r="J1091" s="259">
        <f t="shared" si="290"/>
        <v>0</v>
      </c>
      <c r="K1091" s="259">
        <f t="shared" si="291"/>
        <v>5.70439943</v>
      </c>
      <c r="L1091" s="259">
        <f t="shared" si="292"/>
        <v>5.70439943</v>
      </c>
      <c r="M1091" s="259">
        <f t="shared" si="293"/>
        <v>0</v>
      </c>
      <c r="N1091" s="259">
        <f t="shared" si="294"/>
        <v>28.52199715</v>
      </c>
      <c r="O1091" s="259">
        <f t="shared" si="295"/>
        <v>28.52199715</v>
      </c>
      <c r="P1091" s="260">
        <f t="shared" si="2"/>
        <v>0.00002231202361</v>
      </c>
    </row>
    <row r="1092">
      <c r="A1092" s="253" t="s">
        <v>1391</v>
      </c>
      <c r="B1092" s="254">
        <v>11953.0</v>
      </c>
      <c r="C1092" s="255" t="str">
        <f t="shared" si="289"/>
        <v>SINAPI</v>
      </c>
      <c r="D1092" s="256" t="s">
        <v>286</v>
      </c>
      <c r="E1092" s="257" t="str">
        <f>IFERROR(IF(D1092="SINAPI-S",VLOOKUP(B1092,'20-B.SINAPI-S'!A:J,2,0),IF(D1092="SINAPI-I",VLOOKUP(B1092,'20-A.SINAPI-I'!A:G,2,0),IF(D1092="COMPOSIÇÕES",VLOOKUP(B1092,'11.COMPOSIÇÕES GERAIS'!B:I,2,0),VLOOKUP(B1092,'12.COT.MERCADO'!A:I,2,0)))),"Em Elaboração")</f>
        <v>PARAFUSO FRANCES ZINCADO, DIAMETRO 1/2'', COMPRIMENTO 2'', COM PORCA E ARRUELA</v>
      </c>
      <c r="F1092" s="258" t="str">
        <f>IFERROR(IF(D1092="SINAPI-S",VLOOKUP(B1092,'20-B.SINAPI-S'!A:J,3,0),IF(D1092="SINAPI-I",VLOOKUP(B1092,'20-A.SINAPI-I'!A:G,3,0),IF(D1092="COMPOSIÇÕES",VLOOKUP(B1092,'11.COMPOSIÇÕES GERAIS'!B:I,3,0),VLOOKUP(B1092,'12.COT.MERCADO'!A:I,7,0)))),"Em Elaboração")</f>
        <v>UN</v>
      </c>
      <c r="G1092" s="254">
        <v>1.0</v>
      </c>
      <c r="H1092" s="259">
        <f>IFERROR(IF(D1092="SINAPI-S",VLOOKUP(B1092,'20-B.SINAPI-S'!A:J,5,0),IF(D1092="SINAPI-I",VLOOKUP(B1092,'20-A.SINAPI-I'!A:G,6,0),IF(D1092="COMPOSIÇÕES",VLOOKUP(B1092,'11.COMPOSIÇÕES GERAIS'!B:I,7,0),0))),"Em Elaboração")</f>
        <v>0</v>
      </c>
      <c r="I1092" s="259">
        <f>IFERROR(IF(D1092="SINAPI-S",VLOOKUP(B1092,'20-B.SINAPI-S'!A:J,6,0),IF(D1092="SINAPI-I",VLOOKUP(B1092,'20-A.SINAPI-I'!A:G,7,0),IF(D1092="COMPOSIÇÕES",VLOOKUP(B1092,'11.COMPOSIÇÕES GERAIS'!B:I,8,0),VLOOKUP(B1092,'12.COT.MERCADO'!A:I,8,0)))),"Em Elaboração")</f>
        <v>3.61</v>
      </c>
      <c r="J1092" s="259">
        <f t="shared" si="290"/>
        <v>0</v>
      </c>
      <c r="K1092" s="259">
        <f t="shared" si="291"/>
        <v>4.228517852</v>
      </c>
      <c r="L1092" s="259">
        <f t="shared" si="292"/>
        <v>4.228517852</v>
      </c>
      <c r="M1092" s="259">
        <f t="shared" si="293"/>
        <v>0</v>
      </c>
      <c r="N1092" s="259">
        <f t="shared" si="294"/>
        <v>4.228517852</v>
      </c>
      <c r="O1092" s="259">
        <f t="shared" si="295"/>
        <v>4.228517852</v>
      </c>
      <c r="P1092" s="260">
        <f t="shared" si="2"/>
        <v>0.000003307860584</v>
      </c>
    </row>
    <row r="1093">
      <c r="A1093" s="253" t="s">
        <v>1392</v>
      </c>
      <c r="B1093" s="254">
        <v>4227.0</v>
      </c>
      <c r="C1093" s="255" t="str">
        <f t="shared" si="289"/>
        <v>SINAPI</v>
      </c>
      <c r="D1093" s="256" t="s">
        <v>286</v>
      </c>
      <c r="E1093" s="257" t="str">
        <f>IFERROR(IF(D1093="SINAPI-S",VLOOKUP(B1093,'20-B.SINAPI-S'!A:J,2,0),IF(D1093="SINAPI-I",VLOOKUP(B1093,'20-A.SINAPI-I'!A:G,2,0),IF(D1093="COMPOSIÇÕES",VLOOKUP(B1093,'11.COMPOSIÇÕES GERAIS'!B:I,2,0),VLOOKUP(B1093,'12.COT.MERCADO'!A:I,2,0)))),"Em Elaboração")</f>
        <v>OLEO LUBRIFICANTE PARA MOTORES DE EQUIPAMENTOS PESADOS (CAMINHOES, TRATORES, RETROS E ETC)</v>
      </c>
      <c r="F1093" s="258" t="str">
        <f>IFERROR(IF(D1093="SINAPI-S",VLOOKUP(B1093,'20-B.SINAPI-S'!A:J,3,0),IF(D1093="SINAPI-I",VLOOKUP(B1093,'20-A.SINAPI-I'!A:G,3,0),IF(D1093="COMPOSIÇÕES",VLOOKUP(B1093,'11.COMPOSIÇÕES GERAIS'!B:I,3,0),VLOOKUP(B1093,'12.COT.MERCADO'!A:I,7,0)))),"Em Elaboração")</f>
        <v>L</v>
      </c>
      <c r="G1093" s="254">
        <v>20.0</v>
      </c>
      <c r="H1093" s="259">
        <f>IFERROR(IF(D1093="SINAPI-S",VLOOKUP(B1093,'20-B.SINAPI-S'!A:J,5,0),IF(D1093="SINAPI-I",VLOOKUP(B1093,'20-A.SINAPI-I'!A:G,6,0),IF(D1093="COMPOSIÇÕES",VLOOKUP(B1093,'11.COMPOSIÇÕES GERAIS'!B:I,7,0),0))),"Em Elaboração")</f>
        <v>0</v>
      </c>
      <c r="I1093" s="259">
        <f>IFERROR(IF(D1093="SINAPI-S",VLOOKUP(B1093,'20-B.SINAPI-S'!A:J,6,0),IF(D1093="SINAPI-I",VLOOKUP(B1093,'20-A.SINAPI-I'!A:G,7,0),IF(D1093="COMPOSIÇÕES",VLOOKUP(B1093,'11.COMPOSIÇÕES GERAIS'!B:I,8,0),VLOOKUP(B1093,'12.COT.MERCADO'!A:I,8,0)))),"Em Elaboração")</f>
        <v>22.38</v>
      </c>
      <c r="J1093" s="259">
        <f t="shared" si="290"/>
        <v>0</v>
      </c>
      <c r="K1093" s="259">
        <f t="shared" si="291"/>
        <v>26.21446802</v>
      </c>
      <c r="L1093" s="259">
        <f t="shared" si="292"/>
        <v>26.21446802</v>
      </c>
      <c r="M1093" s="259">
        <f t="shared" si="293"/>
        <v>0</v>
      </c>
      <c r="N1093" s="259">
        <f t="shared" si="294"/>
        <v>524.2893603</v>
      </c>
      <c r="O1093" s="259">
        <f t="shared" si="295"/>
        <v>524.2893603</v>
      </c>
      <c r="P1093" s="260">
        <f t="shared" si="2"/>
        <v>0.0004101380602</v>
      </c>
    </row>
    <row r="1094">
      <c r="A1094" s="253" t="s">
        <v>1393</v>
      </c>
      <c r="B1094" s="254">
        <v>1022.0</v>
      </c>
      <c r="C1094" s="255" t="str">
        <f t="shared" si="289"/>
        <v>SINAPI</v>
      </c>
      <c r="D1094" s="256" t="s">
        <v>286</v>
      </c>
      <c r="E1094" s="257" t="str">
        <f>IFERROR(IF(D1094="SINAPI-S",VLOOKUP(B1094,'20-B.SINAPI-S'!A:J,2,0),IF(D1094="SINAPI-I",VLOOKUP(B1094,'20-A.SINAPI-I'!A:G,2,0),IF(D1094="COMPOSIÇÕES",VLOOKUP(B1094,'11.COMPOSIÇÕES GERAIS'!B:I,2,0),VLOOKUP(B1094,'12.COT.MERCADO'!A:I,2,0)))),"Em Elaboração")</f>
        <v>CABO DE COBRE, FLEXIVEL, CLASSE 4 OU 5, ISOLACAO EM PVC/A, ANTICHAMA BWF-B, COBERTURA PVC-ST1, ANTICHAMA BWF-B, 1 CONDUTOR, 0,6/1 KV, SECAO NOMINAL 2,5 MM2</v>
      </c>
      <c r="F1094" s="258" t="str">
        <f>IFERROR(IF(D1094="SINAPI-S",VLOOKUP(B1094,'20-B.SINAPI-S'!A:J,3,0),IF(D1094="SINAPI-I",VLOOKUP(B1094,'20-A.SINAPI-I'!A:G,3,0),IF(D1094="COMPOSIÇÕES",VLOOKUP(B1094,'11.COMPOSIÇÕES GERAIS'!B:I,3,0),VLOOKUP(B1094,'12.COT.MERCADO'!A:I,7,0)))),"Em Elaboração")</f>
        <v>M</v>
      </c>
      <c r="G1094" s="254">
        <v>100.0</v>
      </c>
      <c r="H1094" s="259">
        <f>IFERROR(IF(D1094="SINAPI-S",VLOOKUP(B1094,'20-B.SINAPI-S'!A:J,5,0),IF(D1094="SINAPI-I",VLOOKUP(B1094,'20-A.SINAPI-I'!A:G,6,0),IF(D1094="COMPOSIÇÕES",VLOOKUP(B1094,'11.COMPOSIÇÕES GERAIS'!B:I,7,0),0))),"Em Elaboração")</f>
        <v>0</v>
      </c>
      <c r="I1094" s="259">
        <f>IFERROR(IF(D1094="SINAPI-S",VLOOKUP(B1094,'20-B.SINAPI-S'!A:J,6,0),IF(D1094="SINAPI-I",VLOOKUP(B1094,'20-A.SINAPI-I'!A:G,7,0),IF(D1094="COMPOSIÇÕES",VLOOKUP(B1094,'11.COMPOSIÇÕES GERAIS'!B:I,8,0),VLOOKUP(B1094,'12.COT.MERCADO'!A:I,8,0)))),"Em Elaboração")</f>
        <v>2.57</v>
      </c>
      <c r="J1094" s="259">
        <f t="shared" si="290"/>
        <v>0</v>
      </c>
      <c r="K1094" s="259">
        <f t="shared" si="291"/>
        <v>3.010329884</v>
      </c>
      <c r="L1094" s="259">
        <f t="shared" si="292"/>
        <v>3.010329884</v>
      </c>
      <c r="M1094" s="259">
        <f t="shared" si="293"/>
        <v>0</v>
      </c>
      <c r="N1094" s="259">
        <f t="shared" si="294"/>
        <v>301.0329884</v>
      </c>
      <c r="O1094" s="259">
        <f t="shared" si="295"/>
        <v>301.0329884</v>
      </c>
      <c r="P1094" s="260">
        <f t="shared" si="2"/>
        <v>0.0002354903518</v>
      </c>
    </row>
    <row r="1095">
      <c r="A1095" s="253" t="s">
        <v>1394</v>
      </c>
      <c r="B1095" s="254">
        <v>1021.0</v>
      </c>
      <c r="C1095" s="255" t="str">
        <f t="shared" si="289"/>
        <v>SINAPI</v>
      </c>
      <c r="D1095" s="256" t="s">
        <v>286</v>
      </c>
      <c r="E1095" s="257" t="str">
        <f>IFERROR(IF(D1095="SINAPI-S",VLOOKUP(B1095,'20-B.SINAPI-S'!A:J,2,0),IF(D1095="SINAPI-I",VLOOKUP(B1095,'20-A.SINAPI-I'!A:G,2,0),IF(D1095="COMPOSIÇÕES",VLOOKUP(B1095,'11.COMPOSIÇÕES GERAIS'!B:I,2,0),VLOOKUP(B1095,'12.COT.MERCADO'!A:I,2,0)))),"Em Elaboração")</f>
        <v>CABO DE COBRE, FLEXIVEL, CLASSE 4 OU 5, ISOLACAO EM PVC/A, ANTICHAMA BWF-B, COBERTURA PVC-ST1, ANTICHAMA BWF-B, 1 CONDUTOR, 0,6/1 KV, SECAO NOMINAL 4 MM2</v>
      </c>
      <c r="F1095" s="258" t="str">
        <f>IFERROR(IF(D1095="SINAPI-S",VLOOKUP(B1095,'20-B.SINAPI-S'!A:J,3,0),IF(D1095="SINAPI-I",VLOOKUP(B1095,'20-A.SINAPI-I'!A:G,3,0),IF(D1095="COMPOSIÇÕES",VLOOKUP(B1095,'11.COMPOSIÇÕES GERAIS'!B:I,3,0),VLOOKUP(B1095,'12.COT.MERCADO'!A:I,7,0)))),"Em Elaboração")</f>
        <v>M</v>
      </c>
      <c r="G1095" s="254">
        <v>100.0</v>
      </c>
      <c r="H1095" s="259">
        <f>IFERROR(IF(D1095="SINAPI-S",VLOOKUP(B1095,'20-B.SINAPI-S'!A:J,5,0),IF(D1095="SINAPI-I",VLOOKUP(B1095,'20-A.SINAPI-I'!A:G,6,0),IF(D1095="COMPOSIÇÕES",VLOOKUP(B1095,'11.COMPOSIÇÕES GERAIS'!B:I,7,0),0))),"Em Elaboração")</f>
        <v>0</v>
      </c>
      <c r="I1095" s="259">
        <f>IFERROR(IF(D1095="SINAPI-S",VLOOKUP(B1095,'20-B.SINAPI-S'!A:J,6,0),IF(D1095="SINAPI-I",VLOOKUP(B1095,'20-A.SINAPI-I'!A:G,7,0),IF(D1095="COMPOSIÇÕES",VLOOKUP(B1095,'11.COMPOSIÇÕES GERAIS'!B:I,8,0),VLOOKUP(B1095,'12.COT.MERCADO'!A:I,8,0)))),"Em Elaboração")</f>
        <v>3.94</v>
      </c>
      <c r="J1095" s="259">
        <f t="shared" si="290"/>
        <v>0</v>
      </c>
      <c r="K1095" s="259">
        <f t="shared" si="291"/>
        <v>4.615058265</v>
      </c>
      <c r="L1095" s="259">
        <f t="shared" si="292"/>
        <v>4.615058265</v>
      </c>
      <c r="M1095" s="259">
        <f t="shared" si="293"/>
        <v>0</v>
      </c>
      <c r="N1095" s="259">
        <f t="shared" si="294"/>
        <v>461.5058265</v>
      </c>
      <c r="O1095" s="259">
        <f t="shared" si="295"/>
        <v>461.5058265</v>
      </c>
      <c r="P1095" s="260">
        <f t="shared" si="2"/>
        <v>0.0003610241192</v>
      </c>
    </row>
    <row r="1096">
      <c r="A1096" s="253" t="s">
        <v>1395</v>
      </c>
      <c r="B1096" s="254">
        <v>4221.0</v>
      </c>
      <c r="C1096" s="255" t="str">
        <f t="shared" si="289"/>
        <v>SINAPI</v>
      </c>
      <c r="D1096" s="256" t="s">
        <v>286</v>
      </c>
      <c r="E1096" s="257" t="str">
        <f>IFERROR(IF(D1096="SINAPI-S",VLOOKUP(B1096,'20-B.SINAPI-S'!A:J,2,0),IF(D1096="SINAPI-I",VLOOKUP(B1096,'20-A.SINAPI-I'!A:G,2,0),IF(D1096="COMPOSIÇÕES",VLOOKUP(B1096,'11.COMPOSIÇÕES GERAIS'!B:I,2,0),VLOOKUP(B1096,'12.COT.MERCADO'!A:I,2,0)))),"Em Elaboração")</f>
        <v>OLEO DIESEL COMBUSTIVEL COMUM</v>
      </c>
      <c r="F1096" s="258" t="str">
        <f>IFERROR(IF(D1096="SINAPI-S",VLOOKUP(B1096,'20-B.SINAPI-S'!A:J,3,0),IF(D1096="SINAPI-I",VLOOKUP(B1096,'20-A.SINAPI-I'!A:G,3,0),IF(D1096="COMPOSIÇÕES",VLOOKUP(B1096,'11.COMPOSIÇÕES GERAIS'!B:I,3,0),VLOOKUP(B1096,'12.COT.MERCADO'!A:I,7,0)))),"Em Elaboração")</f>
        <v>L</v>
      </c>
      <c r="G1096" s="254">
        <v>1000.0</v>
      </c>
      <c r="H1096" s="259">
        <f>IFERROR(IF(D1096="SINAPI-S",VLOOKUP(B1096,'20-B.SINAPI-S'!A:J,5,0),IF(D1096="SINAPI-I",VLOOKUP(B1096,'20-A.SINAPI-I'!A:G,6,0),IF(D1096="COMPOSIÇÕES",VLOOKUP(B1096,'11.COMPOSIÇÕES GERAIS'!B:I,7,0),0))),"Em Elaboração")</f>
        <v>0</v>
      </c>
      <c r="I1096" s="259">
        <f>IFERROR(IF(D1096="SINAPI-S",VLOOKUP(B1096,'20-B.SINAPI-S'!A:J,6,0),IF(D1096="SINAPI-I",VLOOKUP(B1096,'20-A.SINAPI-I'!A:G,7,0),IF(D1096="COMPOSIÇÕES",VLOOKUP(B1096,'11.COMPOSIÇÕES GERAIS'!B:I,8,0),VLOOKUP(B1096,'12.COT.MERCADO'!A:I,8,0)))),"Em Elaboração")</f>
        <v>4.55</v>
      </c>
      <c r="J1096" s="259">
        <f t="shared" si="290"/>
        <v>0</v>
      </c>
      <c r="K1096" s="259">
        <f t="shared" si="291"/>
        <v>5.329572362</v>
      </c>
      <c r="L1096" s="259">
        <f t="shared" si="292"/>
        <v>5.329572362</v>
      </c>
      <c r="M1096" s="259">
        <f t="shared" si="293"/>
        <v>0</v>
      </c>
      <c r="N1096" s="259">
        <f t="shared" si="294"/>
        <v>5329.572362</v>
      </c>
      <c r="O1096" s="259">
        <f t="shared" si="295"/>
        <v>5329.572362</v>
      </c>
      <c r="P1096" s="260">
        <f t="shared" si="2"/>
        <v>0.004169187163</v>
      </c>
    </row>
    <row r="1097">
      <c r="A1097" s="269"/>
      <c r="B1097" s="270"/>
      <c r="L1097" s="271" t="s">
        <v>1396</v>
      </c>
      <c r="M1097" s="272">
        <f t="shared" ref="M1097:O1097" si="296">SUM(M22+M24+M29+M94+M49+M402)</f>
        <v>555478.8345</v>
      </c>
      <c r="N1097" s="272">
        <f t="shared" si="296"/>
        <v>722845.2499</v>
      </c>
      <c r="O1097" s="272">
        <f t="shared" si="296"/>
        <v>1278324.084</v>
      </c>
    </row>
    <row r="1098">
      <c r="A1098" s="269"/>
      <c r="B1098" s="270"/>
      <c r="M1098" s="273">
        <f t="shared" ref="M1098:N1098" si="297">M1097/$O1097</f>
        <v>0.4345367824</v>
      </c>
      <c r="N1098" s="273">
        <f t="shared" si="297"/>
        <v>0.5654632176</v>
      </c>
    </row>
    <row r="1099">
      <c r="A1099" s="269"/>
      <c r="B1099" s="270"/>
      <c r="M1099" s="274"/>
      <c r="N1099" s="274"/>
      <c r="O1099" s="275"/>
      <c r="P1099" s="275"/>
    </row>
    <row r="1100">
      <c r="A1100" s="269"/>
      <c r="B1100" s="270"/>
      <c r="L1100" s="276"/>
      <c r="M1100" s="277" t="s">
        <v>1397</v>
      </c>
      <c r="N1100" s="27"/>
      <c r="O1100" s="278">
        <f>SUMPRODUCT(H23:H1096,G23:G1096)+SUMPRODUCT(I23:I1096,G23:G1096)</f>
        <v>1103655.846</v>
      </c>
      <c r="P1100" s="27"/>
    </row>
    <row r="1101">
      <c r="A1101" s="269"/>
      <c r="B1101" s="270"/>
      <c r="D1101" s="279" t="s">
        <v>174</v>
      </c>
      <c r="L1101" s="280"/>
      <c r="M1101" s="281" t="s">
        <v>1398</v>
      </c>
      <c r="N1101" s="50"/>
      <c r="O1101" s="282">
        <f>O1102-O1100</f>
        <v>174668.238</v>
      </c>
      <c r="P1101" s="50"/>
    </row>
    <row r="1102">
      <c r="A1102" s="269"/>
      <c r="B1102" s="270"/>
      <c r="L1102" s="280"/>
      <c r="M1102" s="281" t="s">
        <v>1399</v>
      </c>
      <c r="N1102" s="50"/>
      <c r="O1102" s="283">
        <f>O1097</f>
        <v>1278324.084</v>
      </c>
      <c r="P1102" s="50"/>
    </row>
    <row r="1103">
      <c r="A1103" s="269"/>
      <c r="B1103" s="270"/>
    </row>
  </sheetData>
  <mergeCells count="84">
    <mergeCell ref="B65:L65"/>
    <mergeCell ref="B69:L69"/>
    <mergeCell ref="B71:L71"/>
    <mergeCell ref="B76:L76"/>
    <mergeCell ref="B79:L79"/>
    <mergeCell ref="B83:L83"/>
    <mergeCell ref="B86:L86"/>
    <mergeCell ref="B90:L90"/>
    <mergeCell ref="B92:L92"/>
    <mergeCell ref="B94:L94"/>
    <mergeCell ref="B95:L95"/>
    <mergeCell ref="B106:L106"/>
    <mergeCell ref="B374:L374"/>
    <mergeCell ref="B402:L402"/>
    <mergeCell ref="B403:L403"/>
    <mergeCell ref="B543:L543"/>
    <mergeCell ref="B842:L842"/>
    <mergeCell ref="B880:L880"/>
    <mergeCell ref="B889:L889"/>
    <mergeCell ref="B890:L890"/>
    <mergeCell ref="B919:L919"/>
    <mergeCell ref="B932:L932"/>
    <mergeCell ref="B936:L936"/>
    <mergeCell ref="B939:L939"/>
    <mergeCell ref="B947:L947"/>
    <mergeCell ref="B960:L960"/>
    <mergeCell ref="B963:L963"/>
    <mergeCell ref="B976:L976"/>
    <mergeCell ref="B1082:L1082"/>
    <mergeCell ref="M1100:N1100"/>
    <mergeCell ref="O1100:P1100"/>
    <mergeCell ref="M1101:N1101"/>
    <mergeCell ref="O1101:P1101"/>
    <mergeCell ref="M1102:N1102"/>
    <mergeCell ref="O1102:P1102"/>
    <mergeCell ref="B1014:L1014"/>
    <mergeCell ref="B1033:L1033"/>
    <mergeCell ref="B1039:L1039"/>
    <mergeCell ref="B1045:L1045"/>
    <mergeCell ref="B1058:L1058"/>
    <mergeCell ref="B1068:L1068"/>
    <mergeCell ref="B1076:L1076"/>
    <mergeCell ref="J9:O9"/>
    <mergeCell ref="J10:O10"/>
    <mergeCell ref="J11:O11"/>
    <mergeCell ref="J12:O12"/>
    <mergeCell ref="J18:O18"/>
    <mergeCell ref="J17:O17"/>
    <mergeCell ref="J8:O8"/>
    <mergeCell ref="J13:O13"/>
    <mergeCell ref="J14:O14"/>
    <mergeCell ref="A20:A21"/>
    <mergeCell ref="B20:B21"/>
    <mergeCell ref="C20:C21"/>
    <mergeCell ref="D20:D21"/>
    <mergeCell ref="A1:C1"/>
    <mergeCell ref="E1:M1"/>
    <mergeCell ref="N1:P1"/>
    <mergeCell ref="F3:H3"/>
    <mergeCell ref="J3:O3"/>
    <mergeCell ref="F4:H4"/>
    <mergeCell ref="J7:O7"/>
    <mergeCell ref="E20:E21"/>
    <mergeCell ref="F20:F21"/>
    <mergeCell ref="G20:G21"/>
    <mergeCell ref="H20:I20"/>
    <mergeCell ref="J20:L20"/>
    <mergeCell ref="M20:O20"/>
    <mergeCell ref="B22:L22"/>
    <mergeCell ref="B24:L24"/>
    <mergeCell ref="B29:L29"/>
    <mergeCell ref="B30:L30"/>
    <mergeCell ref="B32:L32"/>
    <mergeCell ref="B36:L36"/>
    <mergeCell ref="B38:L38"/>
    <mergeCell ref="B40:L40"/>
    <mergeCell ref="B42:L42"/>
    <mergeCell ref="B44:L44"/>
    <mergeCell ref="B47:L47"/>
    <mergeCell ref="B49:L49"/>
    <mergeCell ref="B50:L50"/>
    <mergeCell ref="B61:L61"/>
    <mergeCell ref="J15:O15"/>
    <mergeCell ref="J16:O16"/>
  </mergeCells>
  <dataValidations>
    <dataValidation type="list" allowBlank="1" showErrorMessage="1" sqref="D23 D25:D28">
      <formula1>"SINAPI-S,SINAPI-I,COMPOSIÇÕES,COT.MERCADO,EQUIPE_RESIDENTE_SUPERVISÃO"</formula1>
    </dataValidation>
    <dataValidation type="list" allowBlank="1" showErrorMessage="1" sqref="D31 D33:D35 D37 D39 D41 D43 D45:D46 D48 D51:D60 D62:D64 D66:D68 D70 D72:D75 D77:D78 D80:D82 D84:D85 D87:D89 D91 D93 D96:D105 D107:D373 D375:D401 D404:D542 D544:D841 D843:D879 D881:D888 D891:D918 D920:D931 D933:D935 D937:D938 D940:D946 D948:D959 D961:D962 D964:D975 D977:D1013 D1015:D1032 D1034:D1038 D1040:D1044 D1046:D1057 D1059:D1067 D1069:D1075 D1077:D1081 D1083:D1096">
      <formula1>"SINAPI-S,SINAPI-I,COMPOSIÇÕES,COT.MERCADO"</formula1>
    </dataValidation>
  </dataValidations>
  <printOptions/>
  <pageMargins bottom="0.75" footer="0.0" header="0.0" left="0.25" right="0.25" top="0.75"/>
  <pageSetup fitToHeight="0" paperSize="9"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outlinePr summaryBelow="0" summaryRight="0"/>
    <pageSetUpPr fitToPage="1"/>
  </sheetPr>
  <sheetViews>
    <sheetView showGridLines="0" workbookViewId="0"/>
  </sheetViews>
  <sheetFormatPr customHeight="1" defaultColWidth="14.43" defaultRowHeight="15.0"/>
  <cols>
    <col customWidth="1" min="1" max="1" width="9.14"/>
    <col customWidth="1" min="2" max="2" width="13.0"/>
    <col customWidth="1" min="4" max="4" width="46.14"/>
    <col customWidth="1" min="5" max="5" width="14.14"/>
    <col customWidth="1" min="6" max="6" width="14.71"/>
    <col customWidth="1" min="7" max="7" width="78.14"/>
    <col customWidth="1" min="8" max="8" width="14.86"/>
    <col customWidth="1" min="9" max="9" width="8.29"/>
  </cols>
  <sheetData>
    <row r="1">
      <c r="A1" s="1" t="s">
        <v>5026</v>
      </c>
      <c r="D1" s="892" t="s">
        <v>5027</v>
      </c>
      <c r="E1" s="964"/>
      <c r="F1" s="964"/>
      <c r="G1" s="964"/>
      <c r="H1" s="287" t="s">
        <v>29</v>
      </c>
      <c r="I1" s="965"/>
    </row>
    <row r="2">
      <c r="A2" s="925"/>
      <c r="B2" s="925"/>
      <c r="C2" s="925"/>
      <c r="D2" s="926" t="s">
        <v>5028</v>
      </c>
      <c r="E2" s="966"/>
      <c r="F2" s="925"/>
      <c r="G2" s="967" t="s">
        <v>5029</v>
      </c>
      <c r="H2" s="925"/>
    </row>
    <row r="3">
      <c r="A3" s="928" t="s">
        <v>95</v>
      </c>
      <c r="B3" s="928" t="s">
        <v>4265</v>
      </c>
      <c r="C3" s="928" t="s">
        <v>4266</v>
      </c>
      <c r="D3" s="929" t="s">
        <v>4267</v>
      </c>
      <c r="E3" s="930" t="s">
        <v>1717</v>
      </c>
      <c r="F3" s="930" t="s">
        <v>4268</v>
      </c>
      <c r="G3" s="968" t="s">
        <v>4269</v>
      </c>
      <c r="H3" s="928" t="s">
        <v>4270</v>
      </c>
      <c r="I3" s="929" t="s">
        <v>4271</v>
      </c>
    </row>
    <row r="4">
      <c r="A4" s="969" t="s">
        <v>4939</v>
      </c>
      <c r="B4" s="969" t="s">
        <v>5030</v>
      </c>
      <c r="C4" s="970" t="s">
        <v>4297</v>
      </c>
      <c r="D4" s="971" t="s">
        <v>4315</v>
      </c>
      <c r="E4" s="972">
        <v>91306.0</v>
      </c>
      <c r="F4" s="973" t="s">
        <v>218</v>
      </c>
      <c r="G4" s="421" t="str">
        <f>IFERROR(IF(F4="SINAPI-S",VLOOKUP(E4,'20-B.SINAPI-S'!A:J,2,0),IF(F4="SINAPI-I",VLOOKUP(E4,'20-A.SINAPI-I'!A:G,2,0),IF(F4="COMP.EVENTUAL",VLOOKUP(E4,'11.COMPOSIÇÕES GERAIS'!B:I,2,0),VLOOKUP(E4,'12.COT.MERCADO'!A:I,2,0)))),"Em Elaboração")</f>
        <v>FECHADURA DE EMBUTIR PARA PORTAS INTERNAS, COMPLETA, ACABAMENTO PADRÃO MÉDIO, COM EXECUÇÃO DE FURO - FORNECIMENTO E INSTALAÇÃO. AF_12/2019</v>
      </c>
      <c r="H4" s="305" t="str">
        <f>IFERROR(IF(F4="SINAPI-S",VLOOKUP(E4,'20-B.SINAPI-S'!A:J,3,0),IF(F4="SINAPI-I",VLOOKUP(E4,'20-A.SINAPI-I'!A:G,3,0),IF(F4="COMP.EVENTUAL",VLOOKUP(E4,'11.COMPOSIÇÕES GERAIS'!B:I,3,0),VLOOKUP(E4,'12.COT.MERCADO'!A:I,7,0)))),"Em Elaboração")</f>
        <v>UN</v>
      </c>
      <c r="I4" s="974">
        <v>1.0</v>
      </c>
    </row>
    <row r="5">
      <c r="A5" s="975" t="s">
        <v>4939</v>
      </c>
      <c r="B5" s="975" t="s">
        <v>5031</v>
      </c>
      <c r="C5" s="942" t="s">
        <v>4297</v>
      </c>
      <c r="D5" s="976" t="s">
        <v>5032</v>
      </c>
      <c r="E5" s="939" t="s">
        <v>1822</v>
      </c>
      <c r="F5" s="977" t="s">
        <v>4276</v>
      </c>
      <c r="G5" s="978" t="str">
        <f>IFERROR(IF(F5="SINAPI-S",VLOOKUP(E5,'20-B.SINAPI-S'!A:J,2,0),IF(F5="SINAPI-I",VLOOKUP(E5,'20-A.SINAPI-I'!A:G,2,0),IF(F5="COMP.EVENTUAL",VLOOKUP(E5,'11.COMPOSIÇÕES GERAIS'!B:I,2,0),VLOOKUP(E5,'12.COT.MERCADO'!A:I,2,0)))),"Em Elaboração")</f>
        <v>TESTE FUNCIONAL EM CIRCUITOS</v>
      </c>
      <c r="H5" s="934" t="str">
        <f>IFERROR(IF(F5="SINAPI-S",VLOOKUP(E5,'20-B.SINAPI-S'!A:J,3,0),IF(F5="SINAPI-I",VLOOKUP(E5,'20-A.SINAPI-I'!A:G,3,0),IF(F5="COMP.EVENTUAL",VLOOKUP(E5,'11.COMPOSIÇÕES GERAIS'!B:I,3,0),VLOOKUP(E5,'12.COT.MERCADO'!A:I,7,0)))),"Em Elaboração")</f>
        <v>UN</v>
      </c>
      <c r="I5" s="938">
        <v>1.0</v>
      </c>
    </row>
    <row r="6">
      <c r="A6" s="969" t="s">
        <v>4939</v>
      </c>
      <c r="B6" s="969" t="s">
        <v>4273</v>
      </c>
      <c r="C6" s="970" t="s">
        <v>4306</v>
      </c>
      <c r="D6" s="971" t="s">
        <v>5033</v>
      </c>
      <c r="E6" s="972" t="s">
        <v>1848</v>
      </c>
      <c r="F6" s="973" t="s">
        <v>4276</v>
      </c>
      <c r="G6" s="421" t="str">
        <f>IFERROR(IF(F6="SINAPI-S",VLOOKUP(E6,'20-B.SINAPI-S'!A:J,2,0),IF(F6="SINAPI-I",VLOOKUP(E6,'20-A.SINAPI-I'!A:G,2,0),IF(F6="COMP.EVENTUAL",VLOOKUP(E6,'11.COMPOSIÇÕES GERAIS'!B:I,2,0),VLOOKUP(E6,'12.COT.MERCADO'!A:I,2,0)))),"Em Elaboração")</f>
        <v>DESENTUPIMENTO E LIMPEZA DE BACIAS SANITÁRIAS</v>
      </c>
      <c r="H6" s="305" t="str">
        <f>IFERROR(IF(F6="SINAPI-S",VLOOKUP(E6,'20-B.SINAPI-S'!A:J,3,0),IF(F6="SINAPI-I",VLOOKUP(E6,'20-A.SINAPI-I'!A:G,3,0),IF(F6="COMP.EVENTUAL",VLOOKUP(E6,'11.COMPOSIÇÕES GERAIS'!B:I,3,0),VLOOKUP(E6,'12.COT.MERCADO'!A:I,7,0)))),"Em Elaboração")</f>
        <v>UN</v>
      </c>
      <c r="I6" s="974">
        <v>2.0</v>
      </c>
    </row>
    <row r="7">
      <c r="A7" s="975" t="s">
        <v>4939</v>
      </c>
      <c r="B7" s="975" t="s">
        <v>5034</v>
      </c>
      <c r="C7" s="942" t="s">
        <v>4306</v>
      </c>
      <c r="D7" s="976" t="s">
        <v>5035</v>
      </c>
      <c r="E7" s="939" t="s">
        <v>1809</v>
      </c>
      <c r="F7" s="977" t="s">
        <v>4276</v>
      </c>
      <c r="G7" s="978" t="str">
        <f>IFERROR(IF(F7="SINAPI-S",VLOOKUP(E7,'20-B.SINAPI-S'!A:J,2,0),IF(F7="SINAPI-I",VLOOKUP(E7,'20-A.SINAPI-I'!A:G,2,0),IF(F7="COMP.EVENTUAL",VLOOKUP(E7,'11.COMPOSIÇÕES GERAIS'!B:I,2,0),VLOOKUP(E7,'12.COT.MERCADO'!A:I,2,0)))),"Em Elaboração")</f>
        <v>DESENTUPIMENTO DE LOUÇAS</v>
      </c>
      <c r="H7" s="934" t="str">
        <f>IFERROR(IF(F7="SINAPI-S",VLOOKUP(E7,'20-B.SINAPI-S'!A:J,3,0),IF(F7="SINAPI-I",VLOOKUP(E7,'20-A.SINAPI-I'!A:G,3,0),IF(F7="COMP.EVENTUAL",VLOOKUP(E7,'11.COMPOSIÇÕES GERAIS'!B:I,3,0),VLOOKUP(E7,'12.COT.MERCADO'!A:I,7,0)))),"Em Elaboração")</f>
        <v>UN</v>
      </c>
      <c r="I7" s="938">
        <v>1.0</v>
      </c>
    </row>
    <row r="8">
      <c r="A8" s="969" t="s">
        <v>4939</v>
      </c>
      <c r="B8" s="969" t="s">
        <v>5036</v>
      </c>
      <c r="C8" s="970" t="s">
        <v>4297</v>
      </c>
      <c r="D8" s="971" t="s">
        <v>5037</v>
      </c>
      <c r="E8" s="979" t="s">
        <v>1966</v>
      </c>
      <c r="F8" s="973" t="s">
        <v>4276</v>
      </c>
      <c r="G8" s="421" t="str">
        <f>IFERROR(IF(F8="SINAPI-S",VLOOKUP(E8,'20-B.SINAPI-S'!A:J,2,0),IF(F8="SINAPI-I",VLOOKUP(E8,'20-A.SINAPI-I'!A:G,2,0),IF(F8="COMP.EVENTUAL",VLOOKUP(E8,'11.COMPOSIÇÕES GERAIS'!B:I,2,0),VLOOKUP(E8,'12.COT.MERCADO'!A:I,2,0)))),"Em Elaboração")</f>
        <v>FORNECIMENTO E INSTALAÇÃO DE  MOLA HIDRÁULICA AÉREA PARA PORTAS ATÉ 950MM E PESO DE ATÉ 65KG, COM CORPO EM ALUMÍNIO E BRAÇO DE AÇO, SEM BRAÇO DE PARADA</v>
      </c>
      <c r="H8" s="305" t="str">
        <f>IFERROR(IF(F8="SINAPI-S",VLOOKUP(E8,'20-B.SINAPI-S'!A:J,3,0),IF(F8="SINAPI-I",VLOOKUP(E8,'20-A.SINAPI-I'!A:G,3,0),IF(F8="COMP.EVENTUAL",VLOOKUP(E8,'11.COMPOSIÇÕES GERAIS'!B:I,3,0),VLOOKUP(E8,'12.COT.MERCADO'!A:I,7,0)))),"Em Elaboração")</f>
        <v>UN</v>
      </c>
      <c r="I8" s="974">
        <v>1.0</v>
      </c>
    </row>
    <row r="9">
      <c r="A9" s="975" t="s">
        <v>4939</v>
      </c>
      <c r="B9" s="975" t="s">
        <v>4288</v>
      </c>
      <c r="C9" s="942" t="s">
        <v>4274</v>
      </c>
      <c r="D9" s="976" t="s">
        <v>5038</v>
      </c>
      <c r="E9" s="959">
        <v>100903.0</v>
      </c>
      <c r="F9" s="977" t="s">
        <v>218</v>
      </c>
      <c r="G9" s="978" t="str">
        <f>IFERROR(IF(F9="SINAPI-S",VLOOKUP(E9,'20-B.SINAPI-S'!A:J,2,0),IF(F9="SINAPI-I",VLOOKUP(E9,'20-A.SINAPI-I'!A:G,2,0),IF(F9="COMP.EVENTUAL",VLOOKUP(E9,'11.COMPOSIÇÕES GERAIS'!B:I,2,0),VLOOKUP(E9,'12.COT.MERCADO'!A:I,2,0)))),"Em Elaboração")</f>
        <v>LÂMPADA TUBULAR LED DE 18/20 W, BASE G13 - FORNECIMENTO E INSTALAÇÃO. AF_02/2020_PS</v>
      </c>
      <c r="H9" s="934" t="str">
        <f>IFERROR(IF(F9="SINAPI-S",VLOOKUP(E9,'20-B.SINAPI-S'!A:J,3,0),IF(F9="SINAPI-I",VLOOKUP(E9,'20-A.SINAPI-I'!A:G,3,0),IF(F9="COMP.EVENTUAL",VLOOKUP(E9,'11.COMPOSIÇÕES GERAIS'!B:I,3,0),VLOOKUP(E9,'12.COT.MERCADO'!A:I,7,0)))),"Em Elaboração")</f>
        <v>UN</v>
      </c>
      <c r="I9" s="938">
        <v>11.0</v>
      </c>
    </row>
    <row r="10">
      <c r="A10" s="969" t="s">
        <v>4939</v>
      </c>
      <c r="B10" s="969" t="s">
        <v>4290</v>
      </c>
      <c r="C10" s="970" t="s">
        <v>4274</v>
      </c>
      <c r="D10" s="971" t="s">
        <v>5039</v>
      </c>
      <c r="E10" s="980">
        <v>100903.0</v>
      </c>
      <c r="F10" s="973" t="s">
        <v>218</v>
      </c>
      <c r="G10" s="421" t="str">
        <f>IFERROR(IF(F10="SINAPI-S",VLOOKUP(E10,'20-B.SINAPI-S'!A:J,2,0),IF(F10="SINAPI-I",VLOOKUP(E10,'20-A.SINAPI-I'!A:G,2,0),IF(F10="COMP.EVENTUAL",VLOOKUP(E10,'11.COMPOSIÇÕES GERAIS'!B:I,2,0),VLOOKUP(E10,'12.COT.MERCADO'!A:I,2,0)))),"Em Elaboração")</f>
        <v>LÂMPADA TUBULAR LED DE 18/20 W, BASE G13 - FORNECIMENTO E INSTALAÇÃO. AF_02/2020_PS</v>
      </c>
      <c r="H10" s="305" t="str">
        <f>IFERROR(IF(F10="SINAPI-S",VLOOKUP(E10,'20-B.SINAPI-S'!A:J,3,0),IF(F10="SINAPI-I",VLOOKUP(E10,'20-A.SINAPI-I'!A:G,3,0),IF(F10="COMP.EVENTUAL",VLOOKUP(E10,'11.COMPOSIÇÕES GERAIS'!B:I,3,0),VLOOKUP(E10,'12.COT.MERCADO'!A:I,7,0)))),"Em Elaboração")</f>
        <v>UN</v>
      </c>
      <c r="I10" s="974">
        <v>5.0</v>
      </c>
    </row>
    <row r="11">
      <c r="A11" s="975" t="s">
        <v>4939</v>
      </c>
      <c r="B11" s="975" t="s">
        <v>4292</v>
      </c>
      <c r="C11" s="942" t="s">
        <v>4274</v>
      </c>
      <c r="D11" s="976" t="s">
        <v>5040</v>
      </c>
      <c r="E11" s="939" t="s">
        <v>1848</v>
      </c>
      <c r="F11" s="977" t="s">
        <v>4276</v>
      </c>
      <c r="G11" s="978" t="str">
        <f>IFERROR(IF(F11="SINAPI-S",VLOOKUP(E11,'20-B.SINAPI-S'!A:J,2,0),IF(F11="SINAPI-I",VLOOKUP(E11,'20-A.SINAPI-I'!A:G,2,0),IF(F11="COMP.EVENTUAL",VLOOKUP(E11,'11.COMPOSIÇÕES GERAIS'!B:I,2,0),VLOOKUP(E11,'12.COT.MERCADO'!A:I,2,0)))),"Em Elaboração")</f>
        <v>DESENTUPIMENTO E LIMPEZA DE BACIAS SANITÁRIAS</v>
      </c>
      <c r="H11" s="934" t="str">
        <f>IFERROR(IF(F11="SINAPI-S",VLOOKUP(E11,'20-B.SINAPI-S'!A:J,3,0),IF(F11="SINAPI-I",VLOOKUP(E11,'20-A.SINAPI-I'!A:G,3,0),IF(F11="COMP.EVENTUAL",VLOOKUP(E11,'11.COMPOSIÇÕES GERAIS'!B:I,3,0),VLOOKUP(E11,'12.COT.MERCADO'!A:I,7,0)))),"Em Elaboração")</f>
        <v>UN</v>
      </c>
      <c r="I11" s="938">
        <v>1.0</v>
      </c>
    </row>
    <row r="12">
      <c r="A12" s="969" t="s">
        <v>4939</v>
      </c>
      <c r="B12" s="969" t="s">
        <v>4296</v>
      </c>
      <c r="C12" s="970" t="s">
        <v>4274</v>
      </c>
      <c r="D12" s="971" t="s">
        <v>5041</v>
      </c>
      <c r="E12" s="306" t="s">
        <v>2020</v>
      </c>
      <c r="F12" s="973" t="s">
        <v>4276</v>
      </c>
      <c r="G12" s="421" t="str">
        <f>IFERROR(IF(F12="SINAPI-S",VLOOKUP(E12,'20-B.SINAPI-S'!A:J,2,0),IF(F12="SINAPI-I",VLOOKUP(E12,'20-A.SINAPI-I'!A:G,2,0),IF(F12="COMP.EVENTUAL",VLOOKUP(E12,'11.COMPOSIÇÕES GERAIS'!B:I,2,0),VLOOKUP(E12,'12.COT.MERCADO'!A:I,2,0)))),"Em Elaboração")</f>
        <v>FORNECIMENTO E INSTALAÇÃO DE DISPOSITIVO DE PROTEÇÃO CONTRA SURTO DE TENSÃO DPS 20KA - 175V</v>
      </c>
      <c r="H12" s="305" t="str">
        <f>IFERROR(IF(F12="SINAPI-S",VLOOKUP(E12,'20-B.SINAPI-S'!A:J,3,0),IF(F12="SINAPI-I",VLOOKUP(E12,'20-A.SINAPI-I'!A:G,3,0),IF(F12="COMP.EVENTUAL",VLOOKUP(E12,'11.COMPOSIÇÕES GERAIS'!B:I,3,0),VLOOKUP(E12,'12.COT.MERCADO'!A:I,7,0)))),"Em Elaboração")</f>
        <v>UN</v>
      </c>
      <c r="I12" s="974">
        <v>4.0</v>
      </c>
    </row>
    <row r="13">
      <c r="A13" s="975" t="s">
        <v>4939</v>
      </c>
      <c r="B13" s="975" t="s">
        <v>5042</v>
      </c>
      <c r="C13" s="942" t="s">
        <v>4274</v>
      </c>
      <c r="D13" s="976" t="s">
        <v>5043</v>
      </c>
      <c r="E13" s="939">
        <v>97611.0</v>
      </c>
      <c r="F13" s="977" t="s">
        <v>218</v>
      </c>
      <c r="G13" s="978" t="str">
        <f>IFERROR(IF(F13="SINAPI-S",VLOOKUP(E13,'20-B.SINAPI-S'!A:J,2,0),IF(F13="SINAPI-I",VLOOKUP(E13,'20-A.SINAPI-I'!A:G,2,0),IF(F13="COMP.EVENTUAL",VLOOKUP(E13,'11.COMPOSIÇÕES GERAIS'!B:I,2,0),VLOOKUP(E13,'12.COT.MERCADO'!A:I,2,0)))),"Em Elaboração")</f>
        <v>LÂMPADA COMPACTA FLUORESCENTE DE 15 W, BASE E27 - FORNECIMENTO E INSTALAÇÃO. AF_02/2020</v>
      </c>
      <c r="H13" s="934" t="str">
        <f>IFERROR(IF(F13="SINAPI-S",VLOOKUP(E13,'20-B.SINAPI-S'!A:J,3,0),IF(F13="SINAPI-I",VLOOKUP(E13,'20-A.SINAPI-I'!A:G,3,0),IF(F13="COMP.EVENTUAL",VLOOKUP(E13,'11.COMPOSIÇÕES GERAIS'!B:I,3,0),VLOOKUP(E13,'12.COT.MERCADO'!A:I,7,0)))),"Em Elaboração")</f>
        <v>UN</v>
      </c>
      <c r="I13" s="938">
        <v>5.0</v>
      </c>
    </row>
    <row r="14">
      <c r="A14" s="969" t="s">
        <v>4939</v>
      </c>
      <c r="B14" s="969" t="s">
        <v>4294</v>
      </c>
      <c r="C14" s="970" t="s">
        <v>4297</v>
      </c>
      <c r="D14" s="971" t="s">
        <v>5044</v>
      </c>
      <c r="E14" s="980" t="s">
        <v>1795</v>
      </c>
      <c r="F14" s="973" t="s">
        <v>4276</v>
      </c>
      <c r="G14" s="421" t="str">
        <f>IFERROR(IF(F14="SINAPI-S",VLOOKUP(E14,'20-B.SINAPI-S'!A:J,2,0),IF(F14="SINAPI-I",VLOOKUP(E14,'20-A.SINAPI-I'!A:G,2,0),IF(F14="COMP.EVENTUAL",VLOOKUP(E14,'11.COMPOSIÇÕES GERAIS'!B:I,2,0),VLOOKUP(E14,'12.COT.MERCADO'!A:I,2,0)))),"Em Elaboração")</f>
        <v>FORNECIMENTO E INSTALAÇÃO DE VENTILADOR DE PAREDE 50CM COM 6 PÁS, 200W, BIVOLT</v>
      </c>
      <c r="H14" s="305" t="str">
        <f>IFERROR(IF(F14="SINAPI-S",VLOOKUP(E14,'20-B.SINAPI-S'!A:J,3,0),IF(F14="SINAPI-I",VLOOKUP(E14,'20-A.SINAPI-I'!A:G,3,0),IF(F14="COMP.EVENTUAL",VLOOKUP(E14,'11.COMPOSIÇÕES GERAIS'!B:I,3,0),VLOOKUP(E14,'12.COT.MERCADO'!A:I,7,0)))),"Em Elaboração")</f>
        <v>UN</v>
      </c>
      <c r="I14" s="974">
        <v>2.0</v>
      </c>
    </row>
    <row r="15">
      <c r="A15" s="975" t="s">
        <v>4939</v>
      </c>
      <c r="B15" s="975" t="s">
        <v>4308</v>
      </c>
      <c r="C15" s="942" t="s">
        <v>4297</v>
      </c>
      <c r="D15" s="976" t="s">
        <v>5045</v>
      </c>
      <c r="E15" s="981">
        <v>101632.0</v>
      </c>
      <c r="F15" s="977" t="s">
        <v>218</v>
      </c>
      <c r="G15" s="978" t="str">
        <f>IFERROR(IF(F15="SINAPI-S",VLOOKUP(E15,'20-B.SINAPI-S'!A:J,2,0),IF(F15="SINAPI-I",VLOOKUP(E15,'20-A.SINAPI-I'!A:G,2,0),IF(F15="COMP.EVENTUAL",VLOOKUP(E15,'11.COMPOSIÇÕES GERAIS'!B:I,2,0),VLOOKUP(E15,'12.COT.MERCADO'!A:I,2,0)))),"Em Elaboração")</f>
        <v>RELÉ FOTOELÉTRICO PARA COMANDO DE ILUMINAÇÃO EXTERNA 1000 W - FORNECIMENTO E INSTALAÇÃO. AF_08/2020</v>
      </c>
      <c r="H15" s="934" t="str">
        <f>IFERROR(IF(F15="SINAPI-S",VLOOKUP(E15,'20-B.SINAPI-S'!A:J,3,0),IF(F15="SINAPI-I",VLOOKUP(E15,'20-A.SINAPI-I'!A:G,3,0),IF(F15="COMP.EVENTUAL",VLOOKUP(E15,'11.COMPOSIÇÕES GERAIS'!B:I,3,0),VLOOKUP(E15,'12.COT.MERCADO'!A:I,7,0)))),"Em Elaboração")</f>
        <v>UN</v>
      </c>
      <c r="I15" s="938">
        <v>1.0</v>
      </c>
    </row>
    <row r="16">
      <c r="A16" s="969" t="s">
        <v>4939</v>
      </c>
      <c r="B16" s="969" t="s">
        <v>5046</v>
      </c>
      <c r="C16" s="970" t="s">
        <v>4274</v>
      </c>
      <c r="D16" s="971" t="s">
        <v>5047</v>
      </c>
      <c r="E16" s="972">
        <v>97611.0</v>
      </c>
      <c r="F16" s="973" t="s">
        <v>218</v>
      </c>
      <c r="G16" s="421" t="str">
        <f>IFERROR(IF(F16="SINAPI-S",VLOOKUP(E16,'20-B.SINAPI-S'!A:J,2,0),IF(F16="SINAPI-I",VLOOKUP(E16,'20-A.SINAPI-I'!A:G,2,0),IF(F16="COMP.EVENTUAL",VLOOKUP(E16,'11.COMPOSIÇÕES GERAIS'!B:I,2,0),VLOOKUP(E16,'12.COT.MERCADO'!A:I,2,0)))),"Em Elaboração")</f>
        <v>LÂMPADA COMPACTA FLUORESCENTE DE 15 W, BASE E27 - FORNECIMENTO E INSTALAÇÃO. AF_02/2020</v>
      </c>
      <c r="H16" s="305" t="str">
        <f>IFERROR(IF(F16="SINAPI-S",VLOOKUP(E16,'20-B.SINAPI-S'!A:J,3,0),IF(F16="SINAPI-I",VLOOKUP(E16,'20-A.SINAPI-I'!A:G,3,0),IF(F16="COMP.EVENTUAL",VLOOKUP(E16,'11.COMPOSIÇÕES GERAIS'!B:I,3,0),VLOOKUP(E16,'12.COT.MERCADO'!A:I,7,0)))),"Em Elaboração")</f>
        <v>UN</v>
      </c>
      <c r="I16" s="974">
        <v>12.0</v>
      </c>
    </row>
    <row r="17">
      <c r="A17" s="975" t="s">
        <v>4939</v>
      </c>
      <c r="B17" s="975" t="s">
        <v>5048</v>
      </c>
      <c r="C17" s="942" t="s">
        <v>4274</v>
      </c>
      <c r="D17" s="976" t="s">
        <v>5049</v>
      </c>
      <c r="E17" s="959">
        <v>100903.0</v>
      </c>
      <c r="F17" s="977" t="s">
        <v>218</v>
      </c>
      <c r="G17" s="978" t="str">
        <f>IFERROR(IF(F17="SINAPI-S",VLOOKUP(E17,'20-B.SINAPI-S'!A:J,2,0),IF(F17="SINAPI-I",VLOOKUP(E17,'20-A.SINAPI-I'!A:G,2,0),IF(F17="COMP.EVENTUAL",VLOOKUP(E17,'11.COMPOSIÇÕES GERAIS'!B:I,2,0),VLOOKUP(E17,'12.COT.MERCADO'!A:I,2,0)))),"Em Elaboração")</f>
        <v>LÂMPADA TUBULAR LED DE 18/20 W, BASE G13 - FORNECIMENTO E INSTALAÇÃO. AF_02/2020_PS</v>
      </c>
      <c r="H17" s="934" t="str">
        <f>IFERROR(IF(F17="SINAPI-S",VLOOKUP(E17,'20-B.SINAPI-S'!A:J,3,0),IF(F17="SINAPI-I",VLOOKUP(E17,'20-A.SINAPI-I'!A:G,3,0),IF(F17="COMP.EVENTUAL",VLOOKUP(E17,'11.COMPOSIÇÕES GERAIS'!B:I,3,0),VLOOKUP(E17,'12.COT.MERCADO'!A:I,7,0)))),"Em Elaboração")</f>
        <v>UN</v>
      </c>
      <c r="I17" s="938">
        <v>12.0</v>
      </c>
    </row>
    <row r="18">
      <c r="A18" s="969" t="s">
        <v>4939</v>
      </c>
      <c r="B18" s="969" t="s">
        <v>4302</v>
      </c>
      <c r="C18" s="970" t="s">
        <v>4274</v>
      </c>
      <c r="D18" s="971" t="s">
        <v>5050</v>
      </c>
      <c r="E18" s="980">
        <v>100903.0</v>
      </c>
      <c r="F18" s="973" t="s">
        <v>218</v>
      </c>
      <c r="G18" s="421" t="str">
        <f>IFERROR(IF(F18="SINAPI-S",VLOOKUP(E18,'20-B.SINAPI-S'!A:J,2,0),IF(F18="SINAPI-I",VLOOKUP(E18,'20-A.SINAPI-I'!A:G,2,0),IF(F18="COMP.EVENTUAL",VLOOKUP(E18,'11.COMPOSIÇÕES GERAIS'!B:I,2,0),VLOOKUP(E18,'12.COT.MERCADO'!A:I,2,0)))),"Em Elaboração")</f>
        <v>LÂMPADA TUBULAR LED DE 18/20 W, BASE G13 - FORNECIMENTO E INSTALAÇÃO. AF_02/2020_PS</v>
      </c>
      <c r="H18" s="305" t="str">
        <f>IFERROR(IF(F18="SINAPI-S",VLOOKUP(E18,'20-B.SINAPI-S'!A:J,3,0),IF(F18="SINAPI-I",VLOOKUP(E18,'20-A.SINAPI-I'!A:G,3,0),IF(F18="COMP.EVENTUAL",VLOOKUP(E18,'11.COMPOSIÇÕES GERAIS'!B:I,3,0),VLOOKUP(E18,'12.COT.MERCADO'!A:I,7,0)))),"Em Elaboração")</f>
        <v>UN</v>
      </c>
      <c r="I18" s="974">
        <v>27.0</v>
      </c>
    </row>
    <row r="19">
      <c r="A19" s="975" t="s">
        <v>4939</v>
      </c>
      <c r="B19" s="975" t="s">
        <v>4286</v>
      </c>
      <c r="C19" s="942" t="s">
        <v>4274</v>
      </c>
      <c r="D19" s="976" t="s">
        <v>4985</v>
      </c>
      <c r="E19" s="938" t="s">
        <v>1983</v>
      </c>
      <c r="F19" s="977" t="s">
        <v>4276</v>
      </c>
      <c r="G19" s="978" t="str">
        <f>IFERROR(IF(F19="SINAPI-S",VLOOKUP(E19,'20-B.SINAPI-S'!A:J,2,0),IF(F19="SINAPI-I",VLOOKUP(E19,'20-A.SINAPI-I'!A:G,2,0),IF(F19="COMP.EVENTUAL",VLOOKUP(E19,'11.COMPOSIÇÕES GERAIS'!B:I,2,0),VLOOKUP(E19,'12.COT.MERCADO'!A:I,2,0)))),"Em Elaboração")</f>
        <v>KIT COMPLETO UNIVERSAL PARA REPARO EM CAIXA ACOPLADA - FORNECIMENTO E INSTALAÇÃO</v>
      </c>
      <c r="H19" s="934" t="str">
        <f>IFERROR(IF(F19="SINAPI-S",VLOOKUP(E19,'20-B.SINAPI-S'!A:J,3,0),IF(F19="SINAPI-I",VLOOKUP(E19,'20-A.SINAPI-I'!A:G,3,0),IF(F19="COMP.EVENTUAL",VLOOKUP(E19,'11.COMPOSIÇÕES GERAIS'!B:I,3,0),VLOOKUP(E19,'12.COT.MERCADO'!A:I,7,0)))),"Em Elaboração")</f>
        <v>UN</v>
      </c>
      <c r="I19" s="938">
        <v>1.0</v>
      </c>
    </row>
    <row r="20">
      <c r="A20" s="969" t="s">
        <v>4939</v>
      </c>
      <c r="B20" s="969" t="s">
        <v>4300</v>
      </c>
      <c r="C20" s="970" t="s">
        <v>4274</v>
      </c>
      <c r="D20" s="971" t="s">
        <v>5051</v>
      </c>
      <c r="E20" s="306">
        <v>91927.0</v>
      </c>
      <c r="F20" s="973" t="s">
        <v>218</v>
      </c>
      <c r="G20" s="421" t="str">
        <f>IFERROR(IF(F20="SINAPI-S",VLOOKUP(E20,'20-B.SINAPI-S'!A:J,2,0),IF(F20="SINAPI-I",VLOOKUP(E20,'20-A.SINAPI-I'!A:G,2,0),IF(F20="COMP.EVENTUAL",VLOOKUP(E20,'11.COMPOSIÇÕES GERAIS'!B:I,2,0),VLOOKUP(E20,'12.COT.MERCADO'!A:I,2,0)))),"Em Elaboração")</f>
        <v>CABO DE COBRE FLEXÍVEL ISOLADO, 2,5 MM², ANTI-CHAMA 0,6/1,0 KV, PARA CIRCUITOS TERMINAIS - FORNECIMENTO E INSTALAÇÃO. AF_03/2023</v>
      </c>
      <c r="H20" s="305" t="str">
        <f>IFERROR(IF(F20="SINAPI-S",VLOOKUP(E20,'20-B.SINAPI-S'!A:J,3,0),IF(F20="SINAPI-I",VLOOKUP(E20,'20-A.SINAPI-I'!A:G,3,0),IF(F20="COMP.EVENTUAL",VLOOKUP(E20,'11.COMPOSIÇÕES GERAIS'!B:I,3,0),VLOOKUP(E20,'12.COT.MERCADO'!A:I,7,0)))),"Em Elaboração")</f>
        <v>M</v>
      </c>
      <c r="I20" s="974">
        <v>50.0</v>
      </c>
    </row>
    <row r="21">
      <c r="A21" s="975" t="s">
        <v>4939</v>
      </c>
      <c r="B21" s="975" t="s">
        <v>4322</v>
      </c>
      <c r="C21" s="942" t="s">
        <v>4274</v>
      </c>
      <c r="D21" s="976" t="s">
        <v>5052</v>
      </c>
      <c r="E21" s="959">
        <v>100903.0</v>
      </c>
      <c r="F21" s="977" t="s">
        <v>218</v>
      </c>
      <c r="G21" s="978" t="str">
        <f>IFERROR(IF(F21="SINAPI-S",VLOOKUP(E21,'20-B.SINAPI-S'!A:J,2,0),IF(F21="SINAPI-I",VLOOKUP(E21,'20-A.SINAPI-I'!A:G,2,0),IF(F21="COMP.EVENTUAL",VLOOKUP(E21,'11.COMPOSIÇÕES GERAIS'!B:I,2,0),VLOOKUP(E21,'12.COT.MERCADO'!A:I,2,0)))),"Em Elaboração")</f>
        <v>LÂMPADA TUBULAR LED DE 18/20 W, BASE G13 - FORNECIMENTO E INSTALAÇÃO. AF_02/2020_PS</v>
      </c>
      <c r="H21" s="934" t="str">
        <f>IFERROR(IF(F21="SINAPI-S",VLOOKUP(E21,'20-B.SINAPI-S'!A:J,3,0),IF(F21="SINAPI-I",VLOOKUP(E21,'20-A.SINAPI-I'!A:G,3,0),IF(F21="COMP.EVENTUAL",VLOOKUP(E21,'11.COMPOSIÇÕES GERAIS'!B:I,3,0),VLOOKUP(E21,'12.COT.MERCADO'!A:I,7,0)))),"Em Elaboração")</f>
        <v>UN</v>
      </c>
      <c r="I21" s="938">
        <v>23.0</v>
      </c>
    </row>
    <row r="22">
      <c r="A22" s="969" t="s">
        <v>4939</v>
      </c>
      <c r="B22" s="969" t="s">
        <v>4329</v>
      </c>
      <c r="C22" s="970" t="s">
        <v>4274</v>
      </c>
      <c r="D22" s="971" t="s">
        <v>5053</v>
      </c>
      <c r="E22" s="306">
        <v>98297.0</v>
      </c>
      <c r="F22" s="973" t="s">
        <v>218</v>
      </c>
      <c r="G22" s="421" t="str">
        <f>IFERROR(IF(F22="SINAPI-S",VLOOKUP(E22,'20-B.SINAPI-S'!A:J,2,0),IF(F22="SINAPI-I",VLOOKUP(E22,'20-A.SINAPI-I'!A:G,2,0),IF(F22="COMP.EVENTUAL",VLOOKUP(E22,'11.COMPOSIÇÕES GERAIS'!B:I,2,0),VLOOKUP(E22,'12.COT.MERCADO'!A:I,2,0)))),"Em Elaboração")</f>
        <v>CABO ELETRÔNICO CATEGORIA 6, INSTALADO EM EDIFICAÇÃO INSTITUCIONAL - FORNECIMENTO E INSTALAÇÃO. AF_11/2019</v>
      </c>
      <c r="H22" s="305" t="str">
        <f>IFERROR(IF(F22="SINAPI-S",VLOOKUP(E22,'20-B.SINAPI-S'!A:J,3,0),IF(F22="SINAPI-I",VLOOKUP(E22,'20-A.SINAPI-I'!A:G,3,0),IF(F22="COMP.EVENTUAL",VLOOKUP(E22,'11.COMPOSIÇÕES GERAIS'!B:I,3,0),VLOOKUP(E22,'12.COT.MERCADO'!A:I,7,0)))),"Em Elaboração")</f>
        <v>M</v>
      </c>
      <c r="I22" s="974">
        <v>45.0</v>
      </c>
    </row>
    <row r="23">
      <c r="A23" s="982" t="s">
        <v>4272</v>
      </c>
      <c r="B23" s="975" t="s">
        <v>5054</v>
      </c>
      <c r="C23" s="983" t="s">
        <v>4274</v>
      </c>
      <c r="D23" s="976" t="s">
        <v>5049</v>
      </c>
      <c r="E23" s="959">
        <v>100903.0</v>
      </c>
      <c r="F23" s="977" t="s">
        <v>218</v>
      </c>
      <c r="G23" s="978" t="str">
        <f>IFERROR(IF(F23="SINAPI-S",VLOOKUP(E23,'20-B.SINAPI-S'!A:J,2,0),IF(F23="SINAPI-I",VLOOKUP(E23,'20-A.SINAPI-I'!A:G,2,0),IF(F23="COMP.EVENTUAL",VLOOKUP(E23,'11.COMPOSIÇÕES GERAIS'!B:I,2,0),VLOOKUP(E23,'12.COT.MERCADO'!A:I,2,0)))),"Em Elaboração")</f>
        <v>LÂMPADA TUBULAR LED DE 18/20 W, BASE G13 - FORNECIMENTO E INSTALAÇÃO. AF_02/2020_PS</v>
      </c>
      <c r="H23" s="934" t="str">
        <f>IFERROR(IF(F23="SINAPI-S",VLOOKUP(E23,'20-B.SINAPI-S'!A:J,3,0),IF(F23="SINAPI-I",VLOOKUP(E23,'20-A.SINAPI-I'!A:G,3,0),IF(F23="COMP.EVENTUAL",VLOOKUP(E23,'11.COMPOSIÇÕES GERAIS'!B:I,3,0),VLOOKUP(E23,'12.COT.MERCADO'!A:I,7,0)))),"Em Elaboração")</f>
        <v>UN</v>
      </c>
      <c r="I23" s="938">
        <v>10.0</v>
      </c>
    </row>
    <row r="24">
      <c r="A24" s="984" t="s">
        <v>4272</v>
      </c>
      <c r="B24" s="969" t="s">
        <v>5055</v>
      </c>
      <c r="C24" s="970" t="s">
        <v>4274</v>
      </c>
      <c r="D24" s="971" t="s">
        <v>5049</v>
      </c>
      <c r="E24" s="980">
        <v>100903.0</v>
      </c>
      <c r="F24" s="973" t="s">
        <v>218</v>
      </c>
      <c r="G24" s="421" t="str">
        <f>IFERROR(IF(F24="SINAPI-S",VLOOKUP(E24,'20-B.SINAPI-S'!A:J,2,0),IF(F24="SINAPI-I",VLOOKUP(E24,'20-A.SINAPI-I'!A:G,2,0),IF(F24="COMP.EVENTUAL",VLOOKUP(E24,'11.COMPOSIÇÕES GERAIS'!B:I,2,0),VLOOKUP(E24,'12.COT.MERCADO'!A:I,2,0)))),"Em Elaboração")</f>
        <v>LÂMPADA TUBULAR LED DE 18/20 W, BASE G13 - FORNECIMENTO E INSTALAÇÃO. AF_02/2020_PS</v>
      </c>
      <c r="H24" s="305" t="str">
        <f>IFERROR(IF(F24="SINAPI-S",VLOOKUP(E24,'20-B.SINAPI-S'!A:J,3,0),IF(F24="SINAPI-I",VLOOKUP(E24,'20-A.SINAPI-I'!A:G,3,0),IF(F24="COMP.EVENTUAL",VLOOKUP(E24,'11.COMPOSIÇÕES GERAIS'!B:I,3,0),VLOOKUP(E24,'12.COT.MERCADO'!A:I,7,0)))),"Em Elaboração")</f>
        <v>UN</v>
      </c>
      <c r="I24" s="974">
        <v>6.0</v>
      </c>
    </row>
    <row r="25">
      <c r="A25" s="982" t="s">
        <v>4272</v>
      </c>
      <c r="B25" s="975" t="s">
        <v>5056</v>
      </c>
      <c r="C25" s="942" t="s">
        <v>4274</v>
      </c>
      <c r="D25" s="976" t="s">
        <v>5049</v>
      </c>
      <c r="E25" s="959">
        <v>100903.0</v>
      </c>
      <c r="F25" s="977" t="s">
        <v>218</v>
      </c>
      <c r="G25" s="978" t="str">
        <f>IFERROR(IF(F25="SINAPI-S",VLOOKUP(E25,'20-B.SINAPI-S'!A:J,2,0),IF(F25="SINAPI-I",VLOOKUP(E25,'20-A.SINAPI-I'!A:G,2,0),IF(F25="COMP.EVENTUAL",VLOOKUP(E25,'11.COMPOSIÇÕES GERAIS'!B:I,2,0),VLOOKUP(E25,'12.COT.MERCADO'!A:I,2,0)))),"Em Elaboração")</f>
        <v>LÂMPADA TUBULAR LED DE 18/20 W, BASE G13 - FORNECIMENTO E INSTALAÇÃO. AF_02/2020_PS</v>
      </c>
      <c r="H25" s="934" t="str">
        <f>IFERROR(IF(F25="SINAPI-S",VLOOKUP(E25,'20-B.SINAPI-S'!A:J,3,0),IF(F25="SINAPI-I",VLOOKUP(E25,'20-A.SINAPI-I'!A:G,3,0),IF(F25="COMP.EVENTUAL",VLOOKUP(E25,'11.COMPOSIÇÕES GERAIS'!B:I,3,0),VLOOKUP(E25,'12.COT.MERCADO'!A:I,7,0)))),"Em Elaboração")</f>
        <v>UN</v>
      </c>
      <c r="I25" s="938">
        <v>6.0</v>
      </c>
    </row>
    <row r="26">
      <c r="A26" s="984" t="s">
        <v>4272</v>
      </c>
      <c r="B26" s="969" t="s">
        <v>5057</v>
      </c>
      <c r="C26" s="970" t="s">
        <v>4274</v>
      </c>
      <c r="D26" s="971" t="s">
        <v>5049</v>
      </c>
      <c r="E26" s="980">
        <v>100903.0</v>
      </c>
      <c r="F26" s="973" t="s">
        <v>218</v>
      </c>
      <c r="G26" s="421" t="str">
        <f>IFERROR(IF(F26="SINAPI-S",VLOOKUP(E26,'20-B.SINAPI-S'!A:J,2,0),IF(F26="SINAPI-I",VLOOKUP(E26,'20-A.SINAPI-I'!A:G,2,0),IF(F26="COMP.EVENTUAL",VLOOKUP(E26,'11.COMPOSIÇÕES GERAIS'!B:I,2,0),VLOOKUP(E26,'12.COT.MERCADO'!A:I,2,0)))),"Em Elaboração")</f>
        <v>LÂMPADA TUBULAR LED DE 18/20 W, BASE G13 - FORNECIMENTO E INSTALAÇÃO. AF_02/2020_PS</v>
      </c>
      <c r="H26" s="305" t="str">
        <f>IFERROR(IF(F26="SINAPI-S",VLOOKUP(E26,'20-B.SINAPI-S'!A:J,3,0),IF(F26="SINAPI-I",VLOOKUP(E26,'20-A.SINAPI-I'!A:G,3,0),IF(F26="COMP.EVENTUAL",VLOOKUP(E26,'11.COMPOSIÇÕES GERAIS'!B:I,3,0),VLOOKUP(E26,'12.COT.MERCADO'!A:I,7,0)))),"Em Elaboração")</f>
        <v>UN</v>
      </c>
      <c r="I26" s="974">
        <v>4.0</v>
      </c>
    </row>
    <row r="27">
      <c r="A27" s="982" t="s">
        <v>4272</v>
      </c>
      <c r="B27" s="975" t="s">
        <v>5058</v>
      </c>
      <c r="C27" s="942" t="s">
        <v>4297</v>
      </c>
      <c r="D27" s="976" t="s">
        <v>5059</v>
      </c>
      <c r="E27" s="934" t="s">
        <v>1791</v>
      </c>
      <c r="F27" s="977" t="s">
        <v>4276</v>
      </c>
      <c r="G27" s="978" t="str">
        <f>IFERROR(IF(F27="SINAPI-S",VLOOKUP(E27,'20-B.SINAPI-S'!A:J,2,0),IF(F27="SINAPI-I",VLOOKUP(E27,'20-A.SINAPI-I'!A:G,2,0),IF(F27="COMP.EVENTUAL",VLOOKUP(E27,'11.COMPOSIÇÕES GERAIS'!B:I,2,0),VLOOKUP(E27,'12.COT.MERCADO'!A:I,2,0)))),"Em Elaboração")</f>
        <v>FORNECIMENTO E INSTALAÇÃO DE CABO DE AÇO 1/8 REVESTIDO COM PVC, TOTAL 50M, PARA PORTA BANDEIRAS</v>
      </c>
      <c r="H27" s="934" t="str">
        <f>IFERROR(IF(F27="SINAPI-S",VLOOKUP(E27,'20-B.SINAPI-S'!A:J,3,0),IF(F27="SINAPI-I",VLOOKUP(E27,'20-A.SINAPI-I'!A:G,3,0),IF(F27="COMP.EVENTUAL",VLOOKUP(E27,'11.COMPOSIÇÕES GERAIS'!B:I,3,0),VLOOKUP(E27,'12.COT.MERCADO'!A:I,7,0)))),"Em Elaboração")</f>
        <v>UN</v>
      </c>
      <c r="I27" s="938">
        <v>1.0</v>
      </c>
    </row>
    <row r="28">
      <c r="A28" s="984" t="s">
        <v>4272</v>
      </c>
      <c r="B28" s="969" t="s">
        <v>5060</v>
      </c>
      <c r="C28" s="970" t="s">
        <v>4297</v>
      </c>
      <c r="D28" s="971" t="s">
        <v>5061</v>
      </c>
      <c r="E28" s="306">
        <v>91306.0</v>
      </c>
      <c r="F28" s="973" t="s">
        <v>218</v>
      </c>
      <c r="G28" s="421" t="str">
        <f>IFERROR(IF(F28="SINAPI-S",VLOOKUP(E28,'20-B.SINAPI-S'!A:J,2,0),IF(F28="SINAPI-I",VLOOKUP(E28,'20-A.SINAPI-I'!A:G,2,0),IF(F28="COMP.EVENTUAL",VLOOKUP(E28,'11.COMPOSIÇÕES GERAIS'!B:I,2,0),VLOOKUP(E28,'12.COT.MERCADO'!A:I,2,0)))),"Em Elaboração")</f>
        <v>FECHADURA DE EMBUTIR PARA PORTAS INTERNAS, COMPLETA, ACABAMENTO PADRÃO MÉDIO, COM EXECUÇÃO DE FURO - FORNECIMENTO E INSTALAÇÃO. AF_12/2019</v>
      </c>
      <c r="H28" s="305" t="str">
        <f>IFERROR(IF(F28="SINAPI-S",VLOOKUP(E28,'20-B.SINAPI-S'!A:J,3,0),IF(F28="SINAPI-I",VLOOKUP(E28,'20-A.SINAPI-I'!A:G,3,0),IF(F28="COMP.EVENTUAL",VLOOKUP(E28,'11.COMPOSIÇÕES GERAIS'!B:I,3,0),VLOOKUP(E28,'12.COT.MERCADO'!A:I,7,0)))),"Em Elaboração")</f>
        <v>UN</v>
      </c>
      <c r="I28" s="974">
        <v>1.0</v>
      </c>
    </row>
    <row r="29">
      <c r="A29" s="982" t="s">
        <v>4272</v>
      </c>
      <c r="B29" s="975" t="s">
        <v>5062</v>
      </c>
      <c r="C29" s="942" t="s">
        <v>4297</v>
      </c>
      <c r="D29" s="976" t="s">
        <v>5063</v>
      </c>
      <c r="E29" s="934">
        <v>88489.0</v>
      </c>
      <c r="F29" s="977" t="s">
        <v>218</v>
      </c>
      <c r="G29" s="978" t="str">
        <f>IFERROR(IF(F29="SINAPI-S",VLOOKUP(E29,'20-B.SINAPI-S'!A:J,2,0),IF(F29="SINAPI-I",VLOOKUP(E29,'20-A.SINAPI-I'!A:G,2,0),IF(F29="COMP.EVENTUAL",VLOOKUP(E29,'11.COMPOSIÇÕES GERAIS'!B:I,2,0),VLOOKUP(E29,'12.COT.MERCADO'!A:I,2,0)))),"Em Elaboração")</f>
        <v>PINTURA LÁTEX ACRÍLICA PREMIUM, APLICAÇÃO MANUAL EM PAREDES, DUAS DEMÃOS. AF_04/2023</v>
      </c>
      <c r="H29" s="934" t="str">
        <f>IFERROR(IF(F29="SINAPI-S",VLOOKUP(E29,'20-B.SINAPI-S'!A:J,3,0),IF(F29="SINAPI-I",VLOOKUP(E29,'20-A.SINAPI-I'!A:G,3,0),IF(F29="COMP.EVENTUAL",VLOOKUP(E29,'11.COMPOSIÇÕES GERAIS'!B:I,3,0),VLOOKUP(E29,'12.COT.MERCADO'!A:I,7,0)))),"Em Elaboração")</f>
        <v>M2</v>
      </c>
      <c r="I29" s="938">
        <v>40.0</v>
      </c>
    </row>
    <row r="30">
      <c r="A30" s="984" t="s">
        <v>4272</v>
      </c>
      <c r="B30" s="969" t="s">
        <v>5064</v>
      </c>
      <c r="C30" s="970" t="s">
        <v>4297</v>
      </c>
      <c r="D30" s="971" t="s">
        <v>5065</v>
      </c>
      <c r="E30" s="306">
        <v>103029.0</v>
      </c>
      <c r="F30" s="973" t="s">
        <v>218</v>
      </c>
      <c r="G30" s="421" t="str">
        <f>IFERROR(IF(F30="SINAPI-S",VLOOKUP(E30,'20-B.SINAPI-S'!A:J,2,0),IF(F30="SINAPI-I",VLOOKUP(E30,'20-A.SINAPI-I'!A:G,2,0),IF(F30="COMP.EVENTUAL",VLOOKUP(E30,'11.COMPOSIÇÕES GERAIS'!B:I,2,0),VLOOKUP(E30,'12.COT.MERCADO'!A:I,2,0)))),"Em Elaboração")</f>
        <v>REGISTRO OU REGULADOR DE GÁS DE COZINHA - FORNECIMENTO E INSTALAÇÃO. AF_08/2021</v>
      </c>
      <c r="H30" s="305" t="str">
        <f>IFERROR(IF(F30="SINAPI-S",VLOOKUP(E30,'20-B.SINAPI-S'!A:J,3,0),IF(F30="SINAPI-I",VLOOKUP(E30,'20-A.SINAPI-I'!A:G,3,0),IF(F30="COMP.EVENTUAL",VLOOKUP(E30,'11.COMPOSIÇÕES GERAIS'!B:I,3,0),VLOOKUP(E30,'12.COT.MERCADO'!A:I,7,0)))),"Em Elaboração")</f>
        <v>UN</v>
      </c>
      <c r="I30" s="974">
        <v>1.0</v>
      </c>
    </row>
    <row r="31">
      <c r="A31" s="982" t="s">
        <v>4272</v>
      </c>
      <c r="B31" s="975" t="s">
        <v>5066</v>
      </c>
      <c r="C31" s="942" t="s">
        <v>4306</v>
      </c>
      <c r="D31" s="976" t="s">
        <v>5067</v>
      </c>
      <c r="E31" s="941">
        <v>86887.0</v>
      </c>
      <c r="F31" s="977" t="s">
        <v>218</v>
      </c>
      <c r="G31" s="978" t="str">
        <f>IFERROR(IF(F31="SINAPI-S",VLOOKUP(E31,'20-B.SINAPI-S'!A:J,2,0),IF(F31="SINAPI-I",VLOOKUP(E31,'20-A.SINAPI-I'!A:G,2,0),IF(F31="COMP.EVENTUAL",VLOOKUP(E31,'11.COMPOSIÇÕES GERAIS'!B:I,2,0),VLOOKUP(E31,'12.COT.MERCADO'!A:I,2,0)))),"Em Elaboração")</f>
        <v>ENGATE FLEXÍVEL EM INOX, 1/2  X 40CM - FORNECIMENTO E INSTALAÇÃO. AF_01/2020</v>
      </c>
      <c r="H31" s="934" t="str">
        <f>IFERROR(IF(F31="SINAPI-S",VLOOKUP(E31,'20-B.SINAPI-S'!A:J,3,0),IF(F31="SINAPI-I",VLOOKUP(E31,'20-A.SINAPI-I'!A:G,3,0),IF(F31="COMP.EVENTUAL",VLOOKUP(E31,'11.COMPOSIÇÕES GERAIS'!B:I,3,0),VLOOKUP(E31,'12.COT.MERCADO'!A:I,7,0)))),"Em Elaboração")</f>
        <v>UN</v>
      </c>
      <c r="I31" s="938">
        <v>1.0</v>
      </c>
    </row>
    <row r="32">
      <c r="A32" s="984" t="s">
        <v>4272</v>
      </c>
      <c r="B32" s="969" t="s">
        <v>5068</v>
      </c>
      <c r="C32" s="970" t="s">
        <v>4274</v>
      </c>
      <c r="D32" s="971" t="s">
        <v>5049</v>
      </c>
      <c r="E32" s="980">
        <v>100903.0</v>
      </c>
      <c r="F32" s="973" t="s">
        <v>218</v>
      </c>
      <c r="G32" s="421" t="str">
        <f>IFERROR(IF(F32="SINAPI-S",VLOOKUP(E32,'20-B.SINAPI-S'!A:J,2,0),IF(F32="SINAPI-I",VLOOKUP(E32,'20-A.SINAPI-I'!A:G,2,0),IF(F32="COMP.EVENTUAL",VLOOKUP(E32,'11.COMPOSIÇÕES GERAIS'!B:I,2,0),VLOOKUP(E32,'12.COT.MERCADO'!A:I,2,0)))),"Em Elaboração")</f>
        <v>LÂMPADA TUBULAR LED DE 18/20 W, BASE G13 - FORNECIMENTO E INSTALAÇÃO. AF_02/2020_PS</v>
      </c>
      <c r="H32" s="305" t="str">
        <f>IFERROR(IF(F32="SINAPI-S",VLOOKUP(E32,'20-B.SINAPI-S'!A:J,3,0),IF(F32="SINAPI-I",VLOOKUP(E32,'20-A.SINAPI-I'!A:G,3,0),IF(F32="COMP.EVENTUAL",VLOOKUP(E32,'11.COMPOSIÇÕES GERAIS'!B:I,3,0),VLOOKUP(E32,'12.COT.MERCADO'!A:I,7,0)))),"Em Elaboração")</f>
        <v>UN</v>
      </c>
      <c r="I32" s="974">
        <v>3.0</v>
      </c>
    </row>
    <row r="33">
      <c r="A33" s="982" t="s">
        <v>4272</v>
      </c>
      <c r="B33" s="975" t="s">
        <v>5069</v>
      </c>
      <c r="C33" s="942" t="s">
        <v>4297</v>
      </c>
      <c r="D33" s="976" t="s">
        <v>5070</v>
      </c>
      <c r="E33" s="941">
        <v>98546.0</v>
      </c>
      <c r="F33" s="977" t="s">
        <v>218</v>
      </c>
      <c r="G33" s="978" t="str">
        <f>IFERROR(IF(F33="SINAPI-S",VLOOKUP(E33,'20-B.SINAPI-S'!A:J,2,0),IF(F33="SINAPI-I",VLOOKUP(E33,'20-A.SINAPI-I'!A:G,2,0),IF(F33="COMP.EVENTUAL",VLOOKUP(E33,'11.COMPOSIÇÕES GERAIS'!B:I,2,0),VLOOKUP(E33,'12.COT.MERCADO'!A:I,2,0)))),"Em Elaboração")</f>
        <v>IMPERMEABILIZAÇÃO DE SUPERFÍCIE COM MANTA ASFÁLTICA, UMA CAMADA, INCLUSIVE APLICAÇÃO DE PRIMER ASFÁLTICO, E=3MM. AF_06/2018</v>
      </c>
      <c r="H33" s="934" t="str">
        <f>IFERROR(IF(F33="SINAPI-S",VLOOKUP(E33,'20-B.SINAPI-S'!A:J,3,0),IF(F33="SINAPI-I",VLOOKUP(E33,'20-A.SINAPI-I'!A:G,3,0),IF(F33="COMP.EVENTUAL",VLOOKUP(E33,'11.COMPOSIÇÕES GERAIS'!B:I,3,0),VLOOKUP(E33,'12.COT.MERCADO'!A:I,7,0)))),"Em Elaboração")</f>
        <v>M2</v>
      </c>
      <c r="I33" s="938">
        <v>5.0</v>
      </c>
    </row>
    <row r="34">
      <c r="A34" s="984" t="s">
        <v>4272</v>
      </c>
      <c r="B34" s="969" t="s">
        <v>5071</v>
      </c>
      <c r="C34" s="970" t="s">
        <v>4274</v>
      </c>
      <c r="D34" s="971" t="s">
        <v>5049</v>
      </c>
      <c r="E34" s="980">
        <v>100903.0</v>
      </c>
      <c r="F34" s="973" t="s">
        <v>218</v>
      </c>
      <c r="G34" s="421" t="str">
        <f>IFERROR(IF(F34="SINAPI-S",VLOOKUP(E34,'20-B.SINAPI-S'!A:J,2,0),IF(F34="SINAPI-I",VLOOKUP(E34,'20-A.SINAPI-I'!A:G,2,0),IF(F34="COMP.EVENTUAL",VLOOKUP(E34,'11.COMPOSIÇÕES GERAIS'!B:I,2,0),VLOOKUP(E34,'12.COT.MERCADO'!A:I,2,0)))),"Em Elaboração")</f>
        <v>LÂMPADA TUBULAR LED DE 18/20 W, BASE G13 - FORNECIMENTO E INSTALAÇÃO. AF_02/2020_PS</v>
      </c>
      <c r="H34" s="305" t="str">
        <f>IFERROR(IF(F34="SINAPI-S",VLOOKUP(E34,'20-B.SINAPI-S'!A:J,3,0),IF(F34="SINAPI-I",VLOOKUP(E34,'20-A.SINAPI-I'!A:G,3,0),IF(F34="COMP.EVENTUAL",VLOOKUP(E34,'11.COMPOSIÇÕES GERAIS'!B:I,3,0),VLOOKUP(E34,'12.COT.MERCADO'!A:I,7,0)))),"Em Elaboração")</f>
        <v>UN</v>
      </c>
      <c r="I34" s="974">
        <v>1.0</v>
      </c>
    </row>
    <row r="35">
      <c r="A35" s="982" t="s">
        <v>4272</v>
      </c>
      <c r="B35" s="975" t="s">
        <v>5072</v>
      </c>
      <c r="C35" s="942" t="s">
        <v>4297</v>
      </c>
      <c r="D35" s="976" t="s">
        <v>5073</v>
      </c>
      <c r="E35" s="941" t="s">
        <v>1786</v>
      </c>
      <c r="F35" s="977" t="s">
        <v>4276</v>
      </c>
      <c r="G35" s="978" t="str">
        <f>IFERROR(IF(F35="SINAPI-S",VLOOKUP(E35,'20-B.SINAPI-S'!A:J,2,0),IF(F35="SINAPI-I",VLOOKUP(E35,'20-A.SINAPI-I'!A:G,2,0),IF(F35="COMP.EVENTUAL",VLOOKUP(E35,'11.COMPOSIÇÕES GERAIS'!B:I,2,0),VLOOKUP(E35,'12.COT.MERCADO'!A:I,2,0)))),"Em Elaboração")</f>
        <v>FORNECIMENTO E INSTALAÇÃO DE SUPORTE DE PAREDE FIXO PARA TV E MONITOR DE 32 À 80 POLEGADAS</v>
      </c>
      <c r="H35" s="934" t="str">
        <f>IFERROR(IF(F35="SINAPI-S",VLOOKUP(E35,'20-B.SINAPI-S'!A:J,3,0),IF(F35="SINAPI-I",VLOOKUP(E35,'20-A.SINAPI-I'!A:G,3,0),IF(F35="COMP.EVENTUAL",VLOOKUP(E35,'11.COMPOSIÇÕES GERAIS'!B:I,3,0),VLOOKUP(E35,'12.COT.MERCADO'!A:I,7,0)))),"Em Elaboração")</f>
        <v>UN</v>
      </c>
      <c r="I35" s="938">
        <v>1.0</v>
      </c>
    </row>
    <row r="36">
      <c r="A36" s="984" t="s">
        <v>4272</v>
      </c>
      <c r="B36" s="969" t="s">
        <v>5074</v>
      </c>
      <c r="C36" s="970" t="s">
        <v>4297</v>
      </c>
      <c r="D36" s="971" t="s">
        <v>5075</v>
      </c>
      <c r="E36" s="306">
        <v>88489.0</v>
      </c>
      <c r="F36" s="973" t="s">
        <v>218</v>
      </c>
      <c r="G36" s="421" t="str">
        <f>IFERROR(IF(F36="SINAPI-S",VLOOKUP(E36,'20-B.SINAPI-S'!A:J,2,0),IF(F36="SINAPI-I",VLOOKUP(E36,'20-A.SINAPI-I'!A:G,2,0),IF(F36="COMP.EVENTUAL",VLOOKUP(E36,'11.COMPOSIÇÕES GERAIS'!B:I,2,0),VLOOKUP(E36,'12.COT.MERCADO'!A:I,2,0)))),"Em Elaboração")</f>
        <v>PINTURA LÁTEX ACRÍLICA PREMIUM, APLICAÇÃO MANUAL EM PAREDES, DUAS DEMÃOS. AF_04/2023</v>
      </c>
      <c r="H36" s="305" t="str">
        <f>IFERROR(IF(F36="SINAPI-S",VLOOKUP(E36,'20-B.SINAPI-S'!A:J,3,0),IF(F36="SINAPI-I",VLOOKUP(E36,'20-A.SINAPI-I'!A:G,3,0),IF(F36="COMP.EVENTUAL",VLOOKUP(E36,'11.COMPOSIÇÕES GERAIS'!B:I,3,0),VLOOKUP(E36,'12.COT.MERCADO'!A:I,7,0)))),"Em Elaboração")</f>
        <v>M2</v>
      </c>
      <c r="I36" s="974">
        <v>10.0</v>
      </c>
    </row>
    <row r="37">
      <c r="A37" s="982" t="s">
        <v>4272</v>
      </c>
      <c r="B37" s="975" t="s">
        <v>5076</v>
      </c>
      <c r="C37" s="942" t="s">
        <v>4297</v>
      </c>
      <c r="D37" s="976" t="s">
        <v>5077</v>
      </c>
      <c r="E37" s="941" t="s">
        <v>1795</v>
      </c>
      <c r="F37" s="977" t="s">
        <v>4276</v>
      </c>
      <c r="G37" s="978" t="str">
        <f>IFERROR(IF(F37="SINAPI-S",VLOOKUP(E37,'20-B.SINAPI-S'!A:J,2,0),IF(F37="SINAPI-I",VLOOKUP(E37,'20-A.SINAPI-I'!A:G,2,0),IF(F37="COMP.EVENTUAL",VLOOKUP(E37,'11.COMPOSIÇÕES GERAIS'!B:I,2,0),VLOOKUP(E37,'12.COT.MERCADO'!A:I,2,0)))),"Em Elaboração")</f>
        <v>FORNECIMENTO E INSTALAÇÃO DE VENTILADOR DE PAREDE 50CM COM 6 PÁS, 200W, BIVOLT</v>
      </c>
      <c r="H37" s="934" t="str">
        <f>IFERROR(IF(F37="SINAPI-S",VLOOKUP(E37,'20-B.SINAPI-S'!A:J,3,0),IF(F37="SINAPI-I",VLOOKUP(E37,'20-A.SINAPI-I'!A:G,3,0),IF(F37="COMP.EVENTUAL",VLOOKUP(E37,'11.COMPOSIÇÕES GERAIS'!B:I,3,0),VLOOKUP(E37,'12.COT.MERCADO'!A:I,7,0)))),"Em Elaboração")</f>
        <v>UN</v>
      </c>
      <c r="I37" s="938">
        <v>1.0</v>
      </c>
    </row>
    <row r="38">
      <c r="A38" s="984" t="s">
        <v>4272</v>
      </c>
      <c r="B38" s="969" t="s">
        <v>5078</v>
      </c>
      <c r="C38" s="970" t="s">
        <v>4274</v>
      </c>
      <c r="D38" s="971" t="s">
        <v>5049</v>
      </c>
      <c r="E38" s="980">
        <v>100903.0</v>
      </c>
      <c r="F38" s="973" t="s">
        <v>218</v>
      </c>
      <c r="G38" s="421" t="str">
        <f>IFERROR(IF(F38="SINAPI-S",VLOOKUP(E38,'20-B.SINAPI-S'!A:J,2,0),IF(F38="SINAPI-I",VLOOKUP(E38,'20-A.SINAPI-I'!A:G,2,0),IF(F38="COMP.EVENTUAL",VLOOKUP(E38,'11.COMPOSIÇÕES GERAIS'!B:I,2,0),VLOOKUP(E38,'12.COT.MERCADO'!A:I,2,0)))),"Em Elaboração")</f>
        <v>LÂMPADA TUBULAR LED DE 18/20 W, BASE G13 - FORNECIMENTO E INSTALAÇÃO. AF_02/2020_PS</v>
      </c>
      <c r="H38" s="305" t="str">
        <f>IFERROR(IF(F38="SINAPI-S",VLOOKUP(E38,'20-B.SINAPI-S'!A:J,3,0),IF(F38="SINAPI-I",VLOOKUP(E38,'20-A.SINAPI-I'!A:G,3,0),IF(F38="COMP.EVENTUAL",VLOOKUP(E38,'11.COMPOSIÇÕES GERAIS'!B:I,3,0),VLOOKUP(E38,'12.COT.MERCADO'!A:I,7,0)))),"Em Elaboração")</f>
        <v>UN</v>
      </c>
      <c r="I38" s="974">
        <v>6.0</v>
      </c>
    </row>
    <row r="39">
      <c r="A39" s="982" t="s">
        <v>4272</v>
      </c>
      <c r="B39" s="975" t="s">
        <v>5079</v>
      </c>
      <c r="C39" s="942" t="s">
        <v>4274</v>
      </c>
      <c r="D39" s="976" t="s">
        <v>5049</v>
      </c>
      <c r="E39" s="959">
        <v>100903.0</v>
      </c>
      <c r="F39" s="977" t="s">
        <v>218</v>
      </c>
      <c r="G39" s="978" t="str">
        <f>IFERROR(IF(F39="SINAPI-S",VLOOKUP(E39,'20-B.SINAPI-S'!A:J,2,0),IF(F39="SINAPI-I",VLOOKUP(E39,'20-A.SINAPI-I'!A:G,2,0),IF(F39="COMP.EVENTUAL",VLOOKUP(E39,'11.COMPOSIÇÕES GERAIS'!B:I,2,0),VLOOKUP(E39,'12.COT.MERCADO'!A:I,2,0)))),"Em Elaboração")</f>
        <v>LÂMPADA TUBULAR LED DE 18/20 W, BASE G13 - FORNECIMENTO E INSTALAÇÃO. AF_02/2020_PS</v>
      </c>
      <c r="H39" s="934" t="str">
        <f>IFERROR(IF(F39="SINAPI-S",VLOOKUP(E39,'20-B.SINAPI-S'!A:J,3,0),IF(F39="SINAPI-I",VLOOKUP(E39,'20-A.SINAPI-I'!A:G,3,0),IF(F39="COMP.EVENTUAL",VLOOKUP(E39,'11.COMPOSIÇÕES GERAIS'!B:I,3,0),VLOOKUP(E39,'12.COT.MERCADO'!A:I,7,0)))),"Em Elaboração")</f>
        <v>UN</v>
      </c>
      <c r="I39" s="938">
        <v>4.0</v>
      </c>
    </row>
    <row r="40">
      <c r="A40" s="984" t="s">
        <v>4272</v>
      </c>
      <c r="B40" s="969" t="s">
        <v>5080</v>
      </c>
      <c r="C40" s="970" t="s">
        <v>4306</v>
      </c>
      <c r="D40" s="971" t="s">
        <v>5081</v>
      </c>
      <c r="E40" s="306">
        <v>86883.0</v>
      </c>
      <c r="F40" s="973" t="s">
        <v>218</v>
      </c>
      <c r="G40" s="421" t="str">
        <f>IFERROR(IF(F40="SINAPI-S",VLOOKUP(E40,'20-B.SINAPI-S'!A:J,2,0),IF(F40="SINAPI-I",VLOOKUP(E40,'20-A.SINAPI-I'!A:G,2,0),IF(F40="COMP.EVENTUAL",VLOOKUP(E40,'11.COMPOSIÇÕES GERAIS'!B:I,2,0),VLOOKUP(E40,'12.COT.MERCADO'!A:I,2,0)))),"Em Elaboração")</f>
        <v>SIFÃO DO TIPO FLEXÍVEL EM PVC 1  X 1.1/2  - FORNECIMENTO E INSTALAÇÃO. AF_01/2020</v>
      </c>
      <c r="H40" s="305" t="str">
        <f>IFERROR(IF(F40="SINAPI-S",VLOOKUP(E40,'20-B.SINAPI-S'!A:J,3,0),IF(F40="SINAPI-I",VLOOKUP(E40,'20-A.SINAPI-I'!A:G,3,0),IF(F40="COMP.EVENTUAL",VLOOKUP(E40,'11.COMPOSIÇÕES GERAIS'!B:I,3,0),VLOOKUP(E40,'12.COT.MERCADO'!A:I,7,0)))),"Em Elaboração")</f>
        <v>UN</v>
      </c>
      <c r="I40" s="974">
        <v>1.0</v>
      </c>
    </row>
    <row r="41">
      <c r="A41" s="982" t="s">
        <v>4272</v>
      </c>
      <c r="B41" s="975" t="s">
        <v>5082</v>
      </c>
      <c r="C41" s="942" t="s">
        <v>4274</v>
      </c>
      <c r="D41" s="976" t="s">
        <v>5083</v>
      </c>
      <c r="E41" s="941">
        <v>93666.0</v>
      </c>
      <c r="F41" s="977" t="s">
        <v>218</v>
      </c>
      <c r="G41" s="978" t="str">
        <f>IFERROR(IF(F41="SINAPI-S",VLOOKUP(E41,'20-B.SINAPI-S'!A:J,2,0),IF(F41="SINAPI-I",VLOOKUP(E41,'20-A.SINAPI-I'!A:G,2,0),IF(F41="COMP.EVENTUAL",VLOOKUP(E41,'11.COMPOSIÇÕES GERAIS'!B:I,2,0),VLOOKUP(E41,'12.COT.MERCADO'!A:I,2,0)))),"Em Elaboração")</f>
        <v>DISJUNTOR BIPOLAR TIPO DIN, CORRENTE NOMINAL DE 50A - FORNECIMENTO E INSTALAÇÃO. AF_10/2020</v>
      </c>
      <c r="H41" s="934" t="str">
        <f>IFERROR(IF(F41="SINAPI-S",VLOOKUP(E41,'20-B.SINAPI-S'!A:J,3,0),IF(F41="SINAPI-I",VLOOKUP(E41,'20-A.SINAPI-I'!A:G,3,0),IF(F41="COMP.EVENTUAL",VLOOKUP(E41,'11.COMPOSIÇÕES GERAIS'!B:I,3,0),VLOOKUP(E41,'12.COT.MERCADO'!A:I,7,0)))),"Em Elaboração")</f>
        <v>UN</v>
      </c>
      <c r="I41" s="938">
        <v>2.0</v>
      </c>
    </row>
    <row r="42">
      <c r="A42" s="984" t="s">
        <v>4272</v>
      </c>
      <c r="B42" s="969" t="s">
        <v>5084</v>
      </c>
      <c r="C42" s="970" t="s">
        <v>4306</v>
      </c>
      <c r="D42" s="971" t="s">
        <v>5085</v>
      </c>
      <c r="E42" s="306">
        <v>99624.0</v>
      </c>
      <c r="F42" s="973" t="s">
        <v>218</v>
      </c>
      <c r="G42" s="421" t="str">
        <f>IFERROR(IF(F42="SINAPI-S",VLOOKUP(E42,'20-B.SINAPI-S'!A:J,2,0),IF(F42="SINAPI-I",VLOOKUP(E42,'20-A.SINAPI-I'!A:G,2,0),IF(F42="COMP.EVENTUAL",VLOOKUP(E42,'11.COMPOSIÇÕES GERAIS'!B:I,2,0),VLOOKUP(E42,'12.COT.MERCADO'!A:I,2,0)))),"Em Elaboração")</f>
        <v>VÁLVULA DE RETENÇÃO HORIZONTAL, DE BRONZE, ROSCÁVEL, 2 1/2" - FORNECIMENTO E INSTALAÇÃO. AF_08/2021</v>
      </c>
      <c r="H42" s="305" t="str">
        <f>IFERROR(IF(F42="SINAPI-S",VLOOKUP(E42,'20-B.SINAPI-S'!A:J,3,0),IF(F42="SINAPI-I",VLOOKUP(E42,'20-A.SINAPI-I'!A:G,3,0),IF(F42="COMP.EVENTUAL",VLOOKUP(E42,'11.COMPOSIÇÕES GERAIS'!B:I,3,0),VLOOKUP(E42,'12.COT.MERCADO'!A:I,7,0)))),"Em Elaboração")</f>
        <v>UN</v>
      </c>
      <c r="I42" s="974">
        <v>1.0</v>
      </c>
    </row>
    <row r="43">
      <c r="A43" s="982" t="s">
        <v>4272</v>
      </c>
      <c r="B43" s="975" t="s">
        <v>5086</v>
      </c>
      <c r="C43" s="942" t="s">
        <v>4274</v>
      </c>
      <c r="D43" s="976" t="s">
        <v>5049</v>
      </c>
      <c r="E43" s="959">
        <v>100903.0</v>
      </c>
      <c r="F43" s="977" t="s">
        <v>218</v>
      </c>
      <c r="G43" s="978" t="str">
        <f>IFERROR(IF(F43="SINAPI-S",VLOOKUP(E43,'20-B.SINAPI-S'!A:J,2,0),IF(F43="SINAPI-I",VLOOKUP(E43,'20-A.SINAPI-I'!A:G,2,0),IF(F43="COMP.EVENTUAL",VLOOKUP(E43,'11.COMPOSIÇÕES GERAIS'!B:I,2,0),VLOOKUP(E43,'12.COT.MERCADO'!A:I,2,0)))),"Em Elaboração")</f>
        <v>LÂMPADA TUBULAR LED DE 18/20 W, BASE G13 - FORNECIMENTO E INSTALAÇÃO. AF_02/2020_PS</v>
      </c>
      <c r="H43" s="934" t="str">
        <f>IFERROR(IF(F43="SINAPI-S",VLOOKUP(E43,'20-B.SINAPI-S'!A:J,3,0),IF(F43="SINAPI-I",VLOOKUP(E43,'20-A.SINAPI-I'!A:G,3,0),IF(F43="COMP.EVENTUAL",VLOOKUP(E43,'11.COMPOSIÇÕES GERAIS'!B:I,3,0),VLOOKUP(E43,'12.COT.MERCADO'!A:I,7,0)))),"Em Elaboração")</f>
        <v>UN</v>
      </c>
      <c r="I43" s="938">
        <v>2.0</v>
      </c>
    </row>
    <row r="44">
      <c r="A44" s="984" t="s">
        <v>4272</v>
      </c>
      <c r="B44" s="969" t="s">
        <v>5087</v>
      </c>
      <c r="C44" s="970" t="s">
        <v>4274</v>
      </c>
      <c r="D44" s="971" t="s">
        <v>5049</v>
      </c>
      <c r="E44" s="980">
        <v>100903.0</v>
      </c>
      <c r="F44" s="973" t="s">
        <v>218</v>
      </c>
      <c r="G44" s="421" t="str">
        <f>IFERROR(IF(F44="SINAPI-S",VLOOKUP(E44,'20-B.SINAPI-S'!A:J,2,0),IF(F44="SINAPI-I",VLOOKUP(E44,'20-A.SINAPI-I'!A:G,2,0),IF(F44="COMP.EVENTUAL",VLOOKUP(E44,'11.COMPOSIÇÕES GERAIS'!B:I,2,0),VLOOKUP(E44,'12.COT.MERCADO'!A:I,2,0)))),"Em Elaboração")</f>
        <v>LÂMPADA TUBULAR LED DE 18/20 W, BASE G13 - FORNECIMENTO E INSTALAÇÃO. AF_02/2020_PS</v>
      </c>
      <c r="H44" s="305" t="str">
        <f>IFERROR(IF(F44="SINAPI-S",VLOOKUP(E44,'20-B.SINAPI-S'!A:J,3,0),IF(F44="SINAPI-I",VLOOKUP(E44,'20-A.SINAPI-I'!A:G,3,0),IF(F44="COMP.EVENTUAL",VLOOKUP(E44,'11.COMPOSIÇÕES GERAIS'!B:I,3,0),VLOOKUP(E44,'12.COT.MERCADO'!A:I,7,0)))),"Em Elaboração")</f>
        <v>UN</v>
      </c>
      <c r="I44" s="974">
        <v>13.0</v>
      </c>
    </row>
    <row r="45">
      <c r="A45" s="982" t="s">
        <v>4272</v>
      </c>
      <c r="B45" s="975" t="s">
        <v>5088</v>
      </c>
      <c r="C45" s="942" t="s">
        <v>4274</v>
      </c>
      <c r="D45" s="976" t="s">
        <v>5089</v>
      </c>
      <c r="E45" s="941">
        <v>101902.0</v>
      </c>
      <c r="F45" s="977" t="s">
        <v>218</v>
      </c>
      <c r="G45" s="978" t="str">
        <f>IFERROR(IF(F45="SINAPI-S",VLOOKUP(E45,'20-B.SINAPI-S'!A:J,2,0),IF(F45="SINAPI-I",VLOOKUP(E45,'20-A.SINAPI-I'!A:G,2,0),IF(F45="COMP.EVENTUAL",VLOOKUP(E45,'11.COMPOSIÇÕES GERAIS'!B:I,2,0),VLOOKUP(E45,'12.COT.MERCADO'!A:I,2,0)))),"Em Elaboração")</f>
        <v>CONTATOR TRIPOLAR I NOMINAL 22A - FORNECIMENTO E INSTALAÇÃO. AF_10/2020</v>
      </c>
      <c r="H45" s="934" t="str">
        <f>IFERROR(IF(F45="SINAPI-S",VLOOKUP(E45,'20-B.SINAPI-S'!A:J,3,0),IF(F45="SINAPI-I",VLOOKUP(E45,'20-A.SINAPI-I'!A:G,3,0),IF(F45="COMP.EVENTUAL",VLOOKUP(E45,'11.COMPOSIÇÕES GERAIS'!B:I,3,0),VLOOKUP(E45,'12.COT.MERCADO'!A:I,7,0)))),"Em Elaboração")</f>
        <v>UN</v>
      </c>
      <c r="I45" s="938">
        <v>2.0</v>
      </c>
    </row>
    <row r="46">
      <c r="A46" s="984" t="s">
        <v>4272</v>
      </c>
      <c r="B46" s="969" t="s">
        <v>5088</v>
      </c>
      <c r="C46" s="970" t="s">
        <v>4274</v>
      </c>
      <c r="D46" s="971" t="s">
        <v>5090</v>
      </c>
      <c r="E46" s="306" t="s">
        <v>2014</v>
      </c>
      <c r="F46" s="973" t="s">
        <v>4276</v>
      </c>
      <c r="G46" s="421" t="str">
        <f>IFERROR(IF(F46="SINAPI-S",VLOOKUP(E46,'20-B.SINAPI-S'!A:J,2,0),IF(F46="SINAPI-I",VLOOKUP(E46,'20-A.SINAPI-I'!A:G,2,0),IF(F46="COMP.EVENTUAL",VLOOKUP(E46,'11.COMPOSIÇÕES GERAIS'!B:I,2,0),VLOOKUP(E46,'12.COT.MERCADO'!A:I,2,0)))),"Em Elaboração")</f>
        <v>FORNECIMENTO E INSTALAÇÃO DE RELÊ TÉRMICO BIMETAL PARA USO EM MOTORES TRIFÁSICOS, TENSÃO 380V, POTÊNCIA DE ATÉ 15 CV, CORRENTE NOMINAL MÁXIMA DE 22A</v>
      </c>
      <c r="H46" s="305" t="str">
        <f>IFERROR(IF(F46="SINAPI-S",VLOOKUP(E46,'20-B.SINAPI-S'!A:J,3,0),IF(F46="SINAPI-I",VLOOKUP(E46,'20-A.SINAPI-I'!A:G,3,0),IF(F46="COMP.EVENTUAL",VLOOKUP(E46,'11.COMPOSIÇÕES GERAIS'!B:I,3,0),VLOOKUP(E46,'12.COT.MERCADO'!A:I,7,0)))),"Em Elaboração")</f>
        <v>UN</v>
      </c>
      <c r="I46" s="974">
        <v>2.0</v>
      </c>
    </row>
    <row r="47">
      <c r="A47" s="982" t="s">
        <v>4272</v>
      </c>
      <c r="B47" s="975" t="s">
        <v>5091</v>
      </c>
      <c r="C47" s="942" t="s">
        <v>4274</v>
      </c>
      <c r="D47" s="976" t="s">
        <v>5092</v>
      </c>
      <c r="E47" s="939">
        <v>104476.0</v>
      </c>
      <c r="F47" s="977" t="s">
        <v>218</v>
      </c>
      <c r="G47" s="978" t="str">
        <f>IFERROR(IF(F47="SINAPI-S",VLOOKUP(E47,'20-B.SINAPI-S'!A:J,2,0),IF(F47="SINAPI-I",VLOOKUP(E47,'20-A.SINAPI-I'!A:G,2,0),IF(F47="COMP.EVENTUAL",VLOOKUP(E47,'11.COMPOSIÇÕES GERAIS'!B:I,2,0),VLOOKUP(E47,'12.COT.MERCADO'!A:I,2,0)))),"Em Elaboração")</f>
        <v>COMPOSIÇÃO PARAMÉTRICA DE PONTO ELÉTRICO DE TOMADA DE USO ESPECÍFICO 2P+T (20A/250V) EM EDIFÍCIO RESIDENCIAL COM ELETRODUTO EMBUTIDO EM RASGOS NAS PAREDES, INCLUSO TOMADA, ELETRODUTO, CABO, RASGO, QUEBRA E CHUMBAMENTO (EXCETO CHUVEIRO). AF_11/2022</v>
      </c>
      <c r="H47" s="934" t="str">
        <f>IFERROR(IF(F47="SINAPI-S",VLOOKUP(E47,'20-B.SINAPI-S'!A:J,3,0),IF(F47="SINAPI-I",VLOOKUP(E47,'20-A.SINAPI-I'!A:G,3,0),IF(F47="COMP.EVENTUAL",VLOOKUP(E47,'11.COMPOSIÇÕES GERAIS'!B:I,3,0),VLOOKUP(E47,'12.COT.MERCADO'!A:I,7,0)))),"Em Elaboração")</f>
        <v>UN</v>
      </c>
      <c r="I47" s="938">
        <v>1.0</v>
      </c>
    </row>
    <row r="48">
      <c r="A48" s="984" t="s">
        <v>4272</v>
      </c>
      <c r="B48" s="969" t="s">
        <v>5093</v>
      </c>
      <c r="C48" s="970" t="s">
        <v>4297</v>
      </c>
      <c r="D48" s="971" t="s">
        <v>5094</v>
      </c>
      <c r="E48" s="972" t="s">
        <v>1809</v>
      </c>
      <c r="F48" s="973" t="s">
        <v>4276</v>
      </c>
      <c r="G48" s="421" t="str">
        <f>IFERROR(IF(F48="SINAPI-S",VLOOKUP(E48,'20-B.SINAPI-S'!A:J,2,0),IF(F48="SINAPI-I",VLOOKUP(E48,'20-A.SINAPI-I'!A:G,2,0),IF(F48="COMP.EVENTUAL",VLOOKUP(E48,'11.COMPOSIÇÕES GERAIS'!B:I,2,0),VLOOKUP(E48,'12.COT.MERCADO'!A:I,2,0)))),"Em Elaboração")</f>
        <v>DESENTUPIMENTO DE LOUÇAS</v>
      </c>
      <c r="H48" s="305" t="str">
        <f>IFERROR(IF(F48="SINAPI-S",VLOOKUP(E48,'20-B.SINAPI-S'!A:J,3,0),IF(F48="SINAPI-I",VLOOKUP(E48,'20-A.SINAPI-I'!A:G,3,0),IF(F48="COMP.EVENTUAL",VLOOKUP(E48,'11.COMPOSIÇÕES GERAIS'!B:I,3,0),VLOOKUP(E48,'12.COT.MERCADO'!A:I,7,0)))),"Em Elaboração")</f>
        <v>UN</v>
      </c>
      <c r="I48" s="974">
        <v>1.0</v>
      </c>
    </row>
    <row r="49">
      <c r="A49" s="982" t="s">
        <v>4272</v>
      </c>
      <c r="B49" s="975" t="s">
        <v>5095</v>
      </c>
      <c r="C49" s="942" t="s">
        <v>4274</v>
      </c>
      <c r="D49" s="976" t="s">
        <v>5096</v>
      </c>
      <c r="E49" s="941" t="s">
        <v>2017</v>
      </c>
      <c r="F49" s="977" t="s">
        <v>4276</v>
      </c>
      <c r="G49" s="978" t="str">
        <f>IFERROR(IF(F49="SINAPI-S",VLOOKUP(E49,'20-B.SINAPI-S'!A:J,2,0),IF(F49="SINAPI-I",VLOOKUP(E49,'20-A.SINAPI-I'!A:G,2,0),IF(F49="COMP.EVENTUAL",VLOOKUP(E49,'11.COMPOSIÇÕES GERAIS'!B:I,2,0),VLOOKUP(E49,'12.COT.MERCADO'!A:I,2,0)))),"Em Elaboração")</f>
        <v>FORNECIMENTO E INSTALAÇÃO DE REFLETOR LED 5OW DE POTÊNCIA, BRANCO FRIO, 6500K, BIVOLT</v>
      </c>
      <c r="H49" s="934" t="str">
        <f>IFERROR(IF(F49="SINAPI-S",VLOOKUP(E49,'20-B.SINAPI-S'!A:J,3,0),IF(F49="SINAPI-I",VLOOKUP(E49,'20-A.SINAPI-I'!A:G,3,0),IF(F49="COMP.EVENTUAL",VLOOKUP(E49,'11.COMPOSIÇÕES GERAIS'!B:I,3,0),VLOOKUP(E49,'12.COT.MERCADO'!A:I,7,0)))),"Em Elaboração")</f>
        <v>UN</v>
      </c>
      <c r="I49" s="938">
        <v>8.0</v>
      </c>
    </row>
    <row r="50">
      <c r="A50" s="969" t="s">
        <v>4291</v>
      </c>
      <c r="B50" s="969" t="s">
        <v>5097</v>
      </c>
      <c r="C50" s="970" t="s">
        <v>4274</v>
      </c>
      <c r="D50" s="971" t="s">
        <v>5098</v>
      </c>
      <c r="E50" s="306" t="s">
        <v>2014</v>
      </c>
      <c r="F50" s="973" t="s">
        <v>4276</v>
      </c>
      <c r="G50" s="421" t="str">
        <f>IFERROR(IF(F50="SINAPI-S",VLOOKUP(E50,'20-B.SINAPI-S'!A:J,2,0),IF(F50="SINAPI-I",VLOOKUP(E50,'20-A.SINAPI-I'!A:G,2,0),IF(F50="COMP.EVENTUAL",VLOOKUP(E50,'11.COMPOSIÇÕES GERAIS'!B:I,2,0),VLOOKUP(E50,'12.COT.MERCADO'!A:I,2,0)))),"Em Elaboração")</f>
        <v>FORNECIMENTO E INSTALAÇÃO DE RELÊ TÉRMICO BIMETAL PARA USO EM MOTORES TRIFÁSICOS, TENSÃO 380V, POTÊNCIA DE ATÉ 15 CV, CORRENTE NOMINAL MÁXIMA DE 22A</v>
      </c>
      <c r="H50" s="305" t="str">
        <f>IFERROR(IF(F50="SINAPI-S",VLOOKUP(E50,'20-B.SINAPI-S'!A:J,3,0),IF(F50="SINAPI-I",VLOOKUP(E50,'20-A.SINAPI-I'!A:G,3,0),IF(F50="COMP.EVENTUAL",VLOOKUP(E50,'11.COMPOSIÇÕES GERAIS'!B:I,3,0),VLOOKUP(E50,'12.COT.MERCADO'!A:I,7,0)))),"Em Elaboração")</f>
        <v>UN</v>
      </c>
      <c r="I50" s="974">
        <v>10.0</v>
      </c>
    </row>
    <row r="51">
      <c r="A51" s="975" t="s">
        <v>4291</v>
      </c>
      <c r="B51" s="975" t="s">
        <v>5099</v>
      </c>
      <c r="C51" s="942" t="s">
        <v>4274</v>
      </c>
      <c r="D51" s="976" t="s">
        <v>5100</v>
      </c>
      <c r="E51" s="941" t="s">
        <v>1844</v>
      </c>
      <c r="F51" s="977" t="s">
        <v>4276</v>
      </c>
      <c r="G51" s="978" t="str">
        <f>IFERROR(IF(F51="SINAPI-S",VLOOKUP(E51,'20-B.SINAPI-S'!A:J,2,0),IF(F51="SINAPI-I",VLOOKUP(E51,'20-A.SINAPI-I'!A:G,2,0),IF(F51="COMP.EVENTUAL",VLOOKUP(E51,'11.COMPOSIÇÕES GERAIS'!B:I,2,0),VLOOKUP(E51,'12.COT.MERCADO'!A:I,2,0)))),"Em Elaboração")</f>
        <v>FORNECIMENTO E INSTALAÇÃO DE PLACA CENTRAL DE COMANDO UNIVERSAL X2 FULL ST IPEC PARA AUTOMATIZADORES</v>
      </c>
      <c r="H51" s="934" t="str">
        <f>IFERROR(IF(F51="SINAPI-S",VLOOKUP(E51,'20-B.SINAPI-S'!A:J,3,0),IF(F51="SINAPI-I",VLOOKUP(E51,'20-A.SINAPI-I'!A:G,3,0),IF(F51="COMP.EVENTUAL",VLOOKUP(E51,'11.COMPOSIÇÕES GERAIS'!B:I,3,0),VLOOKUP(E51,'12.COT.MERCADO'!A:I,7,0)))),"Em Elaboração")</f>
        <v>UN</v>
      </c>
      <c r="I51" s="938">
        <v>1.0</v>
      </c>
    </row>
    <row r="52">
      <c r="A52" s="969" t="s">
        <v>4291</v>
      </c>
      <c r="B52" s="969" t="s">
        <v>5101</v>
      </c>
      <c r="C52" s="970" t="s">
        <v>4274</v>
      </c>
      <c r="D52" s="971" t="s">
        <v>5102</v>
      </c>
      <c r="E52" s="985" t="s">
        <v>1962</v>
      </c>
      <c r="F52" s="973" t="s">
        <v>4276</v>
      </c>
      <c r="G52" s="421" t="str">
        <f>IFERROR(IF(F52="SINAPI-S",VLOOKUP(E52,'20-B.SINAPI-S'!A:J,2,0),IF(F52="SINAPI-I",VLOOKUP(E52,'20-A.SINAPI-I'!A:G,2,0),IF(F52="COMP.EVENTUAL",VLOOKUP(E52,'11.COMPOSIÇÕES GERAIS'!B:I,2,0),VLOOKUP(E52,'12.COT.MERCADO'!A:I,2,0)))),"Em Elaboração")</f>
        <v>FORNECIMENTO E INSTALAÇÃO DE ADAPTADOR DE PORCELANA PARA LÂMPADA BASE E40 PARA E27</v>
      </c>
      <c r="H52" s="305" t="str">
        <f>IFERROR(IF(F52="SINAPI-S",VLOOKUP(E52,'20-B.SINAPI-S'!A:J,3,0),IF(F52="SINAPI-I",VLOOKUP(E52,'20-A.SINAPI-I'!A:G,3,0),IF(F52="COMP.EVENTUAL",VLOOKUP(E52,'11.COMPOSIÇÕES GERAIS'!B:I,3,0),VLOOKUP(E52,'12.COT.MERCADO'!A:I,7,0)))),"Em Elaboração")</f>
        <v>UN</v>
      </c>
      <c r="I52" s="974">
        <v>40.0</v>
      </c>
    </row>
    <row r="53">
      <c r="A53" s="975" t="s">
        <v>4291</v>
      </c>
      <c r="B53" s="975" t="s">
        <v>5101</v>
      </c>
      <c r="C53" s="942" t="s">
        <v>4274</v>
      </c>
      <c r="D53" s="976" t="s">
        <v>5103</v>
      </c>
      <c r="E53" s="981">
        <v>97611.0</v>
      </c>
      <c r="F53" s="977" t="s">
        <v>218</v>
      </c>
      <c r="G53" s="978" t="str">
        <f>IFERROR(IF(F53="SINAPI-S",VLOOKUP(E53,'20-B.SINAPI-S'!A:J,2,0),IF(F53="SINAPI-I",VLOOKUP(E53,'20-A.SINAPI-I'!A:G,2,0),IF(F53="COMP.EVENTUAL",VLOOKUP(E53,'11.COMPOSIÇÕES GERAIS'!B:I,2,0),VLOOKUP(E53,'12.COT.MERCADO'!A:I,2,0)))),"Em Elaboração")</f>
        <v>LÂMPADA COMPACTA FLUORESCENTE DE 15 W, BASE E27 - FORNECIMENTO E INSTALAÇÃO. AF_02/2020</v>
      </c>
      <c r="H53" s="934" t="str">
        <f>IFERROR(IF(F53="SINAPI-S",VLOOKUP(E53,'20-B.SINAPI-S'!A:J,3,0),IF(F53="SINAPI-I",VLOOKUP(E53,'20-A.SINAPI-I'!A:G,3,0),IF(F53="COMP.EVENTUAL",VLOOKUP(E53,'11.COMPOSIÇÕES GERAIS'!B:I,3,0),VLOOKUP(E53,'12.COT.MERCADO'!A:I,7,0)))),"Em Elaboração")</f>
        <v>UN</v>
      </c>
      <c r="I53" s="938">
        <v>40.0</v>
      </c>
    </row>
    <row r="54">
      <c r="A54" s="969" t="s">
        <v>4291</v>
      </c>
      <c r="B54" s="969" t="s">
        <v>5104</v>
      </c>
      <c r="C54" s="970" t="s">
        <v>4274</v>
      </c>
      <c r="D54" s="971" t="s">
        <v>5105</v>
      </c>
      <c r="E54" s="306">
        <v>100903.0</v>
      </c>
      <c r="F54" s="973" t="s">
        <v>218</v>
      </c>
      <c r="G54" s="421" t="str">
        <f>IFERROR(IF(F54="SINAPI-S",VLOOKUP(E54,'20-B.SINAPI-S'!A:J,2,0),IF(F54="SINAPI-I",VLOOKUP(E54,'20-A.SINAPI-I'!A:G,2,0),IF(F54="COMP.EVENTUAL",VLOOKUP(E54,'11.COMPOSIÇÕES GERAIS'!B:I,2,0),VLOOKUP(E54,'12.COT.MERCADO'!A:I,2,0)))),"Em Elaboração")</f>
        <v>LÂMPADA TUBULAR LED DE 18/20 W, BASE G13 - FORNECIMENTO E INSTALAÇÃO. AF_02/2020_PS</v>
      </c>
      <c r="H54" s="305" t="str">
        <f>IFERROR(IF(F54="SINAPI-S",VLOOKUP(E54,'20-B.SINAPI-S'!A:J,3,0),IF(F54="SINAPI-I",VLOOKUP(E54,'20-A.SINAPI-I'!A:G,3,0),IF(F54="COMP.EVENTUAL",VLOOKUP(E54,'11.COMPOSIÇÕES GERAIS'!B:I,3,0),VLOOKUP(E54,'12.COT.MERCADO'!A:I,7,0)))),"Em Elaboração")</f>
        <v>UN</v>
      </c>
      <c r="I54" s="974">
        <v>4.0</v>
      </c>
    </row>
    <row r="55">
      <c r="A55" s="975" t="s">
        <v>4291</v>
      </c>
      <c r="B55" s="975" t="s">
        <v>5106</v>
      </c>
      <c r="C55" s="942" t="s">
        <v>4274</v>
      </c>
      <c r="D55" s="976" t="s">
        <v>5107</v>
      </c>
      <c r="E55" s="986">
        <v>97599.0</v>
      </c>
      <c r="F55" s="977" t="s">
        <v>218</v>
      </c>
      <c r="G55" s="978" t="str">
        <f>IFERROR(IF(F55="SINAPI-S",VLOOKUP(E55,'20-B.SINAPI-S'!A:J,2,0),IF(F55="SINAPI-I",VLOOKUP(E55,'20-A.SINAPI-I'!A:G,2,0),IF(F55="COMP.EVENTUAL",VLOOKUP(E55,'11.COMPOSIÇÕES GERAIS'!B:I,2,0),VLOOKUP(E55,'12.COT.MERCADO'!A:I,2,0)))),"Em Elaboração")</f>
        <v>LUMINÁRIA DE EMERGÊNCIA, COM 30 LÂMPADAS LED DE 2 W, SEM REATOR - FORNECIMENTO E INSTALAÇÃO. AF_02/2020</v>
      </c>
      <c r="H55" s="934" t="str">
        <f>IFERROR(IF(F55="SINAPI-S",VLOOKUP(E55,'20-B.SINAPI-S'!A:J,3,0),IF(F55="SINAPI-I",VLOOKUP(E55,'20-A.SINAPI-I'!A:G,3,0),IF(F55="COMP.EVENTUAL",VLOOKUP(E55,'11.COMPOSIÇÕES GERAIS'!B:I,3,0),VLOOKUP(E55,'12.COT.MERCADO'!A:I,7,0)))),"Em Elaboração")</f>
        <v>UN</v>
      </c>
      <c r="I55" s="938">
        <v>2.0</v>
      </c>
    </row>
    <row r="56">
      <c r="A56" s="969" t="s">
        <v>4291</v>
      </c>
      <c r="B56" s="969" t="s">
        <v>5108</v>
      </c>
      <c r="C56" s="970" t="s">
        <v>4274</v>
      </c>
      <c r="D56" s="971" t="s">
        <v>5109</v>
      </c>
      <c r="E56" s="987" t="s">
        <v>1874</v>
      </c>
      <c r="F56" s="973" t="s">
        <v>4276</v>
      </c>
      <c r="G56" s="421" t="str">
        <f>IFERROR(IF(F56="SINAPI-S",VLOOKUP(E56,'20-B.SINAPI-S'!A:J,2,0),IF(F56="SINAPI-I",VLOOKUP(E56,'20-A.SINAPI-I'!A:G,2,0),IF(F56="COMP.EVENTUAL",VLOOKUP(E56,'11.COMPOSIÇÕES GERAIS'!B:I,2,0),VLOOKUP(E56,'12.COT.MERCADO'!A:I,2,0)))),"Em Elaboração")</f>
        <v>SUBSTITUIÇÃO DE PLUGUE 2P+T DE 20A, 250V</v>
      </c>
      <c r="H56" s="305" t="str">
        <f>IFERROR(IF(F56="SINAPI-S",VLOOKUP(E56,'20-B.SINAPI-S'!A:J,3,0),IF(F56="SINAPI-I",VLOOKUP(E56,'20-A.SINAPI-I'!A:G,3,0),IF(F56="COMP.EVENTUAL",VLOOKUP(E56,'11.COMPOSIÇÕES GERAIS'!B:I,3,0),VLOOKUP(E56,'12.COT.MERCADO'!A:I,7,0)))),"Em Elaboração")</f>
        <v>UN</v>
      </c>
      <c r="I56" s="974">
        <v>13.0</v>
      </c>
    </row>
    <row r="57">
      <c r="A57" s="975" t="s">
        <v>4291</v>
      </c>
      <c r="B57" s="975" t="s">
        <v>5110</v>
      </c>
      <c r="C57" s="942" t="s">
        <v>4306</v>
      </c>
      <c r="D57" s="976" t="s">
        <v>5111</v>
      </c>
      <c r="E57" s="940">
        <v>86883.0</v>
      </c>
      <c r="F57" s="977" t="s">
        <v>218</v>
      </c>
      <c r="G57" s="978" t="str">
        <f>IFERROR(IF(F57="SINAPI-S",VLOOKUP(E57,'20-B.SINAPI-S'!A:J,2,0),IF(F57="SINAPI-I",VLOOKUP(E57,'20-A.SINAPI-I'!A:G,2,0),IF(F57="COMP.EVENTUAL",VLOOKUP(E57,'11.COMPOSIÇÕES GERAIS'!B:I,2,0),VLOOKUP(E57,'12.COT.MERCADO'!A:I,2,0)))),"Em Elaboração")</f>
        <v>SIFÃO DO TIPO FLEXÍVEL EM PVC 1  X 1.1/2  - FORNECIMENTO E INSTALAÇÃO. AF_01/2020</v>
      </c>
      <c r="H57" s="934" t="str">
        <f>IFERROR(IF(F57="SINAPI-S",VLOOKUP(E57,'20-B.SINAPI-S'!A:J,3,0),IF(F57="SINAPI-I",VLOOKUP(E57,'20-A.SINAPI-I'!A:G,3,0),IF(F57="COMP.EVENTUAL",VLOOKUP(E57,'11.COMPOSIÇÕES GERAIS'!B:I,3,0),VLOOKUP(E57,'12.COT.MERCADO'!A:I,7,0)))),"Em Elaboração")</f>
        <v>UN</v>
      </c>
      <c r="I57" s="938">
        <v>2.0</v>
      </c>
    </row>
    <row r="58">
      <c r="A58" s="969" t="s">
        <v>4291</v>
      </c>
      <c r="B58" s="969" t="s">
        <v>5110</v>
      </c>
      <c r="C58" s="970" t="s">
        <v>4274</v>
      </c>
      <c r="D58" s="971" t="s">
        <v>5112</v>
      </c>
      <c r="E58" s="974" t="s">
        <v>1983</v>
      </c>
      <c r="F58" s="973" t="s">
        <v>4276</v>
      </c>
      <c r="G58" s="421" t="str">
        <f>IFERROR(IF(F58="SINAPI-S",VLOOKUP(E58,'20-B.SINAPI-S'!A:J,2,0),IF(F58="SINAPI-I",VLOOKUP(E58,'20-A.SINAPI-I'!A:G,2,0),IF(F58="COMP.EVENTUAL",VLOOKUP(E58,'11.COMPOSIÇÕES GERAIS'!B:I,2,0),VLOOKUP(E58,'12.COT.MERCADO'!A:I,2,0)))),"Em Elaboração")</f>
        <v>KIT COMPLETO UNIVERSAL PARA REPARO EM CAIXA ACOPLADA - FORNECIMENTO E INSTALAÇÃO</v>
      </c>
      <c r="H58" s="305" t="str">
        <f>IFERROR(IF(F58="SINAPI-S",VLOOKUP(E58,'20-B.SINAPI-S'!A:J,3,0),IF(F58="SINAPI-I",VLOOKUP(E58,'20-A.SINAPI-I'!A:G,3,0),IF(F58="COMP.EVENTUAL",VLOOKUP(E58,'11.COMPOSIÇÕES GERAIS'!B:I,3,0),VLOOKUP(E58,'12.COT.MERCADO'!A:I,7,0)))),"Em Elaboração")</f>
        <v>UN</v>
      </c>
      <c r="I58" s="974">
        <v>1.0</v>
      </c>
    </row>
    <row r="59">
      <c r="A59" s="975" t="s">
        <v>4291</v>
      </c>
      <c r="B59" s="975" t="s">
        <v>5113</v>
      </c>
      <c r="C59" s="942" t="s">
        <v>4306</v>
      </c>
      <c r="D59" s="976" t="s">
        <v>5114</v>
      </c>
      <c r="E59" s="940">
        <v>94796.0</v>
      </c>
      <c r="F59" s="977" t="s">
        <v>218</v>
      </c>
      <c r="G59" s="978" t="str">
        <f>IFERROR(IF(F59="SINAPI-S",VLOOKUP(E59,'20-B.SINAPI-S'!A:J,2,0),IF(F59="SINAPI-I",VLOOKUP(E59,'20-A.SINAPI-I'!A:G,2,0),IF(F59="COMP.EVENTUAL",VLOOKUP(E59,'11.COMPOSIÇÕES GERAIS'!B:I,2,0),VLOOKUP(E59,'12.COT.MERCADO'!A:I,2,0)))),"Em Elaboração")</f>
        <v>TORNEIRA DE BOIA PARA CAIXA D'ÁGUA, ROSCÁVEL, 3/4" - FORNECIMENTO E INSTALAÇÃO. AF_08/2021</v>
      </c>
      <c r="H59" s="934" t="str">
        <f>IFERROR(IF(F59="SINAPI-S",VLOOKUP(E59,'20-B.SINAPI-S'!A:J,3,0),IF(F59="SINAPI-I",VLOOKUP(E59,'20-A.SINAPI-I'!A:G,3,0),IF(F59="COMP.EVENTUAL",VLOOKUP(E59,'11.COMPOSIÇÕES GERAIS'!B:I,3,0),VLOOKUP(E59,'12.COT.MERCADO'!A:I,7,0)))),"Em Elaboração")</f>
        <v>UN</v>
      </c>
      <c r="I59" s="938">
        <v>1.0</v>
      </c>
    </row>
    <row r="60">
      <c r="A60" s="969" t="s">
        <v>4291</v>
      </c>
      <c r="B60" s="969" t="s">
        <v>5108</v>
      </c>
      <c r="C60" s="970" t="s">
        <v>4274</v>
      </c>
      <c r="D60" s="971" t="s">
        <v>5115</v>
      </c>
      <c r="E60" s="985">
        <v>97885.0</v>
      </c>
      <c r="F60" s="973" t="s">
        <v>218</v>
      </c>
      <c r="G60" s="421" t="str">
        <f>IFERROR(IF(F60="SINAPI-S",VLOOKUP(E60,'20-B.SINAPI-S'!A:J,2,0),IF(F60="SINAPI-I",VLOOKUP(E60,'20-A.SINAPI-I'!A:G,2,0),IF(F60="COMP.EVENTUAL",VLOOKUP(E60,'11.COMPOSIÇÕES GERAIS'!B:I,2,0),VLOOKUP(E60,'12.COT.MERCADO'!A:I,2,0)))),"Em Elaboração")</f>
        <v>CAIXA ENTERRADA ELÉTRICA RETANGULAR, EM CONCRETO PRÉ-MOLDADO, FUNDO COM BRITA, DIMENSÕES INTERNAS: 1X1X0,5 M. AF_12/2020</v>
      </c>
      <c r="H60" s="305" t="str">
        <f>IFERROR(IF(F60="SINAPI-S",VLOOKUP(E60,'20-B.SINAPI-S'!A:J,3,0),IF(F60="SINAPI-I",VLOOKUP(E60,'20-A.SINAPI-I'!A:G,3,0),IF(F60="COMP.EVENTUAL",VLOOKUP(E60,'11.COMPOSIÇÕES GERAIS'!B:I,3,0),VLOOKUP(E60,'12.COT.MERCADO'!A:I,7,0)))),"Em Elaboração")</f>
        <v>UN</v>
      </c>
      <c r="I60" s="974">
        <v>9.0</v>
      </c>
    </row>
    <row r="61">
      <c r="A61" s="975" t="s">
        <v>4291</v>
      </c>
      <c r="B61" s="975" t="s">
        <v>5108</v>
      </c>
      <c r="C61" s="942" t="s">
        <v>4274</v>
      </c>
      <c r="D61" s="976" t="s">
        <v>5116</v>
      </c>
      <c r="E61" s="940">
        <v>92871.0</v>
      </c>
      <c r="F61" s="977" t="s">
        <v>218</v>
      </c>
      <c r="G61" s="978" t="str">
        <f>IFERROR(IF(F61="SINAPI-S",VLOOKUP(E61,'20-B.SINAPI-S'!A:J,2,0),IF(F61="SINAPI-I",VLOOKUP(E61,'20-A.SINAPI-I'!A:G,2,0),IF(F61="COMP.EVENTUAL",VLOOKUP(E61,'11.COMPOSIÇÕES GERAIS'!B:I,2,0),VLOOKUP(E61,'12.COT.MERCADO'!A:I,2,0)))),"Em Elaboração")</f>
        <v>CAIXA RETANGULAR 4" X 4" MÉDIA (1,30 M DO PISO), METÁLICA, INSTALADA EM PAREDE - FORNECIMENTO E INSTALAÇÃO. AF_03/2023</v>
      </c>
      <c r="H61" s="934" t="str">
        <f>IFERROR(IF(F61="SINAPI-S",VLOOKUP(E61,'20-B.SINAPI-S'!A:J,3,0),IF(F61="SINAPI-I",VLOOKUP(E61,'20-A.SINAPI-I'!A:G,3,0),IF(F61="COMP.EVENTUAL",VLOOKUP(E61,'11.COMPOSIÇÕES GERAIS'!B:I,3,0),VLOOKUP(E61,'12.COT.MERCADO'!A:I,7,0)))),"Em Elaboração")</f>
        <v>UN</v>
      </c>
      <c r="I61" s="938">
        <v>1.0</v>
      </c>
    </row>
    <row r="62">
      <c r="A62" s="969" t="s">
        <v>4291</v>
      </c>
      <c r="B62" s="969" t="s">
        <v>5108</v>
      </c>
      <c r="C62" s="970" t="s">
        <v>4274</v>
      </c>
      <c r="D62" s="971" t="s">
        <v>5109</v>
      </c>
      <c r="E62" s="985" t="s">
        <v>1874</v>
      </c>
      <c r="F62" s="973" t="s">
        <v>4276</v>
      </c>
      <c r="G62" s="421" t="str">
        <f>IFERROR(IF(F62="SINAPI-S",VLOOKUP(E62,'20-B.SINAPI-S'!A:J,2,0),IF(F62="SINAPI-I",VLOOKUP(E62,'20-A.SINAPI-I'!A:G,2,0),IF(F62="COMP.EVENTUAL",VLOOKUP(E62,'11.COMPOSIÇÕES GERAIS'!B:I,2,0),VLOOKUP(E62,'12.COT.MERCADO'!A:I,2,0)))),"Em Elaboração")</f>
        <v>SUBSTITUIÇÃO DE PLUGUE 2P+T DE 20A, 250V</v>
      </c>
      <c r="H62" s="305" t="str">
        <f>IFERROR(IF(F62="SINAPI-S",VLOOKUP(E62,'20-B.SINAPI-S'!A:J,3,0),IF(F62="SINAPI-I",VLOOKUP(E62,'20-A.SINAPI-I'!A:G,3,0),IF(F62="COMP.EVENTUAL",VLOOKUP(E62,'11.COMPOSIÇÕES GERAIS'!B:I,3,0),VLOOKUP(E62,'12.COT.MERCADO'!A:I,7,0)))),"Em Elaboração")</f>
        <v>UN</v>
      </c>
      <c r="I62" s="974">
        <v>13.0</v>
      </c>
    </row>
    <row r="63">
      <c r="A63" s="975" t="s">
        <v>4291</v>
      </c>
      <c r="B63" s="975" t="s">
        <v>5108</v>
      </c>
      <c r="C63" s="942" t="s">
        <v>4274</v>
      </c>
      <c r="D63" s="976" t="s">
        <v>5117</v>
      </c>
      <c r="E63" s="940" t="s">
        <v>1973</v>
      </c>
      <c r="F63" s="977" t="s">
        <v>4276</v>
      </c>
      <c r="G63" s="978" t="str">
        <f>IFERROR(IF(F63="SINAPI-S",VLOOKUP(E63,'20-B.SINAPI-S'!A:J,2,0),IF(F63="SINAPI-I",VLOOKUP(E63,'20-A.SINAPI-I'!A:G,2,0),IF(F63="COMP.EVENTUAL",VLOOKUP(E63,'11.COMPOSIÇÕES GERAIS'!B:I,2,0),VLOOKUP(E63,'12.COT.MERCADO'!A:I,2,0)))),"Em Elaboração")</f>
        <v>FORNECIMENTO E INSTALAÇÃO DE CABO DE COBRE PP CORDPLAST 3 X 2,5MM2, 450/750V</v>
      </c>
      <c r="H63" s="934" t="str">
        <f>IFERROR(IF(F63="SINAPI-S",VLOOKUP(E63,'20-B.SINAPI-S'!A:J,3,0),IF(F63="SINAPI-I",VLOOKUP(E63,'20-A.SINAPI-I'!A:G,3,0),IF(F63="COMP.EVENTUAL",VLOOKUP(E63,'11.COMPOSIÇÕES GERAIS'!B:I,3,0),VLOOKUP(E63,'12.COT.MERCADO'!A:I,7,0)))),"Em Elaboração")</f>
        <v>M</v>
      </c>
      <c r="I63" s="938">
        <v>28.0</v>
      </c>
    </row>
    <row r="64">
      <c r="A64" s="969" t="s">
        <v>4291</v>
      </c>
      <c r="B64" s="969" t="s">
        <v>5108</v>
      </c>
      <c r="C64" s="970" t="s">
        <v>4274</v>
      </c>
      <c r="D64" s="971" t="s">
        <v>5117</v>
      </c>
      <c r="E64" s="985" t="s">
        <v>1973</v>
      </c>
      <c r="F64" s="973" t="s">
        <v>4276</v>
      </c>
      <c r="G64" s="421" t="str">
        <f>IFERROR(IF(F64="SINAPI-S",VLOOKUP(E64,'20-B.SINAPI-S'!A:J,2,0),IF(F64="SINAPI-I",VLOOKUP(E64,'20-A.SINAPI-I'!A:G,2,0),IF(F64="COMP.EVENTUAL",VLOOKUP(E64,'11.COMPOSIÇÕES GERAIS'!B:I,2,0),VLOOKUP(E64,'12.COT.MERCADO'!A:I,2,0)))),"Em Elaboração")</f>
        <v>FORNECIMENTO E INSTALAÇÃO DE CABO DE COBRE PP CORDPLAST 3 X 2,5MM2, 450/750V</v>
      </c>
      <c r="H64" s="305" t="str">
        <f>IFERROR(IF(F64="SINAPI-S",VLOOKUP(E64,'20-B.SINAPI-S'!A:J,3,0),IF(F64="SINAPI-I",VLOOKUP(E64,'20-A.SINAPI-I'!A:G,3,0),IF(F64="COMP.EVENTUAL",VLOOKUP(E64,'11.COMPOSIÇÕES GERAIS'!B:I,3,0),VLOOKUP(E64,'12.COT.MERCADO'!A:I,7,0)))),"Em Elaboração")</f>
        <v>M</v>
      </c>
      <c r="I64" s="974">
        <v>10.0</v>
      </c>
    </row>
    <row r="65">
      <c r="A65" s="975" t="s">
        <v>4291</v>
      </c>
      <c r="B65" s="975" t="s">
        <v>5108</v>
      </c>
      <c r="C65" s="942" t="s">
        <v>4297</v>
      </c>
      <c r="D65" s="976" t="s">
        <v>5118</v>
      </c>
      <c r="E65" s="940">
        <v>11960.0</v>
      </c>
      <c r="F65" s="977" t="s">
        <v>286</v>
      </c>
      <c r="G65" s="978" t="str">
        <f>IFERROR(IF(F65="SINAPI-S",VLOOKUP(E65,'20-B.SINAPI-S'!A:J,2,0),IF(F65="SINAPI-I",VLOOKUP(E65,'20-A.SINAPI-I'!A:G,2,0),IF(F65="COMP.EVENTUAL",VLOOKUP(E65,'11.COMPOSIÇÕES GERAIS'!B:I,2,0),VLOOKUP(E65,'12.COT.MERCADO'!A:I,2,0)))),"Em Elaboração")</f>
        <v>PARAFUSO DE LATAO COM ROSCA SOBERBA, CABECA CHATA E FENDA SIMPLES, DIAMETRO 2,5 MM, COMPRIMENTO 12 MM</v>
      </c>
      <c r="H65" s="934" t="str">
        <f>IFERROR(IF(F65="SINAPI-S",VLOOKUP(E65,'20-B.SINAPI-S'!A:J,3,0),IF(F65="SINAPI-I",VLOOKUP(E65,'20-A.SINAPI-I'!A:G,3,0),IF(F65="COMP.EVENTUAL",VLOOKUP(E65,'11.COMPOSIÇÕES GERAIS'!B:I,3,0),VLOOKUP(E65,'12.COT.MERCADO'!A:I,7,0)))),"Em Elaboração")</f>
        <v>UN</v>
      </c>
      <c r="I65" s="938">
        <v>40.0</v>
      </c>
    </row>
    <row r="66">
      <c r="A66" s="969" t="s">
        <v>4291</v>
      </c>
      <c r="B66" s="969" t="s">
        <v>5119</v>
      </c>
      <c r="C66" s="970" t="s">
        <v>4274</v>
      </c>
      <c r="D66" s="971" t="s">
        <v>5120</v>
      </c>
      <c r="E66" s="985" t="s">
        <v>2023</v>
      </c>
      <c r="F66" s="973" t="s">
        <v>4276</v>
      </c>
      <c r="G66" s="421" t="str">
        <f>IFERROR(IF(F66="SINAPI-S",VLOOKUP(E66,'20-B.SINAPI-S'!A:J,2,0),IF(F66="SINAPI-I",VLOOKUP(E66,'20-A.SINAPI-I'!A:G,2,0),IF(F66="COMP.EVENTUAL",VLOOKUP(E66,'11.COMPOSIÇÕES GERAIS'!B:I,2,0),VLOOKUP(E66,'12.COT.MERCADO'!A:I,2,0)))),"Em Elaboração")</f>
        <v>CONECTOR DE DERIVAÇÃO PERFURANTE 10-95MM2</v>
      </c>
      <c r="H66" s="305" t="str">
        <f>IFERROR(IF(F66="SINAPI-S",VLOOKUP(E66,'20-B.SINAPI-S'!A:J,3,0),IF(F66="SINAPI-I",VLOOKUP(E66,'20-A.SINAPI-I'!A:G,3,0),IF(F66="COMP.EVENTUAL",VLOOKUP(E66,'11.COMPOSIÇÕES GERAIS'!B:I,3,0),VLOOKUP(E66,'12.COT.MERCADO'!A:I,7,0)))),"Em Elaboração")</f>
        <v>UN</v>
      </c>
      <c r="I66" s="974">
        <v>8.0</v>
      </c>
    </row>
    <row r="67">
      <c r="A67" s="975" t="s">
        <v>4291</v>
      </c>
      <c r="B67" s="975" t="s">
        <v>5121</v>
      </c>
      <c r="C67" s="942" t="s">
        <v>4274</v>
      </c>
      <c r="D67" s="976" t="s">
        <v>5122</v>
      </c>
      <c r="E67" s="940">
        <v>101894.0</v>
      </c>
      <c r="F67" s="977" t="s">
        <v>218</v>
      </c>
      <c r="G67" s="978" t="str">
        <f>IFERROR(IF(F67="SINAPI-S",VLOOKUP(E67,'20-B.SINAPI-S'!A:J,2,0),IF(F67="SINAPI-I",VLOOKUP(E67,'20-A.SINAPI-I'!A:G,2,0),IF(F67="COMP.EVENTUAL",VLOOKUP(E67,'11.COMPOSIÇÕES GERAIS'!B:I,2,0),VLOOKUP(E67,'12.COT.MERCADO'!A:I,2,0)))),"Em Elaboração")</f>
        <v>DISJUNTOR TRIPOLAR TIPO NEMA, CORRENTE NOMINAL DE 60 ATÉ 100A - FORNECIMENTO E INSTALAÇÃO. AF_10/2020</v>
      </c>
      <c r="H67" s="934" t="str">
        <f>IFERROR(IF(F67="SINAPI-S",VLOOKUP(E67,'20-B.SINAPI-S'!A:J,3,0),IF(F67="SINAPI-I",VLOOKUP(E67,'20-A.SINAPI-I'!A:G,3,0),IF(F67="COMP.EVENTUAL",VLOOKUP(E67,'11.COMPOSIÇÕES GERAIS'!B:I,3,0),VLOOKUP(E67,'12.COT.MERCADO'!A:I,7,0)))),"Em Elaboração")</f>
        <v>UN</v>
      </c>
      <c r="I67" s="938">
        <v>1.0</v>
      </c>
    </row>
    <row r="68">
      <c r="A68" s="969" t="s">
        <v>4291</v>
      </c>
      <c r="B68" s="969" t="s">
        <v>5110</v>
      </c>
      <c r="C68" s="970" t="s">
        <v>4306</v>
      </c>
      <c r="D68" s="971" t="s">
        <v>5111</v>
      </c>
      <c r="E68" s="985">
        <v>86883.0</v>
      </c>
      <c r="F68" s="973" t="s">
        <v>218</v>
      </c>
      <c r="G68" s="421" t="str">
        <f>IFERROR(IF(F68="SINAPI-S",VLOOKUP(E68,'20-B.SINAPI-S'!A:J,2,0),IF(F68="SINAPI-I",VLOOKUP(E68,'20-A.SINAPI-I'!A:G,2,0),IF(F68="COMP.EVENTUAL",VLOOKUP(E68,'11.COMPOSIÇÕES GERAIS'!B:I,2,0),VLOOKUP(E68,'12.COT.MERCADO'!A:I,2,0)))),"Em Elaboração")</f>
        <v>SIFÃO DO TIPO FLEXÍVEL EM PVC 1  X 1.1/2  - FORNECIMENTO E INSTALAÇÃO. AF_01/2020</v>
      </c>
      <c r="H68" s="305" t="str">
        <f>IFERROR(IF(F68="SINAPI-S",VLOOKUP(E68,'20-B.SINAPI-S'!A:J,3,0),IF(F68="SINAPI-I",VLOOKUP(E68,'20-A.SINAPI-I'!A:G,3,0),IF(F68="COMP.EVENTUAL",VLOOKUP(E68,'11.COMPOSIÇÕES GERAIS'!B:I,3,0),VLOOKUP(E68,'12.COT.MERCADO'!A:I,7,0)))),"Em Elaboração")</f>
        <v>UN</v>
      </c>
      <c r="I68" s="974">
        <v>2.0</v>
      </c>
    </row>
    <row r="69">
      <c r="A69" s="975" t="s">
        <v>4291</v>
      </c>
      <c r="B69" s="975" t="s">
        <v>5113</v>
      </c>
      <c r="C69" s="942" t="s">
        <v>4297</v>
      </c>
      <c r="D69" s="976" t="s">
        <v>5123</v>
      </c>
      <c r="E69" s="940" t="s">
        <v>1966</v>
      </c>
      <c r="F69" s="977" t="s">
        <v>4276</v>
      </c>
      <c r="G69" s="978" t="str">
        <f>IFERROR(IF(F69="SINAPI-S",VLOOKUP(E69,'20-B.SINAPI-S'!A:J,2,0),IF(F69="SINAPI-I",VLOOKUP(E69,'20-A.SINAPI-I'!A:G,2,0),IF(F69="COMP.EVENTUAL",VLOOKUP(E69,'11.COMPOSIÇÕES GERAIS'!B:I,2,0),VLOOKUP(E69,'12.COT.MERCADO'!A:I,2,0)))),"Em Elaboração")</f>
        <v>FORNECIMENTO E INSTALAÇÃO DE  MOLA HIDRÁULICA AÉREA PARA PORTAS ATÉ 950MM E PESO DE ATÉ 65KG, COM CORPO EM ALUMÍNIO E BRAÇO DE AÇO, SEM BRAÇO DE PARADA</v>
      </c>
      <c r="H69" s="934" t="str">
        <f>IFERROR(IF(F69="SINAPI-S",VLOOKUP(E69,'20-B.SINAPI-S'!A:J,3,0),IF(F69="SINAPI-I",VLOOKUP(E69,'20-A.SINAPI-I'!A:G,3,0),IF(F69="COMP.EVENTUAL",VLOOKUP(E69,'11.COMPOSIÇÕES GERAIS'!B:I,3,0),VLOOKUP(E69,'12.COT.MERCADO'!A:I,7,0)))),"Em Elaboração")</f>
        <v>UN</v>
      </c>
      <c r="I69" s="938">
        <v>1.0</v>
      </c>
    </row>
    <row r="70">
      <c r="A70" s="969" t="s">
        <v>4291</v>
      </c>
      <c r="B70" s="969" t="s">
        <v>5124</v>
      </c>
      <c r="C70" s="970" t="s">
        <v>4274</v>
      </c>
      <c r="D70" s="971" t="s">
        <v>5125</v>
      </c>
      <c r="E70" s="985">
        <v>101901.0</v>
      </c>
      <c r="F70" s="973" t="s">
        <v>218</v>
      </c>
      <c r="G70" s="421" t="str">
        <f>IFERROR(IF(F70="SINAPI-S",VLOOKUP(E70,'20-B.SINAPI-S'!A:J,2,0),IF(F70="SINAPI-I",VLOOKUP(E70,'20-A.SINAPI-I'!A:G,2,0),IF(F70="COMP.EVENTUAL",VLOOKUP(E70,'11.COMPOSIÇÕES GERAIS'!B:I,2,0),VLOOKUP(E70,'12.COT.MERCADO'!A:I,2,0)))),"Em Elaboração")</f>
        <v>CONTATOR TRIPOLAR I NOMINAL 12A - FORNECIMENTO E INSTALAÇÃO. AF_10/2020</v>
      </c>
      <c r="H70" s="305" t="str">
        <f>IFERROR(IF(F70="SINAPI-S",VLOOKUP(E70,'20-B.SINAPI-S'!A:J,3,0),IF(F70="SINAPI-I",VLOOKUP(E70,'20-A.SINAPI-I'!A:G,3,0),IF(F70="COMP.EVENTUAL",VLOOKUP(E70,'11.COMPOSIÇÕES GERAIS'!B:I,3,0),VLOOKUP(E70,'12.COT.MERCADO'!A:I,7,0)))),"Em Elaboração")</f>
        <v>UN</v>
      </c>
      <c r="I70" s="974">
        <v>2.0</v>
      </c>
    </row>
    <row r="71">
      <c r="A71" s="975" t="s">
        <v>4291</v>
      </c>
      <c r="B71" s="975" t="s">
        <v>5124</v>
      </c>
      <c r="C71" s="942" t="s">
        <v>4274</v>
      </c>
      <c r="D71" s="976" t="s">
        <v>5126</v>
      </c>
      <c r="E71" s="940" t="s">
        <v>1969</v>
      </c>
      <c r="F71" s="977" t="s">
        <v>4276</v>
      </c>
      <c r="G71" s="978" t="str">
        <f>IFERROR(IF(F71="SINAPI-S",VLOOKUP(E71,'20-B.SINAPI-S'!A:J,2,0),IF(F71="SINAPI-I",VLOOKUP(E71,'20-A.SINAPI-I'!A:G,2,0),IF(F71="COMP.EVENTUAL",VLOOKUP(E71,'11.COMPOSIÇÕES GERAIS'!B:I,2,0),VLOOKUP(E71,'12.COT.MERCADO'!A:I,2,0)))),"Em Elaboração")</f>
        <v>FORNECIMENTO E INSTALAÇÃO DE BOBINA PARA CONTATOR CWM9 A CWM25, 380V</v>
      </c>
      <c r="H71" s="934" t="str">
        <f>IFERROR(IF(F71="SINAPI-S",VLOOKUP(E71,'20-B.SINAPI-S'!A:J,3,0),IF(F71="SINAPI-I",VLOOKUP(E71,'20-A.SINAPI-I'!A:G,3,0),IF(F71="COMP.EVENTUAL",VLOOKUP(E71,'11.COMPOSIÇÕES GERAIS'!B:I,3,0),VLOOKUP(E71,'12.COT.MERCADO'!A:I,7,0)))),"Em Elaboração")</f>
        <v>UN</v>
      </c>
      <c r="I71" s="938">
        <v>2.0</v>
      </c>
    </row>
    <row r="72">
      <c r="A72" s="969" t="s">
        <v>4291</v>
      </c>
      <c r="B72" s="969" t="s">
        <v>5127</v>
      </c>
      <c r="C72" s="970" t="s">
        <v>4306</v>
      </c>
      <c r="D72" s="971" t="s">
        <v>5128</v>
      </c>
      <c r="E72" s="985">
        <v>89379.0</v>
      </c>
      <c r="F72" s="973" t="s">
        <v>218</v>
      </c>
      <c r="G72" s="421" t="str">
        <f>IFERROR(IF(F72="SINAPI-S",VLOOKUP(E72,'20-B.SINAPI-S'!A:J,2,0),IF(F72="SINAPI-I",VLOOKUP(E72,'20-A.SINAPI-I'!A:G,2,0),IF(F72="COMP.EVENTUAL",VLOOKUP(E72,'11.COMPOSIÇÕES GERAIS'!B:I,2,0),VLOOKUP(E72,'12.COT.MERCADO'!A:I,2,0)))),"Em Elaboração")</f>
        <v>LUVA DE CORRER, PVC, SOLDÁVEL, DN 25MM, INSTALADO EM RAMAL OU SUB-RAMAL DE ÁGUA - FORNECIMENTO E INSTALAÇÃO. AF_12/2014</v>
      </c>
      <c r="H72" s="305" t="str">
        <f>IFERROR(IF(F72="SINAPI-S",VLOOKUP(E72,'20-B.SINAPI-S'!A:J,3,0),IF(F72="SINAPI-I",VLOOKUP(E72,'20-A.SINAPI-I'!A:G,3,0),IF(F72="COMP.EVENTUAL",VLOOKUP(E72,'11.COMPOSIÇÕES GERAIS'!B:I,3,0),VLOOKUP(E72,'12.COT.MERCADO'!A:I,7,0)))),"Em Elaboração")</f>
        <v>UN</v>
      </c>
      <c r="I72" s="974">
        <v>2.0</v>
      </c>
    </row>
    <row r="73">
      <c r="A73" s="975" t="s">
        <v>4291</v>
      </c>
      <c r="B73" s="975" t="s">
        <v>5127</v>
      </c>
      <c r="C73" s="942" t="s">
        <v>4306</v>
      </c>
      <c r="D73" s="976" t="s">
        <v>5129</v>
      </c>
      <c r="E73" s="940">
        <v>89381.0</v>
      </c>
      <c r="F73" s="977" t="s">
        <v>218</v>
      </c>
      <c r="G73" s="978" t="str">
        <f>IFERROR(IF(F73="SINAPI-S",VLOOKUP(E73,'20-B.SINAPI-S'!A:J,2,0),IF(F73="SINAPI-I",VLOOKUP(E73,'20-A.SINAPI-I'!A:G,2,0),IF(F73="COMP.EVENTUAL",VLOOKUP(E73,'11.COMPOSIÇÕES GERAIS'!B:I,2,0),VLOOKUP(E73,'12.COT.MERCADO'!A:I,2,0)))),"Em Elaboração")</f>
        <v>LUVA COM BUCHA DE LATÃO, PVC, SOLDÁVEL, DN 25MM X 3/4 , INSTALADO EM RAMAL OU SUB-RAMAL DE ÁGUA - FORNECIMENTO E INSTALAÇÃO. AF_06/2022</v>
      </c>
      <c r="H73" s="934" t="str">
        <f>IFERROR(IF(F73="SINAPI-S",VLOOKUP(E73,'20-B.SINAPI-S'!A:J,3,0),IF(F73="SINAPI-I",VLOOKUP(E73,'20-A.SINAPI-I'!A:G,3,0),IF(F73="COMP.EVENTUAL",VLOOKUP(E73,'11.COMPOSIÇÕES GERAIS'!B:I,3,0),VLOOKUP(E73,'12.COT.MERCADO'!A:I,7,0)))),"Em Elaboração")</f>
        <v>UN</v>
      </c>
      <c r="I73" s="938">
        <v>1.0</v>
      </c>
    </row>
    <row r="74">
      <c r="A74" s="969" t="s">
        <v>4291</v>
      </c>
      <c r="B74" s="969" t="s">
        <v>5127</v>
      </c>
      <c r="C74" s="970" t="s">
        <v>4306</v>
      </c>
      <c r="D74" s="971" t="s">
        <v>5130</v>
      </c>
      <c r="E74" s="985">
        <v>91785.0</v>
      </c>
      <c r="F74" s="973" t="s">
        <v>218</v>
      </c>
      <c r="G74" s="421" t="str">
        <f>IFERROR(IF(F74="SINAPI-S",VLOOKUP(E74,'20-B.SINAPI-S'!A:J,2,0),IF(F74="SINAPI-I",VLOOKUP(E74,'20-A.SINAPI-I'!A:G,2,0),IF(F74="COMP.EVENTUAL",VLOOKUP(E74,'11.COMPOSIÇÕES GERAIS'!B:I,2,0),VLOOKUP(E74,'12.COT.MERCADO'!A:I,2,0)))),"Em Elaboração")</f>
        <v>(COMPOSIÇÃO REPRESENTATIVA) DO SERVIÇO DE INSTALAÇÃO DE TUBOS DE PVC, SOLDÁVEL, ÁGUA FRIA, DN 25 MM (INSTALADO EM RAMAL, SUB-RAMAL, RAMAL DE DISTRIBUIÇÃO OU PRUMADA), INCLUSIVE CONEXÕES, CORTES E FIXAÇÕES, PARA PRÉDIOS. AF_10/2015</v>
      </c>
      <c r="H74" s="305" t="str">
        <f>IFERROR(IF(F74="SINAPI-S",VLOOKUP(E74,'20-B.SINAPI-S'!A:J,3,0),IF(F74="SINAPI-I",VLOOKUP(E74,'20-A.SINAPI-I'!A:G,3,0),IF(F74="COMP.EVENTUAL",VLOOKUP(E74,'11.COMPOSIÇÕES GERAIS'!B:I,3,0),VLOOKUP(E74,'12.COT.MERCADO'!A:I,7,0)))),"Em Elaboração")</f>
        <v>M</v>
      </c>
      <c r="I74" s="974">
        <v>3.0</v>
      </c>
    </row>
    <row r="75">
      <c r="A75" s="975" t="s">
        <v>4291</v>
      </c>
      <c r="B75" s="975" t="s">
        <v>5131</v>
      </c>
      <c r="C75" s="942" t="s">
        <v>4297</v>
      </c>
      <c r="D75" s="976" t="s">
        <v>5132</v>
      </c>
      <c r="E75" s="940" t="s">
        <v>1935</v>
      </c>
      <c r="F75" s="977" t="s">
        <v>4276</v>
      </c>
      <c r="G75" s="978" t="str">
        <f>IFERROR(IF(F75="SINAPI-S",VLOOKUP(E75,'20-B.SINAPI-S'!A:J,2,0),IF(F75="SINAPI-I",VLOOKUP(E75,'20-A.SINAPI-I'!A:G,2,0),IF(F75="COMP.EVENTUAL",VLOOKUP(E75,'11.COMPOSIÇÕES GERAIS'!B:I,2,0),VLOOKUP(E75,'12.COT.MERCADO'!A:I,2,0)))),"Em Elaboração")</f>
        <v>FECHADURA DE SOBREPOR PAR APORTA CORTA FOGO (SEM CHAVE) - FORNECIMENTO E INSTALAÇÃO</v>
      </c>
      <c r="H75" s="934" t="str">
        <f>IFERROR(IF(F75="SINAPI-S",VLOOKUP(E75,'20-B.SINAPI-S'!A:J,3,0),IF(F75="SINAPI-I",VLOOKUP(E75,'20-A.SINAPI-I'!A:G,3,0),IF(F75="COMP.EVENTUAL",VLOOKUP(E75,'11.COMPOSIÇÕES GERAIS'!B:I,3,0),VLOOKUP(E75,'12.COT.MERCADO'!A:I,7,0)))),"Em Elaboração")</f>
        <v>UN</v>
      </c>
      <c r="I75" s="938">
        <v>1.0</v>
      </c>
    </row>
    <row r="76">
      <c r="A76" s="969" t="s">
        <v>4291</v>
      </c>
      <c r="B76" s="969" t="s">
        <v>5133</v>
      </c>
      <c r="C76" s="970" t="s">
        <v>4297</v>
      </c>
      <c r="D76" s="971" t="s">
        <v>5134</v>
      </c>
      <c r="E76" s="985" t="s">
        <v>1799</v>
      </c>
      <c r="F76" s="973" t="s">
        <v>4276</v>
      </c>
      <c r="G76" s="421" t="str">
        <f>IFERROR(IF(F76="SINAPI-S",VLOOKUP(E76,'20-B.SINAPI-S'!A:J,2,0),IF(F76="SINAPI-I",VLOOKUP(E76,'20-A.SINAPI-I'!A:G,2,0),IF(F76="COMP.EVENTUAL",VLOOKUP(E76,'11.COMPOSIÇÕES GERAIS'!B:I,2,0),VLOOKUP(E76,'12.COT.MERCADO'!A:I,2,0)))),"Em Elaboração")</f>
        <v>FORNECIMENTO E INSTALAÇÃO DE PLACAS DE FORRO DE FIBRA MINERAL - EXCLUSIVE ESTRUTURA DE SUSTENTAÇÃO</v>
      </c>
      <c r="H76" s="305" t="str">
        <f>IFERROR(IF(F76="SINAPI-S",VLOOKUP(E76,'20-B.SINAPI-S'!A:J,3,0),IF(F76="SINAPI-I",VLOOKUP(E76,'20-A.SINAPI-I'!A:G,3,0),IF(F76="COMP.EVENTUAL",VLOOKUP(E76,'11.COMPOSIÇÕES GERAIS'!B:I,3,0),VLOOKUP(E76,'12.COT.MERCADO'!A:I,7,0)))),"Em Elaboração")</f>
        <v>UN</v>
      </c>
      <c r="I76" s="974">
        <v>12.0</v>
      </c>
    </row>
    <row r="77">
      <c r="A77" s="975" t="s">
        <v>4291</v>
      </c>
      <c r="B77" s="975">
        <v>23016.0</v>
      </c>
      <c r="C77" s="942" t="s">
        <v>4297</v>
      </c>
      <c r="D77" s="976" t="s">
        <v>5135</v>
      </c>
      <c r="E77" s="940">
        <v>93203.0</v>
      </c>
      <c r="F77" s="977" t="s">
        <v>218</v>
      </c>
      <c r="G77" s="978" t="str">
        <f>IFERROR(IF(F77="SINAPI-S",VLOOKUP(E77,'20-B.SINAPI-S'!A:J,2,0),IF(F77="SINAPI-I",VLOOKUP(E77,'20-A.SINAPI-I'!A:G,2,0),IF(F77="COMP.EVENTUAL",VLOOKUP(E77,'11.COMPOSIÇÕES GERAIS'!B:I,2,0),VLOOKUP(E77,'12.COT.MERCADO'!A:I,2,0)))),"Em Elaboração")</f>
        <v>FIXAÇÃO (ENCUNHAMENTO) DE ALVENARIA DE VEDAÇÃO COM ESPUMA DE POLIURETANO EXPANSIVA. AF_03/2016</v>
      </c>
      <c r="H77" s="934" t="str">
        <f>IFERROR(IF(F77="SINAPI-S",VLOOKUP(E77,'20-B.SINAPI-S'!A:J,3,0),IF(F77="SINAPI-I",VLOOKUP(E77,'20-A.SINAPI-I'!A:G,3,0),IF(F77="COMP.EVENTUAL",VLOOKUP(E77,'11.COMPOSIÇÕES GERAIS'!B:I,3,0),VLOOKUP(E77,'12.COT.MERCADO'!A:I,7,0)))),"Em Elaboração")</f>
        <v>M</v>
      </c>
      <c r="I77" s="938">
        <v>3.0</v>
      </c>
    </row>
    <row r="78">
      <c r="A78" s="969" t="s">
        <v>4291</v>
      </c>
      <c r="B78" s="969">
        <v>23019.0</v>
      </c>
      <c r="C78" s="970" t="s">
        <v>4297</v>
      </c>
      <c r="D78" s="971" t="s">
        <v>5136</v>
      </c>
      <c r="E78" s="985" t="s">
        <v>1791</v>
      </c>
      <c r="F78" s="973" t="s">
        <v>4276</v>
      </c>
      <c r="G78" s="421" t="str">
        <f>IFERROR(IF(F78="SINAPI-S",VLOOKUP(E78,'20-B.SINAPI-S'!A:J,2,0),IF(F78="SINAPI-I",VLOOKUP(E78,'20-A.SINAPI-I'!A:G,2,0),IF(F78="COMP.EVENTUAL",VLOOKUP(E78,'11.COMPOSIÇÕES GERAIS'!B:I,2,0),VLOOKUP(E78,'12.COT.MERCADO'!A:I,2,0)))),"Em Elaboração")</f>
        <v>FORNECIMENTO E INSTALAÇÃO DE CABO DE AÇO 1/8 REVESTIDO COM PVC, TOTAL 50M, PARA PORTA BANDEIRAS</v>
      </c>
      <c r="H78" s="305" t="str">
        <f>IFERROR(IF(F78="SINAPI-S",VLOOKUP(E78,'20-B.SINAPI-S'!A:J,3,0),IF(F78="SINAPI-I",VLOOKUP(E78,'20-A.SINAPI-I'!A:G,3,0),IF(F78="COMP.EVENTUAL",VLOOKUP(E78,'11.COMPOSIÇÕES GERAIS'!B:I,3,0),VLOOKUP(E78,'12.COT.MERCADO'!A:I,7,0)))),"Em Elaboração")</f>
        <v>UN</v>
      </c>
      <c r="I78" s="974">
        <v>1.0</v>
      </c>
    </row>
    <row r="79">
      <c r="A79" s="975" t="s">
        <v>4334</v>
      </c>
      <c r="B79" s="975" t="s">
        <v>5137</v>
      </c>
      <c r="C79" s="942" t="s">
        <v>4297</v>
      </c>
      <c r="D79" s="976" t="s">
        <v>5138</v>
      </c>
      <c r="E79" s="940">
        <v>90831.0</v>
      </c>
      <c r="F79" s="977" t="s">
        <v>218</v>
      </c>
      <c r="G79" s="978" t="str">
        <f>IFERROR(IF(F79="SINAPI-S",VLOOKUP(E79,'20-B.SINAPI-S'!A:J,2,0),IF(F79="SINAPI-I",VLOOKUP(E79,'20-A.SINAPI-I'!A:G,2,0),IF(F79="COMP.EVENTUAL",VLOOKUP(E79,'11.COMPOSIÇÕES GERAIS'!B:I,2,0),VLOOKUP(E79,'12.COT.MERCADO'!A:I,2,0)))),"Em Elaboração")</f>
        <v>FECHADURA DE EMBUTIR PARA PORTA DE BANHEIRO, COMPLETA, ACABAMENTO PADRÃO MÉDIO, INCLUSO EXECUÇÃO DE FURO - FORNECIMENTO E INSTALAÇÃO. AF_12/2019</v>
      </c>
      <c r="H79" s="934" t="str">
        <f>IFERROR(IF(F79="SINAPI-S",VLOOKUP(E79,'20-B.SINAPI-S'!A:J,3,0),IF(F79="SINAPI-I",VLOOKUP(E79,'20-A.SINAPI-I'!A:G,3,0),IF(F79="COMP.EVENTUAL",VLOOKUP(E79,'11.COMPOSIÇÕES GERAIS'!B:I,3,0),VLOOKUP(E79,'12.COT.MERCADO'!A:I,7,0)))),"Em Elaboração")</f>
        <v>UN</v>
      </c>
      <c r="I79" s="938">
        <v>1.0</v>
      </c>
    </row>
    <row r="80">
      <c r="A80" s="969" t="s">
        <v>4334</v>
      </c>
      <c r="B80" s="988" t="s">
        <v>5139</v>
      </c>
      <c r="C80" s="970" t="s">
        <v>4297</v>
      </c>
      <c r="D80" s="971" t="s">
        <v>5140</v>
      </c>
      <c r="E80" s="985">
        <v>91306.0</v>
      </c>
      <c r="F80" s="973" t="s">
        <v>218</v>
      </c>
      <c r="G80" s="421" t="str">
        <f>IFERROR(IF(F80="SINAPI-S",VLOOKUP(E80,'20-B.SINAPI-S'!A:J,2,0),IF(F80="SINAPI-I",VLOOKUP(E80,'20-A.SINAPI-I'!A:G,2,0),IF(F80="COMP.EVENTUAL",VLOOKUP(E80,'11.COMPOSIÇÕES GERAIS'!B:I,2,0),VLOOKUP(E80,'12.COT.MERCADO'!A:I,2,0)))),"Em Elaboração")</f>
        <v>FECHADURA DE EMBUTIR PARA PORTAS INTERNAS, COMPLETA, ACABAMENTO PADRÃO MÉDIO, COM EXECUÇÃO DE FURO - FORNECIMENTO E INSTALAÇÃO. AF_12/2019</v>
      </c>
      <c r="H80" s="305" t="str">
        <f>IFERROR(IF(F80="SINAPI-S",VLOOKUP(E80,'20-B.SINAPI-S'!A:J,3,0),IF(F80="SINAPI-I",VLOOKUP(E80,'20-A.SINAPI-I'!A:G,3,0),IF(F80="COMP.EVENTUAL",VLOOKUP(E80,'11.COMPOSIÇÕES GERAIS'!B:I,3,0),VLOOKUP(E80,'12.COT.MERCADO'!A:I,7,0)))),"Em Elaboração")</f>
        <v>UN</v>
      </c>
      <c r="I80" s="974">
        <v>1.0</v>
      </c>
    </row>
    <row r="81">
      <c r="A81" s="975" t="s">
        <v>4334</v>
      </c>
      <c r="B81" s="975" t="s">
        <v>5141</v>
      </c>
      <c r="C81" s="942" t="s">
        <v>4297</v>
      </c>
      <c r="D81" s="976" t="s">
        <v>5142</v>
      </c>
      <c r="E81" s="940">
        <v>5104.0</v>
      </c>
      <c r="F81" s="977" t="s">
        <v>286</v>
      </c>
      <c r="G81" s="978" t="str">
        <f>IFERROR(IF(F81="SINAPI-S",VLOOKUP(E81,'20-B.SINAPI-S'!A:J,2,0),IF(F81="SINAPI-I",VLOOKUP(E81,'20-A.SINAPI-I'!A:G,2,0),IF(F81="COMP.EVENTUAL",VLOOKUP(E81,'11.COMPOSIÇÕES GERAIS'!B:I,2,0),VLOOKUP(E81,'12.COT.MERCADO'!A:I,2,0)))),"Em Elaboração")</f>
        <v>REBITE DE ALUMINIO VAZADO DE REPUXO, 3,2 X 8 MM (1KG = 1025 UNIDADES)</v>
      </c>
      <c r="H81" s="934" t="str">
        <f>IFERROR(IF(F81="SINAPI-S",VLOOKUP(E81,'20-B.SINAPI-S'!A:J,3,0),IF(F81="SINAPI-I",VLOOKUP(E81,'20-A.SINAPI-I'!A:G,3,0),IF(F81="COMP.EVENTUAL",VLOOKUP(E81,'11.COMPOSIÇÕES GERAIS'!B:I,3,0),VLOOKUP(E81,'12.COT.MERCADO'!A:I,7,0)))),"Em Elaboração")</f>
        <v>KG</v>
      </c>
      <c r="I81" s="938">
        <v>100.0</v>
      </c>
    </row>
    <row r="82">
      <c r="A82" s="969" t="s">
        <v>4334</v>
      </c>
      <c r="B82" s="969" t="s">
        <v>5139</v>
      </c>
      <c r="C82" s="970" t="s">
        <v>4306</v>
      </c>
      <c r="D82" s="971" t="s">
        <v>5143</v>
      </c>
      <c r="E82" s="985">
        <v>86914.0</v>
      </c>
      <c r="F82" s="973" t="s">
        <v>218</v>
      </c>
      <c r="G82" s="421" t="str">
        <f>IFERROR(IF(F82="SINAPI-S",VLOOKUP(E82,'20-B.SINAPI-S'!A:J,2,0),IF(F82="SINAPI-I",VLOOKUP(E82,'20-A.SINAPI-I'!A:G,2,0),IF(F82="COMP.EVENTUAL",VLOOKUP(E82,'11.COMPOSIÇÕES GERAIS'!B:I,2,0),VLOOKUP(E82,'12.COT.MERCADO'!A:I,2,0)))),"Em Elaboração")</f>
        <v>TORNEIRA CROMADA 1/2_x0094_ OU 3/4_x0094_ PARA TANQUE, PADRÃO MÉDIO - FORNECIMENTO E INSTALAÇÃO. AF_01/2020</v>
      </c>
      <c r="H82" s="305" t="str">
        <f>IFERROR(IF(F82="SINAPI-S",VLOOKUP(E82,'20-B.SINAPI-S'!A:J,3,0),IF(F82="SINAPI-I",VLOOKUP(E82,'20-A.SINAPI-I'!A:G,3,0),IF(F82="COMP.EVENTUAL",VLOOKUP(E82,'11.COMPOSIÇÕES GERAIS'!B:I,3,0),VLOOKUP(E82,'12.COT.MERCADO'!A:I,7,0)))),"Em Elaboração")</f>
        <v>UN</v>
      </c>
      <c r="I82" s="974">
        <v>2.0</v>
      </c>
    </row>
    <row r="83">
      <c r="A83" s="975" t="s">
        <v>4334</v>
      </c>
      <c r="B83" s="975">
        <v>23018.0</v>
      </c>
      <c r="C83" s="942" t="s">
        <v>4306</v>
      </c>
      <c r="D83" s="976" t="s">
        <v>5144</v>
      </c>
      <c r="E83" s="941">
        <v>94498.0</v>
      </c>
      <c r="F83" s="977" t="s">
        <v>218</v>
      </c>
      <c r="G83" s="978" t="str">
        <f>IFERROR(IF(F83="SINAPI-S",VLOOKUP(E83,'20-B.SINAPI-S'!A:J,2,0),IF(F83="SINAPI-I",VLOOKUP(E83,'20-A.SINAPI-I'!A:G,2,0),IF(F83="COMP.EVENTUAL",VLOOKUP(E83,'11.COMPOSIÇÕES GERAIS'!B:I,2,0),VLOOKUP(E83,'12.COT.MERCADO'!A:I,2,0)))),"Em Elaboração")</f>
        <v>REGISTRO DE GAVETA BRUTO, LATÃO, ROSCÁVEL, 2" - FORNECIMENTO E INSTALAÇÃO. AF_08/2021</v>
      </c>
      <c r="H83" s="934" t="str">
        <f>IFERROR(IF(F83="SINAPI-S",VLOOKUP(E83,'20-B.SINAPI-S'!A:J,3,0),IF(F83="SINAPI-I",VLOOKUP(E83,'20-A.SINAPI-I'!A:G,3,0),IF(F83="COMP.EVENTUAL",VLOOKUP(E83,'11.COMPOSIÇÕES GERAIS'!B:I,3,0),VLOOKUP(E83,'12.COT.MERCADO'!A:I,7,0)))),"Em Elaboração")</f>
        <v>UN</v>
      </c>
      <c r="I83" s="938">
        <v>1.0</v>
      </c>
    </row>
    <row r="84">
      <c r="A84" s="969" t="s">
        <v>4334</v>
      </c>
      <c r="B84" s="969">
        <v>23022.0</v>
      </c>
      <c r="C84" s="970" t="s">
        <v>4297</v>
      </c>
      <c r="D84" s="971" t="s">
        <v>5145</v>
      </c>
      <c r="E84" s="985" t="s">
        <v>1866</v>
      </c>
      <c r="F84" s="973" t="s">
        <v>4276</v>
      </c>
      <c r="G84" s="421" t="str">
        <f>IFERROR(IF(F84="SINAPI-S",VLOOKUP(E84,'20-B.SINAPI-S'!A:J,2,0),IF(F84="SINAPI-I",VLOOKUP(E84,'20-A.SINAPI-I'!A:G,2,0),IF(F84="COMP.EVENTUAL",VLOOKUP(E84,'11.COMPOSIÇÕES GERAIS'!B:I,2,0),VLOOKUP(E84,'12.COT.MERCADO'!A:I,2,0)))),"Em Elaboração")</f>
        <v>FORNECIMENTO E INSTALAÇÃO DE CANALETA EM PVC PARA INSTALAÇÃO ELÉTRICA APARENTE, INCLUSIVE CONEXÕES, DIMENSÕES 20 X 10 MM</v>
      </c>
      <c r="H84" s="305" t="str">
        <f>IFERROR(IF(F84="SINAPI-S",VLOOKUP(E84,'20-B.SINAPI-S'!A:J,3,0),IF(F84="SINAPI-I",VLOOKUP(E84,'20-A.SINAPI-I'!A:G,3,0),IF(F84="COMP.EVENTUAL",VLOOKUP(E84,'11.COMPOSIÇÕES GERAIS'!B:I,3,0),VLOOKUP(E84,'12.COT.MERCADO'!A:I,7,0)))),"Em Elaboração")</f>
        <v>M</v>
      </c>
      <c r="I84" s="974">
        <v>2.0</v>
      </c>
    </row>
    <row r="85">
      <c r="A85" s="975" t="s">
        <v>4334</v>
      </c>
      <c r="B85" s="975">
        <v>23025.0</v>
      </c>
      <c r="C85" s="942" t="s">
        <v>4297</v>
      </c>
      <c r="D85" s="976" t="s">
        <v>5146</v>
      </c>
      <c r="E85" s="940">
        <v>94975.0</v>
      </c>
      <c r="F85" s="977" t="s">
        <v>218</v>
      </c>
      <c r="G85" s="978" t="str">
        <f>IFERROR(IF(F85="SINAPI-S",VLOOKUP(E85,'20-B.SINAPI-S'!A:J,2,0),IF(F85="SINAPI-I",VLOOKUP(E85,'20-A.SINAPI-I'!A:G,2,0),IF(F85="COMP.EVENTUAL",VLOOKUP(E85,'11.COMPOSIÇÕES GERAIS'!B:I,2,0),VLOOKUP(E85,'12.COT.MERCADO'!A:I,2,0)))),"Em Elaboração")</f>
        <v>CONCRETO FCK = 15MPA, TRAÇO 1:3,4:3,5 (EM MASSA SECA DE CIMENTO/ AREIA MÉDIA/ BRITA 1) - PREPARO MANUAL. AF_05/2021</v>
      </c>
      <c r="H85" s="934" t="str">
        <f>IFERROR(IF(F85="SINAPI-S",VLOOKUP(E85,'20-B.SINAPI-S'!A:J,3,0),IF(F85="SINAPI-I",VLOOKUP(E85,'20-A.SINAPI-I'!A:G,3,0),IF(F85="COMP.EVENTUAL",VLOOKUP(E85,'11.COMPOSIÇÕES GERAIS'!B:I,3,0),VLOOKUP(E85,'12.COT.MERCADO'!A:I,7,0)))),"Em Elaboração")</f>
        <v>M3</v>
      </c>
      <c r="I85" s="938">
        <v>1.0</v>
      </c>
    </row>
    <row r="86">
      <c r="A86" s="969" t="s">
        <v>4334</v>
      </c>
      <c r="B86" s="969">
        <v>23026.0</v>
      </c>
      <c r="C86" s="970" t="s">
        <v>4274</v>
      </c>
      <c r="D86" s="971" t="s">
        <v>5147</v>
      </c>
      <c r="E86" s="985">
        <v>101901.0</v>
      </c>
      <c r="F86" s="973" t="s">
        <v>218</v>
      </c>
      <c r="G86" s="421" t="str">
        <f>IFERROR(IF(F86="SINAPI-S",VLOOKUP(E86,'20-B.SINAPI-S'!A:J,2,0),IF(F86="SINAPI-I",VLOOKUP(E86,'20-A.SINAPI-I'!A:G,2,0),IF(F86="COMP.EVENTUAL",VLOOKUP(E86,'11.COMPOSIÇÕES GERAIS'!B:I,2,0),VLOOKUP(E86,'12.COT.MERCADO'!A:I,2,0)))),"Em Elaboração")</f>
        <v>CONTATOR TRIPOLAR I NOMINAL 12A - FORNECIMENTO E INSTALAÇÃO. AF_10/2020</v>
      </c>
      <c r="H86" s="305" t="str">
        <f>IFERROR(IF(F86="SINAPI-S",VLOOKUP(E86,'20-B.SINAPI-S'!A:J,3,0),IF(F86="SINAPI-I",VLOOKUP(E86,'20-A.SINAPI-I'!A:G,3,0),IF(F86="COMP.EVENTUAL",VLOOKUP(E86,'11.COMPOSIÇÕES GERAIS'!B:I,3,0),VLOOKUP(E86,'12.COT.MERCADO'!A:I,7,0)))),"Em Elaboração")</f>
        <v>UN</v>
      </c>
      <c r="I86" s="974">
        <v>1.0</v>
      </c>
    </row>
    <row r="87">
      <c r="A87" s="975" t="s">
        <v>4334</v>
      </c>
      <c r="B87" s="975">
        <v>23026.0</v>
      </c>
      <c r="C87" s="942" t="s">
        <v>4274</v>
      </c>
      <c r="D87" s="976" t="s">
        <v>5126</v>
      </c>
      <c r="E87" s="941" t="s">
        <v>1969</v>
      </c>
      <c r="F87" s="977" t="s">
        <v>4276</v>
      </c>
      <c r="G87" s="978" t="str">
        <f>IFERROR(IF(F87="SINAPI-S",VLOOKUP(E87,'20-B.SINAPI-S'!A:J,2,0),IF(F87="SINAPI-I",VLOOKUP(E87,'20-A.SINAPI-I'!A:G,2,0),IF(F87="COMP.EVENTUAL",VLOOKUP(E87,'11.COMPOSIÇÕES GERAIS'!B:I,2,0),VLOOKUP(E87,'12.COT.MERCADO'!A:I,2,0)))),"Em Elaboração")</f>
        <v>FORNECIMENTO E INSTALAÇÃO DE BOBINA PARA CONTATOR CWM9 A CWM25, 380V</v>
      </c>
      <c r="H87" s="934" t="str">
        <f>IFERROR(IF(F87="SINAPI-S",VLOOKUP(E87,'20-B.SINAPI-S'!A:J,3,0),IF(F87="SINAPI-I",VLOOKUP(E87,'20-A.SINAPI-I'!A:G,3,0),IF(F87="COMP.EVENTUAL",VLOOKUP(E87,'11.COMPOSIÇÕES GERAIS'!B:I,3,0),VLOOKUP(E87,'12.COT.MERCADO'!A:I,7,0)))),"Em Elaboração")</f>
        <v>UN</v>
      </c>
      <c r="I87" s="938">
        <v>1.0</v>
      </c>
    </row>
    <row r="88">
      <c r="A88" s="989" t="s">
        <v>4334</v>
      </c>
      <c r="B88" s="990" t="s">
        <v>5148</v>
      </c>
      <c r="C88" s="970" t="s">
        <v>4274</v>
      </c>
      <c r="D88" s="971" t="s">
        <v>5149</v>
      </c>
      <c r="E88" s="985">
        <v>101883.0</v>
      </c>
      <c r="F88" s="973" t="s">
        <v>218</v>
      </c>
      <c r="G88" s="421" t="str">
        <f>IFERROR(IF(F88="SINAPI-S",VLOOKUP(E88,'20-B.SINAPI-S'!A:J,2,0),IF(F88="SINAPI-I",VLOOKUP(E88,'20-A.SINAPI-I'!A:G,2,0),IF(F88="COMP.EVENTUAL",VLOOKUP(E88,'11.COMPOSIÇÕES GERAIS'!B:I,2,0),VLOOKUP(E88,'12.COT.MERCADO'!A:I,2,0)))),"Em Elaboração")</f>
        <v>QUADRO DE DISTRIBUIÇÃO DE ENERGIA EM CHAPA DE AÇO GALVANIZADO, DE EMBUTIR, COM BARRAMENTO TRIFÁSICO, PARA 18 DISJUNTORES DIN 100A - FORNECIMENTO E INSTALAÇÃO. AF_10/2020</v>
      </c>
      <c r="H88" s="305" t="str">
        <f>IFERROR(IF(F88="SINAPI-S",VLOOKUP(E88,'20-B.SINAPI-S'!A:J,3,0),IF(F88="SINAPI-I",VLOOKUP(E88,'20-A.SINAPI-I'!A:G,3,0),IF(F88="COMP.EVENTUAL",VLOOKUP(E88,'11.COMPOSIÇÕES GERAIS'!B:I,3,0),VLOOKUP(E88,'12.COT.MERCADO'!A:I,7,0)))),"Em Elaboração")</f>
        <v>UN</v>
      </c>
      <c r="I88" s="974">
        <v>1.0</v>
      </c>
    </row>
    <row r="89">
      <c r="A89" s="991" t="s">
        <v>4334</v>
      </c>
      <c r="B89" s="992">
        <v>23034.0</v>
      </c>
      <c r="C89" s="942" t="s">
        <v>4274</v>
      </c>
      <c r="D89" s="976" t="s">
        <v>5150</v>
      </c>
      <c r="E89" s="940">
        <v>101883.0</v>
      </c>
      <c r="F89" s="977" t="s">
        <v>218</v>
      </c>
      <c r="G89" s="978" t="str">
        <f>IFERROR(IF(F89="SINAPI-S",VLOOKUP(E89,'20-B.SINAPI-S'!A:J,2,0),IF(F89="SINAPI-I",VLOOKUP(E89,'20-A.SINAPI-I'!A:G,2,0),IF(F89="COMP.EVENTUAL",VLOOKUP(E89,'11.COMPOSIÇÕES GERAIS'!B:I,2,0),VLOOKUP(E89,'12.COT.MERCADO'!A:I,2,0)))),"Em Elaboração")</f>
        <v>QUADRO DE DISTRIBUIÇÃO DE ENERGIA EM CHAPA DE AÇO GALVANIZADO, DE EMBUTIR, COM BARRAMENTO TRIFÁSICO, PARA 18 DISJUNTORES DIN 100A - FORNECIMENTO E INSTALAÇÃO. AF_10/2020</v>
      </c>
      <c r="H89" s="934" t="str">
        <f>IFERROR(IF(F89="SINAPI-S",VLOOKUP(E89,'20-B.SINAPI-S'!A:J,3,0),IF(F89="SINAPI-I",VLOOKUP(E89,'20-A.SINAPI-I'!A:G,3,0),IF(F89="COMP.EVENTUAL",VLOOKUP(E89,'11.COMPOSIÇÕES GERAIS'!B:I,3,0),VLOOKUP(E89,'12.COT.MERCADO'!A:I,7,0)))),"Em Elaboração")</f>
        <v>UN</v>
      </c>
      <c r="I89" s="938">
        <v>1.0</v>
      </c>
    </row>
    <row r="90">
      <c r="A90" s="989" t="s">
        <v>4403</v>
      </c>
      <c r="B90" s="990">
        <v>23027.0</v>
      </c>
      <c r="C90" s="970" t="s">
        <v>4297</v>
      </c>
      <c r="D90" s="971" t="s">
        <v>5151</v>
      </c>
      <c r="E90" s="985">
        <v>102163.0</v>
      </c>
      <c r="F90" s="973" t="s">
        <v>218</v>
      </c>
      <c r="G90" s="421" t="str">
        <f>IFERROR(IF(F90="SINAPI-S",VLOOKUP(E90,'20-B.SINAPI-S'!A:J,2,0),IF(F90="SINAPI-I",VLOOKUP(E90,'20-A.SINAPI-I'!A:G,2,0),IF(F90="COMP.EVENTUAL",VLOOKUP(E90,'11.COMPOSIÇÕES GERAIS'!B:I,2,0),VLOOKUP(E90,'12.COT.MERCADO'!A:I,2,0)))),"Em Elaboração")</f>
        <v>INSTALAÇÃO DE VIDRO LISO FUME, E = 4 MM, EM ESQUADRIA DE ALUMÍNIO OU PVC, FIXADO COM BAGUETE. AF_01/2021_PS</v>
      </c>
      <c r="H90" s="305" t="str">
        <f>IFERROR(IF(F90="SINAPI-S",VLOOKUP(E90,'20-B.SINAPI-S'!A:J,3,0),IF(F90="SINAPI-I",VLOOKUP(E90,'20-A.SINAPI-I'!A:G,3,0),IF(F90="COMP.EVENTUAL",VLOOKUP(E90,'11.COMPOSIÇÕES GERAIS'!B:I,3,0),VLOOKUP(E90,'12.COT.MERCADO'!A:I,7,0)))),"Em Elaboração")</f>
        <v>M2</v>
      </c>
      <c r="I90" s="974">
        <v>2.0</v>
      </c>
    </row>
    <row r="91">
      <c r="A91" s="991" t="s">
        <v>4403</v>
      </c>
      <c r="B91" s="975">
        <v>23057.0</v>
      </c>
      <c r="C91" s="942" t="s">
        <v>4274</v>
      </c>
      <c r="D91" s="976" t="s">
        <v>5152</v>
      </c>
      <c r="E91" s="941" t="s">
        <v>1987</v>
      </c>
      <c r="F91" s="977" t="s">
        <v>4276</v>
      </c>
      <c r="G91" s="978" t="str">
        <f>IFERROR(IF(F91="SINAPI-S",VLOOKUP(E91,'20-B.SINAPI-S'!A:J,2,0),IF(F91="SINAPI-I",VLOOKUP(E91,'20-A.SINAPI-I'!A:G,2,0),IF(F91="COMP.EVENTUAL",VLOOKUP(E91,'11.COMPOSIÇÕES GERAIS'!B:I,2,0),VLOOKUP(E91,'12.COT.MERCADO'!A:I,2,0)))),"Em Elaboração")</f>
        <v>CERCA ELÉTRICA INDUSTRIAL INCLUSIVE FIXAÇÃO, CENTRAL DE CHOQUE, BATERIA, SIRENE,HASTES, ATERRAMENTO, FIOS E PLACAS DE ATENÇÃO</v>
      </c>
      <c r="H91" s="934" t="str">
        <f>IFERROR(IF(F91="SINAPI-S",VLOOKUP(E91,'20-B.SINAPI-S'!A:J,3,0),IF(F91="SINAPI-I",VLOOKUP(E91,'20-A.SINAPI-I'!A:G,3,0),IF(F91="COMP.EVENTUAL",VLOOKUP(E91,'11.COMPOSIÇÕES GERAIS'!B:I,3,0),VLOOKUP(E91,'12.COT.MERCADO'!A:I,7,0)))),"Em Elaboração")</f>
        <v>M</v>
      </c>
      <c r="I91" s="938">
        <v>1.0</v>
      </c>
    </row>
    <row r="92">
      <c r="A92" s="989" t="s">
        <v>4403</v>
      </c>
      <c r="B92" s="969">
        <v>23026.0</v>
      </c>
      <c r="C92" s="970" t="s">
        <v>4297</v>
      </c>
      <c r="D92" s="971" t="s">
        <v>5153</v>
      </c>
      <c r="E92" s="985">
        <v>87398.0</v>
      </c>
      <c r="F92" s="973" t="s">
        <v>218</v>
      </c>
      <c r="G92" s="421" t="str">
        <f>IFERROR(IF(F92="SINAPI-S",VLOOKUP(E92,'20-B.SINAPI-S'!A:J,2,0),IF(F92="SINAPI-I",VLOOKUP(E92,'20-A.SINAPI-I'!A:G,2,0),IF(F92="COMP.EVENTUAL",VLOOKUP(E92,'11.COMPOSIÇÕES GERAIS'!B:I,2,0),VLOOKUP(E92,'12.COT.MERCADO'!A:I,2,0)))),"Em Elaboração")</f>
        <v>ARGAMASSA INDUSTRIALIZADA MULTIUSO PARA REVESTIMENTOS E ASSENTAMENTO DA ALVENARIA, PREPARO MANUAL. AF_08/2019</v>
      </c>
      <c r="H92" s="305" t="str">
        <f>IFERROR(IF(F92="SINAPI-S",VLOOKUP(E92,'20-B.SINAPI-S'!A:J,3,0),IF(F92="SINAPI-I",VLOOKUP(E92,'20-A.SINAPI-I'!A:G,3,0),IF(F92="COMP.EVENTUAL",VLOOKUP(E92,'11.COMPOSIÇÕES GERAIS'!B:I,3,0),VLOOKUP(E92,'12.COT.MERCADO'!A:I,7,0)))),"Em Elaboração")</f>
        <v>M3</v>
      </c>
      <c r="I92" s="974">
        <v>2.0</v>
      </c>
    </row>
    <row r="93">
      <c r="A93" s="991" t="s">
        <v>4403</v>
      </c>
      <c r="B93" s="975">
        <v>23026.0</v>
      </c>
      <c r="C93" s="942" t="s">
        <v>4297</v>
      </c>
      <c r="D93" s="976" t="s">
        <v>5154</v>
      </c>
      <c r="E93" s="940">
        <v>5795.0</v>
      </c>
      <c r="F93" s="977" t="s">
        <v>218</v>
      </c>
      <c r="G93" s="978" t="str">
        <f>IFERROR(IF(F93="SINAPI-S",VLOOKUP(E93,'20-B.SINAPI-S'!A:J,2,0),IF(F93="SINAPI-I",VLOOKUP(E93,'20-A.SINAPI-I'!A:G,2,0),IF(F93="COMP.EVENTUAL",VLOOKUP(E93,'11.COMPOSIÇÕES GERAIS'!B:I,2,0),VLOOKUP(E93,'12.COT.MERCADO'!A:I,2,0)))),"Em Elaboração")</f>
        <v>MARTELETE OU ROMPEDOR PNEUMÁTICO MANUAL, 28 KG, COM SILENCIADOR - CHP DIURNO. AF_07/2016</v>
      </c>
      <c r="H93" s="934" t="str">
        <f>IFERROR(IF(F93="SINAPI-S",VLOOKUP(E93,'20-B.SINAPI-S'!A:J,3,0),IF(F93="SINAPI-I",VLOOKUP(E93,'20-A.SINAPI-I'!A:G,3,0),IF(F93="COMP.EVENTUAL",VLOOKUP(E93,'11.COMPOSIÇÕES GERAIS'!B:I,3,0),VLOOKUP(E93,'12.COT.MERCADO'!A:I,7,0)))),"Em Elaboração")</f>
        <v>CHP</v>
      </c>
      <c r="I93" s="938">
        <v>1.0</v>
      </c>
    </row>
    <row r="94">
      <c r="A94" s="989" t="s">
        <v>4403</v>
      </c>
      <c r="B94" s="969">
        <v>23026.0</v>
      </c>
      <c r="C94" s="970" t="s">
        <v>4297</v>
      </c>
      <c r="D94" s="971" t="s">
        <v>5155</v>
      </c>
      <c r="E94" s="985">
        <v>102608.0</v>
      </c>
      <c r="F94" s="973" t="s">
        <v>218</v>
      </c>
      <c r="G94" s="421" t="str">
        <f>IFERROR(IF(F94="SINAPI-S",VLOOKUP(E94,'20-B.SINAPI-S'!A:J,2,0),IF(F94="SINAPI-I",VLOOKUP(E94,'20-A.SINAPI-I'!A:G,2,0),IF(F94="COMP.EVENTUAL",VLOOKUP(E94,'11.COMPOSIÇÕES GERAIS'!B:I,2,0),VLOOKUP(E94,'12.COT.MERCADO'!A:I,2,0)))),"Em Elaboração")</f>
        <v>CAIXA D´ÁGUA EM POLIETILENO, 1500 LITROS - FORNECIMENTO E INSTALAÇÃO. AF_06/2021</v>
      </c>
      <c r="H94" s="305" t="str">
        <f>IFERROR(IF(F94="SINAPI-S",VLOOKUP(E94,'20-B.SINAPI-S'!A:J,3,0),IF(F94="SINAPI-I",VLOOKUP(E94,'20-A.SINAPI-I'!A:G,3,0),IF(F94="COMP.EVENTUAL",VLOOKUP(E94,'11.COMPOSIÇÕES GERAIS'!B:I,3,0),VLOOKUP(E94,'12.COT.MERCADO'!A:I,7,0)))),"Em Elaboração")</f>
        <v>UN</v>
      </c>
      <c r="I94" s="974">
        <v>1.0</v>
      </c>
    </row>
    <row r="95">
      <c r="A95" s="991" t="s">
        <v>4403</v>
      </c>
      <c r="B95" s="975" t="s">
        <v>5156</v>
      </c>
      <c r="C95" s="942" t="s">
        <v>4297</v>
      </c>
      <c r="D95" s="976" t="s">
        <v>5157</v>
      </c>
      <c r="E95" s="940">
        <v>86883.0</v>
      </c>
      <c r="F95" s="977" t="s">
        <v>218</v>
      </c>
      <c r="G95" s="978" t="str">
        <f>IFERROR(IF(F95="SINAPI-S",VLOOKUP(E95,'20-B.SINAPI-S'!A:J,2,0),IF(F95="SINAPI-I",VLOOKUP(E95,'20-A.SINAPI-I'!A:G,2,0),IF(F95="COMP.EVENTUAL",VLOOKUP(E95,'11.COMPOSIÇÕES GERAIS'!B:I,2,0),VLOOKUP(E95,'12.COT.MERCADO'!A:I,2,0)))),"Em Elaboração")</f>
        <v>SIFÃO DO TIPO FLEXÍVEL EM PVC 1  X 1.1/2  - FORNECIMENTO E INSTALAÇÃO. AF_01/2020</v>
      </c>
      <c r="H95" s="934" t="str">
        <f>IFERROR(IF(F95="SINAPI-S",VLOOKUP(E95,'20-B.SINAPI-S'!A:J,3,0),IF(F95="SINAPI-I",VLOOKUP(E95,'20-A.SINAPI-I'!A:G,3,0),IF(F95="COMP.EVENTUAL",VLOOKUP(E95,'11.COMPOSIÇÕES GERAIS'!B:I,3,0),VLOOKUP(E95,'12.COT.MERCADO'!A:I,7,0)))),"Em Elaboração")</f>
        <v>UN</v>
      </c>
      <c r="I95" s="938">
        <v>4.0</v>
      </c>
    </row>
    <row r="96">
      <c r="A96" s="989" t="s">
        <v>4403</v>
      </c>
      <c r="B96" s="969" t="s">
        <v>5158</v>
      </c>
      <c r="C96" s="970" t="s">
        <v>4297</v>
      </c>
      <c r="D96" s="971" t="s">
        <v>5154</v>
      </c>
      <c r="E96" s="985">
        <v>5795.0</v>
      </c>
      <c r="F96" s="973" t="s">
        <v>218</v>
      </c>
      <c r="G96" s="421" t="str">
        <f>IFERROR(IF(F96="SINAPI-S",VLOOKUP(E96,'20-B.SINAPI-S'!A:J,2,0),IF(F96="SINAPI-I",VLOOKUP(E96,'20-A.SINAPI-I'!A:G,2,0),IF(F96="COMP.EVENTUAL",VLOOKUP(E96,'11.COMPOSIÇÕES GERAIS'!B:I,2,0),VLOOKUP(E96,'12.COT.MERCADO'!A:I,2,0)))),"Em Elaboração")</f>
        <v>MARTELETE OU ROMPEDOR PNEUMÁTICO MANUAL, 28 KG, COM SILENCIADOR - CHP DIURNO. AF_07/2016</v>
      </c>
      <c r="H96" s="305" t="str">
        <f>IFERROR(IF(F96="SINAPI-S",VLOOKUP(E96,'20-B.SINAPI-S'!A:J,3,0),IF(F96="SINAPI-I",VLOOKUP(E96,'20-A.SINAPI-I'!A:G,3,0),IF(F96="COMP.EVENTUAL",VLOOKUP(E96,'11.COMPOSIÇÕES GERAIS'!B:I,3,0),VLOOKUP(E96,'12.COT.MERCADO'!A:I,7,0)))),"Em Elaboração")</f>
        <v>CHP</v>
      </c>
      <c r="I96" s="974">
        <v>1.0</v>
      </c>
    </row>
    <row r="97">
      <c r="A97" s="991" t="s">
        <v>4403</v>
      </c>
      <c r="B97" s="975" t="s">
        <v>5159</v>
      </c>
      <c r="C97" s="942" t="s">
        <v>4306</v>
      </c>
      <c r="D97" s="976" t="s">
        <v>5160</v>
      </c>
      <c r="E97" s="940">
        <v>89724.0</v>
      </c>
      <c r="F97" s="977" t="s">
        <v>218</v>
      </c>
      <c r="G97" s="978" t="str">
        <f>IFERROR(IF(F97="SINAPI-S",VLOOKUP(E97,'20-B.SINAPI-S'!A:J,2,0),IF(F97="SINAPI-I",VLOOKUP(E97,'20-A.SINAPI-I'!A:G,2,0),IF(F97="COMP.EVENTUAL",VLOOKUP(E97,'11.COMPOSIÇÕES GERAIS'!B:I,2,0),VLOOKUP(E97,'12.COT.MERCADO'!A:I,2,0)))),"Em Elaboração")</f>
        <v>JOELHO 90 GRAUS, PVC, SERIE NORMAL, ESGOTO PREDIAL, DN 40 MM, JUNTA SOLDÁVEL, FORNECIDO E INSTALADO EM RAMAL DE DESCARGA OU RAMAL DE ESGOTO SANITÁRIO. AF_08/2022</v>
      </c>
      <c r="H97" s="934" t="str">
        <f>IFERROR(IF(F97="SINAPI-S",VLOOKUP(E97,'20-B.SINAPI-S'!A:J,3,0),IF(F97="SINAPI-I",VLOOKUP(E97,'20-A.SINAPI-I'!A:G,3,0),IF(F97="COMP.EVENTUAL",VLOOKUP(E97,'11.COMPOSIÇÕES GERAIS'!B:I,3,0),VLOOKUP(E97,'12.COT.MERCADO'!A:I,7,0)))),"Em Elaboração")</f>
        <v>UN</v>
      </c>
      <c r="I97" s="938">
        <v>2.0</v>
      </c>
    </row>
    <row r="98">
      <c r="A98" s="989" t="s">
        <v>4403</v>
      </c>
      <c r="B98" s="969" t="s">
        <v>5159</v>
      </c>
      <c r="C98" s="970" t="s">
        <v>4306</v>
      </c>
      <c r="D98" s="971" t="s">
        <v>5161</v>
      </c>
      <c r="E98" s="985">
        <v>98110.0</v>
      </c>
      <c r="F98" s="973" t="s">
        <v>218</v>
      </c>
      <c r="G98" s="421" t="str">
        <f>IFERROR(IF(F98="SINAPI-S",VLOOKUP(E98,'20-B.SINAPI-S'!A:J,2,0),IF(F98="SINAPI-I",VLOOKUP(E98,'20-A.SINAPI-I'!A:G,2,0),IF(F98="COMP.EVENTUAL",VLOOKUP(E98,'11.COMPOSIÇÕES GERAIS'!B:I,2,0),VLOOKUP(E98,'12.COT.MERCADO'!A:I,2,0)))),"Em Elaboração")</f>
        <v>CAIXA DE GORDURA PEQUENA (CAPACIDADE: 19 L), CIRCULAR, EM PVC, DIÂMETRO INTERNO= 0,3 M. AF_12/2020</v>
      </c>
      <c r="H98" s="305" t="str">
        <f>IFERROR(IF(F98="SINAPI-S",VLOOKUP(E98,'20-B.SINAPI-S'!A:J,3,0),IF(F98="SINAPI-I",VLOOKUP(E98,'20-A.SINAPI-I'!A:G,3,0),IF(F98="COMP.EVENTUAL",VLOOKUP(E98,'11.COMPOSIÇÕES GERAIS'!B:I,3,0),VLOOKUP(E98,'12.COT.MERCADO'!A:I,7,0)))),"Em Elaboração")</f>
        <v>UN</v>
      </c>
      <c r="I98" s="974">
        <v>1.0</v>
      </c>
    </row>
    <row r="99">
      <c r="A99" s="991" t="s">
        <v>4403</v>
      </c>
      <c r="B99" s="975" t="s">
        <v>5159</v>
      </c>
      <c r="C99" s="942" t="s">
        <v>4306</v>
      </c>
      <c r="D99" s="976" t="s">
        <v>5162</v>
      </c>
      <c r="E99" s="940">
        <v>86887.0</v>
      </c>
      <c r="F99" s="977" t="s">
        <v>218</v>
      </c>
      <c r="G99" s="978" t="str">
        <f>IFERROR(IF(F99="SINAPI-S",VLOOKUP(E99,'20-B.SINAPI-S'!A:J,2,0),IF(F99="SINAPI-I",VLOOKUP(E99,'20-A.SINAPI-I'!A:G,2,0),IF(F99="COMP.EVENTUAL",VLOOKUP(E99,'11.COMPOSIÇÕES GERAIS'!B:I,2,0),VLOOKUP(E99,'12.COT.MERCADO'!A:I,2,0)))),"Em Elaboração")</f>
        <v>ENGATE FLEXÍVEL EM INOX, 1/2  X 40CM - FORNECIMENTO E INSTALAÇÃO. AF_01/2020</v>
      </c>
      <c r="H99" s="934" t="str">
        <f>IFERROR(IF(F99="SINAPI-S",VLOOKUP(E99,'20-B.SINAPI-S'!A:J,3,0),IF(F99="SINAPI-I",VLOOKUP(E99,'20-A.SINAPI-I'!A:G,3,0),IF(F99="COMP.EVENTUAL",VLOOKUP(E99,'11.COMPOSIÇÕES GERAIS'!B:I,3,0),VLOOKUP(E99,'12.COT.MERCADO'!A:I,7,0)))),"Em Elaboração")</f>
        <v>UN</v>
      </c>
      <c r="I99" s="938">
        <v>10.0</v>
      </c>
    </row>
    <row r="100">
      <c r="A100" s="989" t="s">
        <v>4403</v>
      </c>
      <c r="B100" s="969" t="s">
        <v>5158</v>
      </c>
      <c r="C100" s="970" t="s">
        <v>4306</v>
      </c>
      <c r="D100" s="971" t="s">
        <v>5163</v>
      </c>
      <c r="E100" s="985">
        <v>86878.0</v>
      </c>
      <c r="F100" s="973" t="s">
        <v>218</v>
      </c>
      <c r="G100" s="421" t="str">
        <f>IFERROR(IF(F100="SINAPI-S",VLOOKUP(E100,'20-B.SINAPI-S'!A:J,2,0),IF(F100="SINAPI-I",VLOOKUP(E100,'20-A.SINAPI-I'!A:G,2,0),IF(F100="COMP.EVENTUAL",VLOOKUP(E100,'11.COMPOSIÇÕES GERAIS'!B:I,2,0),VLOOKUP(E100,'12.COT.MERCADO'!A:I,2,0)))),"Em Elaboração")</f>
        <v>VÁLVULA EM METAL CROMADO TIPO AMERICANA 3.1/2_x0094_ X 1.1/2_x0094_ PARA PIA - FORNECIMENTO E INSTALAÇÃO. AF_01/2020</v>
      </c>
      <c r="H100" s="305" t="str">
        <f>IFERROR(IF(F100="SINAPI-S",VLOOKUP(E100,'20-B.SINAPI-S'!A:J,3,0),IF(F100="SINAPI-I",VLOOKUP(E100,'20-A.SINAPI-I'!A:G,3,0),IF(F100="COMP.EVENTUAL",VLOOKUP(E100,'11.COMPOSIÇÕES GERAIS'!B:I,3,0),VLOOKUP(E100,'12.COT.MERCADO'!A:I,7,0)))),"Em Elaboração")</f>
        <v>UN</v>
      </c>
      <c r="I100" s="974">
        <v>1.0</v>
      </c>
    </row>
    <row r="101">
      <c r="A101" s="991" t="s">
        <v>4403</v>
      </c>
      <c r="B101" s="975" t="s">
        <v>5164</v>
      </c>
      <c r="C101" s="942" t="s">
        <v>4274</v>
      </c>
      <c r="D101" s="976" t="s">
        <v>5165</v>
      </c>
      <c r="E101" s="940">
        <v>104395.0</v>
      </c>
      <c r="F101" s="977" t="s">
        <v>218</v>
      </c>
      <c r="G101" s="978" t="str">
        <f>IFERROR(IF(F101="SINAPI-S",VLOOKUP(E101,'20-B.SINAPI-S'!A:J,2,0),IF(F101="SINAPI-I",VLOOKUP(E101,'20-A.SINAPI-I'!A:G,2,0),IF(F101="COMP.EVENTUAL",VLOOKUP(E101,'11.COMPOSIÇÕES GERAIS'!B:I,2,0),VLOOKUP(E101,'12.COT.MERCADO'!A:I,2,0)))),"Em Elaboração")</f>
        <v>CONDULETE DE PVC, TIPO E, PARA ELETRODUTO DE PVC SOLDÁVEL DN 20 MM (1/2''), APARENTE - FORNECIMENTO E INSTALAÇÃO. AF_10/2022</v>
      </c>
      <c r="H101" s="934" t="str">
        <f>IFERROR(IF(F101="SINAPI-S",VLOOKUP(E101,'20-B.SINAPI-S'!A:J,3,0),IF(F101="SINAPI-I",VLOOKUP(E101,'20-A.SINAPI-I'!A:G,3,0),IF(F101="COMP.EVENTUAL",VLOOKUP(E101,'11.COMPOSIÇÕES GERAIS'!B:I,3,0),VLOOKUP(E101,'12.COT.MERCADO'!A:I,7,0)))),"Em Elaboração")</f>
        <v>UN</v>
      </c>
      <c r="I101" s="938">
        <v>4.0</v>
      </c>
    </row>
    <row r="102">
      <c r="A102" s="989" t="s">
        <v>4403</v>
      </c>
      <c r="B102" s="969" t="s">
        <v>5164</v>
      </c>
      <c r="C102" s="970" t="s">
        <v>4274</v>
      </c>
      <c r="D102" s="971" t="s">
        <v>5166</v>
      </c>
      <c r="E102" s="306">
        <v>91884.0</v>
      </c>
      <c r="F102" s="973" t="s">
        <v>218</v>
      </c>
      <c r="G102" s="421" t="str">
        <f>IFERROR(IF(F102="SINAPI-S",VLOOKUP(E102,'20-B.SINAPI-S'!A:J,2,0),IF(F102="SINAPI-I",VLOOKUP(E102,'20-A.SINAPI-I'!A:G,2,0),IF(F102="COMP.EVENTUAL",VLOOKUP(E102,'11.COMPOSIÇÕES GERAIS'!B:I,2,0),VLOOKUP(E102,'12.COT.MERCADO'!A:I,2,0)))),"Em Elaboração")</f>
        <v>LUVA PARA ELETRODUTO, PVC, ROSCÁVEL, DN 25 MM (3/4"), PARA CIRCUITOS TERMINAIS, INSTALADA EM PAREDE - FORNECIMENTO E INSTALAÇÃO. AF_03/2023</v>
      </c>
      <c r="H102" s="305" t="str">
        <f>IFERROR(IF(F102="SINAPI-S",VLOOKUP(E102,'20-B.SINAPI-S'!A:J,3,0),IF(F102="SINAPI-I",VLOOKUP(E102,'20-A.SINAPI-I'!A:G,3,0),IF(F102="COMP.EVENTUAL",VLOOKUP(E102,'11.COMPOSIÇÕES GERAIS'!B:I,3,0),VLOOKUP(E102,'12.COT.MERCADO'!A:I,7,0)))),"Em Elaboração")</f>
        <v>UN</v>
      </c>
      <c r="I102" s="974">
        <v>4.0</v>
      </c>
    </row>
    <row r="103">
      <c r="A103" s="991" t="s">
        <v>4403</v>
      </c>
      <c r="B103" s="975" t="s">
        <v>5164</v>
      </c>
      <c r="C103" s="942" t="s">
        <v>4274</v>
      </c>
      <c r="D103" s="976" t="s">
        <v>5167</v>
      </c>
      <c r="E103" s="941" t="s">
        <v>1976</v>
      </c>
      <c r="F103" s="977" t="s">
        <v>4276</v>
      </c>
      <c r="G103" s="978" t="str">
        <f>IFERROR(IF(F103="SINAPI-S",VLOOKUP(E103,'20-B.SINAPI-S'!A:J,2,0),IF(F103="SINAPI-I",VLOOKUP(E103,'20-A.SINAPI-I'!A:G,2,0),IF(F103="COMP.EVENTUAL",VLOOKUP(E103,'11.COMPOSIÇÕES GERAIS'!B:I,2,0),VLOOKUP(E103,'12.COT.MERCADO'!A:I,2,0)))),"Em Elaboração")</f>
        <v>CONECTOR PARA CABOS 4MM2 3 VIAS. REF. WAGO 221-413 OU SIMILAR</v>
      </c>
      <c r="H103" s="934" t="str">
        <f>IFERROR(IF(F103="SINAPI-S",VLOOKUP(E103,'20-B.SINAPI-S'!A:J,3,0),IF(F103="SINAPI-I",VLOOKUP(E103,'20-A.SINAPI-I'!A:G,3,0),IF(F103="COMP.EVENTUAL",VLOOKUP(E103,'11.COMPOSIÇÕES GERAIS'!B:I,3,0),VLOOKUP(E103,'12.COT.MERCADO'!A:I,7,0)))),"Em Elaboração")</f>
        <v>UN</v>
      </c>
      <c r="I103" s="938">
        <v>1.0</v>
      </c>
    </row>
    <row r="104">
      <c r="A104" s="989" t="s">
        <v>4403</v>
      </c>
      <c r="B104" s="969" t="s">
        <v>5164</v>
      </c>
      <c r="C104" s="970" t="s">
        <v>4274</v>
      </c>
      <c r="D104" s="971" t="s">
        <v>5168</v>
      </c>
      <c r="E104" s="306" t="s">
        <v>1991</v>
      </c>
      <c r="F104" s="973" t="s">
        <v>4276</v>
      </c>
      <c r="G104" s="421" t="str">
        <f>IFERROR(IF(F104="SINAPI-S",VLOOKUP(E104,'20-B.SINAPI-S'!A:J,2,0),IF(F104="SINAPI-I",VLOOKUP(E104,'20-A.SINAPI-I'!A:G,2,0),IF(F104="COMP.EVENTUAL",VLOOKUP(E104,'11.COMPOSIÇÕES GERAIS'!B:I,2,0),VLOOKUP(E104,'12.COT.MERCADO'!A:I,2,0)))),"Em Elaboração")</f>
        <v>FORNECIMENTO E INSTALAÇÃO DE CABO DE COBRE PP CORDPLAST 3 X 4,0MM2, 450/750V</v>
      </c>
      <c r="H104" s="305" t="str">
        <f>IFERROR(IF(F104="SINAPI-S",VLOOKUP(E104,'20-B.SINAPI-S'!A:J,3,0),IF(F104="SINAPI-I",VLOOKUP(E104,'20-A.SINAPI-I'!A:G,3,0),IF(F104="COMP.EVENTUAL",VLOOKUP(E104,'11.COMPOSIÇÕES GERAIS'!B:I,3,0),VLOOKUP(E104,'12.COT.MERCADO'!A:I,7,0)))),"Em Elaboração")</f>
        <v>M</v>
      </c>
      <c r="I104" s="974">
        <v>10.0</v>
      </c>
    </row>
    <row r="105">
      <c r="A105" s="991" t="s">
        <v>4403</v>
      </c>
      <c r="B105" s="975">
        <v>23027.0</v>
      </c>
      <c r="C105" s="942" t="s">
        <v>4297</v>
      </c>
      <c r="D105" s="993" t="s">
        <v>5169</v>
      </c>
      <c r="E105" s="994">
        <v>3777.0</v>
      </c>
      <c r="F105" s="977" t="s">
        <v>286</v>
      </c>
      <c r="G105" s="978" t="str">
        <f>IFERROR(IF(F105="SINAPI-S",VLOOKUP(E105,'20-B.SINAPI-S'!A:J,2,0),IF(F105="SINAPI-I",VLOOKUP(E105,'20-A.SINAPI-I'!A:G,2,0),IF(F105="COMP.EVENTUAL",VLOOKUP(E105,'11.COMPOSIÇÕES GERAIS'!B:I,2,0),VLOOKUP(E105,'12.COT.MERCADO'!A:I,2,0)))),"Em Elaboração")</f>
        <v>LONA PLASTICA PESADA PRETA, E = 150 MICRA</v>
      </c>
      <c r="H105" s="934" t="str">
        <f>IFERROR(IF(F105="SINAPI-S",VLOOKUP(E105,'20-B.SINAPI-S'!A:J,3,0),IF(F105="SINAPI-I",VLOOKUP(E105,'20-A.SINAPI-I'!A:G,3,0),IF(F105="COMP.EVENTUAL",VLOOKUP(E105,'11.COMPOSIÇÕES GERAIS'!B:I,3,0),VLOOKUP(E105,'12.COT.MERCADO'!A:I,7,0)))),"Em Elaboração")</f>
        <v>M2</v>
      </c>
      <c r="I105" s="938">
        <v>100.0</v>
      </c>
    </row>
    <row r="106">
      <c r="A106" s="989" t="s">
        <v>4403</v>
      </c>
      <c r="B106" s="969">
        <v>23027.0</v>
      </c>
      <c r="C106" s="970" t="s">
        <v>4297</v>
      </c>
      <c r="D106" s="971" t="s">
        <v>5170</v>
      </c>
      <c r="E106" s="306">
        <v>92273.0</v>
      </c>
      <c r="F106" s="973" t="s">
        <v>218</v>
      </c>
      <c r="G106" s="421" t="str">
        <f>IFERROR(IF(F106="SINAPI-S",VLOOKUP(E106,'20-B.SINAPI-S'!A:J,2,0),IF(F106="SINAPI-I",VLOOKUP(E106,'20-A.SINAPI-I'!A:G,2,0),IF(F106="COMP.EVENTUAL",VLOOKUP(E106,'11.COMPOSIÇÕES GERAIS'!B:I,2,0),VLOOKUP(E106,'12.COT.MERCADO'!A:I,2,0)))),"Em Elaboração")</f>
        <v>FABRICAÇÃO DE ESCORAS DO TIPO PONTALETE, EM MADEIRA, PARA PÉ-DIREITO SIMPLES. AF_09/2020</v>
      </c>
      <c r="H106" s="305" t="str">
        <f>IFERROR(IF(F106="SINAPI-S",VLOOKUP(E106,'20-B.SINAPI-S'!A:J,3,0),IF(F106="SINAPI-I",VLOOKUP(E106,'20-A.SINAPI-I'!A:G,3,0),IF(F106="COMP.EVENTUAL",VLOOKUP(E106,'11.COMPOSIÇÕES GERAIS'!B:I,3,0),VLOOKUP(E106,'12.COT.MERCADO'!A:I,7,0)))),"Em Elaboração")</f>
        <v>M</v>
      </c>
      <c r="I106" s="974">
        <v>180.0</v>
      </c>
    </row>
    <row r="107">
      <c r="A107" s="991" t="s">
        <v>4403</v>
      </c>
      <c r="B107" s="975">
        <v>23038.0</v>
      </c>
      <c r="C107" s="942" t="s">
        <v>4274</v>
      </c>
      <c r="D107" s="976" t="s">
        <v>5171</v>
      </c>
      <c r="E107" s="940">
        <v>95801.0</v>
      </c>
      <c r="F107" s="977" t="s">
        <v>218</v>
      </c>
      <c r="G107" s="978" t="str">
        <f>IFERROR(IF(F107="SINAPI-S",VLOOKUP(E107,'20-B.SINAPI-S'!A:J,2,0),IF(F107="SINAPI-I",VLOOKUP(E107,'20-A.SINAPI-I'!A:G,2,0),IF(F107="COMP.EVENTUAL",VLOOKUP(E107,'11.COMPOSIÇÕES GERAIS'!B:I,2,0),VLOOKUP(E107,'12.COT.MERCADO'!A:I,2,0)))),"Em Elaboração")</f>
        <v>CONDULETE DE ALUMÍNIO, TIPO X, PARA ELETRODUTO DE AÇO GALVANIZADO DN 20 MM (3/4''), APARENTE - FORNECIMENTO E INSTALAÇÃO. AF_10/2022</v>
      </c>
      <c r="H107" s="934" t="str">
        <f>IFERROR(IF(F107="SINAPI-S",VLOOKUP(E107,'20-B.SINAPI-S'!A:J,3,0),IF(F107="SINAPI-I",VLOOKUP(E107,'20-A.SINAPI-I'!A:G,3,0),IF(F107="COMP.EVENTUAL",VLOOKUP(E107,'11.COMPOSIÇÕES GERAIS'!B:I,3,0),VLOOKUP(E107,'12.COT.MERCADO'!A:I,7,0)))),"Em Elaboração")</f>
        <v>UN</v>
      </c>
      <c r="I107" s="938">
        <v>1.0</v>
      </c>
    </row>
    <row r="108">
      <c r="A108" s="989" t="s">
        <v>4403</v>
      </c>
      <c r="B108" s="969">
        <v>23043.0</v>
      </c>
      <c r="C108" s="970" t="s">
        <v>4274</v>
      </c>
      <c r="D108" s="971" t="s">
        <v>5172</v>
      </c>
      <c r="E108" s="306" t="s">
        <v>2017</v>
      </c>
      <c r="F108" s="973" t="s">
        <v>4276</v>
      </c>
      <c r="G108" s="421" t="str">
        <f>IFERROR(IF(F108="SINAPI-S",VLOOKUP(E108,'20-B.SINAPI-S'!A:J,2,0),IF(F108="SINAPI-I",VLOOKUP(E108,'20-A.SINAPI-I'!A:G,2,0),IF(F108="COMP.EVENTUAL",VLOOKUP(E108,'11.COMPOSIÇÕES GERAIS'!B:I,2,0),VLOOKUP(E108,'12.COT.MERCADO'!A:I,2,0)))),"Em Elaboração")</f>
        <v>FORNECIMENTO E INSTALAÇÃO DE REFLETOR LED 5OW DE POTÊNCIA, BRANCO FRIO, 6500K, BIVOLT</v>
      </c>
      <c r="H108" s="305" t="str">
        <f>IFERROR(IF(F108="SINAPI-S",VLOOKUP(E108,'20-B.SINAPI-S'!A:J,3,0),IF(F108="SINAPI-I",VLOOKUP(E108,'20-A.SINAPI-I'!A:G,3,0),IF(F108="COMP.EVENTUAL",VLOOKUP(E108,'11.COMPOSIÇÕES GERAIS'!B:I,3,0),VLOOKUP(E108,'12.COT.MERCADO'!A:I,7,0)))),"Em Elaboração")</f>
        <v>UN</v>
      </c>
      <c r="I108" s="974">
        <v>2.0</v>
      </c>
    </row>
    <row r="109">
      <c r="A109" s="991" t="s">
        <v>4403</v>
      </c>
      <c r="B109" s="975">
        <v>23058.0</v>
      </c>
      <c r="C109" s="942" t="s">
        <v>4274</v>
      </c>
      <c r="D109" s="976" t="s">
        <v>5173</v>
      </c>
      <c r="E109" s="941" t="s">
        <v>1976</v>
      </c>
      <c r="F109" s="977" t="s">
        <v>4276</v>
      </c>
      <c r="G109" s="978" t="str">
        <f>IFERROR(IF(F109="SINAPI-S",VLOOKUP(E109,'20-B.SINAPI-S'!A:J,2,0),IF(F109="SINAPI-I",VLOOKUP(E109,'20-A.SINAPI-I'!A:G,2,0),IF(F109="COMP.EVENTUAL",VLOOKUP(E109,'11.COMPOSIÇÕES GERAIS'!B:I,2,0),VLOOKUP(E109,'12.COT.MERCADO'!A:I,2,0)))),"Em Elaboração")</f>
        <v>CONECTOR PARA CABOS 4MM2 3 VIAS. REF. WAGO 221-413 OU SIMILAR</v>
      </c>
      <c r="H109" s="934" t="str">
        <f>IFERROR(IF(F109="SINAPI-S",VLOOKUP(E109,'20-B.SINAPI-S'!A:J,3,0),IF(F109="SINAPI-I",VLOOKUP(E109,'20-A.SINAPI-I'!A:G,3,0),IF(F109="COMP.EVENTUAL",VLOOKUP(E109,'11.COMPOSIÇÕES GERAIS'!B:I,3,0),VLOOKUP(E109,'12.COT.MERCADO'!A:I,7,0)))),"Em Elaboração")</f>
        <v>UN</v>
      </c>
      <c r="I109" s="938">
        <v>20.0</v>
      </c>
    </row>
    <row r="110">
      <c r="A110" s="989" t="s">
        <v>4403</v>
      </c>
      <c r="B110" s="969">
        <v>23046.0</v>
      </c>
      <c r="C110" s="970" t="s">
        <v>4274</v>
      </c>
      <c r="D110" s="971" t="s">
        <v>5174</v>
      </c>
      <c r="E110" s="306" t="s">
        <v>2002</v>
      </c>
      <c r="F110" s="973" t="s">
        <v>4276</v>
      </c>
      <c r="G110" s="421" t="str">
        <f>IFERROR(IF(F110="SINAPI-S",VLOOKUP(E110,'20-B.SINAPI-S'!A:J,2,0),IF(F110="SINAPI-I",VLOOKUP(E110,'20-A.SINAPI-I'!A:G,2,0),IF(F110="COMP.EVENTUAL",VLOOKUP(E110,'11.COMPOSIÇÕES GERAIS'!B:I,2,0),VLOOKUP(E110,'12.COT.MERCADO'!A:I,2,0)))),"Em Elaboração")</f>
        <v>FORNECIMENTO E INSTALAÇÃO DE CONJUNTO MONTADO DE TOMADA 2P + T, ABNT, DE SOBREPOR, 20A, SISTEMA X</v>
      </c>
      <c r="H110" s="305" t="str">
        <f>IFERROR(IF(F110="SINAPI-S",VLOOKUP(E110,'20-B.SINAPI-S'!A:J,3,0),IF(F110="SINAPI-I",VLOOKUP(E110,'20-A.SINAPI-I'!A:G,3,0),IF(F110="COMP.EVENTUAL",VLOOKUP(E110,'11.COMPOSIÇÕES GERAIS'!B:I,3,0),VLOOKUP(E110,'12.COT.MERCADO'!A:I,7,0)))),"Em Elaboração")</f>
        <v>UN</v>
      </c>
      <c r="I110" s="974">
        <v>2.0</v>
      </c>
    </row>
    <row r="111">
      <c r="A111" s="991" t="s">
        <v>4403</v>
      </c>
      <c r="B111" s="975">
        <v>23058.0</v>
      </c>
      <c r="C111" s="942" t="s">
        <v>4274</v>
      </c>
      <c r="D111" s="995" t="s">
        <v>5172</v>
      </c>
      <c r="E111" s="940">
        <v>39391.0</v>
      </c>
      <c r="F111" s="977" t="s">
        <v>286</v>
      </c>
      <c r="G111" s="978" t="str">
        <f>IFERROR(IF(F111="SINAPI-S",VLOOKUP(E111,'20-B.SINAPI-S'!A:J,2,0),IF(F111="SINAPI-I",VLOOKUP(E111,'20-A.SINAPI-I'!A:G,2,0),IF(F111="COMP.EVENTUAL",VLOOKUP(E111,'11.COMPOSIÇÕES GERAIS'!B:I,2,0),VLOOKUP(E111,'12.COT.MERCADO'!A:I,2,0)))),"Em Elaboração")</f>
        <v>LUMINARIA LED REFLETOR RETANGULAR BIVOLT, LUZ BRANCA, 50 W</v>
      </c>
      <c r="H111" s="934" t="str">
        <f>IFERROR(IF(F111="SINAPI-S",VLOOKUP(E111,'20-B.SINAPI-S'!A:J,3,0),IF(F111="SINAPI-I",VLOOKUP(E111,'20-A.SINAPI-I'!A:G,3,0),IF(F111="COMP.EVENTUAL",VLOOKUP(E111,'11.COMPOSIÇÕES GERAIS'!B:I,3,0),VLOOKUP(E111,'12.COT.MERCADO'!A:I,7,0)))),"Em Elaboração")</f>
        <v>UN</v>
      </c>
      <c r="I111" s="938">
        <v>2.0</v>
      </c>
    </row>
    <row r="112">
      <c r="A112" s="989" t="s">
        <v>4403</v>
      </c>
      <c r="B112" s="969">
        <v>23063.0</v>
      </c>
      <c r="C112" s="970" t="s">
        <v>4306</v>
      </c>
      <c r="D112" s="971" t="s">
        <v>5175</v>
      </c>
      <c r="E112" s="985">
        <v>86883.0</v>
      </c>
      <c r="F112" s="973" t="s">
        <v>218</v>
      </c>
      <c r="G112" s="421" t="str">
        <f>IFERROR(IF(F112="SINAPI-S",VLOOKUP(E112,'20-B.SINAPI-S'!A:J,2,0),IF(F112="SINAPI-I",VLOOKUP(E112,'20-A.SINAPI-I'!A:G,2,0),IF(F112="COMP.EVENTUAL",VLOOKUP(E112,'11.COMPOSIÇÕES GERAIS'!B:I,2,0),VLOOKUP(E112,'12.COT.MERCADO'!A:I,2,0)))),"Em Elaboração")</f>
        <v>SIFÃO DO TIPO FLEXÍVEL EM PVC 1  X 1.1/2  - FORNECIMENTO E INSTALAÇÃO. AF_01/2020</v>
      </c>
      <c r="H112" s="305" t="str">
        <f>IFERROR(IF(F112="SINAPI-S",VLOOKUP(E112,'20-B.SINAPI-S'!A:J,3,0),IF(F112="SINAPI-I",VLOOKUP(E112,'20-A.SINAPI-I'!A:G,3,0),IF(F112="COMP.EVENTUAL",VLOOKUP(E112,'11.COMPOSIÇÕES GERAIS'!B:I,3,0),VLOOKUP(E112,'12.COT.MERCADO'!A:I,7,0)))),"Em Elaboração")</f>
        <v>UN</v>
      </c>
      <c r="I112" s="974">
        <v>6.0</v>
      </c>
    </row>
    <row r="113">
      <c r="A113" s="991" t="s">
        <v>4403</v>
      </c>
      <c r="B113" s="975">
        <v>23071.0</v>
      </c>
      <c r="C113" s="942" t="s">
        <v>4274</v>
      </c>
      <c r="D113" s="976" t="s">
        <v>5176</v>
      </c>
      <c r="E113" s="941" t="s">
        <v>2023</v>
      </c>
      <c r="F113" s="977" t="s">
        <v>4276</v>
      </c>
      <c r="G113" s="978" t="str">
        <f>IFERROR(IF(F113="SINAPI-S",VLOOKUP(E113,'20-B.SINAPI-S'!A:J,2,0),IF(F113="SINAPI-I",VLOOKUP(E113,'20-A.SINAPI-I'!A:G,2,0),IF(F113="COMP.EVENTUAL",VLOOKUP(E113,'11.COMPOSIÇÕES GERAIS'!B:I,2,0),VLOOKUP(E113,'12.COT.MERCADO'!A:I,2,0)))),"Em Elaboração")</f>
        <v>CONECTOR DE DERIVAÇÃO PERFURANTE 10-95MM2</v>
      </c>
      <c r="H113" s="934" t="str">
        <f>IFERROR(IF(F113="SINAPI-S",VLOOKUP(E113,'20-B.SINAPI-S'!A:J,3,0),IF(F113="SINAPI-I",VLOOKUP(E113,'20-A.SINAPI-I'!A:G,3,0),IF(F113="COMP.EVENTUAL",VLOOKUP(E113,'11.COMPOSIÇÕES GERAIS'!B:I,3,0),VLOOKUP(E113,'12.COT.MERCADO'!A:I,7,0)))),"Em Elaboração")</f>
        <v>UN</v>
      </c>
      <c r="I113" s="938">
        <v>2.0</v>
      </c>
    </row>
    <row r="114">
      <c r="A114" s="989" t="s">
        <v>4403</v>
      </c>
      <c r="B114" s="969">
        <v>23071.0</v>
      </c>
      <c r="C114" s="970" t="s">
        <v>4274</v>
      </c>
      <c r="D114" s="971" t="s">
        <v>5177</v>
      </c>
      <c r="E114" s="306" t="s">
        <v>2027</v>
      </c>
      <c r="F114" s="973" t="s">
        <v>4276</v>
      </c>
      <c r="G114" s="421" t="str">
        <f>IFERROR(IF(F114="SINAPI-S",VLOOKUP(E114,'20-B.SINAPI-S'!A:J,2,0),IF(F114="SINAPI-I",VLOOKUP(E114,'20-A.SINAPI-I'!A:G,2,0),IF(F114="COMP.EVENTUAL",VLOOKUP(E114,'11.COMPOSIÇÕES GERAIS'!B:I,2,0),VLOOKUP(E114,'12.COT.MERCADO'!A:I,2,0)))),"Em Elaboração")</f>
        <v>FORNECIMENTO E INSTALAÇÃO KIT DE PROTECAO ARSTOP PARA AR CONDICIONADO, TOMADA PADRAO 2P+T 20 A, COM DISJUNTOR BIPOLAR DIN 20A</v>
      </c>
      <c r="H114" s="305" t="str">
        <f>IFERROR(IF(F114="SINAPI-S",VLOOKUP(E114,'20-B.SINAPI-S'!A:J,3,0),IF(F114="SINAPI-I",VLOOKUP(E114,'20-A.SINAPI-I'!A:G,3,0),IF(F114="COMP.EVENTUAL",VLOOKUP(E114,'11.COMPOSIÇÕES GERAIS'!B:I,3,0),VLOOKUP(E114,'12.COT.MERCADO'!A:I,7,0)))),"Em Elaboração")</f>
        <v>UN</v>
      </c>
      <c r="I114" s="974">
        <v>1.0</v>
      </c>
    </row>
    <row r="115">
      <c r="A115" s="991" t="s">
        <v>4403</v>
      </c>
      <c r="B115" s="975">
        <v>23071.0</v>
      </c>
      <c r="C115" s="942" t="s">
        <v>4274</v>
      </c>
      <c r="D115" s="976" t="s">
        <v>5117</v>
      </c>
      <c r="E115" s="940" t="s">
        <v>1973</v>
      </c>
      <c r="F115" s="977" t="s">
        <v>4276</v>
      </c>
      <c r="G115" s="978" t="str">
        <f>IFERROR(IF(F115="SINAPI-S",VLOOKUP(E115,'20-B.SINAPI-S'!A:J,2,0),IF(F115="SINAPI-I",VLOOKUP(E115,'20-A.SINAPI-I'!A:G,2,0),IF(F115="COMP.EVENTUAL",VLOOKUP(E115,'11.COMPOSIÇÕES GERAIS'!B:I,2,0),VLOOKUP(E115,'12.COT.MERCADO'!A:I,2,0)))),"Em Elaboração")</f>
        <v>FORNECIMENTO E INSTALAÇÃO DE CABO DE COBRE PP CORDPLAST 3 X 2,5MM2, 450/750V</v>
      </c>
      <c r="H115" s="934" t="str">
        <f>IFERROR(IF(F115="SINAPI-S",VLOOKUP(E115,'20-B.SINAPI-S'!A:J,3,0),IF(F115="SINAPI-I",VLOOKUP(E115,'20-A.SINAPI-I'!A:G,3,0),IF(F115="COMP.EVENTUAL",VLOOKUP(E115,'11.COMPOSIÇÕES GERAIS'!B:I,3,0),VLOOKUP(E115,'12.COT.MERCADO'!A:I,7,0)))),"Em Elaboração")</f>
        <v>M</v>
      </c>
      <c r="I115" s="938">
        <v>8.0</v>
      </c>
    </row>
    <row r="116">
      <c r="A116" s="996" t="s">
        <v>4466</v>
      </c>
      <c r="B116" s="996">
        <v>23027.0</v>
      </c>
      <c r="C116" s="970" t="s">
        <v>4297</v>
      </c>
      <c r="D116" s="997" t="s">
        <v>5178</v>
      </c>
      <c r="E116" s="972">
        <v>87411.0</v>
      </c>
      <c r="F116" s="973" t="s">
        <v>218</v>
      </c>
      <c r="G116" s="421" t="str">
        <f>IFERROR(IF(F116="SINAPI-S",VLOOKUP(E116,'20-B.SINAPI-S'!A:J,2,0),IF(F116="SINAPI-I",VLOOKUP(E116,'20-A.SINAPI-I'!A:G,2,0),IF(F116="COMP.EVENTUAL",VLOOKUP(E116,'11.COMPOSIÇÕES GERAIS'!B:I,2,0),VLOOKUP(E116,'12.COT.MERCADO'!A:I,2,0)))),"Em Elaboração")</f>
        <v>APLICAÇÃO MANUAL DE GESSO DESEMPENADO (SEM TALISCAS) EM TETO DE AMBIENTES DE ÁREA MAIOR QUE 10M², ESPESSURA DE 0,5CM. AF_03/2023</v>
      </c>
      <c r="H116" s="305" t="str">
        <f>IFERROR(IF(F116="SINAPI-S",VLOOKUP(E116,'20-B.SINAPI-S'!A:J,3,0),IF(F116="SINAPI-I",VLOOKUP(E116,'20-A.SINAPI-I'!A:G,3,0),IF(F116="COMP.EVENTUAL",VLOOKUP(E116,'11.COMPOSIÇÕES GERAIS'!B:I,3,0),VLOOKUP(E116,'12.COT.MERCADO'!A:I,7,0)))),"Em Elaboração")</f>
        <v>M2</v>
      </c>
      <c r="I116" s="998">
        <v>1.0</v>
      </c>
    </row>
    <row r="117">
      <c r="A117" s="999" t="s">
        <v>4466</v>
      </c>
      <c r="B117" s="999">
        <v>23026.0</v>
      </c>
      <c r="C117" s="942" t="s">
        <v>4297</v>
      </c>
      <c r="D117" s="1000" t="s">
        <v>5154</v>
      </c>
      <c r="E117" s="940">
        <v>5795.0</v>
      </c>
      <c r="F117" s="977" t="s">
        <v>218</v>
      </c>
      <c r="G117" s="978" t="str">
        <f>IFERROR(IF(F117="SINAPI-S",VLOOKUP(E117,'20-B.SINAPI-S'!A:J,2,0),IF(F117="SINAPI-I",VLOOKUP(E117,'20-A.SINAPI-I'!A:G,2,0),IF(F117="COMP.EVENTUAL",VLOOKUP(E117,'11.COMPOSIÇÕES GERAIS'!B:I,2,0),VLOOKUP(E117,'12.COT.MERCADO'!A:I,2,0)))),"Em Elaboração")</f>
        <v>MARTELETE OU ROMPEDOR PNEUMÁTICO MANUAL, 28 KG, COM SILENCIADOR - CHP DIURNO. AF_07/2016</v>
      </c>
      <c r="H117" s="934" t="str">
        <f>IFERROR(IF(F117="SINAPI-S",VLOOKUP(E117,'20-B.SINAPI-S'!A:J,3,0),IF(F117="SINAPI-I",VLOOKUP(E117,'20-A.SINAPI-I'!A:G,3,0),IF(F117="COMP.EVENTUAL",VLOOKUP(E117,'11.COMPOSIÇÕES GERAIS'!B:I,3,0),VLOOKUP(E117,'12.COT.MERCADO'!A:I,7,0)))),"Em Elaboração")</f>
        <v>CHP</v>
      </c>
      <c r="I117" s="1001">
        <v>1.0</v>
      </c>
    </row>
    <row r="118">
      <c r="A118" s="996" t="s">
        <v>4466</v>
      </c>
      <c r="B118" s="996">
        <v>23026.0</v>
      </c>
      <c r="C118" s="970" t="s">
        <v>4306</v>
      </c>
      <c r="D118" s="971" t="s">
        <v>5155</v>
      </c>
      <c r="E118" s="985">
        <v>102608.0</v>
      </c>
      <c r="F118" s="973" t="s">
        <v>218</v>
      </c>
      <c r="G118" s="421" t="str">
        <f>IFERROR(IF(F118="SINAPI-S",VLOOKUP(E118,'20-B.SINAPI-S'!A:J,2,0),IF(F118="SINAPI-I",VLOOKUP(E118,'20-A.SINAPI-I'!A:G,2,0),IF(F118="COMP.EVENTUAL",VLOOKUP(E118,'11.COMPOSIÇÕES GERAIS'!B:I,2,0),VLOOKUP(E118,'12.COT.MERCADO'!A:I,2,0)))),"Em Elaboração")</f>
        <v>CAIXA D´ÁGUA EM POLIETILENO, 1500 LITROS - FORNECIMENTO E INSTALAÇÃO. AF_06/2021</v>
      </c>
      <c r="H118" s="305" t="str">
        <f>IFERROR(IF(F118="SINAPI-S",VLOOKUP(E118,'20-B.SINAPI-S'!A:J,3,0),IF(F118="SINAPI-I",VLOOKUP(E118,'20-A.SINAPI-I'!A:G,3,0),IF(F118="COMP.EVENTUAL",VLOOKUP(E118,'11.COMPOSIÇÕES GERAIS'!B:I,3,0),VLOOKUP(E118,'12.COT.MERCADO'!A:I,7,0)))),"Em Elaboração")</f>
        <v>UN</v>
      </c>
      <c r="I118" s="974">
        <v>1.0</v>
      </c>
    </row>
    <row r="119">
      <c r="A119" s="999" t="s">
        <v>4466</v>
      </c>
      <c r="B119" s="999" t="s">
        <v>5179</v>
      </c>
      <c r="C119" s="942" t="s">
        <v>4306</v>
      </c>
      <c r="D119" s="976" t="s">
        <v>5180</v>
      </c>
      <c r="E119" s="941">
        <v>86883.0</v>
      </c>
      <c r="F119" s="977" t="s">
        <v>218</v>
      </c>
      <c r="G119" s="978" t="str">
        <f>IFERROR(IF(F119="SINAPI-S",VLOOKUP(E119,'20-B.SINAPI-S'!A:J,2,0),IF(F119="SINAPI-I",VLOOKUP(E119,'20-A.SINAPI-I'!A:G,2,0),IF(F119="COMP.EVENTUAL",VLOOKUP(E119,'11.COMPOSIÇÕES GERAIS'!B:I,2,0),VLOOKUP(E119,'12.COT.MERCADO'!A:I,2,0)))),"Em Elaboração")</f>
        <v>SIFÃO DO TIPO FLEXÍVEL EM PVC 1  X 1.1/2  - FORNECIMENTO E INSTALAÇÃO. AF_01/2020</v>
      </c>
      <c r="H119" s="934" t="str">
        <f>IFERROR(IF(F119="SINAPI-S",VLOOKUP(E119,'20-B.SINAPI-S'!A:J,3,0),IF(F119="SINAPI-I",VLOOKUP(E119,'20-A.SINAPI-I'!A:G,3,0),IF(F119="COMP.EVENTUAL",VLOOKUP(E119,'11.COMPOSIÇÕES GERAIS'!B:I,3,0),VLOOKUP(E119,'12.COT.MERCADO'!A:I,7,0)))),"Em Elaboração")</f>
        <v>UN</v>
      </c>
      <c r="I119" s="938">
        <v>4.0</v>
      </c>
    </row>
    <row r="120">
      <c r="A120" s="996" t="s">
        <v>4466</v>
      </c>
      <c r="B120" s="996" t="s">
        <v>5181</v>
      </c>
      <c r="C120" s="970" t="s">
        <v>4306</v>
      </c>
      <c r="D120" s="971" t="s">
        <v>5182</v>
      </c>
      <c r="E120" s="306" t="s">
        <v>1927</v>
      </c>
      <c r="F120" s="973" t="s">
        <v>4276</v>
      </c>
      <c r="G120" s="421" t="str">
        <f>IFERROR(IF(F120="SINAPI-S",VLOOKUP(E120,'20-B.SINAPI-S'!A:J,2,0),IF(F120="SINAPI-I",VLOOKUP(E120,'20-A.SINAPI-I'!A:G,2,0),IF(F120="COMP.EVENTUAL",VLOOKUP(E120,'11.COMPOSIÇÕES GERAIS'!B:I,2,0),VLOOKUP(E120,'12.COT.MERCADO'!A:I,2,0)))),"Em Elaboração")</f>
        <v>SUBSTITUIÇÃO DE MANGUEIRA PARA COMPRESSOR DO TIPO ENGATE RÁPIDO - FORNECIMENTO E INSTALAÇÃO</v>
      </c>
      <c r="H120" s="305" t="str">
        <f>IFERROR(IF(F120="SINAPI-S",VLOOKUP(E120,'20-B.SINAPI-S'!A:J,3,0),IF(F120="SINAPI-I",VLOOKUP(E120,'20-A.SINAPI-I'!A:G,3,0),IF(F120="COMP.EVENTUAL",VLOOKUP(E120,'11.COMPOSIÇÕES GERAIS'!B:I,3,0),VLOOKUP(E120,'12.COT.MERCADO'!A:I,7,0)))),"Em Elaboração")</f>
        <v>UN</v>
      </c>
      <c r="I120" s="974">
        <v>1.0</v>
      </c>
    </row>
    <row r="121">
      <c r="A121" s="999" t="s">
        <v>4466</v>
      </c>
      <c r="B121" s="999" t="s">
        <v>5181</v>
      </c>
      <c r="C121" s="942" t="s">
        <v>4306</v>
      </c>
      <c r="D121" s="976" t="s">
        <v>5183</v>
      </c>
      <c r="E121" s="940">
        <v>89969.0</v>
      </c>
      <c r="F121" s="977" t="s">
        <v>218</v>
      </c>
      <c r="G121" s="978" t="str">
        <f>IFERROR(IF(F121="SINAPI-S",VLOOKUP(E121,'20-B.SINAPI-S'!A:J,2,0),IF(F121="SINAPI-I",VLOOKUP(E121,'20-A.SINAPI-I'!A:G,2,0),IF(F121="COMP.EVENTUAL",VLOOKUP(E121,'11.COMPOSIÇÕES GERAIS'!B:I,2,0),VLOOKUP(E121,'12.COT.MERCADO'!A:I,2,0)))),"Em Elaboração")</f>
        <v>KIT DE REGISTRO DE PRESSÃO BRUTO DE LATÃO ½", INCLUSIVE CONEXÕES,  ROSCÁVEL, INSTALADO EM RAMAL DE ÁGUA FRIA - FORNECIMENTO E INSTALAÇÃO. AF_12/2014</v>
      </c>
      <c r="H121" s="934" t="str">
        <f>IFERROR(IF(F121="SINAPI-S",VLOOKUP(E121,'20-B.SINAPI-S'!A:J,3,0),IF(F121="SINAPI-I",VLOOKUP(E121,'20-A.SINAPI-I'!A:G,3,0),IF(F121="COMP.EVENTUAL",VLOOKUP(E121,'11.COMPOSIÇÕES GERAIS'!B:I,3,0),VLOOKUP(E121,'12.COT.MERCADO'!A:I,7,0)))),"Em Elaboração")</f>
        <v>UN</v>
      </c>
      <c r="I121" s="938">
        <v>1.0</v>
      </c>
    </row>
    <row r="122">
      <c r="A122" s="996" t="s">
        <v>4466</v>
      </c>
      <c r="B122" s="996">
        <v>23063.0</v>
      </c>
      <c r="C122" s="970" t="s">
        <v>4306</v>
      </c>
      <c r="D122" s="971" t="s">
        <v>5175</v>
      </c>
      <c r="E122" s="306">
        <v>86883.0</v>
      </c>
      <c r="F122" s="973" t="s">
        <v>218</v>
      </c>
      <c r="G122" s="421" t="str">
        <f>IFERROR(IF(F122="SINAPI-S",VLOOKUP(E122,'20-B.SINAPI-S'!A:J,2,0),IF(F122="SINAPI-I",VLOOKUP(E122,'20-A.SINAPI-I'!A:G,2,0),IF(F122="COMP.EVENTUAL",VLOOKUP(E122,'11.COMPOSIÇÕES GERAIS'!B:I,2,0),VLOOKUP(E122,'12.COT.MERCADO'!A:I,2,0)))),"Em Elaboração")</f>
        <v>SIFÃO DO TIPO FLEXÍVEL EM PVC 1  X 1.1/2  - FORNECIMENTO E INSTALAÇÃO. AF_01/2020</v>
      </c>
      <c r="H122" s="305" t="str">
        <f>IFERROR(IF(F122="SINAPI-S",VLOOKUP(E122,'20-B.SINAPI-S'!A:J,3,0),IF(F122="SINAPI-I",VLOOKUP(E122,'20-A.SINAPI-I'!A:G,3,0),IF(F122="COMP.EVENTUAL",VLOOKUP(E122,'11.COMPOSIÇÕES GERAIS'!B:I,3,0),VLOOKUP(E122,'12.COT.MERCADO'!A:I,7,0)))),"Em Elaboração")</f>
        <v>UN</v>
      </c>
      <c r="I122" s="974">
        <v>1.0</v>
      </c>
    </row>
    <row r="123">
      <c r="A123" s="1002" t="s">
        <v>4466</v>
      </c>
      <c r="B123" s="1002">
        <v>23027.0</v>
      </c>
      <c r="C123" s="977" t="s">
        <v>4274</v>
      </c>
      <c r="D123" s="976" t="s">
        <v>5184</v>
      </c>
      <c r="E123" s="941">
        <v>101537.0</v>
      </c>
      <c r="F123" s="977" t="s">
        <v>218</v>
      </c>
      <c r="G123" s="978" t="str">
        <f>IFERROR(IF(F123="SINAPI-S",VLOOKUP(E123,'20-B.SINAPI-S'!A:J,2,0),IF(F123="SINAPI-I",VLOOKUP(E123,'20-A.SINAPI-I'!A:G,2,0),IF(F123="COMP.EVENTUAL",VLOOKUP(E123,'11.COMPOSIÇÕES GERAIS'!B:I,2,0),VLOOKUP(E123,'12.COT.MERCADO'!A:I,2,0)))),"Em Elaboração")</f>
        <v>APARELHO SINALIZADOR DE SAÍDA DE GARAGEM, COM CÉLULA FOTOELÉTRICA - FORNECIMENTO E INSTALAÇÃO. AF_07/2020</v>
      </c>
      <c r="H123" s="934" t="str">
        <f>IFERROR(IF(F123="SINAPI-S",VLOOKUP(E123,'20-B.SINAPI-S'!A:J,3,0),IF(F123="SINAPI-I",VLOOKUP(E123,'20-A.SINAPI-I'!A:G,3,0),IF(F123="COMP.EVENTUAL",VLOOKUP(E123,'11.COMPOSIÇÕES GERAIS'!B:I,3,0),VLOOKUP(E123,'12.COT.MERCADO'!A:I,7,0)))),"Em Elaboração")</f>
        <v>UN</v>
      </c>
      <c r="I123" s="938">
        <v>3.0</v>
      </c>
    </row>
    <row r="124">
      <c r="A124" s="996" t="s">
        <v>4466</v>
      </c>
      <c r="B124" s="996">
        <v>23029.0</v>
      </c>
      <c r="C124" s="970" t="s">
        <v>4306</v>
      </c>
      <c r="D124" s="971" t="s">
        <v>5185</v>
      </c>
      <c r="E124" s="985" t="s">
        <v>1995</v>
      </c>
      <c r="F124" s="973" t="s">
        <v>4276</v>
      </c>
      <c r="G124" s="421" t="str">
        <f>IFERROR(IF(F124="SINAPI-S",VLOOKUP(E124,'20-B.SINAPI-S'!A:J,2,0),IF(F124="SINAPI-I",VLOOKUP(E124,'20-A.SINAPI-I'!A:G,2,0),IF(F124="COMP.EVENTUAL",VLOOKUP(E124,'11.COMPOSIÇÕES GERAIS'!B:I,2,0),VLOOKUP(E124,'12.COT.MERCADO'!A:I,2,0)))),"Em Elaboração")</f>
        <v>FORNECIMENTO E INSTALAÇÃO DE GRELHA PARA RALO EM PVC, REDONDA, 10CM. REF. TIGRE OU SIMILAR</v>
      </c>
      <c r="H124" s="305" t="str">
        <f>IFERROR(IF(F124="SINAPI-S",VLOOKUP(E124,'20-B.SINAPI-S'!A:J,3,0),IF(F124="SINAPI-I",VLOOKUP(E124,'20-A.SINAPI-I'!A:G,3,0),IF(F124="COMP.EVENTUAL",VLOOKUP(E124,'11.COMPOSIÇÕES GERAIS'!B:I,3,0),VLOOKUP(E124,'12.COT.MERCADO'!A:I,7,0)))),"Em Elaboração")</f>
        <v>UN</v>
      </c>
      <c r="I124" s="974">
        <v>7.0</v>
      </c>
    </row>
    <row r="125">
      <c r="A125" s="999" t="s">
        <v>4466</v>
      </c>
      <c r="B125" s="999">
        <v>23029.0</v>
      </c>
      <c r="C125" s="942" t="s">
        <v>4306</v>
      </c>
      <c r="D125" s="976" t="s">
        <v>5186</v>
      </c>
      <c r="E125" s="941">
        <v>89557.0</v>
      </c>
      <c r="F125" s="977" t="s">
        <v>218</v>
      </c>
      <c r="G125" s="978" t="str">
        <f>IFERROR(IF(F125="SINAPI-S",VLOOKUP(E125,'20-B.SINAPI-S'!A:J,2,0),IF(F125="SINAPI-I",VLOOKUP(E125,'20-A.SINAPI-I'!A:G,2,0),IF(F125="COMP.EVENTUAL",VLOOKUP(E125,'11.COMPOSIÇÕES GERAIS'!B:I,2,0),VLOOKUP(E125,'12.COT.MERCADO'!A:I,2,0)))),"Em Elaboração")</f>
        <v>REDUÇÃO EXCÊNTRICA, PVC, SERIE R, ÁGUA PLUVIAL, DN 100 X 75 MM, JUNTA ELÁSTICA, FORNECIDO E INSTALADO EM RAMAL DE ENCAMINHAMENTO. AF_06/2022</v>
      </c>
      <c r="H125" s="934" t="str">
        <f>IFERROR(IF(F125="SINAPI-S",VLOOKUP(E125,'20-B.SINAPI-S'!A:J,3,0),IF(F125="SINAPI-I",VLOOKUP(E125,'20-A.SINAPI-I'!A:G,3,0),IF(F125="COMP.EVENTUAL",VLOOKUP(E125,'11.COMPOSIÇÕES GERAIS'!B:I,3,0),VLOOKUP(E125,'12.COT.MERCADO'!A:I,7,0)))),"Em Elaboração")</f>
        <v>UN</v>
      </c>
      <c r="I125" s="938">
        <v>7.0</v>
      </c>
    </row>
    <row r="126">
      <c r="A126" s="996" t="s">
        <v>4466</v>
      </c>
      <c r="B126" s="996">
        <v>23029.0</v>
      </c>
      <c r="C126" s="970" t="s">
        <v>4306</v>
      </c>
      <c r="D126" s="971" t="s">
        <v>5187</v>
      </c>
      <c r="E126" s="985">
        <v>104357.0</v>
      </c>
      <c r="F126" s="973" t="s">
        <v>218</v>
      </c>
      <c r="G126" s="421" t="str">
        <f>IFERROR(IF(F126="SINAPI-S",VLOOKUP(E126,'20-B.SINAPI-S'!A:J,2,0),IF(F126="SINAPI-I",VLOOKUP(E126,'20-A.SINAPI-I'!A:G,2,0),IF(F126="COMP.EVENTUAL",VLOOKUP(E126,'11.COMPOSIÇÕES GERAIS'!B:I,2,0),VLOOKUP(E126,'12.COT.MERCADO'!A:I,2,0)))),"Em Elaboração")</f>
        <v>CAP, PVC, SÉRIE NORMAL, ESGOTO PREDIAL, DN 100 MM, JUNTA ELÁSTICA, FORNECIDO E INSTALADO EM SUBCOLETOR AÉREO DE ESGOTO SANITÁRIO. AF_08/2022</v>
      </c>
      <c r="H126" s="305" t="str">
        <f>IFERROR(IF(F126="SINAPI-S",VLOOKUP(E126,'20-B.SINAPI-S'!A:J,3,0),IF(F126="SINAPI-I",VLOOKUP(E126,'20-A.SINAPI-I'!A:G,3,0),IF(F126="COMP.EVENTUAL",VLOOKUP(E126,'11.COMPOSIÇÕES GERAIS'!B:I,3,0),VLOOKUP(E126,'12.COT.MERCADO'!A:I,7,0)))),"Em Elaboração")</f>
        <v>UN</v>
      </c>
      <c r="I126" s="974">
        <v>8.0</v>
      </c>
    </row>
    <row r="127">
      <c r="A127" s="999" t="s">
        <v>4466</v>
      </c>
      <c r="B127" s="999">
        <v>23048.0</v>
      </c>
      <c r="C127" s="942" t="s">
        <v>4274</v>
      </c>
      <c r="D127" s="976" t="s">
        <v>5188</v>
      </c>
      <c r="E127" s="941" t="s">
        <v>1999</v>
      </c>
      <c r="F127" s="977" t="s">
        <v>4276</v>
      </c>
      <c r="G127" s="978" t="str">
        <f>IFERROR(IF(F127="SINAPI-S",VLOOKUP(E127,'20-B.SINAPI-S'!A:J,2,0),IF(F127="SINAPI-I",VLOOKUP(E127,'20-A.SINAPI-I'!A:G,2,0),IF(F127="COMP.EVENTUAL",VLOOKUP(E127,'11.COMPOSIÇÕES GERAIS'!B:I,2,0),VLOOKUP(E127,'12.COT.MERCADO'!A:I,2,0)))),"Em Elaboração")</f>
        <v>FORNECIMENTO E INSTALAÇÃO DE CAIXA P/ BOTOEIRA PLÁSTICA 1 FURO 22 mm</v>
      </c>
      <c r="H127" s="934" t="str">
        <f>IFERROR(IF(F127="SINAPI-S",VLOOKUP(E127,'20-B.SINAPI-S'!A:J,3,0),IF(F127="SINAPI-I",VLOOKUP(E127,'20-A.SINAPI-I'!A:G,3,0),IF(F127="COMP.EVENTUAL",VLOOKUP(E127,'11.COMPOSIÇÕES GERAIS'!B:I,3,0),VLOOKUP(E127,'12.COT.MERCADO'!A:I,7,0)))),"Em Elaboração")</f>
        <v>UN</v>
      </c>
      <c r="I127" s="938">
        <v>2.0</v>
      </c>
    </row>
    <row r="128">
      <c r="A128" s="996" t="s">
        <v>4466</v>
      </c>
      <c r="B128" s="996">
        <v>23048.0</v>
      </c>
      <c r="C128" s="970" t="s">
        <v>4274</v>
      </c>
      <c r="D128" s="971" t="s">
        <v>5189</v>
      </c>
      <c r="E128" s="306" t="s">
        <v>1939</v>
      </c>
      <c r="F128" s="973" t="s">
        <v>4276</v>
      </c>
      <c r="G128" s="421" t="str">
        <f>IFERROR(IF(F128="SINAPI-S",VLOOKUP(E128,'20-B.SINAPI-S'!A:J,2,0),IF(F128="SINAPI-I",VLOOKUP(E128,'20-A.SINAPI-I'!A:G,2,0),IF(F128="COMP.EVENTUAL",VLOOKUP(E128,'11.COMPOSIÇÕES GERAIS'!B:I,2,0),VLOOKUP(E128,'12.COT.MERCADO'!A:I,2,0)))),"Em Elaboração")</f>
        <v>BOTOEIRA COM RETENÇÃO PARA QUADRO/PAINEL</v>
      </c>
      <c r="H128" s="305" t="str">
        <f>IFERROR(IF(F128="SINAPI-S",VLOOKUP(E128,'20-B.SINAPI-S'!A:J,3,0),IF(F128="SINAPI-I",VLOOKUP(E128,'20-A.SINAPI-I'!A:G,3,0),IF(F128="COMP.EVENTUAL",VLOOKUP(E128,'11.COMPOSIÇÕES GERAIS'!B:I,3,0),VLOOKUP(E128,'12.COT.MERCADO'!A:I,7,0)))),"Em Elaboração")</f>
        <v>UN</v>
      </c>
      <c r="I128" s="974">
        <v>2.0</v>
      </c>
    </row>
    <row r="129">
      <c r="A129" s="999" t="s">
        <v>4466</v>
      </c>
      <c r="B129" s="999">
        <v>23048.0</v>
      </c>
      <c r="C129" s="942" t="s">
        <v>4274</v>
      </c>
      <c r="D129" s="976" t="s">
        <v>5190</v>
      </c>
      <c r="E129" s="1003" t="s">
        <v>1866</v>
      </c>
      <c r="F129" s="977" t="s">
        <v>4276</v>
      </c>
      <c r="G129" s="978" t="str">
        <f>IFERROR(IF(F129="SINAPI-S",VLOOKUP(E129,'20-B.SINAPI-S'!A:J,2,0),IF(F129="SINAPI-I",VLOOKUP(E129,'20-A.SINAPI-I'!A:G,2,0),IF(F129="COMP.EVENTUAL",VLOOKUP(E129,'11.COMPOSIÇÕES GERAIS'!B:I,2,0),VLOOKUP(E129,'12.COT.MERCADO'!A:I,2,0)))),"Em Elaboração")</f>
        <v>FORNECIMENTO E INSTALAÇÃO DE CANALETA EM PVC PARA INSTALAÇÃO ELÉTRICA APARENTE, INCLUSIVE CONEXÕES, DIMENSÕES 20 X 10 MM</v>
      </c>
      <c r="H129" s="934" t="str">
        <f>IFERROR(IF(F129="SINAPI-S",VLOOKUP(E129,'20-B.SINAPI-S'!A:J,3,0),IF(F129="SINAPI-I",VLOOKUP(E129,'20-A.SINAPI-I'!A:G,3,0),IF(F129="COMP.EVENTUAL",VLOOKUP(E129,'11.COMPOSIÇÕES GERAIS'!B:I,3,0),VLOOKUP(E129,'12.COT.MERCADO'!A:I,7,0)))),"Em Elaboração")</f>
        <v>M</v>
      </c>
      <c r="I129" s="938">
        <v>3.0</v>
      </c>
    </row>
    <row r="130">
      <c r="A130" s="996" t="s">
        <v>4466</v>
      </c>
      <c r="B130" s="996">
        <v>23048.0</v>
      </c>
      <c r="C130" s="970" t="s">
        <v>4274</v>
      </c>
      <c r="D130" s="971" t="s">
        <v>5191</v>
      </c>
      <c r="E130" s="985" t="s">
        <v>1874</v>
      </c>
      <c r="F130" s="973" t="s">
        <v>4276</v>
      </c>
      <c r="G130" s="421" t="str">
        <f>IFERROR(IF(F130="SINAPI-S",VLOOKUP(E130,'20-B.SINAPI-S'!A:J,2,0),IF(F130="SINAPI-I",VLOOKUP(E130,'20-A.SINAPI-I'!A:G,2,0),IF(F130="COMP.EVENTUAL",VLOOKUP(E130,'11.COMPOSIÇÕES GERAIS'!B:I,2,0),VLOOKUP(E130,'12.COT.MERCADO'!A:I,2,0)))),"Em Elaboração")</f>
        <v>SUBSTITUIÇÃO DE PLUGUE 2P+T DE 20A, 250V</v>
      </c>
      <c r="H130" s="305" t="str">
        <f>IFERROR(IF(F130="SINAPI-S",VLOOKUP(E130,'20-B.SINAPI-S'!A:J,3,0),IF(F130="SINAPI-I",VLOOKUP(E130,'20-A.SINAPI-I'!A:G,3,0),IF(F130="COMP.EVENTUAL",VLOOKUP(E130,'11.COMPOSIÇÕES GERAIS'!B:I,3,0),VLOOKUP(E130,'12.COT.MERCADO'!A:I,7,0)))),"Em Elaboração")</f>
        <v>UN</v>
      </c>
      <c r="I130" s="974">
        <v>6.0</v>
      </c>
    </row>
    <row r="131">
      <c r="A131" s="999" t="s">
        <v>4466</v>
      </c>
      <c r="B131" s="999">
        <v>23048.0</v>
      </c>
      <c r="C131" s="942" t="s">
        <v>4274</v>
      </c>
      <c r="D131" s="976" t="s">
        <v>5192</v>
      </c>
      <c r="E131" s="940" t="s">
        <v>1874</v>
      </c>
      <c r="F131" s="977" t="s">
        <v>4276</v>
      </c>
      <c r="G131" s="978" t="str">
        <f>IFERROR(IF(F131="SINAPI-S",VLOOKUP(E131,'20-B.SINAPI-S'!A:J,2,0),IF(F131="SINAPI-I",VLOOKUP(E131,'20-A.SINAPI-I'!A:G,2,0),IF(F131="COMP.EVENTUAL",VLOOKUP(E131,'11.COMPOSIÇÕES GERAIS'!B:I,2,0),VLOOKUP(E131,'12.COT.MERCADO'!A:I,2,0)))),"Em Elaboração")</f>
        <v>SUBSTITUIÇÃO DE PLUGUE 2P+T DE 20A, 250V</v>
      </c>
      <c r="H131" s="934" t="str">
        <f>IFERROR(IF(F131="SINAPI-S",VLOOKUP(E131,'20-B.SINAPI-S'!A:J,3,0),IF(F131="SINAPI-I",VLOOKUP(E131,'20-A.SINAPI-I'!A:G,3,0),IF(F131="COMP.EVENTUAL",VLOOKUP(E131,'11.COMPOSIÇÕES GERAIS'!B:I,3,0),VLOOKUP(E131,'12.COT.MERCADO'!A:I,7,0)))),"Em Elaboração")</f>
        <v>UN</v>
      </c>
      <c r="I131" s="938">
        <v>6.0</v>
      </c>
    </row>
    <row r="132">
      <c r="A132" s="996" t="s">
        <v>4466</v>
      </c>
      <c r="B132" s="996">
        <v>23058.0</v>
      </c>
      <c r="C132" s="970" t="s">
        <v>4274</v>
      </c>
      <c r="D132" s="971" t="s">
        <v>5193</v>
      </c>
      <c r="E132" s="1004" t="s">
        <v>1976</v>
      </c>
      <c r="F132" s="973" t="s">
        <v>4276</v>
      </c>
      <c r="G132" s="421" t="str">
        <f>IFERROR(IF(F132="SINAPI-S",VLOOKUP(E132,'20-B.SINAPI-S'!A:J,2,0),IF(F132="SINAPI-I",VLOOKUP(E132,'20-A.SINAPI-I'!A:G,2,0),IF(F132="COMP.EVENTUAL",VLOOKUP(E132,'11.COMPOSIÇÕES GERAIS'!B:I,2,0),VLOOKUP(E132,'12.COT.MERCADO'!A:I,2,0)))),"Em Elaboração")</f>
        <v>CONECTOR PARA CABOS 4MM2 3 VIAS. REF. WAGO 221-413 OU SIMILAR</v>
      </c>
      <c r="H132" s="305" t="str">
        <f>IFERROR(IF(F132="SINAPI-S",VLOOKUP(E132,'20-B.SINAPI-S'!A:J,3,0),IF(F132="SINAPI-I",VLOOKUP(E132,'20-A.SINAPI-I'!A:G,3,0),IF(F132="COMP.EVENTUAL",VLOOKUP(E132,'11.COMPOSIÇÕES GERAIS'!B:I,3,0),VLOOKUP(E132,'12.COT.MERCADO'!A:I,7,0)))),"Em Elaboração")</f>
        <v>UN</v>
      </c>
      <c r="I132" s="974">
        <v>20.0</v>
      </c>
    </row>
    <row r="133">
      <c r="A133" s="999" t="s">
        <v>4466</v>
      </c>
      <c r="B133" s="999">
        <v>23048.0</v>
      </c>
      <c r="C133" s="942" t="s">
        <v>4274</v>
      </c>
      <c r="D133" s="976" t="s">
        <v>5194</v>
      </c>
      <c r="E133" s="940" t="s">
        <v>1976</v>
      </c>
      <c r="F133" s="977" t="s">
        <v>4276</v>
      </c>
      <c r="G133" s="978" t="str">
        <f>IFERROR(IF(F133="SINAPI-S",VLOOKUP(E133,'20-B.SINAPI-S'!A:J,2,0),IF(F133="SINAPI-I",VLOOKUP(E133,'20-A.SINAPI-I'!A:G,2,0),IF(F133="COMP.EVENTUAL",VLOOKUP(E133,'11.COMPOSIÇÕES GERAIS'!B:I,2,0),VLOOKUP(E133,'12.COT.MERCADO'!A:I,2,0)))),"Em Elaboração")</f>
        <v>CONECTOR PARA CABOS 4MM2 3 VIAS. REF. WAGO 221-413 OU SIMILAR</v>
      </c>
      <c r="H133" s="934" t="str">
        <f>IFERROR(IF(F133="SINAPI-S",VLOOKUP(E133,'20-B.SINAPI-S'!A:J,3,0),IF(F133="SINAPI-I",VLOOKUP(E133,'20-A.SINAPI-I'!A:G,3,0),IF(F133="COMP.EVENTUAL",VLOOKUP(E133,'11.COMPOSIÇÕES GERAIS'!B:I,3,0),VLOOKUP(E133,'12.COT.MERCADO'!A:I,7,0)))),"Em Elaboração")</f>
        <v>UN</v>
      </c>
      <c r="I133" s="938">
        <v>30.0</v>
      </c>
    </row>
    <row r="134">
      <c r="A134" s="996" t="s">
        <v>4466</v>
      </c>
      <c r="B134" s="996">
        <v>23048.0</v>
      </c>
      <c r="C134" s="970" t="s">
        <v>4297</v>
      </c>
      <c r="D134" s="971" t="s">
        <v>5195</v>
      </c>
      <c r="E134" s="985">
        <v>11964.0</v>
      </c>
      <c r="F134" s="973" t="s">
        <v>286</v>
      </c>
      <c r="G134" s="421" t="str">
        <f>IFERROR(IF(F134="SINAPI-S",VLOOKUP(E134,'20-B.SINAPI-S'!A:J,2,0),IF(F134="SINAPI-I",VLOOKUP(E134,'20-A.SINAPI-I'!A:G,2,0),IF(F134="COMP.EVENTUAL",VLOOKUP(E134,'11.COMPOSIÇÕES GERAIS'!B:I,2,0),VLOOKUP(E134,'12.COT.MERCADO'!A:I,2,0)))),"Em Elaboração")</f>
        <v>PARAFUSO DE ACO TIPO CHUMBADOR PARABOLT, DIAMETRO 3/8", COMPRIMENTO 75 MM</v>
      </c>
      <c r="H134" s="305" t="str">
        <f>IFERROR(IF(F134="SINAPI-S",VLOOKUP(E134,'20-B.SINAPI-S'!A:J,3,0),IF(F134="SINAPI-I",VLOOKUP(E134,'20-A.SINAPI-I'!A:G,3,0),IF(F134="COMP.EVENTUAL",VLOOKUP(E134,'11.COMPOSIÇÕES GERAIS'!B:I,3,0),VLOOKUP(E134,'12.COT.MERCADO'!A:I,7,0)))),"Em Elaboração")</f>
        <v>UN</v>
      </c>
      <c r="I134" s="974">
        <v>40.0</v>
      </c>
    </row>
    <row r="135">
      <c r="A135" s="999" t="s">
        <v>4466</v>
      </c>
      <c r="B135" s="999">
        <v>23048.0</v>
      </c>
      <c r="C135" s="942" t="s">
        <v>4297</v>
      </c>
      <c r="D135" s="976" t="s">
        <v>5196</v>
      </c>
      <c r="E135" s="940">
        <v>11267.0</v>
      </c>
      <c r="F135" s="977" t="s">
        <v>286</v>
      </c>
      <c r="G135" s="978" t="str">
        <f>IFERROR(IF(F135="SINAPI-S",VLOOKUP(E135,'20-B.SINAPI-S'!A:J,2,0),IF(F135="SINAPI-I",VLOOKUP(E135,'20-A.SINAPI-I'!A:G,2,0),IF(F135="COMP.EVENTUAL",VLOOKUP(E135,'11.COMPOSIÇÕES GERAIS'!B:I,2,0),VLOOKUP(E135,'12.COT.MERCADO'!A:I,2,0)))),"Em Elaboração")</f>
        <v>ARRUELA LISA, REDONDA, DE LATAO POLIDO, DIAMETRO NOMINAL 5/8", DIAMETRO EXTERNO = 34 MM, DIAMETRO DO FURO = 17 MM, ESPESSURA = *2,5* MM</v>
      </c>
      <c r="H135" s="934" t="str">
        <f>IFERROR(IF(F135="SINAPI-S",VLOOKUP(E135,'20-B.SINAPI-S'!A:J,3,0),IF(F135="SINAPI-I",VLOOKUP(E135,'20-A.SINAPI-I'!A:G,3,0),IF(F135="COMP.EVENTUAL",VLOOKUP(E135,'11.COMPOSIÇÕES GERAIS'!B:I,3,0),VLOOKUP(E135,'12.COT.MERCADO'!A:I,7,0)))),"Em Elaboração")</f>
        <v>UN</v>
      </c>
      <c r="I135" s="938">
        <v>40.0</v>
      </c>
    </row>
    <row r="136">
      <c r="A136" s="996" t="s">
        <v>4466</v>
      </c>
      <c r="B136" s="996">
        <v>23048.0</v>
      </c>
      <c r="C136" s="970" t="s">
        <v>4297</v>
      </c>
      <c r="D136" s="971" t="s">
        <v>5197</v>
      </c>
      <c r="E136" s="985" t="s">
        <v>2031</v>
      </c>
      <c r="F136" s="973" t="s">
        <v>4276</v>
      </c>
      <c r="G136" s="421" t="str">
        <f>IFERROR(IF(F136="SINAPI-S",VLOOKUP(E136,'20-B.SINAPI-S'!A:J,2,0),IF(F136="SINAPI-I",VLOOKUP(E136,'20-A.SINAPI-I'!A:G,2,0),IF(F136="COMP.EVENTUAL",VLOOKUP(E136,'11.COMPOSIÇÕES GERAIS'!B:I,2,0),VLOOKUP(E136,'12.COT.MERCADO'!A:I,2,0)))),"Em Elaboração")</f>
        <v>PINTURA ADESIVA P/ CONCRETO, A BASE DE RESINA EPOXI ( SIKADUR 32 )</v>
      </c>
      <c r="H136" s="305" t="str">
        <f>IFERROR(IF(F136="SINAPI-S",VLOOKUP(E136,'20-B.SINAPI-S'!A:J,3,0),IF(F136="SINAPI-I",VLOOKUP(E136,'20-A.SINAPI-I'!A:G,3,0),IF(F136="COMP.EVENTUAL",VLOOKUP(E136,'11.COMPOSIÇÕES GERAIS'!B:I,3,0),VLOOKUP(E136,'12.COT.MERCADO'!A:I,7,0)))),"Em Elaboração")</f>
        <v>KG    </v>
      </c>
      <c r="I136" s="974">
        <v>1.0</v>
      </c>
    </row>
    <row r="137">
      <c r="A137" s="999" t="s">
        <v>4466</v>
      </c>
      <c r="B137" s="999">
        <v>23048.0</v>
      </c>
      <c r="C137" s="942" t="s">
        <v>4297</v>
      </c>
      <c r="D137" s="976" t="s">
        <v>5198</v>
      </c>
      <c r="E137" s="940" t="s">
        <v>1980</v>
      </c>
      <c r="F137" s="977" t="s">
        <v>4276</v>
      </c>
      <c r="G137" s="978" t="str">
        <f>IFERROR(IF(F137="SINAPI-S",VLOOKUP(E137,'20-B.SINAPI-S'!A:J,2,0),IF(F137="SINAPI-I",VLOOKUP(E137,'20-A.SINAPI-I'!A:G,2,0),IF(F137="COMP.EVENTUAL",VLOOKUP(E137,'11.COMPOSIÇÕES GERAIS'!B:I,2,0),VLOOKUP(E137,'12.COT.MERCADO'!A:I,2,0)))),"Em Elaboração")</f>
        <v>FORNECIMENTO E INSTALAÇÃO DE CANALETA EM ALUMÍNIO COM DIVISÓRIA PARA INSTALAÇÃO ELÉTRICA EM PISO, INCLUSIVE CONEXÕES, DIMENSÕES 20 X 10 MM</v>
      </c>
      <c r="H137" s="934" t="str">
        <f>IFERROR(IF(F137="SINAPI-S",VLOOKUP(E137,'20-B.SINAPI-S'!A:J,3,0),IF(F137="SINAPI-I",VLOOKUP(E137,'20-A.SINAPI-I'!A:G,3,0),IF(F137="COMP.EVENTUAL",VLOOKUP(E137,'11.COMPOSIÇÕES GERAIS'!B:I,3,0),VLOOKUP(E137,'12.COT.MERCADO'!A:I,7,0)))),"Em Elaboração")</f>
        <v>M</v>
      </c>
      <c r="I137" s="938">
        <v>3.0</v>
      </c>
    </row>
    <row r="138">
      <c r="A138" s="996" t="s">
        <v>4529</v>
      </c>
      <c r="B138" s="990">
        <v>23066.0</v>
      </c>
      <c r="C138" s="970" t="s">
        <v>4297</v>
      </c>
      <c r="D138" s="971" t="s">
        <v>5199</v>
      </c>
      <c r="E138" s="985">
        <v>89049.0</v>
      </c>
      <c r="F138" s="973" t="s">
        <v>218</v>
      </c>
      <c r="G138" s="421" t="str">
        <f>IFERROR(IF(F138="SINAPI-S",VLOOKUP(E138,'20-B.SINAPI-S'!A:J,2,0),IF(F138="SINAPI-I",VLOOKUP(E138,'20-A.SINAPI-I'!A:G,2,0),IF(F138="COMP.EVENTUAL",VLOOKUP(E138,'11.COMPOSIÇÕES GERAIS'!B:I,2,0),VLOOKUP(E138,'12.COT.MERCADO'!A:I,2,0)))),"Em Elaboração")</f>
        <v>(COMPOSIÇÃO REPRESENTATIVA) DO SERVIÇO DE APLICAÇÃO MANUAL DE GESSO DESEMPENADO (SEM TALISCAS) EM TETO, ESPESSURA 0,5 CM, PARA EDIFICAÇÃO HABITACIONAL MULTIFAMILIAR (PRÉDIO). AF_11/2014</v>
      </c>
      <c r="H138" s="305" t="str">
        <f>IFERROR(IF(F138="SINAPI-S",VLOOKUP(E138,'20-B.SINAPI-S'!A:J,3,0),IF(F138="SINAPI-I",VLOOKUP(E138,'20-A.SINAPI-I'!A:G,3,0),IF(F138="COMP.EVENTUAL",VLOOKUP(E138,'11.COMPOSIÇÕES GERAIS'!B:I,3,0),VLOOKUP(E138,'12.COT.MERCADO'!A:I,7,0)))),"Em Elaboração")</f>
        <v>M2</v>
      </c>
      <c r="I138" s="974">
        <v>2.0</v>
      </c>
    </row>
    <row r="139">
      <c r="A139" s="999" t="s">
        <v>4529</v>
      </c>
      <c r="B139" s="992">
        <v>23086.0</v>
      </c>
      <c r="C139" s="942" t="s">
        <v>4306</v>
      </c>
      <c r="D139" s="976" t="s">
        <v>5200</v>
      </c>
      <c r="E139" s="940" t="s">
        <v>1983</v>
      </c>
      <c r="F139" s="977" t="s">
        <v>4276</v>
      </c>
      <c r="G139" s="978" t="str">
        <f>IFERROR(IF(F139="SINAPI-S",VLOOKUP(E139,'20-B.SINAPI-S'!A:J,2,0),IF(F139="SINAPI-I",VLOOKUP(E139,'20-A.SINAPI-I'!A:G,2,0),IF(F139="COMP.EVENTUAL",VLOOKUP(E139,'11.COMPOSIÇÕES GERAIS'!B:I,2,0),VLOOKUP(E139,'12.COT.MERCADO'!A:I,2,0)))),"Em Elaboração")</f>
        <v>KIT COMPLETO UNIVERSAL PARA REPARO EM CAIXA ACOPLADA - FORNECIMENTO E INSTALAÇÃO</v>
      </c>
      <c r="H139" s="934" t="str">
        <f>IFERROR(IF(F139="SINAPI-S",VLOOKUP(E139,'20-B.SINAPI-S'!A:J,3,0),IF(F139="SINAPI-I",VLOOKUP(E139,'20-A.SINAPI-I'!A:G,3,0),IF(F139="COMP.EVENTUAL",VLOOKUP(E139,'11.COMPOSIÇÕES GERAIS'!B:I,3,0),VLOOKUP(E139,'12.COT.MERCADO'!A:I,7,0)))),"Em Elaboração")</f>
        <v>UN</v>
      </c>
      <c r="I139" s="938">
        <v>1.0</v>
      </c>
    </row>
    <row r="140">
      <c r="A140" s="996" t="s">
        <v>4529</v>
      </c>
      <c r="B140" s="990">
        <v>23093.0</v>
      </c>
      <c r="C140" s="970" t="s">
        <v>4274</v>
      </c>
      <c r="D140" s="971" t="s">
        <v>5201</v>
      </c>
      <c r="E140" s="985">
        <v>92016.0</v>
      </c>
      <c r="F140" s="973" t="s">
        <v>218</v>
      </c>
      <c r="G140" s="421" t="str">
        <f>IFERROR(IF(F140="SINAPI-S",VLOOKUP(E140,'20-B.SINAPI-S'!A:J,2,0),IF(F140="SINAPI-I",VLOOKUP(E140,'20-A.SINAPI-I'!A:G,2,0),IF(F140="COMP.EVENTUAL",VLOOKUP(E140,'11.COMPOSIÇÕES GERAIS'!B:I,2,0),VLOOKUP(E140,'12.COT.MERCADO'!A:I,2,0)))),"Em Elaboração")</f>
        <v>TOMADA BAIXA DE EMBUTIR (3 MÓDULOS), 2P+T 10 A, INCLUINDO SUPORTE E PLACA - FORNECIMENTO E INSTALAÇÃO. AF_03/2023</v>
      </c>
      <c r="H140" s="305" t="str">
        <f>IFERROR(IF(F140="SINAPI-S",VLOOKUP(E140,'20-B.SINAPI-S'!A:J,3,0),IF(F140="SINAPI-I",VLOOKUP(E140,'20-A.SINAPI-I'!A:G,3,0),IF(F140="COMP.EVENTUAL",VLOOKUP(E140,'11.COMPOSIÇÕES GERAIS'!B:I,3,0),VLOOKUP(E140,'12.COT.MERCADO'!A:I,7,0)))),"Em Elaboração")</f>
        <v>UN</v>
      </c>
      <c r="I140" s="974">
        <v>1.0</v>
      </c>
    </row>
    <row r="141">
      <c r="A141" s="999" t="s">
        <v>4529</v>
      </c>
      <c r="B141" s="992">
        <v>23063.0</v>
      </c>
      <c r="C141" s="942" t="s">
        <v>4306</v>
      </c>
      <c r="D141" s="976" t="s">
        <v>5175</v>
      </c>
      <c r="E141" s="940">
        <v>86883.0</v>
      </c>
      <c r="F141" s="977" t="s">
        <v>218</v>
      </c>
      <c r="G141" s="978" t="str">
        <f>IFERROR(IF(F141="SINAPI-S",VLOOKUP(E141,'20-B.SINAPI-S'!A:J,2,0),IF(F141="SINAPI-I",VLOOKUP(E141,'20-A.SINAPI-I'!A:G,2,0),IF(F141="COMP.EVENTUAL",VLOOKUP(E141,'11.COMPOSIÇÕES GERAIS'!B:I,2,0),VLOOKUP(E141,'12.COT.MERCADO'!A:I,2,0)))),"Em Elaboração")</f>
        <v>SIFÃO DO TIPO FLEXÍVEL EM PVC 1  X 1.1/2  - FORNECIMENTO E INSTALAÇÃO. AF_01/2020</v>
      </c>
      <c r="H141" s="934" t="str">
        <f>IFERROR(IF(F141="SINAPI-S",VLOOKUP(E141,'20-B.SINAPI-S'!A:J,3,0),IF(F141="SINAPI-I",VLOOKUP(E141,'20-A.SINAPI-I'!A:G,3,0),IF(F141="COMP.EVENTUAL",VLOOKUP(E141,'11.COMPOSIÇÕES GERAIS'!B:I,3,0),VLOOKUP(E141,'12.COT.MERCADO'!A:I,7,0)))),"Em Elaboração")</f>
        <v>UN</v>
      </c>
      <c r="I141" s="938">
        <v>6.0</v>
      </c>
    </row>
    <row r="142">
      <c r="A142" s="996" t="s">
        <v>4529</v>
      </c>
      <c r="B142" s="990">
        <v>23106.0</v>
      </c>
      <c r="C142" s="970" t="s">
        <v>4274</v>
      </c>
      <c r="D142" s="971" t="s">
        <v>5202</v>
      </c>
      <c r="E142" s="985">
        <v>101633.0</v>
      </c>
      <c r="F142" s="973" t="s">
        <v>218</v>
      </c>
      <c r="G142" s="421" t="str">
        <f>IFERROR(IF(F142="SINAPI-S",VLOOKUP(E142,'20-B.SINAPI-S'!A:J,2,0),IF(F142="SINAPI-I",VLOOKUP(E142,'20-A.SINAPI-I'!A:G,2,0),IF(F142="COMP.EVENTUAL",VLOOKUP(E142,'11.COMPOSIÇÕES GERAIS'!B:I,2,0),VLOOKUP(E142,'12.COT.MERCADO'!A:I,2,0)))),"Em Elaboração")</f>
        <v>SUBSTITUIÇÃO DE RELÉ FOTOELÉTRICO PARA COMANDO DE ILUMINAÇÃO EXTERNA 1000 W - FORNECIMENTO E INSTALAÇÃO. AF_08/2020</v>
      </c>
      <c r="H142" s="305" t="str">
        <f>IFERROR(IF(F142="SINAPI-S",VLOOKUP(E142,'20-B.SINAPI-S'!A:J,3,0),IF(F142="SINAPI-I",VLOOKUP(E142,'20-A.SINAPI-I'!A:G,3,0),IF(F142="COMP.EVENTUAL",VLOOKUP(E142,'11.COMPOSIÇÕES GERAIS'!B:I,3,0),VLOOKUP(E142,'12.COT.MERCADO'!A:I,7,0)))),"Em Elaboração")</f>
        <v>UN</v>
      </c>
      <c r="I142" s="974">
        <v>1.0</v>
      </c>
    </row>
    <row r="143">
      <c r="A143" s="999" t="s">
        <v>4529</v>
      </c>
      <c r="B143" s="992">
        <v>23106.0</v>
      </c>
      <c r="C143" s="942" t="s">
        <v>4274</v>
      </c>
      <c r="D143" s="976" t="s">
        <v>5203</v>
      </c>
      <c r="E143" s="940" t="s">
        <v>2035</v>
      </c>
      <c r="F143" s="977" t="s">
        <v>4276</v>
      </c>
      <c r="G143" s="978" t="str">
        <f>IFERROR(IF(F143="SINAPI-S",VLOOKUP(E143,'20-B.SINAPI-S'!A:J,2,0),IF(F143="SINAPI-I",VLOOKUP(E143,'20-A.SINAPI-I'!A:G,2,0),IF(F143="COMP.EVENTUAL",VLOOKUP(E143,'11.COMPOSIÇÕES GERAIS'!B:I,2,0),VLOOKUP(E143,'12.COT.MERCADO'!A:I,2,0)))),"Em Elaboração")</f>
        <v>FORNECIMENTO E INSTALAÇÃO DE CAIXA PARA QUADRO DE COMANDO TIPO CC PLAST 30X20X17CM CINZA/TR</v>
      </c>
      <c r="H143" s="934" t="str">
        <f>IFERROR(IF(F143="SINAPI-S",VLOOKUP(E143,'20-B.SINAPI-S'!A:J,3,0),IF(F143="SINAPI-I",VLOOKUP(E143,'20-A.SINAPI-I'!A:G,3,0),IF(F143="COMP.EVENTUAL",VLOOKUP(E143,'11.COMPOSIÇÕES GERAIS'!B:I,3,0),VLOOKUP(E143,'12.COT.MERCADO'!A:I,7,0)))),"Em Elaboração")</f>
        <v>KG    </v>
      </c>
      <c r="I143" s="938">
        <v>1.0</v>
      </c>
    </row>
    <row r="144">
      <c r="A144" s="996" t="s">
        <v>4529</v>
      </c>
      <c r="B144" s="990">
        <v>23106.0</v>
      </c>
      <c r="C144" s="970" t="s">
        <v>4274</v>
      </c>
      <c r="D144" s="971" t="s">
        <v>5204</v>
      </c>
      <c r="E144" s="985" t="s">
        <v>1840</v>
      </c>
      <c r="F144" s="973" t="s">
        <v>4276</v>
      </c>
      <c r="G144" s="421" t="str">
        <f>IFERROR(IF(F144="SINAPI-S",VLOOKUP(E144,'20-B.SINAPI-S'!A:J,2,0),IF(F144="SINAPI-I",VLOOKUP(E144,'20-A.SINAPI-I'!A:G,2,0),IF(F144="COMP.EVENTUAL",VLOOKUP(E144,'11.COMPOSIÇÕES GERAIS'!B:I,2,0),VLOOKUP(E144,'12.COT.MERCADO'!A:I,2,0)))),"Em Elaboração")</f>
        <v>FORNECIMENTO E INSTALAÇÃO DE KIT MOTOR PPA 1/4HP, 500KG, DESLIZANTE, INCLUÍNDO 2 CONTROLE E 5M DE CREMALHEIRA, NÃO INCLUSO EXECUÇÃO DE BASE DE FIXAÇÃO E GUIA</v>
      </c>
      <c r="H144" s="305" t="str">
        <f>IFERROR(IF(F144="SINAPI-S",VLOOKUP(E144,'20-B.SINAPI-S'!A:J,3,0),IF(F144="SINAPI-I",VLOOKUP(E144,'20-A.SINAPI-I'!A:G,3,0),IF(F144="COMP.EVENTUAL",VLOOKUP(E144,'11.COMPOSIÇÕES GERAIS'!B:I,3,0),VLOOKUP(E144,'12.COT.MERCADO'!A:I,7,0)))),"Em Elaboração")</f>
        <v>UN</v>
      </c>
      <c r="I144" s="974">
        <v>1.0</v>
      </c>
    </row>
    <row r="145">
      <c r="A145" s="999" t="s">
        <v>4529</v>
      </c>
      <c r="B145" s="992">
        <v>23107.0</v>
      </c>
      <c r="C145" s="942" t="s">
        <v>4274</v>
      </c>
      <c r="D145" s="976" t="s">
        <v>5205</v>
      </c>
      <c r="E145" s="940" t="s">
        <v>1896</v>
      </c>
      <c r="F145" s="977" t="s">
        <v>4276</v>
      </c>
      <c r="G145" s="978" t="str">
        <f>IFERROR(IF(F145="SINAPI-S",VLOOKUP(E145,'20-B.SINAPI-S'!A:J,2,0),IF(F145="SINAPI-I",VLOOKUP(E145,'20-A.SINAPI-I'!A:G,2,0),IF(F145="COMP.EVENTUAL",VLOOKUP(E145,'11.COMPOSIÇÕES GERAIS'!B:I,2,0),VLOOKUP(E145,'12.COT.MERCADO'!A:I,2,0)))),"Em Elaboração")</f>
        <v>FORNECIMENTO E INSTALAÇÃO DE PORTEIRO ELETRONICO. REF.: INTELBRAS IPR 8010 OU SIMILAR</v>
      </c>
      <c r="H145" s="934" t="str">
        <f>IFERROR(IF(F145="SINAPI-S",VLOOKUP(E145,'20-B.SINAPI-S'!A:J,3,0),IF(F145="SINAPI-I",VLOOKUP(E145,'20-A.SINAPI-I'!A:G,3,0),IF(F145="COMP.EVENTUAL",VLOOKUP(E145,'11.COMPOSIÇÕES GERAIS'!B:I,3,0),VLOOKUP(E145,'12.COT.MERCADO'!A:I,7,0)))),"Em Elaboração")</f>
        <v>UN</v>
      </c>
      <c r="I145" s="938">
        <v>1.0</v>
      </c>
    </row>
    <row r="146">
      <c r="A146" s="996" t="s">
        <v>4529</v>
      </c>
      <c r="B146" s="990">
        <v>23108.0</v>
      </c>
      <c r="C146" s="970" t="s">
        <v>4274</v>
      </c>
      <c r="D146" s="971" t="s">
        <v>5206</v>
      </c>
      <c r="E146" s="985" t="s">
        <v>1973</v>
      </c>
      <c r="F146" s="973" t="s">
        <v>4276</v>
      </c>
      <c r="G146" s="421" t="str">
        <f>IFERROR(IF(F146="SINAPI-S",VLOOKUP(E146,'20-B.SINAPI-S'!A:J,2,0),IF(F146="SINAPI-I",VLOOKUP(E146,'20-A.SINAPI-I'!A:G,2,0),IF(F146="COMP.EVENTUAL",VLOOKUP(E146,'11.COMPOSIÇÕES GERAIS'!B:I,2,0),VLOOKUP(E146,'12.COT.MERCADO'!A:I,2,0)))),"Em Elaboração")</f>
        <v>FORNECIMENTO E INSTALAÇÃO DE CABO DE COBRE PP CORDPLAST 3 X 2,5MM2, 450/750V</v>
      </c>
      <c r="H146" s="305" t="str">
        <f>IFERROR(IF(F146="SINAPI-S",VLOOKUP(E146,'20-B.SINAPI-S'!A:J,3,0),IF(F146="SINAPI-I",VLOOKUP(E146,'20-A.SINAPI-I'!A:G,3,0),IF(F146="COMP.EVENTUAL",VLOOKUP(E146,'11.COMPOSIÇÕES GERAIS'!B:I,3,0),VLOOKUP(E146,'12.COT.MERCADO'!A:I,7,0)))),"Em Elaboração")</f>
        <v>M</v>
      </c>
      <c r="I146" s="974">
        <v>15.0</v>
      </c>
    </row>
    <row r="147">
      <c r="A147" s="999" t="s">
        <v>4529</v>
      </c>
      <c r="B147" s="992">
        <v>23108.0</v>
      </c>
      <c r="C147" s="942" t="s">
        <v>4274</v>
      </c>
      <c r="D147" s="976" t="s">
        <v>5207</v>
      </c>
      <c r="E147" s="940">
        <v>103425.0</v>
      </c>
      <c r="F147" s="977" t="s">
        <v>218</v>
      </c>
      <c r="G147" s="978" t="str">
        <f>IFERROR(IF(F147="SINAPI-S",VLOOKUP(E147,'20-B.SINAPI-S'!A:J,2,0),IF(F147="SINAPI-I",VLOOKUP(E147,'20-A.SINAPI-I'!A:G,2,0),IF(F147="COMP.EVENTUAL",VLOOKUP(E147,'11.COMPOSIÇÕES GERAIS'!B:I,2,0),VLOOKUP(E147,'12.COT.MERCADO'!A:I,2,0)))),"Em Elaboração")</f>
        <v>LUVA, EM PEAD LISO PARA REDE DE ÁGUA OU ESGOTO, DIÂMETRO DE 20 MM, JUNTA SOLDADA POR ELETROFUSÃO (NÃO INCLUI A EXECUÇÃO DE SOLDA). AF_12/2021</v>
      </c>
      <c r="H147" s="934" t="str">
        <f>IFERROR(IF(F147="SINAPI-S",VLOOKUP(E147,'20-B.SINAPI-S'!A:J,3,0),IF(F147="SINAPI-I",VLOOKUP(E147,'20-A.SINAPI-I'!A:G,3,0),IF(F147="COMP.EVENTUAL",VLOOKUP(E147,'11.COMPOSIÇÕES GERAIS'!B:I,3,0),VLOOKUP(E147,'12.COT.MERCADO'!A:I,7,0)))),"Em Elaboração")</f>
        <v>UN</v>
      </c>
      <c r="I147" s="938">
        <v>10.0</v>
      </c>
    </row>
    <row r="148">
      <c r="A148" s="996" t="s">
        <v>4529</v>
      </c>
      <c r="B148" s="990">
        <v>23108.0</v>
      </c>
      <c r="C148" s="970" t="s">
        <v>4274</v>
      </c>
      <c r="D148" s="971" t="s">
        <v>5208</v>
      </c>
      <c r="E148" s="985">
        <v>1599.0</v>
      </c>
      <c r="F148" s="973" t="s">
        <v>286</v>
      </c>
      <c r="G148" s="421" t="str">
        <f>IFERROR(IF(F148="SINAPI-S",VLOOKUP(E148,'20-B.SINAPI-S'!A:J,2,0),IF(F148="SINAPI-I",VLOOKUP(E148,'20-A.SINAPI-I'!A:G,2,0),IF(F148="COMP.EVENTUAL",VLOOKUP(E148,'11.COMPOSIÇÕES GERAIS'!B:I,2,0),VLOOKUP(E148,'12.COT.MERCADO'!A:I,2,0)))),"Em Elaboração")</f>
        <v>CONECTOR DE ALUMINIO TIPO PRENSA CABO, BITOLA 3/4", PARA CABOS DE DIAMETRO DE 17,5 A 20 MM</v>
      </c>
      <c r="H148" s="305" t="str">
        <f>IFERROR(IF(F148="SINAPI-S",VLOOKUP(E148,'20-B.SINAPI-S'!A:J,3,0),IF(F148="SINAPI-I",VLOOKUP(E148,'20-A.SINAPI-I'!A:G,3,0),IF(F148="COMP.EVENTUAL",VLOOKUP(E148,'11.COMPOSIÇÕES GERAIS'!B:I,3,0),VLOOKUP(E148,'12.COT.MERCADO'!A:I,7,0)))),"Em Elaboração")</f>
        <v>UN</v>
      </c>
      <c r="I148" s="974">
        <v>24.0</v>
      </c>
    </row>
    <row r="149">
      <c r="A149" s="999" t="s">
        <v>4529</v>
      </c>
      <c r="B149" s="992">
        <v>23108.0</v>
      </c>
      <c r="C149" s="942" t="s">
        <v>4274</v>
      </c>
      <c r="D149" s="976" t="s">
        <v>5209</v>
      </c>
      <c r="E149" s="941" t="s">
        <v>1806</v>
      </c>
      <c r="F149" s="977" t="s">
        <v>4276</v>
      </c>
      <c r="G149" s="978" t="str">
        <f>IFERROR(IF(F149="SINAPI-S",VLOOKUP(E149,'20-B.SINAPI-S'!A:J,2,0),IF(F149="SINAPI-I",VLOOKUP(E149,'20-A.SINAPI-I'!A:G,2,0),IF(F149="COMP.EVENTUAL",VLOOKUP(E149,'11.COMPOSIÇÕES GERAIS'!B:I,2,0),VLOOKUP(E149,'12.COT.MERCADO'!A:I,2,0)))),"Em Elaboração")</f>
        <v>FORNECIMENTO E INSTALAÇÃO DE REFLETOR LED, CORPO DE ALUMÍNIO, VIDRO TEMPERADO, POTÊNCIA 30W, BIVOLT, TEMP. COR 3000K, IP-66</v>
      </c>
      <c r="H149" s="934" t="str">
        <f>IFERROR(IF(F149="SINAPI-S",VLOOKUP(E149,'20-B.SINAPI-S'!A:J,3,0),IF(F149="SINAPI-I",VLOOKUP(E149,'20-A.SINAPI-I'!A:G,3,0),IF(F149="COMP.EVENTUAL",VLOOKUP(E149,'11.COMPOSIÇÕES GERAIS'!B:I,3,0),VLOOKUP(E149,'12.COT.MERCADO'!A:I,7,0)))),"Em Elaboração")</f>
        <v>UN</v>
      </c>
      <c r="I149" s="938">
        <v>5.0</v>
      </c>
    </row>
    <row r="150">
      <c r="A150" s="996" t="s">
        <v>4529</v>
      </c>
      <c r="B150" s="990">
        <v>23108.0</v>
      </c>
      <c r="C150" s="970" t="s">
        <v>4274</v>
      </c>
      <c r="D150" s="971" t="s">
        <v>5210</v>
      </c>
      <c r="E150" s="985">
        <v>1599.0</v>
      </c>
      <c r="F150" s="973" t="s">
        <v>286</v>
      </c>
      <c r="G150" s="421" t="str">
        <f>IFERROR(IF(F150="SINAPI-S",VLOOKUP(E150,'20-B.SINAPI-S'!A:J,2,0),IF(F150="SINAPI-I",VLOOKUP(E150,'20-A.SINAPI-I'!A:G,2,0),IF(F150="COMP.EVENTUAL",VLOOKUP(E150,'11.COMPOSIÇÕES GERAIS'!B:I,2,0),VLOOKUP(E150,'12.COT.MERCADO'!A:I,2,0)))),"Em Elaboração")</f>
        <v>CONECTOR DE ALUMINIO TIPO PRENSA CABO, BITOLA 3/4", PARA CABOS DE DIAMETRO DE 17,5 A 20 MM</v>
      </c>
      <c r="H150" s="305" t="str">
        <f>IFERROR(IF(F150="SINAPI-S",VLOOKUP(E150,'20-B.SINAPI-S'!A:J,3,0),IF(F150="SINAPI-I",VLOOKUP(E150,'20-A.SINAPI-I'!A:G,3,0),IF(F150="COMP.EVENTUAL",VLOOKUP(E150,'11.COMPOSIÇÕES GERAIS'!B:I,3,0),VLOOKUP(E150,'12.COT.MERCADO'!A:I,7,0)))),"Em Elaboração")</f>
        <v>UN</v>
      </c>
      <c r="I150" s="974">
        <v>6.0</v>
      </c>
    </row>
    <row r="151">
      <c r="A151" s="999" t="s">
        <v>4529</v>
      </c>
      <c r="B151" s="992">
        <v>23095.0</v>
      </c>
      <c r="C151" s="942" t="s">
        <v>4297</v>
      </c>
      <c r="D151" s="976" t="s">
        <v>5211</v>
      </c>
      <c r="E151" s="940">
        <v>100749.0</v>
      </c>
      <c r="F151" s="977" t="s">
        <v>218</v>
      </c>
      <c r="G151" s="978" t="str">
        <f>IFERROR(IF(F151="SINAPI-S",VLOOKUP(E151,'20-B.SINAPI-S'!A:J,2,0),IF(F151="SINAPI-I",VLOOKUP(E151,'20-A.SINAPI-I'!A:G,2,0),IF(F151="COMP.EVENTUAL",VLOOKUP(E151,'11.COMPOSIÇÕES GERAIS'!B:I,2,0),VLOOKUP(E151,'12.COT.MERCADO'!A:I,2,0)))),"Em Elaboração")</f>
        <v>PINTURA COM TINTA ALQUÍDICA DE ACABAMENTO (ESMALTE SINTÉTICO FOSCO) PULVERIZADA SOBRE SUPERFÍCIES METÁLICAS (EXCETO PERFIL) EXECUTADO EM OBRA (POR DEMÃO). AF_01/2020_PE</v>
      </c>
      <c r="H151" s="934" t="str">
        <f>IFERROR(IF(F151="SINAPI-S",VLOOKUP(E151,'20-B.SINAPI-S'!A:J,3,0),IF(F151="SINAPI-I",VLOOKUP(E151,'20-A.SINAPI-I'!A:G,3,0),IF(F151="COMP.EVENTUAL",VLOOKUP(E151,'11.COMPOSIÇÕES GERAIS'!B:I,3,0),VLOOKUP(E151,'12.COT.MERCADO'!A:I,7,0)))),"Em Elaboração")</f>
        <v>M2</v>
      </c>
      <c r="I151" s="938">
        <v>2.0</v>
      </c>
    </row>
    <row r="152">
      <c r="A152" s="996" t="s">
        <v>4529</v>
      </c>
      <c r="B152" s="990">
        <v>23115.0</v>
      </c>
      <c r="C152" s="970" t="s">
        <v>4274</v>
      </c>
      <c r="D152" s="971" t="s">
        <v>5212</v>
      </c>
      <c r="E152" s="985" t="s">
        <v>2035</v>
      </c>
      <c r="F152" s="973" t="s">
        <v>4276</v>
      </c>
      <c r="G152" s="421" t="str">
        <f>IFERROR(IF(F152="SINAPI-S",VLOOKUP(E152,'20-B.SINAPI-S'!A:J,2,0),IF(F152="SINAPI-I",VLOOKUP(E152,'20-A.SINAPI-I'!A:G,2,0),IF(F152="COMP.EVENTUAL",VLOOKUP(E152,'11.COMPOSIÇÕES GERAIS'!B:I,2,0),VLOOKUP(E152,'12.COT.MERCADO'!A:I,2,0)))),"Em Elaboração")</f>
        <v>FORNECIMENTO E INSTALAÇÃO DE CAIXA PARA QUADRO DE COMANDO TIPO CC PLAST 30X20X17CM CINZA/TR</v>
      </c>
      <c r="H152" s="305" t="str">
        <f>IFERROR(IF(F152="SINAPI-S",VLOOKUP(E152,'20-B.SINAPI-S'!A:J,3,0),IF(F152="SINAPI-I",VLOOKUP(E152,'20-A.SINAPI-I'!A:G,3,0),IF(F152="COMP.EVENTUAL",VLOOKUP(E152,'11.COMPOSIÇÕES GERAIS'!B:I,3,0),VLOOKUP(E152,'12.COT.MERCADO'!A:I,7,0)))),"Em Elaboração")</f>
        <v>KG    </v>
      </c>
      <c r="I152" s="974">
        <v>1.0</v>
      </c>
    </row>
    <row r="153">
      <c r="A153" s="999" t="s">
        <v>4529</v>
      </c>
      <c r="B153" s="992">
        <v>23115.0</v>
      </c>
      <c r="C153" s="942" t="s">
        <v>4274</v>
      </c>
      <c r="D153" s="976" t="s">
        <v>5213</v>
      </c>
      <c r="E153" s="940" t="s">
        <v>2002</v>
      </c>
      <c r="F153" s="977" t="s">
        <v>4276</v>
      </c>
      <c r="G153" s="978" t="str">
        <f>IFERROR(IF(F153="SINAPI-S",VLOOKUP(E153,'20-B.SINAPI-S'!A:J,2,0),IF(F153="SINAPI-I",VLOOKUP(E153,'20-A.SINAPI-I'!A:G,2,0),IF(F153="COMP.EVENTUAL",VLOOKUP(E153,'11.COMPOSIÇÕES GERAIS'!B:I,2,0),VLOOKUP(E153,'12.COT.MERCADO'!A:I,2,0)))),"Em Elaboração")</f>
        <v>FORNECIMENTO E INSTALAÇÃO DE CONJUNTO MONTADO DE TOMADA 2P + T, ABNT, DE SOBREPOR, 20A, SISTEMA X</v>
      </c>
      <c r="H153" s="934" t="str">
        <f>IFERROR(IF(F153="SINAPI-S",VLOOKUP(E153,'20-B.SINAPI-S'!A:J,3,0),IF(F153="SINAPI-I",VLOOKUP(E153,'20-A.SINAPI-I'!A:G,3,0),IF(F153="COMP.EVENTUAL",VLOOKUP(E153,'11.COMPOSIÇÕES GERAIS'!B:I,3,0),VLOOKUP(E153,'12.COT.MERCADO'!A:I,7,0)))),"Em Elaboração")</f>
        <v>UN</v>
      </c>
      <c r="I153" s="938">
        <v>3.0</v>
      </c>
    </row>
    <row r="154">
      <c r="A154" s="996" t="s">
        <v>4529</v>
      </c>
      <c r="B154" s="990">
        <v>23115.0</v>
      </c>
      <c r="C154" s="970" t="s">
        <v>4274</v>
      </c>
      <c r="D154" s="971" t="s">
        <v>5214</v>
      </c>
      <c r="E154" s="985" t="s">
        <v>2035</v>
      </c>
      <c r="F154" s="973" t="s">
        <v>4276</v>
      </c>
      <c r="G154" s="421" t="str">
        <f>IFERROR(IF(F154="SINAPI-S",VLOOKUP(E154,'20-B.SINAPI-S'!A:J,2,0),IF(F154="SINAPI-I",VLOOKUP(E154,'20-A.SINAPI-I'!A:G,2,0),IF(F154="COMP.EVENTUAL",VLOOKUP(E154,'11.COMPOSIÇÕES GERAIS'!B:I,2,0),VLOOKUP(E154,'12.COT.MERCADO'!A:I,2,0)))),"Em Elaboração")</f>
        <v>FORNECIMENTO E INSTALAÇÃO DE CAIXA PARA QUADRO DE COMANDO TIPO CC PLAST 30X20X17CM CINZA/TR</v>
      </c>
      <c r="H154" s="305" t="str">
        <f>IFERROR(IF(F154="SINAPI-S",VLOOKUP(E154,'20-B.SINAPI-S'!A:J,3,0),IF(F154="SINAPI-I",VLOOKUP(E154,'20-A.SINAPI-I'!A:G,3,0),IF(F154="COMP.EVENTUAL",VLOOKUP(E154,'11.COMPOSIÇÕES GERAIS'!B:I,3,0),VLOOKUP(E154,'12.COT.MERCADO'!A:I,7,0)))),"Em Elaboração")</f>
        <v>KG    </v>
      </c>
      <c r="I154" s="974">
        <v>3.0</v>
      </c>
    </row>
    <row r="155">
      <c r="A155" s="999" t="s">
        <v>4529</v>
      </c>
      <c r="B155" s="992">
        <v>23115.0</v>
      </c>
      <c r="C155" s="942" t="s">
        <v>4274</v>
      </c>
      <c r="D155" s="976" t="s">
        <v>5215</v>
      </c>
      <c r="E155" s="940" t="s">
        <v>2002</v>
      </c>
      <c r="F155" s="977" t="s">
        <v>4276</v>
      </c>
      <c r="G155" s="978" t="str">
        <f>IFERROR(IF(F155="SINAPI-S",VLOOKUP(E155,'20-B.SINAPI-S'!A:J,2,0),IF(F155="SINAPI-I",VLOOKUP(E155,'20-A.SINAPI-I'!A:G,2,0),IF(F155="COMP.EVENTUAL",VLOOKUP(E155,'11.COMPOSIÇÕES GERAIS'!B:I,2,0),VLOOKUP(E155,'12.COT.MERCADO'!A:I,2,0)))),"Em Elaboração")</f>
        <v>FORNECIMENTO E INSTALAÇÃO DE CONJUNTO MONTADO DE TOMADA 2P + T, ABNT, DE SOBREPOR, 20A, SISTEMA X</v>
      </c>
      <c r="H155" s="934" t="str">
        <f>IFERROR(IF(F155="SINAPI-S",VLOOKUP(E155,'20-B.SINAPI-S'!A:J,3,0),IF(F155="SINAPI-I",VLOOKUP(E155,'20-A.SINAPI-I'!A:G,3,0),IF(F155="COMP.EVENTUAL",VLOOKUP(E155,'11.COMPOSIÇÕES GERAIS'!B:I,3,0),VLOOKUP(E155,'12.COT.MERCADO'!A:I,7,0)))),"Em Elaboração")</f>
        <v>UN</v>
      </c>
      <c r="I155" s="938">
        <v>3.0</v>
      </c>
    </row>
    <row r="156">
      <c r="A156" s="996" t="s">
        <v>4529</v>
      </c>
      <c r="B156" s="990">
        <v>23115.0</v>
      </c>
      <c r="C156" s="970" t="s">
        <v>4274</v>
      </c>
      <c r="D156" s="971" t="s">
        <v>5214</v>
      </c>
      <c r="E156" s="985" t="s">
        <v>2002</v>
      </c>
      <c r="F156" s="973" t="s">
        <v>4276</v>
      </c>
      <c r="G156" s="421" t="str">
        <f>IFERROR(IF(F156="SINAPI-S",VLOOKUP(E156,'20-B.SINAPI-S'!A:J,2,0),IF(F156="SINAPI-I",VLOOKUP(E156,'20-A.SINAPI-I'!A:G,2,0),IF(F156="COMP.EVENTUAL",VLOOKUP(E156,'11.COMPOSIÇÕES GERAIS'!B:I,2,0),VLOOKUP(E156,'12.COT.MERCADO'!A:I,2,0)))),"Em Elaboração")</f>
        <v>FORNECIMENTO E INSTALAÇÃO DE CONJUNTO MONTADO DE TOMADA 2P + T, ABNT, DE SOBREPOR, 20A, SISTEMA X</v>
      </c>
      <c r="H156" s="305" t="str">
        <f>IFERROR(IF(F156="SINAPI-S",VLOOKUP(E156,'20-B.SINAPI-S'!A:J,3,0),IF(F156="SINAPI-I",VLOOKUP(E156,'20-A.SINAPI-I'!A:G,3,0),IF(F156="COMP.EVENTUAL",VLOOKUP(E156,'11.COMPOSIÇÕES GERAIS'!B:I,3,0),VLOOKUP(E156,'12.COT.MERCADO'!A:I,7,0)))),"Em Elaboração")</f>
        <v>UN</v>
      </c>
      <c r="I156" s="974">
        <v>3.0</v>
      </c>
    </row>
    <row r="157">
      <c r="A157" s="999" t="s">
        <v>4529</v>
      </c>
      <c r="B157" s="992">
        <v>23115.0</v>
      </c>
      <c r="C157" s="942" t="s">
        <v>4274</v>
      </c>
      <c r="D157" s="976" t="s">
        <v>5167</v>
      </c>
      <c r="E157" s="940">
        <v>1599.0</v>
      </c>
      <c r="F157" s="977" t="s">
        <v>286</v>
      </c>
      <c r="G157" s="978" t="str">
        <f>IFERROR(IF(F157="SINAPI-S",VLOOKUP(E157,'20-B.SINAPI-S'!A:J,2,0),IF(F157="SINAPI-I",VLOOKUP(E157,'20-A.SINAPI-I'!A:G,2,0),IF(F157="COMP.EVENTUAL",VLOOKUP(E157,'11.COMPOSIÇÕES GERAIS'!B:I,2,0),VLOOKUP(E157,'12.COT.MERCADO'!A:I,2,0)))),"Em Elaboração")</f>
        <v>CONECTOR DE ALUMINIO TIPO PRENSA CABO, BITOLA 3/4", PARA CABOS DE DIAMETRO DE 17,5 A 20 MM</v>
      </c>
      <c r="H157" s="934" t="str">
        <f>IFERROR(IF(F157="SINAPI-S",VLOOKUP(E157,'20-B.SINAPI-S'!A:J,3,0),IF(F157="SINAPI-I",VLOOKUP(E157,'20-A.SINAPI-I'!A:G,3,0),IF(F157="COMP.EVENTUAL",VLOOKUP(E157,'11.COMPOSIÇÕES GERAIS'!B:I,3,0),VLOOKUP(E157,'12.COT.MERCADO'!A:I,7,0)))),"Em Elaboração")</f>
        <v>UN</v>
      </c>
      <c r="I157" s="938">
        <v>1.0</v>
      </c>
    </row>
    <row r="158">
      <c r="A158" s="996" t="s">
        <v>4529</v>
      </c>
      <c r="B158" s="990">
        <v>23116.0</v>
      </c>
      <c r="C158" s="970" t="s">
        <v>4306</v>
      </c>
      <c r="D158" s="971" t="s">
        <v>5216</v>
      </c>
      <c r="E158" s="972">
        <v>100849.0</v>
      </c>
      <c r="F158" s="973" t="s">
        <v>218</v>
      </c>
      <c r="G158" s="421" t="str">
        <f>IFERROR(IF(F158="SINAPI-S",VLOOKUP(E158,'20-B.SINAPI-S'!A:J,2,0),IF(F158="SINAPI-I",VLOOKUP(E158,'20-A.SINAPI-I'!A:G,2,0),IF(F158="COMP.EVENTUAL",VLOOKUP(E158,'11.COMPOSIÇÕES GERAIS'!B:I,2,0),VLOOKUP(E158,'12.COT.MERCADO'!A:I,2,0)))),"Em Elaboração")</f>
        <v>ASSENTO SANITÁRIO CONVENCIONAL - FORNECIMENTO E INSTALACAO. AF_01/2020</v>
      </c>
      <c r="H158" s="305" t="str">
        <f>IFERROR(IF(F158="SINAPI-S",VLOOKUP(E158,'20-B.SINAPI-S'!A:J,3,0),IF(F158="SINAPI-I",VLOOKUP(E158,'20-A.SINAPI-I'!A:G,3,0),IF(F158="COMP.EVENTUAL",VLOOKUP(E158,'11.COMPOSIÇÕES GERAIS'!B:I,3,0),VLOOKUP(E158,'12.COT.MERCADO'!A:I,7,0)))),"Em Elaboração")</f>
        <v>UN</v>
      </c>
      <c r="I158" s="974">
        <v>2.0</v>
      </c>
    </row>
    <row r="159">
      <c r="A159" s="999" t="s">
        <v>4529</v>
      </c>
      <c r="B159" s="992">
        <v>23120.0</v>
      </c>
      <c r="C159" s="942" t="s">
        <v>4274</v>
      </c>
      <c r="D159" s="976" t="s">
        <v>5217</v>
      </c>
      <c r="E159" s="939">
        <v>97611.0</v>
      </c>
      <c r="F159" s="977" t="s">
        <v>218</v>
      </c>
      <c r="G159" s="978" t="str">
        <f>IFERROR(IF(F159="SINAPI-S",VLOOKUP(E159,'20-B.SINAPI-S'!A:J,2,0),IF(F159="SINAPI-I",VLOOKUP(E159,'20-A.SINAPI-I'!A:G,2,0),IF(F159="COMP.EVENTUAL",VLOOKUP(E159,'11.COMPOSIÇÕES GERAIS'!B:I,2,0),VLOOKUP(E159,'12.COT.MERCADO'!A:I,2,0)))),"Em Elaboração")</f>
        <v>LÂMPADA COMPACTA FLUORESCENTE DE 15 W, BASE E27 - FORNECIMENTO E INSTALAÇÃO. AF_02/2020</v>
      </c>
      <c r="H159" s="934" t="str">
        <f>IFERROR(IF(F159="SINAPI-S",VLOOKUP(E159,'20-B.SINAPI-S'!A:J,3,0),IF(F159="SINAPI-I",VLOOKUP(E159,'20-A.SINAPI-I'!A:G,3,0),IF(F159="COMP.EVENTUAL",VLOOKUP(E159,'11.COMPOSIÇÕES GERAIS'!B:I,3,0),VLOOKUP(E159,'12.COT.MERCADO'!A:I,7,0)))),"Em Elaboração")</f>
        <v>UN</v>
      </c>
      <c r="I159" s="938">
        <v>5.0</v>
      </c>
    </row>
    <row r="160">
      <c r="A160" s="996" t="s">
        <v>4529</v>
      </c>
      <c r="B160" s="990">
        <v>23125.0</v>
      </c>
      <c r="C160" s="970" t="s">
        <v>4274</v>
      </c>
      <c r="D160" s="971" t="s">
        <v>5218</v>
      </c>
      <c r="E160" s="985" t="s">
        <v>1976</v>
      </c>
      <c r="F160" s="973" t="s">
        <v>4276</v>
      </c>
      <c r="G160" s="421" t="str">
        <f>IFERROR(IF(F160="SINAPI-S",VLOOKUP(E160,'20-B.SINAPI-S'!A:J,2,0),IF(F160="SINAPI-I",VLOOKUP(E160,'20-A.SINAPI-I'!A:G,2,0),IF(F160="COMP.EVENTUAL",VLOOKUP(E160,'11.COMPOSIÇÕES GERAIS'!B:I,2,0),VLOOKUP(E160,'12.COT.MERCADO'!A:I,2,0)))),"Em Elaboração")</f>
        <v>CONECTOR PARA CABOS 4MM2 3 VIAS. REF. WAGO 221-413 OU SIMILAR</v>
      </c>
      <c r="H160" s="305" t="str">
        <f>IFERROR(IF(F160="SINAPI-S",VLOOKUP(E160,'20-B.SINAPI-S'!A:J,3,0),IF(F160="SINAPI-I",VLOOKUP(E160,'20-A.SINAPI-I'!A:G,3,0),IF(F160="COMP.EVENTUAL",VLOOKUP(E160,'11.COMPOSIÇÕES GERAIS'!B:I,3,0),VLOOKUP(E160,'12.COT.MERCADO'!A:I,7,0)))),"Em Elaboração")</f>
        <v>UN</v>
      </c>
      <c r="I160" s="974">
        <v>4.0</v>
      </c>
    </row>
    <row r="161">
      <c r="A161" s="999" t="s">
        <v>4529</v>
      </c>
      <c r="B161" s="992">
        <v>23125.0</v>
      </c>
      <c r="C161" s="942" t="s">
        <v>4274</v>
      </c>
      <c r="D161" s="976" t="s">
        <v>5219</v>
      </c>
      <c r="E161" s="940" t="s">
        <v>1976</v>
      </c>
      <c r="F161" s="977" t="s">
        <v>4276</v>
      </c>
      <c r="G161" s="978" t="str">
        <f>IFERROR(IF(F161="SINAPI-S",VLOOKUP(E161,'20-B.SINAPI-S'!A:J,2,0),IF(F161="SINAPI-I",VLOOKUP(E161,'20-A.SINAPI-I'!A:G,2,0),IF(F161="COMP.EVENTUAL",VLOOKUP(E161,'11.COMPOSIÇÕES GERAIS'!B:I,2,0),VLOOKUP(E161,'12.COT.MERCADO'!A:I,2,0)))),"Em Elaboração")</f>
        <v>CONECTOR PARA CABOS 4MM2 3 VIAS. REF. WAGO 221-413 OU SIMILAR</v>
      </c>
      <c r="H161" s="934" t="str">
        <f>IFERROR(IF(F161="SINAPI-S",VLOOKUP(E161,'20-B.SINAPI-S'!A:J,3,0),IF(F161="SINAPI-I",VLOOKUP(E161,'20-A.SINAPI-I'!A:G,3,0),IF(F161="COMP.EVENTUAL",VLOOKUP(E161,'11.COMPOSIÇÕES GERAIS'!B:I,3,0),VLOOKUP(E161,'12.COT.MERCADO'!A:I,7,0)))),"Em Elaboração")</f>
        <v>UN</v>
      </c>
      <c r="I161" s="938">
        <v>2.0</v>
      </c>
    </row>
    <row r="162">
      <c r="A162" s="996" t="s">
        <v>4529</v>
      </c>
      <c r="B162" s="990">
        <v>23125.0</v>
      </c>
      <c r="C162" s="970" t="s">
        <v>4274</v>
      </c>
      <c r="D162" s="971" t="s">
        <v>5220</v>
      </c>
      <c r="E162" s="985" t="s">
        <v>1976</v>
      </c>
      <c r="F162" s="973" t="s">
        <v>4276</v>
      </c>
      <c r="G162" s="421" t="str">
        <f>IFERROR(IF(F162="SINAPI-S",VLOOKUP(E162,'20-B.SINAPI-S'!A:J,2,0),IF(F162="SINAPI-I",VLOOKUP(E162,'20-A.SINAPI-I'!A:G,2,0),IF(F162="COMP.EVENTUAL",VLOOKUP(E162,'11.COMPOSIÇÕES GERAIS'!B:I,2,0),VLOOKUP(E162,'12.COT.MERCADO'!A:I,2,0)))),"Em Elaboração")</f>
        <v>CONECTOR PARA CABOS 4MM2 3 VIAS. REF. WAGO 221-413 OU SIMILAR</v>
      </c>
      <c r="H162" s="305" t="str">
        <f>IFERROR(IF(F162="SINAPI-S",VLOOKUP(E162,'20-B.SINAPI-S'!A:J,3,0),IF(F162="SINAPI-I",VLOOKUP(E162,'20-A.SINAPI-I'!A:G,3,0),IF(F162="COMP.EVENTUAL",VLOOKUP(E162,'11.COMPOSIÇÕES GERAIS'!B:I,3,0),VLOOKUP(E162,'12.COT.MERCADO'!A:I,7,0)))),"Em Elaboração")</f>
        <v>UN</v>
      </c>
      <c r="I162" s="974">
        <v>2.0</v>
      </c>
    </row>
    <row r="163">
      <c r="A163" s="999" t="s">
        <v>4529</v>
      </c>
      <c r="B163" s="992">
        <v>23128.0</v>
      </c>
      <c r="C163" s="942" t="s">
        <v>4274</v>
      </c>
      <c r="D163" s="976" t="s">
        <v>5221</v>
      </c>
      <c r="E163" s="940">
        <v>1535.0</v>
      </c>
      <c r="F163" s="977" t="s">
        <v>286</v>
      </c>
      <c r="G163" s="978" t="str">
        <f>IFERROR(IF(F163="SINAPI-S",VLOOKUP(E163,'20-B.SINAPI-S'!A:J,2,0),IF(F163="SINAPI-I",VLOOKUP(E163,'20-A.SINAPI-I'!A:G,2,0),IF(F163="COMP.EVENTUAL",VLOOKUP(E163,'11.COMPOSIÇÕES GERAIS'!B:I,2,0),VLOOKUP(E163,'12.COT.MERCADO'!A:I,2,0)))),"Em Elaboração")</f>
        <v>TERMINAL METALICO A PRESSAO PARA 1 CABO DE 6 A 10 MM2, COM 1 FURO DE FIXACAO</v>
      </c>
      <c r="H163" s="934" t="str">
        <f>IFERROR(IF(F163="SINAPI-S",VLOOKUP(E163,'20-B.SINAPI-S'!A:J,3,0),IF(F163="SINAPI-I",VLOOKUP(E163,'20-A.SINAPI-I'!A:G,3,0),IF(F163="COMP.EVENTUAL",VLOOKUP(E163,'11.COMPOSIÇÕES GERAIS'!B:I,3,0),VLOOKUP(E163,'12.COT.MERCADO'!A:I,7,0)))),"Em Elaboração")</f>
        <v>UN</v>
      </c>
      <c r="I163" s="938">
        <v>2.0</v>
      </c>
    </row>
    <row r="164">
      <c r="A164" s="996" t="s">
        <v>4529</v>
      </c>
      <c r="B164" s="990">
        <v>23128.0</v>
      </c>
      <c r="C164" s="970" t="s">
        <v>4274</v>
      </c>
      <c r="D164" s="971" t="s">
        <v>5222</v>
      </c>
      <c r="E164" s="985">
        <v>1550.0</v>
      </c>
      <c r="F164" s="973" t="s">
        <v>286</v>
      </c>
      <c r="G164" s="421" t="str">
        <f>IFERROR(IF(F164="SINAPI-S",VLOOKUP(E164,'20-B.SINAPI-S'!A:J,2,0),IF(F164="SINAPI-I",VLOOKUP(E164,'20-A.SINAPI-I'!A:G,2,0),IF(F164="COMP.EVENTUAL",VLOOKUP(E164,'11.COMPOSIÇÕES GERAIS'!B:I,2,0),VLOOKUP(E164,'12.COT.MERCADO'!A:I,2,0)))),"Em Elaboração")</f>
        <v>CONECTOR METALICO TIPO PARAFUSO FENDIDO (SPLIT BOLT), PARA CABOS ATE 25 MM2</v>
      </c>
      <c r="H164" s="305" t="str">
        <f>IFERROR(IF(F164="SINAPI-S",VLOOKUP(E164,'20-B.SINAPI-S'!A:J,3,0),IF(F164="SINAPI-I",VLOOKUP(E164,'20-A.SINAPI-I'!A:G,3,0),IF(F164="COMP.EVENTUAL",VLOOKUP(E164,'11.COMPOSIÇÕES GERAIS'!B:I,3,0),VLOOKUP(E164,'12.COT.MERCADO'!A:I,7,0)))),"Em Elaboração")</f>
        <v>UN</v>
      </c>
      <c r="I164" s="974">
        <v>1.0</v>
      </c>
    </row>
    <row r="165">
      <c r="A165" s="999" t="s">
        <v>4529</v>
      </c>
      <c r="B165" s="992">
        <v>23128.0</v>
      </c>
      <c r="C165" s="942" t="s">
        <v>4274</v>
      </c>
      <c r="D165" s="976" t="s">
        <v>5223</v>
      </c>
      <c r="E165" s="940">
        <v>101875.0</v>
      </c>
      <c r="F165" s="977" t="s">
        <v>218</v>
      </c>
      <c r="G165" s="978" t="str">
        <f>IFERROR(IF(F165="SINAPI-S",VLOOKUP(E165,'20-B.SINAPI-S'!A:J,2,0),IF(F165="SINAPI-I",VLOOKUP(E165,'20-A.SINAPI-I'!A:G,2,0),IF(F165="COMP.EVENTUAL",VLOOKUP(E165,'11.COMPOSIÇÕES GERAIS'!B:I,2,0),VLOOKUP(E165,'12.COT.MERCADO'!A:I,2,0)))),"Em Elaboração")</f>
        <v>QUADRO DE DISTRIBUIÇÃO DE ENERGIA EM CHAPA DE AÇO GALVANIZADO, DE EMBUTIR, COM BARRAMENTO TRIFÁSICO, PARA 12 DISJUNTORES DIN 100A - FORNECIMENTO E INSTALAÇÃO. AF_10/2020</v>
      </c>
      <c r="H165" s="934" t="str">
        <f>IFERROR(IF(F165="SINAPI-S",VLOOKUP(E165,'20-B.SINAPI-S'!A:J,3,0),IF(F165="SINAPI-I",VLOOKUP(E165,'20-A.SINAPI-I'!A:G,3,0),IF(F165="COMP.EVENTUAL",VLOOKUP(E165,'11.COMPOSIÇÕES GERAIS'!B:I,3,0),VLOOKUP(E165,'12.COT.MERCADO'!A:I,7,0)))),"Em Elaboração")</f>
        <v>UN</v>
      </c>
      <c r="I165" s="938">
        <v>2.0</v>
      </c>
    </row>
    <row r="166">
      <c r="A166" s="996" t="s">
        <v>4611</v>
      </c>
      <c r="B166" s="990">
        <v>23130.0</v>
      </c>
      <c r="C166" s="970" t="s">
        <v>4297</v>
      </c>
      <c r="D166" s="971" t="s">
        <v>5224</v>
      </c>
      <c r="E166" s="985">
        <v>5678.0</v>
      </c>
      <c r="F166" s="973" t="s">
        <v>218</v>
      </c>
      <c r="G166" s="421" t="str">
        <f>IFERROR(IF(F166="SINAPI-S",VLOOKUP(E166,'20-B.SINAPI-S'!A:J,2,0),IF(F166="SINAPI-I",VLOOKUP(E166,'20-A.SINAPI-I'!A:G,2,0),IF(F166="COMP.EVENTUAL",VLOOKUP(E166,'11.COMPOSIÇÕES GERAIS'!B:I,2,0),VLOOKUP(E166,'12.COT.MERCADO'!A:I,2,0)))),"Em Elaboração")</f>
        <v>RETROESCAVADEIRA SOBRE RODAS COM CARREGADEIRA, TRAÇÃO 4X4, POTÊNCIA LÍQ. 88 HP, CAÇAMBA CARREG. CAP. MÍN. 1 M3, CAÇAMBA RETRO CAP. 0,26 M3, PESO OPERACIONAL MÍN. 6.674 KG, PROFUNDIDADE ESCAVAÇÃO MÁX. 4,37 M - CHP DIURNO. AF_06/2014</v>
      </c>
      <c r="H166" s="305" t="str">
        <f>IFERROR(IF(F166="SINAPI-S",VLOOKUP(E166,'20-B.SINAPI-S'!A:J,3,0),IF(F166="SINAPI-I",VLOOKUP(E166,'20-A.SINAPI-I'!A:G,3,0),IF(F166="COMP.EVENTUAL",VLOOKUP(E166,'11.COMPOSIÇÕES GERAIS'!B:I,3,0),VLOOKUP(E166,'12.COT.MERCADO'!A:I,7,0)))),"Em Elaboração")</f>
        <v>CHP</v>
      </c>
      <c r="I166" s="974">
        <v>8.0</v>
      </c>
    </row>
    <row r="167">
      <c r="A167" s="999" t="s">
        <v>4611</v>
      </c>
      <c r="B167" s="992">
        <v>23090.0</v>
      </c>
      <c r="C167" s="942" t="s">
        <v>4297</v>
      </c>
      <c r="D167" s="976" t="s">
        <v>5225</v>
      </c>
      <c r="E167" s="940">
        <v>98101.0</v>
      </c>
      <c r="F167" s="977" t="s">
        <v>218</v>
      </c>
      <c r="G167" s="978" t="str">
        <f>IFERROR(IF(F167="SINAPI-S",VLOOKUP(E167,'20-B.SINAPI-S'!A:J,2,0),IF(F167="SINAPI-I",VLOOKUP(E167,'20-A.SINAPI-I'!A:G,2,0),IF(F167="COMP.EVENTUAL",VLOOKUP(E167,'11.COMPOSIÇÕES GERAIS'!B:I,2,0),VLOOKUP(E167,'12.COT.MERCADO'!A:I,2,0)))),"Em Elaboração")</f>
        <v>SUMIDOURO RETANGULAR, EM ALVENARIA COM BLOCOS DE CONCRETO, DIMENSÕES INTERNAS: 1,6 X 5,8 X H=3,0 M, ÁREA DE INFILTRAÇÃO: 50 M² (PARA 20 CONTRIBUINTES). . AF_12/2020</v>
      </c>
      <c r="H167" s="934" t="str">
        <f>IFERROR(IF(F167="SINAPI-S",VLOOKUP(E167,'20-B.SINAPI-S'!A:J,3,0),IF(F167="SINAPI-I",VLOOKUP(E167,'20-A.SINAPI-I'!A:G,3,0),IF(F167="COMP.EVENTUAL",VLOOKUP(E167,'11.COMPOSIÇÕES GERAIS'!B:I,3,0),VLOOKUP(E167,'12.COT.MERCADO'!A:I,7,0)))),"Em Elaboração")</f>
        <v>UN</v>
      </c>
      <c r="I167" s="938">
        <v>1.0</v>
      </c>
    </row>
    <row r="168">
      <c r="A168" s="996" t="s">
        <v>4611</v>
      </c>
      <c r="B168" s="990">
        <v>23090.0</v>
      </c>
      <c r="C168" s="970" t="s">
        <v>4297</v>
      </c>
      <c r="D168" s="971" t="s">
        <v>5226</v>
      </c>
      <c r="E168" s="985">
        <v>98059.0</v>
      </c>
      <c r="F168" s="973" t="s">
        <v>218</v>
      </c>
      <c r="G168" s="421" t="str">
        <f>IFERROR(IF(F168="SINAPI-S",VLOOKUP(E168,'20-B.SINAPI-S'!A:J,2,0),IF(F168="SINAPI-I",VLOOKUP(E168,'20-A.SINAPI-I'!A:G,2,0),IF(F168="COMP.EVENTUAL",VLOOKUP(E168,'11.COMPOSIÇÕES GERAIS'!B:I,2,0),VLOOKUP(E168,'12.COT.MERCADO'!A:I,2,0)))),"Em Elaboração")</f>
        <v>FILTRO ANAERÓBIO CIRCULAR, EM CONCRETO PRÉ-MOLDADO, DIÂMETRO INTERNO = 1,88 M, ALTURA INTERNA = 1,50 M, VOLUME ÚTIL: 3331,1 L (PARA 19 CONTRIBUINTES). AF_12/2020_PA</v>
      </c>
      <c r="H168" s="305" t="str">
        <f>IFERROR(IF(F168="SINAPI-S",VLOOKUP(E168,'20-B.SINAPI-S'!A:J,3,0),IF(F168="SINAPI-I",VLOOKUP(E168,'20-A.SINAPI-I'!A:G,3,0),IF(F168="COMP.EVENTUAL",VLOOKUP(E168,'11.COMPOSIÇÕES GERAIS'!B:I,3,0),VLOOKUP(E168,'12.COT.MERCADO'!A:I,7,0)))),"Em Elaboração")</f>
        <v>UN</v>
      </c>
      <c r="I168" s="974">
        <v>1.0</v>
      </c>
    </row>
    <row r="169">
      <c r="A169" s="999" t="s">
        <v>4611</v>
      </c>
      <c r="B169" s="992">
        <v>23090.0</v>
      </c>
      <c r="C169" s="942" t="s">
        <v>4297</v>
      </c>
      <c r="D169" s="976" t="s">
        <v>5227</v>
      </c>
      <c r="E169" s="941">
        <v>98054.0</v>
      </c>
      <c r="F169" s="977" t="s">
        <v>218</v>
      </c>
      <c r="G169" s="978" t="str">
        <f>IFERROR(IF(F169="SINAPI-S",VLOOKUP(E169,'20-B.SINAPI-S'!A:J,2,0),IF(F169="SINAPI-I",VLOOKUP(E169,'20-A.SINAPI-I'!A:G,2,0),IF(F169="COMP.EVENTUAL",VLOOKUP(E169,'11.COMPOSIÇÕES GERAIS'!B:I,2,0),VLOOKUP(E169,'12.COT.MERCADO'!A:I,2,0)))),"Em Elaboração")</f>
        <v>TANQUE SÉPTICO CIRCULAR, EM CONCRETO PRÉ-MOLDADO, DIÂMETRO INTERNO = 1,88 M, ALTURA INTERNA = 2,50 M, VOLUME ÚTIL: 6245,8 L (PARA 32 CONTRIBUINTES). AF_12/2020_PA</v>
      </c>
      <c r="H169" s="934" t="str">
        <f>IFERROR(IF(F169="SINAPI-S",VLOOKUP(E169,'20-B.SINAPI-S'!A:J,3,0),IF(F169="SINAPI-I",VLOOKUP(E169,'20-A.SINAPI-I'!A:G,3,0),IF(F169="COMP.EVENTUAL",VLOOKUP(E169,'11.COMPOSIÇÕES GERAIS'!B:I,3,0),VLOOKUP(E169,'12.COT.MERCADO'!A:I,7,0)))),"Em Elaboração")</f>
        <v>UN</v>
      </c>
      <c r="I169" s="938">
        <v>1.0</v>
      </c>
    </row>
    <row r="170">
      <c r="A170" s="996" t="s">
        <v>4611</v>
      </c>
      <c r="B170" s="990">
        <v>23130.0</v>
      </c>
      <c r="C170" s="970" t="s">
        <v>4297</v>
      </c>
      <c r="D170" s="971" t="s">
        <v>5228</v>
      </c>
      <c r="E170" s="985" t="s">
        <v>1840</v>
      </c>
      <c r="F170" s="973" t="s">
        <v>4276</v>
      </c>
      <c r="G170" s="421" t="str">
        <f>IFERROR(IF(F170="SINAPI-S",VLOOKUP(E170,'20-B.SINAPI-S'!A:J,2,0),IF(F170="SINAPI-I",VLOOKUP(E170,'20-A.SINAPI-I'!A:G,2,0),IF(F170="COMP.EVENTUAL",VLOOKUP(E170,'11.COMPOSIÇÕES GERAIS'!B:I,2,0),VLOOKUP(E170,'12.COT.MERCADO'!A:I,2,0)))),"Em Elaboração")</f>
        <v>FORNECIMENTO E INSTALAÇÃO DE KIT MOTOR PPA 1/4HP, 500KG, DESLIZANTE, INCLUÍNDO 2 CONTROLE E 5M DE CREMALHEIRA, NÃO INCLUSO EXECUÇÃO DE BASE DE FIXAÇÃO E GUIA</v>
      </c>
      <c r="H170" s="305" t="str">
        <f>IFERROR(IF(F170="SINAPI-S",VLOOKUP(E170,'20-B.SINAPI-S'!A:J,3,0),IF(F170="SINAPI-I",VLOOKUP(E170,'20-A.SINAPI-I'!A:G,3,0),IF(F170="COMP.EVENTUAL",VLOOKUP(E170,'11.COMPOSIÇÕES GERAIS'!B:I,3,0),VLOOKUP(E170,'12.COT.MERCADO'!A:I,7,0)))),"Em Elaboração")</f>
        <v>UN</v>
      </c>
      <c r="I170" s="974">
        <v>1.0</v>
      </c>
    </row>
    <row r="171">
      <c r="A171" s="999" t="s">
        <v>4611</v>
      </c>
      <c r="B171" s="992">
        <v>23130.0</v>
      </c>
      <c r="C171" s="942" t="s">
        <v>4297</v>
      </c>
      <c r="D171" s="976" t="s">
        <v>5229</v>
      </c>
      <c r="E171" s="939">
        <v>86906.0</v>
      </c>
      <c r="F171" s="977" t="s">
        <v>218</v>
      </c>
      <c r="G171" s="978" t="str">
        <f>IFERROR(IF(F171="SINAPI-S",VLOOKUP(E171,'20-B.SINAPI-S'!A:J,2,0),IF(F171="SINAPI-I",VLOOKUP(E171,'20-A.SINAPI-I'!A:G,2,0),IF(F171="COMP.EVENTUAL",VLOOKUP(E171,'11.COMPOSIÇÕES GERAIS'!B:I,2,0),VLOOKUP(E171,'12.COT.MERCADO'!A:I,2,0)))),"Em Elaboração")</f>
        <v>TORNEIRA CROMADA DE MESA, 1/2_x0094_ OU 3/4_x0094_, PARA LAVATÓRIO, PADRÃO POPULAR - FORNECIMENTO E INSTALAÇÃO. AF_01/2020</v>
      </c>
      <c r="H171" s="934" t="str">
        <f>IFERROR(IF(F171="SINAPI-S",VLOOKUP(E171,'20-B.SINAPI-S'!A:J,3,0),IF(F171="SINAPI-I",VLOOKUP(E171,'20-A.SINAPI-I'!A:G,3,0),IF(F171="COMP.EVENTUAL",VLOOKUP(E171,'11.COMPOSIÇÕES GERAIS'!B:I,3,0),VLOOKUP(E171,'12.COT.MERCADO'!A:I,7,0)))),"Em Elaboração")</f>
        <v>UN</v>
      </c>
      <c r="I171" s="938">
        <v>1.0</v>
      </c>
    </row>
    <row r="172">
      <c r="A172" s="996" t="s">
        <v>4611</v>
      </c>
      <c r="B172" s="990">
        <v>23138.0</v>
      </c>
      <c r="C172" s="970" t="s">
        <v>4274</v>
      </c>
      <c r="D172" s="971" t="s">
        <v>5230</v>
      </c>
      <c r="E172" s="985" t="s">
        <v>1976</v>
      </c>
      <c r="F172" s="973" t="s">
        <v>4276</v>
      </c>
      <c r="G172" s="421" t="str">
        <f>IFERROR(IF(F172="SINAPI-S",VLOOKUP(E172,'20-B.SINAPI-S'!A:J,2,0),IF(F172="SINAPI-I",VLOOKUP(E172,'20-A.SINAPI-I'!A:G,2,0),IF(F172="COMP.EVENTUAL",VLOOKUP(E172,'11.COMPOSIÇÕES GERAIS'!B:I,2,0),VLOOKUP(E172,'12.COT.MERCADO'!A:I,2,0)))),"Em Elaboração")</f>
        <v>CONECTOR PARA CABOS 4MM2 3 VIAS. REF. WAGO 221-413 OU SIMILAR</v>
      </c>
      <c r="H172" s="305" t="str">
        <f>IFERROR(IF(F172="SINAPI-S",VLOOKUP(E172,'20-B.SINAPI-S'!A:J,3,0),IF(F172="SINAPI-I",VLOOKUP(E172,'20-A.SINAPI-I'!A:G,3,0),IF(F172="COMP.EVENTUAL",VLOOKUP(E172,'11.COMPOSIÇÕES GERAIS'!B:I,3,0),VLOOKUP(E172,'12.COT.MERCADO'!A:I,7,0)))),"Em Elaboração")</f>
        <v>UN</v>
      </c>
      <c r="I172" s="974">
        <v>3.0</v>
      </c>
    </row>
    <row r="173">
      <c r="A173" s="999" t="s">
        <v>4611</v>
      </c>
      <c r="B173" s="992">
        <v>23138.0</v>
      </c>
      <c r="C173" s="942" t="s">
        <v>4274</v>
      </c>
      <c r="D173" s="976" t="s">
        <v>5231</v>
      </c>
      <c r="E173" s="952" t="s">
        <v>2002</v>
      </c>
      <c r="F173" s="977" t="s">
        <v>4276</v>
      </c>
      <c r="G173" s="978" t="str">
        <f>IFERROR(IF(F173="SINAPI-S",VLOOKUP(E173,'20-B.SINAPI-S'!A:J,2,0),IF(F173="SINAPI-I",VLOOKUP(E173,'20-A.SINAPI-I'!A:G,2,0),IF(F173="COMP.EVENTUAL",VLOOKUP(E173,'11.COMPOSIÇÕES GERAIS'!B:I,2,0),VLOOKUP(E173,'12.COT.MERCADO'!A:I,2,0)))),"Em Elaboração")</f>
        <v>FORNECIMENTO E INSTALAÇÃO DE CONJUNTO MONTADO DE TOMADA 2P + T, ABNT, DE SOBREPOR, 20A, SISTEMA X</v>
      </c>
      <c r="H173" s="934" t="str">
        <f>IFERROR(IF(F173="SINAPI-S",VLOOKUP(E173,'20-B.SINAPI-S'!A:J,3,0),IF(F173="SINAPI-I",VLOOKUP(E173,'20-A.SINAPI-I'!A:G,3,0),IF(F173="COMP.EVENTUAL",VLOOKUP(E173,'11.COMPOSIÇÕES GERAIS'!B:I,3,0),VLOOKUP(E173,'12.COT.MERCADO'!A:I,7,0)))),"Em Elaboração")</f>
        <v>UN</v>
      </c>
      <c r="I173" s="938">
        <v>6.0</v>
      </c>
    </row>
    <row r="174">
      <c r="A174" s="996" t="s">
        <v>4611</v>
      </c>
      <c r="B174" s="990">
        <v>23145.0</v>
      </c>
      <c r="C174" s="970" t="s">
        <v>4274</v>
      </c>
      <c r="D174" s="971" t="s">
        <v>5232</v>
      </c>
      <c r="E174" s="306" t="s">
        <v>1806</v>
      </c>
      <c r="F174" s="973" t="s">
        <v>4276</v>
      </c>
      <c r="G174" s="421" t="str">
        <f>IFERROR(IF(F174="SINAPI-S",VLOOKUP(E174,'20-B.SINAPI-S'!A:J,2,0),IF(F174="SINAPI-I",VLOOKUP(E174,'20-A.SINAPI-I'!A:G,2,0),IF(F174="COMP.EVENTUAL",VLOOKUP(E174,'11.COMPOSIÇÕES GERAIS'!B:I,2,0),VLOOKUP(E174,'12.COT.MERCADO'!A:I,2,0)))),"Em Elaboração")</f>
        <v>FORNECIMENTO E INSTALAÇÃO DE REFLETOR LED, CORPO DE ALUMÍNIO, VIDRO TEMPERADO, POTÊNCIA 30W, BIVOLT, TEMP. COR 3000K, IP-66</v>
      </c>
      <c r="H174" s="305" t="str">
        <f>IFERROR(IF(F174="SINAPI-S",VLOOKUP(E174,'20-B.SINAPI-S'!A:J,3,0),IF(F174="SINAPI-I",VLOOKUP(E174,'20-A.SINAPI-I'!A:G,3,0),IF(F174="COMP.EVENTUAL",VLOOKUP(E174,'11.COMPOSIÇÕES GERAIS'!B:I,3,0),VLOOKUP(E174,'12.COT.MERCADO'!A:I,7,0)))),"Em Elaboração")</f>
        <v>UN</v>
      </c>
      <c r="I174" s="974">
        <v>3.0</v>
      </c>
    </row>
    <row r="175">
      <c r="A175" s="999" t="s">
        <v>4611</v>
      </c>
      <c r="B175" s="992">
        <v>23155.0</v>
      </c>
      <c r="C175" s="942" t="s">
        <v>4274</v>
      </c>
      <c r="D175" s="976" t="s">
        <v>5233</v>
      </c>
      <c r="E175" s="953" t="s">
        <v>4070</v>
      </c>
      <c r="F175" s="1005" t="s">
        <v>110</v>
      </c>
      <c r="G175" s="955" t="str">
        <f>IFERROR(IF(F175="SINAPI-S",VLOOKUP(E175,'20-B.SINAPI-S'!A:J,2,0),IF(F175="SINAPI-I",VLOOKUP(E175,'20-A.SINAPI-I'!A:G,2,0),IF(F175="COMP.EVENTUAL",VLOOKUP(E175,'11.COMPOSIÇÕES GERAIS'!B:I,2,0),VLOOKUP(E175,'12.COT.MERCADO'!A:I,2,0)))),"Em Elaboração")</f>
        <v>CONTROLE PARA PORTÃO ELETRÔNICO 4 VIAS DE LONGO ALCANCE. REF.: INTELBRAS EP 04 OU SIMILAR</v>
      </c>
      <c r="H175" s="956" t="str">
        <f>IFERROR(IF(F175="SINAPI-S",VLOOKUP(E175,'20-B.SINAPI-S'!A:J,3,0),IF(F175="SINAPI-I",VLOOKUP(E175,'20-A.SINAPI-I'!A:G,3,0),IF(F175="COMP.EVENTUAL",VLOOKUP(E175,'11.COMPOSIÇÕES GERAIS'!B:I,3,0),VLOOKUP(E175,'12.COT.MERCADO'!A:I,7,0)))),"Em Elaboração")</f>
        <v>UN</v>
      </c>
      <c r="I175" s="1006">
        <v>3.0</v>
      </c>
    </row>
    <row r="176">
      <c r="A176" s="996" t="s">
        <v>4611</v>
      </c>
      <c r="B176" s="990">
        <v>23160.0</v>
      </c>
      <c r="C176" s="970" t="s">
        <v>4274</v>
      </c>
      <c r="D176" s="971" t="s">
        <v>5234</v>
      </c>
      <c r="E176" s="1007" t="s">
        <v>1976</v>
      </c>
      <c r="F176" s="973" t="s">
        <v>4276</v>
      </c>
      <c r="G176" s="421" t="str">
        <f>IFERROR(IF(F176="SINAPI-S",VLOOKUP(E176,'20-B.SINAPI-S'!A:J,2,0),IF(F176="SINAPI-I",VLOOKUP(E176,'20-A.SINAPI-I'!A:G,2,0),IF(F176="COMP.EVENTUAL",VLOOKUP(E176,'11.COMPOSIÇÕES GERAIS'!B:I,2,0),VLOOKUP(E176,'12.COT.MERCADO'!A:I,2,0)))),"Em Elaboração")</f>
        <v>CONECTOR PARA CABOS 4MM2 3 VIAS. REF. WAGO 221-413 OU SIMILAR</v>
      </c>
      <c r="H176" s="305" t="str">
        <f>IFERROR(IF(F176="SINAPI-S",VLOOKUP(E176,'20-B.SINAPI-S'!A:J,3,0),IF(F176="SINAPI-I",VLOOKUP(E176,'20-A.SINAPI-I'!A:G,3,0),IF(F176="COMP.EVENTUAL",VLOOKUP(E176,'11.COMPOSIÇÕES GERAIS'!B:I,3,0),VLOOKUP(E176,'12.COT.MERCADO'!A:I,7,0)))),"Em Elaboração")</f>
        <v>UN</v>
      </c>
      <c r="I176" s="974">
        <v>3.0</v>
      </c>
    </row>
    <row r="177">
      <c r="A177" s="999" t="s">
        <v>4611</v>
      </c>
      <c r="B177" s="992">
        <v>23160.0</v>
      </c>
      <c r="C177" s="942" t="s">
        <v>4274</v>
      </c>
      <c r="D177" s="976" t="s">
        <v>5235</v>
      </c>
      <c r="E177" s="1003" t="s">
        <v>1866</v>
      </c>
      <c r="F177" s="977" t="s">
        <v>4276</v>
      </c>
      <c r="G177" s="978" t="str">
        <f>IFERROR(IF(F177="SINAPI-S",VLOOKUP(E177,'20-B.SINAPI-S'!A:J,2,0),IF(F177="SINAPI-I",VLOOKUP(E177,'20-A.SINAPI-I'!A:G,2,0),IF(F177="COMP.EVENTUAL",VLOOKUP(E177,'11.COMPOSIÇÕES GERAIS'!B:I,2,0),VLOOKUP(E177,'12.COT.MERCADO'!A:I,2,0)))),"Em Elaboração")</f>
        <v>FORNECIMENTO E INSTALAÇÃO DE CANALETA EM PVC PARA INSTALAÇÃO ELÉTRICA APARENTE, INCLUSIVE CONEXÕES, DIMENSÕES 20 X 10 MM</v>
      </c>
      <c r="H177" s="934" t="str">
        <f>IFERROR(IF(F177="SINAPI-S",VLOOKUP(E177,'20-B.SINAPI-S'!A:J,3,0),IF(F177="SINAPI-I",VLOOKUP(E177,'20-A.SINAPI-I'!A:G,3,0),IF(F177="COMP.EVENTUAL",VLOOKUP(E177,'11.COMPOSIÇÕES GERAIS'!B:I,3,0),VLOOKUP(E177,'12.COT.MERCADO'!A:I,7,0)))),"Em Elaboração")</f>
        <v>M</v>
      </c>
      <c r="I177" s="938">
        <v>2.0</v>
      </c>
    </row>
    <row r="178">
      <c r="A178" s="996" t="s">
        <v>4611</v>
      </c>
      <c r="B178" s="990">
        <v>23176.0</v>
      </c>
      <c r="C178" s="970" t="s">
        <v>4274</v>
      </c>
      <c r="D178" s="971" t="s">
        <v>5236</v>
      </c>
      <c r="E178" s="1007">
        <v>100554.0</v>
      </c>
      <c r="F178" s="973" t="s">
        <v>218</v>
      </c>
      <c r="G178" s="421" t="str">
        <f>IFERROR(IF(F178="SINAPI-S",VLOOKUP(E178,'20-B.SINAPI-S'!A:J,2,0),IF(F178="SINAPI-I",VLOOKUP(E178,'20-A.SINAPI-I'!A:G,2,0),IF(F178="COMP.EVENTUAL",VLOOKUP(E178,'11.COMPOSIÇÕES GERAIS'!B:I,2,0),VLOOKUP(E178,'12.COT.MERCADO'!A:I,2,0)))),"Em Elaboração")</f>
        <v>CABO COAXIAL RG59 95% - FORNECIMENTO E INSTALAÇÃO. AF_11/2019</v>
      </c>
      <c r="H178" s="305" t="str">
        <f>IFERROR(IF(F178="SINAPI-S",VLOOKUP(E178,'20-B.SINAPI-S'!A:J,3,0),IF(F178="SINAPI-I",VLOOKUP(E178,'20-A.SINAPI-I'!A:G,3,0),IF(F178="COMP.EVENTUAL",VLOOKUP(E178,'11.COMPOSIÇÕES GERAIS'!B:I,3,0),VLOOKUP(E178,'12.COT.MERCADO'!A:I,7,0)))),"Em Elaboração")</f>
        <v>M</v>
      </c>
      <c r="I178" s="974">
        <v>4.0</v>
      </c>
    </row>
    <row r="179">
      <c r="A179" s="999" t="s">
        <v>4611</v>
      </c>
      <c r="B179" s="992">
        <v>23167.0</v>
      </c>
      <c r="C179" s="942" t="s">
        <v>4274</v>
      </c>
      <c r="D179" s="976" t="s">
        <v>5237</v>
      </c>
      <c r="E179" s="934" t="s">
        <v>1786</v>
      </c>
      <c r="F179" s="977" t="s">
        <v>4276</v>
      </c>
      <c r="G179" s="978" t="str">
        <f>IFERROR(IF(F179="SINAPI-S",VLOOKUP(E179,'20-B.SINAPI-S'!A:J,2,0),IF(F179="SINAPI-I",VLOOKUP(E179,'20-A.SINAPI-I'!A:G,2,0),IF(F179="COMP.EVENTUAL",VLOOKUP(E179,'11.COMPOSIÇÕES GERAIS'!B:I,2,0),VLOOKUP(E179,'12.COT.MERCADO'!A:I,2,0)))),"Em Elaboração")</f>
        <v>FORNECIMENTO E INSTALAÇÃO DE SUPORTE DE PAREDE FIXO PARA TV E MONITOR DE 32 À 80 POLEGADAS</v>
      </c>
      <c r="H179" s="934" t="str">
        <f>IFERROR(IF(F179="SINAPI-S",VLOOKUP(E179,'20-B.SINAPI-S'!A:J,3,0),IF(F179="SINAPI-I",VLOOKUP(E179,'20-A.SINAPI-I'!A:G,3,0),IF(F179="COMP.EVENTUAL",VLOOKUP(E179,'11.COMPOSIÇÕES GERAIS'!B:I,3,0),VLOOKUP(E179,'12.COT.MERCADO'!A:I,7,0)))),"Em Elaboração")</f>
        <v>UN</v>
      </c>
      <c r="I179" s="938">
        <v>1.0</v>
      </c>
    </row>
    <row r="180">
      <c r="A180" s="996" t="s">
        <v>4611</v>
      </c>
      <c r="B180" s="990">
        <v>23167.0</v>
      </c>
      <c r="C180" s="970" t="s">
        <v>4274</v>
      </c>
      <c r="D180" s="971" t="s">
        <v>5238</v>
      </c>
      <c r="E180" s="1007">
        <v>38105.0</v>
      </c>
      <c r="F180" s="973" t="s">
        <v>286</v>
      </c>
      <c r="G180" s="421" t="str">
        <f>IFERROR(IF(F180="SINAPI-S",VLOOKUP(E180,'20-B.SINAPI-S'!A:J,2,0),IF(F180="SINAPI-I",VLOOKUP(E180,'20-A.SINAPI-I'!A:G,2,0),IF(F180="COMP.EVENTUAL",VLOOKUP(E180,'11.COMPOSIÇÕES GERAIS'!B:I,2,0),VLOOKUP(E180,'12.COT.MERCADO'!A:I,2,0)))),"Em Elaboração")</f>
        <v>TOMADA PARA ANTENA DE TV, CABO COAXIAL DE 9 MM (APENAS MODULO)</v>
      </c>
      <c r="H180" s="305" t="str">
        <f>IFERROR(IF(F180="SINAPI-S",VLOOKUP(E180,'20-B.SINAPI-S'!A:J,3,0),IF(F180="SINAPI-I",VLOOKUP(E180,'20-A.SINAPI-I'!A:G,3,0),IF(F180="COMP.EVENTUAL",VLOOKUP(E180,'11.COMPOSIÇÕES GERAIS'!B:I,3,0),VLOOKUP(E180,'12.COT.MERCADO'!A:I,7,0)))),"Em Elaboração")</f>
        <v>UN</v>
      </c>
      <c r="I180" s="974">
        <v>1.0</v>
      </c>
    </row>
    <row r="181">
      <c r="A181" s="999" t="s">
        <v>4611</v>
      </c>
      <c r="B181" s="992">
        <v>23167.0</v>
      </c>
      <c r="C181" s="942" t="s">
        <v>4274</v>
      </c>
      <c r="D181" s="976" t="s">
        <v>5239</v>
      </c>
      <c r="E181" s="952">
        <v>98300.0</v>
      </c>
      <c r="F181" s="977" t="s">
        <v>218</v>
      </c>
      <c r="G181" s="978" t="str">
        <f>IFERROR(IF(F181="SINAPI-S",VLOOKUP(E181,'20-B.SINAPI-S'!A:J,2,0),IF(F181="SINAPI-I",VLOOKUP(E181,'20-A.SINAPI-I'!A:G,2,0),IF(F181="COMP.EVENTUAL",VLOOKUP(E181,'11.COMPOSIÇÕES GERAIS'!B:I,2,0),VLOOKUP(E181,'12.COT.MERCADO'!A:I,2,0)))),"Em Elaboração")</f>
        <v>CABO COAXIAL RG6 95% - FORNECIMENTO E INSTALAÇÃO. AF_11/2019</v>
      </c>
      <c r="H181" s="934" t="str">
        <f>IFERROR(IF(F181="SINAPI-S",VLOOKUP(E181,'20-B.SINAPI-S'!A:J,3,0),IF(F181="SINAPI-I",VLOOKUP(E181,'20-A.SINAPI-I'!A:G,3,0),IF(F181="COMP.EVENTUAL",VLOOKUP(E181,'11.COMPOSIÇÕES GERAIS'!B:I,3,0),VLOOKUP(E181,'12.COT.MERCADO'!A:I,7,0)))),"Em Elaboração")</f>
        <v>M</v>
      </c>
      <c r="I181" s="938">
        <v>10.0</v>
      </c>
    </row>
    <row r="182">
      <c r="A182" s="996" t="s">
        <v>4678</v>
      </c>
      <c r="B182" s="990">
        <v>23175.0</v>
      </c>
      <c r="C182" s="970" t="s">
        <v>4297</v>
      </c>
      <c r="D182" s="971" t="s">
        <v>5240</v>
      </c>
      <c r="E182" s="985">
        <v>38394.0</v>
      </c>
      <c r="F182" s="973" t="s">
        <v>286</v>
      </c>
      <c r="G182" s="421" t="str">
        <f>IFERROR(IF(F182="SINAPI-S",VLOOKUP(E182,'20-B.SINAPI-S'!A:J,2,0),IF(F182="SINAPI-I",VLOOKUP(E182,'20-A.SINAPI-I'!A:G,2,0),IF(F182="COMP.EVENTUAL",VLOOKUP(E182,'11.COMPOSIÇÕES GERAIS'!B:I,2,0),VLOOKUP(E182,'12.COT.MERCADO'!A:I,2,0)))),"Em Elaboração")</f>
        <v>KIT ACESSORIOS PARA COMPRESSOR DE AR, 5 PECAS (PISTOLAS PINTURA, LIMPEZA E PULVERIZACAO, CALIBRADOR E MANGUEIRA)</v>
      </c>
      <c r="H182" s="305" t="str">
        <f>IFERROR(IF(F182="SINAPI-S",VLOOKUP(E182,'20-B.SINAPI-S'!A:J,3,0),IF(F182="SINAPI-I",VLOOKUP(E182,'20-A.SINAPI-I'!A:G,3,0),IF(F182="COMP.EVENTUAL",VLOOKUP(E182,'11.COMPOSIÇÕES GERAIS'!B:I,3,0),VLOOKUP(E182,'12.COT.MERCADO'!A:I,7,0)))),"Em Elaboração")</f>
        <v>UN</v>
      </c>
      <c r="I182" s="974">
        <v>1.0</v>
      </c>
    </row>
    <row r="183">
      <c r="A183" s="999" t="s">
        <v>4678</v>
      </c>
      <c r="B183" s="992">
        <v>23179.0</v>
      </c>
      <c r="C183" s="942" t="s">
        <v>4297</v>
      </c>
      <c r="D183" s="976" t="s">
        <v>5241</v>
      </c>
      <c r="E183" s="940" t="s">
        <v>1927</v>
      </c>
      <c r="F183" s="977" t="s">
        <v>4276</v>
      </c>
      <c r="G183" s="978" t="str">
        <f>IFERROR(IF(F183="SINAPI-S",VLOOKUP(E183,'20-B.SINAPI-S'!A:J,2,0),IF(F183="SINAPI-I",VLOOKUP(E183,'20-A.SINAPI-I'!A:G,2,0),IF(F183="COMP.EVENTUAL",VLOOKUP(E183,'11.COMPOSIÇÕES GERAIS'!B:I,2,0),VLOOKUP(E183,'12.COT.MERCADO'!A:I,2,0)))),"Em Elaboração")</f>
        <v>SUBSTITUIÇÃO DE MANGUEIRA PARA COMPRESSOR DO TIPO ENGATE RÁPIDO - FORNECIMENTO E INSTALAÇÃO</v>
      </c>
      <c r="H183" s="934" t="str">
        <f>IFERROR(IF(F183="SINAPI-S",VLOOKUP(E183,'20-B.SINAPI-S'!A:J,3,0),IF(F183="SINAPI-I",VLOOKUP(E183,'20-A.SINAPI-I'!A:G,3,0),IF(F183="COMP.EVENTUAL",VLOOKUP(E183,'11.COMPOSIÇÕES GERAIS'!B:I,3,0),VLOOKUP(E183,'12.COT.MERCADO'!A:I,7,0)))),"Em Elaboração")</f>
        <v>UN</v>
      </c>
      <c r="I183" s="938">
        <v>1.0</v>
      </c>
    </row>
    <row r="184">
      <c r="A184" s="996" t="s">
        <v>4678</v>
      </c>
      <c r="B184" s="990">
        <v>23179.0</v>
      </c>
      <c r="C184" s="970" t="s">
        <v>4297</v>
      </c>
      <c r="D184" s="971" t="s">
        <v>5242</v>
      </c>
      <c r="E184" s="985" t="s">
        <v>1909</v>
      </c>
      <c r="F184" s="973" t="s">
        <v>4276</v>
      </c>
      <c r="G184" s="421" t="str">
        <f>IFERROR(IF(F184="SINAPI-S",VLOOKUP(E184,'20-B.SINAPI-S'!A:J,2,0),IF(F184="SINAPI-I",VLOOKUP(E184,'20-A.SINAPI-I'!A:G,2,0),IF(F184="COMP.EVENTUAL",VLOOKUP(E184,'11.COMPOSIÇÕES GERAIS'!B:I,2,0),VLOOKUP(E184,'12.COT.MERCADO'!A:I,2,0)))),"Em Elaboração")</f>
        <v>LUBRIFICAÇÃO DE FERRAGEM</v>
      </c>
      <c r="H184" s="305" t="str">
        <f>IFERROR(IF(F184="SINAPI-S",VLOOKUP(E184,'20-B.SINAPI-S'!A:J,3,0),IF(F184="SINAPI-I",VLOOKUP(E184,'20-A.SINAPI-I'!A:G,3,0),IF(F184="COMP.EVENTUAL",VLOOKUP(E184,'11.COMPOSIÇÕES GERAIS'!B:I,3,0),VLOOKUP(E184,'12.COT.MERCADO'!A:I,7,0)))),"Em Elaboração")</f>
        <v>UN</v>
      </c>
      <c r="I184" s="974">
        <v>1.0</v>
      </c>
    </row>
    <row r="185">
      <c r="A185" s="999" t="s">
        <v>4678</v>
      </c>
      <c r="B185" s="992">
        <v>23184.0</v>
      </c>
      <c r="C185" s="942" t="s">
        <v>4274</v>
      </c>
      <c r="D185" s="976" t="s">
        <v>5243</v>
      </c>
      <c r="E185" s="940" t="s">
        <v>1976</v>
      </c>
      <c r="F185" s="977" t="s">
        <v>4276</v>
      </c>
      <c r="G185" s="978" t="str">
        <f>IFERROR(IF(F185="SINAPI-S",VLOOKUP(E185,'20-B.SINAPI-S'!A:J,2,0),IF(F185="SINAPI-I",VLOOKUP(E185,'20-A.SINAPI-I'!A:G,2,0),IF(F185="COMP.EVENTUAL",VLOOKUP(E185,'11.COMPOSIÇÕES GERAIS'!B:I,2,0),VLOOKUP(E185,'12.COT.MERCADO'!A:I,2,0)))),"Em Elaboração")</f>
        <v>CONECTOR PARA CABOS 4MM2 3 VIAS. REF. WAGO 221-413 OU SIMILAR</v>
      </c>
      <c r="H185" s="934" t="str">
        <f>IFERROR(IF(F185="SINAPI-S",VLOOKUP(E185,'20-B.SINAPI-S'!A:J,3,0),IF(F185="SINAPI-I",VLOOKUP(E185,'20-A.SINAPI-I'!A:G,3,0),IF(F185="COMP.EVENTUAL",VLOOKUP(E185,'11.COMPOSIÇÕES GERAIS'!B:I,3,0),VLOOKUP(E185,'12.COT.MERCADO'!A:I,7,0)))),"Em Elaboração")</f>
        <v>UN</v>
      </c>
      <c r="I185" s="938">
        <v>9.0</v>
      </c>
    </row>
    <row r="186">
      <c r="A186" s="996" t="s">
        <v>4678</v>
      </c>
      <c r="B186" s="990">
        <v>23184.0</v>
      </c>
      <c r="C186" s="970" t="s">
        <v>4274</v>
      </c>
      <c r="D186" s="971" t="s">
        <v>5235</v>
      </c>
      <c r="E186" s="985" t="s">
        <v>1866</v>
      </c>
      <c r="F186" s="973" t="s">
        <v>4276</v>
      </c>
      <c r="G186" s="421" t="str">
        <f>IFERROR(IF(F186="SINAPI-S",VLOOKUP(E186,'20-B.SINAPI-S'!A:J,2,0),IF(F186="SINAPI-I",VLOOKUP(E186,'20-A.SINAPI-I'!A:G,2,0),IF(F186="COMP.EVENTUAL",VLOOKUP(E186,'11.COMPOSIÇÕES GERAIS'!B:I,2,0),VLOOKUP(E186,'12.COT.MERCADO'!A:I,2,0)))),"Em Elaboração")</f>
        <v>FORNECIMENTO E INSTALAÇÃO DE CANALETA EM PVC PARA INSTALAÇÃO ELÉTRICA APARENTE, INCLUSIVE CONEXÕES, DIMENSÕES 20 X 10 MM</v>
      </c>
      <c r="H186" s="305" t="str">
        <f>IFERROR(IF(F186="SINAPI-S",VLOOKUP(E186,'20-B.SINAPI-S'!A:J,3,0),IF(F186="SINAPI-I",VLOOKUP(E186,'20-A.SINAPI-I'!A:G,3,0),IF(F186="COMP.EVENTUAL",VLOOKUP(E186,'11.COMPOSIÇÕES GERAIS'!B:I,3,0),VLOOKUP(E186,'12.COT.MERCADO'!A:I,7,0)))),"Em Elaboração")</f>
        <v>M</v>
      </c>
      <c r="I186" s="974">
        <v>3.0</v>
      </c>
    </row>
    <row r="187">
      <c r="A187" s="999" t="s">
        <v>4678</v>
      </c>
      <c r="B187" s="992">
        <v>23178.0</v>
      </c>
      <c r="C187" s="942" t="s">
        <v>4297</v>
      </c>
      <c r="D187" s="976" t="s">
        <v>5244</v>
      </c>
      <c r="E187" s="940">
        <v>100849.0</v>
      </c>
      <c r="F187" s="977" t="s">
        <v>218</v>
      </c>
      <c r="G187" s="978" t="str">
        <f>IFERROR(IF(F187="SINAPI-S",VLOOKUP(E187,'20-B.SINAPI-S'!A:J,2,0),IF(F187="SINAPI-I",VLOOKUP(E187,'20-A.SINAPI-I'!A:G,2,0),IF(F187="COMP.EVENTUAL",VLOOKUP(E187,'11.COMPOSIÇÕES GERAIS'!B:I,2,0),VLOOKUP(E187,'12.COT.MERCADO'!A:I,2,0)))),"Em Elaboração")</f>
        <v>ASSENTO SANITÁRIO CONVENCIONAL - FORNECIMENTO E INSTALACAO. AF_01/2020</v>
      </c>
      <c r="H187" s="934" t="str">
        <f>IFERROR(IF(F187="SINAPI-S",VLOOKUP(E187,'20-B.SINAPI-S'!A:J,3,0),IF(F187="SINAPI-I",VLOOKUP(E187,'20-A.SINAPI-I'!A:G,3,0),IF(F187="COMP.EVENTUAL",VLOOKUP(E187,'11.COMPOSIÇÕES GERAIS'!B:I,3,0),VLOOKUP(E187,'12.COT.MERCADO'!A:I,7,0)))),"Em Elaboração")</f>
        <v>UN</v>
      </c>
      <c r="I187" s="938">
        <v>2.0</v>
      </c>
    </row>
    <row r="188">
      <c r="A188" s="996" t="s">
        <v>4678</v>
      </c>
      <c r="B188" s="990">
        <v>23179.0</v>
      </c>
      <c r="C188" s="970" t="s">
        <v>4274</v>
      </c>
      <c r="D188" s="971" t="s">
        <v>5245</v>
      </c>
      <c r="E188" s="985">
        <v>12892.0</v>
      </c>
      <c r="F188" s="973" t="s">
        <v>286</v>
      </c>
      <c r="G188" s="421" t="str">
        <f>IFERROR(IF(F188="SINAPI-S",VLOOKUP(E188,'20-B.SINAPI-S'!A:J,2,0),IF(F188="SINAPI-I",VLOOKUP(E188,'20-A.SINAPI-I'!A:G,2,0),IF(F188="COMP.EVENTUAL",VLOOKUP(E188,'11.COMPOSIÇÕES GERAIS'!B:I,2,0),VLOOKUP(E188,'12.COT.MERCADO'!A:I,2,0)))),"Em Elaboração")</f>
        <v>LUVA RASPA DE COURO, CANO CURTO (PUNHO *7* CM)</v>
      </c>
      <c r="H188" s="305" t="str">
        <f>IFERROR(IF(F188="SINAPI-S",VLOOKUP(E188,'20-B.SINAPI-S'!A:J,3,0),IF(F188="SINAPI-I",VLOOKUP(E188,'20-A.SINAPI-I'!A:G,3,0),IF(F188="COMP.EVENTUAL",VLOOKUP(E188,'11.COMPOSIÇÕES GERAIS'!B:I,3,0),VLOOKUP(E188,'12.COT.MERCADO'!A:I,7,0)))),"Em Elaboração")</f>
        <v>PAR</v>
      </c>
      <c r="I188" s="974">
        <v>2.0</v>
      </c>
    </row>
    <row r="189">
      <c r="A189" s="999" t="s">
        <v>4678</v>
      </c>
      <c r="B189" s="992">
        <v>23179.0</v>
      </c>
      <c r="C189" s="942" t="s">
        <v>4297</v>
      </c>
      <c r="D189" s="976" t="s">
        <v>5246</v>
      </c>
      <c r="E189" s="940">
        <v>38140.0</v>
      </c>
      <c r="F189" s="977" t="s">
        <v>286</v>
      </c>
      <c r="G189" s="978" t="str">
        <f>IFERROR(IF(F189="SINAPI-S",VLOOKUP(E189,'20-B.SINAPI-S'!A:J,2,0),IF(F189="SINAPI-I",VLOOKUP(E189,'20-A.SINAPI-I'!A:G,2,0),IF(F189="COMP.EVENTUAL",VLOOKUP(E189,'11.COMPOSIÇÕES GERAIS'!B:I,2,0),VLOOKUP(E189,'12.COT.MERCADO'!A:I,2,0)))),"Em Elaboração")</f>
        <v>DISCO DE CORTE DIAMANTADO SEGMENTADO PARA CONCRETO, DIAMETRO DE 110 MM, FURO DE 20 MM</v>
      </c>
      <c r="H189" s="934" t="str">
        <f>IFERROR(IF(F189="SINAPI-S",VLOOKUP(E189,'20-B.SINAPI-S'!A:J,3,0),IF(F189="SINAPI-I",VLOOKUP(E189,'20-A.SINAPI-I'!A:G,3,0),IF(F189="COMP.EVENTUAL",VLOOKUP(E189,'11.COMPOSIÇÕES GERAIS'!B:I,3,0),VLOOKUP(E189,'12.COT.MERCADO'!A:I,7,0)))),"Em Elaboração")</f>
        <v>UN</v>
      </c>
      <c r="I189" s="952">
        <v>14.0</v>
      </c>
    </row>
    <row r="190">
      <c r="A190" s="996" t="s">
        <v>4678</v>
      </c>
      <c r="B190" s="990">
        <v>23179.0</v>
      </c>
      <c r="C190" s="970" t="s">
        <v>4297</v>
      </c>
      <c r="D190" s="971" t="s">
        <v>5247</v>
      </c>
      <c r="E190" s="985">
        <v>38140.0</v>
      </c>
      <c r="F190" s="973" t="s">
        <v>286</v>
      </c>
      <c r="G190" s="421" t="str">
        <f>IFERROR(IF(F190="SINAPI-S",VLOOKUP(E190,'20-B.SINAPI-S'!A:J,2,0),IF(F190="SINAPI-I",VLOOKUP(E190,'20-A.SINAPI-I'!A:G,2,0),IF(F190="COMP.EVENTUAL",VLOOKUP(E190,'11.COMPOSIÇÕES GERAIS'!B:I,2,0),VLOOKUP(E190,'12.COT.MERCADO'!A:I,2,0)))),"Em Elaboração")</f>
        <v>DISCO DE CORTE DIAMANTADO SEGMENTADO PARA CONCRETO, DIAMETRO DE 110 MM, FURO DE 20 MM</v>
      </c>
      <c r="H190" s="305" t="str">
        <f>IFERROR(IF(F190="SINAPI-S",VLOOKUP(E190,'20-B.SINAPI-S'!A:J,3,0),IF(F190="SINAPI-I",VLOOKUP(E190,'20-A.SINAPI-I'!A:G,3,0),IF(F190="COMP.EVENTUAL",VLOOKUP(E190,'11.COMPOSIÇÕES GERAIS'!B:I,3,0),VLOOKUP(E190,'12.COT.MERCADO'!A:I,7,0)))),"Em Elaboração")</f>
        <v>UN</v>
      </c>
      <c r="I190" s="974">
        <v>9.0</v>
      </c>
    </row>
    <row r="191">
      <c r="A191" s="999" t="s">
        <v>4678</v>
      </c>
      <c r="B191" s="992">
        <v>23190.0</v>
      </c>
      <c r="C191" s="942" t="s">
        <v>4274</v>
      </c>
      <c r="D191" s="976" t="s">
        <v>5248</v>
      </c>
      <c r="E191" s="959" t="s">
        <v>1795</v>
      </c>
      <c r="F191" s="977" t="s">
        <v>4276</v>
      </c>
      <c r="G191" s="978" t="str">
        <f>IFERROR(IF(F191="SINAPI-S",VLOOKUP(E191,'20-B.SINAPI-S'!A:J,2,0),IF(F191="SINAPI-I",VLOOKUP(E191,'20-A.SINAPI-I'!A:G,2,0),IF(F191="COMP.EVENTUAL",VLOOKUP(E191,'11.COMPOSIÇÕES GERAIS'!B:I,2,0),VLOOKUP(E191,'12.COT.MERCADO'!A:I,2,0)))),"Em Elaboração")</f>
        <v>FORNECIMENTO E INSTALAÇÃO DE VENTILADOR DE PAREDE 50CM COM 6 PÁS, 200W, BIVOLT</v>
      </c>
      <c r="H191" s="934" t="str">
        <f>IFERROR(IF(F191="SINAPI-S",VLOOKUP(E191,'20-B.SINAPI-S'!A:J,3,0),IF(F191="SINAPI-I",VLOOKUP(E191,'20-A.SINAPI-I'!A:G,3,0),IF(F191="COMP.EVENTUAL",VLOOKUP(E191,'11.COMPOSIÇÕES GERAIS'!B:I,3,0),VLOOKUP(E191,'12.COT.MERCADO'!A:I,7,0)))),"Em Elaboração")</f>
        <v>UN</v>
      </c>
      <c r="I191" s="938">
        <v>1.0</v>
      </c>
    </row>
    <row r="192">
      <c r="A192" s="996" t="s">
        <v>4678</v>
      </c>
      <c r="B192" s="990">
        <v>23192.0</v>
      </c>
      <c r="C192" s="970" t="s">
        <v>4274</v>
      </c>
      <c r="D192" s="971" t="s">
        <v>5249</v>
      </c>
      <c r="E192" s="1008" t="s">
        <v>1866</v>
      </c>
      <c r="F192" s="973" t="s">
        <v>4276</v>
      </c>
      <c r="G192" s="421" t="str">
        <f>IFERROR(IF(F192="SINAPI-S",VLOOKUP(E192,'20-B.SINAPI-S'!A:J,2,0),IF(F192="SINAPI-I",VLOOKUP(E192,'20-A.SINAPI-I'!A:G,2,0),IF(F192="COMP.EVENTUAL",VLOOKUP(E192,'11.COMPOSIÇÕES GERAIS'!B:I,2,0),VLOOKUP(E192,'12.COT.MERCADO'!A:I,2,0)))),"Em Elaboração")</f>
        <v>FORNECIMENTO E INSTALAÇÃO DE CANALETA EM PVC PARA INSTALAÇÃO ELÉTRICA APARENTE, INCLUSIVE CONEXÕES, DIMENSÕES 20 X 10 MM</v>
      </c>
      <c r="H192" s="305" t="str">
        <f>IFERROR(IF(F192="SINAPI-S",VLOOKUP(E192,'20-B.SINAPI-S'!A:J,3,0),IF(F192="SINAPI-I",VLOOKUP(E192,'20-A.SINAPI-I'!A:G,3,0),IF(F192="COMP.EVENTUAL",VLOOKUP(E192,'11.COMPOSIÇÕES GERAIS'!B:I,3,0),VLOOKUP(E192,'12.COT.MERCADO'!A:I,7,0)))),"Em Elaboração")</f>
        <v>M</v>
      </c>
      <c r="I192" s="974">
        <v>3.0</v>
      </c>
    </row>
    <row r="193">
      <c r="A193" s="999" t="s">
        <v>4678</v>
      </c>
      <c r="B193" s="992">
        <v>23197.0</v>
      </c>
      <c r="C193" s="942" t="s">
        <v>4274</v>
      </c>
      <c r="D193" s="976" t="s">
        <v>5250</v>
      </c>
      <c r="E193" s="959" t="s">
        <v>1795</v>
      </c>
      <c r="F193" s="977" t="s">
        <v>4276</v>
      </c>
      <c r="G193" s="978" t="str">
        <f>IFERROR(IF(F193="SINAPI-S",VLOOKUP(E193,'20-B.SINAPI-S'!A:J,2,0),IF(F193="SINAPI-I",VLOOKUP(E193,'20-A.SINAPI-I'!A:G,2,0),IF(F193="COMP.EVENTUAL",VLOOKUP(E193,'11.COMPOSIÇÕES GERAIS'!B:I,2,0),VLOOKUP(E193,'12.COT.MERCADO'!A:I,2,0)))),"Em Elaboração")</f>
        <v>FORNECIMENTO E INSTALAÇÃO DE VENTILADOR DE PAREDE 50CM COM 6 PÁS, 200W, BIVOLT</v>
      </c>
      <c r="H193" s="934" t="str">
        <f>IFERROR(IF(F193="SINAPI-S",VLOOKUP(E193,'20-B.SINAPI-S'!A:J,3,0),IF(F193="SINAPI-I",VLOOKUP(E193,'20-A.SINAPI-I'!A:G,3,0),IF(F193="COMP.EVENTUAL",VLOOKUP(E193,'11.COMPOSIÇÕES GERAIS'!B:I,3,0),VLOOKUP(E193,'12.COT.MERCADO'!A:I,7,0)))),"Em Elaboração")</f>
        <v>UN</v>
      </c>
      <c r="I193" s="938">
        <v>1.0</v>
      </c>
    </row>
    <row r="194">
      <c r="A194" s="996" t="s">
        <v>4746</v>
      </c>
      <c r="B194" s="990">
        <v>23205.0</v>
      </c>
      <c r="C194" s="970" t="s">
        <v>4274</v>
      </c>
      <c r="D194" s="971" t="s">
        <v>5251</v>
      </c>
      <c r="E194" s="985" t="s">
        <v>1999</v>
      </c>
      <c r="F194" s="973" t="s">
        <v>4276</v>
      </c>
      <c r="G194" s="421" t="str">
        <f>IFERROR(IF(F194="SINAPI-S",VLOOKUP(E194,'20-B.SINAPI-S'!A:J,2,0),IF(F194="SINAPI-I",VLOOKUP(E194,'20-A.SINAPI-I'!A:G,2,0),IF(F194="COMP.EVENTUAL",VLOOKUP(E194,'11.COMPOSIÇÕES GERAIS'!B:I,2,0),VLOOKUP(E194,'12.COT.MERCADO'!A:I,2,0)))),"Em Elaboração")</f>
        <v>FORNECIMENTO E INSTALAÇÃO DE CAIXA P/ BOTOEIRA PLÁSTICA 1 FURO 22 mm</v>
      </c>
      <c r="H194" s="305" t="str">
        <f>IFERROR(IF(F194="SINAPI-S",VLOOKUP(E194,'20-B.SINAPI-S'!A:J,3,0),IF(F194="SINAPI-I",VLOOKUP(E194,'20-A.SINAPI-I'!A:G,3,0),IF(F194="COMP.EVENTUAL",VLOOKUP(E194,'11.COMPOSIÇÕES GERAIS'!B:I,3,0),VLOOKUP(E194,'12.COT.MERCADO'!A:I,7,0)))),"Em Elaboração")</f>
        <v>UN</v>
      </c>
      <c r="I194" s="974">
        <v>2.0</v>
      </c>
    </row>
    <row r="195">
      <c r="A195" s="999" t="s">
        <v>4746</v>
      </c>
      <c r="B195" s="992">
        <v>23205.0</v>
      </c>
      <c r="C195" s="942" t="s">
        <v>4274</v>
      </c>
      <c r="D195" s="976" t="s">
        <v>5252</v>
      </c>
      <c r="E195" s="1003" t="s">
        <v>1866</v>
      </c>
      <c r="F195" s="977" t="s">
        <v>4276</v>
      </c>
      <c r="G195" s="978" t="str">
        <f>IFERROR(IF(F195="SINAPI-S",VLOOKUP(E195,'20-B.SINAPI-S'!A:J,2,0),IF(F195="SINAPI-I",VLOOKUP(E195,'20-A.SINAPI-I'!A:G,2,0),IF(F195="COMP.EVENTUAL",VLOOKUP(E195,'11.COMPOSIÇÕES GERAIS'!B:I,2,0),VLOOKUP(E195,'12.COT.MERCADO'!A:I,2,0)))),"Em Elaboração")</f>
        <v>FORNECIMENTO E INSTALAÇÃO DE CANALETA EM PVC PARA INSTALAÇÃO ELÉTRICA APARENTE, INCLUSIVE CONEXÕES, DIMENSÕES 20 X 10 MM</v>
      </c>
      <c r="H195" s="934" t="str">
        <f>IFERROR(IF(F195="SINAPI-S",VLOOKUP(E195,'20-B.SINAPI-S'!A:J,3,0),IF(F195="SINAPI-I",VLOOKUP(E195,'20-A.SINAPI-I'!A:G,3,0),IF(F195="COMP.EVENTUAL",VLOOKUP(E195,'11.COMPOSIÇÕES GERAIS'!B:I,3,0),VLOOKUP(E195,'12.COT.MERCADO'!A:I,7,0)))),"Em Elaboração")</f>
        <v>M</v>
      </c>
      <c r="I195" s="938">
        <v>4.0</v>
      </c>
    </row>
    <row r="196">
      <c r="A196" s="996" t="s">
        <v>4746</v>
      </c>
      <c r="B196" s="990">
        <v>23212.0</v>
      </c>
      <c r="C196" s="970" t="s">
        <v>4274</v>
      </c>
      <c r="D196" s="971" t="s">
        <v>5253</v>
      </c>
      <c r="E196" s="985" t="s">
        <v>1976</v>
      </c>
      <c r="F196" s="973" t="s">
        <v>4276</v>
      </c>
      <c r="G196" s="421" t="str">
        <f>IFERROR(IF(F196="SINAPI-S",VLOOKUP(E196,'20-B.SINAPI-S'!A:J,2,0),IF(F196="SINAPI-I",VLOOKUP(E196,'20-A.SINAPI-I'!A:G,2,0),IF(F196="COMP.EVENTUAL",VLOOKUP(E196,'11.COMPOSIÇÕES GERAIS'!B:I,2,0),VLOOKUP(E196,'12.COT.MERCADO'!A:I,2,0)))),"Em Elaboração")</f>
        <v>CONECTOR PARA CABOS 4MM2 3 VIAS. REF. WAGO 221-413 OU SIMILAR</v>
      </c>
      <c r="H196" s="305" t="str">
        <f>IFERROR(IF(F196="SINAPI-S",VLOOKUP(E196,'20-B.SINAPI-S'!A:J,3,0),IF(F196="SINAPI-I",VLOOKUP(E196,'20-A.SINAPI-I'!A:G,3,0),IF(F196="COMP.EVENTUAL",VLOOKUP(E196,'11.COMPOSIÇÕES GERAIS'!B:I,3,0),VLOOKUP(E196,'12.COT.MERCADO'!A:I,7,0)))),"Em Elaboração")</f>
        <v>UN</v>
      </c>
      <c r="I196" s="974">
        <v>6.0</v>
      </c>
    </row>
    <row r="197">
      <c r="A197" s="999" t="s">
        <v>4746</v>
      </c>
      <c r="B197" s="992">
        <v>23214.0</v>
      </c>
      <c r="C197" s="942" t="s">
        <v>4297</v>
      </c>
      <c r="D197" s="976" t="s">
        <v>5254</v>
      </c>
      <c r="E197" s="940">
        <v>21012.0</v>
      </c>
      <c r="F197" s="977" t="s">
        <v>286</v>
      </c>
      <c r="G197" s="978" t="str">
        <f>IFERROR(IF(F197="SINAPI-S",VLOOKUP(E197,'20-B.SINAPI-S'!A:J,2,0),IF(F197="SINAPI-I",VLOOKUP(E197,'20-A.SINAPI-I'!A:G,2,0),IF(F197="COMP.EVENTUAL",VLOOKUP(E197,'11.COMPOSIÇÕES GERAIS'!B:I,2,0),VLOOKUP(E197,'12.COT.MERCADO'!A:I,2,0)))),"Em Elaboração")</f>
        <v>TUBO ACO GALVANIZADO COM COSTURA, CLASSE LEVE, DN 40 MM ( 1 1/2"),  E = 3,00 MM,  *3,48* KG/M (NBR 5580)</v>
      </c>
      <c r="H197" s="934" t="str">
        <f>IFERROR(IF(F197="SINAPI-S",VLOOKUP(E197,'20-B.SINAPI-S'!A:J,3,0),IF(F197="SINAPI-I",VLOOKUP(E197,'20-A.SINAPI-I'!A:G,3,0),IF(F197="COMP.EVENTUAL",VLOOKUP(E197,'11.COMPOSIÇÕES GERAIS'!B:I,3,0),VLOOKUP(E197,'12.COT.MERCADO'!A:I,7,0)))),"Em Elaboração")</f>
        <v>M</v>
      </c>
      <c r="I197" s="938">
        <v>2.0</v>
      </c>
    </row>
    <row r="198">
      <c r="A198" s="996" t="s">
        <v>4746</v>
      </c>
      <c r="B198" s="990">
        <v>23214.0</v>
      </c>
      <c r="C198" s="970" t="s">
        <v>4306</v>
      </c>
      <c r="D198" s="971" t="s">
        <v>5255</v>
      </c>
      <c r="E198" s="985">
        <v>100808.0</v>
      </c>
      <c r="F198" s="973" t="s">
        <v>218</v>
      </c>
      <c r="G198" s="421" t="str">
        <f>IFERROR(IF(F198="SINAPI-S",VLOOKUP(E198,'20-B.SINAPI-S'!A:J,2,0),IF(F198="SINAPI-I",VLOOKUP(E198,'20-A.SINAPI-I'!A:G,2,0),IF(F198="COMP.EVENTUAL",VLOOKUP(E198,'11.COMPOSIÇÕES GERAIS'!B:I,2,0),VLOOKUP(E198,'12.COT.MERCADO'!A:I,2,0)))),"Em Elaboração")</f>
        <v>TUBO, PEX, MULTICAMADA, COM TUBO LUVA, DN 20, INSTALADO EM RAMAL INTERNO DE INSTALAÇÕES DE GÁS - FORNECIMENTO E INSTALAÇÃO. AF_01/2020</v>
      </c>
      <c r="H198" s="305" t="str">
        <f>IFERROR(IF(F198="SINAPI-S",VLOOKUP(E198,'20-B.SINAPI-S'!A:J,3,0),IF(F198="SINAPI-I",VLOOKUP(E198,'20-A.SINAPI-I'!A:G,3,0),IF(F198="COMP.EVENTUAL",VLOOKUP(E198,'11.COMPOSIÇÕES GERAIS'!B:I,3,0),VLOOKUP(E198,'12.COT.MERCADO'!A:I,7,0)))),"Em Elaboração")</f>
        <v>M</v>
      </c>
      <c r="I198" s="974">
        <v>4.0</v>
      </c>
    </row>
    <row r="199">
      <c r="A199" s="999" t="s">
        <v>4746</v>
      </c>
      <c r="B199" s="992">
        <v>23214.0</v>
      </c>
      <c r="C199" s="942" t="s">
        <v>4274</v>
      </c>
      <c r="D199" s="976" t="s">
        <v>5256</v>
      </c>
      <c r="E199" s="940" t="s">
        <v>1830</v>
      </c>
      <c r="F199" s="977" t="s">
        <v>4276</v>
      </c>
      <c r="G199" s="978" t="str">
        <f>IFERROR(IF(F199="SINAPI-S",VLOOKUP(E199,'20-B.SINAPI-S'!A:J,2,0),IF(F199="SINAPI-I",VLOOKUP(E199,'20-A.SINAPI-I'!A:G,2,0),IF(F199="COMP.EVENTUAL",VLOOKUP(E199,'11.COMPOSIÇÕES GERAIS'!B:I,2,0),VLOOKUP(E199,'12.COT.MERCADO'!A:I,2,0)))),"Em Elaboração")</f>
        <v>FORNECIMENTO E INSTALAÇÃO DE EXTENSÃO ELÉTRICA COM CABO  DE COBRE PP CORDPLAST 3 X 2,5MM2, ISOLAMENTO 40/750V COM ISOLAÇÃO PP 70ºC, COMPRIMENTO DE 1,5M</v>
      </c>
      <c r="H199" s="934" t="str">
        <f>IFERROR(IF(F199="SINAPI-S",VLOOKUP(E199,'20-B.SINAPI-S'!A:J,3,0),IF(F199="SINAPI-I",VLOOKUP(E199,'20-A.SINAPI-I'!A:G,3,0),IF(F199="COMP.EVENTUAL",VLOOKUP(E199,'11.COMPOSIÇÕES GERAIS'!B:I,3,0),VLOOKUP(E199,'12.COT.MERCADO'!A:I,7,0)))),"Em Elaboração")</f>
        <v>UN</v>
      </c>
      <c r="I199" s="938">
        <v>3.0</v>
      </c>
    </row>
    <row r="200">
      <c r="A200" s="996" t="s">
        <v>4746</v>
      </c>
      <c r="B200" s="990">
        <v>23221.0</v>
      </c>
      <c r="C200" s="970" t="s">
        <v>4274</v>
      </c>
      <c r="D200" s="971" t="s">
        <v>5257</v>
      </c>
      <c r="E200" s="985" t="s">
        <v>1874</v>
      </c>
      <c r="F200" s="973" t="s">
        <v>4276</v>
      </c>
      <c r="G200" s="421" t="str">
        <f>IFERROR(IF(F200="SINAPI-S",VLOOKUP(E200,'20-B.SINAPI-S'!A:J,2,0),IF(F200="SINAPI-I",VLOOKUP(E200,'20-A.SINAPI-I'!A:G,2,0),IF(F200="COMP.EVENTUAL",VLOOKUP(E200,'11.COMPOSIÇÕES GERAIS'!B:I,2,0),VLOOKUP(E200,'12.COT.MERCADO'!A:I,2,0)))),"Em Elaboração")</f>
        <v>SUBSTITUIÇÃO DE PLUGUE 2P+T DE 20A, 250V</v>
      </c>
      <c r="H200" s="305" t="str">
        <f>IFERROR(IF(F200="SINAPI-S",VLOOKUP(E200,'20-B.SINAPI-S'!A:J,3,0),IF(F200="SINAPI-I",VLOOKUP(E200,'20-A.SINAPI-I'!A:G,3,0),IF(F200="COMP.EVENTUAL",VLOOKUP(E200,'11.COMPOSIÇÕES GERAIS'!B:I,3,0),VLOOKUP(E200,'12.COT.MERCADO'!A:I,7,0)))),"Em Elaboração")</f>
        <v>UN</v>
      </c>
      <c r="I200" s="974">
        <v>1.0</v>
      </c>
    </row>
    <row r="201">
      <c r="A201" s="999" t="s">
        <v>4746</v>
      </c>
      <c r="B201" s="992">
        <v>23221.0</v>
      </c>
      <c r="C201" s="942" t="s">
        <v>4306</v>
      </c>
      <c r="D201" s="976" t="s">
        <v>5258</v>
      </c>
      <c r="E201" s="940">
        <v>100556.0</v>
      </c>
      <c r="F201" s="977" t="s">
        <v>218</v>
      </c>
      <c r="G201" s="978" t="str">
        <f>IFERROR(IF(F201="SINAPI-S",VLOOKUP(E201,'20-B.SINAPI-S'!A:J,2,0),IF(F201="SINAPI-I",VLOOKUP(E201,'20-A.SINAPI-I'!A:G,2,0),IF(F201="COMP.EVENTUAL",VLOOKUP(E201,'11.COMPOSIÇÕES GERAIS'!B:I,2,0),VLOOKUP(E201,'12.COT.MERCADO'!A:I,2,0)))),"Em Elaboração")</f>
        <v>CAIXA DE PASSAGEM PARA TELEFONE 15X15X10CM (SOBREPOR), FORNECIMENTO E INSTALACAO. AF_11/2019</v>
      </c>
      <c r="H201" s="934" t="str">
        <f>IFERROR(IF(F201="SINAPI-S",VLOOKUP(E201,'20-B.SINAPI-S'!A:J,3,0),IF(F201="SINAPI-I",VLOOKUP(E201,'20-A.SINAPI-I'!A:G,3,0),IF(F201="COMP.EVENTUAL",VLOOKUP(E201,'11.COMPOSIÇÕES GERAIS'!B:I,3,0),VLOOKUP(E201,'12.COT.MERCADO'!A:I,7,0)))),"Em Elaboração")</f>
        <v>UN</v>
      </c>
      <c r="I201" s="938">
        <v>1.0</v>
      </c>
    </row>
    <row r="202">
      <c r="A202" s="996" t="s">
        <v>4746</v>
      </c>
      <c r="B202" s="990">
        <v>23225.0</v>
      </c>
      <c r="C202" s="970" t="s">
        <v>4274</v>
      </c>
      <c r="D202" s="971" t="s">
        <v>5259</v>
      </c>
      <c r="E202" s="985">
        <v>101657.0</v>
      </c>
      <c r="F202" s="973" t="s">
        <v>218</v>
      </c>
      <c r="G202" s="421" t="str">
        <f>IFERROR(IF(F202="SINAPI-S",VLOOKUP(E202,'20-B.SINAPI-S'!A:J,2,0),IF(F202="SINAPI-I",VLOOKUP(E202,'20-A.SINAPI-I'!A:G,2,0),IF(F202="COMP.EVENTUAL",VLOOKUP(E202,'11.COMPOSIÇÕES GERAIS'!B:I,2,0),VLOOKUP(E202,'12.COT.MERCADO'!A:I,2,0)))),"Em Elaboração")</f>
        <v>LUMINÁRIA DE LED PARA ILUMINAÇÃO PÚBLICA, DE 98 W ATÉ 137 W - FORNECIMENTO E INSTALAÇÃO. AF_08/2020</v>
      </c>
      <c r="H202" s="305" t="str">
        <f>IFERROR(IF(F202="SINAPI-S",VLOOKUP(E202,'20-B.SINAPI-S'!A:J,3,0),IF(F202="SINAPI-I",VLOOKUP(E202,'20-A.SINAPI-I'!A:G,3,0),IF(F202="COMP.EVENTUAL",VLOOKUP(E202,'11.COMPOSIÇÕES GERAIS'!B:I,3,0),VLOOKUP(E202,'12.COT.MERCADO'!A:I,7,0)))),"Em Elaboração")</f>
        <v>UN</v>
      </c>
      <c r="I202" s="974">
        <v>5.0</v>
      </c>
    </row>
    <row r="203">
      <c r="A203" s="999" t="s">
        <v>4746</v>
      </c>
      <c r="B203" s="992">
        <v>23227.0</v>
      </c>
      <c r="C203" s="942" t="s">
        <v>4306</v>
      </c>
      <c r="D203" s="976" t="s">
        <v>5260</v>
      </c>
      <c r="E203" s="940">
        <v>104479.0</v>
      </c>
      <c r="F203" s="977" t="s">
        <v>218</v>
      </c>
      <c r="G203" s="978" t="str">
        <f>IFERROR(IF(F203="SINAPI-S",VLOOKUP(E203,'20-B.SINAPI-S'!A:J,2,0),IF(F203="SINAPI-I",VLOOKUP(E203,'20-A.SINAPI-I'!A:G,2,0),IF(F203="COMP.EVENTUAL",VLOOKUP(E203,'11.COMPOSIÇÕES GERAIS'!B:I,2,0),VLOOKUP(E203,'12.COT.MERCADO'!A:I,2,0)))),"Em Elaboração")</f>
        <v>COMPOSIÇÃO PARAMÉTRICA DE PONTO ELÉTRICO DE TOMADA DE USO GERAL 2P+T (10A/250V) EM EDIFÍCIO RESIDENCIAL COM ELETRODUTO EMBUTIDO SEM NECESSIDADE DE RASGOS, INCLUSO TOMADA, ELETRODUTO, CABO E QUEBRA. AF_11/2022</v>
      </c>
      <c r="H203" s="934" t="str">
        <f>IFERROR(IF(F203="SINAPI-S",VLOOKUP(E203,'20-B.SINAPI-S'!A:J,3,0),IF(F203="SINAPI-I",VLOOKUP(E203,'20-A.SINAPI-I'!A:G,3,0),IF(F203="COMP.EVENTUAL",VLOOKUP(E203,'11.COMPOSIÇÕES GERAIS'!B:I,3,0),VLOOKUP(E203,'12.COT.MERCADO'!A:I,7,0)))),"Em Elaboração")</f>
        <v>UN</v>
      </c>
      <c r="I203" s="938">
        <v>2.0</v>
      </c>
    </row>
    <row r="204">
      <c r="A204" s="996" t="s">
        <v>4746</v>
      </c>
      <c r="B204" s="990">
        <v>23227.0</v>
      </c>
      <c r="C204" s="970" t="s">
        <v>4274</v>
      </c>
      <c r="D204" s="971" t="s">
        <v>5109</v>
      </c>
      <c r="E204" s="985" t="s">
        <v>1874</v>
      </c>
      <c r="F204" s="973" t="s">
        <v>4276</v>
      </c>
      <c r="G204" s="421" t="str">
        <f>IFERROR(IF(F204="SINAPI-S",VLOOKUP(E204,'20-B.SINAPI-S'!A:J,2,0),IF(F204="SINAPI-I",VLOOKUP(E204,'20-A.SINAPI-I'!A:G,2,0),IF(F204="COMP.EVENTUAL",VLOOKUP(E204,'11.COMPOSIÇÕES GERAIS'!B:I,2,0),VLOOKUP(E204,'12.COT.MERCADO'!A:I,2,0)))),"Em Elaboração")</f>
        <v>SUBSTITUIÇÃO DE PLUGUE 2P+T DE 20A, 250V</v>
      </c>
      <c r="H204" s="305" t="str">
        <f>IFERROR(IF(F204="SINAPI-S",VLOOKUP(E204,'20-B.SINAPI-S'!A:J,3,0),IF(F204="SINAPI-I",VLOOKUP(E204,'20-A.SINAPI-I'!A:G,3,0),IF(F204="COMP.EVENTUAL",VLOOKUP(E204,'11.COMPOSIÇÕES GERAIS'!B:I,3,0),VLOOKUP(E204,'12.COT.MERCADO'!A:I,7,0)))),"Em Elaboração")</f>
        <v>UN</v>
      </c>
      <c r="I204" s="974">
        <v>2.0</v>
      </c>
    </row>
    <row r="205">
      <c r="A205" s="999" t="s">
        <v>4746</v>
      </c>
      <c r="B205" s="992">
        <v>23175.0</v>
      </c>
      <c r="C205" s="942" t="s">
        <v>4297</v>
      </c>
      <c r="D205" s="976" t="s">
        <v>5261</v>
      </c>
      <c r="E205" s="940">
        <v>99824.0</v>
      </c>
      <c r="F205" s="977" t="s">
        <v>218</v>
      </c>
      <c r="G205" s="978" t="str">
        <f>IFERROR(IF(F205="SINAPI-S",VLOOKUP(E205,'20-B.SINAPI-S'!A:J,2,0),IF(F205="SINAPI-I",VLOOKUP(E205,'20-A.SINAPI-I'!A:G,2,0),IF(F205="COMP.EVENTUAL",VLOOKUP(E205,'11.COMPOSIÇÕES GERAIS'!B:I,2,0),VLOOKUP(E205,'12.COT.MERCADO'!A:I,2,0)))),"Em Elaboração")</f>
        <v>LIMPEZA DE PORTA EM AÇO/ALUMÍNIO. AF_04/2019</v>
      </c>
      <c r="H205" s="934" t="str">
        <f>IFERROR(IF(F205="SINAPI-S",VLOOKUP(E205,'20-B.SINAPI-S'!A:J,3,0),IF(F205="SINAPI-I",VLOOKUP(E205,'20-A.SINAPI-I'!A:G,3,0),IF(F205="COMP.EVENTUAL",VLOOKUP(E205,'11.COMPOSIÇÕES GERAIS'!B:I,3,0),VLOOKUP(E205,'12.COT.MERCADO'!A:I,7,0)))),"Em Elaboração")</f>
        <v>M2</v>
      </c>
      <c r="I205" s="938">
        <v>1.0</v>
      </c>
    </row>
    <row r="206">
      <c r="A206" s="996" t="s">
        <v>4814</v>
      </c>
      <c r="B206" s="990">
        <v>23174.0</v>
      </c>
      <c r="C206" s="970" t="s">
        <v>4274</v>
      </c>
      <c r="D206" s="971" t="s">
        <v>5262</v>
      </c>
      <c r="E206" s="985" t="s">
        <v>1806</v>
      </c>
      <c r="F206" s="973" t="s">
        <v>4276</v>
      </c>
      <c r="G206" s="421" t="str">
        <f>IFERROR(IF(F206="SINAPI-S",VLOOKUP(E206,'20-B.SINAPI-S'!A:J,2,0),IF(F206="SINAPI-I",VLOOKUP(E206,'20-A.SINAPI-I'!A:G,2,0),IF(F206="COMP.EVENTUAL",VLOOKUP(E206,'11.COMPOSIÇÕES GERAIS'!B:I,2,0),VLOOKUP(E206,'12.COT.MERCADO'!A:I,2,0)))),"Em Elaboração")</f>
        <v>FORNECIMENTO E INSTALAÇÃO DE REFLETOR LED, CORPO DE ALUMÍNIO, VIDRO TEMPERADO, POTÊNCIA 30W, BIVOLT, TEMP. COR 3000K, IP-66</v>
      </c>
      <c r="H206" s="305" t="str">
        <f>IFERROR(IF(F206="SINAPI-S",VLOOKUP(E206,'20-B.SINAPI-S'!A:J,3,0),IF(F206="SINAPI-I",VLOOKUP(E206,'20-A.SINAPI-I'!A:G,3,0),IF(F206="COMP.EVENTUAL",VLOOKUP(E206,'11.COMPOSIÇÕES GERAIS'!B:I,3,0),VLOOKUP(E206,'12.COT.MERCADO'!A:I,7,0)))),"Em Elaboração")</f>
        <v>UN</v>
      </c>
      <c r="I206" s="974">
        <v>11.0</v>
      </c>
    </row>
    <row r="207">
      <c r="A207" s="999" t="s">
        <v>4814</v>
      </c>
      <c r="B207" s="992">
        <v>23174.0</v>
      </c>
      <c r="C207" s="942" t="s">
        <v>4274</v>
      </c>
      <c r="D207" s="976" t="s">
        <v>5263</v>
      </c>
      <c r="E207" s="940" t="s">
        <v>2010</v>
      </c>
      <c r="F207" s="977" t="s">
        <v>4276</v>
      </c>
      <c r="G207" s="978" t="str">
        <f>IFERROR(IF(F207="SINAPI-S",VLOOKUP(E207,'20-B.SINAPI-S'!A:J,2,0),IF(F207="SINAPI-I",VLOOKUP(E207,'20-A.SINAPI-I'!A:G,2,0),IF(F207="COMP.EVENTUAL",VLOOKUP(E207,'11.COMPOSIÇÕES GERAIS'!B:I,2,0),VLOOKUP(E207,'12.COT.MERCADO'!A:I,2,0)))),"Em Elaboração")</f>
        <v>FORNECIMENTO E INSTALAÇÃO DE LÂMPADA LED BULBO E27, 60W DE POTÊNCIA, COR BRANCO FRIO 6500K</v>
      </c>
      <c r="H207" s="934" t="str">
        <f>IFERROR(IF(F207="SINAPI-S",VLOOKUP(E207,'20-B.SINAPI-S'!A:J,3,0),IF(F207="SINAPI-I",VLOOKUP(E207,'20-A.SINAPI-I'!A:G,3,0),IF(F207="COMP.EVENTUAL",VLOOKUP(E207,'11.COMPOSIÇÕES GERAIS'!B:I,3,0),VLOOKUP(E207,'12.COT.MERCADO'!A:I,7,0)))),"Em Elaboração")</f>
        <v>UN</v>
      </c>
      <c r="I207" s="938">
        <v>1.0</v>
      </c>
    </row>
    <row r="208">
      <c r="A208" s="996" t="s">
        <v>4814</v>
      </c>
      <c r="B208" s="990">
        <v>23174.0</v>
      </c>
      <c r="C208" s="970" t="s">
        <v>4274</v>
      </c>
      <c r="D208" s="971" t="s">
        <v>5264</v>
      </c>
      <c r="E208" s="985" t="s">
        <v>1962</v>
      </c>
      <c r="F208" s="973" t="s">
        <v>4276</v>
      </c>
      <c r="G208" s="421" t="str">
        <f>IFERROR(IF(F208="SINAPI-S",VLOOKUP(E208,'20-B.SINAPI-S'!A:J,2,0),IF(F208="SINAPI-I",VLOOKUP(E208,'20-A.SINAPI-I'!A:G,2,0),IF(F208="COMP.EVENTUAL",VLOOKUP(E208,'11.COMPOSIÇÕES GERAIS'!B:I,2,0),VLOOKUP(E208,'12.COT.MERCADO'!A:I,2,0)))),"Em Elaboração")</f>
        <v>FORNECIMENTO E INSTALAÇÃO DE ADAPTADOR DE PORCELANA PARA LÂMPADA BASE E40 PARA E27</v>
      </c>
      <c r="H208" s="305" t="str">
        <f>IFERROR(IF(F208="SINAPI-S",VLOOKUP(E208,'20-B.SINAPI-S'!A:J,3,0),IF(F208="SINAPI-I",VLOOKUP(E208,'20-A.SINAPI-I'!A:G,3,0),IF(F208="COMP.EVENTUAL",VLOOKUP(E208,'11.COMPOSIÇÕES GERAIS'!B:I,3,0),VLOOKUP(E208,'12.COT.MERCADO'!A:I,7,0)))),"Em Elaboração")</f>
        <v>UN</v>
      </c>
      <c r="I208" s="974">
        <v>1.0</v>
      </c>
    </row>
    <row r="209">
      <c r="A209" s="999" t="s">
        <v>4814</v>
      </c>
      <c r="B209" s="992">
        <v>23177.0</v>
      </c>
      <c r="C209" s="942" t="s">
        <v>4297</v>
      </c>
      <c r="D209" s="976" t="s">
        <v>5265</v>
      </c>
      <c r="E209" s="940" t="s">
        <v>1935</v>
      </c>
      <c r="F209" s="977" t="s">
        <v>4276</v>
      </c>
      <c r="G209" s="978" t="str">
        <f>IFERROR(IF(F209="SINAPI-S",VLOOKUP(E209,'20-B.SINAPI-S'!A:J,2,0),IF(F209="SINAPI-I",VLOOKUP(E209,'20-A.SINAPI-I'!A:G,2,0),IF(F209="COMP.EVENTUAL",VLOOKUP(E209,'11.COMPOSIÇÕES GERAIS'!B:I,2,0),VLOOKUP(E209,'12.COT.MERCADO'!A:I,2,0)))),"Em Elaboração")</f>
        <v>FECHADURA DE SOBREPOR PAR APORTA CORTA FOGO (SEM CHAVE) - FORNECIMENTO E INSTALAÇÃO</v>
      </c>
      <c r="H209" s="934" t="str">
        <f>IFERROR(IF(F209="SINAPI-S",VLOOKUP(E209,'20-B.SINAPI-S'!A:J,3,0),IF(F209="SINAPI-I",VLOOKUP(E209,'20-A.SINAPI-I'!A:G,3,0),IF(F209="COMP.EVENTUAL",VLOOKUP(E209,'11.COMPOSIÇÕES GERAIS'!B:I,3,0),VLOOKUP(E209,'12.COT.MERCADO'!A:I,7,0)))),"Em Elaboração")</f>
        <v>UN</v>
      </c>
      <c r="I209" s="938">
        <v>2.0</v>
      </c>
    </row>
    <row r="210">
      <c r="A210" s="996" t="s">
        <v>4814</v>
      </c>
      <c r="B210" s="990">
        <v>23255.0</v>
      </c>
      <c r="C210" s="970" t="s">
        <v>4297</v>
      </c>
      <c r="D210" s="971" t="s">
        <v>5266</v>
      </c>
      <c r="E210" s="985" t="s">
        <v>1799</v>
      </c>
      <c r="F210" s="973" t="s">
        <v>4276</v>
      </c>
      <c r="G210" s="421" t="str">
        <f>IFERROR(IF(F210="SINAPI-S",VLOOKUP(E210,'20-B.SINAPI-S'!A:J,2,0),IF(F210="SINAPI-I",VLOOKUP(E210,'20-A.SINAPI-I'!A:G,2,0),IF(F210="COMP.EVENTUAL",VLOOKUP(E210,'11.COMPOSIÇÕES GERAIS'!B:I,2,0),VLOOKUP(E210,'12.COT.MERCADO'!A:I,2,0)))),"Em Elaboração")</f>
        <v>FORNECIMENTO E INSTALAÇÃO DE PLACAS DE FORRO DE FIBRA MINERAL - EXCLUSIVE ESTRUTURA DE SUSTENTAÇÃO</v>
      </c>
      <c r="H210" s="305" t="str">
        <f>IFERROR(IF(F210="SINAPI-S",VLOOKUP(E210,'20-B.SINAPI-S'!A:J,3,0),IF(F210="SINAPI-I",VLOOKUP(E210,'20-A.SINAPI-I'!A:G,3,0),IF(F210="COMP.EVENTUAL",VLOOKUP(E210,'11.COMPOSIÇÕES GERAIS'!B:I,3,0),VLOOKUP(E210,'12.COT.MERCADO'!A:I,7,0)))),"Em Elaboração")</f>
        <v>UN</v>
      </c>
      <c r="I210" s="974">
        <v>24.0</v>
      </c>
    </row>
    <row r="211">
      <c r="A211" s="999" t="s">
        <v>4814</v>
      </c>
      <c r="B211" s="992">
        <v>23256.0</v>
      </c>
      <c r="C211" s="942" t="s">
        <v>4297</v>
      </c>
      <c r="D211" s="976" t="s">
        <v>5267</v>
      </c>
      <c r="E211" s="940">
        <v>156.0</v>
      </c>
      <c r="F211" s="977" t="s">
        <v>286</v>
      </c>
      <c r="G211" s="978" t="str">
        <f>IFERROR(IF(F211="SINAPI-S",VLOOKUP(E211,'20-B.SINAPI-S'!A:J,2,0),IF(F211="SINAPI-I",VLOOKUP(E211,'20-A.SINAPI-I'!A:G,2,0),IF(F211="COMP.EVENTUAL",VLOOKUP(E211,'11.COMPOSIÇÕES GERAIS'!B:I,2,0),VLOOKUP(E211,'12.COT.MERCADO'!A:I,2,0)))),"Em Elaboração")</f>
        <v>ADESIVO ESTRUTURAL A BASE DE RESINA EPOXI, BICOMPONENTE, FLUIDO</v>
      </c>
      <c r="H211" s="934" t="str">
        <f>IFERROR(IF(F211="SINAPI-S",VLOOKUP(E211,'20-B.SINAPI-S'!A:J,3,0),IF(F211="SINAPI-I",VLOOKUP(E211,'20-A.SINAPI-I'!A:G,3,0),IF(F211="COMP.EVENTUAL",VLOOKUP(E211,'11.COMPOSIÇÕES GERAIS'!B:I,3,0),VLOOKUP(E211,'12.COT.MERCADO'!A:I,7,0)))),"Em Elaboração")</f>
        <v>KG</v>
      </c>
      <c r="I211" s="938">
        <v>2.0</v>
      </c>
    </row>
  </sheetData>
  <mergeCells count="4">
    <mergeCell ref="A1:C1"/>
    <mergeCell ref="D1:G1"/>
    <mergeCell ref="H1:I1"/>
    <mergeCell ref="H2:I2"/>
  </mergeCells>
  <conditionalFormatting sqref="E116 E149 E174 E179 E191 E193">
    <cfRule type="expression" dxfId="3" priority="1">
      <formula>$I116="SINAPI-S"</formula>
    </cfRule>
  </conditionalFormatting>
  <conditionalFormatting sqref="E116 E149 E174 E179 E191 E193">
    <cfRule type="expression" dxfId="4" priority="2">
      <formula>$I116="COMP.EVENTUAL"</formula>
    </cfRule>
  </conditionalFormatting>
  <conditionalFormatting sqref="E116 E149 E174 E179 E191 E193">
    <cfRule type="expression" dxfId="5" priority="3">
      <formula>$I116="SINAPI-I"</formula>
    </cfRule>
  </conditionalFormatting>
  <conditionalFormatting sqref="A4:D211 A4:D211">
    <cfRule type="expression" dxfId="0" priority="4">
      <formula>$C4="Elétrica" </formula>
    </cfRule>
  </conditionalFormatting>
  <conditionalFormatting sqref="A4:D211 A4:D211">
    <cfRule type="expression" dxfId="1" priority="5">
      <formula>$C4="CIVIL"</formula>
    </cfRule>
  </conditionalFormatting>
  <conditionalFormatting sqref="A4:D211 A4:D211">
    <cfRule type="expression" dxfId="2" priority="6">
      <formula>$C4="HIDRÁULICA"</formula>
    </cfRule>
  </conditionalFormatting>
  <conditionalFormatting sqref="E4:E211 G4:I211">
    <cfRule type="expression" dxfId="3" priority="7">
      <formula>$F4="SINAPI-S"</formula>
    </cfRule>
  </conditionalFormatting>
  <conditionalFormatting sqref="E4:E211 G4:I211">
    <cfRule type="expression" dxfId="4" priority="8">
      <formula>$F4="COMP.EVENTUAL"</formula>
    </cfRule>
  </conditionalFormatting>
  <conditionalFormatting sqref="E4:E211 G4:I211">
    <cfRule type="expression" dxfId="5" priority="9">
      <formula>$F4="SINAPI-I"</formula>
    </cfRule>
  </conditionalFormatting>
  <dataValidations>
    <dataValidation type="list" allowBlank="1" showErrorMessage="1" sqref="F4:F211">
      <formula1>"SINAPI-I,SINAPI-S,COMP.EVENTUAL,Em Elaboração,COT.MERCADO"</formula1>
    </dataValidation>
    <dataValidation type="list" allowBlank="1" showErrorMessage="1" sqref="C4:C211">
      <formula1>"ELÉTRICA,HIDRÁULICA,CIVIL,REFRIGERAÇÃO"</formula1>
    </dataValidation>
  </dataValidations>
  <hyperlinks>
    <hyperlink display="SUMÁRIO" location="'QUADRO RESUMO'!B16:D17" ref="H1"/>
  </hyperlinks>
  <printOptions gridLines="1" horizontalCentered="1"/>
  <pageMargins bottom="0.75" footer="0.0" header="0.0" left="0.7" right="0.7" top="0.75"/>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outlinePr summaryBelow="0" summaryRight="0"/>
    <pageSetUpPr fitToPage="1"/>
  </sheetPr>
  <sheetViews>
    <sheetView showGridLines="0" workbookViewId="0"/>
  </sheetViews>
  <sheetFormatPr customHeight="1" defaultColWidth="14.43" defaultRowHeight="15.0"/>
  <cols>
    <col customWidth="1" min="1" max="1" width="10.14"/>
    <col customWidth="1" min="2" max="2" width="12.0"/>
    <col customWidth="1" min="3" max="3" width="44.43"/>
    <col customWidth="1" min="4" max="4" width="5.29"/>
    <col customWidth="1" min="5" max="5" width="6.29"/>
    <col customWidth="1" min="6" max="6" width="3.0"/>
    <col customWidth="1" min="7" max="7" width="2.86"/>
    <col customWidth="1" min="8" max="8" width="10.0"/>
    <col customWidth="1" min="9" max="9" width="11.14"/>
    <col customWidth="1" min="10" max="10" width="43.29"/>
    <col customWidth="1" min="11" max="11" width="6.29"/>
    <col customWidth="1" min="12" max="12" width="10.29"/>
    <col customWidth="1" min="13" max="13" width="8.43"/>
    <col customWidth="1" min="14" max="14" width="16.57"/>
    <col customWidth="1" min="15" max="15" width="13.0"/>
    <col customWidth="1" min="16" max="16" width="7.0"/>
    <col customWidth="1" min="17" max="17" width="19.86"/>
    <col customWidth="1" min="20" max="20" width="3.86"/>
    <col customWidth="1" min="21" max="21" width="4.0"/>
  </cols>
  <sheetData>
    <row r="1" ht="48.75" customHeight="1">
      <c r="A1" s="1"/>
      <c r="C1" s="892" t="s">
        <v>5268</v>
      </c>
      <c r="D1" s="494"/>
      <c r="E1" s="494"/>
      <c r="F1" s="494"/>
      <c r="G1" s="494"/>
      <c r="H1" s="494"/>
      <c r="I1" s="494"/>
      <c r="J1" s="494"/>
      <c r="K1" s="494"/>
      <c r="L1" s="494"/>
      <c r="M1" s="494"/>
      <c r="N1" s="287" t="s">
        <v>29</v>
      </c>
      <c r="O1" s="44"/>
      <c r="P1" s="894"/>
    </row>
    <row r="2" ht="36.75" customHeight="1">
      <c r="A2" s="926"/>
      <c r="B2" s="926"/>
      <c r="C2" s="926" t="s">
        <v>5269</v>
      </c>
      <c r="H2" s="926" t="s">
        <v>5270</v>
      </c>
      <c r="L2" s="1009" t="s">
        <v>5271</v>
      </c>
      <c r="M2" s="1009" t="s">
        <v>5272</v>
      </c>
      <c r="N2" s="1009" t="s">
        <v>5273</v>
      </c>
      <c r="O2" s="1009" t="s">
        <v>5274</v>
      </c>
      <c r="P2" s="894"/>
    </row>
    <row r="3" ht="26.25" customHeight="1">
      <c r="A3" s="1010"/>
      <c r="B3" s="1010"/>
      <c r="C3" s="1010" t="s">
        <v>4264</v>
      </c>
      <c r="H3" s="1010" t="s">
        <v>5275</v>
      </c>
      <c r="L3" s="54"/>
      <c r="M3" s="54"/>
      <c r="N3" s="54"/>
      <c r="O3" s="54"/>
    </row>
    <row r="4" ht="18.0" customHeight="1">
      <c r="A4" s="317"/>
      <c r="B4" s="316"/>
      <c r="C4" s="1011"/>
      <c r="D4" s="1012"/>
      <c r="E4" s="1012"/>
      <c r="F4" s="1013"/>
      <c r="G4" s="1013"/>
      <c r="H4" s="1014" t="s">
        <v>1717</v>
      </c>
      <c r="I4" s="1015" t="s">
        <v>4268</v>
      </c>
      <c r="J4" s="1014" t="s">
        <v>4269</v>
      </c>
      <c r="K4" s="1014" t="s">
        <v>4270</v>
      </c>
      <c r="L4" s="75"/>
      <c r="M4" s="75"/>
      <c r="N4" s="75"/>
      <c r="O4" s="75"/>
      <c r="Q4" s="1016" t="s">
        <v>5276</v>
      </c>
      <c r="R4" s="1016" t="s">
        <v>5277</v>
      </c>
      <c r="S4" s="1016" t="s">
        <v>5278</v>
      </c>
      <c r="T4" s="1017"/>
    </row>
    <row r="5" ht="18.75" customHeight="1">
      <c r="A5" s="1018"/>
      <c r="B5" s="1019" t="s">
        <v>4268</v>
      </c>
      <c r="C5" s="1020" t="s">
        <v>4269</v>
      </c>
      <c r="D5" s="1019" t="s">
        <v>4270</v>
      </c>
      <c r="E5" s="1019" t="s">
        <v>4271</v>
      </c>
      <c r="H5" s="1021" t="str">
        <f>IFERROR(__xludf.DUMMYFUNCTION("UNIQUE(A:A)"),"")</f>
        <v/>
      </c>
      <c r="I5" s="1022"/>
      <c r="J5" s="1022"/>
      <c r="K5" s="1021"/>
      <c r="L5" s="1023"/>
      <c r="M5" s="1023"/>
      <c r="N5" s="1023"/>
      <c r="O5" s="1024"/>
      <c r="Q5" s="1025">
        <f>R28</f>
        <v>11477.54</v>
      </c>
      <c r="R5" s="1025">
        <f>R17</f>
        <v>13079.3</v>
      </c>
      <c r="S5" s="1026">
        <v>0.25</v>
      </c>
      <c r="T5" s="1027"/>
    </row>
    <row r="6">
      <c r="A6" s="1028" t="str">
        <f>IFERROR(__xludf.DUMMYFUNCTION("UNIQUE('17. DADOS - HISTORICO MANUT. 20'!E4:E460)"),"MAN_PR_001")</f>
        <v>MAN_PR_001</v>
      </c>
      <c r="B6" s="1028" t="str">
        <f>VLOOKUP(A6,'17. DADOS - HISTORICO MANUT. 20'!E:I,2,0)</f>
        <v>COMP.EVENTUAL</v>
      </c>
      <c r="C6" s="1029" t="str">
        <f>VLOOKUP(A6,'17. DADOS - HISTORICO MANUT. 20'!$E:$I,3,0)</f>
        <v>FORNECIMENTO E INSTALAÇÃO DE SUPORTE DE PAREDE FIXO PARA TV E MONITOR DE 32 À 80 POLEGADAS</v>
      </c>
      <c r="D6" s="1028" t="str">
        <f>VLOOKUP(A6,'17. DADOS - HISTORICO MANUT. 20'!$E:$I,4,0)</f>
        <v>UN</v>
      </c>
      <c r="E6" s="1028">
        <f>SUMIF('17. DADOS - HISTORICO MANUT. 20'!E:E,A6,'17. DADOS - HISTORICO MANUT. 20'!I:I)</f>
        <v>5</v>
      </c>
      <c r="F6" s="1030"/>
      <c r="G6" s="1030"/>
      <c r="H6" s="1031" t="str">
        <f>IFERROR(__xludf.DUMMYFUNCTION("""COMPUTED_VALUE"""),"MAN_PR_001")</f>
        <v>MAN_PR_001</v>
      </c>
      <c r="I6" s="1028" t="str">
        <f t="shared" ref="I6:I272" si="1">VLOOKUP(H6,A:E,2,0)</f>
        <v>COMP.EVENTUAL</v>
      </c>
      <c r="J6" s="1029" t="str">
        <f t="shared" ref="J6:J272" si="2">VLOOKUP(H6,A:E,3,0)</f>
        <v>FORNECIMENTO E INSTALAÇÃO DE SUPORTE DE PAREDE FIXO PARA TV E MONITOR DE 32 À 80 POLEGADAS</v>
      </c>
      <c r="K6" s="1031" t="str">
        <f t="shared" ref="K6:K272" si="3">VLOOKUP(H6,A:E,4,0)</f>
        <v>UN</v>
      </c>
      <c r="L6" s="1031">
        <f t="shared" ref="L6:L272" si="4">SUMIF(A:A,H6,E:E)</f>
        <v>7</v>
      </c>
      <c r="M6" s="1031">
        <f t="shared" ref="M6:M272" si="5">L6/2</f>
        <v>3.5</v>
      </c>
      <c r="N6" s="1032">
        <f t="shared" ref="N6:N272" si="6">M6*$R$5/$Q$5*(1-$S$5)</f>
        <v>2.991334598</v>
      </c>
      <c r="O6" s="1033">
        <f t="shared" ref="O6:O39" si="7">ROUND(N6,0)</f>
        <v>3</v>
      </c>
      <c r="Q6" s="1030"/>
    </row>
    <row r="7">
      <c r="A7" s="1028">
        <f>IFERROR(__xludf.DUMMYFUNCTION("""COMPUTED_VALUE"""),100903.0)</f>
        <v>100903</v>
      </c>
      <c r="B7" s="1028" t="str">
        <f>VLOOKUP(A7,'17. DADOS - HISTORICO MANUT. 20'!E:I,2,0)</f>
        <v>SINAPI-S</v>
      </c>
      <c r="C7" s="1029" t="str">
        <f>VLOOKUP(A7,'17. DADOS - HISTORICO MANUT. 20'!$E:$I,3,0)</f>
        <v>LÂMPADA TUBULAR LED DE 18/20 W, BASE G13 - FORNECIMENTO E INSTALAÇÃO. AF_02/2020_PS</v>
      </c>
      <c r="D7" s="1028" t="str">
        <f>VLOOKUP(A7,'17. DADOS - HISTORICO MANUT. 20'!$E:$I,4,0)</f>
        <v>UN</v>
      </c>
      <c r="E7" s="1028">
        <f>SUMIF('17. DADOS - HISTORICO MANUT. 20'!E:E,A7,'17. DADOS - HISTORICO MANUT. 20'!I:I)</f>
        <v>395</v>
      </c>
      <c r="F7" s="1030"/>
      <c r="G7" s="1030"/>
      <c r="H7" s="1031">
        <f>IFERROR(__xludf.DUMMYFUNCTION("""COMPUTED_VALUE"""),100903.0)</f>
        <v>100903</v>
      </c>
      <c r="I7" s="1028" t="str">
        <f t="shared" si="1"/>
        <v>SINAPI-S</v>
      </c>
      <c r="J7" s="1029" t="str">
        <f t="shared" si="2"/>
        <v>LÂMPADA TUBULAR LED DE 18/20 W, BASE G13 - FORNECIMENTO E INSTALAÇÃO. AF_02/2020_PS</v>
      </c>
      <c r="K7" s="1031" t="str">
        <f t="shared" si="3"/>
        <v>UN</v>
      </c>
      <c r="L7" s="1031">
        <f t="shared" si="4"/>
        <v>532</v>
      </c>
      <c r="M7" s="1031">
        <f t="shared" si="5"/>
        <v>266</v>
      </c>
      <c r="N7" s="1032">
        <f t="shared" si="6"/>
        <v>227.3414294</v>
      </c>
      <c r="O7" s="1033">
        <f t="shared" si="7"/>
        <v>227</v>
      </c>
      <c r="Q7" s="1034" t="s">
        <v>5279</v>
      </c>
      <c r="R7" s="1027"/>
    </row>
    <row r="8">
      <c r="A8" s="1028">
        <f>IFERROR(__xludf.DUMMYFUNCTION("""COMPUTED_VALUE"""),91953.0)</f>
        <v>91953</v>
      </c>
      <c r="B8" s="1028" t="str">
        <f>VLOOKUP(A8,'17. DADOS - HISTORICO MANUT. 20'!E:I,2,0)</f>
        <v>SINAPI-S</v>
      </c>
      <c r="C8" s="1029" t="str">
        <f>VLOOKUP(A8,'17. DADOS - HISTORICO MANUT. 20'!$E:$I,3,0)</f>
        <v>INTERRUPTOR SIMPLES (1 MÓDULO), 10A/250V, INCLUINDO SUPORTE E PLACA - FORNECIMENTO E INSTALAÇÃO. AF_03/2023</v>
      </c>
      <c r="D8" s="1028" t="str">
        <f>VLOOKUP(A8,'17. DADOS - HISTORICO MANUT. 20'!$E:$I,4,0)</f>
        <v>UN</v>
      </c>
      <c r="E8" s="1028">
        <f>SUMIF('17. DADOS - HISTORICO MANUT. 20'!E:E,A8,'17. DADOS - HISTORICO MANUT. 20'!I:I)</f>
        <v>3</v>
      </c>
      <c r="F8" s="1030"/>
      <c r="G8" s="1030"/>
      <c r="H8" s="1031">
        <f>IFERROR(__xludf.DUMMYFUNCTION("""COMPUTED_VALUE"""),91953.0)</f>
        <v>91953</v>
      </c>
      <c r="I8" s="1028" t="str">
        <f t="shared" si="1"/>
        <v>SINAPI-S</v>
      </c>
      <c r="J8" s="1029" t="str">
        <f t="shared" si="2"/>
        <v>INTERRUPTOR SIMPLES (1 MÓDULO), 10A/250V, INCLUINDO SUPORTE E PLACA - FORNECIMENTO E INSTALAÇÃO. AF_03/2023</v>
      </c>
      <c r="K8" s="1031" t="str">
        <f t="shared" si="3"/>
        <v>UN</v>
      </c>
      <c r="L8" s="1031">
        <f t="shared" si="4"/>
        <v>3</v>
      </c>
      <c r="M8" s="1031">
        <f t="shared" si="5"/>
        <v>1.5</v>
      </c>
      <c r="N8" s="1032">
        <f t="shared" si="6"/>
        <v>1.282000542</v>
      </c>
      <c r="O8" s="1033">
        <f t="shared" si="7"/>
        <v>1</v>
      </c>
      <c r="Q8" s="1035" t="s">
        <v>5280</v>
      </c>
      <c r="R8" s="1036">
        <v>2600.0</v>
      </c>
    </row>
    <row r="9">
      <c r="A9" s="1028" t="str">
        <f>IFERROR(__xludf.DUMMYFUNCTION("""COMPUTED_VALUE"""),"MAN_PR_002")</f>
        <v>MAN_PR_002</v>
      </c>
      <c r="B9" s="1028" t="str">
        <f>VLOOKUP(A9,'17. DADOS - HISTORICO MANUT. 20'!E:I,2,0)</f>
        <v>COMP.EVENTUAL</v>
      </c>
      <c r="C9" s="1029" t="str">
        <f>VLOOKUP(A9,'17. DADOS - HISTORICO MANUT. 20'!$E:$I,3,0)</f>
        <v>FORNECIMENTO E INSTALAÇÃO DE CABO DE AÇO 1/8 REVESTIDO COM PVC, TOTAL 50M, PARA PORTA BANDEIRAS</v>
      </c>
      <c r="D9" s="1028" t="str">
        <f>VLOOKUP(A9,'17. DADOS - HISTORICO MANUT. 20'!$E:$I,4,0)</f>
        <v>UN</v>
      </c>
      <c r="E9" s="1028">
        <f>SUMIF('17. DADOS - HISTORICO MANUT. 20'!E:E,A9,'17. DADOS - HISTORICO MANUT. 20'!I:I)</f>
        <v>2</v>
      </c>
      <c r="F9" s="1030"/>
      <c r="G9" s="1030"/>
      <c r="H9" s="1031" t="str">
        <f>IFERROR(__xludf.DUMMYFUNCTION("""COMPUTED_VALUE"""),"MAN_PR_002")</f>
        <v>MAN_PR_002</v>
      </c>
      <c r="I9" s="1028" t="str">
        <f t="shared" si="1"/>
        <v>COMP.EVENTUAL</v>
      </c>
      <c r="J9" s="1029" t="str">
        <f t="shared" si="2"/>
        <v>FORNECIMENTO E INSTALAÇÃO DE CABO DE AÇO 1/8 REVESTIDO COM PVC, TOTAL 50M, PARA PORTA BANDEIRAS</v>
      </c>
      <c r="K9" s="1031" t="str">
        <f t="shared" si="3"/>
        <v>UN</v>
      </c>
      <c r="L9" s="1031">
        <f t="shared" si="4"/>
        <v>4</v>
      </c>
      <c r="M9" s="1031">
        <f t="shared" si="5"/>
        <v>2</v>
      </c>
      <c r="N9" s="1032">
        <f t="shared" si="6"/>
        <v>1.709334056</v>
      </c>
      <c r="O9" s="1033">
        <f t="shared" si="7"/>
        <v>2</v>
      </c>
      <c r="Q9" s="1035" t="s">
        <v>5281</v>
      </c>
      <c r="R9" s="1035">
        <v>700.0</v>
      </c>
    </row>
    <row r="10">
      <c r="A10" s="1028" t="str">
        <f>IFERROR(__xludf.DUMMYFUNCTION("""COMPUTED_VALUE"""),"MAN_PR_003")</f>
        <v>MAN_PR_003</v>
      </c>
      <c r="B10" s="1028" t="str">
        <f>VLOOKUP(A10,'17. DADOS - HISTORICO MANUT. 20'!E:I,2,0)</f>
        <v>COMP.EVENTUAL</v>
      </c>
      <c r="C10" s="1029" t="str">
        <f>VLOOKUP(A10,'17. DADOS - HISTORICO MANUT. 20'!$E:$I,3,0)</f>
        <v>FORNECIMENTO E INSTALAÇÃO DE VENTILADOR DE PAREDE 50CM COM 6 PÁS, 200W, BIVOLT</v>
      </c>
      <c r="D10" s="1028" t="str">
        <f>VLOOKUP(A10,'17. DADOS - HISTORICO MANUT. 20'!$E:$I,4,0)</f>
        <v>UN</v>
      </c>
      <c r="E10" s="1028">
        <f>SUMIF('17. DADOS - HISTORICO MANUT. 20'!E:E,A10,'17. DADOS - HISTORICO MANUT. 20'!I:I)</f>
        <v>4</v>
      </c>
      <c r="F10" s="1030"/>
      <c r="G10" s="1030"/>
      <c r="H10" s="1031" t="str">
        <f>IFERROR(__xludf.DUMMYFUNCTION("""COMPUTED_VALUE"""),"MAN_PR_003")</f>
        <v>MAN_PR_003</v>
      </c>
      <c r="I10" s="1028" t="str">
        <f t="shared" si="1"/>
        <v>COMP.EVENTUAL</v>
      </c>
      <c r="J10" s="1029" t="str">
        <f t="shared" si="2"/>
        <v>FORNECIMENTO E INSTALAÇÃO DE VENTILADOR DE PAREDE 50CM COM 6 PÁS, 200W, BIVOLT</v>
      </c>
      <c r="K10" s="1031" t="str">
        <f t="shared" si="3"/>
        <v>UN</v>
      </c>
      <c r="L10" s="1031">
        <f t="shared" si="4"/>
        <v>9</v>
      </c>
      <c r="M10" s="1031">
        <f t="shared" si="5"/>
        <v>4.5</v>
      </c>
      <c r="N10" s="1032">
        <f t="shared" si="6"/>
        <v>3.846001626</v>
      </c>
      <c r="O10" s="1033">
        <f t="shared" si="7"/>
        <v>4</v>
      </c>
      <c r="Q10" s="1035" t="s">
        <v>5282</v>
      </c>
      <c r="R10" s="1035">
        <v>1200.0</v>
      </c>
    </row>
    <row r="11">
      <c r="A11" s="1028" t="str">
        <f>IFERROR(__xludf.DUMMYFUNCTION("""COMPUTED_VALUE"""),"MAN_PR_004")</f>
        <v>MAN_PR_004</v>
      </c>
      <c r="B11" s="1028" t="str">
        <f>VLOOKUP(A11,'17. DADOS - HISTORICO MANUT. 20'!E:I,2,0)</f>
        <v>COMP.EVENTUAL</v>
      </c>
      <c r="C11" s="1029" t="str">
        <f>VLOOKUP(A11,'17. DADOS - HISTORICO MANUT. 20'!$E:$I,3,0)</f>
        <v>FORNECIMENTO E INSTALAÇÃO DE PLACAS DE FORRO DE FIBRA MINERAL - EXCLUSIVE ESTRUTURA DE SUSTENTAÇÃO</v>
      </c>
      <c r="D11" s="1028" t="str">
        <f>VLOOKUP(A11,'17. DADOS - HISTORICO MANUT. 20'!$E:$I,4,0)</f>
        <v>UN</v>
      </c>
      <c r="E11" s="1028">
        <f>SUMIF('17. DADOS - HISTORICO MANUT. 20'!E:E,A11,'17. DADOS - HISTORICO MANUT. 20'!I:I)</f>
        <v>46</v>
      </c>
      <c r="F11" s="1030"/>
      <c r="G11" s="1030"/>
      <c r="H11" s="1031" t="str">
        <f>IFERROR(__xludf.DUMMYFUNCTION("""COMPUTED_VALUE"""),"MAN_PR_004")</f>
        <v>MAN_PR_004</v>
      </c>
      <c r="I11" s="1028" t="str">
        <f t="shared" si="1"/>
        <v>COMP.EVENTUAL</v>
      </c>
      <c r="J11" s="1029" t="str">
        <f t="shared" si="2"/>
        <v>FORNECIMENTO E INSTALAÇÃO DE PLACAS DE FORRO DE FIBRA MINERAL - EXCLUSIVE ESTRUTURA DE SUSTENTAÇÃO</v>
      </c>
      <c r="K11" s="1031" t="str">
        <f t="shared" si="3"/>
        <v>UN</v>
      </c>
      <c r="L11" s="1031">
        <f t="shared" si="4"/>
        <v>82</v>
      </c>
      <c r="M11" s="1031">
        <f t="shared" si="5"/>
        <v>41</v>
      </c>
      <c r="N11" s="1032">
        <f t="shared" si="6"/>
        <v>35.04134815</v>
      </c>
      <c r="O11" s="1033">
        <f t="shared" si="7"/>
        <v>35</v>
      </c>
      <c r="Q11" s="1035" t="s">
        <v>5283</v>
      </c>
      <c r="R11" s="1035">
        <v>2144.0</v>
      </c>
    </row>
    <row r="12">
      <c r="A12" s="1028" t="str">
        <f>IFERROR(__xludf.DUMMYFUNCTION("""COMPUTED_VALUE"""),"MAN_PR_005")</f>
        <v>MAN_PR_005</v>
      </c>
      <c r="B12" s="1028" t="str">
        <f>VLOOKUP(A12,'17. DADOS - HISTORICO MANUT. 20'!E:I,2,0)</f>
        <v>COMP.EVENTUAL</v>
      </c>
      <c r="C12" s="1029" t="str">
        <f>VLOOKUP(A12,'17. DADOS - HISTORICO MANUT. 20'!$E:$I,3,0)</f>
        <v>FORNECIMENTO E INSTALAÇÃO DE BATERIA SELADA 12V - 60 AH</v>
      </c>
      <c r="D12" s="1028" t="str">
        <f>VLOOKUP(A12,'17. DADOS - HISTORICO MANUT. 20'!$E:$I,4,0)</f>
        <v>UN</v>
      </c>
      <c r="E12" s="1028">
        <f>SUMIF('17. DADOS - HISTORICO MANUT. 20'!E:E,A12,'17. DADOS - HISTORICO MANUT. 20'!I:I)</f>
        <v>20</v>
      </c>
      <c r="F12" s="1030"/>
      <c r="G12" s="1030"/>
      <c r="H12" s="1031" t="str">
        <f>IFERROR(__xludf.DUMMYFUNCTION("""COMPUTED_VALUE"""),"MAN_PR_005")</f>
        <v>MAN_PR_005</v>
      </c>
      <c r="I12" s="1028" t="str">
        <f t="shared" si="1"/>
        <v>COMP.EVENTUAL</v>
      </c>
      <c r="J12" s="1029" t="str">
        <f t="shared" si="2"/>
        <v>FORNECIMENTO E INSTALAÇÃO DE BATERIA SELADA 12V - 60 AH</v>
      </c>
      <c r="K12" s="1031" t="str">
        <f t="shared" si="3"/>
        <v>UN</v>
      </c>
      <c r="L12" s="1031">
        <f t="shared" si="4"/>
        <v>20</v>
      </c>
      <c r="M12" s="1031">
        <f t="shared" si="5"/>
        <v>10</v>
      </c>
      <c r="N12" s="1032">
        <f t="shared" si="6"/>
        <v>8.54667028</v>
      </c>
      <c r="O12" s="1033">
        <f t="shared" si="7"/>
        <v>9</v>
      </c>
      <c r="Q12" s="1035" t="s">
        <v>5284</v>
      </c>
      <c r="R12" s="1035">
        <v>763.0</v>
      </c>
    </row>
    <row r="13">
      <c r="A13" s="1028">
        <f>IFERROR(__xludf.DUMMYFUNCTION("""COMPUTED_VALUE"""),88489.0)</f>
        <v>88489</v>
      </c>
      <c r="B13" s="1028" t="str">
        <f>VLOOKUP(A13,'17. DADOS - HISTORICO MANUT. 20'!E:I,2,0)</f>
        <v>SINAPI-S</v>
      </c>
      <c r="C13" s="1029" t="str">
        <f>VLOOKUP(A13,'17. DADOS - HISTORICO MANUT. 20'!$E:$I,3,0)</f>
        <v>PINTURA LÁTEX ACRÍLICA PREMIUM, APLICAÇÃO MANUAL EM PAREDES, DUAS DEMÃOS. AF_04/2023</v>
      </c>
      <c r="D13" s="1028" t="str">
        <f>VLOOKUP(A13,'17. DADOS - HISTORICO MANUT. 20'!$E:$I,4,0)</f>
        <v>M2</v>
      </c>
      <c r="E13" s="1028">
        <f>SUMIF('17. DADOS - HISTORICO MANUT. 20'!E:E,A13,'17. DADOS - HISTORICO MANUT. 20'!I:I)</f>
        <v>66</v>
      </c>
      <c r="F13" s="1030"/>
      <c r="G13" s="1030"/>
      <c r="H13" s="1031">
        <f>IFERROR(__xludf.DUMMYFUNCTION("""COMPUTED_VALUE"""),88489.0)</f>
        <v>88489</v>
      </c>
      <c r="I13" s="1028" t="str">
        <f t="shared" si="1"/>
        <v>SINAPI-S</v>
      </c>
      <c r="J13" s="1029" t="str">
        <f t="shared" si="2"/>
        <v>PINTURA LÁTEX ACRÍLICA PREMIUM, APLICAÇÃO MANUAL EM PAREDES, DUAS DEMÃOS. AF_04/2023</v>
      </c>
      <c r="K13" s="1031" t="str">
        <f t="shared" si="3"/>
        <v>M2</v>
      </c>
      <c r="L13" s="1031">
        <f t="shared" si="4"/>
        <v>116</v>
      </c>
      <c r="M13" s="1031">
        <f t="shared" si="5"/>
        <v>58</v>
      </c>
      <c r="N13" s="1032">
        <f t="shared" si="6"/>
        <v>49.57068762</v>
      </c>
      <c r="O13" s="1033">
        <f t="shared" si="7"/>
        <v>50</v>
      </c>
      <c r="Q13" s="1037" t="s">
        <v>64</v>
      </c>
      <c r="R13" s="1037">
        <v>1311.0</v>
      </c>
    </row>
    <row r="14">
      <c r="A14" s="1028">
        <f>IFERROR(__xludf.DUMMYFUNCTION("""COMPUTED_VALUE"""),102209.0)</f>
        <v>102209</v>
      </c>
      <c r="B14" s="1028" t="str">
        <f>VLOOKUP(A14,'17. DADOS - HISTORICO MANUT. 20'!E:I,2,0)</f>
        <v>SINAPI-S</v>
      </c>
      <c r="C14" s="1029" t="str">
        <f>VLOOKUP(A14,'17. DADOS - HISTORICO MANUT. 20'!$E:$I,3,0)</f>
        <v>PINTURA TINTA DE ACABAMENTO (PIGMENTADA) ESMALTE SINTÉTICO ACETINADO EM MADEIRA, 1 DEMÃO. AF_01/2021</v>
      </c>
      <c r="D14" s="1028" t="str">
        <f>VLOOKUP(A14,'17. DADOS - HISTORICO MANUT. 20'!$E:$I,4,0)</f>
        <v>M2</v>
      </c>
      <c r="E14" s="1028">
        <f>SUMIF('17. DADOS - HISTORICO MANUT. 20'!E:E,A14,'17. DADOS - HISTORICO MANUT. 20'!I:I)</f>
        <v>8</v>
      </c>
      <c r="F14" s="1030"/>
      <c r="G14" s="1030"/>
      <c r="H14" s="1031">
        <f>IFERROR(__xludf.DUMMYFUNCTION("""COMPUTED_VALUE"""),102209.0)</f>
        <v>102209</v>
      </c>
      <c r="I14" s="1028" t="str">
        <f t="shared" si="1"/>
        <v>SINAPI-S</v>
      </c>
      <c r="J14" s="1029" t="str">
        <f t="shared" si="2"/>
        <v>PINTURA TINTA DE ACABAMENTO (PIGMENTADA) ESMALTE SINTÉTICO ACETINADO EM MADEIRA, 1 DEMÃO. AF_01/2021</v>
      </c>
      <c r="K14" s="1031" t="str">
        <f t="shared" si="3"/>
        <v>M2</v>
      </c>
      <c r="L14" s="1031">
        <f t="shared" si="4"/>
        <v>8</v>
      </c>
      <c r="M14" s="1031">
        <f t="shared" si="5"/>
        <v>4</v>
      </c>
      <c r="N14" s="1032">
        <f t="shared" si="6"/>
        <v>3.418668112</v>
      </c>
      <c r="O14" s="1033">
        <f t="shared" si="7"/>
        <v>3</v>
      </c>
      <c r="Q14" s="1038" t="s">
        <v>65</v>
      </c>
      <c r="R14" s="1038">
        <v>2100.0</v>
      </c>
    </row>
    <row r="15">
      <c r="A15" s="1028">
        <f>IFERROR(__xludf.DUMMYFUNCTION("""COMPUTED_VALUE"""),93653.0)</f>
        <v>93653</v>
      </c>
      <c r="B15" s="1028" t="str">
        <f>VLOOKUP(A15,'17. DADOS - HISTORICO MANUT. 20'!E:I,2,0)</f>
        <v>SINAPI-S</v>
      </c>
      <c r="C15" s="1029" t="str">
        <f>VLOOKUP(A15,'17. DADOS - HISTORICO MANUT. 20'!$E:$I,3,0)</f>
        <v>DISJUNTOR MONOPOLAR TIPO DIN, CORRENTE NOMINAL DE 10A - FORNECIMENTO E INSTALAÇÃO. AF_10/2020</v>
      </c>
      <c r="D15" s="1028" t="str">
        <f>VLOOKUP(A15,'17. DADOS - HISTORICO MANUT. 20'!$E:$I,4,0)</f>
        <v>UN</v>
      </c>
      <c r="E15" s="1028">
        <f>SUMIF('17. DADOS - HISTORICO MANUT. 20'!E:E,A15,'17. DADOS - HISTORICO MANUT. 20'!I:I)</f>
        <v>9</v>
      </c>
      <c r="F15" s="1030"/>
      <c r="G15" s="1030"/>
      <c r="H15" s="1031">
        <f>IFERROR(__xludf.DUMMYFUNCTION("""COMPUTED_VALUE"""),93653.0)</f>
        <v>93653</v>
      </c>
      <c r="I15" s="1028" t="str">
        <f t="shared" si="1"/>
        <v>SINAPI-S</v>
      </c>
      <c r="J15" s="1029" t="str">
        <f t="shared" si="2"/>
        <v>DISJUNTOR MONOPOLAR TIPO DIN, CORRENTE NOMINAL DE 10A - FORNECIMENTO E INSTALAÇÃO. AF_10/2020</v>
      </c>
      <c r="K15" s="1031" t="str">
        <f t="shared" si="3"/>
        <v>UN</v>
      </c>
      <c r="L15" s="1031">
        <f t="shared" si="4"/>
        <v>9</v>
      </c>
      <c r="M15" s="1031">
        <f t="shared" si="5"/>
        <v>4.5</v>
      </c>
      <c r="N15" s="1032">
        <f t="shared" si="6"/>
        <v>3.846001626</v>
      </c>
      <c r="O15" s="1033">
        <f t="shared" si="7"/>
        <v>4</v>
      </c>
      <c r="Q15" s="1038" t="s">
        <v>5285</v>
      </c>
      <c r="R15" s="1039">
        <v>710.0</v>
      </c>
    </row>
    <row r="16">
      <c r="A16" s="1028">
        <f>IFERROR(__xludf.DUMMYFUNCTION("""COMPUTED_VALUE"""),96358.0)</f>
        <v>96358</v>
      </c>
      <c r="B16" s="1028" t="str">
        <f>VLOOKUP(A16,'17. DADOS - HISTORICO MANUT. 20'!E:I,2,0)</f>
        <v>SINAPI-S</v>
      </c>
      <c r="C16" s="1029" t="str">
        <f>VLOOKUP(A16,'17. DADOS - HISTORICO MANUT. 20'!$E:$I,3,0)</f>
        <v>PAREDE COM PLACAS DE GESSO ACARTONADO (DRYWALL), PARA USO INTERNO, COM DUAS FACES SIMPLES E ESTRUTURA METÁLICA COM GUIAS SIMPLES, SEM VÃOS. AF_06/2017_PS</v>
      </c>
      <c r="D16" s="1028" t="str">
        <f>VLOOKUP(A16,'17. DADOS - HISTORICO MANUT. 20'!$E:$I,4,0)</f>
        <v>M2</v>
      </c>
      <c r="E16" s="1028">
        <f>SUMIF('17. DADOS - HISTORICO MANUT. 20'!E:E,A16,'17. DADOS - HISTORICO MANUT. 20'!I:I)</f>
        <v>13</v>
      </c>
      <c r="F16" s="1030"/>
      <c r="G16" s="1030"/>
      <c r="H16" s="1031">
        <f>IFERROR(__xludf.DUMMYFUNCTION("""COMPUTED_VALUE"""),96358.0)</f>
        <v>96358</v>
      </c>
      <c r="I16" s="1028" t="str">
        <f t="shared" si="1"/>
        <v>SINAPI-S</v>
      </c>
      <c r="J16" s="1029" t="str">
        <f t="shared" si="2"/>
        <v>PAREDE COM PLACAS DE GESSO ACARTONADO (DRYWALL), PARA USO INTERNO, COM DUAS FACES SIMPLES E ESTRUTURA METÁLICA COM GUIAS SIMPLES, SEM VÃOS. AF_06/2017_PS</v>
      </c>
      <c r="K16" s="1031" t="str">
        <f t="shared" si="3"/>
        <v>M2</v>
      </c>
      <c r="L16" s="1031">
        <f t="shared" si="4"/>
        <v>13</v>
      </c>
      <c r="M16" s="1031">
        <f t="shared" si="5"/>
        <v>6.5</v>
      </c>
      <c r="N16" s="1032">
        <f t="shared" si="6"/>
        <v>5.555335682</v>
      </c>
      <c r="O16" s="1033">
        <f t="shared" si="7"/>
        <v>6</v>
      </c>
      <c r="P16" s="1030"/>
      <c r="Q16" s="1040" t="s">
        <v>5286</v>
      </c>
      <c r="R16" s="1041">
        <f>15513/10</f>
        <v>1551.3</v>
      </c>
    </row>
    <row r="17">
      <c r="A17" s="1028">
        <f>IFERROR(__xludf.DUMMYFUNCTION("""COMPUTED_VALUE"""),97611.0)</f>
        <v>97611</v>
      </c>
      <c r="B17" s="1028" t="str">
        <f>VLOOKUP(A17,'17. DADOS - HISTORICO MANUT. 20'!E:I,2,0)</f>
        <v>SINAPI-S</v>
      </c>
      <c r="C17" s="1029" t="str">
        <f>VLOOKUP(A17,'17. DADOS - HISTORICO MANUT. 20'!$E:$I,3,0)</f>
        <v>LÂMPADA COMPACTA FLUORESCENTE DE 15 W, BASE E27 - FORNECIMENTO E INSTALAÇÃO. AF_02/2020</v>
      </c>
      <c r="D17" s="1028" t="str">
        <f>VLOOKUP(A17,'17. DADOS - HISTORICO MANUT. 20'!$E:$I,4,0)</f>
        <v>UN</v>
      </c>
      <c r="E17" s="1028">
        <f>SUMIF('17. DADOS - HISTORICO MANUT. 20'!E:E,A17,'17. DADOS - HISTORICO MANUT. 20'!I:I)</f>
        <v>43</v>
      </c>
      <c r="F17" s="1030"/>
      <c r="G17" s="1030"/>
      <c r="H17" s="1031">
        <f>IFERROR(__xludf.DUMMYFUNCTION("""COMPUTED_VALUE"""),97611.0)</f>
        <v>97611</v>
      </c>
      <c r="I17" s="1028" t="str">
        <f t="shared" si="1"/>
        <v>SINAPI-S</v>
      </c>
      <c r="J17" s="1029" t="str">
        <f t="shared" si="2"/>
        <v>LÂMPADA COMPACTA FLUORESCENTE DE 15 W, BASE E27 - FORNECIMENTO E INSTALAÇÃO. AF_02/2020</v>
      </c>
      <c r="K17" s="1031" t="str">
        <f t="shared" si="3"/>
        <v>UN</v>
      </c>
      <c r="L17" s="1031">
        <f t="shared" si="4"/>
        <v>105</v>
      </c>
      <c r="M17" s="1031">
        <f t="shared" si="5"/>
        <v>52.5</v>
      </c>
      <c r="N17" s="1032">
        <f t="shared" si="6"/>
        <v>44.87001897</v>
      </c>
      <c r="O17" s="1033">
        <f t="shared" si="7"/>
        <v>45</v>
      </c>
      <c r="P17" s="1030"/>
      <c r="Q17" s="1042" t="s">
        <v>89</v>
      </c>
      <c r="R17" s="1043">
        <f>SUM(R8:R16)</f>
        <v>13079.3</v>
      </c>
    </row>
    <row r="18">
      <c r="A18" s="1028">
        <f>IFERROR(__xludf.DUMMYFUNCTION("""COMPUTED_VALUE"""),86878.0)</f>
        <v>86878</v>
      </c>
      <c r="B18" s="1028" t="str">
        <f>VLOOKUP(A18,'17. DADOS - HISTORICO MANUT. 20'!E:I,2,0)</f>
        <v>SINAPI-S</v>
      </c>
      <c r="C18" s="1029" t="str">
        <f>VLOOKUP(A18,'17. DADOS - HISTORICO MANUT. 20'!$E:$I,3,0)</f>
        <v>VÁLVULA EM METAL CROMADO TIPO AMERICANA 3.1/2_x0094_ X 1.1/2_x0094_ PARA PIA - FORNECIMENTO E INSTALAÇÃO. AF_01/2020</v>
      </c>
      <c r="D18" s="1028" t="str">
        <f>VLOOKUP(A18,'17. DADOS - HISTORICO MANUT. 20'!$E:$I,4,0)</f>
        <v>UN</v>
      </c>
      <c r="E18" s="1028">
        <f>SUMIF('17. DADOS - HISTORICO MANUT. 20'!E:E,A18,'17. DADOS - HISTORICO MANUT. 20'!I:I)</f>
        <v>5</v>
      </c>
      <c r="F18" s="1030"/>
      <c r="G18" s="1030"/>
      <c r="H18" s="1031">
        <f>IFERROR(__xludf.DUMMYFUNCTION("""COMPUTED_VALUE"""),86878.0)</f>
        <v>86878</v>
      </c>
      <c r="I18" s="1028" t="str">
        <f t="shared" si="1"/>
        <v>SINAPI-S</v>
      </c>
      <c r="J18" s="1029" t="str">
        <f t="shared" si="2"/>
        <v>VÁLVULA EM METAL CROMADO TIPO AMERICANA 3.1/2_x0094_ X 1.1/2_x0094_ PARA PIA - FORNECIMENTO E INSTALAÇÃO. AF_01/2020</v>
      </c>
      <c r="K18" s="1031" t="str">
        <f t="shared" si="3"/>
        <v>UN</v>
      </c>
      <c r="L18" s="1031">
        <f t="shared" si="4"/>
        <v>6</v>
      </c>
      <c r="M18" s="1031">
        <f t="shared" si="5"/>
        <v>3</v>
      </c>
      <c r="N18" s="1032">
        <f t="shared" si="6"/>
        <v>2.564001084</v>
      </c>
      <c r="O18" s="1033">
        <f t="shared" si="7"/>
        <v>3</v>
      </c>
      <c r="P18" s="1030"/>
      <c r="Q18" s="1044" t="s">
        <v>5287</v>
      </c>
    </row>
    <row r="19">
      <c r="A19" s="1028" t="str">
        <f>IFERROR(__xludf.DUMMYFUNCTION("""COMPUTED_VALUE"""),"MAN_PR_014")</f>
        <v>MAN_PR_014</v>
      </c>
      <c r="B19" s="1028" t="str">
        <f>VLOOKUP(A19,'17. DADOS - HISTORICO MANUT. 20'!E:I,2,0)</f>
        <v>COMP.EVENTUAL</v>
      </c>
      <c r="C19" s="1029" t="str">
        <f>VLOOKUP(A19,'17. DADOS - HISTORICO MANUT. 20'!$E:$I,3,0)</f>
        <v>FORNECIMENTO E INSTALAÇÃO DE EXTENSÃO ELÉTRICA COM CABO  DE COBRE PP CORDPLAST 3 X 2,5MM2, ISOLAMENTO 40/750V COM ISOLAÇÃO PP 70ºC, COMPRIMENTO DE 1,5M</v>
      </c>
      <c r="D19" s="1028" t="str">
        <f>VLOOKUP(A19,'17. DADOS - HISTORICO MANUT. 20'!$E:$I,4,0)</f>
        <v>UN</v>
      </c>
      <c r="E19" s="1028">
        <f>SUMIF('17. DADOS - HISTORICO MANUT. 20'!E:E,A19,'17. DADOS - HISTORICO MANUT. 20'!I:I)</f>
        <v>22</v>
      </c>
      <c r="F19" s="1030"/>
      <c r="G19" s="1030"/>
      <c r="H19" s="1031" t="str">
        <f>IFERROR(__xludf.DUMMYFUNCTION("""COMPUTED_VALUE"""),"MAN_PR_014")</f>
        <v>MAN_PR_014</v>
      </c>
      <c r="I19" s="1028" t="str">
        <f t="shared" si="1"/>
        <v>COMP.EVENTUAL</v>
      </c>
      <c r="J19" s="1029" t="str">
        <f t="shared" si="2"/>
        <v>FORNECIMENTO E INSTALAÇÃO DE EXTENSÃO ELÉTRICA COM CABO  DE COBRE PP CORDPLAST 3 X 2,5MM2, ISOLAMENTO 40/750V COM ISOLAÇÃO PP 70ºC, COMPRIMENTO DE 1,5M</v>
      </c>
      <c r="K19" s="1031" t="str">
        <f t="shared" si="3"/>
        <v>UN</v>
      </c>
      <c r="L19" s="1031">
        <f t="shared" si="4"/>
        <v>25</v>
      </c>
      <c r="M19" s="1031">
        <f t="shared" si="5"/>
        <v>12.5</v>
      </c>
      <c r="N19" s="1032">
        <f t="shared" si="6"/>
        <v>10.68333785</v>
      </c>
      <c r="O19" s="1033">
        <f t="shared" si="7"/>
        <v>11</v>
      </c>
      <c r="P19" s="1030"/>
    </row>
    <row r="20">
      <c r="A20" s="1028">
        <f>IFERROR(__xludf.DUMMYFUNCTION("""COMPUTED_VALUE"""),98296.0)</f>
        <v>98296</v>
      </c>
      <c r="B20" s="1028" t="str">
        <f>VLOOKUP(A20,'17. DADOS - HISTORICO MANUT. 20'!E:I,2,0)</f>
        <v>SINAPI-S</v>
      </c>
      <c r="C20" s="1029" t="str">
        <f>VLOOKUP(A20,'17. DADOS - HISTORICO MANUT. 20'!$E:$I,3,0)</f>
        <v>CABO ELETRÔNICO CATEGORIA 6, INSTALADO EM EDIFICAÇÃO RESIDENCIAL - FORNECIMENTO E INSTALAÇÃO. AF_11/2019</v>
      </c>
      <c r="D20" s="1028" t="str">
        <f>VLOOKUP(A20,'17. DADOS - HISTORICO MANUT. 20'!$E:$I,4,0)</f>
        <v>M</v>
      </c>
      <c r="E20" s="1028">
        <f>SUMIF('17. DADOS - HISTORICO MANUT. 20'!E:E,A20,'17. DADOS - HISTORICO MANUT. 20'!I:I)</f>
        <v>150</v>
      </c>
      <c r="F20" s="1030"/>
      <c r="G20" s="1030"/>
      <c r="H20" s="1031">
        <f>IFERROR(__xludf.DUMMYFUNCTION("""COMPUTED_VALUE"""),98296.0)</f>
        <v>98296</v>
      </c>
      <c r="I20" s="1028" t="str">
        <f t="shared" si="1"/>
        <v>SINAPI-S</v>
      </c>
      <c r="J20" s="1029" t="str">
        <f t="shared" si="2"/>
        <v>CABO ELETRÔNICO CATEGORIA 6, INSTALADO EM EDIFICAÇÃO RESIDENCIAL - FORNECIMENTO E INSTALAÇÃO. AF_11/2019</v>
      </c>
      <c r="K20" s="1031" t="str">
        <f t="shared" si="3"/>
        <v>M</v>
      </c>
      <c r="L20" s="1031">
        <f t="shared" si="4"/>
        <v>150</v>
      </c>
      <c r="M20" s="1031">
        <f t="shared" si="5"/>
        <v>75</v>
      </c>
      <c r="N20" s="1032">
        <f t="shared" si="6"/>
        <v>64.1000271</v>
      </c>
      <c r="O20" s="1033">
        <f t="shared" si="7"/>
        <v>64</v>
      </c>
      <c r="P20" s="1030"/>
      <c r="Q20" s="1034" t="s">
        <v>5288</v>
      </c>
      <c r="R20" s="1027"/>
    </row>
    <row r="21">
      <c r="A21" s="1028">
        <f>IFERROR(__xludf.DUMMYFUNCTION("""COMPUTED_VALUE"""),101657.0)</f>
        <v>101657</v>
      </c>
      <c r="B21" s="1028" t="str">
        <f>VLOOKUP(A21,'17. DADOS - HISTORICO MANUT. 20'!E:I,2,0)</f>
        <v>SINAPI-S</v>
      </c>
      <c r="C21" s="1029" t="str">
        <f>VLOOKUP(A21,'17. DADOS - HISTORICO MANUT. 20'!$E:$I,3,0)</f>
        <v>LUMINÁRIA DE LED PARA ILUMINAÇÃO PÚBLICA, DE 98 W ATÉ 137 W - FORNECIMENTO E INSTALAÇÃO. AF_08/2020</v>
      </c>
      <c r="D21" s="1028" t="str">
        <f>VLOOKUP(A21,'17. DADOS - HISTORICO MANUT. 20'!$E:$I,4,0)</f>
        <v>UN</v>
      </c>
      <c r="E21" s="1028">
        <f>SUMIF('17. DADOS - HISTORICO MANUT. 20'!E:E,A21,'17. DADOS - HISTORICO MANUT. 20'!I:I)</f>
        <v>73</v>
      </c>
      <c r="F21" s="1030"/>
      <c r="G21" s="1030"/>
      <c r="H21" s="1031">
        <f>IFERROR(__xludf.DUMMYFUNCTION("""COMPUTED_VALUE"""),101657.0)</f>
        <v>101657</v>
      </c>
      <c r="I21" s="1028" t="str">
        <f t="shared" si="1"/>
        <v>SINAPI-S</v>
      </c>
      <c r="J21" s="1029" t="str">
        <f t="shared" si="2"/>
        <v>LUMINÁRIA DE LED PARA ILUMINAÇÃO PÚBLICA, DE 98 W ATÉ 137 W - FORNECIMENTO E INSTALAÇÃO. AF_08/2020</v>
      </c>
      <c r="K21" s="1031" t="str">
        <f t="shared" si="3"/>
        <v>UN</v>
      </c>
      <c r="L21" s="1031">
        <f t="shared" si="4"/>
        <v>78</v>
      </c>
      <c r="M21" s="1031">
        <f t="shared" si="5"/>
        <v>39</v>
      </c>
      <c r="N21" s="1032">
        <f t="shared" si="6"/>
        <v>33.33201409</v>
      </c>
      <c r="O21" s="1033">
        <f t="shared" si="7"/>
        <v>33</v>
      </c>
      <c r="P21" s="1030"/>
      <c r="Q21" s="1035" t="s">
        <v>5289</v>
      </c>
      <c r="R21" s="1036">
        <v>8057.0</v>
      </c>
    </row>
    <row r="22">
      <c r="A22" s="1028">
        <f>IFERROR(__xludf.DUMMYFUNCTION("""COMPUTED_VALUE"""),101632.0)</f>
        <v>101632</v>
      </c>
      <c r="B22" s="1028" t="str">
        <f>VLOOKUP(A22,'17. DADOS - HISTORICO MANUT. 20'!E:I,2,0)</f>
        <v>SINAPI-S</v>
      </c>
      <c r="C22" s="1029" t="str">
        <f>VLOOKUP(A22,'17. DADOS - HISTORICO MANUT. 20'!$E:$I,3,0)</f>
        <v>RELÉ FOTOELÉTRICO PARA COMANDO DE ILUMINAÇÃO EXTERNA 1000 W - FORNECIMENTO E INSTALAÇÃO. AF_08/2020</v>
      </c>
      <c r="D22" s="1028" t="str">
        <f>VLOOKUP(A22,'17. DADOS - HISTORICO MANUT. 20'!$E:$I,4,0)</f>
        <v>UN</v>
      </c>
      <c r="E22" s="1028">
        <f>SUMIF('17. DADOS - HISTORICO MANUT. 20'!E:E,A22,'17. DADOS - HISTORICO MANUT. 20'!I:I)</f>
        <v>8</v>
      </c>
      <c r="F22" s="1030"/>
      <c r="G22" s="1030"/>
      <c r="H22" s="1031">
        <f>IFERROR(__xludf.DUMMYFUNCTION("""COMPUTED_VALUE"""),101632.0)</f>
        <v>101632</v>
      </c>
      <c r="I22" s="1028" t="str">
        <f t="shared" si="1"/>
        <v>SINAPI-S</v>
      </c>
      <c r="J22" s="1029" t="str">
        <f t="shared" si="2"/>
        <v>RELÉ FOTOELÉTRICO PARA COMANDO DE ILUMINAÇÃO EXTERNA 1000 W - FORNECIMENTO E INSTALAÇÃO. AF_08/2020</v>
      </c>
      <c r="K22" s="1031" t="str">
        <f t="shared" si="3"/>
        <v>UN</v>
      </c>
      <c r="L22" s="1031">
        <f t="shared" si="4"/>
        <v>9</v>
      </c>
      <c r="M22" s="1031">
        <f t="shared" si="5"/>
        <v>4.5</v>
      </c>
      <c r="N22" s="1032">
        <f t="shared" si="6"/>
        <v>3.846001626</v>
      </c>
      <c r="O22" s="1033">
        <f t="shared" si="7"/>
        <v>4</v>
      </c>
      <c r="P22" s="1030"/>
      <c r="Q22" s="1035" t="s">
        <v>5290</v>
      </c>
      <c r="R22" s="1035">
        <v>785.54</v>
      </c>
    </row>
    <row r="23">
      <c r="A23" s="1028">
        <f>IFERROR(__xludf.DUMMYFUNCTION("""COMPUTED_VALUE"""),91306.0)</f>
        <v>91306</v>
      </c>
      <c r="B23" s="1028" t="str">
        <f>VLOOKUP(A23,'17. DADOS - HISTORICO MANUT. 20'!E:I,2,0)</f>
        <v>SINAPI-S</v>
      </c>
      <c r="C23" s="1029" t="str">
        <f>VLOOKUP(A23,'17. DADOS - HISTORICO MANUT. 20'!$E:$I,3,0)</f>
        <v>FECHADURA DE EMBUTIR PARA PORTAS INTERNAS, COMPLETA, ACABAMENTO PADRÃO MÉDIO, COM EXECUÇÃO DE FURO - FORNECIMENTO E INSTALAÇÃO. AF_12/2019</v>
      </c>
      <c r="D23" s="1028" t="str">
        <f>VLOOKUP(A23,'17. DADOS - HISTORICO MANUT. 20'!$E:$I,4,0)</f>
        <v>UN</v>
      </c>
      <c r="E23" s="1028">
        <f>SUMIF('17. DADOS - HISTORICO MANUT. 20'!E:E,A23,'17. DADOS - HISTORICO MANUT. 20'!I:I)</f>
        <v>4</v>
      </c>
      <c r="F23" s="1030"/>
      <c r="G23" s="1030"/>
      <c r="H23" s="1031">
        <f>IFERROR(__xludf.DUMMYFUNCTION("""COMPUTED_VALUE"""),91306.0)</f>
        <v>91306</v>
      </c>
      <c r="I23" s="1028" t="str">
        <f t="shared" si="1"/>
        <v>SINAPI-S</v>
      </c>
      <c r="J23" s="1029" t="str">
        <f t="shared" si="2"/>
        <v>FECHADURA DE EMBUTIR PARA PORTAS INTERNAS, COMPLETA, ACABAMENTO PADRÃO MÉDIO, COM EXECUÇÃO DE FURO - FORNECIMENTO E INSTALAÇÃO. AF_12/2019</v>
      </c>
      <c r="K23" s="1031" t="str">
        <f t="shared" si="3"/>
        <v>UN</v>
      </c>
      <c r="L23" s="1031">
        <f t="shared" si="4"/>
        <v>7</v>
      </c>
      <c r="M23" s="1031">
        <f t="shared" si="5"/>
        <v>3.5</v>
      </c>
      <c r="N23" s="1032">
        <f t="shared" si="6"/>
        <v>2.991334598</v>
      </c>
      <c r="O23" s="1033">
        <f t="shared" si="7"/>
        <v>3</v>
      </c>
      <c r="P23" s="1030"/>
      <c r="Q23" s="1035" t="s">
        <v>5291</v>
      </c>
      <c r="R23" s="1035">
        <v>840.0</v>
      </c>
    </row>
    <row r="24">
      <c r="A24" s="1028">
        <f>IFERROR(__xludf.DUMMYFUNCTION("""COMPUTED_VALUE"""),95547.0)</f>
        <v>95547</v>
      </c>
      <c r="B24" s="1028" t="str">
        <f>VLOOKUP(A24,'17. DADOS - HISTORICO MANUT. 20'!E:I,2,0)</f>
        <v>SINAPI-S</v>
      </c>
      <c r="C24" s="1029" t="str">
        <f>VLOOKUP(A24,'17. DADOS - HISTORICO MANUT. 20'!$E:$I,3,0)</f>
        <v>SABONETEIRA PLASTICA TIPO DISPENSER PARA SABONETE LIQUIDO COM RESERVATORIO 800 A 1500 ML, INCLUSO FIXAÇÃO. AF_01/2020</v>
      </c>
      <c r="D24" s="1028" t="str">
        <f>VLOOKUP(A24,'17. DADOS - HISTORICO MANUT. 20'!$E:$I,4,0)</f>
        <v>UN</v>
      </c>
      <c r="E24" s="1028">
        <f>SUMIF('17. DADOS - HISTORICO MANUT. 20'!E:E,A24,'17. DADOS - HISTORICO MANUT. 20'!I:I)</f>
        <v>23</v>
      </c>
      <c r="F24" s="1030"/>
      <c r="G24" s="1030"/>
      <c r="H24" s="1031">
        <f>IFERROR(__xludf.DUMMYFUNCTION("""COMPUTED_VALUE"""),95547.0)</f>
        <v>95547</v>
      </c>
      <c r="I24" s="1028" t="str">
        <f t="shared" si="1"/>
        <v>SINAPI-S</v>
      </c>
      <c r="J24" s="1029" t="str">
        <f t="shared" si="2"/>
        <v>SABONETEIRA PLASTICA TIPO DISPENSER PARA SABONETE LIQUIDO COM RESERVATORIO 800 A 1500 ML, INCLUSO FIXAÇÃO. AF_01/2020</v>
      </c>
      <c r="K24" s="1031" t="str">
        <f t="shared" si="3"/>
        <v>UN</v>
      </c>
      <c r="L24" s="1031">
        <f t="shared" si="4"/>
        <v>23</v>
      </c>
      <c r="M24" s="1031">
        <f t="shared" si="5"/>
        <v>11.5</v>
      </c>
      <c r="N24" s="1032">
        <f t="shared" si="6"/>
        <v>9.828670821</v>
      </c>
      <c r="O24" s="1033">
        <f t="shared" si="7"/>
        <v>10</v>
      </c>
      <c r="P24" s="1030"/>
      <c r="Q24" s="1035" t="s">
        <v>5292</v>
      </c>
      <c r="R24" s="1035">
        <v>730.0</v>
      </c>
    </row>
    <row r="25">
      <c r="A25" s="1028" t="str">
        <f>IFERROR(__xludf.DUMMYFUNCTION("""COMPUTED_VALUE"""),"MAN_PR_015")</f>
        <v>MAN_PR_015</v>
      </c>
      <c r="B25" s="1028" t="str">
        <f>VLOOKUP(A25,'17. DADOS - HISTORICO MANUT. 20'!E:I,2,0)</f>
        <v>COMP.EVENTUAL</v>
      </c>
      <c r="C25" s="1029" t="str">
        <f>VLOOKUP(A25,'17. DADOS - HISTORICO MANUT. 20'!$E:$I,3,0)</f>
        <v>VEDAÇÃO DE ELEMENTOS COM SILICONE PASTOSO</v>
      </c>
      <c r="D25" s="1028" t="str">
        <f>VLOOKUP(A25,'17. DADOS - HISTORICO MANUT. 20'!$E:$I,4,0)</f>
        <v>M</v>
      </c>
      <c r="E25" s="1028">
        <f>SUMIF('17. DADOS - HISTORICO MANUT. 20'!E:E,A25,'17. DADOS - HISTORICO MANUT. 20'!I:I)</f>
        <v>7</v>
      </c>
      <c r="F25" s="1030"/>
      <c r="G25" s="1030"/>
      <c r="H25" s="1031" t="str">
        <f>IFERROR(__xludf.DUMMYFUNCTION("""COMPUTED_VALUE"""),"MAN_PR_015")</f>
        <v>MAN_PR_015</v>
      </c>
      <c r="I25" s="1028" t="str">
        <f t="shared" si="1"/>
        <v>COMP.EVENTUAL</v>
      </c>
      <c r="J25" s="1029" t="str">
        <f t="shared" si="2"/>
        <v>VEDAÇÃO DE ELEMENTOS COM SILICONE PASTOSO</v>
      </c>
      <c r="K25" s="1031" t="str">
        <f t="shared" si="3"/>
        <v>M</v>
      </c>
      <c r="L25" s="1031">
        <f t="shared" si="4"/>
        <v>7</v>
      </c>
      <c r="M25" s="1031">
        <f t="shared" si="5"/>
        <v>3.5</v>
      </c>
      <c r="N25" s="1032">
        <f t="shared" si="6"/>
        <v>2.991334598</v>
      </c>
      <c r="O25" s="1033">
        <f t="shared" si="7"/>
        <v>3</v>
      </c>
      <c r="P25" s="1030"/>
      <c r="Q25" s="1035" t="s">
        <v>5293</v>
      </c>
      <c r="R25" s="1035">
        <v>850.0</v>
      </c>
    </row>
    <row r="26">
      <c r="A26" s="1028" t="str">
        <f>IFERROR(__xludf.DUMMYFUNCTION("""COMPUTED_VALUE"""),"MAN_PR_021")</f>
        <v>MAN_PR_021</v>
      </c>
      <c r="B26" s="1028" t="str">
        <f>VLOOKUP(A26,'17. DADOS - HISTORICO MANUT. 20'!E:I,2,0)</f>
        <v>COMP.EVENTUAL</v>
      </c>
      <c r="C26" s="1029" t="str">
        <f>VLOOKUP(A26,'17. DADOS - HISTORICO MANUT. 20'!$E:$I,3,0)</f>
        <v>REPARO DE VAZAMENTO EM BACIAS SANITÁRIAS COM A RETIRADA, COLOCAÇÃO DE NOVAS VEDAÇÕES E REASSENTAMENTO</v>
      </c>
      <c r="D26" s="1028" t="str">
        <f>VLOOKUP(A26,'17. DADOS - HISTORICO MANUT. 20'!$E:$I,4,0)</f>
        <v>UN</v>
      </c>
      <c r="E26" s="1028">
        <f>SUMIF('17. DADOS - HISTORICO MANUT. 20'!E:E,A26,'17. DADOS - HISTORICO MANUT. 20'!I:I)</f>
        <v>2</v>
      </c>
      <c r="F26" s="1030"/>
      <c r="G26" s="1030"/>
      <c r="H26" s="1031" t="str">
        <f>IFERROR(__xludf.DUMMYFUNCTION("""COMPUTED_VALUE"""),"MAN_PR_021")</f>
        <v>MAN_PR_021</v>
      </c>
      <c r="I26" s="1028" t="str">
        <f t="shared" si="1"/>
        <v>COMP.EVENTUAL</v>
      </c>
      <c r="J26" s="1029" t="str">
        <f t="shared" si="2"/>
        <v>REPARO DE VAZAMENTO EM BACIAS SANITÁRIAS COM A RETIRADA, COLOCAÇÃO DE NOVAS VEDAÇÕES E REASSENTAMENTO</v>
      </c>
      <c r="K26" s="1031" t="str">
        <f t="shared" si="3"/>
        <v>UN</v>
      </c>
      <c r="L26" s="1031">
        <f t="shared" si="4"/>
        <v>2</v>
      </c>
      <c r="M26" s="1031">
        <f t="shared" si="5"/>
        <v>1</v>
      </c>
      <c r="N26" s="1032">
        <f t="shared" si="6"/>
        <v>0.854667028</v>
      </c>
      <c r="O26" s="1033">
        <f t="shared" si="7"/>
        <v>1</v>
      </c>
      <c r="P26" s="1030"/>
      <c r="Q26" s="1035" t="s">
        <v>5294</v>
      </c>
      <c r="R26" s="1035">
        <v>150.0</v>
      </c>
    </row>
    <row r="27">
      <c r="A27" s="1028">
        <f>IFERROR(__xludf.DUMMYFUNCTION("""COMPUTED_VALUE"""),101654.0)</f>
        <v>101654</v>
      </c>
      <c r="B27" s="1028" t="str">
        <f>VLOOKUP(A27,'17. DADOS - HISTORICO MANUT. 20'!E:I,2,0)</f>
        <v>SINAPI-S</v>
      </c>
      <c r="C27" s="1029" t="str">
        <f>VLOOKUP(A27,'17. DADOS - HISTORICO MANUT. 20'!$E:$I,3,0)</f>
        <v>LUMINÁRIA DE LED PARA ILUMINAÇÃO PÚBLICA, DE 33 W ATÉ 50 W - FORNECIMENTO E INSTALAÇÃO. AF_08/2020</v>
      </c>
      <c r="D27" s="1028" t="str">
        <f>VLOOKUP(A27,'17. DADOS - HISTORICO MANUT. 20'!$E:$I,4,0)</f>
        <v>UN</v>
      </c>
      <c r="E27" s="1028">
        <f>SUMIF('17. DADOS - HISTORICO MANUT. 20'!E:E,A27,'17. DADOS - HISTORICO MANUT. 20'!I:I)</f>
        <v>42</v>
      </c>
      <c r="F27" s="1030"/>
      <c r="G27" s="1030"/>
      <c r="H27" s="1031">
        <f>IFERROR(__xludf.DUMMYFUNCTION("""COMPUTED_VALUE"""),101654.0)</f>
        <v>101654</v>
      </c>
      <c r="I27" s="1028" t="str">
        <f t="shared" si="1"/>
        <v>SINAPI-S</v>
      </c>
      <c r="J27" s="1029" t="str">
        <f t="shared" si="2"/>
        <v>LUMINÁRIA DE LED PARA ILUMINAÇÃO PÚBLICA, DE 33 W ATÉ 50 W - FORNECIMENTO E INSTALAÇÃO. AF_08/2020</v>
      </c>
      <c r="K27" s="1031" t="str">
        <f t="shared" si="3"/>
        <v>UN</v>
      </c>
      <c r="L27" s="1031">
        <f t="shared" si="4"/>
        <v>42</v>
      </c>
      <c r="M27" s="1031">
        <f t="shared" si="5"/>
        <v>21</v>
      </c>
      <c r="N27" s="1032">
        <f t="shared" si="6"/>
        <v>17.94800759</v>
      </c>
      <c r="O27" s="1033">
        <f t="shared" si="7"/>
        <v>18</v>
      </c>
      <c r="P27" s="1030"/>
      <c r="Q27" s="1035" t="s">
        <v>5295</v>
      </c>
      <c r="R27" s="1035">
        <v>65.0</v>
      </c>
    </row>
    <row r="28">
      <c r="A28" s="1028" t="str">
        <f>IFERROR(__xludf.DUMMYFUNCTION("""COMPUTED_VALUE"""),"MAN_PR_016")</f>
        <v>MAN_PR_016</v>
      </c>
      <c r="B28" s="1028" t="str">
        <f>VLOOKUP(A28,'17. DADOS - HISTORICO MANUT. 20'!E:I,2,0)</f>
        <v>COMP.EVENTUAL</v>
      </c>
      <c r="C28" s="1029" t="str">
        <f>VLOOKUP(A28,'17. DADOS - HISTORICO MANUT. 20'!$E:$I,3,0)</f>
        <v>VISITA TÉCNICA DE OFICIAL DE ELÉTRICA E AJUDANTE PARA VERIFICAÇÃO DE PROBLEMA GERAL</v>
      </c>
      <c r="D28" s="1028" t="str">
        <f>VLOOKUP(A28,'17. DADOS - HISTORICO MANUT. 20'!$E:$I,4,0)</f>
        <v>UN</v>
      </c>
      <c r="E28" s="1028">
        <f>SUMIF('17. DADOS - HISTORICO MANUT. 20'!E:E,A28,'17. DADOS - HISTORICO MANUT. 20'!I:I)</f>
        <v>5</v>
      </c>
      <c r="F28" s="1030"/>
      <c r="G28" s="1030"/>
      <c r="H28" s="1031" t="str">
        <f>IFERROR(__xludf.DUMMYFUNCTION("""COMPUTED_VALUE"""),"MAN_PR_016")</f>
        <v>MAN_PR_016</v>
      </c>
      <c r="I28" s="1028" t="str">
        <f t="shared" si="1"/>
        <v>COMP.EVENTUAL</v>
      </c>
      <c r="J28" s="1029" t="str">
        <f t="shared" si="2"/>
        <v>VISITA TÉCNICA DE OFICIAL DE ELÉTRICA E AJUDANTE PARA VERIFICAÇÃO DE PROBLEMA GERAL</v>
      </c>
      <c r="K28" s="1031" t="str">
        <f t="shared" si="3"/>
        <v>UN</v>
      </c>
      <c r="L28" s="1031">
        <f t="shared" si="4"/>
        <v>5</v>
      </c>
      <c r="M28" s="1031">
        <f t="shared" si="5"/>
        <v>2.5</v>
      </c>
      <c r="N28" s="1032">
        <f t="shared" si="6"/>
        <v>2.13666757</v>
      </c>
      <c r="O28" s="1033">
        <f t="shared" si="7"/>
        <v>2</v>
      </c>
      <c r="P28" s="1030"/>
      <c r="Q28" s="1045" t="s">
        <v>89</v>
      </c>
      <c r="R28" s="1046">
        <f>SUM(R21:R27)</f>
        <v>11477.54</v>
      </c>
    </row>
    <row r="29">
      <c r="A29" s="1028">
        <f>IFERROR(__xludf.DUMMYFUNCTION("""COMPUTED_VALUE"""),91952.0)</f>
        <v>91952</v>
      </c>
      <c r="B29" s="1028" t="str">
        <f>VLOOKUP(A29,'17. DADOS - HISTORICO MANUT. 20'!E:I,2,0)</f>
        <v>SINAPI-S</v>
      </c>
      <c r="C29" s="1029" t="str">
        <f>VLOOKUP(A29,'17. DADOS - HISTORICO MANUT. 20'!$E:$I,3,0)</f>
        <v>INTERRUPTOR SIMPLES (1 MÓDULO), 10A/250V, SEM SUPORTE E SEM PLACA - FORNECIMENTO E INSTALAÇÃO. AF_03/2023</v>
      </c>
      <c r="D29" s="1028" t="str">
        <f>VLOOKUP(A29,'17. DADOS - HISTORICO MANUT. 20'!$E:$I,4,0)</f>
        <v>UN</v>
      </c>
      <c r="E29" s="1028">
        <f>SUMIF('17. DADOS - HISTORICO MANUT. 20'!E:E,A29,'17. DADOS - HISTORICO MANUT. 20'!I:I)</f>
        <v>4</v>
      </c>
      <c r="F29" s="1030"/>
      <c r="G29" s="1030"/>
      <c r="H29" s="1031">
        <f>IFERROR(__xludf.DUMMYFUNCTION("""COMPUTED_VALUE"""),91952.0)</f>
        <v>91952</v>
      </c>
      <c r="I29" s="1028" t="str">
        <f t="shared" si="1"/>
        <v>SINAPI-S</v>
      </c>
      <c r="J29" s="1029" t="str">
        <f t="shared" si="2"/>
        <v>INTERRUPTOR SIMPLES (1 MÓDULO), 10A/250V, SEM SUPORTE E SEM PLACA - FORNECIMENTO E INSTALAÇÃO. AF_03/2023</v>
      </c>
      <c r="K29" s="1031" t="str">
        <f t="shared" si="3"/>
        <v>UN</v>
      </c>
      <c r="L29" s="1031">
        <f t="shared" si="4"/>
        <v>4</v>
      </c>
      <c r="M29" s="1031">
        <f t="shared" si="5"/>
        <v>2</v>
      </c>
      <c r="N29" s="1032">
        <f t="shared" si="6"/>
        <v>1.709334056</v>
      </c>
      <c r="O29" s="1033">
        <f t="shared" si="7"/>
        <v>2</v>
      </c>
      <c r="P29" s="1030"/>
    </row>
    <row r="30">
      <c r="A30" s="1028" t="str">
        <f>IFERROR(__xludf.DUMMYFUNCTION("""COMPUTED_VALUE"""),"MAN_PR_051")</f>
        <v>MAN_PR_051</v>
      </c>
      <c r="B30" s="1028" t="str">
        <f>VLOOKUP(A30,'17. DADOS - HISTORICO MANUT. 20'!E:I,2,0)</f>
        <v>COMP.EVENTUAL</v>
      </c>
      <c r="C30" s="1029" t="str">
        <f>VLOOKUP(A30,'17. DADOS - HISTORICO MANUT. 20'!$E:$I,3,0)</f>
        <v>SERVIÇO DE MONTAGEM DE MÓVEIS/ARMÁRIOS EM MDF</v>
      </c>
      <c r="D30" s="1028" t="str">
        <f>VLOOKUP(A30,'17. DADOS - HISTORICO MANUT. 20'!$E:$I,4,0)</f>
        <v>M2</v>
      </c>
      <c r="E30" s="1028">
        <f>SUMIF('17. DADOS - HISTORICO MANUT. 20'!E:E,A30,'17. DADOS - HISTORICO MANUT. 20'!I:I)</f>
        <v>7</v>
      </c>
      <c r="F30" s="1030"/>
      <c r="G30" s="1030"/>
      <c r="H30" s="1031" t="str">
        <f>IFERROR(__xludf.DUMMYFUNCTION("""COMPUTED_VALUE"""),"MAN_PR_051")</f>
        <v>MAN_PR_051</v>
      </c>
      <c r="I30" s="1028" t="str">
        <f t="shared" si="1"/>
        <v>COMP.EVENTUAL</v>
      </c>
      <c r="J30" s="1029" t="str">
        <f t="shared" si="2"/>
        <v>SERVIÇO DE MONTAGEM DE MÓVEIS/ARMÁRIOS EM MDF</v>
      </c>
      <c r="K30" s="1031" t="str">
        <f t="shared" si="3"/>
        <v>M2</v>
      </c>
      <c r="L30" s="1031">
        <f t="shared" si="4"/>
        <v>7</v>
      </c>
      <c r="M30" s="1031">
        <f t="shared" si="5"/>
        <v>3.5</v>
      </c>
      <c r="N30" s="1032">
        <f t="shared" si="6"/>
        <v>2.991334598</v>
      </c>
      <c r="O30" s="1033">
        <f t="shared" si="7"/>
        <v>3</v>
      </c>
      <c r="P30" s="1030"/>
    </row>
    <row r="31">
      <c r="A31" s="1028">
        <f>IFERROR(__xludf.DUMMYFUNCTION("""COMPUTED_VALUE"""),90831.0)</f>
        <v>90831</v>
      </c>
      <c r="B31" s="1028" t="str">
        <f>VLOOKUP(A31,'17. DADOS - HISTORICO MANUT. 20'!E:I,2,0)</f>
        <v>SINAPI-S</v>
      </c>
      <c r="C31" s="1029" t="str">
        <f>VLOOKUP(A31,'17. DADOS - HISTORICO MANUT. 20'!$E:$I,3,0)</f>
        <v>FECHADURA DE EMBUTIR PARA PORTA DE BANHEIRO, COMPLETA, ACABAMENTO PADRÃO MÉDIO, INCLUSO EXECUÇÃO DE FURO - FORNECIMENTO E INSTALAÇÃO. AF_12/2019</v>
      </c>
      <c r="D31" s="1028" t="str">
        <f>VLOOKUP(A31,'17. DADOS - HISTORICO MANUT. 20'!$E:$I,4,0)</f>
        <v>UN</v>
      </c>
      <c r="E31" s="1028">
        <f>SUMIF('17. DADOS - HISTORICO MANUT. 20'!E:E,A31,'17. DADOS - HISTORICO MANUT. 20'!I:I)</f>
        <v>1</v>
      </c>
      <c r="F31" s="1030"/>
      <c r="G31" s="1030"/>
      <c r="H31" s="1031">
        <f>IFERROR(__xludf.DUMMYFUNCTION("""COMPUTED_VALUE"""),90831.0)</f>
        <v>90831</v>
      </c>
      <c r="I31" s="1028" t="str">
        <f t="shared" si="1"/>
        <v>SINAPI-S</v>
      </c>
      <c r="J31" s="1029" t="str">
        <f t="shared" si="2"/>
        <v>FECHADURA DE EMBUTIR PARA PORTA DE BANHEIRO, COMPLETA, ACABAMENTO PADRÃO MÉDIO, INCLUSO EXECUÇÃO DE FURO - FORNECIMENTO E INSTALAÇÃO. AF_12/2019</v>
      </c>
      <c r="K31" s="1031" t="str">
        <f t="shared" si="3"/>
        <v>UN</v>
      </c>
      <c r="L31" s="1031">
        <f t="shared" si="4"/>
        <v>2</v>
      </c>
      <c r="M31" s="1031">
        <f t="shared" si="5"/>
        <v>1</v>
      </c>
      <c r="N31" s="1032">
        <f t="shared" si="6"/>
        <v>0.854667028</v>
      </c>
      <c r="O31" s="1033">
        <f t="shared" si="7"/>
        <v>1</v>
      </c>
      <c r="P31" s="1030"/>
    </row>
    <row r="32">
      <c r="A32" s="1028" t="str">
        <f>IFERROR(__xludf.DUMMYFUNCTION("""COMPUTED_VALUE"""),"MAN_PR_007")</f>
        <v>MAN_PR_007</v>
      </c>
      <c r="B32" s="1028" t="str">
        <f>VLOOKUP(A32,'17. DADOS - HISTORICO MANUT. 20'!E:I,2,0)</f>
        <v>COMP.EVENTUAL</v>
      </c>
      <c r="C32" s="1029" t="str">
        <f>VLOOKUP(A32,'17. DADOS - HISTORICO MANUT. 20'!$E:$I,3,0)</f>
        <v>DESENTUPIMENTO DE LOUÇAS</v>
      </c>
      <c r="D32" s="1028" t="str">
        <f>VLOOKUP(A32,'17. DADOS - HISTORICO MANUT. 20'!$E:$I,4,0)</f>
        <v>UN</v>
      </c>
      <c r="E32" s="1028">
        <f>SUMIF('17. DADOS - HISTORICO MANUT. 20'!E:E,A32,'17. DADOS - HISTORICO MANUT. 20'!I:I)</f>
        <v>11</v>
      </c>
      <c r="F32" s="1030"/>
      <c r="G32" s="1030"/>
      <c r="H32" s="1031" t="str">
        <f>IFERROR(__xludf.DUMMYFUNCTION("""COMPUTED_VALUE"""),"MAN_PR_007")</f>
        <v>MAN_PR_007</v>
      </c>
      <c r="I32" s="1028" t="str">
        <f t="shared" si="1"/>
        <v>COMP.EVENTUAL</v>
      </c>
      <c r="J32" s="1029" t="str">
        <f t="shared" si="2"/>
        <v>DESENTUPIMENTO DE LOUÇAS</v>
      </c>
      <c r="K32" s="1031" t="str">
        <f t="shared" si="3"/>
        <v>UN</v>
      </c>
      <c r="L32" s="1031">
        <f t="shared" si="4"/>
        <v>13</v>
      </c>
      <c r="M32" s="1031">
        <f t="shared" si="5"/>
        <v>6.5</v>
      </c>
      <c r="N32" s="1032">
        <f t="shared" si="6"/>
        <v>5.555335682</v>
      </c>
      <c r="O32" s="1033">
        <f t="shared" si="7"/>
        <v>6</v>
      </c>
      <c r="P32" s="1030"/>
    </row>
    <row r="33">
      <c r="A33" s="1028">
        <f>IFERROR(__xludf.DUMMYFUNCTION("""COMPUTED_VALUE"""),86906.0)</f>
        <v>86906</v>
      </c>
      <c r="B33" s="1028" t="str">
        <f>VLOOKUP(A33,'17. DADOS - HISTORICO MANUT. 20'!E:I,2,0)</f>
        <v>SINAPI-S</v>
      </c>
      <c r="C33" s="1029" t="str">
        <f>VLOOKUP(A33,'17. DADOS - HISTORICO MANUT. 20'!$E:$I,3,0)</f>
        <v>TORNEIRA CROMADA DE MESA, 1/2_x0094_ OU 3/4_x0094_, PARA LAVATÓRIO, PADRÃO POPULAR - FORNECIMENTO E INSTALAÇÃO. AF_01/2020</v>
      </c>
      <c r="D33" s="1028" t="str">
        <f>VLOOKUP(A33,'17. DADOS - HISTORICO MANUT. 20'!$E:$I,4,0)</f>
        <v>UN</v>
      </c>
      <c r="E33" s="1028">
        <f>SUMIF('17. DADOS - HISTORICO MANUT. 20'!E:E,A33,'17. DADOS - HISTORICO MANUT. 20'!I:I)</f>
        <v>5</v>
      </c>
      <c r="F33" s="1030"/>
      <c r="G33" s="1030"/>
      <c r="H33" s="1031">
        <f>IFERROR(__xludf.DUMMYFUNCTION("""COMPUTED_VALUE"""),86906.0)</f>
        <v>86906</v>
      </c>
      <c r="I33" s="1028" t="str">
        <f t="shared" si="1"/>
        <v>SINAPI-S</v>
      </c>
      <c r="J33" s="1029" t="str">
        <f t="shared" si="2"/>
        <v>TORNEIRA CROMADA DE MESA, 1/2_x0094_ OU 3/4_x0094_, PARA LAVATÓRIO, PADRÃO POPULAR - FORNECIMENTO E INSTALAÇÃO. AF_01/2020</v>
      </c>
      <c r="K33" s="1031" t="str">
        <f t="shared" si="3"/>
        <v>UN</v>
      </c>
      <c r="L33" s="1031">
        <f t="shared" si="4"/>
        <v>6</v>
      </c>
      <c r="M33" s="1031">
        <f t="shared" si="5"/>
        <v>3</v>
      </c>
      <c r="N33" s="1032">
        <f t="shared" si="6"/>
        <v>2.564001084</v>
      </c>
      <c r="O33" s="1033">
        <f t="shared" si="7"/>
        <v>3</v>
      </c>
      <c r="P33" s="1030"/>
    </row>
    <row r="34">
      <c r="A34" s="1028">
        <f>IFERROR(__xludf.DUMMYFUNCTION("""COMPUTED_VALUE"""),100849.0)</f>
        <v>100849</v>
      </c>
      <c r="B34" s="1028" t="str">
        <f>VLOOKUP(A34,'17. DADOS - HISTORICO MANUT. 20'!E:I,2,0)</f>
        <v>SINAPI-S</v>
      </c>
      <c r="C34" s="1029" t="str">
        <f>VLOOKUP(A34,'17. DADOS - HISTORICO MANUT. 20'!$E:$I,3,0)</f>
        <v>ASSENTO SANITÁRIO CONVENCIONAL - FORNECIMENTO E INSTALACAO. AF_01/2020</v>
      </c>
      <c r="D34" s="1028" t="str">
        <f>VLOOKUP(A34,'17. DADOS - HISTORICO MANUT. 20'!$E:$I,4,0)</f>
        <v>UN</v>
      </c>
      <c r="E34" s="1028">
        <f>SUMIF('17. DADOS - HISTORICO MANUT. 20'!E:E,A34,'17. DADOS - HISTORICO MANUT. 20'!I:I)</f>
        <v>6</v>
      </c>
      <c r="F34" s="1030"/>
      <c r="G34" s="1030"/>
      <c r="H34" s="1031">
        <f>IFERROR(__xludf.DUMMYFUNCTION("""COMPUTED_VALUE"""),100849.0)</f>
        <v>100849</v>
      </c>
      <c r="I34" s="1028" t="str">
        <f t="shared" si="1"/>
        <v>SINAPI-S</v>
      </c>
      <c r="J34" s="1029" t="str">
        <f t="shared" si="2"/>
        <v>ASSENTO SANITÁRIO CONVENCIONAL - FORNECIMENTO E INSTALACAO. AF_01/2020</v>
      </c>
      <c r="K34" s="1031" t="str">
        <f t="shared" si="3"/>
        <v>UN</v>
      </c>
      <c r="L34" s="1031">
        <f t="shared" si="4"/>
        <v>10</v>
      </c>
      <c r="M34" s="1031">
        <f t="shared" si="5"/>
        <v>5</v>
      </c>
      <c r="N34" s="1032">
        <f t="shared" si="6"/>
        <v>4.27333514</v>
      </c>
      <c r="O34" s="1033">
        <f t="shared" si="7"/>
        <v>4</v>
      </c>
      <c r="P34" s="1030"/>
    </row>
    <row r="35">
      <c r="A35" s="1028" t="str">
        <f>IFERROR(__xludf.DUMMYFUNCTION("""COMPUTED_VALUE"""),"MAN_PR_006")</f>
        <v>MAN_PR_006</v>
      </c>
      <c r="B35" s="1028" t="str">
        <f>VLOOKUP(A35,'17. DADOS - HISTORICO MANUT. 20'!E:I,2,0)</f>
        <v>COMP.EVENTUAL</v>
      </c>
      <c r="C35" s="1029" t="str">
        <f>VLOOKUP(A35,'17. DADOS - HISTORICO MANUT. 20'!$E:$I,3,0)</f>
        <v>FORNECIMENTO E INSTALAÇÃO DE REFLETOR LED, CORPO DE ALUMÍNIO, VIDRO TEMPERADO, POTÊNCIA 30W, BIVOLT, TEMP. COR 3000K, IP-66</v>
      </c>
      <c r="D35" s="1028" t="str">
        <f>VLOOKUP(A35,'17. DADOS - HISTORICO MANUT. 20'!$E:$I,4,0)</f>
        <v>UN</v>
      </c>
      <c r="E35" s="1028">
        <f>SUMIF('17. DADOS - HISTORICO MANUT. 20'!E:E,A35,'17. DADOS - HISTORICO MANUT. 20'!I:I)</f>
        <v>22</v>
      </c>
      <c r="F35" s="1030"/>
      <c r="G35" s="1030"/>
      <c r="H35" s="1031" t="str">
        <f>IFERROR(__xludf.DUMMYFUNCTION("""COMPUTED_VALUE"""),"MAN_PR_006")</f>
        <v>MAN_PR_006</v>
      </c>
      <c r="I35" s="1028" t="str">
        <f t="shared" si="1"/>
        <v>COMP.EVENTUAL</v>
      </c>
      <c r="J35" s="1029" t="str">
        <f t="shared" si="2"/>
        <v>FORNECIMENTO E INSTALAÇÃO DE REFLETOR LED, CORPO DE ALUMÍNIO, VIDRO TEMPERADO, POTÊNCIA 30W, BIVOLT, TEMP. COR 3000K, IP-66</v>
      </c>
      <c r="K35" s="1031" t="str">
        <f t="shared" si="3"/>
        <v>UN</v>
      </c>
      <c r="L35" s="1031">
        <f t="shared" si="4"/>
        <v>41</v>
      </c>
      <c r="M35" s="1031">
        <f t="shared" si="5"/>
        <v>20.5</v>
      </c>
      <c r="N35" s="1032">
        <f t="shared" si="6"/>
        <v>17.52067407</v>
      </c>
      <c r="O35" s="1033">
        <f t="shared" si="7"/>
        <v>18</v>
      </c>
      <c r="P35" s="1030"/>
    </row>
    <row r="36">
      <c r="A36" s="1028">
        <f>IFERROR(__xludf.DUMMYFUNCTION("""COMPUTED_VALUE"""),91926.0)</f>
        <v>91926</v>
      </c>
      <c r="B36" s="1028" t="str">
        <f>VLOOKUP(A36,'17. DADOS - HISTORICO MANUT. 20'!E:I,2,0)</f>
        <v>SINAPI-S</v>
      </c>
      <c r="C36" s="1029" t="str">
        <f>VLOOKUP(A36,'17. DADOS - HISTORICO MANUT. 20'!$E:$I,3,0)</f>
        <v>CABO DE COBRE FLEXÍVEL ISOLADO, 2,5 MM², ANTI-CHAMA 450/750 V, PARA CIRCUITOS TERMINAIS - FORNECIMENTO E INSTALAÇÃO. AF_03/2023</v>
      </c>
      <c r="D36" s="1028" t="str">
        <f>VLOOKUP(A36,'17. DADOS - HISTORICO MANUT. 20'!$E:$I,4,0)</f>
        <v>M</v>
      </c>
      <c r="E36" s="1028">
        <f>SUMIF('17. DADOS - HISTORICO MANUT. 20'!E:E,A36,'17. DADOS - HISTORICO MANUT. 20'!I:I)</f>
        <v>82</v>
      </c>
      <c r="F36" s="1030"/>
      <c r="G36" s="1030"/>
      <c r="H36" s="1031">
        <f>IFERROR(__xludf.DUMMYFUNCTION("""COMPUTED_VALUE"""),91926.0)</f>
        <v>91926</v>
      </c>
      <c r="I36" s="1028" t="str">
        <f t="shared" si="1"/>
        <v>SINAPI-S</v>
      </c>
      <c r="J36" s="1029" t="str">
        <f t="shared" si="2"/>
        <v>CABO DE COBRE FLEXÍVEL ISOLADO, 2,5 MM², ANTI-CHAMA 450/750 V, PARA CIRCUITOS TERMINAIS - FORNECIMENTO E INSTALAÇÃO. AF_03/2023</v>
      </c>
      <c r="K36" s="1031" t="str">
        <f t="shared" si="3"/>
        <v>M</v>
      </c>
      <c r="L36" s="1031">
        <f t="shared" si="4"/>
        <v>82</v>
      </c>
      <c r="M36" s="1031">
        <f t="shared" si="5"/>
        <v>41</v>
      </c>
      <c r="N36" s="1032">
        <f t="shared" si="6"/>
        <v>35.04134815</v>
      </c>
      <c r="O36" s="1033">
        <f t="shared" si="7"/>
        <v>35</v>
      </c>
      <c r="P36" s="1030"/>
    </row>
    <row r="37">
      <c r="A37" s="1028">
        <f>IFERROR(__xludf.DUMMYFUNCTION("""COMPUTED_VALUE"""),104476.0)</f>
        <v>104476</v>
      </c>
      <c r="B37" s="1028" t="str">
        <f>VLOOKUP(A37,'17. DADOS - HISTORICO MANUT. 20'!E:I,2,0)</f>
        <v>SINAPI-S</v>
      </c>
      <c r="C37" s="1029" t="str">
        <f>VLOOKUP(A37,'17. DADOS - HISTORICO MANUT. 20'!$E:$I,3,0)</f>
        <v>COMPOSIÇÃO PARAMÉTRICA DE PONTO ELÉTRICO DE TOMADA DE USO ESPECÍFICO 2P+T (20A/250V) EM EDIFÍCIO RESIDENCIAL COM ELETRODUTO EMBUTIDO EM RASGOS NAS PAREDES, INCLUSO TOMADA, ELETRODUTO, CABO, RASGO, QUEBRA E CHUMBAMENTO (EXCETO CHUVEIRO). AF_11/2022</v>
      </c>
      <c r="D37" s="1028" t="str">
        <f>VLOOKUP(A37,'17. DADOS - HISTORICO MANUT. 20'!$E:$I,4,0)</f>
        <v>UN</v>
      </c>
      <c r="E37" s="1028">
        <f>SUMIF('17. DADOS - HISTORICO MANUT. 20'!E:E,A37,'17. DADOS - HISTORICO MANUT. 20'!I:I)</f>
        <v>2</v>
      </c>
      <c r="F37" s="1030"/>
      <c r="G37" s="1030"/>
      <c r="H37" s="1031">
        <f>IFERROR(__xludf.DUMMYFUNCTION("""COMPUTED_VALUE"""),104476.0)</f>
        <v>104476</v>
      </c>
      <c r="I37" s="1028" t="str">
        <f t="shared" si="1"/>
        <v>SINAPI-S</v>
      </c>
      <c r="J37" s="1029" t="str">
        <f t="shared" si="2"/>
        <v>COMPOSIÇÃO PARAMÉTRICA DE PONTO ELÉTRICO DE TOMADA DE USO ESPECÍFICO 2P+T (20A/250V) EM EDIFÍCIO RESIDENCIAL COM ELETRODUTO EMBUTIDO EM RASGOS NAS PAREDES, INCLUSO TOMADA, ELETRODUTO, CABO, RASGO, QUEBRA E CHUMBAMENTO (EXCETO CHUVEIRO). AF_11/2022</v>
      </c>
      <c r="K37" s="1031" t="str">
        <f t="shared" si="3"/>
        <v>UN</v>
      </c>
      <c r="L37" s="1031">
        <f t="shared" si="4"/>
        <v>3</v>
      </c>
      <c r="M37" s="1031">
        <f t="shared" si="5"/>
        <v>1.5</v>
      </c>
      <c r="N37" s="1032">
        <f t="shared" si="6"/>
        <v>1.282000542</v>
      </c>
      <c r="O37" s="1033">
        <f t="shared" si="7"/>
        <v>1</v>
      </c>
      <c r="P37" s="1030"/>
    </row>
    <row r="38">
      <c r="A38" s="1028">
        <f>IFERROR(__xludf.DUMMYFUNCTION("""COMPUTED_VALUE"""),97617.0)</f>
        <v>97617</v>
      </c>
      <c r="B38" s="1028" t="str">
        <f>VLOOKUP(A38,'17. DADOS - HISTORICO MANUT. 20'!E:I,2,0)</f>
        <v>SINAPI-S</v>
      </c>
      <c r="C38" s="1029" t="str">
        <f>VLOOKUP(A38,'17. DADOS - HISTORICO MANUT. 20'!$E:$I,3,0)</f>
        <v>LÂMPADA TUBULAR FLUORESCENTE T10 DE 20/40 W, BASE G13 - FORNECIMENTO E INSTALAÇÃO. AF_02/2020_PS</v>
      </c>
      <c r="D38" s="1028" t="str">
        <f>VLOOKUP(A38,'17. DADOS - HISTORICO MANUT. 20'!$E:$I,4,0)</f>
        <v>UN</v>
      </c>
      <c r="E38" s="1028">
        <f>SUMIF('17. DADOS - HISTORICO MANUT. 20'!E:E,A38,'17. DADOS - HISTORICO MANUT. 20'!I:I)</f>
        <v>10</v>
      </c>
      <c r="F38" s="1030"/>
      <c r="G38" s="1030"/>
      <c r="H38" s="1031">
        <f>IFERROR(__xludf.DUMMYFUNCTION("""COMPUTED_VALUE"""),97617.0)</f>
        <v>97617</v>
      </c>
      <c r="I38" s="1028" t="str">
        <f t="shared" si="1"/>
        <v>SINAPI-S</v>
      </c>
      <c r="J38" s="1029" t="str">
        <f t="shared" si="2"/>
        <v>LÂMPADA TUBULAR FLUORESCENTE T10 DE 20/40 W, BASE G13 - FORNECIMENTO E INSTALAÇÃO. AF_02/2020_PS</v>
      </c>
      <c r="K38" s="1031" t="str">
        <f t="shared" si="3"/>
        <v>UN</v>
      </c>
      <c r="L38" s="1031">
        <f t="shared" si="4"/>
        <v>10</v>
      </c>
      <c r="M38" s="1031">
        <f t="shared" si="5"/>
        <v>5</v>
      </c>
      <c r="N38" s="1032">
        <f t="shared" si="6"/>
        <v>4.27333514</v>
      </c>
      <c r="O38" s="1033">
        <f t="shared" si="7"/>
        <v>4</v>
      </c>
      <c r="P38" s="1030"/>
    </row>
    <row r="39">
      <c r="A39" s="1028" t="str">
        <f>IFERROR(__xludf.DUMMYFUNCTION("""COMPUTED_VALUE"""),"MAN_PR_008")</f>
        <v>MAN_PR_008</v>
      </c>
      <c r="B39" s="1028" t="str">
        <f>VLOOKUP(A39,'17. DADOS - HISTORICO MANUT. 20'!E:I,2,0)</f>
        <v>COMP.EVENTUAL</v>
      </c>
      <c r="C39" s="1029" t="str">
        <f>VLOOKUP(A39,'17. DADOS - HISTORICO MANUT. 20'!$E:$I,3,0)</f>
        <v>RETIRADA E RECOLOCAÇÃO DE DIVISÓRIA NAVAL</v>
      </c>
      <c r="D39" s="1028" t="str">
        <f>VLOOKUP(A39,'17. DADOS - HISTORICO MANUT. 20'!$E:$I,4,0)</f>
        <v>M2</v>
      </c>
      <c r="E39" s="1028">
        <f>SUMIF('17. DADOS - HISTORICO MANUT. 20'!E:E,A39,'17. DADOS - HISTORICO MANUT. 20'!I:I)</f>
        <v>13</v>
      </c>
      <c r="F39" s="1030"/>
      <c r="G39" s="1030"/>
      <c r="H39" s="1031" t="str">
        <f>IFERROR(__xludf.DUMMYFUNCTION("""COMPUTED_VALUE"""),"MAN_PR_008")</f>
        <v>MAN_PR_008</v>
      </c>
      <c r="I39" s="1028" t="str">
        <f t="shared" si="1"/>
        <v>COMP.EVENTUAL</v>
      </c>
      <c r="J39" s="1029" t="str">
        <f t="shared" si="2"/>
        <v>RETIRADA E RECOLOCAÇÃO DE DIVISÓRIA NAVAL</v>
      </c>
      <c r="K39" s="1031" t="str">
        <f t="shared" si="3"/>
        <v>M2</v>
      </c>
      <c r="L39" s="1031">
        <f t="shared" si="4"/>
        <v>13</v>
      </c>
      <c r="M39" s="1031">
        <f t="shared" si="5"/>
        <v>6.5</v>
      </c>
      <c r="N39" s="1032">
        <f t="shared" si="6"/>
        <v>5.555335682</v>
      </c>
      <c r="O39" s="1033">
        <f t="shared" si="7"/>
        <v>6</v>
      </c>
      <c r="P39" s="1030"/>
    </row>
    <row r="40">
      <c r="A40" s="1028">
        <f>IFERROR(__xludf.DUMMYFUNCTION("""COMPUTED_VALUE"""),98532.0)</f>
        <v>98532</v>
      </c>
      <c r="B40" s="1028" t="str">
        <f>VLOOKUP(A40,'17. DADOS - HISTORICO MANUT. 20'!E:I,2,0)</f>
        <v>SINAPI-S</v>
      </c>
      <c r="C40" s="1029" t="str">
        <f>VLOOKUP(A40,'17. DADOS - HISTORICO MANUT. 20'!$E:$I,3,0)</f>
        <v>PODA EM ALTURA DE ÁRVORE COM DIÂMETRO DE TRONCO MENOR QUE 0,20 M.AF_05/2018</v>
      </c>
      <c r="D40" s="1028" t="str">
        <f>VLOOKUP(A40,'17. DADOS - HISTORICO MANUT. 20'!$E:$I,4,0)</f>
        <v>UN</v>
      </c>
      <c r="E40" s="1028">
        <f>SUMIF('17. DADOS - HISTORICO MANUT. 20'!E:E,A40,'17. DADOS - HISTORICO MANUT. 20'!I:I)</f>
        <v>1</v>
      </c>
      <c r="F40" s="1030"/>
      <c r="G40" s="1030"/>
      <c r="H40" s="1031">
        <f>IFERROR(__xludf.DUMMYFUNCTION("""COMPUTED_VALUE"""),98532.0)</f>
        <v>98532</v>
      </c>
      <c r="I40" s="1028" t="str">
        <f t="shared" si="1"/>
        <v>SINAPI-S</v>
      </c>
      <c r="J40" s="1029" t="str">
        <f t="shared" si="2"/>
        <v>PODA EM ALTURA DE ÁRVORE COM DIÂMETRO DE TRONCO MENOR QUE 0,20 M.AF_05/2018</v>
      </c>
      <c r="K40" s="1031" t="str">
        <f t="shared" si="3"/>
        <v>UN</v>
      </c>
      <c r="L40" s="1031">
        <f t="shared" si="4"/>
        <v>1</v>
      </c>
      <c r="M40" s="1031">
        <f t="shared" si="5"/>
        <v>0.5</v>
      </c>
      <c r="N40" s="1032">
        <f t="shared" si="6"/>
        <v>0.427333514</v>
      </c>
      <c r="O40" s="1033">
        <f>ROUND(N40,0)+1</f>
        <v>1</v>
      </c>
      <c r="P40" s="1030"/>
    </row>
    <row r="41">
      <c r="A41" s="1028" t="str">
        <f>IFERROR(__xludf.DUMMYFUNCTION("""COMPUTED_VALUE"""),"MAN_PR_009")</f>
        <v>MAN_PR_009</v>
      </c>
      <c r="B41" s="1028" t="str">
        <f>VLOOKUP(A41,'17. DADOS - HISTORICO MANUT. 20'!E:I,2,0)</f>
        <v>COMP.EVENTUAL</v>
      </c>
      <c r="C41" s="1029" t="str">
        <f>VLOOKUP(A41,'17. DADOS - HISTORICO MANUT. 20'!$E:$I,3,0)</f>
        <v>FORNECIMENTO E INSTALAÇÃO DE PLACA DE SINALIZAÇÃO FOTOLUMINOSCENTE 13x26CM</v>
      </c>
      <c r="D41" s="1028" t="str">
        <f>VLOOKUP(A41,'17. DADOS - HISTORICO MANUT. 20'!$E:$I,4,0)</f>
        <v>UN</v>
      </c>
      <c r="E41" s="1028">
        <f>SUMIF('17. DADOS - HISTORICO MANUT. 20'!E:E,A41,'17. DADOS - HISTORICO MANUT. 20'!I:I)</f>
        <v>24</v>
      </c>
      <c r="F41" s="1030"/>
      <c r="G41" s="1030"/>
      <c r="H41" s="1031" t="str">
        <f>IFERROR(__xludf.DUMMYFUNCTION("""COMPUTED_VALUE"""),"MAN_PR_009")</f>
        <v>MAN_PR_009</v>
      </c>
      <c r="I41" s="1028" t="str">
        <f t="shared" si="1"/>
        <v>COMP.EVENTUAL</v>
      </c>
      <c r="J41" s="1029" t="str">
        <f t="shared" si="2"/>
        <v>FORNECIMENTO E INSTALAÇÃO DE PLACA DE SINALIZAÇÃO FOTOLUMINOSCENTE 13x26CM</v>
      </c>
      <c r="K41" s="1031" t="str">
        <f t="shared" si="3"/>
        <v>UN</v>
      </c>
      <c r="L41" s="1031">
        <f t="shared" si="4"/>
        <v>24</v>
      </c>
      <c r="M41" s="1031">
        <f t="shared" si="5"/>
        <v>12</v>
      </c>
      <c r="N41" s="1032">
        <f t="shared" si="6"/>
        <v>10.25600434</v>
      </c>
      <c r="O41" s="1033">
        <f>ROUND(N41,0)</f>
        <v>10</v>
      </c>
      <c r="P41" s="1030"/>
    </row>
    <row r="42">
      <c r="A42" s="1028" t="str">
        <f>IFERROR(__xludf.DUMMYFUNCTION("""COMPUTED_VALUE"""),"MAN_PR_010")</f>
        <v>MAN_PR_010</v>
      </c>
      <c r="B42" s="1028" t="str">
        <f>VLOOKUP(A42,'17. DADOS - HISTORICO MANUT. 20'!E:I,2,0)</f>
        <v>COMP.EVENTUAL</v>
      </c>
      <c r="C42" s="1029" t="str">
        <f>VLOOKUP(A42,'17. DADOS - HISTORICO MANUT. 20'!$E:$I,3,0)</f>
        <v>TESTE DE ENERGIZAÇÃO DE CERCA ELÉTRICA</v>
      </c>
      <c r="D42" s="1028" t="str">
        <f>VLOOKUP(A42,'17. DADOS - HISTORICO MANUT. 20'!$E:$I,4,0)</f>
        <v>UN</v>
      </c>
      <c r="E42" s="1028">
        <f>SUMIF('17. DADOS - HISTORICO MANUT. 20'!E:E,A42,'17. DADOS - HISTORICO MANUT. 20'!I:I)</f>
        <v>1</v>
      </c>
      <c r="F42" s="1030"/>
      <c r="G42" s="1030"/>
      <c r="H42" s="1031" t="str">
        <f>IFERROR(__xludf.DUMMYFUNCTION("""COMPUTED_VALUE"""),"MAN_PR_010")</f>
        <v>MAN_PR_010</v>
      </c>
      <c r="I42" s="1028" t="str">
        <f t="shared" si="1"/>
        <v>COMP.EVENTUAL</v>
      </c>
      <c r="J42" s="1029" t="str">
        <f t="shared" si="2"/>
        <v>TESTE DE ENERGIZAÇÃO DE CERCA ELÉTRICA</v>
      </c>
      <c r="K42" s="1031" t="str">
        <f t="shared" si="3"/>
        <v>UN</v>
      </c>
      <c r="L42" s="1031">
        <f t="shared" si="4"/>
        <v>1</v>
      </c>
      <c r="M42" s="1031">
        <f t="shared" si="5"/>
        <v>0.5</v>
      </c>
      <c r="N42" s="1032">
        <f t="shared" si="6"/>
        <v>0.427333514</v>
      </c>
      <c r="O42" s="1033">
        <f>ROUND(N42,0)+1</f>
        <v>1</v>
      </c>
      <c r="P42" s="1030"/>
    </row>
    <row r="43">
      <c r="A43" s="1028" t="str">
        <f>IFERROR(__xludf.DUMMYFUNCTION("""COMPUTED_VALUE"""),"MAN_PR_011")</f>
        <v>MAN_PR_011</v>
      </c>
      <c r="B43" s="1028" t="str">
        <f>VLOOKUP(A43,'17. DADOS - HISTORICO MANUT. 20'!E:I,2,0)</f>
        <v>COMP.EVENTUAL</v>
      </c>
      <c r="C43" s="1029" t="str">
        <f>VLOOKUP(A43,'17. DADOS - HISTORICO MANUT. 20'!$E:$I,3,0)</f>
        <v>TESTE FUNCIONAL EM CIRCUITOS</v>
      </c>
      <c r="D43" s="1028" t="str">
        <f>VLOOKUP(A43,'17. DADOS - HISTORICO MANUT. 20'!$E:$I,4,0)</f>
        <v>UN</v>
      </c>
      <c r="E43" s="1028">
        <f>SUMIF('17. DADOS - HISTORICO MANUT. 20'!E:E,A43,'17. DADOS - HISTORICO MANUT. 20'!I:I)</f>
        <v>5</v>
      </c>
      <c r="F43" s="1030"/>
      <c r="G43" s="1030"/>
      <c r="H43" s="1031" t="str">
        <f>IFERROR(__xludf.DUMMYFUNCTION("""COMPUTED_VALUE"""),"MAN_PR_011")</f>
        <v>MAN_PR_011</v>
      </c>
      <c r="I43" s="1028" t="str">
        <f t="shared" si="1"/>
        <v>COMP.EVENTUAL</v>
      </c>
      <c r="J43" s="1029" t="str">
        <f t="shared" si="2"/>
        <v>TESTE FUNCIONAL EM CIRCUITOS</v>
      </c>
      <c r="K43" s="1031" t="str">
        <f t="shared" si="3"/>
        <v>UN</v>
      </c>
      <c r="L43" s="1031">
        <f t="shared" si="4"/>
        <v>6</v>
      </c>
      <c r="M43" s="1031">
        <f t="shared" si="5"/>
        <v>3</v>
      </c>
      <c r="N43" s="1032">
        <f t="shared" si="6"/>
        <v>2.564001084</v>
      </c>
      <c r="O43" s="1033">
        <f t="shared" ref="O43:O44" si="8">ROUND(N43,0)</f>
        <v>3</v>
      </c>
      <c r="P43" s="1030"/>
    </row>
    <row r="44">
      <c r="A44" s="1028" t="str">
        <f>IFERROR(__xludf.DUMMYFUNCTION("""COMPUTED_VALUE"""),"MAN_PR_018")</f>
        <v>MAN_PR_018</v>
      </c>
      <c r="B44" s="1028" t="str">
        <f>VLOOKUP(A44,'17. DADOS - HISTORICO MANUT. 20'!E:I,2,0)</f>
        <v>COMP.EVENTUAL</v>
      </c>
      <c r="C44" s="1029" t="str">
        <f>VLOOKUP(A44,'17. DADOS - HISTORICO MANUT. 20'!$E:$I,3,0)</f>
        <v>FORNECIMENTO E INSTALAÇÃO DE PLACA CENTRAL DE COMANDO UNIVERSAL X2 FULL ST IPEC PARA AUTOMATIZADORES</v>
      </c>
      <c r="D44" s="1028" t="str">
        <f>VLOOKUP(A44,'17. DADOS - HISTORICO MANUT. 20'!$E:$I,4,0)</f>
        <v>UN</v>
      </c>
      <c r="E44" s="1028">
        <f>SUMIF('17. DADOS - HISTORICO MANUT. 20'!E:E,A44,'17. DADOS - HISTORICO MANUT. 20'!I:I)</f>
        <v>9</v>
      </c>
      <c r="F44" s="1030"/>
      <c r="G44" s="1030"/>
      <c r="H44" s="1031" t="str">
        <f>IFERROR(__xludf.DUMMYFUNCTION("""COMPUTED_VALUE"""),"MAN_PR_018")</f>
        <v>MAN_PR_018</v>
      </c>
      <c r="I44" s="1028" t="str">
        <f t="shared" si="1"/>
        <v>COMP.EVENTUAL</v>
      </c>
      <c r="J44" s="1029" t="str">
        <f t="shared" si="2"/>
        <v>FORNECIMENTO E INSTALAÇÃO DE PLACA CENTRAL DE COMANDO UNIVERSAL X2 FULL ST IPEC PARA AUTOMATIZADORES</v>
      </c>
      <c r="K44" s="1031" t="str">
        <f t="shared" si="3"/>
        <v>UN</v>
      </c>
      <c r="L44" s="1031">
        <f t="shared" si="4"/>
        <v>10</v>
      </c>
      <c r="M44" s="1031">
        <f t="shared" si="5"/>
        <v>5</v>
      </c>
      <c r="N44" s="1032">
        <f t="shared" si="6"/>
        <v>4.27333514</v>
      </c>
      <c r="O44" s="1033">
        <f t="shared" si="8"/>
        <v>4</v>
      </c>
      <c r="P44" s="1030"/>
    </row>
    <row r="45">
      <c r="A45" s="1028">
        <f>IFERROR(__xludf.DUMMYFUNCTION("""COMPUTED_VALUE"""),91997.0)</f>
        <v>91997</v>
      </c>
      <c r="B45" s="1028" t="str">
        <f>VLOOKUP(A45,'17. DADOS - HISTORICO MANUT. 20'!E:I,2,0)</f>
        <v>SINAPI-S</v>
      </c>
      <c r="C45" s="1029" t="str">
        <f>VLOOKUP(A45,'17. DADOS - HISTORICO MANUT. 20'!$E:$I,3,0)</f>
        <v>TOMADA MÉDIA DE EMBUTIR (1 MÓDULO), 2P+T 20 A, INCLUINDO SUPORTE E PLACA - FORNECIMENTO E INSTALAÇÃO. AF_03/2023</v>
      </c>
      <c r="D45" s="1028" t="str">
        <f>VLOOKUP(A45,'17. DADOS - HISTORICO MANUT. 20'!$E:$I,4,0)</f>
        <v>UN</v>
      </c>
      <c r="E45" s="1028">
        <f>SUMIF('17. DADOS - HISTORICO MANUT. 20'!E:E,A45,'17. DADOS - HISTORICO MANUT. 20'!I:I)</f>
        <v>1</v>
      </c>
      <c r="F45" s="1030"/>
      <c r="G45" s="1030"/>
      <c r="H45" s="1031">
        <f>IFERROR(__xludf.DUMMYFUNCTION("""COMPUTED_VALUE"""),91997.0)</f>
        <v>91997</v>
      </c>
      <c r="I45" s="1028" t="str">
        <f t="shared" si="1"/>
        <v>SINAPI-S</v>
      </c>
      <c r="J45" s="1029" t="str">
        <f t="shared" si="2"/>
        <v>TOMADA MÉDIA DE EMBUTIR (1 MÓDULO), 2P+T 20 A, INCLUINDO SUPORTE E PLACA - FORNECIMENTO E INSTALAÇÃO. AF_03/2023</v>
      </c>
      <c r="K45" s="1031" t="str">
        <f t="shared" si="3"/>
        <v>UN</v>
      </c>
      <c r="L45" s="1031">
        <f t="shared" si="4"/>
        <v>1</v>
      </c>
      <c r="M45" s="1031">
        <f t="shared" si="5"/>
        <v>0.5</v>
      </c>
      <c r="N45" s="1032">
        <f t="shared" si="6"/>
        <v>0.427333514</v>
      </c>
      <c r="O45" s="1033">
        <f>ROUND(N45,0)+1</f>
        <v>1</v>
      </c>
      <c r="P45" s="1030"/>
    </row>
    <row r="46">
      <c r="A46" s="1028">
        <f>IFERROR(__xludf.DUMMYFUNCTION("""COMPUTED_VALUE"""),89985.0)</f>
        <v>89985</v>
      </c>
      <c r="B46" s="1028" t="str">
        <f>VLOOKUP(A46,'17. DADOS - HISTORICO MANUT. 20'!E:I,2,0)</f>
        <v>SINAPI-S</v>
      </c>
      <c r="C46" s="1029" t="str">
        <f>VLOOKUP(A46,'17. DADOS - HISTORICO MANUT. 20'!$E:$I,3,0)</f>
        <v>REGISTRO DE PRESSÃO BRUTO, LATÃO, ROSCÁVEL, 3/4", COM ACABAMENTO E CANOPLA CROMADOS - FORNECIMENTO E INSTALAÇÃO. AF_08/2021</v>
      </c>
      <c r="D46" s="1028" t="str">
        <f>VLOOKUP(A46,'17. DADOS - HISTORICO MANUT. 20'!$E:$I,4,0)</f>
        <v>UN</v>
      </c>
      <c r="E46" s="1028">
        <f>SUMIF('17. DADOS - HISTORICO MANUT. 20'!E:E,A46,'17. DADOS - HISTORICO MANUT. 20'!I:I)</f>
        <v>2</v>
      </c>
      <c r="F46" s="1030"/>
      <c r="G46" s="1030"/>
      <c r="H46" s="1031">
        <f>IFERROR(__xludf.DUMMYFUNCTION("""COMPUTED_VALUE"""),89985.0)</f>
        <v>89985</v>
      </c>
      <c r="I46" s="1028" t="str">
        <f t="shared" si="1"/>
        <v>SINAPI-S</v>
      </c>
      <c r="J46" s="1029" t="str">
        <f t="shared" si="2"/>
        <v>REGISTRO DE PRESSÃO BRUTO, LATÃO, ROSCÁVEL, 3/4", COM ACABAMENTO E CANOPLA CROMADOS - FORNECIMENTO E INSTALAÇÃO. AF_08/2021</v>
      </c>
      <c r="K46" s="1031" t="str">
        <f t="shared" si="3"/>
        <v>UN</v>
      </c>
      <c r="L46" s="1031">
        <f t="shared" si="4"/>
        <v>2</v>
      </c>
      <c r="M46" s="1031">
        <f t="shared" si="5"/>
        <v>1</v>
      </c>
      <c r="N46" s="1032">
        <f t="shared" si="6"/>
        <v>0.854667028</v>
      </c>
      <c r="O46" s="1033">
        <f>ROUND(N46,0)</f>
        <v>1</v>
      </c>
      <c r="P46" s="1030"/>
    </row>
    <row r="47">
      <c r="A47" s="1028" t="str">
        <f>IFERROR(__xludf.DUMMYFUNCTION("""COMPUTED_VALUE"""),"MAN_PR_012")</f>
        <v>MAN_PR_012</v>
      </c>
      <c r="B47" s="1028" t="str">
        <f>VLOOKUP(A47,'17. DADOS - HISTORICO MANUT. 20'!E:I,2,0)</f>
        <v>COMP.EVENTUAL</v>
      </c>
      <c r="C47" s="1029" t="str">
        <f>VLOOKUP(A47,'17. DADOS - HISTORICO MANUT. 20'!$E:$I,3,0)</f>
        <v>RETIRADA DE LÂMPADA E ACONDICIONAMENTO EM CAIXA DE PAPELÃO, EXCLUSIVE FORNECIMENTO DA CAIXA</v>
      </c>
      <c r="D47" s="1028" t="str">
        <f>VLOOKUP(A47,'17. DADOS - HISTORICO MANUT. 20'!$E:$I,4,0)</f>
        <v>UN</v>
      </c>
      <c r="E47" s="1028">
        <f>SUMIF('17. DADOS - HISTORICO MANUT. 20'!E:E,A47,'17. DADOS - HISTORICO MANUT. 20'!I:I)</f>
        <v>1</v>
      </c>
      <c r="F47" s="1030"/>
      <c r="G47" s="1030"/>
      <c r="H47" s="1031" t="str">
        <f>IFERROR(__xludf.DUMMYFUNCTION("""COMPUTED_VALUE"""),"MAN_PR_012")</f>
        <v>MAN_PR_012</v>
      </c>
      <c r="I47" s="1028" t="str">
        <f t="shared" si="1"/>
        <v>COMP.EVENTUAL</v>
      </c>
      <c r="J47" s="1029" t="str">
        <f t="shared" si="2"/>
        <v>RETIRADA DE LÂMPADA E ACONDICIONAMENTO EM CAIXA DE PAPELÃO, EXCLUSIVE FORNECIMENTO DA CAIXA</v>
      </c>
      <c r="K47" s="1031" t="str">
        <f t="shared" si="3"/>
        <v>UN</v>
      </c>
      <c r="L47" s="1031">
        <f t="shared" si="4"/>
        <v>1</v>
      </c>
      <c r="M47" s="1031">
        <f t="shared" si="5"/>
        <v>0.5</v>
      </c>
      <c r="N47" s="1032">
        <f t="shared" si="6"/>
        <v>0.427333514</v>
      </c>
      <c r="O47" s="1033">
        <f>ROUND(N47,0)+1</f>
        <v>1</v>
      </c>
      <c r="P47" s="1030"/>
    </row>
    <row r="48">
      <c r="A48" s="1028">
        <f>IFERROR(__xludf.DUMMYFUNCTION("""COMPUTED_VALUE"""),98297.0)</f>
        <v>98297</v>
      </c>
      <c r="B48" s="1028" t="str">
        <f>VLOOKUP(A48,'17. DADOS - HISTORICO MANUT. 20'!E:I,2,0)</f>
        <v>SINAPI-S</v>
      </c>
      <c r="C48" s="1029" t="str">
        <f>VLOOKUP(A48,'17. DADOS - HISTORICO MANUT. 20'!$E:$I,3,0)</f>
        <v>CABO ELETRÔNICO CATEGORIA 6, INSTALADO EM EDIFICAÇÃO INSTITUCIONAL - FORNECIMENTO E INSTALAÇÃO. AF_11/2019</v>
      </c>
      <c r="D48" s="1028" t="str">
        <f>VLOOKUP(A48,'17. DADOS - HISTORICO MANUT. 20'!$E:$I,4,0)</f>
        <v>M</v>
      </c>
      <c r="E48" s="1028">
        <f>SUMIF('17. DADOS - HISTORICO MANUT. 20'!E:E,A48,'17. DADOS - HISTORICO MANUT. 20'!I:I)</f>
        <v>805</v>
      </c>
      <c r="F48" s="1030"/>
      <c r="G48" s="1030"/>
      <c r="H48" s="1031">
        <f>IFERROR(__xludf.DUMMYFUNCTION("""COMPUTED_VALUE"""),98297.0)</f>
        <v>98297</v>
      </c>
      <c r="I48" s="1028" t="str">
        <f t="shared" si="1"/>
        <v>SINAPI-S</v>
      </c>
      <c r="J48" s="1029" t="str">
        <f t="shared" si="2"/>
        <v>CABO ELETRÔNICO CATEGORIA 6, INSTALADO EM EDIFICAÇÃO INSTITUCIONAL - FORNECIMENTO E INSTALAÇÃO. AF_11/2019</v>
      </c>
      <c r="K48" s="1031" t="str">
        <f t="shared" si="3"/>
        <v>M</v>
      </c>
      <c r="L48" s="1031">
        <f t="shared" si="4"/>
        <v>850</v>
      </c>
      <c r="M48" s="1031">
        <f t="shared" si="5"/>
        <v>425</v>
      </c>
      <c r="N48" s="1032">
        <f t="shared" si="6"/>
        <v>363.2334869</v>
      </c>
      <c r="O48" s="1033">
        <f t="shared" ref="O48:O50" si="9">ROUND(N48,0)</f>
        <v>363</v>
      </c>
      <c r="P48" s="1030"/>
    </row>
    <row r="49">
      <c r="A49" s="1028">
        <f>IFERROR(__xludf.DUMMYFUNCTION("""COMPUTED_VALUE"""),96113.0)</f>
        <v>96113</v>
      </c>
      <c r="B49" s="1028" t="str">
        <f>VLOOKUP(A49,'17. DADOS - HISTORICO MANUT. 20'!E:I,2,0)</f>
        <v>SINAPI-S</v>
      </c>
      <c r="C49" s="1029" t="str">
        <f>VLOOKUP(A49,'17. DADOS - HISTORICO MANUT. 20'!$E:$I,3,0)</f>
        <v>FORRO EM PLACAS DE GESSO, PARA AMBIENTES COMERCIAIS. AF_05/2017_PS</v>
      </c>
      <c r="D49" s="1028" t="str">
        <f>VLOOKUP(A49,'17. DADOS - HISTORICO MANUT. 20'!$E:$I,4,0)</f>
        <v>M2</v>
      </c>
      <c r="E49" s="1028">
        <f>SUMIF('17. DADOS - HISTORICO MANUT. 20'!E:E,A49,'17. DADOS - HISTORICO MANUT. 20'!I:I)</f>
        <v>7</v>
      </c>
      <c r="F49" s="1030"/>
      <c r="G49" s="1030"/>
      <c r="H49" s="1031">
        <f>IFERROR(__xludf.DUMMYFUNCTION("""COMPUTED_VALUE"""),96113.0)</f>
        <v>96113</v>
      </c>
      <c r="I49" s="1028" t="str">
        <f t="shared" si="1"/>
        <v>SINAPI-S</v>
      </c>
      <c r="J49" s="1029" t="str">
        <f t="shared" si="2"/>
        <v>FORRO EM PLACAS DE GESSO, PARA AMBIENTES COMERCIAIS. AF_05/2017_PS</v>
      </c>
      <c r="K49" s="1031" t="str">
        <f t="shared" si="3"/>
        <v>M2</v>
      </c>
      <c r="L49" s="1031">
        <f t="shared" si="4"/>
        <v>7</v>
      </c>
      <c r="M49" s="1031">
        <f t="shared" si="5"/>
        <v>3.5</v>
      </c>
      <c r="N49" s="1032">
        <f t="shared" si="6"/>
        <v>2.991334598</v>
      </c>
      <c r="O49" s="1033">
        <f t="shared" si="9"/>
        <v>3</v>
      </c>
      <c r="P49" s="1030"/>
    </row>
    <row r="50">
      <c r="A50" s="1028" t="str">
        <f>IFERROR(__xludf.DUMMYFUNCTION("""COMPUTED_VALUE"""),"MAN_PR_013")</f>
        <v>MAN_PR_013</v>
      </c>
      <c r="B50" s="1028" t="str">
        <f>VLOOKUP(A50,'17. DADOS - HISTORICO MANUT. 20'!E:I,2,0)</f>
        <v>COMP.EVENTUAL</v>
      </c>
      <c r="C50" s="1029" t="str">
        <f>VLOOKUP(A50,'17. DADOS - HISTORICO MANUT. 20'!$E:$I,3,0)</f>
        <v>FORNECIMENTO E INSTALAÇÃO DE PERSIANA EM PVC BRANCO, LÂMINA COM LARGURA DE 89MM, SEM BANDÔ</v>
      </c>
      <c r="D50" s="1028" t="str">
        <f>VLOOKUP(A50,'17. DADOS - HISTORICO MANUT. 20'!$E:$I,4,0)</f>
        <v>M2</v>
      </c>
      <c r="E50" s="1028">
        <f>SUMIF('17. DADOS - HISTORICO MANUT. 20'!E:E,A50,'17. DADOS - HISTORICO MANUT. 20'!I:I)</f>
        <v>3</v>
      </c>
      <c r="F50" s="1030"/>
      <c r="G50" s="1030"/>
      <c r="H50" s="1031" t="str">
        <f>IFERROR(__xludf.DUMMYFUNCTION("""COMPUTED_VALUE"""),"MAN_PR_013")</f>
        <v>MAN_PR_013</v>
      </c>
      <c r="I50" s="1028" t="str">
        <f t="shared" si="1"/>
        <v>COMP.EVENTUAL</v>
      </c>
      <c r="J50" s="1029" t="str">
        <f t="shared" si="2"/>
        <v>FORNECIMENTO E INSTALAÇÃO DE PERSIANA EM PVC BRANCO, LÂMINA COM LARGURA DE 89MM, SEM BANDÔ</v>
      </c>
      <c r="K50" s="1031" t="str">
        <f t="shared" si="3"/>
        <v>M2</v>
      </c>
      <c r="L50" s="1031">
        <f t="shared" si="4"/>
        <v>3</v>
      </c>
      <c r="M50" s="1031">
        <f t="shared" si="5"/>
        <v>1.5</v>
      </c>
      <c r="N50" s="1032">
        <f t="shared" si="6"/>
        <v>1.282000542</v>
      </c>
      <c r="O50" s="1033">
        <f t="shared" si="9"/>
        <v>1</v>
      </c>
      <c r="P50" s="1030"/>
    </row>
    <row r="51">
      <c r="A51" s="1028">
        <f>IFERROR(__xludf.DUMMYFUNCTION("""COMPUTED_VALUE"""),96803.0)</f>
        <v>96803</v>
      </c>
      <c r="B51" s="1028" t="str">
        <f>VLOOKUP(A51,'17. DADOS - HISTORICO MANUT. 20'!E:I,2,0)</f>
        <v>SINAPI-S</v>
      </c>
      <c r="C51" s="1029" t="str">
        <f>VLOOKUP(A51,'17. DADOS - HISTORICO MANUT. 20'!$E:$I,3,0)</f>
        <v>KIT CHASSI PEX, PRÉ-FABRICADO, PARA COZINHA COM CUBA SIMPLES, INCLUSO QUADRO METÁLICO, TUBOS E CONEXÕES POR CRIMPAGEM - FORNECIMENTO E INSTALAÇÃO. AF_02/2023</v>
      </c>
      <c r="D51" s="1028" t="str">
        <f>VLOOKUP(A51,'17. DADOS - HISTORICO MANUT. 20'!$E:$I,4,0)</f>
        <v>UN</v>
      </c>
      <c r="E51" s="1028">
        <f>SUMIF('17. DADOS - HISTORICO MANUT. 20'!E:E,A51,'17. DADOS - HISTORICO MANUT. 20'!I:I)</f>
        <v>1</v>
      </c>
      <c r="F51" s="1030"/>
      <c r="G51" s="1030"/>
      <c r="H51" s="1031">
        <f>IFERROR(__xludf.DUMMYFUNCTION("""COMPUTED_VALUE"""),96803.0)</f>
        <v>96803</v>
      </c>
      <c r="I51" s="1028" t="str">
        <f t="shared" si="1"/>
        <v>SINAPI-S</v>
      </c>
      <c r="J51" s="1029" t="str">
        <f t="shared" si="2"/>
        <v>KIT CHASSI PEX, PRÉ-FABRICADO, PARA COZINHA COM CUBA SIMPLES, INCLUSO QUADRO METÁLICO, TUBOS E CONEXÕES POR CRIMPAGEM - FORNECIMENTO E INSTALAÇÃO. AF_02/2023</v>
      </c>
      <c r="K51" s="1031" t="str">
        <f t="shared" si="3"/>
        <v>UN</v>
      </c>
      <c r="L51" s="1031">
        <f t="shared" si="4"/>
        <v>1</v>
      </c>
      <c r="M51" s="1031">
        <f t="shared" si="5"/>
        <v>0.5</v>
      </c>
      <c r="N51" s="1032">
        <f t="shared" si="6"/>
        <v>0.427333514</v>
      </c>
      <c r="O51" s="1033">
        <f>ROUND(N51,0)+1</f>
        <v>1</v>
      </c>
      <c r="P51" s="1030"/>
    </row>
    <row r="52">
      <c r="A52" s="1028" t="str">
        <f>IFERROR(__xludf.DUMMYFUNCTION("""COMPUTED_VALUE"""),"MAN_PR_022")</f>
        <v>MAN_PR_022</v>
      </c>
      <c r="B52" s="1028" t="str">
        <f>VLOOKUP(A52,'17. DADOS - HISTORICO MANUT. 20'!E:I,2,0)</f>
        <v>COMP.EVENTUAL</v>
      </c>
      <c r="C52" s="1029" t="str">
        <f>VLOOKUP(A52,'17. DADOS - HISTORICO MANUT. 20'!$E:$I,3,0)</f>
        <v>VERIFICAÇÃO E TESTE DE PONTO/CIRCUITO COM EMISSÃO DE RELATÓRIO</v>
      </c>
      <c r="D52" s="1028" t="str">
        <f>VLOOKUP(A52,'17. DADOS - HISTORICO MANUT. 20'!$E:$I,4,0)</f>
        <v>UN</v>
      </c>
      <c r="E52" s="1028">
        <f>SUMIF('17. DADOS - HISTORICO MANUT. 20'!E:E,A52,'17. DADOS - HISTORICO MANUT. 20'!I:I)</f>
        <v>4</v>
      </c>
      <c r="F52" s="1030"/>
      <c r="G52" s="1030"/>
      <c r="H52" s="1031" t="str">
        <f>IFERROR(__xludf.DUMMYFUNCTION("""COMPUTED_VALUE"""),"MAN_PR_022")</f>
        <v>MAN_PR_022</v>
      </c>
      <c r="I52" s="1028" t="str">
        <f t="shared" si="1"/>
        <v>COMP.EVENTUAL</v>
      </c>
      <c r="J52" s="1029" t="str">
        <f t="shared" si="2"/>
        <v>VERIFICAÇÃO E TESTE DE PONTO/CIRCUITO COM EMISSÃO DE RELATÓRIO</v>
      </c>
      <c r="K52" s="1031" t="str">
        <f t="shared" si="3"/>
        <v>UN</v>
      </c>
      <c r="L52" s="1031">
        <f t="shared" si="4"/>
        <v>4</v>
      </c>
      <c r="M52" s="1031">
        <f t="shared" si="5"/>
        <v>2</v>
      </c>
      <c r="N52" s="1032">
        <f t="shared" si="6"/>
        <v>1.709334056</v>
      </c>
      <c r="O52" s="1033">
        <f>ROUND(N52,0)</f>
        <v>2</v>
      </c>
      <c r="P52" s="1030"/>
    </row>
    <row r="53">
      <c r="A53" s="1028">
        <f>IFERROR(__xludf.DUMMYFUNCTION("""COMPUTED_VALUE"""),91971.0)</f>
        <v>91971</v>
      </c>
      <c r="B53" s="1028" t="str">
        <f>VLOOKUP(A53,'17. DADOS - HISTORICO MANUT. 20'!E:I,2,0)</f>
        <v>SINAPI-S</v>
      </c>
      <c r="C53" s="1029" t="str">
        <f>VLOOKUP(A53,'17. DADOS - HISTORICO MANUT. 20'!$E:$I,3,0)</f>
        <v>INTERRUPTOR SIMPLES (3 MÓDULOS) COM INTERRUPTOR PARALELO (1 MÓDULO), 10A/250V, INCLUINDO SUPORTE E PLACA - FORNECIMENTO E INSTALAÇÃO. AF_03/2023</v>
      </c>
      <c r="D53" s="1028" t="str">
        <f>VLOOKUP(A53,'17. DADOS - HISTORICO MANUT. 20'!$E:$I,4,0)</f>
        <v>UN</v>
      </c>
      <c r="E53" s="1028">
        <f>SUMIF('17. DADOS - HISTORICO MANUT. 20'!E:E,A53,'17. DADOS - HISTORICO MANUT. 20'!I:I)</f>
        <v>1</v>
      </c>
      <c r="F53" s="1030"/>
      <c r="G53" s="1030"/>
      <c r="H53" s="1031">
        <f>IFERROR(__xludf.DUMMYFUNCTION("""COMPUTED_VALUE"""),91971.0)</f>
        <v>91971</v>
      </c>
      <c r="I53" s="1028" t="str">
        <f t="shared" si="1"/>
        <v>SINAPI-S</v>
      </c>
      <c r="J53" s="1029" t="str">
        <f t="shared" si="2"/>
        <v>INTERRUPTOR SIMPLES (3 MÓDULOS) COM INTERRUPTOR PARALELO (1 MÓDULO), 10A/250V, INCLUINDO SUPORTE E PLACA - FORNECIMENTO E INSTALAÇÃO. AF_03/2023</v>
      </c>
      <c r="K53" s="1031" t="str">
        <f t="shared" si="3"/>
        <v>UN</v>
      </c>
      <c r="L53" s="1031">
        <f t="shared" si="4"/>
        <v>1</v>
      </c>
      <c r="M53" s="1031">
        <f t="shared" si="5"/>
        <v>0.5</v>
      </c>
      <c r="N53" s="1032">
        <f t="shared" si="6"/>
        <v>0.427333514</v>
      </c>
      <c r="O53" s="1033">
        <f t="shared" ref="O53:O54" si="10">ROUND(N53,0)+1</f>
        <v>1</v>
      </c>
      <c r="P53" s="1030"/>
    </row>
    <row r="54">
      <c r="A54" s="1028">
        <f>IFERROR(__xludf.DUMMYFUNCTION("""COMPUTED_VALUE"""),97665.0)</f>
        <v>97665</v>
      </c>
      <c r="B54" s="1028" t="str">
        <f>VLOOKUP(A54,'17. DADOS - HISTORICO MANUT. 20'!E:I,2,0)</f>
        <v>SINAPI-S</v>
      </c>
      <c r="C54" s="1029" t="str">
        <f>VLOOKUP(A54,'17. DADOS - HISTORICO MANUT. 20'!$E:$I,3,0)</f>
        <v>REMOÇÃO DE LUMINÁRIAS, DE FORMA MANUAL, SEM REAPROVEITAMENTO. AF_12/2017</v>
      </c>
      <c r="D54" s="1028" t="str">
        <f>VLOOKUP(A54,'17. DADOS - HISTORICO MANUT. 20'!$E:$I,4,0)</f>
        <v>UN</v>
      </c>
      <c r="E54" s="1028">
        <f>SUMIF('17. DADOS - HISTORICO MANUT. 20'!E:E,A54,'17. DADOS - HISTORICO MANUT. 20'!I:I)</f>
        <v>1</v>
      </c>
      <c r="F54" s="1030"/>
      <c r="G54" s="1030"/>
      <c r="H54" s="1031">
        <f>IFERROR(__xludf.DUMMYFUNCTION("""COMPUTED_VALUE"""),97665.0)</f>
        <v>97665</v>
      </c>
      <c r="I54" s="1028" t="str">
        <f t="shared" si="1"/>
        <v>SINAPI-S</v>
      </c>
      <c r="J54" s="1029" t="str">
        <f t="shared" si="2"/>
        <v>REMOÇÃO DE LUMINÁRIAS, DE FORMA MANUAL, SEM REAPROVEITAMENTO. AF_12/2017</v>
      </c>
      <c r="K54" s="1031" t="str">
        <f t="shared" si="3"/>
        <v>UN</v>
      </c>
      <c r="L54" s="1031">
        <f t="shared" si="4"/>
        <v>1</v>
      </c>
      <c r="M54" s="1031">
        <f t="shared" si="5"/>
        <v>0.5</v>
      </c>
      <c r="N54" s="1032">
        <f t="shared" si="6"/>
        <v>0.427333514</v>
      </c>
      <c r="O54" s="1033">
        <f t="shared" si="10"/>
        <v>1</v>
      </c>
      <c r="P54" s="1030"/>
    </row>
    <row r="55">
      <c r="A55" s="1028">
        <f>IFERROR(__xludf.DUMMYFUNCTION("""COMPUTED_VALUE"""),101915.0)</f>
        <v>101915</v>
      </c>
      <c r="B55" s="1028" t="str">
        <f>VLOOKUP(A55,'17. DADOS - HISTORICO MANUT. 20'!E:I,2,0)</f>
        <v>SINAPI-S</v>
      </c>
      <c r="C55" s="1029" t="str">
        <f>VLOOKUP(A55,'17. DADOS - HISTORICO MANUT. 20'!$E:$I,3,0)</f>
        <v>CONJUNTO DE MANGUEIRA PARA COMBATE A INCÊNDIO EM FIBRA DE POLIESTER PURA, COM 1.1/2", REVESTIDA INTERNAMENTE, COMPRIMENTO DE 15M - FORNECIMENTO E INSTALAÇÃO. AF_10/2020</v>
      </c>
      <c r="D55" s="1028" t="str">
        <f>VLOOKUP(A55,'17. DADOS - HISTORICO MANUT. 20'!$E:$I,4,0)</f>
        <v>UN</v>
      </c>
      <c r="E55" s="1028">
        <f>SUMIF('17. DADOS - HISTORICO MANUT. 20'!E:E,A55,'17. DADOS - HISTORICO MANUT. 20'!I:I)</f>
        <v>2</v>
      </c>
      <c r="F55" s="1030"/>
      <c r="G55" s="1030"/>
      <c r="H55" s="1031">
        <f>IFERROR(__xludf.DUMMYFUNCTION("""COMPUTED_VALUE"""),101915.0)</f>
        <v>101915</v>
      </c>
      <c r="I55" s="1028" t="str">
        <f t="shared" si="1"/>
        <v>SINAPI-S</v>
      </c>
      <c r="J55" s="1029" t="str">
        <f t="shared" si="2"/>
        <v>CONJUNTO DE MANGUEIRA PARA COMBATE A INCÊNDIO EM FIBRA DE POLIESTER PURA, COM 1.1/2", REVESTIDA INTERNAMENTE, COMPRIMENTO DE 15M - FORNECIMENTO E INSTALAÇÃO. AF_10/2020</v>
      </c>
      <c r="K55" s="1031" t="str">
        <f t="shared" si="3"/>
        <v>UN</v>
      </c>
      <c r="L55" s="1031">
        <f t="shared" si="4"/>
        <v>2</v>
      </c>
      <c r="M55" s="1031">
        <f t="shared" si="5"/>
        <v>1</v>
      </c>
      <c r="N55" s="1032">
        <f t="shared" si="6"/>
        <v>0.854667028</v>
      </c>
      <c r="O55" s="1033">
        <f t="shared" ref="O55:O57" si="11">ROUND(N55,0)</f>
        <v>1</v>
      </c>
      <c r="P55" s="1030"/>
    </row>
    <row r="56">
      <c r="A56" s="1028">
        <f>IFERROR(__xludf.DUMMYFUNCTION("""COMPUTED_VALUE"""),87811.0)</f>
        <v>87811</v>
      </c>
      <c r="B56" s="1028" t="str">
        <f>VLOOKUP(A56,'17. DADOS - HISTORICO MANUT. 20'!E:I,2,0)</f>
        <v>SINAPI-S</v>
      </c>
      <c r="C56" s="1029" t="str">
        <f>VLOOKUP(A56,'17. DADOS - HISTORICO MANUT. 20'!$E:$I,3,0)</f>
        <v>EMBOÇO OU MASSA ÚNICA EM ARGAMASSA TRAÇO 1:2:8, PREPARO MANUAL, APLICADA MANUALMENTE EM SUPERFÍCIES EXTERNAS DA SACADA, ESPESSURA DE 25 MM, SEM USO DE TELA METÁLICA DE REFORÇO CONTRA FISSURAÇÃO. AF_08/2022</v>
      </c>
      <c r="D56" s="1028" t="str">
        <f>VLOOKUP(A56,'17. DADOS - HISTORICO MANUT. 20'!$E:$I,4,0)</f>
        <v>M2</v>
      </c>
      <c r="E56" s="1028">
        <f>SUMIF('17. DADOS - HISTORICO MANUT. 20'!E:E,A56,'17. DADOS - HISTORICO MANUT. 20'!I:I)</f>
        <v>5</v>
      </c>
      <c r="F56" s="1030"/>
      <c r="G56" s="1030"/>
      <c r="H56" s="1031">
        <f>IFERROR(__xludf.DUMMYFUNCTION("""COMPUTED_VALUE"""),87811.0)</f>
        <v>87811</v>
      </c>
      <c r="I56" s="1028" t="str">
        <f t="shared" si="1"/>
        <v>SINAPI-S</v>
      </c>
      <c r="J56" s="1029" t="str">
        <f t="shared" si="2"/>
        <v>EMBOÇO OU MASSA ÚNICA EM ARGAMASSA TRAÇO 1:2:8, PREPARO MANUAL, APLICADA MANUALMENTE EM SUPERFÍCIES EXTERNAS DA SACADA, ESPESSURA DE 25 MM, SEM USO DE TELA METÁLICA DE REFORÇO CONTRA FISSURAÇÃO. AF_08/2022</v>
      </c>
      <c r="K56" s="1031" t="str">
        <f t="shared" si="3"/>
        <v>M2</v>
      </c>
      <c r="L56" s="1031">
        <f t="shared" si="4"/>
        <v>5</v>
      </c>
      <c r="M56" s="1031">
        <f t="shared" si="5"/>
        <v>2.5</v>
      </c>
      <c r="N56" s="1032">
        <f t="shared" si="6"/>
        <v>2.13666757</v>
      </c>
      <c r="O56" s="1033">
        <f t="shared" si="11"/>
        <v>2</v>
      </c>
      <c r="P56" s="1030"/>
    </row>
    <row r="57">
      <c r="A57" s="1028">
        <f>IFERROR(__xludf.DUMMYFUNCTION("""COMPUTED_VALUE"""),98546.0)</f>
        <v>98546</v>
      </c>
      <c r="B57" s="1028" t="str">
        <f>VLOOKUP(A57,'17. DADOS - HISTORICO MANUT. 20'!E:I,2,0)</f>
        <v>SINAPI-S</v>
      </c>
      <c r="C57" s="1029" t="str">
        <f>VLOOKUP(A57,'17. DADOS - HISTORICO MANUT. 20'!$E:$I,3,0)</f>
        <v>IMPERMEABILIZAÇÃO DE SUPERFÍCIE COM MANTA ASFÁLTICA, UMA CAMADA, INCLUSIVE APLICAÇÃO DE PRIMER ASFÁLTICO, E=3MM. AF_06/2018</v>
      </c>
      <c r="D57" s="1028" t="str">
        <f>VLOOKUP(A57,'17. DADOS - HISTORICO MANUT. 20'!$E:$I,4,0)</f>
        <v>M2</v>
      </c>
      <c r="E57" s="1028">
        <f>SUMIF('17. DADOS - HISTORICO MANUT. 20'!E:E,A57,'17. DADOS - HISTORICO MANUT. 20'!I:I)</f>
        <v>11</v>
      </c>
      <c r="F57" s="1030"/>
      <c r="G57" s="1030"/>
      <c r="H57" s="1031">
        <f>IFERROR(__xludf.DUMMYFUNCTION("""COMPUTED_VALUE"""),98546.0)</f>
        <v>98546</v>
      </c>
      <c r="I57" s="1028" t="str">
        <f t="shared" si="1"/>
        <v>SINAPI-S</v>
      </c>
      <c r="J57" s="1029" t="str">
        <f t="shared" si="2"/>
        <v>IMPERMEABILIZAÇÃO DE SUPERFÍCIE COM MANTA ASFÁLTICA, UMA CAMADA, INCLUSIVE APLICAÇÃO DE PRIMER ASFÁLTICO, E=3MM. AF_06/2018</v>
      </c>
      <c r="K57" s="1031" t="str">
        <f t="shared" si="3"/>
        <v>M2</v>
      </c>
      <c r="L57" s="1031">
        <f t="shared" si="4"/>
        <v>16</v>
      </c>
      <c r="M57" s="1031">
        <f t="shared" si="5"/>
        <v>8</v>
      </c>
      <c r="N57" s="1032">
        <f t="shared" si="6"/>
        <v>6.837336224</v>
      </c>
      <c r="O57" s="1033">
        <f t="shared" si="11"/>
        <v>7</v>
      </c>
      <c r="P57" s="1030"/>
    </row>
    <row r="58">
      <c r="A58" s="1028">
        <f>IFERROR(__xludf.DUMMYFUNCTION("""COMPUTED_VALUE"""),97644.0)</f>
        <v>97644</v>
      </c>
      <c r="B58" s="1028" t="str">
        <f>VLOOKUP(A58,'17. DADOS - HISTORICO MANUT. 20'!E:I,2,0)</f>
        <v>SINAPI-S</v>
      </c>
      <c r="C58" s="1029" t="str">
        <f>VLOOKUP(A58,'17. DADOS - HISTORICO MANUT. 20'!$E:$I,3,0)</f>
        <v>REMOÇÃO DE PORTAS, DE FORMA MANUAL, SEM REAPROVEITAMENTO. AF_12/2017</v>
      </c>
      <c r="D58" s="1028" t="str">
        <f>VLOOKUP(A58,'17. DADOS - HISTORICO MANUT. 20'!$E:$I,4,0)</f>
        <v>M2</v>
      </c>
      <c r="E58" s="1028">
        <f>SUMIF('17. DADOS - HISTORICO MANUT. 20'!E:E,A58,'17. DADOS - HISTORICO MANUT. 20'!I:I)</f>
        <v>1</v>
      </c>
      <c r="F58" s="1030"/>
      <c r="G58" s="1030"/>
      <c r="H58" s="1031">
        <f>IFERROR(__xludf.DUMMYFUNCTION("""COMPUTED_VALUE"""),97644.0)</f>
        <v>97644</v>
      </c>
      <c r="I58" s="1028" t="str">
        <f t="shared" si="1"/>
        <v>SINAPI-S</v>
      </c>
      <c r="J58" s="1029" t="str">
        <f t="shared" si="2"/>
        <v>REMOÇÃO DE PORTAS, DE FORMA MANUAL, SEM REAPROVEITAMENTO. AF_12/2017</v>
      </c>
      <c r="K58" s="1031" t="str">
        <f t="shared" si="3"/>
        <v>M2</v>
      </c>
      <c r="L58" s="1031">
        <f t="shared" si="4"/>
        <v>1</v>
      </c>
      <c r="M58" s="1031">
        <f t="shared" si="5"/>
        <v>0.5</v>
      </c>
      <c r="N58" s="1032">
        <f t="shared" si="6"/>
        <v>0.427333514</v>
      </c>
      <c r="O58" s="1033">
        <f>ROUND(N58,0)+1</f>
        <v>1</v>
      </c>
      <c r="P58" s="1030"/>
    </row>
    <row r="59">
      <c r="A59" s="1028">
        <f>IFERROR(__xludf.DUMMYFUNCTION("""COMPUTED_VALUE"""),103323.0)</f>
        <v>103323</v>
      </c>
      <c r="B59" s="1028" t="str">
        <f>VLOOKUP(A59,'17. DADOS - HISTORICO MANUT. 20'!E:I,2,0)</f>
        <v>SINAPI-S</v>
      </c>
      <c r="C59" s="1029" t="str">
        <f>VLOOKUP(A59,'17. DADOS - HISTORICO MANUT. 20'!$E:$I,3,0)</f>
        <v>ALVENARIA DE VEDAÇÃO DE BLOCOS CERÂMICOS FURADOS NA VERTICAL DE 9X19X39 CM (ESPESSURA 9 CM) E ARGAMASSA DE ASSENTAMENTO COM PREPARO MANUAL. AF_12/2021</v>
      </c>
      <c r="D59" s="1028" t="str">
        <f>VLOOKUP(A59,'17. DADOS - HISTORICO MANUT. 20'!$E:$I,4,0)</f>
        <v>M2</v>
      </c>
      <c r="E59" s="1028">
        <f>SUMIF('17. DADOS - HISTORICO MANUT. 20'!E:E,A59,'17. DADOS - HISTORICO MANUT. 20'!I:I)</f>
        <v>3</v>
      </c>
      <c r="F59" s="1030"/>
      <c r="G59" s="1030"/>
      <c r="H59" s="1031">
        <f>IFERROR(__xludf.DUMMYFUNCTION("""COMPUTED_VALUE"""),103323.0)</f>
        <v>103323</v>
      </c>
      <c r="I59" s="1028" t="str">
        <f t="shared" si="1"/>
        <v>SINAPI-S</v>
      </c>
      <c r="J59" s="1029" t="str">
        <f t="shared" si="2"/>
        <v>ALVENARIA DE VEDAÇÃO DE BLOCOS CERÂMICOS FURADOS NA VERTICAL DE 9X19X39 CM (ESPESSURA 9 CM) E ARGAMASSA DE ASSENTAMENTO COM PREPARO MANUAL. AF_12/2021</v>
      </c>
      <c r="K59" s="1031" t="str">
        <f t="shared" si="3"/>
        <v>M2</v>
      </c>
      <c r="L59" s="1031">
        <f t="shared" si="4"/>
        <v>3</v>
      </c>
      <c r="M59" s="1031">
        <f t="shared" si="5"/>
        <v>1.5</v>
      </c>
      <c r="N59" s="1032">
        <f t="shared" si="6"/>
        <v>1.282000542</v>
      </c>
      <c r="O59" s="1033">
        <f t="shared" ref="O59:O62" si="12">ROUND(N59,0)</f>
        <v>1</v>
      </c>
      <c r="P59" s="1030"/>
    </row>
    <row r="60">
      <c r="A60" s="1028">
        <f>IFERROR(__xludf.DUMMYFUNCTION("""COMPUTED_VALUE"""),97583.0)</f>
        <v>97583</v>
      </c>
      <c r="B60" s="1028" t="str">
        <f>VLOOKUP(A60,'17. DADOS - HISTORICO MANUT. 20'!E:I,2,0)</f>
        <v>SINAPI-S</v>
      </c>
      <c r="C60" s="1029" t="str">
        <f>VLOOKUP(A60,'17. DADOS - HISTORICO MANUT. 20'!$E:$I,3,0)</f>
        <v>LUMINÁRIA TIPO CALHA, DE SOBREPOR, COM 1 LÂMPADA TUBULAR FLUORESCENTE DE 18 W, COM REATOR DE PARTIDA RÁPIDA - FORNECIMENTO E INSTALAÇÃO. AF_02/2020</v>
      </c>
      <c r="D60" s="1028" t="str">
        <f>VLOOKUP(A60,'17. DADOS - HISTORICO MANUT. 20'!$E:$I,4,0)</f>
        <v>UN</v>
      </c>
      <c r="E60" s="1028">
        <f>SUMIF('17. DADOS - HISTORICO MANUT. 20'!E:E,A60,'17. DADOS - HISTORICO MANUT. 20'!I:I)</f>
        <v>2</v>
      </c>
      <c r="F60" s="1030"/>
      <c r="G60" s="1030"/>
      <c r="H60" s="1031">
        <f>IFERROR(__xludf.DUMMYFUNCTION("""COMPUTED_VALUE"""),97583.0)</f>
        <v>97583</v>
      </c>
      <c r="I60" s="1028" t="str">
        <f t="shared" si="1"/>
        <v>SINAPI-S</v>
      </c>
      <c r="J60" s="1029" t="str">
        <f t="shared" si="2"/>
        <v>LUMINÁRIA TIPO CALHA, DE SOBREPOR, COM 1 LÂMPADA TUBULAR FLUORESCENTE DE 18 W, COM REATOR DE PARTIDA RÁPIDA - FORNECIMENTO E INSTALAÇÃO. AF_02/2020</v>
      </c>
      <c r="K60" s="1031" t="str">
        <f t="shared" si="3"/>
        <v>UN</v>
      </c>
      <c r="L60" s="1031">
        <f t="shared" si="4"/>
        <v>2</v>
      </c>
      <c r="M60" s="1031">
        <f t="shared" si="5"/>
        <v>1</v>
      </c>
      <c r="N60" s="1032">
        <f t="shared" si="6"/>
        <v>0.854667028</v>
      </c>
      <c r="O60" s="1033">
        <f t="shared" si="12"/>
        <v>1</v>
      </c>
      <c r="P60" s="1030"/>
    </row>
    <row r="61">
      <c r="A61" s="1028">
        <f>IFERROR(__xludf.DUMMYFUNCTION("""COMPUTED_VALUE"""),567.0)</f>
        <v>567</v>
      </c>
      <c r="B61" s="1028" t="str">
        <f>VLOOKUP(A61,'17. DADOS - HISTORICO MANUT. 20'!E:I,2,0)</f>
        <v>SINAPI-I</v>
      </c>
      <c r="C61" s="1029" t="str">
        <f>VLOOKUP(A61,'17. DADOS - HISTORICO MANUT. 20'!$E:$I,3,0)</f>
        <v>CANTONEIRA (ABAS IGUAIS) EM ACO CARBONO, 25,4 MM X 3,17 MM (L X E), 1,27KG/M</v>
      </c>
      <c r="D61" s="1028" t="str">
        <f>VLOOKUP(A61,'17. DADOS - HISTORICO MANUT. 20'!$E:$I,4,0)</f>
        <v>M</v>
      </c>
      <c r="E61" s="1028">
        <f>SUMIF('17. DADOS - HISTORICO MANUT. 20'!E:E,A61,'17. DADOS - HISTORICO MANUT. 20'!I:I)</f>
        <v>6</v>
      </c>
      <c r="F61" s="1030"/>
      <c r="G61" s="1030"/>
      <c r="H61" s="1031">
        <f>IFERROR(__xludf.DUMMYFUNCTION("""COMPUTED_VALUE"""),567.0)</f>
        <v>567</v>
      </c>
      <c r="I61" s="1028" t="str">
        <f t="shared" si="1"/>
        <v>SINAPI-I</v>
      </c>
      <c r="J61" s="1029" t="str">
        <f t="shared" si="2"/>
        <v>CANTONEIRA (ABAS IGUAIS) EM ACO CARBONO, 25,4 MM X 3,17 MM (L X E), 1,27KG/M</v>
      </c>
      <c r="K61" s="1031" t="str">
        <f t="shared" si="3"/>
        <v>M</v>
      </c>
      <c r="L61" s="1031">
        <f t="shared" si="4"/>
        <v>6</v>
      </c>
      <c r="M61" s="1031">
        <f t="shared" si="5"/>
        <v>3</v>
      </c>
      <c r="N61" s="1032">
        <f t="shared" si="6"/>
        <v>2.564001084</v>
      </c>
      <c r="O61" s="1033">
        <f t="shared" si="12"/>
        <v>3</v>
      </c>
      <c r="P61" s="1030"/>
    </row>
    <row r="62">
      <c r="A62" s="1028">
        <f>IFERROR(__xludf.DUMMYFUNCTION("""COMPUTED_VALUE"""),91989.0)</f>
        <v>91989</v>
      </c>
      <c r="B62" s="1028" t="str">
        <f>VLOOKUP(A62,'17. DADOS - HISTORICO MANUT. 20'!E:I,2,0)</f>
        <v>SINAPI-S</v>
      </c>
      <c r="C62" s="1029" t="str">
        <f>VLOOKUP(A62,'17. DADOS - HISTORICO MANUT. 20'!$E:$I,3,0)</f>
        <v>INTERRUPTOR PULSADOR MINUTERIA (1 MÓDULO), 10A/250V, INCLUINDO SUPORTE E PLACA - FORNECIMENTO E INSTALAÇÃO. AF_03/2023</v>
      </c>
      <c r="D62" s="1028" t="str">
        <f>VLOOKUP(A62,'17. DADOS - HISTORICO MANUT. 20'!$E:$I,4,0)</f>
        <v>UN</v>
      </c>
      <c r="E62" s="1028">
        <f>SUMIF('17. DADOS - HISTORICO MANUT. 20'!E:E,A62,'17. DADOS - HISTORICO MANUT. 20'!I:I)</f>
        <v>2</v>
      </c>
      <c r="F62" s="1030"/>
      <c r="G62" s="1030"/>
      <c r="H62" s="1031">
        <f>IFERROR(__xludf.DUMMYFUNCTION("""COMPUTED_VALUE"""),91989.0)</f>
        <v>91989</v>
      </c>
      <c r="I62" s="1028" t="str">
        <f t="shared" si="1"/>
        <v>SINAPI-S</v>
      </c>
      <c r="J62" s="1029" t="str">
        <f t="shared" si="2"/>
        <v>INTERRUPTOR PULSADOR MINUTERIA (1 MÓDULO), 10A/250V, INCLUINDO SUPORTE E PLACA - FORNECIMENTO E INSTALAÇÃO. AF_03/2023</v>
      </c>
      <c r="K62" s="1031" t="str">
        <f t="shared" si="3"/>
        <v>UN</v>
      </c>
      <c r="L62" s="1031">
        <f t="shared" si="4"/>
        <v>2</v>
      </c>
      <c r="M62" s="1031">
        <f t="shared" si="5"/>
        <v>1</v>
      </c>
      <c r="N62" s="1032">
        <f t="shared" si="6"/>
        <v>0.854667028</v>
      </c>
      <c r="O62" s="1033">
        <f t="shared" si="12"/>
        <v>1</v>
      </c>
      <c r="P62" s="1030"/>
    </row>
    <row r="63">
      <c r="A63" s="1028">
        <f>IFERROR(__xludf.DUMMYFUNCTION("""COMPUTED_VALUE"""),86937.0)</f>
        <v>86937</v>
      </c>
      <c r="B63" s="1028" t="str">
        <f>VLOOKUP(A63,'17. DADOS - HISTORICO MANUT. 20'!E:I,2,0)</f>
        <v>SINAPI-S</v>
      </c>
      <c r="C63" s="1029" t="str">
        <f>VLOOKUP(A63,'17. DADOS - HISTORICO MANUT. 20'!$E:$I,3,0)</f>
        <v>CUBA DE EMBUTIR OVAL EM LOUÇA BRANCA, 35 X 50CM OU EQUIVALENTE, INCLUSO VÁLVULA EM METAL CROMADO E SIFÃO FLEXÍVEL EM PVC - FORNECIMENTO E INSTALAÇÃO. AF_01/2020</v>
      </c>
      <c r="D63" s="1028" t="str">
        <f>VLOOKUP(A63,'17. DADOS - HISTORICO MANUT. 20'!$E:$I,4,0)</f>
        <v>UN</v>
      </c>
      <c r="E63" s="1028">
        <f>SUMIF('17. DADOS - HISTORICO MANUT. 20'!E:E,A63,'17. DADOS - HISTORICO MANUT. 20'!I:I)</f>
        <v>1</v>
      </c>
      <c r="F63" s="1030"/>
      <c r="G63" s="1030"/>
      <c r="H63" s="1031">
        <f>IFERROR(__xludf.DUMMYFUNCTION("""COMPUTED_VALUE"""),86937.0)</f>
        <v>86937</v>
      </c>
      <c r="I63" s="1028" t="str">
        <f t="shared" si="1"/>
        <v>SINAPI-S</v>
      </c>
      <c r="J63" s="1029" t="str">
        <f t="shared" si="2"/>
        <v>CUBA DE EMBUTIR OVAL EM LOUÇA BRANCA, 35 X 50CM OU EQUIVALENTE, INCLUSO VÁLVULA EM METAL CROMADO E SIFÃO FLEXÍVEL EM PVC - FORNECIMENTO E INSTALAÇÃO. AF_01/2020</v>
      </c>
      <c r="K63" s="1031" t="str">
        <f t="shared" si="3"/>
        <v>UN</v>
      </c>
      <c r="L63" s="1031">
        <f t="shared" si="4"/>
        <v>1</v>
      </c>
      <c r="M63" s="1031">
        <f t="shared" si="5"/>
        <v>0.5</v>
      </c>
      <c r="N63" s="1032">
        <f t="shared" si="6"/>
        <v>0.427333514</v>
      </c>
      <c r="O63" s="1033">
        <f>ROUND(N63,0)+1</f>
        <v>1</v>
      </c>
      <c r="P63" s="1030"/>
    </row>
    <row r="64">
      <c r="A64" s="1028">
        <f>IFERROR(__xludf.DUMMYFUNCTION("""COMPUTED_VALUE"""),89969.0)</f>
        <v>89969</v>
      </c>
      <c r="B64" s="1028" t="str">
        <f>VLOOKUP(A64,'17. DADOS - HISTORICO MANUT. 20'!E:I,2,0)</f>
        <v>SINAPI-S</v>
      </c>
      <c r="C64" s="1029" t="str">
        <f>VLOOKUP(A64,'17. DADOS - HISTORICO MANUT. 20'!$E:$I,3,0)</f>
        <v>KIT DE REGISTRO DE PRESSÃO BRUTO DE LATÃO ½", INCLUSIVE CONEXÕES,  ROSCÁVEL, INSTALADO EM RAMAL DE ÁGUA FRIA - FORNECIMENTO E INSTALAÇÃO. AF_12/2014</v>
      </c>
      <c r="D64" s="1028" t="str">
        <f>VLOOKUP(A64,'17. DADOS - HISTORICO MANUT. 20'!$E:$I,4,0)</f>
        <v>UN</v>
      </c>
      <c r="E64" s="1028">
        <f>SUMIF('17. DADOS - HISTORICO MANUT. 20'!E:E,A64,'17. DADOS - HISTORICO MANUT. 20'!I:I)</f>
        <v>4</v>
      </c>
      <c r="F64" s="1030"/>
      <c r="G64" s="1030"/>
      <c r="H64" s="1031">
        <f>IFERROR(__xludf.DUMMYFUNCTION("""COMPUTED_VALUE"""),89969.0)</f>
        <v>89969</v>
      </c>
      <c r="I64" s="1028" t="str">
        <f t="shared" si="1"/>
        <v>SINAPI-S</v>
      </c>
      <c r="J64" s="1029" t="str">
        <f t="shared" si="2"/>
        <v>KIT DE REGISTRO DE PRESSÃO BRUTO DE LATÃO ½", INCLUSIVE CONEXÕES,  ROSCÁVEL, INSTALADO EM RAMAL DE ÁGUA FRIA - FORNECIMENTO E INSTALAÇÃO. AF_12/2014</v>
      </c>
      <c r="K64" s="1031" t="str">
        <f t="shared" si="3"/>
        <v>UN</v>
      </c>
      <c r="L64" s="1031">
        <f t="shared" si="4"/>
        <v>5</v>
      </c>
      <c r="M64" s="1031">
        <f t="shared" si="5"/>
        <v>2.5</v>
      </c>
      <c r="N64" s="1032">
        <f t="shared" si="6"/>
        <v>2.13666757</v>
      </c>
      <c r="O64" s="1033">
        <f t="shared" ref="O64:O66" si="13">ROUND(N64,0)</f>
        <v>2</v>
      </c>
      <c r="P64" s="1030"/>
    </row>
    <row r="65">
      <c r="A65" s="1028">
        <f>IFERROR(__xludf.DUMMYFUNCTION("""COMPUTED_VALUE"""),104479.0)</f>
        <v>104479</v>
      </c>
      <c r="B65" s="1028" t="str">
        <f>VLOOKUP(A65,'17. DADOS - HISTORICO MANUT. 20'!E:I,2,0)</f>
        <v>SINAPI-S</v>
      </c>
      <c r="C65" s="1029" t="str">
        <f>VLOOKUP(A65,'17. DADOS - HISTORICO MANUT. 20'!$E:$I,3,0)</f>
        <v>COMPOSIÇÃO PARAMÉTRICA DE PONTO ELÉTRICO DE TOMADA DE USO GERAL 2P+T (10A/250V) EM EDIFÍCIO RESIDENCIAL COM ELETRODUTO EMBUTIDO SEM NECESSIDADE DE RASGOS, INCLUSO TOMADA, ELETRODUTO, CABO E QUEBRA. AF_11/2022</v>
      </c>
      <c r="D65" s="1028" t="str">
        <f>VLOOKUP(A65,'17. DADOS - HISTORICO MANUT. 20'!$E:$I,4,0)</f>
        <v>UN</v>
      </c>
      <c r="E65" s="1028">
        <f>SUMIF('17. DADOS - HISTORICO MANUT. 20'!E:E,A65,'17. DADOS - HISTORICO MANUT. 20'!I:I)</f>
        <v>1</v>
      </c>
      <c r="F65" s="1030"/>
      <c r="G65" s="1030"/>
      <c r="H65" s="1031">
        <f>IFERROR(__xludf.DUMMYFUNCTION("""COMPUTED_VALUE"""),104479.0)</f>
        <v>104479</v>
      </c>
      <c r="I65" s="1028" t="str">
        <f t="shared" si="1"/>
        <v>SINAPI-S</v>
      </c>
      <c r="J65" s="1029" t="str">
        <f t="shared" si="2"/>
        <v>COMPOSIÇÃO PARAMÉTRICA DE PONTO ELÉTRICO DE TOMADA DE USO GERAL 2P+T (10A/250V) EM EDIFÍCIO RESIDENCIAL COM ELETRODUTO EMBUTIDO SEM NECESSIDADE DE RASGOS, INCLUSO TOMADA, ELETRODUTO, CABO E QUEBRA. AF_11/2022</v>
      </c>
      <c r="K65" s="1031" t="str">
        <f t="shared" si="3"/>
        <v>UN</v>
      </c>
      <c r="L65" s="1031">
        <f t="shared" si="4"/>
        <v>3</v>
      </c>
      <c r="M65" s="1031">
        <f t="shared" si="5"/>
        <v>1.5</v>
      </c>
      <c r="N65" s="1032">
        <f t="shared" si="6"/>
        <v>1.282000542</v>
      </c>
      <c r="O65" s="1033">
        <f t="shared" si="13"/>
        <v>1</v>
      </c>
      <c r="P65" s="1030"/>
    </row>
    <row r="66">
      <c r="A66" s="1028">
        <f>IFERROR(__xludf.DUMMYFUNCTION("""COMPUTED_VALUE"""),97600.0)</f>
        <v>97600</v>
      </c>
      <c r="B66" s="1028" t="str">
        <f>VLOOKUP(A66,'17. DADOS - HISTORICO MANUT. 20'!E:I,2,0)</f>
        <v>SINAPI-S</v>
      </c>
      <c r="C66" s="1029" t="str">
        <f>VLOOKUP(A66,'17. DADOS - HISTORICO MANUT. 20'!$E:$I,3,0)</f>
        <v>REFLETOR EM ALUMÍNIO, DE SUPORTE E ALÇA, COM 1 LÂMPADA VAPOR DE MERCÚRIO DE 125 W, COM REATOR ALTO FATOR DE POTÊNCIA - FORNECIMENTO E INSTALAÇÃO. AF_02/2020</v>
      </c>
      <c r="D66" s="1028" t="str">
        <f>VLOOKUP(A66,'17. DADOS - HISTORICO MANUT. 20'!$E:$I,4,0)</f>
        <v>UN</v>
      </c>
      <c r="E66" s="1028">
        <f>SUMIF('17. DADOS - HISTORICO MANUT. 20'!E:E,A66,'17. DADOS - HISTORICO MANUT. 20'!I:I)</f>
        <v>7</v>
      </c>
      <c r="F66" s="1030"/>
      <c r="G66" s="1030"/>
      <c r="H66" s="1031">
        <f>IFERROR(__xludf.DUMMYFUNCTION("""COMPUTED_VALUE"""),97600.0)</f>
        <v>97600</v>
      </c>
      <c r="I66" s="1028" t="str">
        <f t="shared" si="1"/>
        <v>SINAPI-S</v>
      </c>
      <c r="J66" s="1029" t="str">
        <f t="shared" si="2"/>
        <v>REFLETOR EM ALUMÍNIO, DE SUPORTE E ALÇA, COM 1 LÂMPADA VAPOR DE MERCÚRIO DE 125 W, COM REATOR ALTO FATOR DE POTÊNCIA - FORNECIMENTO E INSTALAÇÃO. AF_02/2020</v>
      </c>
      <c r="K66" s="1031" t="str">
        <f t="shared" si="3"/>
        <v>UN</v>
      </c>
      <c r="L66" s="1031">
        <f t="shared" si="4"/>
        <v>7</v>
      </c>
      <c r="M66" s="1031">
        <f t="shared" si="5"/>
        <v>3.5</v>
      </c>
      <c r="N66" s="1032">
        <f t="shared" si="6"/>
        <v>2.991334598</v>
      </c>
      <c r="O66" s="1033">
        <f t="shared" si="13"/>
        <v>3</v>
      </c>
      <c r="P66" s="1030"/>
    </row>
    <row r="67">
      <c r="A67" s="1028">
        <f>IFERROR(__xludf.DUMMYFUNCTION("""COMPUTED_VALUE"""),99818.0)</f>
        <v>99818</v>
      </c>
      <c r="B67" s="1028" t="str">
        <f>VLOOKUP(A67,'17. DADOS - HISTORICO MANUT. 20'!E:I,2,0)</f>
        <v>SINAPI-S</v>
      </c>
      <c r="C67" s="1029" t="str">
        <f>VLOOKUP(A67,'17. DADOS - HISTORICO MANUT. 20'!$E:$I,3,0)</f>
        <v>LIMPEZA DE BACIA SANITÁRIA, BIDÊ OU MICTÓRIO EM LOUÇA, INCLUSIVE METAIS CORRESPONDENTES. AF_04/2019</v>
      </c>
      <c r="D67" s="1028" t="str">
        <f>VLOOKUP(A67,'17. DADOS - HISTORICO MANUT. 20'!$E:$I,4,0)</f>
        <v>UN</v>
      </c>
      <c r="E67" s="1028">
        <f>SUMIF('17. DADOS - HISTORICO MANUT. 20'!E:E,A67,'17. DADOS - HISTORICO MANUT. 20'!I:I)</f>
        <v>1</v>
      </c>
      <c r="F67" s="1030"/>
      <c r="G67" s="1030"/>
      <c r="H67" s="1031">
        <f>IFERROR(__xludf.DUMMYFUNCTION("""COMPUTED_VALUE"""),99818.0)</f>
        <v>99818</v>
      </c>
      <c r="I67" s="1028" t="str">
        <f t="shared" si="1"/>
        <v>SINAPI-S</v>
      </c>
      <c r="J67" s="1029" t="str">
        <f t="shared" si="2"/>
        <v>LIMPEZA DE BACIA SANITÁRIA, BIDÊ OU MICTÓRIO EM LOUÇA, INCLUSIVE METAIS CORRESPONDENTES. AF_04/2019</v>
      </c>
      <c r="K67" s="1031" t="str">
        <f t="shared" si="3"/>
        <v>UN</v>
      </c>
      <c r="L67" s="1031">
        <f t="shared" si="4"/>
        <v>1</v>
      </c>
      <c r="M67" s="1031">
        <f t="shared" si="5"/>
        <v>0.5</v>
      </c>
      <c r="N67" s="1032">
        <f t="shared" si="6"/>
        <v>0.427333514</v>
      </c>
      <c r="O67" s="1033">
        <f>ROUND(N67,0)+1</f>
        <v>1</v>
      </c>
      <c r="P67" s="1030"/>
    </row>
    <row r="68">
      <c r="A68" s="1028" t="str">
        <f>IFERROR(__xludf.DUMMYFUNCTION("""COMPUTED_VALUE"""),"MAN_PR_019")</f>
        <v>MAN_PR_019</v>
      </c>
      <c r="B68" s="1028" t="str">
        <f>VLOOKUP(A68,'17. DADOS - HISTORICO MANUT. 20'!E:I,2,0)</f>
        <v>COMP.EVENTUAL</v>
      </c>
      <c r="C68" s="1029" t="str">
        <f>VLOOKUP(A68,'17. DADOS - HISTORICO MANUT. 20'!$E:$I,3,0)</f>
        <v>DESENTUPIMENTO E LIMPEZA DE BACIAS SANITÁRIAS</v>
      </c>
      <c r="D68" s="1028" t="str">
        <f>VLOOKUP(A68,'17. DADOS - HISTORICO MANUT. 20'!$E:$I,4,0)</f>
        <v>UN</v>
      </c>
      <c r="E68" s="1028">
        <f>SUMIF('17. DADOS - HISTORICO MANUT. 20'!E:E,A68,'17. DADOS - HISTORICO MANUT. 20'!I:I)</f>
        <v>4</v>
      </c>
      <c r="F68" s="1030"/>
      <c r="G68" s="1030"/>
      <c r="H68" s="1031" t="str">
        <f>IFERROR(__xludf.DUMMYFUNCTION("""COMPUTED_VALUE"""),"MAN_PR_019")</f>
        <v>MAN_PR_019</v>
      </c>
      <c r="I68" s="1028" t="str">
        <f t="shared" si="1"/>
        <v>COMP.EVENTUAL</v>
      </c>
      <c r="J68" s="1029" t="str">
        <f t="shared" si="2"/>
        <v>DESENTUPIMENTO E LIMPEZA DE BACIAS SANITÁRIAS</v>
      </c>
      <c r="K68" s="1031" t="str">
        <f t="shared" si="3"/>
        <v>UN</v>
      </c>
      <c r="L68" s="1031">
        <f t="shared" si="4"/>
        <v>7</v>
      </c>
      <c r="M68" s="1031">
        <f t="shared" si="5"/>
        <v>3.5</v>
      </c>
      <c r="N68" s="1032">
        <f t="shared" si="6"/>
        <v>2.991334598</v>
      </c>
      <c r="O68" s="1033">
        <f t="shared" ref="O68:O74" si="14">ROUND(N68,0)</f>
        <v>3</v>
      </c>
      <c r="P68" s="1030"/>
    </row>
    <row r="69">
      <c r="A69" s="1028">
        <f>IFERROR(__xludf.DUMMYFUNCTION("""COMPUTED_VALUE"""),91795.0)</f>
        <v>91795</v>
      </c>
      <c r="B69" s="1028" t="str">
        <f>VLOOKUP(A69,'17. DADOS - HISTORICO MANUT. 20'!E:I,2,0)</f>
        <v>SINAPI-S</v>
      </c>
      <c r="C69" s="1029" t="str">
        <f>VLOOKUP(A69,'17. DADOS - HISTORICO MANUT. 20'!$E:$I,3,0)</f>
        <v>(COMPOSIÇÃO REPRESENTATIVA) DO SERVIÇO DE INST. TUBO PVC, SÉRIE N, ESGOTO PREDIAL, 100 MM (INST. RAMAL DESCARGA, RAMAL DE ESG. SANIT., PRUMADA ESG. SANIT., VENTILAÇÃO OU SUB-COLETOR AÉREO), INCL. CONEXÕES E CORTES, FIXAÇÕES, P/ PRÉDIOS. AF_10/2015</v>
      </c>
      <c r="D69" s="1028" t="str">
        <f>VLOOKUP(A69,'17. DADOS - HISTORICO MANUT. 20'!$E:$I,4,0)</f>
        <v>M</v>
      </c>
      <c r="E69" s="1028">
        <f>SUMIF('17. DADOS - HISTORICO MANUT. 20'!E:E,A69,'17. DADOS - HISTORICO MANUT. 20'!I:I)</f>
        <v>6</v>
      </c>
      <c r="F69" s="1030"/>
      <c r="G69" s="1030"/>
      <c r="H69" s="1031">
        <f>IFERROR(__xludf.DUMMYFUNCTION("""COMPUTED_VALUE"""),91795.0)</f>
        <v>91795</v>
      </c>
      <c r="I69" s="1028" t="str">
        <f t="shared" si="1"/>
        <v>SINAPI-S</v>
      </c>
      <c r="J69" s="1029" t="str">
        <f t="shared" si="2"/>
        <v>(COMPOSIÇÃO REPRESENTATIVA) DO SERVIÇO DE INST. TUBO PVC, SÉRIE N, ESGOTO PREDIAL, 100 MM (INST. RAMAL DESCARGA, RAMAL DE ESG. SANIT., PRUMADA ESG. SANIT., VENTILAÇÃO OU SUB-COLETOR AÉREO), INCL. CONEXÕES E CORTES, FIXAÇÕES, P/ PRÉDIOS. AF_10/2015</v>
      </c>
      <c r="K69" s="1031" t="str">
        <f t="shared" si="3"/>
        <v>M</v>
      </c>
      <c r="L69" s="1031">
        <f t="shared" si="4"/>
        <v>6</v>
      </c>
      <c r="M69" s="1031">
        <f t="shared" si="5"/>
        <v>3</v>
      </c>
      <c r="N69" s="1032">
        <f t="shared" si="6"/>
        <v>2.564001084</v>
      </c>
      <c r="O69" s="1033">
        <f t="shared" si="14"/>
        <v>3</v>
      </c>
      <c r="P69" s="1030"/>
    </row>
    <row r="70">
      <c r="A70" s="1028">
        <f>IFERROR(__xludf.DUMMYFUNCTION("""COMPUTED_VALUE"""),101913.0)</f>
        <v>101913</v>
      </c>
      <c r="B70" s="1028" t="str">
        <f>VLOOKUP(A70,'17. DADOS - HISTORICO MANUT. 20'!E:I,2,0)</f>
        <v>SINAPI-S</v>
      </c>
      <c r="C70" s="1029" t="str">
        <f>VLOOKUP(A70,'17. DADOS - HISTORICO MANUT. 20'!$E:$I,3,0)</f>
        <v>CAIXA DE INCÊNDIO 45X75X17CM - FORNECIMENTO E INSTALAÇÃO. AF_10/2020</v>
      </c>
      <c r="D70" s="1028" t="str">
        <f>VLOOKUP(A70,'17. DADOS - HISTORICO MANUT. 20'!$E:$I,4,0)</f>
        <v>UN</v>
      </c>
      <c r="E70" s="1028">
        <f>SUMIF('17. DADOS - HISTORICO MANUT. 20'!E:E,A70,'17. DADOS - HISTORICO MANUT. 20'!I:I)</f>
        <v>4</v>
      </c>
      <c r="F70" s="1030"/>
      <c r="G70" s="1030"/>
      <c r="H70" s="1031">
        <f>IFERROR(__xludf.DUMMYFUNCTION("""COMPUTED_VALUE"""),101913.0)</f>
        <v>101913</v>
      </c>
      <c r="I70" s="1028" t="str">
        <f t="shared" si="1"/>
        <v>SINAPI-S</v>
      </c>
      <c r="J70" s="1029" t="str">
        <f t="shared" si="2"/>
        <v>CAIXA DE INCÊNDIO 45X75X17CM - FORNECIMENTO E INSTALAÇÃO. AF_10/2020</v>
      </c>
      <c r="K70" s="1031" t="str">
        <f t="shared" si="3"/>
        <v>UN</v>
      </c>
      <c r="L70" s="1031">
        <f t="shared" si="4"/>
        <v>4</v>
      </c>
      <c r="M70" s="1031">
        <f t="shared" si="5"/>
        <v>2</v>
      </c>
      <c r="N70" s="1032">
        <f t="shared" si="6"/>
        <v>1.709334056</v>
      </c>
      <c r="O70" s="1033">
        <f t="shared" si="14"/>
        <v>2</v>
      </c>
      <c r="P70" s="1030"/>
    </row>
    <row r="71">
      <c r="A71" s="1028">
        <f>IFERROR(__xludf.DUMMYFUNCTION("""COMPUTED_VALUE"""),11581.0)</f>
        <v>11581</v>
      </c>
      <c r="B71" s="1028" t="str">
        <f>VLOOKUP(A71,'17. DADOS - HISTORICO MANUT. 20'!E:I,2,0)</f>
        <v>SINAPI-I</v>
      </c>
      <c r="C71" s="1029" t="str">
        <f>VLOOKUP(A71,'17. DADOS - HISTORICO MANUT. 20'!$E:$I,3,0)</f>
        <v>TRILHO PANTOGRAFICO CONCAVO, TIPO U, EM ALUMINIO, COM DIMENSOES DE APROX *35 X 35* MM, PARA ROLDANA DE PORTA DE CORRER</v>
      </c>
      <c r="D71" s="1028" t="str">
        <f>VLOOKUP(A71,'17. DADOS - HISTORICO MANUT. 20'!$E:$I,4,0)</f>
        <v>M</v>
      </c>
      <c r="E71" s="1028">
        <f>SUMIF('17. DADOS - HISTORICO MANUT. 20'!E:E,A71,'17. DADOS - HISTORICO MANUT. 20'!I:I)</f>
        <v>2</v>
      </c>
      <c r="F71" s="1030"/>
      <c r="G71" s="1030"/>
      <c r="H71" s="1031">
        <f>IFERROR(__xludf.DUMMYFUNCTION("""COMPUTED_VALUE"""),11581.0)</f>
        <v>11581</v>
      </c>
      <c r="I71" s="1028" t="str">
        <f t="shared" si="1"/>
        <v>SINAPI-I</v>
      </c>
      <c r="J71" s="1029" t="str">
        <f t="shared" si="2"/>
        <v>TRILHO PANTOGRAFICO CONCAVO, TIPO U, EM ALUMINIO, COM DIMENSOES DE APROX *35 X 35* MM, PARA ROLDANA DE PORTA DE CORRER</v>
      </c>
      <c r="K71" s="1031" t="str">
        <f t="shared" si="3"/>
        <v>M</v>
      </c>
      <c r="L71" s="1031">
        <f t="shared" si="4"/>
        <v>2</v>
      </c>
      <c r="M71" s="1031">
        <f t="shared" si="5"/>
        <v>1</v>
      </c>
      <c r="N71" s="1032">
        <f t="shared" si="6"/>
        <v>0.854667028</v>
      </c>
      <c r="O71" s="1033">
        <f t="shared" si="14"/>
        <v>1</v>
      </c>
      <c r="P71" s="1030"/>
    </row>
    <row r="72">
      <c r="A72" s="1028">
        <f>IFERROR(__xludf.DUMMYFUNCTION("""COMPUTED_VALUE"""),100742.0)</f>
        <v>100742</v>
      </c>
      <c r="B72" s="1028" t="str">
        <f>VLOOKUP(A72,'17. DADOS - HISTORICO MANUT. 20'!E:I,2,0)</f>
        <v>SINAPI-S</v>
      </c>
      <c r="C72" s="1029" t="str">
        <f>VLOOKUP(A72,'17. DADOS - HISTORICO MANUT. 20'!$E:$I,3,0)</f>
        <v>PINTURA COM TINTA ALQUÍDICA DE ACABAMENTO (ESMALTE SINTÉTICO ACETINADO) APLICADA A ROLO OU PINCEL SOBRE SUPERFÍCIES METÁLICAS (EXCETO PERFIL) EXECUTADO EM OBRA (POR DEMÃO). AF_01/2020</v>
      </c>
      <c r="D72" s="1028" t="str">
        <f>VLOOKUP(A72,'17. DADOS - HISTORICO MANUT. 20'!$E:$I,4,0)</f>
        <v>M2</v>
      </c>
      <c r="E72" s="1028">
        <f>SUMIF('17. DADOS - HISTORICO MANUT. 20'!E:E,A72,'17. DADOS - HISTORICO MANUT. 20'!I:I)</f>
        <v>102</v>
      </c>
      <c r="F72" s="1030"/>
      <c r="G72" s="1030"/>
      <c r="H72" s="1031">
        <f>IFERROR(__xludf.DUMMYFUNCTION("""COMPUTED_VALUE"""),100742.0)</f>
        <v>100742</v>
      </c>
      <c r="I72" s="1028" t="str">
        <f t="shared" si="1"/>
        <v>SINAPI-S</v>
      </c>
      <c r="J72" s="1029" t="str">
        <f t="shared" si="2"/>
        <v>PINTURA COM TINTA ALQUÍDICA DE ACABAMENTO (ESMALTE SINTÉTICO ACETINADO) APLICADA A ROLO OU PINCEL SOBRE SUPERFÍCIES METÁLICAS (EXCETO PERFIL) EXECUTADO EM OBRA (POR DEMÃO). AF_01/2020</v>
      </c>
      <c r="K72" s="1031" t="str">
        <f t="shared" si="3"/>
        <v>M2</v>
      </c>
      <c r="L72" s="1031">
        <f t="shared" si="4"/>
        <v>102</v>
      </c>
      <c r="M72" s="1031">
        <f t="shared" si="5"/>
        <v>51</v>
      </c>
      <c r="N72" s="1032">
        <f t="shared" si="6"/>
        <v>43.58801843</v>
      </c>
      <c r="O72" s="1033">
        <f t="shared" si="14"/>
        <v>44</v>
      </c>
      <c r="P72" s="1030"/>
    </row>
    <row r="73">
      <c r="A73" s="1028">
        <f>IFERROR(__xludf.DUMMYFUNCTION("""COMPUTED_VALUE"""),38179.0)</f>
        <v>38179</v>
      </c>
      <c r="B73" s="1028" t="str">
        <f>VLOOKUP(A73,'17. DADOS - HISTORICO MANUT. 20'!E:I,2,0)</f>
        <v>SINAPI-I</v>
      </c>
      <c r="C73" s="1029" t="str">
        <f>VLOOKUP(A73,'17. DADOS - HISTORICO MANUT. 20'!$E:$I,3,0)</f>
        <v>ROLDANA CONCAVA DUPLA, 4 RODAS, PARA PORTA DE CORRER, EM ZAMAC COM CHAPA DE ACO,  ROLAMENTO INTERNO BLINDADO DE ACO REVESTIDO EM NYLON</v>
      </c>
      <c r="D73" s="1028" t="str">
        <f>VLOOKUP(A73,'17. DADOS - HISTORICO MANUT. 20'!$E:$I,4,0)</f>
        <v>UN</v>
      </c>
      <c r="E73" s="1028">
        <f>SUMIF('17. DADOS - HISTORICO MANUT. 20'!E:E,A73,'17. DADOS - HISTORICO MANUT. 20'!I:I)</f>
        <v>4</v>
      </c>
      <c r="F73" s="1030"/>
      <c r="G73" s="1030"/>
      <c r="H73" s="1031">
        <f>IFERROR(__xludf.DUMMYFUNCTION("""COMPUTED_VALUE"""),38179.0)</f>
        <v>38179</v>
      </c>
      <c r="I73" s="1028" t="str">
        <f t="shared" si="1"/>
        <v>SINAPI-I</v>
      </c>
      <c r="J73" s="1029" t="str">
        <f t="shared" si="2"/>
        <v>ROLDANA CONCAVA DUPLA, 4 RODAS, PARA PORTA DE CORRER, EM ZAMAC COM CHAPA DE ACO,  ROLAMENTO INTERNO BLINDADO DE ACO REVESTIDO EM NYLON</v>
      </c>
      <c r="K73" s="1031" t="str">
        <f t="shared" si="3"/>
        <v>UN</v>
      </c>
      <c r="L73" s="1031">
        <f t="shared" si="4"/>
        <v>4</v>
      </c>
      <c r="M73" s="1031">
        <f t="shared" si="5"/>
        <v>2</v>
      </c>
      <c r="N73" s="1032">
        <f t="shared" si="6"/>
        <v>1.709334056</v>
      </c>
      <c r="O73" s="1033">
        <f t="shared" si="14"/>
        <v>2</v>
      </c>
      <c r="P73" s="1030"/>
    </row>
    <row r="74">
      <c r="A74" s="1028" t="str">
        <f>IFERROR(__xludf.DUMMYFUNCTION("""COMPUTED_VALUE"""),"MAN_PR_020")</f>
        <v>MAN_PR_020</v>
      </c>
      <c r="B74" s="1028" t="str">
        <f>VLOOKUP(A74,'17. DADOS - HISTORICO MANUT. 20'!E:I,2,0)</f>
        <v>COMP.EVENTUAL</v>
      </c>
      <c r="C74" s="1029" t="str">
        <f>VLOOKUP(A74,'17. DADOS - HISTORICO MANUT. 20'!$E:$I,3,0)</f>
        <v>TESTE, LIMPEZA E REAPERTO DOS COMPONENTES PARA QUADROS DE DISTRIBUIÇÃO ATÉ 64 CIRCUITOS</v>
      </c>
      <c r="D74" s="1028" t="str">
        <f>VLOOKUP(A74,'17. DADOS - HISTORICO MANUT. 20'!$E:$I,4,0)</f>
        <v>UN</v>
      </c>
      <c r="E74" s="1028">
        <f>SUMIF('17. DADOS - HISTORICO MANUT. 20'!E:E,A74,'17. DADOS - HISTORICO MANUT. 20'!I:I)</f>
        <v>14</v>
      </c>
      <c r="F74" s="1030"/>
      <c r="G74" s="1030"/>
      <c r="H74" s="1031" t="str">
        <f>IFERROR(__xludf.DUMMYFUNCTION("""COMPUTED_VALUE"""),"MAN_PR_020")</f>
        <v>MAN_PR_020</v>
      </c>
      <c r="I74" s="1028" t="str">
        <f t="shared" si="1"/>
        <v>COMP.EVENTUAL</v>
      </c>
      <c r="J74" s="1029" t="str">
        <f t="shared" si="2"/>
        <v>TESTE, LIMPEZA E REAPERTO DOS COMPONENTES PARA QUADROS DE DISTRIBUIÇÃO ATÉ 64 CIRCUITOS</v>
      </c>
      <c r="K74" s="1031" t="str">
        <f t="shared" si="3"/>
        <v>UN</v>
      </c>
      <c r="L74" s="1031">
        <f t="shared" si="4"/>
        <v>14</v>
      </c>
      <c r="M74" s="1031">
        <f t="shared" si="5"/>
        <v>7</v>
      </c>
      <c r="N74" s="1032">
        <f t="shared" si="6"/>
        <v>5.982669196</v>
      </c>
      <c r="O74" s="1033">
        <f t="shared" si="14"/>
        <v>6</v>
      </c>
      <c r="P74" s="1030"/>
    </row>
    <row r="75">
      <c r="A75" s="1028">
        <f>IFERROR(__xludf.DUMMYFUNCTION("""COMPUTED_VALUE"""),100858.0)</f>
        <v>100858</v>
      </c>
      <c r="B75" s="1028" t="str">
        <f>VLOOKUP(A75,'17. DADOS - HISTORICO MANUT. 20'!E:I,2,0)</f>
        <v>SINAPI-S</v>
      </c>
      <c r="C75" s="1029" t="str">
        <f>VLOOKUP(A75,'17. DADOS - HISTORICO MANUT. 20'!$E:$I,3,0)</f>
        <v>MICTÓRIO SIFONADO LOUÇA BRANCA _x0096_ PADRÃO MÉDIO _x0096_ FORNECIMENTO E INSTALAÇÃO. AF_01/2020</v>
      </c>
      <c r="D75" s="1028" t="str">
        <f>VLOOKUP(A75,'17. DADOS - HISTORICO MANUT. 20'!$E:$I,4,0)</f>
        <v>UN</v>
      </c>
      <c r="E75" s="1028">
        <f>SUMIF('17. DADOS - HISTORICO MANUT. 20'!E:E,A75,'17. DADOS - HISTORICO MANUT. 20'!I:I)</f>
        <v>1</v>
      </c>
      <c r="F75" s="1030"/>
      <c r="G75" s="1030"/>
      <c r="H75" s="1031">
        <f>IFERROR(__xludf.DUMMYFUNCTION("""COMPUTED_VALUE"""),100858.0)</f>
        <v>100858</v>
      </c>
      <c r="I75" s="1028" t="str">
        <f t="shared" si="1"/>
        <v>SINAPI-S</v>
      </c>
      <c r="J75" s="1029" t="str">
        <f t="shared" si="2"/>
        <v>MICTÓRIO SIFONADO LOUÇA BRANCA _x0096_ PADRÃO MÉDIO _x0096_ FORNECIMENTO E INSTALAÇÃO. AF_01/2020</v>
      </c>
      <c r="K75" s="1031" t="str">
        <f t="shared" si="3"/>
        <v>UN</v>
      </c>
      <c r="L75" s="1031">
        <f t="shared" si="4"/>
        <v>1</v>
      </c>
      <c r="M75" s="1031">
        <f t="shared" si="5"/>
        <v>0.5</v>
      </c>
      <c r="N75" s="1032">
        <f t="shared" si="6"/>
        <v>0.427333514</v>
      </c>
      <c r="O75" s="1033">
        <f>ROUND(N75,0)+1</f>
        <v>1</v>
      </c>
      <c r="P75" s="1030"/>
    </row>
    <row r="76">
      <c r="A76" s="1028">
        <f>IFERROR(__xludf.DUMMYFUNCTION("""COMPUTED_VALUE"""),94213.0)</f>
        <v>94213</v>
      </c>
      <c r="B76" s="1028" t="str">
        <f>VLOOKUP(A76,'17. DADOS - HISTORICO MANUT. 20'!E:I,2,0)</f>
        <v>SINAPI-S</v>
      </c>
      <c r="C76" s="1029" t="str">
        <f>VLOOKUP(A76,'17. DADOS - HISTORICO MANUT. 20'!$E:$I,3,0)</f>
        <v>TELHAMENTO COM TELHA DE AÇO/ALUMÍNIO E = 0,5 MM, COM ATÉ 2 ÁGUAS, INCLUSO IÇAMENTO. AF_07/2019</v>
      </c>
      <c r="D76" s="1028" t="str">
        <f>VLOOKUP(A76,'17. DADOS - HISTORICO MANUT. 20'!$E:$I,4,0)</f>
        <v>M2</v>
      </c>
      <c r="E76" s="1028">
        <f>SUMIF('17. DADOS - HISTORICO MANUT. 20'!E:E,A76,'17. DADOS - HISTORICO MANUT. 20'!I:I)</f>
        <v>4</v>
      </c>
      <c r="F76" s="1030"/>
      <c r="G76" s="1030"/>
      <c r="H76" s="1031">
        <f>IFERROR(__xludf.DUMMYFUNCTION("""COMPUTED_VALUE"""),94213.0)</f>
        <v>94213</v>
      </c>
      <c r="I76" s="1028" t="str">
        <f t="shared" si="1"/>
        <v>SINAPI-S</v>
      </c>
      <c r="J76" s="1029" t="str">
        <f t="shared" si="2"/>
        <v>TELHAMENTO COM TELHA DE AÇO/ALUMÍNIO E = 0,5 MM, COM ATÉ 2 ÁGUAS, INCLUSO IÇAMENTO. AF_07/2019</v>
      </c>
      <c r="K76" s="1031" t="str">
        <f t="shared" si="3"/>
        <v>M2</v>
      </c>
      <c r="L76" s="1031">
        <f t="shared" si="4"/>
        <v>4</v>
      </c>
      <c r="M76" s="1031">
        <f t="shared" si="5"/>
        <v>2</v>
      </c>
      <c r="N76" s="1032">
        <f t="shared" si="6"/>
        <v>1.709334056</v>
      </c>
      <c r="O76" s="1033">
        <f t="shared" ref="O76:O93" si="15">ROUND(N76,0)</f>
        <v>2</v>
      </c>
      <c r="P76" s="1030"/>
    </row>
    <row r="77">
      <c r="A77" s="1028">
        <f>IFERROR(__xludf.DUMMYFUNCTION("""COMPUTED_VALUE"""),91785.0)</f>
        <v>91785</v>
      </c>
      <c r="B77" s="1028" t="str">
        <f>VLOOKUP(A77,'17. DADOS - HISTORICO MANUT. 20'!E:I,2,0)</f>
        <v>SINAPI-S</v>
      </c>
      <c r="C77" s="1029" t="str">
        <f>VLOOKUP(A77,'17. DADOS - HISTORICO MANUT. 20'!$E:$I,3,0)</f>
        <v>(COMPOSIÇÃO REPRESENTATIVA) DO SERVIÇO DE INSTALAÇÃO DE TUBOS DE PVC, SOLDÁVEL, ÁGUA FRIA, DN 25 MM (INSTALADO EM RAMAL, SUB-RAMAL, RAMAL DE DISTRIBUIÇÃO OU PRUMADA), INCLUSIVE CONEXÕES, CORTES E FIXAÇÕES, PARA PRÉDIOS. AF_10/2015</v>
      </c>
      <c r="D77" s="1028" t="str">
        <f>VLOOKUP(A77,'17. DADOS - HISTORICO MANUT. 20'!$E:$I,4,0)</f>
        <v>M</v>
      </c>
      <c r="E77" s="1028">
        <f>SUMIF('17. DADOS - HISTORICO MANUT. 20'!E:E,A77,'17. DADOS - HISTORICO MANUT. 20'!I:I)</f>
        <v>1</v>
      </c>
      <c r="F77" s="1030"/>
      <c r="G77" s="1030"/>
      <c r="H77" s="1031">
        <f>IFERROR(__xludf.DUMMYFUNCTION("""COMPUTED_VALUE"""),91785.0)</f>
        <v>91785</v>
      </c>
      <c r="I77" s="1028" t="str">
        <f t="shared" si="1"/>
        <v>SINAPI-S</v>
      </c>
      <c r="J77" s="1029" t="str">
        <f t="shared" si="2"/>
        <v>(COMPOSIÇÃO REPRESENTATIVA) DO SERVIÇO DE INSTALAÇÃO DE TUBOS DE PVC, SOLDÁVEL, ÁGUA FRIA, DN 25 MM (INSTALADO EM RAMAL, SUB-RAMAL, RAMAL DE DISTRIBUIÇÃO OU PRUMADA), INCLUSIVE CONEXÕES, CORTES E FIXAÇÕES, PARA PRÉDIOS. AF_10/2015</v>
      </c>
      <c r="K77" s="1031" t="str">
        <f t="shared" si="3"/>
        <v>M</v>
      </c>
      <c r="L77" s="1031">
        <f t="shared" si="4"/>
        <v>4</v>
      </c>
      <c r="M77" s="1031">
        <f t="shared" si="5"/>
        <v>2</v>
      </c>
      <c r="N77" s="1032">
        <f t="shared" si="6"/>
        <v>1.709334056</v>
      </c>
      <c r="O77" s="1033">
        <f t="shared" si="15"/>
        <v>2</v>
      </c>
      <c r="P77" s="1030"/>
    </row>
    <row r="78">
      <c r="A78" s="1028">
        <f>IFERROR(__xludf.DUMMYFUNCTION("""COMPUTED_VALUE"""),86883.0)</f>
        <v>86883</v>
      </c>
      <c r="B78" s="1028" t="str">
        <f>VLOOKUP(A78,'17. DADOS - HISTORICO MANUT. 20'!E:I,2,0)</f>
        <v>SINAPI-S</v>
      </c>
      <c r="C78" s="1029" t="str">
        <f>VLOOKUP(A78,'17. DADOS - HISTORICO MANUT. 20'!$E:$I,3,0)</f>
        <v>SIFÃO DO TIPO FLEXÍVEL EM PVC 1  X 1.1/2  - FORNECIMENTO E INSTALAÇÃO. AF_01/2020</v>
      </c>
      <c r="D78" s="1028" t="str">
        <f>VLOOKUP(A78,'17. DADOS - HISTORICO MANUT. 20'!$E:$I,4,0)</f>
        <v>UN</v>
      </c>
      <c r="E78" s="1028">
        <f>SUMIF('17. DADOS - HISTORICO MANUT. 20'!E:E,A78,'17. DADOS - HISTORICO MANUT. 20'!I:I)</f>
        <v>3</v>
      </c>
      <c r="F78" s="1030"/>
      <c r="G78" s="1030"/>
      <c r="H78" s="1031">
        <f>IFERROR(__xludf.DUMMYFUNCTION("""COMPUTED_VALUE"""),86883.0)</f>
        <v>86883</v>
      </c>
      <c r="I78" s="1028" t="str">
        <f t="shared" si="1"/>
        <v>SINAPI-S</v>
      </c>
      <c r="J78" s="1029" t="str">
        <f t="shared" si="2"/>
        <v>SIFÃO DO TIPO FLEXÍVEL EM PVC 1  X 1.1/2  - FORNECIMENTO E INSTALAÇÃO. AF_01/2020</v>
      </c>
      <c r="K78" s="1031" t="str">
        <f t="shared" si="3"/>
        <v>UN</v>
      </c>
      <c r="L78" s="1031">
        <f t="shared" si="4"/>
        <v>29</v>
      </c>
      <c r="M78" s="1031">
        <f t="shared" si="5"/>
        <v>14.5</v>
      </c>
      <c r="N78" s="1032">
        <f t="shared" si="6"/>
        <v>12.39267191</v>
      </c>
      <c r="O78" s="1033">
        <f t="shared" si="15"/>
        <v>12</v>
      </c>
      <c r="P78" s="1030"/>
    </row>
    <row r="79">
      <c r="A79" s="1028">
        <f>IFERROR(__xludf.DUMMYFUNCTION("""COMPUTED_VALUE"""),95248.0)</f>
        <v>95248</v>
      </c>
      <c r="B79" s="1028" t="str">
        <f>VLOOKUP(A79,'17. DADOS - HISTORICO MANUT. 20'!E:I,2,0)</f>
        <v>SINAPI-S</v>
      </c>
      <c r="C79" s="1029" t="str">
        <f>VLOOKUP(A79,'17. DADOS - HISTORICO MANUT. 20'!$E:$I,3,0)</f>
        <v>VÁLVULA DE ESFERA BRUTA, BRONZE, ROSCÁVEL, 1/2" - FORNECIMENTO E INSTALAÇÃO. AF_08/2021</v>
      </c>
      <c r="D79" s="1028" t="str">
        <f>VLOOKUP(A79,'17. DADOS - HISTORICO MANUT. 20'!$E:$I,4,0)</f>
        <v>UN</v>
      </c>
      <c r="E79" s="1028">
        <f>SUMIF('17. DADOS - HISTORICO MANUT. 20'!E:E,A79,'17. DADOS - HISTORICO MANUT. 20'!I:I)</f>
        <v>3</v>
      </c>
      <c r="F79" s="1030"/>
      <c r="G79" s="1030"/>
      <c r="H79" s="1031">
        <f>IFERROR(__xludf.DUMMYFUNCTION("""COMPUTED_VALUE"""),95248.0)</f>
        <v>95248</v>
      </c>
      <c r="I79" s="1028" t="str">
        <f t="shared" si="1"/>
        <v>SINAPI-S</v>
      </c>
      <c r="J79" s="1029" t="str">
        <f t="shared" si="2"/>
        <v>VÁLVULA DE ESFERA BRUTA, BRONZE, ROSCÁVEL, 1/2" - FORNECIMENTO E INSTALAÇÃO. AF_08/2021</v>
      </c>
      <c r="K79" s="1031" t="str">
        <f t="shared" si="3"/>
        <v>UN</v>
      </c>
      <c r="L79" s="1031">
        <f t="shared" si="4"/>
        <v>3</v>
      </c>
      <c r="M79" s="1031">
        <f t="shared" si="5"/>
        <v>1.5</v>
      </c>
      <c r="N79" s="1032">
        <f t="shared" si="6"/>
        <v>1.282000542</v>
      </c>
      <c r="O79" s="1033">
        <f t="shared" si="15"/>
        <v>1</v>
      </c>
      <c r="P79" s="1030"/>
    </row>
    <row r="80">
      <c r="A80" s="1028">
        <f>IFERROR(__xludf.DUMMYFUNCTION("""COMPUTED_VALUE"""),87411.0)</f>
        <v>87411</v>
      </c>
      <c r="B80" s="1028" t="str">
        <f>VLOOKUP(A80,'17. DADOS - HISTORICO MANUT. 20'!E:I,2,0)</f>
        <v>SINAPI-S</v>
      </c>
      <c r="C80" s="1029" t="str">
        <f>VLOOKUP(A80,'17. DADOS - HISTORICO MANUT. 20'!$E:$I,3,0)</f>
        <v>APLICAÇÃO MANUAL DE GESSO DESEMPENADO (SEM TALISCAS) EM TETO DE AMBIENTES DE ÁREA MAIOR QUE 10M², ESPESSURA DE 0,5CM. AF_03/2023</v>
      </c>
      <c r="D80" s="1028" t="str">
        <f>VLOOKUP(A80,'17. DADOS - HISTORICO MANUT. 20'!$E:$I,4,0)</f>
        <v>M2</v>
      </c>
      <c r="E80" s="1028">
        <f>SUMIF('17. DADOS - HISTORICO MANUT. 20'!E:E,A80,'17. DADOS - HISTORICO MANUT. 20'!I:I)</f>
        <v>2</v>
      </c>
      <c r="F80" s="1030"/>
      <c r="G80" s="1030"/>
      <c r="H80" s="1031">
        <f>IFERROR(__xludf.DUMMYFUNCTION("""COMPUTED_VALUE"""),87411.0)</f>
        <v>87411</v>
      </c>
      <c r="I80" s="1028" t="str">
        <f t="shared" si="1"/>
        <v>SINAPI-S</v>
      </c>
      <c r="J80" s="1029" t="str">
        <f t="shared" si="2"/>
        <v>APLICAÇÃO MANUAL DE GESSO DESEMPENADO (SEM TALISCAS) EM TETO DE AMBIENTES DE ÁREA MAIOR QUE 10M², ESPESSURA DE 0,5CM. AF_03/2023</v>
      </c>
      <c r="K80" s="1031" t="str">
        <f t="shared" si="3"/>
        <v>M2</v>
      </c>
      <c r="L80" s="1031">
        <f t="shared" si="4"/>
        <v>3</v>
      </c>
      <c r="M80" s="1031">
        <f t="shared" si="5"/>
        <v>1.5</v>
      </c>
      <c r="N80" s="1032">
        <f t="shared" si="6"/>
        <v>1.282000542</v>
      </c>
      <c r="O80" s="1033">
        <f t="shared" si="15"/>
        <v>1</v>
      </c>
      <c r="P80" s="1030"/>
    </row>
    <row r="81">
      <c r="A81" s="1028">
        <f>IFERROR(__xludf.DUMMYFUNCTION("""COMPUTED_VALUE"""),97064.0)</f>
        <v>97064</v>
      </c>
      <c r="B81" s="1028" t="str">
        <f>VLOOKUP(A81,'17. DADOS - HISTORICO MANUT. 20'!E:I,2,0)</f>
        <v>SINAPI-S</v>
      </c>
      <c r="C81" s="1029" t="str">
        <f>VLOOKUP(A81,'17. DADOS - HISTORICO MANUT. 20'!$E:$I,3,0)</f>
        <v>MONTAGEM E DESMONTAGEM DE ANDAIME TUBULAR TIPO _x0093_TORRE_x0094_ (EXCLUSIVE ANDAIME E LIMPEZA). AF_11/2017</v>
      </c>
      <c r="D81" s="1028" t="str">
        <f>VLOOKUP(A81,'17. DADOS - HISTORICO MANUT. 20'!$E:$I,4,0)</f>
        <v>M</v>
      </c>
      <c r="E81" s="1028">
        <f>SUMIF('17. DADOS - HISTORICO MANUT. 20'!E:E,A81,'17. DADOS - HISTORICO MANUT. 20'!I:I)</f>
        <v>6</v>
      </c>
      <c r="F81" s="1030"/>
      <c r="G81" s="1030"/>
      <c r="H81" s="1031">
        <f>IFERROR(__xludf.DUMMYFUNCTION("""COMPUTED_VALUE"""),97064.0)</f>
        <v>97064</v>
      </c>
      <c r="I81" s="1028" t="str">
        <f t="shared" si="1"/>
        <v>SINAPI-S</v>
      </c>
      <c r="J81" s="1029" t="str">
        <f t="shared" si="2"/>
        <v>MONTAGEM E DESMONTAGEM DE ANDAIME TUBULAR TIPO _x0093_TORRE_x0094_ (EXCLUSIVE ANDAIME E LIMPEZA). AF_11/2017</v>
      </c>
      <c r="K81" s="1031" t="str">
        <f t="shared" si="3"/>
        <v>M</v>
      </c>
      <c r="L81" s="1031">
        <f t="shared" si="4"/>
        <v>6</v>
      </c>
      <c r="M81" s="1031">
        <f t="shared" si="5"/>
        <v>3</v>
      </c>
      <c r="N81" s="1032">
        <f t="shared" si="6"/>
        <v>2.564001084</v>
      </c>
      <c r="O81" s="1033">
        <f t="shared" si="15"/>
        <v>3</v>
      </c>
      <c r="P81" s="1030"/>
    </row>
    <row r="82">
      <c r="A82" s="1028">
        <f>IFERROR(__xludf.DUMMYFUNCTION("""COMPUTED_VALUE"""),92009.0)</f>
        <v>92009</v>
      </c>
      <c r="B82" s="1028" t="str">
        <f>VLOOKUP(A82,'17. DADOS - HISTORICO MANUT. 20'!E:I,2,0)</f>
        <v>SINAPI-S</v>
      </c>
      <c r="C82" s="1029" t="str">
        <f>VLOOKUP(A82,'17. DADOS - HISTORICO MANUT. 20'!$E:$I,3,0)</f>
        <v>TOMADA BAIXA DE EMBUTIR (2 MÓDULOS), 2P+T 20 A, INCLUINDO SUPORTE E PLACA - FORNECIMENTO E INSTALAÇÃO. AF_03/2023</v>
      </c>
      <c r="D82" s="1028" t="str">
        <f>VLOOKUP(A82,'17. DADOS - HISTORICO MANUT. 20'!$E:$I,4,0)</f>
        <v>UN</v>
      </c>
      <c r="E82" s="1028">
        <f>SUMIF('17. DADOS - HISTORICO MANUT. 20'!E:E,A82,'17. DADOS - HISTORICO MANUT. 20'!I:I)</f>
        <v>3</v>
      </c>
      <c r="F82" s="1030"/>
      <c r="G82" s="1030"/>
      <c r="H82" s="1031">
        <f>IFERROR(__xludf.DUMMYFUNCTION("""COMPUTED_VALUE"""),92009.0)</f>
        <v>92009</v>
      </c>
      <c r="I82" s="1028" t="str">
        <f t="shared" si="1"/>
        <v>SINAPI-S</v>
      </c>
      <c r="J82" s="1029" t="str">
        <f t="shared" si="2"/>
        <v>TOMADA BAIXA DE EMBUTIR (2 MÓDULOS), 2P+T 20 A, INCLUINDO SUPORTE E PLACA - FORNECIMENTO E INSTALAÇÃO. AF_03/2023</v>
      </c>
      <c r="K82" s="1031" t="str">
        <f t="shared" si="3"/>
        <v>UN</v>
      </c>
      <c r="L82" s="1031">
        <f t="shared" si="4"/>
        <v>3</v>
      </c>
      <c r="M82" s="1031">
        <f t="shared" si="5"/>
        <v>1.5</v>
      </c>
      <c r="N82" s="1032">
        <f t="shared" si="6"/>
        <v>1.282000542</v>
      </c>
      <c r="O82" s="1033">
        <f t="shared" si="15"/>
        <v>1</v>
      </c>
      <c r="P82" s="1030"/>
    </row>
    <row r="83">
      <c r="A83" s="1028">
        <f>IFERROR(__xludf.DUMMYFUNCTION("""COMPUTED_VALUE"""),90830.0)</f>
        <v>90830</v>
      </c>
      <c r="B83" s="1028" t="str">
        <f>VLOOKUP(A83,'17. DADOS - HISTORICO MANUT. 20'!E:I,2,0)</f>
        <v>SINAPI-S</v>
      </c>
      <c r="C83" s="1029" t="str">
        <f>VLOOKUP(A83,'17. DADOS - HISTORICO MANUT. 20'!$E:$I,3,0)</f>
        <v>FECHADURA DE EMBUTIR COM CILINDRO, EXTERNA, COMPLETA, ACABAMENTO PADRÃO MÉDIO, INCLUSO EXECUÇÃO DE FURO - FORNECIMENTO E INSTALAÇÃO. AF_12/2019</v>
      </c>
      <c r="D83" s="1028" t="str">
        <f>VLOOKUP(A83,'17. DADOS - HISTORICO MANUT. 20'!$E:$I,4,0)</f>
        <v>UN</v>
      </c>
      <c r="E83" s="1028">
        <f>SUMIF('17. DADOS - HISTORICO MANUT. 20'!E:E,A83,'17. DADOS - HISTORICO MANUT. 20'!I:I)</f>
        <v>15</v>
      </c>
      <c r="F83" s="1030"/>
      <c r="G83" s="1030"/>
      <c r="H83" s="1031">
        <f>IFERROR(__xludf.DUMMYFUNCTION("""COMPUTED_VALUE"""),90830.0)</f>
        <v>90830</v>
      </c>
      <c r="I83" s="1028" t="str">
        <f t="shared" si="1"/>
        <v>SINAPI-S</v>
      </c>
      <c r="J83" s="1029" t="str">
        <f t="shared" si="2"/>
        <v>FECHADURA DE EMBUTIR COM CILINDRO, EXTERNA, COMPLETA, ACABAMENTO PADRÃO MÉDIO, INCLUSO EXECUÇÃO DE FURO - FORNECIMENTO E INSTALAÇÃO. AF_12/2019</v>
      </c>
      <c r="K83" s="1031" t="str">
        <f t="shared" si="3"/>
        <v>UN</v>
      </c>
      <c r="L83" s="1031">
        <f t="shared" si="4"/>
        <v>15</v>
      </c>
      <c r="M83" s="1031">
        <f t="shared" si="5"/>
        <v>7.5</v>
      </c>
      <c r="N83" s="1032">
        <f t="shared" si="6"/>
        <v>6.41000271</v>
      </c>
      <c r="O83" s="1033">
        <f t="shared" si="15"/>
        <v>6</v>
      </c>
      <c r="P83" s="1030"/>
    </row>
    <row r="84">
      <c r="A84" s="1028">
        <f>IFERROR(__xludf.DUMMYFUNCTION("""COMPUTED_VALUE"""),102520.0)</f>
        <v>102520</v>
      </c>
      <c r="B84" s="1028" t="str">
        <f>VLOOKUP(A84,'17. DADOS - HISTORICO MANUT. 20'!E:I,2,0)</f>
        <v>SINAPI-S</v>
      </c>
      <c r="C84" s="1029" t="str">
        <f>VLOOKUP(A84,'17. DADOS - HISTORICO MANUT. 20'!$E:$I,3,0)</f>
        <v>PINTURA DE SINALIZAÇÃO VERTICAL DE SEGURANÇA, FAIXAS AMARELA E PRETA, APLICAÇÃO MANUAL, 2 DEMÃOS. AF_05/2021</v>
      </c>
      <c r="D84" s="1028" t="str">
        <f>VLOOKUP(A84,'17. DADOS - HISTORICO MANUT. 20'!$E:$I,4,0)</f>
        <v>M2</v>
      </c>
      <c r="E84" s="1028">
        <f>SUMIF('17. DADOS - HISTORICO MANUT. 20'!E:E,A84,'17. DADOS - HISTORICO MANUT. 20'!I:I)</f>
        <v>30</v>
      </c>
      <c r="F84" s="1030"/>
      <c r="G84" s="1030"/>
      <c r="H84" s="1031">
        <f>IFERROR(__xludf.DUMMYFUNCTION("""COMPUTED_VALUE"""),102520.0)</f>
        <v>102520</v>
      </c>
      <c r="I84" s="1028" t="str">
        <f t="shared" si="1"/>
        <v>SINAPI-S</v>
      </c>
      <c r="J84" s="1029" t="str">
        <f t="shared" si="2"/>
        <v>PINTURA DE SINALIZAÇÃO VERTICAL DE SEGURANÇA, FAIXAS AMARELA E PRETA, APLICAÇÃO MANUAL, 2 DEMÃOS. AF_05/2021</v>
      </c>
      <c r="K84" s="1031" t="str">
        <f t="shared" si="3"/>
        <v>M2</v>
      </c>
      <c r="L84" s="1031">
        <f t="shared" si="4"/>
        <v>30</v>
      </c>
      <c r="M84" s="1031">
        <f t="shared" si="5"/>
        <v>15</v>
      </c>
      <c r="N84" s="1032">
        <f t="shared" si="6"/>
        <v>12.82000542</v>
      </c>
      <c r="O84" s="1033">
        <f t="shared" si="15"/>
        <v>13</v>
      </c>
      <c r="P84" s="1030"/>
    </row>
    <row r="85">
      <c r="A85" s="1028">
        <f>IFERROR(__xludf.DUMMYFUNCTION("""COMPUTED_VALUE"""),90825.0)</f>
        <v>90825</v>
      </c>
      <c r="B85" s="1028" t="str">
        <f>VLOOKUP(A85,'17. DADOS - HISTORICO MANUT. 20'!E:I,2,0)</f>
        <v>SINAPI-S</v>
      </c>
      <c r="C85" s="1029" t="str">
        <f>VLOOKUP(A85,'17. DADOS - HISTORICO MANUT. 20'!$E:$I,3,0)</f>
        <v>PORTA DE MADEIRA, MACIÇA (PESADA OU SUPERPESADA), 90X210CM, ESPESSURA DE 3,5CM, INCLUSO DOBRADIÇAS - FORNECIMENTO E INSTALAÇÃO. AF_12/2019</v>
      </c>
      <c r="D85" s="1028" t="str">
        <f>VLOOKUP(A85,'17. DADOS - HISTORICO MANUT. 20'!$E:$I,4,0)</f>
        <v>UN</v>
      </c>
      <c r="E85" s="1028">
        <f>SUMIF('17. DADOS - HISTORICO MANUT. 20'!E:E,A85,'17. DADOS - HISTORICO MANUT. 20'!I:I)</f>
        <v>3</v>
      </c>
      <c r="F85" s="1030"/>
      <c r="G85" s="1030"/>
      <c r="H85" s="1031">
        <f>IFERROR(__xludf.DUMMYFUNCTION("""COMPUTED_VALUE"""),90825.0)</f>
        <v>90825</v>
      </c>
      <c r="I85" s="1028" t="str">
        <f t="shared" si="1"/>
        <v>SINAPI-S</v>
      </c>
      <c r="J85" s="1029" t="str">
        <f t="shared" si="2"/>
        <v>PORTA DE MADEIRA, MACIÇA (PESADA OU SUPERPESADA), 90X210CM, ESPESSURA DE 3,5CM, INCLUSO DOBRADIÇAS - FORNECIMENTO E INSTALAÇÃO. AF_12/2019</v>
      </c>
      <c r="K85" s="1031" t="str">
        <f t="shared" si="3"/>
        <v>UN</v>
      </c>
      <c r="L85" s="1031">
        <f t="shared" si="4"/>
        <v>3</v>
      </c>
      <c r="M85" s="1031">
        <f t="shared" si="5"/>
        <v>1.5</v>
      </c>
      <c r="N85" s="1032">
        <f t="shared" si="6"/>
        <v>1.282000542</v>
      </c>
      <c r="O85" s="1033">
        <f t="shared" si="15"/>
        <v>1</v>
      </c>
      <c r="P85" s="1030"/>
    </row>
    <row r="86">
      <c r="A86" s="1028">
        <f>IFERROR(__xludf.DUMMYFUNCTION("""COMPUTED_VALUE"""),100860.0)</f>
        <v>100860</v>
      </c>
      <c r="B86" s="1028" t="str">
        <f>VLOOKUP(A86,'17. DADOS - HISTORICO MANUT. 20'!E:I,2,0)</f>
        <v>SINAPI-S</v>
      </c>
      <c r="C86" s="1029" t="str">
        <f>VLOOKUP(A86,'17. DADOS - HISTORICO MANUT. 20'!$E:$I,3,0)</f>
        <v>CHUVEIRO ELÉTRICO COMUM CORPO PLÁSTICO, TIPO DUCHA _x0096_ FORNECIMENTO E INSTALAÇÃO. AF_01/2020</v>
      </c>
      <c r="D86" s="1028" t="str">
        <f>VLOOKUP(A86,'17. DADOS - HISTORICO MANUT. 20'!$E:$I,4,0)</f>
        <v>UN</v>
      </c>
      <c r="E86" s="1028">
        <f>SUMIF('17. DADOS - HISTORICO MANUT. 20'!E:E,A86,'17. DADOS - HISTORICO MANUT. 20'!I:I)</f>
        <v>6</v>
      </c>
      <c r="F86" s="1030"/>
      <c r="G86" s="1030"/>
      <c r="H86" s="1031">
        <f>IFERROR(__xludf.DUMMYFUNCTION("""COMPUTED_VALUE"""),100860.0)</f>
        <v>100860</v>
      </c>
      <c r="I86" s="1028" t="str">
        <f t="shared" si="1"/>
        <v>SINAPI-S</v>
      </c>
      <c r="J86" s="1029" t="str">
        <f t="shared" si="2"/>
        <v>CHUVEIRO ELÉTRICO COMUM CORPO PLÁSTICO, TIPO DUCHA _x0096_ FORNECIMENTO E INSTALAÇÃO. AF_01/2020</v>
      </c>
      <c r="K86" s="1031" t="str">
        <f t="shared" si="3"/>
        <v>UN</v>
      </c>
      <c r="L86" s="1031">
        <f t="shared" si="4"/>
        <v>6</v>
      </c>
      <c r="M86" s="1031">
        <f t="shared" si="5"/>
        <v>3</v>
      </c>
      <c r="N86" s="1032">
        <f t="shared" si="6"/>
        <v>2.564001084</v>
      </c>
      <c r="O86" s="1033">
        <f t="shared" si="15"/>
        <v>3</v>
      </c>
      <c r="P86" s="1030"/>
    </row>
    <row r="87">
      <c r="A87" s="1028" t="str">
        <f>IFERROR(__xludf.DUMMYFUNCTION("""COMPUTED_VALUE"""),"MAN_PR_023")</f>
        <v>MAN_PR_023</v>
      </c>
      <c r="B87" s="1028" t="str">
        <f>VLOOKUP(A87,'17. DADOS - HISTORICO MANUT. 20'!E:I,2,0)</f>
        <v>COMP.EVENTUAL</v>
      </c>
      <c r="C87" s="1029" t="str">
        <f>VLOOKUP(A87,'17. DADOS - HISTORICO MANUT. 20'!$E:$I,3,0)</f>
        <v>RETIRADA E RECOLOCAÇÃO DE PORTA DE DIVISÓRIA, UM MÓDULO</v>
      </c>
      <c r="D87" s="1028" t="str">
        <f>VLOOKUP(A87,'17. DADOS - HISTORICO MANUT. 20'!$E:$I,4,0)</f>
        <v>UN</v>
      </c>
      <c r="E87" s="1028">
        <f>SUMIF('17. DADOS - HISTORICO MANUT. 20'!E:E,A87,'17. DADOS - HISTORICO MANUT. 20'!I:I)</f>
        <v>2</v>
      </c>
      <c r="F87" s="1030"/>
      <c r="G87" s="1030"/>
      <c r="H87" s="1031" t="str">
        <f>IFERROR(__xludf.DUMMYFUNCTION("""COMPUTED_VALUE"""),"MAN_PR_023")</f>
        <v>MAN_PR_023</v>
      </c>
      <c r="I87" s="1028" t="str">
        <f t="shared" si="1"/>
        <v>COMP.EVENTUAL</v>
      </c>
      <c r="J87" s="1029" t="str">
        <f t="shared" si="2"/>
        <v>RETIRADA E RECOLOCAÇÃO DE PORTA DE DIVISÓRIA, UM MÓDULO</v>
      </c>
      <c r="K87" s="1031" t="str">
        <f t="shared" si="3"/>
        <v>UN</v>
      </c>
      <c r="L87" s="1031">
        <f t="shared" si="4"/>
        <v>2</v>
      </c>
      <c r="M87" s="1031">
        <f t="shared" si="5"/>
        <v>1</v>
      </c>
      <c r="N87" s="1032">
        <f t="shared" si="6"/>
        <v>0.854667028</v>
      </c>
      <c r="O87" s="1033">
        <f t="shared" si="15"/>
        <v>1</v>
      </c>
      <c r="P87" s="1030"/>
    </row>
    <row r="88">
      <c r="A88" s="1028">
        <f>IFERROR(__xludf.DUMMYFUNCTION("""COMPUTED_VALUE"""),101903.0)</f>
        <v>101903</v>
      </c>
      <c r="B88" s="1028" t="str">
        <f>VLOOKUP(A88,'17. DADOS - HISTORICO MANUT. 20'!E:I,2,0)</f>
        <v>SINAPI-S</v>
      </c>
      <c r="C88" s="1029" t="str">
        <f>VLOOKUP(A88,'17. DADOS - HISTORICO MANUT. 20'!$E:$I,3,0)</f>
        <v>CONTATOR TRIPOLAR I NOMINAL 38A - FORNECIMENTO E INSTALAÇÃO. AF_10/2020</v>
      </c>
      <c r="D88" s="1028" t="str">
        <f>VLOOKUP(A88,'17. DADOS - HISTORICO MANUT. 20'!$E:$I,4,0)</f>
        <v>UN</v>
      </c>
      <c r="E88" s="1028">
        <f>SUMIF('17. DADOS - HISTORICO MANUT. 20'!E:E,A88,'17. DADOS - HISTORICO MANUT. 20'!I:I)</f>
        <v>4</v>
      </c>
      <c r="F88" s="1030"/>
      <c r="G88" s="1030"/>
      <c r="H88" s="1031">
        <f>IFERROR(__xludf.DUMMYFUNCTION("""COMPUTED_VALUE"""),101903.0)</f>
        <v>101903</v>
      </c>
      <c r="I88" s="1028" t="str">
        <f t="shared" si="1"/>
        <v>SINAPI-S</v>
      </c>
      <c r="J88" s="1029" t="str">
        <f t="shared" si="2"/>
        <v>CONTATOR TRIPOLAR I NOMINAL 38A - FORNECIMENTO E INSTALAÇÃO. AF_10/2020</v>
      </c>
      <c r="K88" s="1031" t="str">
        <f t="shared" si="3"/>
        <v>UN</v>
      </c>
      <c r="L88" s="1031">
        <f t="shared" si="4"/>
        <v>4</v>
      </c>
      <c r="M88" s="1031">
        <f t="shared" si="5"/>
        <v>2</v>
      </c>
      <c r="N88" s="1032">
        <f t="shared" si="6"/>
        <v>1.709334056</v>
      </c>
      <c r="O88" s="1033">
        <f t="shared" si="15"/>
        <v>2</v>
      </c>
      <c r="P88" s="1030"/>
    </row>
    <row r="89">
      <c r="A89" s="1028">
        <f>IFERROR(__xludf.DUMMYFUNCTION("""COMPUTED_VALUE"""),92008.0)</f>
        <v>92008</v>
      </c>
      <c r="B89" s="1028" t="str">
        <f>VLOOKUP(A89,'17. DADOS - HISTORICO MANUT. 20'!E:I,2,0)</f>
        <v>SINAPI-S</v>
      </c>
      <c r="C89" s="1029" t="str">
        <f>VLOOKUP(A89,'17. DADOS - HISTORICO MANUT. 20'!$E:$I,3,0)</f>
        <v>TOMADA BAIXA DE EMBUTIR (2 MÓDULOS), 2P+T 10 A, INCLUINDO SUPORTE E PLACA - FORNECIMENTO E INSTALAÇÃO. AF_03/2023</v>
      </c>
      <c r="D89" s="1028" t="str">
        <f>VLOOKUP(A89,'17. DADOS - HISTORICO MANUT. 20'!$E:$I,4,0)</f>
        <v>UN</v>
      </c>
      <c r="E89" s="1028">
        <f>SUMIF('17. DADOS - HISTORICO MANUT. 20'!E:E,A89,'17. DADOS - HISTORICO MANUT. 20'!I:I)</f>
        <v>8</v>
      </c>
      <c r="F89" s="1030"/>
      <c r="G89" s="1030"/>
      <c r="H89" s="1031">
        <f>IFERROR(__xludf.DUMMYFUNCTION("""COMPUTED_VALUE"""),92008.0)</f>
        <v>92008</v>
      </c>
      <c r="I89" s="1028" t="str">
        <f t="shared" si="1"/>
        <v>SINAPI-S</v>
      </c>
      <c r="J89" s="1029" t="str">
        <f t="shared" si="2"/>
        <v>TOMADA BAIXA DE EMBUTIR (2 MÓDULOS), 2P+T 10 A, INCLUINDO SUPORTE E PLACA - FORNECIMENTO E INSTALAÇÃO. AF_03/2023</v>
      </c>
      <c r="K89" s="1031" t="str">
        <f t="shared" si="3"/>
        <v>UN</v>
      </c>
      <c r="L89" s="1031">
        <f t="shared" si="4"/>
        <v>8</v>
      </c>
      <c r="M89" s="1031">
        <f t="shared" si="5"/>
        <v>4</v>
      </c>
      <c r="N89" s="1032">
        <f t="shared" si="6"/>
        <v>3.418668112</v>
      </c>
      <c r="O89" s="1033">
        <f t="shared" si="15"/>
        <v>3</v>
      </c>
      <c r="P89" s="1030"/>
    </row>
    <row r="90">
      <c r="A90" s="1028">
        <f>IFERROR(__xludf.DUMMYFUNCTION("""COMPUTED_VALUE"""),98307.0)</f>
        <v>98307</v>
      </c>
      <c r="B90" s="1028" t="str">
        <f>VLOOKUP(A90,'17. DADOS - HISTORICO MANUT. 20'!E:I,2,0)</f>
        <v>SINAPI-S</v>
      </c>
      <c r="C90" s="1029" t="str">
        <f>VLOOKUP(A90,'17. DADOS - HISTORICO MANUT. 20'!$E:$I,3,0)</f>
        <v>TOMADA DE REDE RJ45 - FORNECIMENTO E INSTALAÇÃO. AF_11/2019</v>
      </c>
      <c r="D90" s="1028" t="str">
        <f>VLOOKUP(A90,'17. DADOS - HISTORICO MANUT. 20'!$E:$I,4,0)</f>
        <v>UN</v>
      </c>
      <c r="E90" s="1028">
        <f>SUMIF('17. DADOS - HISTORICO MANUT. 20'!E:E,A90,'17. DADOS - HISTORICO MANUT. 20'!I:I)</f>
        <v>3</v>
      </c>
      <c r="F90" s="1030"/>
      <c r="G90" s="1030"/>
      <c r="H90" s="1031">
        <f>IFERROR(__xludf.DUMMYFUNCTION("""COMPUTED_VALUE"""),98307.0)</f>
        <v>98307</v>
      </c>
      <c r="I90" s="1028" t="str">
        <f t="shared" si="1"/>
        <v>SINAPI-S</v>
      </c>
      <c r="J90" s="1029" t="str">
        <f t="shared" si="2"/>
        <v>TOMADA DE REDE RJ45 - FORNECIMENTO E INSTALAÇÃO. AF_11/2019</v>
      </c>
      <c r="K90" s="1031" t="str">
        <f t="shared" si="3"/>
        <v>UN</v>
      </c>
      <c r="L90" s="1031">
        <f t="shared" si="4"/>
        <v>3</v>
      </c>
      <c r="M90" s="1031">
        <f t="shared" si="5"/>
        <v>1.5</v>
      </c>
      <c r="N90" s="1032">
        <f t="shared" si="6"/>
        <v>1.282000542</v>
      </c>
      <c r="O90" s="1033">
        <f t="shared" si="15"/>
        <v>1</v>
      </c>
      <c r="P90" s="1030"/>
    </row>
    <row r="91">
      <c r="A91" s="1028">
        <f>IFERROR(__xludf.DUMMYFUNCTION("""COMPUTED_VALUE"""),94991.0)</f>
        <v>94991</v>
      </c>
      <c r="B91" s="1028" t="str">
        <f>VLOOKUP(A91,'17. DADOS - HISTORICO MANUT. 20'!E:I,2,0)</f>
        <v>SINAPI-S</v>
      </c>
      <c r="C91" s="1029" t="str">
        <f>VLOOKUP(A91,'17. DADOS - HISTORICO MANUT. 20'!$E:$I,3,0)</f>
        <v>EXECUÇÃO DE PASSEIO (CALÇADA) OU PISO DE CONCRETO COM CONCRETO MOLDADO IN LOCO, USINADO C20, ACABAMENTO CONVENCIONAL, NÃO ARMADO. AF_08/2022</v>
      </c>
      <c r="D91" s="1028" t="str">
        <f>VLOOKUP(A91,'17. DADOS - HISTORICO MANUT. 20'!$E:$I,4,0)</f>
        <v>M3</v>
      </c>
      <c r="E91" s="1028">
        <f>SUMIF('17. DADOS - HISTORICO MANUT. 20'!E:E,A91,'17. DADOS - HISTORICO MANUT. 20'!I:I)</f>
        <v>2</v>
      </c>
      <c r="F91" s="1030"/>
      <c r="G91" s="1030"/>
      <c r="H91" s="1031">
        <f>IFERROR(__xludf.DUMMYFUNCTION("""COMPUTED_VALUE"""),94991.0)</f>
        <v>94991</v>
      </c>
      <c r="I91" s="1028" t="str">
        <f t="shared" si="1"/>
        <v>SINAPI-S</v>
      </c>
      <c r="J91" s="1029" t="str">
        <f t="shared" si="2"/>
        <v>EXECUÇÃO DE PASSEIO (CALÇADA) OU PISO DE CONCRETO COM CONCRETO MOLDADO IN LOCO, USINADO C20, ACABAMENTO CONVENCIONAL, NÃO ARMADO. AF_08/2022</v>
      </c>
      <c r="K91" s="1031" t="str">
        <f t="shared" si="3"/>
        <v>M3</v>
      </c>
      <c r="L91" s="1031">
        <f t="shared" si="4"/>
        <v>2</v>
      </c>
      <c r="M91" s="1031">
        <f t="shared" si="5"/>
        <v>1</v>
      </c>
      <c r="N91" s="1032">
        <f t="shared" si="6"/>
        <v>0.854667028</v>
      </c>
      <c r="O91" s="1033">
        <f t="shared" si="15"/>
        <v>1</v>
      </c>
      <c r="P91" s="1030"/>
    </row>
    <row r="92">
      <c r="A92" s="1028" t="str">
        <f>IFERROR(__xludf.DUMMYFUNCTION("""COMPUTED_VALUE"""),"MAN_PR_024")</f>
        <v>MAN_PR_024</v>
      </c>
      <c r="B92" s="1028" t="str">
        <f>VLOOKUP(A92,'17. DADOS - HISTORICO MANUT. 20'!E:I,2,0)</f>
        <v>COMP.EVENTUAL</v>
      </c>
      <c r="C92" s="1029" t="str">
        <f>VLOOKUP(A92,'17. DADOS - HISTORICO MANUT. 20'!$E:$I,3,0)</f>
        <v>VERIFICAÇÃO DE VAZAMENTO EM INSTALAÇÕES INTERNAS POR RAMAL</v>
      </c>
      <c r="D92" s="1028" t="str">
        <f>VLOOKUP(A92,'17. DADOS - HISTORICO MANUT. 20'!$E:$I,4,0)</f>
        <v>UN</v>
      </c>
      <c r="E92" s="1028">
        <f>SUMIF('17. DADOS - HISTORICO MANUT. 20'!E:E,A92,'17. DADOS - HISTORICO MANUT. 20'!I:I)</f>
        <v>3</v>
      </c>
      <c r="F92" s="1030"/>
      <c r="G92" s="1030"/>
      <c r="H92" s="1031" t="str">
        <f>IFERROR(__xludf.DUMMYFUNCTION("""COMPUTED_VALUE"""),"MAN_PR_024")</f>
        <v>MAN_PR_024</v>
      </c>
      <c r="I92" s="1028" t="str">
        <f t="shared" si="1"/>
        <v>COMP.EVENTUAL</v>
      </c>
      <c r="J92" s="1029" t="str">
        <f t="shared" si="2"/>
        <v>VERIFICAÇÃO DE VAZAMENTO EM INSTALAÇÕES INTERNAS POR RAMAL</v>
      </c>
      <c r="K92" s="1031" t="str">
        <f t="shared" si="3"/>
        <v>UN</v>
      </c>
      <c r="L92" s="1031">
        <f t="shared" si="4"/>
        <v>3</v>
      </c>
      <c r="M92" s="1031">
        <f t="shared" si="5"/>
        <v>1.5</v>
      </c>
      <c r="N92" s="1032">
        <f t="shared" si="6"/>
        <v>1.282000542</v>
      </c>
      <c r="O92" s="1033">
        <f t="shared" si="15"/>
        <v>1</v>
      </c>
      <c r="P92" s="1030"/>
    </row>
    <row r="93">
      <c r="A93" s="1028">
        <f>IFERROR(__xludf.DUMMYFUNCTION("""COMPUTED_VALUE"""),91928.0)</f>
        <v>91928</v>
      </c>
      <c r="B93" s="1028" t="str">
        <f>VLOOKUP(A93,'17. DADOS - HISTORICO MANUT. 20'!E:I,2,0)</f>
        <v>SINAPI-S</v>
      </c>
      <c r="C93" s="1029" t="str">
        <f>VLOOKUP(A93,'17. DADOS - HISTORICO MANUT. 20'!$E:$I,3,0)</f>
        <v>CABO DE COBRE FLEXÍVEL ISOLADO, 4 MM², ANTI-CHAMA 450/750 V, PARA CIRCUITOS TERMINAIS - FORNECIMENTO E INSTALAÇÃO. AF_03/2023</v>
      </c>
      <c r="D93" s="1028" t="str">
        <f>VLOOKUP(A93,'17. DADOS - HISTORICO MANUT. 20'!$E:$I,4,0)</f>
        <v>M</v>
      </c>
      <c r="E93" s="1028">
        <f>SUMIF('17. DADOS - HISTORICO MANUT. 20'!E:E,A93,'17. DADOS - HISTORICO MANUT. 20'!I:I)</f>
        <v>60</v>
      </c>
      <c r="F93" s="1030"/>
      <c r="G93" s="1030"/>
      <c r="H93" s="1031">
        <f>IFERROR(__xludf.DUMMYFUNCTION("""COMPUTED_VALUE"""),91928.0)</f>
        <v>91928</v>
      </c>
      <c r="I93" s="1028" t="str">
        <f t="shared" si="1"/>
        <v>SINAPI-S</v>
      </c>
      <c r="J93" s="1029" t="str">
        <f t="shared" si="2"/>
        <v>CABO DE COBRE FLEXÍVEL ISOLADO, 4 MM², ANTI-CHAMA 450/750 V, PARA CIRCUITOS TERMINAIS - FORNECIMENTO E INSTALAÇÃO. AF_03/2023</v>
      </c>
      <c r="K93" s="1031" t="str">
        <f t="shared" si="3"/>
        <v>M</v>
      </c>
      <c r="L93" s="1031">
        <f t="shared" si="4"/>
        <v>60</v>
      </c>
      <c r="M93" s="1031">
        <f t="shared" si="5"/>
        <v>30</v>
      </c>
      <c r="N93" s="1032">
        <f t="shared" si="6"/>
        <v>25.64001084</v>
      </c>
      <c r="O93" s="1033">
        <f t="shared" si="15"/>
        <v>26</v>
      </c>
      <c r="P93" s="1030"/>
    </row>
    <row r="94">
      <c r="A94" s="1028">
        <f>IFERROR(__xludf.DUMMYFUNCTION("""COMPUTED_VALUE"""),104480.0)</f>
        <v>104480</v>
      </c>
      <c r="B94" s="1028" t="str">
        <f>VLOOKUP(A94,'17. DADOS - HISTORICO MANUT. 20'!E:I,2,0)</f>
        <v>SINAPI-S</v>
      </c>
      <c r="C94" s="1029" t="str">
        <f>VLOOKUP(A94,'17. DADOS - HISTORICO MANUT. 20'!$E:$I,3,0)</f>
        <v>COMPOSIÇÃO PARAMÉTRICA DE PONTO ELÉTRICO DE TOMADA DE USO ESPECÍFICO 2P+T (20A/250V) EM EDIFÍCIO RESIDENCIAL COM ELETRODUTO EMBUTIDO SEM NECESSIDADE DE RASGOS, INCLUSO TOMADA, ELETRODUTO, CABO E QUEBRA (EXCETO CHUVEIRO). AF_11/2022</v>
      </c>
      <c r="D94" s="1028" t="str">
        <f>VLOOKUP(A94,'17. DADOS - HISTORICO MANUT. 20'!$E:$I,4,0)</f>
        <v>UN</v>
      </c>
      <c r="E94" s="1028">
        <f>SUMIF('17. DADOS - HISTORICO MANUT. 20'!E:E,A94,'17. DADOS - HISTORICO MANUT. 20'!I:I)</f>
        <v>1</v>
      </c>
      <c r="F94" s="1030"/>
      <c r="G94" s="1030"/>
      <c r="H94" s="1031">
        <f>IFERROR(__xludf.DUMMYFUNCTION("""COMPUTED_VALUE"""),104480.0)</f>
        <v>104480</v>
      </c>
      <c r="I94" s="1028" t="str">
        <f t="shared" si="1"/>
        <v>SINAPI-S</v>
      </c>
      <c r="J94" s="1029" t="str">
        <f t="shared" si="2"/>
        <v>COMPOSIÇÃO PARAMÉTRICA DE PONTO ELÉTRICO DE TOMADA DE USO ESPECÍFICO 2P+T (20A/250V) EM EDIFÍCIO RESIDENCIAL COM ELETRODUTO EMBUTIDO SEM NECESSIDADE DE RASGOS, INCLUSO TOMADA, ELETRODUTO, CABO E QUEBRA (EXCETO CHUVEIRO). AF_11/2022</v>
      </c>
      <c r="K94" s="1031" t="str">
        <f t="shared" si="3"/>
        <v>UN</v>
      </c>
      <c r="L94" s="1031">
        <f t="shared" si="4"/>
        <v>1</v>
      </c>
      <c r="M94" s="1031">
        <f t="shared" si="5"/>
        <v>0.5</v>
      </c>
      <c r="N94" s="1032">
        <f t="shared" si="6"/>
        <v>0.427333514</v>
      </c>
      <c r="O94" s="1033">
        <f>ROUND(N94,0)+1</f>
        <v>1</v>
      </c>
      <c r="P94" s="1030"/>
    </row>
    <row r="95">
      <c r="A95" s="1028">
        <f>IFERROR(__xludf.DUMMYFUNCTION("""COMPUTED_VALUE"""),103307.0)</f>
        <v>103307</v>
      </c>
      <c r="B95" s="1028" t="str">
        <f>VLOOKUP(A95,'17. DADOS - HISTORICO MANUT. 20'!E:I,2,0)</f>
        <v>SINAPI-S</v>
      </c>
      <c r="C95" s="1029" t="str">
        <f>VLOOKUP(A95,'17. DADOS - HISTORICO MANUT. 20'!$E:$I,3,0)</f>
        <v>INSTALAÇÃO DE LIXEIRA METÁLICA DUPLA, CAPACIDADE DE 60 L, EM TUBO DE AÇO CARBONO E CESTOS EM CHAPA DE AÇO COM PINTURA ELETROSTÁTICA, SOBRE PISO DE CONCRETO EXISTENTE. AF_11/2021</v>
      </c>
      <c r="D95" s="1028" t="str">
        <f>VLOOKUP(A95,'17. DADOS - HISTORICO MANUT. 20'!$E:$I,4,0)</f>
        <v>UN</v>
      </c>
      <c r="E95" s="1028">
        <f>SUMIF('17. DADOS - HISTORICO MANUT. 20'!E:E,A95,'17. DADOS - HISTORICO MANUT. 20'!I:I)</f>
        <v>4</v>
      </c>
      <c r="F95" s="1030"/>
      <c r="G95" s="1030"/>
      <c r="H95" s="1031">
        <f>IFERROR(__xludf.DUMMYFUNCTION("""COMPUTED_VALUE"""),103307.0)</f>
        <v>103307</v>
      </c>
      <c r="I95" s="1028" t="str">
        <f t="shared" si="1"/>
        <v>SINAPI-S</v>
      </c>
      <c r="J95" s="1029" t="str">
        <f t="shared" si="2"/>
        <v>INSTALAÇÃO DE LIXEIRA METÁLICA DUPLA, CAPACIDADE DE 60 L, EM TUBO DE AÇO CARBONO E CESTOS EM CHAPA DE AÇO COM PINTURA ELETROSTÁTICA, SOBRE PISO DE CONCRETO EXISTENTE. AF_11/2021</v>
      </c>
      <c r="K95" s="1031" t="str">
        <f t="shared" si="3"/>
        <v>UN</v>
      </c>
      <c r="L95" s="1031">
        <f t="shared" si="4"/>
        <v>4</v>
      </c>
      <c r="M95" s="1031">
        <f t="shared" si="5"/>
        <v>2</v>
      </c>
      <c r="N95" s="1032">
        <f t="shared" si="6"/>
        <v>1.709334056</v>
      </c>
      <c r="O95" s="1033">
        <f t="shared" ref="O95:O96" si="16">ROUND(N95,0)</f>
        <v>2</v>
      </c>
      <c r="P95" s="1030"/>
    </row>
    <row r="96">
      <c r="A96" s="1028">
        <f>IFERROR(__xludf.DUMMYFUNCTION("""COMPUTED_VALUE"""),97585.0)</f>
        <v>97585</v>
      </c>
      <c r="B96" s="1028" t="str">
        <f>VLOOKUP(A96,'17. DADOS - HISTORICO MANUT. 20'!E:I,2,0)</f>
        <v>SINAPI-S</v>
      </c>
      <c r="C96" s="1029" t="str">
        <f>VLOOKUP(A96,'17. DADOS - HISTORICO MANUT. 20'!$E:$I,3,0)</f>
        <v>LUMINÁRIA TIPO CALHA, DE SOBREPOR, COM 2 LÂMPADAS TUBULARES FLUORESCENTES DE 18 W, COM REATOR DE PARTIDA RÁPIDA - FORNECIMENTO E INSTALAÇÃO. AF_02/2020</v>
      </c>
      <c r="D96" s="1028" t="str">
        <f>VLOOKUP(A96,'17. DADOS - HISTORICO MANUT. 20'!$E:$I,4,0)</f>
        <v>UN</v>
      </c>
      <c r="E96" s="1028">
        <f>SUMIF('17. DADOS - HISTORICO MANUT. 20'!E:E,A96,'17. DADOS - HISTORICO MANUT. 20'!I:I)</f>
        <v>5</v>
      </c>
      <c r="F96" s="1030"/>
      <c r="G96" s="1030"/>
      <c r="H96" s="1031">
        <f>IFERROR(__xludf.DUMMYFUNCTION("""COMPUTED_VALUE"""),97585.0)</f>
        <v>97585</v>
      </c>
      <c r="I96" s="1028" t="str">
        <f t="shared" si="1"/>
        <v>SINAPI-S</v>
      </c>
      <c r="J96" s="1029" t="str">
        <f t="shared" si="2"/>
        <v>LUMINÁRIA TIPO CALHA, DE SOBREPOR, COM 2 LÂMPADAS TUBULARES FLUORESCENTES DE 18 W, COM REATOR DE PARTIDA RÁPIDA - FORNECIMENTO E INSTALAÇÃO. AF_02/2020</v>
      </c>
      <c r="K96" s="1031" t="str">
        <f t="shared" si="3"/>
        <v>UN</v>
      </c>
      <c r="L96" s="1031">
        <f t="shared" si="4"/>
        <v>5</v>
      </c>
      <c r="M96" s="1031">
        <f t="shared" si="5"/>
        <v>2.5</v>
      </c>
      <c r="N96" s="1032">
        <f t="shared" si="6"/>
        <v>2.13666757</v>
      </c>
      <c r="O96" s="1033">
        <f t="shared" si="16"/>
        <v>2</v>
      </c>
      <c r="P96" s="1030"/>
    </row>
    <row r="97">
      <c r="A97" s="1028">
        <f>IFERROR(__xludf.DUMMYFUNCTION("""COMPUTED_VALUE"""),101648.0)</f>
        <v>101648</v>
      </c>
      <c r="B97" s="1028" t="str">
        <f>VLOOKUP(A97,'17. DADOS - HISTORICO MANUT. 20'!E:I,2,0)</f>
        <v>SINAPI-S</v>
      </c>
      <c r="C97" s="1029" t="str">
        <f>VLOOKUP(A97,'17. DADOS - HISTORICO MANUT. 20'!$E:$I,3,0)</f>
        <v>LÂMPADA VAPOR DE SÓDIO 150 W - FORNECIMENTO E INSTALAÇÃO. AF_08/2020</v>
      </c>
      <c r="D97" s="1028" t="str">
        <f>VLOOKUP(A97,'17. DADOS - HISTORICO MANUT. 20'!$E:$I,4,0)</f>
        <v>UN</v>
      </c>
      <c r="E97" s="1028">
        <f>SUMIF('17. DADOS - HISTORICO MANUT. 20'!E:E,A97,'17. DADOS - HISTORICO MANUT. 20'!I:I)</f>
        <v>1</v>
      </c>
      <c r="F97" s="1030"/>
      <c r="G97" s="1030"/>
      <c r="H97" s="1031">
        <f>IFERROR(__xludf.DUMMYFUNCTION("""COMPUTED_VALUE"""),101648.0)</f>
        <v>101648</v>
      </c>
      <c r="I97" s="1028" t="str">
        <f t="shared" si="1"/>
        <v>SINAPI-S</v>
      </c>
      <c r="J97" s="1029" t="str">
        <f t="shared" si="2"/>
        <v>LÂMPADA VAPOR DE SÓDIO 150 W - FORNECIMENTO E INSTALAÇÃO. AF_08/2020</v>
      </c>
      <c r="K97" s="1031" t="str">
        <f t="shared" si="3"/>
        <v>UN</v>
      </c>
      <c r="L97" s="1031">
        <f t="shared" si="4"/>
        <v>1</v>
      </c>
      <c r="M97" s="1031">
        <f t="shared" si="5"/>
        <v>0.5</v>
      </c>
      <c r="N97" s="1032">
        <f t="shared" si="6"/>
        <v>0.427333514</v>
      </c>
      <c r="O97" s="1033">
        <f t="shared" ref="O97:O99" si="17">ROUND(N97,0)+1</f>
        <v>1</v>
      </c>
      <c r="P97" s="1030"/>
    </row>
    <row r="98">
      <c r="A98" s="1028">
        <f>IFERROR(__xludf.DUMMYFUNCTION("""COMPUTED_VALUE"""),101627.0)</f>
        <v>101627</v>
      </c>
      <c r="B98" s="1028" t="str">
        <f>VLOOKUP(A98,'17. DADOS - HISTORICO MANUT. 20'!E:I,2,0)</f>
        <v>SINAPI-S</v>
      </c>
      <c r="C98" s="1029" t="str">
        <f>VLOOKUP(A98,'17. DADOS - HISTORICO MANUT. 20'!$E:$I,3,0)</f>
        <v>REATOR PARA LÂMPADA VAPOR DE SÓDIO 250 W, USO EXTERNO - FORNECIMENTO E INSTALAÇÃO. AF_08/2020</v>
      </c>
      <c r="D98" s="1028" t="str">
        <f>VLOOKUP(A98,'17. DADOS - HISTORICO MANUT. 20'!$E:$I,4,0)</f>
        <v>UN</v>
      </c>
      <c r="E98" s="1028">
        <f>SUMIF('17. DADOS - HISTORICO MANUT. 20'!E:E,A98,'17. DADOS - HISTORICO MANUT. 20'!I:I)</f>
        <v>1</v>
      </c>
      <c r="F98" s="1030"/>
      <c r="G98" s="1030"/>
      <c r="H98" s="1031">
        <f>IFERROR(__xludf.DUMMYFUNCTION("""COMPUTED_VALUE"""),101627.0)</f>
        <v>101627</v>
      </c>
      <c r="I98" s="1028" t="str">
        <f t="shared" si="1"/>
        <v>SINAPI-S</v>
      </c>
      <c r="J98" s="1029" t="str">
        <f t="shared" si="2"/>
        <v>REATOR PARA LÂMPADA VAPOR DE SÓDIO 250 W, USO EXTERNO - FORNECIMENTO E INSTALAÇÃO. AF_08/2020</v>
      </c>
      <c r="K98" s="1031" t="str">
        <f t="shared" si="3"/>
        <v>UN</v>
      </c>
      <c r="L98" s="1031">
        <f t="shared" si="4"/>
        <v>1</v>
      </c>
      <c r="M98" s="1031">
        <f t="shared" si="5"/>
        <v>0.5</v>
      </c>
      <c r="N98" s="1032">
        <f t="shared" si="6"/>
        <v>0.427333514</v>
      </c>
      <c r="O98" s="1033">
        <f t="shared" si="17"/>
        <v>1</v>
      </c>
      <c r="P98" s="1030"/>
    </row>
    <row r="99">
      <c r="A99" s="1028">
        <f>IFERROR(__xludf.DUMMYFUNCTION("""COMPUTED_VALUE"""),86935.0)</f>
        <v>86935</v>
      </c>
      <c r="B99" s="1028" t="str">
        <f>VLOOKUP(A99,'17. DADOS - HISTORICO MANUT. 20'!E:I,2,0)</f>
        <v>SINAPI-S</v>
      </c>
      <c r="C99" s="1029" t="str">
        <f>VLOOKUP(A99,'17. DADOS - HISTORICO MANUT. 20'!$E:$I,3,0)</f>
        <v>CUBA DE EMBUTIR DE AÇO INOXIDÁVEL MÉDIA, INCLUSO VÁLVULA TIPO AMERICANA EM METAL CROMADO E SIFÃO FLEXÍVEL EM PVC - FORNECIMENTO E INSTALAÇÃO. AF_01/2020</v>
      </c>
      <c r="D99" s="1028" t="str">
        <f>VLOOKUP(A99,'17. DADOS - HISTORICO MANUT. 20'!$E:$I,4,0)</f>
        <v>UN</v>
      </c>
      <c r="E99" s="1028">
        <f>SUMIF('17. DADOS - HISTORICO MANUT. 20'!E:E,A99,'17. DADOS - HISTORICO MANUT. 20'!I:I)</f>
        <v>1</v>
      </c>
      <c r="F99" s="1030"/>
      <c r="G99" s="1030"/>
      <c r="H99" s="1031">
        <f>IFERROR(__xludf.DUMMYFUNCTION("""COMPUTED_VALUE"""),86935.0)</f>
        <v>86935</v>
      </c>
      <c r="I99" s="1028" t="str">
        <f t="shared" si="1"/>
        <v>SINAPI-S</v>
      </c>
      <c r="J99" s="1029" t="str">
        <f t="shared" si="2"/>
        <v>CUBA DE EMBUTIR DE AÇO INOXIDÁVEL MÉDIA, INCLUSO VÁLVULA TIPO AMERICANA EM METAL CROMADO E SIFÃO FLEXÍVEL EM PVC - FORNECIMENTO E INSTALAÇÃO. AF_01/2020</v>
      </c>
      <c r="K99" s="1031" t="str">
        <f t="shared" si="3"/>
        <v>UN</v>
      </c>
      <c r="L99" s="1031">
        <f t="shared" si="4"/>
        <v>1</v>
      </c>
      <c r="M99" s="1031">
        <f t="shared" si="5"/>
        <v>0.5</v>
      </c>
      <c r="N99" s="1032">
        <f t="shared" si="6"/>
        <v>0.427333514</v>
      </c>
      <c r="O99" s="1033">
        <f t="shared" si="17"/>
        <v>1</v>
      </c>
      <c r="P99" s="1030"/>
    </row>
    <row r="100">
      <c r="A100" s="1028" t="str">
        <f>IFERROR(__xludf.DUMMYFUNCTION("""COMPUTED_VALUE"""),"MAN_PR_025")</f>
        <v>MAN_PR_025</v>
      </c>
      <c r="B100" s="1028" t="str">
        <f>VLOOKUP(A100,'17. DADOS - HISTORICO MANUT. 20'!E:I,2,0)</f>
        <v>COMP.EVENTUAL</v>
      </c>
      <c r="C100" s="1029" t="str">
        <f>VLOOKUP(A100,'17. DADOS - HISTORICO MANUT. 20'!$E:$I,3,0)</f>
        <v>FORNECIMENTO E INSTALAÇÃO DE CANALETA EM PVC PARA INSTALAÇÃO ELÉTRICA APARENTE, INCLUSIVE CONEXÕES, DIMENSÕES 20 X 10 MM</v>
      </c>
      <c r="D100" s="1028" t="str">
        <f>VLOOKUP(A100,'17. DADOS - HISTORICO MANUT. 20'!$E:$I,4,0)</f>
        <v>M</v>
      </c>
      <c r="E100" s="1028">
        <f>SUMIF('17. DADOS - HISTORICO MANUT. 20'!E:E,A100,'17. DADOS - HISTORICO MANUT. 20'!I:I)</f>
        <v>6</v>
      </c>
      <c r="F100" s="1030"/>
      <c r="G100" s="1030"/>
      <c r="H100" s="1031" t="str">
        <f>IFERROR(__xludf.DUMMYFUNCTION("""COMPUTED_VALUE"""),"MAN_PR_025")</f>
        <v>MAN_PR_025</v>
      </c>
      <c r="I100" s="1028" t="str">
        <f t="shared" si="1"/>
        <v>COMP.EVENTUAL</v>
      </c>
      <c r="J100" s="1029" t="str">
        <f t="shared" si="2"/>
        <v>FORNECIMENTO E INSTALAÇÃO DE CANALETA EM PVC PARA INSTALAÇÃO ELÉTRICA APARENTE, INCLUSIVE CONEXÕES, DIMENSÕES 20 X 10 MM</v>
      </c>
      <c r="K100" s="1031" t="str">
        <f t="shared" si="3"/>
        <v>M</v>
      </c>
      <c r="L100" s="1031">
        <f t="shared" si="4"/>
        <v>23</v>
      </c>
      <c r="M100" s="1031">
        <f t="shared" si="5"/>
        <v>11.5</v>
      </c>
      <c r="N100" s="1032">
        <f t="shared" si="6"/>
        <v>9.828670821</v>
      </c>
      <c r="O100" s="1033">
        <f t="shared" ref="O100:O105" si="18">ROUND(N100,0)</f>
        <v>10</v>
      </c>
      <c r="P100" s="1030"/>
    </row>
    <row r="101">
      <c r="A101" s="1028">
        <f>IFERROR(__xludf.DUMMYFUNCTION("""COMPUTED_VALUE"""),99634.0)</f>
        <v>99634</v>
      </c>
      <c r="B101" s="1028" t="str">
        <f>VLOOKUP(A101,'17. DADOS - HISTORICO MANUT. 20'!E:I,2,0)</f>
        <v>SINAPI-S</v>
      </c>
      <c r="C101" s="1029" t="str">
        <f>VLOOKUP(A101,'17. DADOS - HISTORICO MANUT. 20'!$E:$I,3,0)</f>
        <v>VÁLVULA DE RETENÇÃO VERTICAL, DE BRONZE, ROSCÁVEL, 4" - FORNECIMENTO E INSTALAÇÃO. AF_08/2021</v>
      </c>
      <c r="D101" s="1028" t="str">
        <f>VLOOKUP(A101,'17. DADOS - HISTORICO MANUT. 20'!$E:$I,4,0)</f>
        <v>UN</v>
      </c>
      <c r="E101" s="1028">
        <f>SUMIF('17. DADOS - HISTORICO MANUT. 20'!E:E,A101,'17. DADOS - HISTORICO MANUT. 20'!I:I)</f>
        <v>2</v>
      </c>
      <c r="F101" s="1030"/>
      <c r="G101" s="1030"/>
      <c r="H101" s="1031">
        <f>IFERROR(__xludf.DUMMYFUNCTION("""COMPUTED_VALUE"""),99634.0)</f>
        <v>99634</v>
      </c>
      <c r="I101" s="1028" t="str">
        <f t="shared" si="1"/>
        <v>SINAPI-S</v>
      </c>
      <c r="J101" s="1029" t="str">
        <f t="shared" si="2"/>
        <v>VÁLVULA DE RETENÇÃO VERTICAL, DE BRONZE, ROSCÁVEL, 4" - FORNECIMENTO E INSTALAÇÃO. AF_08/2021</v>
      </c>
      <c r="K101" s="1031" t="str">
        <f t="shared" si="3"/>
        <v>UN</v>
      </c>
      <c r="L101" s="1031">
        <f t="shared" si="4"/>
        <v>2</v>
      </c>
      <c r="M101" s="1031">
        <f t="shared" si="5"/>
        <v>1</v>
      </c>
      <c r="N101" s="1032">
        <f t="shared" si="6"/>
        <v>0.854667028</v>
      </c>
      <c r="O101" s="1033">
        <f t="shared" si="18"/>
        <v>1</v>
      </c>
      <c r="P101" s="1030"/>
    </row>
    <row r="102">
      <c r="A102" s="1028" t="str">
        <f>IFERROR(__xludf.DUMMYFUNCTION("""COMPUTED_VALUE"""),"MAN_PR_026")</f>
        <v>MAN_PR_026</v>
      </c>
      <c r="B102" s="1028" t="str">
        <f>VLOOKUP(A102,'17. DADOS - HISTORICO MANUT. 20'!E:I,2,0)</f>
        <v>COMP.EVENTUAL</v>
      </c>
      <c r="C102" s="1029" t="str">
        <f>VLOOKUP(A102,'17. DADOS - HISTORICO MANUT. 20'!$E:$I,3,0)</f>
        <v>FORNECIMENTO E INSTALAÇÃO DE FECHADURA BIOMÉTRICA PARA PORTA, ABERTURA TIPO SENHA OU CHAVEIRO DE PROXIMIDADE. REF: INTELBRAS FR 320 OU SIMILAR</v>
      </c>
      <c r="D102" s="1028" t="str">
        <f>VLOOKUP(A102,'17. DADOS - HISTORICO MANUT. 20'!$E:$I,4,0)</f>
        <v>UN</v>
      </c>
      <c r="E102" s="1028">
        <f>SUMIF('17. DADOS - HISTORICO MANUT. 20'!E:E,A102,'17. DADOS - HISTORICO MANUT. 20'!I:I)</f>
        <v>3</v>
      </c>
      <c r="F102" s="1030"/>
      <c r="G102" s="1030"/>
      <c r="H102" s="1031" t="str">
        <f>IFERROR(__xludf.DUMMYFUNCTION("""COMPUTED_VALUE"""),"MAN_PR_026")</f>
        <v>MAN_PR_026</v>
      </c>
      <c r="I102" s="1028" t="str">
        <f t="shared" si="1"/>
        <v>COMP.EVENTUAL</v>
      </c>
      <c r="J102" s="1029" t="str">
        <f t="shared" si="2"/>
        <v>FORNECIMENTO E INSTALAÇÃO DE FECHADURA BIOMÉTRICA PARA PORTA, ABERTURA TIPO SENHA OU CHAVEIRO DE PROXIMIDADE. REF: INTELBRAS FR 320 OU SIMILAR</v>
      </c>
      <c r="K102" s="1031" t="str">
        <f t="shared" si="3"/>
        <v>UN</v>
      </c>
      <c r="L102" s="1031">
        <f t="shared" si="4"/>
        <v>3</v>
      </c>
      <c r="M102" s="1031">
        <f t="shared" si="5"/>
        <v>1.5</v>
      </c>
      <c r="N102" s="1032">
        <f t="shared" si="6"/>
        <v>1.282000542</v>
      </c>
      <c r="O102" s="1033">
        <f t="shared" si="18"/>
        <v>1</v>
      </c>
      <c r="P102" s="1030"/>
    </row>
    <row r="103">
      <c r="A103" s="1028">
        <f>IFERROR(__xludf.DUMMYFUNCTION("""COMPUTED_VALUE"""),86877.0)</f>
        <v>86877</v>
      </c>
      <c r="B103" s="1028" t="str">
        <f>VLOOKUP(A103,'17. DADOS - HISTORICO MANUT. 20'!E:I,2,0)</f>
        <v>SINAPI-S</v>
      </c>
      <c r="C103" s="1029" t="str">
        <f>VLOOKUP(A103,'17. DADOS - HISTORICO MANUT. 20'!$E:$I,3,0)</f>
        <v>VÁLVULA EM METAL CROMADO 1.1/2_x0094_ X 1.1/2_x0094_ PARA TANQUE OU LAVATÓRIO, COM OU SEM LADRÃO - FORNECIMENTO E INSTALAÇÃO. AF_01/2020</v>
      </c>
      <c r="D103" s="1028" t="str">
        <f>VLOOKUP(A103,'17. DADOS - HISTORICO MANUT. 20'!$E:$I,4,0)</f>
        <v>UN</v>
      </c>
      <c r="E103" s="1028">
        <f>SUMIF('17. DADOS - HISTORICO MANUT. 20'!E:E,A103,'17. DADOS - HISTORICO MANUT. 20'!I:I)</f>
        <v>2</v>
      </c>
      <c r="F103" s="1030"/>
      <c r="G103" s="1030"/>
      <c r="H103" s="1031">
        <f>IFERROR(__xludf.DUMMYFUNCTION("""COMPUTED_VALUE"""),86877.0)</f>
        <v>86877</v>
      </c>
      <c r="I103" s="1028" t="str">
        <f t="shared" si="1"/>
        <v>SINAPI-S</v>
      </c>
      <c r="J103" s="1029" t="str">
        <f t="shared" si="2"/>
        <v>VÁLVULA EM METAL CROMADO 1.1/2_x0094_ X 1.1/2_x0094_ PARA TANQUE OU LAVATÓRIO, COM OU SEM LADRÃO - FORNECIMENTO E INSTALAÇÃO. AF_01/2020</v>
      </c>
      <c r="K103" s="1031" t="str">
        <f t="shared" si="3"/>
        <v>UN</v>
      </c>
      <c r="L103" s="1031">
        <f t="shared" si="4"/>
        <v>2</v>
      </c>
      <c r="M103" s="1031">
        <f t="shared" si="5"/>
        <v>1</v>
      </c>
      <c r="N103" s="1032">
        <f t="shared" si="6"/>
        <v>0.854667028</v>
      </c>
      <c r="O103" s="1033">
        <f t="shared" si="18"/>
        <v>1</v>
      </c>
      <c r="P103" s="1030"/>
    </row>
    <row r="104">
      <c r="A104" s="1028">
        <f>IFERROR(__xludf.DUMMYFUNCTION("""COMPUTED_VALUE"""),103029.0)</f>
        <v>103029</v>
      </c>
      <c r="B104" s="1028" t="str">
        <f>VLOOKUP(A104,'17. DADOS - HISTORICO MANUT. 20'!E:I,2,0)</f>
        <v>SINAPI-S</v>
      </c>
      <c r="C104" s="1029" t="str">
        <f>VLOOKUP(A104,'17. DADOS - HISTORICO MANUT. 20'!$E:$I,3,0)</f>
        <v>REGISTRO OU REGULADOR DE GÁS DE COZINHA - FORNECIMENTO E INSTALAÇÃO. AF_08/2021</v>
      </c>
      <c r="D104" s="1028" t="str">
        <f>VLOOKUP(A104,'17. DADOS - HISTORICO MANUT. 20'!$E:$I,4,0)</f>
        <v>UN</v>
      </c>
      <c r="E104" s="1028">
        <f>SUMIF('17. DADOS - HISTORICO MANUT. 20'!E:E,A104,'17. DADOS - HISTORICO MANUT. 20'!I:I)</f>
        <v>1</v>
      </c>
      <c r="F104" s="1030"/>
      <c r="G104" s="1030"/>
      <c r="H104" s="1031">
        <f>IFERROR(__xludf.DUMMYFUNCTION("""COMPUTED_VALUE"""),103029.0)</f>
        <v>103029</v>
      </c>
      <c r="I104" s="1028" t="str">
        <f t="shared" si="1"/>
        <v>SINAPI-S</v>
      </c>
      <c r="J104" s="1029" t="str">
        <f t="shared" si="2"/>
        <v>REGISTRO OU REGULADOR DE GÁS DE COZINHA - FORNECIMENTO E INSTALAÇÃO. AF_08/2021</v>
      </c>
      <c r="K104" s="1031" t="str">
        <f t="shared" si="3"/>
        <v>UN</v>
      </c>
      <c r="L104" s="1031">
        <f t="shared" si="4"/>
        <v>2</v>
      </c>
      <c r="M104" s="1031">
        <f t="shared" si="5"/>
        <v>1</v>
      </c>
      <c r="N104" s="1032">
        <f t="shared" si="6"/>
        <v>0.854667028</v>
      </c>
      <c r="O104" s="1033">
        <f t="shared" si="18"/>
        <v>1</v>
      </c>
      <c r="P104" s="1030"/>
    </row>
    <row r="105">
      <c r="A105" s="1028" t="str">
        <f>IFERROR(__xludf.DUMMYFUNCTION("""COMPUTED_VALUE"""),"MAN_PR_027")</f>
        <v>MAN_PR_027</v>
      </c>
      <c r="B105" s="1028" t="str">
        <f>VLOOKUP(A105,'17. DADOS - HISTORICO MANUT. 20'!E:I,2,0)</f>
        <v>COMP.EVENTUAL</v>
      </c>
      <c r="C105" s="1029" t="str">
        <f>VLOOKUP(A105,'17. DADOS - HISTORICO MANUT. 20'!$E:$I,3,0)</f>
        <v>SUBSTITUIÇÃO DE PLUGUE 2P+T DE 20A, 250V</v>
      </c>
      <c r="D105" s="1028" t="str">
        <f>VLOOKUP(A105,'17. DADOS - HISTORICO MANUT. 20'!$E:$I,4,0)</f>
        <v>UN</v>
      </c>
      <c r="E105" s="1028">
        <f>SUMIF('17. DADOS - HISTORICO MANUT. 20'!E:E,A105,'17. DADOS - HISTORICO MANUT. 20'!I:I)</f>
        <v>1</v>
      </c>
      <c r="F105" s="1030"/>
      <c r="G105" s="1030"/>
      <c r="H105" s="1031" t="str">
        <f>IFERROR(__xludf.DUMMYFUNCTION("""COMPUTED_VALUE"""),"MAN_PR_027")</f>
        <v>MAN_PR_027</v>
      </c>
      <c r="I105" s="1028" t="str">
        <f t="shared" si="1"/>
        <v>COMP.EVENTUAL</v>
      </c>
      <c r="J105" s="1029" t="str">
        <f t="shared" si="2"/>
        <v>SUBSTITUIÇÃO DE PLUGUE 2P+T DE 20A, 250V</v>
      </c>
      <c r="K105" s="1031" t="str">
        <f t="shared" si="3"/>
        <v>UN</v>
      </c>
      <c r="L105" s="1031">
        <f t="shared" si="4"/>
        <v>42</v>
      </c>
      <c r="M105" s="1031">
        <f t="shared" si="5"/>
        <v>21</v>
      </c>
      <c r="N105" s="1032">
        <f t="shared" si="6"/>
        <v>17.94800759</v>
      </c>
      <c r="O105" s="1033">
        <f t="shared" si="18"/>
        <v>18</v>
      </c>
      <c r="P105" s="1030"/>
    </row>
    <row r="106">
      <c r="A106" s="1028">
        <f>IFERROR(__xludf.DUMMYFUNCTION("""COMPUTED_VALUE"""),102137.0)</f>
        <v>102137</v>
      </c>
      <c r="B106" s="1028" t="str">
        <f>VLOOKUP(A106,'17. DADOS - HISTORICO MANUT. 20'!E:I,2,0)</f>
        <v>SINAPI-S</v>
      </c>
      <c r="C106" s="1029" t="str">
        <f>VLOOKUP(A106,'17. DADOS - HISTORICO MANUT. 20'!$E:$I,3,0)</f>
        <v>CHAVE DE BOIA AUTOMÁTICA SUPERIOR/INFERIOR 15A/250V - FORNECIMENTO E INSTALAÇÃO. AF_12/2020</v>
      </c>
      <c r="D106" s="1028" t="str">
        <f>VLOOKUP(A106,'17. DADOS - HISTORICO MANUT. 20'!$E:$I,4,0)</f>
        <v>UN</v>
      </c>
      <c r="E106" s="1028">
        <f>SUMIF('17. DADOS - HISTORICO MANUT. 20'!E:E,A106,'17. DADOS - HISTORICO MANUT. 20'!I:I)</f>
        <v>1</v>
      </c>
      <c r="F106" s="1030"/>
      <c r="G106" s="1030"/>
      <c r="H106" s="1031">
        <f>IFERROR(__xludf.DUMMYFUNCTION("""COMPUTED_VALUE"""),102137.0)</f>
        <v>102137</v>
      </c>
      <c r="I106" s="1028" t="str">
        <f t="shared" si="1"/>
        <v>SINAPI-S</v>
      </c>
      <c r="J106" s="1029" t="str">
        <f t="shared" si="2"/>
        <v>CHAVE DE BOIA AUTOMÁTICA SUPERIOR/INFERIOR 15A/250V - FORNECIMENTO E INSTALAÇÃO. AF_12/2020</v>
      </c>
      <c r="K106" s="1031" t="str">
        <f t="shared" si="3"/>
        <v>UN</v>
      </c>
      <c r="L106" s="1031">
        <f t="shared" si="4"/>
        <v>1</v>
      </c>
      <c r="M106" s="1031">
        <f t="shared" si="5"/>
        <v>0.5</v>
      </c>
      <c r="N106" s="1032">
        <f t="shared" si="6"/>
        <v>0.427333514</v>
      </c>
      <c r="O106" s="1033">
        <f>ROUND(N106,0)+1</f>
        <v>1</v>
      </c>
      <c r="P106" s="1030"/>
    </row>
    <row r="107">
      <c r="A107" s="1028">
        <f>IFERROR(__xludf.DUMMYFUNCTION("""COMPUTED_VALUE"""),100748.0)</f>
        <v>100748</v>
      </c>
      <c r="B107" s="1028" t="str">
        <f>VLOOKUP(A107,'17. DADOS - HISTORICO MANUT. 20'!E:I,2,0)</f>
        <v>SINAPI-S</v>
      </c>
      <c r="C107" s="1029" t="str">
        <f>VLOOKUP(A107,'17. DADOS - HISTORICO MANUT. 20'!$E:$I,3,0)</f>
        <v>PINTURA COM TINTA ALQUÍDICA DE ACABAMENTO (ESMALTE SINTÉTICO FOSCO) APLICADA A ROLO OU PINCEL SOBRE PERFIL METÁLICO EXECUTADO EM FÁBRICA (POR DEMÃO). AF_01/2020</v>
      </c>
      <c r="D107" s="1028" t="str">
        <f>VLOOKUP(A107,'17. DADOS - HISTORICO MANUT. 20'!$E:$I,4,0)</f>
        <v>M2</v>
      </c>
      <c r="E107" s="1028">
        <f>SUMIF('17. DADOS - HISTORICO MANUT. 20'!E:E,A107,'17. DADOS - HISTORICO MANUT. 20'!I:I)</f>
        <v>10</v>
      </c>
      <c r="F107" s="1030"/>
      <c r="G107" s="1030"/>
      <c r="H107" s="1031">
        <f>IFERROR(__xludf.DUMMYFUNCTION("""COMPUTED_VALUE"""),100748.0)</f>
        <v>100748</v>
      </c>
      <c r="I107" s="1028" t="str">
        <f t="shared" si="1"/>
        <v>SINAPI-S</v>
      </c>
      <c r="J107" s="1029" t="str">
        <f t="shared" si="2"/>
        <v>PINTURA COM TINTA ALQUÍDICA DE ACABAMENTO (ESMALTE SINTÉTICO FOSCO) APLICADA A ROLO OU PINCEL SOBRE PERFIL METÁLICO EXECUTADO EM FÁBRICA (POR DEMÃO). AF_01/2020</v>
      </c>
      <c r="K107" s="1031" t="str">
        <f t="shared" si="3"/>
        <v>M2</v>
      </c>
      <c r="L107" s="1031">
        <f t="shared" si="4"/>
        <v>10</v>
      </c>
      <c r="M107" s="1031">
        <f t="shared" si="5"/>
        <v>5</v>
      </c>
      <c r="N107" s="1032">
        <f t="shared" si="6"/>
        <v>4.27333514</v>
      </c>
      <c r="O107" s="1033">
        <f t="shared" ref="O107:O111" si="19">ROUND(N107,0)</f>
        <v>4</v>
      </c>
      <c r="P107" s="1030"/>
    </row>
    <row r="108">
      <c r="A108" s="1028">
        <f>IFERROR(__xludf.DUMMYFUNCTION("""COMPUTED_VALUE"""),86910.0)</f>
        <v>86910</v>
      </c>
      <c r="B108" s="1028" t="str">
        <f>VLOOKUP(A108,'17. DADOS - HISTORICO MANUT. 20'!E:I,2,0)</f>
        <v>SINAPI-S</v>
      </c>
      <c r="C108" s="1029" t="str">
        <f>VLOOKUP(A108,'17. DADOS - HISTORICO MANUT. 20'!$E:$I,3,0)</f>
        <v>TORNEIRA CROMADA TUBO MÓVEL, DE PAREDE, 1/2_x0094_ OU 3/4_x0094_, PARA PIA DE COZINHA, PADRÃO MÉDIO - FORNECIMENTO E INSTALAÇÃO. AF_01/2020</v>
      </c>
      <c r="D108" s="1028" t="str">
        <f>VLOOKUP(A108,'17. DADOS - HISTORICO MANUT. 20'!$E:$I,4,0)</f>
        <v>UN</v>
      </c>
      <c r="E108" s="1028">
        <f>SUMIF('17. DADOS - HISTORICO MANUT. 20'!E:E,A108,'17. DADOS - HISTORICO MANUT. 20'!I:I)</f>
        <v>2</v>
      </c>
      <c r="F108" s="1030"/>
      <c r="G108" s="1030"/>
      <c r="H108" s="1031">
        <f>IFERROR(__xludf.DUMMYFUNCTION("""COMPUTED_VALUE"""),86910.0)</f>
        <v>86910</v>
      </c>
      <c r="I108" s="1028" t="str">
        <f t="shared" si="1"/>
        <v>SINAPI-S</v>
      </c>
      <c r="J108" s="1029" t="str">
        <f t="shared" si="2"/>
        <v>TORNEIRA CROMADA TUBO MÓVEL, DE PAREDE, 1/2_x0094_ OU 3/4_x0094_, PARA PIA DE COZINHA, PADRÃO MÉDIO - FORNECIMENTO E INSTALAÇÃO. AF_01/2020</v>
      </c>
      <c r="K108" s="1031" t="str">
        <f t="shared" si="3"/>
        <v>UN</v>
      </c>
      <c r="L108" s="1031">
        <f t="shared" si="4"/>
        <v>2</v>
      </c>
      <c r="M108" s="1031">
        <f t="shared" si="5"/>
        <v>1</v>
      </c>
      <c r="N108" s="1032">
        <f t="shared" si="6"/>
        <v>0.854667028</v>
      </c>
      <c r="O108" s="1033">
        <f t="shared" si="19"/>
        <v>1</v>
      </c>
      <c r="P108" s="1030"/>
    </row>
    <row r="109">
      <c r="A109" s="1028">
        <f>IFERROR(__xludf.DUMMYFUNCTION("""COMPUTED_VALUE"""),104475.0)</f>
        <v>104475</v>
      </c>
      <c r="B109" s="1028" t="str">
        <f>VLOOKUP(A109,'17. DADOS - HISTORICO MANUT. 20'!E:I,2,0)</f>
        <v>SINAPI-S</v>
      </c>
      <c r="C109" s="1029" t="str">
        <f>VLOOKUP(A109,'17. DADOS - HISTORICO MANUT. 20'!$E:$I,3,0)</f>
        <v>COMPOSIÇÃO PARAMÉTRICA DE PONTO ELÉTRICO DE TOMADA DE USO GERAL 2P+T (10A/250V) EM EDIFÍCIO RESIDENCIAL COM ELETRODUTO EMBUTIDO EM RASGOS NAS PAREDES, INCLUSO TOMADA, ELETRODUTO, CABO, RASGO, QUEBRA E CHUMBAMENTO. AF_11/2022</v>
      </c>
      <c r="D109" s="1028" t="str">
        <f>VLOOKUP(A109,'17. DADOS - HISTORICO MANUT. 20'!$E:$I,4,0)</f>
        <v>UN</v>
      </c>
      <c r="E109" s="1028">
        <f>SUMIF('17. DADOS - HISTORICO MANUT. 20'!E:E,A109,'17. DADOS - HISTORICO MANUT. 20'!I:I)</f>
        <v>8</v>
      </c>
      <c r="F109" s="1030"/>
      <c r="G109" s="1030"/>
      <c r="H109" s="1031">
        <f>IFERROR(__xludf.DUMMYFUNCTION("""COMPUTED_VALUE"""),104475.0)</f>
        <v>104475</v>
      </c>
      <c r="I109" s="1028" t="str">
        <f t="shared" si="1"/>
        <v>SINAPI-S</v>
      </c>
      <c r="J109" s="1029" t="str">
        <f t="shared" si="2"/>
        <v>COMPOSIÇÃO PARAMÉTRICA DE PONTO ELÉTRICO DE TOMADA DE USO GERAL 2P+T (10A/250V) EM EDIFÍCIO RESIDENCIAL COM ELETRODUTO EMBUTIDO EM RASGOS NAS PAREDES, INCLUSO TOMADA, ELETRODUTO, CABO, RASGO, QUEBRA E CHUMBAMENTO. AF_11/2022</v>
      </c>
      <c r="K109" s="1031" t="str">
        <f t="shared" si="3"/>
        <v>UN</v>
      </c>
      <c r="L109" s="1031">
        <f t="shared" si="4"/>
        <v>8</v>
      </c>
      <c r="M109" s="1031">
        <f t="shared" si="5"/>
        <v>4</v>
      </c>
      <c r="N109" s="1032">
        <f t="shared" si="6"/>
        <v>3.418668112</v>
      </c>
      <c r="O109" s="1033">
        <f t="shared" si="19"/>
        <v>3</v>
      </c>
      <c r="P109" s="1030"/>
    </row>
    <row r="110">
      <c r="A110" s="1028" t="str">
        <f>IFERROR(__xludf.DUMMYFUNCTION("""COMPUTED_VALUE"""),"MAN_PR_028")</f>
        <v>MAN_PR_028</v>
      </c>
      <c r="B110" s="1028" t="str">
        <f>VLOOKUP(A110,'17. DADOS - HISTORICO MANUT. 20'!E:I,2,0)</f>
        <v>COMP.EVENTUAL</v>
      </c>
      <c r="C110" s="1029" t="str">
        <f>VLOOKUP(A110,'17. DADOS - HISTORICO MANUT. 20'!$E:$I,3,0)</f>
        <v>SERVIÇO DE LIMPEZA DE FOSSA SÉPTICA OU SUMIDOURO - VIAGEM DE 7M3</v>
      </c>
      <c r="D110" s="1028" t="str">
        <f>VLOOKUP(A110,'17. DADOS - HISTORICO MANUT. 20'!$E:$I,4,0)</f>
        <v>VG</v>
      </c>
      <c r="E110" s="1028">
        <f>SUMIF('17. DADOS - HISTORICO MANUT. 20'!E:E,A110,'17. DADOS - HISTORICO MANUT. 20'!I:I)</f>
        <v>2</v>
      </c>
      <c r="F110" s="1030"/>
      <c r="G110" s="1030"/>
      <c r="H110" s="1031" t="str">
        <f>IFERROR(__xludf.DUMMYFUNCTION("""COMPUTED_VALUE"""),"MAN_PR_028")</f>
        <v>MAN_PR_028</v>
      </c>
      <c r="I110" s="1028" t="str">
        <f t="shared" si="1"/>
        <v>COMP.EVENTUAL</v>
      </c>
      <c r="J110" s="1029" t="str">
        <f t="shared" si="2"/>
        <v>SERVIÇO DE LIMPEZA DE FOSSA SÉPTICA OU SUMIDOURO - VIAGEM DE 7M3</v>
      </c>
      <c r="K110" s="1031" t="str">
        <f t="shared" si="3"/>
        <v>VG</v>
      </c>
      <c r="L110" s="1031">
        <f t="shared" si="4"/>
        <v>2</v>
      </c>
      <c r="M110" s="1031">
        <f t="shared" si="5"/>
        <v>1</v>
      </c>
      <c r="N110" s="1032">
        <f t="shared" si="6"/>
        <v>0.854667028</v>
      </c>
      <c r="O110" s="1033">
        <f t="shared" si="19"/>
        <v>1</v>
      </c>
      <c r="P110" s="1030"/>
    </row>
    <row r="111">
      <c r="A111" s="1028" t="str">
        <f>IFERROR(__xludf.DUMMYFUNCTION("""COMPUTED_VALUE"""),"MAN_PR_029")</f>
        <v>MAN_PR_029</v>
      </c>
      <c r="B111" s="1028" t="str">
        <f>VLOOKUP(A111,'17. DADOS - HISTORICO MANUT. 20'!E:I,2,0)</f>
        <v>COMP.EVENTUAL</v>
      </c>
      <c r="C111" s="1029" t="str">
        <f>VLOOKUP(A111,'17. DADOS - HISTORICO MANUT. 20'!$E:$I,3,0)</f>
        <v>TAMPA DE CONCRETO ARMADO PARA CAIXAS DE PASSAGEM 0,60X0,60X0,07M</v>
      </c>
      <c r="D111" s="1028" t="str">
        <f>VLOOKUP(A111,'17. DADOS - HISTORICO MANUT. 20'!$E:$I,4,0)</f>
        <v>UN</v>
      </c>
      <c r="E111" s="1028">
        <f>SUMIF('17. DADOS - HISTORICO MANUT. 20'!E:E,A111,'17. DADOS - HISTORICO MANUT. 20'!I:I)</f>
        <v>8</v>
      </c>
      <c r="F111" s="1030"/>
      <c r="G111" s="1030"/>
      <c r="H111" s="1031" t="str">
        <f>IFERROR(__xludf.DUMMYFUNCTION("""COMPUTED_VALUE"""),"MAN_PR_029")</f>
        <v>MAN_PR_029</v>
      </c>
      <c r="I111" s="1028" t="str">
        <f t="shared" si="1"/>
        <v>COMP.EVENTUAL</v>
      </c>
      <c r="J111" s="1029" t="str">
        <f t="shared" si="2"/>
        <v>TAMPA DE CONCRETO ARMADO PARA CAIXAS DE PASSAGEM 0,60X0,60X0,07M</v>
      </c>
      <c r="K111" s="1031" t="str">
        <f t="shared" si="3"/>
        <v>UN</v>
      </c>
      <c r="L111" s="1031">
        <f t="shared" si="4"/>
        <v>8</v>
      </c>
      <c r="M111" s="1031">
        <f t="shared" si="5"/>
        <v>4</v>
      </c>
      <c r="N111" s="1032">
        <f t="shared" si="6"/>
        <v>3.418668112</v>
      </c>
      <c r="O111" s="1033">
        <f t="shared" si="19"/>
        <v>3</v>
      </c>
      <c r="P111" s="1030"/>
    </row>
    <row r="112">
      <c r="A112" s="1028">
        <f>IFERROR(__xludf.DUMMYFUNCTION("""COMPUTED_VALUE"""),99627.0)</f>
        <v>99627</v>
      </c>
      <c r="B112" s="1028" t="str">
        <f>VLOOKUP(A112,'17. DADOS - HISTORICO MANUT. 20'!E:I,2,0)</f>
        <v>SINAPI-S</v>
      </c>
      <c r="C112" s="1029" t="str">
        <f>VLOOKUP(A112,'17. DADOS - HISTORICO MANUT. 20'!$E:$I,3,0)</f>
        <v>VÁLVULA DE RETENÇÃO VERTICAL, DE BRONZE, ROSCÁVEL, 1/2" - FORNECIMENTO E INSTALAÇÃO. AF_08/2021</v>
      </c>
      <c r="D112" s="1028" t="str">
        <f>VLOOKUP(A112,'17. DADOS - HISTORICO MANUT. 20'!$E:$I,4,0)</f>
        <v>UN</v>
      </c>
      <c r="E112" s="1028">
        <f>SUMIF('17. DADOS - HISTORICO MANUT. 20'!E:E,A112,'17. DADOS - HISTORICO MANUT. 20'!I:I)</f>
        <v>1</v>
      </c>
      <c r="F112" s="1030"/>
      <c r="G112" s="1030"/>
      <c r="H112" s="1031">
        <f>IFERROR(__xludf.DUMMYFUNCTION("""COMPUTED_VALUE"""),99627.0)</f>
        <v>99627</v>
      </c>
      <c r="I112" s="1028" t="str">
        <f t="shared" si="1"/>
        <v>SINAPI-S</v>
      </c>
      <c r="J112" s="1029" t="str">
        <f t="shared" si="2"/>
        <v>VÁLVULA DE RETENÇÃO VERTICAL, DE BRONZE, ROSCÁVEL, 1/2" - FORNECIMENTO E INSTALAÇÃO. AF_08/2021</v>
      </c>
      <c r="K112" s="1031" t="str">
        <f t="shared" si="3"/>
        <v>UN</v>
      </c>
      <c r="L112" s="1031">
        <f t="shared" si="4"/>
        <v>1</v>
      </c>
      <c r="M112" s="1031">
        <f t="shared" si="5"/>
        <v>0.5</v>
      </c>
      <c r="N112" s="1032">
        <f t="shared" si="6"/>
        <v>0.427333514</v>
      </c>
      <c r="O112" s="1033">
        <f>ROUND(N112,0)+1</f>
        <v>1</v>
      </c>
      <c r="P112" s="1030"/>
    </row>
    <row r="113">
      <c r="A113" s="1028" t="str">
        <f>IFERROR(__xludf.DUMMYFUNCTION("""COMPUTED_VALUE"""),"MAN_PR_017")</f>
        <v>MAN_PR_017</v>
      </c>
      <c r="B113" s="1028" t="str">
        <f>VLOOKUP(A113,'17. DADOS - HISTORICO MANUT. 20'!E:I,2,0)</f>
        <v>COMP.EVENTUAL</v>
      </c>
      <c r="C113" s="1029" t="str">
        <f>VLOOKUP(A113,'17. DADOS - HISTORICO MANUT. 20'!$E:$I,3,0)</f>
        <v>FORNECIMENTO E INSTALAÇÃO DE KIT MOTOR PPA 1/4HP, 500KG, DESLIZANTE, INCLUÍNDO 2 CONTROLE E 5M DE CREMALHEIRA, NÃO INCLUSO EXECUÇÃO DE BASE DE FIXAÇÃO E GUIA</v>
      </c>
      <c r="D113" s="1028" t="str">
        <f>VLOOKUP(A113,'17. DADOS - HISTORICO MANUT. 20'!$E:$I,4,0)</f>
        <v>UN</v>
      </c>
      <c r="E113" s="1028">
        <f>SUMIF('17. DADOS - HISTORICO MANUT. 20'!E:E,A113,'17. DADOS - HISTORICO MANUT. 20'!I:I)</f>
        <v>1</v>
      </c>
      <c r="F113" s="1030"/>
      <c r="G113" s="1030"/>
      <c r="H113" s="1031" t="str">
        <f>IFERROR(__xludf.DUMMYFUNCTION("""COMPUTED_VALUE"""),"MAN_PR_017")</f>
        <v>MAN_PR_017</v>
      </c>
      <c r="I113" s="1028" t="str">
        <f t="shared" si="1"/>
        <v>COMP.EVENTUAL</v>
      </c>
      <c r="J113" s="1029" t="str">
        <f t="shared" si="2"/>
        <v>FORNECIMENTO E INSTALAÇÃO DE KIT MOTOR PPA 1/4HP, 500KG, DESLIZANTE, INCLUÍNDO 2 CONTROLE E 5M DE CREMALHEIRA, NÃO INCLUSO EXECUÇÃO DE BASE DE FIXAÇÃO E GUIA</v>
      </c>
      <c r="K113" s="1031" t="str">
        <f t="shared" si="3"/>
        <v>UN</v>
      </c>
      <c r="L113" s="1031">
        <f t="shared" si="4"/>
        <v>3</v>
      </c>
      <c r="M113" s="1031">
        <f t="shared" si="5"/>
        <v>1.5</v>
      </c>
      <c r="N113" s="1032">
        <f t="shared" si="6"/>
        <v>1.282000542</v>
      </c>
      <c r="O113" s="1033">
        <f t="shared" ref="O113:O114" si="20">ROUND(N113,0)</f>
        <v>1</v>
      </c>
      <c r="P113" s="1030"/>
    </row>
    <row r="114">
      <c r="A114" s="1028">
        <f>IFERROR(__xludf.DUMMYFUNCTION("""COMPUTED_VALUE"""),90801.0)</f>
        <v>90801</v>
      </c>
      <c r="B114" s="1028" t="str">
        <f>VLOOKUP(A114,'17. DADOS - HISTORICO MANUT. 20'!E:I,2,0)</f>
        <v>SINAPI-S</v>
      </c>
      <c r="C114" s="1029" t="str">
        <f>VLOOKUP(A114,'17. DADOS - HISTORICO MANUT. 20'!$E:$I,3,0)</f>
        <v>BATENTE PARA PORTA DE MADEIRA, PADRÃO MÉDIO - FORNECIMENTO E MONTAGEM. AF_12/2019</v>
      </c>
      <c r="D114" s="1028" t="str">
        <f>VLOOKUP(A114,'17. DADOS - HISTORICO MANUT. 20'!$E:$I,4,0)</f>
        <v>UN</v>
      </c>
      <c r="E114" s="1028">
        <f>SUMIF('17. DADOS - HISTORICO MANUT. 20'!E:E,A114,'17. DADOS - HISTORICO MANUT. 20'!I:I)</f>
        <v>2</v>
      </c>
      <c r="F114" s="1030"/>
      <c r="G114" s="1030"/>
      <c r="H114" s="1031">
        <f>IFERROR(__xludf.DUMMYFUNCTION("""COMPUTED_VALUE"""),90801.0)</f>
        <v>90801</v>
      </c>
      <c r="I114" s="1028" t="str">
        <f t="shared" si="1"/>
        <v>SINAPI-S</v>
      </c>
      <c r="J114" s="1029" t="str">
        <f t="shared" si="2"/>
        <v>BATENTE PARA PORTA DE MADEIRA, PADRÃO MÉDIO - FORNECIMENTO E MONTAGEM. AF_12/2019</v>
      </c>
      <c r="K114" s="1031" t="str">
        <f t="shared" si="3"/>
        <v>UN</v>
      </c>
      <c r="L114" s="1031">
        <f t="shared" si="4"/>
        <v>2</v>
      </c>
      <c r="M114" s="1031">
        <f t="shared" si="5"/>
        <v>1</v>
      </c>
      <c r="N114" s="1032">
        <f t="shared" si="6"/>
        <v>0.854667028</v>
      </c>
      <c r="O114" s="1033">
        <f t="shared" si="20"/>
        <v>1</v>
      </c>
      <c r="P114" s="1030"/>
    </row>
    <row r="115">
      <c r="A115" s="1028">
        <f>IFERROR(__xludf.DUMMYFUNCTION("""COMPUTED_VALUE"""),101895.0)</f>
        <v>101895</v>
      </c>
      <c r="B115" s="1028" t="str">
        <f>VLOOKUP(A115,'17. DADOS - HISTORICO MANUT. 20'!E:I,2,0)</f>
        <v>SINAPI-S</v>
      </c>
      <c r="C115" s="1029" t="str">
        <f>VLOOKUP(A115,'17. DADOS - HISTORICO MANUT. 20'!$E:$I,3,0)</f>
        <v>DISJUNTOR TERMOMAGNÉTICO TRIPOLAR , CORRENTE NOMINAL DE 125A - FORNECIMENTO E INSTALAÇÃO. AF_10/2020</v>
      </c>
      <c r="D115" s="1028" t="str">
        <f>VLOOKUP(A115,'17. DADOS - HISTORICO MANUT. 20'!$E:$I,4,0)</f>
        <v>UN</v>
      </c>
      <c r="E115" s="1028">
        <f>SUMIF('17. DADOS - HISTORICO MANUT. 20'!E:E,A115,'17. DADOS - HISTORICO MANUT. 20'!I:I)</f>
        <v>1</v>
      </c>
      <c r="F115" s="1030"/>
      <c r="G115" s="1030"/>
      <c r="H115" s="1031">
        <f>IFERROR(__xludf.DUMMYFUNCTION("""COMPUTED_VALUE"""),101895.0)</f>
        <v>101895</v>
      </c>
      <c r="I115" s="1028" t="str">
        <f t="shared" si="1"/>
        <v>SINAPI-S</v>
      </c>
      <c r="J115" s="1029" t="str">
        <f t="shared" si="2"/>
        <v>DISJUNTOR TERMOMAGNÉTICO TRIPOLAR , CORRENTE NOMINAL DE 125A - FORNECIMENTO E INSTALAÇÃO. AF_10/2020</v>
      </c>
      <c r="K115" s="1031" t="str">
        <f t="shared" si="3"/>
        <v>UN</v>
      </c>
      <c r="L115" s="1031">
        <f t="shared" si="4"/>
        <v>1</v>
      </c>
      <c r="M115" s="1031">
        <f t="shared" si="5"/>
        <v>0.5</v>
      </c>
      <c r="N115" s="1032">
        <f t="shared" si="6"/>
        <v>0.427333514</v>
      </c>
      <c r="O115" s="1033">
        <f>ROUND(N115,0)+1</f>
        <v>1</v>
      </c>
      <c r="P115" s="1030"/>
    </row>
    <row r="116">
      <c r="A116" s="1028" t="str">
        <f>IFERROR(__xludf.DUMMYFUNCTION("""COMPUTED_VALUE"""),"MAN_PR_030")</f>
        <v>MAN_PR_030</v>
      </c>
      <c r="B116" s="1028" t="str">
        <f>VLOOKUP(A116,'17. DADOS - HISTORICO MANUT. 20'!E:I,2,0)</f>
        <v>COMP.EVENTUAL</v>
      </c>
      <c r="C116" s="1029" t="str">
        <f>VLOOKUP(A116,'17. DADOS - HISTORICO MANUT. 20'!$E:$I,3,0)</f>
        <v>FORNECIMENTO E INSTALAÇÃO DE LIXEIRA EM PLÁSTICO POLIPROPILENO (PP) COM PROTEÇÃO UV, COM CAPACIDADE DE 50L, PARA COLETA SELETIVA COM SUPORTE (POSTE)</v>
      </c>
      <c r="D116" s="1028" t="str">
        <f>VLOOKUP(A116,'17. DADOS - HISTORICO MANUT. 20'!$E:$I,4,0)</f>
        <v>UN</v>
      </c>
      <c r="E116" s="1028">
        <f>SUMIF('17. DADOS - HISTORICO MANUT. 20'!E:E,A116,'17. DADOS - HISTORICO MANUT. 20'!I:I)</f>
        <v>4</v>
      </c>
      <c r="F116" s="1030"/>
      <c r="G116" s="1030"/>
      <c r="H116" s="1031" t="str">
        <f>IFERROR(__xludf.DUMMYFUNCTION("""COMPUTED_VALUE"""),"MAN_PR_030")</f>
        <v>MAN_PR_030</v>
      </c>
      <c r="I116" s="1028" t="str">
        <f t="shared" si="1"/>
        <v>COMP.EVENTUAL</v>
      </c>
      <c r="J116" s="1029" t="str">
        <f t="shared" si="2"/>
        <v>FORNECIMENTO E INSTALAÇÃO DE LIXEIRA EM PLÁSTICO POLIPROPILENO (PP) COM PROTEÇÃO UV, COM CAPACIDADE DE 50L, PARA COLETA SELETIVA COM SUPORTE (POSTE)</v>
      </c>
      <c r="K116" s="1031" t="str">
        <f t="shared" si="3"/>
        <v>UN</v>
      </c>
      <c r="L116" s="1031">
        <f t="shared" si="4"/>
        <v>4</v>
      </c>
      <c r="M116" s="1031">
        <f t="shared" si="5"/>
        <v>2</v>
      </c>
      <c r="N116" s="1032">
        <f t="shared" si="6"/>
        <v>1.709334056</v>
      </c>
      <c r="O116" s="1033">
        <f t="shared" ref="O116:O118" si="21">ROUND(N116,0)</f>
        <v>2</v>
      </c>
      <c r="P116" s="1030"/>
    </row>
    <row r="117">
      <c r="A117" s="1028">
        <f>IFERROR(__xludf.DUMMYFUNCTION("""COMPUTED_VALUE"""),4221.0)</f>
        <v>4221</v>
      </c>
      <c r="B117" s="1028" t="str">
        <f>VLOOKUP(A117,'17. DADOS - HISTORICO MANUT. 20'!E:I,2,0)</f>
        <v>SINAPI-I</v>
      </c>
      <c r="C117" s="1029" t="str">
        <f>VLOOKUP(A117,'17. DADOS - HISTORICO MANUT. 20'!$E:$I,3,0)</f>
        <v>OLEO DIESEL COMBUSTIVEL COMUM</v>
      </c>
      <c r="D117" s="1028" t="str">
        <f>VLOOKUP(A117,'17. DADOS - HISTORICO MANUT. 20'!$E:$I,4,0)</f>
        <v>L</v>
      </c>
      <c r="E117" s="1028">
        <f>SUMIF('17. DADOS - HISTORICO MANUT. 20'!E:E,A117,'17. DADOS - HISTORICO MANUT. 20'!I:I)</f>
        <v>150</v>
      </c>
      <c r="F117" s="1030"/>
      <c r="G117" s="1030"/>
      <c r="H117" s="1031">
        <f>IFERROR(__xludf.DUMMYFUNCTION("""COMPUTED_VALUE"""),4221.0)</f>
        <v>4221</v>
      </c>
      <c r="I117" s="1028" t="str">
        <f t="shared" si="1"/>
        <v>SINAPI-I</v>
      </c>
      <c r="J117" s="1029" t="str">
        <f t="shared" si="2"/>
        <v>OLEO DIESEL COMBUSTIVEL COMUM</v>
      </c>
      <c r="K117" s="1031" t="str">
        <f t="shared" si="3"/>
        <v>L</v>
      </c>
      <c r="L117" s="1031">
        <f t="shared" si="4"/>
        <v>150</v>
      </c>
      <c r="M117" s="1031">
        <f t="shared" si="5"/>
        <v>75</v>
      </c>
      <c r="N117" s="1032">
        <f t="shared" si="6"/>
        <v>64.1000271</v>
      </c>
      <c r="O117" s="1033">
        <f t="shared" si="21"/>
        <v>64</v>
      </c>
      <c r="P117" s="1030"/>
    </row>
    <row r="118">
      <c r="A118" s="1028">
        <f>IFERROR(__xludf.DUMMYFUNCTION("""COMPUTED_VALUE"""),11186.0)</f>
        <v>11186</v>
      </c>
      <c r="B118" s="1028" t="str">
        <f>VLOOKUP(A118,'17. DADOS - HISTORICO MANUT. 20'!E:I,2,0)</f>
        <v>SINAPI-I</v>
      </c>
      <c r="C118" s="1029" t="str">
        <f>VLOOKUP(A118,'17. DADOS - HISTORICO MANUT. 20'!$E:$I,3,0)</f>
        <v>ESPELHO CRISTAL E = 4 MM</v>
      </c>
      <c r="D118" s="1028" t="str">
        <f>VLOOKUP(A118,'17. DADOS - HISTORICO MANUT. 20'!$E:$I,4,0)</f>
        <v>M2</v>
      </c>
      <c r="E118" s="1028">
        <f>SUMIF('17. DADOS - HISTORICO MANUT. 20'!E:E,A118,'17. DADOS - HISTORICO MANUT. 20'!I:I)</f>
        <v>2</v>
      </c>
      <c r="F118" s="1030"/>
      <c r="G118" s="1030"/>
      <c r="H118" s="1031">
        <f>IFERROR(__xludf.DUMMYFUNCTION("""COMPUTED_VALUE"""),11186.0)</f>
        <v>11186</v>
      </c>
      <c r="I118" s="1028" t="str">
        <f t="shared" si="1"/>
        <v>SINAPI-I</v>
      </c>
      <c r="J118" s="1029" t="str">
        <f t="shared" si="2"/>
        <v>ESPELHO CRISTAL E = 4 MM</v>
      </c>
      <c r="K118" s="1031" t="str">
        <f t="shared" si="3"/>
        <v>M2</v>
      </c>
      <c r="L118" s="1031">
        <f t="shared" si="4"/>
        <v>2</v>
      </c>
      <c r="M118" s="1031">
        <f t="shared" si="5"/>
        <v>1</v>
      </c>
      <c r="N118" s="1032">
        <f t="shared" si="6"/>
        <v>0.854667028</v>
      </c>
      <c r="O118" s="1033">
        <f t="shared" si="21"/>
        <v>1</v>
      </c>
      <c r="P118" s="1030"/>
    </row>
    <row r="119">
      <c r="A119" s="1028" t="str">
        <f>IFERROR(__xludf.DUMMYFUNCTION("""COMPUTED_VALUE"""),"MAN_PR_031")</f>
        <v>MAN_PR_031</v>
      </c>
      <c r="B119" s="1028" t="str">
        <f>VLOOKUP(A119,'17. DADOS - HISTORICO MANUT. 20'!E:I,2,0)</f>
        <v>COMP.EVENTUAL</v>
      </c>
      <c r="C119" s="1029" t="str">
        <f>VLOOKUP(A119,'17. DADOS - HISTORICO MANUT. 20'!$E:$I,3,0)</f>
        <v>REPARO PARA VÁLVULA DE DESCARGA, COMPLETO - FORNECIMENTO E INSTALAÇÃO</v>
      </c>
      <c r="D119" s="1028" t="str">
        <f>VLOOKUP(A119,'17. DADOS - HISTORICO MANUT. 20'!$E:$I,4,0)</f>
        <v>UN</v>
      </c>
      <c r="E119" s="1028">
        <f>SUMIF('17. DADOS - HISTORICO MANUT. 20'!E:E,A119,'17. DADOS - HISTORICO MANUT. 20'!I:I)</f>
        <v>1</v>
      </c>
      <c r="F119" s="1030"/>
      <c r="G119" s="1030"/>
      <c r="H119" s="1031" t="str">
        <f>IFERROR(__xludf.DUMMYFUNCTION("""COMPUTED_VALUE"""),"MAN_PR_031")</f>
        <v>MAN_PR_031</v>
      </c>
      <c r="I119" s="1028" t="str">
        <f t="shared" si="1"/>
        <v>COMP.EVENTUAL</v>
      </c>
      <c r="J119" s="1029" t="str">
        <f t="shared" si="2"/>
        <v>REPARO PARA VÁLVULA DE DESCARGA, COMPLETO - FORNECIMENTO E INSTALAÇÃO</v>
      </c>
      <c r="K119" s="1031" t="str">
        <f t="shared" si="3"/>
        <v>UN</v>
      </c>
      <c r="L119" s="1031">
        <f t="shared" si="4"/>
        <v>1</v>
      </c>
      <c r="M119" s="1031">
        <f t="shared" si="5"/>
        <v>0.5</v>
      </c>
      <c r="N119" s="1032">
        <f t="shared" si="6"/>
        <v>0.427333514</v>
      </c>
      <c r="O119" s="1033">
        <f>ROUND(N119,0)+1</f>
        <v>1</v>
      </c>
      <c r="P119" s="1030"/>
    </row>
    <row r="120">
      <c r="A120" s="1028">
        <f>IFERROR(__xludf.DUMMYFUNCTION("""COMPUTED_VALUE"""),100750.0)</f>
        <v>100750</v>
      </c>
      <c r="B120" s="1028" t="str">
        <f>VLOOKUP(A120,'17. DADOS - HISTORICO MANUT. 20'!E:I,2,0)</f>
        <v>SINAPI-S</v>
      </c>
      <c r="C120" s="1029" t="str">
        <f>VLOOKUP(A120,'17. DADOS - HISTORICO MANUT. 20'!$E:$I,3,0)</f>
        <v>PINTURA COM TINTA ALQUÍDICA DE ACABAMENTO (ESMALTE SINTÉTICO FOSCO) APLICADA A ROLO OU PINCEL SOBRE SUPERFÍCIES METÁLICAS (EXCETO PERFIL) EXECUTADO EM OBRA (POR DEMÃO). AF_01/2020</v>
      </c>
      <c r="D120" s="1028" t="str">
        <f>VLOOKUP(A120,'17. DADOS - HISTORICO MANUT. 20'!$E:$I,4,0)</f>
        <v>M2</v>
      </c>
      <c r="E120" s="1028">
        <f>SUMIF('17. DADOS - HISTORICO MANUT. 20'!E:E,A120,'17. DADOS - HISTORICO MANUT. 20'!I:I)</f>
        <v>12</v>
      </c>
      <c r="F120" s="1030"/>
      <c r="G120" s="1030"/>
      <c r="H120" s="1031">
        <f>IFERROR(__xludf.DUMMYFUNCTION("""COMPUTED_VALUE"""),100750.0)</f>
        <v>100750</v>
      </c>
      <c r="I120" s="1028" t="str">
        <f t="shared" si="1"/>
        <v>SINAPI-S</v>
      </c>
      <c r="J120" s="1029" t="str">
        <f t="shared" si="2"/>
        <v>PINTURA COM TINTA ALQUÍDICA DE ACABAMENTO (ESMALTE SINTÉTICO FOSCO) APLICADA A ROLO OU PINCEL SOBRE SUPERFÍCIES METÁLICAS (EXCETO PERFIL) EXECUTADO EM OBRA (POR DEMÃO). AF_01/2020</v>
      </c>
      <c r="K120" s="1031" t="str">
        <f t="shared" si="3"/>
        <v>M2</v>
      </c>
      <c r="L120" s="1031">
        <f t="shared" si="4"/>
        <v>12</v>
      </c>
      <c r="M120" s="1031">
        <f t="shared" si="5"/>
        <v>6</v>
      </c>
      <c r="N120" s="1032">
        <f t="shared" si="6"/>
        <v>5.128002168</v>
      </c>
      <c r="O120" s="1033">
        <f>ROUND(N120,0)</f>
        <v>5</v>
      </c>
      <c r="P120" s="1030"/>
    </row>
    <row r="121">
      <c r="A121" s="1028" t="str">
        <f>IFERROR(__xludf.DUMMYFUNCTION("""COMPUTED_VALUE"""),"COT_MAN_074")</f>
        <v>COT_MAN_074</v>
      </c>
      <c r="B121" s="1028" t="str">
        <f>VLOOKUP(A121,'17. DADOS - HISTORICO MANUT. 20'!E:I,2,0)</f>
        <v>COT.MERCADO</v>
      </c>
      <c r="C121" s="1029" t="str">
        <f>VLOOKUP(A121,'17. DADOS - HISTORICO MANUT. 20'!$E:$I,3,0)</f>
        <v>EXECUÇÃO DO TESTE DE ESTANQUEIDADE PNEUMÁTICO EM CHUVEIRO AUTOMÁTICO SPRINKLER + ELABORAÇÃO DO RELATÓRIO TÉCNICO/LAUDO E FORNECIMENO DE ART</v>
      </c>
      <c r="D121" s="1028" t="str">
        <f>VLOOKUP(A121,'17. DADOS - HISTORICO MANUT. 20'!$E:$I,4,0)</f>
        <v>UN</v>
      </c>
      <c r="E121" s="1028">
        <f>SUMIF('17. DADOS - HISTORICO MANUT. 20'!E:E,A121,'17. DADOS - HISTORICO MANUT. 20'!I:I)</f>
        <v>1</v>
      </c>
      <c r="F121" s="1030"/>
      <c r="G121" s="1030"/>
      <c r="H121" s="1031" t="str">
        <f>IFERROR(__xludf.DUMMYFUNCTION("""COMPUTED_VALUE"""),"COT_MAN_074")</f>
        <v>COT_MAN_074</v>
      </c>
      <c r="I121" s="1028" t="str">
        <f t="shared" si="1"/>
        <v>COT.MERCADO</v>
      </c>
      <c r="J121" s="1029" t="str">
        <f t="shared" si="2"/>
        <v>EXECUÇÃO DO TESTE DE ESTANQUEIDADE PNEUMÁTICO EM CHUVEIRO AUTOMÁTICO SPRINKLER + ELABORAÇÃO DO RELATÓRIO TÉCNICO/LAUDO E FORNECIMENO DE ART</v>
      </c>
      <c r="K121" s="1031" t="str">
        <f t="shared" si="3"/>
        <v>UN</v>
      </c>
      <c r="L121" s="1031">
        <f t="shared" si="4"/>
        <v>1</v>
      </c>
      <c r="M121" s="1031">
        <f t="shared" si="5"/>
        <v>0.5</v>
      </c>
      <c r="N121" s="1032">
        <f t="shared" si="6"/>
        <v>0.427333514</v>
      </c>
      <c r="O121" s="1033">
        <f>ROUND(N121,0)+1</f>
        <v>1</v>
      </c>
      <c r="P121" s="1030"/>
    </row>
    <row r="122">
      <c r="A122" s="1028" t="str">
        <f>IFERROR(__xludf.DUMMYFUNCTION("""COMPUTED_VALUE"""),"COT_MAN_075")</f>
        <v>COT_MAN_075</v>
      </c>
      <c r="B122" s="1028" t="str">
        <f>VLOOKUP(A122,'17. DADOS - HISTORICO MANUT. 20'!E:I,2,0)</f>
        <v>COT.MERCADO</v>
      </c>
      <c r="C122" s="1029" t="str">
        <f>VLOOKUP(A122,'17. DADOS - HISTORICO MANUT. 20'!$E:$I,3,0)</f>
        <v>EXECUÇÃO DE TESTE HIDROSTÁTICO EM HIDRANTES + ELABORAÇÃO DO RELATÓRIO TÉCNICO/LAUDO E FORNECIMENO DE ART</v>
      </c>
      <c r="D122" s="1028" t="str">
        <f>VLOOKUP(A122,'17. DADOS - HISTORICO MANUT. 20'!$E:$I,4,0)</f>
        <v>UN</v>
      </c>
      <c r="E122" s="1028">
        <f>SUMIF('17. DADOS - HISTORICO MANUT. 20'!E:E,A122,'17. DADOS - HISTORICO MANUT. 20'!I:I)</f>
        <v>8</v>
      </c>
      <c r="F122" s="1030"/>
      <c r="G122" s="1030"/>
      <c r="H122" s="1031" t="str">
        <f>IFERROR(__xludf.DUMMYFUNCTION("""COMPUTED_VALUE"""),"COT_MAN_075")</f>
        <v>COT_MAN_075</v>
      </c>
      <c r="I122" s="1028" t="str">
        <f t="shared" si="1"/>
        <v>COT.MERCADO</v>
      </c>
      <c r="J122" s="1029" t="str">
        <f t="shared" si="2"/>
        <v>EXECUÇÃO DE TESTE HIDROSTÁTICO EM HIDRANTES + ELABORAÇÃO DO RELATÓRIO TÉCNICO/LAUDO E FORNECIMENO DE ART</v>
      </c>
      <c r="K122" s="1031" t="str">
        <f t="shared" si="3"/>
        <v>UN</v>
      </c>
      <c r="L122" s="1031">
        <f t="shared" si="4"/>
        <v>8</v>
      </c>
      <c r="M122" s="1031">
        <f t="shared" si="5"/>
        <v>4</v>
      </c>
      <c r="N122" s="1032">
        <f t="shared" si="6"/>
        <v>3.418668112</v>
      </c>
      <c r="O122" s="1033">
        <f>ROUND(N122,0)</f>
        <v>3</v>
      </c>
      <c r="P122" s="1030"/>
    </row>
    <row r="123">
      <c r="A123" s="1028" t="str">
        <f>IFERROR(__xludf.DUMMYFUNCTION("""COMPUTED_VALUE"""),"COT_MAN_076")</f>
        <v>COT_MAN_076</v>
      </c>
      <c r="B123" s="1028" t="str">
        <f>VLOOKUP(A123,'17. DADOS - HISTORICO MANUT. 20'!E:I,2,0)</f>
        <v>COT.MERCADO</v>
      </c>
      <c r="C123" s="1029" t="str">
        <f>VLOOKUP(A123,'17. DADOS - HISTORICO MANUT. 20'!$E:$I,3,0)</f>
        <v>EXECUÇÃO DE TESTE EM SISTEMAS DE ALARME DE INCÊNDIO + ELABORAÇÃO DO RELATÓRIO TÉCNICO/LAUDO E FORNECIMENO DE ART</v>
      </c>
      <c r="D123" s="1028" t="str">
        <f>VLOOKUP(A123,'17. DADOS - HISTORICO MANUT. 20'!$E:$I,4,0)</f>
        <v>UN</v>
      </c>
      <c r="E123" s="1028">
        <f>SUMIF('17. DADOS - HISTORICO MANUT. 20'!E:E,A123,'17. DADOS - HISTORICO MANUT. 20'!I:I)</f>
        <v>1</v>
      </c>
      <c r="F123" s="1030"/>
      <c r="G123" s="1030"/>
      <c r="H123" s="1031" t="str">
        <f>IFERROR(__xludf.DUMMYFUNCTION("""COMPUTED_VALUE"""),"COT_MAN_076")</f>
        <v>COT_MAN_076</v>
      </c>
      <c r="I123" s="1028" t="str">
        <f t="shared" si="1"/>
        <v>COT.MERCADO</v>
      </c>
      <c r="J123" s="1029" t="str">
        <f t="shared" si="2"/>
        <v>EXECUÇÃO DE TESTE EM SISTEMAS DE ALARME DE INCÊNDIO + ELABORAÇÃO DO RELATÓRIO TÉCNICO/LAUDO E FORNECIMENO DE ART</v>
      </c>
      <c r="K123" s="1031" t="str">
        <f t="shared" si="3"/>
        <v>UN</v>
      </c>
      <c r="L123" s="1031">
        <f t="shared" si="4"/>
        <v>1</v>
      </c>
      <c r="M123" s="1031">
        <f t="shared" si="5"/>
        <v>0.5</v>
      </c>
      <c r="N123" s="1032">
        <f t="shared" si="6"/>
        <v>0.427333514</v>
      </c>
      <c r="O123" s="1033">
        <f t="shared" ref="O123:O124" si="22">ROUND(N123,0)+1</f>
        <v>1</v>
      </c>
      <c r="P123" s="1030"/>
    </row>
    <row r="124">
      <c r="A124" s="1028" t="str">
        <f>IFERROR(__xludf.DUMMYFUNCTION("""COMPUTED_VALUE"""),"COT_MAN_077")</f>
        <v>COT_MAN_077</v>
      </c>
      <c r="B124" s="1028" t="str">
        <f>VLOOKUP(A124,'17. DADOS - HISTORICO MANUT. 20'!E:I,2,0)</f>
        <v>COT.MERCADO</v>
      </c>
      <c r="C124" s="1029" t="str">
        <f>VLOOKUP(A124,'17. DADOS - HISTORICO MANUT. 20'!$E:$I,3,0)</f>
        <v>TESTE CMAR - ACABAMENTOS E REVESTIMENTOS + ELABORAÇÃO DO RELATÓRIO TÉCNICO/LAUDO E FORNECIMENO DE ART</v>
      </c>
      <c r="D124" s="1028" t="str">
        <f>VLOOKUP(A124,'17. DADOS - HISTORICO MANUT. 20'!$E:$I,4,0)</f>
        <v>UN</v>
      </c>
      <c r="E124" s="1028">
        <f>SUMIF('17. DADOS - HISTORICO MANUT. 20'!E:E,A124,'17. DADOS - HISTORICO MANUT. 20'!I:I)</f>
        <v>1</v>
      </c>
      <c r="F124" s="1030"/>
      <c r="G124" s="1030"/>
      <c r="H124" s="1031" t="str">
        <f>IFERROR(__xludf.DUMMYFUNCTION("""COMPUTED_VALUE"""),"COT_MAN_077")</f>
        <v>COT_MAN_077</v>
      </c>
      <c r="I124" s="1028" t="str">
        <f t="shared" si="1"/>
        <v>COT.MERCADO</v>
      </c>
      <c r="J124" s="1029" t="str">
        <f t="shared" si="2"/>
        <v>TESTE CMAR - ACABAMENTOS E REVESTIMENTOS + ELABORAÇÃO DO RELATÓRIO TÉCNICO/LAUDO E FORNECIMENO DE ART</v>
      </c>
      <c r="K124" s="1031" t="str">
        <f t="shared" si="3"/>
        <v>UN</v>
      </c>
      <c r="L124" s="1031">
        <f t="shared" si="4"/>
        <v>1</v>
      </c>
      <c r="M124" s="1031">
        <f t="shared" si="5"/>
        <v>0.5</v>
      </c>
      <c r="N124" s="1032">
        <f t="shared" si="6"/>
        <v>0.427333514</v>
      </c>
      <c r="O124" s="1033">
        <f t="shared" si="22"/>
        <v>1</v>
      </c>
      <c r="P124" s="1030"/>
    </row>
    <row r="125">
      <c r="A125" s="1028">
        <f>IFERROR(__xludf.DUMMYFUNCTION("""COMPUTED_VALUE"""),99855.0)</f>
        <v>99855</v>
      </c>
      <c r="B125" s="1028" t="str">
        <f>VLOOKUP(A125,'17. DADOS - HISTORICO MANUT. 20'!E:I,2,0)</f>
        <v>SINAPI-S</v>
      </c>
      <c r="C125" s="1029" t="str">
        <f>VLOOKUP(A125,'17. DADOS - HISTORICO MANUT. 20'!$E:$I,3,0)</f>
        <v>CORRIMÃO SIMPLES, DIÂMETRO EXTERNO = 1 1/2_x0094_, EM AÇO GALVANIZADO. AF_04/2019_PS</v>
      </c>
      <c r="D125" s="1028" t="str">
        <f>VLOOKUP(A125,'17. DADOS - HISTORICO MANUT. 20'!$E:$I,4,0)</f>
        <v>M</v>
      </c>
      <c r="E125" s="1028">
        <f>SUMIF('17. DADOS - HISTORICO MANUT. 20'!E:E,A125,'17. DADOS - HISTORICO MANUT. 20'!I:I)</f>
        <v>18</v>
      </c>
      <c r="F125" s="1030"/>
      <c r="G125" s="1030"/>
      <c r="H125" s="1031">
        <f>IFERROR(__xludf.DUMMYFUNCTION("""COMPUTED_VALUE"""),99855.0)</f>
        <v>99855</v>
      </c>
      <c r="I125" s="1028" t="str">
        <f t="shared" si="1"/>
        <v>SINAPI-S</v>
      </c>
      <c r="J125" s="1029" t="str">
        <f t="shared" si="2"/>
        <v>CORRIMÃO SIMPLES, DIÂMETRO EXTERNO = 1 1/2_x0094_, EM AÇO GALVANIZADO. AF_04/2019_PS</v>
      </c>
      <c r="K125" s="1031" t="str">
        <f t="shared" si="3"/>
        <v>M</v>
      </c>
      <c r="L125" s="1031">
        <f t="shared" si="4"/>
        <v>18</v>
      </c>
      <c r="M125" s="1031">
        <f t="shared" si="5"/>
        <v>9</v>
      </c>
      <c r="N125" s="1032">
        <f t="shared" si="6"/>
        <v>7.692003252</v>
      </c>
      <c r="O125" s="1033">
        <f t="shared" ref="O125:O134" si="23">ROUND(N125,0)</f>
        <v>8</v>
      </c>
      <c r="P125" s="1030"/>
    </row>
    <row r="126">
      <c r="A126" s="1028" t="str">
        <f>IFERROR(__xludf.DUMMYFUNCTION("""COMPUTED_VALUE"""),"MAN_PR_033")</f>
        <v>MAN_PR_033</v>
      </c>
      <c r="B126" s="1028" t="str">
        <f>VLOOKUP(A126,'17. DADOS - HISTORICO MANUT. 20'!E:I,2,0)</f>
        <v>COMP.EVENTUAL</v>
      </c>
      <c r="C126" s="1029" t="str">
        <f>VLOOKUP(A126,'17. DADOS - HISTORICO MANUT. 20'!$E:$I,3,0)</f>
        <v>FORNECIMENTO E INSTALAÇÃO DE PORTEIRO ELETRONICO. REF.: INTELBRAS IPR 8010 OU SIMILAR</v>
      </c>
      <c r="D126" s="1028" t="str">
        <f>VLOOKUP(A126,'17. DADOS - HISTORICO MANUT. 20'!$E:$I,4,0)</f>
        <v>UN</v>
      </c>
      <c r="E126" s="1028">
        <f>SUMIF('17. DADOS - HISTORICO MANUT. 20'!E:E,A126,'17. DADOS - HISTORICO MANUT. 20'!I:I)</f>
        <v>1</v>
      </c>
      <c r="F126" s="1030"/>
      <c r="G126" s="1030"/>
      <c r="H126" s="1031" t="str">
        <f>IFERROR(__xludf.DUMMYFUNCTION("""COMPUTED_VALUE"""),"MAN_PR_033")</f>
        <v>MAN_PR_033</v>
      </c>
      <c r="I126" s="1028" t="str">
        <f t="shared" si="1"/>
        <v>COMP.EVENTUAL</v>
      </c>
      <c r="J126" s="1029" t="str">
        <f t="shared" si="2"/>
        <v>FORNECIMENTO E INSTALAÇÃO DE PORTEIRO ELETRONICO. REF.: INTELBRAS IPR 8010 OU SIMILAR</v>
      </c>
      <c r="K126" s="1031" t="str">
        <f t="shared" si="3"/>
        <v>UN</v>
      </c>
      <c r="L126" s="1031">
        <f t="shared" si="4"/>
        <v>2</v>
      </c>
      <c r="M126" s="1031">
        <f t="shared" si="5"/>
        <v>1</v>
      </c>
      <c r="N126" s="1032">
        <f t="shared" si="6"/>
        <v>0.854667028</v>
      </c>
      <c r="O126" s="1033">
        <f t="shared" si="23"/>
        <v>1</v>
      </c>
      <c r="P126" s="1030"/>
    </row>
    <row r="127">
      <c r="A127" s="1028" t="str">
        <f>IFERROR(__xludf.DUMMYFUNCTION("""COMPUTED_VALUE"""),"MAN_PR_032")</f>
        <v>MAN_PR_032</v>
      </c>
      <c r="B127" s="1028" t="str">
        <f>VLOOKUP(A127,'17. DADOS - HISTORICO MANUT. 20'!E:I,2,0)</f>
        <v>COMP.EVENTUAL</v>
      </c>
      <c r="C127" s="1029" t="str">
        <f>VLOOKUP(A127,'17. DADOS - HISTORICO MANUT. 20'!$E:$I,3,0)</f>
        <v>ESCADA DO TIPO MARINHEIRO EM AÇO GALVANIZADO COM PROTEÇÃO </v>
      </c>
      <c r="D127" s="1028" t="str">
        <f>VLOOKUP(A127,'17. DADOS - HISTORICO MANUT. 20'!$E:$I,4,0)</f>
        <v>M</v>
      </c>
      <c r="E127" s="1028">
        <f>SUMIF('17. DADOS - HISTORICO MANUT. 20'!E:E,A127,'17. DADOS - HISTORICO MANUT. 20'!I:I)</f>
        <v>5</v>
      </c>
      <c r="F127" s="1030"/>
      <c r="G127" s="1030"/>
      <c r="H127" s="1031" t="str">
        <f>IFERROR(__xludf.DUMMYFUNCTION("""COMPUTED_VALUE"""),"MAN_PR_032")</f>
        <v>MAN_PR_032</v>
      </c>
      <c r="I127" s="1028" t="str">
        <f t="shared" si="1"/>
        <v>COMP.EVENTUAL</v>
      </c>
      <c r="J127" s="1029" t="str">
        <f t="shared" si="2"/>
        <v>ESCADA DO TIPO MARINHEIRO EM AÇO GALVANIZADO COM PROTEÇÃO </v>
      </c>
      <c r="K127" s="1031" t="str">
        <f t="shared" si="3"/>
        <v>M</v>
      </c>
      <c r="L127" s="1031">
        <f t="shared" si="4"/>
        <v>5</v>
      </c>
      <c r="M127" s="1031">
        <f t="shared" si="5"/>
        <v>2.5</v>
      </c>
      <c r="N127" s="1032">
        <f t="shared" si="6"/>
        <v>2.13666757</v>
      </c>
      <c r="O127" s="1033">
        <f t="shared" si="23"/>
        <v>2</v>
      </c>
      <c r="P127" s="1030"/>
    </row>
    <row r="128">
      <c r="A128" s="1028" t="str">
        <f>IFERROR(__xludf.DUMMYFUNCTION("""COMPUTED_VALUE"""),"MAN_PR_034")</f>
        <v>MAN_PR_034</v>
      </c>
      <c r="B128" s="1028" t="str">
        <f>VLOOKUP(A128,'17. DADOS - HISTORICO MANUT. 20'!E:I,2,0)</f>
        <v>COMP.EVENTUAL</v>
      </c>
      <c r="C128" s="1029" t="str">
        <f>VLOOKUP(A128,'17. DADOS - HISTORICO MANUT. 20'!$E:$I,3,0)</f>
        <v>TRATAMENTO DE FISSURAS ESTÁVEIS (NÃO ATIVAS) EM ELEMENTO DE CONCRETO</v>
      </c>
      <c r="D128" s="1028" t="str">
        <f>VLOOKUP(A128,'17. DADOS - HISTORICO MANUT. 20'!$E:$I,4,0)</f>
        <v>M</v>
      </c>
      <c r="E128" s="1028">
        <f>SUMIF('17. DADOS - HISTORICO MANUT. 20'!E:E,A128,'17. DADOS - HISTORICO MANUT. 20'!I:I)</f>
        <v>40</v>
      </c>
      <c r="F128" s="1030"/>
      <c r="G128" s="1030"/>
      <c r="H128" s="1031" t="str">
        <f>IFERROR(__xludf.DUMMYFUNCTION("""COMPUTED_VALUE"""),"MAN_PR_034")</f>
        <v>MAN_PR_034</v>
      </c>
      <c r="I128" s="1028" t="str">
        <f t="shared" si="1"/>
        <v>COMP.EVENTUAL</v>
      </c>
      <c r="J128" s="1029" t="str">
        <f t="shared" si="2"/>
        <v>TRATAMENTO DE FISSURAS ESTÁVEIS (NÃO ATIVAS) EM ELEMENTO DE CONCRETO</v>
      </c>
      <c r="K128" s="1031" t="str">
        <f t="shared" si="3"/>
        <v>M</v>
      </c>
      <c r="L128" s="1031">
        <f t="shared" si="4"/>
        <v>40</v>
      </c>
      <c r="M128" s="1031">
        <f t="shared" si="5"/>
        <v>20</v>
      </c>
      <c r="N128" s="1032">
        <f t="shared" si="6"/>
        <v>17.09334056</v>
      </c>
      <c r="O128" s="1033">
        <f t="shared" si="23"/>
        <v>17</v>
      </c>
      <c r="P128" s="1030"/>
    </row>
    <row r="129">
      <c r="A129" s="1028">
        <f>IFERROR(__xludf.DUMMYFUNCTION("""COMPUTED_VALUE"""),98554.0)</f>
        <v>98554</v>
      </c>
      <c r="B129" s="1028" t="str">
        <f>VLOOKUP(A129,'17. DADOS - HISTORICO MANUT. 20'!E:I,2,0)</f>
        <v>SINAPI-S</v>
      </c>
      <c r="C129" s="1029" t="str">
        <f>VLOOKUP(A129,'17. DADOS - HISTORICO MANUT. 20'!$E:$I,3,0)</f>
        <v>IMPERMEABILIZAÇÃO DE SUPERFÍCIE COM MEMBRANA À BASE DE RESINA ACRÍLICA, 3 DEMÃOS. AF_06/2018</v>
      </c>
      <c r="D129" s="1028" t="str">
        <f>VLOOKUP(A129,'17. DADOS - HISTORICO MANUT. 20'!$E:$I,4,0)</f>
        <v>M2</v>
      </c>
      <c r="E129" s="1028">
        <f>SUMIF('17. DADOS - HISTORICO MANUT. 20'!E:E,A129,'17. DADOS - HISTORICO MANUT. 20'!I:I)</f>
        <v>40</v>
      </c>
      <c r="F129" s="1030"/>
      <c r="G129" s="1030"/>
      <c r="H129" s="1031">
        <f>IFERROR(__xludf.DUMMYFUNCTION("""COMPUTED_VALUE"""),98554.0)</f>
        <v>98554</v>
      </c>
      <c r="I129" s="1028" t="str">
        <f t="shared" si="1"/>
        <v>SINAPI-S</v>
      </c>
      <c r="J129" s="1029" t="str">
        <f t="shared" si="2"/>
        <v>IMPERMEABILIZAÇÃO DE SUPERFÍCIE COM MEMBRANA À BASE DE RESINA ACRÍLICA, 3 DEMÃOS. AF_06/2018</v>
      </c>
      <c r="K129" s="1031" t="str">
        <f t="shared" si="3"/>
        <v>M2</v>
      </c>
      <c r="L129" s="1031">
        <f t="shared" si="4"/>
        <v>40</v>
      </c>
      <c r="M129" s="1031">
        <f t="shared" si="5"/>
        <v>20</v>
      </c>
      <c r="N129" s="1032">
        <f t="shared" si="6"/>
        <v>17.09334056</v>
      </c>
      <c r="O129" s="1033">
        <f t="shared" si="23"/>
        <v>17</v>
      </c>
      <c r="P129" s="1030"/>
    </row>
    <row r="130">
      <c r="A130" s="1028" t="str">
        <f>IFERROR(__xludf.DUMMYFUNCTION("""COMPUTED_VALUE"""),"MAN_PR_035")</f>
        <v>MAN_PR_035</v>
      </c>
      <c r="B130" s="1028" t="str">
        <f>VLOOKUP(A130,'17. DADOS - HISTORICO MANUT. 20'!E:I,2,0)</f>
        <v>COMP.EVENTUAL</v>
      </c>
      <c r="C130" s="1029" t="str">
        <f>VLOOKUP(A130,'17. DADOS - HISTORICO MANUT. 20'!$E:$I,3,0)</f>
        <v>LIMPEZA DE CAIXA D'AGUA OU CISTERNA, COM CAPACIDADE DE 2001 A 20000L, INCLUSIVE DESINFECCAO CONFORME NORMAS DA SANEPAR</v>
      </c>
      <c r="D130" s="1028" t="str">
        <f>VLOOKUP(A130,'17. DADOS - HISTORICO MANUT. 20'!$E:$I,4,0)</f>
        <v>UN</v>
      </c>
      <c r="E130" s="1028">
        <f>SUMIF('17. DADOS - HISTORICO MANUT. 20'!E:E,A130,'17. DADOS - HISTORICO MANUT. 20'!I:I)</f>
        <v>36</v>
      </c>
      <c r="F130" s="1030"/>
      <c r="G130" s="1030"/>
      <c r="H130" s="1031" t="str">
        <f>IFERROR(__xludf.DUMMYFUNCTION("""COMPUTED_VALUE"""),"MAN_PR_035")</f>
        <v>MAN_PR_035</v>
      </c>
      <c r="I130" s="1028" t="str">
        <f t="shared" si="1"/>
        <v>COMP.EVENTUAL</v>
      </c>
      <c r="J130" s="1029" t="str">
        <f t="shared" si="2"/>
        <v>LIMPEZA DE CAIXA D'AGUA OU CISTERNA, COM CAPACIDADE DE 2001 A 20000L, INCLUSIVE DESINFECCAO CONFORME NORMAS DA SANEPAR</v>
      </c>
      <c r="K130" s="1031" t="str">
        <f t="shared" si="3"/>
        <v>UN</v>
      </c>
      <c r="L130" s="1031">
        <f t="shared" si="4"/>
        <v>36</v>
      </c>
      <c r="M130" s="1031">
        <f t="shared" si="5"/>
        <v>18</v>
      </c>
      <c r="N130" s="1032">
        <f t="shared" si="6"/>
        <v>15.3840065</v>
      </c>
      <c r="O130" s="1033">
        <f t="shared" si="23"/>
        <v>15</v>
      </c>
      <c r="P130" s="1030"/>
    </row>
    <row r="131">
      <c r="A131" s="1028" t="str">
        <f>IFERROR(__xludf.DUMMYFUNCTION("""COMPUTED_VALUE"""),"MAN_PR_036")</f>
        <v>MAN_PR_036</v>
      </c>
      <c r="B131" s="1028" t="str">
        <f>VLOOKUP(A131,'17. DADOS - HISTORICO MANUT. 20'!E:I,2,0)</f>
        <v>COMP.EVENTUAL</v>
      </c>
      <c r="C131" s="1029" t="str">
        <f>VLOOKUP(A131,'17. DADOS - HISTORICO MANUT. 20'!$E:$I,3,0)</f>
        <v>LIMPEZA DE CAIXA DE PASSAGEM OU DE GORDURA</v>
      </c>
      <c r="D131" s="1028" t="str">
        <f>VLOOKUP(A131,'17. DADOS - HISTORICO MANUT. 20'!$E:$I,4,0)</f>
        <v>UN</v>
      </c>
      <c r="E131" s="1028">
        <f>SUMIF('17. DADOS - HISTORICO MANUT. 20'!E:E,A131,'17. DADOS - HISTORICO MANUT. 20'!I:I)</f>
        <v>6</v>
      </c>
      <c r="F131" s="1030"/>
      <c r="G131" s="1030"/>
      <c r="H131" s="1031" t="str">
        <f>IFERROR(__xludf.DUMMYFUNCTION("""COMPUTED_VALUE"""),"MAN_PR_036")</f>
        <v>MAN_PR_036</v>
      </c>
      <c r="I131" s="1028" t="str">
        <f t="shared" si="1"/>
        <v>COMP.EVENTUAL</v>
      </c>
      <c r="J131" s="1029" t="str">
        <f t="shared" si="2"/>
        <v>LIMPEZA DE CAIXA DE PASSAGEM OU DE GORDURA</v>
      </c>
      <c r="K131" s="1031" t="str">
        <f t="shared" si="3"/>
        <v>UN</v>
      </c>
      <c r="L131" s="1031">
        <f t="shared" si="4"/>
        <v>6</v>
      </c>
      <c r="M131" s="1031">
        <f t="shared" si="5"/>
        <v>3</v>
      </c>
      <c r="N131" s="1032">
        <f t="shared" si="6"/>
        <v>2.564001084</v>
      </c>
      <c r="O131" s="1033">
        <f t="shared" si="23"/>
        <v>3</v>
      </c>
      <c r="P131" s="1030"/>
    </row>
    <row r="132">
      <c r="A132" s="1028">
        <f>IFERROR(__xludf.DUMMYFUNCTION("""COMPUTED_VALUE"""),97587.0)</f>
        <v>97587</v>
      </c>
      <c r="B132" s="1028" t="str">
        <f>VLOOKUP(A132,'17. DADOS - HISTORICO MANUT. 20'!E:I,2,0)</f>
        <v>SINAPI-S</v>
      </c>
      <c r="C132" s="1029" t="str">
        <f>VLOOKUP(A132,'17. DADOS - HISTORICO MANUT. 20'!$E:$I,3,0)</f>
        <v>LUMINÁRIA TIPO CALHA, DE EMBUTIR, COM 2 LÂMPADAS FLUORESCENTES DE 14 W, COM REATOR DE PARTIDA RÁPIDA - FORNECIMENTO E INSTALAÇÃO. AF_02/2020</v>
      </c>
      <c r="D132" s="1028" t="str">
        <f>VLOOKUP(A132,'17. DADOS - HISTORICO MANUT. 20'!$E:$I,4,0)</f>
        <v>UN</v>
      </c>
      <c r="E132" s="1028">
        <f>SUMIF('17. DADOS - HISTORICO MANUT. 20'!E:E,A132,'17. DADOS - HISTORICO MANUT. 20'!I:I)</f>
        <v>9</v>
      </c>
      <c r="F132" s="1030"/>
      <c r="G132" s="1030"/>
      <c r="H132" s="1031">
        <f>IFERROR(__xludf.DUMMYFUNCTION("""COMPUTED_VALUE"""),97587.0)</f>
        <v>97587</v>
      </c>
      <c r="I132" s="1028" t="str">
        <f t="shared" si="1"/>
        <v>SINAPI-S</v>
      </c>
      <c r="J132" s="1029" t="str">
        <f t="shared" si="2"/>
        <v>LUMINÁRIA TIPO CALHA, DE EMBUTIR, COM 2 LÂMPADAS FLUORESCENTES DE 14 W, COM REATOR DE PARTIDA RÁPIDA - FORNECIMENTO E INSTALAÇÃO. AF_02/2020</v>
      </c>
      <c r="K132" s="1031" t="str">
        <f t="shared" si="3"/>
        <v>UN</v>
      </c>
      <c r="L132" s="1031">
        <f t="shared" si="4"/>
        <v>9</v>
      </c>
      <c r="M132" s="1031">
        <f t="shared" si="5"/>
        <v>4.5</v>
      </c>
      <c r="N132" s="1032">
        <f t="shared" si="6"/>
        <v>3.846001626</v>
      </c>
      <c r="O132" s="1033">
        <f t="shared" si="23"/>
        <v>4</v>
      </c>
      <c r="P132" s="1030"/>
    </row>
    <row r="133">
      <c r="A133" s="1028">
        <f>IFERROR(__xludf.DUMMYFUNCTION("""COMPUTED_VALUE"""),97638.0)</f>
        <v>97638</v>
      </c>
      <c r="B133" s="1028" t="str">
        <f>VLOOKUP(A133,'17. DADOS - HISTORICO MANUT. 20'!E:I,2,0)</f>
        <v>SINAPI-S</v>
      </c>
      <c r="C133" s="1029" t="str">
        <f>VLOOKUP(A133,'17. DADOS - HISTORICO MANUT. 20'!$E:$I,3,0)</f>
        <v>REMOÇÃO DE CHAPAS E PERFIS DE DRYWALL, DE FORMA MANUAL, SEM REAPROVEITAMENTO. AF_12/2017</v>
      </c>
      <c r="D133" s="1028" t="str">
        <f>VLOOKUP(A133,'17. DADOS - HISTORICO MANUT. 20'!$E:$I,4,0)</f>
        <v>M2</v>
      </c>
      <c r="E133" s="1028">
        <f>SUMIF('17. DADOS - HISTORICO MANUT. 20'!E:E,A133,'17. DADOS - HISTORICO MANUT. 20'!I:I)</f>
        <v>8</v>
      </c>
      <c r="F133" s="1030"/>
      <c r="G133" s="1030"/>
      <c r="H133" s="1031">
        <f>IFERROR(__xludf.DUMMYFUNCTION("""COMPUTED_VALUE"""),97638.0)</f>
        <v>97638</v>
      </c>
      <c r="I133" s="1028" t="str">
        <f t="shared" si="1"/>
        <v>SINAPI-S</v>
      </c>
      <c r="J133" s="1029" t="str">
        <f t="shared" si="2"/>
        <v>REMOÇÃO DE CHAPAS E PERFIS DE DRYWALL, DE FORMA MANUAL, SEM REAPROVEITAMENTO. AF_12/2017</v>
      </c>
      <c r="K133" s="1031" t="str">
        <f t="shared" si="3"/>
        <v>M2</v>
      </c>
      <c r="L133" s="1031">
        <f t="shared" si="4"/>
        <v>8</v>
      </c>
      <c r="M133" s="1031">
        <f t="shared" si="5"/>
        <v>4</v>
      </c>
      <c r="N133" s="1032">
        <f t="shared" si="6"/>
        <v>3.418668112</v>
      </c>
      <c r="O133" s="1033">
        <f t="shared" si="23"/>
        <v>3</v>
      </c>
      <c r="P133" s="1030"/>
    </row>
    <row r="134">
      <c r="A134" s="1028">
        <f>IFERROR(__xludf.DUMMYFUNCTION("""COMPUTED_VALUE"""),92988.0)</f>
        <v>92988</v>
      </c>
      <c r="B134" s="1028" t="str">
        <f>VLOOKUP(A134,'17. DADOS - HISTORICO MANUT. 20'!E:I,2,0)</f>
        <v>SINAPI-S</v>
      </c>
      <c r="C134" s="1029" t="str">
        <f>VLOOKUP(A134,'17. DADOS - HISTORICO MANUT. 20'!$E:$I,3,0)</f>
        <v>CABO DE COBRE FLEXÍVEL ISOLADO, 50 MM², ANTI-CHAMA 0,6/1,0 KV, PARA REDE ENTERRADA DE DISTRIBUIÇÃO DE ENERGIA ELÉTRICA - FORNECIMENTO E INSTALAÇÃO. AF_12/2021</v>
      </c>
      <c r="D134" s="1028" t="str">
        <f>VLOOKUP(A134,'17. DADOS - HISTORICO MANUT. 20'!$E:$I,4,0)</f>
        <v>M</v>
      </c>
      <c r="E134" s="1028">
        <f>SUMIF('17. DADOS - HISTORICO MANUT. 20'!E:E,A134,'17. DADOS - HISTORICO MANUT. 20'!I:I)</f>
        <v>125</v>
      </c>
      <c r="F134" s="1030"/>
      <c r="G134" s="1030"/>
      <c r="H134" s="1031">
        <f>IFERROR(__xludf.DUMMYFUNCTION("""COMPUTED_VALUE"""),92988.0)</f>
        <v>92988</v>
      </c>
      <c r="I134" s="1028" t="str">
        <f t="shared" si="1"/>
        <v>SINAPI-S</v>
      </c>
      <c r="J134" s="1029" t="str">
        <f t="shared" si="2"/>
        <v>CABO DE COBRE FLEXÍVEL ISOLADO, 50 MM², ANTI-CHAMA 0,6/1,0 KV, PARA REDE ENTERRADA DE DISTRIBUIÇÃO DE ENERGIA ELÉTRICA - FORNECIMENTO E INSTALAÇÃO. AF_12/2021</v>
      </c>
      <c r="K134" s="1031" t="str">
        <f t="shared" si="3"/>
        <v>M</v>
      </c>
      <c r="L134" s="1031">
        <f t="shared" si="4"/>
        <v>125</v>
      </c>
      <c r="M134" s="1031">
        <f t="shared" si="5"/>
        <v>62.5</v>
      </c>
      <c r="N134" s="1032">
        <f t="shared" si="6"/>
        <v>53.41668925</v>
      </c>
      <c r="O134" s="1033">
        <f t="shared" si="23"/>
        <v>53</v>
      </c>
      <c r="P134" s="1030"/>
    </row>
    <row r="135">
      <c r="A135" s="1028">
        <f>IFERROR(__xludf.DUMMYFUNCTION("""COMPUTED_VALUE"""),100702.0)</f>
        <v>100702</v>
      </c>
      <c r="B135" s="1028" t="str">
        <f>VLOOKUP(A135,'17. DADOS - HISTORICO MANUT. 20'!E:I,2,0)</f>
        <v>SINAPI-S</v>
      </c>
      <c r="C135" s="1029" t="str">
        <f>VLOOKUP(A135,'17. DADOS - HISTORICO MANUT. 20'!$E:$I,3,0)</f>
        <v>PORTA DE CORRER DE ALUMÍNIO, COM DUAS FOLHAS PARA VIDRO, INCLUSO VIDRO LISO INCOLOR, FECHADURA E PUXADOR, SEM ALIZAR. AF_12/2019</v>
      </c>
      <c r="D135" s="1028" t="str">
        <f>VLOOKUP(A135,'17. DADOS - HISTORICO MANUT. 20'!$E:$I,4,0)</f>
        <v>M2</v>
      </c>
      <c r="E135" s="1028">
        <f>SUMIF('17. DADOS - HISTORICO MANUT. 20'!E:E,A135,'17. DADOS - HISTORICO MANUT. 20'!I:I)</f>
        <v>1</v>
      </c>
      <c r="F135" s="1030"/>
      <c r="G135" s="1030"/>
      <c r="H135" s="1031">
        <f>IFERROR(__xludf.DUMMYFUNCTION("""COMPUTED_VALUE"""),100702.0)</f>
        <v>100702</v>
      </c>
      <c r="I135" s="1028" t="str">
        <f t="shared" si="1"/>
        <v>SINAPI-S</v>
      </c>
      <c r="J135" s="1029" t="str">
        <f t="shared" si="2"/>
        <v>PORTA DE CORRER DE ALUMÍNIO, COM DUAS FOLHAS PARA VIDRO, INCLUSO VIDRO LISO INCOLOR, FECHADURA E PUXADOR, SEM ALIZAR. AF_12/2019</v>
      </c>
      <c r="K135" s="1031" t="str">
        <f t="shared" si="3"/>
        <v>M2</v>
      </c>
      <c r="L135" s="1031">
        <f t="shared" si="4"/>
        <v>1</v>
      </c>
      <c r="M135" s="1031">
        <f t="shared" si="5"/>
        <v>0.5</v>
      </c>
      <c r="N135" s="1032">
        <f t="shared" si="6"/>
        <v>0.427333514</v>
      </c>
      <c r="O135" s="1033">
        <f t="shared" ref="O135:O136" si="24">ROUND(N135,0)+1</f>
        <v>1</v>
      </c>
      <c r="P135" s="1030"/>
    </row>
    <row r="136">
      <c r="A136" s="1028">
        <f>IFERROR(__xludf.DUMMYFUNCTION("""COMPUTED_VALUE"""),94798.0)</f>
        <v>94798</v>
      </c>
      <c r="B136" s="1028" t="str">
        <f>VLOOKUP(A136,'17. DADOS - HISTORICO MANUT. 20'!E:I,2,0)</f>
        <v>SINAPI-S</v>
      </c>
      <c r="C136" s="1029" t="str">
        <f>VLOOKUP(A136,'17. DADOS - HISTORICO MANUT. 20'!$E:$I,3,0)</f>
        <v>TORNEIRA DE BOIA PARA CAIXA D'ÁGUA, ROSCÁVEL, 1 1/4" - FORNECIMENTO E INSTALAÇÃO. AF_08/2021</v>
      </c>
      <c r="D136" s="1028" t="str">
        <f>VLOOKUP(A136,'17. DADOS - HISTORICO MANUT. 20'!$E:$I,4,0)</f>
        <v>UN</v>
      </c>
      <c r="E136" s="1028">
        <f>SUMIF('17. DADOS - HISTORICO MANUT. 20'!E:E,A136,'17. DADOS - HISTORICO MANUT. 20'!I:I)</f>
        <v>1</v>
      </c>
      <c r="F136" s="1030"/>
      <c r="G136" s="1030"/>
      <c r="H136" s="1031">
        <f>IFERROR(__xludf.DUMMYFUNCTION("""COMPUTED_VALUE"""),94798.0)</f>
        <v>94798</v>
      </c>
      <c r="I136" s="1028" t="str">
        <f t="shared" si="1"/>
        <v>SINAPI-S</v>
      </c>
      <c r="J136" s="1029" t="str">
        <f t="shared" si="2"/>
        <v>TORNEIRA DE BOIA PARA CAIXA D'ÁGUA, ROSCÁVEL, 1 1/4" - FORNECIMENTO E INSTALAÇÃO. AF_08/2021</v>
      </c>
      <c r="K136" s="1031" t="str">
        <f t="shared" si="3"/>
        <v>UN</v>
      </c>
      <c r="L136" s="1031">
        <f t="shared" si="4"/>
        <v>1</v>
      </c>
      <c r="M136" s="1031">
        <f t="shared" si="5"/>
        <v>0.5</v>
      </c>
      <c r="N136" s="1032">
        <f t="shared" si="6"/>
        <v>0.427333514</v>
      </c>
      <c r="O136" s="1033">
        <f t="shared" si="24"/>
        <v>1</v>
      </c>
      <c r="P136" s="1030"/>
    </row>
    <row r="137">
      <c r="A137" s="1028">
        <f>IFERROR(__xludf.DUMMYFUNCTION("""COMPUTED_VALUE"""),91995.0)</f>
        <v>91995</v>
      </c>
      <c r="B137" s="1028" t="str">
        <f>VLOOKUP(A137,'17. DADOS - HISTORICO MANUT. 20'!E:I,2,0)</f>
        <v>SINAPI-S</v>
      </c>
      <c r="C137" s="1029" t="str">
        <f>VLOOKUP(A137,'17. DADOS - HISTORICO MANUT. 20'!$E:$I,3,0)</f>
        <v>TOMADA MÉDIA DE EMBUTIR (1 MÓDULO), 2P+T 20 A, SEM SUPORTE E SEM PLACA - FORNECIMENTO E INSTALAÇÃO. AF_03/2023</v>
      </c>
      <c r="D137" s="1028" t="str">
        <f>VLOOKUP(A137,'17. DADOS - HISTORICO MANUT. 20'!$E:$I,4,0)</f>
        <v>UN</v>
      </c>
      <c r="E137" s="1028">
        <f>SUMIF('17. DADOS - HISTORICO MANUT. 20'!E:E,A137,'17. DADOS - HISTORICO MANUT. 20'!I:I)</f>
        <v>5</v>
      </c>
      <c r="F137" s="1030"/>
      <c r="G137" s="1030"/>
      <c r="H137" s="1031">
        <f>IFERROR(__xludf.DUMMYFUNCTION("""COMPUTED_VALUE"""),91995.0)</f>
        <v>91995</v>
      </c>
      <c r="I137" s="1028" t="str">
        <f t="shared" si="1"/>
        <v>SINAPI-S</v>
      </c>
      <c r="J137" s="1029" t="str">
        <f t="shared" si="2"/>
        <v>TOMADA MÉDIA DE EMBUTIR (1 MÓDULO), 2P+T 20 A, SEM SUPORTE E SEM PLACA - FORNECIMENTO E INSTALAÇÃO. AF_03/2023</v>
      </c>
      <c r="K137" s="1031" t="str">
        <f t="shared" si="3"/>
        <v>UN</v>
      </c>
      <c r="L137" s="1031">
        <f t="shared" si="4"/>
        <v>5</v>
      </c>
      <c r="M137" s="1031">
        <f t="shared" si="5"/>
        <v>2.5</v>
      </c>
      <c r="N137" s="1032">
        <f t="shared" si="6"/>
        <v>2.13666757</v>
      </c>
      <c r="O137" s="1033">
        <f>ROUND(N137,0)</f>
        <v>2</v>
      </c>
      <c r="P137" s="1030"/>
    </row>
    <row r="138">
      <c r="A138" s="1028">
        <f>IFERROR(__xludf.DUMMYFUNCTION("""COMPUTED_VALUE"""),102255.0)</f>
        <v>102255</v>
      </c>
      <c r="B138" s="1028" t="str">
        <f>VLOOKUP(A138,'17. DADOS - HISTORICO MANUT. 20'!E:I,2,0)</f>
        <v>SINAPI-S</v>
      </c>
      <c r="C138" s="1029" t="str">
        <f>VLOOKUP(A138,'17. DADOS - HISTORICO MANUT. 20'!$E:$I,3,0)</f>
        <v>TAPA VISTA DE MICTÓRIO EM GRANITO CINZA POLIDO, ESP = 3CM, ASSENTADO COM ARGAMASSA COLANTE AC III-E . AF_01/2021</v>
      </c>
      <c r="D138" s="1028" t="str">
        <f>VLOOKUP(A138,'17. DADOS - HISTORICO MANUT. 20'!$E:$I,4,0)</f>
        <v>M2</v>
      </c>
      <c r="E138" s="1028">
        <f>SUMIF('17. DADOS - HISTORICO MANUT. 20'!E:E,A138,'17. DADOS - HISTORICO MANUT. 20'!I:I)</f>
        <v>1</v>
      </c>
      <c r="F138" s="1030"/>
      <c r="G138" s="1030"/>
      <c r="H138" s="1031">
        <f>IFERROR(__xludf.DUMMYFUNCTION("""COMPUTED_VALUE"""),102255.0)</f>
        <v>102255</v>
      </c>
      <c r="I138" s="1028" t="str">
        <f t="shared" si="1"/>
        <v>SINAPI-S</v>
      </c>
      <c r="J138" s="1029" t="str">
        <f t="shared" si="2"/>
        <v>TAPA VISTA DE MICTÓRIO EM GRANITO CINZA POLIDO, ESP = 3CM, ASSENTADO COM ARGAMASSA COLANTE AC III-E . AF_01/2021</v>
      </c>
      <c r="K138" s="1031" t="str">
        <f t="shared" si="3"/>
        <v>M2</v>
      </c>
      <c r="L138" s="1031">
        <f t="shared" si="4"/>
        <v>1</v>
      </c>
      <c r="M138" s="1031">
        <f t="shared" si="5"/>
        <v>0.5</v>
      </c>
      <c r="N138" s="1032">
        <f t="shared" si="6"/>
        <v>0.427333514</v>
      </c>
      <c r="O138" s="1033">
        <f>ROUND(N138,0)+1</f>
        <v>1</v>
      </c>
      <c r="P138" s="1030"/>
    </row>
    <row r="139">
      <c r="A139" s="1028" t="str">
        <f>IFERROR(__xludf.DUMMYFUNCTION("""COMPUTED_VALUE"""),"MAN_PR_037")</f>
        <v>MAN_PR_037</v>
      </c>
      <c r="B139" s="1028" t="str">
        <f>VLOOKUP(A139,'17. DADOS - HISTORICO MANUT. 20'!E:I,2,0)</f>
        <v>COMP.EVENTUAL</v>
      </c>
      <c r="C139" s="1029" t="str">
        <f>VLOOKUP(A139,'17. DADOS - HISTORICO MANUT. 20'!$E:$I,3,0)</f>
        <v>LUBRIFICAÇÃO DE FERRAGEM</v>
      </c>
      <c r="D139" s="1028" t="str">
        <f>VLOOKUP(A139,'17. DADOS - HISTORICO MANUT. 20'!$E:$I,4,0)</f>
        <v>UN</v>
      </c>
      <c r="E139" s="1028">
        <f>SUMIF('17. DADOS - HISTORICO MANUT. 20'!E:E,A139,'17. DADOS - HISTORICO MANUT. 20'!I:I)</f>
        <v>1</v>
      </c>
      <c r="F139" s="1030"/>
      <c r="G139" s="1030"/>
      <c r="H139" s="1031" t="str">
        <f>IFERROR(__xludf.DUMMYFUNCTION("""COMPUTED_VALUE"""),"MAN_PR_037")</f>
        <v>MAN_PR_037</v>
      </c>
      <c r="I139" s="1028" t="str">
        <f t="shared" si="1"/>
        <v>COMP.EVENTUAL</v>
      </c>
      <c r="J139" s="1029" t="str">
        <f t="shared" si="2"/>
        <v>LUBRIFICAÇÃO DE FERRAGEM</v>
      </c>
      <c r="K139" s="1031" t="str">
        <f t="shared" si="3"/>
        <v>UN</v>
      </c>
      <c r="L139" s="1031">
        <f t="shared" si="4"/>
        <v>2</v>
      </c>
      <c r="M139" s="1031">
        <f t="shared" si="5"/>
        <v>1</v>
      </c>
      <c r="N139" s="1032">
        <f t="shared" si="6"/>
        <v>0.854667028</v>
      </c>
      <c r="O139" s="1033">
        <f t="shared" ref="O139:O140" si="25">ROUND(N139,0)</f>
        <v>1</v>
      </c>
      <c r="P139" s="1030"/>
    </row>
    <row r="140">
      <c r="A140" s="1028">
        <f>IFERROR(__xludf.DUMMYFUNCTION("""COMPUTED_VALUE"""),88488.0)</f>
        <v>88488</v>
      </c>
      <c r="B140" s="1028" t="str">
        <f>VLOOKUP(A140,'17. DADOS - HISTORICO MANUT. 20'!E:I,2,0)</f>
        <v>SINAPI-S</v>
      </c>
      <c r="C140" s="1029" t="str">
        <f>VLOOKUP(A140,'17. DADOS - HISTORICO MANUT. 20'!$E:$I,3,0)</f>
        <v>PINTURA LÁTEX ACRÍLICA PREMIUM, APLICAÇÃO MANUAL EM TETO, DUAS DEMÃOS. AF_04/2023</v>
      </c>
      <c r="D140" s="1028" t="str">
        <f>VLOOKUP(A140,'17. DADOS - HISTORICO MANUT. 20'!$E:$I,4,0)</f>
        <v>M2</v>
      </c>
      <c r="E140" s="1028">
        <f>SUMIF('17. DADOS - HISTORICO MANUT. 20'!E:E,A140,'17. DADOS - HISTORICO MANUT. 20'!I:I)</f>
        <v>66</v>
      </c>
      <c r="F140" s="1030"/>
      <c r="G140" s="1030"/>
      <c r="H140" s="1031">
        <f>IFERROR(__xludf.DUMMYFUNCTION("""COMPUTED_VALUE"""),88488.0)</f>
        <v>88488</v>
      </c>
      <c r="I140" s="1028" t="str">
        <f t="shared" si="1"/>
        <v>SINAPI-S</v>
      </c>
      <c r="J140" s="1029" t="str">
        <f t="shared" si="2"/>
        <v>PINTURA LÁTEX ACRÍLICA PREMIUM, APLICAÇÃO MANUAL EM TETO, DUAS DEMÃOS. AF_04/2023</v>
      </c>
      <c r="K140" s="1031" t="str">
        <f t="shared" si="3"/>
        <v>M2</v>
      </c>
      <c r="L140" s="1031">
        <f t="shared" si="4"/>
        <v>66</v>
      </c>
      <c r="M140" s="1031">
        <f t="shared" si="5"/>
        <v>33</v>
      </c>
      <c r="N140" s="1032">
        <f t="shared" si="6"/>
        <v>28.20401192</v>
      </c>
      <c r="O140" s="1033">
        <f t="shared" si="25"/>
        <v>28</v>
      </c>
      <c r="P140" s="1030"/>
    </row>
    <row r="141">
      <c r="A141" s="1028">
        <f>IFERROR(__xludf.DUMMYFUNCTION("""COMPUTED_VALUE"""),86915.0)</f>
        <v>86915</v>
      </c>
      <c r="B141" s="1028" t="str">
        <f>VLOOKUP(A141,'17. DADOS - HISTORICO MANUT. 20'!E:I,2,0)</f>
        <v>SINAPI-S</v>
      </c>
      <c r="C141" s="1029" t="str">
        <f>VLOOKUP(A141,'17. DADOS - HISTORICO MANUT. 20'!$E:$I,3,0)</f>
        <v>TORNEIRA CROMADA DE MESA, 1/2_x0094_ OU 3/4_x0094_, PARA LAVATÓRIO, PADRÃO MÉDIO - FORNECIMENTO E INSTALAÇÃO. AF_01/2020</v>
      </c>
      <c r="D141" s="1028" t="str">
        <f>VLOOKUP(A141,'17. DADOS - HISTORICO MANUT. 20'!$E:$I,4,0)</f>
        <v>UN</v>
      </c>
      <c r="E141" s="1028">
        <f>SUMIF('17. DADOS - HISTORICO MANUT. 20'!E:E,A141,'17. DADOS - HISTORICO MANUT. 20'!I:I)</f>
        <v>1</v>
      </c>
      <c r="F141" s="1030"/>
      <c r="G141" s="1030"/>
      <c r="H141" s="1031">
        <f>IFERROR(__xludf.DUMMYFUNCTION("""COMPUTED_VALUE"""),86915.0)</f>
        <v>86915</v>
      </c>
      <c r="I141" s="1028" t="str">
        <f t="shared" si="1"/>
        <v>SINAPI-S</v>
      </c>
      <c r="J141" s="1029" t="str">
        <f t="shared" si="2"/>
        <v>TORNEIRA CROMADA DE MESA, 1/2_x0094_ OU 3/4_x0094_, PARA LAVATÓRIO, PADRÃO MÉDIO - FORNECIMENTO E INSTALAÇÃO. AF_01/2020</v>
      </c>
      <c r="K141" s="1031" t="str">
        <f t="shared" si="3"/>
        <v>UN</v>
      </c>
      <c r="L141" s="1031">
        <f t="shared" si="4"/>
        <v>1</v>
      </c>
      <c r="M141" s="1031">
        <f t="shared" si="5"/>
        <v>0.5</v>
      </c>
      <c r="N141" s="1032">
        <f t="shared" si="6"/>
        <v>0.427333514</v>
      </c>
      <c r="O141" s="1033">
        <f t="shared" ref="O141:O142" si="26">ROUND(N141,0)+1</f>
        <v>1</v>
      </c>
      <c r="P141" s="1030"/>
    </row>
    <row r="142">
      <c r="A142" s="1028">
        <f>IFERROR(__xludf.DUMMYFUNCTION("""COMPUTED_VALUE"""),86885.0)</f>
        <v>86885</v>
      </c>
      <c r="B142" s="1028" t="str">
        <f>VLOOKUP(A142,'17. DADOS - HISTORICO MANUT. 20'!E:I,2,0)</f>
        <v>SINAPI-S</v>
      </c>
      <c r="C142" s="1029" t="str">
        <f>VLOOKUP(A142,'17. DADOS - HISTORICO MANUT. 20'!$E:$I,3,0)</f>
        <v>ENGATE FLEXÍVEL EM PLÁSTICO BRANCO, 1/2_x0094_ X 40CM - FORNECIMENTO E INSTALAÇÃO. AF_01/2020</v>
      </c>
      <c r="D142" s="1028" t="str">
        <f>VLOOKUP(A142,'17. DADOS - HISTORICO MANUT. 20'!$E:$I,4,0)</f>
        <v>UN</v>
      </c>
      <c r="E142" s="1028">
        <f>SUMIF('17. DADOS - HISTORICO MANUT. 20'!E:E,A142,'17. DADOS - HISTORICO MANUT. 20'!I:I)</f>
        <v>1</v>
      </c>
      <c r="F142" s="1030"/>
      <c r="G142" s="1030"/>
      <c r="H142" s="1031">
        <f>IFERROR(__xludf.DUMMYFUNCTION("""COMPUTED_VALUE"""),86885.0)</f>
        <v>86885</v>
      </c>
      <c r="I142" s="1028" t="str">
        <f t="shared" si="1"/>
        <v>SINAPI-S</v>
      </c>
      <c r="J142" s="1029" t="str">
        <f t="shared" si="2"/>
        <v>ENGATE FLEXÍVEL EM PLÁSTICO BRANCO, 1/2_x0094_ X 40CM - FORNECIMENTO E INSTALAÇÃO. AF_01/2020</v>
      </c>
      <c r="K142" s="1031" t="str">
        <f t="shared" si="3"/>
        <v>UN</v>
      </c>
      <c r="L142" s="1031">
        <f t="shared" si="4"/>
        <v>1</v>
      </c>
      <c r="M142" s="1031">
        <f t="shared" si="5"/>
        <v>0.5</v>
      </c>
      <c r="N142" s="1032">
        <f t="shared" si="6"/>
        <v>0.427333514</v>
      </c>
      <c r="O142" s="1033">
        <f t="shared" si="26"/>
        <v>1</v>
      </c>
      <c r="P142" s="1030"/>
    </row>
    <row r="143">
      <c r="A143" s="1028">
        <f>IFERROR(__xludf.DUMMYFUNCTION("""COMPUTED_VALUE"""),100857.0)</f>
        <v>100857</v>
      </c>
      <c r="B143" s="1028" t="str">
        <f>VLOOKUP(A143,'17. DADOS - HISTORICO MANUT. 20'!E:I,2,0)</f>
        <v>SINAPI-S</v>
      </c>
      <c r="C143" s="1029" t="str">
        <f>VLOOKUP(A143,'17. DADOS - HISTORICO MANUT. 20'!$E:$I,3,0)</f>
        <v>ACABAMENTO MONOCOMANDO PARA CHUVEIRO _x0096_ FORNECIMENTO E INSTALAÇÃO. AF_01/2020</v>
      </c>
      <c r="D143" s="1028" t="str">
        <f>VLOOKUP(A143,'17. DADOS - HISTORICO MANUT. 20'!$E:$I,4,0)</f>
        <v>UN</v>
      </c>
      <c r="E143" s="1028">
        <f>SUMIF('17. DADOS - HISTORICO MANUT. 20'!E:E,A143,'17. DADOS - HISTORICO MANUT. 20'!I:I)</f>
        <v>3</v>
      </c>
      <c r="F143" s="1030"/>
      <c r="G143" s="1030"/>
      <c r="H143" s="1031">
        <f>IFERROR(__xludf.DUMMYFUNCTION("""COMPUTED_VALUE"""),100857.0)</f>
        <v>100857</v>
      </c>
      <c r="I143" s="1028" t="str">
        <f t="shared" si="1"/>
        <v>SINAPI-S</v>
      </c>
      <c r="J143" s="1029" t="str">
        <f t="shared" si="2"/>
        <v>ACABAMENTO MONOCOMANDO PARA CHUVEIRO _x0096_ FORNECIMENTO E INSTALAÇÃO. AF_01/2020</v>
      </c>
      <c r="K143" s="1031" t="str">
        <f t="shared" si="3"/>
        <v>UN</v>
      </c>
      <c r="L143" s="1031">
        <f t="shared" si="4"/>
        <v>3</v>
      </c>
      <c r="M143" s="1031">
        <f t="shared" si="5"/>
        <v>1.5</v>
      </c>
      <c r="N143" s="1032">
        <f t="shared" si="6"/>
        <v>1.282000542</v>
      </c>
      <c r="O143" s="1033">
        <f t="shared" ref="O143:O147" si="27">ROUND(N143,0)</f>
        <v>1</v>
      </c>
      <c r="P143" s="1030"/>
    </row>
    <row r="144">
      <c r="A144" s="1028">
        <f>IFERROR(__xludf.DUMMYFUNCTION("""COMPUTED_VALUE"""),102210.0)</f>
        <v>102210</v>
      </c>
      <c r="B144" s="1028" t="str">
        <f>VLOOKUP(A144,'17. DADOS - HISTORICO MANUT. 20'!E:I,2,0)</f>
        <v>SINAPI-S</v>
      </c>
      <c r="C144" s="1029" t="str">
        <f>VLOOKUP(A144,'17. DADOS - HISTORICO MANUT. 20'!$E:$I,3,0)</f>
        <v>PINTURA TINTA DE ACABAMENTO (PIGMENTADA) ESMALTE SINTÉTICO BRILHANTE EM MADEIRA, 1 DEMÃO. AF_01/2021</v>
      </c>
      <c r="D144" s="1028" t="str">
        <f>VLOOKUP(A144,'17. DADOS - HISTORICO MANUT. 20'!$E:$I,4,0)</f>
        <v>M2</v>
      </c>
      <c r="E144" s="1028">
        <f>SUMIF('17. DADOS - HISTORICO MANUT. 20'!E:E,A144,'17. DADOS - HISTORICO MANUT. 20'!I:I)</f>
        <v>4</v>
      </c>
      <c r="F144" s="1030"/>
      <c r="G144" s="1030"/>
      <c r="H144" s="1031">
        <f>IFERROR(__xludf.DUMMYFUNCTION("""COMPUTED_VALUE"""),102210.0)</f>
        <v>102210</v>
      </c>
      <c r="I144" s="1028" t="str">
        <f t="shared" si="1"/>
        <v>SINAPI-S</v>
      </c>
      <c r="J144" s="1029" t="str">
        <f t="shared" si="2"/>
        <v>PINTURA TINTA DE ACABAMENTO (PIGMENTADA) ESMALTE SINTÉTICO BRILHANTE EM MADEIRA, 1 DEMÃO. AF_01/2021</v>
      </c>
      <c r="K144" s="1031" t="str">
        <f t="shared" si="3"/>
        <v>M2</v>
      </c>
      <c r="L144" s="1031">
        <f t="shared" si="4"/>
        <v>4</v>
      </c>
      <c r="M144" s="1031">
        <f t="shared" si="5"/>
        <v>2</v>
      </c>
      <c r="N144" s="1032">
        <f t="shared" si="6"/>
        <v>1.709334056</v>
      </c>
      <c r="O144" s="1033">
        <f t="shared" si="27"/>
        <v>2</v>
      </c>
      <c r="P144" s="1030"/>
    </row>
    <row r="145">
      <c r="A145" s="1028">
        <f>IFERROR(__xludf.DUMMYFUNCTION("""COMPUTED_VALUE"""),100751.0)</f>
        <v>100751</v>
      </c>
      <c r="B145" s="1028" t="str">
        <f>VLOOKUP(A145,'17. DADOS - HISTORICO MANUT. 20'!E:I,2,0)</f>
        <v>SINAPI-S</v>
      </c>
      <c r="C145" s="1029" t="str">
        <f>VLOOKUP(A145,'17. DADOS - HISTORICO MANUT. 20'!$E:$I,3,0)</f>
        <v>PINTURA COM TINTA EPOXÍDICA DE ACABAMENTO PULVERIZADA SOBRE PERFIL METÁLICO EXECUTADO EM FÁBRICA (02 DEMÃOS). AF_01/2020_PE</v>
      </c>
      <c r="D145" s="1028" t="str">
        <f>VLOOKUP(A145,'17. DADOS - HISTORICO MANUT. 20'!$E:$I,4,0)</f>
        <v>M2</v>
      </c>
      <c r="E145" s="1028">
        <f>SUMIF('17. DADOS - HISTORICO MANUT. 20'!E:E,A145,'17. DADOS - HISTORICO MANUT. 20'!I:I)</f>
        <v>4</v>
      </c>
      <c r="F145" s="1030"/>
      <c r="G145" s="1030"/>
      <c r="H145" s="1031">
        <f>IFERROR(__xludf.DUMMYFUNCTION("""COMPUTED_VALUE"""),100751.0)</f>
        <v>100751</v>
      </c>
      <c r="I145" s="1028" t="str">
        <f t="shared" si="1"/>
        <v>SINAPI-S</v>
      </c>
      <c r="J145" s="1029" t="str">
        <f t="shared" si="2"/>
        <v>PINTURA COM TINTA EPOXÍDICA DE ACABAMENTO PULVERIZADA SOBRE PERFIL METÁLICO EXECUTADO EM FÁBRICA (02 DEMÃOS). AF_01/2020_PE</v>
      </c>
      <c r="K145" s="1031" t="str">
        <f t="shared" si="3"/>
        <v>M2</v>
      </c>
      <c r="L145" s="1031">
        <f t="shared" si="4"/>
        <v>4</v>
      </c>
      <c r="M145" s="1031">
        <f t="shared" si="5"/>
        <v>2</v>
      </c>
      <c r="N145" s="1032">
        <f t="shared" si="6"/>
        <v>1.709334056</v>
      </c>
      <c r="O145" s="1033">
        <f t="shared" si="27"/>
        <v>2</v>
      </c>
      <c r="P145" s="1030"/>
    </row>
    <row r="146">
      <c r="A146" s="1028">
        <f>IFERROR(__xludf.DUMMYFUNCTION("""COMPUTED_VALUE"""),91929.0)</f>
        <v>91929</v>
      </c>
      <c r="B146" s="1028" t="str">
        <f>VLOOKUP(A146,'17. DADOS - HISTORICO MANUT. 20'!E:I,2,0)</f>
        <v>SINAPI-S</v>
      </c>
      <c r="C146" s="1029" t="str">
        <f>VLOOKUP(A146,'17. DADOS - HISTORICO MANUT. 20'!$E:$I,3,0)</f>
        <v>CABO DE COBRE FLEXÍVEL ISOLADO, 4 MM², ANTI-CHAMA 0,6/1,0 KV, PARA CIRCUITOS TERMINAIS - FORNECIMENTO E INSTALAÇÃO. AF_03/2023</v>
      </c>
      <c r="D146" s="1028" t="str">
        <f>VLOOKUP(A146,'17. DADOS - HISTORICO MANUT. 20'!$E:$I,4,0)</f>
        <v>M</v>
      </c>
      <c r="E146" s="1028">
        <f>SUMIF('17. DADOS - HISTORICO MANUT. 20'!E:E,A146,'17. DADOS - HISTORICO MANUT. 20'!I:I)</f>
        <v>80</v>
      </c>
      <c r="F146" s="1030"/>
      <c r="G146" s="1030"/>
      <c r="H146" s="1031">
        <f>IFERROR(__xludf.DUMMYFUNCTION("""COMPUTED_VALUE"""),91929.0)</f>
        <v>91929</v>
      </c>
      <c r="I146" s="1028" t="str">
        <f t="shared" si="1"/>
        <v>SINAPI-S</v>
      </c>
      <c r="J146" s="1029" t="str">
        <f t="shared" si="2"/>
        <v>CABO DE COBRE FLEXÍVEL ISOLADO, 4 MM², ANTI-CHAMA 0,6/1,0 KV, PARA CIRCUITOS TERMINAIS - FORNECIMENTO E INSTALAÇÃO. AF_03/2023</v>
      </c>
      <c r="K146" s="1031" t="str">
        <f t="shared" si="3"/>
        <v>M</v>
      </c>
      <c r="L146" s="1031">
        <f t="shared" si="4"/>
        <v>80</v>
      </c>
      <c r="M146" s="1031">
        <f t="shared" si="5"/>
        <v>40</v>
      </c>
      <c r="N146" s="1032">
        <f t="shared" si="6"/>
        <v>34.18668112</v>
      </c>
      <c r="O146" s="1033">
        <f t="shared" si="27"/>
        <v>34</v>
      </c>
      <c r="P146" s="1030"/>
    </row>
    <row r="147">
      <c r="A147" s="1028">
        <f>IFERROR(__xludf.DUMMYFUNCTION("""COMPUTED_VALUE"""),93656.0)</f>
        <v>93656</v>
      </c>
      <c r="B147" s="1028" t="str">
        <f>VLOOKUP(A147,'17. DADOS - HISTORICO MANUT. 20'!E:I,2,0)</f>
        <v>SINAPI-S</v>
      </c>
      <c r="C147" s="1029" t="str">
        <f>VLOOKUP(A147,'17. DADOS - HISTORICO MANUT. 20'!$E:$I,3,0)</f>
        <v>DISJUNTOR MONOPOLAR TIPO DIN, CORRENTE NOMINAL DE 25A - FORNECIMENTO E INSTALAÇÃO. AF_10/2020</v>
      </c>
      <c r="D147" s="1028" t="str">
        <f>VLOOKUP(A147,'17. DADOS - HISTORICO MANUT. 20'!$E:$I,4,0)</f>
        <v>UN</v>
      </c>
      <c r="E147" s="1028">
        <f>SUMIF('17. DADOS - HISTORICO MANUT. 20'!E:E,A147,'17. DADOS - HISTORICO MANUT. 20'!I:I)</f>
        <v>2</v>
      </c>
      <c r="F147" s="1030"/>
      <c r="G147" s="1030"/>
      <c r="H147" s="1031">
        <f>IFERROR(__xludf.DUMMYFUNCTION("""COMPUTED_VALUE"""),93656.0)</f>
        <v>93656</v>
      </c>
      <c r="I147" s="1028" t="str">
        <f t="shared" si="1"/>
        <v>SINAPI-S</v>
      </c>
      <c r="J147" s="1029" t="str">
        <f t="shared" si="2"/>
        <v>DISJUNTOR MONOPOLAR TIPO DIN, CORRENTE NOMINAL DE 25A - FORNECIMENTO E INSTALAÇÃO. AF_10/2020</v>
      </c>
      <c r="K147" s="1031" t="str">
        <f t="shared" si="3"/>
        <v>UN</v>
      </c>
      <c r="L147" s="1031">
        <f t="shared" si="4"/>
        <v>2</v>
      </c>
      <c r="M147" s="1031">
        <f t="shared" si="5"/>
        <v>1</v>
      </c>
      <c r="N147" s="1032">
        <f t="shared" si="6"/>
        <v>0.854667028</v>
      </c>
      <c r="O147" s="1033">
        <f t="shared" si="27"/>
        <v>1</v>
      </c>
      <c r="P147" s="1030"/>
    </row>
    <row r="148">
      <c r="A148" s="1028">
        <f>IFERROR(__xludf.DUMMYFUNCTION("""COMPUTED_VALUE"""),95545.0)</f>
        <v>95545</v>
      </c>
      <c r="B148" s="1028" t="str">
        <f>VLOOKUP(A148,'17. DADOS - HISTORICO MANUT. 20'!E:I,2,0)</f>
        <v>SINAPI-S</v>
      </c>
      <c r="C148" s="1029" t="str">
        <f>VLOOKUP(A148,'17. DADOS - HISTORICO MANUT. 20'!$E:$I,3,0)</f>
        <v>SABONETEIRA DE PAREDE EM METAL CROMADO, INCLUSO FIXAÇÃO. AF_01/2020</v>
      </c>
      <c r="D148" s="1028" t="str">
        <f>VLOOKUP(A148,'17. DADOS - HISTORICO MANUT. 20'!$E:$I,4,0)</f>
        <v>UN</v>
      </c>
      <c r="E148" s="1028">
        <f>SUMIF('17. DADOS - HISTORICO MANUT. 20'!E:E,A148,'17. DADOS - HISTORICO MANUT. 20'!I:I)</f>
        <v>1</v>
      </c>
      <c r="F148" s="1030"/>
      <c r="G148" s="1030"/>
      <c r="H148" s="1031">
        <f>IFERROR(__xludf.DUMMYFUNCTION("""COMPUTED_VALUE"""),95545.0)</f>
        <v>95545</v>
      </c>
      <c r="I148" s="1028" t="str">
        <f t="shared" si="1"/>
        <v>SINAPI-S</v>
      </c>
      <c r="J148" s="1029" t="str">
        <f t="shared" si="2"/>
        <v>SABONETEIRA DE PAREDE EM METAL CROMADO, INCLUSO FIXAÇÃO. AF_01/2020</v>
      </c>
      <c r="K148" s="1031" t="str">
        <f t="shared" si="3"/>
        <v>UN</v>
      </c>
      <c r="L148" s="1031">
        <f t="shared" si="4"/>
        <v>1</v>
      </c>
      <c r="M148" s="1031">
        <f t="shared" si="5"/>
        <v>0.5</v>
      </c>
      <c r="N148" s="1032">
        <f t="shared" si="6"/>
        <v>0.427333514</v>
      </c>
      <c r="O148" s="1033">
        <f>ROUND(N148,0)+1</f>
        <v>1</v>
      </c>
      <c r="P148" s="1030"/>
    </row>
    <row r="149">
      <c r="A149" s="1028">
        <f>IFERROR(__xludf.DUMMYFUNCTION("""COMPUTED_VALUE"""),86916.0)</f>
        <v>86916</v>
      </c>
      <c r="B149" s="1028" t="str">
        <f>VLOOKUP(A149,'17. DADOS - HISTORICO MANUT. 20'!E:I,2,0)</f>
        <v>SINAPI-S</v>
      </c>
      <c r="C149" s="1029" t="str">
        <f>VLOOKUP(A149,'17. DADOS - HISTORICO MANUT. 20'!$E:$I,3,0)</f>
        <v>TORNEIRA PLÁSTICA 3/4_x0094_ PARA TANQUE - FORNECIMENTO E INSTALAÇÃO. AF_01/2020</v>
      </c>
      <c r="D149" s="1028" t="str">
        <f>VLOOKUP(A149,'17. DADOS - HISTORICO MANUT. 20'!$E:$I,4,0)</f>
        <v>UN</v>
      </c>
      <c r="E149" s="1028">
        <f>SUMIF('17. DADOS - HISTORICO MANUT. 20'!E:E,A149,'17. DADOS - HISTORICO MANUT. 20'!I:I)</f>
        <v>2</v>
      </c>
      <c r="F149" s="1030"/>
      <c r="G149" s="1030"/>
      <c r="H149" s="1031">
        <f>IFERROR(__xludf.DUMMYFUNCTION("""COMPUTED_VALUE"""),86916.0)</f>
        <v>86916</v>
      </c>
      <c r="I149" s="1028" t="str">
        <f t="shared" si="1"/>
        <v>SINAPI-S</v>
      </c>
      <c r="J149" s="1029" t="str">
        <f t="shared" si="2"/>
        <v>TORNEIRA PLÁSTICA 3/4_x0094_ PARA TANQUE - FORNECIMENTO E INSTALAÇÃO. AF_01/2020</v>
      </c>
      <c r="K149" s="1031" t="str">
        <f t="shared" si="3"/>
        <v>UN</v>
      </c>
      <c r="L149" s="1031">
        <f t="shared" si="4"/>
        <v>2</v>
      </c>
      <c r="M149" s="1031">
        <f t="shared" si="5"/>
        <v>1</v>
      </c>
      <c r="N149" s="1032">
        <f t="shared" si="6"/>
        <v>0.854667028</v>
      </c>
      <c r="O149" s="1033">
        <f t="shared" ref="O149:O150" si="28">ROUND(N149,0)</f>
        <v>1</v>
      </c>
      <c r="P149" s="1030"/>
    </row>
    <row r="150">
      <c r="A150" s="1028" t="str">
        <f>IFERROR(__xludf.DUMMYFUNCTION("""COMPUTED_VALUE"""),"MAN_PR_038")</f>
        <v>MAN_PR_038</v>
      </c>
      <c r="B150" s="1028" t="str">
        <f>VLOOKUP(A150,'17. DADOS - HISTORICO MANUT. 20'!E:I,2,0)</f>
        <v>COMP.EVENTUAL</v>
      </c>
      <c r="C150" s="1029" t="str">
        <f>VLOOKUP(A150,'17. DADOS - HISTORICO MANUT. 20'!$E:$I,3,0)</f>
        <v>FORNECIMENTO E INSTALAÇÃO DE REFLETOR LED 400W, CORPO DE ALUMÍNIO, VIDRO TEMPERADO, BIVOLT, TEMP. COR BRANCO FRIO COM PROTEÇÃO IP-67</v>
      </c>
      <c r="D150" s="1028" t="str">
        <f>VLOOKUP(A150,'17. DADOS - HISTORICO MANUT. 20'!$E:$I,4,0)</f>
        <v>UN</v>
      </c>
      <c r="E150" s="1028">
        <f>SUMIF('17. DADOS - HISTORICO MANUT. 20'!E:E,A150,'17. DADOS - HISTORICO MANUT. 20'!I:I)</f>
        <v>3</v>
      </c>
      <c r="F150" s="1030"/>
      <c r="G150" s="1030"/>
      <c r="H150" s="1031" t="str">
        <f>IFERROR(__xludf.DUMMYFUNCTION("""COMPUTED_VALUE"""),"MAN_PR_038")</f>
        <v>MAN_PR_038</v>
      </c>
      <c r="I150" s="1028" t="str">
        <f t="shared" si="1"/>
        <v>COMP.EVENTUAL</v>
      </c>
      <c r="J150" s="1029" t="str">
        <f t="shared" si="2"/>
        <v>FORNECIMENTO E INSTALAÇÃO DE REFLETOR LED 400W, CORPO DE ALUMÍNIO, VIDRO TEMPERADO, BIVOLT, TEMP. COR BRANCO FRIO COM PROTEÇÃO IP-67</v>
      </c>
      <c r="K150" s="1031" t="str">
        <f t="shared" si="3"/>
        <v>UN</v>
      </c>
      <c r="L150" s="1031">
        <f t="shared" si="4"/>
        <v>3</v>
      </c>
      <c r="M150" s="1031">
        <f t="shared" si="5"/>
        <v>1.5</v>
      </c>
      <c r="N150" s="1032">
        <f t="shared" si="6"/>
        <v>1.282000542</v>
      </c>
      <c r="O150" s="1033">
        <f t="shared" si="28"/>
        <v>1</v>
      </c>
      <c r="P150" s="1030"/>
    </row>
    <row r="151">
      <c r="A151" s="1028">
        <f>IFERROR(__xludf.DUMMYFUNCTION("""COMPUTED_VALUE"""),103304.0)</f>
        <v>103304</v>
      </c>
      <c r="B151" s="1028" t="str">
        <f>VLOOKUP(A151,'17. DADOS - HISTORICO MANUT. 20'!E:I,2,0)</f>
        <v>SINAPI-S</v>
      </c>
      <c r="C151" s="1029" t="str">
        <f>VLOOKUP(A151,'17. DADOS - HISTORICO MANUT. 20'!$E:$I,3,0)</f>
        <v>INSTALAÇÃO DE BANCO METÁLICO COM ENCOSTO, 1,60 M DE COMPRIMENTO, EM TUBO DE AÇO CARBONO COM PINTURA ELETROSTÁTICA, SOBRE PISO DE CONCRETO EXISTENTE. AF_11/2021</v>
      </c>
      <c r="D151" s="1028" t="str">
        <f>VLOOKUP(A151,'17. DADOS - HISTORICO MANUT. 20'!$E:$I,4,0)</f>
        <v>UN</v>
      </c>
      <c r="E151" s="1028">
        <f>SUMIF('17. DADOS - HISTORICO MANUT. 20'!E:E,A151,'17. DADOS - HISTORICO MANUT. 20'!I:I)</f>
        <v>1</v>
      </c>
      <c r="F151" s="1030"/>
      <c r="G151" s="1030"/>
      <c r="H151" s="1031">
        <f>IFERROR(__xludf.DUMMYFUNCTION("""COMPUTED_VALUE"""),103304.0)</f>
        <v>103304</v>
      </c>
      <c r="I151" s="1028" t="str">
        <f t="shared" si="1"/>
        <v>SINAPI-S</v>
      </c>
      <c r="J151" s="1029" t="str">
        <f t="shared" si="2"/>
        <v>INSTALAÇÃO DE BANCO METÁLICO COM ENCOSTO, 1,60 M DE COMPRIMENTO, EM TUBO DE AÇO CARBONO COM PINTURA ELETROSTÁTICA, SOBRE PISO DE CONCRETO EXISTENTE. AF_11/2021</v>
      </c>
      <c r="K151" s="1031" t="str">
        <f t="shared" si="3"/>
        <v>UN</v>
      </c>
      <c r="L151" s="1031">
        <f t="shared" si="4"/>
        <v>1</v>
      </c>
      <c r="M151" s="1031">
        <f t="shared" si="5"/>
        <v>0.5</v>
      </c>
      <c r="N151" s="1032">
        <f t="shared" si="6"/>
        <v>0.427333514</v>
      </c>
      <c r="O151" s="1033">
        <f>ROUND(N151,0)+1</f>
        <v>1</v>
      </c>
      <c r="P151" s="1030"/>
    </row>
    <row r="152">
      <c r="A152" s="1028">
        <f>IFERROR(__xludf.DUMMYFUNCTION("""COMPUTED_VALUE"""),102167.0)</f>
        <v>102167</v>
      </c>
      <c r="B152" s="1028" t="str">
        <f>VLOOKUP(A152,'17. DADOS - HISTORICO MANUT. 20'!E:I,2,0)</f>
        <v>SINAPI-S</v>
      </c>
      <c r="C152" s="1029" t="str">
        <f>VLOOKUP(A152,'17. DADOS - HISTORICO MANUT. 20'!$E:$I,3,0)</f>
        <v>INSTALAÇÃO DE VIDRO LISO FUME, E = 6 MM, EM ESQUADRIA DE ALUMÍNIO OU PVC, FIXADO COM BAGUETE. AF_01/2021_PS</v>
      </c>
      <c r="D152" s="1028" t="str">
        <f>VLOOKUP(A152,'17. DADOS - HISTORICO MANUT. 20'!$E:$I,4,0)</f>
        <v>M2</v>
      </c>
      <c r="E152" s="1028">
        <f>SUMIF('17. DADOS - HISTORICO MANUT. 20'!E:E,A152,'17. DADOS - HISTORICO MANUT. 20'!I:I)</f>
        <v>2</v>
      </c>
      <c r="F152" s="1030"/>
      <c r="G152" s="1030"/>
      <c r="H152" s="1031">
        <f>IFERROR(__xludf.DUMMYFUNCTION("""COMPUTED_VALUE"""),102167.0)</f>
        <v>102167</v>
      </c>
      <c r="I152" s="1028" t="str">
        <f t="shared" si="1"/>
        <v>SINAPI-S</v>
      </c>
      <c r="J152" s="1029" t="str">
        <f t="shared" si="2"/>
        <v>INSTALAÇÃO DE VIDRO LISO FUME, E = 6 MM, EM ESQUADRIA DE ALUMÍNIO OU PVC, FIXADO COM BAGUETE. AF_01/2021_PS</v>
      </c>
      <c r="K152" s="1031" t="str">
        <f t="shared" si="3"/>
        <v>M2</v>
      </c>
      <c r="L152" s="1031">
        <f t="shared" si="4"/>
        <v>2</v>
      </c>
      <c r="M152" s="1031">
        <f t="shared" si="5"/>
        <v>1</v>
      </c>
      <c r="N152" s="1032">
        <f t="shared" si="6"/>
        <v>0.854667028</v>
      </c>
      <c r="O152" s="1033">
        <f t="shared" ref="O152:O155" si="29">ROUND(N152,0)</f>
        <v>1</v>
      </c>
      <c r="P152" s="1030"/>
    </row>
    <row r="153">
      <c r="A153" s="1028">
        <f>IFERROR(__xludf.DUMMYFUNCTION("""COMPUTED_VALUE"""),98397.0)</f>
        <v>98397</v>
      </c>
      <c r="B153" s="1028" t="str">
        <f>VLOOKUP(A153,'17. DADOS - HISTORICO MANUT. 20'!E:I,2,0)</f>
        <v>SINAPI-S</v>
      </c>
      <c r="C153" s="1029" t="str">
        <f>VLOOKUP(A153,'17. DADOS - HISTORICO MANUT. 20'!$E:$I,3,0)</f>
        <v>PINTURA ANTICORROSIVA DE DUTO METÁLICO. AF_04/2018</v>
      </c>
      <c r="D153" s="1028" t="str">
        <f>VLOOKUP(A153,'17. DADOS - HISTORICO MANUT. 20'!$E:$I,4,0)</f>
        <v>M2</v>
      </c>
      <c r="E153" s="1028">
        <f>SUMIF('17. DADOS - HISTORICO MANUT. 20'!E:E,A153,'17. DADOS - HISTORICO MANUT. 20'!I:I)</f>
        <v>3</v>
      </c>
      <c r="F153" s="1030"/>
      <c r="G153" s="1030"/>
      <c r="H153" s="1031">
        <f>IFERROR(__xludf.DUMMYFUNCTION("""COMPUTED_VALUE"""),98397.0)</f>
        <v>98397</v>
      </c>
      <c r="I153" s="1028" t="str">
        <f t="shared" si="1"/>
        <v>SINAPI-S</v>
      </c>
      <c r="J153" s="1029" t="str">
        <f t="shared" si="2"/>
        <v>PINTURA ANTICORROSIVA DE DUTO METÁLICO. AF_04/2018</v>
      </c>
      <c r="K153" s="1031" t="str">
        <f t="shared" si="3"/>
        <v>M2</v>
      </c>
      <c r="L153" s="1031">
        <f t="shared" si="4"/>
        <v>3</v>
      </c>
      <c r="M153" s="1031">
        <f t="shared" si="5"/>
        <v>1.5</v>
      </c>
      <c r="N153" s="1032">
        <f t="shared" si="6"/>
        <v>1.282000542</v>
      </c>
      <c r="O153" s="1033">
        <f t="shared" si="29"/>
        <v>1</v>
      </c>
      <c r="P153" s="1030"/>
    </row>
    <row r="154">
      <c r="A154" s="1028">
        <f>IFERROR(__xludf.DUMMYFUNCTION("""COMPUTED_VALUE"""),102156.0)</f>
        <v>102156</v>
      </c>
      <c r="B154" s="1028" t="str">
        <f>VLOOKUP(A154,'17. DADOS - HISTORICO MANUT. 20'!E:I,2,0)</f>
        <v>SINAPI-S</v>
      </c>
      <c r="C154" s="1029" t="str">
        <f>VLOOKUP(A154,'17. DADOS - HISTORICO MANUT. 20'!$E:$I,3,0)</f>
        <v>INSTALAÇÃO DE VIDRO LISO INCOLOR, E = 6 MM, EM ESQUADRIA DE MADEIRA, FIXADO COM BAGUETE. AF_01/2021</v>
      </c>
      <c r="D154" s="1028" t="str">
        <f>VLOOKUP(A154,'17. DADOS - HISTORICO MANUT. 20'!$E:$I,4,0)</f>
        <v>M2</v>
      </c>
      <c r="E154" s="1028">
        <f>SUMIF('17. DADOS - HISTORICO MANUT. 20'!E:E,A154,'17. DADOS - HISTORICO MANUT. 20'!I:I)</f>
        <v>3</v>
      </c>
      <c r="F154" s="1030"/>
      <c r="G154" s="1030"/>
      <c r="H154" s="1031">
        <f>IFERROR(__xludf.DUMMYFUNCTION("""COMPUTED_VALUE"""),102156.0)</f>
        <v>102156</v>
      </c>
      <c r="I154" s="1028" t="str">
        <f t="shared" si="1"/>
        <v>SINAPI-S</v>
      </c>
      <c r="J154" s="1029" t="str">
        <f t="shared" si="2"/>
        <v>INSTALAÇÃO DE VIDRO LISO INCOLOR, E = 6 MM, EM ESQUADRIA DE MADEIRA, FIXADO COM BAGUETE. AF_01/2021</v>
      </c>
      <c r="K154" s="1031" t="str">
        <f t="shared" si="3"/>
        <v>M2</v>
      </c>
      <c r="L154" s="1031">
        <f t="shared" si="4"/>
        <v>3</v>
      </c>
      <c r="M154" s="1031">
        <f t="shared" si="5"/>
        <v>1.5</v>
      </c>
      <c r="N154" s="1032">
        <f t="shared" si="6"/>
        <v>1.282000542</v>
      </c>
      <c r="O154" s="1033">
        <f t="shared" si="29"/>
        <v>1</v>
      </c>
      <c r="P154" s="1030"/>
    </row>
    <row r="155">
      <c r="A155" s="1028" t="str">
        <f>IFERROR(__xludf.DUMMYFUNCTION("""COMPUTED_VALUE"""),"MAN_PR_039")</f>
        <v>MAN_PR_039</v>
      </c>
      <c r="B155" s="1028" t="str">
        <f>VLOOKUP(A155,'17. DADOS - HISTORICO MANUT. 20'!E:I,2,0)</f>
        <v>COMP.EVENTUAL</v>
      </c>
      <c r="C155" s="1029" t="str">
        <f>VLOOKUP(A155,'17. DADOS - HISTORICO MANUT. 20'!$E:$I,3,0)</f>
        <v>FORNECIMENTO E INSTALAÇÃO DE BOX PARA BANHEIRO EM ALUMÍNIO BRANCO E VIDRO TEMPERADO INCOLOR 8MM, INCLUSIVE FERRAGENS, COMPLETO</v>
      </c>
      <c r="D155" s="1028" t="str">
        <f>VLOOKUP(A155,'17. DADOS - HISTORICO MANUT. 20'!$E:$I,4,0)</f>
        <v>M2</v>
      </c>
      <c r="E155" s="1028">
        <f>SUMIF('17. DADOS - HISTORICO MANUT. 20'!E:E,A155,'17. DADOS - HISTORICO MANUT. 20'!I:I)</f>
        <v>2</v>
      </c>
      <c r="F155" s="1030"/>
      <c r="G155" s="1030"/>
      <c r="H155" s="1031" t="str">
        <f>IFERROR(__xludf.DUMMYFUNCTION("""COMPUTED_VALUE"""),"MAN_PR_039")</f>
        <v>MAN_PR_039</v>
      </c>
      <c r="I155" s="1028" t="str">
        <f t="shared" si="1"/>
        <v>COMP.EVENTUAL</v>
      </c>
      <c r="J155" s="1029" t="str">
        <f t="shared" si="2"/>
        <v>FORNECIMENTO E INSTALAÇÃO DE BOX PARA BANHEIRO EM ALUMÍNIO BRANCO E VIDRO TEMPERADO INCOLOR 8MM, INCLUSIVE FERRAGENS, COMPLETO</v>
      </c>
      <c r="K155" s="1031" t="str">
        <f t="shared" si="3"/>
        <v>M2</v>
      </c>
      <c r="L155" s="1031">
        <f t="shared" si="4"/>
        <v>2</v>
      </c>
      <c r="M155" s="1031">
        <f t="shared" si="5"/>
        <v>1</v>
      </c>
      <c r="N155" s="1032">
        <f t="shared" si="6"/>
        <v>0.854667028</v>
      </c>
      <c r="O155" s="1033">
        <f t="shared" si="29"/>
        <v>1</v>
      </c>
      <c r="P155" s="1030"/>
    </row>
    <row r="156">
      <c r="A156" s="1028">
        <f>IFERROR(__xludf.DUMMYFUNCTION("""COMPUTED_VALUE"""),91958.0)</f>
        <v>91958</v>
      </c>
      <c r="B156" s="1028" t="str">
        <f>VLOOKUP(A156,'17. DADOS - HISTORICO MANUT. 20'!E:I,2,0)</f>
        <v>SINAPI-S</v>
      </c>
      <c r="C156" s="1029" t="str">
        <f>VLOOKUP(A156,'17. DADOS - HISTORICO MANUT. 20'!$E:$I,3,0)</f>
        <v>INTERRUPTOR SIMPLES (2 MÓDULOS), 10A/250V, SEM SUPORTE E SEM PLACA - FORNECIMENTO E INSTALAÇÃO. AF_03/2023</v>
      </c>
      <c r="D156" s="1028" t="str">
        <f>VLOOKUP(A156,'17. DADOS - HISTORICO MANUT. 20'!$E:$I,4,0)</f>
        <v>UN</v>
      </c>
      <c r="E156" s="1028">
        <f>SUMIF('17. DADOS - HISTORICO MANUT. 20'!E:E,A156,'17. DADOS - HISTORICO MANUT. 20'!I:I)</f>
        <v>1</v>
      </c>
      <c r="F156" s="1030"/>
      <c r="G156" s="1030"/>
      <c r="H156" s="1031">
        <f>IFERROR(__xludf.DUMMYFUNCTION("""COMPUTED_VALUE"""),91958.0)</f>
        <v>91958</v>
      </c>
      <c r="I156" s="1028" t="str">
        <f t="shared" si="1"/>
        <v>SINAPI-S</v>
      </c>
      <c r="J156" s="1029" t="str">
        <f t="shared" si="2"/>
        <v>INTERRUPTOR SIMPLES (2 MÓDULOS), 10A/250V, SEM SUPORTE E SEM PLACA - FORNECIMENTO E INSTALAÇÃO. AF_03/2023</v>
      </c>
      <c r="K156" s="1031" t="str">
        <f t="shared" si="3"/>
        <v>UN</v>
      </c>
      <c r="L156" s="1031">
        <f t="shared" si="4"/>
        <v>1</v>
      </c>
      <c r="M156" s="1031">
        <f t="shared" si="5"/>
        <v>0.5</v>
      </c>
      <c r="N156" s="1032">
        <f t="shared" si="6"/>
        <v>0.427333514</v>
      </c>
      <c r="O156" s="1033">
        <f t="shared" ref="O156:O158" si="30">ROUND(N156,0)+1</f>
        <v>1</v>
      </c>
      <c r="P156" s="1030"/>
    </row>
    <row r="157">
      <c r="A157" s="1028">
        <f>IFERROR(__xludf.DUMMYFUNCTION("""COMPUTED_VALUE"""),3267.0)</f>
        <v>3267</v>
      </c>
      <c r="B157" s="1028" t="str">
        <f>VLOOKUP(A157,'17. DADOS - HISTORICO MANUT. 20'!E:I,2,0)</f>
        <v>SINAPI-I</v>
      </c>
      <c r="C157" s="1029" t="str">
        <f>VLOOKUP(A157,'17. DADOS - HISTORICO MANUT. 20'!$E:$I,3,0)</f>
        <v>FLANGE SEXTAVADO DE FERRO GALVANIZADO, COM ROSCA BSP, DE 2 1/2"</v>
      </c>
      <c r="D157" s="1028" t="str">
        <f>VLOOKUP(A157,'17. DADOS - HISTORICO MANUT. 20'!$E:$I,4,0)</f>
        <v>UN</v>
      </c>
      <c r="E157" s="1028">
        <f>SUMIF('17. DADOS - HISTORICO MANUT. 20'!E:E,A157,'17. DADOS - HISTORICO MANUT. 20'!I:I)</f>
        <v>1</v>
      </c>
      <c r="F157" s="1030"/>
      <c r="G157" s="1030"/>
      <c r="H157" s="1031">
        <f>IFERROR(__xludf.DUMMYFUNCTION("""COMPUTED_VALUE"""),3267.0)</f>
        <v>3267</v>
      </c>
      <c r="I157" s="1028" t="str">
        <f t="shared" si="1"/>
        <v>SINAPI-I</v>
      </c>
      <c r="J157" s="1029" t="str">
        <f t="shared" si="2"/>
        <v>FLANGE SEXTAVADO DE FERRO GALVANIZADO, COM ROSCA BSP, DE 2 1/2"</v>
      </c>
      <c r="K157" s="1031" t="str">
        <f t="shared" si="3"/>
        <v>UN</v>
      </c>
      <c r="L157" s="1031">
        <f t="shared" si="4"/>
        <v>1</v>
      </c>
      <c r="M157" s="1031">
        <f t="shared" si="5"/>
        <v>0.5</v>
      </c>
      <c r="N157" s="1032">
        <f t="shared" si="6"/>
        <v>0.427333514</v>
      </c>
      <c r="O157" s="1033">
        <f t="shared" si="30"/>
        <v>1</v>
      </c>
      <c r="P157" s="1030"/>
    </row>
    <row r="158">
      <c r="A158" s="1028">
        <f>IFERROR(__xludf.DUMMYFUNCTION("""COMPUTED_VALUE"""),102166.0)</f>
        <v>102166</v>
      </c>
      <c r="B158" s="1028" t="str">
        <f>VLOOKUP(A158,'17. DADOS - HISTORICO MANUT. 20'!E:I,2,0)</f>
        <v>SINAPI-S</v>
      </c>
      <c r="C158" s="1029" t="str">
        <f>VLOOKUP(A158,'17. DADOS - HISTORICO MANUT. 20'!$E:$I,3,0)</f>
        <v>INSTALAÇÃO DE VIDRO LISO INCOLOR, E = 6 MM, EM ESQUADRIA DE ALUMÍNIO OU PVC, FIXADO COM BAGUETE. AF_01/2021_PS</v>
      </c>
      <c r="D158" s="1028" t="str">
        <f>VLOOKUP(A158,'17. DADOS - HISTORICO MANUT. 20'!$E:$I,4,0)</f>
        <v>M2</v>
      </c>
      <c r="E158" s="1028">
        <f>SUMIF('17. DADOS - HISTORICO MANUT. 20'!E:E,A158,'17. DADOS - HISTORICO MANUT. 20'!I:I)</f>
        <v>1</v>
      </c>
      <c r="F158" s="1030"/>
      <c r="G158" s="1030"/>
      <c r="H158" s="1031">
        <f>IFERROR(__xludf.DUMMYFUNCTION("""COMPUTED_VALUE"""),102166.0)</f>
        <v>102166</v>
      </c>
      <c r="I158" s="1028" t="str">
        <f t="shared" si="1"/>
        <v>SINAPI-S</v>
      </c>
      <c r="J158" s="1029" t="str">
        <f t="shared" si="2"/>
        <v>INSTALAÇÃO DE VIDRO LISO INCOLOR, E = 6 MM, EM ESQUADRIA DE ALUMÍNIO OU PVC, FIXADO COM BAGUETE. AF_01/2021_PS</v>
      </c>
      <c r="K158" s="1031" t="str">
        <f t="shared" si="3"/>
        <v>M2</v>
      </c>
      <c r="L158" s="1031">
        <f t="shared" si="4"/>
        <v>1</v>
      </c>
      <c r="M158" s="1031">
        <f t="shared" si="5"/>
        <v>0.5</v>
      </c>
      <c r="N158" s="1032">
        <f t="shared" si="6"/>
        <v>0.427333514</v>
      </c>
      <c r="O158" s="1033">
        <f t="shared" si="30"/>
        <v>1</v>
      </c>
      <c r="P158" s="1030"/>
    </row>
    <row r="159">
      <c r="A159" s="1028" t="str">
        <f>IFERROR(__xludf.DUMMYFUNCTION("""COMPUTED_VALUE"""),"MAN_PR_054")</f>
        <v>MAN_PR_054</v>
      </c>
      <c r="B159" s="1028" t="str">
        <f>VLOOKUP(A159,'17. DADOS - HISTORICO MANUT. 20'!E:I,2,0)</f>
        <v>COMP.EVENTUAL</v>
      </c>
      <c r="C159" s="1029" t="str">
        <f>VLOOKUP(A159,'17. DADOS - HISTORICO MANUT. 20'!$E:$I,3,0)</f>
        <v>FORNECIMENTO E INSTALAÇÃO DE FUSÍVEL TIPO NH 00 DE 6A ATÉ 125A</v>
      </c>
      <c r="D159" s="1028" t="str">
        <f>VLOOKUP(A159,'17. DADOS - HISTORICO MANUT. 20'!$E:$I,4,0)</f>
        <v>UN</v>
      </c>
      <c r="E159" s="1028">
        <f>SUMIF('17. DADOS - HISTORICO MANUT. 20'!E:E,A159,'17. DADOS - HISTORICO MANUT. 20'!I:I)</f>
        <v>3</v>
      </c>
      <c r="F159" s="1030"/>
      <c r="G159" s="1030"/>
      <c r="H159" s="1031" t="str">
        <f>IFERROR(__xludf.DUMMYFUNCTION("""COMPUTED_VALUE"""),"MAN_PR_054")</f>
        <v>MAN_PR_054</v>
      </c>
      <c r="I159" s="1028" t="str">
        <f t="shared" si="1"/>
        <v>COMP.EVENTUAL</v>
      </c>
      <c r="J159" s="1029" t="str">
        <f t="shared" si="2"/>
        <v>FORNECIMENTO E INSTALAÇÃO DE FUSÍVEL TIPO NH 00 DE 6A ATÉ 125A</v>
      </c>
      <c r="K159" s="1031" t="str">
        <f t="shared" si="3"/>
        <v>UN</v>
      </c>
      <c r="L159" s="1031">
        <f t="shared" si="4"/>
        <v>3</v>
      </c>
      <c r="M159" s="1031">
        <f t="shared" si="5"/>
        <v>1.5</v>
      </c>
      <c r="N159" s="1032">
        <f t="shared" si="6"/>
        <v>1.282000542</v>
      </c>
      <c r="O159" s="1033">
        <f>ROUND(N159,0)</f>
        <v>1</v>
      </c>
      <c r="P159" s="1030"/>
    </row>
    <row r="160">
      <c r="A160" s="1028" t="str">
        <f>IFERROR(__xludf.DUMMYFUNCTION("""COMPUTED_VALUE"""),"MAN_PR_040")</f>
        <v>MAN_PR_040</v>
      </c>
      <c r="B160" s="1028" t="str">
        <f>VLOOKUP(A160,'17. DADOS - HISTORICO MANUT. 20'!E:I,2,0)</f>
        <v>COMP.EVENTUAL</v>
      </c>
      <c r="C160" s="1029" t="str">
        <f>VLOOKUP(A160,'17. DADOS - HISTORICO MANUT. 20'!$E:$I,3,0)</f>
        <v>LAUDO TECNICO SPDA CONFORME NBR 5419, INCLUSIVE EMISSÃO DE ART</v>
      </c>
      <c r="D160" s="1028" t="str">
        <f>VLOOKUP(A160,'17. DADOS - HISTORICO MANUT. 20'!$E:$I,4,0)</f>
        <v>UN</v>
      </c>
      <c r="E160" s="1028">
        <f>SUMIF('17. DADOS - HISTORICO MANUT. 20'!E:E,A160,'17. DADOS - HISTORICO MANUT. 20'!I:I)</f>
        <v>1</v>
      </c>
      <c r="F160" s="1030"/>
      <c r="G160" s="1030"/>
      <c r="H160" s="1031" t="str">
        <f>IFERROR(__xludf.DUMMYFUNCTION("""COMPUTED_VALUE"""),"MAN_PR_040")</f>
        <v>MAN_PR_040</v>
      </c>
      <c r="I160" s="1028" t="str">
        <f t="shared" si="1"/>
        <v>COMP.EVENTUAL</v>
      </c>
      <c r="J160" s="1029" t="str">
        <f t="shared" si="2"/>
        <v>LAUDO TECNICO SPDA CONFORME NBR 5419, INCLUSIVE EMISSÃO DE ART</v>
      </c>
      <c r="K160" s="1031" t="str">
        <f t="shared" si="3"/>
        <v>UN</v>
      </c>
      <c r="L160" s="1031">
        <f t="shared" si="4"/>
        <v>1</v>
      </c>
      <c r="M160" s="1031">
        <f t="shared" si="5"/>
        <v>0.5</v>
      </c>
      <c r="N160" s="1032">
        <f t="shared" si="6"/>
        <v>0.427333514</v>
      </c>
      <c r="O160" s="1033">
        <f t="shared" ref="O160:O161" si="31">ROUND(N160,0)+1</f>
        <v>1</v>
      </c>
      <c r="P160" s="1030"/>
    </row>
    <row r="161">
      <c r="A161" s="1028">
        <f>IFERROR(__xludf.DUMMYFUNCTION("""COMPUTED_VALUE"""),98115.0)</f>
        <v>98115</v>
      </c>
      <c r="B161" s="1028" t="str">
        <f>VLOOKUP(A161,'17. DADOS - HISTORICO MANUT. 20'!E:I,2,0)</f>
        <v>SINAPI-S</v>
      </c>
      <c r="C161" s="1029" t="str">
        <f>VLOOKUP(A161,'17. DADOS - HISTORICO MANUT. 20'!$E:$I,3,0)</f>
        <v>TAMPA CIRCULAR PARA ESGOTO E DRENAGEM, EM CONCRETO PRÉ-MOLDADO, DIÂMETRO INTERNO = 0,60 M E ALTURA = 0,10 M. AF_12/2020</v>
      </c>
      <c r="D161" s="1028" t="str">
        <f>VLOOKUP(A161,'17. DADOS - HISTORICO MANUT. 20'!$E:$I,4,0)</f>
        <v>UN</v>
      </c>
      <c r="E161" s="1028">
        <f>SUMIF('17. DADOS - HISTORICO MANUT. 20'!E:E,A161,'17. DADOS - HISTORICO MANUT. 20'!I:I)</f>
        <v>1</v>
      </c>
      <c r="F161" s="1030"/>
      <c r="G161" s="1030"/>
      <c r="H161" s="1031">
        <f>IFERROR(__xludf.DUMMYFUNCTION("""COMPUTED_VALUE"""),98115.0)</f>
        <v>98115</v>
      </c>
      <c r="I161" s="1028" t="str">
        <f t="shared" si="1"/>
        <v>SINAPI-S</v>
      </c>
      <c r="J161" s="1029" t="str">
        <f t="shared" si="2"/>
        <v>TAMPA CIRCULAR PARA ESGOTO E DRENAGEM, EM CONCRETO PRÉ-MOLDADO, DIÂMETRO INTERNO = 0,60 M E ALTURA = 0,10 M. AF_12/2020</v>
      </c>
      <c r="K161" s="1031" t="str">
        <f t="shared" si="3"/>
        <v>UN</v>
      </c>
      <c r="L161" s="1031">
        <f t="shared" si="4"/>
        <v>1</v>
      </c>
      <c r="M161" s="1031">
        <f t="shared" si="5"/>
        <v>0.5</v>
      </c>
      <c r="N161" s="1032">
        <f t="shared" si="6"/>
        <v>0.427333514</v>
      </c>
      <c r="O161" s="1033">
        <f t="shared" si="31"/>
        <v>1</v>
      </c>
      <c r="P161" s="1030"/>
    </row>
    <row r="162">
      <c r="A162" s="1028">
        <f>IFERROR(__xludf.DUMMYFUNCTION("""COMPUTED_VALUE"""),102201.0)</f>
        <v>102201</v>
      </c>
      <c r="B162" s="1028" t="str">
        <f>VLOOKUP(A162,'17. DADOS - HISTORICO MANUT. 20'!E:I,2,0)</f>
        <v>SINAPI-S</v>
      </c>
      <c r="C162" s="1029" t="str">
        <f>VLOOKUP(A162,'17. DADOS - HISTORICO MANUT. 20'!$E:$I,3,0)</f>
        <v>APLICAÇÃO MASSA ACRÍLICA PARA MADEIRA, PARA PINTURA COM TINTA DE ACABAMENTO (PIGMENTADA). AF_01/2021</v>
      </c>
      <c r="D162" s="1028" t="str">
        <f>VLOOKUP(A162,'17. DADOS - HISTORICO MANUT. 20'!$E:$I,4,0)</f>
        <v>M2</v>
      </c>
      <c r="E162" s="1028">
        <f>SUMIF('17. DADOS - HISTORICO MANUT. 20'!E:E,A162,'17. DADOS - HISTORICO MANUT. 20'!I:I)</f>
        <v>2</v>
      </c>
      <c r="F162" s="1030"/>
      <c r="G162" s="1030"/>
      <c r="H162" s="1031">
        <f>IFERROR(__xludf.DUMMYFUNCTION("""COMPUTED_VALUE"""),102201.0)</f>
        <v>102201</v>
      </c>
      <c r="I162" s="1028" t="str">
        <f t="shared" si="1"/>
        <v>SINAPI-S</v>
      </c>
      <c r="J162" s="1029" t="str">
        <f t="shared" si="2"/>
        <v>APLICAÇÃO MASSA ACRÍLICA PARA MADEIRA, PARA PINTURA COM TINTA DE ACABAMENTO (PIGMENTADA). AF_01/2021</v>
      </c>
      <c r="K162" s="1031" t="str">
        <f t="shared" si="3"/>
        <v>M2</v>
      </c>
      <c r="L162" s="1031">
        <f t="shared" si="4"/>
        <v>2</v>
      </c>
      <c r="M162" s="1031">
        <f t="shared" si="5"/>
        <v>1</v>
      </c>
      <c r="N162" s="1032">
        <f t="shared" si="6"/>
        <v>0.854667028</v>
      </c>
      <c r="O162" s="1033">
        <f t="shared" ref="O162:O169" si="32">ROUND(N162,0)</f>
        <v>1</v>
      </c>
      <c r="P162" s="1030"/>
    </row>
    <row r="163">
      <c r="A163" s="1028">
        <f>IFERROR(__xludf.DUMMYFUNCTION("""COMPUTED_VALUE"""),101564.0)</f>
        <v>101564</v>
      </c>
      <c r="B163" s="1028" t="str">
        <f>VLOOKUP(A163,'17. DADOS - HISTORICO MANUT. 20'!E:I,2,0)</f>
        <v>SINAPI-S</v>
      </c>
      <c r="C163" s="1029" t="str">
        <f>VLOOKUP(A163,'17. DADOS - HISTORICO MANUT. 20'!$E:$I,3,0)</f>
        <v>CABO DE COBRE FLEXÍVEL ISOLADO, 50 MM², 0,6/1,0 KV, PARA REDE AÉREA DE DISTRIBUIÇÃO DE ENERGIA ELÉTRICA DE BAIXA TENSÃO - FORNECIMENTO E INSTALAÇÃO. AF_07/2020</v>
      </c>
      <c r="D163" s="1028" t="str">
        <f>VLOOKUP(A163,'17. DADOS - HISTORICO MANUT. 20'!$E:$I,4,0)</f>
        <v>M</v>
      </c>
      <c r="E163" s="1028">
        <f>SUMIF('17. DADOS - HISTORICO MANUT. 20'!E:E,A163,'17. DADOS - HISTORICO MANUT. 20'!I:I)</f>
        <v>225</v>
      </c>
      <c r="F163" s="1030"/>
      <c r="G163" s="1030"/>
      <c r="H163" s="1031">
        <f>IFERROR(__xludf.DUMMYFUNCTION("""COMPUTED_VALUE"""),101564.0)</f>
        <v>101564</v>
      </c>
      <c r="I163" s="1028" t="str">
        <f t="shared" si="1"/>
        <v>SINAPI-S</v>
      </c>
      <c r="J163" s="1029" t="str">
        <f t="shared" si="2"/>
        <v>CABO DE COBRE FLEXÍVEL ISOLADO, 50 MM², 0,6/1,0 KV, PARA REDE AÉREA DE DISTRIBUIÇÃO DE ENERGIA ELÉTRICA DE BAIXA TENSÃO - FORNECIMENTO E INSTALAÇÃO. AF_07/2020</v>
      </c>
      <c r="K163" s="1031" t="str">
        <f t="shared" si="3"/>
        <v>M</v>
      </c>
      <c r="L163" s="1031">
        <f t="shared" si="4"/>
        <v>225</v>
      </c>
      <c r="M163" s="1031">
        <f t="shared" si="5"/>
        <v>112.5</v>
      </c>
      <c r="N163" s="1032">
        <f t="shared" si="6"/>
        <v>96.15004064</v>
      </c>
      <c r="O163" s="1033">
        <f t="shared" si="32"/>
        <v>96</v>
      </c>
      <c r="P163" s="1030"/>
    </row>
    <row r="164">
      <c r="A164" s="1028" t="str">
        <f>IFERROR(__xludf.DUMMYFUNCTION("""COMPUTED_VALUE"""),"MAN_PR_042")</f>
        <v>MAN_PR_042</v>
      </c>
      <c r="B164" s="1028" t="str">
        <f>VLOOKUP(A164,'17. DADOS - HISTORICO MANUT. 20'!E:I,2,0)</f>
        <v>COMP.EVENTUAL</v>
      </c>
      <c r="C164" s="1029" t="str">
        <f>VLOOKUP(A164,'17. DADOS - HISTORICO MANUT. 20'!$E:$I,3,0)</f>
        <v>LIMPEZA E DESOBSTRUÇÃO DE CALHAS DE ZINCO</v>
      </c>
      <c r="D164" s="1028" t="str">
        <f>VLOOKUP(A164,'17. DADOS - HISTORICO MANUT. 20'!$E:$I,4,0)</f>
        <v>M</v>
      </c>
      <c r="E164" s="1028">
        <f>SUMIF('17. DADOS - HISTORICO MANUT. 20'!E:E,A164,'17. DADOS - HISTORICO MANUT. 20'!I:I)</f>
        <v>70</v>
      </c>
      <c r="F164" s="1030"/>
      <c r="G164" s="1030"/>
      <c r="H164" s="1031" t="str">
        <f>IFERROR(__xludf.DUMMYFUNCTION("""COMPUTED_VALUE"""),"MAN_PR_042")</f>
        <v>MAN_PR_042</v>
      </c>
      <c r="I164" s="1028" t="str">
        <f t="shared" si="1"/>
        <v>COMP.EVENTUAL</v>
      </c>
      <c r="J164" s="1029" t="str">
        <f t="shared" si="2"/>
        <v>LIMPEZA E DESOBSTRUÇÃO DE CALHAS DE ZINCO</v>
      </c>
      <c r="K164" s="1031" t="str">
        <f t="shared" si="3"/>
        <v>M</v>
      </c>
      <c r="L164" s="1031">
        <f t="shared" si="4"/>
        <v>70</v>
      </c>
      <c r="M164" s="1031">
        <f t="shared" si="5"/>
        <v>35</v>
      </c>
      <c r="N164" s="1032">
        <f t="shared" si="6"/>
        <v>29.91334598</v>
      </c>
      <c r="O164" s="1033">
        <f t="shared" si="32"/>
        <v>30</v>
      </c>
      <c r="P164" s="1030"/>
    </row>
    <row r="165">
      <c r="A165" s="1028">
        <f>IFERROR(__xludf.DUMMYFUNCTION("""COMPUTED_VALUE"""),98575.0)</f>
        <v>98575</v>
      </c>
      <c r="B165" s="1028" t="str">
        <f>VLOOKUP(A165,'17. DADOS - HISTORICO MANUT. 20'!E:I,2,0)</f>
        <v>SINAPI-S</v>
      </c>
      <c r="C165" s="1029" t="str">
        <f>VLOOKUP(A165,'17. DADOS - HISTORICO MANUT. 20'!$E:$I,3,0)</f>
        <v>TRATAMENTO DE JUNTA DE DILATAÇÃO, COM TARUGO DE POLIETILENO E SELANTE PU, INCLUSO PREENCHIMENTO COM ESPUMA EXPANSIVA PU. AF_06/2018</v>
      </c>
      <c r="D165" s="1028" t="str">
        <f>VLOOKUP(A165,'17. DADOS - HISTORICO MANUT. 20'!$E:$I,4,0)</f>
        <v>M</v>
      </c>
      <c r="E165" s="1028">
        <f>SUMIF('17. DADOS - HISTORICO MANUT. 20'!E:E,A165,'17. DADOS - HISTORICO MANUT. 20'!I:I)</f>
        <v>3</v>
      </c>
      <c r="F165" s="1030"/>
      <c r="G165" s="1030"/>
      <c r="H165" s="1031">
        <f>IFERROR(__xludf.DUMMYFUNCTION("""COMPUTED_VALUE"""),98575.0)</f>
        <v>98575</v>
      </c>
      <c r="I165" s="1028" t="str">
        <f t="shared" si="1"/>
        <v>SINAPI-S</v>
      </c>
      <c r="J165" s="1029" t="str">
        <f t="shared" si="2"/>
        <v>TRATAMENTO DE JUNTA DE DILATAÇÃO, COM TARUGO DE POLIETILENO E SELANTE PU, INCLUSO PREENCHIMENTO COM ESPUMA EXPANSIVA PU. AF_06/2018</v>
      </c>
      <c r="K165" s="1031" t="str">
        <f t="shared" si="3"/>
        <v>M</v>
      </c>
      <c r="L165" s="1031">
        <f t="shared" si="4"/>
        <v>3</v>
      </c>
      <c r="M165" s="1031">
        <f t="shared" si="5"/>
        <v>1.5</v>
      </c>
      <c r="N165" s="1032">
        <f t="shared" si="6"/>
        <v>1.282000542</v>
      </c>
      <c r="O165" s="1033">
        <f t="shared" si="32"/>
        <v>1</v>
      </c>
      <c r="P165" s="1030"/>
    </row>
    <row r="166">
      <c r="A166" s="1028">
        <f>IFERROR(__xludf.DUMMYFUNCTION("""COMPUTED_VALUE"""),37400.0)</f>
        <v>37400</v>
      </c>
      <c r="B166" s="1028" t="str">
        <f>VLOOKUP(A166,'17. DADOS - HISTORICO MANUT. 20'!E:I,2,0)</f>
        <v>SINAPI-I</v>
      </c>
      <c r="C166" s="1029" t="str">
        <f>VLOOKUP(A166,'17. DADOS - HISTORICO MANUT. 20'!$E:$I,3,0)</f>
        <v>PAPELEIRA PLASTICA TIPO DISPENSER PARA PAPEL HIGIENICO ROLAO</v>
      </c>
      <c r="D166" s="1028" t="str">
        <f>VLOOKUP(A166,'17. DADOS - HISTORICO MANUT. 20'!$E:$I,4,0)</f>
        <v>UN</v>
      </c>
      <c r="E166" s="1028">
        <f>SUMIF('17. DADOS - HISTORICO MANUT. 20'!E:E,A166,'17. DADOS - HISTORICO MANUT. 20'!I:I)</f>
        <v>3</v>
      </c>
      <c r="F166" s="1030"/>
      <c r="G166" s="1030"/>
      <c r="H166" s="1031">
        <f>IFERROR(__xludf.DUMMYFUNCTION("""COMPUTED_VALUE"""),37400.0)</f>
        <v>37400</v>
      </c>
      <c r="I166" s="1028" t="str">
        <f t="shared" si="1"/>
        <v>SINAPI-I</v>
      </c>
      <c r="J166" s="1029" t="str">
        <f t="shared" si="2"/>
        <v>PAPELEIRA PLASTICA TIPO DISPENSER PARA PAPEL HIGIENICO ROLAO</v>
      </c>
      <c r="K166" s="1031" t="str">
        <f t="shared" si="3"/>
        <v>UN</v>
      </c>
      <c r="L166" s="1031">
        <f t="shared" si="4"/>
        <v>3</v>
      </c>
      <c r="M166" s="1031">
        <f t="shared" si="5"/>
        <v>1.5</v>
      </c>
      <c r="N166" s="1032">
        <f t="shared" si="6"/>
        <v>1.282000542</v>
      </c>
      <c r="O166" s="1033">
        <f t="shared" si="32"/>
        <v>1</v>
      </c>
      <c r="P166" s="1030"/>
    </row>
    <row r="167">
      <c r="A167" s="1028" t="str">
        <f>IFERROR(__xludf.DUMMYFUNCTION("""COMPUTED_VALUE"""),"MAN_PR_041")</f>
        <v>MAN_PR_041</v>
      </c>
      <c r="B167" s="1028" t="str">
        <f>VLOOKUP(A167,'17. DADOS - HISTORICO MANUT. 20'!E:I,2,0)</f>
        <v>COMP.EVENTUAL</v>
      </c>
      <c r="C167" s="1029" t="str">
        <f>VLOOKUP(A167,'17. DADOS - HISTORICO MANUT. 20'!$E:$I,3,0)</f>
        <v>FORNECIMENTO E INSTALAÇÃO DE PONTO DE ATERRAMENTO, INCLUÍNDO 1M DE CABO DE COBRE NU 50MM2, HASTE E CAIXA DE INSPEÇÃO</v>
      </c>
      <c r="D167" s="1028" t="str">
        <f>VLOOKUP(A167,'17. DADOS - HISTORICO MANUT. 20'!$E:$I,4,0)</f>
        <v>UN</v>
      </c>
      <c r="E167" s="1028">
        <f>SUMIF('17. DADOS - HISTORICO MANUT. 20'!E:E,A167,'17. DADOS - HISTORICO MANUT. 20'!I:I)</f>
        <v>4</v>
      </c>
      <c r="F167" s="1030"/>
      <c r="G167" s="1030"/>
      <c r="H167" s="1031" t="str">
        <f>IFERROR(__xludf.DUMMYFUNCTION("""COMPUTED_VALUE"""),"MAN_PR_041")</f>
        <v>MAN_PR_041</v>
      </c>
      <c r="I167" s="1028" t="str">
        <f t="shared" si="1"/>
        <v>COMP.EVENTUAL</v>
      </c>
      <c r="J167" s="1029" t="str">
        <f t="shared" si="2"/>
        <v>FORNECIMENTO E INSTALAÇÃO DE PONTO DE ATERRAMENTO, INCLUÍNDO 1M DE CABO DE COBRE NU 50MM2, HASTE E CAIXA DE INSPEÇÃO</v>
      </c>
      <c r="K167" s="1031" t="str">
        <f t="shared" si="3"/>
        <v>UN</v>
      </c>
      <c r="L167" s="1031">
        <f t="shared" si="4"/>
        <v>4</v>
      </c>
      <c r="M167" s="1031">
        <f t="shared" si="5"/>
        <v>2</v>
      </c>
      <c r="N167" s="1032">
        <f t="shared" si="6"/>
        <v>1.709334056</v>
      </c>
      <c r="O167" s="1033">
        <f t="shared" si="32"/>
        <v>2</v>
      </c>
      <c r="P167" s="1030"/>
    </row>
    <row r="168">
      <c r="A168" s="1028">
        <f>IFERROR(__xludf.DUMMYFUNCTION("""COMPUTED_VALUE"""),97662.0)</f>
        <v>97662</v>
      </c>
      <c r="B168" s="1028" t="str">
        <f>VLOOKUP(A168,'17. DADOS - HISTORICO MANUT. 20'!E:I,2,0)</f>
        <v>SINAPI-S</v>
      </c>
      <c r="C168" s="1029" t="str">
        <f>VLOOKUP(A168,'17. DADOS - HISTORICO MANUT. 20'!$E:$I,3,0)</f>
        <v>REMOÇÃO DE TUBULAÇÕES (TUBOS E CONEXÕES) DE ÁGUA FRIA, DE FORMA MANUAL, SEM REAPROVEITAMENTO. AF_12/2017</v>
      </c>
      <c r="D168" s="1028" t="str">
        <f>VLOOKUP(A168,'17. DADOS - HISTORICO MANUT. 20'!$E:$I,4,0)</f>
        <v>M</v>
      </c>
      <c r="E168" s="1028">
        <f>SUMIF('17. DADOS - HISTORICO MANUT. 20'!E:E,A168,'17. DADOS - HISTORICO MANUT. 20'!I:I)</f>
        <v>20</v>
      </c>
      <c r="F168" s="1030"/>
      <c r="G168" s="1030"/>
      <c r="H168" s="1031">
        <f>IFERROR(__xludf.DUMMYFUNCTION("""COMPUTED_VALUE"""),97662.0)</f>
        <v>97662</v>
      </c>
      <c r="I168" s="1028" t="str">
        <f t="shared" si="1"/>
        <v>SINAPI-S</v>
      </c>
      <c r="J168" s="1029" t="str">
        <f t="shared" si="2"/>
        <v>REMOÇÃO DE TUBULAÇÕES (TUBOS E CONEXÕES) DE ÁGUA FRIA, DE FORMA MANUAL, SEM REAPROVEITAMENTO. AF_12/2017</v>
      </c>
      <c r="K168" s="1031" t="str">
        <f t="shared" si="3"/>
        <v>M</v>
      </c>
      <c r="L168" s="1031">
        <f t="shared" si="4"/>
        <v>20</v>
      </c>
      <c r="M168" s="1031">
        <f t="shared" si="5"/>
        <v>10</v>
      </c>
      <c r="N168" s="1032">
        <f t="shared" si="6"/>
        <v>8.54667028</v>
      </c>
      <c r="O168" s="1033">
        <f t="shared" si="32"/>
        <v>9</v>
      </c>
      <c r="P168" s="1030"/>
    </row>
    <row r="169">
      <c r="A169" s="1028">
        <f>IFERROR(__xludf.DUMMYFUNCTION("""COMPUTED_VALUE"""),96718.0)</f>
        <v>96718</v>
      </c>
      <c r="B169" s="1028" t="str">
        <f>VLOOKUP(A169,'17. DADOS - HISTORICO MANUT. 20'!E:I,2,0)</f>
        <v>SINAPI-S</v>
      </c>
      <c r="C169" s="1029" t="str">
        <f>VLOOKUP(A169,'17. DADOS - HISTORICO MANUT. 20'!$E:$I,3,0)</f>
        <v>TUBO, PPR, DN 20, CLASSE PN 20,  INSTALADO EM RESERVAÇÃO DE ÁGUA DE EDIFICAÇÃO QUE POSSUA RESERVATÓRIO DE FIBRA/FIBROCIMENTO _x0096_ FORNECIMENTO E INSTALAÇÃO. AF_06/2016</v>
      </c>
      <c r="D169" s="1028" t="str">
        <f>VLOOKUP(A169,'17. DADOS - HISTORICO MANUT. 20'!$E:$I,4,0)</f>
        <v>M</v>
      </c>
      <c r="E169" s="1028">
        <f>SUMIF('17. DADOS - HISTORICO MANUT. 20'!E:E,A169,'17. DADOS - HISTORICO MANUT. 20'!I:I)</f>
        <v>20</v>
      </c>
      <c r="F169" s="1030"/>
      <c r="G169" s="1030"/>
      <c r="H169" s="1031">
        <f>IFERROR(__xludf.DUMMYFUNCTION("""COMPUTED_VALUE"""),96718.0)</f>
        <v>96718</v>
      </c>
      <c r="I169" s="1028" t="str">
        <f t="shared" si="1"/>
        <v>SINAPI-S</v>
      </c>
      <c r="J169" s="1029" t="str">
        <f t="shared" si="2"/>
        <v>TUBO, PPR, DN 20, CLASSE PN 20,  INSTALADO EM RESERVAÇÃO DE ÁGUA DE EDIFICAÇÃO QUE POSSUA RESERVATÓRIO DE FIBRA/FIBROCIMENTO _x0096_ FORNECIMENTO E INSTALAÇÃO. AF_06/2016</v>
      </c>
      <c r="K169" s="1031" t="str">
        <f t="shared" si="3"/>
        <v>M</v>
      </c>
      <c r="L169" s="1031">
        <f t="shared" si="4"/>
        <v>20</v>
      </c>
      <c r="M169" s="1031">
        <f t="shared" si="5"/>
        <v>10</v>
      </c>
      <c r="N169" s="1032">
        <f t="shared" si="6"/>
        <v>8.54667028</v>
      </c>
      <c r="O169" s="1033">
        <f t="shared" si="32"/>
        <v>9</v>
      </c>
      <c r="P169" s="1030"/>
    </row>
    <row r="170">
      <c r="A170" s="1028">
        <f>IFERROR(__xludf.DUMMYFUNCTION("""COMPUTED_VALUE"""),5901.0)</f>
        <v>5901</v>
      </c>
      <c r="B170" s="1028" t="str">
        <f>VLOOKUP(A170,'17. DADOS - HISTORICO MANUT. 20'!E:I,2,0)</f>
        <v>SINAPI-S</v>
      </c>
      <c r="C170" s="1029" t="str">
        <f>VLOOKUP(A170,'17. DADOS - HISTORICO MANUT. 20'!$E:$I,3,0)</f>
        <v>CAMINHÃO PIPA 10.000 L TRUCADO, PESO BRUTO TOTAL 23.000 KG, CARGA ÚTIL MÁXIMA 15.935 KG, DISTÂNCIA ENTRE EIXOS 4,8 M, POTÊNCIA 230 CV, INCLUSIVE TANQUE DE AÇO PARA TRANSPORTE DE ÁGUA - CHP DIURNO. AF_06/2014</v>
      </c>
      <c r="D170" s="1028" t="str">
        <f>VLOOKUP(A170,'17. DADOS - HISTORICO MANUT. 20'!$E:$I,4,0)</f>
        <v>CHP</v>
      </c>
      <c r="E170" s="1028">
        <f>SUMIF('17. DADOS - HISTORICO MANUT. 20'!E:E,A170,'17. DADOS - HISTORICO MANUT. 20'!I:I)</f>
        <v>1</v>
      </c>
      <c r="F170" s="1030"/>
      <c r="G170" s="1030"/>
      <c r="H170" s="1031">
        <f>IFERROR(__xludf.DUMMYFUNCTION("""COMPUTED_VALUE"""),5901.0)</f>
        <v>5901</v>
      </c>
      <c r="I170" s="1028" t="str">
        <f t="shared" si="1"/>
        <v>SINAPI-S</v>
      </c>
      <c r="J170" s="1029" t="str">
        <f t="shared" si="2"/>
        <v>CAMINHÃO PIPA 10.000 L TRUCADO, PESO BRUTO TOTAL 23.000 KG, CARGA ÚTIL MÁXIMA 15.935 KG, DISTÂNCIA ENTRE EIXOS 4,8 M, POTÊNCIA 230 CV, INCLUSIVE TANQUE DE AÇO PARA TRANSPORTE DE ÁGUA - CHP DIURNO. AF_06/2014</v>
      </c>
      <c r="K170" s="1031" t="str">
        <f t="shared" si="3"/>
        <v>CHP</v>
      </c>
      <c r="L170" s="1031">
        <f t="shared" si="4"/>
        <v>1</v>
      </c>
      <c r="M170" s="1031">
        <f t="shared" si="5"/>
        <v>0.5</v>
      </c>
      <c r="N170" s="1032">
        <f t="shared" si="6"/>
        <v>0.427333514</v>
      </c>
      <c r="O170" s="1033">
        <f>ROUND(N170,0)+1</f>
        <v>1</v>
      </c>
      <c r="P170" s="1030"/>
    </row>
    <row r="171">
      <c r="A171" s="1028">
        <f>IFERROR(__xludf.DUMMYFUNCTION("""COMPUTED_VALUE"""),97062.0)</f>
        <v>97062</v>
      </c>
      <c r="B171" s="1028" t="str">
        <f>VLOOKUP(A171,'17. DADOS - HISTORICO MANUT. 20'!E:I,2,0)</f>
        <v>SINAPI-S</v>
      </c>
      <c r="C171" s="1029" t="str">
        <f>VLOOKUP(A171,'17. DADOS - HISTORICO MANUT. 20'!$E:$I,3,0)</f>
        <v>COLOCAÇÃO DE TELA EM ANDAIME FACHADEIRO. AF_11/2017</v>
      </c>
      <c r="D171" s="1028" t="str">
        <f>VLOOKUP(A171,'17. DADOS - HISTORICO MANUT. 20'!$E:$I,4,0)</f>
        <v>M2</v>
      </c>
      <c r="E171" s="1028">
        <f>SUMIF('17. DADOS - HISTORICO MANUT. 20'!E:E,A171,'17. DADOS - HISTORICO MANUT. 20'!I:I)</f>
        <v>6</v>
      </c>
      <c r="F171" s="1030"/>
      <c r="G171" s="1030"/>
      <c r="H171" s="1031">
        <f>IFERROR(__xludf.DUMMYFUNCTION("""COMPUTED_VALUE"""),97062.0)</f>
        <v>97062</v>
      </c>
      <c r="I171" s="1028" t="str">
        <f t="shared" si="1"/>
        <v>SINAPI-S</v>
      </c>
      <c r="J171" s="1029" t="str">
        <f t="shared" si="2"/>
        <v>COLOCAÇÃO DE TELA EM ANDAIME FACHADEIRO. AF_11/2017</v>
      </c>
      <c r="K171" s="1031" t="str">
        <f t="shared" si="3"/>
        <v>M2</v>
      </c>
      <c r="L171" s="1031">
        <f t="shared" si="4"/>
        <v>6</v>
      </c>
      <c r="M171" s="1031">
        <f t="shared" si="5"/>
        <v>3</v>
      </c>
      <c r="N171" s="1032">
        <f t="shared" si="6"/>
        <v>2.564001084</v>
      </c>
      <c r="O171" s="1033">
        <f>ROUND(N171,0)</f>
        <v>3</v>
      </c>
      <c r="P171" s="1030"/>
    </row>
    <row r="172">
      <c r="A172" s="1028">
        <f>IFERROR(__xludf.DUMMYFUNCTION("""COMPUTED_VALUE"""),97664.0)</f>
        <v>97664</v>
      </c>
      <c r="B172" s="1028" t="str">
        <f>VLOOKUP(A172,'17. DADOS - HISTORICO MANUT. 20'!E:I,2,0)</f>
        <v>SINAPI-S</v>
      </c>
      <c r="C172" s="1029" t="str">
        <f>VLOOKUP(A172,'17. DADOS - HISTORICO MANUT. 20'!$E:$I,3,0)</f>
        <v>REMOÇÃO DE ACESSÓRIOS, DE FORMA MANUAL, SEM REAPROVEITAMENTO. AF_12/2017</v>
      </c>
      <c r="D172" s="1028" t="str">
        <f>VLOOKUP(A172,'17. DADOS - HISTORICO MANUT. 20'!$E:$I,4,0)</f>
        <v>UN</v>
      </c>
      <c r="E172" s="1028">
        <f>SUMIF('17. DADOS - HISTORICO MANUT. 20'!E:E,A172,'17. DADOS - HISTORICO MANUT. 20'!I:I)</f>
        <v>1</v>
      </c>
      <c r="F172" s="1030"/>
      <c r="G172" s="1030"/>
      <c r="H172" s="1031">
        <f>IFERROR(__xludf.DUMMYFUNCTION("""COMPUTED_VALUE"""),97664.0)</f>
        <v>97664</v>
      </c>
      <c r="I172" s="1028" t="str">
        <f t="shared" si="1"/>
        <v>SINAPI-S</v>
      </c>
      <c r="J172" s="1029" t="str">
        <f t="shared" si="2"/>
        <v>REMOÇÃO DE ACESSÓRIOS, DE FORMA MANUAL, SEM REAPROVEITAMENTO. AF_12/2017</v>
      </c>
      <c r="K172" s="1031" t="str">
        <f t="shared" si="3"/>
        <v>UN</v>
      </c>
      <c r="L172" s="1031">
        <f t="shared" si="4"/>
        <v>1</v>
      </c>
      <c r="M172" s="1031">
        <f t="shared" si="5"/>
        <v>0.5</v>
      </c>
      <c r="N172" s="1032">
        <f t="shared" si="6"/>
        <v>0.427333514</v>
      </c>
      <c r="O172" s="1033">
        <f>ROUND(N172,0)+1</f>
        <v>1</v>
      </c>
      <c r="P172" s="1030"/>
    </row>
    <row r="173">
      <c r="A173" s="1028">
        <f>IFERROR(__xludf.DUMMYFUNCTION("""COMPUTED_VALUE"""),96985.0)</f>
        <v>96985</v>
      </c>
      <c r="B173" s="1028" t="str">
        <f>VLOOKUP(A173,'17. DADOS - HISTORICO MANUT. 20'!E:I,2,0)</f>
        <v>SINAPI-S</v>
      </c>
      <c r="C173" s="1029" t="str">
        <f>VLOOKUP(A173,'17. DADOS - HISTORICO MANUT. 20'!$E:$I,3,0)</f>
        <v>HASTE DE ATERRAMENTO 5/8  PARA SPDA - FORNECIMENTO E INSTALAÇÃO. AF_12/2017</v>
      </c>
      <c r="D173" s="1028" t="str">
        <f>VLOOKUP(A173,'17. DADOS - HISTORICO MANUT. 20'!$E:$I,4,0)</f>
        <v>UN</v>
      </c>
      <c r="E173" s="1028">
        <f>SUMIF('17. DADOS - HISTORICO MANUT. 20'!E:E,A173,'17. DADOS - HISTORICO MANUT. 20'!I:I)</f>
        <v>8</v>
      </c>
      <c r="F173" s="1030"/>
      <c r="G173" s="1030"/>
      <c r="H173" s="1031">
        <f>IFERROR(__xludf.DUMMYFUNCTION("""COMPUTED_VALUE"""),96985.0)</f>
        <v>96985</v>
      </c>
      <c r="I173" s="1028" t="str">
        <f t="shared" si="1"/>
        <v>SINAPI-S</v>
      </c>
      <c r="J173" s="1029" t="str">
        <f t="shared" si="2"/>
        <v>HASTE DE ATERRAMENTO 5/8  PARA SPDA - FORNECIMENTO E INSTALAÇÃO. AF_12/2017</v>
      </c>
      <c r="K173" s="1031" t="str">
        <f t="shared" si="3"/>
        <v>UN</v>
      </c>
      <c r="L173" s="1031">
        <f t="shared" si="4"/>
        <v>8</v>
      </c>
      <c r="M173" s="1031">
        <f t="shared" si="5"/>
        <v>4</v>
      </c>
      <c r="N173" s="1032">
        <f t="shared" si="6"/>
        <v>3.418668112</v>
      </c>
      <c r="O173" s="1033">
        <f t="shared" ref="O173:O179" si="33">ROUND(N173,0)</f>
        <v>3</v>
      </c>
      <c r="P173" s="1030"/>
    </row>
    <row r="174">
      <c r="A174" s="1028">
        <f>IFERROR(__xludf.DUMMYFUNCTION("""COMPUTED_VALUE"""),103019.0)</f>
        <v>103019</v>
      </c>
      <c r="B174" s="1028" t="str">
        <f>VLOOKUP(A174,'17. DADOS - HISTORICO MANUT. 20'!E:I,2,0)</f>
        <v>SINAPI-S</v>
      </c>
      <c r="C174" s="1029" t="str">
        <f>VLOOKUP(A174,'17. DADOS - HISTORICO MANUT. 20'!$E:$I,3,0)</f>
        <v>REGISTRO OU VÁLVULA GLOBO ANGULAR EM LATÃO, PARA HIDRANTES EM INSTALAÇÃO PREDIAL DE INCÊNDIO, 45 GRAUS, 2 1/2" - FORNECIMENTO E INSTALAÇÃO. AF_08/2021</v>
      </c>
      <c r="D174" s="1028" t="str">
        <f>VLOOKUP(A174,'17. DADOS - HISTORICO MANUT. 20'!$E:$I,4,0)</f>
        <v>UN</v>
      </c>
      <c r="E174" s="1028">
        <f>SUMIF('17. DADOS - HISTORICO MANUT. 20'!E:E,A174,'17. DADOS - HISTORICO MANUT. 20'!I:I)</f>
        <v>2</v>
      </c>
      <c r="F174" s="1030"/>
      <c r="G174" s="1030"/>
      <c r="H174" s="1031">
        <f>IFERROR(__xludf.DUMMYFUNCTION("""COMPUTED_VALUE"""),103019.0)</f>
        <v>103019</v>
      </c>
      <c r="I174" s="1028" t="str">
        <f t="shared" si="1"/>
        <v>SINAPI-S</v>
      </c>
      <c r="J174" s="1029" t="str">
        <f t="shared" si="2"/>
        <v>REGISTRO OU VÁLVULA GLOBO ANGULAR EM LATÃO, PARA HIDRANTES EM INSTALAÇÃO PREDIAL DE INCÊNDIO, 45 GRAUS, 2 1/2" - FORNECIMENTO E INSTALAÇÃO. AF_08/2021</v>
      </c>
      <c r="K174" s="1031" t="str">
        <f t="shared" si="3"/>
        <v>UN</v>
      </c>
      <c r="L174" s="1031">
        <f t="shared" si="4"/>
        <v>2</v>
      </c>
      <c r="M174" s="1031">
        <f t="shared" si="5"/>
        <v>1</v>
      </c>
      <c r="N174" s="1032">
        <f t="shared" si="6"/>
        <v>0.854667028</v>
      </c>
      <c r="O174" s="1033">
        <f t="shared" si="33"/>
        <v>1</v>
      </c>
      <c r="P174" s="1030"/>
    </row>
    <row r="175">
      <c r="A175" s="1028">
        <f>IFERROR(__xludf.DUMMYFUNCTION("""COMPUTED_VALUE"""),97609.0)</f>
        <v>97609</v>
      </c>
      <c r="B175" s="1028" t="str">
        <f>VLOOKUP(A175,'17. DADOS - HISTORICO MANUT. 20'!E:I,2,0)</f>
        <v>SINAPI-S</v>
      </c>
      <c r="C175" s="1029" t="str">
        <f>VLOOKUP(A175,'17. DADOS - HISTORICO MANUT. 20'!$E:$I,3,0)</f>
        <v>LÂMPADA COMPACTA DE LED 6 W, BASE E27 - FORNECIMENTO E INSTALAÇÃO. AF_02/2020</v>
      </c>
      <c r="D175" s="1028" t="str">
        <f>VLOOKUP(A175,'17. DADOS - HISTORICO MANUT. 20'!$E:$I,4,0)</f>
        <v>UN</v>
      </c>
      <c r="E175" s="1028">
        <f>SUMIF('17. DADOS - HISTORICO MANUT. 20'!E:E,A175,'17. DADOS - HISTORICO MANUT. 20'!I:I)</f>
        <v>14</v>
      </c>
      <c r="F175" s="1030"/>
      <c r="G175" s="1030"/>
      <c r="H175" s="1031">
        <f>IFERROR(__xludf.DUMMYFUNCTION("""COMPUTED_VALUE"""),97609.0)</f>
        <v>97609</v>
      </c>
      <c r="I175" s="1028" t="str">
        <f t="shared" si="1"/>
        <v>SINAPI-S</v>
      </c>
      <c r="J175" s="1029" t="str">
        <f t="shared" si="2"/>
        <v>LÂMPADA COMPACTA DE LED 6 W, BASE E27 - FORNECIMENTO E INSTALAÇÃO. AF_02/2020</v>
      </c>
      <c r="K175" s="1031" t="str">
        <f t="shared" si="3"/>
        <v>UN</v>
      </c>
      <c r="L175" s="1031">
        <f t="shared" si="4"/>
        <v>14</v>
      </c>
      <c r="M175" s="1031">
        <f t="shared" si="5"/>
        <v>7</v>
      </c>
      <c r="N175" s="1032">
        <f t="shared" si="6"/>
        <v>5.982669196</v>
      </c>
      <c r="O175" s="1033">
        <f t="shared" si="33"/>
        <v>6</v>
      </c>
      <c r="P175" s="1030"/>
    </row>
    <row r="176">
      <c r="A176" s="1047" t="str">
        <f>IFERROR(__xludf.DUMMYFUNCTION("""COMPUTED_VALUE"""),"MAN_PR_057")</f>
        <v>MAN_PR_057</v>
      </c>
      <c r="B176" s="1028" t="str">
        <f>VLOOKUP(A176,'17. DADOS - HISTORICO MANUT. 20'!E:I,2,0)</f>
        <v>COMP.EVENTUAL</v>
      </c>
      <c r="C176" s="1029" t="str">
        <f>VLOOKUP(A176,'17. DADOS - HISTORICO MANUT. 20'!$E:$I,3,0)</f>
        <v>FORNECIMENTO E INSTALAÇÃO DE  MOLA HIDRÁULICA AÉREA PARA PORTAS ATÉ 950MM E PESO DE ATÉ 65KG, COM CORPO EM ALUMÍNIO E BRAÇO DE AÇO, SEM BRAÇO DE PARADA</v>
      </c>
      <c r="D176" s="1028" t="str">
        <f>VLOOKUP(A176,'17. DADOS - HISTORICO MANUT. 20'!$E:$I,4,0)</f>
        <v>UN</v>
      </c>
      <c r="E176" s="1028">
        <f>SUMIF('17. DADOS - HISTORICO MANUT. 20'!E:E,A176,'17. DADOS - HISTORICO MANUT. 20'!I:I)</f>
        <v>3</v>
      </c>
      <c r="F176" s="1030"/>
      <c r="G176" s="1030"/>
      <c r="H176" s="1048" t="str">
        <f>IFERROR(__xludf.DUMMYFUNCTION("""COMPUTED_VALUE"""),"MAN_PR_057")</f>
        <v>MAN_PR_057</v>
      </c>
      <c r="I176" s="1028" t="str">
        <f t="shared" si="1"/>
        <v>COMP.EVENTUAL</v>
      </c>
      <c r="J176" s="1029" t="str">
        <f t="shared" si="2"/>
        <v>FORNECIMENTO E INSTALAÇÃO DE  MOLA HIDRÁULICA AÉREA PARA PORTAS ATÉ 950MM E PESO DE ATÉ 65KG, COM CORPO EM ALUMÍNIO E BRAÇO DE AÇO, SEM BRAÇO DE PARADA</v>
      </c>
      <c r="K176" s="1031" t="str">
        <f t="shared" si="3"/>
        <v>UN</v>
      </c>
      <c r="L176" s="1031">
        <f t="shared" si="4"/>
        <v>5</v>
      </c>
      <c r="M176" s="1031">
        <f t="shared" si="5"/>
        <v>2.5</v>
      </c>
      <c r="N176" s="1032">
        <f t="shared" si="6"/>
        <v>2.13666757</v>
      </c>
      <c r="O176" s="1033">
        <f t="shared" si="33"/>
        <v>2</v>
      </c>
      <c r="P176" s="1030"/>
    </row>
    <row r="177">
      <c r="A177" s="1047">
        <f>IFERROR(__xludf.DUMMYFUNCTION("""COMPUTED_VALUE"""),87244.0)</f>
        <v>87244</v>
      </c>
      <c r="B177" s="1028" t="str">
        <f>VLOOKUP(A177,'17. DADOS - HISTORICO MANUT. 20'!E:I,2,0)</f>
        <v>SINAPI-S</v>
      </c>
      <c r="C177" s="1029" t="str">
        <f>VLOOKUP(A177,'17. DADOS - HISTORICO MANUT. 20'!$E:$I,3,0)</f>
        <v>REVESTIMENTO CERÂMICO PARA PAREDES EXTERNAS EM PASTILHAS DE PORCELANA 5 X 5 CM (PLACAS DE 30 X 30 CM), ALINHADAS A PRUMO. AF_02/2023</v>
      </c>
      <c r="D177" s="1028" t="str">
        <f>VLOOKUP(A177,'17. DADOS - HISTORICO MANUT. 20'!$E:$I,4,0)</f>
        <v>M2</v>
      </c>
      <c r="E177" s="1028">
        <f>SUMIF('17. DADOS - HISTORICO MANUT. 20'!E:E,A177,'17. DADOS - HISTORICO MANUT. 20'!I:I)</f>
        <v>2</v>
      </c>
      <c r="F177" s="1030"/>
      <c r="G177" s="1030"/>
      <c r="H177" s="1048">
        <f>IFERROR(__xludf.DUMMYFUNCTION("""COMPUTED_VALUE"""),87244.0)</f>
        <v>87244</v>
      </c>
      <c r="I177" s="1028" t="str">
        <f t="shared" si="1"/>
        <v>SINAPI-S</v>
      </c>
      <c r="J177" s="1029" t="str">
        <f t="shared" si="2"/>
        <v>REVESTIMENTO CERÂMICO PARA PAREDES EXTERNAS EM PASTILHAS DE PORCELANA 5 X 5 CM (PLACAS DE 30 X 30 CM), ALINHADAS A PRUMO. AF_02/2023</v>
      </c>
      <c r="K177" s="1031" t="str">
        <f t="shared" si="3"/>
        <v>M2</v>
      </c>
      <c r="L177" s="1031">
        <f t="shared" si="4"/>
        <v>2</v>
      </c>
      <c r="M177" s="1031">
        <f t="shared" si="5"/>
        <v>1</v>
      </c>
      <c r="N177" s="1032">
        <f t="shared" si="6"/>
        <v>0.854667028</v>
      </c>
      <c r="O177" s="1033">
        <f t="shared" si="33"/>
        <v>1</v>
      </c>
      <c r="P177" s="1030"/>
    </row>
    <row r="178">
      <c r="A178" s="1047">
        <f>IFERROR(__xludf.DUMMYFUNCTION("""COMPUTED_VALUE"""),97599.0)</f>
        <v>97599</v>
      </c>
      <c r="B178" s="1028" t="str">
        <f>VLOOKUP(A178,'17. DADOS - HISTORICO MANUT. 20'!E:I,2,0)</f>
        <v>SINAPI-S</v>
      </c>
      <c r="C178" s="1029" t="str">
        <f>VLOOKUP(A178,'17. DADOS - HISTORICO MANUT. 20'!$E:$I,3,0)</f>
        <v>LUMINÁRIA DE EMERGÊNCIA, COM 30 LÂMPADAS LED DE 2 W, SEM REATOR - FORNECIMENTO E INSTALAÇÃO. AF_02/2020</v>
      </c>
      <c r="D178" s="1028" t="str">
        <f>VLOOKUP(A178,'17. DADOS - HISTORICO MANUT. 20'!$E:$I,4,0)</f>
        <v>UN</v>
      </c>
      <c r="E178" s="1028">
        <f>SUMIF('17. DADOS - HISTORICO MANUT. 20'!E:E,A178,'17. DADOS - HISTORICO MANUT. 20'!I:I)</f>
        <v>18</v>
      </c>
      <c r="F178" s="1030"/>
      <c r="G178" s="1030"/>
      <c r="H178" s="1048">
        <f>IFERROR(__xludf.DUMMYFUNCTION("""COMPUTED_VALUE"""),97599.0)</f>
        <v>97599</v>
      </c>
      <c r="I178" s="1028" t="str">
        <f t="shared" si="1"/>
        <v>SINAPI-S</v>
      </c>
      <c r="J178" s="1029" t="str">
        <f t="shared" si="2"/>
        <v>LUMINÁRIA DE EMERGÊNCIA, COM 30 LÂMPADAS LED DE 2 W, SEM REATOR - FORNECIMENTO E INSTALAÇÃO. AF_02/2020</v>
      </c>
      <c r="K178" s="1031" t="str">
        <f t="shared" si="3"/>
        <v>UN</v>
      </c>
      <c r="L178" s="1031">
        <f t="shared" si="4"/>
        <v>20</v>
      </c>
      <c r="M178" s="1031">
        <f t="shared" si="5"/>
        <v>10</v>
      </c>
      <c r="N178" s="1032">
        <f t="shared" si="6"/>
        <v>8.54667028</v>
      </c>
      <c r="O178" s="1033">
        <f t="shared" si="33"/>
        <v>9</v>
      </c>
      <c r="P178" s="1030"/>
    </row>
    <row r="179">
      <c r="A179" s="1047" t="str">
        <f>IFERROR(__xludf.DUMMYFUNCTION("""COMPUTED_VALUE"""),"MAN_PR_043")</f>
        <v>MAN_PR_043</v>
      </c>
      <c r="B179" s="1028" t="str">
        <f>VLOOKUP(A179,'17. DADOS - HISTORICO MANUT. 20'!E:I,2,0)</f>
        <v>COMP.EVENTUAL</v>
      </c>
      <c r="C179" s="1029" t="str">
        <f>VLOOKUP(A179,'17. DADOS - HISTORICO MANUT. 20'!$E:$I,3,0)</f>
        <v>SUBSTITUIÇÃO DE MANGUEIRA PARA COMPRESSOR DO TIPO ENGATE RÁPIDO - FORNECIMENTO E INSTALAÇÃO</v>
      </c>
      <c r="D179" s="1028" t="str">
        <f>VLOOKUP(A179,'17. DADOS - HISTORICO MANUT. 20'!$E:$I,4,0)</f>
        <v>UN</v>
      </c>
      <c r="E179" s="1028">
        <f>SUMIF('17. DADOS - HISTORICO MANUT. 20'!E:E,A179,'17. DADOS - HISTORICO MANUT. 20'!I:I)</f>
        <v>1</v>
      </c>
      <c r="F179" s="1030"/>
      <c r="G179" s="1030"/>
      <c r="H179" s="1048" t="str">
        <f>IFERROR(__xludf.DUMMYFUNCTION("""COMPUTED_VALUE"""),"MAN_PR_043")</f>
        <v>MAN_PR_043</v>
      </c>
      <c r="I179" s="1028" t="str">
        <f t="shared" si="1"/>
        <v>COMP.EVENTUAL</v>
      </c>
      <c r="J179" s="1029" t="str">
        <f t="shared" si="2"/>
        <v>SUBSTITUIÇÃO DE MANGUEIRA PARA COMPRESSOR DO TIPO ENGATE RÁPIDO - FORNECIMENTO E INSTALAÇÃO</v>
      </c>
      <c r="K179" s="1031" t="str">
        <f t="shared" si="3"/>
        <v>UN</v>
      </c>
      <c r="L179" s="1031">
        <f t="shared" si="4"/>
        <v>3</v>
      </c>
      <c r="M179" s="1031">
        <f t="shared" si="5"/>
        <v>1.5</v>
      </c>
      <c r="N179" s="1032">
        <f t="shared" si="6"/>
        <v>1.282000542</v>
      </c>
      <c r="O179" s="1033">
        <f t="shared" si="33"/>
        <v>1</v>
      </c>
      <c r="P179" s="1030"/>
    </row>
    <row r="180">
      <c r="A180" s="1047" t="str">
        <f>IFERROR(__xludf.DUMMYFUNCTION("""COMPUTED_VALUE"""),"MAN_PR_044")</f>
        <v>MAN_PR_044</v>
      </c>
      <c r="B180" s="1028" t="str">
        <f>VLOOKUP(A180,'17. DADOS - HISTORICO MANUT. 20'!E:I,2,0)</f>
        <v>COMP.EVENTUAL</v>
      </c>
      <c r="C180" s="1029" t="str">
        <f>VLOOKUP(A180,'17. DADOS - HISTORICO MANUT. 20'!$E:$I,3,0)</f>
        <v>CALIBRADOR ELETRÔNICO PARA PNEUS, BIVOLT, BLINDADO. REF. STOKAIR-M2000 OU SIMILAR - FORNECIMENTO E INSTALAÇÃO</v>
      </c>
      <c r="D180" s="1028" t="str">
        <f>VLOOKUP(A180,'17. DADOS - HISTORICO MANUT. 20'!$E:$I,4,0)</f>
        <v>UN</v>
      </c>
      <c r="E180" s="1028">
        <f>SUMIF('17. DADOS - HISTORICO MANUT. 20'!E:E,A180,'17. DADOS - HISTORICO MANUT. 20'!I:I)</f>
        <v>1</v>
      </c>
      <c r="F180" s="1030"/>
      <c r="G180" s="1030"/>
      <c r="H180" s="1048" t="str">
        <f>IFERROR(__xludf.DUMMYFUNCTION("""COMPUTED_VALUE"""),"MAN_PR_044")</f>
        <v>MAN_PR_044</v>
      </c>
      <c r="I180" s="1028" t="str">
        <f t="shared" si="1"/>
        <v>COMP.EVENTUAL</v>
      </c>
      <c r="J180" s="1029" t="str">
        <f t="shared" si="2"/>
        <v>CALIBRADOR ELETRÔNICO PARA PNEUS, BIVOLT, BLINDADO. REF. STOKAIR-M2000 OU SIMILAR - FORNECIMENTO E INSTALAÇÃO</v>
      </c>
      <c r="K180" s="1031" t="str">
        <f t="shared" si="3"/>
        <v>UN</v>
      </c>
      <c r="L180" s="1031">
        <f t="shared" si="4"/>
        <v>1</v>
      </c>
      <c r="M180" s="1031">
        <f t="shared" si="5"/>
        <v>0.5</v>
      </c>
      <c r="N180" s="1032">
        <f t="shared" si="6"/>
        <v>0.427333514</v>
      </c>
      <c r="O180" s="1033">
        <f>ROUND(N180,0)+1</f>
        <v>1</v>
      </c>
      <c r="P180" s="1030"/>
    </row>
    <row r="181">
      <c r="A181" s="1047">
        <f>IFERROR(__xludf.DUMMYFUNCTION("""COMPUTED_VALUE"""),93203.0)</f>
        <v>93203</v>
      </c>
      <c r="B181" s="1028" t="str">
        <f>VLOOKUP(A181,'17. DADOS - HISTORICO MANUT. 20'!E:I,2,0)</f>
        <v>SINAPI-S</v>
      </c>
      <c r="C181" s="1029" t="str">
        <f>VLOOKUP(A181,'17. DADOS - HISTORICO MANUT. 20'!$E:$I,3,0)</f>
        <v>FIXAÇÃO (ENCUNHAMENTO) DE ALVENARIA DE VEDAÇÃO COM ESPUMA DE POLIURETANO EXPANSIVA. AF_03/2016</v>
      </c>
      <c r="D181" s="1028" t="str">
        <f>VLOOKUP(A181,'17. DADOS - HISTORICO MANUT. 20'!$E:$I,4,0)</f>
        <v>M</v>
      </c>
      <c r="E181" s="1028">
        <f>SUMIF('17. DADOS - HISTORICO MANUT. 20'!E:E,A181,'17. DADOS - HISTORICO MANUT. 20'!I:I)</f>
        <v>6</v>
      </c>
      <c r="F181" s="1030"/>
      <c r="G181" s="1030"/>
      <c r="H181" s="1048">
        <f>IFERROR(__xludf.DUMMYFUNCTION("""COMPUTED_VALUE"""),93203.0)</f>
        <v>93203</v>
      </c>
      <c r="I181" s="1028" t="str">
        <f t="shared" si="1"/>
        <v>SINAPI-S</v>
      </c>
      <c r="J181" s="1029" t="str">
        <f t="shared" si="2"/>
        <v>FIXAÇÃO (ENCUNHAMENTO) DE ALVENARIA DE VEDAÇÃO COM ESPUMA DE POLIURETANO EXPANSIVA. AF_03/2016</v>
      </c>
      <c r="K181" s="1031" t="str">
        <f t="shared" si="3"/>
        <v>M</v>
      </c>
      <c r="L181" s="1031">
        <f t="shared" si="4"/>
        <v>9</v>
      </c>
      <c r="M181" s="1031">
        <f t="shared" si="5"/>
        <v>4.5</v>
      </c>
      <c r="N181" s="1032">
        <f t="shared" si="6"/>
        <v>3.846001626</v>
      </c>
      <c r="O181" s="1033">
        <f t="shared" ref="O181:O183" si="34">ROUND(N181,0)</f>
        <v>4</v>
      </c>
      <c r="P181" s="1030"/>
    </row>
    <row r="182">
      <c r="A182" s="1047" t="str">
        <f>IFERROR(__xludf.DUMMYFUNCTION("""COMPUTED_VALUE"""),"MAN_PR_045")</f>
        <v>MAN_PR_045</v>
      </c>
      <c r="B182" s="1028" t="str">
        <f>VLOOKUP(A182,'17. DADOS - HISTORICO MANUT. 20'!E:I,2,0)</f>
        <v>COMP.EVENTUAL</v>
      </c>
      <c r="C182" s="1029" t="str">
        <f>VLOOKUP(A182,'17. DADOS - HISTORICO MANUT. 20'!$E:$I,3,0)</f>
        <v>FECHADURA DE SOBREPOR PAR APORTA CORTA FOGO (SEM CHAVE) - FORNECIMENTO E INSTALAÇÃO</v>
      </c>
      <c r="D182" s="1028" t="str">
        <f>VLOOKUP(A182,'17. DADOS - HISTORICO MANUT. 20'!$E:$I,4,0)</f>
        <v>UN</v>
      </c>
      <c r="E182" s="1028">
        <f>SUMIF('17. DADOS - HISTORICO MANUT. 20'!E:E,A182,'17. DADOS - HISTORICO MANUT. 20'!I:I)</f>
        <v>2</v>
      </c>
      <c r="F182" s="1030"/>
      <c r="G182" s="1030"/>
      <c r="H182" s="1048" t="str">
        <f>IFERROR(__xludf.DUMMYFUNCTION("""COMPUTED_VALUE"""),"MAN_PR_045")</f>
        <v>MAN_PR_045</v>
      </c>
      <c r="I182" s="1028" t="str">
        <f t="shared" si="1"/>
        <v>COMP.EVENTUAL</v>
      </c>
      <c r="J182" s="1029" t="str">
        <f t="shared" si="2"/>
        <v>FECHADURA DE SOBREPOR PAR APORTA CORTA FOGO (SEM CHAVE) - FORNECIMENTO E INSTALAÇÃO</v>
      </c>
      <c r="K182" s="1031" t="str">
        <f t="shared" si="3"/>
        <v>UN</v>
      </c>
      <c r="L182" s="1031">
        <f t="shared" si="4"/>
        <v>5</v>
      </c>
      <c r="M182" s="1031">
        <f t="shared" si="5"/>
        <v>2.5</v>
      </c>
      <c r="N182" s="1032">
        <f t="shared" si="6"/>
        <v>2.13666757</v>
      </c>
      <c r="O182" s="1033">
        <f t="shared" si="34"/>
        <v>2</v>
      </c>
      <c r="P182" s="1030"/>
    </row>
    <row r="183">
      <c r="A183" s="1047" t="str">
        <f>IFERROR(__xludf.DUMMYFUNCTION("""COMPUTED_VALUE"""),"MAN_PR_046")</f>
        <v>MAN_PR_046</v>
      </c>
      <c r="B183" s="1028" t="str">
        <f>VLOOKUP(A183,'17. DADOS - HISTORICO MANUT. 20'!E:I,2,0)</f>
        <v>COMP.EVENTUAL</v>
      </c>
      <c r="C183" s="1029" t="str">
        <f>VLOOKUP(A183,'17. DADOS - HISTORICO MANUT. 20'!$E:$I,3,0)</f>
        <v>BOTOEIRA COM RETENÇÃO PARA QUADRO/PAINEL</v>
      </c>
      <c r="D183" s="1028" t="str">
        <f>VLOOKUP(A183,'17. DADOS - HISTORICO MANUT. 20'!$E:$I,4,0)</f>
        <v>UN</v>
      </c>
      <c r="E183" s="1028">
        <f>SUMIF('17. DADOS - HISTORICO MANUT. 20'!E:E,A183,'17. DADOS - HISTORICO MANUT. 20'!I:I)</f>
        <v>1</v>
      </c>
      <c r="F183" s="1030"/>
      <c r="G183" s="1030"/>
      <c r="H183" s="1048" t="str">
        <f>IFERROR(__xludf.DUMMYFUNCTION("""COMPUTED_VALUE"""),"MAN_PR_046")</f>
        <v>MAN_PR_046</v>
      </c>
      <c r="I183" s="1028" t="str">
        <f t="shared" si="1"/>
        <v>COMP.EVENTUAL</v>
      </c>
      <c r="J183" s="1029" t="str">
        <f t="shared" si="2"/>
        <v>BOTOEIRA COM RETENÇÃO PARA QUADRO/PAINEL</v>
      </c>
      <c r="K183" s="1031" t="str">
        <f t="shared" si="3"/>
        <v>UN</v>
      </c>
      <c r="L183" s="1031">
        <f t="shared" si="4"/>
        <v>3</v>
      </c>
      <c r="M183" s="1031">
        <f t="shared" si="5"/>
        <v>1.5</v>
      </c>
      <c r="N183" s="1032">
        <f t="shared" si="6"/>
        <v>1.282000542</v>
      </c>
      <c r="O183" s="1033">
        <f t="shared" si="34"/>
        <v>1</v>
      </c>
      <c r="P183" s="1030"/>
    </row>
    <row r="184">
      <c r="A184" s="1047">
        <f>IFERROR(__xludf.DUMMYFUNCTION("""COMPUTED_VALUE"""),101914.0)</f>
        <v>101914</v>
      </c>
      <c r="B184" s="1028" t="str">
        <f>VLOOKUP(A184,'17. DADOS - HISTORICO MANUT. 20'!E:I,2,0)</f>
        <v>SINAPI-S</v>
      </c>
      <c r="C184" s="1029" t="str">
        <f>VLOOKUP(A184,'17. DADOS - HISTORICO MANUT. 20'!$E:$I,3,0)</f>
        <v>CAIXA DE INCÊNDIO 60X90X17CM - FORNECIMENTO E INSTALAÇÃO. AF_10/2020</v>
      </c>
      <c r="D184" s="1028" t="str">
        <f>VLOOKUP(A184,'17. DADOS - HISTORICO MANUT. 20'!$E:$I,4,0)</f>
        <v>UN</v>
      </c>
      <c r="E184" s="1028">
        <f>SUMIF('17. DADOS - HISTORICO MANUT. 20'!E:E,A184,'17. DADOS - HISTORICO MANUT. 20'!I:I)</f>
        <v>1</v>
      </c>
      <c r="F184" s="1030"/>
      <c r="G184" s="1030"/>
      <c r="H184" s="1048">
        <f>IFERROR(__xludf.DUMMYFUNCTION("""COMPUTED_VALUE"""),101914.0)</f>
        <v>101914</v>
      </c>
      <c r="I184" s="1028" t="str">
        <f t="shared" si="1"/>
        <v>SINAPI-S</v>
      </c>
      <c r="J184" s="1029" t="str">
        <f t="shared" si="2"/>
        <v>CAIXA DE INCÊNDIO 60X90X17CM - FORNECIMENTO E INSTALAÇÃO. AF_10/2020</v>
      </c>
      <c r="K184" s="1031" t="str">
        <f t="shared" si="3"/>
        <v>UN</v>
      </c>
      <c r="L184" s="1031">
        <f t="shared" si="4"/>
        <v>1</v>
      </c>
      <c r="M184" s="1031">
        <f t="shared" si="5"/>
        <v>0.5</v>
      </c>
      <c r="N184" s="1032">
        <f t="shared" si="6"/>
        <v>0.427333514</v>
      </c>
      <c r="O184" s="1033">
        <f t="shared" ref="O184:O185" si="35">ROUND(N184,0)+1</f>
        <v>1</v>
      </c>
      <c r="P184" s="1030"/>
    </row>
    <row r="185">
      <c r="A185" s="1047">
        <f>IFERROR(__xludf.DUMMYFUNCTION("""COMPUTED_VALUE"""),102153.0)</f>
        <v>102153</v>
      </c>
      <c r="B185" s="1028" t="str">
        <f>VLOOKUP(A185,'17. DADOS - HISTORICO MANUT. 20'!E:I,2,0)</f>
        <v>SINAPI-S</v>
      </c>
      <c r="C185" s="1029" t="str">
        <f>VLOOKUP(A185,'17. DADOS - HISTORICO MANUT. 20'!$E:$I,3,0)</f>
        <v>INSTALAÇÃO DE VIDRO LISO FUME, E = 4 MM, EM ESQUADRIA DE MADEIRA, FIXADO COM BAGUETE. AF_01/2021</v>
      </c>
      <c r="D185" s="1028" t="str">
        <f>VLOOKUP(A185,'17. DADOS - HISTORICO MANUT. 20'!$E:$I,4,0)</f>
        <v>M2</v>
      </c>
      <c r="E185" s="1028">
        <f>SUMIF('17. DADOS - HISTORICO MANUT. 20'!E:E,A185,'17. DADOS - HISTORICO MANUT. 20'!I:I)</f>
        <v>1</v>
      </c>
      <c r="F185" s="1030"/>
      <c r="G185" s="1030"/>
      <c r="H185" s="1048">
        <f>IFERROR(__xludf.DUMMYFUNCTION("""COMPUTED_VALUE"""),102153.0)</f>
        <v>102153</v>
      </c>
      <c r="I185" s="1028" t="str">
        <f t="shared" si="1"/>
        <v>SINAPI-S</v>
      </c>
      <c r="J185" s="1029" t="str">
        <f t="shared" si="2"/>
        <v>INSTALAÇÃO DE VIDRO LISO FUME, E = 4 MM, EM ESQUADRIA DE MADEIRA, FIXADO COM BAGUETE. AF_01/2021</v>
      </c>
      <c r="K185" s="1031" t="str">
        <f t="shared" si="3"/>
        <v>M2</v>
      </c>
      <c r="L185" s="1031">
        <f t="shared" si="4"/>
        <v>1</v>
      </c>
      <c r="M185" s="1031">
        <f t="shared" si="5"/>
        <v>0.5</v>
      </c>
      <c r="N185" s="1032">
        <f t="shared" si="6"/>
        <v>0.427333514</v>
      </c>
      <c r="O185" s="1033">
        <f t="shared" si="35"/>
        <v>1</v>
      </c>
      <c r="P185" s="1030"/>
    </row>
    <row r="186">
      <c r="A186" s="1047">
        <f>IFERROR(__xludf.DUMMYFUNCTION("""COMPUTED_VALUE"""),95305.0)</f>
        <v>95305</v>
      </c>
      <c r="B186" s="1028" t="str">
        <f>VLOOKUP(A186,'17. DADOS - HISTORICO MANUT. 20'!E:I,2,0)</f>
        <v>SINAPI-S</v>
      </c>
      <c r="C186" s="1029" t="str">
        <f>VLOOKUP(A186,'17. DADOS - HISTORICO MANUT. 20'!$E:$I,3,0)</f>
        <v>TEXTURA ACRÍLICA, APLICAÇÃO MANUAL EM PAREDE, UMA DEMÃO. AF_04/2023</v>
      </c>
      <c r="D186" s="1028" t="str">
        <f>VLOOKUP(A186,'17. DADOS - HISTORICO MANUT. 20'!$E:$I,4,0)</f>
        <v>M2</v>
      </c>
      <c r="E186" s="1028">
        <f>SUMIF('17. DADOS - HISTORICO MANUT. 20'!E:E,A186,'17. DADOS - HISTORICO MANUT. 20'!I:I)</f>
        <v>10</v>
      </c>
      <c r="F186" s="1030"/>
      <c r="G186" s="1030"/>
      <c r="H186" s="1048">
        <f>IFERROR(__xludf.DUMMYFUNCTION("""COMPUTED_VALUE"""),95305.0)</f>
        <v>95305</v>
      </c>
      <c r="I186" s="1028" t="str">
        <f t="shared" si="1"/>
        <v>SINAPI-S</v>
      </c>
      <c r="J186" s="1029" t="str">
        <f t="shared" si="2"/>
        <v>TEXTURA ACRÍLICA, APLICAÇÃO MANUAL EM PAREDE, UMA DEMÃO. AF_04/2023</v>
      </c>
      <c r="K186" s="1031" t="str">
        <f t="shared" si="3"/>
        <v>M2</v>
      </c>
      <c r="L186" s="1031">
        <f t="shared" si="4"/>
        <v>10</v>
      </c>
      <c r="M186" s="1031">
        <f t="shared" si="5"/>
        <v>5</v>
      </c>
      <c r="N186" s="1032">
        <f t="shared" si="6"/>
        <v>4.27333514</v>
      </c>
      <c r="O186" s="1033">
        <f t="shared" ref="O186:O188" si="36">ROUND(N186,0)</f>
        <v>4</v>
      </c>
      <c r="P186" s="1030"/>
    </row>
    <row r="187">
      <c r="A187" s="1028" t="str">
        <f>IFERROR(__xludf.DUMMYFUNCTION("""COMPUTED_VALUE"""),"MAN_PR_062")</f>
        <v>MAN_PR_062</v>
      </c>
      <c r="B187" s="1028" t="str">
        <f>VLOOKUP(A187,'17. DADOS - HISTORICO MANUT. 20'!E:I,2,0)</f>
        <v>COMP.EVENTUAL</v>
      </c>
      <c r="C187" s="1029" t="str">
        <f>VLOOKUP(A187,'17. DADOS - HISTORICO MANUT. 20'!$E:$I,3,0)</f>
        <v>KIT COMPLETO UNIVERSAL PARA REPARO EM CAIXA ACOPLADA - FORNECIMENTO E INSTALAÇÃO</v>
      </c>
      <c r="D187" s="1028" t="str">
        <f>VLOOKUP(A187,'17. DADOS - HISTORICO MANUT. 20'!$E:$I,4,0)</f>
        <v>UN</v>
      </c>
      <c r="E187" s="1028">
        <f>SUMIF('17. DADOS - HISTORICO MANUT. 20'!E:E,A187,'17. DADOS - HISTORICO MANUT. 20'!I:I)</f>
        <v>1</v>
      </c>
      <c r="F187" s="1030"/>
      <c r="G187" s="1030"/>
      <c r="H187" s="1031" t="str">
        <f>IFERROR(__xludf.DUMMYFUNCTION("""COMPUTED_VALUE"""),"MAN_PR_062")</f>
        <v>MAN_PR_062</v>
      </c>
      <c r="I187" s="1028" t="str">
        <f t="shared" si="1"/>
        <v>COMP.EVENTUAL</v>
      </c>
      <c r="J187" s="1029" t="str">
        <f t="shared" si="2"/>
        <v>KIT COMPLETO UNIVERSAL PARA REPARO EM CAIXA ACOPLADA - FORNECIMENTO E INSTALAÇÃO</v>
      </c>
      <c r="K187" s="1031" t="str">
        <f t="shared" si="3"/>
        <v>UN</v>
      </c>
      <c r="L187" s="1031">
        <f t="shared" si="4"/>
        <v>4</v>
      </c>
      <c r="M187" s="1031">
        <f t="shared" si="5"/>
        <v>2</v>
      </c>
      <c r="N187" s="1032">
        <f t="shared" si="6"/>
        <v>1.709334056</v>
      </c>
      <c r="O187" s="1033">
        <f t="shared" si="36"/>
        <v>2</v>
      </c>
      <c r="P187" s="1030"/>
    </row>
    <row r="188">
      <c r="A188" s="1047">
        <f>IFERROR(__xludf.DUMMYFUNCTION("""COMPUTED_VALUE"""),97614.0)</f>
        <v>97614</v>
      </c>
      <c r="B188" s="1028" t="str">
        <f>VLOOKUP(A188,'17. DADOS - HISTORICO MANUT. 20'!E:I,2,0)</f>
        <v>SINAPI-S</v>
      </c>
      <c r="C188" s="1029" t="str">
        <f>VLOOKUP(A188,'17. DADOS - HISTORICO MANUT. 20'!$E:$I,3,0)</f>
        <v>LÂMPADA COMPACTA DE VAPOR METÁLICO OVOIDE 150 W, BASE E27 - FORNECIMENTO E INSTALAÇÃO. AF_02/2020</v>
      </c>
      <c r="D188" s="1028" t="str">
        <f>VLOOKUP(A188,'17. DADOS - HISTORICO MANUT. 20'!$E:$I,4,0)</f>
        <v>UN</v>
      </c>
      <c r="E188" s="1028">
        <f>SUMIF('17. DADOS - HISTORICO MANUT. 20'!E:E,A188,'17. DADOS - HISTORICO MANUT. 20'!I:I)</f>
        <v>24</v>
      </c>
      <c r="F188" s="1030"/>
      <c r="G188" s="1030"/>
      <c r="H188" s="1048">
        <f>IFERROR(__xludf.DUMMYFUNCTION("""COMPUTED_VALUE"""),97614.0)</f>
        <v>97614</v>
      </c>
      <c r="I188" s="1028" t="str">
        <f t="shared" si="1"/>
        <v>SINAPI-S</v>
      </c>
      <c r="J188" s="1029" t="str">
        <f t="shared" si="2"/>
        <v>LÂMPADA COMPACTA DE VAPOR METÁLICO OVOIDE 150 W, BASE E27 - FORNECIMENTO E INSTALAÇÃO. AF_02/2020</v>
      </c>
      <c r="K188" s="1031" t="str">
        <f t="shared" si="3"/>
        <v>UN</v>
      </c>
      <c r="L188" s="1031">
        <f t="shared" si="4"/>
        <v>24</v>
      </c>
      <c r="M188" s="1031">
        <f t="shared" si="5"/>
        <v>12</v>
      </c>
      <c r="N188" s="1032">
        <f t="shared" si="6"/>
        <v>10.25600434</v>
      </c>
      <c r="O188" s="1033">
        <f t="shared" si="36"/>
        <v>10</v>
      </c>
      <c r="P188" s="1030"/>
    </row>
    <row r="189">
      <c r="A189" s="1047" t="str">
        <f>IFERROR(__xludf.DUMMYFUNCTION("""COMPUTED_VALUE"""),"MAN_PR_047")</f>
        <v>MAN_PR_047</v>
      </c>
      <c r="B189" s="1028" t="str">
        <f>VLOOKUP(A189,'17. DADOS - HISTORICO MANUT. 20'!E:I,2,0)</f>
        <v>COMP.EVENTUAL</v>
      </c>
      <c r="C189" s="1029" t="str">
        <f>VLOOKUP(A189,'17. DADOS - HISTORICO MANUT. 20'!$E:$I,3,0)</f>
        <v>DUCHA HIGIÊNCIA PLÁSTICA COM REGISTRO METÁLICO 1/2" - FORNECIMENTO E INSTALAÇÃO</v>
      </c>
      <c r="D189" s="1028" t="str">
        <f>VLOOKUP(A189,'17. DADOS - HISTORICO MANUT. 20'!$E:$I,4,0)</f>
        <v>UN</v>
      </c>
      <c r="E189" s="1028">
        <f>SUMIF('17. DADOS - HISTORICO MANUT. 20'!E:E,A189,'17. DADOS - HISTORICO MANUT. 20'!I:I)</f>
        <v>1</v>
      </c>
      <c r="F189" s="1030"/>
      <c r="G189" s="1030"/>
      <c r="H189" s="1048" t="str">
        <f>IFERROR(__xludf.DUMMYFUNCTION("""COMPUTED_VALUE"""),"MAN_PR_047")</f>
        <v>MAN_PR_047</v>
      </c>
      <c r="I189" s="1028" t="str">
        <f t="shared" si="1"/>
        <v>COMP.EVENTUAL</v>
      </c>
      <c r="J189" s="1029" t="str">
        <f t="shared" si="2"/>
        <v>DUCHA HIGIÊNCIA PLÁSTICA COM REGISTRO METÁLICO 1/2" - FORNECIMENTO E INSTALAÇÃO</v>
      </c>
      <c r="K189" s="1031" t="str">
        <f t="shared" si="3"/>
        <v>UN</v>
      </c>
      <c r="L189" s="1031">
        <f t="shared" si="4"/>
        <v>1</v>
      </c>
      <c r="M189" s="1031">
        <f t="shared" si="5"/>
        <v>0.5</v>
      </c>
      <c r="N189" s="1032">
        <f t="shared" si="6"/>
        <v>0.427333514</v>
      </c>
      <c r="O189" s="1033">
        <f t="shared" ref="O189:O191" si="37">ROUND(N189,0)+1</f>
        <v>1</v>
      </c>
      <c r="P189" s="1030"/>
    </row>
    <row r="190">
      <c r="A190" s="1047">
        <f>IFERROR(__xludf.DUMMYFUNCTION("""COMPUTED_VALUE"""),86888.0)</f>
        <v>86888</v>
      </c>
      <c r="B190" s="1028" t="str">
        <f>VLOOKUP(A190,'17. DADOS - HISTORICO MANUT. 20'!E:I,2,0)</f>
        <v>SINAPI-S</v>
      </c>
      <c r="C190" s="1029" t="str">
        <f>VLOOKUP(A190,'17. DADOS - HISTORICO MANUT. 20'!$E:$I,3,0)</f>
        <v>VASO SANITÁRIO SIFONADO COM CAIXA ACOPLADA LOUÇA BRANCA - FORNECIMENTO E INSTALAÇÃO. AF_01/2020</v>
      </c>
      <c r="D190" s="1028" t="str">
        <f>VLOOKUP(A190,'17. DADOS - HISTORICO MANUT. 20'!$E:$I,4,0)</f>
        <v>UN</v>
      </c>
      <c r="E190" s="1028">
        <f>SUMIF('17. DADOS - HISTORICO MANUT. 20'!E:E,A190,'17. DADOS - HISTORICO MANUT. 20'!I:I)</f>
        <v>1</v>
      </c>
      <c r="F190" s="1030"/>
      <c r="G190" s="1030"/>
      <c r="H190" s="1048">
        <f>IFERROR(__xludf.DUMMYFUNCTION("""COMPUTED_VALUE"""),86888.0)</f>
        <v>86888</v>
      </c>
      <c r="I190" s="1028" t="str">
        <f t="shared" si="1"/>
        <v>SINAPI-S</v>
      </c>
      <c r="J190" s="1029" t="str">
        <f t="shared" si="2"/>
        <v>VASO SANITÁRIO SIFONADO COM CAIXA ACOPLADA LOUÇA BRANCA - FORNECIMENTO E INSTALAÇÃO. AF_01/2020</v>
      </c>
      <c r="K190" s="1031" t="str">
        <f t="shared" si="3"/>
        <v>UN</v>
      </c>
      <c r="L190" s="1031">
        <f t="shared" si="4"/>
        <v>1</v>
      </c>
      <c r="M190" s="1031">
        <f t="shared" si="5"/>
        <v>0.5</v>
      </c>
      <c r="N190" s="1032">
        <f t="shared" si="6"/>
        <v>0.427333514</v>
      </c>
      <c r="O190" s="1033">
        <f t="shared" si="37"/>
        <v>1</v>
      </c>
      <c r="P190" s="1030"/>
    </row>
    <row r="191">
      <c r="A191" s="1047">
        <f>IFERROR(__xludf.DUMMYFUNCTION("""COMPUTED_VALUE"""),98576.0)</f>
        <v>98576</v>
      </c>
      <c r="B191" s="1028" t="str">
        <f>VLOOKUP(A191,'17. DADOS - HISTORICO MANUT. 20'!E:I,2,0)</f>
        <v>SINAPI-S</v>
      </c>
      <c r="C191" s="1029" t="str">
        <f>VLOOKUP(A191,'17. DADOS - HISTORICO MANUT. 20'!$E:$I,3,0)</f>
        <v>TRATAMENTO DE JUNTA DE DILATAÇÃO COM MANTA ASFÁLTICA ADERIDA COM MAÇARICO. AF_06/2018</v>
      </c>
      <c r="D191" s="1028" t="str">
        <f>VLOOKUP(A191,'17. DADOS - HISTORICO MANUT. 20'!$E:$I,4,0)</f>
        <v>M</v>
      </c>
      <c r="E191" s="1028">
        <f>SUMIF('17. DADOS - HISTORICO MANUT. 20'!E:E,A191,'17. DADOS - HISTORICO MANUT. 20'!I:I)</f>
        <v>1</v>
      </c>
      <c r="F191" s="1030"/>
      <c r="G191" s="1030"/>
      <c r="H191" s="1048">
        <f>IFERROR(__xludf.DUMMYFUNCTION("""COMPUTED_VALUE"""),98576.0)</f>
        <v>98576</v>
      </c>
      <c r="I191" s="1028" t="str">
        <f t="shared" si="1"/>
        <v>SINAPI-S</v>
      </c>
      <c r="J191" s="1029" t="str">
        <f t="shared" si="2"/>
        <v>TRATAMENTO DE JUNTA DE DILATAÇÃO COM MANTA ASFÁLTICA ADERIDA COM MAÇARICO. AF_06/2018</v>
      </c>
      <c r="K191" s="1031" t="str">
        <f t="shared" si="3"/>
        <v>M</v>
      </c>
      <c r="L191" s="1031">
        <f t="shared" si="4"/>
        <v>1</v>
      </c>
      <c r="M191" s="1031">
        <f t="shared" si="5"/>
        <v>0.5</v>
      </c>
      <c r="N191" s="1032">
        <f t="shared" si="6"/>
        <v>0.427333514</v>
      </c>
      <c r="O191" s="1033">
        <f t="shared" si="37"/>
        <v>1</v>
      </c>
      <c r="P191" s="1030"/>
    </row>
    <row r="192">
      <c r="A192" s="1047">
        <f>IFERROR(__xludf.DUMMYFUNCTION("""COMPUTED_VALUE"""),92001.0)</f>
        <v>92001</v>
      </c>
      <c r="B192" s="1028" t="str">
        <f>VLOOKUP(A192,'17. DADOS - HISTORICO MANUT. 20'!E:I,2,0)</f>
        <v>SINAPI-S</v>
      </c>
      <c r="C192" s="1029" t="str">
        <f>VLOOKUP(A192,'17. DADOS - HISTORICO MANUT. 20'!$E:$I,3,0)</f>
        <v>TOMADA BAIXA DE EMBUTIR (1 MÓDULO), 2P+T 20 A, INCLUINDO SUPORTE E PLACA - FORNECIMENTO E INSTALAÇÃO. AF_03/2023</v>
      </c>
      <c r="D192" s="1028" t="str">
        <f>VLOOKUP(A192,'17. DADOS - HISTORICO MANUT. 20'!$E:$I,4,0)</f>
        <v>UN</v>
      </c>
      <c r="E192" s="1028">
        <f>SUMIF('17. DADOS - HISTORICO MANUT. 20'!E:E,A192,'17. DADOS - HISTORICO MANUT. 20'!I:I)</f>
        <v>4</v>
      </c>
      <c r="F192" s="1030"/>
      <c r="G192" s="1030"/>
      <c r="H192" s="1048">
        <f>IFERROR(__xludf.DUMMYFUNCTION("""COMPUTED_VALUE"""),92001.0)</f>
        <v>92001</v>
      </c>
      <c r="I192" s="1028" t="str">
        <f t="shared" si="1"/>
        <v>SINAPI-S</v>
      </c>
      <c r="J192" s="1029" t="str">
        <f t="shared" si="2"/>
        <v>TOMADA BAIXA DE EMBUTIR (1 MÓDULO), 2P+T 20 A, INCLUINDO SUPORTE E PLACA - FORNECIMENTO E INSTALAÇÃO. AF_03/2023</v>
      </c>
      <c r="K192" s="1031" t="str">
        <f t="shared" si="3"/>
        <v>UN</v>
      </c>
      <c r="L192" s="1031">
        <f t="shared" si="4"/>
        <v>4</v>
      </c>
      <c r="M192" s="1031">
        <f t="shared" si="5"/>
        <v>2</v>
      </c>
      <c r="N192" s="1032">
        <f t="shared" si="6"/>
        <v>1.709334056</v>
      </c>
      <c r="O192" s="1033">
        <f t="shared" ref="O192:O193" si="38">ROUND(N192,0)</f>
        <v>2</v>
      </c>
      <c r="P192" s="1030"/>
    </row>
    <row r="193">
      <c r="A193" s="1049">
        <f>IFERROR(__xludf.DUMMYFUNCTION("""COMPUTED_VALUE"""),97615.0)</f>
        <v>97615</v>
      </c>
      <c r="B193" s="1028" t="str">
        <f>VLOOKUP(A193,'17. DADOS - HISTORICO MANUT. 20'!E:I,2,0)</f>
        <v>SINAPI-S</v>
      </c>
      <c r="C193" s="1029" t="str">
        <f>VLOOKUP(A193,'17. DADOS - HISTORICO MANUT. 20'!$E:$I,3,0)</f>
        <v>LÂMPADA TUBULAR FLUORESCENTE T8 DE 16/18 W, BASE G13 - FORNECIMENTO E INSTALAÇÃO. AF_02/2020_PS</v>
      </c>
      <c r="D193" s="1028" t="str">
        <f>VLOOKUP(A193,'17. DADOS - HISTORICO MANUT. 20'!$E:$I,4,0)</f>
        <v>UN</v>
      </c>
      <c r="E193" s="1028">
        <f>SUMIF('17. DADOS - HISTORICO MANUT. 20'!E:E,A193,'17. DADOS - HISTORICO MANUT. 20'!I:I)</f>
        <v>4</v>
      </c>
      <c r="F193" s="1030"/>
      <c r="G193" s="1030"/>
      <c r="H193" s="1048">
        <f>IFERROR(__xludf.DUMMYFUNCTION("""COMPUTED_VALUE"""),97615.0)</f>
        <v>97615</v>
      </c>
      <c r="I193" s="1028" t="str">
        <f t="shared" si="1"/>
        <v>SINAPI-S</v>
      </c>
      <c r="J193" s="1029" t="str">
        <f t="shared" si="2"/>
        <v>LÂMPADA TUBULAR FLUORESCENTE T8 DE 16/18 W, BASE G13 - FORNECIMENTO E INSTALAÇÃO. AF_02/2020_PS</v>
      </c>
      <c r="K193" s="1031" t="str">
        <f t="shared" si="3"/>
        <v>UN</v>
      </c>
      <c r="L193" s="1031">
        <f t="shared" si="4"/>
        <v>4</v>
      </c>
      <c r="M193" s="1031">
        <f t="shared" si="5"/>
        <v>2</v>
      </c>
      <c r="N193" s="1032">
        <f t="shared" si="6"/>
        <v>1.709334056</v>
      </c>
      <c r="O193" s="1033">
        <f t="shared" si="38"/>
        <v>2</v>
      </c>
      <c r="P193" s="1030"/>
    </row>
    <row r="194">
      <c r="A194" s="1049">
        <f>IFERROR(__xludf.DUMMYFUNCTION("""COMPUTED_VALUE"""),86881.0)</f>
        <v>86881</v>
      </c>
      <c r="B194" s="1028" t="str">
        <f>VLOOKUP(A194,'17. DADOS - HISTORICO MANUT. 20'!E:I,2,0)</f>
        <v>SINAPI-S</v>
      </c>
      <c r="C194" s="1029" t="str">
        <f>VLOOKUP(A194,'17. DADOS - HISTORICO MANUT. 20'!$E:$I,3,0)</f>
        <v>SIFÃO DO TIPO GARRAFA EM METAL CROMADO 1 X 1.1/2_x0094_ - FORNECIMENTO E INSTALAÇÃO. AF_01/2020</v>
      </c>
      <c r="D194" s="1028" t="str">
        <f>VLOOKUP(A194,'17. DADOS - HISTORICO MANUT. 20'!$E:$I,4,0)</f>
        <v>UN</v>
      </c>
      <c r="E194" s="1028">
        <f>SUMIF('17. DADOS - HISTORICO MANUT. 20'!E:E,A194,'17. DADOS - HISTORICO MANUT. 20'!I:I)</f>
        <v>1</v>
      </c>
      <c r="F194" s="1030"/>
      <c r="G194" s="1030"/>
      <c r="H194" s="1048">
        <f>IFERROR(__xludf.DUMMYFUNCTION("""COMPUTED_VALUE"""),86881.0)</f>
        <v>86881</v>
      </c>
      <c r="I194" s="1028" t="str">
        <f t="shared" si="1"/>
        <v>SINAPI-S</v>
      </c>
      <c r="J194" s="1029" t="str">
        <f t="shared" si="2"/>
        <v>SIFÃO DO TIPO GARRAFA EM METAL CROMADO 1 X 1.1/2_x0094_ - FORNECIMENTO E INSTALAÇÃO. AF_01/2020</v>
      </c>
      <c r="K194" s="1031" t="str">
        <f t="shared" si="3"/>
        <v>UN</v>
      </c>
      <c r="L194" s="1031">
        <f t="shared" si="4"/>
        <v>1</v>
      </c>
      <c r="M194" s="1031">
        <f t="shared" si="5"/>
        <v>0.5</v>
      </c>
      <c r="N194" s="1032">
        <f t="shared" si="6"/>
        <v>0.427333514</v>
      </c>
      <c r="O194" s="1033">
        <f>ROUND(N194,0)+1</f>
        <v>1</v>
      </c>
      <c r="P194" s="1030"/>
    </row>
    <row r="195">
      <c r="A195" s="1050"/>
      <c r="B195" s="1050"/>
      <c r="C195" s="1051"/>
      <c r="D195" s="1052"/>
      <c r="E195" s="1052"/>
      <c r="F195" s="1030"/>
      <c r="G195" s="1030"/>
      <c r="H195" s="1031" t="str">
        <f>IFERROR(__xludf.DUMMYFUNCTION("""COMPUTED_VALUE"""),"MAN_PR_072")</f>
        <v>MAN_PR_072</v>
      </c>
      <c r="I195" s="1028" t="str">
        <f t="shared" si="1"/>
        <v>COMP.EVENTUAL</v>
      </c>
      <c r="J195" s="1029" t="str">
        <f t="shared" si="2"/>
        <v>FORNECIMENTO E INSTALAÇÃO DE DISPOSITIVO DE PROTEÇÃO CONTRA SURTO DE TENSÃO DPS 20KA - 175V</v>
      </c>
      <c r="K195" s="1031" t="str">
        <f t="shared" si="3"/>
        <v>UN</v>
      </c>
      <c r="L195" s="1031">
        <f t="shared" si="4"/>
        <v>4</v>
      </c>
      <c r="M195" s="1031">
        <f t="shared" si="5"/>
        <v>2</v>
      </c>
      <c r="N195" s="1032">
        <f t="shared" si="6"/>
        <v>1.709334056</v>
      </c>
      <c r="O195" s="1033">
        <f t="shared" ref="O195:O198" si="39">ROUND(N195,0)</f>
        <v>2</v>
      </c>
      <c r="P195" s="1030"/>
    </row>
    <row r="196">
      <c r="A196" s="1050"/>
      <c r="B196" s="1050"/>
      <c r="C196" s="1053"/>
      <c r="D196" s="1050"/>
      <c r="E196" s="1050"/>
      <c r="F196" s="1030"/>
      <c r="G196" s="1030"/>
      <c r="H196" s="1031">
        <f>IFERROR(__xludf.DUMMYFUNCTION("""COMPUTED_VALUE"""),91927.0)</f>
        <v>91927</v>
      </c>
      <c r="I196" s="1028" t="str">
        <f t="shared" si="1"/>
        <v>SINAPI-S</v>
      </c>
      <c r="J196" s="1029" t="str">
        <f t="shared" si="2"/>
        <v>CABO DE COBRE FLEXÍVEL ISOLADO, 2,5 MM², ANTI-CHAMA 0,6/1,0 KV, PARA CIRCUITOS TERMINAIS - FORNECIMENTO E INSTALAÇÃO. AF_03/2023</v>
      </c>
      <c r="K196" s="1031" t="str">
        <f t="shared" si="3"/>
        <v>M</v>
      </c>
      <c r="L196" s="1031">
        <f t="shared" si="4"/>
        <v>50</v>
      </c>
      <c r="M196" s="1031">
        <f t="shared" si="5"/>
        <v>25</v>
      </c>
      <c r="N196" s="1032">
        <f t="shared" si="6"/>
        <v>21.3666757</v>
      </c>
      <c r="O196" s="1033">
        <f t="shared" si="39"/>
        <v>21</v>
      </c>
      <c r="P196" s="1030"/>
    </row>
    <row r="197">
      <c r="A197" s="1050"/>
      <c r="B197" s="1050"/>
      <c r="C197" s="1053"/>
      <c r="D197" s="1050"/>
      <c r="E197" s="1050"/>
      <c r="F197" s="1030"/>
      <c r="G197" s="1030"/>
      <c r="H197" s="1031">
        <f>IFERROR(__xludf.DUMMYFUNCTION("""COMPUTED_VALUE"""),86887.0)</f>
        <v>86887</v>
      </c>
      <c r="I197" s="1028" t="str">
        <f t="shared" si="1"/>
        <v>SINAPI-S</v>
      </c>
      <c r="J197" s="1029" t="str">
        <f t="shared" si="2"/>
        <v>ENGATE FLEXÍVEL EM INOX, 1/2  X 40CM - FORNECIMENTO E INSTALAÇÃO. AF_01/2020</v>
      </c>
      <c r="K197" s="1031" t="str">
        <f t="shared" si="3"/>
        <v>UN</v>
      </c>
      <c r="L197" s="1031">
        <f t="shared" si="4"/>
        <v>11</v>
      </c>
      <c r="M197" s="1031">
        <f t="shared" si="5"/>
        <v>5.5</v>
      </c>
      <c r="N197" s="1032">
        <f t="shared" si="6"/>
        <v>4.700668654</v>
      </c>
      <c r="O197" s="1033">
        <f t="shared" si="39"/>
        <v>5</v>
      </c>
      <c r="P197" s="1030"/>
    </row>
    <row r="198">
      <c r="A198" s="1050"/>
      <c r="B198" s="1050"/>
      <c r="C198" s="1053"/>
      <c r="D198" s="1050"/>
      <c r="E198" s="1050"/>
      <c r="F198" s="1030"/>
      <c r="G198" s="1030"/>
      <c r="H198" s="1031">
        <f>IFERROR(__xludf.DUMMYFUNCTION("""COMPUTED_VALUE"""),93666.0)</f>
        <v>93666</v>
      </c>
      <c r="I198" s="1028" t="str">
        <f t="shared" si="1"/>
        <v>SINAPI-S</v>
      </c>
      <c r="J198" s="1029" t="str">
        <f t="shared" si="2"/>
        <v>DISJUNTOR BIPOLAR TIPO DIN, CORRENTE NOMINAL DE 50A - FORNECIMENTO E INSTALAÇÃO. AF_10/2020</v>
      </c>
      <c r="K198" s="1031" t="str">
        <f t="shared" si="3"/>
        <v>UN</v>
      </c>
      <c r="L198" s="1031">
        <f t="shared" si="4"/>
        <v>2</v>
      </c>
      <c r="M198" s="1031">
        <f t="shared" si="5"/>
        <v>1</v>
      </c>
      <c r="N198" s="1032">
        <f t="shared" si="6"/>
        <v>0.854667028</v>
      </c>
      <c r="O198" s="1033">
        <f t="shared" si="39"/>
        <v>1</v>
      </c>
      <c r="P198" s="1030"/>
    </row>
    <row r="199">
      <c r="A199" s="1054"/>
      <c r="B199" s="1054"/>
      <c r="C199" s="1055" t="s">
        <v>5296</v>
      </c>
      <c r="D199" s="1054"/>
      <c r="E199" s="1054"/>
      <c r="F199" s="1030"/>
      <c r="G199" s="1030"/>
      <c r="H199" s="1031">
        <f>IFERROR(__xludf.DUMMYFUNCTION("""COMPUTED_VALUE"""),99624.0)</f>
        <v>99624</v>
      </c>
      <c r="I199" s="1028" t="str">
        <f t="shared" si="1"/>
        <v>SINAPI-S</v>
      </c>
      <c r="J199" s="1029" t="str">
        <f t="shared" si="2"/>
        <v>VÁLVULA DE RETENÇÃO HORIZONTAL, DE BRONZE, ROSCÁVEL, 2 1/2" - FORNECIMENTO E INSTALAÇÃO. AF_08/2021</v>
      </c>
      <c r="K199" s="1031" t="str">
        <f t="shared" si="3"/>
        <v>UN</v>
      </c>
      <c r="L199" s="1031">
        <f t="shared" si="4"/>
        <v>1</v>
      </c>
      <c r="M199" s="1031">
        <f t="shared" si="5"/>
        <v>0.5</v>
      </c>
      <c r="N199" s="1032">
        <f t="shared" si="6"/>
        <v>0.427333514</v>
      </c>
      <c r="O199" s="1033">
        <f>ROUND(N199,0)+1</f>
        <v>1</v>
      </c>
      <c r="P199" s="1030"/>
    </row>
    <row r="200">
      <c r="A200" s="1054"/>
      <c r="B200" s="1054"/>
      <c r="C200" s="1055" t="s">
        <v>5029</v>
      </c>
      <c r="D200" s="1054"/>
      <c r="E200" s="1054"/>
      <c r="F200" s="1030"/>
      <c r="G200" s="1030"/>
      <c r="H200" s="1031">
        <f>IFERROR(__xludf.DUMMYFUNCTION("""COMPUTED_VALUE"""),101902.0)</f>
        <v>101902</v>
      </c>
      <c r="I200" s="1028" t="str">
        <f t="shared" si="1"/>
        <v>SINAPI-S</v>
      </c>
      <c r="J200" s="1029" t="str">
        <f t="shared" si="2"/>
        <v>CONTATOR TRIPOLAR I NOMINAL 22A - FORNECIMENTO E INSTALAÇÃO. AF_10/2020</v>
      </c>
      <c r="K200" s="1031" t="str">
        <f t="shared" si="3"/>
        <v>UN</v>
      </c>
      <c r="L200" s="1031">
        <f t="shared" si="4"/>
        <v>2</v>
      </c>
      <c r="M200" s="1031">
        <f t="shared" si="5"/>
        <v>1</v>
      </c>
      <c r="N200" s="1032">
        <f t="shared" si="6"/>
        <v>0.854667028</v>
      </c>
      <c r="O200" s="1033">
        <f t="shared" ref="O200:O203" si="40">ROUND(N200,0)</f>
        <v>1</v>
      </c>
      <c r="P200" s="1030"/>
    </row>
    <row r="201">
      <c r="A201" s="1056"/>
      <c r="B201" s="1057" t="s">
        <v>4268</v>
      </c>
      <c r="C201" s="1058" t="s">
        <v>4269</v>
      </c>
      <c r="D201" s="1057" t="s">
        <v>4270</v>
      </c>
      <c r="E201" s="1057" t="s">
        <v>4271</v>
      </c>
      <c r="F201" s="1030"/>
      <c r="G201" s="1030"/>
      <c r="H201" s="1031" t="str">
        <f>IFERROR(__xludf.DUMMYFUNCTION("""COMPUTED_VALUE"""),"MAN_PR_070")</f>
        <v>MAN_PR_070</v>
      </c>
      <c r="I201" s="1028" t="str">
        <f t="shared" si="1"/>
        <v>COMP.EVENTUAL</v>
      </c>
      <c r="J201" s="1029" t="str">
        <f t="shared" si="2"/>
        <v>FORNECIMENTO E INSTALAÇÃO DE RELÊ TÉRMICO BIMETAL PARA USO EM MOTORES TRIFÁSICOS, TENSÃO 380V, POTÊNCIA DE ATÉ 15 CV, CORRENTE NOMINAL MÁXIMA DE 22A</v>
      </c>
      <c r="K201" s="1031" t="str">
        <f t="shared" si="3"/>
        <v>UN</v>
      </c>
      <c r="L201" s="1031">
        <f t="shared" si="4"/>
        <v>12</v>
      </c>
      <c r="M201" s="1031">
        <f t="shared" si="5"/>
        <v>6</v>
      </c>
      <c r="N201" s="1032">
        <f t="shared" si="6"/>
        <v>5.128002168</v>
      </c>
      <c r="O201" s="1033">
        <f t="shared" si="40"/>
        <v>5</v>
      </c>
      <c r="P201" s="1030"/>
    </row>
    <row r="202">
      <c r="A202" s="1028">
        <f>IFERROR(__xludf.DUMMYFUNCTION("UNIQUE('18. DADOS - HISTORICO MANUT. 20'!E4:E211)"),91306.0)</f>
        <v>91306</v>
      </c>
      <c r="B202" s="1028" t="str">
        <f>VLOOKUP(A202,'18. DADOS - HISTORICO MANUT. 20'!E:I,2,0)</f>
        <v>SINAPI-S</v>
      </c>
      <c r="C202" s="1029" t="str">
        <f>VLOOKUP(A202,'18. DADOS - HISTORICO MANUT. 20'!$E:$I,3,0)</f>
        <v>FECHADURA DE EMBUTIR PARA PORTAS INTERNAS, COMPLETA, ACABAMENTO PADRÃO MÉDIO, COM EXECUÇÃO DE FURO - FORNECIMENTO E INSTALAÇÃO. AF_12/2019</v>
      </c>
      <c r="D202" s="1028" t="str">
        <f>VLOOKUP(A202,'18. DADOS - HISTORICO MANUT. 20'!$E:$I,4,0)</f>
        <v>UN</v>
      </c>
      <c r="E202" s="1028">
        <f>SUMIF('18. DADOS - HISTORICO MANUT. 20'!E:E,A202,'18. DADOS - HISTORICO MANUT. 20'!I:I)</f>
        <v>3</v>
      </c>
      <c r="F202" s="1030"/>
      <c r="G202" s="1030"/>
      <c r="H202" s="1031" t="str">
        <f>IFERROR(__xludf.DUMMYFUNCTION("""COMPUTED_VALUE"""),"MAN_PR_071")</f>
        <v>MAN_PR_071</v>
      </c>
      <c r="I202" s="1028" t="str">
        <f t="shared" si="1"/>
        <v>COMP.EVENTUAL</v>
      </c>
      <c r="J202" s="1029" t="str">
        <f t="shared" si="2"/>
        <v>FORNECIMENTO E INSTALAÇÃO DE REFLETOR LED 5OW DE POTÊNCIA, BRANCO FRIO, 6500K, BIVOLT</v>
      </c>
      <c r="K202" s="1031" t="str">
        <f t="shared" si="3"/>
        <v>UN</v>
      </c>
      <c r="L202" s="1031">
        <f t="shared" si="4"/>
        <v>10</v>
      </c>
      <c r="M202" s="1031">
        <f t="shared" si="5"/>
        <v>5</v>
      </c>
      <c r="N202" s="1032">
        <f t="shared" si="6"/>
        <v>4.27333514</v>
      </c>
      <c r="O202" s="1033">
        <f t="shared" si="40"/>
        <v>4</v>
      </c>
      <c r="P202" s="1030"/>
    </row>
    <row r="203">
      <c r="A203" s="1059" t="str">
        <f>IFERROR(__xludf.DUMMYFUNCTION("""COMPUTED_VALUE"""),"MAN_PR_011")</f>
        <v>MAN_PR_011</v>
      </c>
      <c r="B203" s="1028" t="str">
        <f>VLOOKUP(A203,'18. DADOS - HISTORICO MANUT. 20'!E:I,2,0)</f>
        <v>COMP.EVENTUAL</v>
      </c>
      <c r="C203" s="1029" t="str">
        <f>VLOOKUP(A203,'18. DADOS - HISTORICO MANUT. 20'!$E:$I,3,0)</f>
        <v>TESTE FUNCIONAL EM CIRCUITOS</v>
      </c>
      <c r="D203" s="1028" t="str">
        <f>VLOOKUP(A203,'18. DADOS - HISTORICO MANUT. 20'!$E:$I,4,0)</f>
        <v>UN</v>
      </c>
      <c r="E203" s="1028">
        <f>SUMIF('18. DADOS - HISTORICO MANUT. 20'!E:E,A203,'18. DADOS - HISTORICO MANUT. 20'!I:I)</f>
        <v>1</v>
      </c>
      <c r="F203" s="1030"/>
      <c r="G203" s="1030"/>
      <c r="H203" s="1031" t="str">
        <f>IFERROR(__xludf.DUMMYFUNCTION("""COMPUTED_VALUE"""),"MAN_PR_056")</f>
        <v>MAN_PR_056</v>
      </c>
      <c r="I203" s="1028" t="str">
        <f t="shared" si="1"/>
        <v>COMP.EVENTUAL</v>
      </c>
      <c r="J203" s="1029" t="str">
        <f t="shared" si="2"/>
        <v>FORNECIMENTO E INSTALAÇÃO DE ADAPTADOR DE PORCELANA PARA LÂMPADA BASE E40 PARA E27</v>
      </c>
      <c r="K203" s="1031" t="str">
        <f t="shared" si="3"/>
        <v>UN</v>
      </c>
      <c r="L203" s="1031">
        <f t="shared" si="4"/>
        <v>41</v>
      </c>
      <c r="M203" s="1031">
        <f t="shared" si="5"/>
        <v>20.5</v>
      </c>
      <c r="N203" s="1032">
        <f t="shared" si="6"/>
        <v>17.52067407</v>
      </c>
      <c r="O203" s="1033">
        <f t="shared" si="40"/>
        <v>18</v>
      </c>
      <c r="P203" s="1030"/>
    </row>
    <row r="204">
      <c r="A204" s="1059" t="str">
        <f>IFERROR(__xludf.DUMMYFUNCTION("""COMPUTED_VALUE"""),"MAN_PR_019")</f>
        <v>MAN_PR_019</v>
      </c>
      <c r="B204" s="1028" t="str">
        <f>VLOOKUP(A204,'18. DADOS - HISTORICO MANUT. 20'!E:I,2,0)</f>
        <v>COMP.EVENTUAL</v>
      </c>
      <c r="C204" s="1029" t="str">
        <f>VLOOKUP(A204,'18. DADOS - HISTORICO MANUT. 20'!$E:$I,3,0)</f>
        <v>DESENTUPIMENTO E LIMPEZA DE BACIAS SANITÁRIAS</v>
      </c>
      <c r="D204" s="1028" t="str">
        <f>VLOOKUP(A204,'18. DADOS - HISTORICO MANUT. 20'!$E:$I,4,0)</f>
        <v>UN</v>
      </c>
      <c r="E204" s="1028">
        <f>SUMIF('18. DADOS - HISTORICO MANUT. 20'!E:E,A204,'18. DADOS - HISTORICO MANUT. 20'!I:I)</f>
        <v>3</v>
      </c>
      <c r="F204" s="1030"/>
      <c r="G204" s="1030"/>
      <c r="H204" s="1031">
        <f>IFERROR(__xludf.DUMMYFUNCTION("""COMPUTED_VALUE"""),94796.0)</f>
        <v>94796</v>
      </c>
      <c r="I204" s="1028" t="str">
        <f t="shared" si="1"/>
        <v>SINAPI-S</v>
      </c>
      <c r="J204" s="1029" t="str">
        <f t="shared" si="2"/>
        <v>TORNEIRA DE BOIA PARA CAIXA D'ÁGUA, ROSCÁVEL, 3/4" - FORNECIMENTO E INSTALAÇÃO. AF_08/2021</v>
      </c>
      <c r="K204" s="1031" t="str">
        <f t="shared" si="3"/>
        <v>UN</v>
      </c>
      <c r="L204" s="1031">
        <f t="shared" si="4"/>
        <v>1</v>
      </c>
      <c r="M204" s="1031">
        <f t="shared" si="5"/>
        <v>0.5</v>
      </c>
      <c r="N204" s="1032">
        <f t="shared" si="6"/>
        <v>0.427333514</v>
      </c>
      <c r="O204" s="1033">
        <f>ROUND(N204,0)+1</f>
        <v>1</v>
      </c>
      <c r="P204" s="1030"/>
    </row>
    <row r="205">
      <c r="A205" s="1059" t="str">
        <f>IFERROR(__xludf.DUMMYFUNCTION("""COMPUTED_VALUE"""),"MAN_PR_007")</f>
        <v>MAN_PR_007</v>
      </c>
      <c r="B205" s="1028" t="str">
        <f>VLOOKUP(A205,'18. DADOS - HISTORICO MANUT. 20'!E:I,2,0)</f>
        <v>COMP.EVENTUAL</v>
      </c>
      <c r="C205" s="1029" t="str">
        <f>VLOOKUP(A205,'18. DADOS - HISTORICO MANUT. 20'!$E:$I,3,0)</f>
        <v>DESENTUPIMENTO DE LOUÇAS</v>
      </c>
      <c r="D205" s="1028" t="str">
        <f>VLOOKUP(A205,'18. DADOS - HISTORICO MANUT. 20'!$E:$I,4,0)</f>
        <v>UN</v>
      </c>
      <c r="E205" s="1028">
        <f>SUMIF('18. DADOS - HISTORICO MANUT. 20'!E:E,A205,'18. DADOS - HISTORICO MANUT. 20'!I:I)</f>
        <v>2</v>
      </c>
      <c r="F205" s="1030"/>
      <c r="G205" s="1030"/>
      <c r="H205" s="1031">
        <f>IFERROR(__xludf.DUMMYFUNCTION("""COMPUTED_VALUE"""),97885.0)</f>
        <v>97885</v>
      </c>
      <c r="I205" s="1028" t="str">
        <f t="shared" si="1"/>
        <v>SINAPI-S</v>
      </c>
      <c r="J205" s="1029" t="str">
        <f t="shared" si="2"/>
        <v>CAIXA ENTERRADA ELÉTRICA RETANGULAR, EM CONCRETO PRÉ-MOLDADO, FUNDO COM BRITA, DIMENSÕES INTERNAS: 1X1X0,5 M. AF_12/2020</v>
      </c>
      <c r="K205" s="1031" t="str">
        <f t="shared" si="3"/>
        <v>UN</v>
      </c>
      <c r="L205" s="1031">
        <f t="shared" si="4"/>
        <v>9</v>
      </c>
      <c r="M205" s="1031">
        <f t="shared" si="5"/>
        <v>4.5</v>
      </c>
      <c r="N205" s="1032">
        <f t="shared" si="6"/>
        <v>3.846001626</v>
      </c>
      <c r="O205" s="1033">
        <f>ROUND(N205,0)</f>
        <v>4</v>
      </c>
      <c r="P205" s="1030"/>
    </row>
    <row r="206">
      <c r="A206" s="1049" t="str">
        <f>IFERROR(__xludf.DUMMYFUNCTION("""COMPUTED_VALUE"""),"MAN_PR_057")</f>
        <v>MAN_PR_057</v>
      </c>
      <c r="B206" s="1028" t="str">
        <f>VLOOKUP(A206,'18. DADOS - HISTORICO MANUT. 20'!E:I,2,0)</f>
        <v>COMP.EVENTUAL</v>
      </c>
      <c r="C206" s="1029" t="str">
        <f>VLOOKUP(A206,'18. DADOS - HISTORICO MANUT. 20'!$E:$I,3,0)</f>
        <v>FORNECIMENTO E INSTALAÇÃO DE  MOLA HIDRÁULICA AÉREA PARA PORTAS ATÉ 950MM E PESO DE ATÉ 65KG, COM CORPO EM ALUMÍNIO E BRAÇO DE AÇO, SEM BRAÇO DE PARADA</v>
      </c>
      <c r="D206" s="1028" t="str">
        <f>VLOOKUP(A206,'18. DADOS - HISTORICO MANUT. 20'!$E:$I,4,0)</f>
        <v>UN</v>
      </c>
      <c r="E206" s="1028">
        <f>SUMIF('18. DADOS - HISTORICO MANUT. 20'!E:E,A206,'18. DADOS - HISTORICO MANUT. 20'!I:I)</f>
        <v>2</v>
      </c>
      <c r="F206" s="1030"/>
      <c r="G206" s="1030"/>
      <c r="H206" s="1031">
        <f>IFERROR(__xludf.DUMMYFUNCTION("""COMPUTED_VALUE"""),92871.0)</f>
        <v>92871</v>
      </c>
      <c r="I206" s="1028" t="str">
        <f t="shared" si="1"/>
        <v>SINAPI-S</v>
      </c>
      <c r="J206" s="1029" t="str">
        <f t="shared" si="2"/>
        <v>CAIXA RETANGULAR 4" X 4" MÉDIA (1,30 M DO PISO), METÁLICA, INSTALADA EM PAREDE - FORNECIMENTO E INSTALAÇÃO. AF_03/2023</v>
      </c>
      <c r="K206" s="1031" t="str">
        <f t="shared" si="3"/>
        <v>UN</v>
      </c>
      <c r="L206" s="1031">
        <f t="shared" si="4"/>
        <v>1</v>
      </c>
      <c r="M206" s="1031">
        <f t="shared" si="5"/>
        <v>0.5</v>
      </c>
      <c r="N206" s="1032">
        <f t="shared" si="6"/>
        <v>0.427333514</v>
      </c>
      <c r="O206" s="1033">
        <f>ROUND(N206,0)+1</f>
        <v>1</v>
      </c>
      <c r="P206" s="1030"/>
    </row>
    <row r="207">
      <c r="A207" s="1049">
        <f>IFERROR(__xludf.DUMMYFUNCTION("""COMPUTED_VALUE"""),100903.0)</f>
        <v>100903</v>
      </c>
      <c r="B207" s="1028" t="str">
        <f>VLOOKUP(A207,'18. DADOS - HISTORICO MANUT. 20'!E:I,2,0)</f>
        <v>SINAPI-S</v>
      </c>
      <c r="C207" s="1029" t="str">
        <f>VLOOKUP(A207,'18. DADOS - HISTORICO MANUT. 20'!$E:$I,3,0)</f>
        <v>LÂMPADA TUBULAR LED DE 18/20 W, BASE G13 - FORNECIMENTO E INSTALAÇÃO. AF_02/2020_PS</v>
      </c>
      <c r="D207" s="1028" t="str">
        <f>VLOOKUP(A207,'18. DADOS - HISTORICO MANUT. 20'!$E:$I,4,0)</f>
        <v>UN</v>
      </c>
      <c r="E207" s="1028">
        <f>SUMIF('18. DADOS - HISTORICO MANUT. 20'!E:E,A207,'18. DADOS - HISTORICO MANUT. 20'!I:I)</f>
        <v>137</v>
      </c>
      <c r="F207" s="1030"/>
      <c r="G207" s="1030"/>
      <c r="H207" s="1031" t="str">
        <f>IFERROR(__xludf.DUMMYFUNCTION("""COMPUTED_VALUE"""),"MAN_PR_059")</f>
        <v>MAN_PR_059</v>
      </c>
      <c r="I207" s="1028" t="str">
        <f t="shared" si="1"/>
        <v>COMP.EVENTUAL</v>
      </c>
      <c r="J207" s="1029" t="str">
        <f t="shared" si="2"/>
        <v>FORNECIMENTO E INSTALAÇÃO DE CABO DE COBRE PP CORDPLAST 3 X 2,5MM2, 450/750V</v>
      </c>
      <c r="K207" s="1031" t="str">
        <f t="shared" si="3"/>
        <v>M</v>
      </c>
      <c r="L207" s="1031">
        <f t="shared" si="4"/>
        <v>61</v>
      </c>
      <c r="M207" s="1031">
        <f t="shared" si="5"/>
        <v>30.5</v>
      </c>
      <c r="N207" s="1032">
        <f t="shared" si="6"/>
        <v>26.06734435</v>
      </c>
      <c r="O207" s="1033">
        <f t="shared" ref="O207:O209" si="41">ROUND(N207,0)</f>
        <v>26</v>
      </c>
      <c r="P207" s="1030"/>
    </row>
    <row r="208">
      <c r="A208" s="1059" t="str">
        <f>IFERROR(__xludf.DUMMYFUNCTION("""COMPUTED_VALUE"""),"MAN_PR_072")</f>
        <v>MAN_PR_072</v>
      </c>
      <c r="B208" s="1028" t="str">
        <f>VLOOKUP(A208,'18. DADOS - HISTORICO MANUT. 20'!E:I,2,0)</f>
        <v>COMP.EVENTUAL</v>
      </c>
      <c r="C208" s="1029" t="str">
        <f>VLOOKUP(A208,'18. DADOS - HISTORICO MANUT. 20'!$E:$I,3,0)</f>
        <v>FORNECIMENTO E INSTALAÇÃO DE DISPOSITIVO DE PROTEÇÃO CONTRA SURTO DE TENSÃO DPS 20KA - 175V</v>
      </c>
      <c r="D208" s="1028" t="str">
        <f>VLOOKUP(A208,'18. DADOS - HISTORICO MANUT. 20'!$E:$I,4,0)</f>
        <v>UN</v>
      </c>
      <c r="E208" s="1028">
        <f>SUMIF('18. DADOS - HISTORICO MANUT. 20'!E:E,A208,'18. DADOS - HISTORICO MANUT. 20'!I:I)</f>
        <v>4</v>
      </c>
      <c r="F208" s="1030"/>
      <c r="G208" s="1030"/>
      <c r="H208" s="1031">
        <f>IFERROR(__xludf.DUMMYFUNCTION("""COMPUTED_VALUE"""),11960.0)</f>
        <v>11960</v>
      </c>
      <c r="I208" s="1028" t="str">
        <f t="shared" si="1"/>
        <v>SINAPI-I</v>
      </c>
      <c r="J208" s="1029" t="str">
        <f t="shared" si="2"/>
        <v>PARAFUSO DE LATAO COM ROSCA SOBERBA, CABECA CHATA E FENDA SIMPLES, DIAMETRO 2,5 MM, COMPRIMENTO 12 MM</v>
      </c>
      <c r="K208" s="1031" t="str">
        <f t="shared" si="3"/>
        <v>UN</v>
      </c>
      <c r="L208" s="1031">
        <f t="shared" si="4"/>
        <v>40</v>
      </c>
      <c r="M208" s="1031">
        <f t="shared" si="5"/>
        <v>20</v>
      </c>
      <c r="N208" s="1032">
        <f t="shared" si="6"/>
        <v>17.09334056</v>
      </c>
      <c r="O208" s="1033">
        <f t="shared" si="41"/>
        <v>17</v>
      </c>
      <c r="P208" s="1030"/>
    </row>
    <row r="209">
      <c r="A209" s="1059">
        <f>IFERROR(__xludf.DUMMYFUNCTION("""COMPUTED_VALUE"""),97611.0)</f>
        <v>97611</v>
      </c>
      <c r="B209" s="1028" t="str">
        <f>VLOOKUP(A209,'18. DADOS - HISTORICO MANUT. 20'!E:I,2,0)</f>
        <v>SINAPI-S</v>
      </c>
      <c r="C209" s="1029" t="str">
        <f>VLOOKUP(A209,'18. DADOS - HISTORICO MANUT. 20'!$E:$I,3,0)</f>
        <v>LÂMPADA COMPACTA FLUORESCENTE DE 15 W, BASE E27 - FORNECIMENTO E INSTALAÇÃO. AF_02/2020</v>
      </c>
      <c r="D209" s="1028" t="str">
        <f>VLOOKUP(A209,'18. DADOS - HISTORICO MANUT. 20'!$E:$I,4,0)</f>
        <v>UN</v>
      </c>
      <c r="E209" s="1028">
        <f>SUMIF('18. DADOS - HISTORICO MANUT. 20'!E:E,A209,'18. DADOS - HISTORICO MANUT. 20'!I:I)</f>
        <v>62</v>
      </c>
      <c r="F209" s="1030"/>
      <c r="G209" s="1030"/>
      <c r="H209" s="1031" t="str">
        <f>IFERROR(__xludf.DUMMYFUNCTION("""COMPUTED_VALUE"""),"MAN_PR_073")</f>
        <v>MAN_PR_073</v>
      </c>
      <c r="I209" s="1028" t="str">
        <f t="shared" si="1"/>
        <v>COMP.EVENTUAL</v>
      </c>
      <c r="J209" s="1029" t="str">
        <f t="shared" si="2"/>
        <v>CONECTOR DE DERIVAÇÃO PERFURANTE 10-95MM2</v>
      </c>
      <c r="K209" s="1031" t="str">
        <f t="shared" si="3"/>
        <v>UN</v>
      </c>
      <c r="L209" s="1031">
        <f t="shared" si="4"/>
        <v>10</v>
      </c>
      <c r="M209" s="1031">
        <f t="shared" si="5"/>
        <v>5</v>
      </c>
      <c r="N209" s="1032">
        <f t="shared" si="6"/>
        <v>4.27333514</v>
      </c>
      <c r="O209" s="1033">
        <f t="shared" si="41"/>
        <v>4</v>
      </c>
      <c r="P209" s="1030"/>
    </row>
    <row r="210">
      <c r="A210" s="1049" t="str">
        <f>IFERROR(__xludf.DUMMYFUNCTION("""COMPUTED_VALUE"""),"MAN_PR_003")</f>
        <v>MAN_PR_003</v>
      </c>
      <c r="B210" s="1028" t="str">
        <f>VLOOKUP(A210,'18. DADOS - HISTORICO MANUT. 20'!E:I,2,0)</f>
        <v>COMP.EVENTUAL</v>
      </c>
      <c r="C210" s="1029" t="str">
        <f>VLOOKUP(A210,'18. DADOS - HISTORICO MANUT. 20'!$E:$I,3,0)</f>
        <v>FORNECIMENTO E INSTALAÇÃO DE VENTILADOR DE PAREDE 50CM COM 6 PÁS, 200W, BIVOLT</v>
      </c>
      <c r="D210" s="1028" t="str">
        <f>VLOOKUP(A210,'18. DADOS - HISTORICO MANUT. 20'!$E:$I,4,0)</f>
        <v>UN</v>
      </c>
      <c r="E210" s="1028">
        <f>SUMIF('18. DADOS - HISTORICO MANUT. 20'!E:E,A210,'18. DADOS - HISTORICO MANUT. 20'!I:I)</f>
        <v>5</v>
      </c>
      <c r="F210" s="1030"/>
      <c r="G210" s="1030"/>
      <c r="H210" s="1031">
        <f>IFERROR(__xludf.DUMMYFUNCTION("""COMPUTED_VALUE"""),101894.0)</f>
        <v>101894</v>
      </c>
      <c r="I210" s="1028" t="str">
        <f t="shared" si="1"/>
        <v>SINAPI-S</v>
      </c>
      <c r="J210" s="1029" t="str">
        <f t="shared" si="2"/>
        <v>DISJUNTOR TRIPOLAR TIPO NEMA, CORRENTE NOMINAL DE 60 ATÉ 100A - FORNECIMENTO E INSTALAÇÃO. AF_10/2020</v>
      </c>
      <c r="K210" s="1031" t="str">
        <f t="shared" si="3"/>
        <v>UN</v>
      </c>
      <c r="L210" s="1031">
        <f t="shared" si="4"/>
        <v>1</v>
      </c>
      <c r="M210" s="1031">
        <f t="shared" si="5"/>
        <v>0.5</v>
      </c>
      <c r="N210" s="1032">
        <f t="shared" si="6"/>
        <v>0.427333514</v>
      </c>
      <c r="O210" s="1033">
        <f>ROUND(N210,0)+1</f>
        <v>1</v>
      </c>
      <c r="P210" s="1030"/>
    </row>
    <row r="211">
      <c r="A211" s="1049">
        <f>IFERROR(__xludf.DUMMYFUNCTION("""COMPUTED_VALUE"""),101632.0)</f>
        <v>101632</v>
      </c>
      <c r="B211" s="1028" t="str">
        <f>VLOOKUP(A211,'18. DADOS - HISTORICO MANUT. 20'!E:I,2,0)</f>
        <v>SINAPI-S</v>
      </c>
      <c r="C211" s="1029" t="str">
        <f>VLOOKUP(A211,'18. DADOS - HISTORICO MANUT. 20'!$E:$I,3,0)</f>
        <v>RELÉ FOTOELÉTRICO PARA COMANDO DE ILUMINAÇÃO EXTERNA 1000 W - FORNECIMENTO E INSTALAÇÃO. AF_08/2020</v>
      </c>
      <c r="D211" s="1028" t="str">
        <f>VLOOKUP(A211,'18. DADOS - HISTORICO MANUT. 20'!$E:$I,4,0)</f>
        <v>UN</v>
      </c>
      <c r="E211" s="1028">
        <f>SUMIF('18. DADOS - HISTORICO MANUT. 20'!E:E,A211,'18. DADOS - HISTORICO MANUT. 20'!I:I)</f>
        <v>1</v>
      </c>
      <c r="F211" s="1030"/>
      <c r="G211" s="1030"/>
      <c r="H211" s="1031">
        <f>IFERROR(__xludf.DUMMYFUNCTION("""COMPUTED_VALUE"""),101901.0)</f>
        <v>101901</v>
      </c>
      <c r="I211" s="1028" t="str">
        <f t="shared" si="1"/>
        <v>SINAPI-S</v>
      </c>
      <c r="J211" s="1029" t="str">
        <f t="shared" si="2"/>
        <v>CONTATOR TRIPOLAR I NOMINAL 12A - FORNECIMENTO E INSTALAÇÃO. AF_10/2020</v>
      </c>
      <c r="K211" s="1031" t="str">
        <f t="shared" si="3"/>
        <v>UN</v>
      </c>
      <c r="L211" s="1031">
        <f t="shared" si="4"/>
        <v>3</v>
      </c>
      <c r="M211" s="1031">
        <f t="shared" si="5"/>
        <v>1.5</v>
      </c>
      <c r="N211" s="1032">
        <f t="shared" si="6"/>
        <v>1.282000542</v>
      </c>
      <c r="O211" s="1033">
        <f t="shared" ref="O211:O213" si="42">ROUND(N211,0)</f>
        <v>1</v>
      </c>
      <c r="P211" s="1030"/>
    </row>
    <row r="212">
      <c r="A212" s="1059" t="str">
        <f>IFERROR(__xludf.DUMMYFUNCTION("""COMPUTED_VALUE"""),"MAN_PR_062")</f>
        <v>MAN_PR_062</v>
      </c>
      <c r="B212" s="1028" t="str">
        <f>VLOOKUP(A212,'18. DADOS - HISTORICO MANUT. 20'!E:I,2,0)</f>
        <v>COMP.EVENTUAL</v>
      </c>
      <c r="C212" s="1029" t="str">
        <f>VLOOKUP(A212,'18. DADOS - HISTORICO MANUT. 20'!$E:$I,3,0)</f>
        <v>KIT COMPLETO UNIVERSAL PARA REPARO EM CAIXA ACOPLADA - FORNECIMENTO E INSTALAÇÃO</v>
      </c>
      <c r="D212" s="1028" t="str">
        <f>VLOOKUP(A212,'18. DADOS - HISTORICO MANUT. 20'!$E:$I,4,0)</f>
        <v>UN</v>
      </c>
      <c r="E212" s="1028">
        <f>SUMIF('18. DADOS - HISTORICO MANUT. 20'!E:E,A212,'18. DADOS - HISTORICO MANUT. 20'!I:I)</f>
        <v>3</v>
      </c>
      <c r="F212" s="1030"/>
      <c r="G212" s="1030"/>
      <c r="H212" s="1031" t="str">
        <f>IFERROR(__xludf.DUMMYFUNCTION("""COMPUTED_VALUE"""),"MAN_PR_058")</f>
        <v>MAN_PR_058</v>
      </c>
      <c r="I212" s="1028" t="str">
        <f t="shared" si="1"/>
        <v>COMP.EVENTUAL</v>
      </c>
      <c r="J212" s="1029" t="str">
        <f t="shared" si="2"/>
        <v>FORNECIMENTO E INSTALAÇÃO DE BOBINA PARA CONTATOR CWM9 A CWM25, 380V</v>
      </c>
      <c r="K212" s="1031" t="str">
        <f t="shared" si="3"/>
        <v>UN</v>
      </c>
      <c r="L212" s="1031">
        <f t="shared" si="4"/>
        <v>3</v>
      </c>
      <c r="M212" s="1031">
        <f t="shared" si="5"/>
        <v>1.5</v>
      </c>
      <c r="N212" s="1032">
        <f t="shared" si="6"/>
        <v>1.282000542</v>
      </c>
      <c r="O212" s="1033">
        <f t="shared" si="42"/>
        <v>1</v>
      </c>
      <c r="P212" s="1030"/>
    </row>
    <row r="213">
      <c r="A213" s="1059">
        <f>IFERROR(__xludf.DUMMYFUNCTION("""COMPUTED_VALUE"""),91927.0)</f>
        <v>91927</v>
      </c>
      <c r="B213" s="1028" t="str">
        <f>VLOOKUP(A213,'18. DADOS - HISTORICO MANUT. 20'!E:I,2,0)</f>
        <v>SINAPI-S</v>
      </c>
      <c r="C213" s="1029" t="str">
        <f>VLOOKUP(A213,'18. DADOS - HISTORICO MANUT. 20'!$E:$I,3,0)</f>
        <v>CABO DE COBRE FLEXÍVEL ISOLADO, 2,5 MM², ANTI-CHAMA 0,6/1,0 KV, PARA CIRCUITOS TERMINAIS - FORNECIMENTO E INSTALAÇÃO. AF_03/2023</v>
      </c>
      <c r="D213" s="1028" t="str">
        <f>VLOOKUP(A213,'18. DADOS - HISTORICO MANUT. 20'!$E:$I,4,0)</f>
        <v>M</v>
      </c>
      <c r="E213" s="1028">
        <f>SUMIF('18. DADOS - HISTORICO MANUT. 20'!E:E,A213,'18. DADOS - HISTORICO MANUT. 20'!I:I)</f>
        <v>50</v>
      </c>
      <c r="F213" s="1030"/>
      <c r="G213" s="1030"/>
      <c r="H213" s="1031">
        <f>IFERROR(__xludf.DUMMYFUNCTION("""COMPUTED_VALUE"""),89379.0)</f>
        <v>89379</v>
      </c>
      <c r="I213" s="1028" t="str">
        <f t="shared" si="1"/>
        <v>SINAPI-S</v>
      </c>
      <c r="J213" s="1029" t="str">
        <f t="shared" si="2"/>
        <v>LUVA DE CORRER, PVC, SOLDÁVEL, DN 25MM, INSTALADO EM RAMAL OU SUB-RAMAL DE ÁGUA - FORNECIMENTO E INSTALAÇÃO. AF_12/2014</v>
      </c>
      <c r="K213" s="1031" t="str">
        <f t="shared" si="3"/>
        <v>UN</v>
      </c>
      <c r="L213" s="1031">
        <f t="shared" si="4"/>
        <v>2</v>
      </c>
      <c r="M213" s="1031">
        <f t="shared" si="5"/>
        <v>1</v>
      </c>
      <c r="N213" s="1032">
        <f t="shared" si="6"/>
        <v>0.854667028</v>
      </c>
      <c r="O213" s="1033">
        <f t="shared" si="42"/>
        <v>1</v>
      </c>
      <c r="P213" s="1030"/>
    </row>
    <row r="214">
      <c r="A214" s="1059">
        <f>IFERROR(__xludf.DUMMYFUNCTION("""COMPUTED_VALUE"""),98297.0)</f>
        <v>98297</v>
      </c>
      <c r="B214" s="1028" t="str">
        <f>VLOOKUP(A214,'18. DADOS - HISTORICO MANUT. 20'!E:I,2,0)</f>
        <v>SINAPI-S</v>
      </c>
      <c r="C214" s="1029" t="str">
        <f>VLOOKUP(A214,'18. DADOS - HISTORICO MANUT. 20'!$E:$I,3,0)</f>
        <v>CABO ELETRÔNICO CATEGORIA 6, INSTALADO EM EDIFICAÇÃO INSTITUCIONAL - FORNECIMENTO E INSTALAÇÃO. AF_11/2019</v>
      </c>
      <c r="D214" s="1028" t="str">
        <f>VLOOKUP(A214,'18. DADOS - HISTORICO MANUT. 20'!$E:$I,4,0)</f>
        <v>M</v>
      </c>
      <c r="E214" s="1028">
        <f>SUMIF('18. DADOS - HISTORICO MANUT. 20'!E:E,A214,'18. DADOS - HISTORICO MANUT. 20'!I:I)</f>
        <v>45</v>
      </c>
      <c r="F214" s="1030"/>
      <c r="G214" s="1030"/>
      <c r="H214" s="1031">
        <f>IFERROR(__xludf.DUMMYFUNCTION("""COMPUTED_VALUE"""),89381.0)</f>
        <v>89381</v>
      </c>
      <c r="I214" s="1028" t="str">
        <f t="shared" si="1"/>
        <v>SINAPI-S</v>
      </c>
      <c r="J214" s="1029" t="str">
        <f t="shared" si="2"/>
        <v>LUVA COM BUCHA DE LATÃO, PVC, SOLDÁVEL, DN 25MM X 3/4 , INSTALADO EM RAMAL OU SUB-RAMAL DE ÁGUA - FORNECIMENTO E INSTALAÇÃO. AF_06/2022</v>
      </c>
      <c r="K214" s="1031" t="str">
        <f t="shared" si="3"/>
        <v>UN</v>
      </c>
      <c r="L214" s="1031">
        <f t="shared" si="4"/>
        <v>1</v>
      </c>
      <c r="M214" s="1031">
        <f t="shared" si="5"/>
        <v>0.5</v>
      </c>
      <c r="N214" s="1032">
        <f t="shared" si="6"/>
        <v>0.427333514</v>
      </c>
      <c r="O214" s="1033">
        <f>ROUND(N214,0)+1</f>
        <v>1</v>
      </c>
      <c r="P214" s="1030"/>
    </row>
    <row r="215">
      <c r="A215" s="1059" t="str">
        <f>IFERROR(__xludf.DUMMYFUNCTION("""COMPUTED_VALUE"""),"MAN_PR_002")</f>
        <v>MAN_PR_002</v>
      </c>
      <c r="B215" s="1028" t="str">
        <f>VLOOKUP(A215,'18. DADOS - HISTORICO MANUT. 20'!E:I,2,0)</f>
        <v>COMP.EVENTUAL</v>
      </c>
      <c r="C215" s="1029" t="str">
        <f>VLOOKUP(A215,'18. DADOS - HISTORICO MANUT. 20'!$E:$I,3,0)</f>
        <v>FORNECIMENTO E INSTALAÇÃO DE CABO DE AÇO 1/8 REVESTIDO COM PVC, TOTAL 50M, PARA PORTA BANDEIRAS</v>
      </c>
      <c r="D215" s="1028" t="str">
        <f>VLOOKUP(A215,'18. DADOS - HISTORICO MANUT. 20'!$E:$I,4,0)</f>
        <v>UN</v>
      </c>
      <c r="E215" s="1028">
        <f>SUMIF('18. DADOS - HISTORICO MANUT. 20'!E:E,A215,'18. DADOS - HISTORICO MANUT. 20'!I:I)</f>
        <v>2</v>
      </c>
      <c r="F215" s="1030"/>
      <c r="G215" s="1030"/>
      <c r="H215" s="1031">
        <f>IFERROR(__xludf.DUMMYFUNCTION("""COMPUTED_VALUE"""),5104.0)</f>
        <v>5104</v>
      </c>
      <c r="I215" s="1028" t="str">
        <f t="shared" si="1"/>
        <v>SINAPI-I</v>
      </c>
      <c r="J215" s="1029" t="str">
        <f t="shared" si="2"/>
        <v>REBITE DE ALUMINIO VAZADO DE REPUXO, 3,2 X 8 MM (1KG = 1025 UNIDADES)</v>
      </c>
      <c r="K215" s="1031" t="str">
        <f t="shared" si="3"/>
        <v>KG</v>
      </c>
      <c r="L215" s="1031">
        <f t="shared" si="4"/>
        <v>100</v>
      </c>
      <c r="M215" s="1031">
        <f t="shared" si="5"/>
        <v>50</v>
      </c>
      <c r="N215" s="1032">
        <f t="shared" si="6"/>
        <v>42.7333514</v>
      </c>
      <c r="O215" s="1033">
        <f t="shared" ref="O215:O216" si="43">ROUND(N215,0)</f>
        <v>43</v>
      </c>
      <c r="P215" s="1030"/>
    </row>
    <row r="216">
      <c r="A216" s="1059">
        <f>IFERROR(__xludf.DUMMYFUNCTION("""COMPUTED_VALUE"""),88489.0)</f>
        <v>88489</v>
      </c>
      <c r="B216" s="1028" t="str">
        <f>VLOOKUP(A216,'18. DADOS - HISTORICO MANUT. 20'!E:I,2,0)</f>
        <v>SINAPI-S</v>
      </c>
      <c r="C216" s="1029" t="str">
        <f>VLOOKUP(A216,'18. DADOS - HISTORICO MANUT. 20'!$E:$I,3,0)</f>
        <v>PINTURA LÁTEX ACRÍLICA PREMIUM, APLICAÇÃO MANUAL EM PAREDES, DUAS DEMÃOS. AF_04/2023</v>
      </c>
      <c r="D216" s="1028" t="str">
        <f>VLOOKUP(A216,'18. DADOS - HISTORICO MANUT. 20'!$E:$I,4,0)</f>
        <v>M2</v>
      </c>
      <c r="E216" s="1028">
        <f>SUMIF('18. DADOS - HISTORICO MANUT. 20'!E:E,A216,'18. DADOS - HISTORICO MANUT. 20'!I:I)</f>
        <v>50</v>
      </c>
      <c r="F216" s="1030"/>
      <c r="G216" s="1030"/>
      <c r="H216" s="1031">
        <f>IFERROR(__xludf.DUMMYFUNCTION("""COMPUTED_VALUE"""),86914.0)</f>
        <v>86914</v>
      </c>
      <c r="I216" s="1028" t="str">
        <f t="shared" si="1"/>
        <v>SINAPI-S</v>
      </c>
      <c r="J216" s="1029" t="str">
        <f t="shared" si="2"/>
        <v>TORNEIRA CROMADA 1/2_x0094_ OU 3/4_x0094_ PARA TANQUE, PADRÃO MÉDIO - FORNECIMENTO E INSTALAÇÃO. AF_01/2020</v>
      </c>
      <c r="K216" s="1031" t="str">
        <f t="shared" si="3"/>
        <v>UN</v>
      </c>
      <c r="L216" s="1031">
        <f t="shared" si="4"/>
        <v>2</v>
      </c>
      <c r="M216" s="1031">
        <f t="shared" si="5"/>
        <v>1</v>
      </c>
      <c r="N216" s="1032">
        <f t="shared" si="6"/>
        <v>0.854667028</v>
      </c>
      <c r="O216" s="1033">
        <f t="shared" si="43"/>
        <v>1</v>
      </c>
      <c r="P216" s="1030"/>
    </row>
    <row r="217">
      <c r="A217" s="1059">
        <f>IFERROR(__xludf.DUMMYFUNCTION("""COMPUTED_VALUE"""),103029.0)</f>
        <v>103029</v>
      </c>
      <c r="B217" s="1028" t="str">
        <f>VLOOKUP(A217,'18. DADOS - HISTORICO MANUT. 20'!E:I,2,0)</f>
        <v>SINAPI-S</v>
      </c>
      <c r="C217" s="1029" t="str">
        <f>VLOOKUP(A217,'18. DADOS - HISTORICO MANUT. 20'!$E:$I,3,0)</f>
        <v>REGISTRO OU REGULADOR DE GÁS DE COZINHA - FORNECIMENTO E INSTALAÇÃO. AF_08/2021</v>
      </c>
      <c r="D217" s="1028" t="str">
        <f>VLOOKUP(A217,'18. DADOS - HISTORICO MANUT. 20'!$E:$I,4,0)</f>
        <v>UN</v>
      </c>
      <c r="E217" s="1028">
        <f>SUMIF('18. DADOS - HISTORICO MANUT. 20'!E:E,A217,'18. DADOS - HISTORICO MANUT. 20'!I:I)</f>
        <v>1</v>
      </c>
      <c r="F217" s="1030"/>
      <c r="G217" s="1030"/>
      <c r="H217" s="1031">
        <f>IFERROR(__xludf.DUMMYFUNCTION("""COMPUTED_VALUE"""),94498.0)</f>
        <v>94498</v>
      </c>
      <c r="I217" s="1028" t="str">
        <f t="shared" si="1"/>
        <v>SINAPI-S</v>
      </c>
      <c r="J217" s="1029" t="str">
        <f t="shared" si="2"/>
        <v>REGISTRO DE GAVETA BRUTO, LATÃO, ROSCÁVEL, 2" - FORNECIMENTO E INSTALAÇÃO. AF_08/2021</v>
      </c>
      <c r="K217" s="1031" t="str">
        <f t="shared" si="3"/>
        <v>UN</v>
      </c>
      <c r="L217" s="1031">
        <f t="shared" si="4"/>
        <v>1</v>
      </c>
      <c r="M217" s="1031">
        <f t="shared" si="5"/>
        <v>0.5</v>
      </c>
      <c r="N217" s="1032">
        <f t="shared" si="6"/>
        <v>0.427333514</v>
      </c>
      <c r="O217" s="1033">
        <f t="shared" ref="O217:O218" si="44">ROUND(N217,0)+1</f>
        <v>1</v>
      </c>
      <c r="P217" s="1030"/>
    </row>
    <row r="218">
      <c r="A218" s="1059">
        <f>IFERROR(__xludf.DUMMYFUNCTION("""COMPUTED_VALUE"""),86887.0)</f>
        <v>86887</v>
      </c>
      <c r="B218" s="1028" t="str">
        <f>VLOOKUP(A218,'18. DADOS - HISTORICO MANUT. 20'!E:I,2,0)</f>
        <v>SINAPI-S</v>
      </c>
      <c r="C218" s="1029" t="str">
        <f>VLOOKUP(A218,'18. DADOS - HISTORICO MANUT. 20'!$E:$I,3,0)</f>
        <v>ENGATE FLEXÍVEL EM INOX, 1/2  X 40CM - FORNECIMENTO E INSTALAÇÃO. AF_01/2020</v>
      </c>
      <c r="D218" s="1028" t="str">
        <f>VLOOKUP(A218,'18. DADOS - HISTORICO MANUT. 20'!$E:$I,4,0)</f>
        <v>UN</v>
      </c>
      <c r="E218" s="1028">
        <f>SUMIF('18. DADOS - HISTORICO MANUT. 20'!E:E,A218,'18. DADOS - HISTORICO MANUT. 20'!I:I)</f>
        <v>11</v>
      </c>
      <c r="F218" s="1030"/>
      <c r="G218" s="1030"/>
      <c r="H218" s="1031">
        <f>IFERROR(__xludf.DUMMYFUNCTION("""COMPUTED_VALUE"""),94975.0)</f>
        <v>94975</v>
      </c>
      <c r="I218" s="1028" t="str">
        <f t="shared" si="1"/>
        <v>SINAPI-S</v>
      </c>
      <c r="J218" s="1029" t="str">
        <f t="shared" si="2"/>
        <v>CONCRETO FCK = 15MPA, TRAÇO 1:3,4:3,5 (EM MASSA SECA DE CIMENTO/ AREIA MÉDIA/ BRITA 1) - PREPARO MANUAL. AF_05/2021</v>
      </c>
      <c r="K218" s="1031" t="str">
        <f t="shared" si="3"/>
        <v>M3</v>
      </c>
      <c r="L218" s="1031">
        <f t="shared" si="4"/>
        <v>1</v>
      </c>
      <c r="M218" s="1031">
        <f t="shared" si="5"/>
        <v>0.5</v>
      </c>
      <c r="N218" s="1032">
        <f t="shared" si="6"/>
        <v>0.427333514</v>
      </c>
      <c r="O218" s="1033">
        <f t="shared" si="44"/>
        <v>1</v>
      </c>
      <c r="P218" s="1030"/>
    </row>
    <row r="219">
      <c r="A219" s="1059">
        <f>IFERROR(__xludf.DUMMYFUNCTION("""COMPUTED_VALUE"""),98546.0)</f>
        <v>98546</v>
      </c>
      <c r="B219" s="1028" t="str">
        <f>VLOOKUP(A219,'18. DADOS - HISTORICO MANUT. 20'!E:I,2,0)</f>
        <v>SINAPI-S</v>
      </c>
      <c r="C219" s="1029" t="str">
        <f>VLOOKUP(A219,'18. DADOS - HISTORICO MANUT. 20'!$E:$I,3,0)</f>
        <v>IMPERMEABILIZAÇÃO DE SUPERFÍCIE COM MANTA ASFÁLTICA, UMA CAMADA, INCLUSIVE APLICAÇÃO DE PRIMER ASFÁLTICO, E=3MM. AF_06/2018</v>
      </c>
      <c r="D219" s="1028" t="str">
        <f>VLOOKUP(A219,'18. DADOS - HISTORICO MANUT. 20'!$E:$I,4,0)</f>
        <v>M2</v>
      </c>
      <c r="E219" s="1028">
        <f>SUMIF('18. DADOS - HISTORICO MANUT. 20'!E:E,A219,'18. DADOS - HISTORICO MANUT. 20'!I:I)</f>
        <v>5</v>
      </c>
      <c r="F219" s="1030"/>
      <c r="G219" s="1030"/>
      <c r="H219" s="1031">
        <f>IFERROR(__xludf.DUMMYFUNCTION("""COMPUTED_VALUE"""),101883.0)</f>
        <v>101883</v>
      </c>
      <c r="I219" s="1028" t="str">
        <f t="shared" si="1"/>
        <v>SINAPI-S</v>
      </c>
      <c r="J219" s="1029" t="str">
        <f t="shared" si="2"/>
        <v>QUADRO DE DISTRIBUIÇÃO DE ENERGIA EM CHAPA DE AÇO GALVANIZADO, DE EMBUTIR, COM BARRAMENTO TRIFÁSICO, PARA 18 DISJUNTORES DIN 100A - FORNECIMENTO E INSTALAÇÃO. AF_10/2020</v>
      </c>
      <c r="K219" s="1031" t="str">
        <f t="shared" si="3"/>
        <v>UN</v>
      </c>
      <c r="L219" s="1031">
        <f t="shared" si="4"/>
        <v>2</v>
      </c>
      <c r="M219" s="1031">
        <f t="shared" si="5"/>
        <v>1</v>
      </c>
      <c r="N219" s="1032">
        <f t="shared" si="6"/>
        <v>0.854667028</v>
      </c>
      <c r="O219" s="1033">
        <f t="shared" ref="O219:O220" si="45">ROUND(N219,0)</f>
        <v>1</v>
      </c>
      <c r="P219" s="1030"/>
    </row>
    <row r="220">
      <c r="A220" s="1059" t="str">
        <f>IFERROR(__xludf.DUMMYFUNCTION("""COMPUTED_VALUE"""),"MAN_PR_001")</f>
        <v>MAN_PR_001</v>
      </c>
      <c r="B220" s="1028" t="str">
        <f>VLOOKUP(A220,'18. DADOS - HISTORICO MANUT. 20'!E:I,2,0)</f>
        <v>COMP.EVENTUAL</v>
      </c>
      <c r="C220" s="1029" t="str">
        <f>VLOOKUP(A220,'18. DADOS - HISTORICO MANUT. 20'!$E:$I,3,0)</f>
        <v>FORNECIMENTO E INSTALAÇÃO DE SUPORTE DE PAREDE FIXO PARA TV E MONITOR DE 32 À 80 POLEGADAS</v>
      </c>
      <c r="D220" s="1028" t="str">
        <f>VLOOKUP(A220,'18. DADOS - HISTORICO MANUT. 20'!$E:$I,4,0)</f>
        <v>UN</v>
      </c>
      <c r="E220" s="1028">
        <f>SUMIF('18. DADOS - HISTORICO MANUT. 20'!E:E,A220,'18. DADOS - HISTORICO MANUT. 20'!I:I)</f>
        <v>2</v>
      </c>
      <c r="F220" s="1030"/>
      <c r="G220" s="1030"/>
      <c r="H220" s="1031">
        <f>IFERROR(__xludf.DUMMYFUNCTION("""COMPUTED_VALUE"""),102163.0)</f>
        <v>102163</v>
      </c>
      <c r="I220" s="1028" t="str">
        <f t="shared" si="1"/>
        <v>SINAPI-S</v>
      </c>
      <c r="J220" s="1029" t="str">
        <f t="shared" si="2"/>
        <v>INSTALAÇÃO DE VIDRO LISO FUME, E = 4 MM, EM ESQUADRIA DE ALUMÍNIO OU PVC, FIXADO COM BAGUETE. AF_01/2021_PS</v>
      </c>
      <c r="K220" s="1031" t="str">
        <f t="shared" si="3"/>
        <v>M2</v>
      </c>
      <c r="L220" s="1031">
        <f t="shared" si="4"/>
        <v>2</v>
      </c>
      <c r="M220" s="1031">
        <f t="shared" si="5"/>
        <v>1</v>
      </c>
      <c r="N220" s="1032">
        <f t="shared" si="6"/>
        <v>0.854667028</v>
      </c>
      <c r="O220" s="1033">
        <f t="shared" si="45"/>
        <v>1</v>
      </c>
      <c r="P220" s="1030"/>
    </row>
    <row r="221">
      <c r="A221" s="1059">
        <f>IFERROR(__xludf.DUMMYFUNCTION("""COMPUTED_VALUE"""),86883.0)</f>
        <v>86883</v>
      </c>
      <c r="B221" s="1028" t="str">
        <f>VLOOKUP(A221,'18. DADOS - HISTORICO MANUT. 20'!E:I,2,0)</f>
        <v>SINAPI-S</v>
      </c>
      <c r="C221" s="1029" t="str">
        <f>VLOOKUP(A221,'18. DADOS - HISTORICO MANUT. 20'!$E:$I,3,0)</f>
        <v>SIFÃO DO TIPO FLEXÍVEL EM PVC 1  X 1.1/2  - FORNECIMENTO E INSTALAÇÃO. AF_01/2020</v>
      </c>
      <c r="D221" s="1028" t="str">
        <f>VLOOKUP(A221,'18. DADOS - HISTORICO MANUT. 20'!$E:$I,4,0)</f>
        <v>UN</v>
      </c>
      <c r="E221" s="1028">
        <f>SUMIF('18. DADOS - HISTORICO MANUT. 20'!E:E,A221,'18. DADOS - HISTORICO MANUT. 20'!I:I)</f>
        <v>26</v>
      </c>
      <c r="F221" s="1030"/>
      <c r="G221" s="1030"/>
      <c r="H221" s="1031" t="str">
        <f>IFERROR(__xludf.DUMMYFUNCTION("""COMPUTED_VALUE"""),"MAN_PR_063")</f>
        <v>MAN_PR_063</v>
      </c>
      <c r="I221" s="1028" t="str">
        <f t="shared" si="1"/>
        <v>COMP.EVENTUAL</v>
      </c>
      <c r="J221" s="1029" t="str">
        <f t="shared" si="2"/>
        <v>CERCA ELÉTRICA INDUSTRIAL INCLUSIVE FIXAÇÃO, CENTRAL DE CHOQUE, BATERIA, SIRENE,HASTES, ATERRAMENTO, FIOS E PLACAS DE ATENÇÃO</v>
      </c>
      <c r="K221" s="1031" t="str">
        <f t="shared" si="3"/>
        <v>M</v>
      </c>
      <c r="L221" s="1031">
        <f t="shared" si="4"/>
        <v>1</v>
      </c>
      <c r="M221" s="1031">
        <f t="shared" si="5"/>
        <v>0.5</v>
      </c>
      <c r="N221" s="1032">
        <f t="shared" si="6"/>
        <v>0.427333514</v>
      </c>
      <c r="O221" s="1033">
        <f>ROUND(N221,0)+1</f>
        <v>1</v>
      </c>
      <c r="P221" s="1030"/>
    </row>
    <row r="222">
      <c r="A222" s="1059">
        <f>IFERROR(__xludf.DUMMYFUNCTION("""COMPUTED_VALUE"""),93666.0)</f>
        <v>93666</v>
      </c>
      <c r="B222" s="1028" t="str">
        <f>VLOOKUP(A222,'18. DADOS - HISTORICO MANUT. 20'!E:I,2,0)</f>
        <v>SINAPI-S</v>
      </c>
      <c r="C222" s="1029" t="str">
        <f>VLOOKUP(A222,'18. DADOS - HISTORICO MANUT. 20'!$E:$I,3,0)</f>
        <v>DISJUNTOR BIPOLAR TIPO DIN, CORRENTE NOMINAL DE 50A - FORNECIMENTO E INSTALAÇÃO. AF_10/2020</v>
      </c>
      <c r="D222" s="1028" t="str">
        <f>VLOOKUP(A222,'18. DADOS - HISTORICO MANUT. 20'!$E:$I,4,0)</f>
        <v>UN</v>
      </c>
      <c r="E222" s="1028">
        <f>SUMIF('18. DADOS - HISTORICO MANUT. 20'!E:E,A222,'18. DADOS - HISTORICO MANUT. 20'!I:I)</f>
        <v>2</v>
      </c>
      <c r="F222" s="1030"/>
      <c r="G222" s="1030"/>
      <c r="H222" s="1031">
        <f>IFERROR(__xludf.DUMMYFUNCTION("""COMPUTED_VALUE"""),87398.0)</f>
        <v>87398</v>
      </c>
      <c r="I222" s="1028" t="str">
        <f t="shared" si="1"/>
        <v>SINAPI-S</v>
      </c>
      <c r="J222" s="1029" t="str">
        <f t="shared" si="2"/>
        <v>ARGAMASSA INDUSTRIALIZADA MULTIUSO PARA REVESTIMENTOS E ASSENTAMENTO DA ALVENARIA, PREPARO MANUAL. AF_08/2019</v>
      </c>
      <c r="K222" s="1031" t="str">
        <f t="shared" si="3"/>
        <v>M3</v>
      </c>
      <c r="L222" s="1031">
        <f t="shared" si="4"/>
        <v>2</v>
      </c>
      <c r="M222" s="1031">
        <f t="shared" si="5"/>
        <v>1</v>
      </c>
      <c r="N222" s="1032">
        <f t="shared" si="6"/>
        <v>0.854667028</v>
      </c>
      <c r="O222" s="1033">
        <f t="shared" ref="O222:O225" si="46">ROUND(N222,0)</f>
        <v>1</v>
      </c>
      <c r="P222" s="1030"/>
    </row>
    <row r="223">
      <c r="A223" s="1059">
        <f>IFERROR(__xludf.DUMMYFUNCTION("""COMPUTED_VALUE"""),99624.0)</f>
        <v>99624</v>
      </c>
      <c r="B223" s="1028" t="str">
        <f>VLOOKUP(A223,'18. DADOS - HISTORICO MANUT. 20'!E:I,2,0)</f>
        <v>SINAPI-S</v>
      </c>
      <c r="C223" s="1029" t="str">
        <f>VLOOKUP(A223,'18. DADOS - HISTORICO MANUT. 20'!$E:$I,3,0)</f>
        <v>VÁLVULA DE RETENÇÃO HORIZONTAL, DE BRONZE, ROSCÁVEL, 2 1/2" - FORNECIMENTO E INSTALAÇÃO. AF_08/2021</v>
      </c>
      <c r="D223" s="1028" t="str">
        <f>VLOOKUP(A223,'18. DADOS - HISTORICO MANUT. 20'!$E:$I,4,0)</f>
        <v>UN</v>
      </c>
      <c r="E223" s="1028">
        <f>SUMIF('18. DADOS - HISTORICO MANUT. 20'!E:E,A223,'18. DADOS - HISTORICO MANUT. 20'!I:I)</f>
        <v>1</v>
      </c>
      <c r="F223" s="1030"/>
      <c r="G223" s="1030"/>
      <c r="H223" s="1031">
        <f>IFERROR(__xludf.DUMMYFUNCTION("""COMPUTED_VALUE"""),5795.0)</f>
        <v>5795</v>
      </c>
      <c r="I223" s="1028" t="str">
        <f t="shared" si="1"/>
        <v>SINAPI-S</v>
      </c>
      <c r="J223" s="1029" t="str">
        <f t="shared" si="2"/>
        <v>MARTELETE OU ROMPEDOR PNEUMÁTICO MANUAL, 28 KG, COM SILENCIADOR - CHP DIURNO. AF_07/2016</v>
      </c>
      <c r="K223" s="1031" t="str">
        <f t="shared" si="3"/>
        <v>CHP</v>
      </c>
      <c r="L223" s="1031">
        <f t="shared" si="4"/>
        <v>3</v>
      </c>
      <c r="M223" s="1031">
        <f t="shared" si="5"/>
        <v>1.5</v>
      </c>
      <c r="N223" s="1032">
        <f t="shared" si="6"/>
        <v>1.282000542</v>
      </c>
      <c r="O223" s="1033">
        <f t="shared" si="46"/>
        <v>1</v>
      </c>
      <c r="P223" s="1030"/>
    </row>
    <row r="224">
      <c r="A224" s="1059">
        <f>IFERROR(__xludf.DUMMYFUNCTION("""COMPUTED_VALUE"""),101902.0)</f>
        <v>101902</v>
      </c>
      <c r="B224" s="1028" t="str">
        <f>VLOOKUP(A224,'18. DADOS - HISTORICO MANUT. 20'!E:I,2,0)</f>
        <v>SINAPI-S</v>
      </c>
      <c r="C224" s="1029" t="str">
        <f>VLOOKUP(A224,'18. DADOS - HISTORICO MANUT. 20'!$E:$I,3,0)</f>
        <v>CONTATOR TRIPOLAR I NOMINAL 22A - FORNECIMENTO E INSTALAÇÃO. AF_10/2020</v>
      </c>
      <c r="D224" s="1028" t="str">
        <f>VLOOKUP(A224,'18. DADOS - HISTORICO MANUT. 20'!$E:$I,4,0)</f>
        <v>UN</v>
      </c>
      <c r="E224" s="1028">
        <f>SUMIF('18. DADOS - HISTORICO MANUT. 20'!E:E,A224,'18. DADOS - HISTORICO MANUT. 20'!I:I)</f>
        <v>2</v>
      </c>
      <c r="F224" s="1030"/>
      <c r="G224" s="1030"/>
      <c r="H224" s="1031">
        <f>IFERROR(__xludf.DUMMYFUNCTION("""COMPUTED_VALUE"""),102608.0)</f>
        <v>102608</v>
      </c>
      <c r="I224" s="1028" t="str">
        <f t="shared" si="1"/>
        <v>SINAPI-S</v>
      </c>
      <c r="J224" s="1029" t="str">
        <f t="shared" si="2"/>
        <v>CAIXA D´ÁGUA EM POLIETILENO, 1500 LITROS - FORNECIMENTO E INSTALAÇÃO. AF_06/2021</v>
      </c>
      <c r="K224" s="1031" t="str">
        <f t="shared" si="3"/>
        <v>UN</v>
      </c>
      <c r="L224" s="1031">
        <f t="shared" si="4"/>
        <v>2</v>
      </c>
      <c r="M224" s="1031">
        <f t="shared" si="5"/>
        <v>1</v>
      </c>
      <c r="N224" s="1032">
        <f t="shared" si="6"/>
        <v>0.854667028</v>
      </c>
      <c r="O224" s="1033">
        <f t="shared" si="46"/>
        <v>1</v>
      </c>
      <c r="P224" s="1030"/>
    </row>
    <row r="225">
      <c r="A225" s="1059" t="str">
        <f>IFERROR(__xludf.DUMMYFUNCTION("""COMPUTED_VALUE"""),"MAN_PR_070")</f>
        <v>MAN_PR_070</v>
      </c>
      <c r="B225" s="1028" t="str">
        <f>VLOOKUP(A225,'18. DADOS - HISTORICO MANUT. 20'!E:I,2,0)</f>
        <v>COMP.EVENTUAL</v>
      </c>
      <c r="C225" s="1029" t="str">
        <f>VLOOKUP(A225,'18. DADOS - HISTORICO MANUT. 20'!$E:$I,3,0)</f>
        <v>FORNECIMENTO E INSTALAÇÃO DE RELÊ TÉRMICO BIMETAL PARA USO EM MOTORES TRIFÁSICOS, TENSÃO 380V, POTÊNCIA DE ATÉ 15 CV, CORRENTE NOMINAL MÁXIMA DE 22A</v>
      </c>
      <c r="D225" s="1028" t="str">
        <f>VLOOKUP(A225,'18. DADOS - HISTORICO MANUT. 20'!$E:$I,4,0)</f>
        <v>UN</v>
      </c>
      <c r="E225" s="1028">
        <f>SUMIF('18. DADOS - HISTORICO MANUT. 20'!E:E,A225,'18. DADOS - HISTORICO MANUT. 20'!I:I)</f>
        <v>12</v>
      </c>
      <c r="F225" s="1030"/>
      <c r="G225" s="1030"/>
      <c r="H225" s="1031">
        <f>IFERROR(__xludf.DUMMYFUNCTION("""COMPUTED_VALUE"""),89724.0)</f>
        <v>89724</v>
      </c>
      <c r="I225" s="1028" t="str">
        <f t="shared" si="1"/>
        <v>SINAPI-S</v>
      </c>
      <c r="J225" s="1029" t="str">
        <f t="shared" si="2"/>
        <v>JOELHO 90 GRAUS, PVC, SERIE NORMAL, ESGOTO PREDIAL, DN 40 MM, JUNTA SOLDÁVEL, FORNECIDO E INSTALADO EM RAMAL DE DESCARGA OU RAMAL DE ESGOTO SANITÁRIO. AF_08/2022</v>
      </c>
      <c r="K225" s="1031" t="str">
        <f t="shared" si="3"/>
        <v>UN</v>
      </c>
      <c r="L225" s="1031">
        <f t="shared" si="4"/>
        <v>2</v>
      </c>
      <c r="M225" s="1031">
        <f t="shared" si="5"/>
        <v>1</v>
      </c>
      <c r="N225" s="1032">
        <f t="shared" si="6"/>
        <v>0.854667028</v>
      </c>
      <c r="O225" s="1033">
        <f t="shared" si="46"/>
        <v>1</v>
      </c>
      <c r="P225" s="1030"/>
    </row>
    <row r="226">
      <c r="A226" s="1059">
        <f>IFERROR(__xludf.DUMMYFUNCTION("""COMPUTED_VALUE"""),104476.0)</f>
        <v>104476</v>
      </c>
      <c r="B226" s="1028" t="str">
        <f>VLOOKUP(A226,'18. DADOS - HISTORICO MANUT. 20'!E:I,2,0)</f>
        <v>SINAPI-S</v>
      </c>
      <c r="C226" s="1029" t="str">
        <f>VLOOKUP(A226,'18. DADOS - HISTORICO MANUT. 20'!$E:$I,3,0)</f>
        <v>COMPOSIÇÃO PARAMÉTRICA DE PONTO ELÉTRICO DE TOMADA DE USO ESPECÍFICO 2P+T (20A/250V) EM EDIFÍCIO RESIDENCIAL COM ELETRODUTO EMBUTIDO EM RASGOS NAS PAREDES, INCLUSO TOMADA, ELETRODUTO, CABO, RASGO, QUEBRA E CHUMBAMENTO (EXCETO CHUVEIRO). AF_11/2022</v>
      </c>
      <c r="D226" s="1028" t="str">
        <f>VLOOKUP(A226,'18. DADOS - HISTORICO MANUT. 20'!$E:$I,4,0)</f>
        <v>UN</v>
      </c>
      <c r="E226" s="1028">
        <f>SUMIF('18. DADOS - HISTORICO MANUT. 20'!E:E,A226,'18. DADOS - HISTORICO MANUT. 20'!I:I)</f>
        <v>1</v>
      </c>
      <c r="F226" s="1030"/>
      <c r="G226" s="1030"/>
      <c r="H226" s="1031">
        <f>IFERROR(__xludf.DUMMYFUNCTION("""COMPUTED_VALUE"""),98110.0)</f>
        <v>98110</v>
      </c>
      <c r="I226" s="1028" t="str">
        <f t="shared" si="1"/>
        <v>SINAPI-S</v>
      </c>
      <c r="J226" s="1029" t="str">
        <f t="shared" si="2"/>
        <v>CAIXA DE GORDURA PEQUENA (CAPACIDADE: 19 L), CIRCULAR, EM PVC, DIÂMETRO INTERNO= 0,3 M. AF_12/2020</v>
      </c>
      <c r="K226" s="1031" t="str">
        <f t="shared" si="3"/>
        <v>UN</v>
      </c>
      <c r="L226" s="1031">
        <f t="shared" si="4"/>
        <v>1</v>
      </c>
      <c r="M226" s="1031">
        <f t="shared" si="5"/>
        <v>0.5</v>
      </c>
      <c r="N226" s="1032">
        <f t="shared" si="6"/>
        <v>0.427333514</v>
      </c>
      <c r="O226" s="1033">
        <f>ROUND(N226,0)+1</f>
        <v>1</v>
      </c>
      <c r="P226" s="1030"/>
    </row>
    <row r="227">
      <c r="A227" s="1059" t="str">
        <f>IFERROR(__xludf.DUMMYFUNCTION("""COMPUTED_VALUE"""),"MAN_PR_071")</f>
        <v>MAN_PR_071</v>
      </c>
      <c r="B227" s="1028" t="str">
        <f>VLOOKUP(A227,'18. DADOS - HISTORICO MANUT. 20'!E:I,2,0)</f>
        <v>COMP.EVENTUAL</v>
      </c>
      <c r="C227" s="1029" t="str">
        <f>VLOOKUP(A227,'18. DADOS - HISTORICO MANUT. 20'!$E:$I,3,0)</f>
        <v>FORNECIMENTO E INSTALAÇÃO DE REFLETOR LED 5OW DE POTÊNCIA, BRANCO FRIO, 6500K, BIVOLT</v>
      </c>
      <c r="D227" s="1028" t="str">
        <f>VLOOKUP(A227,'18. DADOS - HISTORICO MANUT. 20'!$E:$I,4,0)</f>
        <v>UN</v>
      </c>
      <c r="E227" s="1028">
        <f>SUMIF('18. DADOS - HISTORICO MANUT. 20'!E:E,A227,'18. DADOS - HISTORICO MANUT. 20'!I:I)</f>
        <v>10</v>
      </c>
      <c r="F227" s="1030"/>
      <c r="G227" s="1030"/>
      <c r="H227" s="1031">
        <f>IFERROR(__xludf.DUMMYFUNCTION("""COMPUTED_VALUE"""),104395.0)</f>
        <v>104395</v>
      </c>
      <c r="I227" s="1028" t="str">
        <f t="shared" si="1"/>
        <v>SINAPI-S</v>
      </c>
      <c r="J227" s="1029" t="str">
        <f t="shared" si="2"/>
        <v>CONDULETE DE PVC, TIPO E, PARA ELETRODUTO DE PVC SOLDÁVEL DN 20 MM (1/2''), APARENTE - FORNECIMENTO E INSTALAÇÃO. AF_10/2022</v>
      </c>
      <c r="K227" s="1031" t="str">
        <f t="shared" si="3"/>
        <v>UN</v>
      </c>
      <c r="L227" s="1031">
        <f t="shared" si="4"/>
        <v>4</v>
      </c>
      <c r="M227" s="1031">
        <f t="shared" si="5"/>
        <v>2</v>
      </c>
      <c r="N227" s="1032">
        <f t="shared" si="6"/>
        <v>1.709334056</v>
      </c>
      <c r="O227" s="1033">
        <f t="shared" ref="O227:O232" si="47">ROUND(N227,0)</f>
        <v>2</v>
      </c>
      <c r="P227" s="1030"/>
    </row>
    <row r="228">
      <c r="A228" s="1059" t="str">
        <f>IFERROR(__xludf.DUMMYFUNCTION("""COMPUTED_VALUE"""),"MAN_PR_018")</f>
        <v>MAN_PR_018</v>
      </c>
      <c r="B228" s="1028" t="str">
        <f>VLOOKUP(A228,'18. DADOS - HISTORICO MANUT. 20'!E:I,2,0)</f>
        <v>COMP.EVENTUAL</v>
      </c>
      <c r="C228" s="1029" t="str">
        <f>VLOOKUP(A228,'18. DADOS - HISTORICO MANUT. 20'!$E:$I,3,0)</f>
        <v>FORNECIMENTO E INSTALAÇÃO DE PLACA CENTRAL DE COMANDO UNIVERSAL X2 FULL ST IPEC PARA AUTOMATIZADORES</v>
      </c>
      <c r="D228" s="1028" t="str">
        <f>VLOOKUP(A228,'18. DADOS - HISTORICO MANUT. 20'!$E:$I,4,0)</f>
        <v>UN</v>
      </c>
      <c r="E228" s="1028">
        <f>SUMIF('18. DADOS - HISTORICO MANUT. 20'!E:E,A228,'18. DADOS - HISTORICO MANUT. 20'!I:I)</f>
        <v>1</v>
      </c>
      <c r="F228" s="1030"/>
      <c r="G228" s="1030"/>
      <c r="H228" s="1031">
        <f>IFERROR(__xludf.DUMMYFUNCTION("""COMPUTED_VALUE"""),91884.0)</f>
        <v>91884</v>
      </c>
      <c r="I228" s="1028" t="str">
        <f t="shared" si="1"/>
        <v>SINAPI-S</v>
      </c>
      <c r="J228" s="1029" t="str">
        <f t="shared" si="2"/>
        <v>LUVA PARA ELETRODUTO, PVC, ROSCÁVEL, DN 25 MM (3/4"), PARA CIRCUITOS TERMINAIS, INSTALADA EM PAREDE - FORNECIMENTO E INSTALAÇÃO. AF_03/2023</v>
      </c>
      <c r="K228" s="1031" t="str">
        <f t="shared" si="3"/>
        <v>UN</v>
      </c>
      <c r="L228" s="1031">
        <f t="shared" si="4"/>
        <v>4</v>
      </c>
      <c r="M228" s="1031">
        <f t="shared" si="5"/>
        <v>2</v>
      </c>
      <c r="N228" s="1032">
        <f t="shared" si="6"/>
        <v>1.709334056</v>
      </c>
      <c r="O228" s="1033">
        <f t="shared" si="47"/>
        <v>2</v>
      </c>
      <c r="P228" s="1030"/>
    </row>
    <row r="229">
      <c r="A229" s="1059" t="str">
        <f>IFERROR(__xludf.DUMMYFUNCTION("""COMPUTED_VALUE"""),"MAN_PR_056")</f>
        <v>MAN_PR_056</v>
      </c>
      <c r="B229" s="1028" t="str">
        <f>VLOOKUP(A229,'18. DADOS - HISTORICO MANUT. 20'!E:I,2,0)</f>
        <v>COMP.EVENTUAL</v>
      </c>
      <c r="C229" s="1029" t="str">
        <f>VLOOKUP(A229,'18. DADOS - HISTORICO MANUT. 20'!$E:$I,3,0)</f>
        <v>FORNECIMENTO E INSTALAÇÃO DE ADAPTADOR DE PORCELANA PARA LÂMPADA BASE E40 PARA E27</v>
      </c>
      <c r="D229" s="1028" t="str">
        <f>VLOOKUP(A229,'18. DADOS - HISTORICO MANUT. 20'!$E:$I,4,0)</f>
        <v>UN</v>
      </c>
      <c r="E229" s="1028">
        <f>SUMIF('18. DADOS - HISTORICO MANUT. 20'!E:E,A229,'18. DADOS - HISTORICO MANUT. 20'!I:I)</f>
        <v>41</v>
      </c>
      <c r="F229" s="1030"/>
      <c r="G229" s="1030"/>
      <c r="H229" s="1031" t="str">
        <f>IFERROR(__xludf.DUMMYFUNCTION("""COMPUTED_VALUE"""),"MAN_PR_060")</f>
        <v>MAN_PR_060</v>
      </c>
      <c r="I229" s="1028" t="str">
        <f t="shared" si="1"/>
        <v>COMP.EVENTUAL</v>
      </c>
      <c r="J229" s="1029" t="str">
        <f t="shared" si="2"/>
        <v>CONECTOR PARA CABOS 4MM2 3 VIAS. REF. WAGO 221-413 OU SIMILAR</v>
      </c>
      <c r="K229" s="1031" t="str">
        <f t="shared" si="3"/>
        <v>UN</v>
      </c>
      <c r="L229" s="1031">
        <f t="shared" si="4"/>
        <v>100</v>
      </c>
      <c r="M229" s="1031">
        <f t="shared" si="5"/>
        <v>50</v>
      </c>
      <c r="N229" s="1032">
        <f t="shared" si="6"/>
        <v>42.7333514</v>
      </c>
      <c r="O229" s="1033">
        <f t="shared" si="47"/>
        <v>43</v>
      </c>
      <c r="P229" s="1030"/>
    </row>
    <row r="230">
      <c r="A230" s="1059">
        <f>IFERROR(__xludf.DUMMYFUNCTION("""COMPUTED_VALUE"""),97599.0)</f>
        <v>97599</v>
      </c>
      <c r="B230" s="1028" t="str">
        <f>VLOOKUP(A230,'18. DADOS - HISTORICO MANUT. 20'!E:I,2,0)</f>
        <v>SINAPI-S</v>
      </c>
      <c r="C230" s="1029" t="str">
        <f>VLOOKUP(A230,'18. DADOS - HISTORICO MANUT. 20'!$E:$I,3,0)</f>
        <v>LUMINÁRIA DE EMERGÊNCIA, COM 30 LÂMPADAS LED DE 2 W, SEM REATOR - FORNECIMENTO E INSTALAÇÃO. AF_02/2020</v>
      </c>
      <c r="D230" s="1028" t="str">
        <f>VLOOKUP(A230,'18. DADOS - HISTORICO MANUT. 20'!$E:$I,4,0)</f>
        <v>UN</v>
      </c>
      <c r="E230" s="1028">
        <f>SUMIF('18. DADOS - HISTORICO MANUT. 20'!E:E,A230,'18. DADOS - HISTORICO MANUT. 20'!I:I)</f>
        <v>2</v>
      </c>
      <c r="F230" s="1030"/>
      <c r="G230" s="1030"/>
      <c r="H230" s="1031" t="str">
        <f>IFERROR(__xludf.DUMMYFUNCTION("""COMPUTED_VALUE"""),"MAN_PR_064")</f>
        <v>MAN_PR_064</v>
      </c>
      <c r="I230" s="1028" t="str">
        <f t="shared" si="1"/>
        <v>COMP.EVENTUAL</v>
      </c>
      <c r="J230" s="1029" t="str">
        <f t="shared" si="2"/>
        <v>FORNECIMENTO E INSTALAÇÃO DE CABO DE COBRE PP CORDPLAST 3 X 4,0MM2, 450/750V</v>
      </c>
      <c r="K230" s="1031" t="str">
        <f t="shared" si="3"/>
        <v>M</v>
      </c>
      <c r="L230" s="1031">
        <f t="shared" si="4"/>
        <v>10</v>
      </c>
      <c r="M230" s="1031">
        <f t="shared" si="5"/>
        <v>5</v>
      </c>
      <c r="N230" s="1032">
        <f t="shared" si="6"/>
        <v>4.27333514</v>
      </c>
      <c r="O230" s="1033">
        <f t="shared" si="47"/>
        <v>4</v>
      </c>
      <c r="P230" s="1030"/>
    </row>
    <row r="231">
      <c r="A231" s="1059" t="str">
        <f>IFERROR(__xludf.DUMMYFUNCTION("""COMPUTED_VALUE"""),"MAN_PR_027")</f>
        <v>MAN_PR_027</v>
      </c>
      <c r="B231" s="1028" t="str">
        <f>VLOOKUP(A231,'18. DADOS - HISTORICO MANUT. 20'!E:I,2,0)</f>
        <v>COMP.EVENTUAL</v>
      </c>
      <c r="C231" s="1029" t="str">
        <f>VLOOKUP(A231,'18. DADOS - HISTORICO MANUT. 20'!$E:$I,3,0)</f>
        <v>SUBSTITUIÇÃO DE PLUGUE 2P+T DE 20A, 250V</v>
      </c>
      <c r="D231" s="1028" t="str">
        <f>VLOOKUP(A231,'18. DADOS - HISTORICO MANUT. 20'!$E:$I,4,0)</f>
        <v>UN</v>
      </c>
      <c r="E231" s="1028">
        <f>SUMIF('18. DADOS - HISTORICO MANUT. 20'!E:E,A231,'18. DADOS - HISTORICO MANUT. 20'!I:I)</f>
        <v>41</v>
      </c>
      <c r="F231" s="1030"/>
      <c r="G231" s="1030"/>
      <c r="H231" s="1031">
        <f>IFERROR(__xludf.DUMMYFUNCTION("""COMPUTED_VALUE"""),3777.0)</f>
        <v>3777</v>
      </c>
      <c r="I231" s="1028" t="str">
        <f t="shared" si="1"/>
        <v>SINAPI-I</v>
      </c>
      <c r="J231" s="1029" t="str">
        <f t="shared" si="2"/>
        <v>LONA PLASTICA PESADA PRETA, E = 150 MICRA</v>
      </c>
      <c r="K231" s="1031" t="str">
        <f t="shared" si="3"/>
        <v>M2</v>
      </c>
      <c r="L231" s="1031">
        <f t="shared" si="4"/>
        <v>100</v>
      </c>
      <c r="M231" s="1031">
        <f t="shared" si="5"/>
        <v>50</v>
      </c>
      <c r="N231" s="1032">
        <f t="shared" si="6"/>
        <v>42.7333514</v>
      </c>
      <c r="O231" s="1033">
        <f t="shared" si="47"/>
        <v>43</v>
      </c>
      <c r="P231" s="1030"/>
    </row>
    <row r="232">
      <c r="A232" s="1059">
        <f>IFERROR(__xludf.DUMMYFUNCTION("""COMPUTED_VALUE"""),94796.0)</f>
        <v>94796</v>
      </c>
      <c r="B232" s="1028" t="str">
        <f>VLOOKUP(A232,'18. DADOS - HISTORICO MANUT. 20'!E:I,2,0)</f>
        <v>SINAPI-S</v>
      </c>
      <c r="C232" s="1029" t="str">
        <f>VLOOKUP(A232,'18. DADOS - HISTORICO MANUT. 20'!$E:$I,3,0)</f>
        <v>TORNEIRA DE BOIA PARA CAIXA D'ÁGUA, ROSCÁVEL, 3/4" - FORNECIMENTO E INSTALAÇÃO. AF_08/2021</v>
      </c>
      <c r="D232" s="1028" t="str">
        <f>VLOOKUP(A232,'18. DADOS - HISTORICO MANUT. 20'!$E:$I,4,0)</f>
        <v>UN</v>
      </c>
      <c r="E232" s="1028">
        <f>SUMIF('18. DADOS - HISTORICO MANUT. 20'!E:E,A232,'18. DADOS - HISTORICO MANUT. 20'!I:I)</f>
        <v>1</v>
      </c>
      <c r="F232" s="1030"/>
      <c r="G232" s="1030"/>
      <c r="H232" s="1031">
        <f>IFERROR(__xludf.DUMMYFUNCTION("""COMPUTED_VALUE"""),92273.0)</f>
        <v>92273</v>
      </c>
      <c r="I232" s="1028" t="str">
        <f t="shared" si="1"/>
        <v>SINAPI-S</v>
      </c>
      <c r="J232" s="1029" t="str">
        <f t="shared" si="2"/>
        <v>FABRICAÇÃO DE ESCORAS DO TIPO PONTALETE, EM MADEIRA, PARA PÉ-DIREITO SIMPLES. AF_09/2020</v>
      </c>
      <c r="K232" s="1031" t="str">
        <f t="shared" si="3"/>
        <v>M</v>
      </c>
      <c r="L232" s="1031">
        <f t="shared" si="4"/>
        <v>180</v>
      </c>
      <c r="M232" s="1031">
        <f t="shared" si="5"/>
        <v>90</v>
      </c>
      <c r="N232" s="1032">
        <f t="shared" si="6"/>
        <v>76.92003252</v>
      </c>
      <c r="O232" s="1033">
        <f t="shared" si="47"/>
        <v>77</v>
      </c>
      <c r="P232" s="1030"/>
    </row>
    <row r="233">
      <c r="A233" s="1059">
        <f>IFERROR(__xludf.DUMMYFUNCTION("""COMPUTED_VALUE"""),97885.0)</f>
        <v>97885</v>
      </c>
      <c r="B233" s="1028" t="str">
        <f>VLOOKUP(A233,'18. DADOS - HISTORICO MANUT. 20'!E:I,2,0)</f>
        <v>SINAPI-S</v>
      </c>
      <c r="C233" s="1029" t="str">
        <f>VLOOKUP(A233,'18. DADOS - HISTORICO MANUT. 20'!$E:$I,3,0)</f>
        <v>CAIXA ENTERRADA ELÉTRICA RETANGULAR, EM CONCRETO PRÉ-MOLDADO, FUNDO COM BRITA, DIMENSÕES INTERNAS: 1X1X0,5 M. AF_12/2020</v>
      </c>
      <c r="D233" s="1028" t="str">
        <f>VLOOKUP(A233,'18. DADOS - HISTORICO MANUT. 20'!$E:$I,4,0)</f>
        <v>UN</v>
      </c>
      <c r="E233" s="1028">
        <f>SUMIF('18. DADOS - HISTORICO MANUT. 20'!E:E,A233,'18. DADOS - HISTORICO MANUT. 20'!I:I)</f>
        <v>9</v>
      </c>
      <c r="F233" s="1030"/>
      <c r="G233" s="1030"/>
      <c r="H233" s="1031">
        <f>IFERROR(__xludf.DUMMYFUNCTION("""COMPUTED_VALUE"""),95801.0)</f>
        <v>95801</v>
      </c>
      <c r="I233" s="1028" t="str">
        <f t="shared" si="1"/>
        <v>SINAPI-S</v>
      </c>
      <c r="J233" s="1029" t="str">
        <f t="shared" si="2"/>
        <v>CONDULETE DE ALUMÍNIO, TIPO X, PARA ELETRODUTO DE AÇO GALVANIZADO DN 20 MM (3/4''), APARENTE - FORNECIMENTO E INSTALAÇÃO. AF_10/2022</v>
      </c>
      <c r="K233" s="1031" t="str">
        <f t="shared" si="3"/>
        <v>UN</v>
      </c>
      <c r="L233" s="1031">
        <f t="shared" si="4"/>
        <v>1</v>
      </c>
      <c r="M233" s="1031">
        <f t="shared" si="5"/>
        <v>0.5</v>
      </c>
      <c r="N233" s="1032">
        <f t="shared" si="6"/>
        <v>0.427333514</v>
      </c>
      <c r="O233" s="1033">
        <f>ROUND(N233,0)+1</f>
        <v>1</v>
      </c>
      <c r="P233" s="1030"/>
    </row>
    <row r="234">
      <c r="A234" s="1059">
        <f>IFERROR(__xludf.DUMMYFUNCTION("""COMPUTED_VALUE"""),92871.0)</f>
        <v>92871</v>
      </c>
      <c r="B234" s="1028" t="str">
        <f>VLOOKUP(A234,'18. DADOS - HISTORICO MANUT. 20'!E:I,2,0)</f>
        <v>SINAPI-S</v>
      </c>
      <c r="C234" s="1029" t="str">
        <f>VLOOKUP(A234,'18. DADOS - HISTORICO MANUT. 20'!$E:$I,3,0)</f>
        <v>CAIXA RETANGULAR 4" X 4" MÉDIA (1,30 M DO PISO), METÁLICA, INSTALADA EM PAREDE - FORNECIMENTO E INSTALAÇÃO. AF_03/2023</v>
      </c>
      <c r="D234" s="1028" t="str">
        <f>VLOOKUP(A234,'18. DADOS - HISTORICO MANUT. 20'!$E:$I,4,0)</f>
        <v>UN</v>
      </c>
      <c r="E234" s="1028">
        <f>SUMIF('18. DADOS - HISTORICO MANUT. 20'!E:E,A234,'18. DADOS - HISTORICO MANUT. 20'!I:I)</f>
        <v>1</v>
      </c>
      <c r="F234" s="1030"/>
      <c r="G234" s="1030"/>
      <c r="H234" s="1031" t="str">
        <f>IFERROR(__xludf.DUMMYFUNCTION("""COMPUTED_VALUE"""),"MAN_PR_067")</f>
        <v>MAN_PR_067</v>
      </c>
      <c r="I234" s="1028" t="str">
        <f t="shared" si="1"/>
        <v>COMP.EVENTUAL</v>
      </c>
      <c r="J234" s="1029" t="str">
        <f t="shared" si="2"/>
        <v>FORNECIMENTO E INSTALAÇÃO DE CONJUNTO MONTADO DE TOMADA 2P + T, ABNT, DE SOBREPOR, 20A, SISTEMA X</v>
      </c>
      <c r="K234" s="1031" t="str">
        <f t="shared" si="3"/>
        <v>UN</v>
      </c>
      <c r="L234" s="1031">
        <f t="shared" si="4"/>
        <v>17</v>
      </c>
      <c r="M234" s="1031">
        <f t="shared" si="5"/>
        <v>8.5</v>
      </c>
      <c r="N234" s="1032">
        <f t="shared" si="6"/>
        <v>7.264669738</v>
      </c>
      <c r="O234" s="1033">
        <f t="shared" ref="O234:O235" si="48">ROUND(N234,0)</f>
        <v>7</v>
      </c>
      <c r="P234" s="1030"/>
    </row>
    <row r="235">
      <c r="A235" s="1059" t="str">
        <f>IFERROR(__xludf.DUMMYFUNCTION("""COMPUTED_VALUE"""),"MAN_PR_059")</f>
        <v>MAN_PR_059</v>
      </c>
      <c r="B235" s="1028" t="str">
        <f>VLOOKUP(A235,'18. DADOS - HISTORICO MANUT. 20'!E:I,2,0)</f>
        <v>COMP.EVENTUAL</v>
      </c>
      <c r="C235" s="1029" t="str">
        <f>VLOOKUP(A235,'18. DADOS - HISTORICO MANUT. 20'!$E:$I,3,0)</f>
        <v>FORNECIMENTO E INSTALAÇÃO DE CABO DE COBRE PP CORDPLAST 3 X 2,5MM2, 450/750V</v>
      </c>
      <c r="D235" s="1028" t="str">
        <f>VLOOKUP(A235,'18. DADOS - HISTORICO MANUT. 20'!$E:$I,4,0)</f>
        <v>M</v>
      </c>
      <c r="E235" s="1028">
        <f>SUMIF('18. DADOS - HISTORICO MANUT. 20'!E:E,A235,'18. DADOS - HISTORICO MANUT. 20'!I:I)</f>
        <v>61</v>
      </c>
      <c r="F235" s="1030"/>
      <c r="G235" s="1030"/>
      <c r="H235" s="1031">
        <f>IFERROR(__xludf.DUMMYFUNCTION("""COMPUTED_VALUE"""),39391.0)</f>
        <v>39391</v>
      </c>
      <c r="I235" s="1028" t="str">
        <f t="shared" si="1"/>
        <v>SINAPI-I</v>
      </c>
      <c r="J235" s="1029" t="str">
        <f t="shared" si="2"/>
        <v>LUMINARIA LED REFLETOR RETANGULAR BIVOLT, LUZ BRANCA, 50 W</v>
      </c>
      <c r="K235" s="1031" t="str">
        <f t="shared" si="3"/>
        <v>UN</v>
      </c>
      <c r="L235" s="1031">
        <f t="shared" si="4"/>
        <v>2</v>
      </c>
      <c r="M235" s="1031">
        <f t="shared" si="5"/>
        <v>1</v>
      </c>
      <c r="N235" s="1032">
        <f t="shared" si="6"/>
        <v>0.854667028</v>
      </c>
      <c r="O235" s="1033">
        <f t="shared" si="48"/>
        <v>1</v>
      </c>
      <c r="P235" s="1030"/>
    </row>
    <row r="236">
      <c r="A236" s="1059">
        <f>IFERROR(__xludf.DUMMYFUNCTION("""COMPUTED_VALUE"""),11960.0)</f>
        <v>11960</v>
      </c>
      <c r="B236" s="1028" t="str">
        <f>VLOOKUP(A236,'18. DADOS - HISTORICO MANUT. 20'!E:I,2,0)</f>
        <v>SINAPI-I</v>
      </c>
      <c r="C236" s="1029" t="str">
        <f>VLOOKUP(A236,'18. DADOS - HISTORICO MANUT. 20'!$E:$I,3,0)</f>
        <v>PARAFUSO DE LATAO COM ROSCA SOBERBA, CABECA CHATA E FENDA SIMPLES, DIAMETRO 2,5 MM, COMPRIMENTO 12 MM</v>
      </c>
      <c r="D236" s="1028" t="str">
        <f>VLOOKUP(A236,'18. DADOS - HISTORICO MANUT. 20'!$E:$I,4,0)</f>
        <v>UN</v>
      </c>
      <c r="E236" s="1028">
        <f>SUMIF('18. DADOS - HISTORICO MANUT. 20'!E:E,A236,'18. DADOS - HISTORICO MANUT. 20'!I:I)</f>
        <v>40</v>
      </c>
      <c r="F236" s="1030"/>
      <c r="G236" s="1030"/>
      <c r="H236" s="1031" t="str">
        <f>IFERROR(__xludf.DUMMYFUNCTION("""COMPUTED_VALUE"""),"MAN_PR_074")</f>
        <v>MAN_PR_074</v>
      </c>
      <c r="I236" s="1028" t="str">
        <f t="shared" si="1"/>
        <v>COMP.EVENTUAL</v>
      </c>
      <c r="J236" s="1029" t="str">
        <f t="shared" si="2"/>
        <v>FORNECIMENTO E INSTALAÇÃO KIT DE PROTECAO ARSTOP PARA AR CONDICIONADO, TOMADA PADRAO 2P+T 20 A, COM DISJUNTOR BIPOLAR DIN 20A</v>
      </c>
      <c r="K236" s="1031" t="str">
        <f t="shared" si="3"/>
        <v>UN</v>
      </c>
      <c r="L236" s="1031">
        <f t="shared" si="4"/>
        <v>1</v>
      </c>
      <c r="M236" s="1031">
        <f t="shared" si="5"/>
        <v>0.5</v>
      </c>
      <c r="N236" s="1032">
        <f t="shared" si="6"/>
        <v>0.427333514</v>
      </c>
      <c r="O236" s="1033">
        <f>ROUND(N236,0)+1</f>
        <v>1</v>
      </c>
      <c r="P236" s="1030"/>
    </row>
    <row r="237">
      <c r="A237" s="1059" t="str">
        <f>IFERROR(__xludf.DUMMYFUNCTION("""COMPUTED_VALUE"""),"MAN_PR_073")</f>
        <v>MAN_PR_073</v>
      </c>
      <c r="B237" s="1028" t="str">
        <f>VLOOKUP(A237,'18. DADOS - HISTORICO MANUT. 20'!E:I,2,0)</f>
        <v>COMP.EVENTUAL</v>
      </c>
      <c r="C237" s="1029" t="str">
        <f>VLOOKUP(A237,'18. DADOS - HISTORICO MANUT. 20'!$E:$I,3,0)</f>
        <v>CONECTOR DE DERIVAÇÃO PERFURANTE 10-95MM2</v>
      </c>
      <c r="D237" s="1028" t="str">
        <f>VLOOKUP(A237,'18. DADOS - HISTORICO MANUT. 20'!$E:$I,4,0)</f>
        <v>UN</v>
      </c>
      <c r="E237" s="1028">
        <f>SUMIF('18. DADOS - HISTORICO MANUT. 20'!E:E,A237,'18. DADOS - HISTORICO MANUT. 20'!I:I)</f>
        <v>10</v>
      </c>
      <c r="F237" s="1030"/>
      <c r="G237" s="1030"/>
      <c r="H237" s="1031">
        <f>IFERROR(__xludf.DUMMYFUNCTION("""COMPUTED_VALUE"""),101537.0)</f>
        <v>101537</v>
      </c>
      <c r="I237" s="1028" t="str">
        <f t="shared" si="1"/>
        <v>SINAPI-S</v>
      </c>
      <c r="J237" s="1029" t="str">
        <f t="shared" si="2"/>
        <v>APARELHO SINALIZADOR DE SAÍDA DE GARAGEM, COM CÉLULA FOTOELÉTRICA - FORNECIMENTO E INSTALAÇÃO. AF_07/2020</v>
      </c>
      <c r="K237" s="1031" t="str">
        <f t="shared" si="3"/>
        <v>UN</v>
      </c>
      <c r="L237" s="1031">
        <f t="shared" si="4"/>
        <v>3</v>
      </c>
      <c r="M237" s="1031">
        <f t="shared" si="5"/>
        <v>1.5</v>
      </c>
      <c r="N237" s="1032">
        <f t="shared" si="6"/>
        <v>1.282000542</v>
      </c>
      <c r="O237" s="1033">
        <f t="shared" ref="O237:O243" si="49">ROUND(N237,0)</f>
        <v>1</v>
      </c>
      <c r="P237" s="1030"/>
    </row>
    <row r="238">
      <c r="A238" s="1059">
        <f>IFERROR(__xludf.DUMMYFUNCTION("""COMPUTED_VALUE"""),101894.0)</f>
        <v>101894</v>
      </c>
      <c r="B238" s="1028" t="str">
        <f>VLOOKUP(A238,'18. DADOS - HISTORICO MANUT. 20'!E:I,2,0)</f>
        <v>SINAPI-S</v>
      </c>
      <c r="C238" s="1029" t="str">
        <f>VLOOKUP(A238,'18. DADOS - HISTORICO MANUT. 20'!$E:$I,3,0)</f>
        <v>DISJUNTOR TRIPOLAR TIPO NEMA, CORRENTE NOMINAL DE 60 ATÉ 100A - FORNECIMENTO E INSTALAÇÃO. AF_10/2020</v>
      </c>
      <c r="D238" s="1028" t="str">
        <f>VLOOKUP(A238,'18. DADOS - HISTORICO MANUT. 20'!$E:$I,4,0)</f>
        <v>UN</v>
      </c>
      <c r="E238" s="1028">
        <f>SUMIF('18. DADOS - HISTORICO MANUT. 20'!E:E,A238,'18. DADOS - HISTORICO MANUT. 20'!I:I)</f>
        <v>1</v>
      </c>
      <c r="F238" s="1030"/>
      <c r="G238" s="1030"/>
      <c r="H238" s="1031" t="str">
        <f>IFERROR(__xludf.DUMMYFUNCTION("""COMPUTED_VALUE"""),"MAN_PR_065")</f>
        <v>MAN_PR_065</v>
      </c>
      <c r="I238" s="1028" t="str">
        <f t="shared" si="1"/>
        <v>COMP.EVENTUAL</v>
      </c>
      <c r="J238" s="1029" t="str">
        <f t="shared" si="2"/>
        <v>FORNECIMENTO E INSTALAÇÃO DE GRELHA PARA RALO EM PVC, REDONDA, 10CM. REF. TIGRE OU SIMILAR</v>
      </c>
      <c r="K238" s="1031" t="str">
        <f t="shared" si="3"/>
        <v>UN</v>
      </c>
      <c r="L238" s="1031">
        <f t="shared" si="4"/>
        <v>7</v>
      </c>
      <c r="M238" s="1031">
        <f t="shared" si="5"/>
        <v>3.5</v>
      </c>
      <c r="N238" s="1032">
        <f t="shared" si="6"/>
        <v>2.991334598</v>
      </c>
      <c r="O238" s="1033">
        <f t="shared" si="49"/>
        <v>3</v>
      </c>
      <c r="P238" s="1030"/>
    </row>
    <row r="239">
      <c r="A239" s="1059">
        <f>IFERROR(__xludf.DUMMYFUNCTION("""COMPUTED_VALUE"""),101901.0)</f>
        <v>101901</v>
      </c>
      <c r="B239" s="1028" t="str">
        <f>VLOOKUP(A239,'18. DADOS - HISTORICO MANUT. 20'!E:I,2,0)</f>
        <v>SINAPI-S</v>
      </c>
      <c r="C239" s="1029" t="str">
        <f>VLOOKUP(A239,'18. DADOS - HISTORICO MANUT. 20'!$E:$I,3,0)</f>
        <v>CONTATOR TRIPOLAR I NOMINAL 12A - FORNECIMENTO E INSTALAÇÃO. AF_10/2020</v>
      </c>
      <c r="D239" s="1028" t="str">
        <f>VLOOKUP(A239,'18. DADOS - HISTORICO MANUT. 20'!$E:$I,4,0)</f>
        <v>UN</v>
      </c>
      <c r="E239" s="1028">
        <f>SUMIF('18. DADOS - HISTORICO MANUT. 20'!E:E,A239,'18. DADOS - HISTORICO MANUT. 20'!I:I)</f>
        <v>3</v>
      </c>
      <c r="F239" s="1030"/>
      <c r="G239" s="1030"/>
      <c r="H239" s="1031">
        <f>IFERROR(__xludf.DUMMYFUNCTION("""COMPUTED_VALUE"""),89557.0)</f>
        <v>89557</v>
      </c>
      <c r="I239" s="1028" t="str">
        <f t="shared" si="1"/>
        <v>SINAPI-S</v>
      </c>
      <c r="J239" s="1029" t="str">
        <f t="shared" si="2"/>
        <v>REDUÇÃO EXCÊNTRICA, PVC, SERIE R, ÁGUA PLUVIAL, DN 100 X 75 MM, JUNTA ELÁSTICA, FORNECIDO E INSTALADO EM RAMAL DE ENCAMINHAMENTO. AF_06/2022</v>
      </c>
      <c r="K239" s="1031" t="str">
        <f t="shared" si="3"/>
        <v>UN</v>
      </c>
      <c r="L239" s="1031">
        <f t="shared" si="4"/>
        <v>7</v>
      </c>
      <c r="M239" s="1031">
        <f t="shared" si="5"/>
        <v>3.5</v>
      </c>
      <c r="N239" s="1032">
        <f t="shared" si="6"/>
        <v>2.991334598</v>
      </c>
      <c r="O239" s="1033">
        <f t="shared" si="49"/>
        <v>3</v>
      </c>
      <c r="P239" s="1030"/>
    </row>
    <row r="240">
      <c r="A240" s="1059" t="str">
        <f>IFERROR(__xludf.DUMMYFUNCTION("""COMPUTED_VALUE"""),"MAN_PR_058")</f>
        <v>MAN_PR_058</v>
      </c>
      <c r="B240" s="1028" t="str">
        <f>VLOOKUP(A240,'18. DADOS - HISTORICO MANUT. 20'!E:I,2,0)</f>
        <v>COMP.EVENTUAL</v>
      </c>
      <c r="C240" s="1029" t="str">
        <f>VLOOKUP(A240,'18. DADOS - HISTORICO MANUT. 20'!$E:$I,3,0)</f>
        <v>FORNECIMENTO E INSTALAÇÃO DE BOBINA PARA CONTATOR CWM9 A CWM25, 380V</v>
      </c>
      <c r="D240" s="1028" t="str">
        <f>VLOOKUP(A240,'18. DADOS - HISTORICO MANUT. 20'!$E:$I,4,0)</f>
        <v>UN</v>
      </c>
      <c r="E240" s="1028">
        <f>SUMIF('18. DADOS - HISTORICO MANUT. 20'!E:E,A240,'18. DADOS - HISTORICO MANUT. 20'!I:I)</f>
        <v>3</v>
      </c>
      <c r="F240" s="1030"/>
      <c r="G240" s="1030"/>
      <c r="H240" s="1031">
        <f>IFERROR(__xludf.DUMMYFUNCTION("""COMPUTED_VALUE"""),104357.0)</f>
        <v>104357</v>
      </c>
      <c r="I240" s="1028" t="str">
        <f t="shared" si="1"/>
        <v>SINAPI-S</v>
      </c>
      <c r="J240" s="1029" t="str">
        <f t="shared" si="2"/>
        <v>CAP, PVC, SÉRIE NORMAL, ESGOTO PREDIAL, DN 100 MM, JUNTA ELÁSTICA, FORNECIDO E INSTALADO EM SUBCOLETOR AÉREO DE ESGOTO SANITÁRIO. AF_08/2022</v>
      </c>
      <c r="K240" s="1031" t="str">
        <f t="shared" si="3"/>
        <v>UN</v>
      </c>
      <c r="L240" s="1031">
        <f t="shared" si="4"/>
        <v>8</v>
      </c>
      <c r="M240" s="1031">
        <f t="shared" si="5"/>
        <v>4</v>
      </c>
      <c r="N240" s="1032">
        <f t="shared" si="6"/>
        <v>3.418668112</v>
      </c>
      <c r="O240" s="1033">
        <f t="shared" si="49"/>
        <v>3</v>
      </c>
      <c r="P240" s="1030"/>
    </row>
    <row r="241">
      <c r="A241" s="1059">
        <f>IFERROR(__xludf.DUMMYFUNCTION("""COMPUTED_VALUE"""),89379.0)</f>
        <v>89379</v>
      </c>
      <c r="B241" s="1028" t="str">
        <f>VLOOKUP(A241,'18. DADOS - HISTORICO MANUT. 20'!E:I,2,0)</f>
        <v>SINAPI-S</v>
      </c>
      <c r="C241" s="1029" t="str">
        <f>VLOOKUP(A241,'18. DADOS - HISTORICO MANUT. 20'!$E:$I,3,0)</f>
        <v>LUVA DE CORRER, PVC, SOLDÁVEL, DN 25MM, INSTALADO EM RAMAL OU SUB-RAMAL DE ÁGUA - FORNECIMENTO E INSTALAÇÃO. AF_12/2014</v>
      </c>
      <c r="D241" s="1028" t="str">
        <f>VLOOKUP(A241,'18. DADOS - HISTORICO MANUT. 20'!$E:$I,4,0)</f>
        <v>UN</v>
      </c>
      <c r="E241" s="1028">
        <f>SUMIF('18. DADOS - HISTORICO MANUT. 20'!E:E,A241,'18. DADOS - HISTORICO MANUT. 20'!I:I)</f>
        <v>2</v>
      </c>
      <c r="F241" s="1030"/>
      <c r="G241" s="1030"/>
      <c r="H241" s="1031" t="str">
        <f>IFERROR(__xludf.DUMMYFUNCTION("""COMPUTED_VALUE"""),"MAN_PR_066")</f>
        <v>MAN_PR_066</v>
      </c>
      <c r="I241" s="1028" t="str">
        <f t="shared" si="1"/>
        <v>COMP.EVENTUAL</v>
      </c>
      <c r="J241" s="1029" t="str">
        <f t="shared" si="2"/>
        <v>FORNECIMENTO E INSTALAÇÃO DE CAIXA P/ BOTOEIRA PLÁSTICA 1 FURO 22 mm</v>
      </c>
      <c r="K241" s="1031" t="str">
        <f t="shared" si="3"/>
        <v>UN</v>
      </c>
      <c r="L241" s="1031">
        <f t="shared" si="4"/>
        <v>4</v>
      </c>
      <c r="M241" s="1031">
        <f t="shared" si="5"/>
        <v>2</v>
      </c>
      <c r="N241" s="1032">
        <f t="shared" si="6"/>
        <v>1.709334056</v>
      </c>
      <c r="O241" s="1033">
        <f t="shared" si="49"/>
        <v>2</v>
      </c>
      <c r="P241" s="1030"/>
    </row>
    <row r="242">
      <c r="A242" s="1059">
        <f>IFERROR(__xludf.DUMMYFUNCTION("""COMPUTED_VALUE"""),89381.0)</f>
        <v>89381</v>
      </c>
      <c r="B242" s="1028" t="str">
        <f>VLOOKUP(A242,'18. DADOS - HISTORICO MANUT. 20'!E:I,2,0)</f>
        <v>SINAPI-S</v>
      </c>
      <c r="C242" s="1029" t="str">
        <f>VLOOKUP(A242,'18. DADOS - HISTORICO MANUT. 20'!$E:$I,3,0)</f>
        <v>LUVA COM BUCHA DE LATÃO, PVC, SOLDÁVEL, DN 25MM X 3/4 , INSTALADO EM RAMAL OU SUB-RAMAL DE ÁGUA - FORNECIMENTO E INSTALAÇÃO. AF_06/2022</v>
      </c>
      <c r="D242" s="1028" t="str">
        <f>VLOOKUP(A242,'18. DADOS - HISTORICO MANUT. 20'!$E:$I,4,0)</f>
        <v>UN</v>
      </c>
      <c r="E242" s="1028">
        <f>SUMIF('18. DADOS - HISTORICO MANUT. 20'!E:E,A242,'18. DADOS - HISTORICO MANUT. 20'!I:I)</f>
        <v>1</v>
      </c>
      <c r="F242" s="1030"/>
      <c r="G242" s="1030"/>
      <c r="H242" s="1031">
        <f>IFERROR(__xludf.DUMMYFUNCTION("""COMPUTED_VALUE"""),11964.0)</f>
        <v>11964</v>
      </c>
      <c r="I242" s="1028" t="str">
        <f t="shared" si="1"/>
        <v>SINAPI-I</v>
      </c>
      <c r="J242" s="1029" t="str">
        <f t="shared" si="2"/>
        <v>PARAFUSO DE ACO TIPO CHUMBADOR PARABOLT, DIAMETRO 3/8", COMPRIMENTO 75 MM</v>
      </c>
      <c r="K242" s="1031" t="str">
        <f t="shared" si="3"/>
        <v>UN</v>
      </c>
      <c r="L242" s="1031">
        <f t="shared" si="4"/>
        <v>40</v>
      </c>
      <c r="M242" s="1031">
        <f t="shared" si="5"/>
        <v>20</v>
      </c>
      <c r="N242" s="1032">
        <f t="shared" si="6"/>
        <v>17.09334056</v>
      </c>
      <c r="O242" s="1033">
        <f t="shared" si="49"/>
        <v>17</v>
      </c>
      <c r="P242" s="1030"/>
    </row>
    <row r="243">
      <c r="A243" s="1059">
        <f>IFERROR(__xludf.DUMMYFUNCTION("""COMPUTED_VALUE"""),91785.0)</f>
        <v>91785</v>
      </c>
      <c r="B243" s="1028" t="str">
        <f>VLOOKUP(A243,'18. DADOS - HISTORICO MANUT. 20'!E:I,2,0)</f>
        <v>SINAPI-S</v>
      </c>
      <c r="C243" s="1029" t="str">
        <f>VLOOKUP(A243,'18. DADOS - HISTORICO MANUT. 20'!$E:$I,3,0)</f>
        <v>(COMPOSIÇÃO REPRESENTATIVA) DO SERVIÇO DE INSTALAÇÃO DE TUBOS DE PVC, SOLDÁVEL, ÁGUA FRIA, DN 25 MM (INSTALADO EM RAMAL, SUB-RAMAL, RAMAL DE DISTRIBUIÇÃO OU PRUMADA), INCLUSIVE CONEXÕES, CORTES E FIXAÇÕES, PARA PRÉDIOS. AF_10/2015</v>
      </c>
      <c r="D243" s="1028" t="str">
        <f>VLOOKUP(A243,'18. DADOS - HISTORICO MANUT. 20'!$E:$I,4,0)</f>
        <v>M</v>
      </c>
      <c r="E243" s="1028">
        <f>SUMIF('18. DADOS - HISTORICO MANUT. 20'!E:E,A243,'18. DADOS - HISTORICO MANUT. 20'!I:I)</f>
        <v>3</v>
      </c>
      <c r="F243" s="1030"/>
      <c r="G243" s="1030"/>
      <c r="H243" s="1031">
        <f>IFERROR(__xludf.DUMMYFUNCTION("""COMPUTED_VALUE"""),11267.0)</f>
        <v>11267</v>
      </c>
      <c r="I243" s="1028" t="str">
        <f t="shared" si="1"/>
        <v>SINAPI-I</v>
      </c>
      <c r="J243" s="1029" t="str">
        <f t="shared" si="2"/>
        <v>ARRUELA LISA, REDONDA, DE LATAO POLIDO, DIAMETRO NOMINAL 5/8", DIAMETRO EXTERNO = 34 MM, DIAMETRO DO FURO = 17 MM, ESPESSURA = *2,5* MM</v>
      </c>
      <c r="K243" s="1031" t="str">
        <f t="shared" si="3"/>
        <v>UN</v>
      </c>
      <c r="L243" s="1031">
        <f t="shared" si="4"/>
        <v>40</v>
      </c>
      <c r="M243" s="1031">
        <f t="shared" si="5"/>
        <v>20</v>
      </c>
      <c r="N243" s="1032">
        <f t="shared" si="6"/>
        <v>17.09334056</v>
      </c>
      <c r="O243" s="1033">
        <f t="shared" si="49"/>
        <v>17</v>
      </c>
      <c r="P243" s="1030"/>
    </row>
    <row r="244">
      <c r="A244" s="1059" t="str">
        <f>IFERROR(__xludf.DUMMYFUNCTION("""COMPUTED_VALUE"""),"MAN_PR_045")</f>
        <v>MAN_PR_045</v>
      </c>
      <c r="B244" s="1028" t="str">
        <f>VLOOKUP(A244,'18. DADOS - HISTORICO MANUT. 20'!E:I,2,0)</f>
        <v>COMP.EVENTUAL</v>
      </c>
      <c r="C244" s="1029" t="str">
        <f>VLOOKUP(A244,'18. DADOS - HISTORICO MANUT. 20'!$E:$I,3,0)</f>
        <v>FECHADURA DE SOBREPOR PAR APORTA CORTA FOGO (SEM CHAVE) - FORNECIMENTO E INSTALAÇÃO</v>
      </c>
      <c r="D244" s="1028" t="str">
        <f>VLOOKUP(A244,'18. DADOS - HISTORICO MANUT. 20'!$E:$I,4,0)</f>
        <v>UN</v>
      </c>
      <c r="E244" s="1028">
        <f>SUMIF('18. DADOS - HISTORICO MANUT. 20'!E:E,A244,'18. DADOS - HISTORICO MANUT. 20'!I:I)</f>
        <v>3</v>
      </c>
      <c r="F244" s="1030"/>
      <c r="G244" s="1030"/>
      <c r="H244" s="1031" t="str">
        <f>IFERROR(__xludf.DUMMYFUNCTION("""COMPUTED_VALUE"""),"MAN_PR_075")</f>
        <v>MAN_PR_075</v>
      </c>
      <c r="I244" s="1028" t="str">
        <f t="shared" si="1"/>
        <v>COMP.EVENTUAL</v>
      </c>
      <c r="J244" s="1029" t="str">
        <f t="shared" si="2"/>
        <v>PINTURA ADESIVA P/ CONCRETO, A BASE DE RESINA EPOXI ( SIKADUR 32 )</v>
      </c>
      <c r="K244" s="1031" t="str">
        <f t="shared" si="3"/>
        <v>KG    </v>
      </c>
      <c r="L244" s="1031">
        <f t="shared" si="4"/>
        <v>1</v>
      </c>
      <c r="M244" s="1031">
        <f t="shared" si="5"/>
        <v>0.5</v>
      </c>
      <c r="N244" s="1032">
        <f t="shared" si="6"/>
        <v>0.427333514</v>
      </c>
      <c r="O244" s="1033">
        <f>ROUND(N244,0)+1</f>
        <v>1</v>
      </c>
      <c r="P244" s="1030"/>
    </row>
    <row r="245">
      <c r="A245" s="1059" t="str">
        <f>IFERROR(__xludf.DUMMYFUNCTION("""COMPUTED_VALUE"""),"MAN_PR_004")</f>
        <v>MAN_PR_004</v>
      </c>
      <c r="B245" s="1028" t="str">
        <f>VLOOKUP(A245,'18. DADOS - HISTORICO MANUT. 20'!E:I,2,0)</f>
        <v>COMP.EVENTUAL</v>
      </c>
      <c r="C245" s="1029" t="str">
        <f>VLOOKUP(A245,'18. DADOS - HISTORICO MANUT. 20'!$E:$I,3,0)</f>
        <v>FORNECIMENTO E INSTALAÇÃO DE PLACAS DE FORRO DE FIBRA MINERAL - EXCLUSIVE ESTRUTURA DE SUSTENTAÇÃO</v>
      </c>
      <c r="D245" s="1028" t="str">
        <f>VLOOKUP(A245,'18. DADOS - HISTORICO MANUT. 20'!$E:$I,4,0)</f>
        <v>UN</v>
      </c>
      <c r="E245" s="1028">
        <f>SUMIF('18. DADOS - HISTORICO MANUT. 20'!E:E,A245,'18. DADOS - HISTORICO MANUT. 20'!I:I)</f>
        <v>36</v>
      </c>
      <c r="F245" s="1030"/>
      <c r="G245" s="1030"/>
      <c r="H245" s="1031" t="str">
        <f>IFERROR(__xludf.DUMMYFUNCTION("""COMPUTED_VALUE"""),"MAN_PR_061")</f>
        <v>MAN_PR_061</v>
      </c>
      <c r="I245" s="1028" t="str">
        <f t="shared" si="1"/>
        <v>COMP.EVENTUAL</v>
      </c>
      <c r="J245" s="1029" t="str">
        <f t="shared" si="2"/>
        <v>FORNECIMENTO E INSTALAÇÃO DE CANALETA EM ALUMÍNIO COM DIVISÓRIA PARA INSTALAÇÃO ELÉTRICA EM PISO, INCLUSIVE CONEXÕES, DIMENSÕES 20 X 10 MM</v>
      </c>
      <c r="K245" s="1031" t="str">
        <f t="shared" si="3"/>
        <v>M</v>
      </c>
      <c r="L245" s="1031">
        <f t="shared" si="4"/>
        <v>3</v>
      </c>
      <c r="M245" s="1031">
        <f t="shared" si="5"/>
        <v>1.5</v>
      </c>
      <c r="N245" s="1032">
        <f t="shared" si="6"/>
        <v>1.282000542</v>
      </c>
      <c r="O245" s="1033">
        <f t="shared" ref="O245:O246" si="50">ROUND(N245,0)</f>
        <v>1</v>
      </c>
      <c r="P245" s="1030"/>
    </row>
    <row r="246">
      <c r="A246" s="1059">
        <f>IFERROR(__xludf.DUMMYFUNCTION("""COMPUTED_VALUE"""),93203.0)</f>
        <v>93203</v>
      </c>
      <c r="B246" s="1028" t="str">
        <f>VLOOKUP(A246,'18. DADOS - HISTORICO MANUT. 20'!E:I,2,0)</f>
        <v>SINAPI-S</v>
      </c>
      <c r="C246" s="1029" t="str">
        <f>VLOOKUP(A246,'18. DADOS - HISTORICO MANUT. 20'!$E:$I,3,0)</f>
        <v>FIXAÇÃO (ENCUNHAMENTO) DE ALVENARIA DE VEDAÇÃO COM ESPUMA DE POLIURETANO EXPANSIVA. AF_03/2016</v>
      </c>
      <c r="D246" s="1028" t="str">
        <f>VLOOKUP(A246,'18. DADOS - HISTORICO MANUT. 20'!$E:$I,4,0)</f>
        <v>M</v>
      </c>
      <c r="E246" s="1028">
        <f>SUMIF('18. DADOS - HISTORICO MANUT. 20'!E:E,A246,'18. DADOS - HISTORICO MANUT. 20'!I:I)</f>
        <v>3</v>
      </c>
      <c r="F246" s="1030"/>
      <c r="G246" s="1030"/>
      <c r="H246" s="1031">
        <f>IFERROR(__xludf.DUMMYFUNCTION("""COMPUTED_VALUE"""),89049.0)</f>
        <v>89049</v>
      </c>
      <c r="I246" s="1028" t="str">
        <f t="shared" si="1"/>
        <v>SINAPI-S</v>
      </c>
      <c r="J246" s="1029" t="str">
        <f t="shared" si="2"/>
        <v>(COMPOSIÇÃO REPRESENTATIVA) DO SERVIÇO DE APLICAÇÃO MANUAL DE GESSO DESEMPENADO (SEM TALISCAS) EM TETO, ESPESSURA 0,5 CM, PARA EDIFICAÇÃO HABITACIONAL MULTIFAMILIAR (PRÉDIO). AF_11/2014</v>
      </c>
      <c r="K246" s="1031" t="str">
        <f t="shared" si="3"/>
        <v>M2</v>
      </c>
      <c r="L246" s="1031">
        <f t="shared" si="4"/>
        <v>2</v>
      </c>
      <c r="M246" s="1031">
        <f t="shared" si="5"/>
        <v>1</v>
      </c>
      <c r="N246" s="1032">
        <f t="shared" si="6"/>
        <v>0.854667028</v>
      </c>
      <c r="O246" s="1033">
        <f t="shared" si="50"/>
        <v>1</v>
      </c>
      <c r="P246" s="1030"/>
    </row>
    <row r="247">
      <c r="A247" s="1059">
        <f>IFERROR(__xludf.DUMMYFUNCTION("""COMPUTED_VALUE"""),90831.0)</f>
        <v>90831</v>
      </c>
      <c r="B247" s="1028" t="str">
        <f>VLOOKUP(A247,'18. DADOS - HISTORICO MANUT. 20'!E:I,2,0)</f>
        <v>SINAPI-S</v>
      </c>
      <c r="C247" s="1029" t="str">
        <f>VLOOKUP(A247,'18. DADOS - HISTORICO MANUT. 20'!$E:$I,3,0)</f>
        <v>FECHADURA DE EMBUTIR PARA PORTA DE BANHEIRO, COMPLETA, ACABAMENTO PADRÃO MÉDIO, INCLUSO EXECUÇÃO DE FURO - FORNECIMENTO E INSTALAÇÃO. AF_12/2019</v>
      </c>
      <c r="D247" s="1028" t="str">
        <f>VLOOKUP(A247,'18. DADOS - HISTORICO MANUT. 20'!$E:$I,4,0)</f>
        <v>UN</v>
      </c>
      <c r="E247" s="1028">
        <f>SUMIF('18. DADOS - HISTORICO MANUT. 20'!E:E,A247,'18. DADOS - HISTORICO MANUT. 20'!I:I)</f>
        <v>1</v>
      </c>
      <c r="F247" s="1030"/>
      <c r="G247" s="1030"/>
      <c r="H247" s="1031">
        <f>IFERROR(__xludf.DUMMYFUNCTION("""COMPUTED_VALUE"""),92016.0)</f>
        <v>92016</v>
      </c>
      <c r="I247" s="1028" t="str">
        <f t="shared" si="1"/>
        <v>SINAPI-S</v>
      </c>
      <c r="J247" s="1029" t="str">
        <f t="shared" si="2"/>
        <v>TOMADA BAIXA DE EMBUTIR (3 MÓDULOS), 2P+T 10 A, INCLUINDO SUPORTE E PLACA - FORNECIMENTO E INSTALAÇÃO. AF_03/2023</v>
      </c>
      <c r="K247" s="1031" t="str">
        <f t="shared" si="3"/>
        <v>UN</v>
      </c>
      <c r="L247" s="1031">
        <f t="shared" si="4"/>
        <v>1</v>
      </c>
      <c r="M247" s="1031">
        <f t="shared" si="5"/>
        <v>0.5</v>
      </c>
      <c r="N247" s="1032">
        <f t="shared" si="6"/>
        <v>0.427333514</v>
      </c>
      <c r="O247" s="1033">
        <f t="shared" ref="O247:O248" si="51">ROUND(N247,0)+1</f>
        <v>1</v>
      </c>
      <c r="P247" s="1030"/>
    </row>
    <row r="248">
      <c r="A248" s="1059">
        <f>IFERROR(__xludf.DUMMYFUNCTION("""COMPUTED_VALUE"""),5104.0)</f>
        <v>5104</v>
      </c>
      <c r="B248" s="1028" t="str">
        <f>VLOOKUP(A248,'18. DADOS - HISTORICO MANUT. 20'!E:I,2,0)</f>
        <v>SINAPI-I</v>
      </c>
      <c r="C248" s="1029" t="str">
        <f>VLOOKUP(A248,'18. DADOS - HISTORICO MANUT. 20'!$E:$I,3,0)</f>
        <v>REBITE DE ALUMINIO VAZADO DE REPUXO, 3,2 X 8 MM (1KG = 1025 UNIDADES)</v>
      </c>
      <c r="D248" s="1028" t="str">
        <f>VLOOKUP(A248,'18. DADOS - HISTORICO MANUT. 20'!$E:$I,4,0)</f>
        <v>KG</v>
      </c>
      <c r="E248" s="1028">
        <f>SUMIF('18. DADOS - HISTORICO MANUT. 20'!E:E,A248,'18. DADOS - HISTORICO MANUT. 20'!I:I)</f>
        <v>100</v>
      </c>
      <c r="F248" s="1030"/>
      <c r="G248" s="1030"/>
      <c r="H248" s="1031">
        <f>IFERROR(__xludf.DUMMYFUNCTION("""COMPUTED_VALUE"""),101633.0)</f>
        <v>101633</v>
      </c>
      <c r="I248" s="1028" t="str">
        <f t="shared" si="1"/>
        <v>SINAPI-S</v>
      </c>
      <c r="J248" s="1029" t="str">
        <f t="shared" si="2"/>
        <v>SUBSTITUIÇÃO DE RELÉ FOTOELÉTRICO PARA COMANDO DE ILUMINAÇÃO EXTERNA 1000 W - FORNECIMENTO E INSTALAÇÃO. AF_08/2020</v>
      </c>
      <c r="K248" s="1031" t="str">
        <f t="shared" si="3"/>
        <v>UN</v>
      </c>
      <c r="L248" s="1031">
        <f t="shared" si="4"/>
        <v>1</v>
      </c>
      <c r="M248" s="1031">
        <f t="shared" si="5"/>
        <v>0.5</v>
      </c>
      <c r="N248" s="1032">
        <f t="shared" si="6"/>
        <v>0.427333514</v>
      </c>
      <c r="O248" s="1033">
        <f t="shared" si="51"/>
        <v>1</v>
      </c>
      <c r="P248" s="1030"/>
    </row>
    <row r="249">
      <c r="A249" s="1059">
        <f>IFERROR(__xludf.DUMMYFUNCTION("""COMPUTED_VALUE"""),86914.0)</f>
        <v>86914</v>
      </c>
      <c r="B249" s="1028" t="str">
        <f>VLOOKUP(A249,'18. DADOS - HISTORICO MANUT. 20'!E:I,2,0)</f>
        <v>SINAPI-S</v>
      </c>
      <c r="C249" s="1029" t="str">
        <f>VLOOKUP(A249,'18. DADOS - HISTORICO MANUT. 20'!$E:$I,3,0)</f>
        <v>TORNEIRA CROMADA 1/2_x0094_ OU 3/4_x0094_ PARA TANQUE, PADRÃO MÉDIO - FORNECIMENTO E INSTALAÇÃO. AF_01/2020</v>
      </c>
      <c r="D249" s="1028" t="str">
        <f>VLOOKUP(A249,'18. DADOS - HISTORICO MANUT. 20'!$E:$I,4,0)</f>
        <v>UN</v>
      </c>
      <c r="E249" s="1028">
        <f>SUMIF('18. DADOS - HISTORICO MANUT. 20'!E:E,A249,'18. DADOS - HISTORICO MANUT. 20'!I:I)</f>
        <v>2</v>
      </c>
      <c r="F249" s="1030"/>
      <c r="G249" s="1030"/>
      <c r="H249" s="1031" t="str">
        <f>IFERROR(__xludf.DUMMYFUNCTION("""COMPUTED_VALUE"""),"MAN_PR_076")</f>
        <v>MAN_PR_076</v>
      </c>
      <c r="I249" s="1028" t="str">
        <f t="shared" si="1"/>
        <v>COMP.EVENTUAL</v>
      </c>
      <c r="J249" s="1029" t="str">
        <f t="shared" si="2"/>
        <v>FORNECIMENTO E INSTALAÇÃO DE CAIXA PARA QUADRO DE COMANDO TIPO CC PLAST 30X20X17CM CINZA/TR</v>
      </c>
      <c r="K249" s="1031" t="str">
        <f t="shared" si="3"/>
        <v>KG    </v>
      </c>
      <c r="L249" s="1031">
        <f t="shared" si="4"/>
        <v>5</v>
      </c>
      <c r="M249" s="1031">
        <f t="shared" si="5"/>
        <v>2.5</v>
      </c>
      <c r="N249" s="1032">
        <f t="shared" si="6"/>
        <v>2.13666757</v>
      </c>
      <c r="O249" s="1033">
        <f t="shared" ref="O249:O253" si="52">ROUND(N249,0)</f>
        <v>2</v>
      </c>
      <c r="P249" s="1030"/>
    </row>
    <row r="250">
      <c r="A250" s="1059">
        <f>IFERROR(__xludf.DUMMYFUNCTION("""COMPUTED_VALUE"""),94498.0)</f>
        <v>94498</v>
      </c>
      <c r="B250" s="1028" t="str">
        <f>VLOOKUP(A250,'18. DADOS - HISTORICO MANUT. 20'!E:I,2,0)</f>
        <v>SINAPI-S</v>
      </c>
      <c r="C250" s="1029" t="str">
        <f>VLOOKUP(A250,'18. DADOS - HISTORICO MANUT. 20'!$E:$I,3,0)</f>
        <v>REGISTRO DE GAVETA BRUTO, LATÃO, ROSCÁVEL, 2" - FORNECIMENTO E INSTALAÇÃO. AF_08/2021</v>
      </c>
      <c r="D250" s="1028" t="str">
        <f>VLOOKUP(A250,'18. DADOS - HISTORICO MANUT. 20'!$E:$I,4,0)</f>
        <v>UN</v>
      </c>
      <c r="E250" s="1028">
        <f>SUMIF('18. DADOS - HISTORICO MANUT. 20'!E:E,A250,'18. DADOS - HISTORICO MANUT. 20'!I:I)</f>
        <v>1</v>
      </c>
      <c r="F250" s="1030"/>
      <c r="G250" s="1030"/>
      <c r="H250" s="1031">
        <f>IFERROR(__xludf.DUMMYFUNCTION("""COMPUTED_VALUE"""),103425.0)</f>
        <v>103425</v>
      </c>
      <c r="I250" s="1028" t="str">
        <f t="shared" si="1"/>
        <v>SINAPI-S</v>
      </c>
      <c r="J250" s="1029" t="str">
        <f t="shared" si="2"/>
        <v>LUVA, EM PEAD LISO PARA REDE DE ÁGUA OU ESGOTO, DIÂMETRO DE 20 MM, JUNTA SOLDADA POR ELETROFUSÃO (NÃO INCLUI A EXECUÇÃO DE SOLDA). AF_12/2021</v>
      </c>
      <c r="K250" s="1031" t="str">
        <f t="shared" si="3"/>
        <v>UN</v>
      </c>
      <c r="L250" s="1031">
        <f t="shared" si="4"/>
        <v>10</v>
      </c>
      <c r="M250" s="1031">
        <f t="shared" si="5"/>
        <v>5</v>
      </c>
      <c r="N250" s="1032">
        <f t="shared" si="6"/>
        <v>4.27333514</v>
      </c>
      <c r="O250" s="1033">
        <f t="shared" si="52"/>
        <v>4</v>
      </c>
      <c r="P250" s="1030"/>
    </row>
    <row r="251">
      <c r="A251" s="1059" t="str">
        <f>IFERROR(__xludf.DUMMYFUNCTION("""COMPUTED_VALUE"""),"MAN_PR_025")</f>
        <v>MAN_PR_025</v>
      </c>
      <c r="B251" s="1028" t="str">
        <f>VLOOKUP(A251,'18. DADOS - HISTORICO MANUT. 20'!E:I,2,0)</f>
        <v>COMP.EVENTUAL</v>
      </c>
      <c r="C251" s="1029" t="str">
        <f>VLOOKUP(A251,'18. DADOS - HISTORICO MANUT. 20'!$E:$I,3,0)</f>
        <v>FORNECIMENTO E INSTALAÇÃO DE CANALETA EM PVC PARA INSTALAÇÃO ELÉTRICA APARENTE, INCLUSIVE CONEXÕES, DIMENSÕES 20 X 10 MM</v>
      </c>
      <c r="D251" s="1028" t="str">
        <f>VLOOKUP(A251,'18. DADOS - HISTORICO MANUT. 20'!$E:$I,4,0)</f>
        <v>M</v>
      </c>
      <c r="E251" s="1028">
        <f>SUMIF('18. DADOS - HISTORICO MANUT. 20'!E:E,A251,'18. DADOS - HISTORICO MANUT. 20'!I:I)</f>
        <v>17</v>
      </c>
      <c r="F251" s="1030"/>
      <c r="G251" s="1030"/>
      <c r="H251" s="1031">
        <f>IFERROR(__xludf.DUMMYFUNCTION("""COMPUTED_VALUE"""),1599.0)</f>
        <v>1599</v>
      </c>
      <c r="I251" s="1028" t="str">
        <f t="shared" si="1"/>
        <v>SINAPI-I</v>
      </c>
      <c r="J251" s="1029" t="str">
        <f t="shared" si="2"/>
        <v>CONECTOR DE ALUMINIO TIPO PRENSA CABO, BITOLA 3/4", PARA CABOS DE DIAMETRO DE 17,5 A 20 MM</v>
      </c>
      <c r="K251" s="1031" t="str">
        <f t="shared" si="3"/>
        <v>UN</v>
      </c>
      <c r="L251" s="1031">
        <f t="shared" si="4"/>
        <v>31</v>
      </c>
      <c r="M251" s="1031">
        <f t="shared" si="5"/>
        <v>15.5</v>
      </c>
      <c r="N251" s="1032">
        <f t="shared" si="6"/>
        <v>13.24733893</v>
      </c>
      <c r="O251" s="1033">
        <f t="shared" si="52"/>
        <v>13</v>
      </c>
      <c r="P251" s="1030"/>
    </row>
    <row r="252">
      <c r="A252" s="1059">
        <f>IFERROR(__xludf.DUMMYFUNCTION("""COMPUTED_VALUE"""),94975.0)</f>
        <v>94975</v>
      </c>
      <c r="B252" s="1028" t="str">
        <f>VLOOKUP(A252,'18. DADOS - HISTORICO MANUT. 20'!E:I,2,0)</f>
        <v>SINAPI-S</v>
      </c>
      <c r="C252" s="1029" t="str">
        <f>VLOOKUP(A252,'18. DADOS - HISTORICO MANUT. 20'!$E:$I,3,0)</f>
        <v>CONCRETO FCK = 15MPA, TRAÇO 1:3,4:3,5 (EM MASSA SECA DE CIMENTO/ AREIA MÉDIA/ BRITA 1) - PREPARO MANUAL. AF_05/2021</v>
      </c>
      <c r="D252" s="1028" t="str">
        <f>VLOOKUP(A252,'18. DADOS - HISTORICO MANUT. 20'!$E:$I,4,0)</f>
        <v>M3</v>
      </c>
      <c r="E252" s="1028">
        <f>SUMIF('18. DADOS - HISTORICO MANUT. 20'!E:E,A252,'18. DADOS - HISTORICO MANUT. 20'!I:I)</f>
        <v>1</v>
      </c>
      <c r="F252" s="1030"/>
      <c r="G252" s="1030"/>
      <c r="H252" s="1031">
        <f>IFERROR(__xludf.DUMMYFUNCTION("""COMPUTED_VALUE"""),100749.0)</f>
        <v>100749</v>
      </c>
      <c r="I252" s="1028" t="str">
        <f t="shared" si="1"/>
        <v>SINAPI-S</v>
      </c>
      <c r="J252" s="1029" t="str">
        <f t="shared" si="2"/>
        <v>PINTURA COM TINTA ALQUÍDICA DE ACABAMENTO (ESMALTE SINTÉTICO FOSCO) PULVERIZADA SOBRE SUPERFÍCIES METÁLICAS (EXCETO PERFIL) EXECUTADO EM OBRA (POR DEMÃO). AF_01/2020_PE</v>
      </c>
      <c r="K252" s="1031" t="str">
        <f t="shared" si="3"/>
        <v>M2</v>
      </c>
      <c r="L252" s="1031">
        <f t="shared" si="4"/>
        <v>2</v>
      </c>
      <c r="M252" s="1031">
        <f t="shared" si="5"/>
        <v>1</v>
      </c>
      <c r="N252" s="1032">
        <f t="shared" si="6"/>
        <v>0.854667028</v>
      </c>
      <c r="O252" s="1033">
        <f t="shared" si="52"/>
        <v>1</v>
      </c>
      <c r="P252" s="1030"/>
    </row>
    <row r="253">
      <c r="A253" s="1059">
        <f>IFERROR(__xludf.DUMMYFUNCTION("""COMPUTED_VALUE"""),101883.0)</f>
        <v>101883</v>
      </c>
      <c r="B253" s="1028" t="str">
        <f>VLOOKUP(A253,'18. DADOS - HISTORICO MANUT. 20'!E:I,2,0)</f>
        <v>SINAPI-S</v>
      </c>
      <c r="C253" s="1029" t="str">
        <f>VLOOKUP(A253,'18. DADOS - HISTORICO MANUT. 20'!$E:$I,3,0)</f>
        <v>QUADRO DE DISTRIBUIÇÃO DE ENERGIA EM CHAPA DE AÇO GALVANIZADO, DE EMBUTIR, COM BARRAMENTO TRIFÁSICO, PARA 18 DISJUNTORES DIN 100A - FORNECIMENTO E INSTALAÇÃO. AF_10/2020</v>
      </c>
      <c r="D253" s="1028" t="str">
        <f>VLOOKUP(A253,'18. DADOS - HISTORICO MANUT. 20'!$E:$I,4,0)</f>
        <v>UN</v>
      </c>
      <c r="E253" s="1028">
        <f>SUMIF('18. DADOS - HISTORICO MANUT. 20'!E:E,A253,'18. DADOS - HISTORICO MANUT. 20'!I:I)</f>
        <v>2</v>
      </c>
      <c r="F253" s="1030"/>
      <c r="G253" s="1030"/>
      <c r="H253" s="1031">
        <f>IFERROR(__xludf.DUMMYFUNCTION("""COMPUTED_VALUE"""),1535.0)</f>
        <v>1535</v>
      </c>
      <c r="I253" s="1028" t="str">
        <f t="shared" si="1"/>
        <v>SINAPI-I</v>
      </c>
      <c r="J253" s="1029" t="str">
        <f t="shared" si="2"/>
        <v>TERMINAL METALICO A PRESSAO PARA 1 CABO DE 6 A 10 MM2, COM 1 FURO DE FIXACAO</v>
      </c>
      <c r="K253" s="1031" t="str">
        <f t="shared" si="3"/>
        <v>UN</v>
      </c>
      <c r="L253" s="1031">
        <f t="shared" si="4"/>
        <v>2</v>
      </c>
      <c r="M253" s="1031">
        <f t="shared" si="5"/>
        <v>1</v>
      </c>
      <c r="N253" s="1032">
        <f t="shared" si="6"/>
        <v>0.854667028</v>
      </c>
      <c r="O253" s="1033">
        <f t="shared" si="52"/>
        <v>1</v>
      </c>
      <c r="P253" s="1030"/>
    </row>
    <row r="254">
      <c r="A254" s="1059">
        <f>IFERROR(__xludf.DUMMYFUNCTION("""COMPUTED_VALUE"""),102163.0)</f>
        <v>102163</v>
      </c>
      <c r="B254" s="1028" t="str">
        <f>VLOOKUP(A254,'18. DADOS - HISTORICO MANUT. 20'!E:I,2,0)</f>
        <v>SINAPI-S</v>
      </c>
      <c r="C254" s="1029" t="str">
        <f>VLOOKUP(A254,'18. DADOS - HISTORICO MANUT. 20'!$E:$I,3,0)</f>
        <v>INSTALAÇÃO DE VIDRO LISO FUME, E = 4 MM, EM ESQUADRIA DE ALUMÍNIO OU PVC, FIXADO COM BAGUETE. AF_01/2021_PS</v>
      </c>
      <c r="D254" s="1028" t="str">
        <f>VLOOKUP(A254,'18. DADOS - HISTORICO MANUT. 20'!$E:$I,4,0)</f>
        <v>M2</v>
      </c>
      <c r="E254" s="1028">
        <f>SUMIF('18. DADOS - HISTORICO MANUT. 20'!E:E,A254,'18. DADOS - HISTORICO MANUT. 20'!I:I)</f>
        <v>2</v>
      </c>
      <c r="F254" s="1030"/>
      <c r="G254" s="1030"/>
      <c r="H254" s="1031">
        <f>IFERROR(__xludf.DUMMYFUNCTION("""COMPUTED_VALUE"""),1550.0)</f>
        <v>1550</v>
      </c>
      <c r="I254" s="1028" t="str">
        <f t="shared" si="1"/>
        <v>SINAPI-I</v>
      </c>
      <c r="J254" s="1029" t="str">
        <f t="shared" si="2"/>
        <v>CONECTOR METALICO TIPO PARAFUSO FENDIDO (SPLIT BOLT), PARA CABOS ATE 25 MM2</v>
      </c>
      <c r="K254" s="1031" t="str">
        <f t="shared" si="3"/>
        <v>UN</v>
      </c>
      <c r="L254" s="1031">
        <f t="shared" si="4"/>
        <v>1</v>
      </c>
      <c r="M254" s="1031">
        <f t="shared" si="5"/>
        <v>0.5</v>
      </c>
      <c r="N254" s="1032">
        <f t="shared" si="6"/>
        <v>0.427333514</v>
      </c>
      <c r="O254" s="1033">
        <f>ROUND(N254,0)+1</f>
        <v>1</v>
      </c>
      <c r="P254" s="1030"/>
    </row>
    <row r="255">
      <c r="A255" s="1059" t="str">
        <f>IFERROR(__xludf.DUMMYFUNCTION("""COMPUTED_VALUE"""),"MAN_PR_063")</f>
        <v>MAN_PR_063</v>
      </c>
      <c r="B255" s="1028" t="str">
        <f>VLOOKUP(A255,'18. DADOS - HISTORICO MANUT. 20'!E:I,2,0)</f>
        <v>COMP.EVENTUAL</v>
      </c>
      <c r="C255" s="1029" t="str">
        <f>VLOOKUP(A255,'18. DADOS - HISTORICO MANUT. 20'!$E:$I,3,0)</f>
        <v>CERCA ELÉTRICA INDUSTRIAL INCLUSIVE FIXAÇÃO, CENTRAL DE CHOQUE, BATERIA, SIRENE,HASTES, ATERRAMENTO, FIOS E PLACAS DE ATENÇÃO</v>
      </c>
      <c r="D255" s="1028" t="str">
        <f>VLOOKUP(A255,'18. DADOS - HISTORICO MANUT. 20'!$E:$I,4,0)</f>
        <v>M</v>
      </c>
      <c r="E255" s="1028">
        <f>SUMIF('18. DADOS - HISTORICO MANUT. 20'!E:E,A255,'18. DADOS - HISTORICO MANUT. 20'!I:I)</f>
        <v>1</v>
      </c>
      <c r="F255" s="1030"/>
      <c r="G255" s="1030"/>
      <c r="H255" s="1031">
        <f>IFERROR(__xludf.DUMMYFUNCTION("""COMPUTED_VALUE"""),101875.0)</f>
        <v>101875</v>
      </c>
      <c r="I255" s="1028" t="str">
        <f t="shared" si="1"/>
        <v>SINAPI-S</v>
      </c>
      <c r="J255" s="1029" t="str">
        <f t="shared" si="2"/>
        <v>QUADRO DE DISTRIBUIÇÃO DE ENERGIA EM CHAPA DE AÇO GALVANIZADO, DE EMBUTIR, COM BARRAMENTO TRIFÁSICO, PARA 12 DISJUNTORES DIN 100A - FORNECIMENTO E INSTALAÇÃO. AF_10/2020</v>
      </c>
      <c r="K255" s="1031" t="str">
        <f t="shared" si="3"/>
        <v>UN</v>
      </c>
      <c r="L255" s="1031">
        <f t="shared" si="4"/>
        <v>2</v>
      </c>
      <c r="M255" s="1031">
        <f t="shared" si="5"/>
        <v>1</v>
      </c>
      <c r="N255" s="1032">
        <f t="shared" si="6"/>
        <v>0.854667028</v>
      </c>
      <c r="O255" s="1033">
        <f t="shared" ref="O255:O256" si="53">ROUND(N255,0)</f>
        <v>1</v>
      </c>
      <c r="P255" s="1030"/>
    </row>
    <row r="256">
      <c r="A256" s="1059">
        <f>IFERROR(__xludf.DUMMYFUNCTION("""COMPUTED_VALUE"""),87398.0)</f>
        <v>87398</v>
      </c>
      <c r="B256" s="1028" t="str">
        <f>VLOOKUP(A256,'18. DADOS - HISTORICO MANUT. 20'!E:I,2,0)</f>
        <v>SINAPI-S</v>
      </c>
      <c r="C256" s="1029" t="str">
        <f>VLOOKUP(A256,'18. DADOS - HISTORICO MANUT. 20'!$E:$I,3,0)</f>
        <v>ARGAMASSA INDUSTRIALIZADA MULTIUSO PARA REVESTIMENTOS E ASSENTAMENTO DA ALVENARIA, PREPARO MANUAL. AF_08/2019</v>
      </c>
      <c r="D256" s="1028" t="str">
        <f>VLOOKUP(A256,'18. DADOS - HISTORICO MANUT. 20'!$E:$I,4,0)</f>
        <v>M3</v>
      </c>
      <c r="E256" s="1028">
        <f>SUMIF('18. DADOS - HISTORICO MANUT. 20'!E:E,A256,'18. DADOS - HISTORICO MANUT. 20'!I:I)</f>
        <v>2</v>
      </c>
      <c r="F256" s="1030"/>
      <c r="G256" s="1030"/>
      <c r="H256" s="1031">
        <f>IFERROR(__xludf.DUMMYFUNCTION("""COMPUTED_VALUE"""),5678.0)</f>
        <v>5678</v>
      </c>
      <c r="I256" s="1028" t="str">
        <f t="shared" si="1"/>
        <v>SINAPI-S</v>
      </c>
      <c r="J256" s="1029" t="str">
        <f t="shared" si="2"/>
        <v>RETROESCAVADEIRA SOBRE RODAS COM CARREGADEIRA, TRAÇÃO 4X4, POTÊNCIA LÍQ. 88 HP, CAÇAMBA CARREG. CAP. MÍN. 1 M3, CAÇAMBA RETRO CAP. 0,26 M3, PESO OPERACIONAL MÍN. 6.674 KG, PROFUNDIDADE ESCAVAÇÃO MÁX. 4,37 M - CHP DIURNO. AF_06/2014</v>
      </c>
      <c r="K256" s="1031" t="str">
        <f t="shared" si="3"/>
        <v>CHP</v>
      </c>
      <c r="L256" s="1031">
        <f t="shared" si="4"/>
        <v>8</v>
      </c>
      <c r="M256" s="1031">
        <f t="shared" si="5"/>
        <v>4</v>
      </c>
      <c r="N256" s="1032">
        <f t="shared" si="6"/>
        <v>3.418668112</v>
      </c>
      <c r="O256" s="1033">
        <f t="shared" si="53"/>
        <v>3</v>
      </c>
      <c r="P256" s="1030"/>
    </row>
    <row r="257">
      <c r="A257" s="1059">
        <f>IFERROR(__xludf.DUMMYFUNCTION("""COMPUTED_VALUE"""),5795.0)</f>
        <v>5795</v>
      </c>
      <c r="B257" s="1028" t="str">
        <f>VLOOKUP(A257,'18. DADOS - HISTORICO MANUT. 20'!E:I,2,0)</f>
        <v>SINAPI-S</v>
      </c>
      <c r="C257" s="1029" t="str">
        <f>VLOOKUP(A257,'18. DADOS - HISTORICO MANUT. 20'!$E:$I,3,0)</f>
        <v>MARTELETE OU ROMPEDOR PNEUMÁTICO MANUAL, 28 KG, COM SILENCIADOR - CHP DIURNO. AF_07/2016</v>
      </c>
      <c r="D257" s="1028" t="str">
        <f>VLOOKUP(A257,'18. DADOS - HISTORICO MANUT. 20'!$E:$I,4,0)</f>
        <v>CHP</v>
      </c>
      <c r="E257" s="1028">
        <f>SUMIF('18. DADOS - HISTORICO MANUT. 20'!E:E,A257,'18. DADOS - HISTORICO MANUT. 20'!I:I)</f>
        <v>3</v>
      </c>
      <c r="F257" s="1030"/>
      <c r="G257" s="1030"/>
      <c r="H257" s="1031">
        <f>IFERROR(__xludf.DUMMYFUNCTION("""COMPUTED_VALUE"""),98101.0)</f>
        <v>98101</v>
      </c>
      <c r="I257" s="1028" t="str">
        <f t="shared" si="1"/>
        <v>SINAPI-S</v>
      </c>
      <c r="J257" s="1029" t="str">
        <f t="shared" si="2"/>
        <v>SUMIDOURO RETANGULAR, EM ALVENARIA COM BLOCOS DE CONCRETO, DIMENSÕES INTERNAS: 1,6 X 5,8 X H=3,0 M, ÁREA DE INFILTRAÇÃO: 50 M² (PARA 20 CONTRIBUINTES). . AF_12/2020</v>
      </c>
      <c r="K257" s="1031" t="str">
        <f t="shared" si="3"/>
        <v>UN</v>
      </c>
      <c r="L257" s="1031">
        <f t="shared" si="4"/>
        <v>1</v>
      </c>
      <c r="M257" s="1031">
        <f t="shared" si="5"/>
        <v>0.5</v>
      </c>
      <c r="N257" s="1032">
        <f t="shared" si="6"/>
        <v>0.427333514</v>
      </c>
      <c r="O257" s="1033">
        <f t="shared" ref="O257:O259" si="54">ROUND(N257,0)+1</f>
        <v>1</v>
      </c>
      <c r="P257" s="1030"/>
    </row>
    <row r="258">
      <c r="A258" s="1059">
        <f>IFERROR(__xludf.DUMMYFUNCTION("""COMPUTED_VALUE"""),102608.0)</f>
        <v>102608</v>
      </c>
      <c r="B258" s="1028" t="str">
        <f>VLOOKUP(A258,'18. DADOS - HISTORICO MANUT. 20'!E:I,2,0)</f>
        <v>SINAPI-S</v>
      </c>
      <c r="C258" s="1029" t="str">
        <f>VLOOKUP(A258,'18. DADOS - HISTORICO MANUT. 20'!$E:$I,3,0)</f>
        <v>CAIXA D´ÁGUA EM POLIETILENO, 1500 LITROS - FORNECIMENTO E INSTALAÇÃO. AF_06/2021</v>
      </c>
      <c r="D258" s="1028" t="str">
        <f>VLOOKUP(A258,'18. DADOS - HISTORICO MANUT. 20'!$E:$I,4,0)</f>
        <v>UN</v>
      </c>
      <c r="E258" s="1028">
        <f>SUMIF('18. DADOS - HISTORICO MANUT. 20'!E:E,A258,'18. DADOS - HISTORICO MANUT. 20'!I:I)</f>
        <v>2</v>
      </c>
      <c r="F258" s="1030"/>
      <c r="G258" s="1030"/>
      <c r="H258" s="1031">
        <f>IFERROR(__xludf.DUMMYFUNCTION("""COMPUTED_VALUE"""),98059.0)</f>
        <v>98059</v>
      </c>
      <c r="I258" s="1028" t="str">
        <f t="shared" si="1"/>
        <v>SINAPI-S</v>
      </c>
      <c r="J258" s="1029" t="str">
        <f t="shared" si="2"/>
        <v>FILTRO ANAERÓBIO CIRCULAR, EM CONCRETO PRÉ-MOLDADO, DIÂMETRO INTERNO = 1,88 M, ALTURA INTERNA = 1,50 M, VOLUME ÚTIL: 3331,1 L (PARA 19 CONTRIBUINTES). AF_12/2020_PA</v>
      </c>
      <c r="K258" s="1031" t="str">
        <f t="shared" si="3"/>
        <v>UN</v>
      </c>
      <c r="L258" s="1031">
        <f t="shared" si="4"/>
        <v>1</v>
      </c>
      <c r="M258" s="1031">
        <f t="shared" si="5"/>
        <v>0.5</v>
      </c>
      <c r="N258" s="1032">
        <f t="shared" si="6"/>
        <v>0.427333514</v>
      </c>
      <c r="O258" s="1033">
        <f t="shared" si="54"/>
        <v>1</v>
      </c>
      <c r="P258" s="1030"/>
    </row>
    <row r="259">
      <c r="A259" s="1059">
        <f>IFERROR(__xludf.DUMMYFUNCTION("""COMPUTED_VALUE"""),89724.0)</f>
        <v>89724</v>
      </c>
      <c r="B259" s="1028" t="str">
        <f>VLOOKUP(A259,'18. DADOS - HISTORICO MANUT. 20'!E:I,2,0)</f>
        <v>SINAPI-S</v>
      </c>
      <c r="C259" s="1029" t="str">
        <f>VLOOKUP(A259,'18. DADOS - HISTORICO MANUT. 20'!$E:$I,3,0)</f>
        <v>JOELHO 90 GRAUS, PVC, SERIE NORMAL, ESGOTO PREDIAL, DN 40 MM, JUNTA SOLDÁVEL, FORNECIDO E INSTALADO EM RAMAL DE DESCARGA OU RAMAL DE ESGOTO SANITÁRIO. AF_08/2022</v>
      </c>
      <c r="D259" s="1028" t="str">
        <f>VLOOKUP(A259,'18. DADOS - HISTORICO MANUT. 20'!$E:$I,4,0)</f>
        <v>UN</v>
      </c>
      <c r="E259" s="1028">
        <f>SUMIF('18. DADOS - HISTORICO MANUT. 20'!E:E,A259,'18. DADOS - HISTORICO MANUT. 20'!I:I)</f>
        <v>2</v>
      </c>
      <c r="F259" s="1030"/>
      <c r="G259" s="1030"/>
      <c r="H259" s="1031">
        <f>IFERROR(__xludf.DUMMYFUNCTION("""COMPUTED_VALUE"""),98054.0)</f>
        <v>98054</v>
      </c>
      <c r="I259" s="1028" t="str">
        <f t="shared" si="1"/>
        <v>SINAPI-S</v>
      </c>
      <c r="J259" s="1029" t="str">
        <f t="shared" si="2"/>
        <v>TANQUE SÉPTICO CIRCULAR, EM CONCRETO PRÉ-MOLDADO, DIÂMETRO INTERNO = 1,88 M, ALTURA INTERNA = 2,50 M, VOLUME ÚTIL: 6245,8 L (PARA 32 CONTRIBUINTES). AF_12/2020_PA</v>
      </c>
      <c r="K259" s="1031" t="str">
        <f t="shared" si="3"/>
        <v>UN</v>
      </c>
      <c r="L259" s="1031">
        <f t="shared" si="4"/>
        <v>1</v>
      </c>
      <c r="M259" s="1031">
        <f t="shared" si="5"/>
        <v>0.5</v>
      </c>
      <c r="N259" s="1032">
        <f t="shared" si="6"/>
        <v>0.427333514</v>
      </c>
      <c r="O259" s="1033">
        <f t="shared" si="54"/>
        <v>1</v>
      </c>
      <c r="P259" s="1030"/>
    </row>
    <row r="260">
      <c r="A260" s="1059">
        <f>IFERROR(__xludf.DUMMYFUNCTION("""COMPUTED_VALUE"""),98110.0)</f>
        <v>98110</v>
      </c>
      <c r="B260" s="1028" t="str">
        <f>VLOOKUP(A260,'18. DADOS - HISTORICO MANUT. 20'!E:I,2,0)</f>
        <v>SINAPI-S</v>
      </c>
      <c r="C260" s="1029" t="str">
        <f>VLOOKUP(A260,'18. DADOS - HISTORICO MANUT. 20'!$E:$I,3,0)</f>
        <v>CAIXA DE GORDURA PEQUENA (CAPACIDADE: 19 L), CIRCULAR, EM PVC, DIÂMETRO INTERNO= 0,3 M. AF_12/2020</v>
      </c>
      <c r="D260" s="1028" t="str">
        <f>VLOOKUP(A260,'18. DADOS - HISTORICO MANUT. 20'!$E:$I,4,0)</f>
        <v>UN</v>
      </c>
      <c r="E260" s="1028">
        <f>SUMIF('18. DADOS - HISTORICO MANUT. 20'!E:E,A260,'18. DADOS - HISTORICO MANUT. 20'!I:I)</f>
        <v>1</v>
      </c>
      <c r="F260" s="1030"/>
      <c r="G260" s="1030"/>
      <c r="H260" s="1031" t="str">
        <f>IFERROR(__xludf.DUMMYFUNCTION("""COMPUTED_VALUE"""),"COT_MAN_036")</f>
        <v>COT_MAN_036</v>
      </c>
      <c r="I260" s="1028" t="str">
        <f t="shared" si="1"/>
        <v>COT.MERCADO</v>
      </c>
      <c r="J260" s="1029" t="str">
        <f t="shared" si="2"/>
        <v>CONTROLE PARA PORTÃO ELETRÔNICO 4 VIAS DE LONGO ALCANCE. REF.: INTELBRAS EP 04 OU SIMILAR</v>
      </c>
      <c r="K260" s="1031" t="str">
        <f t="shared" si="3"/>
        <v>UN</v>
      </c>
      <c r="L260" s="1031">
        <f t="shared" si="4"/>
        <v>3</v>
      </c>
      <c r="M260" s="1031">
        <f t="shared" si="5"/>
        <v>1.5</v>
      </c>
      <c r="N260" s="1032">
        <f t="shared" si="6"/>
        <v>1.282000542</v>
      </c>
      <c r="O260" s="1033">
        <f t="shared" ref="O260:O261" si="55">ROUND(N260,0)</f>
        <v>1</v>
      </c>
      <c r="P260" s="1030"/>
    </row>
    <row r="261">
      <c r="A261" s="1059">
        <f>IFERROR(__xludf.DUMMYFUNCTION("""COMPUTED_VALUE"""),86878.0)</f>
        <v>86878</v>
      </c>
      <c r="B261" s="1028" t="str">
        <f>VLOOKUP(A261,'18. DADOS - HISTORICO MANUT. 20'!E:I,2,0)</f>
        <v>SINAPI-S</v>
      </c>
      <c r="C261" s="1029" t="str">
        <f>VLOOKUP(A261,'18. DADOS - HISTORICO MANUT. 20'!$E:$I,3,0)</f>
        <v>VÁLVULA EM METAL CROMADO TIPO AMERICANA 3.1/2_x0094_ X 1.1/2_x0094_ PARA PIA - FORNECIMENTO E INSTALAÇÃO. AF_01/2020</v>
      </c>
      <c r="D261" s="1028" t="str">
        <f>VLOOKUP(A261,'18. DADOS - HISTORICO MANUT. 20'!$E:$I,4,0)</f>
        <v>UN</v>
      </c>
      <c r="E261" s="1028">
        <f>SUMIF('18. DADOS - HISTORICO MANUT. 20'!E:E,A261,'18. DADOS - HISTORICO MANUT. 20'!I:I)</f>
        <v>1</v>
      </c>
      <c r="F261" s="1030"/>
      <c r="G261" s="1030"/>
      <c r="H261" s="1031">
        <f>IFERROR(__xludf.DUMMYFUNCTION("""COMPUTED_VALUE"""),100554.0)</f>
        <v>100554</v>
      </c>
      <c r="I261" s="1028" t="str">
        <f t="shared" si="1"/>
        <v>SINAPI-S</v>
      </c>
      <c r="J261" s="1029" t="str">
        <f t="shared" si="2"/>
        <v>CABO COAXIAL RG59 95% - FORNECIMENTO E INSTALAÇÃO. AF_11/2019</v>
      </c>
      <c r="K261" s="1031" t="str">
        <f t="shared" si="3"/>
        <v>M</v>
      </c>
      <c r="L261" s="1031">
        <f t="shared" si="4"/>
        <v>4</v>
      </c>
      <c r="M261" s="1031">
        <f t="shared" si="5"/>
        <v>2</v>
      </c>
      <c r="N261" s="1032">
        <f t="shared" si="6"/>
        <v>1.709334056</v>
      </c>
      <c r="O261" s="1033">
        <f t="shared" si="55"/>
        <v>2</v>
      </c>
      <c r="P261" s="1030"/>
    </row>
    <row r="262">
      <c r="A262" s="1059">
        <f>IFERROR(__xludf.DUMMYFUNCTION("""COMPUTED_VALUE"""),104395.0)</f>
        <v>104395</v>
      </c>
      <c r="B262" s="1028" t="str">
        <f>VLOOKUP(A262,'18. DADOS - HISTORICO MANUT. 20'!E:I,2,0)</f>
        <v>SINAPI-S</v>
      </c>
      <c r="C262" s="1029" t="str">
        <f>VLOOKUP(A262,'18. DADOS - HISTORICO MANUT. 20'!$E:$I,3,0)</f>
        <v>CONDULETE DE PVC, TIPO E, PARA ELETRODUTO DE PVC SOLDÁVEL DN 20 MM (1/2''), APARENTE - FORNECIMENTO E INSTALAÇÃO. AF_10/2022</v>
      </c>
      <c r="D262" s="1028" t="str">
        <f>VLOOKUP(A262,'18. DADOS - HISTORICO MANUT. 20'!$E:$I,4,0)</f>
        <v>UN</v>
      </c>
      <c r="E262" s="1028">
        <f>SUMIF('18. DADOS - HISTORICO MANUT. 20'!E:E,A262,'18. DADOS - HISTORICO MANUT. 20'!I:I)</f>
        <v>4</v>
      </c>
      <c r="F262" s="1030"/>
      <c r="G262" s="1030"/>
      <c r="H262" s="1031">
        <f>IFERROR(__xludf.DUMMYFUNCTION("""COMPUTED_VALUE"""),38105.0)</f>
        <v>38105</v>
      </c>
      <c r="I262" s="1028" t="str">
        <f t="shared" si="1"/>
        <v>SINAPI-I</v>
      </c>
      <c r="J262" s="1029" t="str">
        <f t="shared" si="2"/>
        <v>TOMADA PARA ANTENA DE TV, CABO COAXIAL DE 9 MM (APENAS MODULO)</v>
      </c>
      <c r="K262" s="1031" t="str">
        <f t="shared" si="3"/>
        <v>UN</v>
      </c>
      <c r="L262" s="1031">
        <f t="shared" si="4"/>
        <v>1</v>
      </c>
      <c r="M262" s="1031">
        <f t="shared" si="5"/>
        <v>0.5</v>
      </c>
      <c r="N262" s="1032">
        <f t="shared" si="6"/>
        <v>0.427333514</v>
      </c>
      <c r="O262" s="1033">
        <f>ROUND(N262,0)+1</f>
        <v>1</v>
      </c>
      <c r="P262" s="1030"/>
    </row>
    <row r="263">
      <c r="A263" s="1059">
        <f>IFERROR(__xludf.DUMMYFUNCTION("""COMPUTED_VALUE"""),91884.0)</f>
        <v>91884</v>
      </c>
      <c r="B263" s="1028" t="str">
        <f>VLOOKUP(A263,'18. DADOS - HISTORICO MANUT. 20'!E:I,2,0)</f>
        <v>SINAPI-S</v>
      </c>
      <c r="C263" s="1029" t="str">
        <f>VLOOKUP(A263,'18. DADOS - HISTORICO MANUT. 20'!$E:$I,3,0)</f>
        <v>LUVA PARA ELETRODUTO, PVC, ROSCÁVEL, DN 25 MM (3/4"), PARA CIRCUITOS TERMINAIS, INSTALADA EM PAREDE - FORNECIMENTO E INSTALAÇÃO. AF_03/2023</v>
      </c>
      <c r="D263" s="1028" t="str">
        <f>VLOOKUP(A263,'18. DADOS - HISTORICO MANUT. 20'!$E:$I,4,0)</f>
        <v>UN</v>
      </c>
      <c r="E263" s="1028">
        <f>SUMIF('18. DADOS - HISTORICO MANUT. 20'!E:E,A263,'18. DADOS - HISTORICO MANUT. 20'!I:I)</f>
        <v>4</v>
      </c>
      <c r="F263" s="1030"/>
      <c r="G263" s="1030"/>
      <c r="H263" s="1031">
        <f>IFERROR(__xludf.DUMMYFUNCTION("""COMPUTED_VALUE"""),98300.0)</f>
        <v>98300</v>
      </c>
      <c r="I263" s="1028" t="str">
        <f t="shared" si="1"/>
        <v>SINAPI-S</v>
      </c>
      <c r="J263" s="1029" t="str">
        <f t="shared" si="2"/>
        <v>CABO COAXIAL RG6 95% - FORNECIMENTO E INSTALAÇÃO. AF_11/2019</v>
      </c>
      <c r="K263" s="1031" t="str">
        <f t="shared" si="3"/>
        <v>M</v>
      </c>
      <c r="L263" s="1031">
        <f t="shared" si="4"/>
        <v>10</v>
      </c>
      <c r="M263" s="1031">
        <f t="shared" si="5"/>
        <v>5</v>
      </c>
      <c r="N263" s="1032">
        <f t="shared" si="6"/>
        <v>4.27333514</v>
      </c>
      <c r="O263" s="1033">
        <f>ROUND(N263,0)</f>
        <v>4</v>
      </c>
      <c r="P263" s="1030"/>
    </row>
    <row r="264">
      <c r="A264" s="1059" t="str">
        <f>IFERROR(__xludf.DUMMYFUNCTION("""COMPUTED_VALUE"""),"MAN_PR_060")</f>
        <v>MAN_PR_060</v>
      </c>
      <c r="B264" s="1028" t="str">
        <f>VLOOKUP(A264,'18. DADOS - HISTORICO MANUT. 20'!E:I,2,0)</f>
        <v>COMP.EVENTUAL</v>
      </c>
      <c r="C264" s="1029" t="str">
        <f>VLOOKUP(A264,'18. DADOS - HISTORICO MANUT. 20'!$E:$I,3,0)</f>
        <v>CONECTOR PARA CABOS 4MM2 3 VIAS. REF. WAGO 221-413 OU SIMILAR</v>
      </c>
      <c r="D264" s="1028" t="str">
        <f>VLOOKUP(A264,'18. DADOS - HISTORICO MANUT. 20'!$E:$I,4,0)</f>
        <v>UN</v>
      </c>
      <c r="E264" s="1028">
        <f>SUMIF('18. DADOS - HISTORICO MANUT. 20'!E:E,A264,'18. DADOS - HISTORICO MANUT. 20'!I:I)</f>
        <v>100</v>
      </c>
      <c r="F264" s="1030"/>
      <c r="G264" s="1030"/>
      <c r="H264" s="1031">
        <f>IFERROR(__xludf.DUMMYFUNCTION("""COMPUTED_VALUE"""),38394.0)</f>
        <v>38394</v>
      </c>
      <c r="I264" s="1028" t="str">
        <f t="shared" si="1"/>
        <v>SINAPI-I</v>
      </c>
      <c r="J264" s="1029" t="str">
        <f t="shared" si="2"/>
        <v>KIT ACESSORIOS PARA COMPRESSOR DE AR, 5 PECAS (PISTOLAS PINTURA, LIMPEZA E PULVERIZACAO, CALIBRADOR E MANGUEIRA)</v>
      </c>
      <c r="K264" s="1031" t="str">
        <f t="shared" si="3"/>
        <v>UN</v>
      </c>
      <c r="L264" s="1031">
        <f t="shared" si="4"/>
        <v>1</v>
      </c>
      <c r="M264" s="1031">
        <f t="shared" si="5"/>
        <v>0.5</v>
      </c>
      <c r="N264" s="1032">
        <f t="shared" si="6"/>
        <v>0.427333514</v>
      </c>
      <c r="O264" s="1033">
        <f>ROUND(N264,0)+1</f>
        <v>1</v>
      </c>
      <c r="P264" s="1030"/>
    </row>
    <row r="265">
      <c r="A265" s="1059" t="str">
        <f>IFERROR(__xludf.DUMMYFUNCTION("""COMPUTED_VALUE"""),"MAN_PR_064")</f>
        <v>MAN_PR_064</v>
      </c>
      <c r="B265" s="1028" t="str">
        <f>VLOOKUP(A265,'18. DADOS - HISTORICO MANUT. 20'!E:I,2,0)</f>
        <v>COMP.EVENTUAL</v>
      </c>
      <c r="C265" s="1029" t="str">
        <f>VLOOKUP(A265,'18. DADOS - HISTORICO MANUT. 20'!$E:$I,3,0)</f>
        <v>FORNECIMENTO E INSTALAÇÃO DE CABO DE COBRE PP CORDPLAST 3 X 4,0MM2, 450/750V</v>
      </c>
      <c r="D265" s="1028" t="str">
        <f>VLOOKUP(A265,'18. DADOS - HISTORICO MANUT. 20'!$E:$I,4,0)</f>
        <v>M</v>
      </c>
      <c r="E265" s="1028">
        <f>SUMIF('18. DADOS - HISTORICO MANUT. 20'!E:E,A265,'18. DADOS - HISTORICO MANUT. 20'!I:I)</f>
        <v>10</v>
      </c>
      <c r="F265" s="1030"/>
      <c r="G265" s="1030"/>
      <c r="H265" s="1031">
        <f>IFERROR(__xludf.DUMMYFUNCTION("""COMPUTED_VALUE"""),12892.0)</f>
        <v>12892</v>
      </c>
      <c r="I265" s="1028" t="str">
        <f t="shared" si="1"/>
        <v>SINAPI-I</v>
      </c>
      <c r="J265" s="1029" t="str">
        <f t="shared" si="2"/>
        <v>LUVA RASPA DE COURO, CANO CURTO (PUNHO *7* CM)</v>
      </c>
      <c r="K265" s="1031" t="str">
        <f t="shared" si="3"/>
        <v>PAR</v>
      </c>
      <c r="L265" s="1031">
        <f t="shared" si="4"/>
        <v>2</v>
      </c>
      <c r="M265" s="1031">
        <f t="shared" si="5"/>
        <v>1</v>
      </c>
      <c r="N265" s="1032">
        <f t="shared" si="6"/>
        <v>0.854667028</v>
      </c>
      <c r="O265" s="1033">
        <f t="shared" ref="O265:O268" si="56">ROUND(N265,0)</f>
        <v>1</v>
      </c>
      <c r="P265" s="1030"/>
    </row>
    <row r="266">
      <c r="A266" s="1059">
        <f>IFERROR(__xludf.DUMMYFUNCTION("""COMPUTED_VALUE"""),3777.0)</f>
        <v>3777</v>
      </c>
      <c r="B266" s="1028" t="str">
        <f>VLOOKUP(A266,'18. DADOS - HISTORICO MANUT. 20'!E:I,2,0)</f>
        <v>SINAPI-I</v>
      </c>
      <c r="C266" s="1029" t="str">
        <f>VLOOKUP(A266,'18. DADOS - HISTORICO MANUT. 20'!$E:$I,3,0)</f>
        <v>LONA PLASTICA PESADA PRETA, E = 150 MICRA</v>
      </c>
      <c r="D266" s="1028" t="str">
        <f>VLOOKUP(A266,'18. DADOS - HISTORICO MANUT. 20'!$E:$I,4,0)</f>
        <v>M2</v>
      </c>
      <c r="E266" s="1028">
        <f>SUMIF('18. DADOS - HISTORICO MANUT. 20'!E:E,A266,'18. DADOS - HISTORICO MANUT. 20'!I:I)</f>
        <v>100</v>
      </c>
      <c r="F266" s="1030"/>
      <c r="G266" s="1030"/>
      <c r="H266" s="1031">
        <f>IFERROR(__xludf.DUMMYFUNCTION("""COMPUTED_VALUE"""),38140.0)</f>
        <v>38140</v>
      </c>
      <c r="I266" s="1028" t="str">
        <f t="shared" si="1"/>
        <v>SINAPI-I</v>
      </c>
      <c r="J266" s="1029" t="str">
        <f t="shared" si="2"/>
        <v>DISCO DE CORTE DIAMANTADO SEGMENTADO PARA CONCRETO, DIAMETRO DE 110 MM, FURO DE 20 MM</v>
      </c>
      <c r="K266" s="1031" t="str">
        <f t="shared" si="3"/>
        <v>UN</v>
      </c>
      <c r="L266" s="1031">
        <f t="shared" si="4"/>
        <v>23</v>
      </c>
      <c r="M266" s="1031">
        <f t="shared" si="5"/>
        <v>11.5</v>
      </c>
      <c r="N266" s="1032">
        <f t="shared" si="6"/>
        <v>9.828670821</v>
      </c>
      <c r="O266" s="1033">
        <f t="shared" si="56"/>
        <v>10</v>
      </c>
      <c r="P266" s="1030"/>
    </row>
    <row r="267">
      <c r="A267" s="1059">
        <f>IFERROR(__xludf.DUMMYFUNCTION("""COMPUTED_VALUE"""),92273.0)</f>
        <v>92273</v>
      </c>
      <c r="B267" s="1028" t="str">
        <f>VLOOKUP(A267,'18. DADOS - HISTORICO MANUT. 20'!E:I,2,0)</f>
        <v>SINAPI-S</v>
      </c>
      <c r="C267" s="1029" t="str">
        <f>VLOOKUP(A267,'18. DADOS - HISTORICO MANUT. 20'!$E:$I,3,0)</f>
        <v>FABRICAÇÃO DE ESCORAS DO TIPO PONTALETE, EM MADEIRA, PARA PÉ-DIREITO SIMPLES. AF_09/2020</v>
      </c>
      <c r="D267" s="1028" t="str">
        <f>VLOOKUP(A267,'18. DADOS - HISTORICO MANUT. 20'!$E:$I,4,0)</f>
        <v>M</v>
      </c>
      <c r="E267" s="1028">
        <f>SUMIF('18. DADOS - HISTORICO MANUT. 20'!E:E,A267,'18. DADOS - HISTORICO MANUT. 20'!I:I)</f>
        <v>180</v>
      </c>
      <c r="F267" s="1030"/>
      <c r="G267" s="1030"/>
      <c r="H267" s="1031">
        <f>IFERROR(__xludf.DUMMYFUNCTION("""COMPUTED_VALUE"""),21012.0)</f>
        <v>21012</v>
      </c>
      <c r="I267" s="1028" t="str">
        <f t="shared" si="1"/>
        <v>SINAPI-I</v>
      </c>
      <c r="J267" s="1029" t="str">
        <f t="shared" si="2"/>
        <v>TUBO ACO GALVANIZADO COM COSTURA, CLASSE LEVE, DN 40 MM ( 1 1/2"),  E = 3,00 MM,  *3,48* KG/M (NBR 5580)</v>
      </c>
      <c r="K267" s="1031" t="str">
        <f t="shared" si="3"/>
        <v>M</v>
      </c>
      <c r="L267" s="1031">
        <f t="shared" si="4"/>
        <v>2</v>
      </c>
      <c r="M267" s="1031">
        <f t="shared" si="5"/>
        <v>1</v>
      </c>
      <c r="N267" s="1032">
        <f t="shared" si="6"/>
        <v>0.854667028</v>
      </c>
      <c r="O267" s="1033">
        <f t="shared" si="56"/>
        <v>1</v>
      </c>
      <c r="P267" s="1030"/>
    </row>
    <row r="268">
      <c r="A268" s="1059">
        <f>IFERROR(__xludf.DUMMYFUNCTION("""COMPUTED_VALUE"""),95801.0)</f>
        <v>95801</v>
      </c>
      <c r="B268" s="1028" t="str">
        <f>VLOOKUP(A268,'18. DADOS - HISTORICO MANUT. 20'!E:I,2,0)</f>
        <v>SINAPI-S</v>
      </c>
      <c r="C268" s="1029" t="str">
        <f>VLOOKUP(A268,'18. DADOS - HISTORICO MANUT. 20'!$E:$I,3,0)</f>
        <v>CONDULETE DE ALUMÍNIO, TIPO X, PARA ELETRODUTO DE AÇO GALVANIZADO DN 20 MM (3/4''), APARENTE - FORNECIMENTO E INSTALAÇÃO. AF_10/2022</v>
      </c>
      <c r="D268" s="1028" t="str">
        <f>VLOOKUP(A268,'18. DADOS - HISTORICO MANUT. 20'!$E:$I,4,0)</f>
        <v>UN</v>
      </c>
      <c r="E268" s="1028">
        <f>SUMIF('18. DADOS - HISTORICO MANUT. 20'!E:E,A268,'18. DADOS - HISTORICO MANUT. 20'!I:I)</f>
        <v>1</v>
      </c>
      <c r="F268" s="1030"/>
      <c r="G268" s="1030"/>
      <c r="H268" s="1031">
        <f>IFERROR(__xludf.DUMMYFUNCTION("""COMPUTED_VALUE"""),100808.0)</f>
        <v>100808</v>
      </c>
      <c r="I268" s="1028" t="str">
        <f t="shared" si="1"/>
        <v>SINAPI-S</v>
      </c>
      <c r="J268" s="1029" t="str">
        <f t="shared" si="2"/>
        <v>TUBO, PEX, MULTICAMADA, COM TUBO LUVA, DN 20, INSTALADO EM RAMAL INTERNO DE INSTALAÇÕES DE GÁS - FORNECIMENTO E INSTALAÇÃO. AF_01/2020</v>
      </c>
      <c r="K268" s="1031" t="str">
        <f t="shared" si="3"/>
        <v>M</v>
      </c>
      <c r="L268" s="1031">
        <f t="shared" si="4"/>
        <v>4</v>
      </c>
      <c r="M268" s="1031">
        <f t="shared" si="5"/>
        <v>2</v>
      </c>
      <c r="N268" s="1032">
        <f t="shared" si="6"/>
        <v>1.709334056</v>
      </c>
      <c r="O268" s="1033">
        <f t="shared" si="56"/>
        <v>2</v>
      </c>
      <c r="P268" s="1030"/>
    </row>
    <row r="269">
      <c r="A269" s="1059" t="str">
        <f>IFERROR(__xludf.DUMMYFUNCTION("""COMPUTED_VALUE"""),"MAN_PR_067")</f>
        <v>MAN_PR_067</v>
      </c>
      <c r="B269" s="1028" t="str">
        <f>VLOOKUP(A269,'18. DADOS - HISTORICO MANUT. 20'!E:I,2,0)</f>
        <v>COMP.EVENTUAL</v>
      </c>
      <c r="C269" s="1029" t="str">
        <f>VLOOKUP(A269,'18. DADOS - HISTORICO MANUT. 20'!$E:$I,3,0)</f>
        <v>FORNECIMENTO E INSTALAÇÃO DE CONJUNTO MONTADO DE TOMADA 2P + T, ABNT, DE SOBREPOR, 20A, SISTEMA X</v>
      </c>
      <c r="D269" s="1028" t="str">
        <f>VLOOKUP(A269,'18. DADOS - HISTORICO MANUT. 20'!$E:$I,4,0)</f>
        <v>UN</v>
      </c>
      <c r="E269" s="1028">
        <f>SUMIF('18. DADOS - HISTORICO MANUT. 20'!E:E,A269,'18. DADOS - HISTORICO MANUT. 20'!I:I)</f>
        <v>17</v>
      </c>
      <c r="F269" s="1030"/>
      <c r="G269" s="1030"/>
      <c r="H269" s="1031">
        <f>IFERROR(__xludf.DUMMYFUNCTION("""COMPUTED_VALUE"""),100556.0)</f>
        <v>100556</v>
      </c>
      <c r="I269" s="1028" t="str">
        <f t="shared" si="1"/>
        <v>SINAPI-S</v>
      </c>
      <c r="J269" s="1029" t="str">
        <f t="shared" si="2"/>
        <v>CAIXA DE PASSAGEM PARA TELEFONE 15X15X10CM (SOBREPOR), FORNECIMENTO E INSTALACAO. AF_11/2019</v>
      </c>
      <c r="K269" s="1031" t="str">
        <f t="shared" si="3"/>
        <v>UN</v>
      </c>
      <c r="L269" s="1031">
        <f t="shared" si="4"/>
        <v>1</v>
      </c>
      <c r="M269" s="1031">
        <f t="shared" si="5"/>
        <v>0.5</v>
      </c>
      <c r="N269" s="1032">
        <f t="shared" si="6"/>
        <v>0.427333514</v>
      </c>
      <c r="O269" s="1033">
        <f t="shared" ref="O269:O271" si="57">ROUND(N269,0)+1</f>
        <v>1</v>
      </c>
      <c r="P269" s="1030"/>
    </row>
    <row r="270">
      <c r="A270" s="1059">
        <f>IFERROR(__xludf.DUMMYFUNCTION("""COMPUTED_VALUE"""),39391.0)</f>
        <v>39391</v>
      </c>
      <c r="B270" s="1028" t="str">
        <f>VLOOKUP(A270,'18. DADOS - HISTORICO MANUT. 20'!E:I,2,0)</f>
        <v>SINAPI-I</v>
      </c>
      <c r="C270" s="1029" t="str">
        <f>VLOOKUP(A270,'18. DADOS - HISTORICO MANUT. 20'!$E:$I,3,0)</f>
        <v>LUMINARIA LED REFLETOR RETANGULAR BIVOLT, LUZ BRANCA, 50 W</v>
      </c>
      <c r="D270" s="1028" t="str">
        <f>VLOOKUP(A270,'18. DADOS - HISTORICO MANUT. 20'!$E:$I,4,0)</f>
        <v>UN</v>
      </c>
      <c r="E270" s="1028">
        <f>SUMIF('18. DADOS - HISTORICO MANUT. 20'!E:E,A270,'18. DADOS - HISTORICO MANUT. 20'!I:I)</f>
        <v>2</v>
      </c>
      <c r="F270" s="1030"/>
      <c r="G270" s="1030"/>
      <c r="H270" s="1031">
        <f>IFERROR(__xludf.DUMMYFUNCTION("""COMPUTED_VALUE"""),99824.0)</f>
        <v>99824</v>
      </c>
      <c r="I270" s="1028" t="str">
        <f t="shared" si="1"/>
        <v>SINAPI-S</v>
      </c>
      <c r="J270" s="1029" t="str">
        <f t="shared" si="2"/>
        <v>LIMPEZA DE PORTA EM AÇO/ALUMÍNIO. AF_04/2019</v>
      </c>
      <c r="K270" s="1031" t="str">
        <f t="shared" si="3"/>
        <v>M2</v>
      </c>
      <c r="L270" s="1031">
        <f t="shared" si="4"/>
        <v>1</v>
      </c>
      <c r="M270" s="1031">
        <f t="shared" si="5"/>
        <v>0.5</v>
      </c>
      <c r="N270" s="1032">
        <f t="shared" si="6"/>
        <v>0.427333514</v>
      </c>
      <c r="O270" s="1033">
        <f t="shared" si="57"/>
        <v>1</v>
      </c>
      <c r="P270" s="1030"/>
    </row>
    <row r="271">
      <c r="A271" s="1059" t="str">
        <f>IFERROR(__xludf.DUMMYFUNCTION("""COMPUTED_VALUE"""),"MAN_PR_074")</f>
        <v>MAN_PR_074</v>
      </c>
      <c r="B271" s="1028" t="str">
        <f>VLOOKUP(A271,'18. DADOS - HISTORICO MANUT. 20'!E:I,2,0)</f>
        <v>COMP.EVENTUAL</v>
      </c>
      <c r="C271" s="1029" t="str">
        <f>VLOOKUP(A271,'18. DADOS - HISTORICO MANUT. 20'!$E:$I,3,0)</f>
        <v>FORNECIMENTO E INSTALAÇÃO KIT DE PROTECAO ARSTOP PARA AR CONDICIONADO, TOMADA PADRAO 2P+T 20 A, COM DISJUNTOR BIPOLAR DIN 20A</v>
      </c>
      <c r="D271" s="1028" t="str">
        <f>VLOOKUP(A271,'18. DADOS - HISTORICO MANUT. 20'!$E:$I,4,0)</f>
        <v>UN</v>
      </c>
      <c r="E271" s="1028">
        <f>SUMIF('18. DADOS - HISTORICO MANUT. 20'!E:E,A271,'18. DADOS - HISTORICO MANUT. 20'!I:I)</f>
        <v>1</v>
      </c>
      <c r="F271" s="1030"/>
      <c r="G271" s="1030"/>
      <c r="H271" s="1031" t="str">
        <f>IFERROR(__xludf.DUMMYFUNCTION("""COMPUTED_VALUE"""),"MAN_PR_069")</f>
        <v>MAN_PR_069</v>
      </c>
      <c r="I271" s="1028" t="str">
        <f t="shared" si="1"/>
        <v>COMP.EVENTUAL</v>
      </c>
      <c r="J271" s="1029" t="str">
        <f t="shared" si="2"/>
        <v>FORNECIMENTO E INSTALAÇÃO DE LÂMPADA LED BULBO E27, 60W DE POTÊNCIA, COR BRANCO FRIO 6500K</v>
      </c>
      <c r="K271" s="1031" t="str">
        <f t="shared" si="3"/>
        <v>UN</v>
      </c>
      <c r="L271" s="1031">
        <f t="shared" si="4"/>
        <v>1</v>
      </c>
      <c r="M271" s="1031">
        <f t="shared" si="5"/>
        <v>0.5</v>
      </c>
      <c r="N271" s="1032">
        <f t="shared" si="6"/>
        <v>0.427333514</v>
      </c>
      <c r="O271" s="1033">
        <f t="shared" si="57"/>
        <v>1</v>
      </c>
      <c r="P271" s="1030"/>
    </row>
    <row r="272">
      <c r="A272" s="1059">
        <f>IFERROR(__xludf.DUMMYFUNCTION("""COMPUTED_VALUE"""),87411.0)</f>
        <v>87411</v>
      </c>
      <c r="B272" s="1028" t="str">
        <f>VLOOKUP(A272,'18. DADOS - HISTORICO MANUT. 20'!E:I,2,0)</f>
        <v>SINAPI-S</v>
      </c>
      <c r="C272" s="1029" t="str">
        <f>VLOOKUP(A272,'18. DADOS - HISTORICO MANUT. 20'!$E:$I,3,0)</f>
        <v>APLICAÇÃO MANUAL DE GESSO DESEMPENADO (SEM TALISCAS) EM TETO DE AMBIENTES DE ÁREA MAIOR QUE 10M², ESPESSURA DE 0,5CM. AF_03/2023</v>
      </c>
      <c r="D272" s="1028" t="str">
        <f>VLOOKUP(A272,'18. DADOS - HISTORICO MANUT. 20'!$E:$I,4,0)</f>
        <v>M2</v>
      </c>
      <c r="E272" s="1028">
        <f>SUMIF('18. DADOS - HISTORICO MANUT. 20'!E:E,A272,'18. DADOS - HISTORICO MANUT. 20'!I:I)</f>
        <v>1</v>
      </c>
      <c r="F272" s="1030"/>
      <c r="G272" s="1030"/>
      <c r="H272" s="1031">
        <f>IFERROR(__xludf.DUMMYFUNCTION("""COMPUTED_VALUE"""),156.0)</f>
        <v>156</v>
      </c>
      <c r="I272" s="1028" t="str">
        <f t="shared" si="1"/>
        <v>SINAPI-I</v>
      </c>
      <c r="J272" s="1029" t="str">
        <f t="shared" si="2"/>
        <v>ADESIVO ESTRUTURAL A BASE DE RESINA EPOXI, BICOMPONENTE, FLUIDO</v>
      </c>
      <c r="K272" s="1031" t="str">
        <f t="shared" si="3"/>
        <v>KG</v>
      </c>
      <c r="L272" s="1031">
        <f t="shared" si="4"/>
        <v>2</v>
      </c>
      <c r="M272" s="1031">
        <f t="shared" si="5"/>
        <v>1</v>
      </c>
      <c r="N272" s="1032">
        <f t="shared" si="6"/>
        <v>0.854667028</v>
      </c>
      <c r="O272" s="1033">
        <f>ROUND(N272,0)</f>
        <v>1</v>
      </c>
      <c r="P272" s="1030"/>
    </row>
    <row r="273">
      <c r="A273" s="1059" t="str">
        <f>IFERROR(__xludf.DUMMYFUNCTION("""COMPUTED_VALUE"""),"MAN_PR_043")</f>
        <v>MAN_PR_043</v>
      </c>
      <c r="B273" s="1028" t="str">
        <f>VLOOKUP(A273,'18. DADOS - HISTORICO MANUT. 20'!E:I,2,0)</f>
        <v>COMP.EVENTUAL</v>
      </c>
      <c r="C273" s="1029" t="str">
        <f>VLOOKUP(A273,'18. DADOS - HISTORICO MANUT. 20'!$E:$I,3,0)</f>
        <v>SUBSTITUIÇÃO DE MANGUEIRA PARA COMPRESSOR DO TIPO ENGATE RÁPIDO - FORNECIMENTO E INSTALAÇÃO</v>
      </c>
      <c r="D273" s="1028" t="str">
        <f>VLOOKUP(A273,'18. DADOS - HISTORICO MANUT. 20'!$E:$I,4,0)</f>
        <v>UN</v>
      </c>
      <c r="E273" s="1028">
        <f>SUMIF('18. DADOS - HISTORICO MANUT. 20'!E:E,A273,'18. DADOS - HISTORICO MANUT. 20'!I:I)</f>
        <v>2</v>
      </c>
      <c r="F273" s="1030"/>
      <c r="G273" s="1030"/>
      <c r="H273" s="1060"/>
      <c r="I273" s="1052"/>
      <c r="J273" s="1051"/>
      <c r="K273" s="1060"/>
      <c r="L273" s="1060"/>
      <c r="M273" s="1060"/>
      <c r="N273" s="1061"/>
      <c r="O273" s="1030"/>
      <c r="P273" s="1030"/>
    </row>
    <row r="274">
      <c r="A274" s="1059">
        <f>IFERROR(__xludf.DUMMYFUNCTION("""COMPUTED_VALUE"""),89969.0)</f>
        <v>89969</v>
      </c>
      <c r="B274" s="1028" t="str">
        <f>VLOOKUP(A274,'18. DADOS - HISTORICO MANUT. 20'!E:I,2,0)</f>
        <v>SINAPI-S</v>
      </c>
      <c r="C274" s="1029" t="str">
        <f>VLOOKUP(A274,'18. DADOS - HISTORICO MANUT. 20'!$E:$I,3,0)</f>
        <v>KIT DE REGISTRO DE PRESSÃO BRUTO DE LATÃO ½", INCLUSIVE CONEXÕES,  ROSCÁVEL, INSTALADO EM RAMAL DE ÁGUA FRIA - FORNECIMENTO E INSTALAÇÃO. AF_12/2014</v>
      </c>
      <c r="D274" s="1028" t="str">
        <f>VLOOKUP(A274,'18. DADOS - HISTORICO MANUT. 20'!$E:$I,4,0)</f>
        <v>UN</v>
      </c>
      <c r="E274" s="1028">
        <f>SUMIF('18. DADOS - HISTORICO MANUT. 20'!E:E,A274,'18. DADOS - HISTORICO MANUT. 20'!I:I)</f>
        <v>1</v>
      </c>
      <c r="F274" s="1030"/>
      <c r="G274" s="1030"/>
      <c r="H274" s="1060"/>
      <c r="I274" s="1052"/>
      <c r="J274" s="1051"/>
      <c r="K274" s="1060"/>
      <c r="L274" s="1060"/>
      <c r="M274" s="1060"/>
      <c r="N274" s="1061"/>
      <c r="O274" s="1030"/>
      <c r="P274" s="1030"/>
    </row>
    <row r="275">
      <c r="A275" s="1059">
        <f>IFERROR(__xludf.DUMMYFUNCTION("""COMPUTED_VALUE"""),101537.0)</f>
        <v>101537</v>
      </c>
      <c r="B275" s="1028" t="str">
        <f>VLOOKUP(A275,'18. DADOS - HISTORICO MANUT. 20'!E:I,2,0)</f>
        <v>SINAPI-S</v>
      </c>
      <c r="C275" s="1029" t="str">
        <f>VLOOKUP(A275,'18. DADOS - HISTORICO MANUT. 20'!$E:$I,3,0)</f>
        <v>APARELHO SINALIZADOR DE SAÍDA DE GARAGEM, COM CÉLULA FOTOELÉTRICA - FORNECIMENTO E INSTALAÇÃO. AF_07/2020</v>
      </c>
      <c r="D275" s="1028" t="str">
        <f>VLOOKUP(A275,'18. DADOS - HISTORICO MANUT. 20'!$E:$I,4,0)</f>
        <v>UN</v>
      </c>
      <c r="E275" s="1028">
        <f>SUMIF('18. DADOS - HISTORICO MANUT. 20'!E:E,A275,'18. DADOS - HISTORICO MANUT. 20'!I:I)</f>
        <v>3</v>
      </c>
      <c r="F275" s="1030"/>
      <c r="G275" s="1030"/>
      <c r="H275" s="1060"/>
      <c r="I275" s="1052"/>
      <c r="J275" s="1051"/>
      <c r="K275" s="1060"/>
      <c r="L275" s="1060"/>
      <c r="M275" s="1060"/>
      <c r="N275" s="1061"/>
      <c r="O275" s="1030"/>
      <c r="P275" s="1030"/>
    </row>
    <row r="276">
      <c r="A276" s="1059" t="str">
        <f>IFERROR(__xludf.DUMMYFUNCTION("""COMPUTED_VALUE"""),"MAN_PR_065")</f>
        <v>MAN_PR_065</v>
      </c>
      <c r="B276" s="1028" t="str">
        <f>VLOOKUP(A276,'18. DADOS - HISTORICO MANUT. 20'!E:I,2,0)</f>
        <v>COMP.EVENTUAL</v>
      </c>
      <c r="C276" s="1029" t="str">
        <f>VLOOKUP(A276,'18. DADOS - HISTORICO MANUT. 20'!$E:$I,3,0)</f>
        <v>FORNECIMENTO E INSTALAÇÃO DE GRELHA PARA RALO EM PVC, REDONDA, 10CM. REF. TIGRE OU SIMILAR</v>
      </c>
      <c r="D276" s="1028" t="str">
        <f>VLOOKUP(A276,'18. DADOS - HISTORICO MANUT. 20'!$E:$I,4,0)</f>
        <v>UN</v>
      </c>
      <c r="E276" s="1028">
        <f>SUMIF('18. DADOS - HISTORICO MANUT. 20'!E:E,A276,'18. DADOS - HISTORICO MANUT. 20'!I:I)</f>
        <v>7</v>
      </c>
      <c r="F276" s="1030"/>
      <c r="G276" s="1030"/>
      <c r="H276" s="1060"/>
      <c r="I276" s="1062"/>
      <c r="J276" s="1062"/>
      <c r="K276" s="1062"/>
      <c r="L276" s="1062"/>
      <c r="M276" s="1062"/>
      <c r="N276" s="1030"/>
      <c r="O276" s="1030"/>
      <c r="P276" s="1030"/>
    </row>
    <row r="277">
      <c r="A277" s="1059">
        <f>IFERROR(__xludf.DUMMYFUNCTION("""COMPUTED_VALUE"""),89557.0)</f>
        <v>89557</v>
      </c>
      <c r="B277" s="1028" t="str">
        <f>VLOOKUP(A277,'18. DADOS - HISTORICO MANUT. 20'!E:I,2,0)</f>
        <v>SINAPI-S</v>
      </c>
      <c r="C277" s="1029" t="str">
        <f>VLOOKUP(A277,'18. DADOS - HISTORICO MANUT. 20'!$E:$I,3,0)</f>
        <v>REDUÇÃO EXCÊNTRICA, PVC, SERIE R, ÁGUA PLUVIAL, DN 100 X 75 MM, JUNTA ELÁSTICA, FORNECIDO E INSTALADO EM RAMAL DE ENCAMINHAMENTO. AF_06/2022</v>
      </c>
      <c r="D277" s="1028" t="str">
        <f>VLOOKUP(A277,'18. DADOS - HISTORICO MANUT. 20'!$E:$I,4,0)</f>
        <v>UN</v>
      </c>
      <c r="E277" s="1028">
        <f>SUMIF('18. DADOS - HISTORICO MANUT. 20'!E:E,A277,'18. DADOS - HISTORICO MANUT. 20'!I:I)</f>
        <v>7</v>
      </c>
      <c r="F277" s="1030"/>
      <c r="G277" s="1030"/>
      <c r="H277" s="1060"/>
      <c r="I277" s="1062"/>
      <c r="J277" s="1062"/>
      <c r="K277" s="1062"/>
      <c r="L277" s="1062"/>
      <c r="M277" s="1062"/>
      <c r="N277" s="1030"/>
      <c r="O277" s="1030"/>
      <c r="P277" s="1030"/>
    </row>
    <row r="278">
      <c r="A278" s="1059">
        <f>IFERROR(__xludf.DUMMYFUNCTION("""COMPUTED_VALUE"""),104357.0)</f>
        <v>104357</v>
      </c>
      <c r="B278" s="1028" t="str">
        <f>VLOOKUP(A278,'18. DADOS - HISTORICO MANUT. 20'!E:I,2,0)</f>
        <v>SINAPI-S</v>
      </c>
      <c r="C278" s="1029" t="str">
        <f>VLOOKUP(A278,'18. DADOS - HISTORICO MANUT. 20'!$E:$I,3,0)</f>
        <v>CAP, PVC, SÉRIE NORMAL, ESGOTO PREDIAL, DN 100 MM, JUNTA ELÁSTICA, FORNECIDO E INSTALADO EM SUBCOLETOR AÉREO DE ESGOTO SANITÁRIO. AF_08/2022</v>
      </c>
      <c r="D278" s="1028" t="str">
        <f>VLOOKUP(A278,'18. DADOS - HISTORICO MANUT. 20'!$E:$I,4,0)</f>
        <v>UN</v>
      </c>
      <c r="E278" s="1028">
        <f>SUMIF('18. DADOS - HISTORICO MANUT. 20'!E:E,A278,'18. DADOS - HISTORICO MANUT. 20'!I:I)</f>
        <v>8</v>
      </c>
      <c r="F278" s="1030"/>
      <c r="G278" s="1030"/>
      <c r="H278" s="1060"/>
      <c r="I278" s="1062"/>
      <c r="J278" s="1062"/>
      <c r="K278" s="1062"/>
      <c r="L278" s="1062"/>
      <c r="M278" s="1062"/>
      <c r="N278" s="1030"/>
      <c r="O278" s="1030"/>
      <c r="P278" s="1030"/>
    </row>
    <row r="279">
      <c r="A279" s="1059" t="str">
        <f>IFERROR(__xludf.DUMMYFUNCTION("""COMPUTED_VALUE"""),"MAN_PR_066")</f>
        <v>MAN_PR_066</v>
      </c>
      <c r="B279" s="1028" t="str">
        <f>VLOOKUP(A279,'18. DADOS - HISTORICO MANUT. 20'!E:I,2,0)</f>
        <v>COMP.EVENTUAL</v>
      </c>
      <c r="C279" s="1029" t="str">
        <f>VLOOKUP(A279,'18. DADOS - HISTORICO MANUT. 20'!$E:$I,3,0)</f>
        <v>FORNECIMENTO E INSTALAÇÃO DE CAIXA P/ BOTOEIRA PLÁSTICA 1 FURO 22 mm</v>
      </c>
      <c r="D279" s="1028" t="str">
        <f>VLOOKUP(A279,'18. DADOS - HISTORICO MANUT. 20'!$E:$I,4,0)</f>
        <v>UN</v>
      </c>
      <c r="E279" s="1028">
        <f>SUMIF('18. DADOS - HISTORICO MANUT. 20'!E:E,A279,'18. DADOS - HISTORICO MANUT. 20'!I:I)</f>
        <v>4</v>
      </c>
      <c r="F279" s="1030"/>
      <c r="G279" s="1030"/>
      <c r="H279" s="1060"/>
      <c r="I279" s="1062"/>
      <c r="J279" s="1062"/>
      <c r="K279" s="1062"/>
      <c r="L279" s="1062"/>
      <c r="M279" s="1062"/>
      <c r="N279" s="1030"/>
      <c r="O279" s="1030"/>
      <c r="P279" s="1030"/>
    </row>
    <row r="280">
      <c r="A280" s="1059" t="str">
        <f>IFERROR(__xludf.DUMMYFUNCTION("""COMPUTED_VALUE"""),"MAN_PR_046")</f>
        <v>MAN_PR_046</v>
      </c>
      <c r="B280" s="1028" t="str">
        <f>VLOOKUP(A280,'18. DADOS - HISTORICO MANUT. 20'!E:I,2,0)</f>
        <v>COMP.EVENTUAL</v>
      </c>
      <c r="C280" s="1029" t="str">
        <f>VLOOKUP(A280,'18. DADOS - HISTORICO MANUT. 20'!$E:$I,3,0)</f>
        <v>BOTOEIRA COM RETENÇÃO PARA QUADRO/PAINEL</v>
      </c>
      <c r="D280" s="1028" t="str">
        <f>VLOOKUP(A280,'18. DADOS - HISTORICO MANUT. 20'!$E:$I,4,0)</f>
        <v>UN</v>
      </c>
      <c r="E280" s="1028">
        <f>SUMIF('18. DADOS - HISTORICO MANUT. 20'!E:E,A280,'18. DADOS - HISTORICO MANUT. 20'!I:I)</f>
        <v>2</v>
      </c>
      <c r="F280" s="1030"/>
      <c r="G280" s="1030"/>
      <c r="H280" s="1060"/>
      <c r="I280" s="1062"/>
      <c r="J280" s="1062"/>
      <c r="K280" s="1062"/>
      <c r="L280" s="1062"/>
      <c r="M280" s="1062"/>
      <c r="N280" s="1030"/>
      <c r="O280" s="1030"/>
      <c r="P280" s="1030"/>
    </row>
    <row r="281">
      <c r="A281" s="1059">
        <f>IFERROR(__xludf.DUMMYFUNCTION("""COMPUTED_VALUE"""),11964.0)</f>
        <v>11964</v>
      </c>
      <c r="B281" s="1028" t="str">
        <f>VLOOKUP(A281,'18. DADOS - HISTORICO MANUT. 20'!E:I,2,0)</f>
        <v>SINAPI-I</v>
      </c>
      <c r="C281" s="1029" t="str">
        <f>VLOOKUP(A281,'18. DADOS - HISTORICO MANUT. 20'!$E:$I,3,0)</f>
        <v>PARAFUSO DE ACO TIPO CHUMBADOR PARABOLT, DIAMETRO 3/8", COMPRIMENTO 75 MM</v>
      </c>
      <c r="D281" s="1028" t="str">
        <f>VLOOKUP(A281,'18. DADOS - HISTORICO MANUT. 20'!$E:$I,4,0)</f>
        <v>UN</v>
      </c>
      <c r="E281" s="1028">
        <f>SUMIF('18. DADOS - HISTORICO MANUT. 20'!E:E,A281,'18. DADOS - HISTORICO MANUT. 20'!I:I)</f>
        <v>40</v>
      </c>
      <c r="F281" s="1030"/>
      <c r="G281" s="1030"/>
      <c r="H281" s="1060"/>
      <c r="I281" s="1062"/>
      <c r="J281" s="1062"/>
      <c r="K281" s="1062"/>
      <c r="L281" s="1062"/>
      <c r="M281" s="1062"/>
      <c r="N281" s="1030"/>
      <c r="O281" s="1030"/>
      <c r="P281" s="1030"/>
    </row>
    <row r="282">
      <c r="A282" s="1059">
        <f>IFERROR(__xludf.DUMMYFUNCTION("""COMPUTED_VALUE"""),11267.0)</f>
        <v>11267</v>
      </c>
      <c r="B282" s="1028" t="str">
        <f>VLOOKUP(A282,'18. DADOS - HISTORICO MANUT. 20'!E:I,2,0)</f>
        <v>SINAPI-I</v>
      </c>
      <c r="C282" s="1029" t="str">
        <f>VLOOKUP(A282,'18. DADOS - HISTORICO MANUT. 20'!$E:$I,3,0)</f>
        <v>ARRUELA LISA, REDONDA, DE LATAO POLIDO, DIAMETRO NOMINAL 5/8", DIAMETRO EXTERNO = 34 MM, DIAMETRO DO FURO = 17 MM, ESPESSURA = *2,5* MM</v>
      </c>
      <c r="D282" s="1028" t="str">
        <f>VLOOKUP(A282,'18. DADOS - HISTORICO MANUT. 20'!$E:$I,4,0)</f>
        <v>UN</v>
      </c>
      <c r="E282" s="1028">
        <f>SUMIF('18. DADOS - HISTORICO MANUT. 20'!E:E,A282,'18. DADOS - HISTORICO MANUT. 20'!I:I)</f>
        <v>40</v>
      </c>
      <c r="F282" s="1030"/>
      <c r="G282" s="1030"/>
      <c r="H282" s="1060"/>
      <c r="I282" s="1062"/>
      <c r="J282" s="1062"/>
      <c r="K282" s="1062"/>
      <c r="L282" s="1062"/>
      <c r="M282" s="1062"/>
      <c r="N282" s="1030"/>
      <c r="O282" s="1030"/>
      <c r="P282" s="1030"/>
    </row>
    <row r="283">
      <c r="A283" s="1059" t="str">
        <f>IFERROR(__xludf.DUMMYFUNCTION("""COMPUTED_VALUE"""),"MAN_PR_075")</f>
        <v>MAN_PR_075</v>
      </c>
      <c r="B283" s="1028" t="str">
        <f>VLOOKUP(A283,'18. DADOS - HISTORICO MANUT. 20'!E:I,2,0)</f>
        <v>COMP.EVENTUAL</v>
      </c>
      <c r="C283" s="1029" t="str">
        <f>VLOOKUP(A283,'18. DADOS - HISTORICO MANUT. 20'!$E:$I,3,0)</f>
        <v>PINTURA ADESIVA P/ CONCRETO, A BASE DE RESINA EPOXI ( SIKADUR 32 )</v>
      </c>
      <c r="D283" s="1028" t="str">
        <f>VLOOKUP(A283,'18. DADOS - HISTORICO MANUT. 20'!$E:$I,4,0)</f>
        <v>KG    </v>
      </c>
      <c r="E283" s="1028">
        <f>SUMIF('18. DADOS - HISTORICO MANUT. 20'!E:E,A283,'18. DADOS - HISTORICO MANUT. 20'!I:I)</f>
        <v>1</v>
      </c>
      <c r="F283" s="1030"/>
      <c r="G283" s="1030"/>
      <c r="H283" s="1060"/>
      <c r="I283" s="1062"/>
      <c r="J283" s="1062"/>
      <c r="K283" s="1062"/>
      <c r="L283" s="1062"/>
      <c r="M283" s="1062"/>
      <c r="N283" s="1030"/>
      <c r="O283" s="1030"/>
      <c r="P283" s="1030"/>
    </row>
    <row r="284">
      <c r="A284" s="1059" t="str">
        <f>IFERROR(__xludf.DUMMYFUNCTION("""COMPUTED_VALUE"""),"MAN_PR_061")</f>
        <v>MAN_PR_061</v>
      </c>
      <c r="B284" s="1028" t="str">
        <f>VLOOKUP(A284,'18. DADOS - HISTORICO MANUT. 20'!E:I,2,0)</f>
        <v>COMP.EVENTUAL</v>
      </c>
      <c r="C284" s="1029" t="str">
        <f>VLOOKUP(A284,'18. DADOS - HISTORICO MANUT. 20'!$E:$I,3,0)</f>
        <v>FORNECIMENTO E INSTALAÇÃO DE CANALETA EM ALUMÍNIO COM DIVISÓRIA PARA INSTALAÇÃO ELÉTRICA EM PISO, INCLUSIVE CONEXÕES, DIMENSÕES 20 X 10 MM</v>
      </c>
      <c r="D284" s="1028" t="str">
        <f>VLOOKUP(A284,'18. DADOS - HISTORICO MANUT. 20'!$E:$I,4,0)</f>
        <v>M</v>
      </c>
      <c r="E284" s="1028">
        <f>SUMIF('18. DADOS - HISTORICO MANUT. 20'!E:E,A284,'18. DADOS - HISTORICO MANUT. 20'!I:I)</f>
        <v>3</v>
      </c>
      <c r="F284" s="1030"/>
      <c r="G284" s="1030"/>
      <c r="H284" s="1060"/>
      <c r="I284" s="1062"/>
      <c r="J284" s="1062"/>
      <c r="K284" s="1062"/>
      <c r="L284" s="1062"/>
      <c r="M284" s="1062"/>
      <c r="N284" s="1030"/>
      <c r="O284" s="1030"/>
      <c r="P284" s="1030"/>
    </row>
    <row r="285">
      <c r="A285" s="1059">
        <f>IFERROR(__xludf.DUMMYFUNCTION("""COMPUTED_VALUE"""),89049.0)</f>
        <v>89049</v>
      </c>
      <c r="B285" s="1028" t="str">
        <f>VLOOKUP(A285,'18. DADOS - HISTORICO MANUT. 20'!E:I,2,0)</f>
        <v>SINAPI-S</v>
      </c>
      <c r="C285" s="1029" t="str">
        <f>VLOOKUP(A285,'18. DADOS - HISTORICO MANUT. 20'!$E:$I,3,0)</f>
        <v>(COMPOSIÇÃO REPRESENTATIVA) DO SERVIÇO DE APLICAÇÃO MANUAL DE GESSO DESEMPENADO (SEM TALISCAS) EM TETO, ESPESSURA 0,5 CM, PARA EDIFICAÇÃO HABITACIONAL MULTIFAMILIAR (PRÉDIO). AF_11/2014</v>
      </c>
      <c r="D285" s="1028" t="str">
        <f>VLOOKUP(A285,'18. DADOS - HISTORICO MANUT. 20'!$E:$I,4,0)</f>
        <v>M2</v>
      </c>
      <c r="E285" s="1028">
        <f>SUMIF('18. DADOS - HISTORICO MANUT. 20'!E:E,A285,'18. DADOS - HISTORICO MANUT. 20'!I:I)</f>
        <v>2</v>
      </c>
      <c r="F285" s="1030"/>
      <c r="G285" s="1030"/>
      <c r="H285" s="1060"/>
      <c r="I285" s="1062"/>
      <c r="J285" s="1062"/>
      <c r="K285" s="1062"/>
      <c r="L285" s="1062"/>
      <c r="M285" s="1062"/>
      <c r="N285" s="1030"/>
      <c r="O285" s="1030"/>
      <c r="P285" s="1030"/>
    </row>
    <row r="286">
      <c r="A286" s="1059">
        <f>IFERROR(__xludf.DUMMYFUNCTION("""COMPUTED_VALUE"""),92016.0)</f>
        <v>92016</v>
      </c>
      <c r="B286" s="1028" t="str">
        <f>VLOOKUP(A286,'18. DADOS - HISTORICO MANUT. 20'!E:I,2,0)</f>
        <v>SINAPI-S</v>
      </c>
      <c r="C286" s="1029" t="str">
        <f>VLOOKUP(A286,'18. DADOS - HISTORICO MANUT. 20'!$E:$I,3,0)</f>
        <v>TOMADA BAIXA DE EMBUTIR (3 MÓDULOS), 2P+T 10 A, INCLUINDO SUPORTE E PLACA - FORNECIMENTO E INSTALAÇÃO. AF_03/2023</v>
      </c>
      <c r="D286" s="1028" t="str">
        <f>VLOOKUP(A286,'18. DADOS - HISTORICO MANUT. 20'!$E:$I,4,0)</f>
        <v>UN</v>
      </c>
      <c r="E286" s="1028">
        <f>SUMIF('18. DADOS - HISTORICO MANUT. 20'!E:E,A286,'18. DADOS - HISTORICO MANUT. 20'!I:I)</f>
        <v>1</v>
      </c>
      <c r="F286" s="1030"/>
      <c r="G286" s="1030"/>
      <c r="H286" s="1060"/>
      <c r="I286" s="1062"/>
      <c r="J286" s="1062"/>
      <c r="K286" s="1062"/>
      <c r="L286" s="1062"/>
      <c r="M286" s="1062"/>
      <c r="N286" s="1030"/>
      <c r="O286" s="1030"/>
      <c r="P286" s="1030"/>
    </row>
    <row r="287">
      <c r="A287" s="1059">
        <f>IFERROR(__xludf.DUMMYFUNCTION("""COMPUTED_VALUE"""),101633.0)</f>
        <v>101633</v>
      </c>
      <c r="B287" s="1028" t="str">
        <f>VLOOKUP(A287,'18. DADOS - HISTORICO MANUT. 20'!E:I,2,0)</f>
        <v>SINAPI-S</v>
      </c>
      <c r="C287" s="1029" t="str">
        <f>VLOOKUP(A287,'18. DADOS - HISTORICO MANUT. 20'!$E:$I,3,0)</f>
        <v>SUBSTITUIÇÃO DE RELÉ FOTOELÉTRICO PARA COMANDO DE ILUMINAÇÃO EXTERNA 1000 W - FORNECIMENTO E INSTALAÇÃO. AF_08/2020</v>
      </c>
      <c r="D287" s="1028" t="str">
        <f>VLOOKUP(A287,'18. DADOS - HISTORICO MANUT. 20'!$E:$I,4,0)</f>
        <v>UN</v>
      </c>
      <c r="E287" s="1028">
        <f>SUMIF('18. DADOS - HISTORICO MANUT. 20'!E:E,A287,'18. DADOS - HISTORICO MANUT. 20'!I:I)</f>
        <v>1</v>
      </c>
      <c r="F287" s="1030"/>
      <c r="G287" s="1030"/>
      <c r="H287" s="1060"/>
      <c r="I287" s="1062"/>
      <c r="J287" s="1062"/>
      <c r="K287" s="1062"/>
      <c r="L287" s="1062"/>
      <c r="M287" s="1062"/>
      <c r="N287" s="1030"/>
      <c r="O287" s="1030"/>
      <c r="P287" s="1030"/>
    </row>
    <row r="288">
      <c r="A288" s="1059" t="str">
        <f>IFERROR(__xludf.DUMMYFUNCTION("""COMPUTED_VALUE"""),"MAN_PR_076")</f>
        <v>MAN_PR_076</v>
      </c>
      <c r="B288" s="1028" t="str">
        <f>VLOOKUP(A288,'18. DADOS - HISTORICO MANUT. 20'!E:I,2,0)</f>
        <v>COMP.EVENTUAL</v>
      </c>
      <c r="C288" s="1029" t="str">
        <f>VLOOKUP(A288,'18. DADOS - HISTORICO MANUT. 20'!$E:$I,3,0)</f>
        <v>FORNECIMENTO E INSTALAÇÃO DE CAIXA PARA QUADRO DE COMANDO TIPO CC PLAST 30X20X17CM CINZA/TR</v>
      </c>
      <c r="D288" s="1028" t="str">
        <f>VLOOKUP(A288,'18. DADOS - HISTORICO MANUT. 20'!$E:$I,4,0)</f>
        <v>KG    </v>
      </c>
      <c r="E288" s="1028">
        <f>SUMIF('18. DADOS - HISTORICO MANUT. 20'!E:E,A288,'18. DADOS - HISTORICO MANUT. 20'!I:I)</f>
        <v>5</v>
      </c>
      <c r="F288" s="1030"/>
      <c r="G288" s="1030"/>
      <c r="H288" s="1060"/>
      <c r="I288" s="1062"/>
      <c r="J288" s="1062"/>
      <c r="K288" s="1062"/>
      <c r="L288" s="1062"/>
      <c r="M288" s="1062"/>
      <c r="N288" s="1030"/>
      <c r="O288" s="1030"/>
      <c r="P288" s="1030"/>
    </row>
    <row r="289">
      <c r="A289" s="1059" t="str">
        <f>IFERROR(__xludf.DUMMYFUNCTION("""COMPUTED_VALUE"""),"MAN_PR_017")</f>
        <v>MAN_PR_017</v>
      </c>
      <c r="B289" s="1028" t="str">
        <f>VLOOKUP(A289,'18. DADOS - HISTORICO MANUT. 20'!E:I,2,0)</f>
        <v>COMP.EVENTUAL</v>
      </c>
      <c r="C289" s="1029" t="str">
        <f>VLOOKUP(A289,'18. DADOS - HISTORICO MANUT. 20'!$E:$I,3,0)</f>
        <v>FORNECIMENTO E INSTALAÇÃO DE KIT MOTOR PPA 1/4HP, 500KG, DESLIZANTE, INCLUÍNDO 2 CONTROLE E 5M DE CREMALHEIRA, NÃO INCLUSO EXECUÇÃO DE BASE DE FIXAÇÃO E GUIA</v>
      </c>
      <c r="D289" s="1028" t="str">
        <f>VLOOKUP(A289,'18. DADOS - HISTORICO MANUT. 20'!$E:$I,4,0)</f>
        <v>UN</v>
      </c>
      <c r="E289" s="1028">
        <f>SUMIF('18. DADOS - HISTORICO MANUT. 20'!E:E,A289,'18. DADOS - HISTORICO MANUT. 20'!I:I)</f>
        <v>2</v>
      </c>
      <c r="F289" s="1030"/>
      <c r="G289" s="1030"/>
      <c r="H289" s="1060"/>
      <c r="I289" s="1062"/>
      <c r="J289" s="1062"/>
      <c r="K289" s="1062"/>
      <c r="L289" s="1062"/>
      <c r="M289" s="1062"/>
      <c r="N289" s="1030"/>
      <c r="O289" s="1030"/>
      <c r="P289" s="1030"/>
    </row>
    <row r="290">
      <c r="A290" s="1059" t="str">
        <f>IFERROR(__xludf.DUMMYFUNCTION("""COMPUTED_VALUE"""),"MAN_PR_033")</f>
        <v>MAN_PR_033</v>
      </c>
      <c r="B290" s="1028" t="str">
        <f>VLOOKUP(A290,'18. DADOS - HISTORICO MANUT. 20'!E:I,2,0)</f>
        <v>COMP.EVENTUAL</v>
      </c>
      <c r="C290" s="1029" t="str">
        <f>VLOOKUP(A290,'18. DADOS - HISTORICO MANUT. 20'!$E:$I,3,0)</f>
        <v>FORNECIMENTO E INSTALAÇÃO DE PORTEIRO ELETRONICO. REF.: INTELBRAS IPR 8010 OU SIMILAR</v>
      </c>
      <c r="D290" s="1028" t="str">
        <f>VLOOKUP(A290,'18. DADOS - HISTORICO MANUT. 20'!$E:$I,4,0)</f>
        <v>UN</v>
      </c>
      <c r="E290" s="1028">
        <f>SUMIF('18. DADOS - HISTORICO MANUT. 20'!E:E,A290,'18. DADOS - HISTORICO MANUT. 20'!I:I)</f>
        <v>1</v>
      </c>
      <c r="F290" s="1030"/>
      <c r="G290" s="1030"/>
      <c r="H290" s="1060"/>
      <c r="I290" s="1062"/>
      <c r="J290" s="1062"/>
      <c r="K290" s="1062"/>
      <c r="L290" s="1062"/>
      <c r="M290" s="1062"/>
      <c r="N290" s="1030"/>
      <c r="O290" s="1030"/>
      <c r="P290" s="1030"/>
    </row>
    <row r="291">
      <c r="A291" s="1059">
        <f>IFERROR(__xludf.DUMMYFUNCTION("""COMPUTED_VALUE"""),103425.0)</f>
        <v>103425</v>
      </c>
      <c r="B291" s="1028" t="str">
        <f>VLOOKUP(A291,'18. DADOS - HISTORICO MANUT. 20'!E:I,2,0)</f>
        <v>SINAPI-S</v>
      </c>
      <c r="C291" s="1029" t="str">
        <f>VLOOKUP(A291,'18. DADOS - HISTORICO MANUT. 20'!$E:$I,3,0)</f>
        <v>LUVA, EM PEAD LISO PARA REDE DE ÁGUA OU ESGOTO, DIÂMETRO DE 20 MM, JUNTA SOLDADA POR ELETROFUSÃO (NÃO INCLUI A EXECUÇÃO DE SOLDA). AF_12/2021</v>
      </c>
      <c r="D291" s="1028" t="str">
        <f>VLOOKUP(A291,'18. DADOS - HISTORICO MANUT. 20'!$E:$I,4,0)</f>
        <v>UN</v>
      </c>
      <c r="E291" s="1028">
        <f>SUMIF('18. DADOS - HISTORICO MANUT. 20'!E:E,A291,'18. DADOS - HISTORICO MANUT. 20'!I:I)</f>
        <v>10</v>
      </c>
      <c r="F291" s="1030"/>
      <c r="G291" s="1030"/>
      <c r="H291" s="1060"/>
      <c r="I291" s="1062"/>
      <c r="J291" s="1062"/>
      <c r="K291" s="1062"/>
      <c r="L291" s="1062"/>
      <c r="M291" s="1062"/>
      <c r="N291" s="1030"/>
      <c r="O291" s="1030"/>
      <c r="P291" s="1030"/>
    </row>
    <row r="292">
      <c r="A292" s="1059">
        <f>IFERROR(__xludf.DUMMYFUNCTION("""COMPUTED_VALUE"""),1599.0)</f>
        <v>1599</v>
      </c>
      <c r="B292" s="1028" t="str">
        <f>VLOOKUP(A292,'18. DADOS - HISTORICO MANUT. 20'!E:I,2,0)</f>
        <v>SINAPI-I</v>
      </c>
      <c r="C292" s="1029" t="str">
        <f>VLOOKUP(A292,'18. DADOS - HISTORICO MANUT. 20'!$E:$I,3,0)</f>
        <v>CONECTOR DE ALUMINIO TIPO PRENSA CABO, BITOLA 3/4", PARA CABOS DE DIAMETRO DE 17,5 A 20 MM</v>
      </c>
      <c r="D292" s="1028" t="str">
        <f>VLOOKUP(A292,'18. DADOS - HISTORICO MANUT. 20'!$E:$I,4,0)</f>
        <v>UN</v>
      </c>
      <c r="E292" s="1028">
        <f>SUMIF('18. DADOS - HISTORICO MANUT. 20'!E:E,A292,'18. DADOS - HISTORICO MANUT. 20'!I:I)</f>
        <v>31</v>
      </c>
      <c r="F292" s="1030"/>
      <c r="G292" s="1030"/>
      <c r="H292" s="1060"/>
      <c r="I292" s="1062"/>
      <c r="J292" s="1062"/>
      <c r="K292" s="1062"/>
      <c r="L292" s="1062"/>
      <c r="M292" s="1062"/>
      <c r="N292" s="1030"/>
      <c r="O292" s="1030"/>
      <c r="P292" s="1030"/>
    </row>
    <row r="293">
      <c r="A293" s="1059" t="str">
        <f>IFERROR(__xludf.DUMMYFUNCTION("""COMPUTED_VALUE"""),"MAN_PR_006")</f>
        <v>MAN_PR_006</v>
      </c>
      <c r="B293" s="1028" t="str">
        <f>VLOOKUP(A293,'18. DADOS - HISTORICO MANUT. 20'!E:I,2,0)</f>
        <v>COMP.EVENTUAL</v>
      </c>
      <c r="C293" s="1029" t="str">
        <f>VLOOKUP(A293,'18. DADOS - HISTORICO MANUT. 20'!$E:$I,3,0)</f>
        <v>FORNECIMENTO E INSTALAÇÃO DE REFLETOR LED, CORPO DE ALUMÍNIO, VIDRO TEMPERADO, POTÊNCIA 30W, BIVOLT, TEMP. COR 3000K, IP-66</v>
      </c>
      <c r="D293" s="1028" t="str">
        <f>VLOOKUP(A293,'18. DADOS - HISTORICO MANUT. 20'!$E:$I,4,0)</f>
        <v>UN</v>
      </c>
      <c r="E293" s="1028">
        <f>SUMIF('18. DADOS - HISTORICO MANUT. 20'!E:E,A293,'18. DADOS - HISTORICO MANUT. 20'!I:I)</f>
        <v>19</v>
      </c>
      <c r="F293" s="1030"/>
      <c r="G293" s="1030"/>
      <c r="H293" s="1060"/>
      <c r="I293" s="1062"/>
      <c r="J293" s="1062"/>
      <c r="K293" s="1062"/>
      <c r="L293" s="1062"/>
      <c r="M293" s="1062"/>
      <c r="N293" s="1030"/>
      <c r="O293" s="1030"/>
      <c r="P293" s="1030"/>
    </row>
    <row r="294">
      <c r="A294" s="1059">
        <f>IFERROR(__xludf.DUMMYFUNCTION("""COMPUTED_VALUE"""),100749.0)</f>
        <v>100749</v>
      </c>
      <c r="B294" s="1028" t="str">
        <f>VLOOKUP(A294,'18. DADOS - HISTORICO MANUT. 20'!E:I,2,0)</f>
        <v>SINAPI-S</v>
      </c>
      <c r="C294" s="1029" t="str">
        <f>VLOOKUP(A294,'18. DADOS - HISTORICO MANUT. 20'!$E:$I,3,0)</f>
        <v>PINTURA COM TINTA ALQUÍDICA DE ACABAMENTO (ESMALTE SINTÉTICO FOSCO) PULVERIZADA SOBRE SUPERFÍCIES METÁLICAS (EXCETO PERFIL) EXECUTADO EM OBRA (POR DEMÃO). AF_01/2020_PE</v>
      </c>
      <c r="D294" s="1028" t="str">
        <f>VLOOKUP(A294,'18. DADOS - HISTORICO MANUT. 20'!$E:$I,4,0)</f>
        <v>M2</v>
      </c>
      <c r="E294" s="1028">
        <f>SUMIF('18. DADOS - HISTORICO MANUT. 20'!E:E,A294,'18. DADOS - HISTORICO MANUT. 20'!I:I)</f>
        <v>2</v>
      </c>
      <c r="F294" s="1030"/>
      <c r="G294" s="1030"/>
      <c r="H294" s="1060"/>
      <c r="I294" s="1062"/>
      <c r="J294" s="1062"/>
      <c r="K294" s="1062"/>
      <c r="L294" s="1062"/>
      <c r="M294" s="1062"/>
      <c r="N294" s="1030"/>
      <c r="O294" s="1030"/>
      <c r="P294" s="1030"/>
    </row>
    <row r="295">
      <c r="A295" s="1059">
        <f>IFERROR(__xludf.DUMMYFUNCTION("""COMPUTED_VALUE"""),100849.0)</f>
        <v>100849</v>
      </c>
      <c r="B295" s="1028" t="str">
        <f>VLOOKUP(A295,'18. DADOS - HISTORICO MANUT. 20'!E:I,2,0)</f>
        <v>SINAPI-S</v>
      </c>
      <c r="C295" s="1029" t="str">
        <f>VLOOKUP(A295,'18. DADOS - HISTORICO MANUT. 20'!$E:$I,3,0)</f>
        <v>ASSENTO SANITÁRIO CONVENCIONAL - FORNECIMENTO E INSTALACAO. AF_01/2020</v>
      </c>
      <c r="D295" s="1028" t="str">
        <f>VLOOKUP(A295,'18. DADOS - HISTORICO MANUT. 20'!$E:$I,4,0)</f>
        <v>UN</v>
      </c>
      <c r="E295" s="1028">
        <f>SUMIF('18. DADOS - HISTORICO MANUT. 20'!E:E,A295,'18. DADOS - HISTORICO MANUT. 20'!I:I)</f>
        <v>4</v>
      </c>
      <c r="F295" s="1030"/>
      <c r="G295" s="1030"/>
      <c r="H295" s="1060"/>
      <c r="I295" s="1062"/>
      <c r="J295" s="1062"/>
      <c r="K295" s="1062"/>
      <c r="L295" s="1062"/>
      <c r="M295" s="1062"/>
      <c r="N295" s="1030"/>
      <c r="O295" s="1030"/>
      <c r="P295" s="1030"/>
    </row>
    <row r="296">
      <c r="A296" s="1059">
        <f>IFERROR(__xludf.DUMMYFUNCTION("""COMPUTED_VALUE"""),1535.0)</f>
        <v>1535</v>
      </c>
      <c r="B296" s="1028" t="str">
        <f>VLOOKUP(A296,'18. DADOS - HISTORICO MANUT. 20'!E:I,2,0)</f>
        <v>SINAPI-I</v>
      </c>
      <c r="C296" s="1029" t="str">
        <f>VLOOKUP(A296,'18. DADOS - HISTORICO MANUT. 20'!$E:$I,3,0)</f>
        <v>TERMINAL METALICO A PRESSAO PARA 1 CABO DE 6 A 10 MM2, COM 1 FURO DE FIXACAO</v>
      </c>
      <c r="D296" s="1028" t="str">
        <f>VLOOKUP(A296,'18. DADOS - HISTORICO MANUT. 20'!$E:$I,4,0)</f>
        <v>UN</v>
      </c>
      <c r="E296" s="1028">
        <f>SUMIF('18. DADOS - HISTORICO MANUT. 20'!E:E,A296,'18. DADOS - HISTORICO MANUT. 20'!I:I)</f>
        <v>2</v>
      </c>
      <c r="F296" s="1030"/>
      <c r="G296" s="1030"/>
      <c r="H296" s="1060"/>
      <c r="I296" s="1062"/>
      <c r="J296" s="1062"/>
      <c r="K296" s="1062"/>
      <c r="L296" s="1062"/>
      <c r="M296" s="1062"/>
      <c r="N296" s="1030"/>
      <c r="O296" s="1030"/>
      <c r="P296" s="1030"/>
    </row>
    <row r="297">
      <c r="A297" s="1059">
        <f>IFERROR(__xludf.DUMMYFUNCTION("""COMPUTED_VALUE"""),1550.0)</f>
        <v>1550</v>
      </c>
      <c r="B297" s="1028" t="str">
        <f>VLOOKUP(A297,'18. DADOS - HISTORICO MANUT. 20'!E:I,2,0)</f>
        <v>SINAPI-I</v>
      </c>
      <c r="C297" s="1029" t="str">
        <f>VLOOKUP(A297,'18. DADOS - HISTORICO MANUT. 20'!$E:$I,3,0)</f>
        <v>CONECTOR METALICO TIPO PARAFUSO FENDIDO (SPLIT BOLT), PARA CABOS ATE 25 MM2</v>
      </c>
      <c r="D297" s="1028" t="str">
        <f>VLOOKUP(A297,'18. DADOS - HISTORICO MANUT. 20'!$E:$I,4,0)</f>
        <v>UN</v>
      </c>
      <c r="E297" s="1028">
        <f>SUMIF('18. DADOS - HISTORICO MANUT. 20'!E:E,A297,'18. DADOS - HISTORICO MANUT. 20'!I:I)</f>
        <v>1</v>
      </c>
      <c r="F297" s="1030"/>
      <c r="G297" s="1030"/>
      <c r="H297" s="1060"/>
      <c r="I297" s="1062"/>
      <c r="J297" s="1062"/>
      <c r="K297" s="1062"/>
      <c r="L297" s="1062"/>
      <c r="M297" s="1062"/>
      <c r="N297" s="1030"/>
      <c r="O297" s="1030"/>
      <c r="P297" s="1030"/>
    </row>
    <row r="298">
      <c r="A298" s="1059">
        <f>IFERROR(__xludf.DUMMYFUNCTION("""COMPUTED_VALUE"""),101875.0)</f>
        <v>101875</v>
      </c>
      <c r="B298" s="1028" t="str">
        <f>VLOOKUP(A298,'18. DADOS - HISTORICO MANUT. 20'!E:I,2,0)</f>
        <v>SINAPI-S</v>
      </c>
      <c r="C298" s="1029" t="str">
        <f>VLOOKUP(A298,'18. DADOS - HISTORICO MANUT. 20'!$E:$I,3,0)</f>
        <v>QUADRO DE DISTRIBUIÇÃO DE ENERGIA EM CHAPA DE AÇO GALVANIZADO, DE EMBUTIR, COM BARRAMENTO TRIFÁSICO, PARA 12 DISJUNTORES DIN 100A - FORNECIMENTO E INSTALAÇÃO. AF_10/2020</v>
      </c>
      <c r="D298" s="1028" t="str">
        <f>VLOOKUP(A298,'18. DADOS - HISTORICO MANUT. 20'!$E:$I,4,0)</f>
        <v>UN</v>
      </c>
      <c r="E298" s="1028">
        <f>SUMIF('18. DADOS - HISTORICO MANUT. 20'!E:E,A298,'18. DADOS - HISTORICO MANUT. 20'!I:I)</f>
        <v>2</v>
      </c>
      <c r="F298" s="1030"/>
      <c r="G298" s="1030"/>
      <c r="H298" s="1060"/>
      <c r="I298" s="1062"/>
      <c r="J298" s="1062"/>
      <c r="K298" s="1062"/>
      <c r="L298" s="1062"/>
      <c r="M298" s="1062"/>
      <c r="N298" s="1030"/>
      <c r="O298" s="1030"/>
      <c r="P298" s="1030"/>
    </row>
    <row r="299">
      <c r="A299" s="1059">
        <f>IFERROR(__xludf.DUMMYFUNCTION("""COMPUTED_VALUE"""),5678.0)</f>
        <v>5678</v>
      </c>
      <c r="B299" s="1028" t="str">
        <f>VLOOKUP(A299,'18. DADOS - HISTORICO MANUT. 20'!E:I,2,0)</f>
        <v>SINAPI-S</v>
      </c>
      <c r="C299" s="1029" t="str">
        <f>VLOOKUP(A299,'18. DADOS - HISTORICO MANUT. 20'!$E:$I,3,0)</f>
        <v>RETROESCAVADEIRA SOBRE RODAS COM CARREGADEIRA, TRAÇÃO 4X4, POTÊNCIA LÍQ. 88 HP, CAÇAMBA CARREG. CAP. MÍN. 1 M3, CAÇAMBA RETRO CAP. 0,26 M3, PESO OPERACIONAL MÍN. 6.674 KG, PROFUNDIDADE ESCAVAÇÃO MÁX. 4,37 M - CHP DIURNO. AF_06/2014</v>
      </c>
      <c r="D299" s="1028" t="str">
        <f>VLOOKUP(A299,'18. DADOS - HISTORICO MANUT. 20'!$E:$I,4,0)</f>
        <v>CHP</v>
      </c>
      <c r="E299" s="1028">
        <f>SUMIF('18. DADOS - HISTORICO MANUT. 20'!E:E,A299,'18. DADOS - HISTORICO MANUT. 20'!I:I)</f>
        <v>8</v>
      </c>
      <c r="F299" s="1030"/>
      <c r="G299" s="1030"/>
      <c r="H299" s="1060"/>
      <c r="I299" s="1062"/>
      <c r="J299" s="1062"/>
      <c r="K299" s="1062"/>
      <c r="L299" s="1062"/>
      <c r="M299" s="1062"/>
      <c r="N299" s="1030"/>
      <c r="O299" s="1030"/>
      <c r="P299" s="1030"/>
    </row>
    <row r="300">
      <c r="A300" s="1059">
        <f>IFERROR(__xludf.DUMMYFUNCTION("""COMPUTED_VALUE"""),98101.0)</f>
        <v>98101</v>
      </c>
      <c r="B300" s="1028" t="str">
        <f>VLOOKUP(A300,'18. DADOS - HISTORICO MANUT. 20'!E:I,2,0)</f>
        <v>SINAPI-S</v>
      </c>
      <c r="C300" s="1029" t="str">
        <f>VLOOKUP(A300,'18. DADOS - HISTORICO MANUT. 20'!$E:$I,3,0)</f>
        <v>SUMIDOURO RETANGULAR, EM ALVENARIA COM BLOCOS DE CONCRETO, DIMENSÕES INTERNAS: 1,6 X 5,8 X H=3,0 M, ÁREA DE INFILTRAÇÃO: 50 M² (PARA 20 CONTRIBUINTES). . AF_12/2020</v>
      </c>
      <c r="D300" s="1028" t="str">
        <f>VLOOKUP(A300,'18. DADOS - HISTORICO MANUT. 20'!$E:$I,4,0)</f>
        <v>UN</v>
      </c>
      <c r="E300" s="1028">
        <f>SUMIF('18. DADOS - HISTORICO MANUT. 20'!E:E,A300,'18. DADOS - HISTORICO MANUT. 20'!I:I)</f>
        <v>1</v>
      </c>
      <c r="F300" s="1030"/>
      <c r="G300" s="1030"/>
      <c r="H300" s="1060"/>
      <c r="I300" s="1062"/>
      <c r="J300" s="1062"/>
      <c r="K300" s="1062"/>
      <c r="L300" s="1062"/>
      <c r="M300" s="1062"/>
      <c r="N300" s="1030"/>
      <c r="O300" s="1030"/>
      <c r="P300" s="1030"/>
    </row>
    <row r="301">
      <c r="A301" s="1059">
        <f>IFERROR(__xludf.DUMMYFUNCTION("""COMPUTED_VALUE"""),98059.0)</f>
        <v>98059</v>
      </c>
      <c r="B301" s="1028" t="str">
        <f>VLOOKUP(A301,'18. DADOS - HISTORICO MANUT. 20'!E:I,2,0)</f>
        <v>SINAPI-S</v>
      </c>
      <c r="C301" s="1029" t="str">
        <f>VLOOKUP(A301,'18. DADOS - HISTORICO MANUT. 20'!$E:$I,3,0)</f>
        <v>FILTRO ANAERÓBIO CIRCULAR, EM CONCRETO PRÉ-MOLDADO, DIÂMETRO INTERNO = 1,88 M, ALTURA INTERNA = 1,50 M, VOLUME ÚTIL: 3331,1 L (PARA 19 CONTRIBUINTES). AF_12/2020_PA</v>
      </c>
      <c r="D301" s="1028" t="str">
        <f>VLOOKUP(A301,'18. DADOS - HISTORICO MANUT. 20'!$E:$I,4,0)</f>
        <v>UN</v>
      </c>
      <c r="E301" s="1028">
        <f>SUMIF('18. DADOS - HISTORICO MANUT. 20'!E:E,A301,'18. DADOS - HISTORICO MANUT. 20'!I:I)</f>
        <v>1</v>
      </c>
      <c r="F301" s="1030"/>
      <c r="G301" s="1030"/>
      <c r="H301" s="1060"/>
      <c r="I301" s="1062"/>
      <c r="J301" s="1062"/>
      <c r="K301" s="1062"/>
      <c r="L301" s="1062"/>
      <c r="M301" s="1062"/>
      <c r="N301" s="1030"/>
      <c r="O301" s="1030"/>
      <c r="P301" s="1030"/>
    </row>
    <row r="302">
      <c r="A302" s="1059">
        <f>IFERROR(__xludf.DUMMYFUNCTION("""COMPUTED_VALUE"""),98054.0)</f>
        <v>98054</v>
      </c>
      <c r="B302" s="1028" t="str">
        <f>VLOOKUP(A302,'18. DADOS - HISTORICO MANUT. 20'!E:I,2,0)</f>
        <v>SINAPI-S</v>
      </c>
      <c r="C302" s="1029" t="str">
        <f>VLOOKUP(A302,'18. DADOS - HISTORICO MANUT. 20'!$E:$I,3,0)</f>
        <v>TANQUE SÉPTICO CIRCULAR, EM CONCRETO PRÉ-MOLDADO, DIÂMETRO INTERNO = 1,88 M, ALTURA INTERNA = 2,50 M, VOLUME ÚTIL: 6245,8 L (PARA 32 CONTRIBUINTES). AF_12/2020_PA</v>
      </c>
      <c r="D302" s="1028" t="str">
        <f>VLOOKUP(A302,'18. DADOS - HISTORICO MANUT. 20'!$E:$I,4,0)</f>
        <v>UN</v>
      </c>
      <c r="E302" s="1028">
        <f>SUMIF('18. DADOS - HISTORICO MANUT. 20'!E:E,A302,'18. DADOS - HISTORICO MANUT. 20'!I:I)</f>
        <v>1</v>
      </c>
      <c r="F302" s="1030"/>
      <c r="G302" s="1030"/>
      <c r="H302" s="1060"/>
      <c r="I302" s="1062"/>
      <c r="J302" s="1062"/>
      <c r="K302" s="1062"/>
      <c r="L302" s="1062"/>
      <c r="M302" s="1062"/>
      <c r="N302" s="1030"/>
      <c r="O302" s="1030"/>
      <c r="P302" s="1030"/>
    </row>
    <row r="303">
      <c r="A303" s="1059">
        <f>IFERROR(__xludf.DUMMYFUNCTION("""COMPUTED_VALUE"""),86906.0)</f>
        <v>86906</v>
      </c>
      <c r="B303" s="1028" t="str">
        <f>VLOOKUP(A303,'18. DADOS - HISTORICO MANUT. 20'!E:I,2,0)</f>
        <v>SINAPI-S</v>
      </c>
      <c r="C303" s="1029" t="str">
        <f>VLOOKUP(A303,'18. DADOS - HISTORICO MANUT. 20'!$E:$I,3,0)</f>
        <v>TORNEIRA CROMADA DE MESA, 1/2_x0094_ OU 3/4_x0094_, PARA LAVATÓRIO, PADRÃO POPULAR - FORNECIMENTO E INSTALAÇÃO. AF_01/2020</v>
      </c>
      <c r="D303" s="1028" t="str">
        <f>VLOOKUP(A303,'18. DADOS - HISTORICO MANUT. 20'!$E:$I,4,0)</f>
        <v>UN</v>
      </c>
      <c r="E303" s="1028">
        <f>SUMIF('18. DADOS - HISTORICO MANUT. 20'!E:E,A303,'18. DADOS - HISTORICO MANUT. 20'!I:I)</f>
        <v>1</v>
      </c>
      <c r="F303" s="1030"/>
      <c r="G303" s="1030"/>
      <c r="H303" s="1060"/>
      <c r="I303" s="1062"/>
      <c r="J303" s="1062"/>
      <c r="K303" s="1062"/>
      <c r="L303" s="1062"/>
      <c r="M303" s="1062"/>
      <c r="N303" s="1030"/>
      <c r="O303" s="1030"/>
      <c r="P303" s="1030"/>
    </row>
    <row r="304">
      <c r="A304" s="1059" t="str">
        <f>IFERROR(__xludf.DUMMYFUNCTION("""COMPUTED_VALUE"""),"COT_MAN_036")</f>
        <v>COT_MAN_036</v>
      </c>
      <c r="B304" s="1028" t="str">
        <f>VLOOKUP(A304,'18. DADOS - HISTORICO MANUT. 20'!E:I,2,0)</f>
        <v>COT.MERCADO</v>
      </c>
      <c r="C304" s="1029" t="str">
        <f>VLOOKUP(A304,'18. DADOS - HISTORICO MANUT. 20'!$E:$I,3,0)</f>
        <v>CONTROLE PARA PORTÃO ELETRÔNICO 4 VIAS DE LONGO ALCANCE. REF.: INTELBRAS EP 04 OU SIMILAR</v>
      </c>
      <c r="D304" s="1028" t="str">
        <f>VLOOKUP(A304,'18. DADOS - HISTORICO MANUT. 20'!$E:$I,4,0)</f>
        <v>UN</v>
      </c>
      <c r="E304" s="1028">
        <f>SUMIF('18. DADOS - HISTORICO MANUT. 20'!E:E,A304,'18. DADOS - HISTORICO MANUT. 20'!I:I)</f>
        <v>3</v>
      </c>
      <c r="F304" s="1030"/>
      <c r="G304" s="1030"/>
      <c r="H304" s="1060"/>
      <c r="I304" s="1062"/>
      <c r="J304" s="1062"/>
      <c r="K304" s="1062"/>
      <c r="L304" s="1062"/>
      <c r="M304" s="1062"/>
      <c r="N304" s="1030"/>
      <c r="O304" s="1030"/>
      <c r="P304" s="1030"/>
    </row>
    <row r="305">
      <c r="A305" s="1059">
        <f>IFERROR(__xludf.DUMMYFUNCTION("""COMPUTED_VALUE"""),100554.0)</f>
        <v>100554</v>
      </c>
      <c r="B305" s="1028" t="str">
        <f>VLOOKUP(A305,'18. DADOS - HISTORICO MANUT. 20'!E:I,2,0)</f>
        <v>SINAPI-S</v>
      </c>
      <c r="C305" s="1029" t="str">
        <f>VLOOKUP(A305,'18. DADOS - HISTORICO MANUT. 20'!$E:$I,3,0)</f>
        <v>CABO COAXIAL RG59 95% - FORNECIMENTO E INSTALAÇÃO. AF_11/2019</v>
      </c>
      <c r="D305" s="1028" t="str">
        <f>VLOOKUP(A305,'18. DADOS - HISTORICO MANUT. 20'!$E:$I,4,0)</f>
        <v>M</v>
      </c>
      <c r="E305" s="1028">
        <f>SUMIF('18. DADOS - HISTORICO MANUT. 20'!E:E,A305,'18. DADOS - HISTORICO MANUT. 20'!I:I)</f>
        <v>4</v>
      </c>
      <c r="F305" s="1030"/>
      <c r="G305" s="1030"/>
      <c r="H305" s="1060"/>
      <c r="I305" s="1062"/>
      <c r="J305" s="1062"/>
      <c r="K305" s="1062"/>
      <c r="L305" s="1062"/>
      <c r="M305" s="1062"/>
      <c r="N305" s="1030"/>
      <c r="O305" s="1030"/>
      <c r="P305" s="1030"/>
    </row>
    <row r="306">
      <c r="A306" s="1059">
        <f>IFERROR(__xludf.DUMMYFUNCTION("""COMPUTED_VALUE"""),38105.0)</f>
        <v>38105</v>
      </c>
      <c r="B306" s="1028" t="str">
        <f>VLOOKUP(A306,'18. DADOS - HISTORICO MANUT. 20'!E:I,2,0)</f>
        <v>SINAPI-I</v>
      </c>
      <c r="C306" s="1029" t="str">
        <f>VLOOKUP(A306,'18. DADOS - HISTORICO MANUT. 20'!$E:$I,3,0)</f>
        <v>TOMADA PARA ANTENA DE TV, CABO COAXIAL DE 9 MM (APENAS MODULO)</v>
      </c>
      <c r="D306" s="1028" t="str">
        <f>VLOOKUP(A306,'18. DADOS - HISTORICO MANUT. 20'!$E:$I,4,0)</f>
        <v>UN</v>
      </c>
      <c r="E306" s="1028">
        <f>SUMIF('18. DADOS - HISTORICO MANUT. 20'!E:E,A306,'18. DADOS - HISTORICO MANUT. 20'!I:I)</f>
        <v>1</v>
      </c>
      <c r="F306" s="1030"/>
      <c r="G306" s="1030"/>
      <c r="H306" s="1060"/>
      <c r="I306" s="1062"/>
      <c r="J306" s="1062"/>
      <c r="K306" s="1062"/>
      <c r="L306" s="1062"/>
      <c r="M306" s="1062"/>
      <c r="N306" s="1030"/>
      <c r="O306" s="1030"/>
      <c r="P306" s="1030"/>
    </row>
    <row r="307">
      <c r="A307" s="1059">
        <f>IFERROR(__xludf.DUMMYFUNCTION("""COMPUTED_VALUE"""),98300.0)</f>
        <v>98300</v>
      </c>
      <c r="B307" s="1028" t="str">
        <f>VLOOKUP(A307,'18. DADOS - HISTORICO MANUT. 20'!E:I,2,0)</f>
        <v>SINAPI-S</v>
      </c>
      <c r="C307" s="1029" t="str">
        <f>VLOOKUP(A307,'18. DADOS - HISTORICO MANUT. 20'!$E:$I,3,0)</f>
        <v>CABO COAXIAL RG6 95% - FORNECIMENTO E INSTALAÇÃO. AF_11/2019</v>
      </c>
      <c r="D307" s="1028" t="str">
        <f>VLOOKUP(A307,'18. DADOS - HISTORICO MANUT. 20'!$E:$I,4,0)</f>
        <v>M</v>
      </c>
      <c r="E307" s="1028">
        <f>SUMIF('18. DADOS - HISTORICO MANUT. 20'!E:E,A307,'18. DADOS - HISTORICO MANUT. 20'!I:I)</f>
        <v>10</v>
      </c>
      <c r="F307" s="1030"/>
      <c r="G307" s="1030"/>
      <c r="H307" s="1060"/>
      <c r="I307" s="1062"/>
      <c r="J307" s="1062"/>
      <c r="K307" s="1062"/>
      <c r="L307" s="1062"/>
      <c r="M307" s="1062"/>
      <c r="N307" s="1030"/>
      <c r="O307" s="1030"/>
      <c r="P307" s="1030"/>
    </row>
    <row r="308">
      <c r="A308" s="1059">
        <f>IFERROR(__xludf.DUMMYFUNCTION("""COMPUTED_VALUE"""),38394.0)</f>
        <v>38394</v>
      </c>
      <c r="B308" s="1028" t="str">
        <f>VLOOKUP(A308,'18. DADOS - HISTORICO MANUT. 20'!E:I,2,0)</f>
        <v>SINAPI-I</v>
      </c>
      <c r="C308" s="1029" t="str">
        <f>VLOOKUP(A308,'18. DADOS - HISTORICO MANUT. 20'!$E:$I,3,0)</f>
        <v>KIT ACESSORIOS PARA COMPRESSOR DE AR, 5 PECAS (PISTOLAS PINTURA, LIMPEZA E PULVERIZACAO, CALIBRADOR E MANGUEIRA)</v>
      </c>
      <c r="D308" s="1028" t="str">
        <f>VLOOKUP(A308,'18. DADOS - HISTORICO MANUT. 20'!$E:$I,4,0)</f>
        <v>UN</v>
      </c>
      <c r="E308" s="1028">
        <f>SUMIF('18. DADOS - HISTORICO MANUT. 20'!E:E,A308,'18. DADOS - HISTORICO MANUT. 20'!I:I)</f>
        <v>1</v>
      </c>
      <c r="F308" s="1030"/>
      <c r="G308" s="1030"/>
      <c r="H308" s="1060"/>
      <c r="I308" s="1062"/>
      <c r="J308" s="1062"/>
      <c r="K308" s="1062"/>
      <c r="L308" s="1062"/>
      <c r="M308" s="1062"/>
      <c r="N308" s="1030"/>
      <c r="O308" s="1030"/>
      <c r="P308" s="1030"/>
    </row>
    <row r="309">
      <c r="A309" s="1059" t="str">
        <f>IFERROR(__xludf.DUMMYFUNCTION("""COMPUTED_VALUE"""),"MAN_PR_037")</f>
        <v>MAN_PR_037</v>
      </c>
      <c r="B309" s="1028" t="str">
        <f>VLOOKUP(A309,'18. DADOS - HISTORICO MANUT. 20'!E:I,2,0)</f>
        <v>COMP.EVENTUAL</v>
      </c>
      <c r="C309" s="1029" t="str">
        <f>VLOOKUP(A309,'18. DADOS - HISTORICO MANUT. 20'!$E:$I,3,0)</f>
        <v>LUBRIFICAÇÃO DE FERRAGEM</v>
      </c>
      <c r="D309" s="1028" t="str">
        <f>VLOOKUP(A309,'18. DADOS - HISTORICO MANUT. 20'!$E:$I,4,0)</f>
        <v>UN</v>
      </c>
      <c r="E309" s="1028">
        <f>SUMIF('18. DADOS - HISTORICO MANUT. 20'!E:E,A309,'18. DADOS - HISTORICO MANUT. 20'!I:I)</f>
        <v>1</v>
      </c>
      <c r="F309" s="1030"/>
      <c r="G309" s="1030"/>
      <c r="H309" s="1060"/>
      <c r="I309" s="1062"/>
      <c r="J309" s="1062"/>
      <c r="K309" s="1062"/>
      <c r="L309" s="1062"/>
      <c r="M309" s="1062"/>
      <c r="N309" s="1030"/>
      <c r="O309" s="1030"/>
      <c r="P309" s="1030"/>
    </row>
    <row r="310">
      <c r="A310" s="1059">
        <f>IFERROR(__xludf.DUMMYFUNCTION("""COMPUTED_VALUE"""),12892.0)</f>
        <v>12892</v>
      </c>
      <c r="B310" s="1028" t="str">
        <f>VLOOKUP(A310,'18. DADOS - HISTORICO MANUT. 20'!E:I,2,0)</f>
        <v>SINAPI-I</v>
      </c>
      <c r="C310" s="1029" t="str">
        <f>VLOOKUP(A310,'18. DADOS - HISTORICO MANUT. 20'!$E:$I,3,0)</f>
        <v>LUVA RASPA DE COURO, CANO CURTO (PUNHO *7* CM)</v>
      </c>
      <c r="D310" s="1028" t="str">
        <f>VLOOKUP(A310,'18. DADOS - HISTORICO MANUT. 20'!$E:$I,4,0)</f>
        <v>PAR</v>
      </c>
      <c r="E310" s="1028">
        <f>SUMIF('18. DADOS - HISTORICO MANUT. 20'!E:E,A310,'18. DADOS - HISTORICO MANUT. 20'!I:I)</f>
        <v>2</v>
      </c>
      <c r="F310" s="1030"/>
      <c r="G310" s="1030"/>
      <c r="H310" s="1060"/>
      <c r="I310" s="1062"/>
      <c r="J310" s="1062"/>
      <c r="K310" s="1062"/>
      <c r="L310" s="1062"/>
      <c r="M310" s="1062"/>
      <c r="N310" s="1030"/>
      <c r="O310" s="1030"/>
      <c r="P310" s="1030"/>
    </row>
    <row r="311">
      <c r="A311" s="1059">
        <f>IFERROR(__xludf.DUMMYFUNCTION("""COMPUTED_VALUE"""),38140.0)</f>
        <v>38140</v>
      </c>
      <c r="B311" s="1028" t="str">
        <f>VLOOKUP(A311,'18. DADOS - HISTORICO MANUT. 20'!E:I,2,0)</f>
        <v>SINAPI-I</v>
      </c>
      <c r="C311" s="1029" t="str">
        <f>VLOOKUP(A311,'18. DADOS - HISTORICO MANUT. 20'!$E:$I,3,0)</f>
        <v>DISCO DE CORTE DIAMANTADO SEGMENTADO PARA CONCRETO, DIAMETRO DE 110 MM, FURO DE 20 MM</v>
      </c>
      <c r="D311" s="1028" t="str">
        <f>VLOOKUP(A311,'18. DADOS - HISTORICO MANUT. 20'!$E:$I,4,0)</f>
        <v>UN</v>
      </c>
      <c r="E311" s="1028">
        <f>SUMIF('18. DADOS - HISTORICO MANUT. 20'!E:E,A311,'18. DADOS - HISTORICO MANUT. 20'!I:I)</f>
        <v>23</v>
      </c>
      <c r="F311" s="1030"/>
      <c r="G311" s="1030"/>
      <c r="H311" s="1060"/>
      <c r="I311" s="1062"/>
      <c r="J311" s="1062"/>
      <c r="K311" s="1062"/>
      <c r="L311" s="1062"/>
      <c r="M311" s="1062"/>
      <c r="N311" s="1030"/>
      <c r="O311" s="1030"/>
      <c r="P311" s="1030"/>
    </row>
    <row r="312">
      <c r="A312" s="1059">
        <f>IFERROR(__xludf.DUMMYFUNCTION("""COMPUTED_VALUE"""),21012.0)</f>
        <v>21012</v>
      </c>
      <c r="B312" s="1028" t="str">
        <f>VLOOKUP(A312,'18. DADOS - HISTORICO MANUT. 20'!E:I,2,0)</f>
        <v>SINAPI-I</v>
      </c>
      <c r="C312" s="1029" t="str">
        <f>VLOOKUP(A312,'18. DADOS - HISTORICO MANUT. 20'!$E:$I,3,0)</f>
        <v>TUBO ACO GALVANIZADO COM COSTURA, CLASSE LEVE, DN 40 MM ( 1 1/2"),  E = 3,00 MM,  *3,48* KG/M (NBR 5580)</v>
      </c>
      <c r="D312" s="1028" t="str">
        <f>VLOOKUP(A312,'18. DADOS - HISTORICO MANUT. 20'!$E:$I,4,0)</f>
        <v>M</v>
      </c>
      <c r="E312" s="1028">
        <f>SUMIF('18. DADOS - HISTORICO MANUT. 20'!E:E,A312,'18. DADOS - HISTORICO MANUT. 20'!I:I)</f>
        <v>2</v>
      </c>
      <c r="F312" s="1030"/>
      <c r="G312" s="1030"/>
      <c r="H312" s="1060"/>
      <c r="I312" s="1062"/>
      <c r="J312" s="1062"/>
      <c r="K312" s="1062"/>
      <c r="L312" s="1062"/>
      <c r="M312" s="1062"/>
      <c r="N312" s="1030"/>
      <c r="O312" s="1030"/>
      <c r="P312" s="1030"/>
    </row>
    <row r="313">
      <c r="A313" s="1059">
        <f>IFERROR(__xludf.DUMMYFUNCTION("""COMPUTED_VALUE"""),100808.0)</f>
        <v>100808</v>
      </c>
      <c r="B313" s="1028" t="str">
        <f>VLOOKUP(A313,'18. DADOS - HISTORICO MANUT. 20'!E:I,2,0)</f>
        <v>SINAPI-S</v>
      </c>
      <c r="C313" s="1029" t="str">
        <f>VLOOKUP(A313,'18. DADOS - HISTORICO MANUT. 20'!$E:$I,3,0)</f>
        <v>TUBO, PEX, MULTICAMADA, COM TUBO LUVA, DN 20, INSTALADO EM RAMAL INTERNO DE INSTALAÇÕES DE GÁS - FORNECIMENTO E INSTALAÇÃO. AF_01/2020</v>
      </c>
      <c r="D313" s="1028" t="str">
        <f>VLOOKUP(A313,'18. DADOS - HISTORICO MANUT. 20'!$E:$I,4,0)</f>
        <v>M</v>
      </c>
      <c r="E313" s="1028">
        <f>SUMIF('18. DADOS - HISTORICO MANUT. 20'!E:E,A313,'18. DADOS - HISTORICO MANUT. 20'!I:I)</f>
        <v>4</v>
      </c>
      <c r="F313" s="1030"/>
      <c r="G313" s="1030"/>
      <c r="H313" s="1060"/>
      <c r="I313" s="1062"/>
      <c r="J313" s="1062"/>
      <c r="K313" s="1062"/>
      <c r="L313" s="1062"/>
      <c r="M313" s="1062"/>
      <c r="N313" s="1030"/>
      <c r="O313" s="1030"/>
      <c r="P313" s="1030"/>
    </row>
    <row r="314">
      <c r="A314" s="1059" t="str">
        <f>IFERROR(__xludf.DUMMYFUNCTION("""COMPUTED_VALUE"""),"MAN_PR_014")</f>
        <v>MAN_PR_014</v>
      </c>
      <c r="B314" s="1028" t="str">
        <f>VLOOKUP(A314,'18. DADOS - HISTORICO MANUT. 20'!E:I,2,0)</f>
        <v>COMP.EVENTUAL</v>
      </c>
      <c r="C314" s="1029" t="str">
        <f>VLOOKUP(A314,'18. DADOS - HISTORICO MANUT. 20'!$E:$I,3,0)</f>
        <v>FORNECIMENTO E INSTALAÇÃO DE EXTENSÃO ELÉTRICA COM CABO  DE COBRE PP CORDPLAST 3 X 2,5MM2, ISOLAMENTO 40/750V COM ISOLAÇÃO PP 70ºC, COMPRIMENTO DE 1,5M</v>
      </c>
      <c r="D314" s="1028" t="str">
        <f>VLOOKUP(A314,'18. DADOS - HISTORICO MANUT. 20'!$E:$I,4,0)</f>
        <v>UN</v>
      </c>
      <c r="E314" s="1028">
        <f>SUMIF('18. DADOS - HISTORICO MANUT. 20'!E:E,A314,'18. DADOS - HISTORICO MANUT. 20'!I:I)</f>
        <v>3</v>
      </c>
      <c r="F314" s="1030"/>
      <c r="G314" s="1030"/>
      <c r="H314" s="1060"/>
      <c r="I314" s="1062"/>
      <c r="J314" s="1062"/>
      <c r="K314" s="1062"/>
      <c r="L314" s="1062"/>
      <c r="M314" s="1062"/>
      <c r="N314" s="1030"/>
      <c r="O314" s="1030"/>
      <c r="P314" s="1030"/>
    </row>
    <row r="315">
      <c r="A315" s="1059">
        <f>IFERROR(__xludf.DUMMYFUNCTION("""COMPUTED_VALUE"""),100556.0)</f>
        <v>100556</v>
      </c>
      <c r="B315" s="1028" t="str">
        <f>VLOOKUP(A315,'18. DADOS - HISTORICO MANUT. 20'!E:I,2,0)</f>
        <v>SINAPI-S</v>
      </c>
      <c r="C315" s="1029" t="str">
        <f>VLOOKUP(A315,'18. DADOS - HISTORICO MANUT. 20'!$E:$I,3,0)</f>
        <v>CAIXA DE PASSAGEM PARA TELEFONE 15X15X10CM (SOBREPOR), FORNECIMENTO E INSTALACAO. AF_11/2019</v>
      </c>
      <c r="D315" s="1028" t="str">
        <f>VLOOKUP(A315,'18. DADOS - HISTORICO MANUT. 20'!$E:$I,4,0)</f>
        <v>UN</v>
      </c>
      <c r="E315" s="1028">
        <f>SUMIF('18. DADOS - HISTORICO MANUT. 20'!E:E,A315,'18. DADOS - HISTORICO MANUT. 20'!I:I)</f>
        <v>1</v>
      </c>
      <c r="F315" s="1030"/>
      <c r="G315" s="1030"/>
      <c r="H315" s="1060"/>
      <c r="I315" s="1062"/>
      <c r="J315" s="1062"/>
      <c r="K315" s="1062"/>
      <c r="L315" s="1062"/>
      <c r="M315" s="1062"/>
      <c r="N315" s="1030"/>
      <c r="O315" s="1030"/>
      <c r="P315" s="1030"/>
    </row>
    <row r="316">
      <c r="A316" s="1059">
        <f>IFERROR(__xludf.DUMMYFUNCTION("""COMPUTED_VALUE"""),101657.0)</f>
        <v>101657</v>
      </c>
      <c r="B316" s="1028" t="str">
        <f>VLOOKUP(A316,'18. DADOS - HISTORICO MANUT. 20'!E:I,2,0)</f>
        <v>SINAPI-S</v>
      </c>
      <c r="C316" s="1029" t="str">
        <f>VLOOKUP(A316,'18. DADOS - HISTORICO MANUT. 20'!$E:$I,3,0)</f>
        <v>LUMINÁRIA DE LED PARA ILUMINAÇÃO PÚBLICA, DE 98 W ATÉ 137 W - FORNECIMENTO E INSTALAÇÃO. AF_08/2020</v>
      </c>
      <c r="D316" s="1028" t="str">
        <f>VLOOKUP(A316,'18. DADOS - HISTORICO MANUT. 20'!$E:$I,4,0)</f>
        <v>UN</v>
      </c>
      <c r="E316" s="1028">
        <f>SUMIF('18. DADOS - HISTORICO MANUT. 20'!E:E,A316,'18. DADOS - HISTORICO MANUT. 20'!I:I)</f>
        <v>5</v>
      </c>
      <c r="F316" s="1030"/>
      <c r="G316" s="1030"/>
      <c r="H316" s="1060"/>
      <c r="I316" s="1062"/>
      <c r="J316" s="1062"/>
      <c r="K316" s="1062"/>
      <c r="L316" s="1062"/>
      <c r="M316" s="1062"/>
      <c r="N316" s="1030"/>
      <c r="O316" s="1030"/>
      <c r="P316" s="1030"/>
    </row>
    <row r="317">
      <c r="A317" s="1059">
        <f>IFERROR(__xludf.DUMMYFUNCTION("""COMPUTED_VALUE"""),104479.0)</f>
        <v>104479</v>
      </c>
      <c r="B317" s="1028" t="str">
        <f>VLOOKUP(A317,'18. DADOS - HISTORICO MANUT. 20'!E:I,2,0)</f>
        <v>SINAPI-S</v>
      </c>
      <c r="C317" s="1029" t="str">
        <f>VLOOKUP(A317,'18. DADOS - HISTORICO MANUT. 20'!$E:$I,3,0)</f>
        <v>COMPOSIÇÃO PARAMÉTRICA DE PONTO ELÉTRICO DE TOMADA DE USO GERAL 2P+T (10A/250V) EM EDIFÍCIO RESIDENCIAL COM ELETRODUTO EMBUTIDO SEM NECESSIDADE DE RASGOS, INCLUSO TOMADA, ELETRODUTO, CABO E QUEBRA. AF_11/2022</v>
      </c>
      <c r="D317" s="1028" t="str">
        <f>VLOOKUP(A317,'18. DADOS - HISTORICO MANUT. 20'!$E:$I,4,0)</f>
        <v>UN</v>
      </c>
      <c r="E317" s="1028">
        <f>SUMIF('18. DADOS - HISTORICO MANUT. 20'!E:E,A317,'18. DADOS - HISTORICO MANUT. 20'!I:I)</f>
        <v>2</v>
      </c>
      <c r="F317" s="1030"/>
      <c r="G317" s="1030"/>
      <c r="H317" s="1060"/>
      <c r="I317" s="1062"/>
      <c r="J317" s="1062"/>
      <c r="K317" s="1062"/>
      <c r="L317" s="1062"/>
      <c r="M317" s="1062"/>
      <c r="N317" s="1030"/>
      <c r="O317" s="1030"/>
      <c r="P317" s="1030"/>
    </row>
    <row r="318">
      <c r="A318" s="1059">
        <f>IFERROR(__xludf.DUMMYFUNCTION("""COMPUTED_VALUE"""),99824.0)</f>
        <v>99824</v>
      </c>
      <c r="B318" s="1028" t="str">
        <f>VLOOKUP(A318,'18. DADOS - HISTORICO MANUT. 20'!E:I,2,0)</f>
        <v>SINAPI-S</v>
      </c>
      <c r="C318" s="1029" t="str">
        <f>VLOOKUP(A318,'18. DADOS - HISTORICO MANUT. 20'!$E:$I,3,0)</f>
        <v>LIMPEZA DE PORTA EM AÇO/ALUMÍNIO. AF_04/2019</v>
      </c>
      <c r="D318" s="1028" t="str">
        <f>VLOOKUP(A318,'18. DADOS - HISTORICO MANUT. 20'!$E:$I,4,0)</f>
        <v>M2</v>
      </c>
      <c r="E318" s="1028">
        <f>SUMIF('18. DADOS - HISTORICO MANUT. 20'!E:E,A318,'18. DADOS - HISTORICO MANUT. 20'!I:I)</f>
        <v>1</v>
      </c>
      <c r="F318" s="1030"/>
      <c r="G318" s="1030"/>
      <c r="H318" s="1060"/>
      <c r="I318" s="1062"/>
      <c r="J318" s="1062"/>
      <c r="K318" s="1062"/>
      <c r="L318" s="1062"/>
      <c r="M318" s="1062"/>
      <c r="N318" s="1030"/>
      <c r="O318" s="1030"/>
      <c r="P318" s="1030"/>
    </row>
    <row r="319">
      <c r="A319" s="1059" t="str">
        <f>IFERROR(__xludf.DUMMYFUNCTION("""COMPUTED_VALUE"""),"MAN_PR_069")</f>
        <v>MAN_PR_069</v>
      </c>
      <c r="B319" s="1028" t="str">
        <f>VLOOKUP(A319,'18. DADOS - HISTORICO MANUT. 20'!E:I,2,0)</f>
        <v>COMP.EVENTUAL</v>
      </c>
      <c r="C319" s="1029" t="str">
        <f>VLOOKUP(A319,'18. DADOS - HISTORICO MANUT. 20'!$E:$I,3,0)</f>
        <v>FORNECIMENTO E INSTALAÇÃO DE LÂMPADA LED BULBO E27, 60W DE POTÊNCIA, COR BRANCO FRIO 6500K</v>
      </c>
      <c r="D319" s="1028" t="str">
        <f>VLOOKUP(A319,'18. DADOS - HISTORICO MANUT. 20'!$E:$I,4,0)</f>
        <v>UN</v>
      </c>
      <c r="E319" s="1028">
        <f>SUMIF('18. DADOS - HISTORICO MANUT. 20'!E:E,A319,'18. DADOS - HISTORICO MANUT. 20'!I:I)</f>
        <v>1</v>
      </c>
      <c r="F319" s="1030"/>
      <c r="G319" s="1030"/>
      <c r="H319" s="1060"/>
      <c r="I319" s="1062"/>
      <c r="J319" s="1062"/>
      <c r="K319" s="1062"/>
      <c r="L319" s="1062"/>
      <c r="M319" s="1062"/>
      <c r="N319" s="1030"/>
      <c r="O319" s="1030"/>
      <c r="P319" s="1030"/>
    </row>
    <row r="320">
      <c r="A320" s="1059">
        <f>IFERROR(__xludf.DUMMYFUNCTION("""COMPUTED_VALUE"""),156.0)</f>
        <v>156</v>
      </c>
      <c r="B320" s="1028" t="str">
        <f>VLOOKUP(A320,'18. DADOS - HISTORICO MANUT. 20'!E:I,2,0)</f>
        <v>SINAPI-I</v>
      </c>
      <c r="C320" s="1029" t="str">
        <f>VLOOKUP(A320,'18. DADOS - HISTORICO MANUT. 20'!$E:$I,3,0)</f>
        <v>ADESIVO ESTRUTURAL A BASE DE RESINA EPOXI, BICOMPONENTE, FLUIDO</v>
      </c>
      <c r="D320" s="1028" t="str">
        <f>VLOOKUP(A320,'18. DADOS - HISTORICO MANUT. 20'!$E:$I,4,0)</f>
        <v>KG</v>
      </c>
      <c r="E320" s="1028">
        <f>SUMIF('18. DADOS - HISTORICO MANUT. 20'!E:E,A320,'18. DADOS - HISTORICO MANUT. 20'!I:I)</f>
        <v>2</v>
      </c>
      <c r="F320" s="1030"/>
      <c r="G320" s="1030"/>
      <c r="H320" s="1060"/>
      <c r="I320" s="1062"/>
      <c r="J320" s="1062"/>
      <c r="K320" s="1062"/>
      <c r="L320" s="1062"/>
      <c r="M320" s="1062"/>
      <c r="N320" s="1030"/>
      <c r="O320" s="1030"/>
      <c r="P320" s="1030"/>
    </row>
    <row r="321">
      <c r="A321" s="1063"/>
      <c r="B321" s="1063"/>
      <c r="C321" s="1064"/>
      <c r="D321" s="1063"/>
      <c r="E321" s="1063"/>
      <c r="H321" s="1065"/>
      <c r="I321" s="270"/>
      <c r="J321" s="270"/>
      <c r="K321" s="270"/>
      <c r="L321" s="270"/>
      <c r="M321" s="270"/>
    </row>
  </sheetData>
  <mergeCells count="16">
    <mergeCell ref="N2:N4"/>
    <mergeCell ref="O2:O4"/>
    <mergeCell ref="S4:T4"/>
    <mergeCell ref="S5:T5"/>
    <mergeCell ref="Q7:R7"/>
    <mergeCell ref="Q18:S19"/>
    <mergeCell ref="Q20:R20"/>
    <mergeCell ref="H2:K2"/>
    <mergeCell ref="H3:K3"/>
    <mergeCell ref="A1:B1"/>
    <mergeCell ref="C1:M1"/>
    <mergeCell ref="N1:O1"/>
    <mergeCell ref="C2:E2"/>
    <mergeCell ref="L2:L4"/>
    <mergeCell ref="M2:M4"/>
    <mergeCell ref="C3:E3"/>
  </mergeCells>
  <hyperlinks>
    <hyperlink display="SUMÁRIO" location="'QUADRO RESUMO'!B16:D17" ref="N1"/>
  </hyperlinks>
  <printOptions gridLines="1" horizontalCentered="1"/>
  <pageMargins bottom="0.75" footer="0.0" header="0.0" left="0.7" right="0.7" top="0.75"/>
  <pageSetup fitToHeight="0" paperSize="8" cellComments="atEnd" orientation="landscape" pageOrder="overThenDown"/>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7BA0"/>
    <pageSetUpPr/>
  </sheetPr>
  <sheetViews>
    <sheetView showGridLines="0" workbookViewId="0">
      <pane ySplit="7.0" topLeftCell="A8" activePane="bottomLeft" state="frozen"/>
      <selection activeCell="B9" sqref="B9" pane="bottomLeft"/>
    </sheetView>
  </sheetViews>
  <sheetFormatPr customHeight="1" defaultColWidth="14.43" defaultRowHeight="15.0"/>
  <cols>
    <col customWidth="1" min="1" max="1" width="9.0"/>
    <col customWidth="1" min="2" max="2" width="106.86"/>
    <col customWidth="1" min="3" max="3" width="8.29"/>
    <col customWidth="1" min="4" max="4" width="12.86"/>
    <col customWidth="1" min="5" max="5" width="14.57"/>
    <col customWidth="1" min="6" max="6" width="10.14"/>
    <col customWidth="1" min="7" max="8" width="12.14"/>
  </cols>
  <sheetData>
    <row r="1" ht="14.25" customHeight="1">
      <c r="A1" s="1066" t="s">
        <v>5297</v>
      </c>
      <c r="B1" s="1067"/>
      <c r="C1" s="1068"/>
      <c r="D1" s="1068"/>
      <c r="E1" s="1069"/>
      <c r="F1" s="1070"/>
      <c r="G1" s="1071" t="s">
        <v>29</v>
      </c>
      <c r="H1" s="494"/>
    </row>
    <row r="2" ht="14.25" customHeight="1">
      <c r="A2" s="1072"/>
      <c r="B2" s="1073"/>
      <c r="C2" s="1068"/>
      <c r="D2" s="1068"/>
      <c r="E2" s="1069"/>
      <c r="F2" s="1070"/>
      <c r="G2" s="36"/>
      <c r="H2" s="36"/>
    </row>
    <row r="3" ht="14.25" customHeight="1">
      <c r="A3" s="1066" t="s">
        <v>5298</v>
      </c>
      <c r="B3" s="1067"/>
      <c r="C3" s="1068"/>
      <c r="D3" s="1068"/>
      <c r="E3" s="1069"/>
      <c r="F3" s="1070"/>
      <c r="G3" s="1070"/>
      <c r="H3" s="1070"/>
    </row>
    <row r="4" ht="14.25" customHeight="1">
      <c r="A4" s="1066" t="s">
        <v>5299</v>
      </c>
      <c r="B4" s="1067"/>
      <c r="C4" s="1068"/>
      <c r="D4" s="1068"/>
      <c r="E4" s="1069"/>
      <c r="F4" s="1070"/>
      <c r="G4" s="1070"/>
      <c r="H4" s="1070"/>
    </row>
    <row r="5" ht="14.25" customHeight="1">
      <c r="A5" s="1066" t="s">
        <v>5300</v>
      </c>
      <c r="B5" s="1067"/>
      <c r="C5" s="1068"/>
      <c r="D5" s="1068"/>
      <c r="E5" s="1069"/>
      <c r="F5" s="1070"/>
      <c r="G5" s="1070"/>
      <c r="H5" s="1070"/>
    </row>
    <row r="6" ht="14.25" customHeight="1">
      <c r="A6" s="1068"/>
      <c r="B6" s="1073"/>
      <c r="C6" s="1068"/>
      <c r="D6" s="1068"/>
      <c r="E6" s="1069"/>
      <c r="F6" s="1070"/>
      <c r="G6" s="1070"/>
      <c r="H6" s="1070"/>
    </row>
    <row r="7" ht="33.0" customHeight="1">
      <c r="A7" s="1074" t="s">
        <v>5301</v>
      </c>
      <c r="B7" s="1075" t="s">
        <v>5302</v>
      </c>
      <c r="C7" s="1076" t="s">
        <v>5303</v>
      </c>
      <c r="D7" s="1076" t="s">
        <v>5304</v>
      </c>
      <c r="E7" s="1076" t="s">
        <v>5305</v>
      </c>
      <c r="F7" s="1076" t="s">
        <v>87</v>
      </c>
      <c r="G7" s="1076" t="s">
        <v>5306</v>
      </c>
      <c r="H7" s="1077"/>
    </row>
    <row r="8" ht="14.25" customHeight="1">
      <c r="A8" s="1078">
        <v>38605.0</v>
      </c>
      <c r="B8" s="1079" t="s">
        <v>5307</v>
      </c>
      <c r="C8" s="1080" t="s">
        <v>1788</v>
      </c>
      <c r="D8" s="1081">
        <v>174.28</v>
      </c>
      <c r="E8" s="1082" t="s">
        <v>5308</v>
      </c>
      <c r="F8" s="1081">
        <f t="shared" ref="F8:F4950" si="1">IF(E8="MÃO DE OBRA",D8,0)</f>
        <v>0</v>
      </c>
      <c r="G8" s="1083">
        <f t="shared" ref="G8:G4950" si="2">IF(E8="MÃO DE OBRA",0,D8)</f>
        <v>174.28</v>
      </c>
      <c r="H8" s="1084"/>
    </row>
    <row r="9" ht="14.25" customHeight="1">
      <c r="A9" s="1085">
        <v>11270.0</v>
      </c>
      <c r="B9" s="1086" t="s">
        <v>5309</v>
      </c>
      <c r="C9" s="1087" t="s">
        <v>1788</v>
      </c>
      <c r="D9" s="1088">
        <v>2.88</v>
      </c>
      <c r="E9" s="1089" t="s">
        <v>5308</v>
      </c>
      <c r="F9" s="1081">
        <f t="shared" si="1"/>
        <v>0</v>
      </c>
      <c r="G9" s="1083">
        <f t="shared" si="2"/>
        <v>2.88</v>
      </c>
      <c r="H9" s="1084"/>
    </row>
    <row r="10" ht="14.25" customHeight="1">
      <c r="A10" s="1085">
        <v>412.0</v>
      </c>
      <c r="B10" s="1086" t="s">
        <v>5310</v>
      </c>
      <c r="C10" s="1087" t="s">
        <v>1788</v>
      </c>
      <c r="D10" s="1088">
        <v>1.02</v>
      </c>
      <c r="E10" s="1089" t="s">
        <v>5308</v>
      </c>
      <c r="F10" s="1081">
        <f t="shared" si="1"/>
        <v>0</v>
      </c>
      <c r="G10" s="1083">
        <f t="shared" si="2"/>
        <v>1.02</v>
      </c>
      <c r="H10" s="1084"/>
    </row>
    <row r="11" ht="14.25" customHeight="1">
      <c r="A11" s="1085">
        <v>414.0</v>
      </c>
      <c r="B11" s="1086" t="s">
        <v>5311</v>
      </c>
      <c r="C11" s="1087" t="s">
        <v>1788</v>
      </c>
      <c r="D11" s="1088">
        <v>0.06</v>
      </c>
      <c r="E11" s="1089" t="s">
        <v>5308</v>
      </c>
      <c r="F11" s="1081">
        <f t="shared" si="1"/>
        <v>0</v>
      </c>
      <c r="G11" s="1083">
        <f t="shared" si="2"/>
        <v>0.06</v>
      </c>
      <c r="H11" s="1084"/>
    </row>
    <row r="12" ht="14.25" customHeight="1">
      <c r="A12" s="1085">
        <v>410.0</v>
      </c>
      <c r="B12" s="1086" t="s">
        <v>5312</v>
      </c>
      <c r="C12" s="1087" t="s">
        <v>1788</v>
      </c>
      <c r="D12" s="1088">
        <v>0.15</v>
      </c>
      <c r="E12" s="1089" t="s">
        <v>5308</v>
      </c>
      <c r="F12" s="1081">
        <f t="shared" si="1"/>
        <v>0</v>
      </c>
      <c r="G12" s="1083">
        <f t="shared" si="2"/>
        <v>0.15</v>
      </c>
      <c r="H12" s="1084"/>
    </row>
    <row r="13" ht="14.25" customHeight="1">
      <c r="A13" s="1085">
        <v>411.0</v>
      </c>
      <c r="B13" s="1086" t="s">
        <v>5313</v>
      </c>
      <c r="C13" s="1087" t="s">
        <v>1788</v>
      </c>
      <c r="D13" s="1088">
        <v>0.2</v>
      </c>
      <c r="E13" s="1089" t="s">
        <v>5308</v>
      </c>
      <c r="F13" s="1081">
        <f t="shared" si="1"/>
        <v>0</v>
      </c>
      <c r="G13" s="1083">
        <f t="shared" si="2"/>
        <v>0.2</v>
      </c>
      <c r="H13" s="1084"/>
    </row>
    <row r="14" ht="14.25" customHeight="1">
      <c r="A14" s="1085">
        <v>408.0</v>
      </c>
      <c r="B14" s="1086" t="s">
        <v>5314</v>
      </c>
      <c r="C14" s="1087" t="s">
        <v>1788</v>
      </c>
      <c r="D14" s="1088">
        <v>0.99</v>
      </c>
      <c r="E14" s="1089" t="s">
        <v>5308</v>
      </c>
      <c r="F14" s="1081">
        <f t="shared" si="1"/>
        <v>0</v>
      </c>
      <c r="G14" s="1083">
        <f t="shared" si="2"/>
        <v>0.99</v>
      </c>
      <c r="H14" s="1084"/>
    </row>
    <row r="15" ht="14.25" customHeight="1">
      <c r="A15" s="1085">
        <v>39131.0</v>
      </c>
      <c r="B15" s="1086" t="s">
        <v>5315</v>
      </c>
      <c r="C15" s="1087" t="s">
        <v>1788</v>
      </c>
      <c r="D15" s="1088">
        <v>4.66</v>
      </c>
      <c r="E15" s="1089" t="s">
        <v>5308</v>
      </c>
      <c r="F15" s="1081">
        <f t="shared" si="1"/>
        <v>0</v>
      </c>
      <c r="G15" s="1083">
        <f t="shared" si="2"/>
        <v>4.66</v>
      </c>
      <c r="H15" s="1084"/>
    </row>
    <row r="16" ht="14.25" customHeight="1">
      <c r="A16" s="1085">
        <v>394.0</v>
      </c>
      <c r="B16" s="1086" t="s">
        <v>5316</v>
      </c>
      <c r="C16" s="1087" t="s">
        <v>1788</v>
      </c>
      <c r="D16" s="1088">
        <v>4.72</v>
      </c>
      <c r="E16" s="1089" t="s">
        <v>5308</v>
      </c>
      <c r="F16" s="1081">
        <f t="shared" si="1"/>
        <v>0</v>
      </c>
      <c r="G16" s="1083">
        <f t="shared" si="2"/>
        <v>4.72</v>
      </c>
      <c r="H16" s="1084"/>
    </row>
    <row r="17" ht="14.25" customHeight="1">
      <c r="A17" s="1085">
        <v>39130.0</v>
      </c>
      <c r="B17" s="1086" t="s">
        <v>5317</v>
      </c>
      <c r="C17" s="1087" t="s">
        <v>1788</v>
      </c>
      <c r="D17" s="1088">
        <v>4.25</v>
      </c>
      <c r="E17" s="1089" t="s">
        <v>5308</v>
      </c>
      <c r="F17" s="1081">
        <f t="shared" si="1"/>
        <v>0</v>
      </c>
      <c r="G17" s="1083">
        <f t="shared" si="2"/>
        <v>4.25</v>
      </c>
      <c r="H17" s="1084"/>
    </row>
    <row r="18" ht="14.25" customHeight="1">
      <c r="A18" s="1085">
        <v>395.0</v>
      </c>
      <c r="B18" s="1086" t="s">
        <v>5318</v>
      </c>
      <c r="C18" s="1087" t="s">
        <v>1788</v>
      </c>
      <c r="D18" s="1088">
        <v>4.54</v>
      </c>
      <c r="E18" s="1089" t="s">
        <v>5308</v>
      </c>
      <c r="F18" s="1081">
        <f t="shared" si="1"/>
        <v>0</v>
      </c>
      <c r="G18" s="1083">
        <f t="shared" si="2"/>
        <v>4.54</v>
      </c>
      <c r="H18" s="1084"/>
    </row>
    <row r="19" ht="14.25" customHeight="1">
      <c r="A19" s="1085">
        <v>39127.0</v>
      </c>
      <c r="B19" s="1086" t="s">
        <v>5319</v>
      </c>
      <c r="C19" s="1087" t="s">
        <v>1788</v>
      </c>
      <c r="D19" s="1088">
        <v>2.24</v>
      </c>
      <c r="E19" s="1089" t="s">
        <v>5308</v>
      </c>
      <c r="F19" s="1081">
        <f t="shared" si="1"/>
        <v>0</v>
      </c>
      <c r="G19" s="1083">
        <f t="shared" si="2"/>
        <v>2.24</v>
      </c>
      <c r="H19" s="1084"/>
    </row>
    <row r="20" ht="14.25" customHeight="1">
      <c r="A20" s="1085">
        <v>392.0</v>
      </c>
      <c r="B20" s="1086" t="s">
        <v>5320</v>
      </c>
      <c r="C20" s="1087" t="s">
        <v>1788</v>
      </c>
      <c r="D20" s="1088">
        <v>2.3</v>
      </c>
      <c r="E20" s="1089" t="s">
        <v>5308</v>
      </c>
      <c r="F20" s="1081">
        <f t="shared" si="1"/>
        <v>0</v>
      </c>
      <c r="G20" s="1083">
        <f t="shared" si="2"/>
        <v>2.3</v>
      </c>
      <c r="H20" s="1084"/>
    </row>
    <row r="21" ht="14.25" customHeight="1">
      <c r="A21" s="1085">
        <v>39129.0</v>
      </c>
      <c r="B21" s="1086" t="s">
        <v>5321</v>
      </c>
      <c r="C21" s="1087" t="s">
        <v>1788</v>
      </c>
      <c r="D21" s="1088">
        <v>2.62</v>
      </c>
      <c r="E21" s="1089" t="s">
        <v>5308</v>
      </c>
      <c r="F21" s="1081">
        <f t="shared" si="1"/>
        <v>0</v>
      </c>
      <c r="G21" s="1083">
        <f t="shared" si="2"/>
        <v>2.62</v>
      </c>
      <c r="H21" s="1084"/>
    </row>
    <row r="22" ht="14.25" customHeight="1">
      <c r="A22" s="1085">
        <v>393.0</v>
      </c>
      <c r="B22" s="1086" t="s">
        <v>5322</v>
      </c>
      <c r="C22" s="1087" t="s">
        <v>1788</v>
      </c>
      <c r="D22" s="1088">
        <v>2.74</v>
      </c>
      <c r="E22" s="1089" t="s">
        <v>5308</v>
      </c>
      <c r="F22" s="1081">
        <f t="shared" si="1"/>
        <v>0</v>
      </c>
      <c r="G22" s="1083">
        <f t="shared" si="2"/>
        <v>2.74</v>
      </c>
      <c r="H22" s="1084"/>
    </row>
    <row r="23" ht="14.25" customHeight="1">
      <c r="A23" s="1085">
        <v>39133.0</v>
      </c>
      <c r="B23" s="1086" t="s">
        <v>5323</v>
      </c>
      <c r="C23" s="1087" t="s">
        <v>1788</v>
      </c>
      <c r="D23" s="1088">
        <v>6.12</v>
      </c>
      <c r="E23" s="1089" t="s">
        <v>5308</v>
      </c>
      <c r="F23" s="1081">
        <f t="shared" si="1"/>
        <v>0</v>
      </c>
      <c r="G23" s="1083">
        <f t="shared" si="2"/>
        <v>6.12</v>
      </c>
      <c r="H23" s="1084"/>
    </row>
    <row r="24" ht="14.25" customHeight="1">
      <c r="A24" s="1085">
        <v>397.0</v>
      </c>
      <c r="B24" s="1086" t="s">
        <v>5324</v>
      </c>
      <c r="C24" s="1087" t="s">
        <v>1788</v>
      </c>
      <c r="D24" s="1088">
        <v>6.76</v>
      </c>
      <c r="E24" s="1089" t="s">
        <v>5308</v>
      </c>
      <c r="F24" s="1081">
        <f t="shared" si="1"/>
        <v>0</v>
      </c>
      <c r="G24" s="1083">
        <f t="shared" si="2"/>
        <v>6.76</v>
      </c>
      <c r="H24" s="1084"/>
    </row>
    <row r="25" ht="14.25" customHeight="1">
      <c r="A25" s="1085">
        <v>39132.0</v>
      </c>
      <c r="B25" s="1086" t="s">
        <v>5325</v>
      </c>
      <c r="C25" s="1087" t="s">
        <v>1788</v>
      </c>
      <c r="D25" s="1088">
        <v>4.89</v>
      </c>
      <c r="E25" s="1089" t="s">
        <v>5308</v>
      </c>
      <c r="F25" s="1081">
        <f t="shared" si="1"/>
        <v>0</v>
      </c>
      <c r="G25" s="1083">
        <f t="shared" si="2"/>
        <v>4.89</v>
      </c>
      <c r="H25" s="1084"/>
    </row>
    <row r="26" ht="14.25" customHeight="1">
      <c r="A26" s="1085">
        <v>396.0</v>
      </c>
      <c r="B26" s="1086" t="s">
        <v>5326</v>
      </c>
      <c r="C26" s="1087" t="s">
        <v>1788</v>
      </c>
      <c r="D26" s="1088">
        <v>5.24</v>
      </c>
      <c r="E26" s="1089" t="s">
        <v>5308</v>
      </c>
      <c r="F26" s="1081">
        <f t="shared" si="1"/>
        <v>0</v>
      </c>
      <c r="G26" s="1083">
        <f t="shared" si="2"/>
        <v>5.24</v>
      </c>
      <c r="H26" s="1084"/>
    </row>
    <row r="27" ht="14.25" customHeight="1">
      <c r="A27" s="1085">
        <v>39135.0</v>
      </c>
      <c r="B27" s="1086" t="s">
        <v>5327</v>
      </c>
      <c r="C27" s="1087" t="s">
        <v>1788</v>
      </c>
      <c r="D27" s="1088">
        <v>9.79</v>
      </c>
      <c r="E27" s="1089" t="s">
        <v>5308</v>
      </c>
      <c r="F27" s="1081">
        <f t="shared" si="1"/>
        <v>0</v>
      </c>
      <c r="G27" s="1083">
        <f t="shared" si="2"/>
        <v>9.79</v>
      </c>
      <c r="H27" s="1084"/>
    </row>
    <row r="28" ht="14.25" customHeight="1">
      <c r="A28" s="1085">
        <v>39128.0</v>
      </c>
      <c r="B28" s="1086" t="s">
        <v>5328</v>
      </c>
      <c r="C28" s="1087" t="s">
        <v>1788</v>
      </c>
      <c r="D28" s="1088">
        <v>2.44</v>
      </c>
      <c r="E28" s="1089" t="s">
        <v>5308</v>
      </c>
      <c r="F28" s="1081">
        <f t="shared" si="1"/>
        <v>0</v>
      </c>
      <c r="G28" s="1083">
        <f t="shared" si="2"/>
        <v>2.44</v>
      </c>
      <c r="H28" s="1084"/>
    </row>
    <row r="29" ht="14.25" customHeight="1">
      <c r="A29" s="1085">
        <v>400.0</v>
      </c>
      <c r="B29" s="1086" t="s">
        <v>5329</v>
      </c>
      <c r="C29" s="1087" t="s">
        <v>1788</v>
      </c>
      <c r="D29" s="1088">
        <v>2.39</v>
      </c>
      <c r="E29" s="1089" t="s">
        <v>5308</v>
      </c>
      <c r="F29" s="1081">
        <f t="shared" si="1"/>
        <v>0</v>
      </c>
      <c r="G29" s="1083">
        <f t="shared" si="2"/>
        <v>2.39</v>
      </c>
      <c r="H29" s="1084"/>
    </row>
    <row r="30" ht="14.25" customHeight="1">
      <c r="A30" s="1085">
        <v>39125.0</v>
      </c>
      <c r="B30" s="1086" t="s">
        <v>5330</v>
      </c>
      <c r="C30" s="1087" t="s">
        <v>1788</v>
      </c>
      <c r="D30" s="1088">
        <v>2.44</v>
      </c>
      <c r="E30" s="1089" t="s">
        <v>5308</v>
      </c>
      <c r="F30" s="1081">
        <f t="shared" si="1"/>
        <v>0</v>
      </c>
      <c r="G30" s="1083">
        <f t="shared" si="2"/>
        <v>2.44</v>
      </c>
      <c r="H30" s="1084"/>
    </row>
    <row r="31" ht="14.25" customHeight="1">
      <c r="A31" s="1085">
        <v>39134.0</v>
      </c>
      <c r="B31" s="1086" t="s">
        <v>5331</v>
      </c>
      <c r="C31" s="1087" t="s">
        <v>1788</v>
      </c>
      <c r="D31" s="1088">
        <v>8.16</v>
      </c>
      <c r="E31" s="1089" t="s">
        <v>5308</v>
      </c>
      <c r="F31" s="1081">
        <f t="shared" si="1"/>
        <v>0</v>
      </c>
      <c r="G31" s="1083">
        <f t="shared" si="2"/>
        <v>8.16</v>
      </c>
      <c r="H31" s="1084"/>
    </row>
    <row r="32" ht="14.25" customHeight="1">
      <c r="A32" s="1085">
        <v>398.0</v>
      </c>
      <c r="B32" s="1086" t="s">
        <v>5332</v>
      </c>
      <c r="C32" s="1087" t="s">
        <v>1788</v>
      </c>
      <c r="D32" s="1088">
        <v>7.52</v>
      </c>
      <c r="E32" s="1089" t="s">
        <v>5308</v>
      </c>
      <c r="F32" s="1081">
        <f t="shared" si="1"/>
        <v>0</v>
      </c>
      <c r="G32" s="1083">
        <f t="shared" si="2"/>
        <v>7.52</v>
      </c>
      <c r="H32" s="1084"/>
    </row>
    <row r="33" ht="14.25" customHeight="1">
      <c r="A33" s="1085">
        <v>39126.0</v>
      </c>
      <c r="B33" s="1086" t="s">
        <v>5333</v>
      </c>
      <c r="C33" s="1087" t="s">
        <v>1788</v>
      </c>
      <c r="D33" s="1088">
        <v>11.01</v>
      </c>
      <c r="E33" s="1089" t="s">
        <v>5308</v>
      </c>
      <c r="F33" s="1081">
        <f t="shared" si="1"/>
        <v>0</v>
      </c>
      <c r="G33" s="1083">
        <f t="shared" si="2"/>
        <v>11.01</v>
      </c>
      <c r="H33" s="1084"/>
    </row>
    <row r="34" ht="14.25" customHeight="1">
      <c r="A34" s="1085">
        <v>399.0</v>
      </c>
      <c r="B34" s="1086" t="s">
        <v>5334</v>
      </c>
      <c r="C34" s="1087" t="s">
        <v>1788</v>
      </c>
      <c r="D34" s="1088">
        <v>9.7</v>
      </c>
      <c r="E34" s="1089" t="s">
        <v>5308</v>
      </c>
      <c r="F34" s="1081">
        <f t="shared" si="1"/>
        <v>0</v>
      </c>
      <c r="G34" s="1083">
        <f t="shared" si="2"/>
        <v>9.7</v>
      </c>
      <c r="H34" s="1084"/>
    </row>
    <row r="35" ht="14.25" customHeight="1">
      <c r="A35" s="1085">
        <v>39158.0</v>
      </c>
      <c r="B35" s="1086" t="s">
        <v>5335</v>
      </c>
      <c r="C35" s="1087" t="s">
        <v>1788</v>
      </c>
      <c r="D35" s="1088">
        <v>26.05</v>
      </c>
      <c r="E35" s="1089" t="s">
        <v>5308</v>
      </c>
      <c r="F35" s="1081">
        <f t="shared" si="1"/>
        <v>0</v>
      </c>
      <c r="G35" s="1083">
        <f t="shared" si="2"/>
        <v>26.05</v>
      </c>
      <c r="H35" s="1084"/>
    </row>
    <row r="36" ht="14.25" customHeight="1">
      <c r="A36" s="1085">
        <v>39141.0</v>
      </c>
      <c r="B36" s="1086" t="s">
        <v>5336</v>
      </c>
      <c r="C36" s="1087" t="s">
        <v>1788</v>
      </c>
      <c r="D36" s="1088">
        <v>1.89</v>
      </c>
      <c r="E36" s="1089" t="s">
        <v>5308</v>
      </c>
      <c r="F36" s="1081">
        <f t="shared" si="1"/>
        <v>0</v>
      </c>
      <c r="G36" s="1083">
        <f t="shared" si="2"/>
        <v>1.89</v>
      </c>
      <c r="H36" s="1084"/>
    </row>
    <row r="37" ht="14.25" customHeight="1">
      <c r="A37" s="1085">
        <v>39140.0</v>
      </c>
      <c r="B37" s="1086" t="s">
        <v>5337</v>
      </c>
      <c r="C37" s="1087" t="s">
        <v>1788</v>
      </c>
      <c r="D37" s="1088">
        <v>1.71</v>
      </c>
      <c r="E37" s="1089" t="s">
        <v>5308</v>
      </c>
      <c r="F37" s="1081">
        <f t="shared" si="1"/>
        <v>0</v>
      </c>
      <c r="G37" s="1083">
        <f t="shared" si="2"/>
        <v>1.71</v>
      </c>
      <c r="H37" s="1084"/>
    </row>
    <row r="38" ht="14.25" customHeight="1">
      <c r="A38" s="1085">
        <v>39137.0</v>
      </c>
      <c r="B38" s="1086" t="s">
        <v>5338</v>
      </c>
      <c r="C38" s="1087" t="s">
        <v>1788</v>
      </c>
      <c r="D38" s="1088">
        <v>0.99</v>
      </c>
      <c r="E38" s="1089" t="s">
        <v>5308</v>
      </c>
      <c r="F38" s="1081">
        <f t="shared" si="1"/>
        <v>0</v>
      </c>
      <c r="G38" s="1083">
        <f t="shared" si="2"/>
        <v>0.99</v>
      </c>
      <c r="H38" s="1084"/>
    </row>
    <row r="39" ht="14.25" customHeight="1">
      <c r="A39" s="1085">
        <v>39139.0</v>
      </c>
      <c r="B39" s="1086" t="s">
        <v>5339</v>
      </c>
      <c r="C39" s="1087" t="s">
        <v>1788</v>
      </c>
      <c r="D39" s="1088">
        <v>1.42</v>
      </c>
      <c r="E39" s="1089" t="s">
        <v>5308</v>
      </c>
      <c r="F39" s="1081">
        <f t="shared" si="1"/>
        <v>0</v>
      </c>
      <c r="G39" s="1083">
        <f t="shared" si="2"/>
        <v>1.42</v>
      </c>
      <c r="H39" s="1084"/>
    </row>
    <row r="40" ht="14.25" customHeight="1">
      <c r="A40" s="1085">
        <v>39143.0</v>
      </c>
      <c r="B40" s="1086" t="s">
        <v>5340</v>
      </c>
      <c r="C40" s="1087" t="s">
        <v>1788</v>
      </c>
      <c r="D40" s="1088">
        <v>3.9</v>
      </c>
      <c r="E40" s="1089" t="s">
        <v>5308</v>
      </c>
      <c r="F40" s="1081">
        <f t="shared" si="1"/>
        <v>0</v>
      </c>
      <c r="G40" s="1083">
        <f t="shared" si="2"/>
        <v>3.9</v>
      </c>
      <c r="H40" s="1084"/>
    </row>
    <row r="41" ht="14.25" customHeight="1">
      <c r="A41" s="1085">
        <v>39142.0</v>
      </c>
      <c r="B41" s="1086" t="s">
        <v>5341</v>
      </c>
      <c r="C41" s="1087" t="s">
        <v>1788</v>
      </c>
      <c r="D41" s="1088">
        <v>2.79</v>
      </c>
      <c r="E41" s="1089" t="s">
        <v>5308</v>
      </c>
      <c r="F41" s="1081">
        <f t="shared" si="1"/>
        <v>0</v>
      </c>
      <c r="G41" s="1083">
        <f t="shared" si="2"/>
        <v>2.79</v>
      </c>
      <c r="H41" s="1084"/>
    </row>
    <row r="42" ht="14.25" customHeight="1">
      <c r="A42" s="1085">
        <v>39138.0</v>
      </c>
      <c r="B42" s="1086" t="s">
        <v>5342</v>
      </c>
      <c r="C42" s="1087" t="s">
        <v>1788</v>
      </c>
      <c r="D42" s="1088">
        <v>1.04</v>
      </c>
      <c r="E42" s="1089" t="s">
        <v>5308</v>
      </c>
      <c r="F42" s="1081">
        <f t="shared" si="1"/>
        <v>0</v>
      </c>
      <c r="G42" s="1083">
        <f t="shared" si="2"/>
        <v>1.04</v>
      </c>
      <c r="H42" s="1084"/>
    </row>
    <row r="43" ht="14.25" customHeight="1">
      <c r="A43" s="1085">
        <v>39136.0</v>
      </c>
      <c r="B43" s="1086" t="s">
        <v>5343</v>
      </c>
      <c r="C43" s="1087" t="s">
        <v>1788</v>
      </c>
      <c r="D43" s="1088">
        <v>0.69</v>
      </c>
      <c r="E43" s="1089" t="s">
        <v>5308</v>
      </c>
      <c r="F43" s="1081">
        <f t="shared" si="1"/>
        <v>0</v>
      </c>
      <c r="G43" s="1083">
        <f t="shared" si="2"/>
        <v>0.69</v>
      </c>
      <c r="H43" s="1084"/>
    </row>
    <row r="44" ht="14.25" customHeight="1">
      <c r="A44" s="1085">
        <v>39144.0</v>
      </c>
      <c r="B44" s="1086" t="s">
        <v>5344</v>
      </c>
      <c r="C44" s="1087" t="s">
        <v>1788</v>
      </c>
      <c r="D44" s="1088">
        <v>4.54</v>
      </c>
      <c r="E44" s="1089" t="s">
        <v>5308</v>
      </c>
      <c r="F44" s="1081">
        <f t="shared" si="1"/>
        <v>0</v>
      </c>
      <c r="G44" s="1083">
        <f t="shared" si="2"/>
        <v>4.54</v>
      </c>
      <c r="H44" s="1084"/>
    </row>
    <row r="45" ht="14.25" customHeight="1">
      <c r="A45" s="1085">
        <v>39145.0</v>
      </c>
      <c r="B45" s="1086" t="s">
        <v>5345</v>
      </c>
      <c r="C45" s="1087" t="s">
        <v>1788</v>
      </c>
      <c r="D45" s="1088">
        <v>7.49</v>
      </c>
      <c r="E45" s="1089" t="s">
        <v>5308</v>
      </c>
      <c r="F45" s="1081">
        <f t="shared" si="1"/>
        <v>0</v>
      </c>
      <c r="G45" s="1083">
        <f t="shared" si="2"/>
        <v>7.49</v>
      </c>
      <c r="H45" s="1084"/>
    </row>
    <row r="46" ht="14.25" customHeight="1">
      <c r="A46" s="1085">
        <v>12615.0</v>
      </c>
      <c r="B46" s="1086" t="s">
        <v>5346</v>
      </c>
      <c r="C46" s="1087" t="s">
        <v>1788</v>
      </c>
      <c r="D46" s="1088">
        <v>14.27</v>
      </c>
      <c r="E46" s="1089" t="s">
        <v>5308</v>
      </c>
      <c r="F46" s="1081">
        <f t="shared" si="1"/>
        <v>0</v>
      </c>
      <c r="G46" s="1083">
        <f t="shared" si="2"/>
        <v>14.27</v>
      </c>
      <c r="H46" s="1084"/>
    </row>
    <row r="47" ht="14.25" customHeight="1">
      <c r="A47" s="1085">
        <v>11927.0</v>
      </c>
      <c r="B47" s="1086" t="s">
        <v>5347</v>
      </c>
      <c r="C47" s="1087" t="s">
        <v>1788</v>
      </c>
      <c r="D47" s="1088">
        <v>8.59</v>
      </c>
      <c r="E47" s="1089" t="s">
        <v>5308</v>
      </c>
      <c r="F47" s="1081">
        <f t="shared" si="1"/>
        <v>0</v>
      </c>
      <c r="G47" s="1083">
        <f t="shared" si="2"/>
        <v>8.59</v>
      </c>
      <c r="H47" s="1084"/>
    </row>
    <row r="48" ht="14.25" customHeight="1">
      <c r="A48" s="1085">
        <v>11928.0</v>
      </c>
      <c r="B48" s="1086" t="s">
        <v>5348</v>
      </c>
      <c r="C48" s="1087" t="s">
        <v>1788</v>
      </c>
      <c r="D48" s="1088">
        <v>9.85</v>
      </c>
      <c r="E48" s="1089" t="s">
        <v>5308</v>
      </c>
      <c r="F48" s="1081">
        <f t="shared" si="1"/>
        <v>0</v>
      </c>
      <c r="G48" s="1083">
        <f t="shared" si="2"/>
        <v>9.85</v>
      </c>
      <c r="H48" s="1084"/>
    </row>
    <row r="49" ht="14.25" customHeight="1">
      <c r="A49" s="1085">
        <v>11929.0</v>
      </c>
      <c r="B49" s="1086" t="s">
        <v>5349</v>
      </c>
      <c r="C49" s="1087" t="s">
        <v>1788</v>
      </c>
      <c r="D49" s="1088">
        <v>15.23</v>
      </c>
      <c r="E49" s="1089" t="s">
        <v>5308</v>
      </c>
      <c r="F49" s="1081">
        <f t="shared" si="1"/>
        <v>0</v>
      </c>
      <c r="G49" s="1083">
        <f t="shared" si="2"/>
        <v>15.23</v>
      </c>
      <c r="H49" s="1084"/>
    </row>
    <row r="50" ht="14.25" customHeight="1">
      <c r="A50" s="1085">
        <v>36801.0</v>
      </c>
      <c r="B50" s="1086" t="s">
        <v>5350</v>
      </c>
      <c r="C50" s="1087" t="s">
        <v>1788</v>
      </c>
      <c r="D50" s="1088">
        <v>29.16</v>
      </c>
      <c r="E50" s="1089" t="s">
        <v>5308</v>
      </c>
      <c r="F50" s="1081">
        <f t="shared" si="1"/>
        <v>0</v>
      </c>
      <c r="G50" s="1083">
        <f t="shared" si="2"/>
        <v>29.16</v>
      </c>
      <c r="H50" s="1084"/>
    </row>
    <row r="51" ht="14.25" customHeight="1">
      <c r="A51" s="1085">
        <v>36246.0</v>
      </c>
      <c r="B51" s="1086" t="s">
        <v>5351</v>
      </c>
      <c r="C51" s="1087" t="s">
        <v>1731</v>
      </c>
      <c r="D51" s="1088">
        <v>6.14</v>
      </c>
      <c r="E51" s="1089" t="s">
        <v>5308</v>
      </c>
      <c r="F51" s="1081">
        <f t="shared" si="1"/>
        <v>0</v>
      </c>
      <c r="G51" s="1083">
        <f t="shared" si="2"/>
        <v>6.14</v>
      </c>
      <c r="H51" s="1084"/>
    </row>
    <row r="52" ht="14.25" customHeight="1">
      <c r="A52" s="1085">
        <v>37600.0</v>
      </c>
      <c r="B52" s="1086" t="s">
        <v>5352</v>
      </c>
      <c r="C52" s="1087" t="s">
        <v>1788</v>
      </c>
      <c r="D52" s="1088">
        <v>107.57</v>
      </c>
      <c r="E52" s="1089" t="s">
        <v>5308</v>
      </c>
      <c r="F52" s="1081">
        <f t="shared" si="1"/>
        <v>0</v>
      </c>
      <c r="G52" s="1083">
        <f t="shared" si="2"/>
        <v>107.57</v>
      </c>
      <c r="H52" s="1084"/>
    </row>
    <row r="53" ht="14.25" customHeight="1">
      <c r="A53" s="1085">
        <v>37599.0</v>
      </c>
      <c r="B53" s="1086" t="s">
        <v>5353</v>
      </c>
      <c r="C53" s="1087" t="s">
        <v>1788</v>
      </c>
      <c r="D53" s="1088">
        <v>100.12</v>
      </c>
      <c r="E53" s="1089" t="s">
        <v>5308</v>
      </c>
      <c r="F53" s="1081">
        <f t="shared" si="1"/>
        <v>0</v>
      </c>
      <c r="G53" s="1083">
        <f t="shared" si="2"/>
        <v>100.12</v>
      </c>
      <c r="H53" s="1084"/>
    </row>
    <row r="54" ht="14.25" customHeight="1">
      <c r="A54" s="1085">
        <v>1.0</v>
      </c>
      <c r="B54" s="1086" t="s">
        <v>5354</v>
      </c>
      <c r="C54" s="1087" t="s">
        <v>3606</v>
      </c>
      <c r="D54" s="1088">
        <v>84.45</v>
      </c>
      <c r="E54" s="1089" t="s">
        <v>5308</v>
      </c>
      <c r="F54" s="1081">
        <f t="shared" si="1"/>
        <v>0</v>
      </c>
      <c r="G54" s="1083">
        <f t="shared" si="2"/>
        <v>84.45</v>
      </c>
      <c r="H54" s="1084"/>
    </row>
    <row r="55" ht="14.25" customHeight="1">
      <c r="A55" s="1085">
        <v>3.0</v>
      </c>
      <c r="B55" s="1086" t="s">
        <v>5355</v>
      </c>
      <c r="C55" s="1087" t="s">
        <v>2386</v>
      </c>
      <c r="D55" s="1088">
        <v>17.15</v>
      </c>
      <c r="E55" s="1089" t="s">
        <v>5308</v>
      </c>
      <c r="F55" s="1081">
        <f t="shared" si="1"/>
        <v>0</v>
      </c>
      <c r="G55" s="1083">
        <f t="shared" si="2"/>
        <v>17.15</v>
      </c>
      <c r="H55" s="1084"/>
    </row>
    <row r="56" ht="14.25" customHeight="1">
      <c r="A56" s="1085">
        <v>43054.0</v>
      </c>
      <c r="B56" s="1086" t="s">
        <v>5356</v>
      </c>
      <c r="C56" s="1087" t="s">
        <v>3606</v>
      </c>
      <c r="D56" s="1088">
        <v>8.63</v>
      </c>
      <c r="E56" s="1089" t="s">
        <v>5308</v>
      </c>
      <c r="F56" s="1081">
        <f t="shared" si="1"/>
        <v>0</v>
      </c>
      <c r="G56" s="1083">
        <f t="shared" si="2"/>
        <v>8.63</v>
      </c>
      <c r="H56" s="1084"/>
    </row>
    <row r="57" ht="14.25" customHeight="1">
      <c r="A57" s="1085">
        <v>42402.0</v>
      </c>
      <c r="B57" s="1086" t="s">
        <v>5357</v>
      </c>
      <c r="C57" s="1087" t="s">
        <v>3606</v>
      </c>
      <c r="D57" s="1088">
        <v>8.25</v>
      </c>
      <c r="E57" s="1089" t="s">
        <v>5308</v>
      </c>
      <c r="F57" s="1081">
        <f t="shared" si="1"/>
        <v>0</v>
      </c>
      <c r="G57" s="1083">
        <f t="shared" si="2"/>
        <v>8.25</v>
      </c>
      <c r="H57" s="1084"/>
    </row>
    <row r="58" ht="14.25" customHeight="1">
      <c r="A58" s="1085">
        <v>42403.0</v>
      </c>
      <c r="B58" s="1086" t="s">
        <v>5358</v>
      </c>
      <c r="C58" s="1087" t="s">
        <v>3606</v>
      </c>
      <c r="D58" s="1088">
        <v>10.58</v>
      </c>
      <c r="E58" s="1089" t="s">
        <v>5308</v>
      </c>
      <c r="F58" s="1081">
        <f t="shared" si="1"/>
        <v>0</v>
      </c>
      <c r="G58" s="1083">
        <f t="shared" si="2"/>
        <v>10.58</v>
      </c>
      <c r="H58" s="1084"/>
    </row>
    <row r="59" ht="14.25" customHeight="1">
      <c r="A59" s="1085">
        <v>42404.0</v>
      </c>
      <c r="B59" s="1086" t="s">
        <v>5359</v>
      </c>
      <c r="C59" s="1087" t="s">
        <v>3606</v>
      </c>
      <c r="D59" s="1088">
        <v>10.52</v>
      </c>
      <c r="E59" s="1089" t="s">
        <v>5308</v>
      </c>
      <c r="F59" s="1081">
        <f t="shared" si="1"/>
        <v>0</v>
      </c>
      <c r="G59" s="1083">
        <f t="shared" si="2"/>
        <v>10.52</v>
      </c>
      <c r="H59" s="1084"/>
    </row>
    <row r="60" ht="14.25" customHeight="1">
      <c r="A60" s="1085">
        <v>42405.0</v>
      </c>
      <c r="B60" s="1086" t="s">
        <v>5360</v>
      </c>
      <c r="C60" s="1087" t="s">
        <v>3606</v>
      </c>
      <c r="D60" s="1088">
        <v>11.21</v>
      </c>
      <c r="E60" s="1089" t="s">
        <v>5308</v>
      </c>
      <c r="F60" s="1081">
        <f t="shared" si="1"/>
        <v>0</v>
      </c>
      <c r="G60" s="1083">
        <f t="shared" si="2"/>
        <v>11.21</v>
      </c>
      <c r="H60" s="1084"/>
    </row>
    <row r="61" ht="14.25" customHeight="1">
      <c r="A61" s="1085">
        <v>34341.0</v>
      </c>
      <c r="B61" s="1086" t="s">
        <v>5361</v>
      </c>
      <c r="C61" s="1087" t="s">
        <v>3606</v>
      </c>
      <c r="D61" s="1088">
        <v>9.73</v>
      </c>
      <c r="E61" s="1089" t="s">
        <v>5308</v>
      </c>
      <c r="F61" s="1081">
        <f t="shared" si="1"/>
        <v>0</v>
      </c>
      <c r="G61" s="1083">
        <f t="shared" si="2"/>
        <v>9.73</v>
      </c>
      <c r="H61" s="1084"/>
    </row>
    <row r="62" ht="14.25" customHeight="1">
      <c r="A62" s="1085">
        <v>43053.0</v>
      </c>
      <c r="B62" s="1086" t="s">
        <v>5362</v>
      </c>
      <c r="C62" s="1087" t="s">
        <v>3606</v>
      </c>
      <c r="D62" s="1088">
        <v>7.71</v>
      </c>
      <c r="E62" s="1089" t="s">
        <v>5308</v>
      </c>
      <c r="F62" s="1081">
        <f t="shared" si="1"/>
        <v>0</v>
      </c>
      <c r="G62" s="1083">
        <f t="shared" si="2"/>
        <v>7.71</v>
      </c>
      <c r="H62" s="1084"/>
    </row>
    <row r="63" ht="14.25" customHeight="1">
      <c r="A63" s="1085">
        <v>43058.0</v>
      </c>
      <c r="B63" s="1086" t="s">
        <v>5363</v>
      </c>
      <c r="C63" s="1087" t="s">
        <v>3606</v>
      </c>
      <c r="D63" s="1088">
        <v>7.99</v>
      </c>
      <c r="E63" s="1089" t="s">
        <v>5308</v>
      </c>
      <c r="F63" s="1081">
        <f t="shared" si="1"/>
        <v>0</v>
      </c>
      <c r="G63" s="1083">
        <f t="shared" si="2"/>
        <v>7.99</v>
      </c>
      <c r="H63" s="1084"/>
    </row>
    <row r="64" ht="14.25" customHeight="1">
      <c r="A64" s="1085">
        <v>34.0</v>
      </c>
      <c r="B64" s="1086" t="s">
        <v>5364</v>
      </c>
      <c r="C64" s="1087" t="s">
        <v>3606</v>
      </c>
      <c r="D64" s="1088">
        <v>8.03</v>
      </c>
      <c r="E64" s="1089" t="s">
        <v>5308</v>
      </c>
      <c r="F64" s="1081">
        <f t="shared" si="1"/>
        <v>0</v>
      </c>
      <c r="G64" s="1083">
        <f t="shared" si="2"/>
        <v>8.03</v>
      </c>
      <c r="H64" s="1084"/>
    </row>
    <row r="65" ht="14.25" customHeight="1">
      <c r="A65" s="1085">
        <v>43055.0</v>
      </c>
      <c r="B65" s="1086" t="s">
        <v>5365</v>
      </c>
      <c r="C65" s="1087" t="s">
        <v>3606</v>
      </c>
      <c r="D65" s="1088">
        <v>6.96</v>
      </c>
      <c r="E65" s="1089" t="s">
        <v>5308</v>
      </c>
      <c r="F65" s="1081">
        <f t="shared" si="1"/>
        <v>0</v>
      </c>
      <c r="G65" s="1083">
        <f t="shared" si="2"/>
        <v>6.96</v>
      </c>
      <c r="H65" s="1084"/>
    </row>
    <row r="66" ht="14.25" customHeight="1">
      <c r="A66" s="1085">
        <v>43056.0</v>
      </c>
      <c r="B66" s="1086" t="s">
        <v>5366</v>
      </c>
      <c r="C66" s="1087" t="s">
        <v>3606</v>
      </c>
      <c r="D66" s="1088">
        <v>8.02</v>
      </c>
      <c r="E66" s="1089" t="s">
        <v>5308</v>
      </c>
      <c r="F66" s="1081">
        <f t="shared" si="1"/>
        <v>0</v>
      </c>
      <c r="G66" s="1083">
        <f t="shared" si="2"/>
        <v>8.02</v>
      </c>
      <c r="H66" s="1084"/>
    </row>
    <row r="67" ht="14.25" customHeight="1">
      <c r="A67" s="1085">
        <v>43057.0</v>
      </c>
      <c r="B67" s="1086" t="s">
        <v>5367</v>
      </c>
      <c r="C67" s="1087" t="s">
        <v>3606</v>
      </c>
      <c r="D67" s="1088">
        <v>8.82</v>
      </c>
      <c r="E67" s="1089" t="s">
        <v>5308</v>
      </c>
      <c r="F67" s="1081">
        <f t="shared" si="1"/>
        <v>0</v>
      </c>
      <c r="G67" s="1083">
        <f t="shared" si="2"/>
        <v>8.82</v>
      </c>
      <c r="H67" s="1084"/>
    </row>
    <row r="68" ht="14.25" customHeight="1">
      <c r="A68" s="1085">
        <v>34449.0</v>
      </c>
      <c r="B68" s="1086" t="s">
        <v>5368</v>
      </c>
      <c r="C68" s="1087" t="s">
        <v>3606</v>
      </c>
      <c r="D68" s="1088">
        <v>9.43</v>
      </c>
      <c r="E68" s="1089" t="s">
        <v>5308</v>
      </c>
      <c r="F68" s="1081">
        <f t="shared" si="1"/>
        <v>0</v>
      </c>
      <c r="G68" s="1083">
        <f t="shared" si="2"/>
        <v>9.43</v>
      </c>
      <c r="H68" s="1084"/>
    </row>
    <row r="69" ht="14.25" customHeight="1">
      <c r="A69" s="1085">
        <v>32.0</v>
      </c>
      <c r="B69" s="1086" t="s">
        <v>5369</v>
      </c>
      <c r="C69" s="1087" t="s">
        <v>3606</v>
      </c>
      <c r="D69" s="1088">
        <v>8.47</v>
      </c>
      <c r="E69" s="1089" t="s">
        <v>5308</v>
      </c>
      <c r="F69" s="1081">
        <f t="shared" si="1"/>
        <v>0</v>
      </c>
      <c r="G69" s="1083">
        <f t="shared" si="2"/>
        <v>8.47</v>
      </c>
      <c r="H69" s="1084"/>
    </row>
    <row r="70" ht="14.25" customHeight="1">
      <c r="A70" s="1085">
        <v>33.0</v>
      </c>
      <c r="B70" s="1086" t="s">
        <v>5370</v>
      </c>
      <c r="C70" s="1087" t="s">
        <v>3606</v>
      </c>
      <c r="D70" s="1088">
        <v>8.52</v>
      </c>
      <c r="E70" s="1089" t="s">
        <v>5308</v>
      </c>
      <c r="F70" s="1081">
        <f t="shared" si="1"/>
        <v>0</v>
      </c>
      <c r="G70" s="1083">
        <f t="shared" si="2"/>
        <v>8.52</v>
      </c>
      <c r="H70" s="1084"/>
    </row>
    <row r="71" ht="14.25" customHeight="1">
      <c r="A71" s="1085">
        <v>43061.0</v>
      </c>
      <c r="B71" s="1086" t="s">
        <v>5371</v>
      </c>
      <c r="C71" s="1087" t="s">
        <v>3606</v>
      </c>
      <c r="D71" s="1088">
        <v>7.96</v>
      </c>
      <c r="E71" s="1089" t="s">
        <v>5308</v>
      </c>
      <c r="F71" s="1081">
        <f t="shared" si="1"/>
        <v>0</v>
      </c>
      <c r="G71" s="1083">
        <f t="shared" si="2"/>
        <v>7.96</v>
      </c>
      <c r="H71" s="1084"/>
    </row>
    <row r="72" ht="14.25" customHeight="1">
      <c r="A72" s="1085">
        <v>43059.0</v>
      </c>
      <c r="B72" s="1086" t="s">
        <v>5372</v>
      </c>
      <c r="C72" s="1087" t="s">
        <v>3606</v>
      </c>
      <c r="D72" s="1088">
        <v>7.6</v>
      </c>
      <c r="E72" s="1089" t="s">
        <v>5308</v>
      </c>
      <c r="F72" s="1081">
        <f t="shared" si="1"/>
        <v>0</v>
      </c>
      <c r="G72" s="1083">
        <f t="shared" si="2"/>
        <v>7.6</v>
      </c>
      <c r="H72" s="1084"/>
    </row>
    <row r="73" ht="14.25" customHeight="1">
      <c r="A73" s="1085">
        <v>43062.0</v>
      </c>
      <c r="B73" s="1086" t="s">
        <v>5373</v>
      </c>
      <c r="C73" s="1087" t="s">
        <v>3606</v>
      </c>
      <c r="D73" s="1088">
        <v>8.43</v>
      </c>
      <c r="E73" s="1089" t="s">
        <v>5308</v>
      </c>
      <c r="F73" s="1081">
        <f t="shared" si="1"/>
        <v>0</v>
      </c>
      <c r="G73" s="1083">
        <f t="shared" si="2"/>
        <v>8.43</v>
      </c>
      <c r="H73" s="1084"/>
    </row>
    <row r="74" ht="14.25" customHeight="1">
      <c r="A74" s="1085">
        <v>43060.0</v>
      </c>
      <c r="B74" s="1086" t="s">
        <v>5374</v>
      </c>
      <c r="C74" s="1087" t="s">
        <v>3606</v>
      </c>
      <c r="D74" s="1088">
        <v>6.62</v>
      </c>
      <c r="E74" s="1089" t="s">
        <v>5308</v>
      </c>
      <c r="F74" s="1081">
        <f t="shared" si="1"/>
        <v>0</v>
      </c>
      <c r="G74" s="1083">
        <f t="shared" si="2"/>
        <v>6.62</v>
      </c>
      <c r="H74" s="1084"/>
    </row>
    <row r="75" ht="14.25" customHeight="1">
      <c r="A75" s="1085">
        <v>40410.0</v>
      </c>
      <c r="B75" s="1086" t="s">
        <v>5375</v>
      </c>
      <c r="C75" s="1087" t="s">
        <v>1788</v>
      </c>
      <c r="D75" s="1088">
        <v>23.71</v>
      </c>
      <c r="E75" s="1089" t="s">
        <v>5308</v>
      </c>
      <c r="F75" s="1081">
        <f t="shared" si="1"/>
        <v>0</v>
      </c>
      <c r="G75" s="1083">
        <f t="shared" si="2"/>
        <v>23.71</v>
      </c>
      <c r="H75" s="1084"/>
    </row>
    <row r="76" ht="14.25" customHeight="1">
      <c r="A76" s="1085">
        <v>40411.0</v>
      </c>
      <c r="B76" s="1086" t="s">
        <v>5376</v>
      </c>
      <c r="C76" s="1087" t="s">
        <v>1788</v>
      </c>
      <c r="D76" s="1088">
        <v>25.73</v>
      </c>
      <c r="E76" s="1089" t="s">
        <v>5308</v>
      </c>
      <c r="F76" s="1081">
        <f t="shared" si="1"/>
        <v>0</v>
      </c>
      <c r="G76" s="1083">
        <f t="shared" si="2"/>
        <v>25.73</v>
      </c>
      <c r="H76" s="1084"/>
    </row>
    <row r="77" ht="14.25" customHeight="1">
      <c r="A77" s="1085">
        <v>40412.0</v>
      </c>
      <c r="B77" s="1086" t="s">
        <v>5377</v>
      </c>
      <c r="C77" s="1087" t="s">
        <v>1788</v>
      </c>
      <c r="D77" s="1088">
        <v>28.88</v>
      </c>
      <c r="E77" s="1089" t="s">
        <v>5308</v>
      </c>
      <c r="F77" s="1081">
        <f t="shared" si="1"/>
        <v>0</v>
      </c>
      <c r="G77" s="1083">
        <f t="shared" si="2"/>
        <v>28.88</v>
      </c>
      <c r="H77" s="1084"/>
    </row>
    <row r="78" ht="14.25" customHeight="1">
      <c r="A78" s="1085">
        <v>44254.0</v>
      </c>
      <c r="B78" s="1086" t="s">
        <v>5378</v>
      </c>
      <c r="C78" s="1087" t="s">
        <v>1788</v>
      </c>
      <c r="D78" s="1088">
        <v>28.93</v>
      </c>
      <c r="E78" s="1089" t="s">
        <v>5308</v>
      </c>
      <c r="F78" s="1081">
        <f t="shared" si="1"/>
        <v>0</v>
      </c>
      <c r="G78" s="1083">
        <f t="shared" si="2"/>
        <v>28.93</v>
      </c>
      <c r="H78" s="1084"/>
    </row>
    <row r="79" ht="14.25" customHeight="1">
      <c r="A79" s="1085">
        <v>44255.0</v>
      </c>
      <c r="B79" s="1086" t="s">
        <v>5379</v>
      </c>
      <c r="C79" s="1087" t="s">
        <v>1788</v>
      </c>
      <c r="D79" s="1088">
        <v>32.06</v>
      </c>
      <c r="E79" s="1089" t="s">
        <v>5308</v>
      </c>
      <c r="F79" s="1081">
        <f t="shared" si="1"/>
        <v>0</v>
      </c>
      <c r="G79" s="1083">
        <f t="shared" si="2"/>
        <v>32.06</v>
      </c>
      <c r="H79" s="1084"/>
    </row>
    <row r="80" ht="14.25" customHeight="1">
      <c r="A80" s="1085">
        <v>44256.0</v>
      </c>
      <c r="B80" s="1086" t="s">
        <v>5380</v>
      </c>
      <c r="C80" s="1087" t="s">
        <v>1788</v>
      </c>
      <c r="D80" s="1088">
        <v>36.21</v>
      </c>
      <c r="E80" s="1089" t="s">
        <v>5308</v>
      </c>
      <c r="F80" s="1081">
        <f t="shared" si="1"/>
        <v>0</v>
      </c>
      <c r="G80" s="1083">
        <f t="shared" si="2"/>
        <v>36.21</v>
      </c>
      <c r="H80" s="1084"/>
    </row>
    <row r="81" ht="14.25" customHeight="1">
      <c r="A81" s="1085">
        <v>44257.0</v>
      </c>
      <c r="B81" s="1086" t="s">
        <v>5381</v>
      </c>
      <c r="C81" s="1087" t="s">
        <v>1788</v>
      </c>
      <c r="D81" s="1088">
        <v>57.29</v>
      </c>
      <c r="E81" s="1089" t="s">
        <v>5308</v>
      </c>
      <c r="F81" s="1081">
        <f t="shared" si="1"/>
        <v>0</v>
      </c>
      <c r="G81" s="1083">
        <f t="shared" si="2"/>
        <v>57.29</v>
      </c>
      <c r="H81" s="1084"/>
    </row>
    <row r="82" ht="14.25" customHeight="1">
      <c r="A82" s="1085">
        <v>44258.0</v>
      </c>
      <c r="B82" s="1086" t="s">
        <v>5382</v>
      </c>
      <c r="C82" s="1087" t="s">
        <v>1788</v>
      </c>
      <c r="D82" s="1088">
        <v>65.47</v>
      </c>
      <c r="E82" s="1089" t="s">
        <v>5308</v>
      </c>
      <c r="F82" s="1081">
        <f t="shared" si="1"/>
        <v>0</v>
      </c>
      <c r="G82" s="1083">
        <f t="shared" si="2"/>
        <v>65.47</v>
      </c>
      <c r="H82" s="1084"/>
    </row>
    <row r="83" ht="14.25" customHeight="1">
      <c r="A83" s="1085">
        <v>44259.0</v>
      </c>
      <c r="B83" s="1086" t="s">
        <v>5383</v>
      </c>
      <c r="C83" s="1087" t="s">
        <v>1788</v>
      </c>
      <c r="D83" s="1088">
        <v>89.87</v>
      </c>
      <c r="E83" s="1089" t="s">
        <v>5308</v>
      </c>
      <c r="F83" s="1081">
        <f t="shared" si="1"/>
        <v>0</v>
      </c>
      <c r="G83" s="1083">
        <f t="shared" si="2"/>
        <v>89.87</v>
      </c>
      <c r="H83" s="1084"/>
    </row>
    <row r="84" ht="14.25" customHeight="1">
      <c r="A84" s="1085">
        <v>37997.0</v>
      </c>
      <c r="B84" s="1086" t="s">
        <v>5384</v>
      </c>
      <c r="C84" s="1087" t="s">
        <v>1788</v>
      </c>
      <c r="D84" s="1088">
        <v>17.24</v>
      </c>
      <c r="E84" s="1089" t="s">
        <v>5308</v>
      </c>
      <c r="F84" s="1081">
        <f t="shared" si="1"/>
        <v>0</v>
      </c>
      <c r="G84" s="1083">
        <f t="shared" si="2"/>
        <v>17.24</v>
      </c>
      <c r="H84" s="1084"/>
    </row>
    <row r="85" ht="14.25" customHeight="1">
      <c r="A85" s="1085">
        <v>37998.0</v>
      </c>
      <c r="B85" s="1086" t="s">
        <v>5385</v>
      </c>
      <c r="C85" s="1087" t="s">
        <v>1788</v>
      </c>
      <c r="D85" s="1088">
        <v>23.07</v>
      </c>
      <c r="E85" s="1089" t="s">
        <v>5308</v>
      </c>
      <c r="F85" s="1081">
        <f t="shared" si="1"/>
        <v>0</v>
      </c>
      <c r="G85" s="1083">
        <f t="shared" si="2"/>
        <v>23.07</v>
      </c>
      <c r="H85" s="1084"/>
    </row>
    <row r="86" ht="14.25" customHeight="1">
      <c r="A86" s="1085">
        <v>55.0</v>
      </c>
      <c r="B86" s="1086" t="s">
        <v>5386</v>
      </c>
      <c r="C86" s="1087" t="s">
        <v>1788</v>
      </c>
      <c r="D86" s="1088">
        <v>4.48</v>
      </c>
      <c r="E86" s="1089" t="s">
        <v>5308</v>
      </c>
      <c r="F86" s="1081">
        <f t="shared" si="1"/>
        <v>0</v>
      </c>
      <c r="G86" s="1083">
        <f t="shared" si="2"/>
        <v>4.48</v>
      </c>
      <c r="H86" s="1084"/>
    </row>
    <row r="87" ht="14.25" customHeight="1">
      <c r="A87" s="1085">
        <v>61.0</v>
      </c>
      <c r="B87" s="1086" t="s">
        <v>5387</v>
      </c>
      <c r="C87" s="1087" t="s">
        <v>1788</v>
      </c>
      <c r="D87" s="1088">
        <v>4.23</v>
      </c>
      <c r="E87" s="1089" t="s">
        <v>5308</v>
      </c>
      <c r="F87" s="1081">
        <f t="shared" si="1"/>
        <v>0</v>
      </c>
      <c r="G87" s="1083">
        <f t="shared" si="2"/>
        <v>4.23</v>
      </c>
      <c r="H87" s="1084"/>
    </row>
    <row r="88" ht="14.25" customHeight="1">
      <c r="A88" s="1085">
        <v>62.0</v>
      </c>
      <c r="B88" s="1086" t="s">
        <v>5388</v>
      </c>
      <c r="C88" s="1087" t="s">
        <v>1788</v>
      </c>
      <c r="D88" s="1088">
        <v>8.78</v>
      </c>
      <c r="E88" s="1089" t="s">
        <v>5308</v>
      </c>
      <c r="F88" s="1081">
        <f t="shared" si="1"/>
        <v>0</v>
      </c>
      <c r="G88" s="1083">
        <f t="shared" si="2"/>
        <v>8.78</v>
      </c>
      <c r="H88" s="1084"/>
    </row>
    <row r="89" ht="14.25" customHeight="1">
      <c r="A89" s="1085">
        <v>10899.0</v>
      </c>
      <c r="B89" s="1086" t="s">
        <v>5389</v>
      </c>
      <c r="C89" s="1087" t="s">
        <v>1788</v>
      </c>
      <c r="D89" s="1088">
        <v>111.71</v>
      </c>
      <c r="E89" s="1089" t="s">
        <v>5308</v>
      </c>
      <c r="F89" s="1081">
        <f t="shared" si="1"/>
        <v>0</v>
      </c>
      <c r="G89" s="1083">
        <f t="shared" si="2"/>
        <v>111.71</v>
      </c>
      <c r="H89" s="1084"/>
    </row>
    <row r="90" ht="14.25" customHeight="1">
      <c r="A90" s="1085">
        <v>10900.0</v>
      </c>
      <c r="B90" s="1086" t="s">
        <v>5390</v>
      </c>
      <c r="C90" s="1087" t="s">
        <v>1788</v>
      </c>
      <c r="D90" s="1088">
        <v>87.42</v>
      </c>
      <c r="E90" s="1089" t="s">
        <v>5308</v>
      </c>
      <c r="F90" s="1081">
        <f t="shared" si="1"/>
        <v>0</v>
      </c>
      <c r="G90" s="1083">
        <f t="shared" si="2"/>
        <v>87.42</v>
      </c>
      <c r="H90" s="1084"/>
    </row>
    <row r="91" ht="14.25" customHeight="1">
      <c r="A91" s="1085">
        <v>103.0</v>
      </c>
      <c r="B91" s="1086" t="s">
        <v>5391</v>
      </c>
      <c r="C91" s="1087" t="s">
        <v>1788</v>
      </c>
      <c r="D91" s="1088">
        <v>45.31</v>
      </c>
      <c r="E91" s="1089" t="s">
        <v>5308</v>
      </c>
      <c r="F91" s="1081">
        <f t="shared" si="1"/>
        <v>0</v>
      </c>
      <c r="G91" s="1083">
        <f t="shared" si="2"/>
        <v>45.31</v>
      </c>
      <c r="H91" s="1084"/>
    </row>
    <row r="92" ht="14.25" customHeight="1">
      <c r="A92" s="1085">
        <v>107.0</v>
      </c>
      <c r="B92" s="1086" t="s">
        <v>5392</v>
      </c>
      <c r="C92" s="1087" t="s">
        <v>1788</v>
      </c>
      <c r="D92" s="1088">
        <v>0.85</v>
      </c>
      <c r="E92" s="1089" t="s">
        <v>5308</v>
      </c>
      <c r="F92" s="1081">
        <f t="shared" si="1"/>
        <v>0</v>
      </c>
      <c r="G92" s="1083">
        <f t="shared" si="2"/>
        <v>0.85</v>
      </c>
      <c r="H92" s="1084"/>
    </row>
    <row r="93" ht="14.25" customHeight="1">
      <c r="A93" s="1085">
        <v>65.0</v>
      </c>
      <c r="B93" s="1086" t="s">
        <v>5393</v>
      </c>
      <c r="C93" s="1087" t="s">
        <v>1788</v>
      </c>
      <c r="D93" s="1088">
        <v>0.93</v>
      </c>
      <c r="E93" s="1089" t="s">
        <v>5308</v>
      </c>
      <c r="F93" s="1081">
        <f t="shared" si="1"/>
        <v>0</v>
      </c>
      <c r="G93" s="1083">
        <f t="shared" si="2"/>
        <v>0.93</v>
      </c>
      <c r="H93" s="1084"/>
    </row>
    <row r="94" ht="14.25" customHeight="1">
      <c r="A94" s="1085">
        <v>108.0</v>
      </c>
      <c r="B94" s="1086" t="s">
        <v>5394</v>
      </c>
      <c r="C94" s="1087" t="s">
        <v>1788</v>
      </c>
      <c r="D94" s="1088">
        <v>1.88</v>
      </c>
      <c r="E94" s="1089" t="s">
        <v>5308</v>
      </c>
      <c r="F94" s="1081">
        <f t="shared" si="1"/>
        <v>0</v>
      </c>
      <c r="G94" s="1083">
        <f t="shared" si="2"/>
        <v>1.88</v>
      </c>
      <c r="H94" s="1084"/>
    </row>
    <row r="95" ht="14.25" customHeight="1">
      <c r="A95" s="1085">
        <v>110.0</v>
      </c>
      <c r="B95" s="1086" t="s">
        <v>5395</v>
      </c>
      <c r="C95" s="1087" t="s">
        <v>1788</v>
      </c>
      <c r="D95" s="1088">
        <v>6.52</v>
      </c>
      <c r="E95" s="1089" t="s">
        <v>5308</v>
      </c>
      <c r="F95" s="1081">
        <f t="shared" si="1"/>
        <v>0</v>
      </c>
      <c r="G95" s="1083">
        <f t="shared" si="2"/>
        <v>6.52</v>
      </c>
      <c r="H95" s="1084"/>
    </row>
    <row r="96" ht="14.25" customHeight="1">
      <c r="A96" s="1085">
        <v>109.0</v>
      </c>
      <c r="B96" s="1086" t="s">
        <v>5396</v>
      </c>
      <c r="C96" s="1087" t="s">
        <v>1788</v>
      </c>
      <c r="D96" s="1088">
        <v>3.88</v>
      </c>
      <c r="E96" s="1089" t="s">
        <v>5308</v>
      </c>
      <c r="F96" s="1081">
        <f t="shared" si="1"/>
        <v>0</v>
      </c>
      <c r="G96" s="1083">
        <f t="shared" si="2"/>
        <v>3.88</v>
      </c>
      <c r="H96" s="1084"/>
    </row>
    <row r="97" ht="14.25" customHeight="1">
      <c r="A97" s="1085">
        <v>111.0</v>
      </c>
      <c r="B97" s="1086" t="s">
        <v>5397</v>
      </c>
      <c r="C97" s="1087" t="s">
        <v>1788</v>
      </c>
      <c r="D97" s="1088">
        <v>8.82</v>
      </c>
      <c r="E97" s="1089" t="s">
        <v>5308</v>
      </c>
      <c r="F97" s="1081">
        <f t="shared" si="1"/>
        <v>0</v>
      </c>
      <c r="G97" s="1083">
        <f t="shared" si="2"/>
        <v>8.82</v>
      </c>
      <c r="H97" s="1084"/>
    </row>
    <row r="98" ht="14.25" customHeight="1">
      <c r="A98" s="1085">
        <v>112.0</v>
      </c>
      <c r="B98" s="1086" t="s">
        <v>5398</v>
      </c>
      <c r="C98" s="1087" t="s">
        <v>1788</v>
      </c>
      <c r="D98" s="1088">
        <v>4.67</v>
      </c>
      <c r="E98" s="1089" t="s">
        <v>5308</v>
      </c>
      <c r="F98" s="1081">
        <f t="shared" si="1"/>
        <v>0</v>
      </c>
      <c r="G98" s="1083">
        <f t="shared" si="2"/>
        <v>4.67</v>
      </c>
      <c r="H98" s="1084"/>
    </row>
    <row r="99" ht="14.25" customHeight="1">
      <c r="A99" s="1085">
        <v>113.0</v>
      </c>
      <c r="B99" s="1086" t="s">
        <v>5399</v>
      </c>
      <c r="C99" s="1087" t="s">
        <v>1788</v>
      </c>
      <c r="D99" s="1088">
        <v>11.7</v>
      </c>
      <c r="E99" s="1089" t="s">
        <v>5308</v>
      </c>
      <c r="F99" s="1081">
        <f t="shared" si="1"/>
        <v>0</v>
      </c>
      <c r="G99" s="1083">
        <f t="shared" si="2"/>
        <v>11.7</v>
      </c>
      <c r="H99" s="1084"/>
    </row>
    <row r="100" ht="14.25" customHeight="1">
      <c r="A100" s="1085">
        <v>104.0</v>
      </c>
      <c r="B100" s="1086" t="s">
        <v>5400</v>
      </c>
      <c r="C100" s="1087" t="s">
        <v>1788</v>
      </c>
      <c r="D100" s="1088">
        <v>20.36</v>
      </c>
      <c r="E100" s="1089" t="s">
        <v>5308</v>
      </c>
      <c r="F100" s="1081">
        <f t="shared" si="1"/>
        <v>0</v>
      </c>
      <c r="G100" s="1083">
        <f t="shared" si="2"/>
        <v>20.36</v>
      </c>
      <c r="H100" s="1084"/>
    </row>
    <row r="101" ht="14.25" customHeight="1">
      <c r="A101" s="1085">
        <v>102.0</v>
      </c>
      <c r="B101" s="1086" t="s">
        <v>5401</v>
      </c>
      <c r="C101" s="1087" t="s">
        <v>1788</v>
      </c>
      <c r="D101" s="1088">
        <v>28.07</v>
      </c>
      <c r="E101" s="1089" t="s">
        <v>5308</v>
      </c>
      <c r="F101" s="1081">
        <f t="shared" si="1"/>
        <v>0</v>
      </c>
      <c r="G101" s="1083">
        <f t="shared" si="2"/>
        <v>28.07</v>
      </c>
      <c r="H101" s="1084"/>
    </row>
    <row r="102" ht="14.25" customHeight="1">
      <c r="A102" s="1085">
        <v>95.0</v>
      </c>
      <c r="B102" s="1086" t="s">
        <v>5402</v>
      </c>
      <c r="C102" s="1087" t="s">
        <v>1788</v>
      </c>
      <c r="D102" s="1088">
        <v>11.86</v>
      </c>
      <c r="E102" s="1089" t="s">
        <v>5308</v>
      </c>
      <c r="F102" s="1081">
        <f t="shared" si="1"/>
        <v>0</v>
      </c>
      <c r="G102" s="1083">
        <f t="shared" si="2"/>
        <v>11.86</v>
      </c>
      <c r="H102" s="1084"/>
    </row>
    <row r="103" ht="14.25" customHeight="1">
      <c r="A103" s="1085">
        <v>96.0</v>
      </c>
      <c r="B103" s="1086" t="s">
        <v>5403</v>
      </c>
      <c r="C103" s="1087" t="s">
        <v>1788</v>
      </c>
      <c r="D103" s="1088">
        <v>12.9</v>
      </c>
      <c r="E103" s="1089" t="s">
        <v>5308</v>
      </c>
      <c r="F103" s="1081">
        <f t="shared" si="1"/>
        <v>0</v>
      </c>
      <c r="G103" s="1083">
        <f t="shared" si="2"/>
        <v>12.9</v>
      </c>
      <c r="H103" s="1084"/>
    </row>
    <row r="104" ht="14.25" customHeight="1">
      <c r="A104" s="1085">
        <v>97.0</v>
      </c>
      <c r="B104" s="1086" t="s">
        <v>5404</v>
      </c>
      <c r="C104" s="1087" t="s">
        <v>1788</v>
      </c>
      <c r="D104" s="1088">
        <v>19.41</v>
      </c>
      <c r="E104" s="1089" t="s">
        <v>5308</v>
      </c>
      <c r="F104" s="1081">
        <f t="shared" si="1"/>
        <v>0</v>
      </c>
      <c r="G104" s="1083">
        <f t="shared" si="2"/>
        <v>19.41</v>
      </c>
      <c r="H104" s="1084"/>
    </row>
    <row r="105" ht="14.25" customHeight="1">
      <c r="A105" s="1085">
        <v>98.0</v>
      </c>
      <c r="B105" s="1086" t="s">
        <v>5405</v>
      </c>
      <c r="C105" s="1087" t="s">
        <v>1788</v>
      </c>
      <c r="D105" s="1088">
        <v>29.06</v>
      </c>
      <c r="E105" s="1089" t="s">
        <v>5308</v>
      </c>
      <c r="F105" s="1081">
        <f t="shared" si="1"/>
        <v>0</v>
      </c>
      <c r="G105" s="1083">
        <f t="shared" si="2"/>
        <v>29.06</v>
      </c>
      <c r="H105" s="1084"/>
    </row>
    <row r="106" ht="14.25" customHeight="1">
      <c r="A106" s="1085">
        <v>99.0</v>
      </c>
      <c r="B106" s="1086" t="s">
        <v>5406</v>
      </c>
      <c r="C106" s="1087" t="s">
        <v>1788</v>
      </c>
      <c r="D106" s="1088">
        <v>27.47</v>
      </c>
      <c r="E106" s="1089" t="s">
        <v>5308</v>
      </c>
      <c r="F106" s="1081">
        <f t="shared" si="1"/>
        <v>0</v>
      </c>
      <c r="G106" s="1083">
        <f t="shared" si="2"/>
        <v>27.47</v>
      </c>
      <c r="H106" s="1084"/>
    </row>
    <row r="107" ht="14.25" customHeight="1">
      <c r="A107" s="1085">
        <v>100.0</v>
      </c>
      <c r="B107" s="1086" t="s">
        <v>5407</v>
      </c>
      <c r="C107" s="1087" t="s">
        <v>1788</v>
      </c>
      <c r="D107" s="1088">
        <v>47.99</v>
      </c>
      <c r="E107" s="1089" t="s">
        <v>5308</v>
      </c>
      <c r="F107" s="1081">
        <f t="shared" si="1"/>
        <v>0</v>
      </c>
      <c r="G107" s="1083">
        <f t="shared" si="2"/>
        <v>47.99</v>
      </c>
      <c r="H107" s="1084"/>
    </row>
    <row r="108" ht="14.25" customHeight="1">
      <c r="A108" s="1085">
        <v>75.0</v>
      </c>
      <c r="B108" s="1086" t="s">
        <v>5408</v>
      </c>
      <c r="C108" s="1087" t="s">
        <v>1788</v>
      </c>
      <c r="D108" s="1088">
        <v>279.79</v>
      </c>
      <c r="E108" s="1089" t="s">
        <v>5308</v>
      </c>
      <c r="F108" s="1081">
        <f t="shared" si="1"/>
        <v>0</v>
      </c>
      <c r="G108" s="1083">
        <f t="shared" si="2"/>
        <v>279.79</v>
      </c>
      <c r="H108" s="1084"/>
    </row>
    <row r="109" ht="14.25" customHeight="1">
      <c r="A109" s="1085">
        <v>83.0</v>
      </c>
      <c r="B109" s="1086" t="s">
        <v>5409</v>
      </c>
      <c r="C109" s="1087" t="s">
        <v>1788</v>
      </c>
      <c r="D109" s="1088">
        <v>223.69</v>
      </c>
      <c r="E109" s="1089" t="s">
        <v>5308</v>
      </c>
      <c r="F109" s="1081">
        <f t="shared" si="1"/>
        <v>0</v>
      </c>
      <c r="G109" s="1083">
        <f t="shared" si="2"/>
        <v>223.69</v>
      </c>
      <c r="H109" s="1084"/>
    </row>
    <row r="110" ht="14.25" customHeight="1">
      <c r="A110" s="1085">
        <v>74.0</v>
      </c>
      <c r="B110" s="1086" t="s">
        <v>5410</v>
      </c>
      <c r="C110" s="1087" t="s">
        <v>1788</v>
      </c>
      <c r="D110" s="1088">
        <v>319.81</v>
      </c>
      <c r="E110" s="1089" t="s">
        <v>5308</v>
      </c>
      <c r="F110" s="1081">
        <f t="shared" si="1"/>
        <v>0</v>
      </c>
      <c r="G110" s="1083">
        <f t="shared" si="2"/>
        <v>319.81</v>
      </c>
      <c r="H110" s="1084"/>
    </row>
    <row r="111" ht="14.25" customHeight="1">
      <c r="A111" s="1085">
        <v>106.0</v>
      </c>
      <c r="B111" s="1086" t="s">
        <v>5411</v>
      </c>
      <c r="C111" s="1087" t="s">
        <v>1788</v>
      </c>
      <c r="D111" s="1088">
        <v>404.41</v>
      </c>
      <c r="E111" s="1089" t="s">
        <v>5308</v>
      </c>
      <c r="F111" s="1081">
        <f t="shared" si="1"/>
        <v>0</v>
      </c>
      <c r="G111" s="1083">
        <f t="shared" si="2"/>
        <v>404.41</v>
      </c>
      <c r="H111" s="1084"/>
    </row>
    <row r="112" ht="14.25" customHeight="1">
      <c r="A112" s="1085">
        <v>88.0</v>
      </c>
      <c r="B112" s="1086" t="s">
        <v>5412</v>
      </c>
      <c r="C112" s="1087" t="s">
        <v>1788</v>
      </c>
      <c r="D112" s="1088">
        <v>11.36</v>
      </c>
      <c r="E112" s="1089" t="s">
        <v>5308</v>
      </c>
      <c r="F112" s="1081">
        <f t="shared" si="1"/>
        <v>0</v>
      </c>
      <c r="G112" s="1083">
        <f t="shared" si="2"/>
        <v>11.36</v>
      </c>
      <c r="H112" s="1084"/>
    </row>
    <row r="113" ht="14.25" customHeight="1">
      <c r="A113" s="1085">
        <v>82.0</v>
      </c>
      <c r="B113" s="1086" t="s">
        <v>5413</v>
      </c>
      <c r="C113" s="1087" t="s">
        <v>1788</v>
      </c>
      <c r="D113" s="1088">
        <v>212.82</v>
      </c>
      <c r="E113" s="1089" t="s">
        <v>5308</v>
      </c>
      <c r="F113" s="1081">
        <f t="shared" si="1"/>
        <v>0</v>
      </c>
      <c r="G113" s="1083">
        <f t="shared" si="2"/>
        <v>212.82</v>
      </c>
      <c r="H113" s="1084"/>
    </row>
    <row r="114" ht="14.25" customHeight="1">
      <c r="A114" s="1085">
        <v>105.0</v>
      </c>
      <c r="B114" s="1086" t="s">
        <v>5414</v>
      </c>
      <c r="C114" s="1087" t="s">
        <v>1788</v>
      </c>
      <c r="D114" s="1088">
        <v>301.56</v>
      </c>
      <c r="E114" s="1089" t="s">
        <v>5308</v>
      </c>
      <c r="F114" s="1081">
        <f t="shared" si="1"/>
        <v>0</v>
      </c>
      <c r="G114" s="1083">
        <f t="shared" si="2"/>
        <v>301.56</v>
      </c>
      <c r="H114" s="1084"/>
    </row>
    <row r="115" ht="14.25" customHeight="1">
      <c r="A115" s="1085">
        <v>60.0</v>
      </c>
      <c r="B115" s="1086" t="s">
        <v>5415</v>
      </c>
      <c r="C115" s="1087" t="s">
        <v>1788</v>
      </c>
      <c r="D115" s="1088">
        <v>5.81</v>
      </c>
      <c r="E115" s="1089" t="s">
        <v>5308</v>
      </c>
      <c r="F115" s="1081">
        <f t="shared" si="1"/>
        <v>0</v>
      </c>
      <c r="G115" s="1083">
        <f t="shared" si="2"/>
        <v>5.81</v>
      </c>
      <c r="H115" s="1084"/>
    </row>
    <row r="116" ht="14.25" customHeight="1">
      <c r="A116" s="1085">
        <v>72.0</v>
      </c>
      <c r="B116" s="1086" t="s">
        <v>5416</v>
      </c>
      <c r="C116" s="1087" t="s">
        <v>1788</v>
      </c>
      <c r="D116" s="1088">
        <v>52.68</v>
      </c>
      <c r="E116" s="1089" t="s">
        <v>5308</v>
      </c>
      <c r="F116" s="1081">
        <f t="shared" si="1"/>
        <v>0</v>
      </c>
      <c r="G116" s="1083">
        <f t="shared" si="2"/>
        <v>52.68</v>
      </c>
      <c r="H116" s="1084"/>
    </row>
    <row r="117" ht="14.25" customHeight="1">
      <c r="A117" s="1085">
        <v>67.0</v>
      </c>
      <c r="B117" s="1086" t="s">
        <v>5417</v>
      </c>
      <c r="C117" s="1087" t="s">
        <v>1788</v>
      </c>
      <c r="D117" s="1088">
        <v>17.03</v>
      </c>
      <c r="E117" s="1089" t="s">
        <v>5308</v>
      </c>
      <c r="F117" s="1081">
        <f t="shared" si="1"/>
        <v>0</v>
      </c>
      <c r="G117" s="1083">
        <f t="shared" si="2"/>
        <v>17.03</v>
      </c>
      <c r="H117" s="1084"/>
    </row>
    <row r="118" ht="14.25" customHeight="1">
      <c r="A118" s="1085">
        <v>71.0</v>
      </c>
      <c r="B118" s="1086" t="s">
        <v>5418</v>
      </c>
      <c r="C118" s="1087" t="s">
        <v>1788</v>
      </c>
      <c r="D118" s="1088">
        <v>32.53</v>
      </c>
      <c r="E118" s="1089" t="s">
        <v>5308</v>
      </c>
      <c r="F118" s="1081">
        <f t="shared" si="1"/>
        <v>0</v>
      </c>
      <c r="G118" s="1083">
        <f t="shared" si="2"/>
        <v>32.53</v>
      </c>
      <c r="H118" s="1084"/>
    </row>
    <row r="119" ht="14.25" customHeight="1">
      <c r="A119" s="1085">
        <v>73.0</v>
      </c>
      <c r="B119" s="1086" t="s">
        <v>5419</v>
      </c>
      <c r="C119" s="1087" t="s">
        <v>1788</v>
      </c>
      <c r="D119" s="1088">
        <v>16.3</v>
      </c>
      <c r="E119" s="1089" t="s">
        <v>5308</v>
      </c>
      <c r="F119" s="1081">
        <f t="shared" si="1"/>
        <v>0</v>
      </c>
      <c r="G119" s="1083">
        <f t="shared" si="2"/>
        <v>16.3</v>
      </c>
      <c r="H119" s="1084"/>
    </row>
    <row r="120" ht="14.25" customHeight="1">
      <c r="A120" s="1085">
        <v>46.0</v>
      </c>
      <c r="B120" s="1086" t="s">
        <v>5420</v>
      </c>
      <c r="C120" s="1087" t="s">
        <v>1788</v>
      </c>
      <c r="D120" s="1088">
        <v>44.92</v>
      </c>
      <c r="E120" s="1089" t="s">
        <v>5308</v>
      </c>
      <c r="F120" s="1081">
        <f t="shared" si="1"/>
        <v>0</v>
      </c>
      <c r="G120" s="1083">
        <f t="shared" si="2"/>
        <v>44.92</v>
      </c>
      <c r="H120" s="1084"/>
    </row>
    <row r="121" ht="14.25" customHeight="1">
      <c r="A121" s="1085">
        <v>47.0</v>
      </c>
      <c r="B121" s="1086" t="s">
        <v>5421</v>
      </c>
      <c r="C121" s="1087" t="s">
        <v>1788</v>
      </c>
      <c r="D121" s="1088">
        <v>76.81</v>
      </c>
      <c r="E121" s="1089" t="s">
        <v>5308</v>
      </c>
      <c r="F121" s="1081">
        <f t="shared" si="1"/>
        <v>0</v>
      </c>
      <c r="G121" s="1083">
        <f t="shared" si="2"/>
        <v>76.81</v>
      </c>
      <c r="H121" s="1084"/>
    </row>
    <row r="122" ht="14.25" customHeight="1">
      <c r="A122" s="1085">
        <v>48.0</v>
      </c>
      <c r="B122" s="1086" t="s">
        <v>5422</v>
      </c>
      <c r="C122" s="1087" t="s">
        <v>1788</v>
      </c>
      <c r="D122" s="1088">
        <v>20.03</v>
      </c>
      <c r="E122" s="1089" t="s">
        <v>5308</v>
      </c>
      <c r="F122" s="1081">
        <f t="shared" si="1"/>
        <v>0</v>
      </c>
      <c r="G122" s="1083">
        <f t="shared" si="2"/>
        <v>20.03</v>
      </c>
      <c r="H122" s="1084"/>
    </row>
    <row r="123" ht="14.25" customHeight="1">
      <c r="A123" s="1085">
        <v>52.0</v>
      </c>
      <c r="B123" s="1086" t="s">
        <v>5423</v>
      </c>
      <c r="C123" s="1087" t="s">
        <v>1788</v>
      </c>
      <c r="D123" s="1088">
        <v>15.22</v>
      </c>
      <c r="E123" s="1089" t="s">
        <v>5308</v>
      </c>
      <c r="F123" s="1081">
        <f t="shared" si="1"/>
        <v>0</v>
      </c>
      <c r="G123" s="1083">
        <f t="shared" si="2"/>
        <v>15.22</v>
      </c>
      <c r="H123" s="1084"/>
    </row>
    <row r="124" ht="14.25" customHeight="1">
      <c r="A124" s="1085">
        <v>43.0</v>
      </c>
      <c r="B124" s="1086" t="s">
        <v>5424</v>
      </c>
      <c r="C124" s="1087" t="s">
        <v>1788</v>
      </c>
      <c r="D124" s="1088">
        <v>51.37</v>
      </c>
      <c r="E124" s="1089" t="s">
        <v>5308</v>
      </c>
      <c r="F124" s="1081">
        <f t="shared" si="1"/>
        <v>0</v>
      </c>
      <c r="G124" s="1083">
        <f t="shared" si="2"/>
        <v>51.37</v>
      </c>
      <c r="H124" s="1084"/>
    </row>
    <row r="125" ht="14.25" customHeight="1">
      <c r="A125" s="1085">
        <v>39719.0</v>
      </c>
      <c r="B125" s="1086" t="s">
        <v>5425</v>
      </c>
      <c r="C125" s="1087" t="s">
        <v>2386</v>
      </c>
      <c r="D125" s="1088">
        <v>181.54</v>
      </c>
      <c r="E125" s="1089" t="s">
        <v>5308</v>
      </c>
      <c r="F125" s="1081">
        <f t="shared" si="1"/>
        <v>0</v>
      </c>
      <c r="G125" s="1083">
        <f t="shared" si="2"/>
        <v>181.54</v>
      </c>
      <c r="H125" s="1084"/>
    </row>
    <row r="126" ht="14.25" customHeight="1">
      <c r="A126" s="1085">
        <v>3410.0</v>
      </c>
      <c r="B126" s="1086" t="s">
        <v>5426</v>
      </c>
      <c r="C126" s="1087" t="s">
        <v>3606</v>
      </c>
      <c r="D126" s="1088">
        <v>40.83</v>
      </c>
      <c r="E126" s="1089" t="s">
        <v>5308</v>
      </c>
      <c r="F126" s="1081">
        <f t="shared" si="1"/>
        <v>0</v>
      </c>
      <c r="G126" s="1083">
        <f t="shared" si="2"/>
        <v>40.83</v>
      </c>
      <c r="H126" s="1084"/>
    </row>
    <row r="127" ht="14.25" customHeight="1">
      <c r="A127" s="1085">
        <v>4791.0</v>
      </c>
      <c r="B127" s="1086" t="s">
        <v>5427</v>
      </c>
      <c r="C127" s="1087" t="s">
        <v>3606</v>
      </c>
      <c r="D127" s="1088">
        <v>43.68</v>
      </c>
      <c r="E127" s="1089" t="s">
        <v>5308</v>
      </c>
      <c r="F127" s="1081">
        <f t="shared" si="1"/>
        <v>0</v>
      </c>
      <c r="G127" s="1083">
        <f t="shared" si="2"/>
        <v>43.68</v>
      </c>
      <c r="H127" s="1084"/>
    </row>
    <row r="128" ht="14.25" customHeight="1">
      <c r="A128" s="1085">
        <v>157.0</v>
      </c>
      <c r="B128" s="1086" t="s">
        <v>5428</v>
      </c>
      <c r="C128" s="1087" t="s">
        <v>3606</v>
      </c>
      <c r="D128" s="1088">
        <v>145.5</v>
      </c>
      <c r="E128" s="1089" t="s">
        <v>5308</v>
      </c>
      <c r="F128" s="1081">
        <f t="shared" si="1"/>
        <v>0</v>
      </c>
      <c r="G128" s="1083">
        <f t="shared" si="2"/>
        <v>145.5</v>
      </c>
      <c r="H128" s="1084"/>
    </row>
    <row r="129" ht="14.25" customHeight="1">
      <c r="A129" s="1085">
        <v>156.0</v>
      </c>
      <c r="B129" s="1086" t="s">
        <v>5429</v>
      </c>
      <c r="C129" s="1087" t="s">
        <v>3606</v>
      </c>
      <c r="D129" s="1088">
        <v>51.8</v>
      </c>
      <c r="E129" s="1089" t="s">
        <v>5308</v>
      </c>
      <c r="F129" s="1081">
        <f t="shared" si="1"/>
        <v>0</v>
      </c>
      <c r="G129" s="1083">
        <f t="shared" si="2"/>
        <v>51.8</v>
      </c>
      <c r="H129" s="1084"/>
    </row>
    <row r="130" ht="14.25" customHeight="1">
      <c r="A130" s="1085">
        <v>131.0</v>
      </c>
      <c r="B130" s="1086" t="s">
        <v>5430</v>
      </c>
      <c r="C130" s="1087" t="s">
        <v>3606</v>
      </c>
      <c r="D130" s="1088">
        <v>44.3</v>
      </c>
      <c r="E130" s="1089" t="s">
        <v>5308</v>
      </c>
      <c r="F130" s="1081">
        <f t="shared" si="1"/>
        <v>0</v>
      </c>
      <c r="G130" s="1083">
        <f t="shared" si="2"/>
        <v>44.3</v>
      </c>
      <c r="H130" s="1084"/>
    </row>
    <row r="131" ht="14.25" customHeight="1">
      <c r="A131" s="1085">
        <v>21114.0</v>
      </c>
      <c r="B131" s="1086" t="s">
        <v>5431</v>
      </c>
      <c r="C131" s="1087" t="s">
        <v>1788</v>
      </c>
      <c r="D131" s="1088">
        <v>35.78</v>
      </c>
      <c r="E131" s="1089" t="s">
        <v>5308</v>
      </c>
      <c r="F131" s="1081">
        <f t="shared" si="1"/>
        <v>0</v>
      </c>
      <c r="G131" s="1083">
        <f t="shared" si="2"/>
        <v>35.78</v>
      </c>
      <c r="H131" s="1084"/>
    </row>
    <row r="132" ht="14.25" customHeight="1">
      <c r="A132" s="1085">
        <v>119.0</v>
      </c>
      <c r="B132" s="1086" t="s">
        <v>5432</v>
      </c>
      <c r="C132" s="1087" t="s">
        <v>1788</v>
      </c>
      <c r="D132" s="1088">
        <v>9.07</v>
      </c>
      <c r="E132" s="1089" t="s">
        <v>5308</v>
      </c>
      <c r="F132" s="1081">
        <f t="shared" si="1"/>
        <v>0</v>
      </c>
      <c r="G132" s="1083">
        <f t="shared" si="2"/>
        <v>9.07</v>
      </c>
      <c r="H132" s="1084"/>
    </row>
    <row r="133" ht="14.25" customHeight="1">
      <c r="A133" s="1085">
        <v>122.0</v>
      </c>
      <c r="B133" s="1086" t="s">
        <v>5433</v>
      </c>
      <c r="C133" s="1087" t="s">
        <v>1788</v>
      </c>
      <c r="D133" s="1088">
        <v>69.78</v>
      </c>
      <c r="E133" s="1089" t="s">
        <v>5308</v>
      </c>
      <c r="F133" s="1081">
        <f t="shared" si="1"/>
        <v>0</v>
      </c>
      <c r="G133" s="1083">
        <f t="shared" si="2"/>
        <v>69.78</v>
      </c>
      <c r="H133" s="1084"/>
    </row>
    <row r="134" ht="14.25" customHeight="1">
      <c r="A134" s="1085">
        <v>20080.0</v>
      </c>
      <c r="B134" s="1086" t="s">
        <v>5434</v>
      </c>
      <c r="C134" s="1087" t="s">
        <v>1788</v>
      </c>
      <c r="D134" s="1088">
        <v>22.77</v>
      </c>
      <c r="E134" s="1089" t="s">
        <v>5308</v>
      </c>
      <c r="F134" s="1081">
        <f t="shared" si="1"/>
        <v>0</v>
      </c>
      <c r="G134" s="1083">
        <f t="shared" si="2"/>
        <v>22.77</v>
      </c>
      <c r="H134" s="1084"/>
    </row>
    <row r="135" ht="14.25" customHeight="1">
      <c r="A135" s="1085">
        <v>124.0</v>
      </c>
      <c r="B135" s="1086" t="s">
        <v>5435</v>
      </c>
      <c r="C135" s="1087" t="s">
        <v>2386</v>
      </c>
      <c r="D135" s="1088">
        <v>17.08</v>
      </c>
      <c r="E135" s="1089" t="s">
        <v>5308</v>
      </c>
      <c r="F135" s="1081">
        <f t="shared" si="1"/>
        <v>0</v>
      </c>
      <c r="G135" s="1083">
        <f t="shared" si="2"/>
        <v>17.08</v>
      </c>
      <c r="H135" s="1084"/>
    </row>
    <row r="136" ht="14.25" customHeight="1">
      <c r="A136" s="1085">
        <v>7334.0</v>
      </c>
      <c r="B136" s="1086" t="s">
        <v>5436</v>
      </c>
      <c r="C136" s="1087" t="s">
        <v>2386</v>
      </c>
      <c r="D136" s="1088">
        <v>15.18</v>
      </c>
      <c r="E136" s="1089" t="s">
        <v>5308</v>
      </c>
      <c r="F136" s="1081">
        <f t="shared" si="1"/>
        <v>0</v>
      </c>
      <c r="G136" s="1083">
        <f t="shared" si="2"/>
        <v>15.18</v>
      </c>
      <c r="H136" s="1084"/>
    </row>
    <row r="137" ht="14.25" customHeight="1">
      <c r="A137" s="1085">
        <v>123.0</v>
      </c>
      <c r="B137" s="1086" t="s">
        <v>5437</v>
      </c>
      <c r="C137" s="1087" t="s">
        <v>2386</v>
      </c>
      <c r="D137" s="1088">
        <v>6.99</v>
      </c>
      <c r="E137" s="1089" t="s">
        <v>5308</v>
      </c>
      <c r="F137" s="1081">
        <f t="shared" si="1"/>
        <v>0</v>
      </c>
      <c r="G137" s="1083">
        <f t="shared" si="2"/>
        <v>6.99</v>
      </c>
      <c r="H137" s="1084"/>
    </row>
    <row r="138" ht="14.25" customHeight="1">
      <c r="A138" s="1085">
        <v>127.0</v>
      </c>
      <c r="B138" s="1086" t="s">
        <v>5438</v>
      </c>
      <c r="C138" s="1087" t="s">
        <v>2386</v>
      </c>
      <c r="D138" s="1088">
        <v>16.69</v>
      </c>
      <c r="E138" s="1089" t="s">
        <v>5308</v>
      </c>
      <c r="F138" s="1081">
        <f t="shared" si="1"/>
        <v>0</v>
      </c>
      <c r="G138" s="1083">
        <f t="shared" si="2"/>
        <v>16.69</v>
      </c>
      <c r="H138" s="1084"/>
    </row>
    <row r="139" ht="14.25" customHeight="1">
      <c r="A139" s="1085">
        <v>41373.0</v>
      </c>
      <c r="B139" s="1086" t="s">
        <v>5439</v>
      </c>
      <c r="C139" s="1087" t="s">
        <v>2386</v>
      </c>
      <c r="D139" s="1088">
        <v>23.25</v>
      </c>
      <c r="E139" s="1089" t="s">
        <v>5308</v>
      </c>
      <c r="F139" s="1081">
        <f t="shared" si="1"/>
        <v>0</v>
      </c>
      <c r="G139" s="1083">
        <f t="shared" si="2"/>
        <v>23.25</v>
      </c>
      <c r="H139" s="1084"/>
    </row>
    <row r="140" ht="14.25" customHeight="1">
      <c r="A140" s="1085">
        <v>133.0</v>
      </c>
      <c r="B140" s="1086" t="s">
        <v>5440</v>
      </c>
      <c r="C140" s="1087" t="s">
        <v>2386</v>
      </c>
      <c r="D140" s="1088">
        <v>6.93</v>
      </c>
      <c r="E140" s="1089" t="s">
        <v>5308</v>
      </c>
      <c r="F140" s="1081">
        <f t="shared" si="1"/>
        <v>0</v>
      </c>
      <c r="G140" s="1083">
        <f t="shared" si="2"/>
        <v>6.93</v>
      </c>
      <c r="H140" s="1084"/>
    </row>
    <row r="141" ht="14.25" customHeight="1">
      <c r="A141" s="1085">
        <v>43617.0</v>
      </c>
      <c r="B141" s="1086" t="s">
        <v>5441</v>
      </c>
      <c r="C141" s="1087" t="s">
        <v>2386</v>
      </c>
      <c r="D141" s="1088">
        <v>7.74</v>
      </c>
      <c r="E141" s="1089" t="s">
        <v>5308</v>
      </c>
      <c r="F141" s="1081">
        <f t="shared" si="1"/>
        <v>0</v>
      </c>
      <c r="G141" s="1083">
        <f t="shared" si="2"/>
        <v>7.74</v>
      </c>
      <c r="H141" s="1084"/>
    </row>
    <row r="142" ht="14.25" customHeight="1">
      <c r="A142" s="1085">
        <v>132.0</v>
      </c>
      <c r="B142" s="1086" t="s">
        <v>5442</v>
      </c>
      <c r="C142" s="1087" t="s">
        <v>2386</v>
      </c>
      <c r="D142" s="1088">
        <v>7.18</v>
      </c>
      <c r="E142" s="1089" t="s">
        <v>5308</v>
      </c>
      <c r="F142" s="1081">
        <f t="shared" si="1"/>
        <v>0</v>
      </c>
      <c r="G142" s="1083">
        <f t="shared" si="2"/>
        <v>7.18</v>
      </c>
      <c r="H142" s="1084"/>
    </row>
    <row r="143" ht="14.25" customHeight="1">
      <c r="A143" s="1085">
        <v>43618.0</v>
      </c>
      <c r="B143" s="1086" t="s">
        <v>5443</v>
      </c>
      <c r="C143" s="1087" t="s">
        <v>3606</v>
      </c>
      <c r="D143" s="1088">
        <v>18.09</v>
      </c>
      <c r="E143" s="1089" t="s">
        <v>5308</v>
      </c>
      <c r="F143" s="1081">
        <f t="shared" si="1"/>
        <v>0</v>
      </c>
      <c r="G143" s="1083">
        <f t="shared" si="2"/>
        <v>18.09</v>
      </c>
      <c r="H143" s="1084"/>
    </row>
    <row r="144" ht="14.25" customHeight="1">
      <c r="A144" s="1085">
        <v>37476.0</v>
      </c>
      <c r="B144" s="1086" t="s">
        <v>5444</v>
      </c>
      <c r="C144" s="1087" t="s">
        <v>1788</v>
      </c>
      <c r="D144" s="1088">
        <v>2662.18</v>
      </c>
      <c r="E144" s="1089" t="s">
        <v>5308</v>
      </c>
      <c r="F144" s="1081">
        <f t="shared" si="1"/>
        <v>0</v>
      </c>
      <c r="G144" s="1083">
        <f t="shared" si="2"/>
        <v>2662.18</v>
      </c>
      <c r="H144" s="1084"/>
    </row>
    <row r="145" ht="14.25" customHeight="1">
      <c r="A145" s="1085">
        <v>37478.0</v>
      </c>
      <c r="B145" s="1086" t="s">
        <v>5445</v>
      </c>
      <c r="C145" s="1087" t="s">
        <v>1788</v>
      </c>
      <c r="D145" s="1088">
        <v>3334.45</v>
      </c>
      <c r="E145" s="1089" t="s">
        <v>5308</v>
      </c>
      <c r="F145" s="1081">
        <f t="shared" si="1"/>
        <v>0</v>
      </c>
      <c r="G145" s="1083">
        <f t="shared" si="2"/>
        <v>3334.45</v>
      </c>
      <c r="H145" s="1084"/>
    </row>
    <row r="146" ht="14.25" customHeight="1">
      <c r="A146" s="1085">
        <v>37477.0</v>
      </c>
      <c r="B146" s="1086" t="s">
        <v>5446</v>
      </c>
      <c r="C146" s="1087" t="s">
        <v>1788</v>
      </c>
      <c r="D146" s="1088">
        <v>4517.64</v>
      </c>
      <c r="E146" s="1089" t="s">
        <v>5308</v>
      </c>
      <c r="F146" s="1081">
        <f t="shared" si="1"/>
        <v>0</v>
      </c>
      <c r="G146" s="1083">
        <f t="shared" si="2"/>
        <v>4517.64</v>
      </c>
      <c r="H146" s="1084"/>
    </row>
    <row r="147" ht="14.25" customHeight="1">
      <c r="A147" s="1085">
        <v>37479.0</v>
      </c>
      <c r="B147" s="1086" t="s">
        <v>5447</v>
      </c>
      <c r="C147" s="1087" t="s">
        <v>1788</v>
      </c>
      <c r="D147" s="1088">
        <v>5357.98</v>
      </c>
      <c r="E147" s="1089" t="s">
        <v>5308</v>
      </c>
      <c r="F147" s="1081">
        <f t="shared" si="1"/>
        <v>0</v>
      </c>
      <c r="G147" s="1083">
        <f t="shared" si="2"/>
        <v>5357.98</v>
      </c>
      <c r="H147" s="1084"/>
    </row>
    <row r="148" ht="14.25" customHeight="1">
      <c r="A148" s="1085">
        <v>4319.0</v>
      </c>
      <c r="B148" s="1086" t="s">
        <v>5448</v>
      </c>
      <c r="C148" s="1087" t="s">
        <v>1788</v>
      </c>
      <c r="D148" s="1088">
        <v>1.28</v>
      </c>
      <c r="E148" s="1089" t="s">
        <v>5308</v>
      </c>
      <c r="F148" s="1081">
        <f t="shared" si="1"/>
        <v>0</v>
      </c>
      <c r="G148" s="1083">
        <f t="shared" si="2"/>
        <v>1.28</v>
      </c>
      <c r="H148" s="1084"/>
    </row>
    <row r="149" ht="14.25" customHeight="1">
      <c r="A149" s="1085">
        <v>42409.0</v>
      </c>
      <c r="B149" s="1086" t="s">
        <v>5449</v>
      </c>
      <c r="C149" s="1087" t="s">
        <v>3606</v>
      </c>
      <c r="D149" s="1088">
        <v>11.39</v>
      </c>
      <c r="E149" s="1089" t="s">
        <v>5308</v>
      </c>
      <c r="F149" s="1081">
        <f t="shared" si="1"/>
        <v>0</v>
      </c>
      <c r="G149" s="1083">
        <f t="shared" si="2"/>
        <v>11.39</v>
      </c>
      <c r="H149" s="1084"/>
    </row>
    <row r="150" ht="14.25" customHeight="1">
      <c r="A150" s="1085">
        <v>40553.0</v>
      </c>
      <c r="B150" s="1086" t="s">
        <v>5450</v>
      </c>
      <c r="C150" s="1087" t="s">
        <v>2178</v>
      </c>
      <c r="D150" s="1088">
        <v>37.5</v>
      </c>
      <c r="E150" s="1089" t="s">
        <v>5308</v>
      </c>
      <c r="F150" s="1081">
        <f t="shared" si="1"/>
        <v>0</v>
      </c>
      <c r="G150" s="1083">
        <f t="shared" si="2"/>
        <v>37.5</v>
      </c>
      <c r="H150" s="1084"/>
    </row>
    <row r="151" ht="14.25" customHeight="1">
      <c r="A151" s="1085">
        <v>6114.0</v>
      </c>
      <c r="B151" s="1086" t="s">
        <v>5451</v>
      </c>
      <c r="C151" s="1087" t="s">
        <v>1470</v>
      </c>
      <c r="D151" s="1088">
        <v>14.68</v>
      </c>
      <c r="E151" s="1089" t="s">
        <v>5452</v>
      </c>
      <c r="F151" s="1081">
        <f t="shared" si="1"/>
        <v>14.68</v>
      </c>
      <c r="G151" s="1083">
        <f t="shared" si="2"/>
        <v>0</v>
      </c>
      <c r="H151" s="1084"/>
    </row>
    <row r="152" ht="14.25" customHeight="1">
      <c r="A152" s="1085">
        <v>40912.0</v>
      </c>
      <c r="B152" s="1086" t="s">
        <v>5453</v>
      </c>
      <c r="C152" s="1087" t="s">
        <v>5454</v>
      </c>
      <c r="D152" s="1088">
        <v>2572.12</v>
      </c>
      <c r="E152" s="1089" t="s">
        <v>5452</v>
      </c>
      <c r="F152" s="1081">
        <f t="shared" si="1"/>
        <v>2572.12</v>
      </c>
      <c r="G152" s="1083">
        <f t="shared" si="2"/>
        <v>0</v>
      </c>
      <c r="H152" s="1084"/>
    </row>
    <row r="153" ht="14.25" customHeight="1">
      <c r="A153" s="1085">
        <v>247.0</v>
      </c>
      <c r="B153" s="1086" t="s">
        <v>5455</v>
      </c>
      <c r="C153" s="1087" t="s">
        <v>1470</v>
      </c>
      <c r="D153" s="1088">
        <v>15.93</v>
      </c>
      <c r="E153" s="1089" t="s">
        <v>5452</v>
      </c>
      <c r="F153" s="1081">
        <f t="shared" si="1"/>
        <v>15.93</v>
      </c>
      <c r="G153" s="1083">
        <f t="shared" si="2"/>
        <v>0</v>
      </c>
      <c r="H153" s="1084"/>
    </row>
    <row r="154" ht="14.25" customHeight="1">
      <c r="A154" s="1085">
        <v>40919.0</v>
      </c>
      <c r="B154" s="1086" t="s">
        <v>5456</v>
      </c>
      <c r="C154" s="1087" t="s">
        <v>5454</v>
      </c>
      <c r="D154" s="1088">
        <v>2789.44</v>
      </c>
      <c r="E154" s="1089" t="s">
        <v>5452</v>
      </c>
      <c r="F154" s="1081">
        <f t="shared" si="1"/>
        <v>2789.44</v>
      </c>
      <c r="G154" s="1083">
        <f t="shared" si="2"/>
        <v>0</v>
      </c>
      <c r="H154" s="1084"/>
    </row>
    <row r="155" ht="14.25" customHeight="1">
      <c r="A155" s="1085">
        <v>40984.0</v>
      </c>
      <c r="B155" s="1086" t="s">
        <v>5457</v>
      </c>
      <c r="C155" s="1087" t="s">
        <v>5454</v>
      </c>
      <c r="D155" s="1088">
        <v>2437.19</v>
      </c>
      <c r="E155" s="1089" t="s">
        <v>5452</v>
      </c>
      <c r="F155" s="1081">
        <f t="shared" si="1"/>
        <v>2437.19</v>
      </c>
      <c r="G155" s="1083">
        <f t="shared" si="2"/>
        <v>0</v>
      </c>
      <c r="H155" s="1084"/>
    </row>
    <row r="156" ht="14.25" customHeight="1">
      <c r="A156" s="1085">
        <v>44499.0</v>
      </c>
      <c r="B156" s="1086" t="s">
        <v>5458</v>
      </c>
      <c r="C156" s="1087" t="s">
        <v>1470</v>
      </c>
      <c r="D156" s="1088">
        <v>13.91</v>
      </c>
      <c r="E156" s="1089" t="s">
        <v>5452</v>
      </c>
      <c r="F156" s="1081">
        <f t="shared" si="1"/>
        <v>13.91</v>
      </c>
      <c r="G156" s="1083">
        <f t="shared" si="2"/>
        <v>0</v>
      </c>
      <c r="H156" s="1084"/>
    </row>
    <row r="157" ht="14.25" customHeight="1">
      <c r="A157" s="1085">
        <v>248.0</v>
      </c>
      <c r="B157" s="1086" t="s">
        <v>5459</v>
      </c>
      <c r="C157" s="1087" t="s">
        <v>1470</v>
      </c>
      <c r="D157" s="1088">
        <v>15.93</v>
      </c>
      <c r="E157" s="1089" t="s">
        <v>5452</v>
      </c>
      <c r="F157" s="1081">
        <f t="shared" si="1"/>
        <v>15.93</v>
      </c>
      <c r="G157" s="1083">
        <f t="shared" si="2"/>
        <v>0</v>
      </c>
      <c r="H157" s="1084"/>
    </row>
    <row r="158" ht="14.25" customHeight="1">
      <c r="A158" s="1085">
        <v>41086.0</v>
      </c>
      <c r="B158" s="1086" t="s">
        <v>5460</v>
      </c>
      <c r="C158" s="1087" t="s">
        <v>5454</v>
      </c>
      <c r="D158" s="1088">
        <v>2789.44</v>
      </c>
      <c r="E158" s="1089" t="s">
        <v>5452</v>
      </c>
      <c r="F158" s="1081">
        <f t="shared" si="1"/>
        <v>2789.44</v>
      </c>
      <c r="G158" s="1083">
        <f t="shared" si="2"/>
        <v>0</v>
      </c>
      <c r="H158" s="1084"/>
    </row>
    <row r="159" ht="14.25" customHeight="1">
      <c r="A159" s="1085">
        <v>34466.0</v>
      </c>
      <c r="B159" s="1086" t="s">
        <v>5461</v>
      </c>
      <c r="C159" s="1087" t="s">
        <v>1470</v>
      </c>
      <c r="D159" s="1088">
        <v>15.93</v>
      </c>
      <c r="E159" s="1089" t="s">
        <v>5452</v>
      </c>
      <c r="F159" s="1081">
        <f t="shared" si="1"/>
        <v>15.93</v>
      </c>
      <c r="G159" s="1083">
        <f t="shared" si="2"/>
        <v>0</v>
      </c>
      <c r="H159" s="1084"/>
    </row>
    <row r="160" ht="14.25" customHeight="1">
      <c r="A160" s="1085">
        <v>41083.0</v>
      </c>
      <c r="B160" s="1086" t="s">
        <v>5462</v>
      </c>
      <c r="C160" s="1087" t="s">
        <v>5454</v>
      </c>
      <c r="D160" s="1088">
        <v>2789.44</v>
      </c>
      <c r="E160" s="1089" t="s">
        <v>5452</v>
      </c>
      <c r="F160" s="1081">
        <f t="shared" si="1"/>
        <v>2789.44</v>
      </c>
      <c r="G160" s="1083">
        <f t="shared" si="2"/>
        <v>0</v>
      </c>
      <c r="H160" s="1084"/>
    </row>
    <row r="161" ht="14.25" customHeight="1">
      <c r="A161" s="1085">
        <v>252.0</v>
      </c>
      <c r="B161" s="1086" t="s">
        <v>5463</v>
      </c>
      <c r="C161" s="1087" t="s">
        <v>1470</v>
      </c>
      <c r="D161" s="1088">
        <v>15.93</v>
      </c>
      <c r="E161" s="1089" t="s">
        <v>5452</v>
      </c>
      <c r="F161" s="1081">
        <f t="shared" si="1"/>
        <v>15.93</v>
      </c>
      <c r="G161" s="1083">
        <f t="shared" si="2"/>
        <v>0</v>
      </c>
      <c r="H161" s="1084"/>
    </row>
    <row r="162" ht="14.25" customHeight="1">
      <c r="A162" s="1085">
        <v>40909.0</v>
      </c>
      <c r="B162" s="1086" t="s">
        <v>5464</v>
      </c>
      <c r="C162" s="1087" t="s">
        <v>5454</v>
      </c>
      <c r="D162" s="1088">
        <v>2789.44</v>
      </c>
      <c r="E162" s="1089" t="s">
        <v>5452</v>
      </c>
      <c r="F162" s="1081">
        <f t="shared" si="1"/>
        <v>2789.44</v>
      </c>
      <c r="G162" s="1083">
        <f t="shared" si="2"/>
        <v>0</v>
      </c>
      <c r="H162" s="1084"/>
    </row>
    <row r="163" ht="14.25" customHeight="1">
      <c r="A163" s="1085">
        <v>242.0</v>
      </c>
      <c r="B163" s="1086" t="s">
        <v>5465</v>
      </c>
      <c r="C163" s="1087" t="s">
        <v>1470</v>
      </c>
      <c r="D163" s="1088">
        <v>15.93</v>
      </c>
      <c r="E163" s="1089" t="s">
        <v>5452</v>
      </c>
      <c r="F163" s="1081">
        <f t="shared" si="1"/>
        <v>15.93</v>
      </c>
      <c r="G163" s="1083">
        <f t="shared" si="2"/>
        <v>0</v>
      </c>
      <c r="H163" s="1084"/>
    </row>
    <row r="164" ht="14.25" customHeight="1">
      <c r="A164" s="1085">
        <v>41085.0</v>
      </c>
      <c r="B164" s="1086" t="s">
        <v>5466</v>
      </c>
      <c r="C164" s="1087" t="s">
        <v>5454</v>
      </c>
      <c r="D164" s="1088">
        <v>2789.3</v>
      </c>
      <c r="E164" s="1089" t="s">
        <v>5452</v>
      </c>
      <c r="F164" s="1081">
        <f t="shared" si="1"/>
        <v>2789.3</v>
      </c>
      <c r="G164" s="1083">
        <f t="shared" si="2"/>
        <v>0</v>
      </c>
      <c r="H164" s="1084"/>
    </row>
    <row r="165" ht="14.25" customHeight="1">
      <c r="A165" s="1085">
        <v>427.0</v>
      </c>
      <c r="B165" s="1086" t="s">
        <v>5467</v>
      </c>
      <c r="C165" s="1087" t="s">
        <v>1788</v>
      </c>
      <c r="D165" s="1088">
        <v>5.07</v>
      </c>
      <c r="E165" s="1089" t="s">
        <v>5308</v>
      </c>
      <c r="F165" s="1081">
        <f t="shared" si="1"/>
        <v>0</v>
      </c>
      <c r="G165" s="1083">
        <f t="shared" si="2"/>
        <v>5.07</v>
      </c>
      <c r="H165" s="1084"/>
    </row>
    <row r="166" ht="14.25" customHeight="1">
      <c r="A166" s="1085">
        <v>417.0</v>
      </c>
      <c r="B166" s="1086" t="s">
        <v>5468</v>
      </c>
      <c r="C166" s="1087" t="s">
        <v>1788</v>
      </c>
      <c r="D166" s="1088">
        <v>2.39</v>
      </c>
      <c r="E166" s="1089" t="s">
        <v>5308</v>
      </c>
      <c r="F166" s="1081">
        <f t="shared" si="1"/>
        <v>0</v>
      </c>
      <c r="G166" s="1083">
        <f t="shared" si="2"/>
        <v>2.39</v>
      </c>
      <c r="H166" s="1084"/>
    </row>
    <row r="167" ht="14.25" customHeight="1">
      <c r="A167" s="1085">
        <v>11273.0</v>
      </c>
      <c r="B167" s="1086" t="s">
        <v>5469</v>
      </c>
      <c r="C167" s="1087" t="s">
        <v>1788</v>
      </c>
      <c r="D167" s="1088">
        <v>7.41</v>
      </c>
      <c r="E167" s="1089" t="s">
        <v>5308</v>
      </c>
      <c r="F167" s="1081">
        <f t="shared" si="1"/>
        <v>0</v>
      </c>
      <c r="G167" s="1083">
        <f t="shared" si="2"/>
        <v>7.41</v>
      </c>
      <c r="H167" s="1084"/>
    </row>
    <row r="168" ht="14.25" customHeight="1">
      <c r="A168" s="1085">
        <v>11272.0</v>
      </c>
      <c r="B168" s="1086" t="s">
        <v>5470</v>
      </c>
      <c r="C168" s="1087" t="s">
        <v>1788</v>
      </c>
      <c r="D168" s="1088">
        <v>4.47</v>
      </c>
      <c r="E168" s="1089" t="s">
        <v>5308</v>
      </c>
      <c r="F168" s="1081">
        <f t="shared" si="1"/>
        <v>0</v>
      </c>
      <c r="G168" s="1083">
        <f t="shared" si="2"/>
        <v>4.47</v>
      </c>
      <c r="H168" s="1084"/>
    </row>
    <row r="169" ht="14.25" customHeight="1">
      <c r="A169" s="1085">
        <v>11275.0</v>
      </c>
      <c r="B169" s="1086" t="s">
        <v>5471</v>
      </c>
      <c r="C169" s="1087" t="s">
        <v>1788</v>
      </c>
      <c r="D169" s="1088">
        <v>1.79</v>
      </c>
      <c r="E169" s="1089" t="s">
        <v>5308</v>
      </c>
      <c r="F169" s="1081">
        <f t="shared" si="1"/>
        <v>0</v>
      </c>
      <c r="G169" s="1083">
        <f t="shared" si="2"/>
        <v>1.79</v>
      </c>
      <c r="H169" s="1084"/>
    </row>
    <row r="170" ht="14.25" customHeight="1">
      <c r="A170" s="1085">
        <v>11274.0</v>
      </c>
      <c r="B170" s="1086" t="s">
        <v>5472</v>
      </c>
      <c r="C170" s="1087" t="s">
        <v>1788</v>
      </c>
      <c r="D170" s="1088">
        <v>1.37</v>
      </c>
      <c r="E170" s="1089" t="s">
        <v>5308</v>
      </c>
      <c r="F170" s="1081">
        <f t="shared" si="1"/>
        <v>0</v>
      </c>
      <c r="G170" s="1083">
        <f t="shared" si="2"/>
        <v>1.37</v>
      </c>
      <c r="H170" s="1084"/>
    </row>
    <row r="171" ht="14.25" customHeight="1">
      <c r="A171" s="1085">
        <v>38470.0</v>
      </c>
      <c r="B171" s="1086" t="s">
        <v>5473</v>
      </c>
      <c r="C171" s="1087" t="s">
        <v>1788</v>
      </c>
      <c r="D171" s="1088">
        <v>54.5</v>
      </c>
      <c r="E171" s="1089" t="s">
        <v>5308</v>
      </c>
      <c r="F171" s="1081">
        <f t="shared" si="1"/>
        <v>0</v>
      </c>
      <c r="G171" s="1083">
        <f t="shared" si="2"/>
        <v>54.5</v>
      </c>
      <c r="H171" s="1084"/>
    </row>
    <row r="172" ht="14.25" customHeight="1">
      <c r="A172" s="1085">
        <v>38547.0</v>
      </c>
      <c r="B172" s="1086" t="s">
        <v>5474</v>
      </c>
      <c r="C172" s="1087" t="s">
        <v>1788</v>
      </c>
      <c r="D172" s="1088">
        <v>148.72</v>
      </c>
      <c r="E172" s="1089" t="s">
        <v>5308</v>
      </c>
      <c r="F172" s="1081">
        <f t="shared" si="1"/>
        <v>0</v>
      </c>
      <c r="G172" s="1083">
        <f t="shared" si="2"/>
        <v>148.72</v>
      </c>
      <c r="H172" s="1084"/>
    </row>
    <row r="173" ht="14.25" customHeight="1">
      <c r="A173" s="1085">
        <v>38469.0</v>
      </c>
      <c r="B173" s="1086" t="s">
        <v>5475</v>
      </c>
      <c r="C173" s="1087" t="s">
        <v>1788</v>
      </c>
      <c r="D173" s="1088">
        <v>159.91</v>
      </c>
      <c r="E173" s="1089" t="s">
        <v>5308</v>
      </c>
      <c r="F173" s="1081">
        <f t="shared" si="1"/>
        <v>0</v>
      </c>
      <c r="G173" s="1083">
        <f t="shared" si="2"/>
        <v>159.91</v>
      </c>
      <c r="H173" s="1084"/>
    </row>
    <row r="174" ht="14.25" customHeight="1">
      <c r="A174" s="1085">
        <v>38467.0</v>
      </c>
      <c r="B174" s="1086" t="s">
        <v>5476</v>
      </c>
      <c r="C174" s="1087" t="s">
        <v>1788</v>
      </c>
      <c r="D174" s="1088">
        <v>89.98</v>
      </c>
      <c r="E174" s="1089" t="s">
        <v>5308</v>
      </c>
      <c r="F174" s="1081">
        <f t="shared" si="1"/>
        <v>0</v>
      </c>
      <c r="G174" s="1083">
        <f t="shared" si="2"/>
        <v>89.98</v>
      </c>
      <c r="H174" s="1084"/>
    </row>
    <row r="175" ht="14.25" customHeight="1">
      <c r="A175" s="1085">
        <v>38468.0</v>
      </c>
      <c r="B175" s="1086" t="s">
        <v>5477</v>
      </c>
      <c r="C175" s="1087" t="s">
        <v>1788</v>
      </c>
      <c r="D175" s="1088">
        <v>99.01</v>
      </c>
      <c r="E175" s="1089" t="s">
        <v>5308</v>
      </c>
      <c r="F175" s="1081">
        <f t="shared" si="1"/>
        <v>0</v>
      </c>
      <c r="G175" s="1083">
        <f t="shared" si="2"/>
        <v>99.01</v>
      </c>
      <c r="H175" s="1084"/>
    </row>
    <row r="176" ht="14.25" customHeight="1">
      <c r="A176" s="1085">
        <v>38471.0</v>
      </c>
      <c r="B176" s="1086" t="s">
        <v>5478</v>
      </c>
      <c r="C176" s="1087" t="s">
        <v>1788</v>
      </c>
      <c r="D176" s="1088">
        <v>128.58</v>
      </c>
      <c r="E176" s="1089" t="s">
        <v>5308</v>
      </c>
      <c r="F176" s="1081">
        <f t="shared" si="1"/>
        <v>0</v>
      </c>
      <c r="G176" s="1083">
        <f t="shared" si="2"/>
        <v>128.58</v>
      </c>
      <c r="H176" s="1084"/>
    </row>
    <row r="177" ht="14.25" customHeight="1">
      <c r="A177" s="1085">
        <v>37370.0</v>
      </c>
      <c r="B177" s="1086" t="s">
        <v>5479</v>
      </c>
      <c r="C177" s="1087" t="s">
        <v>1470</v>
      </c>
      <c r="D177" s="1088">
        <v>3.79</v>
      </c>
      <c r="E177" s="1089" t="s">
        <v>5308</v>
      </c>
      <c r="F177" s="1081">
        <f t="shared" si="1"/>
        <v>0</v>
      </c>
      <c r="G177" s="1083">
        <f t="shared" si="2"/>
        <v>3.79</v>
      </c>
      <c r="H177" s="1084"/>
    </row>
    <row r="178" ht="14.25" customHeight="1">
      <c r="A178" s="1085">
        <v>40862.0</v>
      </c>
      <c r="B178" s="1086" t="s">
        <v>5480</v>
      </c>
      <c r="C178" s="1087" t="s">
        <v>5454</v>
      </c>
      <c r="D178" s="1088">
        <v>714.35</v>
      </c>
      <c r="E178" s="1089" t="s">
        <v>5308</v>
      </c>
      <c r="F178" s="1081">
        <f t="shared" si="1"/>
        <v>0</v>
      </c>
      <c r="G178" s="1083">
        <f t="shared" si="2"/>
        <v>714.35</v>
      </c>
      <c r="H178" s="1084"/>
    </row>
    <row r="179" ht="14.25" customHeight="1">
      <c r="A179" s="1085">
        <v>10658.0</v>
      </c>
      <c r="B179" s="1086" t="s">
        <v>5481</v>
      </c>
      <c r="C179" s="1087" t="s">
        <v>1788</v>
      </c>
      <c r="D179" s="1088">
        <v>8189.5</v>
      </c>
      <c r="E179" s="1089" t="s">
        <v>5482</v>
      </c>
      <c r="F179" s="1081">
        <f t="shared" si="1"/>
        <v>0</v>
      </c>
      <c r="G179" s="1083">
        <f t="shared" si="2"/>
        <v>8189.5</v>
      </c>
      <c r="H179" s="1084"/>
    </row>
    <row r="180" ht="14.25" customHeight="1">
      <c r="A180" s="1085">
        <v>253.0</v>
      </c>
      <c r="B180" s="1086" t="s">
        <v>5483</v>
      </c>
      <c r="C180" s="1087" t="s">
        <v>1470</v>
      </c>
      <c r="D180" s="1088">
        <v>20.82</v>
      </c>
      <c r="E180" s="1089" t="s">
        <v>5452</v>
      </c>
      <c r="F180" s="1081">
        <f t="shared" si="1"/>
        <v>20.82</v>
      </c>
      <c r="G180" s="1083">
        <f t="shared" si="2"/>
        <v>0</v>
      </c>
      <c r="H180" s="1084"/>
    </row>
    <row r="181" ht="14.25" customHeight="1">
      <c r="A181" s="1085">
        <v>40809.0</v>
      </c>
      <c r="B181" s="1086" t="s">
        <v>5484</v>
      </c>
      <c r="C181" s="1087" t="s">
        <v>5454</v>
      </c>
      <c r="D181" s="1088">
        <v>3643.51</v>
      </c>
      <c r="E181" s="1089" t="s">
        <v>5452</v>
      </c>
      <c r="F181" s="1081">
        <f t="shared" si="1"/>
        <v>3643.51</v>
      </c>
      <c r="G181" s="1083">
        <f t="shared" si="2"/>
        <v>0</v>
      </c>
      <c r="H181" s="1084"/>
    </row>
    <row r="182" ht="14.25" customHeight="1">
      <c r="A182" s="1085">
        <v>42428.0</v>
      </c>
      <c r="B182" s="1086" t="s">
        <v>5485</v>
      </c>
      <c r="C182" s="1087" t="s">
        <v>1788</v>
      </c>
      <c r="D182" s="1088">
        <v>2271.0</v>
      </c>
      <c r="E182" s="1089" t="s">
        <v>5308</v>
      </c>
      <c r="F182" s="1081">
        <f t="shared" si="1"/>
        <v>0</v>
      </c>
      <c r="G182" s="1083">
        <f t="shared" si="2"/>
        <v>2271</v>
      </c>
      <c r="H182" s="1084"/>
    </row>
    <row r="183" ht="14.25" customHeight="1">
      <c r="A183" s="1085">
        <v>583.0</v>
      </c>
      <c r="B183" s="1086" t="s">
        <v>5486</v>
      </c>
      <c r="C183" s="1087" t="s">
        <v>3606</v>
      </c>
      <c r="D183" s="1088">
        <v>41.3</v>
      </c>
      <c r="E183" s="1089" t="s">
        <v>5308</v>
      </c>
      <c r="F183" s="1081">
        <f t="shared" si="1"/>
        <v>0</v>
      </c>
      <c r="G183" s="1083">
        <f t="shared" si="2"/>
        <v>41.3</v>
      </c>
      <c r="H183" s="1084"/>
    </row>
    <row r="184" ht="14.25" customHeight="1">
      <c r="A184" s="1085">
        <v>301.0</v>
      </c>
      <c r="B184" s="1086" t="s">
        <v>5487</v>
      </c>
      <c r="C184" s="1087" t="s">
        <v>1788</v>
      </c>
      <c r="D184" s="1088">
        <v>2.65</v>
      </c>
      <c r="E184" s="1089" t="s">
        <v>5308</v>
      </c>
      <c r="F184" s="1081">
        <f t="shared" si="1"/>
        <v>0</v>
      </c>
      <c r="G184" s="1083">
        <f t="shared" si="2"/>
        <v>2.65</v>
      </c>
      <c r="H184" s="1084"/>
    </row>
    <row r="185" ht="14.25" customHeight="1">
      <c r="A185" s="1085">
        <v>296.0</v>
      </c>
      <c r="B185" s="1086" t="s">
        <v>5488</v>
      </c>
      <c r="C185" s="1087" t="s">
        <v>1788</v>
      </c>
      <c r="D185" s="1088">
        <v>1.49</v>
      </c>
      <c r="E185" s="1089" t="s">
        <v>5308</v>
      </c>
      <c r="F185" s="1081">
        <f t="shared" si="1"/>
        <v>0</v>
      </c>
      <c r="G185" s="1083">
        <f t="shared" si="2"/>
        <v>1.49</v>
      </c>
      <c r="H185" s="1084"/>
    </row>
    <row r="186" ht="14.25" customHeight="1">
      <c r="A186" s="1085">
        <v>297.0</v>
      </c>
      <c r="B186" s="1086" t="s">
        <v>5489</v>
      </c>
      <c r="C186" s="1087" t="s">
        <v>1788</v>
      </c>
      <c r="D186" s="1088">
        <v>2.2</v>
      </c>
      <c r="E186" s="1089" t="s">
        <v>5308</v>
      </c>
      <c r="F186" s="1081">
        <f t="shared" si="1"/>
        <v>0</v>
      </c>
      <c r="G186" s="1083">
        <f t="shared" si="2"/>
        <v>2.2</v>
      </c>
      <c r="H186" s="1084"/>
    </row>
    <row r="187" ht="14.25" customHeight="1">
      <c r="A187" s="1085">
        <v>299.0</v>
      </c>
      <c r="B187" s="1086" t="s">
        <v>5490</v>
      </c>
      <c r="C187" s="1087" t="s">
        <v>1788</v>
      </c>
      <c r="D187" s="1088">
        <v>3.11</v>
      </c>
      <c r="E187" s="1089" t="s">
        <v>5308</v>
      </c>
      <c r="F187" s="1081">
        <f t="shared" si="1"/>
        <v>0</v>
      </c>
      <c r="G187" s="1083">
        <f t="shared" si="2"/>
        <v>3.11</v>
      </c>
      <c r="H187" s="1084"/>
    </row>
    <row r="188" ht="14.25" customHeight="1">
      <c r="A188" s="1085">
        <v>300.0</v>
      </c>
      <c r="B188" s="1086" t="s">
        <v>5491</v>
      </c>
      <c r="C188" s="1087" t="s">
        <v>1788</v>
      </c>
      <c r="D188" s="1088">
        <v>10.75</v>
      </c>
      <c r="E188" s="1089" t="s">
        <v>5308</v>
      </c>
      <c r="F188" s="1081">
        <f t="shared" si="1"/>
        <v>0</v>
      </c>
      <c r="G188" s="1083">
        <f t="shared" si="2"/>
        <v>10.75</v>
      </c>
      <c r="H188" s="1084"/>
    </row>
    <row r="189" ht="14.25" customHeight="1">
      <c r="A189" s="1085">
        <v>20085.0</v>
      </c>
      <c r="B189" s="1086" t="s">
        <v>5492</v>
      </c>
      <c r="C189" s="1087" t="s">
        <v>1788</v>
      </c>
      <c r="D189" s="1088">
        <v>1.96</v>
      </c>
      <c r="E189" s="1089" t="s">
        <v>5308</v>
      </c>
      <c r="F189" s="1081">
        <f t="shared" si="1"/>
        <v>0</v>
      </c>
      <c r="G189" s="1083">
        <f t="shared" si="2"/>
        <v>1.96</v>
      </c>
      <c r="H189" s="1084"/>
    </row>
    <row r="190" ht="14.25" customHeight="1">
      <c r="A190" s="1085">
        <v>298.0</v>
      </c>
      <c r="B190" s="1086" t="s">
        <v>5493</v>
      </c>
      <c r="C190" s="1087" t="s">
        <v>1788</v>
      </c>
      <c r="D190" s="1088">
        <v>2.39</v>
      </c>
      <c r="E190" s="1089" t="s">
        <v>5308</v>
      </c>
      <c r="F190" s="1081">
        <f t="shared" si="1"/>
        <v>0</v>
      </c>
      <c r="G190" s="1083">
        <f t="shared" si="2"/>
        <v>2.39</v>
      </c>
      <c r="H190" s="1084"/>
    </row>
    <row r="191" ht="14.25" customHeight="1">
      <c r="A191" s="1085">
        <v>311.0</v>
      </c>
      <c r="B191" s="1086" t="s">
        <v>5494</v>
      </c>
      <c r="C191" s="1087" t="s">
        <v>1788</v>
      </c>
      <c r="D191" s="1088">
        <v>8.87</v>
      </c>
      <c r="E191" s="1089" t="s">
        <v>5308</v>
      </c>
      <c r="F191" s="1081">
        <f t="shared" si="1"/>
        <v>0</v>
      </c>
      <c r="G191" s="1083">
        <f t="shared" si="2"/>
        <v>8.87</v>
      </c>
      <c r="H191" s="1084"/>
    </row>
    <row r="192" ht="14.25" customHeight="1">
      <c r="A192" s="1085">
        <v>318.0</v>
      </c>
      <c r="B192" s="1086" t="s">
        <v>5495</v>
      </c>
      <c r="C192" s="1087" t="s">
        <v>1788</v>
      </c>
      <c r="D192" s="1088">
        <v>17.86</v>
      </c>
      <c r="E192" s="1089" t="s">
        <v>5308</v>
      </c>
      <c r="F192" s="1081">
        <f t="shared" si="1"/>
        <v>0</v>
      </c>
      <c r="G192" s="1083">
        <f t="shared" si="2"/>
        <v>17.86</v>
      </c>
      <c r="H192" s="1084"/>
    </row>
    <row r="193" ht="14.25" customHeight="1">
      <c r="A193" s="1085">
        <v>319.0</v>
      </c>
      <c r="B193" s="1086" t="s">
        <v>5496</v>
      </c>
      <c r="C193" s="1087" t="s">
        <v>1788</v>
      </c>
      <c r="D193" s="1088">
        <v>28.01</v>
      </c>
      <c r="E193" s="1089" t="s">
        <v>5308</v>
      </c>
      <c r="F193" s="1081">
        <f t="shared" si="1"/>
        <v>0</v>
      </c>
      <c r="G193" s="1083">
        <f t="shared" si="2"/>
        <v>28.01</v>
      </c>
      <c r="H193" s="1084"/>
    </row>
    <row r="194" ht="14.25" customHeight="1">
      <c r="A194" s="1085">
        <v>303.0</v>
      </c>
      <c r="B194" s="1086" t="s">
        <v>5497</v>
      </c>
      <c r="C194" s="1087" t="s">
        <v>1788</v>
      </c>
      <c r="D194" s="1088">
        <v>2.93</v>
      </c>
      <c r="E194" s="1089" t="s">
        <v>5308</v>
      </c>
      <c r="F194" s="1081">
        <f t="shared" si="1"/>
        <v>0</v>
      </c>
      <c r="G194" s="1083">
        <f t="shared" si="2"/>
        <v>2.93</v>
      </c>
      <c r="H194" s="1084"/>
    </row>
    <row r="195" ht="14.25" customHeight="1">
      <c r="A195" s="1085">
        <v>305.0</v>
      </c>
      <c r="B195" s="1086" t="s">
        <v>5498</v>
      </c>
      <c r="C195" s="1087" t="s">
        <v>1788</v>
      </c>
      <c r="D195" s="1088">
        <v>9.23</v>
      </c>
      <c r="E195" s="1089" t="s">
        <v>5308</v>
      </c>
      <c r="F195" s="1081">
        <f t="shared" si="1"/>
        <v>0</v>
      </c>
      <c r="G195" s="1083">
        <f t="shared" si="2"/>
        <v>9.23</v>
      </c>
      <c r="H195" s="1084"/>
    </row>
    <row r="196" ht="14.25" customHeight="1">
      <c r="A196" s="1085">
        <v>306.0</v>
      </c>
      <c r="B196" s="1086" t="s">
        <v>5499</v>
      </c>
      <c r="C196" s="1087" t="s">
        <v>1788</v>
      </c>
      <c r="D196" s="1088">
        <v>14.0</v>
      </c>
      <c r="E196" s="1089" t="s">
        <v>5308</v>
      </c>
      <c r="F196" s="1081">
        <f t="shared" si="1"/>
        <v>0</v>
      </c>
      <c r="G196" s="1083">
        <f t="shared" si="2"/>
        <v>14</v>
      </c>
      <c r="H196" s="1084"/>
    </row>
    <row r="197" ht="14.25" customHeight="1">
      <c r="A197" s="1085">
        <v>307.0</v>
      </c>
      <c r="B197" s="1086" t="s">
        <v>5500</v>
      </c>
      <c r="C197" s="1087" t="s">
        <v>1788</v>
      </c>
      <c r="D197" s="1088">
        <v>35.38</v>
      </c>
      <c r="E197" s="1089" t="s">
        <v>5308</v>
      </c>
      <c r="F197" s="1081">
        <f t="shared" si="1"/>
        <v>0</v>
      </c>
      <c r="G197" s="1083">
        <f t="shared" si="2"/>
        <v>35.38</v>
      </c>
      <c r="H197" s="1084"/>
    </row>
    <row r="198" ht="14.25" customHeight="1">
      <c r="A198" s="1085">
        <v>309.0</v>
      </c>
      <c r="B198" s="1086" t="s">
        <v>5501</v>
      </c>
      <c r="C198" s="1087" t="s">
        <v>1788</v>
      </c>
      <c r="D198" s="1088">
        <v>57.96</v>
      </c>
      <c r="E198" s="1089" t="s">
        <v>5308</v>
      </c>
      <c r="F198" s="1081">
        <f t="shared" si="1"/>
        <v>0</v>
      </c>
      <c r="G198" s="1083">
        <f t="shared" si="2"/>
        <v>57.96</v>
      </c>
      <c r="H198" s="1084"/>
    </row>
    <row r="199" ht="14.25" customHeight="1">
      <c r="A199" s="1085">
        <v>310.0</v>
      </c>
      <c r="B199" s="1086" t="s">
        <v>5502</v>
      </c>
      <c r="C199" s="1087" t="s">
        <v>1788</v>
      </c>
      <c r="D199" s="1088">
        <v>80.34</v>
      </c>
      <c r="E199" s="1089" t="s">
        <v>5308</v>
      </c>
      <c r="F199" s="1081">
        <f t="shared" si="1"/>
        <v>0</v>
      </c>
      <c r="G199" s="1083">
        <f t="shared" si="2"/>
        <v>80.34</v>
      </c>
      <c r="H199" s="1084"/>
    </row>
    <row r="200" ht="14.25" customHeight="1">
      <c r="A200" s="1085">
        <v>328.0</v>
      </c>
      <c r="B200" s="1086" t="s">
        <v>5503</v>
      </c>
      <c r="C200" s="1087" t="s">
        <v>1788</v>
      </c>
      <c r="D200" s="1088">
        <v>7.02</v>
      </c>
      <c r="E200" s="1089" t="s">
        <v>5308</v>
      </c>
      <c r="F200" s="1081">
        <f t="shared" si="1"/>
        <v>0</v>
      </c>
      <c r="G200" s="1083">
        <f t="shared" si="2"/>
        <v>7.02</v>
      </c>
      <c r="H200" s="1084"/>
    </row>
    <row r="201" ht="14.25" customHeight="1">
      <c r="A201" s="1085">
        <v>325.0</v>
      </c>
      <c r="B201" s="1086" t="s">
        <v>5504</v>
      </c>
      <c r="C201" s="1087" t="s">
        <v>1788</v>
      </c>
      <c r="D201" s="1088">
        <v>2.07</v>
      </c>
      <c r="E201" s="1089" t="s">
        <v>5308</v>
      </c>
      <c r="F201" s="1081">
        <f t="shared" si="1"/>
        <v>0</v>
      </c>
      <c r="G201" s="1083">
        <f t="shared" si="2"/>
        <v>2.07</v>
      </c>
      <c r="H201" s="1084"/>
    </row>
    <row r="202" ht="14.25" customHeight="1">
      <c r="A202" s="1085">
        <v>20326.0</v>
      </c>
      <c r="B202" s="1086" t="s">
        <v>5505</v>
      </c>
      <c r="C202" s="1087" t="s">
        <v>1788</v>
      </c>
      <c r="D202" s="1088">
        <v>3.79</v>
      </c>
      <c r="E202" s="1089" t="s">
        <v>5308</v>
      </c>
      <c r="F202" s="1081">
        <f t="shared" si="1"/>
        <v>0</v>
      </c>
      <c r="G202" s="1083">
        <f t="shared" si="2"/>
        <v>3.79</v>
      </c>
      <c r="H202" s="1084"/>
    </row>
    <row r="203" ht="14.25" customHeight="1">
      <c r="A203" s="1085">
        <v>329.0</v>
      </c>
      <c r="B203" s="1086" t="s">
        <v>5506</v>
      </c>
      <c r="C203" s="1087" t="s">
        <v>1788</v>
      </c>
      <c r="D203" s="1088">
        <v>5.87</v>
      </c>
      <c r="E203" s="1089" t="s">
        <v>5308</v>
      </c>
      <c r="F203" s="1081">
        <f t="shared" si="1"/>
        <v>0</v>
      </c>
      <c r="G203" s="1083">
        <f t="shared" si="2"/>
        <v>5.87</v>
      </c>
      <c r="H203" s="1084"/>
    </row>
    <row r="204" ht="14.25" customHeight="1">
      <c r="A204" s="1085">
        <v>308.0</v>
      </c>
      <c r="B204" s="1086" t="s">
        <v>5507</v>
      </c>
      <c r="C204" s="1087" t="s">
        <v>1788</v>
      </c>
      <c r="D204" s="1088">
        <v>78.97</v>
      </c>
      <c r="E204" s="1089" t="s">
        <v>5308</v>
      </c>
      <c r="F204" s="1081">
        <f t="shared" si="1"/>
        <v>0</v>
      </c>
      <c r="G204" s="1083">
        <f t="shared" si="2"/>
        <v>78.97</v>
      </c>
      <c r="H204" s="1084"/>
    </row>
    <row r="205" ht="14.25" customHeight="1">
      <c r="A205" s="1085">
        <v>39642.0</v>
      </c>
      <c r="B205" s="1086" t="s">
        <v>5508</v>
      </c>
      <c r="C205" s="1087" t="s">
        <v>1788</v>
      </c>
      <c r="D205" s="1088">
        <v>2.6</v>
      </c>
      <c r="E205" s="1089" t="s">
        <v>5308</v>
      </c>
      <c r="F205" s="1081">
        <f t="shared" si="1"/>
        <v>0</v>
      </c>
      <c r="G205" s="1083">
        <f t="shared" si="2"/>
        <v>2.6</v>
      </c>
      <c r="H205" s="1084"/>
    </row>
    <row r="206" ht="14.25" customHeight="1">
      <c r="A206" s="1085">
        <v>39641.0</v>
      </c>
      <c r="B206" s="1086" t="s">
        <v>5509</v>
      </c>
      <c r="C206" s="1087" t="s">
        <v>1788</v>
      </c>
      <c r="D206" s="1088">
        <v>2.28</v>
      </c>
      <c r="E206" s="1089" t="s">
        <v>5308</v>
      </c>
      <c r="F206" s="1081">
        <f t="shared" si="1"/>
        <v>0</v>
      </c>
      <c r="G206" s="1083">
        <f t="shared" si="2"/>
        <v>2.28</v>
      </c>
      <c r="H206" s="1084"/>
    </row>
    <row r="207" ht="14.25" customHeight="1">
      <c r="A207" s="1085">
        <v>39643.0</v>
      </c>
      <c r="B207" s="1086" t="s">
        <v>5510</v>
      </c>
      <c r="C207" s="1087" t="s">
        <v>1788</v>
      </c>
      <c r="D207" s="1088">
        <v>3.05</v>
      </c>
      <c r="E207" s="1089" t="s">
        <v>5308</v>
      </c>
      <c r="F207" s="1081">
        <f t="shared" si="1"/>
        <v>0</v>
      </c>
      <c r="G207" s="1083">
        <f t="shared" si="2"/>
        <v>3.05</v>
      </c>
      <c r="H207" s="1084"/>
    </row>
    <row r="208" ht="14.25" customHeight="1">
      <c r="A208" s="1085">
        <v>39644.0</v>
      </c>
      <c r="B208" s="1086" t="s">
        <v>5511</v>
      </c>
      <c r="C208" s="1087" t="s">
        <v>1788</v>
      </c>
      <c r="D208" s="1088">
        <v>4.73</v>
      </c>
      <c r="E208" s="1089" t="s">
        <v>5308</v>
      </c>
      <c r="F208" s="1081">
        <f t="shared" si="1"/>
        <v>0</v>
      </c>
      <c r="G208" s="1083">
        <f t="shared" si="2"/>
        <v>4.73</v>
      </c>
      <c r="H208" s="1084"/>
    </row>
    <row r="209" ht="14.25" customHeight="1">
      <c r="A209" s="1085">
        <v>39645.0</v>
      </c>
      <c r="B209" s="1086" t="s">
        <v>5512</v>
      </c>
      <c r="C209" s="1087" t="s">
        <v>1788</v>
      </c>
      <c r="D209" s="1088">
        <v>5.19</v>
      </c>
      <c r="E209" s="1089" t="s">
        <v>5308</v>
      </c>
      <c r="F209" s="1081">
        <f t="shared" si="1"/>
        <v>0</v>
      </c>
      <c r="G209" s="1083">
        <f t="shared" si="2"/>
        <v>5.19</v>
      </c>
      <c r="H209" s="1084"/>
    </row>
    <row r="210" ht="14.25" customHeight="1">
      <c r="A210" s="1085">
        <v>41610.0</v>
      </c>
      <c r="B210" s="1086" t="s">
        <v>5513</v>
      </c>
      <c r="C210" s="1087" t="s">
        <v>1788</v>
      </c>
      <c r="D210" s="1088">
        <v>493.9</v>
      </c>
      <c r="E210" s="1089" t="s">
        <v>5308</v>
      </c>
      <c r="F210" s="1081">
        <f t="shared" si="1"/>
        <v>0</v>
      </c>
      <c r="G210" s="1083">
        <f t="shared" si="2"/>
        <v>493.9</v>
      </c>
      <c r="H210" s="1084"/>
    </row>
    <row r="211" ht="14.25" customHeight="1">
      <c r="A211" s="1085">
        <v>41611.0</v>
      </c>
      <c r="B211" s="1086" t="s">
        <v>5514</v>
      </c>
      <c r="C211" s="1087" t="s">
        <v>1788</v>
      </c>
      <c r="D211" s="1088">
        <v>778.48</v>
      </c>
      <c r="E211" s="1089" t="s">
        <v>5308</v>
      </c>
      <c r="F211" s="1081">
        <f t="shared" si="1"/>
        <v>0</v>
      </c>
      <c r="G211" s="1083">
        <f t="shared" si="2"/>
        <v>778.48</v>
      </c>
      <c r="H211" s="1084"/>
    </row>
    <row r="212" ht="14.25" customHeight="1">
      <c r="A212" s="1085">
        <v>41612.0</v>
      </c>
      <c r="B212" s="1086" t="s">
        <v>5515</v>
      </c>
      <c r="C212" s="1087" t="s">
        <v>1788</v>
      </c>
      <c r="D212" s="1088">
        <v>1093.1</v>
      </c>
      <c r="E212" s="1089" t="s">
        <v>5308</v>
      </c>
      <c r="F212" s="1081">
        <f t="shared" si="1"/>
        <v>0</v>
      </c>
      <c r="G212" s="1083">
        <f t="shared" si="2"/>
        <v>1093.1</v>
      </c>
      <c r="H212" s="1084"/>
    </row>
    <row r="213" ht="14.25" customHeight="1">
      <c r="A213" s="1085">
        <v>41637.0</v>
      </c>
      <c r="B213" s="1086" t="s">
        <v>5516</v>
      </c>
      <c r="C213" s="1087" t="s">
        <v>1788</v>
      </c>
      <c r="D213" s="1088">
        <v>102.18</v>
      </c>
      <c r="E213" s="1089" t="s">
        <v>5308</v>
      </c>
      <c r="F213" s="1081">
        <f t="shared" si="1"/>
        <v>0</v>
      </c>
      <c r="G213" s="1083">
        <f t="shared" si="2"/>
        <v>102.18</v>
      </c>
      <c r="H213" s="1084"/>
    </row>
    <row r="214" ht="14.25" customHeight="1">
      <c r="A214" s="1085">
        <v>41638.0</v>
      </c>
      <c r="B214" s="1086" t="s">
        <v>5517</v>
      </c>
      <c r="C214" s="1087" t="s">
        <v>1788</v>
      </c>
      <c r="D214" s="1088">
        <v>133.1</v>
      </c>
      <c r="E214" s="1089" t="s">
        <v>5308</v>
      </c>
      <c r="F214" s="1081">
        <f t="shared" si="1"/>
        <v>0</v>
      </c>
      <c r="G214" s="1083">
        <f t="shared" si="2"/>
        <v>133.1</v>
      </c>
      <c r="H214" s="1084"/>
    </row>
    <row r="215" ht="14.25" customHeight="1">
      <c r="A215" s="1085">
        <v>41639.0</v>
      </c>
      <c r="B215" s="1086" t="s">
        <v>5518</v>
      </c>
      <c r="C215" s="1087" t="s">
        <v>1788</v>
      </c>
      <c r="D215" s="1088">
        <v>322.01</v>
      </c>
      <c r="E215" s="1089" t="s">
        <v>5308</v>
      </c>
      <c r="F215" s="1081">
        <f t="shared" si="1"/>
        <v>0</v>
      </c>
      <c r="G215" s="1083">
        <f t="shared" si="2"/>
        <v>322.01</v>
      </c>
      <c r="H215" s="1084"/>
    </row>
    <row r="216" ht="14.25" customHeight="1">
      <c r="A216" s="1085">
        <v>11789.0</v>
      </c>
      <c r="B216" s="1086" t="s">
        <v>5519</v>
      </c>
      <c r="C216" s="1087" t="s">
        <v>1788</v>
      </c>
      <c r="D216" s="1088">
        <v>0.67</v>
      </c>
      <c r="E216" s="1089" t="s">
        <v>5308</v>
      </c>
      <c r="F216" s="1081">
        <f t="shared" si="1"/>
        <v>0</v>
      </c>
      <c r="G216" s="1083">
        <f t="shared" si="2"/>
        <v>0.67</v>
      </c>
      <c r="H216" s="1084"/>
    </row>
    <row r="217" ht="14.25" customHeight="1">
      <c r="A217" s="1085">
        <v>20975.0</v>
      </c>
      <c r="B217" s="1086" t="s">
        <v>5520</v>
      </c>
      <c r="C217" s="1087" t="s">
        <v>1788</v>
      </c>
      <c r="D217" s="1088">
        <v>17.52</v>
      </c>
      <c r="E217" s="1089" t="s">
        <v>5308</v>
      </c>
      <c r="F217" s="1081">
        <f t="shared" si="1"/>
        <v>0</v>
      </c>
      <c r="G217" s="1083">
        <f t="shared" si="2"/>
        <v>17.52</v>
      </c>
      <c r="H217" s="1084"/>
    </row>
    <row r="218" ht="14.25" customHeight="1">
      <c r="A218" s="1085">
        <v>20976.0</v>
      </c>
      <c r="B218" s="1086" t="s">
        <v>5521</v>
      </c>
      <c r="C218" s="1087" t="s">
        <v>1788</v>
      </c>
      <c r="D218" s="1088">
        <v>26.47</v>
      </c>
      <c r="E218" s="1089" t="s">
        <v>5308</v>
      </c>
      <c r="F218" s="1081">
        <f t="shared" si="1"/>
        <v>0</v>
      </c>
      <c r="G218" s="1083">
        <f t="shared" si="2"/>
        <v>26.47</v>
      </c>
      <c r="H218" s="1084"/>
    </row>
    <row r="219" ht="14.25" customHeight="1">
      <c r="A219" s="1085">
        <v>40340.0</v>
      </c>
      <c r="B219" s="1086" t="s">
        <v>5522</v>
      </c>
      <c r="C219" s="1087" t="s">
        <v>1788</v>
      </c>
      <c r="D219" s="1088">
        <v>19.49</v>
      </c>
      <c r="E219" s="1089" t="s">
        <v>5308</v>
      </c>
      <c r="F219" s="1081">
        <f t="shared" si="1"/>
        <v>0</v>
      </c>
      <c r="G219" s="1083">
        <f t="shared" si="2"/>
        <v>19.49</v>
      </c>
      <c r="H219" s="1084"/>
    </row>
    <row r="220" ht="14.25" customHeight="1">
      <c r="A220" s="1085">
        <v>40341.0</v>
      </c>
      <c r="B220" s="1086" t="s">
        <v>5523</v>
      </c>
      <c r="C220" s="1087" t="s">
        <v>1788</v>
      </c>
      <c r="D220" s="1088">
        <v>23.26</v>
      </c>
      <c r="E220" s="1089" t="s">
        <v>5308</v>
      </c>
      <c r="F220" s="1081">
        <f t="shared" si="1"/>
        <v>0</v>
      </c>
      <c r="G220" s="1083">
        <f t="shared" si="2"/>
        <v>23.26</v>
      </c>
      <c r="H220" s="1084"/>
    </row>
    <row r="221" ht="14.25" customHeight="1">
      <c r="A221" s="1085">
        <v>40342.0</v>
      </c>
      <c r="B221" s="1086" t="s">
        <v>5524</v>
      </c>
      <c r="C221" s="1087" t="s">
        <v>1788</v>
      </c>
      <c r="D221" s="1088">
        <v>27.74</v>
      </c>
      <c r="E221" s="1089" t="s">
        <v>5308</v>
      </c>
      <c r="F221" s="1081">
        <f t="shared" si="1"/>
        <v>0</v>
      </c>
      <c r="G221" s="1083">
        <f t="shared" si="2"/>
        <v>27.74</v>
      </c>
      <c r="H221" s="1084"/>
    </row>
    <row r="222" ht="14.25" customHeight="1">
      <c r="A222" s="1085">
        <v>40343.0</v>
      </c>
      <c r="B222" s="1086" t="s">
        <v>5525</v>
      </c>
      <c r="C222" s="1087" t="s">
        <v>1788</v>
      </c>
      <c r="D222" s="1088">
        <v>32.91</v>
      </c>
      <c r="E222" s="1089" t="s">
        <v>5308</v>
      </c>
      <c r="F222" s="1081">
        <f t="shared" si="1"/>
        <v>0</v>
      </c>
      <c r="G222" s="1083">
        <f t="shared" si="2"/>
        <v>32.91</v>
      </c>
      <c r="H222" s="1084"/>
    </row>
    <row r="223" ht="14.25" customHeight="1">
      <c r="A223" s="1085">
        <v>40344.0</v>
      </c>
      <c r="B223" s="1086" t="s">
        <v>5526</v>
      </c>
      <c r="C223" s="1087" t="s">
        <v>1788</v>
      </c>
      <c r="D223" s="1088">
        <v>44.86</v>
      </c>
      <c r="E223" s="1089" t="s">
        <v>5308</v>
      </c>
      <c r="F223" s="1081">
        <f t="shared" si="1"/>
        <v>0</v>
      </c>
      <c r="G223" s="1083">
        <f t="shared" si="2"/>
        <v>44.86</v>
      </c>
      <c r="H223" s="1084"/>
    </row>
    <row r="224" ht="14.25" customHeight="1">
      <c r="A224" s="1085">
        <v>40345.0</v>
      </c>
      <c r="B224" s="1086" t="s">
        <v>5527</v>
      </c>
      <c r="C224" s="1087" t="s">
        <v>1788</v>
      </c>
      <c r="D224" s="1088">
        <v>55.28</v>
      </c>
      <c r="E224" s="1089" t="s">
        <v>5308</v>
      </c>
      <c r="F224" s="1081">
        <f t="shared" si="1"/>
        <v>0</v>
      </c>
      <c r="G224" s="1083">
        <f t="shared" si="2"/>
        <v>55.28</v>
      </c>
      <c r="H224" s="1084"/>
    </row>
    <row r="225" ht="14.25" customHeight="1">
      <c r="A225" s="1085">
        <v>40346.0</v>
      </c>
      <c r="B225" s="1086" t="s">
        <v>5528</v>
      </c>
      <c r="C225" s="1087" t="s">
        <v>1788</v>
      </c>
      <c r="D225" s="1088">
        <v>64.13</v>
      </c>
      <c r="E225" s="1089" t="s">
        <v>5308</v>
      </c>
      <c r="F225" s="1081">
        <f t="shared" si="1"/>
        <v>0</v>
      </c>
      <c r="G225" s="1083">
        <f t="shared" si="2"/>
        <v>64.13</v>
      </c>
      <c r="H225" s="1084"/>
    </row>
    <row r="226" ht="14.25" customHeight="1">
      <c r="A226" s="1085">
        <v>40347.0</v>
      </c>
      <c r="B226" s="1086" t="s">
        <v>5529</v>
      </c>
      <c r="C226" s="1087" t="s">
        <v>1788</v>
      </c>
      <c r="D226" s="1088">
        <v>80.57</v>
      </c>
      <c r="E226" s="1089" t="s">
        <v>5308</v>
      </c>
      <c r="F226" s="1081">
        <f t="shared" si="1"/>
        <v>0</v>
      </c>
      <c r="G226" s="1083">
        <f t="shared" si="2"/>
        <v>80.57</v>
      </c>
      <c r="H226" s="1084"/>
    </row>
    <row r="227" ht="14.25" customHeight="1">
      <c r="A227" s="1085">
        <v>6138.0</v>
      </c>
      <c r="B227" s="1086" t="s">
        <v>5530</v>
      </c>
      <c r="C227" s="1087" t="s">
        <v>1788</v>
      </c>
      <c r="D227" s="1088">
        <v>11.23</v>
      </c>
      <c r="E227" s="1089" t="s">
        <v>5308</v>
      </c>
      <c r="F227" s="1081">
        <f t="shared" si="1"/>
        <v>0</v>
      </c>
      <c r="G227" s="1083">
        <f t="shared" si="2"/>
        <v>11.23</v>
      </c>
      <c r="H227" s="1084"/>
    </row>
    <row r="228" ht="14.25" customHeight="1">
      <c r="A228" s="1085">
        <v>43424.0</v>
      </c>
      <c r="B228" s="1086" t="s">
        <v>5531</v>
      </c>
      <c r="C228" s="1087" t="s">
        <v>1788</v>
      </c>
      <c r="D228" s="1088">
        <v>413.8</v>
      </c>
      <c r="E228" s="1089" t="s">
        <v>5308</v>
      </c>
      <c r="F228" s="1081">
        <f t="shared" si="1"/>
        <v>0</v>
      </c>
      <c r="G228" s="1083">
        <f t="shared" si="2"/>
        <v>413.8</v>
      </c>
      <c r="H228" s="1084"/>
    </row>
    <row r="229" ht="14.25" customHeight="1">
      <c r="A229" s="1085">
        <v>43426.0</v>
      </c>
      <c r="B229" s="1086" t="s">
        <v>5532</v>
      </c>
      <c r="C229" s="1087" t="s">
        <v>1788</v>
      </c>
      <c r="D229" s="1088">
        <v>1427.22</v>
      </c>
      <c r="E229" s="1089" t="s">
        <v>5308</v>
      </c>
      <c r="F229" s="1081">
        <f t="shared" si="1"/>
        <v>0</v>
      </c>
      <c r="G229" s="1083">
        <f t="shared" si="2"/>
        <v>1427.22</v>
      </c>
      <c r="H229" s="1084"/>
    </row>
    <row r="230" ht="14.25" customHeight="1">
      <c r="A230" s="1085">
        <v>12565.0</v>
      </c>
      <c r="B230" s="1086" t="s">
        <v>5533</v>
      </c>
      <c r="C230" s="1087" t="s">
        <v>1788</v>
      </c>
      <c r="D230" s="1088">
        <v>500.51</v>
      </c>
      <c r="E230" s="1089" t="s">
        <v>5308</v>
      </c>
      <c r="F230" s="1081">
        <f t="shared" si="1"/>
        <v>0</v>
      </c>
      <c r="G230" s="1083">
        <f t="shared" si="2"/>
        <v>500.51</v>
      </c>
      <c r="H230" s="1084"/>
    </row>
    <row r="231" ht="14.25" customHeight="1">
      <c r="A231" s="1085">
        <v>12567.0</v>
      </c>
      <c r="B231" s="1086" t="s">
        <v>5534</v>
      </c>
      <c r="C231" s="1087" t="s">
        <v>1788</v>
      </c>
      <c r="D231" s="1088">
        <v>672.26</v>
      </c>
      <c r="E231" s="1089" t="s">
        <v>5308</v>
      </c>
      <c r="F231" s="1081">
        <f t="shared" si="1"/>
        <v>0</v>
      </c>
      <c r="G231" s="1083">
        <f t="shared" si="2"/>
        <v>672.26</v>
      </c>
      <c r="H231" s="1084"/>
    </row>
    <row r="232" ht="14.25" customHeight="1">
      <c r="A232" s="1085">
        <v>12568.0</v>
      </c>
      <c r="B232" s="1086" t="s">
        <v>5535</v>
      </c>
      <c r="C232" s="1087" t="s">
        <v>1788</v>
      </c>
      <c r="D232" s="1088">
        <v>941.17</v>
      </c>
      <c r="E232" s="1089" t="s">
        <v>5308</v>
      </c>
      <c r="F232" s="1081">
        <f t="shared" si="1"/>
        <v>0</v>
      </c>
      <c r="G232" s="1083">
        <f t="shared" si="2"/>
        <v>941.17</v>
      </c>
      <c r="H232" s="1084"/>
    </row>
    <row r="233" ht="14.25" customHeight="1">
      <c r="A233" s="1085">
        <v>43441.0</v>
      </c>
      <c r="B233" s="1086" t="s">
        <v>5536</v>
      </c>
      <c r="C233" s="1087" t="s">
        <v>1788</v>
      </c>
      <c r="D233" s="1088">
        <v>121.0</v>
      </c>
      <c r="E233" s="1089" t="s">
        <v>5308</v>
      </c>
      <c r="F233" s="1081">
        <f t="shared" si="1"/>
        <v>0</v>
      </c>
      <c r="G233" s="1083">
        <f t="shared" si="2"/>
        <v>121</v>
      </c>
      <c r="H233" s="1084"/>
    </row>
    <row r="234" ht="14.25" customHeight="1">
      <c r="A234" s="1085">
        <v>43423.0</v>
      </c>
      <c r="B234" s="1086" t="s">
        <v>5537</v>
      </c>
      <c r="C234" s="1087" t="s">
        <v>1788</v>
      </c>
      <c r="D234" s="1088">
        <v>56.47</v>
      </c>
      <c r="E234" s="1089" t="s">
        <v>5308</v>
      </c>
      <c r="F234" s="1081">
        <f t="shared" si="1"/>
        <v>0</v>
      </c>
      <c r="G234" s="1083">
        <f t="shared" si="2"/>
        <v>56.47</v>
      </c>
      <c r="H234" s="1084"/>
    </row>
    <row r="235" ht="14.25" customHeight="1">
      <c r="A235" s="1085">
        <v>12532.0</v>
      </c>
      <c r="B235" s="1086" t="s">
        <v>5538</v>
      </c>
      <c r="C235" s="1087" t="s">
        <v>1788</v>
      </c>
      <c r="D235" s="1088">
        <v>87.09</v>
      </c>
      <c r="E235" s="1089" t="s">
        <v>5308</v>
      </c>
      <c r="F235" s="1081">
        <f t="shared" si="1"/>
        <v>0</v>
      </c>
      <c r="G235" s="1083">
        <f t="shared" si="2"/>
        <v>87.09</v>
      </c>
      <c r="H235" s="1084"/>
    </row>
    <row r="236" ht="14.25" customHeight="1">
      <c r="A236" s="1085">
        <v>43444.0</v>
      </c>
      <c r="B236" s="1086" t="s">
        <v>5539</v>
      </c>
      <c r="C236" s="1087" t="s">
        <v>1788</v>
      </c>
      <c r="D236" s="1088">
        <v>292.43</v>
      </c>
      <c r="E236" s="1089" t="s">
        <v>5308</v>
      </c>
      <c r="F236" s="1081">
        <f t="shared" si="1"/>
        <v>0</v>
      </c>
      <c r="G236" s="1083">
        <f t="shared" si="2"/>
        <v>292.43</v>
      </c>
      <c r="H236" s="1084"/>
    </row>
    <row r="237" ht="14.25" customHeight="1">
      <c r="A237" s="1085">
        <v>12551.0</v>
      </c>
      <c r="B237" s="1086" t="s">
        <v>5540</v>
      </c>
      <c r="C237" s="1087" t="s">
        <v>1788</v>
      </c>
      <c r="D237" s="1088">
        <v>208.64</v>
      </c>
      <c r="E237" s="1089" t="s">
        <v>5308</v>
      </c>
      <c r="F237" s="1081">
        <f t="shared" si="1"/>
        <v>0</v>
      </c>
      <c r="G237" s="1083">
        <f t="shared" si="2"/>
        <v>208.64</v>
      </c>
      <c r="H237" s="1084"/>
    </row>
    <row r="238" ht="14.25" customHeight="1">
      <c r="A238" s="1085">
        <v>43442.0</v>
      </c>
      <c r="B238" s="1086" t="s">
        <v>5541</v>
      </c>
      <c r="C238" s="1087" t="s">
        <v>1788</v>
      </c>
      <c r="D238" s="1088">
        <v>161.34</v>
      </c>
      <c r="E238" s="1089" t="s">
        <v>5308</v>
      </c>
      <c r="F238" s="1081">
        <f t="shared" si="1"/>
        <v>0</v>
      </c>
      <c r="G238" s="1083">
        <f t="shared" si="2"/>
        <v>161.34</v>
      </c>
      <c r="H238" s="1084"/>
    </row>
    <row r="239" ht="14.25" customHeight="1">
      <c r="A239" s="1085">
        <v>43443.0</v>
      </c>
      <c r="B239" s="1086" t="s">
        <v>5542</v>
      </c>
      <c r="C239" s="1087" t="s">
        <v>1788</v>
      </c>
      <c r="D239" s="1088">
        <v>211.76</v>
      </c>
      <c r="E239" s="1089" t="s">
        <v>5308</v>
      </c>
      <c r="F239" s="1081">
        <f t="shared" si="1"/>
        <v>0</v>
      </c>
      <c r="G239" s="1083">
        <f t="shared" si="2"/>
        <v>211.76</v>
      </c>
      <c r="H239" s="1084"/>
    </row>
    <row r="240" ht="14.25" customHeight="1">
      <c r="A240" s="1085">
        <v>12544.0</v>
      </c>
      <c r="B240" s="1086" t="s">
        <v>5543</v>
      </c>
      <c r="C240" s="1087" t="s">
        <v>1788</v>
      </c>
      <c r="D240" s="1088">
        <v>114.28</v>
      </c>
      <c r="E240" s="1089" t="s">
        <v>5308</v>
      </c>
      <c r="F240" s="1081">
        <f t="shared" si="1"/>
        <v>0</v>
      </c>
      <c r="G240" s="1083">
        <f t="shared" si="2"/>
        <v>114.28</v>
      </c>
      <c r="H240" s="1084"/>
    </row>
    <row r="241" ht="14.25" customHeight="1">
      <c r="A241" s="1085">
        <v>12547.0</v>
      </c>
      <c r="B241" s="1086" t="s">
        <v>5544</v>
      </c>
      <c r="C241" s="1087" t="s">
        <v>1788</v>
      </c>
      <c r="D241" s="1088">
        <v>153.7</v>
      </c>
      <c r="E241" s="1089" t="s">
        <v>5308</v>
      </c>
      <c r="F241" s="1081">
        <f t="shared" si="1"/>
        <v>0</v>
      </c>
      <c r="G241" s="1083">
        <f t="shared" si="2"/>
        <v>153.7</v>
      </c>
      <c r="H241" s="1084"/>
    </row>
    <row r="242" ht="14.25" customHeight="1">
      <c r="A242" s="1085">
        <v>43445.0</v>
      </c>
      <c r="B242" s="1086" t="s">
        <v>5545</v>
      </c>
      <c r="C242" s="1087" t="s">
        <v>1788</v>
      </c>
      <c r="D242" s="1088">
        <v>403.36</v>
      </c>
      <c r="E242" s="1089" t="s">
        <v>5308</v>
      </c>
      <c r="F242" s="1081">
        <f t="shared" si="1"/>
        <v>0</v>
      </c>
      <c r="G242" s="1083">
        <f t="shared" si="2"/>
        <v>403.36</v>
      </c>
      <c r="H242" s="1084"/>
    </row>
    <row r="243" ht="14.25" customHeight="1">
      <c r="A243" s="1085">
        <v>12563.0</v>
      </c>
      <c r="B243" s="1086" t="s">
        <v>5546</v>
      </c>
      <c r="C243" s="1087" t="s">
        <v>1788</v>
      </c>
      <c r="D243" s="1088">
        <v>288.59</v>
      </c>
      <c r="E243" s="1089" t="s">
        <v>5308</v>
      </c>
      <c r="F243" s="1081">
        <f t="shared" si="1"/>
        <v>0</v>
      </c>
      <c r="G243" s="1083">
        <f t="shared" si="2"/>
        <v>288.59</v>
      </c>
      <c r="H243" s="1084"/>
    </row>
    <row r="244" ht="14.25" customHeight="1">
      <c r="A244" s="1085">
        <v>43425.0</v>
      </c>
      <c r="B244" s="1086" t="s">
        <v>5547</v>
      </c>
      <c r="C244" s="1087" t="s">
        <v>1788</v>
      </c>
      <c r="D244" s="1088">
        <v>181.51</v>
      </c>
      <c r="E244" s="1089" t="s">
        <v>5308</v>
      </c>
      <c r="F244" s="1081">
        <f t="shared" si="1"/>
        <v>0</v>
      </c>
      <c r="G244" s="1083">
        <f t="shared" si="2"/>
        <v>181.51</v>
      </c>
      <c r="H244" s="1084"/>
    </row>
    <row r="245" ht="14.25" customHeight="1">
      <c r="A245" s="1085">
        <v>43446.0</v>
      </c>
      <c r="B245" s="1086" t="s">
        <v>5548</v>
      </c>
      <c r="C245" s="1087" t="s">
        <v>1788</v>
      </c>
      <c r="D245" s="1088">
        <v>383.19</v>
      </c>
      <c r="E245" s="1089" t="s">
        <v>5308</v>
      </c>
      <c r="F245" s="1081">
        <f t="shared" si="1"/>
        <v>0</v>
      </c>
      <c r="G245" s="1083">
        <f t="shared" si="2"/>
        <v>383.19</v>
      </c>
      <c r="H245" s="1084"/>
    </row>
    <row r="246" ht="14.25" customHeight="1">
      <c r="A246" s="1085">
        <v>43447.0</v>
      </c>
      <c r="B246" s="1086" t="s">
        <v>5549</v>
      </c>
      <c r="C246" s="1087" t="s">
        <v>1788</v>
      </c>
      <c r="D246" s="1088">
        <v>470.58</v>
      </c>
      <c r="E246" s="1089" t="s">
        <v>5308</v>
      </c>
      <c r="F246" s="1081">
        <f t="shared" si="1"/>
        <v>0</v>
      </c>
      <c r="G246" s="1083">
        <f t="shared" si="2"/>
        <v>470.58</v>
      </c>
      <c r="H246" s="1084"/>
    </row>
    <row r="247" ht="14.25" customHeight="1">
      <c r="A247" s="1085">
        <v>43448.0</v>
      </c>
      <c r="B247" s="1086" t="s">
        <v>5550</v>
      </c>
      <c r="C247" s="1087" t="s">
        <v>1788</v>
      </c>
      <c r="D247" s="1088">
        <v>658.82</v>
      </c>
      <c r="E247" s="1089" t="s">
        <v>5308</v>
      </c>
      <c r="F247" s="1081">
        <f t="shared" si="1"/>
        <v>0</v>
      </c>
      <c r="G247" s="1083">
        <f t="shared" si="2"/>
        <v>658.82</v>
      </c>
      <c r="H247" s="1084"/>
    </row>
    <row r="248" ht="14.25" customHeight="1">
      <c r="A248" s="1085">
        <v>13761.0</v>
      </c>
      <c r="B248" s="1086" t="s">
        <v>5551</v>
      </c>
      <c r="C248" s="1087" t="s">
        <v>1788</v>
      </c>
      <c r="D248" s="1088">
        <v>2917.5</v>
      </c>
      <c r="E248" s="1089" t="s">
        <v>5308</v>
      </c>
      <c r="F248" s="1081">
        <f t="shared" si="1"/>
        <v>0</v>
      </c>
      <c r="G248" s="1083">
        <f t="shared" si="2"/>
        <v>2917.5</v>
      </c>
      <c r="H248" s="1084"/>
    </row>
    <row r="249" ht="14.25" customHeight="1">
      <c r="A249" s="1085">
        <v>4814.0</v>
      </c>
      <c r="B249" s="1086" t="s">
        <v>5552</v>
      </c>
      <c r="C249" s="1087" t="s">
        <v>1788</v>
      </c>
      <c r="D249" s="1088">
        <v>82.91</v>
      </c>
      <c r="E249" s="1089" t="s">
        <v>5308</v>
      </c>
      <c r="F249" s="1081">
        <f t="shared" si="1"/>
        <v>0</v>
      </c>
      <c r="G249" s="1083">
        <f t="shared" si="2"/>
        <v>82.91</v>
      </c>
      <c r="H249" s="1084"/>
    </row>
    <row r="250" ht="14.25" customHeight="1">
      <c r="A250" s="1085">
        <v>44473.0</v>
      </c>
      <c r="B250" s="1086" t="s">
        <v>5553</v>
      </c>
      <c r="C250" s="1087" t="s">
        <v>1788</v>
      </c>
      <c r="D250" s="1088">
        <v>2623.1</v>
      </c>
      <c r="E250" s="1089" t="s">
        <v>5554</v>
      </c>
      <c r="F250" s="1081">
        <f t="shared" si="1"/>
        <v>0</v>
      </c>
      <c r="G250" s="1083">
        <f t="shared" si="2"/>
        <v>2623.1</v>
      </c>
      <c r="H250" s="1084"/>
    </row>
    <row r="251" ht="14.25" customHeight="1">
      <c r="A251" s="1085">
        <v>6122.0</v>
      </c>
      <c r="B251" s="1086" t="s">
        <v>5555</v>
      </c>
      <c r="C251" s="1087" t="s">
        <v>1470</v>
      </c>
      <c r="D251" s="1088">
        <v>18.37</v>
      </c>
      <c r="E251" s="1089" t="s">
        <v>5452</v>
      </c>
      <c r="F251" s="1081">
        <f t="shared" si="1"/>
        <v>18.37</v>
      </c>
      <c r="G251" s="1083">
        <f t="shared" si="2"/>
        <v>0</v>
      </c>
      <c r="H251" s="1084"/>
    </row>
    <row r="252" ht="14.25" customHeight="1">
      <c r="A252" s="1085">
        <v>40810.0</v>
      </c>
      <c r="B252" s="1086" t="s">
        <v>5556</v>
      </c>
      <c r="C252" s="1087" t="s">
        <v>5454</v>
      </c>
      <c r="D252" s="1088">
        <v>3215.35</v>
      </c>
      <c r="E252" s="1089" t="s">
        <v>5452</v>
      </c>
      <c r="F252" s="1081">
        <f t="shared" si="1"/>
        <v>3215.35</v>
      </c>
      <c r="G252" s="1083">
        <f t="shared" si="2"/>
        <v>0</v>
      </c>
      <c r="H252" s="1084"/>
    </row>
    <row r="253" ht="14.25" customHeight="1">
      <c r="A253" s="1085">
        <v>21100.0</v>
      </c>
      <c r="B253" s="1086" t="s">
        <v>5557</v>
      </c>
      <c r="C253" s="1087" t="s">
        <v>1788</v>
      </c>
      <c r="D253" s="1088">
        <v>3845.1</v>
      </c>
      <c r="E253" s="1089" t="s">
        <v>5482</v>
      </c>
      <c r="F253" s="1081">
        <f t="shared" si="1"/>
        <v>0</v>
      </c>
      <c r="G253" s="1083">
        <f t="shared" si="2"/>
        <v>3845.1</v>
      </c>
      <c r="H253" s="1084"/>
    </row>
    <row r="254" ht="14.25" customHeight="1">
      <c r="A254" s="1085">
        <v>11816.0</v>
      </c>
      <c r="B254" s="1086" t="s">
        <v>5558</v>
      </c>
      <c r="C254" s="1087" t="s">
        <v>1788</v>
      </c>
      <c r="D254" s="1088">
        <v>4100.0</v>
      </c>
      <c r="E254" s="1089" t="s">
        <v>5482</v>
      </c>
      <c r="F254" s="1081">
        <f t="shared" si="1"/>
        <v>0</v>
      </c>
      <c r="G254" s="1083">
        <f t="shared" si="2"/>
        <v>4100</v>
      </c>
      <c r="H254" s="1084"/>
    </row>
    <row r="255" ht="14.25" customHeight="1">
      <c r="A255" s="1085">
        <v>11814.0</v>
      </c>
      <c r="B255" s="1086" t="s">
        <v>5559</v>
      </c>
      <c r="C255" s="1087" t="s">
        <v>1788</v>
      </c>
      <c r="D255" s="1088">
        <v>8924.67</v>
      </c>
      <c r="E255" s="1089" t="s">
        <v>5482</v>
      </c>
      <c r="F255" s="1081">
        <f t="shared" si="1"/>
        <v>0</v>
      </c>
      <c r="G255" s="1083">
        <f t="shared" si="2"/>
        <v>8924.67</v>
      </c>
      <c r="H255" s="1084"/>
    </row>
    <row r="256" ht="14.25" customHeight="1">
      <c r="A256" s="1085">
        <v>14186.0</v>
      </c>
      <c r="B256" s="1086" t="s">
        <v>5560</v>
      </c>
      <c r="C256" s="1087" t="s">
        <v>1788</v>
      </c>
      <c r="D256" s="1088">
        <v>11206.13</v>
      </c>
      <c r="E256" s="1089" t="s">
        <v>5482</v>
      </c>
      <c r="F256" s="1081">
        <f t="shared" si="1"/>
        <v>0</v>
      </c>
      <c r="G256" s="1083">
        <f t="shared" si="2"/>
        <v>11206.13</v>
      </c>
      <c r="H256" s="1084"/>
    </row>
    <row r="257" ht="14.25" customHeight="1">
      <c r="A257" s="1085">
        <v>14185.0</v>
      </c>
      <c r="B257" s="1086" t="s">
        <v>5561</v>
      </c>
      <c r="C257" s="1087" t="s">
        <v>1788</v>
      </c>
      <c r="D257" s="1088">
        <v>14516.3</v>
      </c>
      <c r="E257" s="1089" t="s">
        <v>5482</v>
      </c>
      <c r="F257" s="1081">
        <f t="shared" si="1"/>
        <v>0</v>
      </c>
      <c r="G257" s="1083">
        <f t="shared" si="2"/>
        <v>14516.3</v>
      </c>
      <c r="H257" s="1084"/>
    </row>
    <row r="258" ht="14.25" customHeight="1">
      <c r="A258" s="1085">
        <v>11811.0</v>
      </c>
      <c r="B258" s="1086" t="s">
        <v>5562</v>
      </c>
      <c r="C258" s="1087" t="s">
        <v>1788</v>
      </c>
      <c r="D258" s="1088">
        <v>5550.48</v>
      </c>
      <c r="E258" s="1089" t="s">
        <v>5482</v>
      </c>
      <c r="F258" s="1081">
        <f t="shared" si="1"/>
        <v>0</v>
      </c>
      <c r="G258" s="1083">
        <f t="shared" si="2"/>
        <v>5550.48</v>
      </c>
      <c r="H258" s="1084"/>
    </row>
    <row r="259" ht="14.25" customHeight="1">
      <c r="A259" s="1085">
        <v>44498.0</v>
      </c>
      <c r="B259" s="1086" t="s">
        <v>5563</v>
      </c>
      <c r="C259" s="1087" t="s">
        <v>1788</v>
      </c>
      <c r="D259" s="1088">
        <v>318204.48</v>
      </c>
      <c r="E259" s="1089" t="s">
        <v>5554</v>
      </c>
      <c r="F259" s="1081">
        <f t="shared" si="1"/>
        <v>0</v>
      </c>
      <c r="G259" s="1083">
        <f t="shared" si="2"/>
        <v>318204.48</v>
      </c>
      <c r="H259" s="1084"/>
    </row>
    <row r="260" ht="14.25" customHeight="1">
      <c r="A260" s="1085">
        <v>34469.0</v>
      </c>
      <c r="B260" s="1086" t="s">
        <v>5564</v>
      </c>
      <c r="C260" s="1087" t="s">
        <v>1788</v>
      </c>
      <c r="D260" s="1088">
        <v>10372.16</v>
      </c>
      <c r="E260" s="1089" t="s">
        <v>5482</v>
      </c>
      <c r="F260" s="1081">
        <f t="shared" si="1"/>
        <v>0</v>
      </c>
      <c r="G260" s="1083">
        <f t="shared" si="2"/>
        <v>10372.16</v>
      </c>
      <c r="H260" s="1084"/>
    </row>
    <row r="261" ht="14.25" customHeight="1">
      <c r="A261" s="1085">
        <v>34476.0</v>
      </c>
      <c r="B261" s="1086" t="s">
        <v>5565</v>
      </c>
      <c r="C261" s="1087" t="s">
        <v>1788</v>
      </c>
      <c r="D261" s="1088">
        <v>5409.52</v>
      </c>
      <c r="E261" s="1089" t="s">
        <v>5482</v>
      </c>
      <c r="F261" s="1081">
        <f t="shared" si="1"/>
        <v>0</v>
      </c>
      <c r="G261" s="1083">
        <f t="shared" si="2"/>
        <v>5409.52</v>
      </c>
      <c r="H261" s="1084"/>
    </row>
    <row r="262" ht="14.25" customHeight="1">
      <c r="A262" s="1085">
        <v>34477.0</v>
      </c>
      <c r="B262" s="1086" t="s">
        <v>5566</v>
      </c>
      <c r="C262" s="1087" t="s">
        <v>1788</v>
      </c>
      <c r="D262" s="1088">
        <v>7179.48</v>
      </c>
      <c r="E262" s="1089" t="s">
        <v>5482</v>
      </c>
      <c r="F262" s="1081">
        <f t="shared" si="1"/>
        <v>0</v>
      </c>
      <c r="G262" s="1083">
        <f t="shared" si="2"/>
        <v>7179.48</v>
      </c>
      <c r="H262" s="1084"/>
    </row>
    <row r="263" ht="14.25" customHeight="1">
      <c r="A263" s="1085">
        <v>34482.0</v>
      </c>
      <c r="B263" s="1086" t="s">
        <v>5567</v>
      </c>
      <c r="C263" s="1087" t="s">
        <v>1788</v>
      </c>
      <c r="D263" s="1088">
        <v>6705.24</v>
      </c>
      <c r="E263" s="1089" t="s">
        <v>5482</v>
      </c>
      <c r="F263" s="1081">
        <f t="shared" si="1"/>
        <v>0</v>
      </c>
      <c r="G263" s="1083">
        <f t="shared" si="2"/>
        <v>6705.24</v>
      </c>
      <c r="H263" s="1084"/>
    </row>
    <row r="264" ht="14.25" customHeight="1">
      <c r="A264" s="1085">
        <v>34472.0</v>
      </c>
      <c r="B264" s="1086" t="s">
        <v>5568</v>
      </c>
      <c r="C264" s="1087" t="s">
        <v>1788</v>
      </c>
      <c r="D264" s="1088">
        <v>3191.19</v>
      </c>
      <c r="E264" s="1089" t="s">
        <v>5482</v>
      </c>
      <c r="F264" s="1081">
        <f t="shared" si="1"/>
        <v>0</v>
      </c>
      <c r="G264" s="1083">
        <f t="shared" si="2"/>
        <v>3191.19</v>
      </c>
      <c r="H264" s="1084"/>
    </row>
    <row r="265" ht="14.25" customHeight="1">
      <c r="A265" s="1085">
        <v>42425.0</v>
      </c>
      <c r="B265" s="1086" t="s">
        <v>5569</v>
      </c>
      <c r="C265" s="1087" t="s">
        <v>1788</v>
      </c>
      <c r="D265" s="1088">
        <v>2179.79</v>
      </c>
      <c r="E265" s="1089" t="s">
        <v>5482</v>
      </c>
      <c r="F265" s="1081">
        <f t="shared" si="1"/>
        <v>0</v>
      </c>
      <c r="G265" s="1083">
        <f t="shared" si="2"/>
        <v>2179.79</v>
      </c>
      <c r="H265" s="1084"/>
    </row>
    <row r="266" ht="14.25" customHeight="1">
      <c r="A266" s="1085">
        <v>42422.0</v>
      </c>
      <c r="B266" s="1086" t="s">
        <v>5570</v>
      </c>
      <c r="C266" s="1087" t="s">
        <v>1788</v>
      </c>
      <c r="D266" s="1088">
        <v>3235.97</v>
      </c>
      <c r="E266" s="1089" t="s">
        <v>5482</v>
      </c>
      <c r="F266" s="1081">
        <f t="shared" si="1"/>
        <v>0</v>
      </c>
      <c r="G266" s="1083">
        <f t="shared" si="2"/>
        <v>3235.97</v>
      </c>
      <c r="H266" s="1084"/>
    </row>
    <row r="267" ht="14.25" customHeight="1">
      <c r="A267" s="1085">
        <v>43184.0</v>
      </c>
      <c r="B267" s="1086" t="s">
        <v>5571</v>
      </c>
      <c r="C267" s="1087" t="s">
        <v>1788</v>
      </c>
      <c r="D267" s="1088">
        <v>4472.42</v>
      </c>
      <c r="E267" s="1089" t="s">
        <v>5482</v>
      </c>
      <c r="F267" s="1081">
        <f t="shared" si="1"/>
        <v>0</v>
      </c>
      <c r="G267" s="1083">
        <f t="shared" si="2"/>
        <v>4472.42</v>
      </c>
      <c r="H267" s="1084"/>
    </row>
    <row r="268" ht="14.25" customHeight="1">
      <c r="A268" s="1085">
        <v>42424.0</v>
      </c>
      <c r="B268" s="1086" t="s">
        <v>5572</v>
      </c>
      <c r="C268" s="1087" t="s">
        <v>1788</v>
      </c>
      <c r="D268" s="1088">
        <v>1946.74</v>
      </c>
      <c r="E268" s="1089" t="s">
        <v>5482</v>
      </c>
      <c r="F268" s="1081">
        <f t="shared" si="1"/>
        <v>0</v>
      </c>
      <c r="G268" s="1083">
        <f t="shared" si="2"/>
        <v>1946.74</v>
      </c>
      <c r="H268" s="1084"/>
    </row>
    <row r="269" ht="14.25" customHeight="1">
      <c r="A269" s="1085">
        <v>42421.0</v>
      </c>
      <c r="B269" s="1086" t="s">
        <v>5573</v>
      </c>
      <c r="C269" s="1087" t="s">
        <v>1788</v>
      </c>
      <c r="D269" s="1088">
        <v>17724.87</v>
      </c>
      <c r="E269" s="1089" t="s">
        <v>5482</v>
      </c>
      <c r="F269" s="1081">
        <f t="shared" si="1"/>
        <v>0</v>
      </c>
      <c r="G269" s="1083">
        <f t="shared" si="2"/>
        <v>17724.87</v>
      </c>
      <c r="H269" s="1084"/>
    </row>
    <row r="270" ht="14.25" customHeight="1">
      <c r="A270" s="1085">
        <v>42416.0</v>
      </c>
      <c r="B270" s="1086" t="s">
        <v>5574</v>
      </c>
      <c r="C270" s="1087" t="s">
        <v>1788</v>
      </c>
      <c r="D270" s="1088">
        <v>8392.18</v>
      </c>
      <c r="E270" s="1089" t="s">
        <v>5482</v>
      </c>
      <c r="F270" s="1081">
        <f t="shared" si="1"/>
        <v>0</v>
      </c>
      <c r="G270" s="1083">
        <f t="shared" si="2"/>
        <v>8392.18</v>
      </c>
      <c r="H270" s="1084"/>
    </row>
    <row r="271" ht="14.25" customHeight="1">
      <c r="A271" s="1085">
        <v>42417.0</v>
      </c>
      <c r="B271" s="1086" t="s">
        <v>5575</v>
      </c>
      <c r="C271" s="1087" t="s">
        <v>1788</v>
      </c>
      <c r="D271" s="1088">
        <v>9408.32</v>
      </c>
      <c r="E271" s="1089" t="s">
        <v>5482</v>
      </c>
      <c r="F271" s="1081">
        <f t="shared" si="1"/>
        <v>0</v>
      </c>
      <c r="G271" s="1083">
        <f t="shared" si="2"/>
        <v>9408.32</v>
      </c>
      <c r="H271" s="1084"/>
    </row>
    <row r="272" ht="14.25" customHeight="1">
      <c r="A272" s="1085">
        <v>42419.0</v>
      </c>
      <c r="B272" s="1086" t="s">
        <v>5576</v>
      </c>
      <c r="C272" s="1087" t="s">
        <v>1788</v>
      </c>
      <c r="D272" s="1088">
        <v>10629.4</v>
      </c>
      <c r="E272" s="1089" t="s">
        <v>5482</v>
      </c>
      <c r="F272" s="1081">
        <f t="shared" si="1"/>
        <v>0</v>
      </c>
      <c r="G272" s="1083">
        <f t="shared" si="2"/>
        <v>10629.4</v>
      </c>
      <c r="H272" s="1084"/>
    </row>
    <row r="273" ht="14.25" customHeight="1">
      <c r="A273" s="1085">
        <v>42420.0</v>
      </c>
      <c r="B273" s="1086" t="s">
        <v>5577</v>
      </c>
      <c r="C273" s="1087" t="s">
        <v>1788</v>
      </c>
      <c r="D273" s="1088">
        <v>14609.33</v>
      </c>
      <c r="E273" s="1089" t="s">
        <v>5482</v>
      </c>
      <c r="F273" s="1081">
        <f t="shared" si="1"/>
        <v>0</v>
      </c>
      <c r="G273" s="1083">
        <f t="shared" si="2"/>
        <v>14609.33</v>
      </c>
      <c r="H273" s="1084"/>
    </row>
    <row r="274" ht="14.25" customHeight="1">
      <c r="A274" s="1085">
        <v>43195.0</v>
      </c>
      <c r="B274" s="1086" t="s">
        <v>5578</v>
      </c>
      <c r="C274" s="1087" t="s">
        <v>1788</v>
      </c>
      <c r="D274" s="1088">
        <v>5144.15</v>
      </c>
      <c r="E274" s="1089" t="s">
        <v>5482</v>
      </c>
      <c r="F274" s="1081">
        <f t="shared" si="1"/>
        <v>0</v>
      </c>
      <c r="G274" s="1083">
        <f t="shared" si="2"/>
        <v>5144.15</v>
      </c>
      <c r="H274" s="1084"/>
    </row>
    <row r="275" ht="14.25" customHeight="1">
      <c r="A275" s="1085">
        <v>43196.0</v>
      </c>
      <c r="B275" s="1086" t="s">
        <v>5579</v>
      </c>
      <c r="C275" s="1087" t="s">
        <v>1788</v>
      </c>
      <c r="D275" s="1088">
        <v>6375.44</v>
      </c>
      <c r="E275" s="1089" t="s">
        <v>5482</v>
      </c>
      <c r="F275" s="1081">
        <f t="shared" si="1"/>
        <v>0</v>
      </c>
      <c r="G275" s="1083">
        <f t="shared" si="2"/>
        <v>6375.44</v>
      </c>
      <c r="H275" s="1084"/>
    </row>
    <row r="276" ht="14.25" customHeight="1">
      <c r="A276" s="1085">
        <v>43198.0</v>
      </c>
      <c r="B276" s="1086" t="s">
        <v>5580</v>
      </c>
      <c r="C276" s="1087" t="s">
        <v>1788</v>
      </c>
      <c r="D276" s="1088">
        <v>9473.75</v>
      </c>
      <c r="E276" s="1089" t="s">
        <v>5482</v>
      </c>
      <c r="F276" s="1081">
        <f t="shared" si="1"/>
        <v>0</v>
      </c>
      <c r="G276" s="1083">
        <f t="shared" si="2"/>
        <v>9473.75</v>
      </c>
      <c r="H276" s="1084"/>
    </row>
    <row r="277" ht="14.25" customHeight="1">
      <c r="A277" s="1085">
        <v>43199.0</v>
      </c>
      <c r="B277" s="1086" t="s">
        <v>5581</v>
      </c>
      <c r="C277" s="1087" t="s">
        <v>1788</v>
      </c>
      <c r="D277" s="1088">
        <v>9820.9</v>
      </c>
      <c r="E277" s="1089" t="s">
        <v>5482</v>
      </c>
      <c r="F277" s="1081">
        <f t="shared" si="1"/>
        <v>0</v>
      </c>
      <c r="G277" s="1083">
        <f t="shared" si="2"/>
        <v>9820.9</v>
      </c>
      <c r="H277" s="1084"/>
    </row>
    <row r="278" ht="14.25" customHeight="1">
      <c r="A278" s="1085">
        <v>43200.0</v>
      </c>
      <c r="B278" s="1086" t="s">
        <v>5582</v>
      </c>
      <c r="C278" s="1087" t="s">
        <v>1788</v>
      </c>
      <c r="D278" s="1088">
        <v>11270.2</v>
      </c>
      <c r="E278" s="1089" t="s">
        <v>5482</v>
      </c>
      <c r="F278" s="1081">
        <f t="shared" si="1"/>
        <v>0</v>
      </c>
      <c r="G278" s="1083">
        <f t="shared" si="2"/>
        <v>11270.2</v>
      </c>
      <c r="H278" s="1084"/>
    </row>
    <row r="279" ht="14.25" customHeight="1">
      <c r="A279" s="1085">
        <v>39556.0</v>
      </c>
      <c r="B279" s="1086" t="s">
        <v>5583</v>
      </c>
      <c r="C279" s="1087" t="s">
        <v>1788</v>
      </c>
      <c r="D279" s="1088">
        <v>6155.45</v>
      </c>
      <c r="E279" s="1089" t="s">
        <v>5482</v>
      </c>
      <c r="F279" s="1081">
        <f t="shared" si="1"/>
        <v>0</v>
      </c>
      <c r="G279" s="1083">
        <f t="shared" si="2"/>
        <v>6155.45</v>
      </c>
      <c r="H279" s="1084"/>
    </row>
    <row r="280" ht="14.25" customHeight="1">
      <c r="A280" s="1085">
        <v>39557.0</v>
      </c>
      <c r="B280" s="1086" t="s">
        <v>5584</v>
      </c>
      <c r="C280" s="1087" t="s">
        <v>1788</v>
      </c>
      <c r="D280" s="1088">
        <v>6628.07</v>
      </c>
      <c r="E280" s="1089" t="s">
        <v>5482</v>
      </c>
      <c r="F280" s="1081">
        <f t="shared" si="1"/>
        <v>0</v>
      </c>
      <c r="G280" s="1083">
        <f t="shared" si="2"/>
        <v>6628.07</v>
      </c>
      <c r="H280" s="1084"/>
    </row>
    <row r="281" ht="14.25" customHeight="1">
      <c r="A281" s="1085">
        <v>39559.0</v>
      </c>
      <c r="B281" s="1086" t="s">
        <v>5585</v>
      </c>
      <c r="C281" s="1087" t="s">
        <v>1788</v>
      </c>
      <c r="D281" s="1088">
        <v>9795.02</v>
      </c>
      <c r="E281" s="1089" t="s">
        <v>5482</v>
      </c>
      <c r="F281" s="1081">
        <f t="shared" si="1"/>
        <v>0</v>
      </c>
      <c r="G281" s="1083">
        <f t="shared" si="2"/>
        <v>9795.02</v>
      </c>
      <c r="H281" s="1084"/>
    </row>
    <row r="282" ht="14.25" customHeight="1">
      <c r="A282" s="1085">
        <v>39560.0</v>
      </c>
      <c r="B282" s="1086" t="s">
        <v>5586</v>
      </c>
      <c r="C282" s="1087" t="s">
        <v>1788</v>
      </c>
      <c r="D282" s="1088">
        <v>11331.88</v>
      </c>
      <c r="E282" s="1089" t="s">
        <v>5482</v>
      </c>
      <c r="F282" s="1081">
        <f t="shared" si="1"/>
        <v>0</v>
      </c>
      <c r="G282" s="1083">
        <f t="shared" si="2"/>
        <v>11331.88</v>
      </c>
      <c r="H282" s="1084"/>
    </row>
    <row r="283" ht="14.25" customHeight="1">
      <c r="A283" s="1085">
        <v>39561.0</v>
      </c>
      <c r="B283" s="1086" t="s">
        <v>5587</v>
      </c>
      <c r="C283" s="1087" t="s">
        <v>1788</v>
      </c>
      <c r="D283" s="1088">
        <v>11854.59</v>
      </c>
      <c r="E283" s="1089" t="s">
        <v>5482</v>
      </c>
      <c r="F283" s="1081">
        <f t="shared" si="1"/>
        <v>0</v>
      </c>
      <c r="G283" s="1083">
        <f t="shared" si="2"/>
        <v>11854.59</v>
      </c>
      <c r="H283" s="1084"/>
    </row>
    <row r="284" ht="14.25" customHeight="1">
      <c r="A284" s="1085">
        <v>43190.0</v>
      </c>
      <c r="B284" s="1086" t="s">
        <v>5588</v>
      </c>
      <c r="C284" s="1087" t="s">
        <v>1788</v>
      </c>
      <c r="D284" s="1088">
        <v>1749.42</v>
      </c>
      <c r="E284" s="1089" t="s">
        <v>5482</v>
      </c>
      <c r="F284" s="1081">
        <f t="shared" si="1"/>
        <v>0</v>
      </c>
      <c r="G284" s="1083">
        <f t="shared" si="2"/>
        <v>1749.42</v>
      </c>
      <c r="H284" s="1084"/>
    </row>
    <row r="285" ht="14.25" customHeight="1">
      <c r="A285" s="1085">
        <v>39555.0</v>
      </c>
      <c r="B285" s="1086" t="s">
        <v>5589</v>
      </c>
      <c r="C285" s="1087" t="s">
        <v>1788</v>
      </c>
      <c r="D285" s="1088">
        <v>1892.42</v>
      </c>
      <c r="E285" s="1089" t="s">
        <v>5482</v>
      </c>
      <c r="F285" s="1081">
        <f t="shared" si="1"/>
        <v>0</v>
      </c>
      <c r="G285" s="1083">
        <f t="shared" si="2"/>
        <v>1892.42</v>
      </c>
      <c r="H285" s="1084"/>
    </row>
    <row r="286" ht="14.25" customHeight="1">
      <c r="A286" s="1085">
        <v>43191.0</v>
      </c>
      <c r="B286" s="1086" t="s">
        <v>5590</v>
      </c>
      <c r="C286" s="1087" t="s">
        <v>1788</v>
      </c>
      <c r="D286" s="1088">
        <v>2517.19</v>
      </c>
      <c r="E286" s="1089" t="s">
        <v>5482</v>
      </c>
      <c r="F286" s="1081">
        <f t="shared" si="1"/>
        <v>0</v>
      </c>
      <c r="G286" s="1083">
        <f t="shared" si="2"/>
        <v>2517.19</v>
      </c>
      <c r="H286" s="1084"/>
    </row>
    <row r="287" ht="14.25" customHeight="1">
      <c r="A287" s="1085">
        <v>39548.0</v>
      </c>
      <c r="B287" s="1086" t="s">
        <v>5591</v>
      </c>
      <c r="C287" s="1087" t="s">
        <v>1788</v>
      </c>
      <c r="D287" s="1088">
        <v>2807.05</v>
      </c>
      <c r="E287" s="1089" t="s">
        <v>5482</v>
      </c>
      <c r="F287" s="1081">
        <f t="shared" si="1"/>
        <v>0</v>
      </c>
      <c r="G287" s="1083">
        <f t="shared" si="2"/>
        <v>2807.05</v>
      </c>
      <c r="H287" s="1084"/>
    </row>
    <row r="288" ht="14.25" customHeight="1">
      <c r="A288" s="1085">
        <v>43192.0</v>
      </c>
      <c r="B288" s="1086" t="s">
        <v>5592</v>
      </c>
      <c r="C288" s="1087" t="s">
        <v>1788</v>
      </c>
      <c r="D288" s="1088">
        <v>3297.29</v>
      </c>
      <c r="E288" s="1089" t="s">
        <v>5482</v>
      </c>
      <c r="F288" s="1081">
        <f t="shared" si="1"/>
        <v>0</v>
      </c>
      <c r="G288" s="1083">
        <f t="shared" si="2"/>
        <v>3297.29</v>
      </c>
      <c r="H288" s="1084"/>
    </row>
    <row r="289" ht="14.25" customHeight="1">
      <c r="A289" s="1085">
        <v>39554.0</v>
      </c>
      <c r="B289" s="1086" t="s">
        <v>5593</v>
      </c>
      <c r="C289" s="1087" t="s">
        <v>1788</v>
      </c>
      <c r="D289" s="1088">
        <v>3711.91</v>
      </c>
      <c r="E289" s="1089" t="s">
        <v>5482</v>
      </c>
      <c r="F289" s="1081">
        <f t="shared" si="1"/>
        <v>0</v>
      </c>
      <c r="G289" s="1083">
        <f t="shared" si="2"/>
        <v>3711.91</v>
      </c>
      <c r="H289" s="1084"/>
    </row>
    <row r="290" ht="14.25" customHeight="1">
      <c r="A290" s="1085">
        <v>43194.0</v>
      </c>
      <c r="B290" s="1086" t="s">
        <v>5594</v>
      </c>
      <c r="C290" s="1087" t="s">
        <v>1788</v>
      </c>
      <c r="D290" s="1088">
        <v>1498.68</v>
      </c>
      <c r="E290" s="1089" t="s">
        <v>5482</v>
      </c>
      <c r="F290" s="1081">
        <f t="shared" si="1"/>
        <v>0</v>
      </c>
      <c r="G290" s="1083">
        <f t="shared" si="2"/>
        <v>1498.68</v>
      </c>
      <c r="H290" s="1084"/>
    </row>
    <row r="291" ht="14.25" customHeight="1">
      <c r="A291" s="1085">
        <v>39551.0</v>
      </c>
      <c r="B291" s="1086" t="s">
        <v>5595</v>
      </c>
      <c r="C291" s="1087" t="s">
        <v>1788</v>
      </c>
      <c r="D291" s="1088">
        <v>1650.21</v>
      </c>
      <c r="E291" s="1089" t="s">
        <v>5482</v>
      </c>
      <c r="F291" s="1081">
        <f t="shared" si="1"/>
        <v>0</v>
      </c>
      <c r="G291" s="1083">
        <f t="shared" si="2"/>
        <v>1650.21</v>
      </c>
      <c r="H291" s="1084"/>
    </row>
    <row r="292" ht="14.25" customHeight="1">
      <c r="A292" s="1085">
        <v>43185.0</v>
      </c>
      <c r="B292" s="1086" t="s">
        <v>5596</v>
      </c>
      <c r="C292" s="1087" t="s">
        <v>1788</v>
      </c>
      <c r="D292" s="1088">
        <v>4689.59</v>
      </c>
      <c r="E292" s="1089" t="s">
        <v>5482</v>
      </c>
      <c r="F292" s="1081">
        <f t="shared" si="1"/>
        <v>0</v>
      </c>
      <c r="G292" s="1083">
        <f t="shared" si="2"/>
        <v>4689.59</v>
      </c>
      <c r="H292" s="1084"/>
    </row>
    <row r="293" ht="14.25" customHeight="1">
      <c r="A293" s="1085">
        <v>43186.0</v>
      </c>
      <c r="B293" s="1086" t="s">
        <v>5597</v>
      </c>
      <c r="C293" s="1087" t="s">
        <v>1788</v>
      </c>
      <c r="D293" s="1088">
        <v>4946.57</v>
      </c>
      <c r="E293" s="1089" t="s">
        <v>5482</v>
      </c>
      <c r="F293" s="1081">
        <f t="shared" si="1"/>
        <v>0</v>
      </c>
      <c r="G293" s="1083">
        <f t="shared" si="2"/>
        <v>4946.57</v>
      </c>
      <c r="H293" s="1084"/>
    </row>
    <row r="294" ht="14.25" customHeight="1">
      <c r="A294" s="1085">
        <v>43187.0</v>
      </c>
      <c r="B294" s="1086" t="s">
        <v>5598</v>
      </c>
      <c r="C294" s="1087" t="s">
        <v>1788</v>
      </c>
      <c r="D294" s="1088">
        <v>6564.15</v>
      </c>
      <c r="E294" s="1089" t="s">
        <v>5482</v>
      </c>
      <c r="F294" s="1081">
        <f t="shared" si="1"/>
        <v>0</v>
      </c>
      <c r="G294" s="1083">
        <f t="shared" si="2"/>
        <v>6564.15</v>
      </c>
      <c r="H294" s="1084"/>
    </row>
    <row r="295" ht="14.25" customHeight="1">
      <c r="A295" s="1085">
        <v>43188.0</v>
      </c>
      <c r="B295" s="1086" t="s">
        <v>5599</v>
      </c>
      <c r="C295" s="1087" t="s">
        <v>1788</v>
      </c>
      <c r="D295" s="1088">
        <v>7953.34</v>
      </c>
      <c r="E295" s="1089" t="s">
        <v>5482</v>
      </c>
      <c r="F295" s="1081">
        <f t="shared" si="1"/>
        <v>0</v>
      </c>
      <c r="G295" s="1083">
        <f t="shared" si="2"/>
        <v>7953.34</v>
      </c>
      <c r="H295" s="1084"/>
    </row>
    <row r="296" ht="14.25" customHeight="1">
      <c r="A296" s="1085">
        <v>43189.0</v>
      </c>
      <c r="B296" s="1086" t="s">
        <v>5600</v>
      </c>
      <c r="C296" s="1087" t="s">
        <v>1788</v>
      </c>
      <c r="D296" s="1088">
        <v>8946.18</v>
      </c>
      <c r="E296" s="1089" t="s">
        <v>5482</v>
      </c>
      <c r="F296" s="1081">
        <f t="shared" si="1"/>
        <v>0</v>
      </c>
      <c r="G296" s="1083">
        <f t="shared" si="2"/>
        <v>8946.18</v>
      </c>
      <c r="H296" s="1084"/>
    </row>
    <row r="297" ht="14.25" customHeight="1">
      <c r="A297" s="1085">
        <v>39580.0</v>
      </c>
      <c r="B297" s="1086" t="s">
        <v>5601</v>
      </c>
      <c r="C297" s="1087" t="s">
        <v>1788</v>
      </c>
      <c r="D297" s="1088">
        <v>70499.55</v>
      </c>
      <c r="E297" s="1089" t="s">
        <v>5482</v>
      </c>
      <c r="F297" s="1081">
        <f t="shared" si="1"/>
        <v>0</v>
      </c>
      <c r="G297" s="1083">
        <f t="shared" si="2"/>
        <v>70499.55</v>
      </c>
      <c r="H297" s="1084"/>
    </row>
    <row r="298" ht="14.25" customHeight="1">
      <c r="A298" s="1085">
        <v>39577.0</v>
      </c>
      <c r="B298" s="1086" t="s">
        <v>5602</v>
      </c>
      <c r="C298" s="1087" t="s">
        <v>1788</v>
      </c>
      <c r="D298" s="1088">
        <v>22066.21</v>
      </c>
      <c r="E298" s="1089" t="s">
        <v>5482</v>
      </c>
      <c r="F298" s="1081">
        <f t="shared" si="1"/>
        <v>0</v>
      </c>
      <c r="G298" s="1083">
        <f t="shared" si="2"/>
        <v>22066.21</v>
      </c>
      <c r="H298" s="1084"/>
    </row>
    <row r="299" ht="14.25" customHeight="1">
      <c r="A299" s="1085">
        <v>39578.0</v>
      </c>
      <c r="B299" s="1086" t="s">
        <v>5603</v>
      </c>
      <c r="C299" s="1087" t="s">
        <v>1788</v>
      </c>
      <c r="D299" s="1088">
        <v>28476.88</v>
      </c>
      <c r="E299" s="1089" t="s">
        <v>5482</v>
      </c>
      <c r="F299" s="1081">
        <f t="shared" si="1"/>
        <v>0</v>
      </c>
      <c r="G299" s="1083">
        <f t="shared" si="2"/>
        <v>28476.88</v>
      </c>
      <c r="H299" s="1084"/>
    </row>
    <row r="300" ht="14.25" customHeight="1">
      <c r="A300" s="1085">
        <v>39579.0</v>
      </c>
      <c r="B300" s="1086" t="s">
        <v>5604</v>
      </c>
      <c r="C300" s="1087" t="s">
        <v>1788</v>
      </c>
      <c r="D300" s="1088">
        <v>41431.63</v>
      </c>
      <c r="E300" s="1089" t="s">
        <v>5482</v>
      </c>
      <c r="F300" s="1081">
        <f t="shared" si="1"/>
        <v>0</v>
      </c>
      <c r="G300" s="1083">
        <f t="shared" si="2"/>
        <v>41431.63</v>
      </c>
      <c r="H300" s="1084"/>
    </row>
    <row r="301" ht="14.25" customHeight="1">
      <c r="A301" s="1085">
        <v>39826.0</v>
      </c>
      <c r="B301" s="1086" t="s">
        <v>5605</v>
      </c>
      <c r="C301" s="1087" t="s">
        <v>1788</v>
      </c>
      <c r="D301" s="1088">
        <v>5088.56</v>
      </c>
      <c r="E301" s="1089" t="s">
        <v>5482</v>
      </c>
      <c r="F301" s="1081">
        <f t="shared" si="1"/>
        <v>0</v>
      </c>
      <c r="G301" s="1083">
        <f t="shared" si="2"/>
        <v>5088.56</v>
      </c>
      <c r="H301" s="1084"/>
    </row>
    <row r="302" ht="14.25" customHeight="1">
      <c r="A302" s="1085">
        <v>10700.0</v>
      </c>
      <c r="B302" s="1086" t="s">
        <v>5606</v>
      </c>
      <c r="C302" s="1087" t="s">
        <v>1788</v>
      </c>
      <c r="D302" s="1088">
        <v>26017.56</v>
      </c>
      <c r="E302" s="1089" t="s">
        <v>5482</v>
      </c>
      <c r="F302" s="1081">
        <f t="shared" si="1"/>
        <v>0</v>
      </c>
      <c r="G302" s="1083">
        <f t="shared" si="2"/>
        <v>26017.56</v>
      </c>
      <c r="H302" s="1084"/>
    </row>
    <row r="303" ht="14.25" customHeight="1">
      <c r="A303" s="1085">
        <v>346.0</v>
      </c>
      <c r="B303" s="1086" t="s">
        <v>5607</v>
      </c>
      <c r="C303" s="1087" t="s">
        <v>3606</v>
      </c>
      <c r="D303" s="1088">
        <v>32.87</v>
      </c>
      <c r="E303" s="1089" t="s">
        <v>5308</v>
      </c>
      <c r="F303" s="1081">
        <f t="shared" si="1"/>
        <v>0</v>
      </c>
      <c r="G303" s="1083">
        <f t="shared" si="2"/>
        <v>32.87</v>
      </c>
      <c r="H303" s="1084"/>
    </row>
    <row r="304" ht="14.25" customHeight="1">
      <c r="A304" s="1085">
        <v>3312.0</v>
      </c>
      <c r="B304" s="1086" t="s">
        <v>5608</v>
      </c>
      <c r="C304" s="1087" t="s">
        <v>3606</v>
      </c>
      <c r="D304" s="1088">
        <v>29.11</v>
      </c>
      <c r="E304" s="1089" t="s">
        <v>5308</v>
      </c>
      <c r="F304" s="1081">
        <f t="shared" si="1"/>
        <v>0</v>
      </c>
      <c r="G304" s="1083">
        <f t="shared" si="2"/>
        <v>29.11</v>
      </c>
      <c r="H304" s="1084"/>
    </row>
    <row r="305" ht="14.25" customHeight="1">
      <c r="A305" s="1085">
        <v>339.0</v>
      </c>
      <c r="B305" s="1086" t="s">
        <v>5609</v>
      </c>
      <c r="C305" s="1087" t="s">
        <v>1731</v>
      </c>
      <c r="D305" s="1088">
        <v>1.69</v>
      </c>
      <c r="E305" s="1089" t="s">
        <v>5308</v>
      </c>
      <c r="F305" s="1081">
        <f t="shared" si="1"/>
        <v>0</v>
      </c>
      <c r="G305" s="1083">
        <f t="shared" si="2"/>
        <v>1.69</v>
      </c>
      <c r="H305" s="1084"/>
    </row>
    <row r="306" ht="14.25" customHeight="1">
      <c r="A306" s="1085">
        <v>340.0</v>
      </c>
      <c r="B306" s="1086" t="s">
        <v>5610</v>
      </c>
      <c r="C306" s="1087" t="s">
        <v>1731</v>
      </c>
      <c r="D306" s="1088">
        <v>1.53</v>
      </c>
      <c r="E306" s="1089" t="s">
        <v>5308</v>
      </c>
      <c r="F306" s="1081">
        <f t="shared" si="1"/>
        <v>0</v>
      </c>
      <c r="G306" s="1083">
        <f t="shared" si="2"/>
        <v>1.53</v>
      </c>
      <c r="H306" s="1084"/>
    </row>
    <row r="307" ht="14.25" customHeight="1">
      <c r="A307" s="1085">
        <v>43130.0</v>
      </c>
      <c r="B307" s="1086" t="s">
        <v>5611</v>
      </c>
      <c r="C307" s="1087" t="s">
        <v>3606</v>
      </c>
      <c r="D307" s="1088">
        <v>27.75</v>
      </c>
      <c r="E307" s="1089" t="s">
        <v>5308</v>
      </c>
      <c r="F307" s="1081">
        <f t="shared" si="1"/>
        <v>0</v>
      </c>
      <c r="G307" s="1083">
        <f t="shared" si="2"/>
        <v>27.75</v>
      </c>
      <c r="H307" s="1084"/>
    </row>
    <row r="308" ht="14.25" customHeight="1">
      <c r="A308" s="1085">
        <v>344.0</v>
      </c>
      <c r="B308" s="1086" t="s">
        <v>5612</v>
      </c>
      <c r="C308" s="1087" t="s">
        <v>3606</v>
      </c>
      <c r="D308" s="1088">
        <v>36.48</v>
      </c>
      <c r="E308" s="1089" t="s">
        <v>5308</v>
      </c>
      <c r="F308" s="1081">
        <f t="shared" si="1"/>
        <v>0</v>
      </c>
      <c r="G308" s="1083">
        <f t="shared" si="2"/>
        <v>36.48</v>
      </c>
      <c r="H308" s="1084"/>
    </row>
    <row r="309" ht="14.25" customHeight="1">
      <c r="A309" s="1085">
        <v>345.0</v>
      </c>
      <c r="B309" s="1086" t="s">
        <v>5613</v>
      </c>
      <c r="C309" s="1087" t="s">
        <v>3606</v>
      </c>
      <c r="D309" s="1088">
        <v>39.58</v>
      </c>
      <c r="E309" s="1089" t="s">
        <v>5308</v>
      </c>
      <c r="F309" s="1081">
        <f t="shared" si="1"/>
        <v>0</v>
      </c>
      <c r="G309" s="1083">
        <f t="shared" si="2"/>
        <v>39.58</v>
      </c>
      <c r="H309" s="1084"/>
    </row>
    <row r="310" ht="14.25" customHeight="1">
      <c r="A310" s="1085">
        <v>43131.0</v>
      </c>
      <c r="B310" s="1086" t="s">
        <v>5614</v>
      </c>
      <c r="C310" s="1087" t="s">
        <v>3606</v>
      </c>
      <c r="D310" s="1088">
        <v>32.23</v>
      </c>
      <c r="E310" s="1089" t="s">
        <v>5308</v>
      </c>
      <c r="F310" s="1081">
        <f t="shared" si="1"/>
        <v>0</v>
      </c>
      <c r="G310" s="1083">
        <f t="shared" si="2"/>
        <v>32.23</v>
      </c>
      <c r="H310" s="1084"/>
    </row>
    <row r="311" ht="14.25" customHeight="1">
      <c r="A311" s="1085">
        <v>3313.0</v>
      </c>
      <c r="B311" s="1086" t="s">
        <v>5615</v>
      </c>
      <c r="C311" s="1087" t="s">
        <v>3606</v>
      </c>
      <c r="D311" s="1088">
        <v>37.46</v>
      </c>
      <c r="E311" s="1089" t="s">
        <v>5308</v>
      </c>
      <c r="F311" s="1081">
        <f t="shared" si="1"/>
        <v>0</v>
      </c>
      <c r="G311" s="1083">
        <f t="shared" si="2"/>
        <v>37.46</v>
      </c>
      <c r="H311" s="1084"/>
    </row>
    <row r="312" ht="14.25" customHeight="1">
      <c r="A312" s="1085">
        <v>43132.0</v>
      </c>
      <c r="B312" s="1086" t="s">
        <v>5616</v>
      </c>
      <c r="C312" s="1087" t="s">
        <v>3606</v>
      </c>
      <c r="D312" s="1088">
        <v>27.75</v>
      </c>
      <c r="E312" s="1089" t="s">
        <v>5308</v>
      </c>
      <c r="F312" s="1081">
        <f t="shared" si="1"/>
        <v>0</v>
      </c>
      <c r="G312" s="1083">
        <f t="shared" si="2"/>
        <v>27.75</v>
      </c>
      <c r="H312" s="1084"/>
    </row>
    <row r="313" ht="14.25" customHeight="1">
      <c r="A313" s="1085">
        <v>366.0</v>
      </c>
      <c r="B313" s="1086" t="s">
        <v>5617</v>
      </c>
      <c r="C313" s="1087" t="s">
        <v>2178</v>
      </c>
      <c r="D313" s="1088">
        <v>109.41</v>
      </c>
      <c r="E313" s="1089" t="s">
        <v>5308</v>
      </c>
      <c r="F313" s="1081">
        <f t="shared" si="1"/>
        <v>0</v>
      </c>
      <c r="G313" s="1083">
        <f t="shared" si="2"/>
        <v>109.41</v>
      </c>
      <c r="H313" s="1084"/>
    </row>
    <row r="314" ht="14.25" customHeight="1">
      <c r="A314" s="1085">
        <v>367.0</v>
      </c>
      <c r="B314" s="1086" t="s">
        <v>5618</v>
      </c>
      <c r="C314" s="1087" t="s">
        <v>2178</v>
      </c>
      <c r="D314" s="1088">
        <v>110.84</v>
      </c>
      <c r="E314" s="1089" t="s">
        <v>5308</v>
      </c>
      <c r="F314" s="1081">
        <f t="shared" si="1"/>
        <v>0</v>
      </c>
      <c r="G314" s="1083">
        <f t="shared" si="2"/>
        <v>110.84</v>
      </c>
      <c r="H314" s="1084"/>
    </row>
    <row r="315" ht="14.25" customHeight="1">
      <c r="A315" s="1085">
        <v>370.0</v>
      </c>
      <c r="B315" s="1086" t="s">
        <v>5619</v>
      </c>
      <c r="C315" s="1087" t="s">
        <v>2178</v>
      </c>
      <c r="D315" s="1088">
        <v>109.41</v>
      </c>
      <c r="E315" s="1089" t="s">
        <v>5308</v>
      </c>
      <c r="F315" s="1081">
        <f t="shared" si="1"/>
        <v>0</v>
      </c>
      <c r="G315" s="1083">
        <f t="shared" si="2"/>
        <v>109.41</v>
      </c>
      <c r="H315" s="1084"/>
    </row>
    <row r="316" ht="14.25" customHeight="1">
      <c r="A316" s="1085">
        <v>368.0</v>
      </c>
      <c r="B316" s="1086" t="s">
        <v>5620</v>
      </c>
      <c r="C316" s="1087" t="s">
        <v>2178</v>
      </c>
      <c r="D316" s="1088">
        <v>54.7</v>
      </c>
      <c r="E316" s="1089" t="s">
        <v>5308</v>
      </c>
      <c r="F316" s="1081">
        <f t="shared" si="1"/>
        <v>0</v>
      </c>
      <c r="G316" s="1083">
        <f t="shared" si="2"/>
        <v>54.7</v>
      </c>
      <c r="H316" s="1084"/>
    </row>
    <row r="317" ht="14.25" customHeight="1">
      <c r="A317" s="1085">
        <v>11075.0</v>
      </c>
      <c r="B317" s="1086" t="s">
        <v>5621</v>
      </c>
      <c r="C317" s="1087" t="s">
        <v>2178</v>
      </c>
      <c r="D317" s="1088">
        <v>1255.69</v>
      </c>
      <c r="E317" s="1089" t="s">
        <v>5308</v>
      </c>
      <c r="F317" s="1081">
        <f t="shared" si="1"/>
        <v>0</v>
      </c>
      <c r="G317" s="1083">
        <f t="shared" si="2"/>
        <v>1255.69</v>
      </c>
      <c r="H317" s="1084"/>
    </row>
    <row r="318" ht="14.25" customHeight="1">
      <c r="A318" s="1085">
        <v>1381.0</v>
      </c>
      <c r="B318" s="1086" t="s">
        <v>5622</v>
      </c>
      <c r="C318" s="1087" t="s">
        <v>3606</v>
      </c>
      <c r="D318" s="1088">
        <v>0.73</v>
      </c>
      <c r="E318" s="1089" t="s">
        <v>5308</v>
      </c>
      <c r="F318" s="1081">
        <f t="shared" si="1"/>
        <v>0</v>
      </c>
      <c r="G318" s="1083">
        <f t="shared" si="2"/>
        <v>0.73</v>
      </c>
      <c r="H318" s="1084"/>
    </row>
    <row r="319" ht="14.25" customHeight="1">
      <c r="A319" s="1085">
        <v>34353.0</v>
      </c>
      <c r="B319" s="1086" t="s">
        <v>5623</v>
      </c>
      <c r="C319" s="1087" t="s">
        <v>3606</v>
      </c>
      <c r="D319" s="1088">
        <v>1.35</v>
      </c>
      <c r="E319" s="1089" t="s">
        <v>5308</v>
      </c>
      <c r="F319" s="1081">
        <f t="shared" si="1"/>
        <v>0</v>
      </c>
      <c r="G319" s="1083">
        <f t="shared" si="2"/>
        <v>1.35</v>
      </c>
      <c r="H319" s="1084"/>
    </row>
    <row r="320" ht="14.25" customHeight="1">
      <c r="A320" s="1085">
        <v>37595.0</v>
      </c>
      <c r="B320" s="1086" t="s">
        <v>5624</v>
      </c>
      <c r="C320" s="1087" t="s">
        <v>3606</v>
      </c>
      <c r="D320" s="1088">
        <v>2.24</v>
      </c>
      <c r="E320" s="1089" t="s">
        <v>5308</v>
      </c>
      <c r="F320" s="1081">
        <f t="shared" si="1"/>
        <v>0</v>
      </c>
      <c r="G320" s="1083">
        <f t="shared" si="2"/>
        <v>2.24</v>
      </c>
      <c r="H320" s="1084"/>
    </row>
    <row r="321" ht="14.25" customHeight="1">
      <c r="A321" s="1085">
        <v>37596.0</v>
      </c>
      <c r="B321" s="1086" t="s">
        <v>5625</v>
      </c>
      <c r="C321" s="1087" t="s">
        <v>3606</v>
      </c>
      <c r="D321" s="1088">
        <v>2.57</v>
      </c>
      <c r="E321" s="1089" t="s">
        <v>5308</v>
      </c>
      <c r="F321" s="1081">
        <f t="shared" si="1"/>
        <v>0</v>
      </c>
      <c r="G321" s="1083">
        <f t="shared" si="2"/>
        <v>2.57</v>
      </c>
      <c r="H321" s="1084"/>
    </row>
    <row r="322" ht="14.25" customHeight="1">
      <c r="A322" s="1085">
        <v>371.0</v>
      </c>
      <c r="B322" s="1086" t="s">
        <v>5626</v>
      </c>
      <c r="C322" s="1087" t="s">
        <v>3606</v>
      </c>
      <c r="D322" s="1088">
        <v>0.79</v>
      </c>
      <c r="E322" s="1089" t="s">
        <v>5308</v>
      </c>
      <c r="F322" s="1081">
        <f t="shared" si="1"/>
        <v>0</v>
      </c>
      <c r="G322" s="1083">
        <f t="shared" si="2"/>
        <v>0.79</v>
      </c>
      <c r="H322" s="1084"/>
    </row>
    <row r="323" ht="14.25" customHeight="1">
      <c r="A323" s="1085">
        <v>37553.0</v>
      </c>
      <c r="B323" s="1086" t="s">
        <v>5627</v>
      </c>
      <c r="C323" s="1087" t="s">
        <v>3606</v>
      </c>
      <c r="D323" s="1088">
        <v>1.49</v>
      </c>
      <c r="E323" s="1089" t="s">
        <v>5308</v>
      </c>
      <c r="F323" s="1081">
        <f t="shared" si="1"/>
        <v>0</v>
      </c>
      <c r="G323" s="1083">
        <f t="shared" si="2"/>
        <v>1.49</v>
      </c>
      <c r="H323" s="1084"/>
    </row>
    <row r="324" ht="14.25" customHeight="1">
      <c r="A324" s="1085">
        <v>37552.0</v>
      </c>
      <c r="B324" s="1086" t="s">
        <v>5628</v>
      </c>
      <c r="C324" s="1087" t="s">
        <v>3606</v>
      </c>
      <c r="D324" s="1088">
        <v>2.39</v>
      </c>
      <c r="E324" s="1089" t="s">
        <v>5308</v>
      </c>
      <c r="F324" s="1081">
        <f t="shared" si="1"/>
        <v>0</v>
      </c>
      <c r="G324" s="1083">
        <f t="shared" si="2"/>
        <v>2.39</v>
      </c>
      <c r="H324" s="1084"/>
    </row>
    <row r="325" ht="14.25" customHeight="1">
      <c r="A325" s="1085">
        <v>36880.0</v>
      </c>
      <c r="B325" s="1086" t="s">
        <v>5629</v>
      </c>
      <c r="C325" s="1087" t="s">
        <v>3606</v>
      </c>
      <c r="D325" s="1088">
        <v>2.43</v>
      </c>
      <c r="E325" s="1089" t="s">
        <v>5308</v>
      </c>
      <c r="F325" s="1081">
        <f t="shared" si="1"/>
        <v>0</v>
      </c>
      <c r="G325" s="1083">
        <f t="shared" si="2"/>
        <v>2.43</v>
      </c>
      <c r="H325" s="1084"/>
    </row>
    <row r="326" ht="14.25" customHeight="1">
      <c r="A326" s="1085">
        <v>34355.0</v>
      </c>
      <c r="B326" s="1086" t="s">
        <v>5630</v>
      </c>
      <c r="C326" s="1087" t="s">
        <v>3606</v>
      </c>
      <c r="D326" s="1088">
        <v>2.09</v>
      </c>
      <c r="E326" s="1089" t="s">
        <v>5308</v>
      </c>
      <c r="F326" s="1081">
        <f t="shared" si="1"/>
        <v>0</v>
      </c>
      <c r="G326" s="1083">
        <f t="shared" si="2"/>
        <v>2.09</v>
      </c>
      <c r="H326" s="1084"/>
    </row>
    <row r="327" ht="14.25" customHeight="1">
      <c r="A327" s="1085">
        <v>130.0</v>
      </c>
      <c r="B327" s="1086" t="s">
        <v>5631</v>
      </c>
      <c r="C327" s="1087" t="s">
        <v>3606</v>
      </c>
      <c r="D327" s="1088">
        <v>3.98</v>
      </c>
      <c r="E327" s="1089" t="s">
        <v>5308</v>
      </c>
      <c r="F327" s="1081">
        <f t="shared" si="1"/>
        <v>0</v>
      </c>
      <c r="G327" s="1083">
        <f t="shared" si="2"/>
        <v>3.98</v>
      </c>
      <c r="H327" s="1084"/>
    </row>
    <row r="328" ht="14.25" customHeight="1">
      <c r="A328" s="1085">
        <v>135.0</v>
      </c>
      <c r="B328" s="1086" t="s">
        <v>5632</v>
      </c>
      <c r="C328" s="1087" t="s">
        <v>3606</v>
      </c>
      <c r="D328" s="1088">
        <v>3.2</v>
      </c>
      <c r="E328" s="1089" t="s">
        <v>5308</v>
      </c>
      <c r="F328" s="1081">
        <f t="shared" si="1"/>
        <v>0</v>
      </c>
      <c r="G328" s="1083">
        <f t="shared" si="2"/>
        <v>3.2</v>
      </c>
      <c r="H328" s="1084"/>
    </row>
    <row r="329" ht="14.25" customHeight="1">
      <c r="A329" s="1085">
        <v>36886.0</v>
      </c>
      <c r="B329" s="1086" t="s">
        <v>5633</v>
      </c>
      <c r="C329" s="1087" t="s">
        <v>3606</v>
      </c>
      <c r="D329" s="1088">
        <v>0.75</v>
      </c>
      <c r="E329" s="1089" t="s">
        <v>5308</v>
      </c>
      <c r="F329" s="1081">
        <f t="shared" si="1"/>
        <v>0</v>
      </c>
      <c r="G329" s="1083">
        <f t="shared" si="2"/>
        <v>0.75</v>
      </c>
      <c r="H329" s="1084"/>
    </row>
    <row r="330" ht="14.25" customHeight="1">
      <c r="A330" s="1085">
        <v>38546.0</v>
      </c>
      <c r="B330" s="1086" t="s">
        <v>5634</v>
      </c>
      <c r="C330" s="1087" t="s">
        <v>2178</v>
      </c>
      <c r="D330" s="1088">
        <v>444.09</v>
      </c>
      <c r="E330" s="1089" t="s">
        <v>5308</v>
      </c>
      <c r="F330" s="1081">
        <f t="shared" si="1"/>
        <v>0</v>
      </c>
      <c r="G330" s="1083">
        <f t="shared" si="2"/>
        <v>444.09</v>
      </c>
      <c r="H330" s="1084"/>
    </row>
    <row r="331" ht="14.25" customHeight="1">
      <c r="A331" s="1085">
        <v>34549.0</v>
      </c>
      <c r="B331" s="1086" t="s">
        <v>5635</v>
      </c>
      <c r="C331" s="1087" t="s">
        <v>2178</v>
      </c>
      <c r="D331" s="1088">
        <v>775.28</v>
      </c>
      <c r="E331" s="1089" t="s">
        <v>5308</v>
      </c>
      <c r="F331" s="1081">
        <f t="shared" si="1"/>
        <v>0</v>
      </c>
      <c r="G331" s="1083">
        <f t="shared" si="2"/>
        <v>775.28</v>
      </c>
      <c r="H331" s="1084"/>
    </row>
    <row r="332" ht="14.25" customHeight="1">
      <c r="A332" s="1085">
        <v>6081.0</v>
      </c>
      <c r="B332" s="1086" t="s">
        <v>5636</v>
      </c>
      <c r="C332" s="1087" t="s">
        <v>2178</v>
      </c>
      <c r="D332" s="1088">
        <v>54.26</v>
      </c>
      <c r="E332" s="1089" t="s">
        <v>5308</v>
      </c>
      <c r="F332" s="1081">
        <f t="shared" si="1"/>
        <v>0</v>
      </c>
      <c r="G332" s="1083">
        <f t="shared" si="2"/>
        <v>54.26</v>
      </c>
      <c r="H332" s="1084"/>
    </row>
    <row r="333" ht="14.25" customHeight="1">
      <c r="A333" s="1085">
        <v>6077.0</v>
      </c>
      <c r="B333" s="1086" t="s">
        <v>5637</v>
      </c>
      <c r="C333" s="1087" t="s">
        <v>2178</v>
      </c>
      <c r="D333" s="1088">
        <v>38.76</v>
      </c>
      <c r="E333" s="1089" t="s">
        <v>5308</v>
      </c>
      <c r="F333" s="1081">
        <f t="shared" si="1"/>
        <v>0</v>
      </c>
      <c r="G333" s="1083">
        <f t="shared" si="2"/>
        <v>38.76</v>
      </c>
      <c r="H333" s="1084"/>
    </row>
    <row r="334" ht="14.25" customHeight="1">
      <c r="A334" s="1085">
        <v>6079.0</v>
      </c>
      <c r="B334" s="1086" t="s">
        <v>5638</v>
      </c>
      <c r="C334" s="1087" t="s">
        <v>2178</v>
      </c>
      <c r="D334" s="1088">
        <v>38.76</v>
      </c>
      <c r="E334" s="1089" t="s">
        <v>5308</v>
      </c>
      <c r="F334" s="1081">
        <f t="shared" si="1"/>
        <v>0</v>
      </c>
      <c r="G334" s="1083">
        <f t="shared" si="2"/>
        <v>38.76</v>
      </c>
      <c r="H334" s="1084"/>
    </row>
    <row r="335" ht="14.25" customHeight="1">
      <c r="A335" s="1085">
        <v>1091.0</v>
      </c>
      <c r="B335" s="1086" t="s">
        <v>5639</v>
      </c>
      <c r="C335" s="1087" t="s">
        <v>1788</v>
      </c>
      <c r="D335" s="1088">
        <v>20.19</v>
      </c>
      <c r="E335" s="1089" t="s">
        <v>5308</v>
      </c>
      <c r="F335" s="1081">
        <f t="shared" si="1"/>
        <v>0</v>
      </c>
      <c r="G335" s="1083">
        <f t="shared" si="2"/>
        <v>20.19</v>
      </c>
      <c r="H335" s="1084"/>
    </row>
    <row r="336" ht="14.25" customHeight="1">
      <c r="A336" s="1085">
        <v>1094.0</v>
      </c>
      <c r="B336" s="1086" t="s">
        <v>5640</v>
      </c>
      <c r="C336" s="1087" t="s">
        <v>1788</v>
      </c>
      <c r="D336" s="1088">
        <v>14.12</v>
      </c>
      <c r="E336" s="1089" t="s">
        <v>5308</v>
      </c>
      <c r="F336" s="1081">
        <f t="shared" si="1"/>
        <v>0</v>
      </c>
      <c r="G336" s="1083">
        <f t="shared" si="2"/>
        <v>14.12</v>
      </c>
      <c r="H336" s="1084"/>
    </row>
    <row r="337" ht="14.25" customHeight="1">
      <c r="A337" s="1085">
        <v>1095.0</v>
      </c>
      <c r="B337" s="1086" t="s">
        <v>5641</v>
      </c>
      <c r="C337" s="1087" t="s">
        <v>1788</v>
      </c>
      <c r="D337" s="1088">
        <v>30.02</v>
      </c>
      <c r="E337" s="1089" t="s">
        <v>5308</v>
      </c>
      <c r="F337" s="1081">
        <f t="shared" si="1"/>
        <v>0</v>
      </c>
      <c r="G337" s="1083">
        <f t="shared" si="2"/>
        <v>30.02</v>
      </c>
      <c r="H337" s="1084"/>
    </row>
    <row r="338" ht="14.25" customHeight="1">
      <c r="A338" s="1085">
        <v>1092.0</v>
      </c>
      <c r="B338" s="1086" t="s">
        <v>5642</v>
      </c>
      <c r="C338" s="1087" t="s">
        <v>1788</v>
      </c>
      <c r="D338" s="1088">
        <v>23.23</v>
      </c>
      <c r="E338" s="1089" t="s">
        <v>5308</v>
      </c>
      <c r="F338" s="1081">
        <f t="shared" si="1"/>
        <v>0</v>
      </c>
      <c r="G338" s="1083">
        <f t="shared" si="2"/>
        <v>23.23</v>
      </c>
      <c r="H338" s="1084"/>
    </row>
    <row r="339" ht="14.25" customHeight="1">
      <c r="A339" s="1085">
        <v>1093.0</v>
      </c>
      <c r="B339" s="1086" t="s">
        <v>5643</v>
      </c>
      <c r="C339" s="1087" t="s">
        <v>1788</v>
      </c>
      <c r="D339" s="1088">
        <v>54.25</v>
      </c>
      <c r="E339" s="1089" t="s">
        <v>5308</v>
      </c>
      <c r="F339" s="1081">
        <f t="shared" si="1"/>
        <v>0</v>
      </c>
      <c r="G339" s="1083">
        <f t="shared" si="2"/>
        <v>54.25</v>
      </c>
      <c r="H339" s="1084"/>
    </row>
    <row r="340" ht="14.25" customHeight="1">
      <c r="A340" s="1085">
        <v>1090.0</v>
      </c>
      <c r="B340" s="1086" t="s">
        <v>5644</v>
      </c>
      <c r="C340" s="1087" t="s">
        <v>1788</v>
      </c>
      <c r="D340" s="1088">
        <v>38.84</v>
      </c>
      <c r="E340" s="1089" t="s">
        <v>5308</v>
      </c>
      <c r="F340" s="1081">
        <f t="shared" si="1"/>
        <v>0</v>
      </c>
      <c r="G340" s="1083">
        <f t="shared" si="2"/>
        <v>38.84</v>
      </c>
      <c r="H340" s="1084"/>
    </row>
    <row r="341" ht="14.25" customHeight="1">
      <c r="A341" s="1085">
        <v>1096.0</v>
      </c>
      <c r="B341" s="1086" t="s">
        <v>5645</v>
      </c>
      <c r="C341" s="1087" t="s">
        <v>1788</v>
      </c>
      <c r="D341" s="1088">
        <v>69.9</v>
      </c>
      <c r="E341" s="1089" t="s">
        <v>5308</v>
      </c>
      <c r="F341" s="1081">
        <f t="shared" si="1"/>
        <v>0</v>
      </c>
      <c r="G341" s="1083">
        <f t="shared" si="2"/>
        <v>69.9</v>
      </c>
      <c r="H341" s="1084"/>
    </row>
    <row r="342" ht="14.25" customHeight="1">
      <c r="A342" s="1085">
        <v>1097.0</v>
      </c>
      <c r="B342" s="1086" t="s">
        <v>5646</v>
      </c>
      <c r="C342" s="1087" t="s">
        <v>1788</v>
      </c>
      <c r="D342" s="1088">
        <v>59.33</v>
      </c>
      <c r="E342" s="1089" t="s">
        <v>5308</v>
      </c>
      <c r="F342" s="1081">
        <f t="shared" si="1"/>
        <v>0</v>
      </c>
      <c r="G342" s="1083">
        <f t="shared" si="2"/>
        <v>59.33</v>
      </c>
      <c r="H342" s="1084"/>
    </row>
    <row r="343" ht="14.25" customHeight="1">
      <c r="A343" s="1085">
        <v>378.0</v>
      </c>
      <c r="B343" s="1086" t="s">
        <v>5647</v>
      </c>
      <c r="C343" s="1087" t="s">
        <v>1470</v>
      </c>
      <c r="D343" s="1088">
        <v>20.82</v>
      </c>
      <c r="E343" s="1089" t="s">
        <v>5452</v>
      </c>
      <c r="F343" s="1081">
        <f t="shared" si="1"/>
        <v>20.82</v>
      </c>
      <c r="G343" s="1083">
        <f t="shared" si="2"/>
        <v>0</v>
      </c>
      <c r="H343" s="1084"/>
    </row>
    <row r="344" ht="14.25" customHeight="1">
      <c r="A344" s="1085">
        <v>40911.0</v>
      </c>
      <c r="B344" s="1086" t="s">
        <v>5648</v>
      </c>
      <c r="C344" s="1087" t="s">
        <v>5454</v>
      </c>
      <c r="D344" s="1088">
        <v>3643.51</v>
      </c>
      <c r="E344" s="1089" t="s">
        <v>5452</v>
      </c>
      <c r="F344" s="1081">
        <f t="shared" si="1"/>
        <v>3643.51</v>
      </c>
      <c r="G344" s="1083">
        <f t="shared" si="2"/>
        <v>0</v>
      </c>
      <c r="H344" s="1084"/>
    </row>
    <row r="345" ht="14.25" customHeight="1">
      <c r="A345" s="1085">
        <v>33939.0</v>
      </c>
      <c r="B345" s="1086" t="s">
        <v>5649</v>
      </c>
      <c r="C345" s="1087" t="s">
        <v>1470</v>
      </c>
      <c r="D345" s="1088">
        <v>70.32</v>
      </c>
      <c r="E345" s="1089" t="s">
        <v>5452</v>
      </c>
      <c r="F345" s="1081">
        <f t="shared" si="1"/>
        <v>70.32</v>
      </c>
      <c r="G345" s="1083">
        <f t="shared" si="2"/>
        <v>0</v>
      </c>
      <c r="H345" s="1084"/>
    </row>
    <row r="346" ht="14.25" customHeight="1">
      <c r="A346" s="1085">
        <v>40815.0</v>
      </c>
      <c r="B346" s="1086" t="s">
        <v>5650</v>
      </c>
      <c r="C346" s="1087" t="s">
        <v>5454</v>
      </c>
      <c r="D346" s="1088">
        <v>12306.16</v>
      </c>
      <c r="E346" s="1089" t="s">
        <v>5452</v>
      </c>
      <c r="F346" s="1081">
        <f t="shared" si="1"/>
        <v>12306.16</v>
      </c>
      <c r="G346" s="1083">
        <f t="shared" si="2"/>
        <v>0</v>
      </c>
      <c r="H346" s="1084"/>
    </row>
    <row r="347" ht="14.25" customHeight="1">
      <c r="A347" s="1085">
        <v>34760.0</v>
      </c>
      <c r="B347" s="1086" t="s">
        <v>5651</v>
      </c>
      <c r="C347" s="1087" t="s">
        <v>1470</v>
      </c>
      <c r="D347" s="1088">
        <v>68.07</v>
      </c>
      <c r="E347" s="1089" t="s">
        <v>5452</v>
      </c>
      <c r="F347" s="1081">
        <f t="shared" si="1"/>
        <v>68.07</v>
      </c>
      <c r="G347" s="1083">
        <f t="shared" si="2"/>
        <v>0</v>
      </c>
      <c r="H347" s="1084"/>
    </row>
    <row r="348" ht="14.25" customHeight="1">
      <c r="A348" s="1085">
        <v>40935.0</v>
      </c>
      <c r="B348" s="1086" t="s">
        <v>5652</v>
      </c>
      <c r="C348" s="1087" t="s">
        <v>5454</v>
      </c>
      <c r="D348" s="1088">
        <v>11912.8</v>
      </c>
      <c r="E348" s="1089" t="s">
        <v>5452</v>
      </c>
      <c r="F348" s="1081">
        <f t="shared" si="1"/>
        <v>11912.8</v>
      </c>
      <c r="G348" s="1083">
        <f t="shared" si="2"/>
        <v>0</v>
      </c>
      <c r="H348" s="1084"/>
    </row>
    <row r="349" ht="14.25" customHeight="1">
      <c r="A349" s="1085">
        <v>33952.0</v>
      </c>
      <c r="B349" s="1086" t="s">
        <v>5653</v>
      </c>
      <c r="C349" s="1087" t="s">
        <v>1470</v>
      </c>
      <c r="D349" s="1088">
        <v>99.88</v>
      </c>
      <c r="E349" s="1089" t="s">
        <v>5452</v>
      </c>
      <c r="F349" s="1081">
        <f t="shared" si="1"/>
        <v>99.88</v>
      </c>
      <c r="G349" s="1083">
        <f t="shared" si="2"/>
        <v>0</v>
      </c>
      <c r="H349" s="1084"/>
    </row>
    <row r="350" ht="14.25" customHeight="1">
      <c r="A350" s="1085">
        <v>40816.0</v>
      </c>
      <c r="B350" s="1086" t="s">
        <v>5654</v>
      </c>
      <c r="C350" s="1087" t="s">
        <v>5454</v>
      </c>
      <c r="D350" s="1088">
        <v>17479.86</v>
      </c>
      <c r="E350" s="1089" t="s">
        <v>5452</v>
      </c>
      <c r="F350" s="1081">
        <f t="shared" si="1"/>
        <v>17479.86</v>
      </c>
      <c r="G350" s="1083">
        <f t="shared" si="2"/>
        <v>0</v>
      </c>
      <c r="H350" s="1084"/>
    </row>
    <row r="351" ht="14.25" customHeight="1">
      <c r="A351" s="1085">
        <v>33953.0</v>
      </c>
      <c r="B351" s="1086" t="s">
        <v>5655</v>
      </c>
      <c r="C351" s="1087" t="s">
        <v>1470</v>
      </c>
      <c r="D351" s="1088">
        <v>132.05</v>
      </c>
      <c r="E351" s="1089" t="s">
        <v>5452</v>
      </c>
      <c r="F351" s="1081">
        <f t="shared" si="1"/>
        <v>132.05</v>
      </c>
      <c r="G351" s="1083">
        <f t="shared" si="2"/>
        <v>0</v>
      </c>
      <c r="H351" s="1084"/>
    </row>
    <row r="352" ht="14.25" customHeight="1">
      <c r="A352" s="1085">
        <v>40817.0</v>
      </c>
      <c r="B352" s="1086" t="s">
        <v>5656</v>
      </c>
      <c r="C352" s="1087" t="s">
        <v>5454</v>
      </c>
      <c r="D352" s="1088">
        <v>23109.93</v>
      </c>
      <c r="E352" s="1089" t="s">
        <v>5452</v>
      </c>
      <c r="F352" s="1081">
        <f t="shared" si="1"/>
        <v>23109.93</v>
      </c>
      <c r="G352" s="1083">
        <f t="shared" si="2"/>
        <v>0</v>
      </c>
      <c r="H352" s="1084"/>
    </row>
    <row r="353" ht="14.25" customHeight="1">
      <c r="A353" s="1085">
        <v>13348.0</v>
      </c>
      <c r="B353" s="1086" t="s">
        <v>5657</v>
      </c>
      <c r="C353" s="1087" t="s">
        <v>1788</v>
      </c>
      <c r="D353" s="1088">
        <v>1.79</v>
      </c>
      <c r="E353" s="1089" t="s">
        <v>5308</v>
      </c>
      <c r="F353" s="1081">
        <f t="shared" si="1"/>
        <v>0</v>
      </c>
      <c r="G353" s="1083">
        <f t="shared" si="2"/>
        <v>1.79</v>
      </c>
      <c r="H353" s="1084"/>
    </row>
    <row r="354" ht="14.25" customHeight="1">
      <c r="A354" s="1085">
        <v>39211.0</v>
      </c>
      <c r="B354" s="1086" t="s">
        <v>5658</v>
      </c>
      <c r="C354" s="1087" t="s">
        <v>1788</v>
      </c>
      <c r="D354" s="1088">
        <v>2.06</v>
      </c>
      <c r="E354" s="1089" t="s">
        <v>5308</v>
      </c>
      <c r="F354" s="1081">
        <f t="shared" si="1"/>
        <v>0</v>
      </c>
      <c r="G354" s="1083">
        <f t="shared" si="2"/>
        <v>2.06</v>
      </c>
      <c r="H354" s="1084"/>
    </row>
    <row r="355" ht="14.25" customHeight="1">
      <c r="A355" s="1085">
        <v>39212.0</v>
      </c>
      <c r="B355" s="1086" t="s">
        <v>5659</v>
      </c>
      <c r="C355" s="1087" t="s">
        <v>1788</v>
      </c>
      <c r="D355" s="1088">
        <v>2.3</v>
      </c>
      <c r="E355" s="1089" t="s">
        <v>5308</v>
      </c>
      <c r="F355" s="1081">
        <f t="shared" si="1"/>
        <v>0</v>
      </c>
      <c r="G355" s="1083">
        <f t="shared" si="2"/>
        <v>2.3</v>
      </c>
      <c r="H355" s="1084"/>
    </row>
    <row r="356" ht="14.25" customHeight="1">
      <c r="A356" s="1085">
        <v>39208.0</v>
      </c>
      <c r="B356" s="1086" t="s">
        <v>5660</v>
      </c>
      <c r="C356" s="1087" t="s">
        <v>1788</v>
      </c>
      <c r="D356" s="1088">
        <v>0.63</v>
      </c>
      <c r="E356" s="1089" t="s">
        <v>5308</v>
      </c>
      <c r="F356" s="1081">
        <f t="shared" si="1"/>
        <v>0</v>
      </c>
      <c r="G356" s="1083">
        <f t="shared" si="2"/>
        <v>0.63</v>
      </c>
      <c r="H356" s="1084"/>
    </row>
    <row r="357" ht="14.25" customHeight="1">
      <c r="A357" s="1085">
        <v>39210.0</v>
      </c>
      <c r="B357" s="1086" t="s">
        <v>5661</v>
      </c>
      <c r="C357" s="1087" t="s">
        <v>1788</v>
      </c>
      <c r="D357" s="1088">
        <v>1.15</v>
      </c>
      <c r="E357" s="1089" t="s">
        <v>5308</v>
      </c>
      <c r="F357" s="1081">
        <f t="shared" si="1"/>
        <v>0</v>
      </c>
      <c r="G357" s="1083">
        <f t="shared" si="2"/>
        <v>1.15</v>
      </c>
      <c r="H357" s="1084"/>
    </row>
    <row r="358" ht="14.25" customHeight="1">
      <c r="A358" s="1085">
        <v>39214.0</v>
      </c>
      <c r="B358" s="1086" t="s">
        <v>5662</v>
      </c>
      <c r="C358" s="1087" t="s">
        <v>1788</v>
      </c>
      <c r="D358" s="1088">
        <v>4.26</v>
      </c>
      <c r="E358" s="1089" t="s">
        <v>5308</v>
      </c>
      <c r="F358" s="1081">
        <f t="shared" si="1"/>
        <v>0</v>
      </c>
      <c r="G358" s="1083">
        <f t="shared" si="2"/>
        <v>4.26</v>
      </c>
      <c r="H358" s="1084"/>
    </row>
    <row r="359" ht="14.25" customHeight="1">
      <c r="A359" s="1085">
        <v>39213.0</v>
      </c>
      <c r="B359" s="1086" t="s">
        <v>5663</v>
      </c>
      <c r="C359" s="1087" t="s">
        <v>1788</v>
      </c>
      <c r="D359" s="1088">
        <v>3.01</v>
      </c>
      <c r="E359" s="1089" t="s">
        <v>5308</v>
      </c>
      <c r="F359" s="1081">
        <f t="shared" si="1"/>
        <v>0</v>
      </c>
      <c r="G359" s="1083">
        <f t="shared" si="2"/>
        <v>3.01</v>
      </c>
      <c r="H359" s="1084"/>
    </row>
    <row r="360" ht="14.25" customHeight="1">
      <c r="A360" s="1085">
        <v>39209.0</v>
      </c>
      <c r="B360" s="1086" t="s">
        <v>5664</v>
      </c>
      <c r="C360" s="1087" t="s">
        <v>1788</v>
      </c>
      <c r="D360" s="1088">
        <v>0.75</v>
      </c>
      <c r="E360" s="1089" t="s">
        <v>5308</v>
      </c>
      <c r="F360" s="1081">
        <f t="shared" si="1"/>
        <v>0</v>
      </c>
      <c r="G360" s="1083">
        <f t="shared" si="2"/>
        <v>0.75</v>
      </c>
      <c r="H360" s="1084"/>
    </row>
    <row r="361" ht="14.25" customHeight="1">
      <c r="A361" s="1085">
        <v>39207.0</v>
      </c>
      <c r="B361" s="1086" t="s">
        <v>5665</v>
      </c>
      <c r="C361" s="1087" t="s">
        <v>1788</v>
      </c>
      <c r="D361" s="1088">
        <v>1.15</v>
      </c>
      <c r="E361" s="1089" t="s">
        <v>5308</v>
      </c>
      <c r="F361" s="1081">
        <f t="shared" si="1"/>
        <v>0</v>
      </c>
      <c r="G361" s="1083">
        <f t="shared" si="2"/>
        <v>1.15</v>
      </c>
      <c r="H361" s="1084"/>
    </row>
    <row r="362" ht="14.25" customHeight="1">
      <c r="A362" s="1085">
        <v>39215.0</v>
      </c>
      <c r="B362" s="1086" t="s">
        <v>5666</v>
      </c>
      <c r="C362" s="1087" t="s">
        <v>1788</v>
      </c>
      <c r="D362" s="1088">
        <v>7.76</v>
      </c>
      <c r="E362" s="1089" t="s">
        <v>5308</v>
      </c>
      <c r="F362" s="1081">
        <f t="shared" si="1"/>
        <v>0</v>
      </c>
      <c r="G362" s="1083">
        <f t="shared" si="2"/>
        <v>7.76</v>
      </c>
      <c r="H362" s="1084"/>
    </row>
    <row r="363" ht="14.25" customHeight="1">
      <c r="A363" s="1085">
        <v>39216.0</v>
      </c>
      <c r="B363" s="1086" t="s">
        <v>5667</v>
      </c>
      <c r="C363" s="1087" t="s">
        <v>1788</v>
      </c>
      <c r="D363" s="1088">
        <v>10.83</v>
      </c>
      <c r="E363" s="1089" t="s">
        <v>5308</v>
      </c>
      <c r="F363" s="1081">
        <f t="shared" si="1"/>
        <v>0</v>
      </c>
      <c r="G363" s="1083">
        <f t="shared" si="2"/>
        <v>10.83</v>
      </c>
      <c r="H363" s="1084"/>
    </row>
    <row r="364" ht="14.25" customHeight="1">
      <c r="A364" s="1085">
        <v>11267.0</v>
      </c>
      <c r="B364" s="1086" t="s">
        <v>5668</v>
      </c>
      <c r="C364" s="1087" t="s">
        <v>1788</v>
      </c>
      <c r="D364" s="1088">
        <v>1.56</v>
      </c>
      <c r="E364" s="1089" t="s">
        <v>5308</v>
      </c>
      <c r="F364" s="1081">
        <f t="shared" si="1"/>
        <v>0</v>
      </c>
      <c r="G364" s="1083">
        <f t="shared" si="2"/>
        <v>1.56</v>
      </c>
      <c r="H364" s="1084"/>
    </row>
    <row r="365" ht="14.25" customHeight="1">
      <c r="A365" s="1085">
        <v>379.0</v>
      </c>
      <c r="B365" s="1086" t="s">
        <v>5669</v>
      </c>
      <c r="C365" s="1087" t="s">
        <v>1788</v>
      </c>
      <c r="D365" s="1088">
        <v>1.57</v>
      </c>
      <c r="E365" s="1089" t="s">
        <v>5308</v>
      </c>
      <c r="F365" s="1081">
        <f t="shared" si="1"/>
        <v>0</v>
      </c>
      <c r="G365" s="1083">
        <f t="shared" si="2"/>
        <v>1.57</v>
      </c>
      <c r="H365" s="1084"/>
    </row>
    <row r="366" ht="14.25" customHeight="1">
      <c r="A366" s="1085">
        <v>510.0</v>
      </c>
      <c r="B366" s="1086" t="s">
        <v>5670</v>
      </c>
      <c r="C366" s="1087" t="s">
        <v>3606</v>
      </c>
      <c r="D366" s="1088">
        <v>8.19</v>
      </c>
      <c r="E366" s="1089" t="s">
        <v>5308</v>
      </c>
      <c r="F366" s="1081">
        <f t="shared" si="1"/>
        <v>0</v>
      </c>
      <c r="G366" s="1083">
        <f t="shared" si="2"/>
        <v>8.19</v>
      </c>
      <c r="H366" s="1084"/>
    </row>
    <row r="367" ht="14.25" customHeight="1">
      <c r="A367" s="1085">
        <v>516.0</v>
      </c>
      <c r="B367" s="1086" t="s">
        <v>5671</v>
      </c>
      <c r="C367" s="1087" t="s">
        <v>3606</v>
      </c>
      <c r="D367" s="1088">
        <v>9.71</v>
      </c>
      <c r="E367" s="1089" t="s">
        <v>5308</v>
      </c>
      <c r="F367" s="1081">
        <f t="shared" si="1"/>
        <v>0</v>
      </c>
      <c r="G367" s="1083">
        <f t="shared" si="2"/>
        <v>9.71</v>
      </c>
      <c r="H367" s="1084"/>
    </row>
    <row r="368" ht="14.25" customHeight="1">
      <c r="A368" s="1085">
        <v>509.0</v>
      </c>
      <c r="B368" s="1086" t="s">
        <v>5672</v>
      </c>
      <c r="C368" s="1087" t="s">
        <v>3606</v>
      </c>
      <c r="D368" s="1088">
        <v>10.9</v>
      </c>
      <c r="E368" s="1089" t="s">
        <v>5308</v>
      </c>
      <c r="F368" s="1081">
        <f t="shared" si="1"/>
        <v>0</v>
      </c>
      <c r="G368" s="1083">
        <f t="shared" si="2"/>
        <v>10.9</v>
      </c>
      <c r="H368" s="1084"/>
    </row>
    <row r="369" ht="14.25" customHeight="1">
      <c r="A369" s="1085">
        <v>40331.0</v>
      </c>
      <c r="B369" s="1086" t="s">
        <v>5673</v>
      </c>
      <c r="C369" s="1087" t="s">
        <v>1470</v>
      </c>
      <c r="D369" s="1088">
        <v>19.25</v>
      </c>
      <c r="E369" s="1089" t="s">
        <v>5452</v>
      </c>
      <c r="F369" s="1081">
        <f t="shared" si="1"/>
        <v>19.25</v>
      </c>
      <c r="G369" s="1083">
        <f t="shared" si="2"/>
        <v>0</v>
      </c>
      <c r="H369" s="1084"/>
    </row>
    <row r="370" ht="14.25" customHeight="1">
      <c r="A370" s="1085">
        <v>40930.0</v>
      </c>
      <c r="B370" s="1086" t="s">
        <v>5674</v>
      </c>
      <c r="C370" s="1087" t="s">
        <v>5454</v>
      </c>
      <c r="D370" s="1088">
        <v>3371.13</v>
      </c>
      <c r="E370" s="1089" t="s">
        <v>5452</v>
      </c>
      <c r="F370" s="1081">
        <f t="shared" si="1"/>
        <v>3371.13</v>
      </c>
      <c r="G370" s="1083">
        <f t="shared" si="2"/>
        <v>0</v>
      </c>
      <c r="H370" s="1084"/>
    </row>
    <row r="371" ht="14.25" customHeight="1">
      <c r="A371" s="1085">
        <v>11761.0</v>
      </c>
      <c r="B371" s="1086" t="s">
        <v>5675</v>
      </c>
      <c r="C371" s="1087" t="s">
        <v>1788</v>
      </c>
      <c r="D371" s="1088">
        <v>82.99</v>
      </c>
      <c r="E371" s="1089" t="s">
        <v>5308</v>
      </c>
      <c r="F371" s="1081">
        <f t="shared" si="1"/>
        <v>0</v>
      </c>
      <c r="G371" s="1083">
        <f t="shared" si="2"/>
        <v>82.99</v>
      </c>
      <c r="H371" s="1084"/>
    </row>
    <row r="372" ht="14.25" customHeight="1">
      <c r="A372" s="1085">
        <v>377.0</v>
      </c>
      <c r="B372" s="1086" t="s">
        <v>5676</v>
      </c>
      <c r="C372" s="1087" t="s">
        <v>1788</v>
      </c>
      <c r="D372" s="1088">
        <v>39.0</v>
      </c>
      <c r="E372" s="1089" t="s">
        <v>5308</v>
      </c>
      <c r="F372" s="1081">
        <f t="shared" si="1"/>
        <v>0</v>
      </c>
      <c r="G372" s="1083">
        <f t="shared" si="2"/>
        <v>39</v>
      </c>
      <c r="H372" s="1084"/>
    </row>
    <row r="373" ht="14.25" customHeight="1">
      <c r="A373" s="1085">
        <v>7588.0</v>
      </c>
      <c r="B373" s="1086" t="s">
        <v>5677</v>
      </c>
      <c r="C373" s="1087" t="s">
        <v>1788</v>
      </c>
      <c r="D373" s="1088">
        <v>39.6</v>
      </c>
      <c r="E373" s="1089" t="s">
        <v>5308</v>
      </c>
      <c r="F373" s="1081">
        <f t="shared" si="1"/>
        <v>0</v>
      </c>
      <c r="G373" s="1083">
        <f t="shared" si="2"/>
        <v>39.6</v>
      </c>
      <c r="H373" s="1084"/>
    </row>
    <row r="374" ht="14.25" customHeight="1">
      <c r="A374" s="1085">
        <v>34392.0</v>
      </c>
      <c r="B374" s="1086" t="s">
        <v>5678</v>
      </c>
      <c r="C374" s="1087" t="s">
        <v>1470</v>
      </c>
      <c r="D374" s="1088">
        <v>15.93</v>
      </c>
      <c r="E374" s="1089" t="s">
        <v>5452</v>
      </c>
      <c r="F374" s="1081">
        <f t="shared" si="1"/>
        <v>15.93</v>
      </c>
      <c r="G374" s="1083">
        <f t="shared" si="2"/>
        <v>0</v>
      </c>
      <c r="H374" s="1084"/>
    </row>
    <row r="375" ht="14.25" customHeight="1">
      <c r="A375" s="1085">
        <v>40908.0</v>
      </c>
      <c r="B375" s="1086" t="s">
        <v>5679</v>
      </c>
      <c r="C375" s="1087" t="s">
        <v>5454</v>
      </c>
      <c r="D375" s="1088">
        <v>2789.44</v>
      </c>
      <c r="E375" s="1089" t="s">
        <v>5452</v>
      </c>
      <c r="F375" s="1081">
        <f t="shared" si="1"/>
        <v>2789.44</v>
      </c>
      <c r="G375" s="1083">
        <f t="shared" si="2"/>
        <v>0</v>
      </c>
      <c r="H375" s="1084"/>
    </row>
    <row r="376" ht="14.25" customHeight="1">
      <c r="A376" s="1085">
        <v>34551.0</v>
      </c>
      <c r="B376" s="1086" t="s">
        <v>5680</v>
      </c>
      <c r="C376" s="1087" t="s">
        <v>1470</v>
      </c>
      <c r="D376" s="1088">
        <v>14.68</v>
      </c>
      <c r="E376" s="1089" t="s">
        <v>5452</v>
      </c>
      <c r="F376" s="1081">
        <f t="shared" si="1"/>
        <v>14.68</v>
      </c>
      <c r="G376" s="1083">
        <f t="shared" si="2"/>
        <v>0</v>
      </c>
      <c r="H376" s="1084"/>
    </row>
    <row r="377" ht="14.25" customHeight="1">
      <c r="A377" s="1085">
        <v>41078.0</v>
      </c>
      <c r="B377" s="1086" t="s">
        <v>5681</v>
      </c>
      <c r="C377" s="1087" t="s">
        <v>5454</v>
      </c>
      <c r="D377" s="1088">
        <v>2572.12</v>
      </c>
      <c r="E377" s="1089" t="s">
        <v>5452</v>
      </c>
      <c r="F377" s="1081">
        <f t="shared" si="1"/>
        <v>2572.12</v>
      </c>
      <c r="G377" s="1083">
        <f t="shared" si="2"/>
        <v>0</v>
      </c>
      <c r="H377" s="1084"/>
    </row>
    <row r="378" ht="14.25" customHeight="1">
      <c r="A378" s="1085">
        <v>246.0</v>
      </c>
      <c r="B378" s="1086" t="s">
        <v>5682</v>
      </c>
      <c r="C378" s="1087" t="s">
        <v>1470</v>
      </c>
      <c r="D378" s="1088">
        <v>15.93</v>
      </c>
      <c r="E378" s="1089" t="s">
        <v>5452</v>
      </c>
      <c r="F378" s="1081">
        <f t="shared" si="1"/>
        <v>15.93</v>
      </c>
      <c r="G378" s="1083">
        <f t="shared" si="2"/>
        <v>0</v>
      </c>
      <c r="H378" s="1084"/>
    </row>
    <row r="379" ht="14.25" customHeight="1">
      <c r="A379" s="1085">
        <v>40927.0</v>
      </c>
      <c r="B379" s="1086" t="s">
        <v>5683</v>
      </c>
      <c r="C379" s="1087" t="s">
        <v>5454</v>
      </c>
      <c r="D379" s="1088">
        <v>2789.44</v>
      </c>
      <c r="E379" s="1089" t="s">
        <v>5452</v>
      </c>
      <c r="F379" s="1081">
        <f t="shared" si="1"/>
        <v>2789.44</v>
      </c>
      <c r="G379" s="1083">
        <f t="shared" si="2"/>
        <v>0</v>
      </c>
      <c r="H379" s="1084"/>
    </row>
    <row r="380" ht="14.25" customHeight="1">
      <c r="A380" s="1085">
        <v>2350.0</v>
      </c>
      <c r="B380" s="1086" t="s">
        <v>5684</v>
      </c>
      <c r="C380" s="1087" t="s">
        <v>1470</v>
      </c>
      <c r="D380" s="1088">
        <v>16.66</v>
      </c>
      <c r="E380" s="1089" t="s">
        <v>5452</v>
      </c>
      <c r="F380" s="1081">
        <f t="shared" si="1"/>
        <v>16.66</v>
      </c>
      <c r="G380" s="1083">
        <f t="shared" si="2"/>
        <v>0</v>
      </c>
      <c r="H380" s="1084"/>
    </row>
    <row r="381" ht="14.25" customHeight="1">
      <c r="A381" s="1085">
        <v>40812.0</v>
      </c>
      <c r="B381" s="1086" t="s">
        <v>5685</v>
      </c>
      <c r="C381" s="1087" t="s">
        <v>5454</v>
      </c>
      <c r="D381" s="1088">
        <v>2919.15</v>
      </c>
      <c r="E381" s="1089" t="s">
        <v>5452</v>
      </c>
      <c r="F381" s="1081">
        <f t="shared" si="1"/>
        <v>2919.15</v>
      </c>
      <c r="G381" s="1083">
        <f t="shared" si="2"/>
        <v>0</v>
      </c>
      <c r="H381" s="1084"/>
    </row>
    <row r="382" ht="14.25" customHeight="1">
      <c r="A382" s="1085">
        <v>245.0</v>
      </c>
      <c r="B382" s="1086" t="s">
        <v>5686</v>
      </c>
      <c r="C382" s="1087" t="s">
        <v>1470</v>
      </c>
      <c r="D382" s="1088">
        <v>22.22</v>
      </c>
      <c r="E382" s="1089" t="s">
        <v>5452</v>
      </c>
      <c r="F382" s="1081">
        <f t="shared" si="1"/>
        <v>22.22</v>
      </c>
      <c r="G382" s="1083">
        <f t="shared" si="2"/>
        <v>0</v>
      </c>
      <c r="H382" s="1084"/>
    </row>
    <row r="383" ht="14.25" customHeight="1">
      <c r="A383" s="1085">
        <v>41090.0</v>
      </c>
      <c r="B383" s="1086" t="s">
        <v>5687</v>
      </c>
      <c r="C383" s="1087" t="s">
        <v>5454</v>
      </c>
      <c r="D383" s="1088">
        <v>3892.22</v>
      </c>
      <c r="E383" s="1089" t="s">
        <v>5452</v>
      </c>
      <c r="F383" s="1081">
        <f t="shared" si="1"/>
        <v>3892.22</v>
      </c>
      <c r="G383" s="1083">
        <f t="shared" si="2"/>
        <v>0</v>
      </c>
      <c r="H383" s="1084"/>
    </row>
    <row r="384" ht="14.25" customHeight="1">
      <c r="A384" s="1085">
        <v>251.0</v>
      </c>
      <c r="B384" s="1086" t="s">
        <v>5688</v>
      </c>
      <c r="C384" s="1087" t="s">
        <v>1470</v>
      </c>
      <c r="D384" s="1088">
        <v>13.86</v>
      </c>
      <c r="E384" s="1089" t="s">
        <v>5452</v>
      </c>
      <c r="F384" s="1081">
        <f t="shared" si="1"/>
        <v>13.86</v>
      </c>
      <c r="G384" s="1083">
        <f t="shared" si="2"/>
        <v>0</v>
      </c>
      <c r="H384" s="1084"/>
    </row>
    <row r="385" ht="14.25" customHeight="1">
      <c r="A385" s="1085">
        <v>40975.0</v>
      </c>
      <c r="B385" s="1086" t="s">
        <v>5689</v>
      </c>
      <c r="C385" s="1087" t="s">
        <v>5454</v>
      </c>
      <c r="D385" s="1088">
        <v>2428.02</v>
      </c>
      <c r="E385" s="1089" t="s">
        <v>5452</v>
      </c>
      <c r="F385" s="1081">
        <f t="shared" si="1"/>
        <v>2428.02</v>
      </c>
      <c r="G385" s="1083">
        <f t="shared" si="2"/>
        <v>0</v>
      </c>
      <c r="H385" s="1084"/>
    </row>
    <row r="386" ht="14.25" customHeight="1">
      <c r="A386" s="1085">
        <v>6127.0</v>
      </c>
      <c r="B386" s="1086" t="s">
        <v>5690</v>
      </c>
      <c r="C386" s="1087" t="s">
        <v>1470</v>
      </c>
      <c r="D386" s="1088">
        <v>14.68</v>
      </c>
      <c r="E386" s="1089" t="s">
        <v>5452</v>
      </c>
      <c r="F386" s="1081">
        <f t="shared" si="1"/>
        <v>14.68</v>
      </c>
      <c r="G386" s="1083">
        <f t="shared" si="2"/>
        <v>0</v>
      </c>
      <c r="H386" s="1084"/>
    </row>
    <row r="387" ht="14.25" customHeight="1">
      <c r="A387" s="1085">
        <v>41072.0</v>
      </c>
      <c r="B387" s="1086" t="s">
        <v>5691</v>
      </c>
      <c r="C387" s="1087" t="s">
        <v>5454</v>
      </c>
      <c r="D387" s="1088">
        <v>2572.12</v>
      </c>
      <c r="E387" s="1089" t="s">
        <v>5452</v>
      </c>
      <c r="F387" s="1081">
        <f t="shared" si="1"/>
        <v>2572.12</v>
      </c>
      <c r="G387" s="1083">
        <f t="shared" si="2"/>
        <v>0</v>
      </c>
      <c r="H387" s="1084"/>
    </row>
    <row r="388" ht="14.25" customHeight="1">
      <c r="A388" s="1085">
        <v>6121.0</v>
      </c>
      <c r="B388" s="1086" t="s">
        <v>5692</v>
      </c>
      <c r="C388" s="1087" t="s">
        <v>1470</v>
      </c>
      <c r="D388" s="1088">
        <v>14.7</v>
      </c>
      <c r="E388" s="1089" t="s">
        <v>5452</v>
      </c>
      <c r="F388" s="1081">
        <f t="shared" si="1"/>
        <v>14.7</v>
      </c>
      <c r="G388" s="1083">
        <f t="shared" si="2"/>
        <v>0</v>
      </c>
      <c r="H388" s="1084"/>
    </row>
    <row r="389" ht="14.25" customHeight="1">
      <c r="A389" s="1085">
        <v>41071.0</v>
      </c>
      <c r="B389" s="1086" t="s">
        <v>5693</v>
      </c>
      <c r="C389" s="1087" t="s">
        <v>5454</v>
      </c>
      <c r="D389" s="1088">
        <v>2573.04</v>
      </c>
      <c r="E389" s="1089" t="s">
        <v>5452</v>
      </c>
      <c r="F389" s="1081">
        <f t="shared" si="1"/>
        <v>2573.04</v>
      </c>
      <c r="G389" s="1083">
        <f t="shared" si="2"/>
        <v>0</v>
      </c>
      <c r="H389" s="1084"/>
    </row>
    <row r="390" ht="14.25" customHeight="1">
      <c r="A390" s="1085">
        <v>244.0</v>
      </c>
      <c r="B390" s="1086" t="s">
        <v>5694</v>
      </c>
      <c r="C390" s="1087" t="s">
        <v>1470</v>
      </c>
      <c r="D390" s="1088">
        <v>9.35</v>
      </c>
      <c r="E390" s="1089" t="s">
        <v>5452</v>
      </c>
      <c r="F390" s="1081">
        <f t="shared" si="1"/>
        <v>9.35</v>
      </c>
      <c r="G390" s="1083">
        <f t="shared" si="2"/>
        <v>0</v>
      </c>
      <c r="H390" s="1084"/>
    </row>
    <row r="391" ht="14.25" customHeight="1">
      <c r="A391" s="1085">
        <v>41093.0</v>
      </c>
      <c r="B391" s="1086" t="s">
        <v>5695</v>
      </c>
      <c r="C391" s="1087" t="s">
        <v>5454</v>
      </c>
      <c r="D391" s="1088">
        <v>1639.68</v>
      </c>
      <c r="E391" s="1089" t="s">
        <v>5452</v>
      </c>
      <c r="F391" s="1081">
        <f t="shared" si="1"/>
        <v>1639.68</v>
      </c>
      <c r="G391" s="1083">
        <f t="shared" si="2"/>
        <v>0</v>
      </c>
      <c r="H391" s="1084"/>
    </row>
    <row r="392" ht="14.25" customHeight="1">
      <c r="A392" s="1085">
        <v>532.0</v>
      </c>
      <c r="B392" s="1086" t="s">
        <v>5696</v>
      </c>
      <c r="C392" s="1087" t="s">
        <v>1470</v>
      </c>
      <c r="D392" s="1088">
        <v>33.07</v>
      </c>
      <c r="E392" s="1089" t="s">
        <v>5452</v>
      </c>
      <c r="F392" s="1081">
        <f t="shared" si="1"/>
        <v>33.07</v>
      </c>
      <c r="G392" s="1083">
        <f t="shared" si="2"/>
        <v>0</v>
      </c>
      <c r="H392" s="1084"/>
    </row>
    <row r="393" ht="14.25" customHeight="1">
      <c r="A393" s="1085">
        <v>40931.0</v>
      </c>
      <c r="B393" s="1086" t="s">
        <v>5697</v>
      </c>
      <c r="C393" s="1087" t="s">
        <v>5454</v>
      </c>
      <c r="D393" s="1088">
        <v>5790.2</v>
      </c>
      <c r="E393" s="1089" t="s">
        <v>5452</v>
      </c>
      <c r="F393" s="1081">
        <f t="shared" si="1"/>
        <v>5790.2</v>
      </c>
      <c r="G393" s="1083">
        <f t="shared" si="2"/>
        <v>0</v>
      </c>
      <c r="H393" s="1084"/>
    </row>
    <row r="394" ht="14.25" customHeight="1">
      <c r="A394" s="1085">
        <v>36150.0</v>
      </c>
      <c r="B394" s="1086" t="s">
        <v>5698</v>
      </c>
      <c r="C394" s="1087" t="s">
        <v>1788</v>
      </c>
      <c r="D394" s="1088">
        <v>44.55</v>
      </c>
      <c r="E394" s="1089" t="s">
        <v>5308</v>
      </c>
      <c r="F394" s="1081">
        <f t="shared" si="1"/>
        <v>0</v>
      </c>
      <c r="G394" s="1083">
        <f t="shared" si="2"/>
        <v>44.55</v>
      </c>
      <c r="H394" s="1084"/>
    </row>
    <row r="395" ht="14.25" customHeight="1">
      <c r="A395" s="1085">
        <v>4760.0</v>
      </c>
      <c r="B395" s="1086" t="s">
        <v>5699</v>
      </c>
      <c r="C395" s="1087" t="s">
        <v>1470</v>
      </c>
      <c r="D395" s="1088">
        <v>20.82</v>
      </c>
      <c r="E395" s="1089" t="s">
        <v>5452</v>
      </c>
      <c r="F395" s="1081">
        <f t="shared" si="1"/>
        <v>20.82</v>
      </c>
      <c r="G395" s="1083">
        <f t="shared" si="2"/>
        <v>0</v>
      </c>
      <c r="H395" s="1084"/>
    </row>
    <row r="396" ht="14.25" customHeight="1">
      <c r="A396" s="1085">
        <v>41069.0</v>
      </c>
      <c r="B396" s="1086" t="s">
        <v>5700</v>
      </c>
      <c r="C396" s="1087" t="s">
        <v>5454</v>
      </c>
      <c r="D396" s="1088">
        <v>3643.51</v>
      </c>
      <c r="E396" s="1089" t="s">
        <v>5452</v>
      </c>
      <c r="F396" s="1081">
        <f t="shared" si="1"/>
        <v>3643.51</v>
      </c>
      <c r="G396" s="1083">
        <f t="shared" si="2"/>
        <v>0</v>
      </c>
      <c r="H396" s="1084"/>
    </row>
    <row r="397" ht="14.25" customHeight="1">
      <c r="A397" s="1085">
        <v>10422.0</v>
      </c>
      <c r="B397" s="1086" t="s">
        <v>5701</v>
      </c>
      <c r="C397" s="1087" t="s">
        <v>1788</v>
      </c>
      <c r="D397" s="1088">
        <v>416.1</v>
      </c>
      <c r="E397" s="1089" t="s">
        <v>5308</v>
      </c>
      <c r="F397" s="1081">
        <f t="shared" si="1"/>
        <v>0</v>
      </c>
      <c r="G397" s="1083">
        <f t="shared" si="2"/>
        <v>416.1</v>
      </c>
      <c r="H397" s="1084"/>
    </row>
    <row r="398" ht="14.25" customHeight="1">
      <c r="A398" s="1085">
        <v>44019.0</v>
      </c>
      <c r="B398" s="1086" t="s">
        <v>5702</v>
      </c>
      <c r="C398" s="1087" t="s">
        <v>1788</v>
      </c>
      <c r="D398" s="1088">
        <v>575.99</v>
      </c>
      <c r="E398" s="1089" t="s">
        <v>5308</v>
      </c>
      <c r="F398" s="1081">
        <f t="shared" si="1"/>
        <v>0</v>
      </c>
      <c r="G398" s="1083">
        <f t="shared" si="2"/>
        <v>575.99</v>
      </c>
      <c r="H398" s="1084"/>
    </row>
    <row r="399" ht="14.25" customHeight="1">
      <c r="A399" s="1085">
        <v>36520.0</v>
      </c>
      <c r="B399" s="1086" t="s">
        <v>5703</v>
      </c>
      <c r="C399" s="1087" t="s">
        <v>1788</v>
      </c>
      <c r="D399" s="1088">
        <v>700.34</v>
      </c>
      <c r="E399" s="1089" t="s">
        <v>5308</v>
      </c>
      <c r="F399" s="1081">
        <f t="shared" si="1"/>
        <v>0</v>
      </c>
      <c r="G399" s="1083">
        <f t="shared" si="2"/>
        <v>700.34</v>
      </c>
      <c r="H399" s="1084"/>
    </row>
    <row r="400" ht="14.25" customHeight="1">
      <c r="A400" s="1085">
        <v>42319.0</v>
      </c>
      <c r="B400" s="1086" t="s">
        <v>5704</v>
      </c>
      <c r="C400" s="1087" t="s">
        <v>1788</v>
      </c>
      <c r="D400" s="1088">
        <v>627.54</v>
      </c>
      <c r="E400" s="1089" t="s">
        <v>5308</v>
      </c>
      <c r="F400" s="1081">
        <f t="shared" si="1"/>
        <v>0</v>
      </c>
      <c r="G400" s="1083">
        <f t="shared" si="2"/>
        <v>627.54</v>
      </c>
      <c r="H400" s="1084"/>
    </row>
    <row r="401" ht="14.25" customHeight="1">
      <c r="A401" s="1085">
        <v>10420.0</v>
      </c>
      <c r="B401" s="1086" t="s">
        <v>5705</v>
      </c>
      <c r="C401" s="1087" t="s">
        <v>1788</v>
      </c>
      <c r="D401" s="1088">
        <v>222.61</v>
      </c>
      <c r="E401" s="1089" t="s">
        <v>5308</v>
      </c>
      <c r="F401" s="1081">
        <f t="shared" si="1"/>
        <v>0</v>
      </c>
      <c r="G401" s="1083">
        <f t="shared" si="2"/>
        <v>222.61</v>
      </c>
      <c r="H401" s="1084"/>
    </row>
    <row r="402" ht="14.25" customHeight="1">
      <c r="A402" s="1085">
        <v>10421.0</v>
      </c>
      <c r="B402" s="1086" t="s">
        <v>5706</v>
      </c>
      <c r="C402" s="1087" t="s">
        <v>1788</v>
      </c>
      <c r="D402" s="1088">
        <v>244.62</v>
      </c>
      <c r="E402" s="1089" t="s">
        <v>5308</v>
      </c>
      <c r="F402" s="1081">
        <f t="shared" si="1"/>
        <v>0</v>
      </c>
      <c r="G402" s="1083">
        <f t="shared" si="2"/>
        <v>244.62</v>
      </c>
      <c r="H402" s="1084"/>
    </row>
    <row r="403" ht="14.25" customHeight="1">
      <c r="A403" s="1085">
        <v>11786.0</v>
      </c>
      <c r="B403" s="1086" t="s">
        <v>5707</v>
      </c>
      <c r="C403" s="1087" t="s">
        <v>1788</v>
      </c>
      <c r="D403" s="1088">
        <v>493.25</v>
      </c>
      <c r="E403" s="1089" t="s">
        <v>5308</v>
      </c>
      <c r="F403" s="1081">
        <f t="shared" si="1"/>
        <v>0</v>
      </c>
      <c r="G403" s="1083">
        <f t="shared" si="2"/>
        <v>493.25</v>
      </c>
      <c r="H403" s="1084"/>
    </row>
    <row r="404" ht="14.25" customHeight="1">
      <c r="A404" s="1085">
        <v>10.0</v>
      </c>
      <c r="B404" s="1086" t="s">
        <v>5708</v>
      </c>
      <c r="C404" s="1087" t="s">
        <v>1788</v>
      </c>
      <c r="D404" s="1088">
        <v>12.75</v>
      </c>
      <c r="E404" s="1089" t="s">
        <v>5308</v>
      </c>
      <c r="F404" s="1081">
        <f t="shared" si="1"/>
        <v>0</v>
      </c>
      <c r="G404" s="1083">
        <f t="shared" si="2"/>
        <v>12.75</v>
      </c>
      <c r="H404" s="1084"/>
    </row>
    <row r="405" ht="14.25" customHeight="1">
      <c r="A405" s="1085">
        <v>4815.0</v>
      </c>
      <c r="B405" s="1086" t="s">
        <v>5709</v>
      </c>
      <c r="C405" s="1087" t="s">
        <v>1788</v>
      </c>
      <c r="D405" s="1088">
        <v>6.3</v>
      </c>
      <c r="E405" s="1089" t="s">
        <v>5308</v>
      </c>
      <c r="F405" s="1081">
        <f t="shared" si="1"/>
        <v>0</v>
      </c>
      <c r="G405" s="1083">
        <f t="shared" si="2"/>
        <v>6.3</v>
      </c>
      <c r="H405" s="1084"/>
    </row>
    <row r="406" ht="14.25" customHeight="1">
      <c r="A406" s="1085">
        <v>541.0</v>
      </c>
      <c r="B406" s="1086" t="s">
        <v>5710</v>
      </c>
      <c r="C406" s="1087" t="s">
        <v>1788</v>
      </c>
      <c r="D406" s="1088">
        <v>205.15</v>
      </c>
      <c r="E406" s="1089" t="s">
        <v>5308</v>
      </c>
      <c r="F406" s="1081">
        <f t="shared" si="1"/>
        <v>0</v>
      </c>
      <c r="G406" s="1083">
        <f t="shared" si="2"/>
        <v>205.15</v>
      </c>
      <c r="H406" s="1084"/>
    </row>
    <row r="407" ht="14.25" customHeight="1">
      <c r="A407" s="1085">
        <v>542.0</v>
      </c>
      <c r="B407" s="1086" t="s">
        <v>5711</v>
      </c>
      <c r="C407" s="1087" t="s">
        <v>1788</v>
      </c>
      <c r="D407" s="1088">
        <v>257.15</v>
      </c>
      <c r="E407" s="1089" t="s">
        <v>5308</v>
      </c>
      <c r="F407" s="1081">
        <f t="shared" si="1"/>
        <v>0</v>
      </c>
      <c r="G407" s="1083">
        <f t="shared" si="2"/>
        <v>257.15</v>
      </c>
      <c r="H407" s="1084"/>
    </row>
    <row r="408" ht="14.25" customHeight="1">
      <c r="A408" s="1085">
        <v>540.0</v>
      </c>
      <c r="B408" s="1086" t="s">
        <v>5712</v>
      </c>
      <c r="C408" s="1087" t="s">
        <v>1788</v>
      </c>
      <c r="D408" s="1088">
        <v>579.5</v>
      </c>
      <c r="E408" s="1089" t="s">
        <v>5308</v>
      </c>
      <c r="F408" s="1081">
        <f t="shared" si="1"/>
        <v>0</v>
      </c>
      <c r="G408" s="1083">
        <f t="shared" si="2"/>
        <v>579.5</v>
      </c>
      <c r="H408" s="1084"/>
    </row>
    <row r="409" ht="14.25" customHeight="1">
      <c r="A409" s="1085">
        <v>38364.0</v>
      </c>
      <c r="B409" s="1086" t="s">
        <v>5713</v>
      </c>
      <c r="C409" s="1087" t="s">
        <v>1788</v>
      </c>
      <c r="D409" s="1088">
        <v>838.57</v>
      </c>
      <c r="E409" s="1089" t="s">
        <v>5308</v>
      </c>
      <c r="F409" s="1081">
        <f t="shared" si="1"/>
        <v>0</v>
      </c>
      <c r="G409" s="1083">
        <f t="shared" si="2"/>
        <v>838.57</v>
      </c>
      <c r="H409" s="1084"/>
    </row>
    <row r="410" ht="14.25" customHeight="1">
      <c r="A410" s="1085">
        <v>11692.0</v>
      </c>
      <c r="B410" s="1086" t="s">
        <v>5714</v>
      </c>
      <c r="C410" s="1087" t="s">
        <v>1814</v>
      </c>
      <c r="D410" s="1088">
        <v>589.87</v>
      </c>
      <c r="E410" s="1089" t="s">
        <v>5308</v>
      </c>
      <c r="F410" s="1081">
        <f t="shared" si="1"/>
        <v>0</v>
      </c>
      <c r="G410" s="1083">
        <f t="shared" si="2"/>
        <v>589.87</v>
      </c>
      <c r="H410" s="1084"/>
    </row>
    <row r="411" ht="14.25" customHeight="1">
      <c r="A411" s="1085">
        <v>1746.0</v>
      </c>
      <c r="B411" s="1086" t="s">
        <v>5715</v>
      </c>
      <c r="C411" s="1087" t="s">
        <v>1788</v>
      </c>
      <c r="D411" s="1088">
        <v>299.5</v>
      </c>
      <c r="E411" s="1089" t="s">
        <v>5308</v>
      </c>
      <c r="F411" s="1081">
        <f t="shared" si="1"/>
        <v>0</v>
      </c>
      <c r="G411" s="1083">
        <f t="shared" si="2"/>
        <v>299.5</v>
      </c>
      <c r="H411" s="1084"/>
    </row>
    <row r="412" ht="14.25" customHeight="1">
      <c r="A412" s="1085">
        <v>1748.0</v>
      </c>
      <c r="B412" s="1086" t="s">
        <v>5716</v>
      </c>
      <c r="C412" s="1087" t="s">
        <v>1788</v>
      </c>
      <c r="D412" s="1088">
        <v>398.26</v>
      </c>
      <c r="E412" s="1089" t="s">
        <v>5308</v>
      </c>
      <c r="F412" s="1081">
        <f t="shared" si="1"/>
        <v>0</v>
      </c>
      <c r="G412" s="1083">
        <f t="shared" si="2"/>
        <v>398.26</v>
      </c>
      <c r="H412" s="1084"/>
    </row>
    <row r="413" ht="14.25" customHeight="1">
      <c r="A413" s="1085">
        <v>1749.0</v>
      </c>
      <c r="B413" s="1086" t="s">
        <v>5717</v>
      </c>
      <c r="C413" s="1087" t="s">
        <v>1788</v>
      </c>
      <c r="D413" s="1088">
        <v>577.01</v>
      </c>
      <c r="E413" s="1089" t="s">
        <v>5308</v>
      </c>
      <c r="F413" s="1081">
        <f t="shared" si="1"/>
        <v>0</v>
      </c>
      <c r="G413" s="1083">
        <f t="shared" si="2"/>
        <v>577.01</v>
      </c>
      <c r="H413" s="1084"/>
    </row>
    <row r="414" ht="14.25" customHeight="1">
      <c r="A414" s="1085">
        <v>37412.0</v>
      </c>
      <c r="B414" s="1086" t="s">
        <v>5718</v>
      </c>
      <c r="C414" s="1087" t="s">
        <v>1788</v>
      </c>
      <c r="D414" s="1088">
        <v>292.76</v>
      </c>
      <c r="E414" s="1089" t="s">
        <v>5308</v>
      </c>
      <c r="F414" s="1081">
        <f t="shared" si="1"/>
        <v>0</v>
      </c>
      <c r="G414" s="1083">
        <f t="shared" si="2"/>
        <v>292.76</v>
      </c>
      <c r="H414" s="1084"/>
    </row>
    <row r="415" ht="14.25" customHeight="1">
      <c r="A415" s="1085">
        <v>1745.0</v>
      </c>
      <c r="B415" s="1086" t="s">
        <v>5719</v>
      </c>
      <c r="C415" s="1087" t="s">
        <v>1788</v>
      </c>
      <c r="D415" s="1088">
        <v>348.13</v>
      </c>
      <c r="E415" s="1089" t="s">
        <v>5308</v>
      </c>
      <c r="F415" s="1081">
        <f t="shared" si="1"/>
        <v>0</v>
      </c>
      <c r="G415" s="1083">
        <f t="shared" si="2"/>
        <v>348.13</v>
      </c>
      <c r="H415" s="1084"/>
    </row>
    <row r="416" ht="14.25" customHeight="1">
      <c r="A416" s="1085">
        <v>1750.0</v>
      </c>
      <c r="B416" s="1086" t="s">
        <v>5720</v>
      </c>
      <c r="C416" s="1087" t="s">
        <v>1788</v>
      </c>
      <c r="D416" s="1088">
        <v>813.53</v>
      </c>
      <c r="E416" s="1089" t="s">
        <v>5308</v>
      </c>
      <c r="F416" s="1081">
        <f t="shared" si="1"/>
        <v>0</v>
      </c>
      <c r="G416" s="1083">
        <f t="shared" si="2"/>
        <v>813.53</v>
      </c>
      <c r="H416" s="1084"/>
    </row>
    <row r="417" ht="14.25" customHeight="1">
      <c r="A417" s="1085">
        <v>11687.0</v>
      </c>
      <c r="B417" s="1086" t="s">
        <v>5721</v>
      </c>
      <c r="C417" s="1087" t="s">
        <v>1731</v>
      </c>
      <c r="D417" s="1088">
        <v>1296.2</v>
      </c>
      <c r="E417" s="1089" t="s">
        <v>5308</v>
      </c>
      <c r="F417" s="1081">
        <f t="shared" si="1"/>
        <v>0</v>
      </c>
      <c r="G417" s="1083">
        <f t="shared" si="2"/>
        <v>1296.2</v>
      </c>
      <c r="H417" s="1084"/>
    </row>
    <row r="418" ht="14.25" customHeight="1">
      <c r="A418" s="1085">
        <v>11689.0</v>
      </c>
      <c r="B418" s="1086" t="s">
        <v>5722</v>
      </c>
      <c r="C418" s="1087" t="s">
        <v>1731</v>
      </c>
      <c r="D418" s="1088">
        <v>1624.07</v>
      </c>
      <c r="E418" s="1089" t="s">
        <v>5308</v>
      </c>
      <c r="F418" s="1081">
        <f t="shared" si="1"/>
        <v>0</v>
      </c>
      <c r="G418" s="1083">
        <f t="shared" si="2"/>
        <v>1624.07</v>
      </c>
      <c r="H418" s="1084"/>
    </row>
    <row r="419" ht="14.25" customHeight="1">
      <c r="A419" s="1085">
        <v>11693.0</v>
      </c>
      <c r="B419" s="1086" t="s">
        <v>5723</v>
      </c>
      <c r="C419" s="1087" t="s">
        <v>1814</v>
      </c>
      <c r="D419" s="1088">
        <v>227.47</v>
      </c>
      <c r="E419" s="1089" t="s">
        <v>5308</v>
      </c>
      <c r="F419" s="1081">
        <f t="shared" si="1"/>
        <v>0</v>
      </c>
      <c r="G419" s="1083">
        <f t="shared" si="2"/>
        <v>227.47</v>
      </c>
      <c r="H419" s="1084"/>
    </row>
    <row r="420" ht="14.25" customHeight="1">
      <c r="A420" s="1085">
        <v>36215.0</v>
      </c>
      <c r="B420" s="1086" t="s">
        <v>5724</v>
      </c>
      <c r="C420" s="1087" t="s">
        <v>1788</v>
      </c>
      <c r="D420" s="1088">
        <v>908.01</v>
      </c>
      <c r="E420" s="1089" t="s">
        <v>5308</v>
      </c>
      <c r="F420" s="1081">
        <f t="shared" si="1"/>
        <v>0</v>
      </c>
      <c r="G420" s="1083">
        <f t="shared" si="2"/>
        <v>908.01</v>
      </c>
      <c r="H420" s="1084"/>
    </row>
    <row r="421" ht="14.25" customHeight="1">
      <c r="A421" s="1085">
        <v>42439.0</v>
      </c>
      <c r="B421" s="1086" t="s">
        <v>5725</v>
      </c>
      <c r="C421" s="1087" t="s">
        <v>1788</v>
      </c>
      <c r="D421" s="1088">
        <v>1207.84</v>
      </c>
      <c r="E421" s="1089" t="s">
        <v>5308</v>
      </c>
      <c r="F421" s="1081">
        <f t="shared" si="1"/>
        <v>0</v>
      </c>
      <c r="G421" s="1083">
        <f t="shared" si="2"/>
        <v>1207.84</v>
      </c>
      <c r="H421" s="1084"/>
    </row>
    <row r="422" ht="14.25" customHeight="1">
      <c r="A422" s="1085">
        <v>38381.0</v>
      </c>
      <c r="B422" s="1086" t="s">
        <v>5726</v>
      </c>
      <c r="C422" s="1087" t="s">
        <v>1788</v>
      </c>
      <c r="D422" s="1088">
        <v>9.7</v>
      </c>
      <c r="E422" s="1089" t="s">
        <v>5308</v>
      </c>
      <c r="F422" s="1081">
        <f t="shared" si="1"/>
        <v>0</v>
      </c>
      <c r="G422" s="1083">
        <f t="shared" si="2"/>
        <v>9.7</v>
      </c>
      <c r="H422" s="1084"/>
    </row>
    <row r="423" ht="14.25" customHeight="1">
      <c r="A423" s="1085">
        <v>39621.0</v>
      </c>
      <c r="B423" s="1086" t="s">
        <v>5727</v>
      </c>
      <c r="C423" s="1087" t="s">
        <v>5728</v>
      </c>
      <c r="D423" s="1088">
        <v>1204.72</v>
      </c>
      <c r="E423" s="1089" t="s">
        <v>5308</v>
      </c>
      <c r="F423" s="1081">
        <f t="shared" si="1"/>
        <v>0</v>
      </c>
      <c r="G423" s="1083">
        <f t="shared" si="2"/>
        <v>1204.72</v>
      </c>
      <c r="H423" s="1084"/>
    </row>
    <row r="424" ht="14.25" customHeight="1">
      <c r="A424" s="1085">
        <v>39624.0</v>
      </c>
      <c r="B424" s="1086" t="s">
        <v>5729</v>
      </c>
      <c r="C424" s="1087" t="s">
        <v>5728</v>
      </c>
      <c r="D424" s="1088">
        <v>1328.93</v>
      </c>
      <c r="E424" s="1089" t="s">
        <v>5308</v>
      </c>
      <c r="F424" s="1081">
        <f t="shared" si="1"/>
        <v>0</v>
      </c>
      <c r="G424" s="1083">
        <f t="shared" si="2"/>
        <v>1328.93</v>
      </c>
      <c r="H424" s="1084"/>
    </row>
    <row r="425" ht="14.25" customHeight="1">
      <c r="A425" s="1085">
        <v>39615.0</v>
      </c>
      <c r="B425" s="1086" t="s">
        <v>5730</v>
      </c>
      <c r="C425" s="1087" t="s">
        <v>1788</v>
      </c>
      <c r="D425" s="1088">
        <v>537.01</v>
      </c>
      <c r="E425" s="1089" t="s">
        <v>5308</v>
      </c>
      <c r="F425" s="1081">
        <f t="shared" si="1"/>
        <v>0</v>
      </c>
      <c r="G425" s="1083">
        <f t="shared" si="2"/>
        <v>537.01</v>
      </c>
      <c r="H425" s="1084"/>
    </row>
    <row r="426" ht="14.25" customHeight="1">
      <c r="A426" s="1085">
        <v>39620.0</v>
      </c>
      <c r="B426" s="1086" t="s">
        <v>5731</v>
      </c>
      <c r="C426" s="1087" t="s">
        <v>1788</v>
      </c>
      <c r="D426" s="1088">
        <v>820.16</v>
      </c>
      <c r="E426" s="1089" t="s">
        <v>5308</v>
      </c>
      <c r="F426" s="1081">
        <f t="shared" si="1"/>
        <v>0</v>
      </c>
      <c r="G426" s="1083">
        <f t="shared" si="2"/>
        <v>820.16</v>
      </c>
      <c r="H426" s="1084"/>
    </row>
    <row r="427" ht="14.25" customHeight="1">
      <c r="A427" s="1085">
        <v>39623.0</v>
      </c>
      <c r="B427" s="1086" t="s">
        <v>5732</v>
      </c>
      <c r="C427" s="1087" t="s">
        <v>1788</v>
      </c>
      <c r="D427" s="1088">
        <v>878.46</v>
      </c>
      <c r="E427" s="1089" t="s">
        <v>5308</v>
      </c>
      <c r="F427" s="1081">
        <f t="shared" si="1"/>
        <v>0</v>
      </c>
      <c r="G427" s="1083">
        <f t="shared" si="2"/>
        <v>878.46</v>
      </c>
      <c r="H427" s="1084"/>
    </row>
    <row r="428" ht="14.25" customHeight="1">
      <c r="A428" s="1085">
        <v>546.0</v>
      </c>
      <c r="B428" s="1086" t="s">
        <v>5733</v>
      </c>
      <c r="C428" s="1087" t="s">
        <v>3606</v>
      </c>
      <c r="D428" s="1088">
        <v>9.43</v>
      </c>
      <c r="E428" s="1089" t="s">
        <v>5308</v>
      </c>
      <c r="F428" s="1081">
        <f t="shared" si="1"/>
        <v>0</v>
      </c>
      <c r="G428" s="1083">
        <f t="shared" si="2"/>
        <v>9.43</v>
      </c>
      <c r="H428" s="1084"/>
    </row>
    <row r="429" ht="14.25" customHeight="1">
      <c r="A429" s="1085">
        <v>566.0</v>
      </c>
      <c r="B429" s="1086" t="s">
        <v>5734</v>
      </c>
      <c r="C429" s="1087" t="s">
        <v>1731</v>
      </c>
      <c r="D429" s="1088">
        <v>4.47</v>
      </c>
      <c r="E429" s="1089" t="s">
        <v>5308</v>
      </c>
      <c r="F429" s="1081">
        <f t="shared" si="1"/>
        <v>0</v>
      </c>
      <c r="G429" s="1083">
        <f t="shared" si="2"/>
        <v>4.47</v>
      </c>
      <c r="H429" s="1084"/>
    </row>
    <row r="430" ht="14.25" customHeight="1">
      <c r="A430" s="1085">
        <v>565.0</v>
      </c>
      <c r="B430" s="1086" t="s">
        <v>5735</v>
      </c>
      <c r="C430" s="1087" t="s">
        <v>1731</v>
      </c>
      <c r="D430" s="1088">
        <v>16.31</v>
      </c>
      <c r="E430" s="1089" t="s">
        <v>5308</v>
      </c>
      <c r="F430" s="1081">
        <f t="shared" si="1"/>
        <v>0</v>
      </c>
      <c r="G430" s="1083">
        <f t="shared" si="2"/>
        <v>16.31</v>
      </c>
      <c r="H430" s="1084"/>
    </row>
    <row r="431" ht="14.25" customHeight="1">
      <c r="A431" s="1085">
        <v>555.0</v>
      </c>
      <c r="B431" s="1086" t="s">
        <v>5736</v>
      </c>
      <c r="C431" s="1087" t="s">
        <v>1731</v>
      </c>
      <c r="D431" s="1088">
        <v>11.56</v>
      </c>
      <c r="E431" s="1089" t="s">
        <v>5308</v>
      </c>
      <c r="F431" s="1081">
        <f t="shared" si="1"/>
        <v>0</v>
      </c>
      <c r="G431" s="1083">
        <f t="shared" si="2"/>
        <v>11.56</v>
      </c>
      <c r="H431" s="1084"/>
    </row>
    <row r="432" ht="14.25" customHeight="1">
      <c r="A432" s="1085">
        <v>557.0</v>
      </c>
      <c r="B432" s="1086" t="s">
        <v>5737</v>
      </c>
      <c r="C432" s="1087" t="s">
        <v>1731</v>
      </c>
      <c r="D432" s="1088">
        <v>36.28</v>
      </c>
      <c r="E432" s="1089" t="s">
        <v>5308</v>
      </c>
      <c r="F432" s="1081">
        <f t="shared" si="1"/>
        <v>0</v>
      </c>
      <c r="G432" s="1083">
        <f t="shared" si="2"/>
        <v>36.28</v>
      </c>
      <c r="H432" s="1084"/>
    </row>
    <row r="433" ht="14.25" customHeight="1">
      <c r="A433" s="1085">
        <v>552.0</v>
      </c>
      <c r="B433" s="1086" t="s">
        <v>5738</v>
      </c>
      <c r="C433" s="1087" t="s">
        <v>1731</v>
      </c>
      <c r="D433" s="1088">
        <v>18.0</v>
      </c>
      <c r="E433" s="1089" t="s">
        <v>5308</v>
      </c>
      <c r="F433" s="1081">
        <f t="shared" si="1"/>
        <v>0</v>
      </c>
      <c r="G433" s="1083">
        <f t="shared" si="2"/>
        <v>18</v>
      </c>
      <c r="H433" s="1084"/>
    </row>
    <row r="434" ht="14.25" customHeight="1">
      <c r="A434" s="1085">
        <v>563.0</v>
      </c>
      <c r="B434" s="1086" t="s">
        <v>5739</v>
      </c>
      <c r="C434" s="1087" t="s">
        <v>1731</v>
      </c>
      <c r="D434" s="1088">
        <v>27.05</v>
      </c>
      <c r="E434" s="1089" t="s">
        <v>5308</v>
      </c>
      <c r="F434" s="1081">
        <f t="shared" si="1"/>
        <v>0</v>
      </c>
      <c r="G434" s="1083">
        <f t="shared" si="2"/>
        <v>27.05</v>
      </c>
      <c r="H434" s="1084"/>
    </row>
    <row r="435" ht="14.25" customHeight="1">
      <c r="A435" s="1085">
        <v>549.0</v>
      </c>
      <c r="B435" s="1086" t="s">
        <v>5740</v>
      </c>
      <c r="C435" s="1087" t="s">
        <v>1731</v>
      </c>
      <c r="D435" s="1088">
        <v>48.68</v>
      </c>
      <c r="E435" s="1089" t="s">
        <v>5308</v>
      </c>
      <c r="F435" s="1081">
        <f t="shared" si="1"/>
        <v>0</v>
      </c>
      <c r="G435" s="1083">
        <f t="shared" si="2"/>
        <v>48.68</v>
      </c>
      <c r="H435" s="1084"/>
    </row>
    <row r="436" ht="14.25" customHeight="1">
      <c r="A436" s="1085">
        <v>551.0</v>
      </c>
      <c r="B436" s="1086" t="s">
        <v>5741</v>
      </c>
      <c r="C436" s="1087" t="s">
        <v>1731</v>
      </c>
      <c r="D436" s="1088">
        <v>96.4</v>
      </c>
      <c r="E436" s="1089" t="s">
        <v>5308</v>
      </c>
      <c r="F436" s="1081">
        <f t="shared" si="1"/>
        <v>0</v>
      </c>
      <c r="G436" s="1083">
        <f t="shared" si="2"/>
        <v>96.4</v>
      </c>
      <c r="H436" s="1084"/>
    </row>
    <row r="437" ht="14.25" customHeight="1">
      <c r="A437" s="1085">
        <v>559.0</v>
      </c>
      <c r="B437" s="1086" t="s">
        <v>5742</v>
      </c>
      <c r="C437" s="1087" t="s">
        <v>1731</v>
      </c>
      <c r="D437" s="1088">
        <v>24.1</v>
      </c>
      <c r="E437" s="1089" t="s">
        <v>5308</v>
      </c>
      <c r="F437" s="1081">
        <f t="shared" si="1"/>
        <v>0</v>
      </c>
      <c r="G437" s="1083">
        <f t="shared" si="2"/>
        <v>24.1</v>
      </c>
      <c r="H437" s="1084"/>
    </row>
    <row r="438" ht="14.25" customHeight="1">
      <c r="A438" s="1085">
        <v>560.0</v>
      </c>
      <c r="B438" s="1086" t="s">
        <v>5743</v>
      </c>
      <c r="C438" s="1087" t="s">
        <v>1731</v>
      </c>
      <c r="D438" s="1088">
        <v>30.15</v>
      </c>
      <c r="E438" s="1089" t="s">
        <v>5308</v>
      </c>
      <c r="F438" s="1081">
        <f t="shared" si="1"/>
        <v>0</v>
      </c>
      <c r="G438" s="1083">
        <f t="shared" si="2"/>
        <v>30.15</v>
      </c>
      <c r="H438" s="1084"/>
    </row>
    <row r="439" ht="14.25" customHeight="1">
      <c r="A439" s="1085">
        <v>547.0</v>
      </c>
      <c r="B439" s="1086" t="s">
        <v>5744</v>
      </c>
      <c r="C439" s="1087" t="s">
        <v>1731</v>
      </c>
      <c r="D439" s="1088">
        <v>36.1</v>
      </c>
      <c r="E439" s="1089" t="s">
        <v>5308</v>
      </c>
      <c r="F439" s="1081">
        <f t="shared" si="1"/>
        <v>0</v>
      </c>
      <c r="G439" s="1083">
        <f t="shared" si="2"/>
        <v>36.1</v>
      </c>
      <c r="H439" s="1084"/>
    </row>
    <row r="440" ht="14.25" customHeight="1">
      <c r="A440" s="1085">
        <v>36207.0</v>
      </c>
      <c r="B440" s="1086" t="s">
        <v>5745</v>
      </c>
      <c r="C440" s="1087" t="s">
        <v>1788</v>
      </c>
      <c r="D440" s="1088">
        <v>402.18</v>
      </c>
      <c r="E440" s="1089" t="s">
        <v>5308</v>
      </c>
      <c r="F440" s="1081">
        <f t="shared" si="1"/>
        <v>0</v>
      </c>
      <c r="G440" s="1083">
        <f t="shared" si="2"/>
        <v>402.18</v>
      </c>
      <c r="H440" s="1084"/>
    </row>
    <row r="441" ht="14.25" customHeight="1">
      <c r="A441" s="1085">
        <v>36209.0</v>
      </c>
      <c r="B441" s="1086" t="s">
        <v>5746</v>
      </c>
      <c r="C441" s="1087" t="s">
        <v>1788</v>
      </c>
      <c r="D441" s="1088">
        <v>461.57</v>
      </c>
      <c r="E441" s="1089" t="s">
        <v>5308</v>
      </c>
      <c r="F441" s="1081">
        <f t="shared" si="1"/>
        <v>0</v>
      </c>
      <c r="G441" s="1083">
        <f t="shared" si="2"/>
        <v>461.57</v>
      </c>
      <c r="H441" s="1084"/>
    </row>
    <row r="442" ht="14.25" customHeight="1">
      <c r="A442" s="1085">
        <v>36210.0</v>
      </c>
      <c r="B442" s="1086" t="s">
        <v>5747</v>
      </c>
      <c r="C442" s="1087" t="s">
        <v>1788</v>
      </c>
      <c r="D442" s="1088">
        <v>499.4</v>
      </c>
      <c r="E442" s="1089" t="s">
        <v>5308</v>
      </c>
      <c r="F442" s="1081">
        <f t="shared" si="1"/>
        <v>0</v>
      </c>
      <c r="G442" s="1083">
        <f t="shared" si="2"/>
        <v>499.4</v>
      </c>
      <c r="H442" s="1084"/>
    </row>
    <row r="443" ht="14.25" customHeight="1">
      <c r="A443" s="1085">
        <v>36204.0</v>
      </c>
      <c r="B443" s="1086" t="s">
        <v>5748</v>
      </c>
      <c r="C443" s="1087" t="s">
        <v>1788</v>
      </c>
      <c r="D443" s="1088">
        <v>177.07</v>
      </c>
      <c r="E443" s="1089" t="s">
        <v>5308</v>
      </c>
      <c r="F443" s="1081">
        <f t="shared" si="1"/>
        <v>0</v>
      </c>
      <c r="G443" s="1083">
        <f t="shared" si="2"/>
        <v>177.07</v>
      </c>
      <c r="H443" s="1084"/>
    </row>
    <row r="444" ht="14.25" customHeight="1">
      <c r="A444" s="1085">
        <v>36205.0</v>
      </c>
      <c r="B444" s="1086" t="s">
        <v>5749</v>
      </c>
      <c r="C444" s="1087" t="s">
        <v>1788</v>
      </c>
      <c r="D444" s="1088">
        <v>196.65</v>
      </c>
      <c r="E444" s="1089" t="s">
        <v>5308</v>
      </c>
      <c r="F444" s="1081">
        <f t="shared" si="1"/>
        <v>0</v>
      </c>
      <c r="G444" s="1083">
        <f t="shared" si="2"/>
        <v>196.65</v>
      </c>
      <c r="H444" s="1084"/>
    </row>
    <row r="445" ht="14.25" customHeight="1">
      <c r="A445" s="1085">
        <v>36081.0</v>
      </c>
      <c r="B445" s="1086" t="s">
        <v>5750</v>
      </c>
      <c r="C445" s="1087" t="s">
        <v>1788</v>
      </c>
      <c r="D445" s="1088">
        <v>209.68</v>
      </c>
      <c r="E445" s="1089" t="s">
        <v>5308</v>
      </c>
      <c r="F445" s="1081">
        <f t="shared" si="1"/>
        <v>0</v>
      </c>
      <c r="G445" s="1083">
        <f t="shared" si="2"/>
        <v>209.68</v>
      </c>
      <c r="H445" s="1084"/>
    </row>
    <row r="446" ht="14.25" customHeight="1">
      <c r="A446" s="1085">
        <v>36206.0</v>
      </c>
      <c r="B446" s="1086" t="s">
        <v>5751</v>
      </c>
      <c r="C446" s="1087" t="s">
        <v>1788</v>
      </c>
      <c r="D446" s="1088">
        <v>219.67</v>
      </c>
      <c r="E446" s="1089" t="s">
        <v>5308</v>
      </c>
      <c r="F446" s="1081">
        <f t="shared" si="1"/>
        <v>0</v>
      </c>
      <c r="G446" s="1083">
        <f t="shared" si="2"/>
        <v>219.67</v>
      </c>
      <c r="H446" s="1084"/>
    </row>
    <row r="447" ht="14.25" customHeight="1">
      <c r="A447" s="1085">
        <v>36218.0</v>
      </c>
      <c r="B447" s="1086" t="s">
        <v>5752</v>
      </c>
      <c r="C447" s="1087" t="s">
        <v>1788</v>
      </c>
      <c r="D447" s="1088">
        <v>169.23</v>
      </c>
      <c r="E447" s="1089" t="s">
        <v>5308</v>
      </c>
      <c r="F447" s="1081">
        <f t="shared" si="1"/>
        <v>0</v>
      </c>
      <c r="G447" s="1083">
        <f t="shared" si="2"/>
        <v>169.23</v>
      </c>
      <c r="H447" s="1084"/>
    </row>
    <row r="448" ht="14.25" customHeight="1">
      <c r="A448" s="1085">
        <v>36220.0</v>
      </c>
      <c r="B448" s="1086" t="s">
        <v>5753</v>
      </c>
      <c r="C448" s="1087" t="s">
        <v>1788</v>
      </c>
      <c r="D448" s="1088">
        <v>194.05</v>
      </c>
      <c r="E448" s="1089" t="s">
        <v>5308</v>
      </c>
      <c r="F448" s="1081">
        <f t="shared" si="1"/>
        <v>0</v>
      </c>
      <c r="G448" s="1083">
        <f t="shared" si="2"/>
        <v>194.05</v>
      </c>
      <c r="H448" s="1084"/>
    </row>
    <row r="449" ht="14.25" customHeight="1">
      <c r="A449" s="1085">
        <v>36080.0</v>
      </c>
      <c r="B449" s="1086" t="s">
        <v>5754</v>
      </c>
      <c r="C449" s="1087" t="s">
        <v>1788</v>
      </c>
      <c r="D449" s="1088">
        <v>209.9</v>
      </c>
      <c r="E449" s="1089" t="s">
        <v>5308</v>
      </c>
      <c r="F449" s="1081">
        <f t="shared" si="1"/>
        <v>0</v>
      </c>
      <c r="G449" s="1083">
        <f t="shared" si="2"/>
        <v>209.9</v>
      </c>
      <c r="H449" s="1084"/>
    </row>
    <row r="450" ht="14.25" customHeight="1">
      <c r="A450" s="1085">
        <v>36223.0</v>
      </c>
      <c r="B450" s="1086" t="s">
        <v>5755</v>
      </c>
      <c r="C450" s="1087" t="s">
        <v>1788</v>
      </c>
      <c r="D450" s="1088">
        <v>219.8</v>
      </c>
      <c r="E450" s="1089" t="s">
        <v>5308</v>
      </c>
      <c r="F450" s="1081">
        <f t="shared" si="1"/>
        <v>0</v>
      </c>
      <c r="G450" s="1083">
        <f t="shared" si="2"/>
        <v>219.8</v>
      </c>
      <c r="H450" s="1084"/>
    </row>
    <row r="451" ht="14.25" customHeight="1">
      <c r="A451" s="1085">
        <v>38127.0</v>
      </c>
      <c r="B451" s="1086" t="s">
        <v>5756</v>
      </c>
      <c r="C451" s="1087" t="s">
        <v>1788</v>
      </c>
      <c r="D451" s="1088">
        <v>371.25</v>
      </c>
      <c r="E451" s="1089" t="s">
        <v>5308</v>
      </c>
      <c r="F451" s="1081">
        <f t="shared" si="1"/>
        <v>0</v>
      </c>
      <c r="G451" s="1083">
        <f t="shared" si="2"/>
        <v>371.25</v>
      </c>
      <c r="H451" s="1084"/>
    </row>
    <row r="452" ht="14.25" customHeight="1">
      <c r="A452" s="1085">
        <v>38060.0</v>
      </c>
      <c r="B452" s="1086" t="s">
        <v>5757</v>
      </c>
      <c r="C452" s="1087" t="s">
        <v>1788</v>
      </c>
      <c r="D452" s="1088">
        <v>50.03</v>
      </c>
      <c r="E452" s="1089" t="s">
        <v>5308</v>
      </c>
      <c r="F452" s="1081">
        <f t="shared" si="1"/>
        <v>0</v>
      </c>
      <c r="G452" s="1083">
        <f t="shared" si="2"/>
        <v>50.03</v>
      </c>
      <c r="H452" s="1084"/>
    </row>
    <row r="453" ht="14.25" customHeight="1">
      <c r="A453" s="1085">
        <v>10956.0</v>
      </c>
      <c r="B453" s="1086" t="s">
        <v>5758</v>
      </c>
      <c r="C453" s="1087" t="s">
        <v>1788</v>
      </c>
      <c r="D453" s="1088">
        <v>54.87</v>
      </c>
      <c r="E453" s="1089" t="s">
        <v>5308</v>
      </c>
      <c r="F453" s="1081">
        <f t="shared" si="1"/>
        <v>0</v>
      </c>
      <c r="G453" s="1083">
        <f t="shared" si="2"/>
        <v>54.87</v>
      </c>
      <c r="H453" s="1084"/>
    </row>
    <row r="454" ht="14.25" customHeight="1">
      <c r="A454" s="1085">
        <v>39380.0</v>
      </c>
      <c r="B454" s="1086" t="s">
        <v>5759</v>
      </c>
      <c r="C454" s="1087" t="s">
        <v>1788</v>
      </c>
      <c r="D454" s="1088">
        <v>19.61</v>
      </c>
      <c r="E454" s="1089" t="s">
        <v>5308</v>
      </c>
      <c r="F454" s="1081">
        <f t="shared" si="1"/>
        <v>0</v>
      </c>
      <c r="G454" s="1083">
        <f t="shared" si="2"/>
        <v>19.61</v>
      </c>
      <c r="H454" s="1084"/>
    </row>
    <row r="455" ht="14.25" customHeight="1">
      <c r="A455" s="1085">
        <v>44172.0</v>
      </c>
      <c r="B455" s="1086" t="s">
        <v>5760</v>
      </c>
      <c r="C455" s="1087" t="s">
        <v>1788</v>
      </c>
      <c r="D455" s="1088">
        <v>10.61</v>
      </c>
      <c r="E455" s="1089" t="s">
        <v>5554</v>
      </c>
      <c r="F455" s="1081">
        <f t="shared" si="1"/>
        <v>0</v>
      </c>
      <c r="G455" s="1083">
        <f t="shared" si="2"/>
        <v>10.61</v>
      </c>
      <c r="H455" s="1084"/>
    </row>
    <row r="456" ht="14.25" customHeight="1">
      <c r="A456" s="1085">
        <v>37597.0</v>
      </c>
      <c r="B456" s="1086" t="s">
        <v>5761</v>
      </c>
      <c r="C456" s="1087" t="s">
        <v>1788</v>
      </c>
      <c r="D456" s="1088">
        <v>632675.78</v>
      </c>
      <c r="E456" s="1089" t="s">
        <v>5482</v>
      </c>
      <c r="F456" s="1081">
        <f t="shared" si="1"/>
        <v>0</v>
      </c>
      <c r="G456" s="1083">
        <f t="shared" si="2"/>
        <v>632675.78</v>
      </c>
      <c r="H456" s="1084"/>
    </row>
    <row r="457" ht="14.25" customHeight="1">
      <c r="A457" s="1085">
        <v>183.0</v>
      </c>
      <c r="B457" s="1086" t="s">
        <v>5762</v>
      </c>
      <c r="C457" s="1087" t="s">
        <v>5763</v>
      </c>
      <c r="D457" s="1088">
        <v>280.0</v>
      </c>
      <c r="E457" s="1089" t="s">
        <v>5308</v>
      </c>
      <c r="F457" s="1081">
        <f t="shared" si="1"/>
        <v>0</v>
      </c>
      <c r="G457" s="1083">
        <f t="shared" si="2"/>
        <v>280</v>
      </c>
      <c r="H457" s="1084"/>
    </row>
    <row r="458" ht="14.25" customHeight="1">
      <c r="A458" s="1085">
        <v>184.0</v>
      </c>
      <c r="B458" s="1086" t="s">
        <v>5764</v>
      </c>
      <c r="C458" s="1087" t="s">
        <v>5763</v>
      </c>
      <c r="D458" s="1088">
        <v>173.41</v>
      </c>
      <c r="E458" s="1089" t="s">
        <v>5308</v>
      </c>
      <c r="F458" s="1081">
        <f t="shared" si="1"/>
        <v>0</v>
      </c>
      <c r="G458" s="1083">
        <f t="shared" si="2"/>
        <v>173.41</v>
      </c>
      <c r="H458" s="1084"/>
    </row>
    <row r="459" ht="14.25" customHeight="1">
      <c r="A459" s="1085">
        <v>181.0</v>
      </c>
      <c r="B459" s="1086" t="s">
        <v>5765</v>
      </c>
      <c r="C459" s="1087" t="s">
        <v>5763</v>
      </c>
      <c r="D459" s="1088">
        <v>373.93</v>
      </c>
      <c r="E459" s="1089" t="s">
        <v>5308</v>
      </c>
      <c r="F459" s="1081">
        <f t="shared" si="1"/>
        <v>0</v>
      </c>
      <c r="G459" s="1083">
        <f t="shared" si="2"/>
        <v>373.93</v>
      </c>
      <c r="H459" s="1084"/>
    </row>
    <row r="460" ht="14.25" customHeight="1">
      <c r="A460" s="1085">
        <v>20001.0</v>
      </c>
      <c r="B460" s="1086" t="s">
        <v>5766</v>
      </c>
      <c r="C460" s="1087" t="s">
        <v>5763</v>
      </c>
      <c r="D460" s="1088">
        <v>216.77</v>
      </c>
      <c r="E460" s="1089" t="s">
        <v>5308</v>
      </c>
      <c r="F460" s="1081">
        <f t="shared" si="1"/>
        <v>0</v>
      </c>
      <c r="G460" s="1083">
        <f t="shared" si="2"/>
        <v>216.77</v>
      </c>
      <c r="H460" s="1084"/>
    </row>
    <row r="461" ht="14.25" customHeight="1">
      <c r="A461" s="1085">
        <v>39837.0</v>
      </c>
      <c r="B461" s="1086" t="s">
        <v>5767</v>
      </c>
      <c r="C461" s="1087" t="s">
        <v>5763</v>
      </c>
      <c r="D461" s="1088">
        <v>324.78</v>
      </c>
      <c r="E461" s="1089" t="s">
        <v>5308</v>
      </c>
      <c r="F461" s="1081">
        <f t="shared" si="1"/>
        <v>0</v>
      </c>
      <c r="G461" s="1083">
        <f t="shared" si="2"/>
        <v>324.78</v>
      </c>
      <c r="H461" s="1084"/>
    </row>
    <row r="462" ht="14.25" customHeight="1">
      <c r="A462" s="1085">
        <v>43366.0</v>
      </c>
      <c r="B462" s="1086" t="s">
        <v>5768</v>
      </c>
      <c r="C462" s="1087" t="s">
        <v>3606</v>
      </c>
      <c r="D462" s="1088">
        <v>1.64</v>
      </c>
      <c r="E462" s="1089" t="s">
        <v>5308</v>
      </c>
      <c r="F462" s="1081">
        <f t="shared" si="1"/>
        <v>0</v>
      </c>
      <c r="G462" s="1083">
        <f t="shared" si="2"/>
        <v>1.64</v>
      </c>
      <c r="H462" s="1084"/>
    </row>
    <row r="463" ht="14.25" customHeight="1">
      <c r="A463" s="1085">
        <v>10535.0</v>
      </c>
      <c r="B463" s="1086" t="s">
        <v>5769</v>
      </c>
      <c r="C463" s="1087" t="s">
        <v>1788</v>
      </c>
      <c r="D463" s="1088">
        <v>4785.0</v>
      </c>
      <c r="E463" s="1089" t="s">
        <v>5482</v>
      </c>
      <c r="F463" s="1081">
        <f t="shared" si="1"/>
        <v>0</v>
      </c>
      <c r="G463" s="1083">
        <f t="shared" si="2"/>
        <v>4785</v>
      </c>
      <c r="H463" s="1084"/>
    </row>
    <row r="464" ht="14.25" customHeight="1">
      <c r="A464" s="1085">
        <v>10537.0</v>
      </c>
      <c r="B464" s="1086" t="s">
        <v>5770</v>
      </c>
      <c r="C464" s="1087" t="s">
        <v>1788</v>
      </c>
      <c r="D464" s="1088">
        <v>6525.44</v>
      </c>
      <c r="E464" s="1089" t="s">
        <v>5482</v>
      </c>
      <c r="F464" s="1081">
        <f t="shared" si="1"/>
        <v>0</v>
      </c>
      <c r="G464" s="1083">
        <f t="shared" si="2"/>
        <v>6525.44</v>
      </c>
      <c r="H464" s="1084"/>
    </row>
    <row r="465" ht="14.25" customHeight="1">
      <c r="A465" s="1085">
        <v>13891.0</v>
      </c>
      <c r="B465" s="1086" t="s">
        <v>5771</v>
      </c>
      <c r="C465" s="1087" t="s">
        <v>1788</v>
      </c>
      <c r="D465" s="1088">
        <v>5985.3</v>
      </c>
      <c r="E465" s="1089" t="s">
        <v>5482</v>
      </c>
      <c r="F465" s="1081">
        <f t="shared" si="1"/>
        <v>0</v>
      </c>
      <c r="G465" s="1083">
        <f t="shared" si="2"/>
        <v>5985.3</v>
      </c>
      <c r="H465" s="1084"/>
    </row>
    <row r="466" ht="14.25" customHeight="1">
      <c r="A466" s="1085">
        <v>44492.0</v>
      </c>
      <c r="B466" s="1086" t="s">
        <v>5772</v>
      </c>
      <c r="C466" s="1087" t="s">
        <v>1788</v>
      </c>
      <c r="D466" s="1088">
        <v>26033.64</v>
      </c>
      <c r="E466" s="1089" t="s">
        <v>5554</v>
      </c>
      <c r="F466" s="1081">
        <f t="shared" si="1"/>
        <v>0</v>
      </c>
      <c r="G466" s="1083">
        <f t="shared" si="2"/>
        <v>26033.64</v>
      </c>
      <c r="H466" s="1084"/>
    </row>
    <row r="467" ht="14.25" customHeight="1">
      <c r="A467" s="1085">
        <v>36396.0</v>
      </c>
      <c r="B467" s="1086" t="s">
        <v>5773</v>
      </c>
      <c r="C467" s="1087" t="s">
        <v>1788</v>
      </c>
      <c r="D467" s="1088">
        <v>5474.36</v>
      </c>
      <c r="E467" s="1089" t="s">
        <v>5482</v>
      </c>
      <c r="F467" s="1081">
        <f t="shared" si="1"/>
        <v>0</v>
      </c>
      <c r="G467" s="1083">
        <f t="shared" si="2"/>
        <v>5474.36</v>
      </c>
      <c r="H467" s="1084"/>
    </row>
    <row r="468" ht="14.25" customHeight="1">
      <c r="A468" s="1085">
        <v>36397.0</v>
      </c>
      <c r="B468" s="1086" t="s">
        <v>5774</v>
      </c>
      <c r="C468" s="1087" t="s">
        <v>1788</v>
      </c>
      <c r="D468" s="1088">
        <v>19464.4</v>
      </c>
      <c r="E468" s="1089" t="s">
        <v>5482</v>
      </c>
      <c r="F468" s="1081">
        <f t="shared" si="1"/>
        <v>0</v>
      </c>
      <c r="G468" s="1083">
        <f t="shared" si="2"/>
        <v>19464.4</v>
      </c>
      <c r="H468" s="1084"/>
    </row>
    <row r="469" ht="14.25" customHeight="1">
      <c r="A469" s="1085">
        <v>36398.0</v>
      </c>
      <c r="B469" s="1086" t="s">
        <v>5775</v>
      </c>
      <c r="C469" s="1087" t="s">
        <v>1788</v>
      </c>
      <c r="D469" s="1088">
        <v>23657.36</v>
      </c>
      <c r="E469" s="1089" t="s">
        <v>5482</v>
      </c>
      <c r="F469" s="1081">
        <f t="shared" si="1"/>
        <v>0</v>
      </c>
      <c r="G469" s="1083">
        <f t="shared" si="2"/>
        <v>23657.36</v>
      </c>
      <c r="H469" s="1084"/>
    </row>
    <row r="470" ht="14.25" customHeight="1">
      <c r="A470" s="1085">
        <v>647.0</v>
      </c>
      <c r="B470" s="1086" t="s">
        <v>5776</v>
      </c>
      <c r="C470" s="1087" t="s">
        <v>1470</v>
      </c>
      <c r="D470" s="1088">
        <v>18.46</v>
      </c>
      <c r="E470" s="1089" t="s">
        <v>5452</v>
      </c>
      <c r="F470" s="1081">
        <f t="shared" si="1"/>
        <v>18.46</v>
      </c>
      <c r="G470" s="1083">
        <f t="shared" si="2"/>
        <v>0</v>
      </c>
      <c r="H470" s="1084"/>
    </row>
    <row r="471" ht="14.25" customHeight="1">
      <c r="A471" s="1085">
        <v>40920.0</v>
      </c>
      <c r="B471" s="1086" t="s">
        <v>5777</v>
      </c>
      <c r="C471" s="1087" t="s">
        <v>5454</v>
      </c>
      <c r="D471" s="1088">
        <v>3232.82</v>
      </c>
      <c r="E471" s="1089" t="s">
        <v>5452</v>
      </c>
      <c r="F471" s="1081">
        <f t="shared" si="1"/>
        <v>3232.82</v>
      </c>
      <c r="G471" s="1083">
        <f t="shared" si="2"/>
        <v>0</v>
      </c>
      <c r="H471" s="1084"/>
    </row>
    <row r="472" ht="14.25" customHeight="1">
      <c r="A472" s="1085">
        <v>715.0</v>
      </c>
      <c r="B472" s="1086" t="s">
        <v>5778</v>
      </c>
      <c r="C472" s="1087" t="s">
        <v>1788</v>
      </c>
      <c r="D472" s="1088">
        <v>17.42</v>
      </c>
      <c r="E472" s="1089" t="s">
        <v>5308</v>
      </c>
      <c r="F472" s="1081">
        <f t="shared" si="1"/>
        <v>0</v>
      </c>
      <c r="G472" s="1083">
        <f t="shared" si="2"/>
        <v>17.42</v>
      </c>
      <c r="H472" s="1084"/>
    </row>
    <row r="473" ht="14.25" customHeight="1">
      <c r="A473" s="1085">
        <v>716.0</v>
      </c>
      <c r="B473" s="1086" t="s">
        <v>5779</v>
      </c>
      <c r="C473" s="1087" t="s">
        <v>1788</v>
      </c>
      <c r="D473" s="1088">
        <v>19.7</v>
      </c>
      <c r="E473" s="1089" t="s">
        <v>5308</v>
      </c>
      <c r="F473" s="1081">
        <f t="shared" si="1"/>
        <v>0</v>
      </c>
      <c r="G473" s="1083">
        <f t="shared" si="2"/>
        <v>19.7</v>
      </c>
      <c r="H473" s="1084"/>
    </row>
    <row r="474" ht="14.25" customHeight="1">
      <c r="A474" s="1085">
        <v>38783.0</v>
      </c>
      <c r="B474" s="1086" t="s">
        <v>5780</v>
      </c>
      <c r="C474" s="1087" t="s">
        <v>1788</v>
      </c>
      <c r="D474" s="1088">
        <v>1.07</v>
      </c>
      <c r="E474" s="1089" t="s">
        <v>5308</v>
      </c>
      <c r="F474" s="1081">
        <f t="shared" si="1"/>
        <v>0</v>
      </c>
      <c r="G474" s="1083">
        <f t="shared" si="2"/>
        <v>1.07</v>
      </c>
      <c r="H474" s="1084"/>
    </row>
    <row r="475" ht="14.25" customHeight="1">
      <c r="A475" s="1085">
        <v>37593.0</v>
      </c>
      <c r="B475" s="1086" t="s">
        <v>5781</v>
      </c>
      <c r="C475" s="1087" t="s">
        <v>1788</v>
      </c>
      <c r="D475" s="1088">
        <v>2.63</v>
      </c>
      <c r="E475" s="1089" t="s">
        <v>5308</v>
      </c>
      <c r="F475" s="1081">
        <f t="shared" si="1"/>
        <v>0</v>
      </c>
      <c r="G475" s="1083">
        <f t="shared" si="2"/>
        <v>2.63</v>
      </c>
      <c r="H475" s="1084"/>
    </row>
    <row r="476" ht="14.25" customHeight="1">
      <c r="A476" s="1085">
        <v>37594.0</v>
      </c>
      <c r="B476" s="1086" t="s">
        <v>5782</v>
      </c>
      <c r="C476" s="1087" t="s">
        <v>1788</v>
      </c>
      <c r="D476" s="1088">
        <v>3.27</v>
      </c>
      <c r="E476" s="1089" t="s">
        <v>5308</v>
      </c>
      <c r="F476" s="1081">
        <f t="shared" si="1"/>
        <v>0</v>
      </c>
      <c r="G476" s="1083">
        <f t="shared" si="2"/>
        <v>3.27</v>
      </c>
      <c r="H476" s="1084"/>
    </row>
    <row r="477" ht="14.25" customHeight="1">
      <c r="A477" s="1085">
        <v>37592.0</v>
      </c>
      <c r="B477" s="1086" t="s">
        <v>5783</v>
      </c>
      <c r="C477" s="1087" t="s">
        <v>1788</v>
      </c>
      <c r="D477" s="1088">
        <v>2.07</v>
      </c>
      <c r="E477" s="1089" t="s">
        <v>5308</v>
      </c>
      <c r="F477" s="1081">
        <f t="shared" si="1"/>
        <v>0</v>
      </c>
      <c r="G477" s="1083">
        <f t="shared" si="2"/>
        <v>2.07</v>
      </c>
      <c r="H477" s="1084"/>
    </row>
    <row r="478" ht="14.25" customHeight="1">
      <c r="A478" s="1085">
        <v>7270.0</v>
      </c>
      <c r="B478" s="1086" t="s">
        <v>5784</v>
      </c>
      <c r="C478" s="1087" t="s">
        <v>1788</v>
      </c>
      <c r="D478" s="1088">
        <v>0.92</v>
      </c>
      <c r="E478" s="1089" t="s">
        <v>5308</v>
      </c>
      <c r="F478" s="1081">
        <f t="shared" si="1"/>
        <v>0</v>
      </c>
      <c r="G478" s="1083">
        <f t="shared" si="2"/>
        <v>0.92</v>
      </c>
      <c r="H478" s="1084"/>
    </row>
    <row r="479" ht="14.25" customHeight="1">
      <c r="A479" s="1085">
        <v>7267.0</v>
      </c>
      <c r="B479" s="1086" t="s">
        <v>5785</v>
      </c>
      <c r="C479" s="1087" t="s">
        <v>1788</v>
      </c>
      <c r="D479" s="1088">
        <v>0.72</v>
      </c>
      <c r="E479" s="1089" t="s">
        <v>5308</v>
      </c>
      <c r="F479" s="1081">
        <f t="shared" si="1"/>
        <v>0</v>
      </c>
      <c r="G479" s="1083">
        <f t="shared" si="2"/>
        <v>0.72</v>
      </c>
      <c r="H479" s="1084"/>
    </row>
    <row r="480" ht="14.25" customHeight="1">
      <c r="A480" s="1085">
        <v>7271.0</v>
      </c>
      <c r="B480" s="1086" t="s">
        <v>5786</v>
      </c>
      <c r="C480" s="1087" t="s">
        <v>1788</v>
      </c>
      <c r="D480" s="1088">
        <v>0.8</v>
      </c>
      <c r="E480" s="1089" t="s">
        <v>5308</v>
      </c>
      <c r="F480" s="1081">
        <f t="shared" si="1"/>
        <v>0</v>
      </c>
      <c r="G480" s="1083">
        <f t="shared" si="2"/>
        <v>0.8</v>
      </c>
      <c r="H480" s="1084"/>
    </row>
    <row r="481" ht="14.25" customHeight="1">
      <c r="A481" s="1085">
        <v>7268.0</v>
      </c>
      <c r="B481" s="1086" t="s">
        <v>5787</v>
      </c>
      <c r="C481" s="1087" t="s">
        <v>1788</v>
      </c>
      <c r="D481" s="1088">
        <v>1.11</v>
      </c>
      <c r="E481" s="1089" t="s">
        <v>5308</v>
      </c>
      <c r="F481" s="1081">
        <f t="shared" si="1"/>
        <v>0</v>
      </c>
      <c r="G481" s="1083">
        <f t="shared" si="2"/>
        <v>1.11</v>
      </c>
      <c r="H481" s="1084"/>
    </row>
    <row r="482" ht="14.25" customHeight="1">
      <c r="A482" s="1085">
        <v>41372.0</v>
      </c>
      <c r="B482" s="1086" t="s">
        <v>5788</v>
      </c>
      <c r="C482" s="1087" t="s">
        <v>1814</v>
      </c>
      <c r="D482" s="1088">
        <v>107.44</v>
      </c>
      <c r="E482" s="1089" t="s">
        <v>5308</v>
      </c>
      <c r="F482" s="1081">
        <f t="shared" si="1"/>
        <v>0</v>
      </c>
      <c r="G482" s="1083">
        <f t="shared" si="2"/>
        <v>107.44</v>
      </c>
      <c r="H482" s="1084"/>
    </row>
    <row r="483" ht="14.25" customHeight="1">
      <c r="A483" s="1085">
        <v>41371.0</v>
      </c>
      <c r="B483" s="1086" t="s">
        <v>5789</v>
      </c>
      <c r="C483" s="1087" t="s">
        <v>1814</v>
      </c>
      <c r="D483" s="1088">
        <v>63.51</v>
      </c>
      <c r="E483" s="1089" t="s">
        <v>5308</v>
      </c>
      <c r="F483" s="1081">
        <f t="shared" si="1"/>
        <v>0</v>
      </c>
      <c r="G483" s="1083">
        <f t="shared" si="2"/>
        <v>63.51</v>
      </c>
      <c r="H483" s="1084"/>
    </row>
    <row r="484" ht="14.25" customHeight="1">
      <c r="A484" s="1085">
        <v>34556.0</v>
      </c>
      <c r="B484" s="1086" t="s">
        <v>5790</v>
      </c>
      <c r="C484" s="1087" t="s">
        <v>1788</v>
      </c>
      <c r="D484" s="1088">
        <v>3.78</v>
      </c>
      <c r="E484" s="1089" t="s">
        <v>5308</v>
      </c>
      <c r="F484" s="1081">
        <f t="shared" si="1"/>
        <v>0</v>
      </c>
      <c r="G484" s="1083">
        <f t="shared" si="2"/>
        <v>3.78</v>
      </c>
      <c r="H484" s="1084"/>
    </row>
    <row r="485" ht="14.25" customHeight="1">
      <c r="A485" s="1085">
        <v>37873.0</v>
      </c>
      <c r="B485" s="1086" t="s">
        <v>5791</v>
      </c>
      <c r="C485" s="1087" t="s">
        <v>1788</v>
      </c>
      <c r="D485" s="1088">
        <v>3.85</v>
      </c>
      <c r="E485" s="1089" t="s">
        <v>5308</v>
      </c>
      <c r="F485" s="1081">
        <f t="shared" si="1"/>
        <v>0</v>
      </c>
      <c r="G485" s="1083">
        <f t="shared" si="2"/>
        <v>3.85</v>
      </c>
      <c r="H485" s="1084"/>
    </row>
    <row r="486" ht="14.25" customHeight="1">
      <c r="A486" s="1085">
        <v>34564.0</v>
      </c>
      <c r="B486" s="1086" t="s">
        <v>5792</v>
      </c>
      <c r="C486" s="1087" t="s">
        <v>1788</v>
      </c>
      <c r="D486" s="1088">
        <v>4.03</v>
      </c>
      <c r="E486" s="1089" t="s">
        <v>5308</v>
      </c>
      <c r="F486" s="1081">
        <f t="shared" si="1"/>
        <v>0</v>
      </c>
      <c r="G486" s="1083">
        <f t="shared" si="2"/>
        <v>4.03</v>
      </c>
      <c r="H486" s="1084"/>
    </row>
    <row r="487" ht="14.25" customHeight="1">
      <c r="A487" s="1085">
        <v>34565.0</v>
      </c>
      <c r="B487" s="1086" t="s">
        <v>5793</v>
      </c>
      <c r="C487" s="1087" t="s">
        <v>1788</v>
      </c>
      <c r="D487" s="1088">
        <v>4.26</v>
      </c>
      <c r="E487" s="1089" t="s">
        <v>5308</v>
      </c>
      <c r="F487" s="1081">
        <f t="shared" si="1"/>
        <v>0</v>
      </c>
      <c r="G487" s="1083">
        <f t="shared" si="2"/>
        <v>4.26</v>
      </c>
      <c r="H487" s="1084"/>
    </row>
    <row r="488" ht="14.25" customHeight="1">
      <c r="A488" s="1085">
        <v>38590.0</v>
      </c>
      <c r="B488" s="1086" t="s">
        <v>5794</v>
      </c>
      <c r="C488" s="1087" t="s">
        <v>1788</v>
      </c>
      <c r="D488" s="1088">
        <v>3.15</v>
      </c>
      <c r="E488" s="1089" t="s">
        <v>5308</v>
      </c>
      <c r="F488" s="1081">
        <f t="shared" si="1"/>
        <v>0</v>
      </c>
      <c r="G488" s="1083">
        <f t="shared" si="2"/>
        <v>3.15</v>
      </c>
      <c r="H488" s="1084"/>
    </row>
    <row r="489" ht="14.25" customHeight="1">
      <c r="A489" s="1085">
        <v>34566.0</v>
      </c>
      <c r="B489" s="1086" t="s">
        <v>5795</v>
      </c>
      <c r="C489" s="1087" t="s">
        <v>1788</v>
      </c>
      <c r="D489" s="1088">
        <v>3.31</v>
      </c>
      <c r="E489" s="1089" t="s">
        <v>5308</v>
      </c>
      <c r="F489" s="1081">
        <f t="shared" si="1"/>
        <v>0</v>
      </c>
      <c r="G489" s="1083">
        <f t="shared" si="2"/>
        <v>3.31</v>
      </c>
      <c r="H489" s="1084"/>
    </row>
    <row r="490" ht="14.25" customHeight="1">
      <c r="A490" s="1085">
        <v>34567.0</v>
      </c>
      <c r="B490" s="1086" t="s">
        <v>5796</v>
      </c>
      <c r="C490" s="1087" t="s">
        <v>1788</v>
      </c>
      <c r="D490" s="1088">
        <v>3.51</v>
      </c>
      <c r="E490" s="1089" t="s">
        <v>5308</v>
      </c>
      <c r="F490" s="1081">
        <f t="shared" si="1"/>
        <v>0</v>
      </c>
      <c r="G490" s="1083">
        <f t="shared" si="2"/>
        <v>3.51</v>
      </c>
      <c r="H490" s="1084"/>
    </row>
    <row r="491" ht="14.25" customHeight="1">
      <c r="A491" s="1085">
        <v>38591.0</v>
      </c>
      <c r="B491" s="1086" t="s">
        <v>5797</v>
      </c>
      <c r="C491" s="1087" t="s">
        <v>1788</v>
      </c>
      <c r="D491" s="1088">
        <v>3.18</v>
      </c>
      <c r="E491" s="1089" t="s">
        <v>5308</v>
      </c>
      <c r="F491" s="1081">
        <f t="shared" si="1"/>
        <v>0</v>
      </c>
      <c r="G491" s="1083">
        <f t="shared" si="2"/>
        <v>3.18</v>
      </c>
      <c r="H491" s="1084"/>
    </row>
    <row r="492" ht="14.25" customHeight="1">
      <c r="A492" s="1085">
        <v>34568.0</v>
      </c>
      <c r="B492" s="1086" t="s">
        <v>5798</v>
      </c>
      <c r="C492" s="1087" t="s">
        <v>1788</v>
      </c>
      <c r="D492" s="1088">
        <v>4.14</v>
      </c>
      <c r="E492" s="1089" t="s">
        <v>5308</v>
      </c>
      <c r="F492" s="1081">
        <f t="shared" si="1"/>
        <v>0</v>
      </c>
      <c r="G492" s="1083">
        <f t="shared" si="2"/>
        <v>4.14</v>
      </c>
      <c r="H492" s="1084"/>
    </row>
    <row r="493" ht="14.25" customHeight="1">
      <c r="A493" s="1085">
        <v>34569.0</v>
      </c>
      <c r="B493" s="1086" t="s">
        <v>5799</v>
      </c>
      <c r="C493" s="1087" t="s">
        <v>1788</v>
      </c>
      <c r="D493" s="1088">
        <v>4.26</v>
      </c>
      <c r="E493" s="1089" t="s">
        <v>5308</v>
      </c>
      <c r="F493" s="1081">
        <f t="shared" si="1"/>
        <v>0</v>
      </c>
      <c r="G493" s="1083">
        <f t="shared" si="2"/>
        <v>4.26</v>
      </c>
      <c r="H493" s="1084"/>
    </row>
    <row r="494" ht="14.25" customHeight="1">
      <c r="A494" s="1085">
        <v>34570.0</v>
      </c>
      <c r="B494" s="1086" t="s">
        <v>5800</v>
      </c>
      <c r="C494" s="1087" t="s">
        <v>1788</v>
      </c>
      <c r="D494" s="1088">
        <v>4.63</v>
      </c>
      <c r="E494" s="1089" t="s">
        <v>5308</v>
      </c>
      <c r="F494" s="1081">
        <f t="shared" si="1"/>
        <v>0</v>
      </c>
      <c r="G494" s="1083">
        <f t="shared" si="2"/>
        <v>4.63</v>
      </c>
      <c r="H494" s="1084"/>
    </row>
    <row r="495" ht="14.25" customHeight="1">
      <c r="A495" s="1085">
        <v>25070.0</v>
      </c>
      <c r="B495" s="1086" t="s">
        <v>5801</v>
      </c>
      <c r="C495" s="1087" t="s">
        <v>1788</v>
      </c>
      <c r="D495" s="1088">
        <v>3.48</v>
      </c>
      <c r="E495" s="1089" t="s">
        <v>5308</v>
      </c>
      <c r="F495" s="1081">
        <f t="shared" si="1"/>
        <v>0</v>
      </c>
      <c r="G495" s="1083">
        <f t="shared" si="2"/>
        <v>3.48</v>
      </c>
      <c r="H495" s="1084"/>
    </row>
    <row r="496" ht="14.25" customHeight="1">
      <c r="A496" s="1085">
        <v>34571.0</v>
      </c>
      <c r="B496" s="1086" t="s">
        <v>5802</v>
      </c>
      <c r="C496" s="1087" t="s">
        <v>1788</v>
      </c>
      <c r="D496" s="1088">
        <v>3.51</v>
      </c>
      <c r="E496" s="1089" t="s">
        <v>5308</v>
      </c>
      <c r="F496" s="1081">
        <f t="shared" si="1"/>
        <v>0</v>
      </c>
      <c r="G496" s="1083">
        <f t="shared" si="2"/>
        <v>3.51</v>
      </c>
      <c r="H496" s="1084"/>
    </row>
    <row r="497" ht="14.25" customHeight="1">
      <c r="A497" s="1085">
        <v>34573.0</v>
      </c>
      <c r="B497" s="1086" t="s">
        <v>5803</v>
      </c>
      <c r="C497" s="1087" t="s">
        <v>1788</v>
      </c>
      <c r="D497" s="1088">
        <v>3.7</v>
      </c>
      <c r="E497" s="1089" t="s">
        <v>5308</v>
      </c>
      <c r="F497" s="1081">
        <f t="shared" si="1"/>
        <v>0</v>
      </c>
      <c r="G497" s="1083">
        <f t="shared" si="2"/>
        <v>3.7</v>
      </c>
      <c r="H497" s="1084"/>
    </row>
    <row r="498" ht="14.25" customHeight="1">
      <c r="A498" s="1085">
        <v>37107.0</v>
      </c>
      <c r="B498" s="1086" t="s">
        <v>5804</v>
      </c>
      <c r="C498" s="1087" t="s">
        <v>1788</v>
      </c>
      <c r="D498" s="1088">
        <v>4.88</v>
      </c>
      <c r="E498" s="1089" t="s">
        <v>5308</v>
      </c>
      <c r="F498" s="1081">
        <f t="shared" si="1"/>
        <v>0</v>
      </c>
      <c r="G498" s="1083">
        <f t="shared" si="2"/>
        <v>4.88</v>
      </c>
      <c r="H498" s="1084"/>
    </row>
    <row r="499" ht="14.25" customHeight="1">
      <c r="A499" s="1085">
        <v>34576.0</v>
      </c>
      <c r="B499" s="1086" t="s">
        <v>5805</v>
      </c>
      <c r="C499" s="1087" t="s">
        <v>1788</v>
      </c>
      <c r="D499" s="1088">
        <v>5.39</v>
      </c>
      <c r="E499" s="1089" t="s">
        <v>5308</v>
      </c>
      <c r="F499" s="1081">
        <f t="shared" si="1"/>
        <v>0</v>
      </c>
      <c r="G499" s="1083">
        <f t="shared" si="2"/>
        <v>5.39</v>
      </c>
      <c r="H499" s="1084"/>
    </row>
    <row r="500" ht="14.25" customHeight="1">
      <c r="A500" s="1085">
        <v>34577.0</v>
      </c>
      <c r="B500" s="1086" t="s">
        <v>5806</v>
      </c>
      <c r="C500" s="1087" t="s">
        <v>1788</v>
      </c>
      <c r="D500" s="1088">
        <v>5.62</v>
      </c>
      <c r="E500" s="1089" t="s">
        <v>5308</v>
      </c>
      <c r="F500" s="1081">
        <f t="shared" si="1"/>
        <v>0</v>
      </c>
      <c r="G500" s="1083">
        <f t="shared" si="2"/>
        <v>5.62</v>
      </c>
      <c r="H500" s="1084"/>
    </row>
    <row r="501" ht="14.25" customHeight="1">
      <c r="A501" s="1085">
        <v>34578.0</v>
      </c>
      <c r="B501" s="1086" t="s">
        <v>5807</v>
      </c>
      <c r="C501" s="1087" t="s">
        <v>1788</v>
      </c>
      <c r="D501" s="1088">
        <v>6.1</v>
      </c>
      <c r="E501" s="1089" t="s">
        <v>5308</v>
      </c>
      <c r="F501" s="1081">
        <f t="shared" si="1"/>
        <v>0</v>
      </c>
      <c r="G501" s="1083">
        <f t="shared" si="2"/>
        <v>6.1</v>
      </c>
      <c r="H501" s="1084"/>
    </row>
    <row r="502" ht="14.25" customHeight="1">
      <c r="A502" s="1085">
        <v>34579.0</v>
      </c>
      <c r="B502" s="1086" t="s">
        <v>5808</v>
      </c>
      <c r="C502" s="1087" t="s">
        <v>1788</v>
      </c>
      <c r="D502" s="1088">
        <v>6.5</v>
      </c>
      <c r="E502" s="1089" t="s">
        <v>5308</v>
      </c>
      <c r="F502" s="1081">
        <f t="shared" si="1"/>
        <v>0</v>
      </c>
      <c r="G502" s="1083">
        <f t="shared" si="2"/>
        <v>6.5</v>
      </c>
      <c r="H502" s="1084"/>
    </row>
    <row r="503" ht="14.25" customHeight="1">
      <c r="A503" s="1085">
        <v>25067.0</v>
      </c>
      <c r="B503" s="1086" t="s">
        <v>5809</v>
      </c>
      <c r="C503" s="1087" t="s">
        <v>1788</v>
      </c>
      <c r="D503" s="1088">
        <v>4.35</v>
      </c>
      <c r="E503" s="1089" t="s">
        <v>5308</v>
      </c>
      <c r="F503" s="1081">
        <f t="shared" si="1"/>
        <v>0</v>
      </c>
      <c r="G503" s="1083">
        <f t="shared" si="2"/>
        <v>4.35</v>
      </c>
      <c r="H503" s="1084"/>
    </row>
    <row r="504" ht="14.25" customHeight="1">
      <c r="A504" s="1085">
        <v>34580.0</v>
      </c>
      <c r="B504" s="1086" t="s">
        <v>5810</v>
      </c>
      <c r="C504" s="1087" t="s">
        <v>1788</v>
      </c>
      <c r="D504" s="1088">
        <v>4.86</v>
      </c>
      <c r="E504" s="1089" t="s">
        <v>5308</v>
      </c>
      <c r="F504" s="1081">
        <f t="shared" si="1"/>
        <v>0</v>
      </c>
      <c r="G504" s="1083">
        <f t="shared" si="2"/>
        <v>4.86</v>
      </c>
      <c r="H504" s="1084"/>
    </row>
    <row r="505" ht="14.25" customHeight="1">
      <c r="A505" s="1085">
        <v>25071.0</v>
      </c>
      <c r="B505" s="1086" t="s">
        <v>5811</v>
      </c>
      <c r="C505" s="1087" t="s">
        <v>1788</v>
      </c>
      <c r="D505" s="1088">
        <v>2.42</v>
      </c>
      <c r="E505" s="1089" t="s">
        <v>5308</v>
      </c>
      <c r="F505" s="1081">
        <f t="shared" si="1"/>
        <v>0</v>
      </c>
      <c r="G505" s="1083">
        <f t="shared" si="2"/>
        <v>2.42</v>
      </c>
      <c r="H505" s="1084"/>
    </row>
    <row r="506" ht="14.25" customHeight="1">
      <c r="A506" s="1085">
        <v>44171.0</v>
      </c>
      <c r="B506" s="1086" t="s">
        <v>5812</v>
      </c>
      <c r="C506" s="1087" t="s">
        <v>1788</v>
      </c>
      <c r="D506" s="1088">
        <v>30.27</v>
      </c>
      <c r="E506" s="1089" t="s">
        <v>5554</v>
      </c>
      <c r="F506" s="1081">
        <f t="shared" si="1"/>
        <v>0</v>
      </c>
      <c r="G506" s="1083">
        <f t="shared" si="2"/>
        <v>30.27</v>
      </c>
      <c r="H506" s="1084"/>
    </row>
    <row r="507" ht="14.25" customHeight="1">
      <c r="A507" s="1085">
        <v>38395.0</v>
      </c>
      <c r="B507" s="1086" t="s">
        <v>5813</v>
      </c>
      <c r="C507" s="1087" t="s">
        <v>1788</v>
      </c>
      <c r="D507" s="1088">
        <v>8.1</v>
      </c>
      <c r="E507" s="1089" t="s">
        <v>5308</v>
      </c>
      <c r="F507" s="1081">
        <f t="shared" si="1"/>
        <v>0</v>
      </c>
      <c r="G507" s="1083">
        <f t="shared" si="2"/>
        <v>8.1</v>
      </c>
      <c r="H507" s="1084"/>
    </row>
    <row r="508" ht="14.25" customHeight="1">
      <c r="A508" s="1085">
        <v>34583.0</v>
      </c>
      <c r="B508" s="1086" t="s">
        <v>5814</v>
      </c>
      <c r="C508" s="1087" t="s">
        <v>1814</v>
      </c>
      <c r="D508" s="1088">
        <v>55.7</v>
      </c>
      <c r="E508" s="1089" t="s">
        <v>5308</v>
      </c>
      <c r="F508" s="1081">
        <f t="shared" si="1"/>
        <v>0</v>
      </c>
      <c r="G508" s="1083">
        <f t="shared" si="2"/>
        <v>55.7</v>
      </c>
      <c r="H508" s="1084"/>
    </row>
    <row r="509" ht="14.25" customHeight="1">
      <c r="A509" s="1085">
        <v>34584.0</v>
      </c>
      <c r="B509" s="1086" t="s">
        <v>5815</v>
      </c>
      <c r="C509" s="1087" t="s">
        <v>1814</v>
      </c>
      <c r="D509" s="1088">
        <v>40.85</v>
      </c>
      <c r="E509" s="1089" t="s">
        <v>5308</v>
      </c>
      <c r="F509" s="1081">
        <f t="shared" si="1"/>
        <v>0</v>
      </c>
      <c r="G509" s="1083">
        <f t="shared" si="2"/>
        <v>40.85</v>
      </c>
      <c r="H509" s="1084"/>
    </row>
    <row r="510" ht="14.25" customHeight="1">
      <c r="A510" s="1085">
        <v>709.0</v>
      </c>
      <c r="B510" s="1086" t="s">
        <v>5816</v>
      </c>
      <c r="C510" s="1087" t="s">
        <v>1814</v>
      </c>
      <c r="D510" s="1088">
        <v>776.35</v>
      </c>
      <c r="E510" s="1089" t="s">
        <v>5308</v>
      </c>
      <c r="F510" s="1081">
        <f t="shared" si="1"/>
        <v>0</v>
      </c>
      <c r="G510" s="1083">
        <f t="shared" si="2"/>
        <v>776.35</v>
      </c>
      <c r="H510" s="1084"/>
    </row>
    <row r="511" ht="14.25" customHeight="1">
      <c r="A511" s="1085">
        <v>34599.0</v>
      </c>
      <c r="B511" s="1086" t="s">
        <v>5817</v>
      </c>
      <c r="C511" s="1087" t="s">
        <v>1788</v>
      </c>
      <c r="D511" s="1088">
        <v>2.48</v>
      </c>
      <c r="E511" s="1089" t="s">
        <v>5308</v>
      </c>
      <c r="F511" s="1081">
        <f t="shared" si="1"/>
        <v>0</v>
      </c>
      <c r="G511" s="1083">
        <f t="shared" si="2"/>
        <v>2.48</v>
      </c>
      <c r="H511" s="1084"/>
    </row>
    <row r="512" ht="14.25" customHeight="1">
      <c r="A512" s="1085">
        <v>34592.0</v>
      </c>
      <c r="B512" s="1086" t="s">
        <v>5818</v>
      </c>
      <c r="C512" s="1087" t="s">
        <v>1788</v>
      </c>
      <c r="D512" s="1088">
        <v>2.77</v>
      </c>
      <c r="E512" s="1089" t="s">
        <v>5308</v>
      </c>
      <c r="F512" s="1081">
        <f t="shared" si="1"/>
        <v>0</v>
      </c>
      <c r="G512" s="1083">
        <f t="shared" si="2"/>
        <v>2.77</v>
      </c>
      <c r="H512" s="1084"/>
    </row>
    <row r="513" ht="14.25" customHeight="1">
      <c r="A513" s="1085">
        <v>37103.0</v>
      </c>
      <c r="B513" s="1086" t="s">
        <v>5819</v>
      </c>
      <c r="C513" s="1087" t="s">
        <v>1788</v>
      </c>
      <c r="D513" s="1088">
        <v>3.17</v>
      </c>
      <c r="E513" s="1089" t="s">
        <v>5308</v>
      </c>
      <c r="F513" s="1081">
        <f t="shared" si="1"/>
        <v>0</v>
      </c>
      <c r="G513" s="1083">
        <f t="shared" si="2"/>
        <v>3.17</v>
      </c>
      <c r="H513" s="1084"/>
    </row>
    <row r="514" ht="14.25" customHeight="1">
      <c r="A514" s="1085">
        <v>34555.0</v>
      </c>
      <c r="B514" s="1086" t="s">
        <v>5820</v>
      </c>
      <c r="C514" s="1087" t="s">
        <v>1788</v>
      </c>
      <c r="D514" s="1088">
        <v>4.02</v>
      </c>
      <c r="E514" s="1089" t="s">
        <v>5308</v>
      </c>
      <c r="F514" s="1081">
        <f t="shared" si="1"/>
        <v>0</v>
      </c>
      <c r="G514" s="1083">
        <f t="shared" si="2"/>
        <v>4.02</v>
      </c>
      <c r="H514" s="1084"/>
    </row>
    <row r="515" ht="14.25" customHeight="1">
      <c r="A515" s="1085">
        <v>674.0</v>
      </c>
      <c r="B515" s="1086" t="s">
        <v>5821</v>
      </c>
      <c r="C515" s="1087" t="s">
        <v>1814</v>
      </c>
      <c r="D515" s="1088">
        <v>76.56</v>
      </c>
      <c r="E515" s="1089" t="s">
        <v>5308</v>
      </c>
      <c r="F515" s="1081">
        <f t="shared" si="1"/>
        <v>0</v>
      </c>
      <c r="G515" s="1083">
        <f t="shared" si="2"/>
        <v>76.56</v>
      </c>
      <c r="H515" s="1084"/>
    </row>
    <row r="516" ht="14.25" customHeight="1">
      <c r="A516" s="1085">
        <v>34600.0</v>
      </c>
      <c r="B516" s="1086" t="s">
        <v>5822</v>
      </c>
      <c r="C516" s="1087" t="s">
        <v>1814</v>
      </c>
      <c r="D516" s="1088">
        <v>112.45</v>
      </c>
      <c r="E516" s="1089" t="s">
        <v>5308</v>
      </c>
      <c r="F516" s="1081">
        <f t="shared" si="1"/>
        <v>0</v>
      </c>
      <c r="G516" s="1083">
        <f t="shared" si="2"/>
        <v>112.45</v>
      </c>
      <c r="H516" s="1084"/>
    </row>
    <row r="517" ht="14.25" customHeight="1">
      <c r="A517" s="1085">
        <v>652.0</v>
      </c>
      <c r="B517" s="1086" t="s">
        <v>5823</v>
      </c>
      <c r="C517" s="1087" t="s">
        <v>1814</v>
      </c>
      <c r="D517" s="1088">
        <v>172.26</v>
      </c>
      <c r="E517" s="1089" t="s">
        <v>5308</v>
      </c>
      <c r="F517" s="1081">
        <f t="shared" si="1"/>
        <v>0</v>
      </c>
      <c r="G517" s="1083">
        <f t="shared" si="2"/>
        <v>172.26</v>
      </c>
      <c r="H517" s="1084"/>
    </row>
    <row r="518" ht="14.25" customHeight="1">
      <c r="A518" s="1085">
        <v>651.0</v>
      </c>
      <c r="B518" s="1086" t="s">
        <v>5824</v>
      </c>
      <c r="C518" s="1087" t="s">
        <v>1788</v>
      </c>
      <c r="D518" s="1088">
        <v>3.05</v>
      </c>
      <c r="E518" s="1089" t="s">
        <v>5308</v>
      </c>
      <c r="F518" s="1081">
        <f t="shared" si="1"/>
        <v>0</v>
      </c>
      <c r="G518" s="1083">
        <f t="shared" si="2"/>
        <v>3.05</v>
      </c>
      <c r="H518" s="1084"/>
    </row>
    <row r="519" ht="14.25" customHeight="1">
      <c r="A519" s="1085">
        <v>654.0</v>
      </c>
      <c r="B519" s="1086" t="s">
        <v>5825</v>
      </c>
      <c r="C519" s="1087" t="s">
        <v>1788</v>
      </c>
      <c r="D519" s="1088">
        <v>3.78</v>
      </c>
      <c r="E519" s="1089" t="s">
        <v>5308</v>
      </c>
      <c r="F519" s="1081">
        <f t="shared" si="1"/>
        <v>0</v>
      </c>
      <c r="G519" s="1083">
        <f t="shared" si="2"/>
        <v>3.78</v>
      </c>
      <c r="H519" s="1084"/>
    </row>
    <row r="520" ht="14.25" customHeight="1">
      <c r="A520" s="1085">
        <v>650.0</v>
      </c>
      <c r="B520" s="1086" t="s">
        <v>5826</v>
      </c>
      <c r="C520" s="1087" t="s">
        <v>1788</v>
      </c>
      <c r="D520" s="1088">
        <v>2.44</v>
      </c>
      <c r="E520" s="1089" t="s">
        <v>5308</v>
      </c>
      <c r="F520" s="1081">
        <f t="shared" si="1"/>
        <v>0</v>
      </c>
      <c r="G520" s="1083">
        <f t="shared" si="2"/>
        <v>2.44</v>
      </c>
      <c r="H520" s="1084"/>
    </row>
    <row r="521" ht="14.25" customHeight="1">
      <c r="A521" s="1085">
        <v>718.0</v>
      </c>
      <c r="B521" s="1086" t="s">
        <v>5827</v>
      </c>
      <c r="C521" s="1087" t="s">
        <v>1788</v>
      </c>
      <c r="D521" s="1088">
        <v>17.21</v>
      </c>
      <c r="E521" s="1089" t="s">
        <v>5308</v>
      </c>
      <c r="F521" s="1081">
        <f t="shared" si="1"/>
        <v>0</v>
      </c>
      <c r="G521" s="1083">
        <f t="shared" si="2"/>
        <v>17.21</v>
      </c>
      <c r="H521" s="1084"/>
    </row>
    <row r="522" ht="14.25" customHeight="1">
      <c r="A522" s="1085">
        <v>11981.0</v>
      </c>
      <c r="B522" s="1086" t="s">
        <v>5828</v>
      </c>
      <c r="C522" s="1087" t="s">
        <v>1788</v>
      </c>
      <c r="D522" s="1088">
        <v>16.72</v>
      </c>
      <c r="E522" s="1089" t="s">
        <v>5308</v>
      </c>
      <c r="F522" s="1081">
        <f t="shared" si="1"/>
        <v>0</v>
      </c>
      <c r="G522" s="1083">
        <f t="shared" si="2"/>
        <v>16.72</v>
      </c>
      <c r="H522" s="1084"/>
    </row>
    <row r="523" ht="14.25" customHeight="1">
      <c r="A523" s="1085">
        <v>34586.0</v>
      </c>
      <c r="B523" s="1086" t="s">
        <v>5829</v>
      </c>
      <c r="C523" s="1087" t="s">
        <v>1788</v>
      </c>
      <c r="D523" s="1088">
        <v>2.24</v>
      </c>
      <c r="E523" s="1089" t="s">
        <v>5308</v>
      </c>
      <c r="F523" s="1081">
        <f t="shared" si="1"/>
        <v>0</v>
      </c>
      <c r="G523" s="1083">
        <f t="shared" si="2"/>
        <v>2.24</v>
      </c>
      <c r="H523" s="1084"/>
    </row>
    <row r="524" ht="14.25" customHeight="1">
      <c r="A524" s="1085">
        <v>38603.0</v>
      </c>
      <c r="B524" s="1086" t="s">
        <v>5830</v>
      </c>
      <c r="C524" s="1087" t="s">
        <v>1788</v>
      </c>
      <c r="D524" s="1088">
        <v>2.72</v>
      </c>
      <c r="E524" s="1089" t="s">
        <v>5308</v>
      </c>
      <c r="F524" s="1081">
        <f t="shared" si="1"/>
        <v>0</v>
      </c>
      <c r="G524" s="1083">
        <f t="shared" si="2"/>
        <v>2.72</v>
      </c>
      <c r="H524" s="1084"/>
    </row>
    <row r="525" ht="14.25" customHeight="1">
      <c r="A525" s="1085">
        <v>34588.0</v>
      </c>
      <c r="B525" s="1086" t="s">
        <v>5831</v>
      </c>
      <c r="C525" s="1087" t="s">
        <v>1788</v>
      </c>
      <c r="D525" s="1088">
        <v>2.93</v>
      </c>
      <c r="E525" s="1089" t="s">
        <v>5308</v>
      </c>
      <c r="F525" s="1081">
        <f t="shared" si="1"/>
        <v>0</v>
      </c>
      <c r="G525" s="1083">
        <f t="shared" si="2"/>
        <v>2.93</v>
      </c>
      <c r="H525" s="1084"/>
    </row>
    <row r="526" ht="14.25" customHeight="1">
      <c r="A526" s="1085">
        <v>34590.0</v>
      </c>
      <c r="B526" s="1086" t="s">
        <v>5832</v>
      </c>
      <c r="C526" s="1087" t="s">
        <v>1788</v>
      </c>
      <c r="D526" s="1088">
        <v>2.68</v>
      </c>
      <c r="E526" s="1089" t="s">
        <v>5308</v>
      </c>
      <c r="F526" s="1081">
        <f t="shared" si="1"/>
        <v>0</v>
      </c>
      <c r="G526" s="1083">
        <f t="shared" si="2"/>
        <v>2.68</v>
      </c>
      <c r="H526" s="1084"/>
    </row>
    <row r="527" ht="14.25" customHeight="1">
      <c r="A527" s="1085">
        <v>34591.0</v>
      </c>
      <c r="B527" s="1086" t="s">
        <v>5833</v>
      </c>
      <c r="C527" s="1087" t="s">
        <v>1788</v>
      </c>
      <c r="D527" s="1088">
        <v>3.63</v>
      </c>
      <c r="E527" s="1089" t="s">
        <v>5308</v>
      </c>
      <c r="F527" s="1081">
        <f t="shared" si="1"/>
        <v>0</v>
      </c>
      <c r="G527" s="1083">
        <f t="shared" si="2"/>
        <v>3.63</v>
      </c>
      <c r="H527" s="1084"/>
    </row>
    <row r="528" ht="14.25" customHeight="1">
      <c r="A528" s="1085">
        <v>40517.0</v>
      </c>
      <c r="B528" s="1086" t="s">
        <v>5834</v>
      </c>
      <c r="C528" s="1087" t="s">
        <v>1814</v>
      </c>
      <c r="D528" s="1088">
        <v>40.24</v>
      </c>
      <c r="E528" s="1089" t="s">
        <v>5308</v>
      </c>
      <c r="F528" s="1081">
        <f t="shared" si="1"/>
        <v>0</v>
      </c>
      <c r="G528" s="1083">
        <f t="shared" si="2"/>
        <v>40.24</v>
      </c>
      <c r="H528" s="1084"/>
    </row>
    <row r="529" ht="14.25" customHeight="1">
      <c r="A529" s="1085">
        <v>40515.0</v>
      </c>
      <c r="B529" s="1086" t="s">
        <v>5835</v>
      </c>
      <c r="C529" s="1087" t="s">
        <v>1814</v>
      </c>
      <c r="D529" s="1088">
        <v>90.55</v>
      </c>
      <c r="E529" s="1089" t="s">
        <v>5308</v>
      </c>
      <c r="F529" s="1081">
        <f t="shared" si="1"/>
        <v>0</v>
      </c>
      <c r="G529" s="1083">
        <f t="shared" si="2"/>
        <v>90.55</v>
      </c>
      <c r="H529" s="1084"/>
    </row>
    <row r="530" ht="14.25" customHeight="1">
      <c r="A530" s="1085">
        <v>40529.0</v>
      </c>
      <c r="B530" s="1086" t="s">
        <v>5836</v>
      </c>
      <c r="C530" s="1087" t="s">
        <v>1814</v>
      </c>
      <c r="D530" s="1088">
        <v>57.85</v>
      </c>
      <c r="E530" s="1089" t="s">
        <v>5308</v>
      </c>
      <c r="F530" s="1081">
        <f t="shared" si="1"/>
        <v>0</v>
      </c>
      <c r="G530" s="1083">
        <f t="shared" si="2"/>
        <v>57.85</v>
      </c>
      <c r="H530" s="1084"/>
    </row>
    <row r="531" ht="14.25" customHeight="1">
      <c r="A531" s="1085">
        <v>36170.0</v>
      </c>
      <c r="B531" s="1086" t="s">
        <v>5837</v>
      </c>
      <c r="C531" s="1087" t="s">
        <v>1814</v>
      </c>
      <c r="D531" s="1088">
        <v>48.0</v>
      </c>
      <c r="E531" s="1089" t="s">
        <v>5308</v>
      </c>
      <c r="F531" s="1081">
        <f t="shared" si="1"/>
        <v>0</v>
      </c>
      <c r="G531" s="1083">
        <f t="shared" si="2"/>
        <v>48</v>
      </c>
      <c r="H531" s="1084"/>
    </row>
    <row r="532" ht="14.25" customHeight="1">
      <c r="A532" s="1085">
        <v>40524.0</v>
      </c>
      <c r="B532" s="1086" t="s">
        <v>5838</v>
      </c>
      <c r="C532" s="1087" t="s">
        <v>1814</v>
      </c>
      <c r="D532" s="1088">
        <v>56.59</v>
      </c>
      <c r="E532" s="1089" t="s">
        <v>5308</v>
      </c>
      <c r="F532" s="1081">
        <f t="shared" si="1"/>
        <v>0</v>
      </c>
      <c r="G532" s="1083">
        <f t="shared" si="2"/>
        <v>56.59</v>
      </c>
      <c r="H532" s="1084"/>
    </row>
    <row r="533" ht="14.25" customHeight="1">
      <c r="A533" s="1085">
        <v>36156.0</v>
      </c>
      <c r="B533" s="1086" t="s">
        <v>5839</v>
      </c>
      <c r="C533" s="1087" t="s">
        <v>1814</v>
      </c>
      <c r="D533" s="1088">
        <v>44.01</v>
      </c>
      <c r="E533" s="1089" t="s">
        <v>5308</v>
      </c>
      <c r="F533" s="1081">
        <f t="shared" si="1"/>
        <v>0</v>
      </c>
      <c r="G533" s="1083">
        <f t="shared" si="2"/>
        <v>44.01</v>
      </c>
      <c r="H533" s="1084"/>
    </row>
    <row r="534" ht="14.25" customHeight="1">
      <c r="A534" s="1085">
        <v>36155.0</v>
      </c>
      <c r="B534" s="1086" t="s">
        <v>5840</v>
      </c>
      <c r="C534" s="1087" t="s">
        <v>1814</v>
      </c>
      <c r="D534" s="1088">
        <v>38.0</v>
      </c>
      <c r="E534" s="1089" t="s">
        <v>5308</v>
      </c>
      <c r="F534" s="1081">
        <f t="shared" si="1"/>
        <v>0</v>
      </c>
      <c r="G534" s="1083">
        <f t="shared" si="2"/>
        <v>38</v>
      </c>
      <c r="H534" s="1084"/>
    </row>
    <row r="535" ht="14.25" customHeight="1">
      <c r="A535" s="1085">
        <v>36154.0</v>
      </c>
      <c r="B535" s="1086" t="s">
        <v>5841</v>
      </c>
      <c r="C535" s="1087" t="s">
        <v>1814</v>
      </c>
      <c r="D535" s="1088">
        <v>52.82</v>
      </c>
      <c r="E535" s="1089" t="s">
        <v>5308</v>
      </c>
      <c r="F535" s="1081">
        <f t="shared" si="1"/>
        <v>0</v>
      </c>
      <c r="G535" s="1083">
        <f t="shared" si="2"/>
        <v>52.82</v>
      </c>
      <c r="H535" s="1084"/>
    </row>
    <row r="536" ht="14.25" customHeight="1">
      <c r="A536" s="1085">
        <v>695.0</v>
      </c>
      <c r="B536" s="1086" t="s">
        <v>5842</v>
      </c>
      <c r="C536" s="1087" t="s">
        <v>1814</v>
      </c>
      <c r="D536" s="1088">
        <v>38.79</v>
      </c>
      <c r="E536" s="1089" t="s">
        <v>5308</v>
      </c>
      <c r="F536" s="1081">
        <f t="shared" si="1"/>
        <v>0</v>
      </c>
      <c r="G536" s="1083">
        <f t="shared" si="2"/>
        <v>38.79</v>
      </c>
      <c r="H536" s="1084"/>
    </row>
    <row r="537" ht="14.25" customHeight="1">
      <c r="A537" s="1085">
        <v>679.0</v>
      </c>
      <c r="B537" s="1086" t="s">
        <v>5843</v>
      </c>
      <c r="C537" s="1087" t="s">
        <v>1814</v>
      </c>
      <c r="D537" s="1088">
        <v>57.85</v>
      </c>
      <c r="E537" s="1089" t="s">
        <v>5308</v>
      </c>
      <c r="F537" s="1081">
        <f t="shared" si="1"/>
        <v>0</v>
      </c>
      <c r="G537" s="1083">
        <f t="shared" si="2"/>
        <v>57.85</v>
      </c>
      <c r="H537" s="1084"/>
    </row>
    <row r="538" ht="14.25" customHeight="1">
      <c r="A538" s="1085">
        <v>711.0</v>
      </c>
      <c r="B538" s="1086" t="s">
        <v>5844</v>
      </c>
      <c r="C538" s="1087" t="s">
        <v>1814</v>
      </c>
      <c r="D538" s="1088">
        <v>38.27</v>
      </c>
      <c r="E538" s="1089" t="s">
        <v>5308</v>
      </c>
      <c r="F538" s="1081">
        <f t="shared" si="1"/>
        <v>0</v>
      </c>
      <c r="G538" s="1083">
        <f t="shared" si="2"/>
        <v>38.27</v>
      </c>
      <c r="H538" s="1084"/>
    </row>
    <row r="539" ht="14.25" customHeight="1">
      <c r="A539" s="1085">
        <v>712.0</v>
      </c>
      <c r="B539" s="1086" t="s">
        <v>5845</v>
      </c>
      <c r="C539" s="1087" t="s">
        <v>1814</v>
      </c>
      <c r="D539" s="1088">
        <v>48.2</v>
      </c>
      <c r="E539" s="1089" t="s">
        <v>5308</v>
      </c>
      <c r="F539" s="1081">
        <f t="shared" si="1"/>
        <v>0</v>
      </c>
      <c r="G539" s="1083">
        <f t="shared" si="2"/>
        <v>48.2</v>
      </c>
      <c r="H539" s="1084"/>
    </row>
    <row r="540" ht="14.25" customHeight="1">
      <c r="A540" s="1085">
        <v>12614.0</v>
      </c>
      <c r="B540" s="1086" t="s">
        <v>5846</v>
      </c>
      <c r="C540" s="1087" t="s">
        <v>1788</v>
      </c>
      <c r="D540" s="1088">
        <v>61.55</v>
      </c>
      <c r="E540" s="1089" t="s">
        <v>5308</v>
      </c>
      <c r="F540" s="1081">
        <f t="shared" si="1"/>
        <v>0</v>
      </c>
      <c r="G540" s="1083">
        <f t="shared" si="2"/>
        <v>61.55</v>
      </c>
      <c r="H540" s="1084"/>
    </row>
    <row r="541" ht="14.25" customHeight="1">
      <c r="A541" s="1085">
        <v>6140.0</v>
      </c>
      <c r="B541" s="1086" t="s">
        <v>5847</v>
      </c>
      <c r="C541" s="1087" t="s">
        <v>1788</v>
      </c>
      <c r="D541" s="1088">
        <v>4.29</v>
      </c>
      <c r="E541" s="1089" t="s">
        <v>5308</v>
      </c>
      <c r="F541" s="1081">
        <f t="shared" si="1"/>
        <v>0</v>
      </c>
      <c r="G541" s="1083">
        <f t="shared" si="2"/>
        <v>4.29</v>
      </c>
      <c r="H541" s="1084"/>
    </row>
    <row r="542" ht="14.25" customHeight="1">
      <c r="A542" s="1085">
        <v>38399.0</v>
      </c>
      <c r="B542" s="1086" t="s">
        <v>5848</v>
      </c>
      <c r="C542" s="1087" t="s">
        <v>1788</v>
      </c>
      <c r="D542" s="1088">
        <v>209.95</v>
      </c>
      <c r="E542" s="1089" t="s">
        <v>5308</v>
      </c>
      <c r="F542" s="1081">
        <f t="shared" si="1"/>
        <v>0</v>
      </c>
      <c r="G542" s="1083">
        <f t="shared" si="2"/>
        <v>209.95</v>
      </c>
      <c r="H542" s="1084"/>
    </row>
    <row r="543" ht="14.25" customHeight="1">
      <c r="A543" s="1085">
        <v>735.0</v>
      </c>
      <c r="B543" s="1086" t="s">
        <v>5849</v>
      </c>
      <c r="C543" s="1087" t="s">
        <v>1788</v>
      </c>
      <c r="D543" s="1088">
        <v>2591.62</v>
      </c>
      <c r="E543" s="1089" t="s">
        <v>5482</v>
      </c>
      <c r="F543" s="1081">
        <f t="shared" si="1"/>
        <v>0</v>
      </c>
      <c r="G543" s="1083">
        <f t="shared" si="2"/>
        <v>2591.62</v>
      </c>
      <c r="H543" s="1084"/>
    </row>
    <row r="544" ht="14.25" customHeight="1">
      <c r="A544" s="1085">
        <v>736.0</v>
      </c>
      <c r="B544" s="1086" t="s">
        <v>5850</v>
      </c>
      <c r="C544" s="1087" t="s">
        <v>1788</v>
      </c>
      <c r="D544" s="1088">
        <v>2179.08</v>
      </c>
      <c r="E544" s="1089" t="s">
        <v>5482</v>
      </c>
      <c r="F544" s="1081">
        <f t="shared" si="1"/>
        <v>0</v>
      </c>
      <c r="G544" s="1083">
        <f t="shared" si="2"/>
        <v>2179.08</v>
      </c>
      <c r="H544" s="1084"/>
    </row>
    <row r="545" ht="14.25" customHeight="1">
      <c r="A545" s="1085">
        <v>729.0</v>
      </c>
      <c r="B545" s="1086" t="s">
        <v>5851</v>
      </c>
      <c r="C545" s="1087" t="s">
        <v>1788</v>
      </c>
      <c r="D545" s="1088">
        <v>888.0</v>
      </c>
      <c r="E545" s="1089" t="s">
        <v>5482</v>
      </c>
      <c r="F545" s="1081">
        <f t="shared" si="1"/>
        <v>0</v>
      </c>
      <c r="G545" s="1083">
        <f t="shared" si="2"/>
        <v>888</v>
      </c>
      <c r="H545" s="1084"/>
    </row>
    <row r="546" ht="14.25" customHeight="1">
      <c r="A546" s="1085">
        <v>39925.0</v>
      </c>
      <c r="B546" s="1086" t="s">
        <v>5852</v>
      </c>
      <c r="C546" s="1087" t="s">
        <v>1788</v>
      </c>
      <c r="D546" s="1088">
        <v>12831.52</v>
      </c>
      <c r="E546" s="1089" t="s">
        <v>5482</v>
      </c>
      <c r="F546" s="1081">
        <f t="shared" si="1"/>
        <v>0</v>
      </c>
      <c r="G546" s="1083">
        <f t="shared" si="2"/>
        <v>12831.52</v>
      </c>
      <c r="H546" s="1084"/>
    </row>
    <row r="547" ht="14.25" customHeight="1">
      <c r="A547" s="1085">
        <v>731.0</v>
      </c>
      <c r="B547" s="1086" t="s">
        <v>5853</v>
      </c>
      <c r="C547" s="1087" t="s">
        <v>1788</v>
      </c>
      <c r="D547" s="1088">
        <v>864.24</v>
      </c>
      <c r="E547" s="1089" t="s">
        <v>5482</v>
      </c>
      <c r="F547" s="1081">
        <f t="shared" si="1"/>
        <v>0</v>
      </c>
      <c r="G547" s="1083">
        <f t="shared" si="2"/>
        <v>864.24</v>
      </c>
      <c r="H547" s="1084"/>
    </row>
    <row r="548" ht="14.25" customHeight="1">
      <c r="A548" s="1085">
        <v>10575.0</v>
      </c>
      <c r="B548" s="1086" t="s">
        <v>5854</v>
      </c>
      <c r="C548" s="1087" t="s">
        <v>1788</v>
      </c>
      <c r="D548" s="1088">
        <v>1348.71</v>
      </c>
      <c r="E548" s="1089" t="s">
        <v>5482</v>
      </c>
      <c r="F548" s="1081">
        <f t="shared" si="1"/>
        <v>0</v>
      </c>
      <c r="G548" s="1083">
        <f t="shared" si="2"/>
        <v>1348.71</v>
      </c>
      <c r="H548" s="1084"/>
    </row>
    <row r="549" ht="14.25" customHeight="1">
      <c r="A549" s="1085">
        <v>733.0</v>
      </c>
      <c r="B549" s="1086" t="s">
        <v>5855</v>
      </c>
      <c r="C549" s="1087" t="s">
        <v>1788</v>
      </c>
      <c r="D549" s="1088">
        <v>1476.68</v>
      </c>
      <c r="E549" s="1089" t="s">
        <v>5482</v>
      </c>
      <c r="F549" s="1081">
        <f t="shared" si="1"/>
        <v>0</v>
      </c>
      <c r="G549" s="1083">
        <f t="shared" si="2"/>
        <v>1476.68</v>
      </c>
      <c r="H549" s="1084"/>
    </row>
    <row r="550" ht="14.25" customHeight="1">
      <c r="A550" s="1085">
        <v>732.0</v>
      </c>
      <c r="B550" s="1086" t="s">
        <v>5856</v>
      </c>
      <c r="C550" s="1087" t="s">
        <v>1788</v>
      </c>
      <c r="D550" s="1088">
        <v>1456.83</v>
      </c>
      <c r="E550" s="1089" t="s">
        <v>5482</v>
      </c>
      <c r="F550" s="1081">
        <f t="shared" si="1"/>
        <v>0</v>
      </c>
      <c r="G550" s="1083">
        <f t="shared" si="2"/>
        <v>1456.83</v>
      </c>
      <c r="H550" s="1084"/>
    </row>
    <row r="551" ht="14.25" customHeight="1">
      <c r="A551" s="1085">
        <v>737.0</v>
      </c>
      <c r="B551" s="1086" t="s">
        <v>5857</v>
      </c>
      <c r="C551" s="1087" t="s">
        <v>1788</v>
      </c>
      <c r="D551" s="1088">
        <v>8169.45</v>
      </c>
      <c r="E551" s="1089" t="s">
        <v>5482</v>
      </c>
      <c r="F551" s="1081">
        <f t="shared" si="1"/>
        <v>0</v>
      </c>
      <c r="G551" s="1083">
        <f t="shared" si="2"/>
        <v>8169.45</v>
      </c>
      <c r="H551" s="1084"/>
    </row>
    <row r="552" ht="14.25" customHeight="1">
      <c r="A552" s="1085">
        <v>738.0</v>
      </c>
      <c r="B552" s="1086" t="s">
        <v>5858</v>
      </c>
      <c r="C552" s="1087" t="s">
        <v>1788</v>
      </c>
      <c r="D552" s="1088">
        <v>3788.12</v>
      </c>
      <c r="E552" s="1089" t="s">
        <v>5482</v>
      </c>
      <c r="F552" s="1081">
        <f t="shared" si="1"/>
        <v>0</v>
      </c>
      <c r="G552" s="1083">
        <f t="shared" si="2"/>
        <v>3788.12</v>
      </c>
      <c r="H552" s="1084"/>
    </row>
    <row r="553" ht="14.25" customHeight="1">
      <c r="A553" s="1085">
        <v>740.0</v>
      </c>
      <c r="B553" s="1086" t="s">
        <v>5859</v>
      </c>
      <c r="C553" s="1087" t="s">
        <v>1788</v>
      </c>
      <c r="D553" s="1088">
        <v>7685.31</v>
      </c>
      <c r="E553" s="1089" t="s">
        <v>5482</v>
      </c>
      <c r="F553" s="1081">
        <f t="shared" si="1"/>
        <v>0</v>
      </c>
      <c r="G553" s="1083">
        <f t="shared" si="2"/>
        <v>7685.31</v>
      </c>
      <c r="H553" s="1084"/>
    </row>
    <row r="554" ht="14.25" customHeight="1">
      <c r="A554" s="1085">
        <v>734.0</v>
      </c>
      <c r="B554" s="1086" t="s">
        <v>5860</v>
      </c>
      <c r="C554" s="1087" t="s">
        <v>1788</v>
      </c>
      <c r="D554" s="1088">
        <v>1561.71</v>
      </c>
      <c r="E554" s="1089" t="s">
        <v>5482</v>
      </c>
      <c r="F554" s="1081">
        <f t="shared" si="1"/>
        <v>0</v>
      </c>
      <c r="G554" s="1083">
        <f t="shared" si="2"/>
        <v>1561.71</v>
      </c>
      <c r="H554" s="1084"/>
    </row>
    <row r="555" ht="14.25" customHeight="1">
      <c r="A555" s="1085">
        <v>39008.0</v>
      </c>
      <c r="B555" s="1086" t="s">
        <v>5861</v>
      </c>
      <c r="C555" s="1087" t="s">
        <v>1788</v>
      </c>
      <c r="D555" s="1088">
        <v>58330.61</v>
      </c>
      <c r="E555" s="1089" t="s">
        <v>5482</v>
      </c>
      <c r="F555" s="1081">
        <f t="shared" si="1"/>
        <v>0</v>
      </c>
      <c r="G555" s="1083">
        <f t="shared" si="2"/>
        <v>58330.61</v>
      </c>
      <c r="H555" s="1084"/>
    </row>
    <row r="556" ht="14.25" customHeight="1">
      <c r="A556" s="1085">
        <v>39009.0</v>
      </c>
      <c r="B556" s="1086" t="s">
        <v>5862</v>
      </c>
      <c r="C556" s="1087" t="s">
        <v>1788</v>
      </c>
      <c r="D556" s="1088">
        <v>62494.02</v>
      </c>
      <c r="E556" s="1089" t="s">
        <v>5482</v>
      </c>
      <c r="F556" s="1081">
        <f t="shared" si="1"/>
        <v>0</v>
      </c>
      <c r="G556" s="1083">
        <f t="shared" si="2"/>
        <v>62494.02</v>
      </c>
      <c r="H556" s="1084"/>
    </row>
    <row r="557" ht="14.25" customHeight="1">
      <c r="A557" s="1085">
        <v>10587.0</v>
      </c>
      <c r="B557" s="1086" t="s">
        <v>5863</v>
      </c>
      <c r="C557" s="1087" t="s">
        <v>1788</v>
      </c>
      <c r="D557" s="1088">
        <v>4382.26</v>
      </c>
      <c r="E557" s="1089" t="s">
        <v>5482</v>
      </c>
      <c r="F557" s="1081">
        <f t="shared" si="1"/>
        <v>0</v>
      </c>
      <c r="G557" s="1083">
        <f t="shared" si="2"/>
        <v>4382.26</v>
      </c>
      <c r="H557" s="1084"/>
    </row>
    <row r="558" ht="14.25" customHeight="1">
      <c r="A558" s="1085">
        <v>759.0</v>
      </c>
      <c r="B558" s="1086" t="s">
        <v>5864</v>
      </c>
      <c r="C558" s="1087" t="s">
        <v>1788</v>
      </c>
      <c r="D558" s="1088">
        <v>6300.82</v>
      </c>
      <c r="E558" s="1089" t="s">
        <v>5482</v>
      </c>
      <c r="F558" s="1081">
        <f t="shared" si="1"/>
        <v>0</v>
      </c>
      <c r="G558" s="1083">
        <f t="shared" si="2"/>
        <v>6300.82</v>
      </c>
      <c r="H558" s="1084"/>
    </row>
    <row r="559" ht="14.25" customHeight="1">
      <c r="A559" s="1085">
        <v>761.0</v>
      </c>
      <c r="B559" s="1086" t="s">
        <v>5865</v>
      </c>
      <c r="C559" s="1087" t="s">
        <v>1788</v>
      </c>
      <c r="D559" s="1088">
        <v>10680.42</v>
      </c>
      <c r="E559" s="1089" t="s">
        <v>5482</v>
      </c>
      <c r="F559" s="1081">
        <f t="shared" si="1"/>
        <v>0</v>
      </c>
      <c r="G559" s="1083">
        <f t="shared" si="2"/>
        <v>10680.42</v>
      </c>
      <c r="H559" s="1084"/>
    </row>
    <row r="560" ht="14.25" customHeight="1">
      <c r="A560" s="1085">
        <v>750.0</v>
      </c>
      <c r="B560" s="1086" t="s">
        <v>5866</v>
      </c>
      <c r="C560" s="1087" t="s">
        <v>1788</v>
      </c>
      <c r="D560" s="1088">
        <v>10140.21</v>
      </c>
      <c r="E560" s="1089" t="s">
        <v>5482</v>
      </c>
      <c r="F560" s="1081">
        <f t="shared" si="1"/>
        <v>0</v>
      </c>
      <c r="G560" s="1083">
        <f t="shared" si="2"/>
        <v>10140.21</v>
      </c>
      <c r="H560" s="1084"/>
    </row>
    <row r="561" ht="14.25" customHeight="1">
      <c r="A561" s="1085">
        <v>755.0</v>
      </c>
      <c r="B561" s="1086" t="s">
        <v>5867</v>
      </c>
      <c r="C561" s="1087" t="s">
        <v>1788</v>
      </c>
      <c r="D561" s="1088">
        <v>41610.5</v>
      </c>
      <c r="E561" s="1089" t="s">
        <v>5482</v>
      </c>
      <c r="F561" s="1081">
        <f t="shared" si="1"/>
        <v>0</v>
      </c>
      <c r="G561" s="1083">
        <f t="shared" si="2"/>
        <v>41610.5</v>
      </c>
      <c r="H561" s="1084"/>
    </row>
    <row r="562" ht="14.25" customHeight="1">
      <c r="A562" s="1085">
        <v>749.0</v>
      </c>
      <c r="B562" s="1086" t="s">
        <v>5868</v>
      </c>
      <c r="C562" s="1087" t="s">
        <v>1788</v>
      </c>
      <c r="D562" s="1088">
        <v>15303.57</v>
      </c>
      <c r="E562" s="1089" t="s">
        <v>5482</v>
      </c>
      <c r="F562" s="1081">
        <f t="shared" si="1"/>
        <v>0</v>
      </c>
      <c r="G562" s="1083">
        <f t="shared" si="2"/>
        <v>15303.57</v>
      </c>
      <c r="H562" s="1084"/>
    </row>
    <row r="563" ht="14.25" customHeight="1">
      <c r="A563" s="1085">
        <v>756.0</v>
      </c>
      <c r="B563" s="1086" t="s">
        <v>5869</v>
      </c>
      <c r="C563" s="1087" t="s">
        <v>1788</v>
      </c>
      <c r="D563" s="1088">
        <v>45381.83</v>
      </c>
      <c r="E563" s="1089" t="s">
        <v>5482</v>
      </c>
      <c r="F563" s="1081">
        <f t="shared" si="1"/>
        <v>0</v>
      </c>
      <c r="G563" s="1083">
        <f t="shared" si="2"/>
        <v>45381.83</v>
      </c>
      <c r="H563" s="1084"/>
    </row>
    <row r="564" ht="14.25" customHeight="1">
      <c r="A564" s="1085">
        <v>757.0</v>
      </c>
      <c r="B564" s="1086" t="s">
        <v>5870</v>
      </c>
      <c r="C564" s="1087" t="s">
        <v>1788</v>
      </c>
      <c r="D564" s="1088">
        <v>20606.25</v>
      </c>
      <c r="E564" s="1089" t="s">
        <v>5482</v>
      </c>
      <c r="F564" s="1081">
        <f t="shared" si="1"/>
        <v>0</v>
      </c>
      <c r="G564" s="1083">
        <f t="shared" si="2"/>
        <v>20606.25</v>
      </c>
      <c r="H564" s="1084"/>
    </row>
    <row r="565" ht="14.25" customHeight="1">
      <c r="A565" s="1085">
        <v>10588.0</v>
      </c>
      <c r="B565" s="1086" t="s">
        <v>5871</v>
      </c>
      <c r="C565" s="1087" t="s">
        <v>1788</v>
      </c>
      <c r="D565" s="1088">
        <v>4549.34</v>
      </c>
      <c r="E565" s="1089" t="s">
        <v>5482</v>
      </c>
      <c r="F565" s="1081">
        <f t="shared" si="1"/>
        <v>0</v>
      </c>
      <c r="G565" s="1083">
        <f t="shared" si="2"/>
        <v>4549.34</v>
      </c>
      <c r="H565" s="1084"/>
    </row>
    <row r="566" ht="14.25" customHeight="1">
      <c r="A566" s="1085">
        <v>10592.0</v>
      </c>
      <c r="B566" s="1086" t="s">
        <v>5872</v>
      </c>
      <c r="C566" s="1087" t="s">
        <v>1788</v>
      </c>
      <c r="D566" s="1088">
        <v>5495.0</v>
      </c>
      <c r="E566" s="1089" t="s">
        <v>5482</v>
      </c>
      <c r="F566" s="1081">
        <f t="shared" si="1"/>
        <v>0</v>
      </c>
      <c r="G566" s="1083">
        <f t="shared" si="2"/>
        <v>5495</v>
      </c>
      <c r="H566" s="1084"/>
    </row>
    <row r="567" ht="14.25" customHeight="1">
      <c r="A567" s="1085">
        <v>10589.0</v>
      </c>
      <c r="B567" s="1086" t="s">
        <v>5873</v>
      </c>
      <c r="C567" s="1087" t="s">
        <v>1788</v>
      </c>
      <c r="D567" s="1088">
        <v>7382.18</v>
      </c>
      <c r="E567" s="1089" t="s">
        <v>5482</v>
      </c>
      <c r="F567" s="1081">
        <f t="shared" si="1"/>
        <v>0</v>
      </c>
      <c r="G567" s="1083">
        <f t="shared" si="2"/>
        <v>7382.18</v>
      </c>
      <c r="H567" s="1084"/>
    </row>
    <row r="568" ht="14.25" customHeight="1">
      <c r="A568" s="1085">
        <v>760.0</v>
      </c>
      <c r="B568" s="1086" t="s">
        <v>5874</v>
      </c>
      <c r="C568" s="1087" t="s">
        <v>1788</v>
      </c>
      <c r="D568" s="1088">
        <v>41212.5</v>
      </c>
      <c r="E568" s="1089" t="s">
        <v>5482</v>
      </c>
      <c r="F568" s="1081">
        <f t="shared" si="1"/>
        <v>0</v>
      </c>
      <c r="G568" s="1083">
        <f t="shared" si="2"/>
        <v>41212.5</v>
      </c>
      <c r="H568" s="1084"/>
    </row>
    <row r="569" ht="14.25" customHeight="1">
      <c r="A569" s="1085">
        <v>751.0</v>
      </c>
      <c r="B569" s="1086" t="s">
        <v>5875</v>
      </c>
      <c r="C569" s="1087" t="s">
        <v>1788</v>
      </c>
      <c r="D569" s="1088">
        <v>6490.96</v>
      </c>
      <c r="E569" s="1089" t="s">
        <v>5482</v>
      </c>
      <c r="F569" s="1081">
        <f t="shared" si="1"/>
        <v>0</v>
      </c>
      <c r="G569" s="1083">
        <f t="shared" si="2"/>
        <v>6490.96</v>
      </c>
      <c r="H569" s="1084"/>
    </row>
    <row r="570" ht="14.25" customHeight="1">
      <c r="A570" s="1085">
        <v>754.0</v>
      </c>
      <c r="B570" s="1086" t="s">
        <v>5876</v>
      </c>
      <c r="C570" s="1087" t="s">
        <v>1788</v>
      </c>
      <c r="D570" s="1088">
        <v>10303.12</v>
      </c>
      <c r="E570" s="1089" t="s">
        <v>5482</v>
      </c>
      <c r="F570" s="1081">
        <f t="shared" si="1"/>
        <v>0</v>
      </c>
      <c r="G570" s="1083">
        <f t="shared" si="2"/>
        <v>10303.12</v>
      </c>
      <c r="H570" s="1084"/>
    </row>
    <row r="571" ht="14.25" customHeight="1">
      <c r="A571" s="1085">
        <v>44489.0</v>
      </c>
      <c r="B571" s="1086" t="s">
        <v>5877</v>
      </c>
      <c r="C571" s="1087" t="s">
        <v>1788</v>
      </c>
      <c r="D571" s="1088">
        <v>220756.4</v>
      </c>
      <c r="E571" s="1089" t="s">
        <v>5554</v>
      </c>
      <c r="F571" s="1081">
        <f t="shared" si="1"/>
        <v>0</v>
      </c>
      <c r="G571" s="1083">
        <f t="shared" si="2"/>
        <v>220756.4</v>
      </c>
      <c r="H571" s="1084"/>
    </row>
    <row r="572" ht="14.25" customHeight="1">
      <c r="A572" s="1085">
        <v>39917.0</v>
      </c>
      <c r="B572" s="1086" t="s">
        <v>5878</v>
      </c>
      <c r="C572" s="1087" t="s">
        <v>1788</v>
      </c>
      <c r="D572" s="1088">
        <v>89600.02</v>
      </c>
      <c r="E572" s="1089" t="s">
        <v>5482</v>
      </c>
      <c r="F572" s="1081">
        <f t="shared" si="1"/>
        <v>0</v>
      </c>
      <c r="G572" s="1083">
        <f t="shared" si="2"/>
        <v>89600.02</v>
      </c>
      <c r="H572" s="1084"/>
    </row>
    <row r="573" ht="14.25" customHeight="1">
      <c r="A573" s="1085">
        <v>38167.0</v>
      </c>
      <c r="B573" s="1086" t="s">
        <v>5879</v>
      </c>
      <c r="C573" s="1087" t="s">
        <v>5728</v>
      </c>
      <c r="D573" s="1088">
        <v>27.25</v>
      </c>
      <c r="E573" s="1089" t="s">
        <v>5308</v>
      </c>
      <c r="F573" s="1081">
        <f t="shared" si="1"/>
        <v>0</v>
      </c>
      <c r="G573" s="1083">
        <f t="shared" si="2"/>
        <v>27.25</v>
      </c>
      <c r="H573" s="1084"/>
    </row>
    <row r="574" ht="14.25" customHeight="1">
      <c r="A574" s="1085">
        <v>36145.0</v>
      </c>
      <c r="B574" s="1086" t="s">
        <v>5880</v>
      </c>
      <c r="C574" s="1087" t="s">
        <v>5728</v>
      </c>
      <c r="D574" s="1088">
        <v>43.2</v>
      </c>
      <c r="E574" s="1089" t="s">
        <v>5308</v>
      </c>
      <c r="F574" s="1081">
        <f t="shared" si="1"/>
        <v>0</v>
      </c>
      <c r="G574" s="1083">
        <f t="shared" si="2"/>
        <v>43.2</v>
      </c>
      <c r="H574" s="1084"/>
    </row>
    <row r="575" ht="14.25" customHeight="1">
      <c r="A575" s="1085">
        <v>12893.0</v>
      </c>
      <c r="B575" s="1086" t="s">
        <v>5881</v>
      </c>
      <c r="C575" s="1087" t="s">
        <v>5728</v>
      </c>
      <c r="D575" s="1088">
        <v>72.0</v>
      </c>
      <c r="E575" s="1089" t="s">
        <v>5308</v>
      </c>
      <c r="F575" s="1081">
        <f t="shared" si="1"/>
        <v>0</v>
      </c>
      <c r="G575" s="1083">
        <f t="shared" si="2"/>
        <v>72</v>
      </c>
      <c r="H575" s="1084"/>
    </row>
    <row r="576" ht="14.25" customHeight="1">
      <c r="A576" s="1085">
        <v>11685.0</v>
      </c>
      <c r="B576" s="1086" t="s">
        <v>5882</v>
      </c>
      <c r="C576" s="1087" t="s">
        <v>1788</v>
      </c>
      <c r="D576" s="1088">
        <v>44.06</v>
      </c>
      <c r="E576" s="1089" t="s">
        <v>5308</v>
      </c>
      <c r="F576" s="1081">
        <f t="shared" si="1"/>
        <v>0</v>
      </c>
      <c r="G576" s="1083">
        <f t="shared" si="2"/>
        <v>44.06</v>
      </c>
      <c r="H576" s="1084"/>
    </row>
    <row r="577" ht="14.25" customHeight="1">
      <c r="A577" s="1085">
        <v>11680.0</v>
      </c>
      <c r="B577" s="1086" t="s">
        <v>5883</v>
      </c>
      <c r="C577" s="1087" t="s">
        <v>1788</v>
      </c>
      <c r="D577" s="1088">
        <v>17.18</v>
      </c>
      <c r="E577" s="1089" t="s">
        <v>5308</v>
      </c>
      <c r="F577" s="1081">
        <f t="shared" si="1"/>
        <v>0</v>
      </c>
      <c r="G577" s="1083">
        <f t="shared" si="2"/>
        <v>17.18</v>
      </c>
      <c r="H577" s="1084"/>
    </row>
    <row r="578" ht="14.25" customHeight="1">
      <c r="A578" s="1085">
        <v>11679.0</v>
      </c>
      <c r="B578" s="1086" t="s">
        <v>5884</v>
      </c>
      <c r="C578" s="1087" t="s">
        <v>1788</v>
      </c>
      <c r="D578" s="1088">
        <v>23.3</v>
      </c>
      <c r="E578" s="1089" t="s">
        <v>5308</v>
      </c>
      <c r="F578" s="1081">
        <f t="shared" si="1"/>
        <v>0</v>
      </c>
      <c r="G578" s="1083">
        <f t="shared" si="2"/>
        <v>23.3</v>
      </c>
      <c r="H578" s="1084"/>
    </row>
    <row r="579" ht="14.25" customHeight="1">
      <c r="A579" s="1085">
        <v>2512.0</v>
      </c>
      <c r="B579" s="1086" t="s">
        <v>5885</v>
      </c>
      <c r="C579" s="1087" t="s">
        <v>1788</v>
      </c>
      <c r="D579" s="1088">
        <v>37.71</v>
      </c>
      <c r="E579" s="1089" t="s">
        <v>5308</v>
      </c>
      <c r="F579" s="1081">
        <f t="shared" si="1"/>
        <v>0</v>
      </c>
      <c r="G579" s="1083">
        <f t="shared" si="2"/>
        <v>37.71</v>
      </c>
      <c r="H579" s="1084"/>
    </row>
    <row r="580" ht="14.25" customHeight="1">
      <c r="A580" s="1085">
        <v>4374.0</v>
      </c>
      <c r="B580" s="1086" t="s">
        <v>5886</v>
      </c>
      <c r="C580" s="1087" t="s">
        <v>1788</v>
      </c>
      <c r="D580" s="1088">
        <v>0.44</v>
      </c>
      <c r="E580" s="1089" t="s">
        <v>5308</v>
      </c>
      <c r="F580" s="1081">
        <f t="shared" si="1"/>
        <v>0</v>
      </c>
      <c r="G580" s="1083">
        <f t="shared" si="2"/>
        <v>0.44</v>
      </c>
      <c r="H580" s="1084"/>
    </row>
    <row r="581" ht="14.25" customHeight="1">
      <c r="A581" s="1085">
        <v>7568.0</v>
      </c>
      <c r="B581" s="1086" t="s">
        <v>5887</v>
      </c>
      <c r="C581" s="1087" t="s">
        <v>1788</v>
      </c>
      <c r="D581" s="1088">
        <v>0.73</v>
      </c>
      <c r="E581" s="1089" t="s">
        <v>5308</v>
      </c>
      <c r="F581" s="1081">
        <f t="shared" si="1"/>
        <v>0</v>
      </c>
      <c r="G581" s="1083">
        <f t="shared" si="2"/>
        <v>0.73</v>
      </c>
      <c r="H581" s="1084"/>
    </row>
    <row r="582" ht="14.25" customHeight="1">
      <c r="A582" s="1085">
        <v>7584.0</v>
      </c>
      <c r="B582" s="1086" t="s">
        <v>5888</v>
      </c>
      <c r="C582" s="1087" t="s">
        <v>1788</v>
      </c>
      <c r="D582" s="1088">
        <v>1.12</v>
      </c>
      <c r="E582" s="1089" t="s">
        <v>5308</v>
      </c>
      <c r="F582" s="1081">
        <f t="shared" si="1"/>
        <v>0</v>
      </c>
      <c r="G582" s="1083">
        <f t="shared" si="2"/>
        <v>1.12</v>
      </c>
      <c r="H582" s="1084"/>
    </row>
    <row r="583" ht="14.25" customHeight="1">
      <c r="A583" s="1085">
        <v>11945.0</v>
      </c>
      <c r="B583" s="1086" t="s">
        <v>5889</v>
      </c>
      <c r="C583" s="1087" t="s">
        <v>1788</v>
      </c>
      <c r="D583" s="1088">
        <v>0.07</v>
      </c>
      <c r="E583" s="1089" t="s">
        <v>5308</v>
      </c>
      <c r="F583" s="1081">
        <f t="shared" si="1"/>
        <v>0</v>
      </c>
      <c r="G583" s="1083">
        <f t="shared" si="2"/>
        <v>0.07</v>
      </c>
      <c r="H583" s="1084"/>
    </row>
    <row r="584" ht="14.25" customHeight="1">
      <c r="A584" s="1085">
        <v>11946.0</v>
      </c>
      <c r="B584" s="1086" t="s">
        <v>5890</v>
      </c>
      <c r="C584" s="1087" t="s">
        <v>1788</v>
      </c>
      <c r="D584" s="1088">
        <v>0.08</v>
      </c>
      <c r="E584" s="1089" t="s">
        <v>5308</v>
      </c>
      <c r="F584" s="1081">
        <f t="shared" si="1"/>
        <v>0</v>
      </c>
      <c r="G584" s="1083">
        <f t="shared" si="2"/>
        <v>0.08</v>
      </c>
      <c r="H584" s="1084"/>
    </row>
    <row r="585" ht="14.25" customHeight="1">
      <c r="A585" s="1085">
        <v>4375.0</v>
      </c>
      <c r="B585" s="1086" t="s">
        <v>5891</v>
      </c>
      <c r="C585" s="1087" t="s">
        <v>1788</v>
      </c>
      <c r="D585" s="1088">
        <v>0.12</v>
      </c>
      <c r="E585" s="1089" t="s">
        <v>5308</v>
      </c>
      <c r="F585" s="1081">
        <f t="shared" si="1"/>
        <v>0</v>
      </c>
      <c r="G585" s="1083">
        <f t="shared" si="2"/>
        <v>0.12</v>
      </c>
      <c r="H585" s="1084"/>
    </row>
    <row r="586" ht="14.25" customHeight="1">
      <c r="A586" s="1085">
        <v>11950.0</v>
      </c>
      <c r="B586" s="1086" t="s">
        <v>5892</v>
      </c>
      <c r="C586" s="1087" t="s">
        <v>1788</v>
      </c>
      <c r="D586" s="1088">
        <v>0.24</v>
      </c>
      <c r="E586" s="1089" t="s">
        <v>5308</v>
      </c>
      <c r="F586" s="1081">
        <f t="shared" si="1"/>
        <v>0</v>
      </c>
      <c r="G586" s="1083">
        <f t="shared" si="2"/>
        <v>0.24</v>
      </c>
      <c r="H586" s="1084"/>
    </row>
    <row r="587" ht="14.25" customHeight="1">
      <c r="A587" s="1085">
        <v>4376.0</v>
      </c>
      <c r="B587" s="1086" t="s">
        <v>5893</v>
      </c>
      <c r="C587" s="1087" t="s">
        <v>1788</v>
      </c>
      <c r="D587" s="1088">
        <v>0.23</v>
      </c>
      <c r="E587" s="1089" t="s">
        <v>5308</v>
      </c>
      <c r="F587" s="1081">
        <f t="shared" si="1"/>
        <v>0</v>
      </c>
      <c r="G587" s="1083">
        <f t="shared" si="2"/>
        <v>0.23</v>
      </c>
      <c r="H587" s="1084"/>
    </row>
    <row r="588" ht="14.25" customHeight="1">
      <c r="A588" s="1085">
        <v>7583.0</v>
      </c>
      <c r="B588" s="1086" t="s">
        <v>5894</v>
      </c>
      <c r="C588" s="1087" t="s">
        <v>1788</v>
      </c>
      <c r="D588" s="1088">
        <v>0.5</v>
      </c>
      <c r="E588" s="1089" t="s">
        <v>5308</v>
      </c>
      <c r="F588" s="1081">
        <f t="shared" si="1"/>
        <v>0</v>
      </c>
      <c r="G588" s="1083">
        <f t="shared" si="2"/>
        <v>0.5</v>
      </c>
      <c r="H588" s="1084"/>
    </row>
    <row r="589" ht="14.25" customHeight="1">
      <c r="A589" s="1085">
        <v>4350.0</v>
      </c>
      <c r="B589" s="1086" t="s">
        <v>5895</v>
      </c>
      <c r="C589" s="1087" t="s">
        <v>1788</v>
      </c>
      <c r="D589" s="1088">
        <v>0.7</v>
      </c>
      <c r="E589" s="1089" t="s">
        <v>5308</v>
      </c>
      <c r="F589" s="1081">
        <f t="shared" si="1"/>
        <v>0</v>
      </c>
      <c r="G589" s="1083">
        <f t="shared" si="2"/>
        <v>0.7</v>
      </c>
      <c r="H589" s="1084"/>
    </row>
    <row r="590" ht="14.25" customHeight="1">
      <c r="A590" s="1085">
        <v>44400.0</v>
      </c>
      <c r="B590" s="1086" t="s">
        <v>5896</v>
      </c>
      <c r="C590" s="1087" t="s">
        <v>1788</v>
      </c>
      <c r="D590" s="1088">
        <v>31.94</v>
      </c>
      <c r="E590" s="1089" t="s">
        <v>5308</v>
      </c>
      <c r="F590" s="1081">
        <f t="shared" si="1"/>
        <v>0</v>
      </c>
      <c r="G590" s="1083">
        <f t="shared" si="2"/>
        <v>31.94</v>
      </c>
      <c r="H590" s="1084"/>
    </row>
    <row r="591" ht="14.25" customHeight="1">
      <c r="A591" s="1085">
        <v>39886.0</v>
      </c>
      <c r="B591" s="1086" t="s">
        <v>5897</v>
      </c>
      <c r="C591" s="1087" t="s">
        <v>1788</v>
      </c>
      <c r="D591" s="1088">
        <v>5.82</v>
      </c>
      <c r="E591" s="1089" t="s">
        <v>5308</v>
      </c>
      <c r="F591" s="1081">
        <f t="shared" si="1"/>
        <v>0</v>
      </c>
      <c r="G591" s="1083">
        <f t="shared" si="2"/>
        <v>5.82</v>
      </c>
      <c r="H591" s="1084"/>
    </row>
    <row r="592" ht="14.25" customHeight="1">
      <c r="A592" s="1085">
        <v>39887.0</v>
      </c>
      <c r="B592" s="1086" t="s">
        <v>5898</v>
      </c>
      <c r="C592" s="1087" t="s">
        <v>1788</v>
      </c>
      <c r="D592" s="1088">
        <v>8.73</v>
      </c>
      <c r="E592" s="1089" t="s">
        <v>5308</v>
      </c>
      <c r="F592" s="1081">
        <f t="shared" si="1"/>
        <v>0</v>
      </c>
      <c r="G592" s="1083">
        <f t="shared" si="2"/>
        <v>8.73</v>
      </c>
      <c r="H592" s="1084"/>
    </row>
    <row r="593" ht="14.25" customHeight="1">
      <c r="A593" s="1085">
        <v>39888.0</v>
      </c>
      <c r="B593" s="1086" t="s">
        <v>5899</v>
      </c>
      <c r="C593" s="1087" t="s">
        <v>1788</v>
      </c>
      <c r="D593" s="1088">
        <v>19.97</v>
      </c>
      <c r="E593" s="1089" t="s">
        <v>5308</v>
      </c>
      <c r="F593" s="1081">
        <f t="shared" si="1"/>
        <v>0</v>
      </c>
      <c r="G593" s="1083">
        <f t="shared" si="2"/>
        <v>19.97</v>
      </c>
      <c r="H593" s="1084"/>
    </row>
    <row r="594" ht="14.25" customHeight="1">
      <c r="A594" s="1085">
        <v>39890.0</v>
      </c>
      <c r="B594" s="1086" t="s">
        <v>5900</v>
      </c>
      <c r="C594" s="1087" t="s">
        <v>1788</v>
      </c>
      <c r="D594" s="1088">
        <v>34.08</v>
      </c>
      <c r="E594" s="1089" t="s">
        <v>5308</v>
      </c>
      <c r="F594" s="1081">
        <f t="shared" si="1"/>
        <v>0</v>
      </c>
      <c r="G594" s="1083">
        <f t="shared" si="2"/>
        <v>34.08</v>
      </c>
      <c r="H594" s="1084"/>
    </row>
    <row r="595" ht="14.25" customHeight="1">
      <c r="A595" s="1085">
        <v>39891.0</v>
      </c>
      <c r="B595" s="1086" t="s">
        <v>5901</v>
      </c>
      <c r="C595" s="1087" t="s">
        <v>1788</v>
      </c>
      <c r="D595" s="1088">
        <v>48.06</v>
      </c>
      <c r="E595" s="1089" t="s">
        <v>5308</v>
      </c>
      <c r="F595" s="1081">
        <f t="shared" si="1"/>
        <v>0</v>
      </c>
      <c r="G595" s="1083">
        <f t="shared" si="2"/>
        <v>48.06</v>
      </c>
      <c r="H595" s="1084"/>
    </row>
    <row r="596" ht="14.25" customHeight="1">
      <c r="A596" s="1085">
        <v>39892.0</v>
      </c>
      <c r="B596" s="1086" t="s">
        <v>5902</v>
      </c>
      <c r="C596" s="1087" t="s">
        <v>1788</v>
      </c>
      <c r="D596" s="1088">
        <v>149.81</v>
      </c>
      <c r="E596" s="1089" t="s">
        <v>5308</v>
      </c>
      <c r="F596" s="1081">
        <f t="shared" si="1"/>
        <v>0</v>
      </c>
      <c r="G596" s="1083">
        <f t="shared" si="2"/>
        <v>149.81</v>
      </c>
      <c r="H596" s="1084"/>
    </row>
    <row r="597" ht="14.25" customHeight="1">
      <c r="A597" s="1085">
        <v>790.0</v>
      </c>
      <c r="B597" s="1086" t="s">
        <v>5903</v>
      </c>
      <c r="C597" s="1087" t="s">
        <v>1788</v>
      </c>
      <c r="D597" s="1088">
        <v>22.57</v>
      </c>
      <c r="E597" s="1089" t="s">
        <v>5308</v>
      </c>
      <c r="F597" s="1081">
        <f t="shared" si="1"/>
        <v>0</v>
      </c>
      <c r="G597" s="1083">
        <f t="shared" si="2"/>
        <v>22.57</v>
      </c>
      <c r="H597" s="1084"/>
    </row>
    <row r="598" ht="14.25" customHeight="1">
      <c r="A598" s="1085">
        <v>766.0</v>
      </c>
      <c r="B598" s="1086" t="s">
        <v>5904</v>
      </c>
      <c r="C598" s="1087" t="s">
        <v>1788</v>
      </c>
      <c r="D598" s="1088">
        <v>22.57</v>
      </c>
      <c r="E598" s="1089" t="s">
        <v>5308</v>
      </c>
      <c r="F598" s="1081">
        <f t="shared" si="1"/>
        <v>0</v>
      </c>
      <c r="G598" s="1083">
        <f t="shared" si="2"/>
        <v>22.57</v>
      </c>
      <c r="H598" s="1084"/>
    </row>
    <row r="599" ht="14.25" customHeight="1">
      <c r="A599" s="1085">
        <v>791.0</v>
      </c>
      <c r="B599" s="1086" t="s">
        <v>5905</v>
      </c>
      <c r="C599" s="1087" t="s">
        <v>1788</v>
      </c>
      <c r="D599" s="1088">
        <v>22.57</v>
      </c>
      <c r="E599" s="1089" t="s">
        <v>5308</v>
      </c>
      <c r="F599" s="1081">
        <f t="shared" si="1"/>
        <v>0</v>
      </c>
      <c r="G599" s="1083">
        <f t="shared" si="2"/>
        <v>22.57</v>
      </c>
      <c r="H599" s="1084"/>
    </row>
    <row r="600" ht="14.25" customHeight="1">
      <c r="A600" s="1085">
        <v>767.0</v>
      </c>
      <c r="B600" s="1086" t="s">
        <v>5906</v>
      </c>
      <c r="C600" s="1087" t="s">
        <v>1788</v>
      </c>
      <c r="D600" s="1088">
        <v>22.57</v>
      </c>
      <c r="E600" s="1089" t="s">
        <v>5308</v>
      </c>
      <c r="F600" s="1081">
        <f t="shared" si="1"/>
        <v>0</v>
      </c>
      <c r="G600" s="1083">
        <f t="shared" si="2"/>
        <v>22.57</v>
      </c>
      <c r="H600" s="1084"/>
    </row>
    <row r="601" ht="14.25" customHeight="1">
      <c r="A601" s="1085">
        <v>768.0</v>
      </c>
      <c r="B601" s="1086" t="s">
        <v>5907</v>
      </c>
      <c r="C601" s="1087" t="s">
        <v>1788</v>
      </c>
      <c r="D601" s="1088">
        <v>17.73</v>
      </c>
      <c r="E601" s="1089" t="s">
        <v>5308</v>
      </c>
      <c r="F601" s="1081">
        <f t="shared" si="1"/>
        <v>0</v>
      </c>
      <c r="G601" s="1083">
        <f t="shared" si="2"/>
        <v>17.73</v>
      </c>
      <c r="H601" s="1084"/>
    </row>
    <row r="602" ht="14.25" customHeight="1">
      <c r="A602" s="1085">
        <v>789.0</v>
      </c>
      <c r="B602" s="1086" t="s">
        <v>5908</v>
      </c>
      <c r="C602" s="1087" t="s">
        <v>1788</v>
      </c>
      <c r="D602" s="1088">
        <v>17.35</v>
      </c>
      <c r="E602" s="1089" t="s">
        <v>5308</v>
      </c>
      <c r="F602" s="1081">
        <f t="shared" si="1"/>
        <v>0</v>
      </c>
      <c r="G602" s="1083">
        <f t="shared" si="2"/>
        <v>17.35</v>
      </c>
      <c r="H602" s="1084"/>
    </row>
    <row r="603" ht="14.25" customHeight="1">
      <c r="A603" s="1085">
        <v>769.0</v>
      </c>
      <c r="B603" s="1086" t="s">
        <v>5909</v>
      </c>
      <c r="C603" s="1087" t="s">
        <v>1788</v>
      </c>
      <c r="D603" s="1088">
        <v>17.73</v>
      </c>
      <c r="E603" s="1089" t="s">
        <v>5308</v>
      </c>
      <c r="F603" s="1081">
        <f t="shared" si="1"/>
        <v>0</v>
      </c>
      <c r="G603" s="1083">
        <f t="shared" si="2"/>
        <v>17.73</v>
      </c>
      <c r="H603" s="1084"/>
    </row>
    <row r="604" ht="14.25" customHeight="1">
      <c r="A604" s="1085">
        <v>770.0</v>
      </c>
      <c r="B604" s="1086" t="s">
        <v>5910</v>
      </c>
      <c r="C604" s="1087" t="s">
        <v>1788</v>
      </c>
      <c r="D604" s="1088">
        <v>6.26</v>
      </c>
      <c r="E604" s="1089" t="s">
        <v>5308</v>
      </c>
      <c r="F604" s="1081">
        <f t="shared" si="1"/>
        <v>0</v>
      </c>
      <c r="G604" s="1083">
        <f t="shared" si="2"/>
        <v>6.26</v>
      </c>
      <c r="H604" s="1084"/>
    </row>
    <row r="605" ht="14.25" customHeight="1">
      <c r="A605" s="1085">
        <v>12394.0</v>
      </c>
      <c r="B605" s="1086" t="s">
        <v>5911</v>
      </c>
      <c r="C605" s="1087" t="s">
        <v>1788</v>
      </c>
      <c r="D605" s="1088">
        <v>6.26</v>
      </c>
      <c r="E605" s="1089" t="s">
        <v>5308</v>
      </c>
      <c r="F605" s="1081">
        <f t="shared" si="1"/>
        <v>0</v>
      </c>
      <c r="G605" s="1083">
        <f t="shared" si="2"/>
        <v>6.26</v>
      </c>
      <c r="H605" s="1084"/>
    </row>
    <row r="606" ht="14.25" customHeight="1">
      <c r="A606" s="1085">
        <v>764.0</v>
      </c>
      <c r="B606" s="1086" t="s">
        <v>5912</v>
      </c>
      <c r="C606" s="1087" t="s">
        <v>1788</v>
      </c>
      <c r="D606" s="1088">
        <v>10.91</v>
      </c>
      <c r="E606" s="1089" t="s">
        <v>5308</v>
      </c>
      <c r="F606" s="1081">
        <f t="shared" si="1"/>
        <v>0</v>
      </c>
      <c r="G606" s="1083">
        <f t="shared" si="2"/>
        <v>10.91</v>
      </c>
      <c r="H606" s="1084"/>
    </row>
    <row r="607" ht="14.25" customHeight="1">
      <c r="A607" s="1085">
        <v>765.0</v>
      </c>
      <c r="B607" s="1086" t="s">
        <v>5913</v>
      </c>
      <c r="C607" s="1087" t="s">
        <v>1788</v>
      </c>
      <c r="D607" s="1088">
        <v>10.91</v>
      </c>
      <c r="E607" s="1089" t="s">
        <v>5308</v>
      </c>
      <c r="F607" s="1081">
        <f t="shared" si="1"/>
        <v>0</v>
      </c>
      <c r="G607" s="1083">
        <f t="shared" si="2"/>
        <v>10.91</v>
      </c>
      <c r="H607" s="1084"/>
    </row>
    <row r="608" ht="14.25" customHeight="1">
      <c r="A608" s="1085">
        <v>787.0</v>
      </c>
      <c r="B608" s="1086" t="s">
        <v>5914</v>
      </c>
      <c r="C608" s="1087" t="s">
        <v>1788</v>
      </c>
      <c r="D608" s="1088">
        <v>48.73</v>
      </c>
      <c r="E608" s="1089" t="s">
        <v>5308</v>
      </c>
      <c r="F608" s="1081">
        <f t="shared" si="1"/>
        <v>0</v>
      </c>
      <c r="G608" s="1083">
        <f t="shared" si="2"/>
        <v>48.73</v>
      </c>
      <c r="H608" s="1084"/>
    </row>
    <row r="609" ht="14.25" customHeight="1">
      <c r="A609" s="1085">
        <v>774.0</v>
      </c>
      <c r="B609" s="1086" t="s">
        <v>5915</v>
      </c>
      <c r="C609" s="1087" t="s">
        <v>1788</v>
      </c>
      <c r="D609" s="1088">
        <v>48.73</v>
      </c>
      <c r="E609" s="1089" t="s">
        <v>5308</v>
      </c>
      <c r="F609" s="1081">
        <f t="shared" si="1"/>
        <v>0</v>
      </c>
      <c r="G609" s="1083">
        <f t="shared" si="2"/>
        <v>48.73</v>
      </c>
      <c r="H609" s="1084"/>
    </row>
    <row r="610" ht="14.25" customHeight="1">
      <c r="A610" s="1085">
        <v>773.0</v>
      </c>
      <c r="B610" s="1086" t="s">
        <v>5916</v>
      </c>
      <c r="C610" s="1087" t="s">
        <v>1788</v>
      </c>
      <c r="D610" s="1088">
        <v>48.73</v>
      </c>
      <c r="E610" s="1089" t="s">
        <v>5308</v>
      </c>
      <c r="F610" s="1081">
        <f t="shared" si="1"/>
        <v>0</v>
      </c>
      <c r="G610" s="1083">
        <f t="shared" si="2"/>
        <v>48.73</v>
      </c>
      <c r="H610" s="1084"/>
    </row>
    <row r="611" ht="14.25" customHeight="1">
      <c r="A611" s="1085">
        <v>775.0</v>
      </c>
      <c r="B611" s="1086" t="s">
        <v>5917</v>
      </c>
      <c r="C611" s="1087" t="s">
        <v>1788</v>
      </c>
      <c r="D611" s="1088">
        <v>48.73</v>
      </c>
      <c r="E611" s="1089" t="s">
        <v>5308</v>
      </c>
      <c r="F611" s="1081">
        <f t="shared" si="1"/>
        <v>0</v>
      </c>
      <c r="G611" s="1083">
        <f t="shared" si="2"/>
        <v>48.73</v>
      </c>
      <c r="H611" s="1084"/>
    </row>
    <row r="612" ht="14.25" customHeight="1">
      <c r="A612" s="1085">
        <v>788.0</v>
      </c>
      <c r="B612" s="1086" t="s">
        <v>5918</v>
      </c>
      <c r="C612" s="1087" t="s">
        <v>1788</v>
      </c>
      <c r="D612" s="1088">
        <v>30.29</v>
      </c>
      <c r="E612" s="1089" t="s">
        <v>5308</v>
      </c>
      <c r="F612" s="1081">
        <f t="shared" si="1"/>
        <v>0</v>
      </c>
      <c r="G612" s="1083">
        <f t="shared" si="2"/>
        <v>30.29</v>
      </c>
      <c r="H612" s="1084"/>
    </row>
    <row r="613" ht="14.25" customHeight="1">
      <c r="A613" s="1085">
        <v>772.0</v>
      </c>
      <c r="B613" s="1086" t="s">
        <v>5919</v>
      </c>
      <c r="C613" s="1087" t="s">
        <v>1788</v>
      </c>
      <c r="D613" s="1088">
        <v>30.29</v>
      </c>
      <c r="E613" s="1089" t="s">
        <v>5308</v>
      </c>
      <c r="F613" s="1081">
        <f t="shared" si="1"/>
        <v>0</v>
      </c>
      <c r="G613" s="1083">
        <f t="shared" si="2"/>
        <v>30.29</v>
      </c>
      <c r="H613" s="1084"/>
    </row>
    <row r="614" ht="14.25" customHeight="1">
      <c r="A614" s="1085">
        <v>771.0</v>
      </c>
      <c r="B614" s="1086" t="s">
        <v>5920</v>
      </c>
      <c r="C614" s="1087" t="s">
        <v>1788</v>
      </c>
      <c r="D614" s="1088">
        <v>30.29</v>
      </c>
      <c r="E614" s="1089" t="s">
        <v>5308</v>
      </c>
      <c r="F614" s="1081">
        <f t="shared" si="1"/>
        <v>0</v>
      </c>
      <c r="G614" s="1083">
        <f t="shared" si="2"/>
        <v>30.29</v>
      </c>
      <c r="H614" s="1084"/>
    </row>
    <row r="615" ht="14.25" customHeight="1">
      <c r="A615" s="1085">
        <v>779.0</v>
      </c>
      <c r="B615" s="1086" t="s">
        <v>5921</v>
      </c>
      <c r="C615" s="1087" t="s">
        <v>1788</v>
      </c>
      <c r="D615" s="1088">
        <v>7.53</v>
      </c>
      <c r="E615" s="1089" t="s">
        <v>5308</v>
      </c>
      <c r="F615" s="1081">
        <f t="shared" si="1"/>
        <v>0</v>
      </c>
      <c r="G615" s="1083">
        <f t="shared" si="2"/>
        <v>7.53</v>
      </c>
      <c r="H615" s="1084"/>
    </row>
    <row r="616" ht="14.25" customHeight="1">
      <c r="A616" s="1085">
        <v>776.0</v>
      </c>
      <c r="B616" s="1086" t="s">
        <v>5922</v>
      </c>
      <c r="C616" s="1087" t="s">
        <v>1788</v>
      </c>
      <c r="D616" s="1088">
        <v>71.84</v>
      </c>
      <c r="E616" s="1089" t="s">
        <v>5308</v>
      </c>
      <c r="F616" s="1081">
        <f t="shared" si="1"/>
        <v>0</v>
      </c>
      <c r="G616" s="1083">
        <f t="shared" si="2"/>
        <v>71.84</v>
      </c>
      <c r="H616" s="1084"/>
    </row>
    <row r="617" ht="14.25" customHeight="1">
      <c r="A617" s="1085">
        <v>777.0</v>
      </c>
      <c r="B617" s="1086" t="s">
        <v>5923</v>
      </c>
      <c r="C617" s="1087" t="s">
        <v>1788</v>
      </c>
      <c r="D617" s="1088">
        <v>69.84</v>
      </c>
      <c r="E617" s="1089" t="s">
        <v>5308</v>
      </c>
      <c r="F617" s="1081">
        <f t="shared" si="1"/>
        <v>0</v>
      </c>
      <c r="G617" s="1083">
        <f t="shared" si="2"/>
        <v>69.84</v>
      </c>
      <c r="H617" s="1084"/>
    </row>
    <row r="618" ht="14.25" customHeight="1">
      <c r="A618" s="1085">
        <v>780.0</v>
      </c>
      <c r="B618" s="1086" t="s">
        <v>5924</v>
      </c>
      <c r="C618" s="1087" t="s">
        <v>1788</v>
      </c>
      <c r="D618" s="1088">
        <v>70.19</v>
      </c>
      <c r="E618" s="1089" t="s">
        <v>5308</v>
      </c>
      <c r="F618" s="1081">
        <f t="shared" si="1"/>
        <v>0</v>
      </c>
      <c r="G618" s="1083">
        <f t="shared" si="2"/>
        <v>70.19</v>
      </c>
      <c r="H618" s="1084"/>
    </row>
    <row r="619" ht="14.25" customHeight="1">
      <c r="A619" s="1085">
        <v>778.0</v>
      </c>
      <c r="B619" s="1086" t="s">
        <v>5925</v>
      </c>
      <c r="C619" s="1087" t="s">
        <v>1788</v>
      </c>
      <c r="D619" s="1088">
        <v>71.84</v>
      </c>
      <c r="E619" s="1089" t="s">
        <v>5308</v>
      </c>
      <c r="F619" s="1081">
        <f t="shared" si="1"/>
        <v>0</v>
      </c>
      <c r="G619" s="1083">
        <f t="shared" si="2"/>
        <v>71.84</v>
      </c>
      <c r="H619" s="1084"/>
    </row>
    <row r="620" ht="14.25" customHeight="1">
      <c r="A620" s="1085">
        <v>781.0</v>
      </c>
      <c r="B620" s="1086" t="s">
        <v>5926</v>
      </c>
      <c r="C620" s="1087" t="s">
        <v>1788</v>
      </c>
      <c r="D620" s="1088">
        <v>132.74</v>
      </c>
      <c r="E620" s="1089" t="s">
        <v>5308</v>
      </c>
      <c r="F620" s="1081">
        <f t="shared" si="1"/>
        <v>0</v>
      </c>
      <c r="G620" s="1083">
        <f t="shared" si="2"/>
        <v>132.74</v>
      </c>
      <c r="H620" s="1084"/>
    </row>
    <row r="621" ht="14.25" customHeight="1">
      <c r="A621" s="1085">
        <v>786.0</v>
      </c>
      <c r="B621" s="1086" t="s">
        <v>5927</v>
      </c>
      <c r="C621" s="1087" t="s">
        <v>1788</v>
      </c>
      <c r="D621" s="1088">
        <v>132.74</v>
      </c>
      <c r="E621" s="1089" t="s">
        <v>5308</v>
      </c>
      <c r="F621" s="1081">
        <f t="shared" si="1"/>
        <v>0</v>
      </c>
      <c r="G621" s="1083">
        <f t="shared" si="2"/>
        <v>132.74</v>
      </c>
      <c r="H621" s="1084"/>
    </row>
    <row r="622" ht="14.25" customHeight="1">
      <c r="A622" s="1085">
        <v>782.0</v>
      </c>
      <c r="B622" s="1086" t="s">
        <v>5928</v>
      </c>
      <c r="C622" s="1087" t="s">
        <v>1788</v>
      </c>
      <c r="D622" s="1088">
        <v>132.74</v>
      </c>
      <c r="E622" s="1089" t="s">
        <v>5308</v>
      </c>
      <c r="F622" s="1081">
        <f t="shared" si="1"/>
        <v>0</v>
      </c>
      <c r="G622" s="1083">
        <f t="shared" si="2"/>
        <v>132.74</v>
      </c>
      <c r="H622" s="1084"/>
    </row>
    <row r="623" ht="14.25" customHeight="1">
      <c r="A623" s="1085">
        <v>783.0</v>
      </c>
      <c r="B623" s="1086" t="s">
        <v>5929</v>
      </c>
      <c r="C623" s="1087" t="s">
        <v>1788</v>
      </c>
      <c r="D623" s="1088">
        <v>363.29</v>
      </c>
      <c r="E623" s="1089" t="s">
        <v>5308</v>
      </c>
      <c r="F623" s="1081">
        <f t="shared" si="1"/>
        <v>0</v>
      </c>
      <c r="G623" s="1083">
        <f t="shared" si="2"/>
        <v>363.29</v>
      </c>
      <c r="H623" s="1084"/>
    </row>
    <row r="624" ht="14.25" customHeight="1">
      <c r="A624" s="1085">
        <v>785.0</v>
      </c>
      <c r="B624" s="1086" t="s">
        <v>5930</v>
      </c>
      <c r="C624" s="1087" t="s">
        <v>1788</v>
      </c>
      <c r="D624" s="1088">
        <v>383.85</v>
      </c>
      <c r="E624" s="1089" t="s">
        <v>5308</v>
      </c>
      <c r="F624" s="1081">
        <f t="shared" si="1"/>
        <v>0</v>
      </c>
      <c r="G624" s="1083">
        <f t="shared" si="2"/>
        <v>383.85</v>
      </c>
      <c r="H624" s="1084"/>
    </row>
    <row r="625" ht="14.25" customHeight="1">
      <c r="A625" s="1085">
        <v>784.0</v>
      </c>
      <c r="B625" s="1086" t="s">
        <v>5931</v>
      </c>
      <c r="C625" s="1087" t="s">
        <v>1788</v>
      </c>
      <c r="D625" s="1088">
        <v>411.77</v>
      </c>
      <c r="E625" s="1089" t="s">
        <v>5308</v>
      </c>
      <c r="F625" s="1081">
        <f t="shared" si="1"/>
        <v>0</v>
      </c>
      <c r="G625" s="1083">
        <f t="shared" si="2"/>
        <v>411.77</v>
      </c>
      <c r="H625" s="1084"/>
    </row>
    <row r="626" ht="14.25" customHeight="1">
      <c r="A626" s="1085">
        <v>828.0</v>
      </c>
      <c r="B626" s="1086" t="s">
        <v>5932</v>
      </c>
      <c r="C626" s="1087" t="s">
        <v>1788</v>
      </c>
      <c r="D626" s="1088">
        <v>0.62</v>
      </c>
      <c r="E626" s="1089" t="s">
        <v>5308</v>
      </c>
      <c r="F626" s="1081">
        <f t="shared" si="1"/>
        <v>0</v>
      </c>
      <c r="G626" s="1083">
        <f t="shared" si="2"/>
        <v>0.62</v>
      </c>
      <c r="H626" s="1084"/>
    </row>
    <row r="627" ht="14.25" customHeight="1">
      <c r="A627" s="1085">
        <v>829.0</v>
      </c>
      <c r="B627" s="1086" t="s">
        <v>5933</v>
      </c>
      <c r="C627" s="1087" t="s">
        <v>1788</v>
      </c>
      <c r="D627" s="1088">
        <v>1.0</v>
      </c>
      <c r="E627" s="1089" t="s">
        <v>5308</v>
      </c>
      <c r="F627" s="1081">
        <f t="shared" si="1"/>
        <v>0</v>
      </c>
      <c r="G627" s="1083">
        <f t="shared" si="2"/>
        <v>1</v>
      </c>
      <c r="H627" s="1084"/>
    </row>
    <row r="628" ht="14.25" customHeight="1">
      <c r="A628" s="1085">
        <v>812.0</v>
      </c>
      <c r="B628" s="1086" t="s">
        <v>5934</v>
      </c>
      <c r="C628" s="1087" t="s">
        <v>1788</v>
      </c>
      <c r="D628" s="1088">
        <v>2.2</v>
      </c>
      <c r="E628" s="1089" t="s">
        <v>5308</v>
      </c>
      <c r="F628" s="1081">
        <f t="shared" si="1"/>
        <v>0</v>
      </c>
      <c r="G628" s="1083">
        <f t="shared" si="2"/>
        <v>2.2</v>
      </c>
      <c r="H628" s="1084"/>
    </row>
    <row r="629" ht="14.25" customHeight="1">
      <c r="A629" s="1085">
        <v>819.0</v>
      </c>
      <c r="B629" s="1086" t="s">
        <v>5935</v>
      </c>
      <c r="C629" s="1087" t="s">
        <v>1788</v>
      </c>
      <c r="D629" s="1088">
        <v>3.82</v>
      </c>
      <c r="E629" s="1089" t="s">
        <v>5308</v>
      </c>
      <c r="F629" s="1081">
        <f t="shared" si="1"/>
        <v>0</v>
      </c>
      <c r="G629" s="1083">
        <f t="shared" si="2"/>
        <v>3.82</v>
      </c>
      <c r="H629" s="1084"/>
    </row>
    <row r="630" ht="14.25" customHeight="1">
      <c r="A630" s="1085">
        <v>818.0</v>
      </c>
      <c r="B630" s="1086" t="s">
        <v>5936</v>
      </c>
      <c r="C630" s="1087" t="s">
        <v>1788</v>
      </c>
      <c r="D630" s="1088">
        <v>7.14</v>
      </c>
      <c r="E630" s="1089" t="s">
        <v>5308</v>
      </c>
      <c r="F630" s="1081">
        <f t="shared" si="1"/>
        <v>0</v>
      </c>
      <c r="G630" s="1083">
        <f t="shared" si="2"/>
        <v>7.14</v>
      </c>
      <c r="H630" s="1084"/>
    </row>
    <row r="631" ht="14.25" customHeight="1">
      <c r="A631" s="1085">
        <v>832.0</v>
      </c>
      <c r="B631" s="1086" t="s">
        <v>5937</v>
      </c>
      <c r="C631" s="1087" t="s">
        <v>1788</v>
      </c>
      <c r="D631" s="1088">
        <v>2.95</v>
      </c>
      <c r="E631" s="1089" t="s">
        <v>5308</v>
      </c>
      <c r="F631" s="1081">
        <f t="shared" si="1"/>
        <v>0</v>
      </c>
      <c r="G631" s="1083">
        <f t="shared" si="2"/>
        <v>2.95</v>
      </c>
      <c r="H631" s="1084"/>
    </row>
    <row r="632" ht="14.25" customHeight="1">
      <c r="A632" s="1085">
        <v>834.0</v>
      </c>
      <c r="B632" s="1086" t="s">
        <v>5938</v>
      </c>
      <c r="C632" s="1087" t="s">
        <v>1788</v>
      </c>
      <c r="D632" s="1088">
        <v>3.82</v>
      </c>
      <c r="E632" s="1089" t="s">
        <v>5308</v>
      </c>
      <c r="F632" s="1081">
        <f t="shared" si="1"/>
        <v>0</v>
      </c>
      <c r="G632" s="1083">
        <f t="shared" si="2"/>
        <v>3.82</v>
      </c>
      <c r="H632" s="1084"/>
    </row>
    <row r="633" ht="14.25" customHeight="1">
      <c r="A633" s="1085">
        <v>813.0</v>
      </c>
      <c r="B633" s="1086" t="s">
        <v>5939</v>
      </c>
      <c r="C633" s="1087" t="s">
        <v>1788</v>
      </c>
      <c r="D633" s="1088">
        <v>4.44</v>
      </c>
      <c r="E633" s="1089" t="s">
        <v>5308</v>
      </c>
      <c r="F633" s="1081">
        <f t="shared" si="1"/>
        <v>0</v>
      </c>
      <c r="G633" s="1083">
        <f t="shared" si="2"/>
        <v>4.44</v>
      </c>
      <c r="H633" s="1084"/>
    </row>
    <row r="634" ht="14.25" customHeight="1">
      <c r="A634" s="1085">
        <v>820.0</v>
      </c>
      <c r="B634" s="1086" t="s">
        <v>5940</v>
      </c>
      <c r="C634" s="1087" t="s">
        <v>1788</v>
      </c>
      <c r="D634" s="1088">
        <v>5.98</v>
      </c>
      <c r="E634" s="1089" t="s">
        <v>5308</v>
      </c>
      <c r="F634" s="1081">
        <f t="shared" si="1"/>
        <v>0</v>
      </c>
      <c r="G634" s="1083">
        <f t="shared" si="2"/>
        <v>5.98</v>
      </c>
      <c r="H634" s="1084"/>
    </row>
    <row r="635" ht="14.25" customHeight="1">
      <c r="A635" s="1085">
        <v>816.0</v>
      </c>
      <c r="B635" s="1086" t="s">
        <v>5941</v>
      </c>
      <c r="C635" s="1087" t="s">
        <v>1788</v>
      </c>
      <c r="D635" s="1088">
        <v>10.66</v>
      </c>
      <c r="E635" s="1089" t="s">
        <v>5308</v>
      </c>
      <c r="F635" s="1081">
        <f t="shared" si="1"/>
        <v>0</v>
      </c>
      <c r="G635" s="1083">
        <f t="shared" si="2"/>
        <v>10.66</v>
      </c>
      <c r="H635" s="1084"/>
    </row>
    <row r="636" ht="14.25" customHeight="1">
      <c r="A636" s="1085">
        <v>814.0</v>
      </c>
      <c r="B636" s="1086" t="s">
        <v>5942</v>
      </c>
      <c r="C636" s="1087" t="s">
        <v>1788</v>
      </c>
      <c r="D636" s="1088">
        <v>13.24</v>
      </c>
      <c r="E636" s="1089" t="s">
        <v>5308</v>
      </c>
      <c r="F636" s="1081">
        <f t="shared" si="1"/>
        <v>0</v>
      </c>
      <c r="G636" s="1083">
        <f t="shared" si="2"/>
        <v>13.24</v>
      </c>
      <c r="H636" s="1084"/>
    </row>
    <row r="637" ht="14.25" customHeight="1">
      <c r="A637" s="1085">
        <v>822.0</v>
      </c>
      <c r="B637" s="1086" t="s">
        <v>5943</v>
      </c>
      <c r="C637" s="1087" t="s">
        <v>1788</v>
      </c>
      <c r="D637" s="1088">
        <v>17.28</v>
      </c>
      <c r="E637" s="1089" t="s">
        <v>5308</v>
      </c>
      <c r="F637" s="1081">
        <f t="shared" si="1"/>
        <v>0</v>
      </c>
      <c r="G637" s="1083">
        <f t="shared" si="2"/>
        <v>17.28</v>
      </c>
      <c r="H637" s="1084"/>
    </row>
    <row r="638" ht="14.25" customHeight="1">
      <c r="A638" s="1085">
        <v>821.0</v>
      </c>
      <c r="B638" s="1086" t="s">
        <v>5944</v>
      </c>
      <c r="C638" s="1087" t="s">
        <v>1788</v>
      </c>
      <c r="D638" s="1088">
        <v>19.77</v>
      </c>
      <c r="E638" s="1089" t="s">
        <v>5308</v>
      </c>
      <c r="F638" s="1081">
        <f t="shared" si="1"/>
        <v>0</v>
      </c>
      <c r="G638" s="1083">
        <f t="shared" si="2"/>
        <v>19.77</v>
      </c>
      <c r="H638" s="1084"/>
    </row>
    <row r="639" ht="14.25" customHeight="1">
      <c r="A639" s="1085">
        <v>20086.0</v>
      </c>
      <c r="B639" s="1086" t="s">
        <v>5945</v>
      </c>
      <c r="C639" s="1087" t="s">
        <v>1788</v>
      </c>
      <c r="D639" s="1088">
        <v>3.52</v>
      </c>
      <c r="E639" s="1089" t="s">
        <v>5308</v>
      </c>
      <c r="F639" s="1081">
        <f t="shared" si="1"/>
        <v>0</v>
      </c>
      <c r="G639" s="1083">
        <f t="shared" si="2"/>
        <v>3.52</v>
      </c>
      <c r="H639" s="1084"/>
    </row>
    <row r="640" ht="14.25" customHeight="1">
      <c r="A640" s="1085">
        <v>39191.0</v>
      </c>
      <c r="B640" s="1086" t="s">
        <v>5946</v>
      </c>
      <c r="C640" s="1087" t="s">
        <v>1788</v>
      </c>
      <c r="D640" s="1088">
        <v>24.2</v>
      </c>
      <c r="E640" s="1089" t="s">
        <v>5308</v>
      </c>
      <c r="F640" s="1081">
        <f t="shared" si="1"/>
        <v>0</v>
      </c>
      <c r="G640" s="1083">
        <f t="shared" si="2"/>
        <v>24.2</v>
      </c>
      <c r="H640" s="1084"/>
    </row>
    <row r="641" ht="14.25" customHeight="1">
      <c r="A641" s="1085">
        <v>39190.0</v>
      </c>
      <c r="B641" s="1086" t="s">
        <v>5947</v>
      </c>
      <c r="C641" s="1087" t="s">
        <v>1788</v>
      </c>
      <c r="D641" s="1088">
        <v>25.28</v>
      </c>
      <c r="E641" s="1089" t="s">
        <v>5308</v>
      </c>
      <c r="F641" s="1081">
        <f t="shared" si="1"/>
        <v>0</v>
      </c>
      <c r="G641" s="1083">
        <f t="shared" si="2"/>
        <v>25.28</v>
      </c>
      <c r="H641" s="1084"/>
    </row>
    <row r="642" ht="14.25" customHeight="1">
      <c r="A642" s="1085">
        <v>39189.0</v>
      </c>
      <c r="B642" s="1086" t="s">
        <v>5948</v>
      </c>
      <c r="C642" s="1087" t="s">
        <v>1788</v>
      </c>
      <c r="D642" s="1088">
        <v>26.75</v>
      </c>
      <c r="E642" s="1089" t="s">
        <v>5308</v>
      </c>
      <c r="F642" s="1081">
        <f t="shared" si="1"/>
        <v>0</v>
      </c>
      <c r="G642" s="1083">
        <f t="shared" si="2"/>
        <v>26.75</v>
      </c>
      <c r="H642" s="1084"/>
    </row>
    <row r="643" ht="14.25" customHeight="1">
      <c r="A643" s="1085">
        <v>39186.0</v>
      </c>
      <c r="B643" s="1086" t="s">
        <v>5949</v>
      </c>
      <c r="C643" s="1087" t="s">
        <v>1788</v>
      </c>
      <c r="D643" s="1088">
        <v>23.93</v>
      </c>
      <c r="E643" s="1089" t="s">
        <v>5308</v>
      </c>
      <c r="F643" s="1081">
        <f t="shared" si="1"/>
        <v>0</v>
      </c>
      <c r="G643" s="1083">
        <f t="shared" si="2"/>
        <v>23.93</v>
      </c>
      <c r="H643" s="1084"/>
    </row>
    <row r="644" ht="14.25" customHeight="1">
      <c r="A644" s="1085">
        <v>39188.0</v>
      </c>
      <c r="B644" s="1086" t="s">
        <v>5950</v>
      </c>
      <c r="C644" s="1087" t="s">
        <v>1788</v>
      </c>
      <c r="D644" s="1088">
        <v>19.69</v>
      </c>
      <c r="E644" s="1089" t="s">
        <v>5308</v>
      </c>
      <c r="F644" s="1081">
        <f t="shared" si="1"/>
        <v>0</v>
      </c>
      <c r="G644" s="1083">
        <f t="shared" si="2"/>
        <v>19.69</v>
      </c>
      <c r="H644" s="1084"/>
    </row>
    <row r="645" ht="14.25" customHeight="1">
      <c r="A645" s="1085">
        <v>39187.0</v>
      </c>
      <c r="B645" s="1086" t="s">
        <v>5951</v>
      </c>
      <c r="C645" s="1087" t="s">
        <v>1788</v>
      </c>
      <c r="D645" s="1088">
        <v>20.64</v>
      </c>
      <c r="E645" s="1089" t="s">
        <v>5308</v>
      </c>
      <c r="F645" s="1081">
        <f t="shared" si="1"/>
        <v>0</v>
      </c>
      <c r="G645" s="1083">
        <f t="shared" si="2"/>
        <v>20.64</v>
      </c>
      <c r="H645" s="1084"/>
    </row>
    <row r="646" ht="14.25" customHeight="1">
      <c r="A646" s="1085">
        <v>39184.0</v>
      </c>
      <c r="B646" s="1086" t="s">
        <v>5952</v>
      </c>
      <c r="C646" s="1087" t="s">
        <v>1788</v>
      </c>
      <c r="D646" s="1088">
        <v>7.76</v>
      </c>
      <c r="E646" s="1089" t="s">
        <v>5308</v>
      </c>
      <c r="F646" s="1081">
        <f t="shared" si="1"/>
        <v>0</v>
      </c>
      <c r="G646" s="1083">
        <f t="shared" si="2"/>
        <v>7.76</v>
      </c>
      <c r="H646" s="1084"/>
    </row>
    <row r="647" ht="14.25" customHeight="1">
      <c r="A647" s="1085">
        <v>39185.0</v>
      </c>
      <c r="B647" s="1086" t="s">
        <v>5953</v>
      </c>
      <c r="C647" s="1087" t="s">
        <v>1788</v>
      </c>
      <c r="D647" s="1088">
        <v>7.08</v>
      </c>
      <c r="E647" s="1089" t="s">
        <v>5308</v>
      </c>
      <c r="F647" s="1081">
        <f t="shared" si="1"/>
        <v>0</v>
      </c>
      <c r="G647" s="1083">
        <f t="shared" si="2"/>
        <v>7.08</v>
      </c>
      <c r="H647" s="1084"/>
    </row>
    <row r="648" ht="14.25" customHeight="1">
      <c r="A648" s="1085">
        <v>39198.0</v>
      </c>
      <c r="B648" s="1086" t="s">
        <v>5954</v>
      </c>
      <c r="C648" s="1087" t="s">
        <v>1788</v>
      </c>
      <c r="D648" s="1088">
        <v>79.38</v>
      </c>
      <c r="E648" s="1089" t="s">
        <v>5308</v>
      </c>
      <c r="F648" s="1081">
        <f t="shared" si="1"/>
        <v>0</v>
      </c>
      <c r="G648" s="1083">
        <f t="shared" si="2"/>
        <v>79.38</v>
      </c>
      <c r="H648" s="1084"/>
    </row>
    <row r="649" ht="14.25" customHeight="1">
      <c r="A649" s="1085">
        <v>39197.0</v>
      </c>
      <c r="B649" s="1086" t="s">
        <v>5955</v>
      </c>
      <c r="C649" s="1087" t="s">
        <v>1788</v>
      </c>
      <c r="D649" s="1088">
        <v>82.92</v>
      </c>
      <c r="E649" s="1089" t="s">
        <v>5308</v>
      </c>
      <c r="F649" s="1081">
        <f t="shared" si="1"/>
        <v>0</v>
      </c>
      <c r="G649" s="1083">
        <f t="shared" si="2"/>
        <v>82.92</v>
      </c>
      <c r="H649" s="1084"/>
    </row>
    <row r="650" ht="14.25" customHeight="1">
      <c r="A650" s="1085">
        <v>39196.0</v>
      </c>
      <c r="B650" s="1086" t="s">
        <v>5956</v>
      </c>
      <c r="C650" s="1087" t="s">
        <v>1788</v>
      </c>
      <c r="D650" s="1088">
        <v>85.52</v>
      </c>
      <c r="E650" s="1089" t="s">
        <v>5308</v>
      </c>
      <c r="F650" s="1081">
        <f t="shared" si="1"/>
        <v>0</v>
      </c>
      <c r="G650" s="1083">
        <f t="shared" si="2"/>
        <v>85.52</v>
      </c>
      <c r="H650" s="1084"/>
    </row>
    <row r="651" ht="14.25" customHeight="1">
      <c r="A651" s="1085">
        <v>39199.0</v>
      </c>
      <c r="B651" s="1086" t="s">
        <v>5957</v>
      </c>
      <c r="C651" s="1087" t="s">
        <v>1788</v>
      </c>
      <c r="D651" s="1088">
        <v>76.39</v>
      </c>
      <c r="E651" s="1089" t="s">
        <v>5308</v>
      </c>
      <c r="F651" s="1081">
        <f t="shared" si="1"/>
        <v>0</v>
      </c>
      <c r="G651" s="1083">
        <f t="shared" si="2"/>
        <v>76.39</v>
      </c>
      <c r="H651" s="1084"/>
    </row>
    <row r="652" ht="14.25" customHeight="1">
      <c r="A652" s="1085">
        <v>39195.0</v>
      </c>
      <c r="B652" s="1086" t="s">
        <v>5958</v>
      </c>
      <c r="C652" s="1087" t="s">
        <v>1788</v>
      </c>
      <c r="D652" s="1088">
        <v>44.09</v>
      </c>
      <c r="E652" s="1089" t="s">
        <v>5308</v>
      </c>
      <c r="F652" s="1081">
        <f t="shared" si="1"/>
        <v>0</v>
      </c>
      <c r="G652" s="1083">
        <f t="shared" si="2"/>
        <v>44.09</v>
      </c>
      <c r="H652" s="1084"/>
    </row>
    <row r="653" ht="14.25" customHeight="1">
      <c r="A653" s="1085">
        <v>39194.0</v>
      </c>
      <c r="B653" s="1086" t="s">
        <v>5959</v>
      </c>
      <c r="C653" s="1087" t="s">
        <v>1788</v>
      </c>
      <c r="D653" s="1088">
        <v>47.19</v>
      </c>
      <c r="E653" s="1089" t="s">
        <v>5308</v>
      </c>
      <c r="F653" s="1081">
        <f t="shared" si="1"/>
        <v>0</v>
      </c>
      <c r="G653" s="1083">
        <f t="shared" si="2"/>
        <v>47.19</v>
      </c>
      <c r="H653" s="1084"/>
    </row>
    <row r="654" ht="14.25" customHeight="1">
      <c r="A654" s="1085">
        <v>39193.0</v>
      </c>
      <c r="B654" s="1086" t="s">
        <v>5960</v>
      </c>
      <c r="C654" s="1087" t="s">
        <v>1788</v>
      </c>
      <c r="D654" s="1088">
        <v>51.72</v>
      </c>
      <c r="E654" s="1089" t="s">
        <v>5308</v>
      </c>
      <c r="F654" s="1081">
        <f t="shared" si="1"/>
        <v>0</v>
      </c>
      <c r="G654" s="1083">
        <f t="shared" si="2"/>
        <v>51.72</v>
      </c>
      <c r="H654" s="1084"/>
    </row>
    <row r="655" ht="14.25" customHeight="1">
      <c r="A655" s="1085">
        <v>39192.0</v>
      </c>
      <c r="B655" s="1086" t="s">
        <v>5961</v>
      </c>
      <c r="C655" s="1087" t="s">
        <v>1788</v>
      </c>
      <c r="D655" s="1088">
        <v>53.8</v>
      </c>
      <c r="E655" s="1089" t="s">
        <v>5308</v>
      </c>
      <c r="F655" s="1081">
        <f t="shared" si="1"/>
        <v>0</v>
      </c>
      <c r="G655" s="1083">
        <f t="shared" si="2"/>
        <v>53.8</v>
      </c>
      <c r="H655" s="1084"/>
    </row>
    <row r="656" ht="14.25" customHeight="1">
      <c r="A656" s="1085">
        <v>39920.0</v>
      </c>
      <c r="B656" s="1086" t="s">
        <v>5962</v>
      </c>
      <c r="C656" s="1087" t="s">
        <v>1788</v>
      </c>
      <c r="D656" s="1088">
        <v>6.51</v>
      </c>
      <c r="E656" s="1089" t="s">
        <v>5308</v>
      </c>
      <c r="F656" s="1081">
        <f t="shared" si="1"/>
        <v>0</v>
      </c>
      <c r="G656" s="1083">
        <f t="shared" si="2"/>
        <v>6.51</v>
      </c>
      <c r="H656" s="1084"/>
    </row>
    <row r="657" ht="14.25" customHeight="1">
      <c r="A657" s="1085">
        <v>39201.0</v>
      </c>
      <c r="B657" s="1086" t="s">
        <v>5963</v>
      </c>
      <c r="C657" s="1087" t="s">
        <v>1788</v>
      </c>
      <c r="D657" s="1088">
        <v>94.91</v>
      </c>
      <c r="E657" s="1089" t="s">
        <v>5308</v>
      </c>
      <c r="F657" s="1081">
        <f t="shared" si="1"/>
        <v>0</v>
      </c>
      <c r="G657" s="1083">
        <f t="shared" si="2"/>
        <v>94.91</v>
      </c>
      <c r="H657" s="1084"/>
    </row>
    <row r="658" ht="14.25" customHeight="1">
      <c r="A658" s="1085">
        <v>39200.0</v>
      </c>
      <c r="B658" s="1086" t="s">
        <v>5964</v>
      </c>
      <c r="C658" s="1087" t="s">
        <v>1788</v>
      </c>
      <c r="D658" s="1088">
        <v>95.67</v>
      </c>
      <c r="E658" s="1089" t="s">
        <v>5308</v>
      </c>
      <c r="F658" s="1081">
        <f t="shared" si="1"/>
        <v>0</v>
      </c>
      <c r="G658" s="1083">
        <f t="shared" si="2"/>
        <v>95.67</v>
      </c>
      <c r="H658" s="1084"/>
    </row>
    <row r="659" ht="14.25" customHeight="1">
      <c r="A659" s="1085">
        <v>39203.0</v>
      </c>
      <c r="B659" s="1086" t="s">
        <v>5965</v>
      </c>
      <c r="C659" s="1087" t="s">
        <v>1788</v>
      </c>
      <c r="D659" s="1088">
        <v>77.25</v>
      </c>
      <c r="E659" s="1089" t="s">
        <v>5308</v>
      </c>
      <c r="F659" s="1081">
        <f t="shared" si="1"/>
        <v>0</v>
      </c>
      <c r="G659" s="1083">
        <f t="shared" si="2"/>
        <v>77.25</v>
      </c>
      <c r="H659" s="1084"/>
    </row>
    <row r="660" ht="14.25" customHeight="1">
      <c r="A660" s="1085">
        <v>39202.0</v>
      </c>
      <c r="B660" s="1086" t="s">
        <v>5966</v>
      </c>
      <c r="C660" s="1087" t="s">
        <v>1788</v>
      </c>
      <c r="D660" s="1088">
        <v>90.75</v>
      </c>
      <c r="E660" s="1089" t="s">
        <v>5308</v>
      </c>
      <c r="F660" s="1081">
        <f t="shared" si="1"/>
        <v>0</v>
      </c>
      <c r="G660" s="1083">
        <f t="shared" si="2"/>
        <v>90.75</v>
      </c>
      <c r="H660" s="1084"/>
    </row>
    <row r="661" ht="14.25" customHeight="1">
      <c r="A661" s="1085">
        <v>39205.0</v>
      </c>
      <c r="B661" s="1086" t="s">
        <v>5967</v>
      </c>
      <c r="C661" s="1087" t="s">
        <v>1788</v>
      </c>
      <c r="D661" s="1088">
        <v>151.39</v>
      </c>
      <c r="E661" s="1089" t="s">
        <v>5308</v>
      </c>
      <c r="F661" s="1081">
        <f t="shared" si="1"/>
        <v>0</v>
      </c>
      <c r="G661" s="1083">
        <f t="shared" si="2"/>
        <v>151.39</v>
      </c>
      <c r="H661" s="1084"/>
    </row>
    <row r="662" ht="14.25" customHeight="1">
      <c r="A662" s="1085">
        <v>39204.0</v>
      </c>
      <c r="B662" s="1086" t="s">
        <v>5968</v>
      </c>
      <c r="C662" s="1087" t="s">
        <v>1788</v>
      </c>
      <c r="D662" s="1088">
        <v>155.05</v>
      </c>
      <c r="E662" s="1089" t="s">
        <v>5308</v>
      </c>
      <c r="F662" s="1081">
        <f t="shared" si="1"/>
        <v>0</v>
      </c>
      <c r="G662" s="1083">
        <f t="shared" si="2"/>
        <v>155.05</v>
      </c>
      <c r="H662" s="1084"/>
    </row>
    <row r="663" ht="14.25" customHeight="1">
      <c r="A663" s="1085">
        <v>39206.0</v>
      </c>
      <c r="B663" s="1086" t="s">
        <v>5969</v>
      </c>
      <c r="C663" s="1087" t="s">
        <v>1788</v>
      </c>
      <c r="D663" s="1088">
        <v>147.1</v>
      </c>
      <c r="E663" s="1089" t="s">
        <v>5308</v>
      </c>
      <c r="F663" s="1081">
        <f t="shared" si="1"/>
        <v>0</v>
      </c>
      <c r="G663" s="1083">
        <f t="shared" si="2"/>
        <v>147.1</v>
      </c>
      <c r="H663" s="1084"/>
    </row>
    <row r="664" ht="14.25" customHeight="1">
      <c r="A664" s="1085">
        <v>798.0</v>
      </c>
      <c r="B664" s="1086" t="s">
        <v>5970</v>
      </c>
      <c r="C664" s="1087" t="s">
        <v>1788</v>
      </c>
      <c r="D664" s="1088">
        <v>1.23</v>
      </c>
      <c r="E664" s="1089" t="s">
        <v>5308</v>
      </c>
      <c r="F664" s="1081">
        <f t="shared" si="1"/>
        <v>0</v>
      </c>
      <c r="G664" s="1083">
        <f t="shared" si="2"/>
        <v>1.23</v>
      </c>
      <c r="H664" s="1084"/>
    </row>
    <row r="665" ht="14.25" customHeight="1">
      <c r="A665" s="1085">
        <v>797.0</v>
      </c>
      <c r="B665" s="1086" t="s">
        <v>5971</v>
      </c>
      <c r="C665" s="1087" t="s">
        <v>1788</v>
      </c>
      <c r="D665" s="1088">
        <v>8.95</v>
      </c>
      <c r="E665" s="1089" t="s">
        <v>5308</v>
      </c>
      <c r="F665" s="1081">
        <f t="shared" si="1"/>
        <v>0</v>
      </c>
      <c r="G665" s="1083">
        <f t="shared" si="2"/>
        <v>8.95</v>
      </c>
      <c r="H665" s="1084"/>
    </row>
    <row r="666" ht="14.25" customHeight="1">
      <c r="A666" s="1085">
        <v>796.0</v>
      </c>
      <c r="B666" s="1086" t="s">
        <v>5972</v>
      </c>
      <c r="C666" s="1087" t="s">
        <v>1788</v>
      </c>
      <c r="D666" s="1088">
        <v>7.6</v>
      </c>
      <c r="E666" s="1089" t="s">
        <v>5308</v>
      </c>
      <c r="F666" s="1081">
        <f t="shared" si="1"/>
        <v>0</v>
      </c>
      <c r="G666" s="1083">
        <f t="shared" si="2"/>
        <v>7.6</v>
      </c>
      <c r="H666" s="1084"/>
    </row>
    <row r="667" ht="14.25" customHeight="1">
      <c r="A667" s="1085">
        <v>799.0</v>
      </c>
      <c r="B667" s="1086" t="s">
        <v>5973</v>
      </c>
      <c r="C667" s="1087" t="s">
        <v>1788</v>
      </c>
      <c r="D667" s="1088">
        <v>3.68</v>
      </c>
      <c r="E667" s="1089" t="s">
        <v>5308</v>
      </c>
      <c r="F667" s="1081">
        <f t="shared" si="1"/>
        <v>0</v>
      </c>
      <c r="G667" s="1083">
        <f t="shared" si="2"/>
        <v>3.68</v>
      </c>
      <c r="H667" s="1084"/>
    </row>
    <row r="668" ht="14.25" customHeight="1">
      <c r="A668" s="1085">
        <v>792.0</v>
      </c>
      <c r="B668" s="1086" t="s">
        <v>5974</v>
      </c>
      <c r="C668" s="1087" t="s">
        <v>1788</v>
      </c>
      <c r="D668" s="1088">
        <v>3.56</v>
      </c>
      <c r="E668" s="1089" t="s">
        <v>5308</v>
      </c>
      <c r="F668" s="1081">
        <f t="shared" si="1"/>
        <v>0</v>
      </c>
      <c r="G668" s="1083">
        <f t="shared" si="2"/>
        <v>3.56</v>
      </c>
      <c r="H668" s="1084"/>
    </row>
    <row r="669" ht="14.25" customHeight="1">
      <c r="A669" s="1085">
        <v>38001.0</v>
      </c>
      <c r="B669" s="1086" t="s">
        <v>5975</v>
      </c>
      <c r="C669" s="1087" t="s">
        <v>1788</v>
      </c>
      <c r="D669" s="1088">
        <v>1.18</v>
      </c>
      <c r="E669" s="1089" t="s">
        <v>5308</v>
      </c>
      <c r="F669" s="1081">
        <f t="shared" si="1"/>
        <v>0</v>
      </c>
      <c r="G669" s="1083">
        <f t="shared" si="2"/>
        <v>1.18</v>
      </c>
      <c r="H669" s="1084"/>
    </row>
    <row r="670" ht="14.25" customHeight="1">
      <c r="A670" s="1085">
        <v>38002.0</v>
      </c>
      <c r="B670" s="1086" t="s">
        <v>5976</v>
      </c>
      <c r="C670" s="1087" t="s">
        <v>1788</v>
      </c>
      <c r="D670" s="1088">
        <v>4.12</v>
      </c>
      <c r="E670" s="1089" t="s">
        <v>5308</v>
      </c>
      <c r="F670" s="1081">
        <f t="shared" si="1"/>
        <v>0</v>
      </c>
      <c r="G670" s="1083">
        <f t="shared" si="2"/>
        <v>4.12</v>
      </c>
      <c r="H670" s="1084"/>
    </row>
    <row r="671" ht="14.25" customHeight="1">
      <c r="A671" s="1085">
        <v>38003.0</v>
      </c>
      <c r="B671" s="1086" t="s">
        <v>5977</v>
      </c>
      <c r="C671" s="1087" t="s">
        <v>1788</v>
      </c>
      <c r="D671" s="1088">
        <v>28.16</v>
      </c>
      <c r="E671" s="1089" t="s">
        <v>5308</v>
      </c>
      <c r="F671" s="1081">
        <f t="shared" si="1"/>
        <v>0</v>
      </c>
      <c r="G671" s="1083">
        <f t="shared" si="2"/>
        <v>28.16</v>
      </c>
      <c r="H671" s="1084"/>
    </row>
    <row r="672" ht="14.25" customHeight="1">
      <c r="A672" s="1085">
        <v>38004.0</v>
      </c>
      <c r="B672" s="1086" t="s">
        <v>5978</v>
      </c>
      <c r="C672" s="1087" t="s">
        <v>1788</v>
      </c>
      <c r="D672" s="1088">
        <v>32.39</v>
      </c>
      <c r="E672" s="1089" t="s">
        <v>5308</v>
      </c>
      <c r="F672" s="1081">
        <f t="shared" si="1"/>
        <v>0</v>
      </c>
      <c r="G672" s="1083">
        <f t="shared" si="2"/>
        <v>32.39</v>
      </c>
      <c r="H672" s="1084"/>
    </row>
    <row r="673" ht="14.25" customHeight="1">
      <c r="A673" s="1085">
        <v>44263.0</v>
      </c>
      <c r="B673" s="1086" t="s">
        <v>5979</v>
      </c>
      <c r="C673" s="1087" t="s">
        <v>1788</v>
      </c>
      <c r="D673" s="1088">
        <v>58.15</v>
      </c>
      <c r="E673" s="1089" t="s">
        <v>5308</v>
      </c>
      <c r="F673" s="1081">
        <f t="shared" si="1"/>
        <v>0</v>
      </c>
      <c r="G673" s="1083">
        <f t="shared" si="2"/>
        <v>58.15</v>
      </c>
      <c r="H673" s="1084"/>
    </row>
    <row r="674" ht="14.25" customHeight="1">
      <c r="A674" s="1085">
        <v>36327.0</v>
      </c>
      <c r="B674" s="1086" t="s">
        <v>5980</v>
      </c>
      <c r="C674" s="1087" t="s">
        <v>1788</v>
      </c>
      <c r="D674" s="1088">
        <v>4.52</v>
      </c>
      <c r="E674" s="1089" t="s">
        <v>5308</v>
      </c>
      <c r="F674" s="1081">
        <f t="shared" si="1"/>
        <v>0</v>
      </c>
      <c r="G674" s="1083">
        <f t="shared" si="2"/>
        <v>4.52</v>
      </c>
      <c r="H674" s="1084"/>
    </row>
    <row r="675" ht="14.25" customHeight="1">
      <c r="A675" s="1085">
        <v>38992.0</v>
      </c>
      <c r="B675" s="1086" t="s">
        <v>5981</v>
      </c>
      <c r="C675" s="1087" t="s">
        <v>1788</v>
      </c>
      <c r="D675" s="1088">
        <v>5.49</v>
      </c>
      <c r="E675" s="1089" t="s">
        <v>5308</v>
      </c>
      <c r="F675" s="1081">
        <f t="shared" si="1"/>
        <v>0</v>
      </c>
      <c r="G675" s="1083">
        <f t="shared" si="2"/>
        <v>5.49</v>
      </c>
      <c r="H675" s="1084"/>
    </row>
    <row r="676" ht="14.25" customHeight="1">
      <c r="A676" s="1085">
        <v>38993.0</v>
      </c>
      <c r="B676" s="1086" t="s">
        <v>5982</v>
      </c>
      <c r="C676" s="1087" t="s">
        <v>1788</v>
      </c>
      <c r="D676" s="1088">
        <v>14.28</v>
      </c>
      <c r="E676" s="1089" t="s">
        <v>5308</v>
      </c>
      <c r="F676" s="1081">
        <f t="shared" si="1"/>
        <v>0</v>
      </c>
      <c r="G676" s="1083">
        <f t="shared" si="2"/>
        <v>14.28</v>
      </c>
      <c r="H676" s="1084"/>
    </row>
    <row r="677" ht="14.25" customHeight="1">
      <c r="A677" s="1085">
        <v>44175.0</v>
      </c>
      <c r="B677" s="1086" t="s">
        <v>5983</v>
      </c>
      <c r="C677" s="1087" t="s">
        <v>1788</v>
      </c>
      <c r="D677" s="1088">
        <v>24.91</v>
      </c>
      <c r="E677" s="1089" t="s">
        <v>5308</v>
      </c>
      <c r="F677" s="1081">
        <f t="shared" si="1"/>
        <v>0</v>
      </c>
      <c r="G677" s="1083">
        <f t="shared" si="2"/>
        <v>24.91</v>
      </c>
      <c r="H677" s="1084"/>
    </row>
    <row r="678" ht="14.25" customHeight="1">
      <c r="A678" s="1085">
        <v>44177.0</v>
      </c>
      <c r="B678" s="1086" t="s">
        <v>5984</v>
      </c>
      <c r="C678" s="1087" t="s">
        <v>1788</v>
      </c>
      <c r="D678" s="1088">
        <v>18.61</v>
      </c>
      <c r="E678" s="1089" t="s">
        <v>5308</v>
      </c>
      <c r="F678" s="1081">
        <f t="shared" si="1"/>
        <v>0</v>
      </c>
      <c r="G678" s="1083">
        <f t="shared" si="2"/>
        <v>18.61</v>
      </c>
      <c r="H678" s="1084"/>
    </row>
    <row r="679" ht="14.25" customHeight="1">
      <c r="A679" s="1085">
        <v>38418.0</v>
      </c>
      <c r="B679" s="1086" t="s">
        <v>5985</v>
      </c>
      <c r="C679" s="1087" t="s">
        <v>1788</v>
      </c>
      <c r="D679" s="1088">
        <v>6.05</v>
      </c>
      <c r="E679" s="1089" t="s">
        <v>5308</v>
      </c>
      <c r="F679" s="1081">
        <f t="shared" si="1"/>
        <v>0</v>
      </c>
      <c r="G679" s="1083">
        <f t="shared" si="2"/>
        <v>6.05</v>
      </c>
      <c r="H679" s="1084"/>
    </row>
    <row r="680" ht="14.25" customHeight="1">
      <c r="A680" s="1085">
        <v>39178.0</v>
      </c>
      <c r="B680" s="1086" t="s">
        <v>5986</v>
      </c>
      <c r="C680" s="1087" t="s">
        <v>1788</v>
      </c>
      <c r="D680" s="1088">
        <v>2.62</v>
      </c>
      <c r="E680" s="1089" t="s">
        <v>5308</v>
      </c>
      <c r="F680" s="1081">
        <f t="shared" si="1"/>
        <v>0</v>
      </c>
      <c r="G680" s="1083">
        <f t="shared" si="2"/>
        <v>2.62</v>
      </c>
      <c r="H680" s="1084"/>
    </row>
    <row r="681" ht="14.25" customHeight="1">
      <c r="A681" s="1085">
        <v>39177.0</v>
      </c>
      <c r="B681" s="1086" t="s">
        <v>5987</v>
      </c>
      <c r="C681" s="1087" t="s">
        <v>1788</v>
      </c>
      <c r="D681" s="1088">
        <v>2.37</v>
      </c>
      <c r="E681" s="1089" t="s">
        <v>5308</v>
      </c>
      <c r="F681" s="1081">
        <f t="shared" si="1"/>
        <v>0</v>
      </c>
      <c r="G681" s="1083">
        <f t="shared" si="2"/>
        <v>2.37</v>
      </c>
      <c r="H681" s="1084"/>
    </row>
    <row r="682" ht="14.25" customHeight="1">
      <c r="A682" s="1085">
        <v>39174.0</v>
      </c>
      <c r="B682" s="1086" t="s">
        <v>5988</v>
      </c>
      <c r="C682" s="1087" t="s">
        <v>1788</v>
      </c>
      <c r="D682" s="1088">
        <v>1.18</v>
      </c>
      <c r="E682" s="1089" t="s">
        <v>5308</v>
      </c>
      <c r="F682" s="1081">
        <f t="shared" si="1"/>
        <v>0</v>
      </c>
      <c r="G682" s="1083">
        <f t="shared" si="2"/>
        <v>1.18</v>
      </c>
      <c r="H682" s="1084"/>
    </row>
    <row r="683" ht="14.25" customHeight="1">
      <c r="A683" s="1085">
        <v>39176.0</v>
      </c>
      <c r="B683" s="1086" t="s">
        <v>5989</v>
      </c>
      <c r="C683" s="1087" t="s">
        <v>1788</v>
      </c>
      <c r="D683" s="1088">
        <v>1.55</v>
      </c>
      <c r="E683" s="1089" t="s">
        <v>5308</v>
      </c>
      <c r="F683" s="1081">
        <f t="shared" si="1"/>
        <v>0</v>
      </c>
      <c r="G683" s="1083">
        <f t="shared" si="2"/>
        <v>1.55</v>
      </c>
      <c r="H683" s="1084"/>
    </row>
    <row r="684" ht="14.25" customHeight="1">
      <c r="A684" s="1085">
        <v>39180.0</v>
      </c>
      <c r="B684" s="1086" t="s">
        <v>5990</v>
      </c>
      <c r="C684" s="1087" t="s">
        <v>1788</v>
      </c>
      <c r="D684" s="1088">
        <v>7.11</v>
      </c>
      <c r="E684" s="1089" t="s">
        <v>5308</v>
      </c>
      <c r="F684" s="1081">
        <f t="shared" si="1"/>
        <v>0</v>
      </c>
      <c r="G684" s="1083">
        <f t="shared" si="2"/>
        <v>7.11</v>
      </c>
      <c r="H684" s="1084"/>
    </row>
    <row r="685" ht="14.25" customHeight="1">
      <c r="A685" s="1085">
        <v>39179.0</v>
      </c>
      <c r="B685" s="1086" t="s">
        <v>5991</v>
      </c>
      <c r="C685" s="1087" t="s">
        <v>1788</v>
      </c>
      <c r="D685" s="1088">
        <v>6.29</v>
      </c>
      <c r="E685" s="1089" t="s">
        <v>5308</v>
      </c>
      <c r="F685" s="1081">
        <f t="shared" si="1"/>
        <v>0</v>
      </c>
      <c r="G685" s="1083">
        <f t="shared" si="2"/>
        <v>6.29</v>
      </c>
      <c r="H685" s="1084"/>
    </row>
    <row r="686" ht="14.25" customHeight="1">
      <c r="A686" s="1085">
        <v>39175.0</v>
      </c>
      <c r="B686" s="1086" t="s">
        <v>5992</v>
      </c>
      <c r="C686" s="1087" t="s">
        <v>1788</v>
      </c>
      <c r="D686" s="1088">
        <v>1.44</v>
      </c>
      <c r="E686" s="1089" t="s">
        <v>5308</v>
      </c>
      <c r="F686" s="1081">
        <f t="shared" si="1"/>
        <v>0</v>
      </c>
      <c r="G686" s="1083">
        <f t="shared" si="2"/>
        <v>1.44</v>
      </c>
      <c r="H686" s="1084"/>
    </row>
    <row r="687" ht="14.25" customHeight="1">
      <c r="A687" s="1085">
        <v>39217.0</v>
      </c>
      <c r="B687" s="1086" t="s">
        <v>5993</v>
      </c>
      <c r="C687" s="1087" t="s">
        <v>1788</v>
      </c>
      <c r="D687" s="1088">
        <v>1.11</v>
      </c>
      <c r="E687" s="1089" t="s">
        <v>5308</v>
      </c>
      <c r="F687" s="1081">
        <f t="shared" si="1"/>
        <v>0</v>
      </c>
      <c r="G687" s="1083">
        <f t="shared" si="2"/>
        <v>1.11</v>
      </c>
      <c r="H687" s="1084"/>
    </row>
    <row r="688" ht="14.25" customHeight="1">
      <c r="A688" s="1085">
        <v>39181.0</v>
      </c>
      <c r="B688" s="1086" t="s">
        <v>5994</v>
      </c>
      <c r="C688" s="1087" t="s">
        <v>1788</v>
      </c>
      <c r="D688" s="1088">
        <v>9.53</v>
      </c>
      <c r="E688" s="1089" t="s">
        <v>5308</v>
      </c>
      <c r="F688" s="1081">
        <f t="shared" si="1"/>
        <v>0</v>
      </c>
      <c r="G688" s="1083">
        <f t="shared" si="2"/>
        <v>9.53</v>
      </c>
      <c r="H688" s="1084"/>
    </row>
    <row r="689" ht="14.25" customHeight="1">
      <c r="A689" s="1085">
        <v>39182.0</v>
      </c>
      <c r="B689" s="1086" t="s">
        <v>5995</v>
      </c>
      <c r="C689" s="1087" t="s">
        <v>1788</v>
      </c>
      <c r="D689" s="1088">
        <v>13.4</v>
      </c>
      <c r="E689" s="1089" t="s">
        <v>5308</v>
      </c>
      <c r="F689" s="1081">
        <f t="shared" si="1"/>
        <v>0</v>
      </c>
      <c r="G689" s="1083">
        <f t="shared" si="2"/>
        <v>13.4</v>
      </c>
      <c r="H689" s="1084"/>
    </row>
    <row r="690" ht="14.25" customHeight="1">
      <c r="A690" s="1085">
        <v>12616.0</v>
      </c>
      <c r="B690" s="1086" t="s">
        <v>5996</v>
      </c>
      <c r="C690" s="1087" t="s">
        <v>1788</v>
      </c>
      <c r="D690" s="1088">
        <v>18.67</v>
      </c>
      <c r="E690" s="1089" t="s">
        <v>5308</v>
      </c>
      <c r="F690" s="1081">
        <f t="shared" si="1"/>
        <v>0</v>
      </c>
      <c r="G690" s="1083">
        <f t="shared" si="2"/>
        <v>18.67</v>
      </c>
      <c r="H690" s="1084"/>
    </row>
    <row r="691" ht="14.25" customHeight="1">
      <c r="A691" s="1085">
        <v>1049.0</v>
      </c>
      <c r="B691" s="1086" t="s">
        <v>5997</v>
      </c>
      <c r="C691" s="1087" t="s">
        <v>1788</v>
      </c>
      <c r="D691" s="1088">
        <v>11.21</v>
      </c>
      <c r="E691" s="1089" t="s">
        <v>5308</v>
      </c>
      <c r="F691" s="1081">
        <f t="shared" si="1"/>
        <v>0</v>
      </c>
      <c r="G691" s="1083">
        <f t="shared" si="2"/>
        <v>11.21</v>
      </c>
      <c r="H691" s="1084"/>
    </row>
    <row r="692" ht="14.25" customHeight="1">
      <c r="A692" s="1085">
        <v>1099.0</v>
      </c>
      <c r="B692" s="1086" t="s">
        <v>5998</v>
      </c>
      <c r="C692" s="1087" t="s">
        <v>1788</v>
      </c>
      <c r="D692" s="1088">
        <v>8.58</v>
      </c>
      <c r="E692" s="1089" t="s">
        <v>5308</v>
      </c>
      <c r="F692" s="1081">
        <f t="shared" si="1"/>
        <v>0</v>
      </c>
      <c r="G692" s="1083">
        <f t="shared" si="2"/>
        <v>8.58</v>
      </c>
      <c r="H692" s="1084"/>
    </row>
    <row r="693" ht="14.25" customHeight="1">
      <c r="A693" s="1085">
        <v>39678.0</v>
      </c>
      <c r="B693" s="1086" t="s">
        <v>5999</v>
      </c>
      <c r="C693" s="1087" t="s">
        <v>1788</v>
      </c>
      <c r="D693" s="1088">
        <v>3.46</v>
      </c>
      <c r="E693" s="1089" t="s">
        <v>5308</v>
      </c>
      <c r="F693" s="1081">
        <f t="shared" si="1"/>
        <v>0</v>
      </c>
      <c r="G693" s="1083">
        <f t="shared" si="2"/>
        <v>3.46</v>
      </c>
      <c r="H693" s="1084"/>
    </row>
    <row r="694" ht="14.25" customHeight="1">
      <c r="A694" s="1085">
        <v>1050.0</v>
      </c>
      <c r="B694" s="1086" t="s">
        <v>6000</v>
      </c>
      <c r="C694" s="1087" t="s">
        <v>1788</v>
      </c>
      <c r="D694" s="1088">
        <v>5.87</v>
      </c>
      <c r="E694" s="1089" t="s">
        <v>5308</v>
      </c>
      <c r="F694" s="1081">
        <f t="shared" si="1"/>
        <v>0</v>
      </c>
      <c r="G694" s="1083">
        <f t="shared" si="2"/>
        <v>5.87</v>
      </c>
      <c r="H694" s="1084"/>
    </row>
    <row r="695" ht="14.25" customHeight="1">
      <c r="A695" s="1085">
        <v>1101.0</v>
      </c>
      <c r="B695" s="1086" t="s">
        <v>6001</v>
      </c>
      <c r="C695" s="1087" t="s">
        <v>1788</v>
      </c>
      <c r="D695" s="1088">
        <v>37.0</v>
      </c>
      <c r="E695" s="1089" t="s">
        <v>5308</v>
      </c>
      <c r="F695" s="1081">
        <f t="shared" si="1"/>
        <v>0</v>
      </c>
      <c r="G695" s="1083">
        <f t="shared" si="2"/>
        <v>37</v>
      </c>
      <c r="H695" s="1084"/>
    </row>
    <row r="696" ht="14.25" customHeight="1">
      <c r="A696" s="1085">
        <v>1100.0</v>
      </c>
      <c r="B696" s="1086" t="s">
        <v>6002</v>
      </c>
      <c r="C696" s="1087" t="s">
        <v>1788</v>
      </c>
      <c r="D696" s="1088">
        <v>19.09</v>
      </c>
      <c r="E696" s="1089" t="s">
        <v>5308</v>
      </c>
      <c r="F696" s="1081">
        <f t="shared" si="1"/>
        <v>0</v>
      </c>
      <c r="G696" s="1083">
        <f t="shared" si="2"/>
        <v>19.09</v>
      </c>
      <c r="H696" s="1084"/>
    </row>
    <row r="697" ht="14.25" customHeight="1">
      <c r="A697" s="1085">
        <v>39679.0</v>
      </c>
      <c r="B697" s="1086" t="s">
        <v>6003</v>
      </c>
      <c r="C697" s="1087" t="s">
        <v>1788</v>
      </c>
      <c r="D697" s="1088">
        <v>73.73</v>
      </c>
      <c r="E697" s="1089" t="s">
        <v>5308</v>
      </c>
      <c r="F697" s="1081">
        <f t="shared" si="1"/>
        <v>0</v>
      </c>
      <c r="G697" s="1083">
        <f t="shared" si="2"/>
        <v>73.73</v>
      </c>
      <c r="H697" s="1084"/>
    </row>
    <row r="698" ht="14.25" customHeight="1">
      <c r="A698" s="1085">
        <v>1098.0</v>
      </c>
      <c r="B698" s="1086" t="s">
        <v>6004</v>
      </c>
      <c r="C698" s="1087" t="s">
        <v>1788</v>
      </c>
      <c r="D698" s="1088">
        <v>4.58</v>
      </c>
      <c r="E698" s="1089" t="s">
        <v>5308</v>
      </c>
      <c r="F698" s="1081">
        <f t="shared" si="1"/>
        <v>0</v>
      </c>
      <c r="G698" s="1083">
        <f t="shared" si="2"/>
        <v>4.58</v>
      </c>
      <c r="H698" s="1084"/>
    </row>
    <row r="699" ht="14.25" customHeight="1">
      <c r="A699" s="1085">
        <v>1102.0</v>
      </c>
      <c r="B699" s="1086" t="s">
        <v>6005</v>
      </c>
      <c r="C699" s="1087" t="s">
        <v>1788</v>
      </c>
      <c r="D699" s="1088">
        <v>55.17</v>
      </c>
      <c r="E699" s="1089" t="s">
        <v>5308</v>
      </c>
      <c r="F699" s="1081">
        <f t="shared" si="1"/>
        <v>0</v>
      </c>
      <c r="G699" s="1083">
        <f t="shared" si="2"/>
        <v>55.17</v>
      </c>
      <c r="H699" s="1084"/>
    </row>
    <row r="700" ht="14.25" customHeight="1">
      <c r="A700" s="1085">
        <v>1051.0</v>
      </c>
      <c r="B700" s="1086" t="s">
        <v>6006</v>
      </c>
      <c r="C700" s="1087" t="s">
        <v>1788</v>
      </c>
      <c r="D700" s="1088">
        <v>80.18</v>
      </c>
      <c r="E700" s="1089" t="s">
        <v>5308</v>
      </c>
      <c r="F700" s="1081">
        <f t="shared" si="1"/>
        <v>0</v>
      </c>
      <c r="G700" s="1083">
        <f t="shared" si="2"/>
        <v>80.18</v>
      </c>
      <c r="H700" s="1084"/>
    </row>
    <row r="701" ht="14.25" customHeight="1">
      <c r="A701" s="1085">
        <v>37399.0</v>
      </c>
      <c r="B701" s="1086" t="s">
        <v>6007</v>
      </c>
      <c r="C701" s="1087" t="s">
        <v>1788</v>
      </c>
      <c r="D701" s="1088">
        <v>50.2</v>
      </c>
      <c r="E701" s="1089" t="s">
        <v>5308</v>
      </c>
      <c r="F701" s="1081">
        <f t="shared" si="1"/>
        <v>0</v>
      </c>
      <c r="G701" s="1083">
        <f t="shared" si="2"/>
        <v>50.2</v>
      </c>
      <c r="H701" s="1084"/>
    </row>
    <row r="702" ht="14.25" customHeight="1">
      <c r="A702" s="1085">
        <v>43834.0</v>
      </c>
      <c r="B702" s="1086" t="s">
        <v>6008</v>
      </c>
      <c r="C702" s="1087" t="s">
        <v>1731</v>
      </c>
      <c r="D702" s="1088">
        <v>20.57</v>
      </c>
      <c r="E702" s="1089" t="s">
        <v>5308</v>
      </c>
      <c r="F702" s="1081">
        <f t="shared" si="1"/>
        <v>0</v>
      </c>
      <c r="G702" s="1083">
        <f t="shared" si="2"/>
        <v>20.57</v>
      </c>
      <c r="H702" s="1084"/>
    </row>
    <row r="703" ht="14.25" customHeight="1">
      <c r="A703" s="1085">
        <v>43835.0</v>
      </c>
      <c r="B703" s="1086" t="s">
        <v>6009</v>
      </c>
      <c r="C703" s="1087" t="s">
        <v>1731</v>
      </c>
      <c r="D703" s="1088">
        <v>1.84</v>
      </c>
      <c r="E703" s="1089" t="s">
        <v>5308</v>
      </c>
      <c r="F703" s="1081">
        <f t="shared" si="1"/>
        <v>0</v>
      </c>
      <c r="G703" s="1083">
        <f t="shared" si="2"/>
        <v>1.84</v>
      </c>
      <c r="H703" s="1084"/>
    </row>
    <row r="704" ht="14.25" customHeight="1">
      <c r="A704" s="1085">
        <v>43833.0</v>
      </c>
      <c r="B704" s="1086" t="s">
        <v>6010</v>
      </c>
      <c r="C704" s="1087" t="s">
        <v>1731</v>
      </c>
      <c r="D704" s="1088">
        <v>1.91</v>
      </c>
      <c r="E704" s="1089" t="s">
        <v>5308</v>
      </c>
      <c r="F704" s="1081">
        <f t="shared" si="1"/>
        <v>0</v>
      </c>
      <c r="G704" s="1083">
        <f t="shared" si="2"/>
        <v>1.91</v>
      </c>
      <c r="H704" s="1084"/>
    </row>
    <row r="705" ht="14.25" customHeight="1">
      <c r="A705" s="1085">
        <v>41955.0</v>
      </c>
      <c r="B705" s="1086" t="s">
        <v>6011</v>
      </c>
      <c r="C705" s="1087" t="s">
        <v>3606</v>
      </c>
      <c r="D705" s="1088">
        <v>92.88</v>
      </c>
      <c r="E705" s="1089" t="s">
        <v>5308</v>
      </c>
      <c r="F705" s="1081">
        <f t="shared" si="1"/>
        <v>0</v>
      </c>
      <c r="G705" s="1083">
        <f t="shared" si="2"/>
        <v>92.88</v>
      </c>
      <c r="H705" s="1084"/>
    </row>
    <row r="706" ht="14.25" customHeight="1">
      <c r="A706" s="1085">
        <v>41953.0</v>
      </c>
      <c r="B706" s="1086" t="s">
        <v>6012</v>
      </c>
      <c r="C706" s="1087" t="s">
        <v>3606</v>
      </c>
      <c r="D706" s="1088">
        <v>88.63</v>
      </c>
      <c r="E706" s="1089" t="s">
        <v>5308</v>
      </c>
      <c r="F706" s="1081">
        <f t="shared" si="1"/>
        <v>0</v>
      </c>
      <c r="G706" s="1083">
        <f t="shared" si="2"/>
        <v>88.63</v>
      </c>
      <c r="H706" s="1084"/>
    </row>
    <row r="707" ht="14.25" customHeight="1">
      <c r="A707" s="1085">
        <v>41954.0</v>
      </c>
      <c r="B707" s="1086" t="s">
        <v>6013</v>
      </c>
      <c r="C707" s="1087" t="s">
        <v>3606</v>
      </c>
      <c r="D707" s="1088">
        <v>87.79</v>
      </c>
      <c r="E707" s="1089" t="s">
        <v>5308</v>
      </c>
      <c r="F707" s="1081">
        <f t="shared" si="1"/>
        <v>0</v>
      </c>
      <c r="G707" s="1083">
        <f t="shared" si="2"/>
        <v>87.79</v>
      </c>
      <c r="H707" s="1084"/>
    </row>
    <row r="708" ht="14.25" customHeight="1">
      <c r="A708" s="1085">
        <v>25004.0</v>
      </c>
      <c r="B708" s="1086" t="s">
        <v>6014</v>
      </c>
      <c r="C708" s="1087" t="s">
        <v>3606</v>
      </c>
      <c r="D708" s="1088">
        <v>47.14</v>
      </c>
      <c r="E708" s="1089" t="s">
        <v>5308</v>
      </c>
      <c r="F708" s="1081">
        <f t="shared" si="1"/>
        <v>0</v>
      </c>
      <c r="G708" s="1083">
        <f t="shared" si="2"/>
        <v>47.14</v>
      </c>
      <c r="H708" s="1084"/>
    </row>
    <row r="709" ht="14.25" customHeight="1">
      <c r="A709" s="1085">
        <v>25002.0</v>
      </c>
      <c r="B709" s="1086" t="s">
        <v>6015</v>
      </c>
      <c r="C709" s="1087" t="s">
        <v>3606</v>
      </c>
      <c r="D709" s="1088">
        <v>47.14</v>
      </c>
      <c r="E709" s="1089" t="s">
        <v>5308</v>
      </c>
      <c r="F709" s="1081">
        <f t="shared" si="1"/>
        <v>0</v>
      </c>
      <c r="G709" s="1083">
        <f t="shared" si="2"/>
        <v>47.14</v>
      </c>
      <c r="H709" s="1084"/>
    </row>
    <row r="710" ht="14.25" customHeight="1">
      <c r="A710" s="1085">
        <v>37409.0</v>
      </c>
      <c r="B710" s="1086" t="s">
        <v>6016</v>
      </c>
      <c r="C710" s="1087" t="s">
        <v>3606</v>
      </c>
      <c r="D710" s="1088">
        <v>47.14</v>
      </c>
      <c r="E710" s="1089" t="s">
        <v>5308</v>
      </c>
      <c r="F710" s="1081">
        <f t="shared" si="1"/>
        <v>0</v>
      </c>
      <c r="G710" s="1083">
        <f t="shared" si="2"/>
        <v>47.14</v>
      </c>
      <c r="H710" s="1084"/>
    </row>
    <row r="711" ht="14.25" customHeight="1">
      <c r="A711" s="1085">
        <v>841.0</v>
      </c>
      <c r="B711" s="1086" t="s">
        <v>6017</v>
      </c>
      <c r="C711" s="1087" t="s">
        <v>3606</v>
      </c>
      <c r="D711" s="1088">
        <v>47.71</v>
      </c>
      <c r="E711" s="1089" t="s">
        <v>5308</v>
      </c>
      <c r="F711" s="1081">
        <f t="shared" si="1"/>
        <v>0</v>
      </c>
      <c r="G711" s="1083">
        <f t="shared" si="2"/>
        <v>47.71</v>
      </c>
      <c r="H711" s="1084"/>
    </row>
    <row r="712" ht="14.25" customHeight="1">
      <c r="A712" s="1085">
        <v>25005.0</v>
      </c>
      <c r="B712" s="1086" t="s">
        <v>6018</v>
      </c>
      <c r="C712" s="1087" t="s">
        <v>3606</v>
      </c>
      <c r="D712" s="1088">
        <v>51.72</v>
      </c>
      <c r="E712" s="1089" t="s">
        <v>5308</v>
      </c>
      <c r="F712" s="1081">
        <f t="shared" si="1"/>
        <v>0</v>
      </c>
      <c r="G712" s="1083">
        <f t="shared" si="2"/>
        <v>51.72</v>
      </c>
      <c r="H712" s="1084"/>
    </row>
    <row r="713" ht="14.25" customHeight="1">
      <c r="A713" s="1085">
        <v>25003.0</v>
      </c>
      <c r="B713" s="1086" t="s">
        <v>6019</v>
      </c>
      <c r="C713" s="1087" t="s">
        <v>3606</v>
      </c>
      <c r="D713" s="1088">
        <v>52.5</v>
      </c>
      <c r="E713" s="1089" t="s">
        <v>5308</v>
      </c>
      <c r="F713" s="1081">
        <f t="shared" si="1"/>
        <v>0</v>
      </c>
      <c r="G713" s="1083">
        <f t="shared" si="2"/>
        <v>52.5</v>
      </c>
      <c r="H713" s="1084"/>
    </row>
    <row r="714" ht="14.25" customHeight="1">
      <c r="A714" s="1085">
        <v>37410.0</v>
      </c>
      <c r="B714" s="1086" t="s">
        <v>6020</v>
      </c>
      <c r="C714" s="1087" t="s">
        <v>3606</v>
      </c>
      <c r="D714" s="1088">
        <v>51.72</v>
      </c>
      <c r="E714" s="1089" t="s">
        <v>5308</v>
      </c>
      <c r="F714" s="1081">
        <f t="shared" si="1"/>
        <v>0</v>
      </c>
      <c r="G714" s="1083">
        <f t="shared" si="2"/>
        <v>51.72</v>
      </c>
      <c r="H714" s="1084"/>
    </row>
    <row r="715" ht="14.25" customHeight="1">
      <c r="A715" s="1085">
        <v>842.0</v>
      </c>
      <c r="B715" s="1086" t="s">
        <v>6021</v>
      </c>
      <c r="C715" s="1087" t="s">
        <v>3606</v>
      </c>
      <c r="D715" s="1088">
        <v>52.46</v>
      </c>
      <c r="E715" s="1089" t="s">
        <v>5308</v>
      </c>
      <c r="F715" s="1081">
        <f t="shared" si="1"/>
        <v>0</v>
      </c>
      <c r="G715" s="1083">
        <f t="shared" si="2"/>
        <v>52.46</v>
      </c>
      <c r="H715" s="1084"/>
    </row>
    <row r="716" ht="14.25" customHeight="1">
      <c r="A716" s="1085">
        <v>44391.0</v>
      </c>
      <c r="B716" s="1086" t="s">
        <v>6022</v>
      </c>
      <c r="C716" s="1087" t="s">
        <v>1731</v>
      </c>
      <c r="D716" s="1088">
        <v>111.78</v>
      </c>
      <c r="E716" s="1089" t="s">
        <v>5308</v>
      </c>
      <c r="F716" s="1081">
        <f t="shared" si="1"/>
        <v>0</v>
      </c>
      <c r="G716" s="1083">
        <f t="shared" si="2"/>
        <v>111.78</v>
      </c>
      <c r="H716" s="1084"/>
    </row>
    <row r="717" ht="14.25" customHeight="1">
      <c r="A717" s="1085">
        <v>44388.0</v>
      </c>
      <c r="B717" s="1086" t="s">
        <v>6023</v>
      </c>
      <c r="C717" s="1087" t="s">
        <v>1731</v>
      </c>
      <c r="D717" s="1088">
        <v>2.42</v>
      </c>
      <c r="E717" s="1089" t="s">
        <v>5308</v>
      </c>
      <c r="F717" s="1081">
        <f t="shared" si="1"/>
        <v>0</v>
      </c>
      <c r="G717" s="1083">
        <f t="shared" si="2"/>
        <v>2.42</v>
      </c>
      <c r="H717" s="1084"/>
    </row>
    <row r="718" ht="14.25" customHeight="1">
      <c r="A718" s="1085">
        <v>44392.0</v>
      </c>
      <c r="B718" s="1086" t="s">
        <v>6024</v>
      </c>
      <c r="C718" s="1087" t="s">
        <v>1731</v>
      </c>
      <c r="D718" s="1088">
        <v>222.57</v>
      </c>
      <c r="E718" s="1089" t="s">
        <v>5308</v>
      </c>
      <c r="F718" s="1081">
        <f t="shared" si="1"/>
        <v>0</v>
      </c>
      <c r="G718" s="1083">
        <f t="shared" si="2"/>
        <v>222.57</v>
      </c>
      <c r="H718" s="1084"/>
    </row>
    <row r="719" ht="14.25" customHeight="1">
      <c r="A719" s="1085">
        <v>44390.0</v>
      </c>
      <c r="B719" s="1086" t="s">
        <v>6025</v>
      </c>
      <c r="C719" s="1087" t="s">
        <v>1731</v>
      </c>
      <c r="D719" s="1088">
        <v>47.16</v>
      </c>
      <c r="E719" s="1089" t="s">
        <v>5308</v>
      </c>
      <c r="F719" s="1081">
        <f t="shared" si="1"/>
        <v>0</v>
      </c>
      <c r="G719" s="1083">
        <f t="shared" si="2"/>
        <v>47.16</v>
      </c>
      <c r="H719" s="1084"/>
    </row>
    <row r="720" ht="14.25" customHeight="1">
      <c r="A720" s="1085">
        <v>44389.0</v>
      </c>
      <c r="B720" s="1086" t="s">
        <v>6026</v>
      </c>
      <c r="C720" s="1087" t="s">
        <v>1731</v>
      </c>
      <c r="D720" s="1088">
        <v>5.57</v>
      </c>
      <c r="E720" s="1089" t="s">
        <v>5308</v>
      </c>
      <c r="F720" s="1081">
        <f t="shared" si="1"/>
        <v>0</v>
      </c>
      <c r="G720" s="1083">
        <f t="shared" si="2"/>
        <v>5.57</v>
      </c>
      <c r="H720" s="1084"/>
    </row>
    <row r="721" ht="14.25" customHeight="1">
      <c r="A721" s="1085">
        <v>862.0</v>
      </c>
      <c r="B721" s="1086" t="s">
        <v>6027</v>
      </c>
      <c r="C721" s="1087" t="s">
        <v>1731</v>
      </c>
      <c r="D721" s="1088">
        <v>10.2</v>
      </c>
      <c r="E721" s="1089" t="s">
        <v>5308</v>
      </c>
      <c r="F721" s="1081">
        <f t="shared" si="1"/>
        <v>0</v>
      </c>
      <c r="G721" s="1083">
        <f t="shared" si="2"/>
        <v>10.2</v>
      </c>
      <c r="H721" s="1084"/>
    </row>
    <row r="722" ht="14.25" customHeight="1">
      <c r="A722" s="1085">
        <v>866.0</v>
      </c>
      <c r="B722" s="1086" t="s">
        <v>6028</v>
      </c>
      <c r="C722" s="1087" t="s">
        <v>1731</v>
      </c>
      <c r="D722" s="1088">
        <v>129.6</v>
      </c>
      <c r="E722" s="1089" t="s">
        <v>5308</v>
      </c>
      <c r="F722" s="1081">
        <f t="shared" si="1"/>
        <v>0</v>
      </c>
      <c r="G722" s="1083">
        <f t="shared" si="2"/>
        <v>129.6</v>
      </c>
      <c r="H722" s="1084"/>
    </row>
    <row r="723" ht="14.25" customHeight="1">
      <c r="A723" s="1085">
        <v>892.0</v>
      </c>
      <c r="B723" s="1086" t="s">
        <v>6029</v>
      </c>
      <c r="C723" s="1087" t="s">
        <v>1731</v>
      </c>
      <c r="D723" s="1088">
        <v>156.88</v>
      </c>
      <c r="E723" s="1089" t="s">
        <v>5308</v>
      </c>
      <c r="F723" s="1081">
        <f t="shared" si="1"/>
        <v>0</v>
      </c>
      <c r="G723" s="1083">
        <f t="shared" si="2"/>
        <v>156.88</v>
      </c>
      <c r="H723" s="1084"/>
    </row>
    <row r="724" ht="14.25" customHeight="1">
      <c r="A724" s="1085">
        <v>857.0</v>
      </c>
      <c r="B724" s="1086" t="s">
        <v>6030</v>
      </c>
      <c r="C724" s="1087" t="s">
        <v>1731</v>
      </c>
      <c r="D724" s="1088">
        <v>17.06</v>
      </c>
      <c r="E724" s="1089" t="s">
        <v>5308</v>
      </c>
      <c r="F724" s="1081">
        <f t="shared" si="1"/>
        <v>0</v>
      </c>
      <c r="G724" s="1083">
        <f t="shared" si="2"/>
        <v>17.06</v>
      </c>
      <c r="H724" s="1084"/>
    </row>
    <row r="725" ht="14.25" customHeight="1">
      <c r="A725" s="1085">
        <v>37404.0</v>
      </c>
      <c r="B725" s="1086" t="s">
        <v>6031</v>
      </c>
      <c r="C725" s="1087" t="s">
        <v>1731</v>
      </c>
      <c r="D725" s="1088">
        <v>181.51</v>
      </c>
      <c r="E725" s="1089" t="s">
        <v>5308</v>
      </c>
      <c r="F725" s="1081">
        <f t="shared" si="1"/>
        <v>0</v>
      </c>
      <c r="G725" s="1083">
        <f t="shared" si="2"/>
        <v>181.51</v>
      </c>
      <c r="H725" s="1084"/>
    </row>
    <row r="726" ht="14.25" customHeight="1">
      <c r="A726" s="1085">
        <v>868.0</v>
      </c>
      <c r="B726" s="1086" t="s">
        <v>6032</v>
      </c>
      <c r="C726" s="1087" t="s">
        <v>1731</v>
      </c>
      <c r="D726" s="1088">
        <v>24.32</v>
      </c>
      <c r="E726" s="1089" t="s">
        <v>5308</v>
      </c>
      <c r="F726" s="1081">
        <f t="shared" si="1"/>
        <v>0</v>
      </c>
      <c r="G726" s="1083">
        <f t="shared" si="2"/>
        <v>24.32</v>
      </c>
      <c r="H726" s="1084"/>
    </row>
    <row r="727" ht="14.25" customHeight="1">
      <c r="A727" s="1085">
        <v>863.0</v>
      </c>
      <c r="B727" s="1086" t="s">
        <v>6033</v>
      </c>
      <c r="C727" s="1087" t="s">
        <v>1731</v>
      </c>
      <c r="D727" s="1088">
        <v>35.81</v>
      </c>
      <c r="E727" s="1089" t="s">
        <v>5308</v>
      </c>
      <c r="F727" s="1081">
        <f t="shared" si="1"/>
        <v>0</v>
      </c>
      <c r="G727" s="1083">
        <f t="shared" si="2"/>
        <v>35.81</v>
      </c>
      <c r="H727" s="1084"/>
    </row>
    <row r="728" ht="14.25" customHeight="1">
      <c r="A728" s="1085">
        <v>867.0</v>
      </c>
      <c r="B728" s="1086" t="s">
        <v>6034</v>
      </c>
      <c r="C728" s="1087" t="s">
        <v>1731</v>
      </c>
      <c r="D728" s="1088">
        <v>51.02</v>
      </c>
      <c r="E728" s="1089" t="s">
        <v>5308</v>
      </c>
      <c r="F728" s="1081">
        <f t="shared" si="1"/>
        <v>0</v>
      </c>
      <c r="G728" s="1083">
        <f t="shared" si="2"/>
        <v>51.02</v>
      </c>
      <c r="H728" s="1084"/>
    </row>
    <row r="729" ht="14.25" customHeight="1">
      <c r="A729" s="1085">
        <v>864.0</v>
      </c>
      <c r="B729" s="1086" t="s">
        <v>6035</v>
      </c>
      <c r="C729" s="1087" t="s">
        <v>1731</v>
      </c>
      <c r="D729" s="1088">
        <v>67.39</v>
      </c>
      <c r="E729" s="1089" t="s">
        <v>5308</v>
      </c>
      <c r="F729" s="1081">
        <f t="shared" si="1"/>
        <v>0</v>
      </c>
      <c r="G729" s="1083">
        <f t="shared" si="2"/>
        <v>67.39</v>
      </c>
      <c r="H729" s="1084"/>
    </row>
    <row r="730" ht="14.25" customHeight="1">
      <c r="A730" s="1085">
        <v>865.0</v>
      </c>
      <c r="B730" s="1086" t="s">
        <v>6036</v>
      </c>
      <c r="C730" s="1087" t="s">
        <v>1731</v>
      </c>
      <c r="D730" s="1088">
        <v>96.93</v>
      </c>
      <c r="E730" s="1089" t="s">
        <v>5308</v>
      </c>
      <c r="F730" s="1081">
        <f t="shared" si="1"/>
        <v>0</v>
      </c>
      <c r="G730" s="1083">
        <f t="shared" si="2"/>
        <v>96.93</v>
      </c>
      <c r="H730" s="1084"/>
    </row>
    <row r="731" ht="14.25" customHeight="1">
      <c r="A731" s="1085">
        <v>993.0</v>
      </c>
      <c r="B731" s="1086" t="s">
        <v>6037</v>
      </c>
      <c r="C731" s="1087" t="s">
        <v>1731</v>
      </c>
      <c r="D731" s="1088">
        <v>1.84</v>
      </c>
      <c r="E731" s="1089" t="s">
        <v>5308</v>
      </c>
      <c r="F731" s="1081">
        <f t="shared" si="1"/>
        <v>0</v>
      </c>
      <c r="G731" s="1083">
        <f t="shared" si="2"/>
        <v>1.84</v>
      </c>
      <c r="H731" s="1084"/>
    </row>
    <row r="732" ht="14.25" customHeight="1">
      <c r="A732" s="1085">
        <v>1020.0</v>
      </c>
      <c r="B732" s="1086" t="s">
        <v>6038</v>
      </c>
      <c r="C732" s="1087" t="s">
        <v>1731</v>
      </c>
      <c r="D732" s="1088">
        <v>9.4</v>
      </c>
      <c r="E732" s="1089" t="s">
        <v>5308</v>
      </c>
      <c r="F732" s="1081">
        <f t="shared" si="1"/>
        <v>0</v>
      </c>
      <c r="G732" s="1083">
        <f t="shared" si="2"/>
        <v>9.4</v>
      </c>
      <c r="H732" s="1084"/>
    </row>
    <row r="733" ht="14.25" customHeight="1">
      <c r="A733" s="1085">
        <v>1017.0</v>
      </c>
      <c r="B733" s="1086" t="s">
        <v>6039</v>
      </c>
      <c r="C733" s="1087" t="s">
        <v>1731</v>
      </c>
      <c r="D733" s="1088">
        <v>115.25</v>
      </c>
      <c r="E733" s="1089" t="s">
        <v>5308</v>
      </c>
      <c r="F733" s="1081">
        <f t="shared" si="1"/>
        <v>0</v>
      </c>
      <c r="G733" s="1083">
        <f t="shared" si="2"/>
        <v>115.25</v>
      </c>
      <c r="H733" s="1084"/>
    </row>
    <row r="734" ht="14.25" customHeight="1">
      <c r="A734" s="1085">
        <v>999.0</v>
      </c>
      <c r="B734" s="1086" t="s">
        <v>6040</v>
      </c>
      <c r="C734" s="1087" t="s">
        <v>1731</v>
      </c>
      <c r="D734" s="1088">
        <v>139.63</v>
      </c>
      <c r="E734" s="1089" t="s">
        <v>5308</v>
      </c>
      <c r="F734" s="1081">
        <f t="shared" si="1"/>
        <v>0</v>
      </c>
      <c r="G734" s="1083">
        <f t="shared" si="2"/>
        <v>139.63</v>
      </c>
      <c r="H734" s="1084"/>
    </row>
    <row r="735" ht="14.25" customHeight="1">
      <c r="A735" s="1085">
        <v>995.0</v>
      </c>
      <c r="B735" s="1086" t="s">
        <v>6041</v>
      </c>
      <c r="C735" s="1087" t="s">
        <v>1731</v>
      </c>
      <c r="D735" s="1088">
        <v>14.97</v>
      </c>
      <c r="E735" s="1089" t="s">
        <v>5308</v>
      </c>
      <c r="F735" s="1081">
        <f t="shared" si="1"/>
        <v>0</v>
      </c>
      <c r="G735" s="1083">
        <f t="shared" si="2"/>
        <v>14.97</v>
      </c>
      <c r="H735" s="1084"/>
    </row>
    <row r="736" ht="14.25" customHeight="1">
      <c r="A736" s="1085">
        <v>1000.0</v>
      </c>
      <c r="B736" s="1086" t="s">
        <v>6042</v>
      </c>
      <c r="C736" s="1087" t="s">
        <v>1731</v>
      </c>
      <c r="D736" s="1088">
        <v>171.51</v>
      </c>
      <c r="E736" s="1089" t="s">
        <v>5308</v>
      </c>
      <c r="F736" s="1081">
        <f t="shared" si="1"/>
        <v>0</v>
      </c>
      <c r="G736" s="1083">
        <f t="shared" si="2"/>
        <v>171.51</v>
      </c>
      <c r="H736" s="1084"/>
    </row>
    <row r="737" ht="14.25" customHeight="1">
      <c r="A737" s="1085">
        <v>1022.0</v>
      </c>
      <c r="B737" s="1086" t="s">
        <v>6043</v>
      </c>
      <c r="C737" s="1087" t="s">
        <v>1731</v>
      </c>
      <c r="D737" s="1088">
        <v>2.57</v>
      </c>
      <c r="E737" s="1089" t="s">
        <v>5308</v>
      </c>
      <c r="F737" s="1081">
        <f t="shared" si="1"/>
        <v>0</v>
      </c>
      <c r="G737" s="1083">
        <f t="shared" si="2"/>
        <v>2.57</v>
      </c>
      <c r="H737" s="1084"/>
    </row>
    <row r="738" ht="14.25" customHeight="1">
      <c r="A738" s="1085">
        <v>1015.0</v>
      </c>
      <c r="B738" s="1086" t="s">
        <v>6044</v>
      </c>
      <c r="C738" s="1087" t="s">
        <v>1731</v>
      </c>
      <c r="D738" s="1088">
        <v>227.91</v>
      </c>
      <c r="E738" s="1089" t="s">
        <v>5308</v>
      </c>
      <c r="F738" s="1081">
        <f t="shared" si="1"/>
        <v>0</v>
      </c>
      <c r="G738" s="1083">
        <f t="shared" si="2"/>
        <v>227.91</v>
      </c>
      <c r="H738" s="1084"/>
    </row>
    <row r="739" ht="14.25" customHeight="1">
      <c r="A739" s="1085">
        <v>996.0</v>
      </c>
      <c r="B739" s="1086" t="s">
        <v>6045</v>
      </c>
      <c r="C739" s="1087" t="s">
        <v>1731</v>
      </c>
      <c r="D739" s="1088">
        <v>23.22</v>
      </c>
      <c r="E739" s="1089" t="s">
        <v>5308</v>
      </c>
      <c r="F739" s="1081">
        <f t="shared" si="1"/>
        <v>0</v>
      </c>
      <c r="G739" s="1083">
        <f t="shared" si="2"/>
        <v>23.22</v>
      </c>
      <c r="H739" s="1084"/>
    </row>
    <row r="740" ht="14.25" customHeight="1">
      <c r="A740" s="1085">
        <v>1001.0</v>
      </c>
      <c r="B740" s="1086" t="s">
        <v>6046</v>
      </c>
      <c r="C740" s="1087" t="s">
        <v>1731</v>
      </c>
      <c r="D740" s="1088">
        <v>295.71</v>
      </c>
      <c r="E740" s="1089" t="s">
        <v>5308</v>
      </c>
      <c r="F740" s="1081">
        <f t="shared" si="1"/>
        <v>0</v>
      </c>
      <c r="G740" s="1083">
        <f t="shared" si="2"/>
        <v>295.71</v>
      </c>
      <c r="H740" s="1084"/>
    </row>
    <row r="741" ht="14.25" customHeight="1">
      <c r="A741" s="1085">
        <v>1019.0</v>
      </c>
      <c r="B741" s="1086" t="s">
        <v>6047</v>
      </c>
      <c r="C741" s="1087" t="s">
        <v>1731</v>
      </c>
      <c r="D741" s="1088">
        <v>32.81</v>
      </c>
      <c r="E741" s="1089" t="s">
        <v>5308</v>
      </c>
      <c r="F741" s="1081">
        <f t="shared" si="1"/>
        <v>0</v>
      </c>
      <c r="G741" s="1083">
        <f t="shared" si="2"/>
        <v>32.81</v>
      </c>
      <c r="H741" s="1084"/>
    </row>
    <row r="742" ht="14.25" customHeight="1">
      <c r="A742" s="1085">
        <v>1021.0</v>
      </c>
      <c r="B742" s="1086" t="s">
        <v>6048</v>
      </c>
      <c r="C742" s="1087" t="s">
        <v>1731</v>
      </c>
      <c r="D742" s="1088">
        <v>3.94</v>
      </c>
      <c r="E742" s="1089" t="s">
        <v>5308</v>
      </c>
      <c r="F742" s="1081">
        <f t="shared" si="1"/>
        <v>0</v>
      </c>
      <c r="G742" s="1083">
        <f t="shared" si="2"/>
        <v>3.94</v>
      </c>
      <c r="H742" s="1084"/>
    </row>
    <row r="743" ht="14.25" customHeight="1">
      <c r="A743" s="1085">
        <v>39249.0</v>
      </c>
      <c r="B743" s="1086" t="s">
        <v>6049</v>
      </c>
      <c r="C743" s="1087" t="s">
        <v>1731</v>
      </c>
      <c r="D743" s="1088">
        <v>397.6</v>
      </c>
      <c r="E743" s="1089" t="s">
        <v>5308</v>
      </c>
      <c r="F743" s="1081">
        <f t="shared" si="1"/>
        <v>0</v>
      </c>
      <c r="G743" s="1083">
        <f t="shared" si="2"/>
        <v>397.6</v>
      </c>
      <c r="H743" s="1084"/>
    </row>
    <row r="744" ht="14.25" customHeight="1">
      <c r="A744" s="1085">
        <v>1018.0</v>
      </c>
      <c r="B744" s="1086" t="s">
        <v>6050</v>
      </c>
      <c r="C744" s="1087" t="s">
        <v>1731</v>
      </c>
      <c r="D744" s="1088">
        <v>48.52</v>
      </c>
      <c r="E744" s="1089" t="s">
        <v>5308</v>
      </c>
      <c r="F744" s="1081">
        <f t="shared" si="1"/>
        <v>0</v>
      </c>
      <c r="G744" s="1083">
        <f t="shared" si="2"/>
        <v>48.52</v>
      </c>
      <c r="H744" s="1084"/>
    </row>
    <row r="745" ht="14.25" customHeight="1">
      <c r="A745" s="1085">
        <v>39250.0</v>
      </c>
      <c r="B745" s="1086" t="s">
        <v>6051</v>
      </c>
      <c r="C745" s="1087" t="s">
        <v>1731</v>
      </c>
      <c r="D745" s="1088">
        <v>475.61</v>
      </c>
      <c r="E745" s="1089" t="s">
        <v>5308</v>
      </c>
      <c r="F745" s="1081">
        <f t="shared" si="1"/>
        <v>0</v>
      </c>
      <c r="G745" s="1083">
        <f t="shared" si="2"/>
        <v>475.61</v>
      </c>
      <c r="H745" s="1084"/>
    </row>
    <row r="746" ht="14.25" customHeight="1">
      <c r="A746" s="1085">
        <v>994.0</v>
      </c>
      <c r="B746" s="1086" t="s">
        <v>6052</v>
      </c>
      <c r="C746" s="1087" t="s">
        <v>1731</v>
      </c>
      <c r="D746" s="1088">
        <v>5.74</v>
      </c>
      <c r="E746" s="1089" t="s">
        <v>5308</v>
      </c>
      <c r="F746" s="1081">
        <f t="shared" si="1"/>
        <v>0</v>
      </c>
      <c r="G746" s="1083">
        <f t="shared" si="2"/>
        <v>5.74</v>
      </c>
      <c r="H746" s="1084"/>
    </row>
    <row r="747" ht="14.25" customHeight="1">
      <c r="A747" s="1085">
        <v>977.0</v>
      </c>
      <c r="B747" s="1086" t="s">
        <v>6053</v>
      </c>
      <c r="C747" s="1087" t="s">
        <v>1731</v>
      </c>
      <c r="D747" s="1088">
        <v>67.88</v>
      </c>
      <c r="E747" s="1089" t="s">
        <v>5308</v>
      </c>
      <c r="F747" s="1081">
        <f t="shared" si="1"/>
        <v>0</v>
      </c>
      <c r="G747" s="1083">
        <f t="shared" si="2"/>
        <v>67.88</v>
      </c>
      <c r="H747" s="1084"/>
    </row>
    <row r="748" ht="14.25" customHeight="1">
      <c r="A748" s="1085">
        <v>998.0</v>
      </c>
      <c r="B748" s="1086" t="s">
        <v>6054</v>
      </c>
      <c r="C748" s="1087" t="s">
        <v>1731</v>
      </c>
      <c r="D748" s="1088">
        <v>88.13</v>
      </c>
      <c r="E748" s="1089" t="s">
        <v>5308</v>
      </c>
      <c r="F748" s="1081">
        <f t="shared" si="1"/>
        <v>0</v>
      </c>
      <c r="G748" s="1083">
        <f t="shared" si="2"/>
        <v>88.13</v>
      </c>
      <c r="H748" s="1084"/>
    </row>
    <row r="749" ht="14.25" customHeight="1">
      <c r="A749" s="1085">
        <v>39251.0</v>
      </c>
      <c r="B749" s="1086" t="s">
        <v>6055</v>
      </c>
      <c r="C749" s="1087" t="s">
        <v>1731</v>
      </c>
      <c r="D749" s="1088">
        <v>0.63</v>
      </c>
      <c r="E749" s="1089" t="s">
        <v>5308</v>
      </c>
      <c r="F749" s="1081">
        <f t="shared" si="1"/>
        <v>0</v>
      </c>
      <c r="G749" s="1083">
        <f t="shared" si="2"/>
        <v>0.63</v>
      </c>
      <c r="H749" s="1084"/>
    </row>
    <row r="750" ht="14.25" customHeight="1">
      <c r="A750" s="1085">
        <v>1011.0</v>
      </c>
      <c r="B750" s="1086" t="s">
        <v>6056</v>
      </c>
      <c r="C750" s="1087" t="s">
        <v>1731</v>
      </c>
      <c r="D750" s="1088">
        <v>0.87</v>
      </c>
      <c r="E750" s="1089" t="s">
        <v>5308</v>
      </c>
      <c r="F750" s="1081">
        <f t="shared" si="1"/>
        <v>0</v>
      </c>
      <c r="G750" s="1083">
        <f t="shared" si="2"/>
        <v>0.87</v>
      </c>
      <c r="H750" s="1084"/>
    </row>
    <row r="751" ht="14.25" customHeight="1">
      <c r="A751" s="1085">
        <v>39252.0</v>
      </c>
      <c r="B751" s="1086" t="s">
        <v>6057</v>
      </c>
      <c r="C751" s="1087" t="s">
        <v>1731</v>
      </c>
      <c r="D751" s="1088">
        <v>1.14</v>
      </c>
      <c r="E751" s="1089" t="s">
        <v>5308</v>
      </c>
      <c r="F751" s="1081">
        <f t="shared" si="1"/>
        <v>0</v>
      </c>
      <c r="G751" s="1083">
        <f t="shared" si="2"/>
        <v>1.14</v>
      </c>
      <c r="H751" s="1084"/>
    </row>
    <row r="752" ht="14.25" customHeight="1">
      <c r="A752" s="1085">
        <v>1013.0</v>
      </c>
      <c r="B752" s="1086" t="s">
        <v>6058</v>
      </c>
      <c r="C752" s="1087" t="s">
        <v>1731</v>
      </c>
      <c r="D752" s="1088">
        <v>1.37</v>
      </c>
      <c r="E752" s="1089" t="s">
        <v>5308</v>
      </c>
      <c r="F752" s="1081">
        <f t="shared" si="1"/>
        <v>0</v>
      </c>
      <c r="G752" s="1083">
        <f t="shared" si="2"/>
        <v>1.37</v>
      </c>
      <c r="H752" s="1084"/>
    </row>
    <row r="753" ht="14.25" customHeight="1">
      <c r="A753" s="1085">
        <v>980.0</v>
      </c>
      <c r="B753" s="1086" t="s">
        <v>6059</v>
      </c>
      <c r="C753" s="1087" t="s">
        <v>1731</v>
      </c>
      <c r="D753" s="1088">
        <v>9.86</v>
      </c>
      <c r="E753" s="1089" t="s">
        <v>5308</v>
      </c>
      <c r="F753" s="1081">
        <f t="shared" si="1"/>
        <v>0</v>
      </c>
      <c r="G753" s="1083">
        <f t="shared" si="2"/>
        <v>9.86</v>
      </c>
      <c r="H753" s="1084"/>
    </row>
    <row r="754" ht="14.25" customHeight="1">
      <c r="A754" s="1085">
        <v>39237.0</v>
      </c>
      <c r="B754" s="1086" t="s">
        <v>6060</v>
      </c>
      <c r="C754" s="1087" t="s">
        <v>1731</v>
      </c>
      <c r="D754" s="1088">
        <v>104.92</v>
      </c>
      <c r="E754" s="1089" t="s">
        <v>5308</v>
      </c>
      <c r="F754" s="1081">
        <f t="shared" si="1"/>
        <v>0</v>
      </c>
      <c r="G754" s="1083">
        <f t="shared" si="2"/>
        <v>104.92</v>
      </c>
      <c r="H754" s="1084"/>
    </row>
    <row r="755" ht="14.25" customHeight="1">
      <c r="A755" s="1085">
        <v>39238.0</v>
      </c>
      <c r="B755" s="1086" t="s">
        <v>6061</v>
      </c>
      <c r="C755" s="1087" t="s">
        <v>1731</v>
      </c>
      <c r="D755" s="1088">
        <v>132.33</v>
      </c>
      <c r="E755" s="1089" t="s">
        <v>5308</v>
      </c>
      <c r="F755" s="1081">
        <f t="shared" si="1"/>
        <v>0</v>
      </c>
      <c r="G755" s="1083">
        <f t="shared" si="2"/>
        <v>132.33</v>
      </c>
      <c r="H755" s="1084"/>
    </row>
    <row r="756" ht="14.25" customHeight="1">
      <c r="A756" s="1085">
        <v>979.0</v>
      </c>
      <c r="B756" s="1086" t="s">
        <v>6062</v>
      </c>
      <c r="C756" s="1087" t="s">
        <v>1731</v>
      </c>
      <c r="D756" s="1088">
        <v>14.09</v>
      </c>
      <c r="E756" s="1089" t="s">
        <v>5308</v>
      </c>
      <c r="F756" s="1081">
        <f t="shared" si="1"/>
        <v>0</v>
      </c>
      <c r="G756" s="1083">
        <f t="shared" si="2"/>
        <v>14.09</v>
      </c>
      <c r="H756" s="1084"/>
    </row>
    <row r="757" ht="14.25" customHeight="1">
      <c r="A757" s="1085">
        <v>39239.0</v>
      </c>
      <c r="B757" s="1086" t="s">
        <v>6063</v>
      </c>
      <c r="C757" s="1087" t="s">
        <v>1731</v>
      </c>
      <c r="D757" s="1088">
        <v>159.87</v>
      </c>
      <c r="E757" s="1089" t="s">
        <v>5308</v>
      </c>
      <c r="F757" s="1081">
        <f t="shared" si="1"/>
        <v>0</v>
      </c>
      <c r="G757" s="1083">
        <f t="shared" si="2"/>
        <v>159.87</v>
      </c>
      <c r="H757" s="1084"/>
    </row>
    <row r="758" ht="14.25" customHeight="1">
      <c r="A758" s="1085">
        <v>1014.0</v>
      </c>
      <c r="B758" s="1086" t="s">
        <v>6064</v>
      </c>
      <c r="C758" s="1087" t="s">
        <v>1731</v>
      </c>
      <c r="D758" s="1088">
        <v>2.16</v>
      </c>
      <c r="E758" s="1089" t="s">
        <v>5308</v>
      </c>
      <c r="F758" s="1081">
        <f t="shared" si="1"/>
        <v>0</v>
      </c>
      <c r="G758" s="1083">
        <f t="shared" si="2"/>
        <v>2.16</v>
      </c>
      <c r="H758" s="1084"/>
    </row>
    <row r="759" ht="14.25" customHeight="1">
      <c r="A759" s="1085">
        <v>39240.0</v>
      </c>
      <c r="B759" s="1086" t="s">
        <v>6065</v>
      </c>
      <c r="C759" s="1087" t="s">
        <v>1731</v>
      </c>
      <c r="D759" s="1088">
        <v>210.27</v>
      </c>
      <c r="E759" s="1089" t="s">
        <v>5308</v>
      </c>
      <c r="F759" s="1081">
        <f t="shared" si="1"/>
        <v>0</v>
      </c>
      <c r="G759" s="1083">
        <f t="shared" si="2"/>
        <v>210.27</v>
      </c>
      <c r="H759" s="1084"/>
    </row>
    <row r="760" ht="14.25" customHeight="1">
      <c r="A760" s="1085">
        <v>39232.0</v>
      </c>
      <c r="B760" s="1086" t="s">
        <v>6066</v>
      </c>
      <c r="C760" s="1087" t="s">
        <v>1731</v>
      </c>
      <c r="D760" s="1088">
        <v>22.07</v>
      </c>
      <c r="E760" s="1089" t="s">
        <v>5308</v>
      </c>
      <c r="F760" s="1081">
        <f t="shared" si="1"/>
        <v>0</v>
      </c>
      <c r="G760" s="1083">
        <f t="shared" si="2"/>
        <v>22.07</v>
      </c>
      <c r="H760" s="1084"/>
    </row>
    <row r="761" ht="14.25" customHeight="1">
      <c r="A761" s="1085">
        <v>39233.0</v>
      </c>
      <c r="B761" s="1086" t="s">
        <v>6067</v>
      </c>
      <c r="C761" s="1087" t="s">
        <v>1731</v>
      </c>
      <c r="D761" s="1088">
        <v>32.16</v>
      </c>
      <c r="E761" s="1089" t="s">
        <v>5308</v>
      </c>
      <c r="F761" s="1081">
        <f t="shared" si="1"/>
        <v>0</v>
      </c>
      <c r="G761" s="1083">
        <f t="shared" si="2"/>
        <v>32.16</v>
      </c>
      <c r="H761" s="1084"/>
    </row>
    <row r="762" ht="14.25" customHeight="1">
      <c r="A762" s="1085">
        <v>981.0</v>
      </c>
      <c r="B762" s="1086" t="s">
        <v>6068</v>
      </c>
      <c r="C762" s="1087" t="s">
        <v>1731</v>
      </c>
      <c r="D762" s="1088">
        <v>3.59</v>
      </c>
      <c r="E762" s="1089" t="s">
        <v>5308</v>
      </c>
      <c r="F762" s="1081">
        <f t="shared" si="1"/>
        <v>0</v>
      </c>
      <c r="G762" s="1083">
        <f t="shared" si="2"/>
        <v>3.59</v>
      </c>
      <c r="H762" s="1084"/>
    </row>
    <row r="763" ht="14.25" customHeight="1">
      <c r="A763" s="1085">
        <v>39234.0</v>
      </c>
      <c r="B763" s="1086" t="s">
        <v>6069</v>
      </c>
      <c r="C763" s="1087" t="s">
        <v>1731</v>
      </c>
      <c r="D763" s="1088">
        <v>44.77</v>
      </c>
      <c r="E763" s="1089" t="s">
        <v>5308</v>
      </c>
      <c r="F763" s="1081">
        <f t="shared" si="1"/>
        <v>0</v>
      </c>
      <c r="G763" s="1083">
        <f t="shared" si="2"/>
        <v>44.77</v>
      </c>
      <c r="H763" s="1084"/>
    </row>
    <row r="764" ht="14.25" customHeight="1">
      <c r="A764" s="1085">
        <v>982.0</v>
      </c>
      <c r="B764" s="1086" t="s">
        <v>6070</v>
      </c>
      <c r="C764" s="1087" t="s">
        <v>1731</v>
      </c>
      <c r="D764" s="1088">
        <v>5.16</v>
      </c>
      <c r="E764" s="1089" t="s">
        <v>5308</v>
      </c>
      <c r="F764" s="1081">
        <f t="shared" si="1"/>
        <v>0</v>
      </c>
      <c r="G764" s="1083">
        <f t="shared" si="2"/>
        <v>5.16</v>
      </c>
      <c r="H764" s="1084"/>
    </row>
    <row r="765" ht="14.25" customHeight="1">
      <c r="A765" s="1085">
        <v>39235.0</v>
      </c>
      <c r="B765" s="1086" t="s">
        <v>6071</v>
      </c>
      <c r="C765" s="1087" t="s">
        <v>1731</v>
      </c>
      <c r="D765" s="1088">
        <v>66.03</v>
      </c>
      <c r="E765" s="1089" t="s">
        <v>5308</v>
      </c>
      <c r="F765" s="1081">
        <f t="shared" si="1"/>
        <v>0</v>
      </c>
      <c r="G765" s="1083">
        <f t="shared" si="2"/>
        <v>66.03</v>
      </c>
      <c r="H765" s="1084"/>
    </row>
    <row r="766" ht="14.25" customHeight="1">
      <c r="A766" s="1085">
        <v>39236.0</v>
      </c>
      <c r="B766" s="1086" t="s">
        <v>6072</v>
      </c>
      <c r="C766" s="1087" t="s">
        <v>1731</v>
      </c>
      <c r="D766" s="1088">
        <v>87.51</v>
      </c>
      <c r="E766" s="1089" t="s">
        <v>5308</v>
      </c>
      <c r="F766" s="1081">
        <f t="shared" si="1"/>
        <v>0</v>
      </c>
      <c r="G766" s="1083">
        <f t="shared" si="2"/>
        <v>87.51</v>
      </c>
      <c r="H766" s="1084"/>
    </row>
    <row r="767" ht="14.25" customHeight="1">
      <c r="A767" s="1085">
        <v>990.0</v>
      </c>
      <c r="B767" s="1086" t="s">
        <v>6073</v>
      </c>
      <c r="C767" s="1087" t="s">
        <v>1731</v>
      </c>
      <c r="D767" s="1088">
        <v>155.28</v>
      </c>
      <c r="E767" s="1089" t="s">
        <v>5308</v>
      </c>
      <c r="F767" s="1081">
        <f t="shared" si="1"/>
        <v>0</v>
      </c>
      <c r="G767" s="1083">
        <f t="shared" si="2"/>
        <v>155.28</v>
      </c>
      <c r="H767" s="1084"/>
    </row>
    <row r="768" ht="14.25" customHeight="1">
      <c r="A768" s="1085">
        <v>39241.0</v>
      </c>
      <c r="B768" s="1086" t="s">
        <v>6074</v>
      </c>
      <c r="C768" s="1087" t="s">
        <v>1731</v>
      </c>
      <c r="D768" s="1088">
        <v>15.29</v>
      </c>
      <c r="E768" s="1089" t="s">
        <v>5308</v>
      </c>
      <c r="F768" s="1081">
        <f t="shared" si="1"/>
        <v>0</v>
      </c>
      <c r="G768" s="1083">
        <f t="shared" si="2"/>
        <v>15.29</v>
      </c>
      <c r="H768" s="1084"/>
    </row>
    <row r="769" ht="14.25" customHeight="1">
      <c r="A769" s="1085">
        <v>1005.0</v>
      </c>
      <c r="B769" s="1086" t="s">
        <v>6075</v>
      </c>
      <c r="C769" s="1087" t="s">
        <v>1731</v>
      </c>
      <c r="D769" s="1088">
        <v>193.33</v>
      </c>
      <c r="E769" s="1089" t="s">
        <v>5308</v>
      </c>
      <c r="F769" s="1081">
        <f t="shared" si="1"/>
        <v>0</v>
      </c>
      <c r="G769" s="1083">
        <f t="shared" si="2"/>
        <v>193.33</v>
      </c>
      <c r="H769" s="1084"/>
    </row>
    <row r="770" ht="14.25" customHeight="1">
      <c r="A770" s="1085">
        <v>991.0</v>
      </c>
      <c r="B770" s="1086" t="s">
        <v>6076</v>
      </c>
      <c r="C770" s="1087" t="s">
        <v>1731</v>
      </c>
      <c r="D770" s="1088">
        <v>253.22</v>
      </c>
      <c r="E770" s="1089" t="s">
        <v>5308</v>
      </c>
      <c r="F770" s="1081">
        <f t="shared" si="1"/>
        <v>0</v>
      </c>
      <c r="G770" s="1083">
        <f t="shared" si="2"/>
        <v>253.22</v>
      </c>
      <c r="H770" s="1084"/>
    </row>
    <row r="771" ht="14.25" customHeight="1">
      <c r="A771" s="1085">
        <v>986.0</v>
      </c>
      <c r="B771" s="1086" t="s">
        <v>6077</v>
      </c>
      <c r="C771" s="1087" t="s">
        <v>1731</v>
      </c>
      <c r="D771" s="1088">
        <v>24.15</v>
      </c>
      <c r="E771" s="1089" t="s">
        <v>5308</v>
      </c>
      <c r="F771" s="1081">
        <f t="shared" si="1"/>
        <v>0</v>
      </c>
      <c r="G771" s="1083">
        <f t="shared" si="2"/>
        <v>24.15</v>
      </c>
      <c r="H771" s="1084"/>
    </row>
    <row r="772" ht="14.25" customHeight="1">
      <c r="A772" s="1085">
        <v>987.0</v>
      </c>
      <c r="B772" s="1086" t="s">
        <v>6078</v>
      </c>
      <c r="C772" s="1087" t="s">
        <v>1731</v>
      </c>
      <c r="D772" s="1088">
        <v>33.06</v>
      </c>
      <c r="E772" s="1089" t="s">
        <v>5308</v>
      </c>
      <c r="F772" s="1081">
        <f t="shared" si="1"/>
        <v>0</v>
      </c>
      <c r="G772" s="1083">
        <f t="shared" si="2"/>
        <v>33.06</v>
      </c>
      <c r="H772" s="1084"/>
    </row>
    <row r="773" ht="14.25" customHeight="1">
      <c r="A773" s="1085">
        <v>1007.0</v>
      </c>
      <c r="B773" s="1086" t="s">
        <v>6079</v>
      </c>
      <c r="C773" s="1087" t="s">
        <v>1731</v>
      </c>
      <c r="D773" s="1088">
        <v>45.77</v>
      </c>
      <c r="E773" s="1089" t="s">
        <v>5308</v>
      </c>
      <c r="F773" s="1081">
        <f t="shared" si="1"/>
        <v>0</v>
      </c>
      <c r="G773" s="1083">
        <f t="shared" si="2"/>
        <v>45.77</v>
      </c>
      <c r="H773" s="1084"/>
    </row>
    <row r="774" ht="14.25" customHeight="1">
      <c r="A774" s="1085">
        <v>1008.0</v>
      </c>
      <c r="B774" s="1086" t="s">
        <v>6080</v>
      </c>
      <c r="C774" s="1087" t="s">
        <v>1731</v>
      </c>
      <c r="D774" s="1088">
        <v>5.81</v>
      </c>
      <c r="E774" s="1089" t="s">
        <v>5308</v>
      </c>
      <c r="F774" s="1081">
        <f t="shared" si="1"/>
        <v>0</v>
      </c>
      <c r="G774" s="1083">
        <f t="shared" si="2"/>
        <v>5.81</v>
      </c>
      <c r="H774" s="1084"/>
    </row>
    <row r="775" ht="14.25" customHeight="1">
      <c r="A775" s="1085">
        <v>988.0</v>
      </c>
      <c r="B775" s="1086" t="s">
        <v>6081</v>
      </c>
      <c r="C775" s="1087" t="s">
        <v>1731</v>
      </c>
      <c r="D775" s="1088">
        <v>63.1</v>
      </c>
      <c r="E775" s="1089" t="s">
        <v>5308</v>
      </c>
      <c r="F775" s="1081">
        <f t="shared" si="1"/>
        <v>0</v>
      </c>
      <c r="G775" s="1083">
        <f t="shared" si="2"/>
        <v>63.1</v>
      </c>
      <c r="H775" s="1084"/>
    </row>
    <row r="776" ht="14.25" customHeight="1">
      <c r="A776" s="1085">
        <v>989.0</v>
      </c>
      <c r="B776" s="1086" t="s">
        <v>6082</v>
      </c>
      <c r="C776" s="1087" t="s">
        <v>1731</v>
      </c>
      <c r="D776" s="1088">
        <v>87.11</v>
      </c>
      <c r="E776" s="1089" t="s">
        <v>5308</v>
      </c>
      <c r="F776" s="1081">
        <f t="shared" si="1"/>
        <v>0</v>
      </c>
      <c r="G776" s="1083">
        <f t="shared" si="2"/>
        <v>87.11</v>
      </c>
      <c r="H776" s="1084"/>
    </row>
    <row r="777" ht="14.25" customHeight="1">
      <c r="A777" s="1085">
        <v>1006.0</v>
      </c>
      <c r="B777" s="1086" t="s">
        <v>6083</v>
      </c>
      <c r="C777" s="1087" t="s">
        <v>1731</v>
      </c>
      <c r="D777" s="1088">
        <v>116.78</v>
      </c>
      <c r="E777" s="1089" t="s">
        <v>5308</v>
      </c>
      <c r="F777" s="1081">
        <f t="shared" si="1"/>
        <v>0</v>
      </c>
      <c r="G777" s="1083">
        <f t="shared" si="2"/>
        <v>116.78</v>
      </c>
      <c r="H777" s="1084"/>
    </row>
    <row r="778" ht="14.25" customHeight="1">
      <c r="A778" s="1085">
        <v>43972.0</v>
      </c>
      <c r="B778" s="1086" t="s">
        <v>6084</v>
      </c>
      <c r="C778" s="1087" t="s">
        <v>1731</v>
      </c>
      <c r="D778" s="1088">
        <v>3.93</v>
      </c>
      <c r="E778" s="1089" t="s">
        <v>5308</v>
      </c>
      <c r="F778" s="1081">
        <f t="shared" si="1"/>
        <v>0</v>
      </c>
      <c r="G778" s="1083">
        <f t="shared" si="2"/>
        <v>3.93</v>
      </c>
      <c r="H778" s="1084"/>
    </row>
    <row r="779" ht="14.25" customHeight="1">
      <c r="A779" s="1085">
        <v>43971.0</v>
      </c>
      <c r="B779" s="1086" t="s">
        <v>6085</v>
      </c>
      <c r="C779" s="1087" t="s">
        <v>1731</v>
      </c>
      <c r="D779" s="1088">
        <v>3.0</v>
      </c>
      <c r="E779" s="1089" t="s">
        <v>5308</v>
      </c>
      <c r="F779" s="1081">
        <f t="shared" si="1"/>
        <v>0</v>
      </c>
      <c r="G779" s="1083">
        <f t="shared" si="2"/>
        <v>3</v>
      </c>
      <c r="H779" s="1084"/>
    </row>
    <row r="780" ht="14.25" customHeight="1">
      <c r="A780" s="1085">
        <v>39598.0</v>
      </c>
      <c r="B780" s="1086" t="s">
        <v>6086</v>
      </c>
      <c r="C780" s="1087" t="s">
        <v>1731</v>
      </c>
      <c r="D780" s="1088">
        <v>5.56</v>
      </c>
      <c r="E780" s="1089" t="s">
        <v>5308</v>
      </c>
      <c r="F780" s="1081">
        <f t="shared" si="1"/>
        <v>0</v>
      </c>
      <c r="G780" s="1083">
        <f t="shared" si="2"/>
        <v>5.56</v>
      </c>
      <c r="H780" s="1084"/>
    </row>
    <row r="781" ht="14.25" customHeight="1">
      <c r="A781" s="1085">
        <v>43973.0</v>
      </c>
      <c r="B781" s="1086" t="s">
        <v>6087</v>
      </c>
      <c r="C781" s="1087" t="s">
        <v>1731</v>
      </c>
      <c r="D781" s="1088">
        <v>4.11</v>
      </c>
      <c r="E781" s="1089" t="s">
        <v>5308</v>
      </c>
      <c r="F781" s="1081">
        <f t="shared" si="1"/>
        <v>0</v>
      </c>
      <c r="G781" s="1083">
        <f t="shared" si="2"/>
        <v>4.11</v>
      </c>
      <c r="H781" s="1084"/>
    </row>
    <row r="782" ht="14.25" customHeight="1">
      <c r="A782" s="1085">
        <v>39599.0</v>
      </c>
      <c r="B782" s="1086" t="s">
        <v>6088</v>
      </c>
      <c r="C782" s="1087" t="s">
        <v>1731</v>
      </c>
      <c r="D782" s="1088">
        <v>8.0</v>
      </c>
      <c r="E782" s="1089" t="s">
        <v>5308</v>
      </c>
      <c r="F782" s="1081">
        <f t="shared" si="1"/>
        <v>0</v>
      </c>
      <c r="G782" s="1083">
        <f t="shared" si="2"/>
        <v>8</v>
      </c>
      <c r="H782" s="1084"/>
    </row>
    <row r="783" ht="14.25" customHeight="1">
      <c r="A783" s="1085">
        <v>43832.0</v>
      </c>
      <c r="B783" s="1086" t="s">
        <v>6089</v>
      </c>
      <c r="C783" s="1087" t="s">
        <v>1731</v>
      </c>
      <c r="D783" s="1088">
        <v>21.08</v>
      </c>
      <c r="E783" s="1089" t="s">
        <v>5308</v>
      </c>
      <c r="F783" s="1081">
        <f t="shared" si="1"/>
        <v>0</v>
      </c>
      <c r="G783" s="1083">
        <f t="shared" si="2"/>
        <v>21.08</v>
      </c>
      <c r="H783" s="1084"/>
    </row>
    <row r="784" ht="14.25" customHeight="1">
      <c r="A784" s="1085">
        <v>34602.0</v>
      </c>
      <c r="B784" s="1086" t="s">
        <v>6090</v>
      </c>
      <c r="C784" s="1087" t="s">
        <v>1731</v>
      </c>
      <c r="D784" s="1088">
        <v>3.99</v>
      </c>
      <c r="E784" s="1089" t="s">
        <v>5308</v>
      </c>
      <c r="F784" s="1081">
        <f t="shared" si="1"/>
        <v>0</v>
      </c>
      <c r="G784" s="1083">
        <f t="shared" si="2"/>
        <v>3.99</v>
      </c>
      <c r="H784" s="1084"/>
    </row>
    <row r="785" ht="14.25" customHeight="1">
      <c r="A785" s="1085">
        <v>34607.0</v>
      </c>
      <c r="B785" s="1086" t="s">
        <v>6091</v>
      </c>
      <c r="C785" s="1087" t="s">
        <v>1731</v>
      </c>
      <c r="D785" s="1088">
        <v>9.79</v>
      </c>
      <c r="E785" s="1089" t="s">
        <v>5308</v>
      </c>
      <c r="F785" s="1081">
        <f t="shared" si="1"/>
        <v>0</v>
      </c>
      <c r="G785" s="1083">
        <f t="shared" si="2"/>
        <v>9.79</v>
      </c>
      <c r="H785" s="1084"/>
    </row>
    <row r="786" ht="14.25" customHeight="1">
      <c r="A786" s="1085">
        <v>34609.0</v>
      </c>
      <c r="B786" s="1086" t="s">
        <v>6092</v>
      </c>
      <c r="C786" s="1087" t="s">
        <v>1731</v>
      </c>
      <c r="D786" s="1088">
        <v>14.24</v>
      </c>
      <c r="E786" s="1089" t="s">
        <v>5308</v>
      </c>
      <c r="F786" s="1081">
        <f t="shared" si="1"/>
        <v>0</v>
      </c>
      <c r="G786" s="1083">
        <f t="shared" si="2"/>
        <v>14.24</v>
      </c>
      <c r="H786" s="1084"/>
    </row>
    <row r="787" ht="14.25" customHeight="1">
      <c r="A787" s="1085">
        <v>34618.0</v>
      </c>
      <c r="B787" s="1086" t="s">
        <v>6093</v>
      </c>
      <c r="C787" s="1087" t="s">
        <v>1731</v>
      </c>
      <c r="D787" s="1088">
        <v>5.45</v>
      </c>
      <c r="E787" s="1089" t="s">
        <v>5308</v>
      </c>
      <c r="F787" s="1081">
        <f t="shared" si="1"/>
        <v>0</v>
      </c>
      <c r="G787" s="1083">
        <f t="shared" si="2"/>
        <v>5.45</v>
      </c>
      <c r="H787" s="1084"/>
    </row>
    <row r="788" ht="14.25" customHeight="1">
      <c r="A788" s="1085">
        <v>34621.0</v>
      </c>
      <c r="B788" s="1086" t="s">
        <v>6094</v>
      </c>
      <c r="C788" s="1087" t="s">
        <v>1731</v>
      </c>
      <c r="D788" s="1088">
        <v>13.5</v>
      </c>
      <c r="E788" s="1089" t="s">
        <v>5308</v>
      </c>
      <c r="F788" s="1081">
        <f t="shared" si="1"/>
        <v>0</v>
      </c>
      <c r="G788" s="1083">
        <f t="shared" si="2"/>
        <v>13.5</v>
      </c>
      <c r="H788" s="1084"/>
    </row>
    <row r="789" ht="14.25" customHeight="1">
      <c r="A789" s="1085">
        <v>34622.0</v>
      </c>
      <c r="B789" s="1086" t="s">
        <v>6095</v>
      </c>
      <c r="C789" s="1087" t="s">
        <v>1731</v>
      </c>
      <c r="D789" s="1088">
        <v>20.05</v>
      </c>
      <c r="E789" s="1089" t="s">
        <v>5308</v>
      </c>
      <c r="F789" s="1081">
        <f t="shared" si="1"/>
        <v>0</v>
      </c>
      <c r="G789" s="1083">
        <f t="shared" si="2"/>
        <v>20.05</v>
      </c>
      <c r="H789" s="1084"/>
    </row>
    <row r="790" ht="14.25" customHeight="1">
      <c r="A790" s="1085">
        <v>34624.0</v>
      </c>
      <c r="B790" s="1086" t="s">
        <v>6096</v>
      </c>
      <c r="C790" s="1087" t="s">
        <v>1731</v>
      </c>
      <c r="D790" s="1088">
        <v>7.27</v>
      </c>
      <c r="E790" s="1089" t="s">
        <v>5308</v>
      </c>
      <c r="F790" s="1081">
        <f t="shared" si="1"/>
        <v>0</v>
      </c>
      <c r="G790" s="1083">
        <f t="shared" si="2"/>
        <v>7.27</v>
      </c>
      <c r="H790" s="1084"/>
    </row>
    <row r="791" ht="14.25" customHeight="1">
      <c r="A791" s="1085">
        <v>34627.0</v>
      </c>
      <c r="B791" s="1086" t="s">
        <v>6097</v>
      </c>
      <c r="C791" s="1087" t="s">
        <v>1731</v>
      </c>
      <c r="D791" s="1088">
        <v>17.54</v>
      </c>
      <c r="E791" s="1089" t="s">
        <v>5308</v>
      </c>
      <c r="F791" s="1081">
        <f t="shared" si="1"/>
        <v>0</v>
      </c>
      <c r="G791" s="1083">
        <f t="shared" si="2"/>
        <v>17.54</v>
      </c>
      <c r="H791" s="1084"/>
    </row>
    <row r="792" ht="14.25" customHeight="1">
      <c r="A792" s="1085">
        <v>34629.0</v>
      </c>
      <c r="B792" s="1086" t="s">
        <v>6098</v>
      </c>
      <c r="C792" s="1087" t="s">
        <v>1731</v>
      </c>
      <c r="D792" s="1088">
        <v>26.79</v>
      </c>
      <c r="E792" s="1089" t="s">
        <v>5308</v>
      </c>
      <c r="F792" s="1081">
        <f t="shared" si="1"/>
        <v>0</v>
      </c>
      <c r="G792" s="1083">
        <f t="shared" si="2"/>
        <v>26.79</v>
      </c>
      <c r="H792" s="1084"/>
    </row>
    <row r="793" ht="14.25" customHeight="1">
      <c r="A793" s="1085">
        <v>39257.0</v>
      </c>
      <c r="B793" s="1086" t="s">
        <v>6099</v>
      </c>
      <c r="C793" s="1087" t="s">
        <v>1731</v>
      </c>
      <c r="D793" s="1088">
        <v>5.45</v>
      </c>
      <c r="E793" s="1089" t="s">
        <v>5308</v>
      </c>
      <c r="F793" s="1081">
        <f t="shared" si="1"/>
        <v>0</v>
      </c>
      <c r="G793" s="1083">
        <f t="shared" si="2"/>
        <v>5.45</v>
      </c>
      <c r="H793" s="1084"/>
    </row>
    <row r="794" ht="14.25" customHeight="1">
      <c r="A794" s="1085">
        <v>39261.0</v>
      </c>
      <c r="B794" s="1086" t="s">
        <v>6100</v>
      </c>
      <c r="C794" s="1087" t="s">
        <v>1731</v>
      </c>
      <c r="D794" s="1088">
        <v>31.22</v>
      </c>
      <c r="E794" s="1089" t="s">
        <v>5308</v>
      </c>
      <c r="F794" s="1081">
        <f t="shared" si="1"/>
        <v>0</v>
      </c>
      <c r="G794" s="1083">
        <f t="shared" si="2"/>
        <v>31.22</v>
      </c>
      <c r="H794" s="1084"/>
    </row>
    <row r="795" ht="14.25" customHeight="1">
      <c r="A795" s="1085">
        <v>39268.0</v>
      </c>
      <c r="B795" s="1086" t="s">
        <v>6101</v>
      </c>
      <c r="C795" s="1087" t="s">
        <v>1731</v>
      </c>
      <c r="D795" s="1088">
        <v>487.95</v>
      </c>
      <c r="E795" s="1089" t="s">
        <v>5308</v>
      </c>
      <c r="F795" s="1081">
        <f t="shared" si="1"/>
        <v>0</v>
      </c>
      <c r="G795" s="1083">
        <f t="shared" si="2"/>
        <v>487.95</v>
      </c>
      <c r="H795" s="1084"/>
    </row>
    <row r="796" ht="14.25" customHeight="1">
      <c r="A796" s="1085">
        <v>39262.0</v>
      </c>
      <c r="B796" s="1086" t="s">
        <v>6102</v>
      </c>
      <c r="C796" s="1087" t="s">
        <v>1731</v>
      </c>
      <c r="D796" s="1088">
        <v>49.71</v>
      </c>
      <c r="E796" s="1089" t="s">
        <v>5308</v>
      </c>
      <c r="F796" s="1081">
        <f t="shared" si="1"/>
        <v>0</v>
      </c>
      <c r="G796" s="1083">
        <f t="shared" si="2"/>
        <v>49.71</v>
      </c>
      <c r="H796" s="1084"/>
    </row>
    <row r="797" ht="14.25" customHeight="1">
      <c r="A797" s="1085">
        <v>39258.0</v>
      </c>
      <c r="B797" s="1086" t="s">
        <v>6103</v>
      </c>
      <c r="C797" s="1087" t="s">
        <v>1731</v>
      </c>
      <c r="D797" s="1088">
        <v>8.22</v>
      </c>
      <c r="E797" s="1089" t="s">
        <v>5308</v>
      </c>
      <c r="F797" s="1081">
        <f t="shared" si="1"/>
        <v>0</v>
      </c>
      <c r="G797" s="1083">
        <f t="shared" si="2"/>
        <v>8.22</v>
      </c>
      <c r="H797" s="1084"/>
    </row>
    <row r="798" ht="14.25" customHeight="1">
      <c r="A798" s="1085">
        <v>39263.0</v>
      </c>
      <c r="B798" s="1086" t="s">
        <v>6104</v>
      </c>
      <c r="C798" s="1087" t="s">
        <v>1731</v>
      </c>
      <c r="D798" s="1088">
        <v>85.96</v>
      </c>
      <c r="E798" s="1089" t="s">
        <v>5308</v>
      </c>
      <c r="F798" s="1081">
        <f t="shared" si="1"/>
        <v>0</v>
      </c>
      <c r="G798" s="1083">
        <f t="shared" si="2"/>
        <v>85.96</v>
      </c>
      <c r="H798" s="1084"/>
    </row>
    <row r="799" ht="14.25" customHeight="1">
      <c r="A799" s="1085">
        <v>39264.0</v>
      </c>
      <c r="B799" s="1086" t="s">
        <v>6105</v>
      </c>
      <c r="C799" s="1087" t="s">
        <v>1731</v>
      </c>
      <c r="D799" s="1088">
        <v>119.08</v>
      </c>
      <c r="E799" s="1089" t="s">
        <v>5308</v>
      </c>
      <c r="F799" s="1081">
        <f t="shared" si="1"/>
        <v>0</v>
      </c>
      <c r="G799" s="1083">
        <f t="shared" si="2"/>
        <v>119.08</v>
      </c>
      <c r="H799" s="1084"/>
    </row>
    <row r="800" ht="14.25" customHeight="1">
      <c r="A800" s="1085">
        <v>39259.0</v>
      </c>
      <c r="B800" s="1086" t="s">
        <v>6106</v>
      </c>
      <c r="C800" s="1087" t="s">
        <v>1731</v>
      </c>
      <c r="D800" s="1088">
        <v>12.65</v>
      </c>
      <c r="E800" s="1089" t="s">
        <v>5308</v>
      </c>
      <c r="F800" s="1081">
        <f t="shared" si="1"/>
        <v>0</v>
      </c>
      <c r="G800" s="1083">
        <f t="shared" si="2"/>
        <v>12.65</v>
      </c>
      <c r="H800" s="1084"/>
    </row>
    <row r="801" ht="14.25" customHeight="1">
      <c r="A801" s="1085">
        <v>39265.0</v>
      </c>
      <c r="B801" s="1086" t="s">
        <v>6107</v>
      </c>
      <c r="C801" s="1087" t="s">
        <v>1731</v>
      </c>
      <c r="D801" s="1088">
        <v>161.67</v>
      </c>
      <c r="E801" s="1089" t="s">
        <v>5308</v>
      </c>
      <c r="F801" s="1081">
        <f t="shared" si="1"/>
        <v>0</v>
      </c>
      <c r="G801" s="1083">
        <f t="shared" si="2"/>
        <v>161.67</v>
      </c>
      <c r="H801" s="1084"/>
    </row>
    <row r="802" ht="14.25" customHeight="1">
      <c r="A802" s="1085">
        <v>39260.0</v>
      </c>
      <c r="B802" s="1086" t="s">
        <v>6108</v>
      </c>
      <c r="C802" s="1087" t="s">
        <v>1731</v>
      </c>
      <c r="D802" s="1088">
        <v>19.38</v>
      </c>
      <c r="E802" s="1089" t="s">
        <v>5308</v>
      </c>
      <c r="F802" s="1081">
        <f t="shared" si="1"/>
        <v>0</v>
      </c>
      <c r="G802" s="1083">
        <f t="shared" si="2"/>
        <v>19.38</v>
      </c>
      <c r="H802" s="1084"/>
    </row>
    <row r="803" ht="14.25" customHeight="1">
      <c r="A803" s="1085">
        <v>39266.0</v>
      </c>
      <c r="B803" s="1086" t="s">
        <v>6109</v>
      </c>
      <c r="C803" s="1087" t="s">
        <v>1731</v>
      </c>
      <c r="D803" s="1088">
        <v>243.96</v>
      </c>
      <c r="E803" s="1089" t="s">
        <v>5308</v>
      </c>
      <c r="F803" s="1081">
        <f t="shared" si="1"/>
        <v>0</v>
      </c>
      <c r="G803" s="1083">
        <f t="shared" si="2"/>
        <v>243.96</v>
      </c>
      <c r="H803" s="1084"/>
    </row>
    <row r="804" ht="14.25" customHeight="1">
      <c r="A804" s="1085">
        <v>39267.0</v>
      </c>
      <c r="B804" s="1086" t="s">
        <v>6110</v>
      </c>
      <c r="C804" s="1087" t="s">
        <v>1731</v>
      </c>
      <c r="D804" s="1088">
        <v>305.01</v>
      </c>
      <c r="E804" s="1089" t="s">
        <v>5308</v>
      </c>
      <c r="F804" s="1081">
        <f t="shared" si="1"/>
        <v>0</v>
      </c>
      <c r="G804" s="1083">
        <f t="shared" si="2"/>
        <v>305.01</v>
      </c>
      <c r="H804" s="1084"/>
    </row>
    <row r="805" ht="14.25" customHeight="1">
      <c r="A805" s="1085">
        <v>11901.0</v>
      </c>
      <c r="B805" s="1086" t="s">
        <v>6111</v>
      </c>
      <c r="C805" s="1087" t="s">
        <v>1731</v>
      </c>
      <c r="D805" s="1088">
        <v>0.72</v>
      </c>
      <c r="E805" s="1089" t="s">
        <v>5308</v>
      </c>
      <c r="F805" s="1081">
        <f t="shared" si="1"/>
        <v>0</v>
      </c>
      <c r="G805" s="1083">
        <f t="shared" si="2"/>
        <v>0.72</v>
      </c>
      <c r="H805" s="1084"/>
    </row>
    <row r="806" ht="14.25" customHeight="1">
      <c r="A806" s="1085">
        <v>11902.0</v>
      </c>
      <c r="B806" s="1086" t="s">
        <v>6112</v>
      </c>
      <c r="C806" s="1087" t="s">
        <v>1731</v>
      </c>
      <c r="D806" s="1088">
        <v>1.38</v>
      </c>
      <c r="E806" s="1089" t="s">
        <v>5308</v>
      </c>
      <c r="F806" s="1081">
        <f t="shared" si="1"/>
        <v>0</v>
      </c>
      <c r="G806" s="1083">
        <f t="shared" si="2"/>
        <v>1.38</v>
      </c>
      <c r="H806" s="1084"/>
    </row>
    <row r="807" ht="14.25" customHeight="1">
      <c r="A807" s="1085">
        <v>11903.0</v>
      </c>
      <c r="B807" s="1086" t="s">
        <v>6113</v>
      </c>
      <c r="C807" s="1087" t="s">
        <v>1731</v>
      </c>
      <c r="D807" s="1088">
        <v>1.46</v>
      </c>
      <c r="E807" s="1089" t="s">
        <v>5308</v>
      </c>
      <c r="F807" s="1081">
        <f t="shared" si="1"/>
        <v>0</v>
      </c>
      <c r="G807" s="1083">
        <f t="shared" si="2"/>
        <v>1.46</v>
      </c>
      <c r="H807" s="1084"/>
    </row>
    <row r="808" ht="14.25" customHeight="1">
      <c r="A808" s="1085">
        <v>11904.0</v>
      </c>
      <c r="B808" s="1086" t="s">
        <v>6114</v>
      </c>
      <c r="C808" s="1087" t="s">
        <v>1731</v>
      </c>
      <c r="D808" s="1088">
        <v>2.21</v>
      </c>
      <c r="E808" s="1089" t="s">
        <v>5308</v>
      </c>
      <c r="F808" s="1081">
        <f t="shared" si="1"/>
        <v>0</v>
      </c>
      <c r="G808" s="1083">
        <f t="shared" si="2"/>
        <v>2.21</v>
      </c>
      <c r="H808" s="1084"/>
    </row>
    <row r="809" ht="14.25" customHeight="1">
      <c r="A809" s="1085">
        <v>11905.0</v>
      </c>
      <c r="B809" s="1086" t="s">
        <v>6115</v>
      </c>
      <c r="C809" s="1087" t="s">
        <v>1731</v>
      </c>
      <c r="D809" s="1088">
        <v>2.7</v>
      </c>
      <c r="E809" s="1089" t="s">
        <v>5308</v>
      </c>
      <c r="F809" s="1081">
        <f t="shared" si="1"/>
        <v>0</v>
      </c>
      <c r="G809" s="1083">
        <f t="shared" si="2"/>
        <v>2.7</v>
      </c>
      <c r="H809" s="1084"/>
    </row>
    <row r="810" ht="14.25" customHeight="1">
      <c r="A810" s="1085">
        <v>11906.0</v>
      </c>
      <c r="B810" s="1086" t="s">
        <v>6116</v>
      </c>
      <c r="C810" s="1087" t="s">
        <v>1731</v>
      </c>
      <c r="D810" s="1088">
        <v>3.43</v>
      </c>
      <c r="E810" s="1089" t="s">
        <v>5308</v>
      </c>
      <c r="F810" s="1081">
        <f t="shared" si="1"/>
        <v>0</v>
      </c>
      <c r="G810" s="1083">
        <f t="shared" si="2"/>
        <v>3.43</v>
      </c>
      <c r="H810" s="1084"/>
    </row>
    <row r="811" ht="14.25" customHeight="1">
      <c r="A811" s="1085">
        <v>11919.0</v>
      </c>
      <c r="B811" s="1086" t="s">
        <v>6117</v>
      </c>
      <c r="C811" s="1087" t="s">
        <v>1731</v>
      </c>
      <c r="D811" s="1088">
        <v>6.29</v>
      </c>
      <c r="E811" s="1089" t="s">
        <v>5308</v>
      </c>
      <c r="F811" s="1081">
        <f t="shared" si="1"/>
        <v>0</v>
      </c>
      <c r="G811" s="1083">
        <f t="shared" si="2"/>
        <v>6.29</v>
      </c>
      <c r="H811" s="1084"/>
    </row>
    <row r="812" ht="14.25" customHeight="1">
      <c r="A812" s="1085">
        <v>11920.0</v>
      </c>
      <c r="B812" s="1086" t="s">
        <v>6118</v>
      </c>
      <c r="C812" s="1087" t="s">
        <v>1731</v>
      </c>
      <c r="D812" s="1088">
        <v>11.95</v>
      </c>
      <c r="E812" s="1089" t="s">
        <v>5308</v>
      </c>
      <c r="F812" s="1081">
        <f t="shared" si="1"/>
        <v>0</v>
      </c>
      <c r="G812" s="1083">
        <f t="shared" si="2"/>
        <v>11.95</v>
      </c>
      <c r="H812" s="1084"/>
    </row>
    <row r="813" ht="14.25" customHeight="1">
      <c r="A813" s="1085">
        <v>11924.0</v>
      </c>
      <c r="B813" s="1086" t="s">
        <v>6119</v>
      </c>
      <c r="C813" s="1087" t="s">
        <v>1731</v>
      </c>
      <c r="D813" s="1088">
        <v>100.36</v>
      </c>
      <c r="E813" s="1089" t="s">
        <v>5308</v>
      </c>
      <c r="F813" s="1081">
        <f t="shared" si="1"/>
        <v>0</v>
      </c>
      <c r="G813" s="1083">
        <f t="shared" si="2"/>
        <v>100.36</v>
      </c>
      <c r="H813" s="1084"/>
    </row>
    <row r="814" ht="14.25" customHeight="1">
      <c r="A814" s="1085">
        <v>11921.0</v>
      </c>
      <c r="B814" s="1086" t="s">
        <v>6120</v>
      </c>
      <c r="C814" s="1087" t="s">
        <v>1731</v>
      </c>
      <c r="D814" s="1088">
        <v>17.49</v>
      </c>
      <c r="E814" s="1089" t="s">
        <v>5308</v>
      </c>
      <c r="F814" s="1081">
        <f t="shared" si="1"/>
        <v>0</v>
      </c>
      <c r="G814" s="1083">
        <f t="shared" si="2"/>
        <v>17.49</v>
      </c>
      <c r="H814" s="1084"/>
    </row>
    <row r="815" ht="14.25" customHeight="1">
      <c r="A815" s="1085">
        <v>11922.0</v>
      </c>
      <c r="B815" s="1086" t="s">
        <v>6121</v>
      </c>
      <c r="C815" s="1087" t="s">
        <v>1731</v>
      </c>
      <c r="D815" s="1088">
        <v>28.29</v>
      </c>
      <c r="E815" s="1089" t="s">
        <v>5308</v>
      </c>
      <c r="F815" s="1081">
        <f t="shared" si="1"/>
        <v>0</v>
      </c>
      <c r="G815" s="1083">
        <f t="shared" si="2"/>
        <v>28.29</v>
      </c>
      <c r="H815" s="1084"/>
    </row>
    <row r="816" ht="14.25" customHeight="1">
      <c r="A816" s="1085">
        <v>11923.0</v>
      </c>
      <c r="B816" s="1086" t="s">
        <v>6122</v>
      </c>
      <c r="C816" s="1087" t="s">
        <v>1731</v>
      </c>
      <c r="D816" s="1088">
        <v>41.41</v>
      </c>
      <c r="E816" s="1089" t="s">
        <v>5308</v>
      </c>
      <c r="F816" s="1081">
        <f t="shared" si="1"/>
        <v>0</v>
      </c>
      <c r="G816" s="1083">
        <f t="shared" si="2"/>
        <v>41.41</v>
      </c>
      <c r="H816" s="1084"/>
    </row>
    <row r="817" ht="14.25" customHeight="1">
      <c r="A817" s="1085">
        <v>11916.0</v>
      </c>
      <c r="B817" s="1086" t="s">
        <v>6123</v>
      </c>
      <c r="C817" s="1087" t="s">
        <v>1731</v>
      </c>
      <c r="D817" s="1088">
        <v>8.61</v>
      </c>
      <c r="E817" s="1089" t="s">
        <v>5308</v>
      </c>
      <c r="F817" s="1081">
        <f t="shared" si="1"/>
        <v>0</v>
      </c>
      <c r="G817" s="1083">
        <f t="shared" si="2"/>
        <v>8.61</v>
      </c>
      <c r="H817" s="1084"/>
    </row>
    <row r="818" ht="14.25" customHeight="1">
      <c r="A818" s="1085">
        <v>11914.0</v>
      </c>
      <c r="B818" s="1086" t="s">
        <v>6124</v>
      </c>
      <c r="C818" s="1087" t="s">
        <v>1731</v>
      </c>
      <c r="D818" s="1088">
        <v>62.04</v>
      </c>
      <c r="E818" s="1089" t="s">
        <v>5308</v>
      </c>
      <c r="F818" s="1081">
        <f t="shared" si="1"/>
        <v>0</v>
      </c>
      <c r="G818" s="1083">
        <f t="shared" si="2"/>
        <v>62.04</v>
      </c>
      <c r="H818" s="1084"/>
    </row>
    <row r="819" ht="14.25" customHeight="1">
      <c r="A819" s="1085">
        <v>11917.0</v>
      </c>
      <c r="B819" s="1086" t="s">
        <v>6125</v>
      </c>
      <c r="C819" s="1087" t="s">
        <v>1731</v>
      </c>
      <c r="D819" s="1088">
        <v>15.16</v>
      </c>
      <c r="E819" s="1089" t="s">
        <v>5308</v>
      </c>
      <c r="F819" s="1081">
        <f t="shared" si="1"/>
        <v>0</v>
      </c>
      <c r="G819" s="1083">
        <f t="shared" si="2"/>
        <v>15.16</v>
      </c>
      <c r="H819" s="1084"/>
    </row>
    <row r="820" ht="14.25" customHeight="1">
      <c r="A820" s="1085">
        <v>11918.0</v>
      </c>
      <c r="B820" s="1086" t="s">
        <v>6126</v>
      </c>
      <c r="C820" s="1087" t="s">
        <v>1731</v>
      </c>
      <c r="D820" s="1088">
        <v>17.99</v>
      </c>
      <c r="E820" s="1089" t="s">
        <v>5308</v>
      </c>
      <c r="F820" s="1081">
        <f t="shared" si="1"/>
        <v>0</v>
      </c>
      <c r="G820" s="1083">
        <f t="shared" si="2"/>
        <v>17.99</v>
      </c>
      <c r="H820" s="1084"/>
    </row>
    <row r="821" ht="14.25" customHeight="1">
      <c r="A821" s="1085">
        <v>37734.0</v>
      </c>
      <c r="B821" s="1086" t="s">
        <v>6127</v>
      </c>
      <c r="C821" s="1087" t="s">
        <v>1788</v>
      </c>
      <c r="D821" s="1088">
        <v>96529.72</v>
      </c>
      <c r="E821" s="1089" t="s">
        <v>5482</v>
      </c>
      <c r="F821" s="1081">
        <f t="shared" si="1"/>
        <v>0</v>
      </c>
      <c r="G821" s="1083">
        <f t="shared" si="2"/>
        <v>96529.72</v>
      </c>
      <c r="H821" s="1084"/>
    </row>
    <row r="822" ht="14.25" customHeight="1">
      <c r="A822" s="1085">
        <v>42251.0</v>
      </c>
      <c r="B822" s="1086" t="s">
        <v>6128</v>
      </c>
      <c r="C822" s="1087" t="s">
        <v>1788</v>
      </c>
      <c r="D822" s="1088">
        <v>109615.38</v>
      </c>
      <c r="E822" s="1089" t="s">
        <v>5482</v>
      </c>
      <c r="F822" s="1081">
        <f t="shared" si="1"/>
        <v>0</v>
      </c>
      <c r="G822" s="1083">
        <f t="shared" si="2"/>
        <v>109615.38</v>
      </c>
      <c r="H822" s="1084"/>
    </row>
    <row r="823" ht="14.25" customHeight="1">
      <c r="A823" s="1085">
        <v>37733.0</v>
      </c>
      <c r="B823" s="1086" t="s">
        <v>6129</v>
      </c>
      <c r="C823" s="1087" t="s">
        <v>1788</v>
      </c>
      <c r="D823" s="1088">
        <v>72377.62</v>
      </c>
      <c r="E823" s="1089" t="s">
        <v>5482</v>
      </c>
      <c r="F823" s="1081">
        <f t="shared" si="1"/>
        <v>0</v>
      </c>
      <c r="G823" s="1083">
        <f t="shared" si="2"/>
        <v>72377.62</v>
      </c>
      <c r="H823" s="1084"/>
    </row>
    <row r="824" ht="14.25" customHeight="1">
      <c r="A824" s="1085">
        <v>37735.0</v>
      </c>
      <c r="B824" s="1086" t="s">
        <v>6130</v>
      </c>
      <c r="C824" s="1087" t="s">
        <v>1788</v>
      </c>
      <c r="D824" s="1088">
        <v>87215.03</v>
      </c>
      <c r="E824" s="1089" t="s">
        <v>5482</v>
      </c>
      <c r="F824" s="1081">
        <f t="shared" si="1"/>
        <v>0</v>
      </c>
      <c r="G824" s="1083">
        <f t="shared" si="2"/>
        <v>87215.03</v>
      </c>
      <c r="H824" s="1084"/>
    </row>
    <row r="825" ht="14.25" customHeight="1">
      <c r="A825" s="1085">
        <v>5090.0</v>
      </c>
      <c r="B825" s="1086" t="s">
        <v>6131</v>
      </c>
      <c r="C825" s="1087" t="s">
        <v>1788</v>
      </c>
      <c r="D825" s="1088">
        <v>20.0</v>
      </c>
      <c r="E825" s="1089" t="s">
        <v>5308</v>
      </c>
      <c r="F825" s="1081">
        <f t="shared" si="1"/>
        <v>0</v>
      </c>
      <c r="G825" s="1083">
        <f t="shared" si="2"/>
        <v>20</v>
      </c>
      <c r="H825" s="1084"/>
    </row>
    <row r="826" ht="14.25" customHeight="1">
      <c r="A826" s="1085">
        <v>5085.0</v>
      </c>
      <c r="B826" s="1086" t="s">
        <v>6132</v>
      </c>
      <c r="C826" s="1087" t="s">
        <v>1788</v>
      </c>
      <c r="D826" s="1088">
        <v>29.77</v>
      </c>
      <c r="E826" s="1089" t="s">
        <v>5308</v>
      </c>
      <c r="F826" s="1081">
        <f t="shared" si="1"/>
        <v>0</v>
      </c>
      <c r="G826" s="1083">
        <f t="shared" si="2"/>
        <v>29.77</v>
      </c>
      <c r="H826" s="1084"/>
    </row>
    <row r="827" ht="14.25" customHeight="1">
      <c r="A827" s="1085">
        <v>43603.0</v>
      </c>
      <c r="B827" s="1086" t="s">
        <v>6133</v>
      </c>
      <c r="C827" s="1087" t="s">
        <v>1788</v>
      </c>
      <c r="D827" s="1088">
        <v>42.53</v>
      </c>
      <c r="E827" s="1089" t="s">
        <v>5308</v>
      </c>
      <c r="F827" s="1081">
        <f t="shared" si="1"/>
        <v>0</v>
      </c>
      <c r="G827" s="1083">
        <f t="shared" si="2"/>
        <v>42.53</v>
      </c>
      <c r="H827" s="1084"/>
    </row>
    <row r="828" ht="14.25" customHeight="1">
      <c r="A828" s="1085">
        <v>38374.0</v>
      </c>
      <c r="B828" s="1086" t="s">
        <v>6134</v>
      </c>
      <c r="C828" s="1087" t="s">
        <v>1788</v>
      </c>
      <c r="D828" s="1088">
        <v>1082.92</v>
      </c>
      <c r="E828" s="1089" t="s">
        <v>5308</v>
      </c>
      <c r="F828" s="1081">
        <f t="shared" si="1"/>
        <v>0</v>
      </c>
      <c r="G828" s="1083">
        <f t="shared" si="2"/>
        <v>1082.92</v>
      </c>
      <c r="H828" s="1084"/>
    </row>
    <row r="829" ht="14.25" customHeight="1">
      <c r="A829" s="1085">
        <v>20209.0</v>
      </c>
      <c r="B829" s="1086" t="s">
        <v>6135</v>
      </c>
      <c r="C829" s="1087" t="s">
        <v>1731</v>
      </c>
      <c r="D829" s="1088">
        <v>37.55</v>
      </c>
      <c r="E829" s="1089" t="s">
        <v>5308</v>
      </c>
      <c r="F829" s="1081">
        <f t="shared" si="1"/>
        <v>0</v>
      </c>
      <c r="G829" s="1083">
        <f t="shared" si="2"/>
        <v>37.55</v>
      </c>
      <c r="H829" s="1084"/>
    </row>
    <row r="830" ht="14.25" customHeight="1">
      <c r="A830" s="1085">
        <v>20212.0</v>
      </c>
      <c r="B830" s="1086" t="s">
        <v>6136</v>
      </c>
      <c r="C830" s="1087" t="s">
        <v>1731</v>
      </c>
      <c r="D830" s="1088">
        <v>31.44</v>
      </c>
      <c r="E830" s="1089" t="s">
        <v>5308</v>
      </c>
      <c r="F830" s="1081">
        <f t="shared" si="1"/>
        <v>0</v>
      </c>
      <c r="G830" s="1083">
        <f t="shared" si="2"/>
        <v>31.44</v>
      </c>
      <c r="H830" s="1084"/>
    </row>
    <row r="831" ht="14.25" customHeight="1">
      <c r="A831" s="1085">
        <v>4430.0</v>
      </c>
      <c r="B831" s="1086" t="s">
        <v>6137</v>
      </c>
      <c r="C831" s="1087" t="s">
        <v>1731</v>
      </c>
      <c r="D831" s="1088">
        <v>18.4</v>
      </c>
      <c r="E831" s="1089" t="s">
        <v>5308</v>
      </c>
      <c r="F831" s="1081">
        <f t="shared" si="1"/>
        <v>0</v>
      </c>
      <c r="G831" s="1083">
        <f t="shared" si="2"/>
        <v>18.4</v>
      </c>
      <c r="H831" s="1084"/>
    </row>
    <row r="832" ht="14.25" customHeight="1">
      <c r="A832" s="1085">
        <v>4433.0</v>
      </c>
      <c r="B832" s="1086" t="s">
        <v>6138</v>
      </c>
      <c r="C832" s="1087" t="s">
        <v>1731</v>
      </c>
      <c r="D832" s="1088">
        <v>35.98</v>
      </c>
      <c r="E832" s="1089" t="s">
        <v>5308</v>
      </c>
      <c r="F832" s="1081">
        <f t="shared" si="1"/>
        <v>0</v>
      </c>
      <c r="G832" s="1083">
        <f t="shared" si="2"/>
        <v>35.98</v>
      </c>
      <c r="H832" s="1084"/>
    </row>
    <row r="833" ht="14.25" customHeight="1">
      <c r="A833" s="1085">
        <v>4400.0</v>
      </c>
      <c r="B833" s="1086" t="s">
        <v>6139</v>
      </c>
      <c r="C833" s="1087" t="s">
        <v>1731</v>
      </c>
      <c r="D833" s="1088">
        <v>29.28</v>
      </c>
      <c r="E833" s="1089" t="s">
        <v>5308</v>
      </c>
      <c r="F833" s="1081">
        <f t="shared" si="1"/>
        <v>0</v>
      </c>
      <c r="G833" s="1083">
        <f t="shared" si="2"/>
        <v>29.28</v>
      </c>
      <c r="H833" s="1084"/>
    </row>
    <row r="834" ht="14.25" customHeight="1">
      <c r="A834" s="1085">
        <v>2729.0</v>
      </c>
      <c r="B834" s="1086" t="s">
        <v>6140</v>
      </c>
      <c r="C834" s="1087" t="s">
        <v>1788</v>
      </c>
      <c r="D834" s="1088">
        <v>31.03</v>
      </c>
      <c r="E834" s="1089" t="s">
        <v>5308</v>
      </c>
      <c r="F834" s="1081">
        <f t="shared" si="1"/>
        <v>0</v>
      </c>
      <c r="G834" s="1083">
        <f t="shared" si="2"/>
        <v>31.03</v>
      </c>
      <c r="H834" s="1084"/>
    </row>
    <row r="835" ht="14.25" customHeight="1">
      <c r="A835" s="1085">
        <v>4513.0</v>
      </c>
      <c r="B835" s="1086" t="s">
        <v>6141</v>
      </c>
      <c r="C835" s="1087" t="s">
        <v>1731</v>
      </c>
      <c r="D835" s="1088">
        <v>4.88</v>
      </c>
      <c r="E835" s="1089" t="s">
        <v>5308</v>
      </c>
      <c r="F835" s="1081">
        <f t="shared" si="1"/>
        <v>0</v>
      </c>
      <c r="G835" s="1083">
        <f t="shared" si="2"/>
        <v>4.88</v>
      </c>
      <c r="H835" s="1084"/>
    </row>
    <row r="836" ht="14.25" customHeight="1">
      <c r="A836" s="1085">
        <v>37106.0</v>
      </c>
      <c r="B836" s="1086" t="s">
        <v>6142</v>
      </c>
      <c r="C836" s="1087" t="s">
        <v>1788</v>
      </c>
      <c r="D836" s="1088">
        <v>5138.59</v>
      </c>
      <c r="E836" s="1089" t="s">
        <v>5308</v>
      </c>
      <c r="F836" s="1081">
        <f t="shared" si="1"/>
        <v>0</v>
      </c>
      <c r="G836" s="1083">
        <f t="shared" si="2"/>
        <v>5138.59</v>
      </c>
      <c r="H836" s="1084"/>
    </row>
    <row r="837" ht="14.25" customHeight="1">
      <c r="A837" s="1085">
        <v>11869.0</v>
      </c>
      <c r="B837" s="1086" t="s">
        <v>6143</v>
      </c>
      <c r="C837" s="1087" t="s">
        <v>1788</v>
      </c>
      <c r="D837" s="1088">
        <v>1027.71</v>
      </c>
      <c r="E837" s="1089" t="s">
        <v>5308</v>
      </c>
      <c r="F837" s="1081">
        <f t="shared" si="1"/>
        <v>0</v>
      </c>
      <c r="G837" s="1083">
        <f t="shared" si="2"/>
        <v>1027.71</v>
      </c>
      <c r="H837" s="1084"/>
    </row>
    <row r="838" ht="14.25" customHeight="1">
      <c r="A838" s="1085">
        <v>43981.0</v>
      </c>
      <c r="B838" s="1086" t="s">
        <v>6144</v>
      </c>
      <c r="C838" s="1087" t="s">
        <v>1788</v>
      </c>
      <c r="D838" s="1088">
        <v>7743.8</v>
      </c>
      <c r="E838" s="1089" t="s">
        <v>5308</v>
      </c>
      <c r="F838" s="1081">
        <f t="shared" si="1"/>
        <v>0</v>
      </c>
      <c r="G838" s="1083">
        <f t="shared" si="2"/>
        <v>7743.8</v>
      </c>
      <c r="H838" s="1084"/>
    </row>
    <row r="839" ht="14.25" customHeight="1">
      <c r="A839" s="1085">
        <v>37104.0</v>
      </c>
      <c r="B839" s="1086" t="s">
        <v>6145</v>
      </c>
      <c r="C839" s="1087" t="s">
        <v>1788</v>
      </c>
      <c r="D839" s="1088">
        <v>1289.8</v>
      </c>
      <c r="E839" s="1089" t="s">
        <v>5308</v>
      </c>
      <c r="F839" s="1081">
        <f t="shared" si="1"/>
        <v>0</v>
      </c>
      <c r="G839" s="1083">
        <f t="shared" si="2"/>
        <v>1289.8</v>
      </c>
      <c r="H839" s="1084"/>
    </row>
    <row r="840" ht="14.25" customHeight="1">
      <c r="A840" s="1085">
        <v>43982.0</v>
      </c>
      <c r="B840" s="1086" t="s">
        <v>6146</v>
      </c>
      <c r="C840" s="1087" t="s">
        <v>1788</v>
      </c>
      <c r="D840" s="1088">
        <v>12233.26</v>
      </c>
      <c r="E840" s="1089" t="s">
        <v>5308</v>
      </c>
      <c r="F840" s="1081">
        <f t="shared" si="1"/>
        <v>0</v>
      </c>
      <c r="G840" s="1083">
        <f t="shared" si="2"/>
        <v>12233.26</v>
      </c>
      <c r="H840" s="1084"/>
    </row>
    <row r="841" ht="14.25" customHeight="1">
      <c r="A841" s="1085">
        <v>43978.0</v>
      </c>
      <c r="B841" s="1086" t="s">
        <v>6147</v>
      </c>
      <c r="C841" s="1087" t="s">
        <v>1788</v>
      </c>
      <c r="D841" s="1088">
        <v>1911.46</v>
      </c>
      <c r="E841" s="1089" t="s">
        <v>5308</v>
      </c>
      <c r="F841" s="1081">
        <f t="shared" si="1"/>
        <v>0</v>
      </c>
      <c r="G841" s="1083">
        <f t="shared" si="2"/>
        <v>1911.46</v>
      </c>
      <c r="H841" s="1084"/>
    </row>
    <row r="842" ht="14.25" customHeight="1">
      <c r="A842" s="1085">
        <v>11871.0</v>
      </c>
      <c r="B842" s="1086" t="s">
        <v>6148</v>
      </c>
      <c r="C842" s="1087" t="s">
        <v>1788</v>
      </c>
      <c r="D842" s="1088">
        <v>479.07</v>
      </c>
      <c r="E842" s="1089" t="s">
        <v>5308</v>
      </c>
      <c r="F842" s="1081">
        <f t="shared" si="1"/>
        <v>0</v>
      </c>
      <c r="G842" s="1083">
        <f t="shared" si="2"/>
        <v>479.07</v>
      </c>
      <c r="H842" s="1084"/>
    </row>
    <row r="843" ht="14.25" customHeight="1">
      <c r="A843" s="1085">
        <v>37105.0</v>
      </c>
      <c r="B843" s="1086" t="s">
        <v>6149</v>
      </c>
      <c r="C843" s="1087" t="s">
        <v>1788</v>
      </c>
      <c r="D843" s="1088">
        <v>2947.7</v>
      </c>
      <c r="E843" s="1089" t="s">
        <v>5308</v>
      </c>
      <c r="F843" s="1081">
        <f t="shared" si="1"/>
        <v>0</v>
      </c>
      <c r="G843" s="1083">
        <f t="shared" si="2"/>
        <v>2947.7</v>
      </c>
      <c r="H843" s="1084"/>
    </row>
    <row r="844" ht="14.25" customHeight="1">
      <c r="A844" s="1085">
        <v>43980.0</v>
      </c>
      <c r="B844" s="1086" t="s">
        <v>6150</v>
      </c>
      <c r="C844" s="1087" t="s">
        <v>1788</v>
      </c>
      <c r="D844" s="1088">
        <v>3671.05</v>
      </c>
      <c r="E844" s="1089" t="s">
        <v>5308</v>
      </c>
      <c r="F844" s="1081">
        <f t="shared" si="1"/>
        <v>0</v>
      </c>
      <c r="G844" s="1083">
        <f t="shared" si="2"/>
        <v>3671.05</v>
      </c>
      <c r="H844" s="1084"/>
    </row>
    <row r="845" ht="14.25" customHeight="1">
      <c r="A845" s="1085">
        <v>43979.0</v>
      </c>
      <c r="B845" s="1086" t="s">
        <v>6151</v>
      </c>
      <c r="C845" s="1087" t="s">
        <v>1788</v>
      </c>
      <c r="D845" s="1088">
        <v>689.75</v>
      </c>
      <c r="E845" s="1089" t="s">
        <v>5308</v>
      </c>
      <c r="F845" s="1081">
        <f t="shared" si="1"/>
        <v>0</v>
      </c>
      <c r="G845" s="1083">
        <f t="shared" si="2"/>
        <v>689.75</v>
      </c>
      <c r="H845" s="1084"/>
    </row>
    <row r="846" ht="14.25" customHeight="1">
      <c r="A846" s="1085">
        <v>11868.0</v>
      </c>
      <c r="B846" s="1086" t="s">
        <v>6152</v>
      </c>
      <c r="C846" s="1087" t="s">
        <v>1788</v>
      </c>
      <c r="D846" s="1088">
        <v>667.06</v>
      </c>
      <c r="E846" s="1089" t="s">
        <v>5308</v>
      </c>
      <c r="F846" s="1081">
        <f t="shared" si="1"/>
        <v>0</v>
      </c>
      <c r="G846" s="1083">
        <f t="shared" si="2"/>
        <v>667.06</v>
      </c>
      <c r="H846" s="1084"/>
    </row>
    <row r="847" ht="14.25" customHeight="1">
      <c r="A847" s="1085">
        <v>34636.0</v>
      </c>
      <c r="B847" s="1086" t="s">
        <v>6153</v>
      </c>
      <c r="C847" s="1087" t="s">
        <v>1788</v>
      </c>
      <c r="D847" s="1088">
        <v>473.7</v>
      </c>
      <c r="E847" s="1089" t="s">
        <v>5308</v>
      </c>
      <c r="F847" s="1081">
        <f t="shared" si="1"/>
        <v>0</v>
      </c>
      <c r="G847" s="1083">
        <f t="shared" si="2"/>
        <v>473.7</v>
      </c>
      <c r="H847" s="1084"/>
    </row>
    <row r="848" ht="14.25" customHeight="1">
      <c r="A848" s="1085">
        <v>34639.0</v>
      </c>
      <c r="B848" s="1086" t="s">
        <v>6154</v>
      </c>
      <c r="C848" s="1087" t="s">
        <v>1788</v>
      </c>
      <c r="D848" s="1088">
        <v>1093.38</v>
      </c>
      <c r="E848" s="1089" t="s">
        <v>5308</v>
      </c>
      <c r="F848" s="1081">
        <f t="shared" si="1"/>
        <v>0</v>
      </c>
      <c r="G848" s="1083">
        <f t="shared" si="2"/>
        <v>1093.38</v>
      </c>
      <c r="H848" s="1084"/>
    </row>
    <row r="849" ht="14.25" customHeight="1">
      <c r="A849" s="1085">
        <v>34640.0</v>
      </c>
      <c r="B849" s="1086" t="s">
        <v>6155</v>
      </c>
      <c r="C849" s="1087" t="s">
        <v>1788</v>
      </c>
      <c r="D849" s="1088">
        <v>1240.27</v>
      </c>
      <c r="E849" s="1089" t="s">
        <v>5308</v>
      </c>
      <c r="F849" s="1081">
        <f t="shared" si="1"/>
        <v>0</v>
      </c>
      <c r="G849" s="1083">
        <f t="shared" si="2"/>
        <v>1240.27</v>
      </c>
      <c r="H849" s="1084"/>
    </row>
    <row r="850" ht="14.25" customHeight="1">
      <c r="A850" s="1085">
        <v>43977.0</v>
      </c>
      <c r="B850" s="1086" t="s">
        <v>6156</v>
      </c>
      <c r="C850" s="1087" t="s">
        <v>1788</v>
      </c>
      <c r="D850" s="1088">
        <v>2138.15</v>
      </c>
      <c r="E850" s="1089" t="s">
        <v>5308</v>
      </c>
      <c r="F850" s="1081">
        <f t="shared" si="1"/>
        <v>0</v>
      </c>
      <c r="G850" s="1083">
        <f t="shared" si="2"/>
        <v>2138.15</v>
      </c>
      <c r="H850" s="1084"/>
    </row>
    <row r="851" ht="14.25" customHeight="1">
      <c r="A851" s="1085">
        <v>34637.0</v>
      </c>
      <c r="B851" s="1086" t="s">
        <v>6157</v>
      </c>
      <c r="C851" s="1087" t="s">
        <v>1788</v>
      </c>
      <c r="D851" s="1088">
        <v>286.47</v>
      </c>
      <c r="E851" s="1089" t="s">
        <v>5308</v>
      </c>
      <c r="F851" s="1081">
        <f t="shared" si="1"/>
        <v>0</v>
      </c>
      <c r="G851" s="1083">
        <f t="shared" si="2"/>
        <v>286.47</v>
      </c>
      <c r="H851" s="1084"/>
    </row>
    <row r="852" ht="14.25" customHeight="1">
      <c r="A852" s="1085">
        <v>34638.0</v>
      </c>
      <c r="B852" s="1086" t="s">
        <v>6158</v>
      </c>
      <c r="C852" s="1087" t="s">
        <v>1788</v>
      </c>
      <c r="D852" s="1088">
        <v>443.11</v>
      </c>
      <c r="E852" s="1089" t="s">
        <v>5308</v>
      </c>
      <c r="F852" s="1081">
        <f t="shared" si="1"/>
        <v>0</v>
      </c>
      <c r="G852" s="1083">
        <f t="shared" si="2"/>
        <v>443.11</v>
      </c>
      <c r="H852" s="1084"/>
    </row>
    <row r="853" ht="14.25" customHeight="1">
      <c r="A853" s="1085">
        <v>34641.0</v>
      </c>
      <c r="B853" s="1086" t="s">
        <v>6159</v>
      </c>
      <c r="C853" s="1087" t="s">
        <v>1788</v>
      </c>
      <c r="D853" s="1088">
        <v>74.61</v>
      </c>
      <c r="E853" s="1089" t="s">
        <v>5308</v>
      </c>
      <c r="F853" s="1081">
        <f t="shared" si="1"/>
        <v>0</v>
      </c>
      <c r="G853" s="1083">
        <f t="shared" si="2"/>
        <v>74.61</v>
      </c>
      <c r="H853" s="1084"/>
    </row>
    <row r="854" ht="14.25" customHeight="1">
      <c r="A854" s="1085">
        <v>43434.0</v>
      </c>
      <c r="B854" s="1086" t="s">
        <v>6160</v>
      </c>
      <c r="C854" s="1087" t="s">
        <v>1788</v>
      </c>
      <c r="D854" s="1088">
        <v>80.67</v>
      </c>
      <c r="E854" s="1089" t="s">
        <v>5308</v>
      </c>
      <c r="F854" s="1081">
        <f t="shared" si="1"/>
        <v>0</v>
      </c>
      <c r="G854" s="1083">
        <f t="shared" si="2"/>
        <v>80.67</v>
      </c>
      <c r="H854" s="1084"/>
    </row>
    <row r="855" ht="14.25" customHeight="1">
      <c r="A855" s="1085">
        <v>43435.0</v>
      </c>
      <c r="B855" s="1086" t="s">
        <v>6161</v>
      </c>
      <c r="C855" s="1087" t="s">
        <v>1788</v>
      </c>
      <c r="D855" s="1088">
        <v>147.89</v>
      </c>
      <c r="E855" s="1089" t="s">
        <v>5308</v>
      </c>
      <c r="F855" s="1081">
        <f t="shared" si="1"/>
        <v>0</v>
      </c>
      <c r="G855" s="1083">
        <f t="shared" si="2"/>
        <v>147.89</v>
      </c>
      <c r="H855" s="1084"/>
    </row>
    <row r="856" ht="14.25" customHeight="1">
      <c r="A856" s="1085">
        <v>43436.0</v>
      </c>
      <c r="B856" s="1086" t="s">
        <v>6162</v>
      </c>
      <c r="C856" s="1087" t="s">
        <v>1788</v>
      </c>
      <c r="D856" s="1088">
        <v>258.82</v>
      </c>
      <c r="E856" s="1089" t="s">
        <v>5308</v>
      </c>
      <c r="F856" s="1081">
        <f t="shared" si="1"/>
        <v>0</v>
      </c>
      <c r="G856" s="1083">
        <f t="shared" si="2"/>
        <v>258.82</v>
      </c>
      <c r="H856" s="1084"/>
    </row>
    <row r="857" ht="14.25" customHeight="1">
      <c r="A857" s="1085">
        <v>43437.0</v>
      </c>
      <c r="B857" s="1086" t="s">
        <v>6163</v>
      </c>
      <c r="C857" s="1087" t="s">
        <v>1788</v>
      </c>
      <c r="D857" s="1088">
        <v>469.24</v>
      </c>
      <c r="E857" s="1089" t="s">
        <v>5308</v>
      </c>
      <c r="F857" s="1081">
        <f t="shared" si="1"/>
        <v>0</v>
      </c>
      <c r="G857" s="1083">
        <f t="shared" si="2"/>
        <v>469.24</v>
      </c>
      <c r="H857" s="1084"/>
    </row>
    <row r="858" ht="14.25" customHeight="1">
      <c r="A858" s="1085">
        <v>43438.0</v>
      </c>
      <c r="B858" s="1086" t="s">
        <v>6164</v>
      </c>
      <c r="C858" s="1087" t="s">
        <v>1788</v>
      </c>
      <c r="D858" s="1088">
        <v>840.33</v>
      </c>
      <c r="E858" s="1089" t="s">
        <v>5308</v>
      </c>
      <c r="F858" s="1081">
        <f t="shared" si="1"/>
        <v>0</v>
      </c>
      <c r="G858" s="1083">
        <f t="shared" si="2"/>
        <v>840.33</v>
      </c>
      <c r="H858" s="1084"/>
    </row>
    <row r="859" ht="14.25" customHeight="1">
      <c r="A859" s="1085">
        <v>41627.0</v>
      </c>
      <c r="B859" s="1086" t="s">
        <v>6165</v>
      </c>
      <c r="C859" s="1087" t="s">
        <v>1788</v>
      </c>
      <c r="D859" s="1088">
        <v>124.36</v>
      </c>
      <c r="E859" s="1089" t="s">
        <v>5308</v>
      </c>
      <c r="F859" s="1081">
        <f t="shared" si="1"/>
        <v>0</v>
      </c>
      <c r="G859" s="1083">
        <f t="shared" si="2"/>
        <v>124.36</v>
      </c>
      <c r="H859" s="1084"/>
    </row>
    <row r="860" ht="14.25" customHeight="1">
      <c r="A860" s="1085">
        <v>41628.0</v>
      </c>
      <c r="B860" s="1086" t="s">
        <v>6166</v>
      </c>
      <c r="C860" s="1087" t="s">
        <v>1788</v>
      </c>
      <c r="D860" s="1088">
        <v>228.57</v>
      </c>
      <c r="E860" s="1089" t="s">
        <v>5308</v>
      </c>
      <c r="F860" s="1081">
        <f t="shared" si="1"/>
        <v>0</v>
      </c>
      <c r="G860" s="1083">
        <f t="shared" si="2"/>
        <v>228.57</v>
      </c>
      <c r="H860" s="1084"/>
    </row>
    <row r="861" ht="14.25" customHeight="1">
      <c r="A861" s="1085">
        <v>41629.0</v>
      </c>
      <c r="B861" s="1086" t="s">
        <v>6167</v>
      </c>
      <c r="C861" s="1087" t="s">
        <v>1788</v>
      </c>
      <c r="D861" s="1088">
        <v>290.42</v>
      </c>
      <c r="E861" s="1089" t="s">
        <v>5308</v>
      </c>
      <c r="F861" s="1081">
        <f t="shared" si="1"/>
        <v>0</v>
      </c>
      <c r="G861" s="1083">
        <f t="shared" si="2"/>
        <v>290.42</v>
      </c>
      <c r="H861" s="1084"/>
    </row>
    <row r="862" ht="14.25" customHeight="1">
      <c r="A862" s="1085">
        <v>43429.0</v>
      </c>
      <c r="B862" s="1086" t="s">
        <v>6168</v>
      </c>
      <c r="C862" s="1087" t="s">
        <v>1788</v>
      </c>
      <c r="D862" s="1088">
        <v>64.34</v>
      </c>
      <c r="E862" s="1089" t="s">
        <v>5308</v>
      </c>
      <c r="F862" s="1081">
        <f t="shared" si="1"/>
        <v>0</v>
      </c>
      <c r="G862" s="1083">
        <f t="shared" si="2"/>
        <v>64.34</v>
      </c>
      <c r="H862" s="1084"/>
    </row>
    <row r="863" ht="14.25" customHeight="1">
      <c r="A863" s="1085">
        <v>43430.0</v>
      </c>
      <c r="B863" s="1086" t="s">
        <v>6169</v>
      </c>
      <c r="C863" s="1087" t="s">
        <v>1788</v>
      </c>
      <c r="D863" s="1088">
        <v>106.89</v>
      </c>
      <c r="E863" s="1089" t="s">
        <v>5308</v>
      </c>
      <c r="F863" s="1081">
        <f t="shared" si="1"/>
        <v>0</v>
      </c>
      <c r="G863" s="1083">
        <f t="shared" si="2"/>
        <v>106.89</v>
      </c>
      <c r="H863" s="1084"/>
    </row>
    <row r="864" ht="14.25" customHeight="1">
      <c r="A864" s="1085">
        <v>43431.0</v>
      </c>
      <c r="B864" s="1086" t="s">
        <v>6170</v>
      </c>
      <c r="C864" s="1087" t="s">
        <v>1788</v>
      </c>
      <c r="D864" s="1088">
        <v>207.05</v>
      </c>
      <c r="E864" s="1089" t="s">
        <v>5308</v>
      </c>
      <c r="F864" s="1081">
        <f t="shared" si="1"/>
        <v>0</v>
      </c>
      <c r="G864" s="1083">
        <f t="shared" si="2"/>
        <v>207.05</v>
      </c>
      <c r="H864" s="1084"/>
    </row>
    <row r="865" ht="14.25" customHeight="1">
      <c r="A865" s="1085">
        <v>43432.0</v>
      </c>
      <c r="B865" s="1086" t="s">
        <v>6171</v>
      </c>
      <c r="C865" s="1087" t="s">
        <v>1788</v>
      </c>
      <c r="D865" s="1088">
        <v>430.25</v>
      </c>
      <c r="E865" s="1089" t="s">
        <v>5308</v>
      </c>
      <c r="F865" s="1081">
        <f t="shared" si="1"/>
        <v>0</v>
      </c>
      <c r="G865" s="1083">
        <f t="shared" si="2"/>
        <v>430.25</v>
      </c>
      <c r="H865" s="1084"/>
    </row>
    <row r="866" ht="14.25" customHeight="1">
      <c r="A866" s="1085">
        <v>43433.0</v>
      </c>
      <c r="B866" s="1086" t="s">
        <v>6172</v>
      </c>
      <c r="C866" s="1087" t="s">
        <v>1788</v>
      </c>
      <c r="D866" s="1088">
        <v>678.31</v>
      </c>
      <c r="E866" s="1089" t="s">
        <v>5308</v>
      </c>
      <c r="F866" s="1081">
        <f t="shared" si="1"/>
        <v>0</v>
      </c>
      <c r="G866" s="1083">
        <f t="shared" si="2"/>
        <v>678.31</v>
      </c>
      <c r="H866" s="1084"/>
    </row>
    <row r="867" ht="14.25" customHeight="1">
      <c r="A867" s="1085">
        <v>43094.0</v>
      </c>
      <c r="B867" s="1086" t="s">
        <v>6173</v>
      </c>
      <c r="C867" s="1087" t="s">
        <v>1788</v>
      </c>
      <c r="D867" s="1088">
        <v>311.87</v>
      </c>
      <c r="E867" s="1089" t="s">
        <v>5308</v>
      </c>
      <c r="F867" s="1081">
        <f t="shared" si="1"/>
        <v>0</v>
      </c>
      <c r="G867" s="1083">
        <f t="shared" si="2"/>
        <v>311.87</v>
      </c>
      <c r="H867" s="1084"/>
    </row>
    <row r="868" ht="14.25" customHeight="1">
      <c r="A868" s="1085">
        <v>43093.0</v>
      </c>
      <c r="B868" s="1086" t="s">
        <v>6174</v>
      </c>
      <c r="C868" s="1087" t="s">
        <v>1788</v>
      </c>
      <c r="D868" s="1088">
        <v>331.42</v>
      </c>
      <c r="E868" s="1089" t="s">
        <v>5308</v>
      </c>
      <c r="F868" s="1081">
        <f t="shared" si="1"/>
        <v>0</v>
      </c>
      <c r="G868" s="1083">
        <f t="shared" si="2"/>
        <v>331.42</v>
      </c>
      <c r="H868" s="1084"/>
    </row>
    <row r="869" ht="14.25" customHeight="1">
      <c r="A869" s="1085">
        <v>1030.0</v>
      </c>
      <c r="B869" s="1086" t="s">
        <v>6175</v>
      </c>
      <c r="C869" s="1087" t="s">
        <v>1788</v>
      </c>
      <c r="D869" s="1088">
        <v>49.34</v>
      </c>
      <c r="E869" s="1089" t="s">
        <v>5308</v>
      </c>
      <c r="F869" s="1081">
        <f t="shared" si="1"/>
        <v>0</v>
      </c>
      <c r="G869" s="1083">
        <f t="shared" si="2"/>
        <v>49.34</v>
      </c>
      <c r="H869" s="1084"/>
    </row>
    <row r="870" ht="14.25" customHeight="1">
      <c r="A870" s="1085">
        <v>11694.0</v>
      </c>
      <c r="B870" s="1086" t="s">
        <v>6176</v>
      </c>
      <c r="C870" s="1087" t="s">
        <v>1788</v>
      </c>
      <c r="D870" s="1088">
        <v>1090.67</v>
      </c>
      <c r="E870" s="1089" t="s">
        <v>5308</v>
      </c>
      <c r="F870" s="1081">
        <f t="shared" si="1"/>
        <v>0</v>
      </c>
      <c r="G870" s="1083">
        <f t="shared" si="2"/>
        <v>1090.67</v>
      </c>
      <c r="H870" s="1084"/>
    </row>
    <row r="871" ht="14.25" customHeight="1">
      <c r="A871" s="1085">
        <v>11881.0</v>
      </c>
      <c r="B871" s="1086" t="s">
        <v>6177</v>
      </c>
      <c r="C871" s="1087" t="s">
        <v>1788</v>
      </c>
      <c r="D871" s="1088">
        <v>114.28</v>
      </c>
      <c r="E871" s="1089" t="s">
        <v>5308</v>
      </c>
      <c r="F871" s="1081">
        <f t="shared" si="1"/>
        <v>0</v>
      </c>
      <c r="G871" s="1083">
        <f t="shared" si="2"/>
        <v>114.28</v>
      </c>
      <c r="H871" s="1084"/>
    </row>
    <row r="872" ht="14.25" customHeight="1">
      <c r="A872" s="1085">
        <v>35277.0</v>
      </c>
      <c r="B872" s="1086" t="s">
        <v>6178</v>
      </c>
      <c r="C872" s="1087" t="s">
        <v>1788</v>
      </c>
      <c r="D872" s="1088">
        <v>368.5</v>
      </c>
      <c r="E872" s="1089" t="s">
        <v>5308</v>
      </c>
      <c r="F872" s="1081">
        <f t="shared" si="1"/>
        <v>0</v>
      </c>
      <c r="G872" s="1083">
        <f t="shared" si="2"/>
        <v>368.5</v>
      </c>
      <c r="H872" s="1084"/>
    </row>
    <row r="873" ht="14.25" customHeight="1">
      <c r="A873" s="1085">
        <v>10521.0</v>
      </c>
      <c r="B873" s="1086" t="s">
        <v>6179</v>
      </c>
      <c r="C873" s="1087" t="s">
        <v>1788</v>
      </c>
      <c r="D873" s="1088">
        <v>353.18</v>
      </c>
      <c r="E873" s="1089" t="s">
        <v>5308</v>
      </c>
      <c r="F873" s="1081">
        <f t="shared" si="1"/>
        <v>0</v>
      </c>
      <c r="G873" s="1083">
        <f t="shared" si="2"/>
        <v>353.18</v>
      </c>
      <c r="H873" s="1084"/>
    </row>
    <row r="874" ht="14.25" customHeight="1">
      <c r="A874" s="1085">
        <v>10885.0</v>
      </c>
      <c r="B874" s="1086" t="s">
        <v>6180</v>
      </c>
      <c r="C874" s="1087" t="s">
        <v>1788</v>
      </c>
      <c r="D874" s="1088">
        <v>446.73</v>
      </c>
      <c r="E874" s="1089" t="s">
        <v>5308</v>
      </c>
      <c r="F874" s="1081">
        <f t="shared" si="1"/>
        <v>0</v>
      </c>
      <c r="G874" s="1083">
        <f t="shared" si="2"/>
        <v>446.73</v>
      </c>
      <c r="H874" s="1084"/>
    </row>
    <row r="875" ht="14.25" customHeight="1">
      <c r="A875" s="1085">
        <v>20962.0</v>
      </c>
      <c r="B875" s="1086" t="s">
        <v>6181</v>
      </c>
      <c r="C875" s="1087" t="s">
        <v>1788</v>
      </c>
      <c r="D875" s="1088">
        <v>370.0</v>
      </c>
      <c r="E875" s="1089" t="s">
        <v>5308</v>
      </c>
      <c r="F875" s="1081">
        <f t="shared" si="1"/>
        <v>0</v>
      </c>
      <c r="G875" s="1083">
        <f t="shared" si="2"/>
        <v>370</v>
      </c>
      <c r="H875" s="1084"/>
    </row>
    <row r="876" ht="14.25" customHeight="1">
      <c r="A876" s="1085">
        <v>20963.0</v>
      </c>
      <c r="B876" s="1086" t="s">
        <v>6182</v>
      </c>
      <c r="C876" s="1087" t="s">
        <v>1788</v>
      </c>
      <c r="D876" s="1088">
        <v>451.98</v>
      </c>
      <c r="E876" s="1089" t="s">
        <v>5308</v>
      </c>
      <c r="F876" s="1081">
        <f t="shared" si="1"/>
        <v>0</v>
      </c>
      <c r="G876" s="1083">
        <f t="shared" si="2"/>
        <v>451.98</v>
      </c>
      <c r="H876" s="1084"/>
    </row>
    <row r="877" ht="14.25" customHeight="1">
      <c r="A877" s="1085">
        <v>34643.0</v>
      </c>
      <c r="B877" s="1086" t="s">
        <v>6183</v>
      </c>
      <c r="C877" s="1087" t="s">
        <v>1788</v>
      </c>
      <c r="D877" s="1088">
        <v>42.44</v>
      </c>
      <c r="E877" s="1089" t="s">
        <v>5308</v>
      </c>
      <c r="F877" s="1081">
        <f t="shared" si="1"/>
        <v>0</v>
      </c>
      <c r="G877" s="1083">
        <f t="shared" si="2"/>
        <v>42.44</v>
      </c>
      <c r="H877" s="1084"/>
    </row>
    <row r="878" ht="14.25" customHeight="1">
      <c r="A878" s="1085">
        <v>41480.0</v>
      </c>
      <c r="B878" s="1086" t="s">
        <v>6184</v>
      </c>
      <c r="C878" s="1087" t="s">
        <v>1788</v>
      </c>
      <c r="D878" s="1088">
        <v>49.2</v>
      </c>
      <c r="E878" s="1089" t="s">
        <v>5308</v>
      </c>
      <c r="F878" s="1081">
        <f t="shared" si="1"/>
        <v>0</v>
      </c>
      <c r="G878" s="1083">
        <f t="shared" si="2"/>
        <v>49.2</v>
      </c>
      <c r="H878" s="1084"/>
    </row>
    <row r="879" ht="14.25" customHeight="1">
      <c r="A879" s="1085">
        <v>41474.0</v>
      </c>
      <c r="B879" s="1086" t="s">
        <v>6185</v>
      </c>
      <c r="C879" s="1087" t="s">
        <v>1788</v>
      </c>
      <c r="D879" s="1088">
        <v>78.6</v>
      </c>
      <c r="E879" s="1089" t="s">
        <v>5308</v>
      </c>
      <c r="F879" s="1081">
        <f t="shared" si="1"/>
        <v>0</v>
      </c>
      <c r="G879" s="1083">
        <f t="shared" si="2"/>
        <v>78.6</v>
      </c>
      <c r="H879" s="1084"/>
    </row>
    <row r="880" ht="14.25" customHeight="1">
      <c r="A880" s="1085">
        <v>41475.0</v>
      </c>
      <c r="B880" s="1086" t="s">
        <v>6186</v>
      </c>
      <c r="C880" s="1087" t="s">
        <v>1788</v>
      </c>
      <c r="D880" s="1088">
        <v>67.07</v>
      </c>
      <c r="E880" s="1089" t="s">
        <v>5308</v>
      </c>
      <c r="F880" s="1081">
        <f t="shared" si="1"/>
        <v>0</v>
      </c>
      <c r="G880" s="1083">
        <f t="shared" si="2"/>
        <v>67.07</v>
      </c>
      <c r="H880" s="1084"/>
    </row>
    <row r="881" ht="14.25" customHeight="1">
      <c r="A881" s="1085">
        <v>41476.0</v>
      </c>
      <c r="B881" s="1086" t="s">
        <v>6187</v>
      </c>
      <c r="C881" s="1087" t="s">
        <v>1788</v>
      </c>
      <c r="D881" s="1088">
        <v>146.85</v>
      </c>
      <c r="E881" s="1089" t="s">
        <v>5308</v>
      </c>
      <c r="F881" s="1081">
        <f t="shared" si="1"/>
        <v>0</v>
      </c>
      <c r="G881" s="1083">
        <f t="shared" si="2"/>
        <v>146.85</v>
      </c>
      <c r="H881" s="1084"/>
    </row>
    <row r="882" ht="14.25" customHeight="1">
      <c r="A882" s="1085">
        <v>2555.0</v>
      </c>
      <c r="B882" s="1086" t="s">
        <v>6188</v>
      </c>
      <c r="C882" s="1087" t="s">
        <v>1788</v>
      </c>
      <c r="D882" s="1088">
        <v>1.48</v>
      </c>
      <c r="E882" s="1089" t="s">
        <v>5308</v>
      </c>
      <c r="F882" s="1081">
        <f t="shared" si="1"/>
        <v>0</v>
      </c>
      <c r="G882" s="1083">
        <f t="shared" si="2"/>
        <v>1.48</v>
      </c>
      <c r="H882" s="1084"/>
    </row>
    <row r="883" ht="14.25" customHeight="1">
      <c r="A883" s="1085">
        <v>2556.0</v>
      </c>
      <c r="B883" s="1086" t="s">
        <v>6189</v>
      </c>
      <c r="C883" s="1087" t="s">
        <v>1788</v>
      </c>
      <c r="D883" s="1088">
        <v>1.53</v>
      </c>
      <c r="E883" s="1089" t="s">
        <v>5308</v>
      </c>
      <c r="F883" s="1081">
        <f t="shared" si="1"/>
        <v>0</v>
      </c>
      <c r="G883" s="1083">
        <f t="shared" si="2"/>
        <v>1.53</v>
      </c>
      <c r="H883" s="1084"/>
    </row>
    <row r="884" ht="14.25" customHeight="1">
      <c r="A884" s="1085">
        <v>2557.0</v>
      </c>
      <c r="B884" s="1086" t="s">
        <v>6190</v>
      </c>
      <c r="C884" s="1087" t="s">
        <v>1788</v>
      </c>
      <c r="D884" s="1088">
        <v>3.24</v>
      </c>
      <c r="E884" s="1089" t="s">
        <v>5308</v>
      </c>
      <c r="F884" s="1081">
        <f t="shared" si="1"/>
        <v>0</v>
      </c>
      <c r="G884" s="1083">
        <f t="shared" si="2"/>
        <v>3.24</v>
      </c>
      <c r="H884" s="1084"/>
    </row>
    <row r="885" ht="14.25" customHeight="1">
      <c r="A885" s="1085">
        <v>10569.0</v>
      </c>
      <c r="B885" s="1086" t="s">
        <v>6191</v>
      </c>
      <c r="C885" s="1087" t="s">
        <v>1788</v>
      </c>
      <c r="D885" s="1088">
        <v>3.24</v>
      </c>
      <c r="E885" s="1089" t="s">
        <v>5308</v>
      </c>
      <c r="F885" s="1081">
        <f t="shared" si="1"/>
        <v>0</v>
      </c>
      <c r="G885" s="1083">
        <f t="shared" si="2"/>
        <v>3.24</v>
      </c>
      <c r="H885" s="1084"/>
    </row>
    <row r="886" ht="14.25" customHeight="1">
      <c r="A886" s="1085">
        <v>39810.0</v>
      </c>
      <c r="B886" s="1086" t="s">
        <v>6192</v>
      </c>
      <c r="C886" s="1087" t="s">
        <v>1788</v>
      </c>
      <c r="D886" s="1088">
        <v>42.09</v>
      </c>
      <c r="E886" s="1089" t="s">
        <v>5308</v>
      </c>
      <c r="F886" s="1081">
        <f t="shared" si="1"/>
        <v>0</v>
      </c>
      <c r="G886" s="1083">
        <f t="shared" si="2"/>
        <v>42.09</v>
      </c>
      <c r="H886" s="1084"/>
    </row>
    <row r="887" ht="14.25" customHeight="1">
      <c r="A887" s="1085">
        <v>39811.0</v>
      </c>
      <c r="B887" s="1086" t="s">
        <v>6193</v>
      </c>
      <c r="C887" s="1087" t="s">
        <v>1788</v>
      </c>
      <c r="D887" s="1088">
        <v>51.48</v>
      </c>
      <c r="E887" s="1089" t="s">
        <v>5308</v>
      </c>
      <c r="F887" s="1081">
        <f t="shared" si="1"/>
        <v>0</v>
      </c>
      <c r="G887" s="1083">
        <f t="shared" si="2"/>
        <v>51.48</v>
      </c>
      <c r="H887" s="1084"/>
    </row>
    <row r="888" ht="14.25" customHeight="1">
      <c r="A888" s="1085">
        <v>39812.0</v>
      </c>
      <c r="B888" s="1086" t="s">
        <v>6194</v>
      </c>
      <c r="C888" s="1087" t="s">
        <v>1788</v>
      </c>
      <c r="D888" s="1088">
        <v>84.65</v>
      </c>
      <c r="E888" s="1089" t="s">
        <v>5308</v>
      </c>
      <c r="F888" s="1081">
        <f t="shared" si="1"/>
        <v>0</v>
      </c>
      <c r="G888" s="1083">
        <f t="shared" si="2"/>
        <v>84.65</v>
      </c>
      <c r="H888" s="1084"/>
    </row>
    <row r="889" ht="14.25" customHeight="1">
      <c r="A889" s="1085">
        <v>43096.0</v>
      </c>
      <c r="B889" s="1086" t="s">
        <v>6195</v>
      </c>
      <c r="C889" s="1087" t="s">
        <v>1788</v>
      </c>
      <c r="D889" s="1088">
        <v>280.58</v>
      </c>
      <c r="E889" s="1089" t="s">
        <v>5308</v>
      </c>
      <c r="F889" s="1081">
        <f t="shared" si="1"/>
        <v>0</v>
      </c>
      <c r="G889" s="1083">
        <f t="shared" si="2"/>
        <v>280.58</v>
      </c>
      <c r="H889" s="1084"/>
    </row>
    <row r="890" ht="14.25" customHeight="1">
      <c r="A890" s="1085">
        <v>43102.0</v>
      </c>
      <c r="B890" s="1086" t="s">
        <v>6196</v>
      </c>
      <c r="C890" s="1087" t="s">
        <v>1788</v>
      </c>
      <c r="D890" s="1088">
        <v>170.61</v>
      </c>
      <c r="E890" s="1089" t="s">
        <v>5308</v>
      </c>
      <c r="F890" s="1081">
        <f t="shared" si="1"/>
        <v>0</v>
      </c>
      <c r="G890" s="1083">
        <f t="shared" si="2"/>
        <v>170.61</v>
      </c>
      <c r="H890" s="1084"/>
    </row>
    <row r="891" ht="14.25" customHeight="1">
      <c r="A891" s="1085">
        <v>43103.0</v>
      </c>
      <c r="B891" s="1086" t="s">
        <v>6197</v>
      </c>
      <c r="C891" s="1087" t="s">
        <v>1788</v>
      </c>
      <c r="D891" s="1088">
        <v>251.22</v>
      </c>
      <c r="E891" s="1089" t="s">
        <v>5308</v>
      </c>
      <c r="F891" s="1081">
        <f t="shared" si="1"/>
        <v>0</v>
      </c>
      <c r="G891" s="1083">
        <f t="shared" si="2"/>
        <v>251.22</v>
      </c>
      <c r="H891" s="1084"/>
    </row>
    <row r="892" ht="14.25" customHeight="1">
      <c r="A892" s="1085">
        <v>43098.0</v>
      </c>
      <c r="B892" s="1086" t="s">
        <v>6198</v>
      </c>
      <c r="C892" s="1087" t="s">
        <v>1788</v>
      </c>
      <c r="D892" s="1088">
        <v>95.04</v>
      </c>
      <c r="E892" s="1089" t="s">
        <v>5308</v>
      </c>
      <c r="F892" s="1081">
        <f t="shared" si="1"/>
        <v>0</v>
      </c>
      <c r="G892" s="1083">
        <f t="shared" si="2"/>
        <v>95.04</v>
      </c>
      <c r="H892" s="1084"/>
    </row>
    <row r="893" ht="14.25" customHeight="1">
      <c r="A893" s="1085">
        <v>43097.0</v>
      </c>
      <c r="B893" s="1086" t="s">
        <v>6199</v>
      </c>
      <c r="C893" s="1087" t="s">
        <v>1788</v>
      </c>
      <c r="D893" s="1088">
        <v>56.31</v>
      </c>
      <c r="E893" s="1089" t="s">
        <v>5308</v>
      </c>
      <c r="F893" s="1081">
        <f t="shared" si="1"/>
        <v>0</v>
      </c>
      <c r="G893" s="1083">
        <f t="shared" si="2"/>
        <v>56.31</v>
      </c>
      <c r="H893" s="1084"/>
    </row>
    <row r="894" ht="14.25" customHeight="1">
      <c r="A894" s="1085">
        <v>43104.0</v>
      </c>
      <c r="B894" s="1086" t="s">
        <v>6200</v>
      </c>
      <c r="C894" s="1087" t="s">
        <v>1788</v>
      </c>
      <c r="D894" s="1088">
        <v>666.06</v>
      </c>
      <c r="E894" s="1089" t="s">
        <v>5308</v>
      </c>
      <c r="F894" s="1081">
        <f t="shared" si="1"/>
        <v>0</v>
      </c>
      <c r="G894" s="1083">
        <f t="shared" si="2"/>
        <v>666.06</v>
      </c>
      <c r="H894" s="1084"/>
    </row>
    <row r="895" ht="14.25" customHeight="1">
      <c r="A895" s="1085">
        <v>39771.0</v>
      </c>
      <c r="B895" s="1086" t="s">
        <v>6201</v>
      </c>
      <c r="C895" s="1087" t="s">
        <v>1788</v>
      </c>
      <c r="D895" s="1088">
        <v>31.13</v>
      </c>
      <c r="E895" s="1089" t="s">
        <v>5308</v>
      </c>
      <c r="F895" s="1081">
        <f t="shared" si="1"/>
        <v>0</v>
      </c>
      <c r="G895" s="1083">
        <f t="shared" si="2"/>
        <v>31.13</v>
      </c>
      <c r="H895" s="1084"/>
    </row>
    <row r="896" ht="14.25" customHeight="1">
      <c r="A896" s="1085">
        <v>39772.0</v>
      </c>
      <c r="B896" s="1086" t="s">
        <v>6202</v>
      </c>
      <c r="C896" s="1087" t="s">
        <v>1788</v>
      </c>
      <c r="D896" s="1088">
        <v>61.2</v>
      </c>
      <c r="E896" s="1089" t="s">
        <v>5308</v>
      </c>
      <c r="F896" s="1081">
        <f t="shared" si="1"/>
        <v>0</v>
      </c>
      <c r="G896" s="1083">
        <f t="shared" si="2"/>
        <v>61.2</v>
      </c>
      <c r="H896" s="1084"/>
    </row>
    <row r="897" ht="14.25" customHeight="1">
      <c r="A897" s="1085">
        <v>39773.0</v>
      </c>
      <c r="B897" s="1086" t="s">
        <v>6203</v>
      </c>
      <c r="C897" s="1087" t="s">
        <v>1788</v>
      </c>
      <c r="D897" s="1088">
        <v>98.36</v>
      </c>
      <c r="E897" s="1089" t="s">
        <v>5308</v>
      </c>
      <c r="F897" s="1081">
        <f t="shared" si="1"/>
        <v>0</v>
      </c>
      <c r="G897" s="1083">
        <f t="shared" si="2"/>
        <v>98.36</v>
      </c>
      <c r="H897" s="1084"/>
    </row>
    <row r="898" ht="14.25" customHeight="1">
      <c r="A898" s="1085">
        <v>39774.0</v>
      </c>
      <c r="B898" s="1086" t="s">
        <v>6204</v>
      </c>
      <c r="C898" s="1087" t="s">
        <v>1788</v>
      </c>
      <c r="D898" s="1088">
        <v>147.13</v>
      </c>
      <c r="E898" s="1089" t="s">
        <v>5308</v>
      </c>
      <c r="F898" s="1081">
        <f t="shared" si="1"/>
        <v>0</v>
      </c>
      <c r="G898" s="1083">
        <f t="shared" si="2"/>
        <v>147.13</v>
      </c>
      <c r="H898" s="1084"/>
    </row>
    <row r="899" ht="14.25" customHeight="1">
      <c r="A899" s="1085">
        <v>39775.0</v>
      </c>
      <c r="B899" s="1086" t="s">
        <v>6205</v>
      </c>
      <c r="C899" s="1087" t="s">
        <v>1788</v>
      </c>
      <c r="D899" s="1088">
        <v>196.36</v>
      </c>
      <c r="E899" s="1089" t="s">
        <v>5308</v>
      </c>
      <c r="F899" s="1081">
        <f t="shared" si="1"/>
        <v>0</v>
      </c>
      <c r="G899" s="1083">
        <f t="shared" si="2"/>
        <v>196.36</v>
      </c>
      <c r="H899" s="1084"/>
    </row>
    <row r="900" ht="14.25" customHeight="1">
      <c r="A900" s="1085">
        <v>39776.0</v>
      </c>
      <c r="B900" s="1086" t="s">
        <v>6206</v>
      </c>
      <c r="C900" s="1087" t="s">
        <v>1788</v>
      </c>
      <c r="D900" s="1088">
        <v>237.3</v>
      </c>
      <c r="E900" s="1089" t="s">
        <v>5308</v>
      </c>
      <c r="F900" s="1081">
        <f t="shared" si="1"/>
        <v>0</v>
      </c>
      <c r="G900" s="1083">
        <f t="shared" si="2"/>
        <v>237.3</v>
      </c>
      <c r="H900" s="1084"/>
    </row>
    <row r="901" ht="14.25" customHeight="1">
      <c r="A901" s="1085">
        <v>39777.0</v>
      </c>
      <c r="B901" s="1086" t="s">
        <v>6207</v>
      </c>
      <c r="C901" s="1087" t="s">
        <v>1788</v>
      </c>
      <c r="D901" s="1088">
        <v>300.78</v>
      </c>
      <c r="E901" s="1089" t="s">
        <v>5308</v>
      </c>
      <c r="F901" s="1081">
        <f t="shared" si="1"/>
        <v>0</v>
      </c>
      <c r="G901" s="1083">
        <f t="shared" si="2"/>
        <v>300.78</v>
      </c>
      <c r="H901" s="1084"/>
    </row>
    <row r="902" ht="14.25" customHeight="1">
      <c r="A902" s="1085">
        <v>20254.0</v>
      </c>
      <c r="B902" s="1086" t="s">
        <v>6208</v>
      </c>
      <c r="C902" s="1087" t="s">
        <v>1788</v>
      </c>
      <c r="D902" s="1088">
        <v>21.83</v>
      </c>
      <c r="E902" s="1089" t="s">
        <v>5308</v>
      </c>
      <c r="F902" s="1081">
        <f t="shared" si="1"/>
        <v>0</v>
      </c>
      <c r="G902" s="1083">
        <f t="shared" si="2"/>
        <v>21.83</v>
      </c>
      <c r="H902" s="1084"/>
    </row>
    <row r="903" ht="14.25" customHeight="1">
      <c r="A903" s="1085">
        <v>20253.0</v>
      </c>
      <c r="B903" s="1086" t="s">
        <v>6209</v>
      </c>
      <c r="C903" s="1087" t="s">
        <v>1788</v>
      </c>
      <c r="D903" s="1088">
        <v>71.69</v>
      </c>
      <c r="E903" s="1089" t="s">
        <v>5308</v>
      </c>
      <c r="F903" s="1081">
        <f t="shared" si="1"/>
        <v>0</v>
      </c>
      <c r="G903" s="1083">
        <f t="shared" si="2"/>
        <v>71.69</v>
      </c>
      <c r="H903" s="1084"/>
    </row>
    <row r="904" ht="14.25" customHeight="1">
      <c r="A904" s="1085">
        <v>11247.0</v>
      </c>
      <c r="B904" s="1086" t="s">
        <v>6210</v>
      </c>
      <c r="C904" s="1087" t="s">
        <v>1788</v>
      </c>
      <c r="D904" s="1088">
        <v>1378.46</v>
      </c>
      <c r="E904" s="1089" t="s">
        <v>5308</v>
      </c>
      <c r="F904" s="1081">
        <f t="shared" si="1"/>
        <v>0</v>
      </c>
      <c r="G904" s="1083">
        <f t="shared" si="2"/>
        <v>1378.46</v>
      </c>
      <c r="H904" s="1084"/>
    </row>
    <row r="905" ht="14.25" customHeight="1">
      <c r="A905" s="1085">
        <v>11250.0</v>
      </c>
      <c r="B905" s="1086" t="s">
        <v>6211</v>
      </c>
      <c r="C905" s="1087" t="s">
        <v>1788</v>
      </c>
      <c r="D905" s="1088">
        <v>59.34</v>
      </c>
      <c r="E905" s="1089" t="s">
        <v>5308</v>
      </c>
      <c r="F905" s="1081">
        <f t="shared" si="1"/>
        <v>0</v>
      </c>
      <c r="G905" s="1083">
        <f t="shared" si="2"/>
        <v>59.34</v>
      </c>
      <c r="H905" s="1084"/>
    </row>
    <row r="906" ht="14.25" customHeight="1">
      <c r="A906" s="1085">
        <v>11249.0</v>
      </c>
      <c r="B906" s="1086" t="s">
        <v>6212</v>
      </c>
      <c r="C906" s="1087" t="s">
        <v>1788</v>
      </c>
      <c r="D906" s="1088">
        <v>2692.62</v>
      </c>
      <c r="E906" s="1089" t="s">
        <v>5308</v>
      </c>
      <c r="F906" s="1081">
        <f t="shared" si="1"/>
        <v>0</v>
      </c>
      <c r="G906" s="1083">
        <f t="shared" si="2"/>
        <v>2692.62</v>
      </c>
      <c r="H906" s="1084"/>
    </row>
    <row r="907" ht="14.25" customHeight="1">
      <c r="A907" s="1085">
        <v>11251.0</v>
      </c>
      <c r="B907" s="1086" t="s">
        <v>6213</v>
      </c>
      <c r="C907" s="1087" t="s">
        <v>1788</v>
      </c>
      <c r="D907" s="1088">
        <v>131.45</v>
      </c>
      <c r="E907" s="1089" t="s">
        <v>5308</v>
      </c>
      <c r="F907" s="1081">
        <f t="shared" si="1"/>
        <v>0</v>
      </c>
      <c r="G907" s="1083">
        <f t="shared" si="2"/>
        <v>131.45</v>
      </c>
      <c r="H907" s="1084"/>
    </row>
    <row r="908" ht="14.25" customHeight="1">
      <c r="A908" s="1085">
        <v>11253.0</v>
      </c>
      <c r="B908" s="1086" t="s">
        <v>6214</v>
      </c>
      <c r="C908" s="1087" t="s">
        <v>1788</v>
      </c>
      <c r="D908" s="1088">
        <v>217.83</v>
      </c>
      <c r="E908" s="1089" t="s">
        <v>5308</v>
      </c>
      <c r="F908" s="1081">
        <f t="shared" si="1"/>
        <v>0</v>
      </c>
      <c r="G908" s="1083">
        <f t="shared" si="2"/>
        <v>217.83</v>
      </c>
      <c r="H908" s="1084"/>
    </row>
    <row r="909" ht="14.25" customHeight="1">
      <c r="A909" s="1085">
        <v>11255.0</v>
      </c>
      <c r="B909" s="1086" t="s">
        <v>6215</v>
      </c>
      <c r="C909" s="1087" t="s">
        <v>1788</v>
      </c>
      <c r="D909" s="1088">
        <v>325.65</v>
      </c>
      <c r="E909" s="1089" t="s">
        <v>5308</v>
      </c>
      <c r="F909" s="1081">
        <f t="shared" si="1"/>
        <v>0</v>
      </c>
      <c r="G909" s="1083">
        <f t="shared" si="2"/>
        <v>325.65</v>
      </c>
      <c r="H909" s="1084"/>
    </row>
    <row r="910" ht="14.25" customHeight="1">
      <c r="A910" s="1085">
        <v>14055.0</v>
      </c>
      <c r="B910" s="1086" t="s">
        <v>6216</v>
      </c>
      <c r="C910" s="1087" t="s">
        <v>1788</v>
      </c>
      <c r="D910" s="1088">
        <v>655.09</v>
      </c>
      <c r="E910" s="1089" t="s">
        <v>5308</v>
      </c>
      <c r="F910" s="1081">
        <f t="shared" si="1"/>
        <v>0</v>
      </c>
      <c r="G910" s="1083">
        <f t="shared" si="2"/>
        <v>655.09</v>
      </c>
      <c r="H910" s="1084"/>
    </row>
    <row r="911" ht="14.25" customHeight="1">
      <c r="A911" s="1085">
        <v>11256.0</v>
      </c>
      <c r="B911" s="1086" t="s">
        <v>6217</v>
      </c>
      <c r="C911" s="1087" t="s">
        <v>1788</v>
      </c>
      <c r="D911" s="1088">
        <v>407.91</v>
      </c>
      <c r="E911" s="1089" t="s">
        <v>5308</v>
      </c>
      <c r="F911" s="1081">
        <f t="shared" si="1"/>
        <v>0</v>
      </c>
      <c r="G911" s="1083">
        <f t="shared" si="2"/>
        <v>407.91</v>
      </c>
      <c r="H911" s="1084"/>
    </row>
    <row r="912" ht="14.25" customHeight="1">
      <c r="A912" s="1085">
        <v>1872.0</v>
      </c>
      <c r="B912" s="1086" t="s">
        <v>6218</v>
      </c>
      <c r="C912" s="1087" t="s">
        <v>1788</v>
      </c>
      <c r="D912" s="1088">
        <v>3.34</v>
      </c>
      <c r="E912" s="1089" t="s">
        <v>5308</v>
      </c>
      <c r="F912" s="1081">
        <f t="shared" si="1"/>
        <v>0</v>
      </c>
      <c r="G912" s="1083">
        <f t="shared" si="2"/>
        <v>3.34</v>
      </c>
      <c r="H912" s="1084"/>
    </row>
    <row r="913" ht="14.25" customHeight="1">
      <c r="A913" s="1085">
        <v>1873.0</v>
      </c>
      <c r="B913" s="1086" t="s">
        <v>6219</v>
      </c>
      <c r="C913" s="1087" t="s">
        <v>1788</v>
      </c>
      <c r="D913" s="1088">
        <v>6.64</v>
      </c>
      <c r="E913" s="1089" t="s">
        <v>5308</v>
      </c>
      <c r="F913" s="1081">
        <f t="shared" si="1"/>
        <v>0</v>
      </c>
      <c r="G913" s="1083">
        <f t="shared" si="2"/>
        <v>6.64</v>
      </c>
      <c r="H913" s="1084"/>
    </row>
    <row r="914" ht="14.25" customHeight="1">
      <c r="A914" s="1085">
        <v>39693.0</v>
      </c>
      <c r="B914" s="1086" t="s">
        <v>6220</v>
      </c>
      <c r="C914" s="1087" t="s">
        <v>1788</v>
      </c>
      <c r="D914" s="1088">
        <v>2561.87</v>
      </c>
      <c r="E914" s="1089" t="s">
        <v>5308</v>
      </c>
      <c r="F914" s="1081">
        <f t="shared" si="1"/>
        <v>0</v>
      </c>
      <c r="G914" s="1083">
        <f t="shared" si="2"/>
        <v>2561.87</v>
      </c>
      <c r="H914" s="1084"/>
    </row>
    <row r="915" ht="14.25" customHeight="1">
      <c r="A915" s="1085">
        <v>39692.0</v>
      </c>
      <c r="B915" s="1086" t="s">
        <v>6221</v>
      </c>
      <c r="C915" s="1087" t="s">
        <v>1788</v>
      </c>
      <c r="D915" s="1088">
        <v>819.74</v>
      </c>
      <c r="E915" s="1089" t="s">
        <v>5308</v>
      </c>
      <c r="F915" s="1081">
        <f t="shared" si="1"/>
        <v>0</v>
      </c>
      <c r="G915" s="1083">
        <f t="shared" si="2"/>
        <v>819.74</v>
      </c>
      <c r="H915" s="1084"/>
    </row>
    <row r="916" ht="14.25" customHeight="1">
      <c r="A916" s="1085">
        <v>1062.0</v>
      </c>
      <c r="B916" s="1086" t="s">
        <v>6222</v>
      </c>
      <c r="C916" s="1087" t="s">
        <v>1788</v>
      </c>
      <c r="D916" s="1088">
        <v>259.79</v>
      </c>
      <c r="E916" s="1089" t="s">
        <v>5308</v>
      </c>
      <c r="F916" s="1081">
        <f t="shared" si="1"/>
        <v>0</v>
      </c>
      <c r="G916" s="1083">
        <f t="shared" si="2"/>
        <v>259.79</v>
      </c>
      <c r="H916" s="1084"/>
    </row>
    <row r="917" ht="14.25" customHeight="1">
      <c r="A917" s="1085">
        <v>39686.0</v>
      </c>
      <c r="B917" s="1086" t="s">
        <v>6223</v>
      </c>
      <c r="C917" s="1087" t="s">
        <v>1788</v>
      </c>
      <c r="D917" s="1088">
        <v>420.65</v>
      </c>
      <c r="E917" s="1089" t="s">
        <v>5308</v>
      </c>
      <c r="F917" s="1081">
        <f t="shared" si="1"/>
        <v>0</v>
      </c>
      <c r="G917" s="1083">
        <f t="shared" si="2"/>
        <v>420.65</v>
      </c>
      <c r="H917" s="1084"/>
    </row>
    <row r="918" ht="14.25" customHeight="1">
      <c r="A918" s="1085">
        <v>43095.0</v>
      </c>
      <c r="B918" s="1086" t="s">
        <v>6224</v>
      </c>
      <c r="C918" s="1087" t="s">
        <v>1788</v>
      </c>
      <c r="D918" s="1088">
        <v>184.89</v>
      </c>
      <c r="E918" s="1089" t="s">
        <v>5308</v>
      </c>
      <c r="F918" s="1081">
        <f t="shared" si="1"/>
        <v>0</v>
      </c>
      <c r="G918" s="1083">
        <f t="shared" si="2"/>
        <v>184.89</v>
      </c>
      <c r="H918" s="1084"/>
    </row>
    <row r="919" ht="14.25" customHeight="1">
      <c r="A919" s="1085">
        <v>1871.0</v>
      </c>
      <c r="B919" s="1086" t="s">
        <v>6225</v>
      </c>
      <c r="C919" s="1087" t="s">
        <v>1788</v>
      </c>
      <c r="D919" s="1088">
        <v>5.97</v>
      </c>
      <c r="E919" s="1089" t="s">
        <v>5308</v>
      </c>
      <c r="F919" s="1081">
        <f t="shared" si="1"/>
        <v>0</v>
      </c>
      <c r="G919" s="1083">
        <f t="shared" si="2"/>
        <v>5.97</v>
      </c>
      <c r="H919" s="1084"/>
    </row>
    <row r="920" ht="14.25" customHeight="1">
      <c r="A920" s="1085">
        <v>12001.0</v>
      </c>
      <c r="B920" s="1086" t="s">
        <v>6226</v>
      </c>
      <c r="C920" s="1087" t="s">
        <v>1788</v>
      </c>
      <c r="D920" s="1088">
        <v>8.63</v>
      </c>
      <c r="E920" s="1089" t="s">
        <v>5308</v>
      </c>
      <c r="F920" s="1081">
        <f t="shared" si="1"/>
        <v>0</v>
      </c>
      <c r="G920" s="1083">
        <f t="shared" si="2"/>
        <v>8.63</v>
      </c>
      <c r="H920" s="1084"/>
    </row>
    <row r="921" ht="14.25" customHeight="1">
      <c r="A921" s="1085">
        <v>11882.0</v>
      </c>
      <c r="B921" s="1086" t="s">
        <v>6227</v>
      </c>
      <c r="C921" s="1087" t="s">
        <v>1788</v>
      </c>
      <c r="D921" s="1088">
        <v>82.01</v>
      </c>
      <c r="E921" s="1089" t="s">
        <v>5308</v>
      </c>
      <c r="F921" s="1081">
        <f t="shared" si="1"/>
        <v>0</v>
      </c>
      <c r="G921" s="1083">
        <f t="shared" si="2"/>
        <v>82.01</v>
      </c>
      <c r="H921" s="1084"/>
    </row>
    <row r="922" ht="14.25" customHeight="1">
      <c r="A922" s="1085">
        <v>1068.0</v>
      </c>
      <c r="B922" s="1086" t="s">
        <v>6228</v>
      </c>
      <c r="C922" s="1087" t="s">
        <v>1788</v>
      </c>
      <c r="D922" s="1088">
        <v>1713.58</v>
      </c>
      <c r="E922" s="1089" t="s">
        <v>5308</v>
      </c>
      <c r="F922" s="1081">
        <f t="shared" si="1"/>
        <v>0</v>
      </c>
      <c r="G922" s="1083">
        <f t="shared" si="2"/>
        <v>1713.58</v>
      </c>
      <c r="H922" s="1084"/>
    </row>
    <row r="923" ht="14.25" customHeight="1">
      <c r="A923" s="1085">
        <v>39690.0</v>
      </c>
      <c r="B923" s="1086" t="s">
        <v>6229</v>
      </c>
      <c r="C923" s="1087" t="s">
        <v>1788</v>
      </c>
      <c r="D923" s="1088">
        <v>2874.82</v>
      </c>
      <c r="E923" s="1089" t="s">
        <v>5308</v>
      </c>
      <c r="F923" s="1081">
        <f t="shared" si="1"/>
        <v>0</v>
      </c>
      <c r="G923" s="1083">
        <f t="shared" si="2"/>
        <v>2874.82</v>
      </c>
      <c r="H923" s="1084"/>
    </row>
    <row r="924" ht="14.25" customHeight="1">
      <c r="A924" s="1085">
        <v>39691.0</v>
      </c>
      <c r="B924" s="1086" t="s">
        <v>6230</v>
      </c>
      <c r="C924" s="1087" t="s">
        <v>1788</v>
      </c>
      <c r="D924" s="1088">
        <v>3615.72</v>
      </c>
      <c r="E924" s="1089" t="s">
        <v>5308</v>
      </c>
      <c r="F924" s="1081">
        <f t="shared" si="1"/>
        <v>0</v>
      </c>
      <c r="G924" s="1083">
        <f t="shared" si="2"/>
        <v>3615.72</v>
      </c>
      <c r="H924" s="1084"/>
    </row>
    <row r="925" ht="14.25" customHeight="1">
      <c r="A925" s="1085">
        <v>39808.0</v>
      </c>
      <c r="B925" s="1086" t="s">
        <v>6231</v>
      </c>
      <c r="C925" s="1087" t="s">
        <v>1788</v>
      </c>
      <c r="D925" s="1088">
        <v>96.53</v>
      </c>
      <c r="E925" s="1089" t="s">
        <v>5308</v>
      </c>
      <c r="F925" s="1081">
        <f t="shared" si="1"/>
        <v>0</v>
      </c>
      <c r="G925" s="1083">
        <f t="shared" si="2"/>
        <v>96.53</v>
      </c>
      <c r="H925" s="1084"/>
    </row>
    <row r="926" ht="14.25" customHeight="1">
      <c r="A926" s="1085">
        <v>39809.0</v>
      </c>
      <c r="B926" s="1086" t="s">
        <v>6232</v>
      </c>
      <c r="C926" s="1087" t="s">
        <v>1788</v>
      </c>
      <c r="D926" s="1088">
        <v>228.95</v>
      </c>
      <c r="E926" s="1089" t="s">
        <v>5308</v>
      </c>
      <c r="F926" s="1081">
        <f t="shared" si="1"/>
        <v>0</v>
      </c>
      <c r="G926" s="1083">
        <f t="shared" si="2"/>
        <v>228.95</v>
      </c>
      <c r="H926" s="1084"/>
    </row>
    <row r="927" ht="14.25" customHeight="1">
      <c r="A927" s="1085">
        <v>43439.0</v>
      </c>
      <c r="B927" s="1086" t="s">
        <v>6233</v>
      </c>
      <c r="C927" s="1087" t="s">
        <v>1788</v>
      </c>
      <c r="D927" s="1088">
        <v>376.47</v>
      </c>
      <c r="E927" s="1089" t="s">
        <v>5308</v>
      </c>
      <c r="F927" s="1081">
        <f t="shared" si="1"/>
        <v>0</v>
      </c>
      <c r="G927" s="1083">
        <f t="shared" si="2"/>
        <v>376.47</v>
      </c>
      <c r="H927" s="1084"/>
    </row>
    <row r="928" ht="14.25" customHeight="1">
      <c r="A928" s="1085">
        <v>5103.0</v>
      </c>
      <c r="B928" s="1086" t="s">
        <v>6234</v>
      </c>
      <c r="C928" s="1087" t="s">
        <v>1788</v>
      </c>
      <c r="D928" s="1088">
        <v>23.33</v>
      </c>
      <c r="E928" s="1089" t="s">
        <v>5308</v>
      </c>
      <c r="F928" s="1081">
        <f t="shared" si="1"/>
        <v>0</v>
      </c>
      <c r="G928" s="1083">
        <f t="shared" si="2"/>
        <v>23.33</v>
      </c>
      <c r="H928" s="1084"/>
    </row>
    <row r="929" ht="14.25" customHeight="1">
      <c r="A929" s="1085">
        <v>11880.0</v>
      </c>
      <c r="B929" s="1086" t="s">
        <v>6235</v>
      </c>
      <c r="C929" s="1087" t="s">
        <v>1788</v>
      </c>
      <c r="D929" s="1088">
        <v>98.12</v>
      </c>
      <c r="E929" s="1089" t="s">
        <v>5308</v>
      </c>
      <c r="F929" s="1081">
        <f t="shared" si="1"/>
        <v>0</v>
      </c>
      <c r="G929" s="1083">
        <f t="shared" si="2"/>
        <v>98.12</v>
      </c>
      <c r="H929" s="1084"/>
    </row>
    <row r="930" ht="14.25" customHeight="1">
      <c r="A930" s="1085">
        <v>11714.0</v>
      </c>
      <c r="B930" s="1086" t="s">
        <v>6236</v>
      </c>
      <c r="C930" s="1087" t="s">
        <v>1788</v>
      </c>
      <c r="D930" s="1088">
        <v>66.84</v>
      </c>
      <c r="E930" s="1089" t="s">
        <v>5308</v>
      </c>
      <c r="F930" s="1081">
        <f t="shared" si="1"/>
        <v>0</v>
      </c>
      <c r="G930" s="1083">
        <f t="shared" si="2"/>
        <v>66.84</v>
      </c>
      <c r="H930" s="1084"/>
    </row>
    <row r="931" ht="14.25" customHeight="1">
      <c r="A931" s="1085">
        <v>11712.0</v>
      </c>
      <c r="B931" s="1086" t="s">
        <v>6237</v>
      </c>
      <c r="C931" s="1087" t="s">
        <v>1788</v>
      </c>
      <c r="D931" s="1088">
        <v>43.65</v>
      </c>
      <c r="E931" s="1089" t="s">
        <v>5308</v>
      </c>
      <c r="F931" s="1081">
        <f t="shared" si="1"/>
        <v>0</v>
      </c>
      <c r="G931" s="1083">
        <f t="shared" si="2"/>
        <v>43.65</v>
      </c>
      <c r="H931" s="1084"/>
    </row>
    <row r="932" ht="14.25" customHeight="1">
      <c r="A932" s="1085">
        <v>11717.0</v>
      </c>
      <c r="B932" s="1086" t="s">
        <v>6238</v>
      </c>
      <c r="C932" s="1087" t="s">
        <v>1788</v>
      </c>
      <c r="D932" s="1088">
        <v>52.62</v>
      </c>
      <c r="E932" s="1089" t="s">
        <v>5308</v>
      </c>
      <c r="F932" s="1081">
        <f t="shared" si="1"/>
        <v>0</v>
      </c>
      <c r="G932" s="1083">
        <f t="shared" si="2"/>
        <v>52.62</v>
      </c>
      <c r="H932" s="1084"/>
    </row>
    <row r="933" ht="14.25" customHeight="1">
      <c r="A933" s="1085">
        <v>1106.0</v>
      </c>
      <c r="B933" s="1086" t="s">
        <v>6239</v>
      </c>
      <c r="C933" s="1087" t="s">
        <v>3606</v>
      </c>
      <c r="D933" s="1088">
        <v>0.83</v>
      </c>
      <c r="E933" s="1089" t="s">
        <v>5308</v>
      </c>
      <c r="F933" s="1081">
        <f t="shared" si="1"/>
        <v>0</v>
      </c>
      <c r="G933" s="1083">
        <f t="shared" si="2"/>
        <v>0.83</v>
      </c>
      <c r="H933" s="1084"/>
    </row>
    <row r="934" ht="14.25" customHeight="1">
      <c r="A934" s="1085">
        <v>11161.0</v>
      </c>
      <c r="B934" s="1086" t="s">
        <v>6240</v>
      </c>
      <c r="C934" s="1087" t="s">
        <v>3606</v>
      </c>
      <c r="D934" s="1088">
        <v>1.38</v>
      </c>
      <c r="E934" s="1089" t="s">
        <v>5308</v>
      </c>
      <c r="F934" s="1081">
        <f t="shared" si="1"/>
        <v>0</v>
      </c>
      <c r="G934" s="1083">
        <f t="shared" si="2"/>
        <v>1.38</v>
      </c>
      <c r="H934" s="1084"/>
    </row>
    <row r="935" ht="14.25" customHeight="1">
      <c r="A935" s="1085">
        <v>1107.0</v>
      </c>
      <c r="B935" s="1086" t="s">
        <v>6241</v>
      </c>
      <c r="C935" s="1087" t="s">
        <v>3606</v>
      </c>
      <c r="D935" s="1088">
        <v>0.7</v>
      </c>
      <c r="E935" s="1089" t="s">
        <v>5308</v>
      </c>
      <c r="F935" s="1081">
        <f t="shared" si="1"/>
        <v>0</v>
      </c>
      <c r="G935" s="1083">
        <f t="shared" si="2"/>
        <v>0.7</v>
      </c>
      <c r="H935" s="1084"/>
    </row>
    <row r="936" ht="14.25" customHeight="1">
      <c r="A936" s="1085">
        <v>44479.0</v>
      </c>
      <c r="B936" s="1086" t="s">
        <v>6242</v>
      </c>
      <c r="C936" s="1087" t="s">
        <v>3606</v>
      </c>
      <c r="D936" s="1088">
        <v>0.1</v>
      </c>
      <c r="E936" s="1089" t="s">
        <v>5554</v>
      </c>
      <c r="F936" s="1081">
        <f t="shared" si="1"/>
        <v>0</v>
      </c>
      <c r="G936" s="1083">
        <f t="shared" si="2"/>
        <v>0.1</v>
      </c>
      <c r="H936" s="1084"/>
    </row>
    <row r="937" ht="14.25" customHeight="1">
      <c r="A937" s="1085">
        <v>41068.0</v>
      </c>
      <c r="B937" s="1086" t="s">
        <v>6243</v>
      </c>
      <c r="C937" s="1087" t="s">
        <v>5454</v>
      </c>
      <c r="D937" s="1088">
        <v>3095.54</v>
      </c>
      <c r="E937" s="1089" t="s">
        <v>5452</v>
      </c>
      <c r="F937" s="1081">
        <f t="shared" si="1"/>
        <v>3095.54</v>
      </c>
      <c r="G937" s="1083">
        <f t="shared" si="2"/>
        <v>0</v>
      </c>
      <c r="H937" s="1084"/>
    </row>
    <row r="938" ht="14.25" customHeight="1">
      <c r="A938" s="1085">
        <v>4759.0</v>
      </c>
      <c r="B938" s="1086" t="s">
        <v>6244</v>
      </c>
      <c r="C938" s="1087" t="s">
        <v>1470</v>
      </c>
      <c r="D938" s="1088">
        <v>17.67</v>
      </c>
      <c r="E938" s="1089" t="s">
        <v>5452</v>
      </c>
      <c r="F938" s="1081">
        <f t="shared" si="1"/>
        <v>17.67</v>
      </c>
      <c r="G938" s="1083">
        <f t="shared" si="2"/>
        <v>0</v>
      </c>
      <c r="H938" s="1084"/>
    </row>
    <row r="939" ht="14.25" customHeight="1">
      <c r="A939" s="1085">
        <v>12618.0</v>
      </c>
      <c r="B939" s="1086" t="s">
        <v>6245</v>
      </c>
      <c r="C939" s="1087" t="s">
        <v>1788</v>
      </c>
      <c r="D939" s="1088">
        <v>190.46</v>
      </c>
      <c r="E939" s="1089" t="s">
        <v>5308</v>
      </c>
      <c r="F939" s="1081">
        <f t="shared" si="1"/>
        <v>0</v>
      </c>
      <c r="G939" s="1083">
        <f t="shared" si="2"/>
        <v>190.46</v>
      </c>
      <c r="H939" s="1084"/>
    </row>
    <row r="940" ht="14.25" customHeight="1">
      <c r="A940" s="1085">
        <v>1108.0</v>
      </c>
      <c r="B940" s="1086" t="s">
        <v>6246</v>
      </c>
      <c r="C940" s="1087" t="s">
        <v>1731</v>
      </c>
      <c r="D940" s="1088">
        <v>27.94</v>
      </c>
      <c r="E940" s="1089" t="s">
        <v>5308</v>
      </c>
      <c r="F940" s="1081">
        <f t="shared" si="1"/>
        <v>0</v>
      </c>
      <c r="G940" s="1083">
        <f t="shared" si="2"/>
        <v>27.94</v>
      </c>
      <c r="H940" s="1084"/>
    </row>
    <row r="941" ht="14.25" customHeight="1">
      <c r="A941" s="1085">
        <v>1117.0</v>
      </c>
      <c r="B941" s="1086" t="s">
        <v>6247</v>
      </c>
      <c r="C941" s="1087" t="s">
        <v>1731</v>
      </c>
      <c r="D941" s="1088">
        <v>28.16</v>
      </c>
      <c r="E941" s="1089" t="s">
        <v>5308</v>
      </c>
      <c r="F941" s="1081">
        <f t="shared" si="1"/>
        <v>0</v>
      </c>
      <c r="G941" s="1083">
        <f t="shared" si="2"/>
        <v>28.16</v>
      </c>
      <c r="H941" s="1084"/>
    </row>
    <row r="942" ht="14.25" customHeight="1">
      <c r="A942" s="1085">
        <v>1118.0</v>
      </c>
      <c r="B942" s="1086" t="s">
        <v>6248</v>
      </c>
      <c r="C942" s="1087" t="s">
        <v>1731</v>
      </c>
      <c r="D942" s="1088">
        <v>33.28</v>
      </c>
      <c r="E942" s="1089" t="s">
        <v>5308</v>
      </c>
      <c r="F942" s="1081">
        <f t="shared" si="1"/>
        <v>0</v>
      </c>
      <c r="G942" s="1083">
        <f t="shared" si="2"/>
        <v>33.28</v>
      </c>
      <c r="H942" s="1084"/>
    </row>
    <row r="943" ht="14.25" customHeight="1">
      <c r="A943" s="1085">
        <v>1110.0</v>
      </c>
      <c r="B943" s="1086" t="s">
        <v>6249</v>
      </c>
      <c r="C943" s="1087" t="s">
        <v>1731</v>
      </c>
      <c r="D943" s="1088">
        <v>33.28</v>
      </c>
      <c r="E943" s="1089" t="s">
        <v>5308</v>
      </c>
      <c r="F943" s="1081">
        <f t="shared" si="1"/>
        <v>0</v>
      </c>
      <c r="G943" s="1083">
        <f t="shared" si="2"/>
        <v>33.28</v>
      </c>
      <c r="H943" s="1084"/>
    </row>
    <row r="944" ht="14.25" customHeight="1">
      <c r="A944" s="1085">
        <v>40784.0</v>
      </c>
      <c r="B944" s="1086" t="s">
        <v>6250</v>
      </c>
      <c r="C944" s="1087" t="s">
        <v>1731</v>
      </c>
      <c r="D944" s="1088">
        <v>91.81</v>
      </c>
      <c r="E944" s="1089" t="s">
        <v>5308</v>
      </c>
      <c r="F944" s="1081">
        <f t="shared" si="1"/>
        <v>0</v>
      </c>
      <c r="G944" s="1083">
        <f t="shared" si="2"/>
        <v>91.81</v>
      </c>
      <c r="H944" s="1084"/>
    </row>
    <row r="945" ht="14.25" customHeight="1">
      <c r="A945" s="1085">
        <v>40782.0</v>
      </c>
      <c r="B945" s="1086" t="s">
        <v>6251</v>
      </c>
      <c r="C945" s="1087" t="s">
        <v>1731</v>
      </c>
      <c r="D945" s="1088">
        <v>36.03</v>
      </c>
      <c r="E945" s="1089" t="s">
        <v>5308</v>
      </c>
      <c r="F945" s="1081">
        <f t="shared" si="1"/>
        <v>0</v>
      </c>
      <c r="G945" s="1083">
        <f t="shared" si="2"/>
        <v>36.03</v>
      </c>
      <c r="H945" s="1084"/>
    </row>
    <row r="946" ht="14.25" customHeight="1">
      <c r="A946" s="1085">
        <v>40783.0</v>
      </c>
      <c r="B946" s="1086" t="s">
        <v>6252</v>
      </c>
      <c r="C946" s="1087" t="s">
        <v>1731</v>
      </c>
      <c r="D946" s="1088">
        <v>46.93</v>
      </c>
      <c r="E946" s="1089" t="s">
        <v>5308</v>
      </c>
      <c r="F946" s="1081">
        <f t="shared" si="1"/>
        <v>0</v>
      </c>
      <c r="G946" s="1083">
        <f t="shared" si="2"/>
        <v>46.93</v>
      </c>
      <c r="H946" s="1084"/>
    </row>
    <row r="947" ht="14.25" customHeight="1">
      <c r="A947" s="1085">
        <v>1109.0</v>
      </c>
      <c r="B947" s="1086" t="s">
        <v>6253</v>
      </c>
      <c r="C947" s="1087" t="s">
        <v>1731</v>
      </c>
      <c r="D947" s="1088">
        <v>27.94</v>
      </c>
      <c r="E947" s="1089" t="s">
        <v>5308</v>
      </c>
      <c r="F947" s="1081">
        <f t="shared" si="1"/>
        <v>0</v>
      </c>
      <c r="G947" s="1083">
        <f t="shared" si="2"/>
        <v>27.94</v>
      </c>
      <c r="H947" s="1084"/>
    </row>
    <row r="948" ht="14.25" customHeight="1">
      <c r="A948" s="1085">
        <v>1119.0</v>
      </c>
      <c r="B948" s="1086" t="s">
        <v>6254</v>
      </c>
      <c r="C948" s="1087" t="s">
        <v>1731</v>
      </c>
      <c r="D948" s="1088">
        <v>18.01</v>
      </c>
      <c r="E948" s="1089" t="s">
        <v>5308</v>
      </c>
      <c r="F948" s="1081">
        <f t="shared" si="1"/>
        <v>0</v>
      </c>
      <c r="G948" s="1083">
        <f t="shared" si="2"/>
        <v>18.01</v>
      </c>
      <c r="H948" s="1084"/>
    </row>
    <row r="949" ht="14.25" customHeight="1">
      <c r="A949" s="1085">
        <v>13115.0</v>
      </c>
      <c r="B949" s="1086" t="s">
        <v>6255</v>
      </c>
      <c r="C949" s="1087" t="s">
        <v>1731</v>
      </c>
      <c r="D949" s="1088">
        <v>11.55</v>
      </c>
      <c r="E949" s="1089" t="s">
        <v>5308</v>
      </c>
      <c r="F949" s="1081">
        <f t="shared" si="1"/>
        <v>0</v>
      </c>
      <c r="G949" s="1083">
        <f t="shared" si="2"/>
        <v>11.55</v>
      </c>
      <c r="H949" s="1084"/>
    </row>
    <row r="950" ht="14.25" customHeight="1">
      <c r="A950" s="1085">
        <v>10541.0</v>
      </c>
      <c r="B950" s="1086" t="s">
        <v>6256</v>
      </c>
      <c r="C950" s="1087" t="s">
        <v>1731</v>
      </c>
      <c r="D950" s="1088">
        <v>14.11</v>
      </c>
      <c r="E950" s="1089" t="s">
        <v>5308</v>
      </c>
      <c r="F950" s="1081">
        <f t="shared" si="1"/>
        <v>0</v>
      </c>
      <c r="G950" s="1083">
        <f t="shared" si="2"/>
        <v>14.11</v>
      </c>
      <c r="H950" s="1084"/>
    </row>
    <row r="951" ht="14.25" customHeight="1">
      <c r="A951" s="1085">
        <v>10542.0</v>
      </c>
      <c r="B951" s="1086" t="s">
        <v>6257</v>
      </c>
      <c r="C951" s="1087" t="s">
        <v>1731</v>
      </c>
      <c r="D951" s="1088">
        <v>18.46</v>
      </c>
      <c r="E951" s="1089" t="s">
        <v>5308</v>
      </c>
      <c r="F951" s="1081">
        <f t="shared" si="1"/>
        <v>0</v>
      </c>
      <c r="G951" s="1083">
        <f t="shared" si="2"/>
        <v>18.46</v>
      </c>
      <c r="H951" s="1084"/>
    </row>
    <row r="952" ht="14.25" customHeight="1">
      <c r="A952" s="1085">
        <v>10543.0</v>
      </c>
      <c r="B952" s="1086" t="s">
        <v>6258</v>
      </c>
      <c r="C952" s="1087" t="s">
        <v>1731</v>
      </c>
      <c r="D952" s="1088">
        <v>29.95</v>
      </c>
      <c r="E952" s="1089" t="s">
        <v>5308</v>
      </c>
      <c r="F952" s="1081">
        <f t="shared" si="1"/>
        <v>0</v>
      </c>
      <c r="G952" s="1083">
        <f t="shared" si="2"/>
        <v>29.95</v>
      </c>
      <c r="H952" s="1084"/>
    </row>
    <row r="953" ht="14.25" customHeight="1">
      <c r="A953" s="1085">
        <v>10544.0</v>
      </c>
      <c r="B953" s="1086" t="s">
        <v>6259</v>
      </c>
      <c r="C953" s="1087" t="s">
        <v>1731</v>
      </c>
      <c r="D953" s="1088">
        <v>38.74</v>
      </c>
      <c r="E953" s="1089" t="s">
        <v>5308</v>
      </c>
      <c r="F953" s="1081">
        <f t="shared" si="1"/>
        <v>0</v>
      </c>
      <c r="G953" s="1083">
        <f t="shared" si="2"/>
        <v>38.74</v>
      </c>
      <c r="H953" s="1084"/>
    </row>
    <row r="954" ht="14.25" customHeight="1">
      <c r="A954" s="1085">
        <v>10545.0</v>
      </c>
      <c r="B954" s="1086" t="s">
        <v>6260</v>
      </c>
      <c r="C954" s="1087" t="s">
        <v>1731</v>
      </c>
      <c r="D954" s="1088">
        <v>72.4</v>
      </c>
      <c r="E954" s="1089" t="s">
        <v>5308</v>
      </c>
      <c r="F954" s="1081">
        <f t="shared" si="1"/>
        <v>0</v>
      </c>
      <c r="G954" s="1083">
        <f t="shared" si="2"/>
        <v>72.4</v>
      </c>
      <c r="H954" s="1084"/>
    </row>
    <row r="955" ht="14.25" customHeight="1">
      <c r="A955" s="1085">
        <v>38365.0</v>
      </c>
      <c r="B955" s="1086" t="s">
        <v>6261</v>
      </c>
      <c r="C955" s="1087" t="s">
        <v>1814</v>
      </c>
      <c r="D955" s="1088">
        <v>2.22</v>
      </c>
      <c r="E955" s="1089" t="s">
        <v>5308</v>
      </c>
      <c r="F955" s="1081">
        <f t="shared" si="1"/>
        <v>0</v>
      </c>
      <c r="G955" s="1083">
        <f t="shared" si="2"/>
        <v>2.22</v>
      </c>
      <c r="H955" s="1084"/>
    </row>
    <row r="956" ht="14.25" customHeight="1">
      <c r="A956" s="1085">
        <v>44056.0</v>
      </c>
      <c r="B956" s="1086" t="s">
        <v>6262</v>
      </c>
      <c r="C956" s="1087" t="s">
        <v>1788</v>
      </c>
      <c r="D956" s="1088">
        <v>485871.11</v>
      </c>
      <c r="E956" s="1089" t="s">
        <v>5482</v>
      </c>
      <c r="F956" s="1081">
        <f t="shared" si="1"/>
        <v>0</v>
      </c>
      <c r="G956" s="1083">
        <f t="shared" si="2"/>
        <v>485871.11</v>
      </c>
      <c r="H956" s="1084"/>
    </row>
    <row r="957" ht="14.25" customHeight="1">
      <c r="A957" s="1085">
        <v>44057.0</v>
      </c>
      <c r="B957" s="1086" t="s">
        <v>6263</v>
      </c>
      <c r="C957" s="1087" t="s">
        <v>1788</v>
      </c>
      <c r="D957" s="1088">
        <v>518574.0</v>
      </c>
      <c r="E957" s="1089" t="s">
        <v>5482</v>
      </c>
      <c r="F957" s="1081">
        <f t="shared" si="1"/>
        <v>0</v>
      </c>
      <c r="G957" s="1083">
        <f t="shared" si="2"/>
        <v>518574</v>
      </c>
      <c r="H957" s="1084"/>
    </row>
    <row r="958" ht="14.25" customHeight="1">
      <c r="A958" s="1085">
        <v>37754.0</v>
      </c>
      <c r="B958" s="1086" t="s">
        <v>6264</v>
      </c>
      <c r="C958" s="1087" t="s">
        <v>1788</v>
      </c>
      <c r="D958" s="1088">
        <v>536140.12</v>
      </c>
      <c r="E958" s="1089" t="s">
        <v>5482</v>
      </c>
      <c r="F958" s="1081">
        <f t="shared" si="1"/>
        <v>0</v>
      </c>
      <c r="G958" s="1083">
        <f t="shared" si="2"/>
        <v>536140.12</v>
      </c>
      <c r="H958" s="1084"/>
    </row>
    <row r="959" ht="14.25" customHeight="1">
      <c r="A959" s="1085">
        <v>37757.0</v>
      </c>
      <c r="B959" s="1086" t="s">
        <v>6265</v>
      </c>
      <c r="C959" s="1087" t="s">
        <v>1788</v>
      </c>
      <c r="D959" s="1088">
        <v>597995.26</v>
      </c>
      <c r="E959" s="1089" t="s">
        <v>5482</v>
      </c>
      <c r="F959" s="1081">
        <f t="shared" si="1"/>
        <v>0</v>
      </c>
      <c r="G959" s="1083">
        <f t="shared" si="2"/>
        <v>597995.26</v>
      </c>
      <c r="H959" s="1084"/>
    </row>
    <row r="960" ht="14.25" customHeight="1">
      <c r="A960" s="1085">
        <v>44058.0</v>
      </c>
      <c r="B960" s="1086" t="s">
        <v>6266</v>
      </c>
      <c r="C960" s="1087" t="s">
        <v>1788</v>
      </c>
      <c r="D960" s="1088">
        <v>565292.38</v>
      </c>
      <c r="E960" s="1089" t="s">
        <v>5482</v>
      </c>
      <c r="F960" s="1081">
        <f t="shared" si="1"/>
        <v>0</v>
      </c>
      <c r="G960" s="1083">
        <f t="shared" si="2"/>
        <v>565292.38</v>
      </c>
      <c r="H960" s="1084"/>
    </row>
    <row r="961" ht="14.25" customHeight="1">
      <c r="A961" s="1085">
        <v>37752.0</v>
      </c>
      <c r="B961" s="1086" t="s">
        <v>6267</v>
      </c>
      <c r="C961" s="1087" t="s">
        <v>1788</v>
      </c>
      <c r="D961" s="1088">
        <v>588651.54</v>
      </c>
      <c r="E961" s="1089" t="s">
        <v>5482</v>
      </c>
      <c r="F961" s="1081">
        <f t="shared" si="1"/>
        <v>0</v>
      </c>
      <c r="G961" s="1083">
        <f t="shared" si="2"/>
        <v>588651.54</v>
      </c>
      <c r="H961" s="1084"/>
    </row>
    <row r="962" ht="14.25" customHeight="1">
      <c r="A962" s="1085">
        <v>44059.0</v>
      </c>
      <c r="B962" s="1086" t="s">
        <v>6268</v>
      </c>
      <c r="C962" s="1087" t="s">
        <v>1788</v>
      </c>
      <c r="D962" s="1088">
        <v>465315.05</v>
      </c>
      <c r="E962" s="1089" t="s">
        <v>5482</v>
      </c>
      <c r="F962" s="1081">
        <f t="shared" si="1"/>
        <v>0</v>
      </c>
      <c r="G962" s="1083">
        <f t="shared" si="2"/>
        <v>465315.05</v>
      </c>
      <c r="H962" s="1084"/>
    </row>
    <row r="963" ht="14.25" customHeight="1">
      <c r="A963" s="1085">
        <v>37750.0</v>
      </c>
      <c r="B963" s="1086" t="s">
        <v>6269</v>
      </c>
      <c r="C963" s="1087" t="s">
        <v>1788</v>
      </c>
      <c r="D963" s="1088">
        <v>466249.41</v>
      </c>
      <c r="E963" s="1089" t="s">
        <v>5482</v>
      </c>
      <c r="F963" s="1081">
        <f t="shared" si="1"/>
        <v>0</v>
      </c>
      <c r="G963" s="1083">
        <f t="shared" si="2"/>
        <v>466249.41</v>
      </c>
      <c r="H963" s="1084"/>
    </row>
    <row r="964" ht="14.25" customHeight="1">
      <c r="A964" s="1085">
        <v>37758.0</v>
      </c>
      <c r="B964" s="1086" t="s">
        <v>6270</v>
      </c>
      <c r="C964" s="1087" t="s">
        <v>1788</v>
      </c>
      <c r="D964" s="1088">
        <v>741887.83</v>
      </c>
      <c r="E964" s="1089" t="s">
        <v>5482</v>
      </c>
      <c r="F964" s="1081">
        <f t="shared" si="1"/>
        <v>0</v>
      </c>
      <c r="G964" s="1083">
        <f t="shared" si="2"/>
        <v>741887.83</v>
      </c>
      <c r="H964" s="1084"/>
    </row>
    <row r="965" ht="14.25" customHeight="1">
      <c r="A965" s="1085">
        <v>44060.0</v>
      </c>
      <c r="B965" s="1086" t="s">
        <v>6271</v>
      </c>
      <c r="C965" s="1087" t="s">
        <v>1788</v>
      </c>
      <c r="D965" s="1088">
        <v>717594.3</v>
      </c>
      <c r="E965" s="1089" t="s">
        <v>5482</v>
      </c>
      <c r="F965" s="1081">
        <f t="shared" si="1"/>
        <v>0</v>
      </c>
      <c r="G965" s="1083">
        <f t="shared" si="2"/>
        <v>717594.3</v>
      </c>
      <c r="H965" s="1084"/>
    </row>
    <row r="966" ht="14.25" customHeight="1">
      <c r="A966" s="1085">
        <v>37749.0</v>
      </c>
      <c r="B966" s="1086" t="s">
        <v>6272</v>
      </c>
      <c r="C966" s="1087" t="s">
        <v>1788</v>
      </c>
      <c r="D966" s="1088">
        <v>766181.41</v>
      </c>
      <c r="E966" s="1089" t="s">
        <v>5482</v>
      </c>
      <c r="F966" s="1081">
        <f t="shared" si="1"/>
        <v>0</v>
      </c>
      <c r="G966" s="1083">
        <f t="shared" si="2"/>
        <v>766181.41</v>
      </c>
      <c r="H966" s="1084"/>
    </row>
    <row r="967" ht="14.25" customHeight="1">
      <c r="A967" s="1085">
        <v>44061.0</v>
      </c>
      <c r="B967" s="1086" t="s">
        <v>6273</v>
      </c>
      <c r="C967" s="1087" t="s">
        <v>1788</v>
      </c>
      <c r="D967" s="1088">
        <v>703578.8</v>
      </c>
      <c r="E967" s="1089" t="s">
        <v>5482</v>
      </c>
      <c r="F967" s="1081">
        <f t="shared" si="1"/>
        <v>0</v>
      </c>
      <c r="G967" s="1083">
        <f t="shared" si="2"/>
        <v>703578.8</v>
      </c>
      <c r="H967" s="1084"/>
    </row>
    <row r="968" ht="14.25" customHeight="1">
      <c r="A968" s="1085">
        <v>1159.0</v>
      </c>
      <c r="B968" s="1086" t="s">
        <v>6274</v>
      </c>
      <c r="C968" s="1087" t="s">
        <v>1788</v>
      </c>
      <c r="D968" s="1088">
        <v>277545.83</v>
      </c>
      <c r="E968" s="1089" t="s">
        <v>5482</v>
      </c>
      <c r="F968" s="1081">
        <f t="shared" si="1"/>
        <v>0</v>
      </c>
      <c r="G968" s="1083">
        <f t="shared" si="2"/>
        <v>277545.83</v>
      </c>
      <c r="H968" s="1084"/>
    </row>
    <row r="969" ht="14.25" customHeight="1">
      <c r="A969" s="1085">
        <v>12114.0</v>
      </c>
      <c r="B969" s="1086" t="s">
        <v>6275</v>
      </c>
      <c r="C969" s="1087" t="s">
        <v>1788</v>
      </c>
      <c r="D969" s="1088">
        <v>145.99</v>
      </c>
      <c r="E969" s="1089" t="s">
        <v>5308</v>
      </c>
      <c r="F969" s="1081">
        <f t="shared" si="1"/>
        <v>0</v>
      </c>
      <c r="G969" s="1083">
        <f t="shared" si="2"/>
        <v>145.99</v>
      </c>
      <c r="H969" s="1084"/>
    </row>
    <row r="970" ht="14.25" customHeight="1">
      <c r="A970" s="1085">
        <v>38106.0</v>
      </c>
      <c r="B970" s="1086" t="s">
        <v>6276</v>
      </c>
      <c r="C970" s="1087" t="s">
        <v>1788</v>
      </c>
      <c r="D970" s="1088">
        <v>19.84</v>
      </c>
      <c r="E970" s="1089" t="s">
        <v>5308</v>
      </c>
      <c r="F970" s="1081">
        <f t="shared" si="1"/>
        <v>0</v>
      </c>
      <c r="G970" s="1083">
        <f t="shared" si="2"/>
        <v>19.84</v>
      </c>
      <c r="H970" s="1084"/>
    </row>
    <row r="971" ht="14.25" customHeight="1">
      <c r="A971" s="1085">
        <v>38085.0</v>
      </c>
      <c r="B971" s="1086" t="s">
        <v>6277</v>
      </c>
      <c r="C971" s="1087" t="s">
        <v>1788</v>
      </c>
      <c r="D971" s="1088">
        <v>23.43</v>
      </c>
      <c r="E971" s="1089" t="s">
        <v>5308</v>
      </c>
      <c r="F971" s="1081">
        <f t="shared" si="1"/>
        <v>0</v>
      </c>
      <c r="G971" s="1083">
        <f t="shared" si="2"/>
        <v>23.43</v>
      </c>
      <c r="H971" s="1084"/>
    </row>
    <row r="972" ht="14.25" customHeight="1">
      <c r="A972" s="1085">
        <v>38599.0</v>
      </c>
      <c r="B972" s="1086" t="s">
        <v>6278</v>
      </c>
      <c r="C972" s="1087" t="s">
        <v>1788</v>
      </c>
      <c r="D972" s="1088">
        <v>4.69</v>
      </c>
      <c r="E972" s="1089" t="s">
        <v>5308</v>
      </c>
      <c r="F972" s="1081">
        <f t="shared" si="1"/>
        <v>0</v>
      </c>
      <c r="G972" s="1083">
        <f t="shared" si="2"/>
        <v>4.69</v>
      </c>
      <c r="H972" s="1084"/>
    </row>
    <row r="973" ht="14.25" customHeight="1">
      <c r="A973" s="1085">
        <v>38596.0</v>
      </c>
      <c r="B973" s="1086" t="s">
        <v>6279</v>
      </c>
      <c r="C973" s="1087" t="s">
        <v>1788</v>
      </c>
      <c r="D973" s="1088">
        <v>3.9</v>
      </c>
      <c r="E973" s="1089" t="s">
        <v>5308</v>
      </c>
      <c r="F973" s="1081">
        <f t="shared" si="1"/>
        <v>0</v>
      </c>
      <c r="G973" s="1083">
        <f t="shared" si="2"/>
        <v>3.9</v>
      </c>
      <c r="H973" s="1084"/>
    </row>
    <row r="974" ht="14.25" customHeight="1">
      <c r="A974" s="1085">
        <v>38600.0</v>
      </c>
      <c r="B974" s="1086" t="s">
        <v>6280</v>
      </c>
      <c r="C974" s="1087" t="s">
        <v>1788</v>
      </c>
      <c r="D974" s="1088">
        <v>4.97</v>
      </c>
      <c r="E974" s="1089" t="s">
        <v>5308</v>
      </c>
      <c r="F974" s="1081">
        <f t="shared" si="1"/>
        <v>0</v>
      </c>
      <c r="G974" s="1083">
        <f t="shared" si="2"/>
        <v>4.97</v>
      </c>
      <c r="H974" s="1084"/>
    </row>
    <row r="975" ht="14.25" customHeight="1">
      <c r="A975" s="1085">
        <v>38597.0</v>
      </c>
      <c r="B975" s="1086" t="s">
        <v>6281</v>
      </c>
      <c r="C975" s="1087" t="s">
        <v>1788</v>
      </c>
      <c r="D975" s="1088">
        <v>3.92</v>
      </c>
      <c r="E975" s="1089" t="s">
        <v>5308</v>
      </c>
      <c r="F975" s="1081">
        <f t="shared" si="1"/>
        <v>0</v>
      </c>
      <c r="G975" s="1083">
        <f t="shared" si="2"/>
        <v>3.92</v>
      </c>
      <c r="H975" s="1084"/>
    </row>
    <row r="976" ht="14.25" customHeight="1">
      <c r="A976" s="1085">
        <v>659.0</v>
      </c>
      <c r="B976" s="1086" t="s">
        <v>6282</v>
      </c>
      <c r="C976" s="1087" t="s">
        <v>1788</v>
      </c>
      <c r="D976" s="1088">
        <v>2.25</v>
      </c>
      <c r="E976" s="1089" t="s">
        <v>5308</v>
      </c>
      <c r="F976" s="1081">
        <f t="shared" si="1"/>
        <v>0</v>
      </c>
      <c r="G976" s="1083">
        <f t="shared" si="2"/>
        <v>2.25</v>
      </c>
      <c r="H976" s="1084"/>
    </row>
    <row r="977" ht="14.25" customHeight="1">
      <c r="A977" s="1085">
        <v>660.0</v>
      </c>
      <c r="B977" s="1086" t="s">
        <v>6283</v>
      </c>
      <c r="C977" s="1087" t="s">
        <v>1788</v>
      </c>
      <c r="D977" s="1088">
        <v>2.7</v>
      </c>
      <c r="E977" s="1089" t="s">
        <v>5308</v>
      </c>
      <c r="F977" s="1081">
        <f t="shared" si="1"/>
        <v>0</v>
      </c>
      <c r="G977" s="1083">
        <f t="shared" si="2"/>
        <v>2.7</v>
      </c>
      <c r="H977" s="1084"/>
    </row>
    <row r="978" ht="14.25" customHeight="1">
      <c r="A978" s="1085">
        <v>658.0</v>
      </c>
      <c r="B978" s="1086" t="s">
        <v>6284</v>
      </c>
      <c r="C978" s="1087" t="s">
        <v>1788</v>
      </c>
      <c r="D978" s="1088">
        <v>1.52</v>
      </c>
      <c r="E978" s="1089" t="s">
        <v>5308</v>
      </c>
      <c r="F978" s="1081">
        <f t="shared" si="1"/>
        <v>0</v>
      </c>
      <c r="G978" s="1083">
        <f t="shared" si="2"/>
        <v>1.52</v>
      </c>
      <c r="H978" s="1084"/>
    </row>
    <row r="979" ht="14.25" customHeight="1">
      <c r="A979" s="1085">
        <v>38548.0</v>
      </c>
      <c r="B979" s="1086" t="s">
        <v>6285</v>
      </c>
      <c r="C979" s="1087" t="s">
        <v>1788</v>
      </c>
      <c r="D979" s="1088">
        <v>1.95</v>
      </c>
      <c r="E979" s="1089" t="s">
        <v>5308</v>
      </c>
      <c r="F979" s="1081">
        <f t="shared" si="1"/>
        <v>0</v>
      </c>
      <c r="G979" s="1083">
        <f t="shared" si="2"/>
        <v>1.95</v>
      </c>
      <c r="H979" s="1084"/>
    </row>
    <row r="980" ht="14.25" customHeight="1">
      <c r="A980" s="1085">
        <v>34649.0</v>
      </c>
      <c r="B980" s="1086" t="s">
        <v>6286</v>
      </c>
      <c r="C980" s="1087" t="s">
        <v>1788</v>
      </c>
      <c r="D980" s="1088">
        <v>2.64</v>
      </c>
      <c r="E980" s="1089" t="s">
        <v>5308</v>
      </c>
      <c r="F980" s="1081">
        <f t="shared" si="1"/>
        <v>0</v>
      </c>
      <c r="G980" s="1083">
        <f t="shared" si="2"/>
        <v>2.64</v>
      </c>
      <c r="H980" s="1084"/>
    </row>
    <row r="981" ht="14.25" customHeight="1">
      <c r="A981" s="1085">
        <v>34655.0</v>
      </c>
      <c r="B981" s="1086" t="s">
        <v>6287</v>
      </c>
      <c r="C981" s="1087" t="s">
        <v>1788</v>
      </c>
      <c r="D981" s="1088">
        <v>3.5</v>
      </c>
      <c r="E981" s="1089" t="s">
        <v>5308</v>
      </c>
      <c r="F981" s="1081">
        <f t="shared" si="1"/>
        <v>0</v>
      </c>
      <c r="G981" s="1083">
        <f t="shared" si="2"/>
        <v>3.5</v>
      </c>
      <c r="H981" s="1084"/>
    </row>
    <row r="982" ht="14.25" customHeight="1">
      <c r="A982" s="1085">
        <v>40607.0</v>
      </c>
      <c r="B982" s="1086" t="s">
        <v>6288</v>
      </c>
      <c r="C982" s="1087" t="s">
        <v>1788</v>
      </c>
      <c r="D982" s="1088">
        <v>7.68</v>
      </c>
      <c r="E982" s="1089" t="s">
        <v>5308</v>
      </c>
      <c r="F982" s="1081">
        <f t="shared" si="1"/>
        <v>0</v>
      </c>
      <c r="G982" s="1083">
        <f t="shared" si="2"/>
        <v>7.68</v>
      </c>
      <c r="H982" s="1084"/>
    </row>
    <row r="983" ht="14.25" customHeight="1">
      <c r="A983" s="1085">
        <v>567.0</v>
      </c>
      <c r="B983" s="1086" t="s">
        <v>6289</v>
      </c>
      <c r="C983" s="1087" t="s">
        <v>1731</v>
      </c>
      <c r="D983" s="1088">
        <v>11.96</v>
      </c>
      <c r="E983" s="1089" t="s">
        <v>5308</v>
      </c>
      <c r="F983" s="1081">
        <f t="shared" si="1"/>
        <v>0</v>
      </c>
      <c r="G983" s="1083">
        <f t="shared" si="2"/>
        <v>11.96</v>
      </c>
      <c r="H983" s="1084"/>
    </row>
    <row r="984" ht="14.25" customHeight="1">
      <c r="A984" s="1085">
        <v>574.0</v>
      </c>
      <c r="B984" s="1086" t="s">
        <v>6290</v>
      </c>
      <c r="C984" s="1087" t="s">
        <v>1731</v>
      </c>
      <c r="D984" s="1088">
        <v>31.44</v>
      </c>
      <c r="E984" s="1089" t="s">
        <v>5308</v>
      </c>
      <c r="F984" s="1081">
        <f t="shared" si="1"/>
        <v>0</v>
      </c>
      <c r="G984" s="1083">
        <f t="shared" si="2"/>
        <v>31.44</v>
      </c>
      <c r="H984" s="1084"/>
    </row>
    <row r="985" ht="14.25" customHeight="1">
      <c r="A985" s="1085">
        <v>568.0</v>
      </c>
      <c r="B985" s="1086" t="s">
        <v>6291</v>
      </c>
      <c r="C985" s="1087" t="s">
        <v>1731</v>
      </c>
      <c r="D985" s="1088">
        <v>66.25</v>
      </c>
      <c r="E985" s="1089" t="s">
        <v>5308</v>
      </c>
      <c r="F985" s="1081">
        <f t="shared" si="1"/>
        <v>0</v>
      </c>
      <c r="G985" s="1083">
        <f t="shared" si="2"/>
        <v>66.25</v>
      </c>
      <c r="H985" s="1084"/>
    </row>
    <row r="986" ht="14.25" customHeight="1">
      <c r="A986" s="1085">
        <v>585.0</v>
      </c>
      <c r="B986" s="1086" t="s">
        <v>6292</v>
      </c>
      <c r="C986" s="1087" t="s">
        <v>3606</v>
      </c>
      <c r="D986" s="1088">
        <v>33.52</v>
      </c>
      <c r="E986" s="1089" t="s">
        <v>5308</v>
      </c>
      <c r="F986" s="1081">
        <f t="shared" si="1"/>
        <v>0</v>
      </c>
      <c r="G986" s="1083">
        <f t="shared" si="2"/>
        <v>33.52</v>
      </c>
      <c r="H986" s="1084"/>
    </row>
    <row r="987" ht="14.25" customHeight="1">
      <c r="A987" s="1085">
        <v>4777.0</v>
      </c>
      <c r="B987" s="1086" t="s">
        <v>6293</v>
      </c>
      <c r="C987" s="1087" t="s">
        <v>3606</v>
      </c>
      <c r="D987" s="1088">
        <v>10.43</v>
      </c>
      <c r="E987" s="1089" t="s">
        <v>5308</v>
      </c>
      <c r="F987" s="1081">
        <f t="shared" si="1"/>
        <v>0</v>
      </c>
      <c r="G987" s="1083">
        <f t="shared" si="2"/>
        <v>10.43</v>
      </c>
      <c r="H987" s="1084"/>
    </row>
    <row r="988" ht="14.25" customHeight="1">
      <c r="A988" s="1085">
        <v>587.0</v>
      </c>
      <c r="B988" s="1086" t="s">
        <v>6294</v>
      </c>
      <c r="C988" s="1087" t="s">
        <v>3606</v>
      </c>
      <c r="D988" s="1088">
        <v>35.92</v>
      </c>
      <c r="E988" s="1089" t="s">
        <v>5308</v>
      </c>
      <c r="F988" s="1081">
        <f t="shared" si="1"/>
        <v>0</v>
      </c>
      <c r="G988" s="1083">
        <f t="shared" si="2"/>
        <v>35.92</v>
      </c>
      <c r="H988" s="1084"/>
    </row>
    <row r="989" ht="14.25" customHeight="1">
      <c r="A989" s="1085">
        <v>590.0</v>
      </c>
      <c r="B989" s="1086" t="s">
        <v>6295</v>
      </c>
      <c r="C989" s="1087" t="s">
        <v>3606</v>
      </c>
      <c r="D989" s="1088">
        <v>34.72</v>
      </c>
      <c r="E989" s="1089" t="s">
        <v>5308</v>
      </c>
      <c r="F989" s="1081">
        <f t="shared" si="1"/>
        <v>0</v>
      </c>
      <c r="G989" s="1083">
        <f t="shared" si="2"/>
        <v>34.72</v>
      </c>
      <c r="H989" s="1084"/>
    </row>
    <row r="990" ht="14.25" customHeight="1">
      <c r="A990" s="1085">
        <v>592.0</v>
      </c>
      <c r="B990" s="1086" t="s">
        <v>6296</v>
      </c>
      <c r="C990" s="1087" t="s">
        <v>3606</v>
      </c>
      <c r="D990" s="1088">
        <v>35.92</v>
      </c>
      <c r="E990" s="1089" t="s">
        <v>5308</v>
      </c>
      <c r="F990" s="1081">
        <f t="shared" si="1"/>
        <v>0</v>
      </c>
      <c r="G990" s="1083">
        <f t="shared" si="2"/>
        <v>35.92</v>
      </c>
      <c r="H990" s="1084"/>
    </row>
    <row r="991" ht="14.25" customHeight="1">
      <c r="A991" s="1085">
        <v>586.0</v>
      </c>
      <c r="B991" s="1086" t="s">
        <v>6297</v>
      </c>
      <c r="C991" s="1087" t="s">
        <v>1731</v>
      </c>
      <c r="D991" s="1088">
        <v>21.12</v>
      </c>
      <c r="E991" s="1089" t="s">
        <v>5308</v>
      </c>
      <c r="F991" s="1081">
        <f t="shared" si="1"/>
        <v>0</v>
      </c>
      <c r="G991" s="1083">
        <f t="shared" si="2"/>
        <v>21.12</v>
      </c>
      <c r="H991" s="1084"/>
    </row>
    <row r="992" ht="14.25" customHeight="1">
      <c r="A992" s="1085">
        <v>591.0</v>
      </c>
      <c r="B992" s="1086" t="s">
        <v>6298</v>
      </c>
      <c r="C992" s="1087" t="s">
        <v>3606</v>
      </c>
      <c r="D992" s="1088">
        <v>33.52</v>
      </c>
      <c r="E992" s="1089" t="s">
        <v>5308</v>
      </c>
      <c r="F992" s="1081">
        <f t="shared" si="1"/>
        <v>0</v>
      </c>
      <c r="G992" s="1083">
        <f t="shared" si="2"/>
        <v>33.52</v>
      </c>
      <c r="H992" s="1084"/>
    </row>
    <row r="993" ht="14.25" customHeight="1">
      <c r="A993" s="1085">
        <v>588.0</v>
      </c>
      <c r="B993" s="1086" t="s">
        <v>6299</v>
      </c>
      <c r="C993" s="1087" t="s">
        <v>1731</v>
      </c>
      <c r="D993" s="1088">
        <v>33.4</v>
      </c>
      <c r="E993" s="1089" t="s">
        <v>5308</v>
      </c>
      <c r="F993" s="1081">
        <f t="shared" si="1"/>
        <v>0</v>
      </c>
      <c r="G993" s="1083">
        <f t="shared" si="2"/>
        <v>33.4</v>
      </c>
      <c r="H993" s="1084"/>
    </row>
    <row r="994" ht="14.25" customHeight="1">
      <c r="A994" s="1085">
        <v>589.0</v>
      </c>
      <c r="B994" s="1086" t="s">
        <v>6300</v>
      </c>
      <c r="C994" s="1087" t="s">
        <v>1731</v>
      </c>
      <c r="D994" s="1088">
        <v>56.46</v>
      </c>
      <c r="E994" s="1089" t="s">
        <v>5308</v>
      </c>
      <c r="F994" s="1081">
        <f t="shared" si="1"/>
        <v>0</v>
      </c>
      <c r="G994" s="1083">
        <f t="shared" si="2"/>
        <v>56.46</v>
      </c>
      <c r="H994" s="1084"/>
    </row>
    <row r="995" ht="14.25" customHeight="1">
      <c r="A995" s="1085">
        <v>584.0</v>
      </c>
      <c r="B995" s="1086" t="s">
        <v>6301</v>
      </c>
      <c r="C995" s="1087" t="s">
        <v>1731</v>
      </c>
      <c r="D995" s="1088">
        <v>35.68</v>
      </c>
      <c r="E995" s="1089" t="s">
        <v>5308</v>
      </c>
      <c r="F995" s="1081">
        <f t="shared" si="1"/>
        <v>0</v>
      </c>
      <c r="G995" s="1083">
        <f t="shared" si="2"/>
        <v>35.68</v>
      </c>
      <c r="H995" s="1084"/>
    </row>
    <row r="996" ht="14.25" customHeight="1">
      <c r="A996" s="1085">
        <v>1165.0</v>
      </c>
      <c r="B996" s="1086" t="s">
        <v>6302</v>
      </c>
      <c r="C996" s="1087" t="s">
        <v>1788</v>
      </c>
      <c r="D996" s="1088">
        <v>20.92</v>
      </c>
      <c r="E996" s="1089" t="s">
        <v>5308</v>
      </c>
      <c r="F996" s="1081">
        <f t="shared" si="1"/>
        <v>0</v>
      </c>
      <c r="G996" s="1083">
        <f t="shared" si="2"/>
        <v>20.92</v>
      </c>
      <c r="H996" s="1084"/>
    </row>
    <row r="997" ht="14.25" customHeight="1">
      <c r="A997" s="1085">
        <v>1164.0</v>
      </c>
      <c r="B997" s="1086" t="s">
        <v>6303</v>
      </c>
      <c r="C997" s="1087" t="s">
        <v>1788</v>
      </c>
      <c r="D997" s="1088">
        <v>16.94</v>
      </c>
      <c r="E997" s="1089" t="s">
        <v>5308</v>
      </c>
      <c r="F997" s="1081">
        <f t="shared" si="1"/>
        <v>0</v>
      </c>
      <c r="G997" s="1083">
        <f t="shared" si="2"/>
        <v>16.94</v>
      </c>
      <c r="H997" s="1084"/>
    </row>
    <row r="998" ht="14.25" customHeight="1">
      <c r="A998" s="1085">
        <v>1162.0</v>
      </c>
      <c r="B998" s="1086" t="s">
        <v>6304</v>
      </c>
      <c r="C998" s="1087" t="s">
        <v>1788</v>
      </c>
      <c r="D998" s="1088">
        <v>5.89</v>
      </c>
      <c r="E998" s="1089" t="s">
        <v>5308</v>
      </c>
      <c r="F998" s="1081">
        <f t="shared" si="1"/>
        <v>0</v>
      </c>
      <c r="G998" s="1083">
        <f t="shared" si="2"/>
        <v>5.89</v>
      </c>
      <c r="H998" s="1084"/>
    </row>
    <row r="999" ht="14.25" customHeight="1">
      <c r="A999" s="1085">
        <v>12395.0</v>
      </c>
      <c r="B999" s="1086" t="s">
        <v>6305</v>
      </c>
      <c r="C999" s="1087" t="s">
        <v>1788</v>
      </c>
      <c r="D999" s="1088">
        <v>5.72</v>
      </c>
      <c r="E999" s="1089" t="s">
        <v>5308</v>
      </c>
      <c r="F999" s="1081">
        <f t="shared" si="1"/>
        <v>0</v>
      </c>
      <c r="G999" s="1083">
        <f t="shared" si="2"/>
        <v>5.72</v>
      </c>
      <c r="H999" s="1084"/>
    </row>
    <row r="1000" ht="14.25" customHeight="1">
      <c r="A1000" s="1085">
        <v>1170.0</v>
      </c>
      <c r="B1000" s="1086" t="s">
        <v>6306</v>
      </c>
      <c r="C1000" s="1087" t="s">
        <v>1788</v>
      </c>
      <c r="D1000" s="1088">
        <v>11.1</v>
      </c>
      <c r="E1000" s="1089" t="s">
        <v>5308</v>
      </c>
      <c r="F1000" s="1081">
        <f t="shared" si="1"/>
        <v>0</v>
      </c>
      <c r="G1000" s="1083">
        <f t="shared" si="2"/>
        <v>11.1</v>
      </c>
      <c r="H1000" s="1084"/>
    </row>
    <row r="1001" ht="14.25" customHeight="1">
      <c r="A1001" s="1085">
        <v>1169.0</v>
      </c>
      <c r="B1001" s="1086" t="s">
        <v>6307</v>
      </c>
      <c r="C1001" s="1087" t="s">
        <v>1788</v>
      </c>
      <c r="D1001" s="1088">
        <v>54.5</v>
      </c>
      <c r="E1001" s="1089" t="s">
        <v>5308</v>
      </c>
      <c r="F1001" s="1081">
        <f t="shared" si="1"/>
        <v>0</v>
      </c>
      <c r="G1001" s="1083">
        <f t="shared" si="2"/>
        <v>54.5</v>
      </c>
      <c r="H1001" s="1084"/>
    </row>
    <row r="1002" ht="14.25" customHeight="1">
      <c r="A1002" s="1085">
        <v>1166.0</v>
      </c>
      <c r="B1002" s="1086" t="s">
        <v>6308</v>
      </c>
      <c r="C1002" s="1087" t="s">
        <v>1788</v>
      </c>
      <c r="D1002" s="1088">
        <v>30.22</v>
      </c>
      <c r="E1002" s="1089" t="s">
        <v>5308</v>
      </c>
      <c r="F1002" s="1081">
        <f t="shared" si="1"/>
        <v>0</v>
      </c>
      <c r="G1002" s="1083">
        <f t="shared" si="2"/>
        <v>30.22</v>
      </c>
      <c r="H1002" s="1084"/>
    </row>
    <row r="1003" ht="14.25" customHeight="1">
      <c r="A1003" s="1085">
        <v>1163.0</v>
      </c>
      <c r="B1003" s="1086" t="s">
        <v>6309</v>
      </c>
      <c r="C1003" s="1087" t="s">
        <v>1788</v>
      </c>
      <c r="D1003" s="1088">
        <v>7.61</v>
      </c>
      <c r="E1003" s="1089" t="s">
        <v>5308</v>
      </c>
      <c r="F1003" s="1081">
        <f t="shared" si="1"/>
        <v>0</v>
      </c>
      <c r="G1003" s="1083">
        <f t="shared" si="2"/>
        <v>7.61</v>
      </c>
      <c r="H1003" s="1084"/>
    </row>
    <row r="1004" ht="14.25" customHeight="1">
      <c r="A1004" s="1085">
        <v>12396.0</v>
      </c>
      <c r="B1004" s="1086" t="s">
        <v>6310</v>
      </c>
      <c r="C1004" s="1087" t="s">
        <v>1788</v>
      </c>
      <c r="D1004" s="1088">
        <v>5.72</v>
      </c>
      <c r="E1004" s="1089" t="s">
        <v>5308</v>
      </c>
      <c r="F1004" s="1081">
        <f t="shared" si="1"/>
        <v>0</v>
      </c>
      <c r="G1004" s="1083">
        <f t="shared" si="2"/>
        <v>5.72</v>
      </c>
      <c r="H1004" s="1084"/>
    </row>
    <row r="1005" ht="14.25" customHeight="1">
      <c r="A1005" s="1085">
        <v>1168.0</v>
      </c>
      <c r="B1005" s="1086" t="s">
        <v>6311</v>
      </c>
      <c r="C1005" s="1087" t="s">
        <v>1788</v>
      </c>
      <c r="D1005" s="1088">
        <v>77.7</v>
      </c>
      <c r="E1005" s="1089" t="s">
        <v>5308</v>
      </c>
      <c r="F1005" s="1081">
        <f t="shared" si="1"/>
        <v>0</v>
      </c>
      <c r="G1005" s="1083">
        <f t="shared" si="2"/>
        <v>77.7</v>
      </c>
      <c r="H1005" s="1084"/>
    </row>
    <row r="1006" ht="14.25" customHeight="1">
      <c r="A1006" s="1085">
        <v>1167.0</v>
      </c>
      <c r="B1006" s="1086" t="s">
        <v>6312</v>
      </c>
      <c r="C1006" s="1087" t="s">
        <v>1788</v>
      </c>
      <c r="D1006" s="1088">
        <v>129.96</v>
      </c>
      <c r="E1006" s="1089" t="s">
        <v>5308</v>
      </c>
      <c r="F1006" s="1081">
        <f t="shared" si="1"/>
        <v>0</v>
      </c>
      <c r="G1006" s="1083">
        <f t="shared" si="2"/>
        <v>129.96</v>
      </c>
      <c r="H1006" s="1084"/>
    </row>
    <row r="1007" ht="14.25" customHeight="1">
      <c r="A1007" s="1085">
        <v>36331.0</v>
      </c>
      <c r="B1007" s="1086" t="s">
        <v>6313</v>
      </c>
      <c r="C1007" s="1087" t="s">
        <v>1788</v>
      </c>
      <c r="D1007" s="1088">
        <v>2.67</v>
      </c>
      <c r="E1007" s="1089" t="s">
        <v>5308</v>
      </c>
      <c r="F1007" s="1081">
        <f t="shared" si="1"/>
        <v>0</v>
      </c>
      <c r="G1007" s="1083">
        <f t="shared" si="2"/>
        <v>2.67</v>
      </c>
      <c r="H1007" s="1084"/>
    </row>
    <row r="1008" ht="14.25" customHeight="1">
      <c r="A1008" s="1085">
        <v>36346.0</v>
      </c>
      <c r="B1008" s="1086" t="s">
        <v>6314</v>
      </c>
      <c r="C1008" s="1087" t="s">
        <v>1788</v>
      </c>
      <c r="D1008" s="1088">
        <v>4.0</v>
      </c>
      <c r="E1008" s="1089" t="s">
        <v>5308</v>
      </c>
      <c r="F1008" s="1081">
        <f t="shared" si="1"/>
        <v>0</v>
      </c>
      <c r="G1008" s="1083">
        <f t="shared" si="2"/>
        <v>4</v>
      </c>
      <c r="H1008" s="1084"/>
    </row>
    <row r="1009" ht="14.25" customHeight="1">
      <c r="A1009" s="1085">
        <v>1197.0</v>
      </c>
      <c r="B1009" s="1086" t="s">
        <v>6315</v>
      </c>
      <c r="C1009" s="1087" t="s">
        <v>1788</v>
      </c>
      <c r="D1009" s="1088">
        <v>1.84</v>
      </c>
      <c r="E1009" s="1089" t="s">
        <v>5308</v>
      </c>
      <c r="F1009" s="1081">
        <f t="shared" si="1"/>
        <v>0</v>
      </c>
      <c r="G1009" s="1083">
        <f t="shared" si="2"/>
        <v>1.84</v>
      </c>
      <c r="H1009" s="1084"/>
    </row>
    <row r="1010" ht="14.25" customHeight="1">
      <c r="A1010" s="1085">
        <v>1202.0</v>
      </c>
      <c r="B1010" s="1086" t="s">
        <v>6316</v>
      </c>
      <c r="C1010" s="1087" t="s">
        <v>1788</v>
      </c>
      <c r="D1010" s="1088">
        <v>5.21</v>
      </c>
      <c r="E1010" s="1089" t="s">
        <v>5308</v>
      </c>
      <c r="F1010" s="1081">
        <f t="shared" si="1"/>
        <v>0</v>
      </c>
      <c r="G1010" s="1083">
        <f t="shared" si="2"/>
        <v>5.21</v>
      </c>
      <c r="H1010" s="1084"/>
    </row>
    <row r="1011" ht="14.25" customHeight="1">
      <c r="A1011" s="1085">
        <v>1198.0</v>
      </c>
      <c r="B1011" s="1086" t="s">
        <v>6317</v>
      </c>
      <c r="C1011" s="1087" t="s">
        <v>1788</v>
      </c>
      <c r="D1011" s="1088">
        <v>2.4</v>
      </c>
      <c r="E1011" s="1089" t="s">
        <v>5308</v>
      </c>
      <c r="F1011" s="1081">
        <f t="shared" si="1"/>
        <v>0</v>
      </c>
      <c r="G1011" s="1083">
        <f t="shared" si="2"/>
        <v>2.4</v>
      </c>
      <c r="H1011" s="1084"/>
    </row>
    <row r="1012" ht="14.25" customHeight="1">
      <c r="A1012" s="1085">
        <v>20088.0</v>
      </c>
      <c r="B1012" s="1086" t="s">
        <v>6318</v>
      </c>
      <c r="C1012" s="1087" t="s">
        <v>1788</v>
      </c>
      <c r="D1012" s="1088">
        <v>14.65</v>
      </c>
      <c r="E1012" s="1089" t="s">
        <v>5308</v>
      </c>
      <c r="F1012" s="1081">
        <f t="shared" si="1"/>
        <v>0</v>
      </c>
      <c r="G1012" s="1083">
        <f t="shared" si="2"/>
        <v>14.65</v>
      </c>
      <c r="H1012" s="1084"/>
    </row>
    <row r="1013" ht="14.25" customHeight="1">
      <c r="A1013" s="1085">
        <v>20089.0</v>
      </c>
      <c r="B1013" s="1086" t="s">
        <v>6319</v>
      </c>
      <c r="C1013" s="1087" t="s">
        <v>1788</v>
      </c>
      <c r="D1013" s="1088">
        <v>71.84</v>
      </c>
      <c r="E1013" s="1089" t="s">
        <v>5308</v>
      </c>
      <c r="F1013" s="1081">
        <f t="shared" si="1"/>
        <v>0</v>
      </c>
      <c r="G1013" s="1083">
        <f t="shared" si="2"/>
        <v>71.84</v>
      </c>
      <c r="H1013" s="1084"/>
    </row>
    <row r="1014" ht="14.25" customHeight="1">
      <c r="A1014" s="1085">
        <v>20087.0</v>
      </c>
      <c r="B1014" s="1086" t="s">
        <v>6320</v>
      </c>
      <c r="C1014" s="1087" t="s">
        <v>1788</v>
      </c>
      <c r="D1014" s="1088">
        <v>12.12</v>
      </c>
      <c r="E1014" s="1089" t="s">
        <v>5308</v>
      </c>
      <c r="F1014" s="1081">
        <f t="shared" si="1"/>
        <v>0</v>
      </c>
      <c r="G1014" s="1083">
        <f t="shared" si="2"/>
        <v>12.12</v>
      </c>
      <c r="H1014" s="1084"/>
    </row>
    <row r="1015" ht="14.25" customHeight="1">
      <c r="A1015" s="1085">
        <v>1200.0</v>
      </c>
      <c r="B1015" s="1086" t="s">
        <v>6321</v>
      </c>
      <c r="C1015" s="1087" t="s">
        <v>1788</v>
      </c>
      <c r="D1015" s="1088">
        <v>11.01</v>
      </c>
      <c r="E1015" s="1089" t="s">
        <v>5308</v>
      </c>
      <c r="F1015" s="1081">
        <f t="shared" si="1"/>
        <v>0</v>
      </c>
      <c r="G1015" s="1083">
        <f t="shared" si="2"/>
        <v>11.01</v>
      </c>
      <c r="H1015" s="1084"/>
    </row>
    <row r="1016" ht="14.25" customHeight="1">
      <c r="A1016" s="1085">
        <v>12909.0</v>
      </c>
      <c r="B1016" s="1086" t="s">
        <v>6322</v>
      </c>
      <c r="C1016" s="1087" t="s">
        <v>1788</v>
      </c>
      <c r="D1016" s="1088">
        <v>5.11</v>
      </c>
      <c r="E1016" s="1089" t="s">
        <v>5308</v>
      </c>
      <c r="F1016" s="1081">
        <f t="shared" si="1"/>
        <v>0</v>
      </c>
      <c r="G1016" s="1083">
        <f t="shared" si="2"/>
        <v>5.11</v>
      </c>
      <c r="H1016" s="1084"/>
    </row>
    <row r="1017" ht="14.25" customHeight="1">
      <c r="A1017" s="1085">
        <v>12910.0</v>
      </c>
      <c r="B1017" s="1086" t="s">
        <v>6323</v>
      </c>
      <c r="C1017" s="1087" t="s">
        <v>1788</v>
      </c>
      <c r="D1017" s="1088">
        <v>9.18</v>
      </c>
      <c r="E1017" s="1089" t="s">
        <v>5308</v>
      </c>
      <c r="F1017" s="1081">
        <f t="shared" si="1"/>
        <v>0</v>
      </c>
      <c r="G1017" s="1083">
        <f t="shared" si="2"/>
        <v>9.18</v>
      </c>
      <c r="H1017" s="1084"/>
    </row>
    <row r="1018" ht="14.25" customHeight="1">
      <c r="A1018" s="1085">
        <v>1191.0</v>
      </c>
      <c r="B1018" s="1086" t="s">
        <v>6324</v>
      </c>
      <c r="C1018" s="1087" t="s">
        <v>1788</v>
      </c>
      <c r="D1018" s="1088">
        <v>1.31</v>
      </c>
      <c r="E1018" s="1089" t="s">
        <v>5308</v>
      </c>
      <c r="F1018" s="1081">
        <f t="shared" si="1"/>
        <v>0</v>
      </c>
      <c r="G1018" s="1083">
        <f t="shared" si="2"/>
        <v>1.31</v>
      </c>
      <c r="H1018" s="1084"/>
    </row>
    <row r="1019" ht="14.25" customHeight="1">
      <c r="A1019" s="1085">
        <v>1185.0</v>
      </c>
      <c r="B1019" s="1086" t="s">
        <v>6325</v>
      </c>
      <c r="C1019" s="1087" t="s">
        <v>1788</v>
      </c>
      <c r="D1019" s="1088">
        <v>1.31</v>
      </c>
      <c r="E1019" s="1089" t="s">
        <v>5308</v>
      </c>
      <c r="F1019" s="1081">
        <f t="shared" si="1"/>
        <v>0</v>
      </c>
      <c r="G1019" s="1083">
        <f t="shared" si="2"/>
        <v>1.31</v>
      </c>
      <c r="H1019" s="1084"/>
    </row>
    <row r="1020" ht="14.25" customHeight="1">
      <c r="A1020" s="1085">
        <v>1189.0</v>
      </c>
      <c r="B1020" s="1086" t="s">
        <v>6326</v>
      </c>
      <c r="C1020" s="1087" t="s">
        <v>1788</v>
      </c>
      <c r="D1020" s="1088">
        <v>2.14</v>
      </c>
      <c r="E1020" s="1089" t="s">
        <v>5308</v>
      </c>
      <c r="F1020" s="1081">
        <f t="shared" si="1"/>
        <v>0</v>
      </c>
      <c r="G1020" s="1083">
        <f t="shared" si="2"/>
        <v>2.14</v>
      </c>
      <c r="H1020" s="1084"/>
    </row>
    <row r="1021" ht="14.25" customHeight="1">
      <c r="A1021" s="1085">
        <v>1193.0</v>
      </c>
      <c r="B1021" s="1086" t="s">
        <v>6327</v>
      </c>
      <c r="C1021" s="1087" t="s">
        <v>1788</v>
      </c>
      <c r="D1021" s="1088">
        <v>4.11</v>
      </c>
      <c r="E1021" s="1089" t="s">
        <v>5308</v>
      </c>
      <c r="F1021" s="1081">
        <f t="shared" si="1"/>
        <v>0</v>
      </c>
      <c r="G1021" s="1083">
        <f t="shared" si="2"/>
        <v>4.11</v>
      </c>
      <c r="H1021" s="1084"/>
    </row>
    <row r="1022" ht="14.25" customHeight="1">
      <c r="A1022" s="1085">
        <v>1194.0</v>
      </c>
      <c r="B1022" s="1086" t="s">
        <v>6328</v>
      </c>
      <c r="C1022" s="1087" t="s">
        <v>1788</v>
      </c>
      <c r="D1022" s="1088">
        <v>7.43</v>
      </c>
      <c r="E1022" s="1089" t="s">
        <v>5308</v>
      </c>
      <c r="F1022" s="1081">
        <f t="shared" si="1"/>
        <v>0</v>
      </c>
      <c r="G1022" s="1083">
        <f t="shared" si="2"/>
        <v>7.43</v>
      </c>
      <c r="H1022" s="1084"/>
    </row>
    <row r="1023" ht="14.25" customHeight="1">
      <c r="A1023" s="1085">
        <v>1195.0</v>
      </c>
      <c r="B1023" s="1086" t="s">
        <v>6329</v>
      </c>
      <c r="C1023" s="1087" t="s">
        <v>1788</v>
      </c>
      <c r="D1023" s="1088">
        <v>12.51</v>
      </c>
      <c r="E1023" s="1089" t="s">
        <v>5308</v>
      </c>
      <c r="F1023" s="1081">
        <f t="shared" si="1"/>
        <v>0</v>
      </c>
      <c r="G1023" s="1083">
        <f t="shared" si="2"/>
        <v>12.51</v>
      </c>
      <c r="H1023" s="1084"/>
    </row>
    <row r="1024" ht="14.25" customHeight="1">
      <c r="A1024" s="1085">
        <v>1204.0</v>
      </c>
      <c r="B1024" s="1086" t="s">
        <v>6330</v>
      </c>
      <c r="C1024" s="1087" t="s">
        <v>1788</v>
      </c>
      <c r="D1024" s="1088">
        <v>21.88</v>
      </c>
      <c r="E1024" s="1089" t="s">
        <v>5308</v>
      </c>
      <c r="F1024" s="1081">
        <f t="shared" si="1"/>
        <v>0</v>
      </c>
      <c r="G1024" s="1083">
        <f t="shared" si="2"/>
        <v>21.88</v>
      </c>
      <c r="H1024" s="1084"/>
    </row>
    <row r="1025" ht="14.25" customHeight="1">
      <c r="A1025" s="1085">
        <v>1207.0</v>
      </c>
      <c r="B1025" s="1086" t="s">
        <v>6331</v>
      </c>
      <c r="C1025" s="1087" t="s">
        <v>1788</v>
      </c>
      <c r="D1025" s="1088">
        <v>31.46</v>
      </c>
      <c r="E1025" s="1089" t="s">
        <v>5308</v>
      </c>
      <c r="F1025" s="1081">
        <f t="shared" si="1"/>
        <v>0</v>
      </c>
      <c r="G1025" s="1083">
        <f t="shared" si="2"/>
        <v>31.46</v>
      </c>
      <c r="H1025" s="1084"/>
    </row>
    <row r="1026" ht="14.25" customHeight="1">
      <c r="A1026" s="1085">
        <v>1206.0</v>
      </c>
      <c r="B1026" s="1086" t="s">
        <v>6332</v>
      </c>
      <c r="C1026" s="1087" t="s">
        <v>1788</v>
      </c>
      <c r="D1026" s="1088">
        <v>7.89</v>
      </c>
      <c r="E1026" s="1089" t="s">
        <v>5308</v>
      </c>
      <c r="F1026" s="1081">
        <f t="shared" si="1"/>
        <v>0</v>
      </c>
      <c r="G1026" s="1083">
        <f t="shared" si="2"/>
        <v>7.89</v>
      </c>
      <c r="H1026" s="1084"/>
    </row>
    <row r="1027" ht="14.25" customHeight="1">
      <c r="A1027" s="1085">
        <v>1183.0</v>
      </c>
      <c r="B1027" s="1086" t="s">
        <v>6333</v>
      </c>
      <c r="C1027" s="1087" t="s">
        <v>1788</v>
      </c>
      <c r="D1027" s="1088">
        <v>20.55</v>
      </c>
      <c r="E1027" s="1089" t="s">
        <v>5308</v>
      </c>
      <c r="F1027" s="1081">
        <f t="shared" si="1"/>
        <v>0</v>
      </c>
      <c r="G1027" s="1083">
        <f t="shared" si="2"/>
        <v>20.55</v>
      </c>
      <c r="H1027" s="1084"/>
    </row>
    <row r="1028" ht="14.25" customHeight="1">
      <c r="A1028" s="1085">
        <v>42685.0</v>
      </c>
      <c r="B1028" s="1086" t="s">
        <v>6334</v>
      </c>
      <c r="C1028" s="1087" t="s">
        <v>1788</v>
      </c>
      <c r="D1028" s="1088">
        <v>74.45</v>
      </c>
      <c r="E1028" s="1089" t="s">
        <v>5308</v>
      </c>
      <c r="F1028" s="1081">
        <f t="shared" si="1"/>
        <v>0</v>
      </c>
      <c r="G1028" s="1083">
        <f t="shared" si="2"/>
        <v>74.45</v>
      </c>
      <c r="H1028" s="1084"/>
    </row>
    <row r="1029" ht="14.25" customHeight="1">
      <c r="A1029" s="1085">
        <v>42686.0</v>
      </c>
      <c r="B1029" s="1086" t="s">
        <v>6335</v>
      </c>
      <c r="C1029" s="1087" t="s">
        <v>1788</v>
      </c>
      <c r="D1029" s="1088">
        <v>82.0</v>
      </c>
      <c r="E1029" s="1089" t="s">
        <v>5308</v>
      </c>
      <c r="F1029" s="1081">
        <f t="shared" si="1"/>
        <v>0</v>
      </c>
      <c r="G1029" s="1083">
        <f t="shared" si="2"/>
        <v>82</v>
      </c>
      <c r="H1029" s="1084"/>
    </row>
    <row r="1030" ht="14.25" customHeight="1">
      <c r="A1030" s="1085">
        <v>12894.0</v>
      </c>
      <c r="B1030" s="1086" t="s">
        <v>6336</v>
      </c>
      <c r="C1030" s="1087" t="s">
        <v>1788</v>
      </c>
      <c r="D1030" s="1088">
        <v>19.5</v>
      </c>
      <c r="E1030" s="1089" t="s">
        <v>5308</v>
      </c>
      <c r="F1030" s="1081">
        <f t="shared" si="1"/>
        <v>0</v>
      </c>
      <c r="G1030" s="1083">
        <f t="shared" si="2"/>
        <v>19.5</v>
      </c>
      <c r="H1030" s="1084"/>
    </row>
    <row r="1031" ht="14.25" customHeight="1">
      <c r="A1031" s="1085">
        <v>12895.0</v>
      </c>
      <c r="B1031" s="1086" t="s">
        <v>6337</v>
      </c>
      <c r="C1031" s="1087" t="s">
        <v>1788</v>
      </c>
      <c r="D1031" s="1088">
        <v>15.0</v>
      </c>
      <c r="E1031" s="1089" t="s">
        <v>5308</v>
      </c>
      <c r="F1031" s="1081">
        <f t="shared" si="1"/>
        <v>0</v>
      </c>
      <c r="G1031" s="1083">
        <f t="shared" si="2"/>
        <v>15</v>
      </c>
      <c r="H1031" s="1084"/>
    </row>
    <row r="1032" ht="14.25" customHeight="1">
      <c r="A1032" s="1085">
        <v>1631.0</v>
      </c>
      <c r="B1032" s="1086" t="s">
        <v>6338</v>
      </c>
      <c r="C1032" s="1087" t="s">
        <v>1788</v>
      </c>
      <c r="D1032" s="1088">
        <v>125.03</v>
      </c>
      <c r="E1032" s="1089" t="s">
        <v>5308</v>
      </c>
      <c r="F1032" s="1081">
        <f t="shared" si="1"/>
        <v>0</v>
      </c>
      <c r="G1032" s="1083">
        <f t="shared" si="2"/>
        <v>125.03</v>
      </c>
      <c r="H1032" s="1084"/>
    </row>
    <row r="1033" ht="14.25" customHeight="1">
      <c r="A1033" s="1085">
        <v>1633.0</v>
      </c>
      <c r="B1033" s="1086" t="s">
        <v>6339</v>
      </c>
      <c r="C1033" s="1087" t="s">
        <v>1788</v>
      </c>
      <c r="D1033" s="1088">
        <v>212.44</v>
      </c>
      <c r="E1033" s="1089" t="s">
        <v>5308</v>
      </c>
      <c r="F1033" s="1081">
        <f t="shared" si="1"/>
        <v>0</v>
      </c>
      <c r="G1033" s="1083">
        <f t="shared" si="2"/>
        <v>212.44</v>
      </c>
      <c r="H1033" s="1084"/>
    </row>
    <row r="1034" ht="14.25" customHeight="1">
      <c r="A1034" s="1085">
        <v>10818.0</v>
      </c>
      <c r="B1034" s="1086" t="s">
        <v>6340</v>
      </c>
      <c r="C1034" s="1087" t="s">
        <v>3606</v>
      </c>
      <c r="D1034" s="1088">
        <v>27.92</v>
      </c>
      <c r="E1034" s="1089" t="s">
        <v>5308</v>
      </c>
      <c r="F1034" s="1081">
        <f t="shared" si="1"/>
        <v>0</v>
      </c>
      <c r="G1034" s="1083">
        <f t="shared" si="2"/>
        <v>27.92</v>
      </c>
      <c r="H1034" s="1084"/>
    </row>
    <row r="1035" ht="14.25" customHeight="1">
      <c r="A1035" s="1085">
        <v>41410.0</v>
      </c>
      <c r="B1035" s="1086" t="s">
        <v>6341</v>
      </c>
      <c r="C1035" s="1087" t="s">
        <v>1788</v>
      </c>
      <c r="D1035" s="1088">
        <v>70.72</v>
      </c>
      <c r="E1035" s="1089" t="s">
        <v>5308</v>
      </c>
      <c r="F1035" s="1081">
        <f t="shared" si="1"/>
        <v>0</v>
      </c>
      <c r="G1035" s="1083">
        <f t="shared" si="2"/>
        <v>70.72</v>
      </c>
      <c r="H1035" s="1084"/>
    </row>
    <row r="1036" ht="14.25" customHeight="1">
      <c r="A1036" s="1085">
        <v>41411.0</v>
      </c>
      <c r="B1036" s="1086" t="s">
        <v>6342</v>
      </c>
      <c r="C1036" s="1087" t="s">
        <v>1788</v>
      </c>
      <c r="D1036" s="1088">
        <v>64.11</v>
      </c>
      <c r="E1036" s="1089" t="s">
        <v>5308</v>
      </c>
      <c r="F1036" s="1081">
        <f t="shared" si="1"/>
        <v>0</v>
      </c>
      <c r="G1036" s="1083">
        <f t="shared" si="2"/>
        <v>64.11</v>
      </c>
      <c r="H1036" s="1084"/>
    </row>
    <row r="1037" ht="14.25" customHeight="1">
      <c r="A1037" s="1085">
        <v>41412.0</v>
      </c>
      <c r="B1037" s="1086" t="s">
        <v>6343</v>
      </c>
      <c r="C1037" s="1087" t="s">
        <v>1788</v>
      </c>
      <c r="D1037" s="1088">
        <v>124.0</v>
      </c>
      <c r="E1037" s="1089" t="s">
        <v>5308</v>
      </c>
      <c r="F1037" s="1081">
        <f t="shared" si="1"/>
        <v>0</v>
      </c>
      <c r="G1037" s="1083">
        <f t="shared" si="2"/>
        <v>124</v>
      </c>
      <c r="H1037" s="1084"/>
    </row>
    <row r="1038" ht="14.25" customHeight="1">
      <c r="A1038" s="1085">
        <v>41413.0</v>
      </c>
      <c r="B1038" s="1086" t="s">
        <v>6344</v>
      </c>
      <c r="C1038" s="1087" t="s">
        <v>1788</v>
      </c>
      <c r="D1038" s="1088">
        <v>111.58</v>
      </c>
      <c r="E1038" s="1089" t="s">
        <v>5308</v>
      </c>
      <c r="F1038" s="1081">
        <f t="shared" si="1"/>
        <v>0</v>
      </c>
      <c r="G1038" s="1083">
        <f t="shared" si="2"/>
        <v>111.58</v>
      </c>
      <c r="H1038" s="1084"/>
    </row>
    <row r="1039" ht="14.25" customHeight="1">
      <c r="A1039" s="1085">
        <v>39359.0</v>
      </c>
      <c r="B1039" s="1086" t="s">
        <v>6345</v>
      </c>
      <c r="C1039" s="1087" t="s">
        <v>1788</v>
      </c>
      <c r="D1039" s="1088">
        <v>31.9</v>
      </c>
      <c r="E1039" s="1089" t="s">
        <v>5308</v>
      </c>
      <c r="F1039" s="1081">
        <f t="shared" si="1"/>
        <v>0</v>
      </c>
      <c r="G1039" s="1083">
        <f t="shared" si="2"/>
        <v>31.9</v>
      </c>
      <c r="H1039" s="1084"/>
    </row>
    <row r="1040" ht="14.25" customHeight="1">
      <c r="A1040" s="1085">
        <v>39360.0</v>
      </c>
      <c r="B1040" s="1086" t="s">
        <v>6346</v>
      </c>
      <c r="C1040" s="1087" t="s">
        <v>1788</v>
      </c>
      <c r="D1040" s="1088">
        <v>31.9</v>
      </c>
      <c r="E1040" s="1089" t="s">
        <v>5308</v>
      </c>
      <c r="F1040" s="1081">
        <f t="shared" si="1"/>
        <v>0</v>
      </c>
      <c r="G1040" s="1083">
        <f t="shared" si="2"/>
        <v>31.9</v>
      </c>
      <c r="H1040" s="1084"/>
    </row>
    <row r="1041" ht="14.25" customHeight="1">
      <c r="A1041" s="1085">
        <v>10710.0</v>
      </c>
      <c r="B1041" s="1086" t="s">
        <v>6347</v>
      </c>
      <c r="C1041" s="1087" t="s">
        <v>1814</v>
      </c>
      <c r="D1041" s="1088">
        <v>149.0</v>
      </c>
      <c r="E1041" s="1089" t="s">
        <v>6348</v>
      </c>
      <c r="F1041" s="1081">
        <f t="shared" si="1"/>
        <v>0</v>
      </c>
      <c r="G1041" s="1083">
        <f t="shared" si="2"/>
        <v>149</v>
      </c>
      <c r="H1041" s="1084"/>
    </row>
    <row r="1042" ht="14.25" customHeight="1">
      <c r="A1042" s="1085">
        <v>10709.0</v>
      </c>
      <c r="B1042" s="1086" t="s">
        <v>6349</v>
      </c>
      <c r="C1042" s="1087" t="s">
        <v>1814</v>
      </c>
      <c r="D1042" s="1088">
        <v>183.05</v>
      </c>
      <c r="E1042" s="1089" t="s">
        <v>6348</v>
      </c>
      <c r="F1042" s="1081">
        <f t="shared" si="1"/>
        <v>0</v>
      </c>
      <c r="G1042" s="1083">
        <f t="shared" si="2"/>
        <v>183.05</v>
      </c>
      <c r="H1042" s="1084"/>
    </row>
    <row r="1043" ht="14.25" customHeight="1">
      <c r="A1043" s="1085">
        <v>39636.0</v>
      </c>
      <c r="B1043" s="1086" t="s">
        <v>6350</v>
      </c>
      <c r="C1043" s="1087" t="s">
        <v>1814</v>
      </c>
      <c r="D1043" s="1088">
        <v>186.92</v>
      </c>
      <c r="E1043" s="1089" t="s">
        <v>6348</v>
      </c>
      <c r="F1043" s="1081">
        <f t="shared" si="1"/>
        <v>0</v>
      </c>
      <c r="G1043" s="1083">
        <f t="shared" si="2"/>
        <v>186.92</v>
      </c>
      <c r="H1043" s="1084"/>
    </row>
    <row r="1044" ht="14.25" customHeight="1">
      <c r="A1044" s="1085">
        <v>10708.0</v>
      </c>
      <c r="B1044" s="1086" t="s">
        <v>6351</v>
      </c>
      <c r="C1044" s="1087" t="s">
        <v>1814</v>
      </c>
      <c r="D1044" s="1088">
        <v>57.68</v>
      </c>
      <c r="E1044" s="1089" t="s">
        <v>6348</v>
      </c>
      <c r="F1044" s="1081">
        <f t="shared" si="1"/>
        <v>0</v>
      </c>
      <c r="G1044" s="1083">
        <f t="shared" si="2"/>
        <v>57.68</v>
      </c>
      <c r="H1044" s="1084"/>
    </row>
    <row r="1045" ht="14.25" customHeight="1">
      <c r="A1045" s="1085">
        <v>39635.0</v>
      </c>
      <c r="B1045" s="1086" t="s">
        <v>6352</v>
      </c>
      <c r="C1045" s="1087" t="s">
        <v>1814</v>
      </c>
      <c r="D1045" s="1088">
        <v>98.2</v>
      </c>
      <c r="E1045" s="1089" t="s">
        <v>6348</v>
      </c>
      <c r="F1045" s="1081">
        <f t="shared" si="1"/>
        <v>0</v>
      </c>
      <c r="G1045" s="1083">
        <f t="shared" si="2"/>
        <v>98.2</v>
      </c>
      <c r="H1045" s="1084"/>
    </row>
    <row r="1046" ht="14.25" customHeight="1">
      <c r="A1046" s="1085">
        <v>6117.0</v>
      </c>
      <c r="B1046" s="1086" t="s">
        <v>6353</v>
      </c>
      <c r="C1046" s="1087" t="s">
        <v>1470</v>
      </c>
      <c r="D1046" s="1088">
        <v>15.93</v>
      </c>
      <c r="E1046" s="1089" t="s">
        <v>5452</v>
      </c>
      <c r="F1046" s="1081">
        <f t="shared" si="1"/>
        <v>15.93</v>
      </c>
      <c r="G1046" s="1083">
        <f t="shared" si="2"/>
        <v>0</v>
      </c>
      <c r="H1046" s="1084"/>
    </row>
    <row r="1047" ht="14.25" customHeight="1">
      <c r="A1047" s="1085">
        <v>40913.0</v>
      </c>
      <c r="B1047" s="1086" t="s">
        <v>6354</v>
      </c>
      <c r="C1047" s="1087" t="s">
        <v>5454</v>
      </c>
      <c r="D1047" s="1088">
        <v>2789.44</v>
      </c>
      <c r="E1047" s="1089" t="s">
        <v>5452</v>
      </c>
      <c r="F1047" s="1081">
        <f t="shared" si="1"/>
        <v>2789.44</v>
      </c>
      <c r="G1047" s="1083">
        <f t="shared" si="2"/>
        <v>0</v>
      </c>
      <c r="H1047" s="1084"/>
    </row>
    <row r="1048" ht="14.25" customHeight="1">
      <c r="A1048" s="1085">
        <v>1214.0</v>
      </c>
      <c r="B1048" s="1086" t="s">
        <v>6355</v>
      </c>
      <c r="C1048" s="1087" t="s">
        <v>1470</v>
      </c>
      <c r="D1048" s="1088">
        <v>19.6</v>
      </c>
      <c r="E1048" s="1089" t="s">
        <v>5452</v>
      </c>
      <c r="F1048" s="1081">
        <f t="shared" si="1"/>
        <v>19.6</v>
      </c>
      <c r="G1048" s="1083">
        <f t="shared" si="2"/>
        <v>0</v>
      </c>
      <c r="H1048" s="1084"/>
    </row>
    <row r="1049" ht="14.25" customHeight="1">
      <c r="A1049" s="1085">
        <v>40915.0</v>
      </c>
      <c r="B1049" s="1086" t="s">
        <v>6356</v>
      </c>
      <c r="C1049" s="1087" t="s">
        <v>5454</v>
      </c>
      <c r="D1049" s="1088">
        <v>3430.91</v>
      </c>
      <c r="E1049" s="1089" t="s">
        <v>5452</v>
      </c>
      <c r="F1049" s="1081">
        <f t="shared" si="1"/>
        <v>3430.91</v>
      </c>
      <c r="G1049" s="1083">
        <f t="shared" si="2"/>
        <v>0</v>
      </c>
      <c r="H1049" s="1084"/>
    </row>
    <row r="1050" ht="14.25" customHeight="1">
      <c r="A1050" s="1085">
        <v>1213.0</v>
      </c>
      <c r="B1050" s="1086" t="s">
        <v>6357</v>
      </c>
      <c r="C1050" s="1087" t="s">
        <v>1470</v>
      </c>
      <c r="D1050" s="1088">
        <v>20.82</v>
      </c>
      <c r="E1050" s="1089" t="s">
        <v>5452</v>
      </c>
      <c r="F1050" s="1081">
        <f t="shared" si="1"/>
        <v>20.82</v>
      </c>
      <c r="G1050" s="1083">
        <f t="shared" si="2"/>
        <v>0</v>
      </c>
      <c r="H1050" s="1084"/>
    </row>
    <row r="1051" ht="14.25" customHeight="1">
      <c r="A1051" s="1085">
        <v>40914.0</v>
      </c>
      <c r="B1051" s="1086" t="s">
        <v>6358</v>
      </c>
      <c r="C1051" s="1087" t="s">
        <v>5454</v>
      </c>
      <c r="D1051" s="1088">
        <v>3643.51</v>
      </c>
      <c r="E1051" s="1089" t="s">
        <v>5452</v>
      </c>
      <c r="F1051" s="1081">
        <f t="shared" si="1"/>
        <v>3643.51</v>
      </c>
      <c r="G1051" s="1083">
        <f t="shared" si="2"/>
        <v>0</v>
      </c>
      <c r="H1051" s="1084"/>
    </row>
    <row r="1052" ht="14.25" customHeight="1">
      <c r="A1052" s="1085">
        <v>5091.0</v>
      </c>
      <c r="B1052" s="1086" t="s">
        <v>6359</v>
      </c>
      <c r="C1052" s="1087" t="s">
        <v>1788</v>
      </c>
      <c r="D1052" s="1088">
        <v>19.53</v>
      </c>
      <c r="E1052" s="1089" t="s">
        <v>5308</v>
      </c>
      <c r="F1052" s="1081">
        <f t="shared" si="1"/>
        <v>0</v>
      </c>
      <c r="G1052" s="1083">
        <f t="shared" si="2"/>
        <v>19.53</v>
      </c>
      <c r="H1052" s="1084"/>
    </row>
    <row r="1053" ht="14.25" customHeight="1">
      <c r="A1053" s="1085">
        <v>14615.0</v>
      </c>
      <c r="B1053" s="1086" t="s">
        <v>6360</v>
      </c>
      <c r="C1053" s="1087" t="s">
        <v>1788</v>
      </c>
      <c r="D1053" s="1088">
        <v>3697.7</v>
      </c>
      <c r="E1053" s="1089" t="s">
        <v>5482</v>
      </c>
      <c r="F1053" s="1081">
        <f t="shared" si="1"/>
        <v>0</v>
      </c>
      <c r="G1053" s="1083">
        <f t="shared" si="2"/>
        <v>3697.7</v>
      </c>
      <c r="H1053" s="1084"/>
    </row>
    <row r="1054" ht="14.25" customHeight="1">
      <c r="A1054" s="1085">
        <v>2711.0</v>
      </c>
      <c r="B1054" s="1086" t="s">
        <v>6361</v>
      </c>
      <c r="C1054" s="1087" t="s">
        <v>1788</v>
      </c>
      <c r="D1054" s="1088">
        <v>169.9</v>
      </c>
      <c r="E1054" s="1089" t="s">
        <v>5308</v>
      </c>
      <c r="F1054" s="1081">
        <f t="shared" si="1"/>
        <v>0</v>
      </c>
      <c r="G1054" s="1083">
        <f t="shared" si="2"/>
        <v>169.9</v>
      </c>
      <c r="H1054" s="1084"/>
    </row>
    <row r="1055" ht="14.25" customHeight="1">
      <c r="A1055" s="1085">
        <v>37727.0</v>
      </c>
      <c r="B1055" s="1086" t="s">
        <v>6362</v>
      </c>
      <c r="C1055" s="1087" t="s">
        <v>1788</v>
      </c>
      <c r="D1055" s="1088">
        <v>22500.0</v>
      </c>
      <c r="E1055" s="1089" t="s">
        <v>5482</v>
      </c>
      <c r="F1055" s="1081">
        <f t="shared" si="1"/>
        <v>0</v>
      </c>
      <c r="G1055" s="1083">
        <f t="shared" si="2"/>
        <v>22500</v>
      </c>
      <c r="H1055" s="1084"/>
    </row>
    <row r="1056" ht="14.25" customHeight="1">
      <c r="A1056" s="1085">
        <v>37728.0</v>
      </c>
      <c r="B1056" s="1086" t="s">
        <v>6363</v>
      </c>
      <c r="C1056" s="1087" t="s">
        <v>1788</v>
      </c>
      <c r="D1056" s="1088">
        <v>30524.47</v>
      </c>
      <c r="E1056" s="1089" t="s">
        <v>5482</v>
      </c>
      <c r="F1056" s="1081">
        <f t="shared" si="1"/>
        <v>0</v>
      </c>
      <c r="G1056" s="1083">
        <f t="shared" si="2"/>
        <v>30524.47</v>
      </c>
      <c r="H1056" s="1084"/>
    </row>
    <row r="1057" ht="14.25" customHeight="1">
      <c r="A1057" s="1085">
        <v>37729.0</v>
      </c>
      <c r="B1057" s="1086" t="s">
        <v>6364</v>
      </c>
      <c r="C1057" s="1087" t="s">
        <v>1788</v>
      </c>
      <c r="D1057" s="1088">
        <v>33041.95</v>
      </c>
      <c r="E1057" s="1089" t="s">
        <v>5482</v>
      </c>
      <c r="F1057" s="1081">
        <f t="shared" si="1"/>
        <v>0</v>
      </c>
      <c r="G1057" s="1083">
        <f t="shared" si="2"/>
        <v>33041.95</v>
      </c>
      <c r="H1057" s="1084"/>
    </row>
    <row r="1058" ht="14.25" customHeight="1">
      <c r="A1058" s="1085">
        <v>37730.0</v>
      </c>
      <c r="B1058" s="1086" t="s">
        <v>6365</v>
      </c>
      <c r="C1058" s="1087" t="s">
        <v>1788</v>
      </c>
      <c r="D1058" s="1088">
        <v>35559.44</v>
      </c>
      <c r="E1058" s="1089" t="s">
        <v>5482</v>
      </c>
      <c r="F1058" s="1081">
        <f t="shared" si="1"/>
        <v>0</v>
      </c>
      <c r="G1058" s="1083">
        <f t="shared" si="2"/>
        <v>35559.44</v>
      </c>
      <c r="H1058" s="1084"/>
    </row>
    <row r="1059" ht="14.25" customHeight="1">
      <c r="A1059" s="1085">
        <v>37731.0</v>
      </c>
      <c r="B1059" s="1086" t="s">
        <v>6366</v>
      </c>
      <c r="C1059" s="1087" t="s">
        <v>1788</v>
      </c>
      <c r="D1059" s="1088">
        <v>38076.92</v>
      </c>
      <c r="E1059" s="1089" t="s">
        <v>5482</v>
      </c>
      <c r="F1059" s="1081">
        <f t="shared" si="1"/>
        <v>0</v>
      </c>
      <c r="G1059" s="1083">
        <f t="shared" si="2"/>
        <v>38076.92</v>
      </c>
      <c r="H1059" s="1084"/>
    </row>
    <row r="1060" ht="14.25" customHeight="1">
      <c r="A1060" s="1085">
        <v>37732.0</v>
      </c>
      <c r="B1060" s="1086" t="s">
        <v>6367</v>
      </c>
      <c r="C1060" s="1087" t="s">
        <v>1788</v>
      </c>
      <c r="D1060" s="1088">
        <v>43426.57</v>
      </c>
      <c r="E1060" s="1089" t="s">
        <v>5482</v>
      </c>
      <c r="F1060" s="1081">
        <f t="shared" si="1"/>
        <v>0</v>
      </c>
      <c r="G1060" s="1083">
        <f t="shared" si="2"/>
        <v>43426.57</v>
      </c>
      <c r="H1060" s="1084"/>
    </row>
    <row r="1061" ht="14.25" customHeight="1">
      <c r="A1061" s="1085">
        <v>42256.0</v>
      </c>
      <c r="B1061" s="1086" t="s">
        <v>6368</v>
      </c>
      <c r="C1061" s="1087" t="s">
        <v>3606</v>
      </c>
      <c r="D1061" s="1088">
        <v>4.96</v>
      </c>
      <c r="E1061" s="1089" t="s">
        <v>5308</v>
      </c>
      <c r="F1061" s="1081">
        <f t="shared" si="1"/>
        <v>0</v>
      </c>
      <c r="G1061" s="1083">
        <f t="shared" si="2"/>
        <v>4.96</v>
      </c>
      <c r="H1061" s="1084"/>
    </row>
    <row r="1062" ht="14.25" customHeight="1">
      <c r="A1062" s="1085">
        <v>42250.0</v>
      </c>
      <c r="B1062" s="1086" t="s">
        <v>6369</v>
      </c>
      <c r="C1062" s="1087" t="s">
        <v>6370</v>
      </c>
      <c r="D1062" s="1088">
        <v>2235.3</v>
      </c>
      <c r="E1062" s="1089" t="s">
        <v>5308</v>
      </c>
      <c r="F1062" s="1081">
        <f t="shared" si="1"/>
        <v>0</v>
      </c>
      <c r="G1062" s="1083">
        <f t="shared" si="2"/>
        <v>2235.3</v>
      </c>
      <c r="H1062" s="1084"/>
    </row>
    <row r="1063" ht="14.25" customHeight="1">
      <c r="A1063" s="1085">
        <v>4743.0</v>
      </c>
      <c r="B1063" s="1086" t="s">
        <v>6371</v>
      </c>
      <c r="C1063" s="1087" t="s">
        <v>2178</v>
      </c>
      <c r="D1063" s="1088">
        <v>38.28</v>
      </c>
      <c r="E1063" s="1089" t="s">
        <v>5308</v>
      </c>
      <c r="F1063" s="1081">
        <f t="shared" si="1"/>
        <v>0</v>
      </c>
      <c r="G1063" s="1083">
        <f t="shared" si="2"/>
        <v>38.28</v>
      </c>
      <c r="H1063" s="1084"/>
    </row>
    <row r="1064" ht="14.25" customHeight="1">
      <c r="A1064" s="1085">
        <v>4744.0</v>
      </c>
      <c r="B1064" s="1086" t="s">
        <v>6372</v>
      </c>
      <c r="C1064" s="1087" t="s">
        <v>2178</v>
      </c>
      <c r="D1064" s="1088">
        <v>61.25</v>
      </c>
      <c r="E1064" s="1089" t="s">
        <v>5308</v>
      </c>
      <c r="F1064" s="1081">
        <f t="shared" si="1"/>
        <v>0</v>
      </c>
      <c r="G1064" s="1083">
        <f t="shared" si="2"/>
        <v>61.25</v>
      </c>
      <c r="H1064" s="1084"/>
    </row>
    <row r="1065" ht="14.25" customHeight="1">
      <c r="A1065" s="1085">
        <v>4745.0</v>
      </c>
      <c r="B1065" s="1086" t="s">
        <v>6373</v>
      </c>
      <c r="C1065" s="1087" t="s">
        <v>2178</v>
      </c>
      <c r="D1065" s="1088">
        <v>73.46</v>
      </c>
      <c r="E1065" s="1089" t="s">
        <v>5308</v>
      </c>
      <c r="F1065" s="1081">
        <f t="shared" si="1"/>
        <v>0</v>
      </c>
      <c r="G1065" s="1083">
        <f t="shared" si="2"/>
        <v>73.46</v>
      </c>
      <c r="H1065" s="1084"/>
    </row>
    <row r="1066" ht="14.25" customHeight="1">
      <c r="A1066" s="1085">
        <v>36496.0</v>
      </c>
      <c r="B1066" s="1086" t="s">
        <v>6374</v>
      </c>
      <c r="C1066" s="1087" t="s">
        <v>1788</v>
      </c>
      <c r="D1066" s="1088">
        <v>9388.39</v>
      </c>
      <c r="E1066" s="1089" t="s">
        <v>5482</v>
      </c>
      <c r="F1066" s="1081">
        <f t="shared" si="1"/>
        <v>0</v>
      </c>
      <c r="G1066" s="1083">
        <f t="shared" si="2"/>
        <v>9388.39</v>
      </c>
      <c r="H1066" s="1084"/>
    </row>
    <row r="1067" ht="14.25" customHeight="1">
      <c r="A1067" s="1085">
        <v>10630.0</v>
      </c>
      <c r="B1067" s="1086" t="s">
        <v>6375</v>
      </c>
      <c r="C1067" s="1087" t="s">
        <v>1788</v>
      </c>
      <c r="D1067" s="1088">
        <v>863746.51</v>
      </c>
      <c r="E1067" s="1089" t="s">
        <v>5482</v>
      </c>
      <c r="F1067" s="1081">
        <f t="shared" si="1"/>
        <v>0</v>
      </c>
      <c r="G1067" s="1083">
        <f t="shared" si="2"/>
        <v>863746.51</v>
      </c>
      <c r="H1067" s="1084"/>
    </row>
    <row r="1068" ht="14.25" customHeight="1">
      <c r="A1068" s="1085">
        <v>37762.0</v>
      </c>
      <c r="B1068" s="1086" t="s">
        <v>6376</v>
      </c>
      <c r="C1068" s="1087" t="s">
        <v>1788</v>
      </c>
      <c r="D1068" s="1088">
        <v>740782.75</v>
      </c>
      <c r="E1068" s="1089" t="s">
        <v>5482</v>
      </c>
      <c r="F1068" s="1081">
        <f t="shared" si="1"/>
        <v>0</v>
      </c>
      <c r="G1068" s="1083">
        <f t="shared" si="2"/>
        <v>740782.75</v>
      </c>
      <c r="H1068" s="1084"/>
    </row>
    <row r="1069" ht="14.25" customHeight="1">
      <c r="A1069" s="1085">
        <v>37763.0</v>
      </c>
      <c r="B1069" s="1086" t="s">
        <v>6377</v>
      </c>
      <c r="C1069" s="1087" t="s">
        <v>1788</v>
      </c>
      <c r="D1069" s="1088">
        <v>749779.99</v>
      </c>
      <c r="E1069" s="1089" t="s">
        <v>5482</v>
      </c>
      <c r="F1069" s="1081">
        <f t="shared" si="1"/>
        <v>0</v>
      </c>
      <c r="G1069" s="1083">
        <f t="shared" si="2"/>
        <v>749779.99</v>
      </c>
      <c r="H1069" s="1084"/>
    </row>
    <row r="1070" ht="14.25" customHeight="1">
      <c r="A1070" s="1085">
        <v>41992.0</v>
      </c>
      <c r="B1070" s="1086" t="s">
        <v>6378</v>
      </c>
      <c r="C1070" s="1087" t="s">
        <v>1788</v>
      </c>
      <c r="D1070" s="1088">
        <v>852350.0</v>
      </c>
      <c r="E1070" s="1089" t="s">
        <v>5482</v>
      </c>
      <c r="F1070" s="1081">
        <f t="shared" si="1"/>
        <v>0</v>
      </c>
      <c r="G1070" s="1083">
        <f t="shared" si="2"/>
        <v>852350</v>
      </c>
      <c r="H1070" s="1084"/>
    </row>
    <row r="1071" ht="14.25" customHeight="1">
      <c r="A1071" s="1085">
        <v>13215.0</v>
      </c>
      <c r="B1071" s="1086" t="s">
        <v>6379</v>
      </c>
      <c r="C1071" s="1087" t="s">
        <v>1788</v>
      </c>
      <c r="D1071" s="1088">
        <v>1045193.33</v>
      </c>
      <c r="E1071" s="1089" t="s">
        <v>5482</v>
      </c>
      <c r="F1071" s="1081">
        <f t="shared" si="1"/>
        <v>0</v>
      </c>
      <c r="G1071" s="1083">
        <f t="shared" si="2"/>
        <v>1045193.33</v>
      </c>
      <c r="H1071" s="1084"/>
    </row>
    <row r="1072" ht="14.25" customHeight="1">
      <c r="A1072" s="1085">
        <v>4235.0</v>
      </c>
      <c r="B1072" s="1086" t="s">
        <v>6380</v>
      </c>
      <c r="C1072" s="1087" t="s">
        <v>1470</v>
      </c>
      <c r="D1072" s="1088">
        <v>13.63</v>
      </c>
      <c r="E1072" s="1089" t="s">
        <v>5452</v>
      </c>
      <c r="F1072" s="1081">
        <f t="shared" si="1"/>
        <v>13.63</v>
      </c>
      <c r="G1072" s="1083">
        <f t="shared" si="2"/>
        <v>0</v>
      </c>
      <c r="H1072" s="1084"/>
    </row>
    <row r="1073" ht="14.25" customHeight="1">
      <c r="A1073" s="1085">
        <v>40976.0</v>
      </c>
      <c r="B1073" s="1086" t="s">
        <v>6381</v>
      </c>
      <c r="C1073" s="1087" t="s">
        <v>5454</v>
      </c>
      <c r="D1073" s="1088">
        <v>2388.83</v>
      </c>
      <c r="E1073" s="1089" t="s">
        <v>5452</v>
      </c>
      <c r="F1073" s="1081">
        <f t="shared" si="1"/>
        <v>2388.83</v>
      </c>
      <c r="G1073" s="1083">
        <f t="shared" si="2"/>
        <v>0</v>
      </c>
      <c r="H1073" s="1084"/>
    </row>
    <row r="1074" ht="14.25" customHeight="1">
      <c r="A1074" s="1085">
        <v>43091.0</v>
      </c>
      <c r="B1074" s="1086" t="s">
        <v>6382</v>
      </c>
      <c r="C1074" s="1087" t="s">
        <v>1788</v>
      </c>
      <c r="D1074" s="1088">
        <v>7722.53</v>
      </c>
      <c r="E1074" s="1089" t="s">
        <v>5308</v>
      </c>
      <c r="F1074" s="1081">
        <f t="shared" si="1"/>
        <v>0</v>
      </c>
      <c r="G1074" s="1083">
        <f t="shared" si="2"/>
        <v>7722.53</v>
      </c>
      <c r="H1074" s="1084"/>
    </row>
    <row r="1075" ht="14.25" customHeight="1">
      <c r="A1075" s="1085">
        <v>43092.0</v>
      </c>
      <c r="B1075" s="1086" t="s">
        <v>6383</v>
      </c>
      <c r="C1075" s="1087" t="s">
        <v>1788</v>
      </c>
      <c r="D1075" s="1088">
        <v>10296.71</v>
      </c>
      <c r="E1075" s="1089" t="s">
        <v>5308</v>
      </c>
      <c r="F1075" s="1081">
        <f t="shared" si="1"/>
        <v>0</v>
      </c>
      <c r="G1075" s="1083">
        <f t="shared" si="2"/>
        <v>10296.71</v>
      </c>
      <c r="H1075" s="1084"/>
    </row>
    <row r="1076" ht="14.25" customHeight="1">
      <c r="A1076" s="1085">
        <v>43089.0</v>
      </c>
      <c r="B1076" s="1086" t="s">
        <v>6384</v>
      </c>
      <c r="C1076" s="1087" t="s">
        <v>1788</v>
      </c>
      <c r="D1076" s="1088">
        <v>1794.49</v>
      </c>
      <c r="E1076" s="1089" t="s">
        <v>5308</v>
      </c>
      <c r="F1076" s="1081">
        <f t="shared" si="1"/>
        <v>0</v>
      </c>
      <c r="G1076" s="1083">
        <f t="shared" si="2"/>
        <v>1794.49</v>
      </c>
      <c r="H1076" s="1084"/>
    </row>
    <row r="1077" ht="14.25" customHeight="1">
      <c r="A1077" s="1085">
        <v>43090.0</v>
      </c>
      <c r="B1077" s="1086" t="s">
        <v>6385</v>
      </c>
      <c r="C1077" s="1087" t="s">
        <v>1788</v>
      </c>
      <c r="D1077" s="1088">
        <v>3960.27</v>
      </c>
      <c r="E1077" s="1089" t="s">
        <v>5308</v>
      </c>
      <c r="F1077" s="1081">
        <f t="shared" si="1"/>
        <v>0</v>
      </c>
      <c r="G1077" s="1083">
        <f t="shared" si="2"/>
        <v>3960.27</v>
      </c>
      <c r="H1077" s="1084"/>
    </row>
    <row r="1078" ht="14.25" customHeight="1">
      <c r="A1078" s="1085">
        <v>41967.0</v>
      </c>
      <c r="B1078" s="1086" t="s">
        <v>6386</v>
      </c>
      <c r="C1078" s="1087" t="s">
        <v>2386</v>
      </c>
      <c r="D1078" s="1088">
        <v>23.58</v>
      </c>
      <c r="E1078" s="1089" t="s">
        <v>5308</v>
      </c>
      <c r="F1078" s="1081">
        <f t="shared" si="1"/>
        <v>0</v>
      </c>
      <c r="G1078" s="1083">
        <f t="shared" si="2"/>
        <v>23.58</v>
      </c>
      <c r="H1078" s="1084"/>
    </row>
    <row r="1079" ht="14.25" customHeight="1">
      <c r="A1079" s="1085">
        <v>12760.0</v>
      </c>
      <c r="B1079" s="1086" t="s">
        <v>6387</v>
      </c>
      <c r="C1079" s="1087" t="s">
        <v>1814</v>
      </c>
      <c r="D1079" s="1088">
        <v>1741.59</v>
      </c>
      <c r="E1079" s="1089" t="s">
        <v>5308</v>
      </c>
      <c r="F1079" s="1081">
        <f t="shared" si="1"/>
        <v>0</v>
      </c>
      <c r="G1079" s="1083">
        <f t="shared" si="2"/>
        <v>1741.59</v>
      </c>
      <c r="H1079" s="1084"/>
    </row>
    <row r="1080" ht="14.25" customHeight="1">
      <c r="A1080" s="1085">
        <v>12759.0</v>
      </c>
      <c r="B1080" s="1086" t="s">
        <v>6388</v>
      </c>
      <c r="C1080" s="1087" t="s">
        <v>1814</v>
      </c>
      <c r="D1080" s="1088">
        <v>1161.04</v>
      </c>
      <c r="E1080" s="1089" t="s">
        <v>5308</v>
      </c>
      <c r="F1080" s="1081">
        <f t="shared" si="1"/>
        <v>0</v>
      </c>
      <c r="G1080" s="1083">
        <f t="shared" si="2"/>
        <v>1161.04</v>
      </c>
      <c r="H1080" s="1084"/>
    </row>
    <row r="1081" ht="14.25" customHeight="1">
      <c r="A1081" s="1085">
        <v>43105.0</v>
      </c>
      <c r="B1081" s="1086" t="s">
        <v>6389</v>
      </c>
      <c r="C1081" s="1087" t="s">
        <v>3606</v>
      </c>
      <c r="D1081" s="1088">
        <v>36.34</v>
      </c>
      <c r="E1081" s="1089" t="s">
        <v>5308</v>
      </c>
      <c r="F1081" s="1081">
        <f t="shared" si="1"/>
        <v>0</v>
      </c>
      <c r="G1081" s="1083">
        <f t="shared" si="2"/>
        <v>36.34</v>
      </c>
      <c r="H1081" s="1084"/>
    </row>
    <row r="1082" ht="14.25" customHeight="1">
      <c r="A1082" s="1085">
        <v>40424.0</v>
      </c>
      <c r="B1082" s="1086" t="s">
        <v>6390</v>
      </c>
      <c r="C1082" s="1087" t="s">
        <v>3606</v>
      </c>
      <c r="D1082" s="1088">
        <v>9.23</v>
      </c>
      <c r="E1082" s="1089" t="s">
        <v>5308</v>
      </c>
      <c r="F1082" s="1081">
        <f t="shared" si="1"/>
        <v>0</v>
      </c>
      <c r="G1082" s="1083">
        <f t="shared" si="2"/>
        <v>9.23</v>
      </c>
      <c r="H1082" s="1084"/>
    </row>
    <row r="1083" ht="14.25" customHeight="1">
      <c r="A1083" s="1085">
        <v>1325.0</v>
      </c>
      <c r="B1083" s="1086" t="s">
        <v>6391</v>
      </c>
      <c r="C1083" s="1087" t="s">
        <v>3606</v>
      </c>
      <c r="D1083" s="1088">
        <v>10.11</v>
      </c>
      <c r="E1083" s="1089" t="s">
        <v>5308</v>
      </c>
      <c r="F1083" s="1081">
        <f t="shared" si="1"/>
        <v>0</v>
      </c>
      <c r="G1083" s="1083">
        <f t="shared" si="2"/>
        <v>10.11</v>
      </c>
      <c r="H1083" s="1084"/>
    </row>
    <row r="1084" ht="14.25" customHeight="1">
      <c r="A1084" s="1085">
        <v>1327.0</v>
      </c>
      <c r="B1084" s="1086" t="s">
        <v>6392</v>
      </c>
      <c r="C1084" s="1087" t="s">
        <v>3606</v>
      </c>
      <c r="D1084" s="1088">
        <v>10.77</v>
      </c>
      <c r="E1084" s="1089" t="s">
        <v>5308</v>
      </c>
      <c r="F1084" s="1081">
        <f t="shared" si="1"/>
        <v>0</v>
      </c>
      <c r="G1084" s="1083">
        <f t="shared" si="2"/>
        <v>10.77</v>
      </c>
      <c r="H1084" s="1084"/>
    </row>
    <row r="1085" ht="14.25" customHeight="1">
      <c r="A1085" s="1085">
        <v>1328.0</v>
      </c>
      <c r="B1085" s="1086" t="s">
        <v>6393</v>
      </c>
      <c r="C1085" s="1087" t="s">
        <v>3606</v>
      </c>
      <c r="D1085" s="1088">
        <v>10.14</v>
      </c>
      <c r="E1085" s="1089" t="s">
        <v>5308</v>
      </c>
      <c r="F1085" s="1081">
        <f t="shared" si="1"/>
        <v>0</v>
      </c>
      <c r="G1085" s="1083">
        <f t="shared" si="2"/>
        <v>10.14</v>
      </c>
      <c r="H1085" s="1084"/>
    </row>
    <row r="1086" ht="14.25" customHeight="1">
      <c r="A1086" s="1085">
        <v>1321.0</v>
      </c>
      <c r="B1086" s="1086" t="s">
        <v>6394</v>
      </c>
      <c r="C1086" s="1087" t="s">
        <v>3606</v>
      </c>
      <c r="D1086" s="1088">
        <v>9.38</v>
      </c>
      <c r="E1086" s="1089" t="s">
        <v>5308</v>
      </c>
      <c r="F1086" s="1081">
        <f t="shared" si="1"/>
        <v>0</v>
      </c>
      <c r="G1086" s="1083">
        <f t="shared" si="2"/>
        <v>9.38</v>
      </c>
      <c r="H1086" s="1084"/>
    </row>
    <row r="1087" ht="14.25" customHeight="1">
      <c r="A1087" s="1085">
        <v>1318.0</v>
      </c>
      <c r="B1087" s="1086" t="s">
        <v>6395</v>
      </c>
      <c r="C1087" s="1087" t="s">
        <v>3606</v>
      </c>
      <c r="D1087" s="1088">
        <v>9.39</v>
      </c>
      <c r="E1087" s="1089" t="s">
        <v>5308</v>
      </c>
      <c r="F1087" s="1081">
        <f t="shared" si="1"/>
        <v>0</v>
      </c>
      <c r="G1087" s="1083">
        <f t="shared" si="2"/>
        <v>9.39</v>
      </c>
      <c r="H1087" s="1084"/>
    </row>
    <row r="1088" ht="14.25" customHeight="1">
      <c r="A1088" s="1085">
        <v>1322.0</v>
      </c>
      <c r="B1088" s="1086" t="s">
        <v>6396</v>
      </c>
      <c r="C1088" s="1087" t="s">
        <v>3606</v>
      </c>
      <c r="D1088" s="1088">
        <v>9.92</v>
      </c>
      <c r="E1088" s="1089" t="s">
        <v>5308</v>
      </c>
      <c r="F1088" s="1081">
        <f t="shared" si="1"/>
        <v>0</v>
      </c>
      <c r="G1088" s="1083">
        <f t="shared" si="2"/>
        <v>9.92</v>
      </c>
      <c r="H1088" s="1084"/>
    </row>
    <row r="1089" ht="14.25" customHeight="1">
      <c r="A1089" s="1085">
        <v>1323.0</v>
      </c>
      <c r="B1089" s="1086" t="s">
        <v>6397</v>
      </c>
      <c r="C1089" s="1087" t="s">
        <v>3606</v>
      </c>
      <c r="D1089" s="1088">
        <v>9.92</v>
      </c>
      <c r="E1089" s="1089" t="s">
        <v>5308</v>
      </c>
      <c r="F1089" s="1081">
        <f t="shared" si="1"/>
        <v>0</v>
      </c>
      <c r="G1089" s="1083">
        <f t="shared" si="2"/>
        <v>9.92</v>
      </c>
      <c r="H1089" s="1084"/>
    </row>
    <row r="1090" ht="14.25" customHeight="1">
      <c r="A1090" s="1085">
        <v>1319.0</v>
      </c>
      <c r="B1090" s="1086" t="s">
        <v>6398</v>
      </c>
      <c r="C1090" s="1087" t="s">
        <v>3606</v>
      </c>
      <c r="D1090" s="1088">
        <v>8.36</v>
      </c>
      <c r="E1090" s="1089" t="s">
        <v>5308</v>
      </c>
      <c r="F1090" s="1081">
        <f t="shared" si="1"/>
        <v>0</v>
      </c>
      <c r="G1090" s="1083">
        <f t="shared" si="2"/>
        <v>8.36</v>
      </c>
      <c r="H1090" s="1084"/>
    </row>
    <row r="1091" ht="14.25" customHeight="1">
      <c r="A1091" s="1085">
        <v>11026.0</v>
      </c>
      <c r="B1091" s="1086" t="s">
        <v>6399</v>
      </c>
      <c r="C1091" s="1087" t="s">
        <v>3606</v>
      </c>
      <c r="D1091" s="1088">
        <v>11.5</v>
      </c>
      <c r="E1091" s="1089" t="s">
        <v>5308</v>
      </c>
      <c r="F1091" s="1081">
        <f t="shared" si="1"/>
        <v>0</v>
      </c>
      <c r="G1091" s="1083">
        <f t="shared" si="2"/>
        <v>11.5</v>
      </c>
      <c r="H1091" s="1084"/>
    </row>
    <row r="1092" ht="14.25" customHeight="1">
      <c r="A1092" s="1085">
        <v>11027.0</v>
      </c>
      <c r="B1092" s="1086" t="s">
        <v>6400</v>
      </c>
      <c r="C1092" s="1087" t="s">
        <v>3606</v>
      </c>
      <c r="D1092" s="1088">
        <v>11.97</v>
      </c>
      <c r="E1092" s="1089" t="s">
        <v>5308</v>
      </c>
      <c r="F1092" s="1081">
        <f t="shared" si="1"/>
        <v>0</v>
      </c>
      <c r="G1092" s="1083">
        <f t="shared" si="2"/>
        <v>11.97</v>
      </c>
      <c r="H1092" s="1084"/>
    </row>
    <row r="1093" ht="14.25" customHeight="1">
      <c r="A1093" s="1085">
        <v>11046.0</v>
      </c>
      <c r="B1093" s="1086" t="s">
        <v>6401</v>
      </c>
      <c r="C1093" s="1087" t="s">
        <v>3606</v>
      </c>
      <c r="D1093" s="1088">
        <v>11.47</v>
      </c>
      <c r="E1093" s="1089" t="s">
        <v>5308</v>
      </c>
      <c r="F1093" s="1081">
        <f t="shared" si="1"/>
        <v>0</v>
      </c>
      <c r="G1093" s="1083">
        <f t="shared" si="2"/>
        <v>11.47</v>
      </c>
      <c r="H1093" s="1084"/>
    </row>
    <row r="1094" ht="14.25" customHeight="1">
      <c r="A1094" s="1085">
        <v>11047.0</v>
      </c>
      <c r="B1094" s="1086" t="s">
        <v>6402</v>
      </c>
      <c r="C1094" s="1087" t="s">
        <v>3606</v>
      </c>
      <c r="D1094" s="1088">
        <v>12.5</v>
      </c>
      <c r="E1094" s="1089" t="s">
        <v>5308</v>
      </c>
      <c r="F1094" s="1081">
        <f t="shared" si="1"/>
        <v>0</v>
      </c>
      <c r="G1094" s="1083">
        <f t="shared" si="2"/>
        <v>12.5</v>
      </c>
      <c r="H1094" s="1084"/>
    </row>
    <row r="1095" ht="14.25" customHeight="1">
      <c r="A1095" s="1085">
        <v>43668.0</v>
      </c>
      <c r="B1095" s="1086" t="s">
        <v>6403</v>
      </c>
      <c r="C1095" s="1087" t="s">
        <v>3606</v>
      </c>
      <c r="D1095" s="1088">
        <v>11.03</v>
      </c>
      <c r="E1095" s="1089" t="s">
        <v>5308</v>
      </c>
      <c r="F1095" s="1081">
        <f t="shared" si="1"/>
        <v>0</v>
      </c>
      <c r="G1095" s="1083">
        <f t="shared" si="2"/>
        <v>11.03</v>
      </c>
      <c r="H1095" s="1084"/>
    </row>
    <row r="1096" ht="14.25" customHeight="1">
      <c r="A1096" s="1085">
        <v>11049.0</v>
      </c>
      <c r="B1096" s="1086" t="s">
        <v>6404</v>
      </c>
      <c r="C1096" s="1087" t="s">
        <v>3606</v>
      </c>
      <c r="D1096" s="1088">
        <v>11.95</v>
      </c>
      <c r="E1096" s="1089" t="s">
        <v>5308</v>
      </c>
      <c r="F1096" s="1081">
        <f t="shared" si="1"/>
        <v>0</v>
      </c>
      <c r="G1096" s="1083">
        <f t="shared" si="2"/>
        <v>11.95</v>
      </c>
      <c r="H1096" s="1084"/>
    </row>
    <row r="1097" ht="14.25" customHeight="1">
      <c r="A1097" s="1085">
        <v>43106.0</v>
      </c>
      <c r="B1097" s="1086" t="s">
        <v>6405</v>
      </c>
      <c r="C1097" s="1087" t="s">
        <v>3606</v>
      </c>
      <c r="D1097" s="1088">
        <v>12.02</v>
      </c>
      <c r="E1097" s="1089" t="s">
        <v>5308</v>
      </c>
      <c r="F1097" s="1081">
        <f t="shared" si="1"/>
        <v>0</v>
      </c>
      <c r="G1097" s="1083">
        <f t="shared" si="2"/>
        <v>12.02</v>
      </c>
      <c r="H1097" s="1084"/>
    </row>
    <row r="1098" ht="14.25" customHeight="1">
      <c r="A1098" s="1085">
        <v>11051.0</v>
      </c>
      <c r="B1098" s="1086" t="s">
        <v>6406</v>
      </c>
      <c r="C1098" s="1087" t="s">
        <v>3606</v>
      </c>
      <c r="D1098" s="1088">
        <v>12.54</v>
      </c>
      <c r="E1098" s="1089" t="s">
        <v>5308</v>
      </c>
      <c r="F1098" s="1081">
        <f t="shared" si="1"/>
        <v>0</v>
      </c>
      <c r="G1098" s="1083">
        <f t="shared" si="2"/>
        <v>12.54</v>
      </c>
      <c r="H1098" s="1084"/>
    </row>
    <row r="1099" ht="14.25" customHeight="1">
      <c r="A1099" s="1085">
        <v>11061.0</v>
      </c>
      <c r="B1099" s="1086" t="s">
        <v>6407</v>
      </c>
      <c r="C1099" s="1087" t="s">
        <v>3606</v>
      </c>
      <c r="D1099" s="1088">
        <v>15.05</v>
      </c>
      <c r="E1099" s="1089" t="s">
        <v>5308</v>
      </c>
      <c r="F1099" s="1081">
        <f t="shared" si="1"/>
        <v>0</v>
      </c>
      <c r="G1099" s="1083">
        <f t="shared" si="2"/>
        <v>15.05</v>
      </c>
      <c r="H1099" s="1084"/>
    </row>
    <row r="1100" ht="14.25" customHeight="1">
      <c r="A1100" s="1085">
        <v>43667.0</v>
      </c>
      <c r="B1100" s="1086" t="s">
        <v>6408</v>
      </c>
      <c r="C1100" s="1087" t="s">
        <v>3606</v>
      </c>
      <c r="D1100" s="1088">
        <v>10.94</v>
      </c>
      <c r="E1100" s="1089" t="s">
        <v>5308</v>
      </c>
      <c r="F1100" s="1081">
        <f t="shared" si="1"/>
        <v>0</v>
      </c>
      <c r="G1100" s="1083">
        <f t="shared" si="2"/>
        <v>10.94</v>
      </c>
      <c r="H1100" s="1084"/>
    </row>
    <row r="1101" ht="14.25" customHeight="1">
      <c r="A1101" s="1085">
        <v>1333.0</v>
      </c>
      <c r="B1101" s="1086" t="s">
        <v>6409</v>
      </c>
      <c r="C1101" s="1087" t="s">
        <v>3606</v>
      </c>
      <c r="D1101" s="1088">
        <v>9.11</v>
      </c>
      <c r="E1101" s="1089" t="s">
        <v>5308</v>
      </c>
      <c r="F1101" s="1081">
        <f t="shared" si="1"/>
        <v>0</v>
      </c>
      <c r="G1101" s="1083">
        <f t="shared" si="2"/>
        <v>9.11</v>
      </c>
      <c r="H1101" s="1084"/>
    </row>
    <row r="1102" ht="14.25" customHeight="1">
      <c r="A1102" s="1085">
        <v>1330.0</v>
      </c>
      <c r="B1102" s="1086" t="s">
        <v>6410</v>
      </c>
      <c r="C1102" s="1087" t="s">
        <v>3606</v>
      </c>
      <c r="D1102" s="1088">
        <v>9.03</v>
      </c>
      <c r="E1102" s="1089" t="s">
        <v>5308</v>
      </c>
      <c r="F1102" s="1081">
        <f t="shared" si="1"/>
        <v>0</v>
      </c>
      <c r="G1102" s="1083">
        <f t="shared" si="2"/>
        <v>9.03</v>
      </c>
      <c r="H1102" s="1084"/>
    </row>
    <row r="1103" ht="14.25" customHeight="1">
      <c r="A1103" s="1085">
        <v>10957.0</v>
      </c>
      <c r="B1103" s="1086" t="s">
        <v>6411</v>
      </c>
      <c r="C1103" s="1087" t="s">
        <v>3606</v>
      </c>
      <c r="D1103" s="1088">
        <v>10.41</v>
      </c>
      <c r="E1103" s="1089" t="s">
        <v>5308</v>
      </c>
      <c r="F1103" s="1081">
        <f t="shared" si="1"/>
        <v>0</v>
      </c>
      <c r="G1103" s="1083">
        <f t="shared" si="2"/>
        <v>10.41</v>
      </c>
      <c r="H1103" s="1084"/>
    </row>
    <row r="1104" ht="14.25" customHeight="1">
      <c r="A1104" s="1085">
        <v>1332.0</v>
      </c>
      <c r="B1104" s="1086" t="s">
        <v>6412</v>
      </c>
      <c r="C1104" s="1087" t="s">
        <v>3606</v>
      </c>
      <c r="D1104" s="1088">
        <v>9.26</v>
      </c>
      <c r="E1104" s="1089" t="s">
        <v>5308</v>
      </c>
      <c r="F1104" s="1081">
        <f t="shared" si="1"/>
        <v>0</v>
      </c>
      <c r="G1104" s="1083">
        <f t="shared" si="2"/>
        <v>9.26</v>
      </c>
      <c r="H1104" s="1084"/>
    </row>
    <row r="1105" ht="14.25" customHeight="1">
      <c r="A1105" s="1085">
        <v>1334.0</v>
      </c>
      <c r="B1105" s="1086" t="s">
        <v>6413</v>
      </c>
      <c r="C1105" s="1087" t="s">
        <v>3606</v>
      </c>
      <c r="D1105" s="1088">
        <v>10.26</v>
      </c>
      <c r="E1105" s="1089" t="s">
        <v>5308</v>
      </c>
      <c r="F1105" s="1081">
        <f t="shared" si="1"/>
        <v>0</v>
      </c>
      <c r="G1105" s="1083">
        <f t="shared" si="2"/>
        <v>10.26</v>
      </c>
      <c r="H1105" s="1084"/>
    </row>
    <row r="1106" ht="14.25" customHeight="1">
      <c r="A1106" s="1085">
        <v>1335.0</v>
      </c>
      <c r="B1106" s="1086" t="s">
        <v>6414</v>
      </c>
      <c r="C1106" s="1087" t="s">
        <v>3606</v>
      </c>
      <c r="D1106" s="1088">
        <v>10.6</v>
      </c>
      <c r="E1106" s="1089" t="s">
        <v>5308</v>
      </c>
      <c r="F1106" s="1081">
        <f t="shared" si="1"/>
        <v>0</v>
      </c>
      <c r="G1106" s="1083">
        <f t="shared" si="2"/>
        <v>10.6</v>
      </c>
      <c r="H1106" s="1084"/>
    </row>
    <row r="1107" ht="14.25" customHeight="1">
      <c r="A1107" s="1085">
        <v>40425.0</v>
      </c>
      <c r="B1107" s="1086" t="s">
        <v>6415</v>
      </c>
      <c r="C1107" s="1087" t="s">
        <v>3606</v>
      </c>
      <c r="D1107" s="1088">
        <v>9.08</v>
      </c>
      <c r="E1107" s="1089" t="s">
        <v>5308</v>
      </c>
      <c r="F1107" s="1081">
        <f t="shared" si="1"/>
        <v>0</v>
      </c>
      <c r="G1107" s="1083">
        <f t="shared" si="2"/>
        <v>9.08</v>
      </c>
      <c r="H1107" s="1084"/>
    </row>
    <row r="1108" ht="14.25" customHeight="1">
      <c r="A1108" s="1085">
        <v>1337.0</v>
      </c>
      <c r="B1108" s="1086" t="s">
        <v>6416</v>
      </c>
      <c r="C1108" s="1087" t="s">
        <v>3606</v>
      </c>
      <c r="D1108" s="1088">
        <v>10.41</v>
      </c>
      <c r="E1108" s="1089" t="s">
        <v>5308</v>
      </c>
      <c r="F1108" s="1081">
        <f t="shared" si="1"/>
        <v>0</v>
      </c>
      <c r="G1108" s="1083">
        <f t="shared" si="2"/>
        <v>10.41</v>
      </c>
      <c r="H1108" s="1084"/>
    </row>
    <row r="1109" ht="14.25" customHeight="1">
      <c r="A1109" s="1085">
        <v>1338.0</v>
      </c>
      <c r="B1109" s="1086" t="s">
        <v>6417</v>
      </c>
      <c r="C1109" s="1087" t="s">
        <v>1814</v>
      </c>
      <c r="D1109" s="1088">
        <v>62.14</v>
      </c>
      <c r="E1109" s="1089" t="s">
        <v>5308</v>
      </c>
      <c r="F1109" s="1081">
        <f t="shared" si="1"/>
        <v>0</v>
      </c>
      <c r="G1109" s="1083">
        <f t="shared" si="2"/>
        <v>62.14</v>
      </c>
      <c r="H1109" s="1084"/>
    </row>
    <row r="1110" ht="14.25" customHeight="1">
      <c r="A1110" s="1085">
        <v>1340.0</v>
      </c>
      <c r="B1110" s="1086" t="s">
        <v>6418</v>
      </c>
      <c r="C1110" s="1087" t="s">
        <v>1814</v>
      </c>
      <c r="D1110" s="1088">
        <v>71.84</v>
      </c>
      <c r="E1110" s="1089" t="s">
        <v>5308</v>
      </c>
      <c r="F1110" s="1081">
        <f t="shared" si="1"/>
        <v>0</v>
      </c>
      <c r="G1110" s="1083">
        <f t="shared" si="2"/>
        <v>71.84</v>
      </c>
      <c r="H1110" s="1084"/>
    </row>
    <row r="1111" ht="14.25" customHeight="1">
      <c r="A1111" s="1085">
        <v>1341.0</v>
      </c>
      <c r="B1111" s="1086" t="s">
        <v>6419</v>
      </c>
      <c r="C1111" s="1087" t="s">
        <v>1814</v>
      </c>
      <c r="D1111" s="1088">
        <v>69.19</v>
      </c>
      <c r="E1111" s="1089" t="s">
        <v>5308</v>
      </c>
      <c r="F1111" s="1081">
        <f t="shared" si="1"/>
        <v>0</v>
      </c>
      <c r="G1111" s="1083">
        <f t="shared" si="2"/>
        <v>69.19</v>
      </c>
      <c r="H1111" s="1084"/>
    </row>
    <row r="1112" ht="14.25" customHeight="1">
      <c r="A1112" s="1085">
        <v>34659.0</v>
      </c>
      <c r="B1112" s="1086" t="s">
        <v>6420</v>
      </c>
      <c r="C1112" s="1087" t="s">
        <v>1814</v>
      </c>
      <c r="D1112" s="1088">
        <v>39.38</v>
      </c>
      <c r="E1112" s="1089" t="s">
        <v>5308</v>
      </c>
      <c r="F1112" s="1081">
        <f t="shared" si="1"/>
        <v>0</v>
      </c>
      <c r="G1112" s="1083">
        <f t="shared" si="2"/>
        <v>39.38</v>
      </c>
      <c r="H1112" s="1084"/>
    </row>
    <row r="1113" ht="14.25" customHeight="1">
      <c r="A1113" s="1085">
        <v>34514.0</v>
      </c>
      <c r="B1113" s="1086" t="s">
        <v>6421</v>
      </c>
      <c r="C1113" s="1087" t="s">
        <v>1814</v>
      </c>
      <c r="D1113" s="1088">
        <v>43.62</v>
      </c>
      <c r="E1113" s="1089" t="s">
        <v>5308</v>
      </c>
      <c r="F1113" s="1081">
        <f t="shared" si="1"/>
        <v>0</v>
      </c>
      <c r="G1113" s="1083">
        <f t="shared" si="2"/>
        <v>43.62</v>
      </c>
      <c r="H1113" s="1084"/>
    </row>
    <row r="1114" ht="14.25" customHeight="1">
      <c r="A1114" s="1085">
        <v>34660.0</v>
      </c>
      <c r="B1114" s="1086" t="s">
        <v>6422</v>
      </c>
      <c r="C1114" s="1087" t="s">
        <v>1814</v>
      </c>
      <c r="D1114" s="1088">
        <v>55.36</v>
      </c>
      <c r="E1114" s="1089" t="s">
        <v>5308</v>
      </c>
      <c r="F1114" s="1081">
        <f t="shared" si="1"/>
        <v>0</v>
      </c>
      <c r="G1114" s="1083">
        <f t="shared" si="2"/>
        <v>55.36</v>
      </c>
      <c r="H1114" s="1084"/>
    </row>
    <row r="1115" ht="14.25" customHeight="1">
      <c r="A1115" s="1085">
        <v>34661.0</v>
      </c>
      <c r="B1115" s="1086" t="s">
        <v>6423</v>
      </c>
      <c r="C1115" s="1087" t="s">
        <v>1814</v>
      </c>
      <c r="D1115" s="1088">
        <v>79.51</v>
      </c>
      <c r="E1115" s="1089" t="s">
        <v>5308</v>
      </c>
      <c r="F1115" s="1081">
        <f t="shared" si="1"/>
        <v>0</v>
      </c>
      <c r="G1115" s="1083">
        <f t="shared" si="2"/>
        <v>79.51</v>
      </c>
      <c r="H1115" s="1084"/>
    </row>
    <row r="1116" ht="14.25" customHeight="1">
      <c r="A1116" s="1085">
        <v>34667.0</v>
      </c>
      <c r="B1116" s="1086" t="s">
        <v>6424</v>
      </c>
      <c r="C1116" s="1087" t="s">
        <v>1814</v>
      </c>
      <c r="D1116" s="1088">
        <v>28.79</v>
      </c>
      <c r="E1116" s="1089" t="s">
        <v>5308</v>
      </c>
      <c r="F1116" s="1081">
        <f t="shared" si="1"/>
        <v>0</v>
      </c>
      <c r="G1116" s="1083">
        <f t="shared" si="2"/>
        <v>28.79</v>
      </c>
      <c r="H1116" s="1084"/>
    </row>
    <row r="1117" ht="14.25" customHeight="1">
      <c r="A1117" s="1085">
        <v>34668.0</v>
      </c>
      <c r="B1117" s="1086" t="s">
        <v>6425</v>
      </c>
      <c r="C1117" s="1087" t="s">
        <v>1814</v>
      </c>
      <c r="D1117" s="1088">
        <v>37.62</v>
      </c>
      <c r="E1117" s="1089" t="s">
        <v>5308</v>
      </c>
      <c r="F1117" s="1081">
        <f t="shared" si="1"/>
        <v>0</v>
      </c>
      <c r="G1117" s="1083">
        <f t="shared" si="2"/>
        <v>37.62</v>
      </c>
      <c r="H1117" s="1084"/>
    </row>
    <row r="1118" ht="14.25" customHeight="1">
      <c r="A1118" s="1085">
        <v>34741.0</v>
      </c>
      <c r="B1118" s="1086" t="s">
        <v>6426</v>
      </c>
      <c r="C1118" s="1087" t="s">
        <v>1814</v>
      </c>
      <c r="D1118" s="1088">
        <v>41.4</v>
      </c>
      <c r="E1118" s="1089" t="s">
        <v>5308</v>
      </c>
      <c r="F1118" s="1081">
        <f t="shared" si="1"/>
        <v>0</v>
      </c>
      <c r="G1118" s="1083">
        <f t="shared" si="2"/>
        <v>41.4</v>
      </c>
      <c r="H1118" s="1084"/>
    </row>
    <row r="1119" ht="14.25" customHeight="1">
      <c r="A1119" s="1085">
        <v>34664.0</v>
      </c>
      <c r="B1119" s="1086" t="s">
        <v>6427</v>
      </c>
      <c r="C1119" s="1087" t="s">
        <v>1814</v>
      </c>
      <c r="D1119" s="1088">
        <v>45.18</v>
      </c>
      <c r="E1119" s="1089" t="s">
        <v>5308</v>
      </c>
      <c r="F1119" s="1081">
        <f t="shared" si="1"/>
        <v>0</v>
      </c>
      <c r="G1119" s="1083">
        <f t="shared" si="2"/>
        <v>45.18</v>
      </c>
      <c r="H1119" s="1084"/>
    </row>
    <row r="1120" ht="14.25" customHeight="1">
      <c r="A1120" s="1085">
        <v>34665.0</v>
      </c>
      <c r="B1120" s="1086" t="s">
        <v>6428</v>
      </c>
      <c r="C1120" s="1087" t="s">
        <v>1814</v>
      </c>
      <c r="D1120" s="1088">
        <v>56.08</v>
      </c>
      <c r="E1120" s="1089" t="s">
        <v>5308</v>
      </c>
      <c r="F1120" s="1081">
        <f t="shared" si="1"/>
        <v>0</v>
      </c>
      <c r="G1120" s="1083">
        <f t="shared" si="2"/>
        <v>56.08</v>
      </c>
      <c r="H1120" s="1084"/>
    </row>
    <row r="1121" ht="14.25" customHeight="1">
      <c r="A1121" s="1085">
        <v>34666.0</v>
      </c>
      <c r="B1121" s="1086" t="s">
        <v>6429</v>
      </c>
      <c r="C1121" s="1087" t="s">
        <v>1814</v>
      </c>
      <c r="D1121" s="1088">
        <v>84.71</v>
      </c>
      <c r="E1121" s="1089" t="s">
        <v>5308</v>
      </c>
      <c r="F1121" s="1081">
        <f t="shared" si="1"/>
        <v>0</v>
      </c>
      <c r="G1121" s="1083">
        <f t="shared" si="2"/>
        <v>84.71</v>
      </c>
      <c r="H1121" s="1084"/>
    </row>
    <row r="1122" ht="14.25" customHeight="1">
      <c r="A1122" s="1085">
        <v>34669.0</v>
      </c>
      <c r="B1122" s="1086" t="s">
        <v>6430</v>
      </c>
      <c r="C1122" s="1087" t="s">
        <v>1814</v>
      </c>
      <c r="D1122" s="1088">
        <v>31.06</v>
      </c>
      <c r="E1122" s="1089" t="s">
        <v>5308</v>
      </c>
      <c r="F1122" s="1081">
        <f t="shared" si="1"/>
        <v>0</v>
      </c>
      <c r="G1122" s="1083">
        <f t="shared" si="2"/>
        <v>31.06</v>
      </c>
      <c r="H1122" s="1084"/>
    </row>
    <row r="1123" ht="14.25" customHeight="1">
      <c r="A1123" s="1085">
        <v>34670.0</v>
      </c>
      <c r="B1123" s="1086" t="s">
        <v>6431</v>
      </c>
      <c r="C1123" s="1087" t="s">
        <v>1814</v>
      </c>
      <c r="D1123" s="1088">
        <v>37.99</v>
      </c>
      <c r="E1123" s="1089" t="s">
        <v>5308</v>
      </c>
      <c r="F1123" s="1081">
        <f t="shared" si="1"/>
        <v>0</v>
      </c>
      <c r="G1123" s="1083">
        <f t="shared" si="2"/>
        <v>37.99</v>
      </c>
      <c r="H1123" s="1084"/>
    </row>
    <row r="1124" ht="14.25" customHeight="1">
      <c r="A1124" s="1085">
        <v>34671.0</v>
      </c>
      <c r="B1124" s="1086" t="s">
        <v>6432</v>
      </c>
      <c r="C1124" s="1087" t="s">
        <v>1814</v>
      </c>
      <c r="D1124" s="1088">
        <v>31.71</v>
      </c>
      <c r="E1124" s="1089" t="s">
        <v>5308</v>
      </c>
      <c r="F1124" s="1081">
        <f t="shared" si="1"/>
        <v>0</v>
      </c>
      <c r="G1124" s="1083">
        <f t="shared" si="2"/>
        <v>31.71</v>
      </c>
      <c r="H1124" s="1084"/>
    </row>
    <row r="1125" ht="14.25" customHeight="1">
      <c r="A1125" s="1085">
        <v>34672.0</v>
      </c>
      <c r="B1125" s="1086" t="s">
        <v>6433</v>
      </c>
      <c r="C1125" s="1087" t="s">
        <v>1814</v>
      </c>
      <c r="D1125" s="1088">
        <v>33.43</v>
      </c>
      <c r="E1125" s="1089" t="s">
        <v>5308</v>
      </c>
      <c r="F1125" s="1081">
        <f t="shared" si="1"/>
        <v>0</v>
      </c>
      <c r="G1125" s="1083">
        <f t="shared" si="2"/>
        <v>33.43</v>
      </c>
      <c r="H1125" s="1084"/>
    </row>
    <row r="1126" ht="14.25" customHeight="1">
      <c r="A1126" s="1085">
        <v>34673.0</v>
      </c>
      <c r="B1126" s="1086" t="s">
        <v>6434</v>
      </c>
      <c r="C1126" s="1087" t="s">
        <v>1814</v>
      </c>
      <c r="D1126" s="1088">
        <v>40.8</v>
      </c>
      <c r="E1126" s="1089" t="s">
        <v>5308</v>
      </c>
      <c r="F1126" s="1081">
        <f t="shared" si="1"/>
        <v>0</v>
      </c>
      <c r="G1126" s="1083">
        <f t="shared" si="2"/>
        <v>40.8</v>
      </c>
      <c r="H1126" s="1084"/>
    </row>
    <row r="1127" ht="14.25" customHeight="1">
      <c r="A1127" s="1085">
        <v>34674.0</v>
      </c>
      <c r="B1127" s="1086" t="s">
        <v>6435</v>
      </c>
      <c r="C1127" s="1087" t="s">
        <v>1814</v>
      </c>
      <c r="D1127" s="1088">
        <v>54.24</v>
      </c>
      <c r="E1127" s="1089" t="s">
        <v>5308</v>
      </c>
      <c r="F1127" s="1081">
        <f t="shared" si="1"/>
        <v>0</v>
      </c>
      <c r="G1127" s="1083">
        <f t="shared" si="2"/>
        <v>54.24</v>
      </c>
      <c r="H1127" s="1084"/>
    </row>
    <row r="1128" ht="14.25" customHeight="1">
      <c r="A1128" s="1085">
        <v>34675.0</v>
      </c>
      <c r="B1128" s="1086" t="s">
        <v>6436</v>
      </c>
      <c r="C1128" s="1087" t="s">
        <v>1814</v>
      </c>
      <c r="D1128" s="1088">
        <v>66.13</v>
      </c>
      <c r="E1128" s="1089" t="s">
        <v>5308</v>
      </c>
      <c r="F1128" s="1081">
        <f t="shared" si="1"/>
        <v>0</v>
      </c>
      <c r="G1128" s="1083">
        <f t="shared" si="2"/>
        <v>66.13</v>
      </c>
      <c r="H1128" s="1084"/>
    </row>
    <row r="1129" ht="14.25" customHeight="1">
      <c r="A1129" s="1085">
        <v>34676.0</v>
      </c>
      <c r="B1129" s="1086" t="s">
        <v>6437</v>
      </c>
      <c r="C1129" s="1087" t="s">
        <v>1814</v>
      </c>
      <c r="D1129" s="1088">
        <v>19.04</v>
      </c>
      <c r="E1129" s="1089" t="s">
        <v>5308</v>
      </c>
      <c r="F1129" s="1081">
        <f t="shared" si="1"/>
        <v>0</v>
      </c>
      <c r="G1129" s="1083">
        <f t="shared" si="2"/>
        <v>19.04</v>
      </c>
      <c r="H1129" s="1084"/>
    </row>
    <row r="1130" ht="14.25" customHeight="1">
      <c r="A1130" s="1085">
        <v>34677.0</v>
      </c>
      <c r="B1130" s="1086" t="s">
        <v>6438</v>
      </c>
      <c r="C1130" s="1087" t="s">
        <v>1814</v>
      </c>
      <c r="D1130" s="1088">
        <v>25.59</v>
      </c>
      <c r="E1130" s="1089" t="s">
        <v>5308</v>
      </c>
      <c r="F1130" s="1081">
        <f t="shared" si="1"/>
        <v>0</v>
      </c>
      <c r="G1130" s="1083">
        <f t="shared" si="2"/>
        <v>25.59</v>
      </c>
      <c r="H1130" s="1084"/>
    </row>
    <row r="1131" ht="14.25" customHeight="1">
      <c r="A1131" s="1085">
        <v>43126.0</v>
      </c>
      <c r="B1131" s="1086" t="s">
        <v>6439</v>
      </c>
      <c r="C1131" s="1087" t="s">
        <v>1814</v>
      </c>
      <c r="D1131" s="1088">
        <v>115.19</v>
      </c>
      <c r="E1131" s="1089" t="s">
        <v>5308</v>
      </c>
      <c r="F1131" s="1081">
        <f t="shared" si="1"/>
        <v>0</v>
      </c>
      <c r="G1131" s="1083">
        <f t="shared" si="2"/>
        <v>115.19</v>
      </c>
      <c r="H1131" s="1084"/>
    </row>
    <row r="1132" ht="14.25" customHeight="1">
      <c r="A1132" s="1085">
        <v>43124.0</v>
      </c>
      <c r="B1132" s="1086" t="s">
        <v>6440</v>
      </c>
      <c r="C1132" s="1087" t="s">
        <v>1814</v>
      </c>
      <c r="D1132" s="1088">
        <v>134.5</v>
      </c>
      <c r="E1132" s="1089" t="s">
        <v>5308</v>
      </c>
      <c r="F1132" s="1081">
        <f t="shared" si="1"/>
        <v>0</v>
      </c>
      <c r="G1132" s="1083">
        <f t="shared" si="2"/>
        <v>134.5</v>
      </c>
      <c r="H1132" s="1084"/>
    </row>
    <row r="1133" ht="14.25" customHeight="1">
      <c r="A1133" s="1085">
        <v>43125.0</v>
      </c>
      <c r="B1133" s="1086" t="s">
        <v>6441</v>
      </c>
      <c r="C1133" s="1087" t="s">
        <v>1814</v>
      </c>
      <c r="D1133" s="1088">
        <v>174.44</v>
      </c>
      <c r="E1133" s="1089" t="s">
        <v>5308</v>
      </c>
      <c r="F1133" s="1081">
        <f t="shared" si="1"/>
        <v>0</v>
      </c>
      <c r="G1133" s="1083">
        <f t="shared" si="2"/>
        <v>174.44</v>
      </c>
      <c r="H1133" s="1084"/>
    </row>
    <row r="1134" ht="14.25" customHeight="1">
      <c r="A1134" s="1085">
        <v>40623.0</v>
      </c>
      <c r="B1134" s="1086" t="s">
        <v>6442</v>
      </c>
      <c r="C1134" s="1087" t="s">
        <v>5728</v>
      </c>
      <c r="D1134" s="1088">
        <v>101.36</v>
      </c>
      <c r="E1134" s="1089" t="s">
        <v>5308</v>
      </c>
      <c r="F1134" s="1081">
        <f t="shared" si="1"/>
        <v>0</v>
      </c>
      <c r="G1134" s="1083">
        <f t="shared" si="2"/>
        <v>101.36</v>
      </c>
      <c r="H1134" s="1084"/>
    </row>
    <row r="1135" ht="14.25" customHeight="1">
      <c r="A1135" s="1085">
        <v>43701.0</v>
      </c>
      <c r="B1135" s="1086" t="s">
        <v>6443</v>
      </c>
      <c r="C1135" s="1087" t="s">
        <v>3606</v>
      </c>
      <c r="D1135" s="1088">
        <v>34.34</v>
      </c>
      <c r="E1135" s="1089" t="s">
        <v>5308</v>
      </c>
      <c r="F1135" s="1081">
        <f t="shared" si="1"/>
        <v>0</v>
      </c>
      <c r="G1135" s="1083">
        <f t="shared" si="2"/>
        <v>34.34</v>
      </c>
      <c r="H1135" s="1084"/>
    </row>
    <row r="1136" ht="14.25" customHeight="1">
      <c r="A1136" s="1085">
        <v>1345.0</v>
      </c>
      <c r="B1136" s="1086" t="s">
        <v>6444</v>
      </c>
      <c r="C1136" s="1087" t="s">
        <v>1814</v>
      </c>
      <c r="D1136" s="1088">
        <v>73.86</v>
      </c>
      <c r="E1136" s="1089" t="s">
        <v>5308</v>
      </c>
      <c r="F1136" s="1081">
        <f t="shared" si="1"/>
        <v>0</v>
      </c>
      <c r="G1136" s="1083">
        <f t="shared" si="2"/>
        <v>73.86</v>
      </c>
      <c r="H1136" s="1084"/>
    </row>
    <row r="1137" ht="14.25" customHeight="1">
      <c r="A1137" s="1085">
        <v>1346.0</v>
      </c>
      <c r="B1137" s="1086" t="s">
        <v>6445</v>
      </c>
      <c r="C1137" s="1087" t="s">
        <v>1814</v>
      </c>
      <c r="D1137" s="1088">
        <v>42.96</v>
      </c>
      <c r="E1137" s="1089" t="s">
        <v>5308</v>
      </c>
      <c r="F1137" s="1081">
        <f t="shared" si="1"/>
        <v>0</v>
      </c>
      <c r="G1137" s="1083">
        <f t="shared" si="2"/>
        <v>42.96</v>
      </c>
      <c r="H1137" s="1084"/>
    </row>
    <row r="1138" ht="14.25" customHeight="1">
      <c r="A1138" s="1085">
        <v>1347.0</v>
      </c>
      <c r="B1138" s="1086" t="s">
        <v>6446</v>
      </c>
      <c r="C1138" s="1087" t="s">
        <v>1814</v>
      </c>
      <c r="D1138" s="1088">
        <v>53.23</v>
      </c>
      <c r="E1138" s="1089" t="s">
        <v>5308</v>
      </c>
      <c r="F1138" s="1081">
        <f t="shared" si="1"/>
        <v>0</v>
      </c>
      <c r="G1138" s="1083">
        <f t="shared" si="2"/>
        <v>53.23</v>
      </c>
      <c r="H1138" s="1084"/>
    </row>
    <row r="1139" ht="14.25" customHeight="1">
      <c r="A1139" s="1085">
        <v>43678.0</v>
      </c>
      <c r="B1139" s="1086" t="s">
        <v>6447</v>
      </c>
      <c r="C1139" s="1087" t="s">
        <v>1814</v>
      </c>
      <c r="D1139" s="1088">
        <v>61.75</v>
      </c>
      <c r="E1139" s="1089" t="s">
        <v>5308</v>
      </c>
      <c r="F1139" s="1081">
        <f t="shared" si="1"/>
        <v>0</v>
      </c>
      <c r="G1139" s="1083">
        <f t="shared" si="2"/>
        <v>61.75</v>
      </c>
      <c r="H1139" s="1084"/>
    </row>
    <row r="1140" ht="14.25" customHeight="1">
      <c r="A1140" s="1085">
        <v>43680.0</v>
      </c>
      <c r="B1140" s="1086" t="s">
        <v>6448</v>
      </c>
      <c r="C1140" s="1087" t="s">
        <v>1814</v>
      </c>
      <c r="D1140" s="1088">
        <v>88.96</v>
      </c>
      <c r="E1140" s="1089" t="s">
        <v>5308</v>
      </c>
      <c r="F1140" s="1081">
        <f t="shared" si="1"/>
        <v>0</v>
      </c>
      <c r="G1140" s="1083">
        <f t="shared" si="2"/>
        <v>88.96</v>
      </c>
      <c r="H1140" s="1084"/>
    </row>
    <row r="1141" ht="14.25" customHeight="1">
      <c r="A1141" s="1085">
        <v>43679.0</v>
      </c>
      <c r="B1141" s="1086" t="s">
        <v>6449</v>
      </c>
      <c r="C1141" s="1087" t="s">
        <v>1814</v>
      </c>
      <c r="D1141" s="1088">
        <v>31.22</v>
      </c>
      <c r="E1141" s="1089" t="s">
        <v>5308</v>
      </c>
      <c r="F1141" s="1081">
        <f t="shared" si="1"/>
        <v>0</v>
      </c>
      <c r="G1141" s="1083">
        <f t="shared" si="2"/>
        <v>31.22</v>
      </c>
      <c r="H1141" s="1084"/>
    </row>
    <row r="1142" ht="14.25" customHeight="1">
      <c r="A1142" s="1085">
        <v>1355.0</v>
      </c>
      <c r="B1142" s="1086" t="s">
        <v>6450</v>
      </c>
      <c r="C1142" s="1087" t="s">
        <v>1814</v>
      </c>
      <c r="D1142" s="1088">
        <v>35.53</v>
      </c>
      <c r="E1142" s="1089" t="s">
        <v>5308</v>
      </c>
      <c r="F1142" s="1081">
        <f t="shared" si="1"/>
        <v>0</v>
      </c>
      <c r="G1142" s="1083">
        <f t="shared" si="2"/>
        <v>35.53</v>
      </c>
      <c r="H1142" s="1084"/>
    </row>
    <row r="1143" ht="14.25" customHeight="1">
      <c r="A1143" s="1085">
        <v>1358.0</v>
      </c>
      <c r="B1143" s="1086" t="s">
        <v>6451</v>
      </c>
      <c r="C1143" s="1087" t="s">
        <v>1814</v>
      </c>
      <c r="D1143" s="1088">
        <v>43.61</v>
      </c>
      <c r="E1143" s="1089" t="s">
        <v>5308</v>
      </c>
      <c r="F1143" s="1081">
        <f t="shared" si="1"/>
        <v>0</v>
      </c>
      <c r="G1143" s="1083">
        <f t="shared" si="2"/>
        <v>43.61</v>
      </c>
      <c r="H1143" s="1084"/>
    </row>
    <row r="1144" ht="14.25" customHeight="1">
      <c r="A1144" s="1085">
        <v>43681.0</v>
      </c>
      <c r="B1144" s="1086" t="s">
        <v>6452</v>
      </c>
      <c r="C1144" s="1087" t="s">
        <v>1814</v>
      </c>
      <c r="D1144" s="1088">
        <v>27.48</v>
      </c>
      <c r="E1144" s="1089" t="s">
        <v>5308</v>
      </c>
      <c r="F1144" s="1081">
        <f t="shared" si="1"/>
        <v>0</v>
      </c>
      <c r="G1144" s="1083">
        <f t="shared" si="2"/>
        <v>27.48</v>
      </c>
      <c r="H1144" s="1084"/>
    </row>
    <row r="1145" ht="14.25" customHeight="1">
      <c r="A1145" s="1085">
        <v>43677.0</v>
      </c>
      <c r="B1145" s="1086" t="s">
        <v>6453</v>
      </c>
      <c r="C1145" s="1087" t="s">
        <v>1814</v>
      </c>
      <c r="D1145" s="1088">
        <v>54.11</v>
      </c>
      <c r="E1145" s="1089" t="s">
        <v>5308</v>
      </c>
      <c r="F1145" s="1081">
        <f t="shared" si="1"/>
        <v>0</v>
      </c>
      <c r="G1145" s="1083">
        <f t="shared" si="2"/>
        <v>54.11</v>
      </c>
      <c r="H1145" s="1084"/>
    </row>
    <row r="1146" ht="14.25" customHeight="1">
      <c r="A1146" s="1085">
        <v>43682.0</v>
      </c>
      <c r="B1146" s="1086" t="s">
        <v>6454</v>
      </c>
      <c r="C1146" s="1087" t="s">
        <v>1814</v>
      </c>
      <c r="D1146" s="1088">
        <v>16.59</v>
      </c>
      <c r="E1146" s="1089" t="s">
        <v>5308</v>
      </c>
      <c r="F1146" s="1081">
        <f t="shared" si="1"/>
        <v>0</v>
      </c>
      <c r="G1146" s="1083">
        <f t="shared" si="2"/>
        <v>16.59</v>
      </c>
      <c r="H1146" s="1084"/>
    </row>
    <row r="1147" ht="14.25" customHeight="1">
      <c r="A1147" s="1085">
        <v>20971.0</v>
      </c>
      <c r="B1147" s="1086" t="s">
        <v>6455</v>
      </c>
      <c r="C1147" s="1087" t="s">
        <v>1788</v>
      </c>
      <c r="D1147" s="1088">
        <v>24.28</v>
      </c>
      <c r="E1147" s="1089" t="s">
        <v>5308</v>
      </c>
      <c r="F1147" s="1081">
        <f t="shared" si="1"/>
        <v>0</v>
      </c>
      <c r="G1147" s="1083">
        <f t="shared" si="2"/>
        <v>24.28</v>
      </c>
      <c r="H1147" s="1084"/>
    </row>
    <row r="1148" ht="14.25" customHeight="1">
      <c r="A1148" s="1085">
        <v>13279.0</v>
      </c>
      <c r="B1148" s="1086" t="s">
        <v>6456</v>
      </c>
      <c r="C1148" s="1087" t="s">
        <v>3606</v>
      </c>
      <c r="D1148" s="1088">
        <v>22.95</v>
      </c>
      <c r="E1148" s="1089" t="s">
        <v>5308</v>
      </c>
      <c r="F1148" s="1081">
        <f t="shared" si="1"/>
        <v>0</v>
      </c>
      <c r="G1148" s="1083">
        <f t="shared" si="2"/>
        <v>22.95</v>
      </c>
      <c r="H1148" s="1084"/>
    </row>
    <row r="1149" ht="14.25" customHeight="1">
      <c r="A1149" s="1085">
        <v>11977.0</v>
      </c>
      <c r="B1149" s="1086" t="s">
        <v>6457</v>
      </c>
      <c r="C1149" s="1087" t="s">
        <v>1788</v>
      </c>
      <c r="D1149" s="1088">
        <v>11.89</v>
      </c>
      <c r="E1149" s="1089" t="s">
        <v>5308</v>
      </c>
      <c r="F1149" s="1081">
        <f t="shared" si="1"/>
        <v>0</v>
      </c>
      <c r="G1149" s="1083">
        <f t="shared" si="2"/>
        <v>11.89</v>
      </c>
      <c r="H1149" s="1084"/>
    </row>
    <row r="1150" ht="14.25" customHeight="1">
      <c r="A1150" s="1085">
        <v>11975.0</v>
      </c>
      <c r="B1150" s="1086" t="s">
        <v>6458</v>
      </c>
      <c r="C1150" s="1087" t="s">
        <v>1788</v>
      </c>
      <c r="D1150" s="1088">
        <v>26.06</v>
      </c>
      <c r="E1150" s="1089" t="s">
        <v>5308</v>
      </c>
      <c r="F1150" s="1081">
        <f t="shared" si="1"/>
        <v>0</v>
      </c>
      <c r="G1150" s="1083">
        <f t="shared" si="2"/>
        <v>26.06</v>
      </c>
      <c r="H1150" s="1084"/>
    </row>
    <row r="1151" ht="14.25" customHeight="1">
      <c r="A1151" s="1085">
        <v>39746.0</v>
      </c>
      <c r="B1151" s="1086" t="s">
        <v>6459</v>
      </c>
      <c r="C1151" s="1087" t="s">
        <v>1788</v>
      </c>
      <c r="D1151" s="1088">
        <v>290.03</v>
      </c>
      <c r="E1151" s="1089" t="s">
        <v>5308</v>
      </c>
      <c r="F1151" s="1081">
        <f t="shared" si="1"/>
        <v>0</v>
      </c>
      <c r="G1151" s="1083">
        <f t="shared" si="2"/>
        <v>290.03</v>
      </c>
      <c r="H1151" s="1084"/>
    </row>
    <row r="1152" ht="14.25" customHeight="1">
      <c r="A1152" s="1085">
        <v>11976.0</v>
      </c>
      <c r="B1152" s="1086" t="s">
        <v>6460</v>
      </c>
      <c r="C1152" s="1087" t="s">
        <v>1788</v>
      </c>
      <c r="D1152" s="1088">
        <v>1.33</v>
      </c>
      <c r="E1152" s="1089" t="s">
        <v>5308</v>
      </c>
      <c r="F1152" s="1081">
        <f t="shared" si="1"/>
        <v>0</v>
      </c>
      <c r="G1152" s="1083">
        <f t="shared" si="2"/>
        <v>1.33</v>
      </c>
      <c r="H1152" s="1084"/>
    </row>
    <row r="1153" ht="14.25" customHeight="1">
      <c r="A1153" s="1085">
        <v>1368.0</v>
      </c>
      <c r="B1153" s="1086" t="s">
        <v>6461</v>
      </c>
      <c r="C1153" s="1087" t="s">
        <v>1788</v>
      </c>
      <c r="D1153" s="1088">
        <v>85.54</v>
      </c>
      <c r="E1153" s="1089" t="s">
        <v>5308</v>
      </c>
      <c r="F1153" s="1081">
        <f t="shared" si="1"/>
        <v>0</v>
      </c>
      <c r="G1153" s="1083">
        <f t="shared" si="2"/>
        <v>85.54</v>
      </c>
      <c r="H1153" s="1084"/>
    </row>
    <row r="1154" ht="14.25" customHeight="1">
      <c r="A1154" s="1085">
        <v>1367.0</v>
      </c>
      <c r="B1154" s="1086" t="s">
        <v>6462</v>
      </c>
      <c r="C1154" s="1087" t="s">
        <v>1788</v>
      </c>
      <c r="D1154" s="1088">
        <v>276.69</v>
      </c>
      <c r="E1154" s="1089" t="s">
        <v>5308</v>
      </c>
      <c r="F1154" s="1081">
        <f t="shared" si="1"/>
        <v>0</v>
      </c>
      <c r="G1154" s="1083">
        <f t="shared" si="2"/>
        <v>276.69</v>
      </c>
      <c r="H1154" s="1084"/>
    </row>
    <row r="1155" ht="14.25" customHeight="1">
      <c r="A1155" s="1085">
        <v>1380.0</v>
      </c>
      <c r="B1155" s="1086" t="s">
        <v>6463</v>
      </c>
      <c r="C1155" s="1087" t="s">
        <v>3606</v>
      </c>
      <c r="D1155" s="1088">
        <v>4.68</v>
      </c>
      <c r="E1155" s="1089" t="s">
        <v>5308</v>
      </c>
      <c r="F1155" s="1081">
        <f t="shared" si="1"/>
        <v>0</v>
      </c>
      <c r="G1155" s="1083">
        <f t="shared" si="2"/>
        <v>4.68</v>
      </c>
      <c r="H1155" s="1084"/>
    </row>
    <row r="1156" ht="14.25" customHeight="1">
      <c r="A1156" s="1085">
        <v>1375.0</v>
      </c>
      <c r="B1156" s="1086" t="s">
        <v>6464</v>
      </c>
      <c r="C1156" s="1087" t="s">
        <v>3606</v>
      </c>
      <c r="D1156" s="1088">
        <v>16.46</v>
      </c>
      <c r="E1156" s="1089" t="s">
        <v>5308</v>
      </c>
      <c r="F1156" s="1081">
        <f t="shared" si="1"/>
        <v>0</v>
      </c>
      <c r="G1156" s="1083">
        <f t="shared" si="2"/>
        <v>16.46</v>
      </c>
      <c r="H1156" s="1084"/>
    </row>
    <row r="1157" ht="14.25" customHeight="1">
      <c r="A1157" s="1085">
        <v>1379.0</v>
      </c>
      <c r="B1157" s="1086" t="s">
        <v>6465</v>
      </c>
      <c r="C1157" s="1087" t="s">
        <v>3606</v>
      </c>
      <c r="D1157" s="1088">
        <v>0.7</v>
      </c>
      <c r="E1157" s="1089" t="s">
        <v>5308</v>
      </c>
      <c r="F1157" s="1081">
        <f t="shared" si="1"/>
        <v>0</v>
      </c>
      <c r="G1157" s="1083">
        <f t="shared" si="2"/>
        <v>0.7</v>
      </c>
      <c r="H1157" s="1084"/>
    </row>
    <row r="1158" ht="14.25" customHeight="1">
      <c r="A1158" s="1085">
        <v>13284.0</v>
      </c>
      <c r="B1158" s="1086" t="s">
        <v>6466</v>
      </c>
      <c r="C1158" s="1087" t="s">
        <v>3606</v>
      </c>
      <c r="D1158" s="1088">
        <v>0.63</v>
      </c>
      <c r="E1158" s="1089" t="s">
        <v>5308</v>
      </c>
      <c r="F1158" s="1081">
        <f t="shared" si="1"/>
        <v>0</v>
      </c>
      <c r="G1158" s="1083">
        <f t="shared" si="2"/>
        <v>0.63</v>
      </c>
      <c r="H1158" s="1084"/>
    </row>
    <row r="1159" ht="14.25" customHeight="1">
      <c r="A1159" s="1085">
        <v>44528.0</v>
      </c>
      <c r="B1159" s="1086" t="s">
        <v>6467</v>
      </c>
      <c r="C1159" s="1087" t="s">
        <v>3606</v>
      </c>
      <c r="D1159" s="1088">
        <v>3.73</v>
      </c>
      <c r="E1159" s="1089" t="s">
        <v>5554</v>
      </c>
      <c r="F1159" s="1081">
        <f t="shared" si="1"/>
        <v>0</v>
      </c>
      <c r="G1159" s="1083">
        <f t="shared" si="2"/>
        <v>3.73</v>
      </c>
      <c r="H1159" s="1084"/>
    </row>
    <row r="1160" ht="14.25" customHeight="1">
      <c r="A1160" s="1085">
        <v>34753.0</v>
      </c>
      <c r="B1160" s="1086" t="s">
        <v>6468</v>
      </c>
      <c r="C1160" s="1087" t="s">
        <v>3606</v>
      </c>
      <c r="D1160" s="1088">
        <v>0.68</v>
      </c>
      <c r="E1160" s="1089" t="s">
        <v>5308</v>
      </c>
      <c r="F1160" s="1081">
        <f t="shared" si="1"/>
        <v>0</v>
      </c>
      <c r="G1160" s="1083">
        <f t="shared" si="2"/>
        <v>0.68</v>
      </c>
      <c r="H1160" s="1084"/>
    </row>
    <row r="1161" ht="14.25" customHeight="1">
      <c r="A1161" s="1085">
        <v>420.0</v>
      </c>
      <c r="B1161" s="1086" t="s">
        <v>6469</v>
      </c>
      <c r="C1161" s="1087" t="s">
        <v>1788</v>
      </c>
      <c r="D1161" s="1088">
        <v>21.06</v>
      </c>
      <c r="E1161" s="1089" t="s">
        <v>5308</v>
      </c>
      <c r="F1161" s="1081">
        <f t="shared" si="1"/>
        <v>0</v>
      </c>
      <c r="G1161" s="1083">
        <f t="shared" si="2"/>
        <v>21.06</v>
      </c>
      <c r="H1161" s="1084"/>
    </row>
    <row r="1162" ht="14.25" customHeight="1">
      <c r="A1162" s="1085">
        <v>12327.0</v>
      </c>
      <c r="B1162" s="1086" t="s">
        <v>6470</v>
      </c>
      <c r="C1162" s="1087" t="s">
        <v>1788</v>
      </c>
      <c r="D1162" s="1088">
        <v>25.09</v>
      </c>
      <c r="E1162" s="1089" t="s">
        <v>5308</v>
      </c>
      <c r="F1162" s="1081">
        <f t="shared" si="1"/>
        <v>0</v>
      </c>
      <c r="G1162" s="1083">
        <f t="shared" si="2"/>
        <v>25.09</v>
      </c>
      <c r="H1162" s="1084"/>
    </row>
    <row r="1163" ht="14.25" customHeight="1">
      <c r="A1163" s="1085">
        <v>36148.0</v>
      </c>
      <c r="B1163" s="1086" t="s">
        <v>6471</v>
      </c>
      <c r="C1163" s="1087" t="s">
        <v>1788</v>
      </c>
      <c r="D1163" s="1088">
        <v>72.0</v>
      </c>
      <c r="E1163" s="1089" t="s">
        <v>5308</v>
      </c>
      <c r="F1163" s="1081">
        <f t="shared" si="1"/>
        <v>0</v>
      </c>
      <c r="G1163" s="1083">
        <f t="shared" si="2"/>
        <v>72</v>
      </c>
      <c r="H1163" s="1084"/>
    </row>
    <row r="1164" ht="14.25" customHeight="1">
      <c r="A1164" s="1085">
        <v>12329.0</v>
      </c>
      <c r="B1164" s="1086" t="s">
        <v>6472</v>
      </c>
      <c r="C1164" s="1087" t="s">
        <v>3606</v>
      </c>
      <c r="D1164" s="1088">
        <v>123.33</v>
      </c>
      <c r="E1164" s="1089" t="s">
        <v>5308</v>
      </c>
      <c r="F1164" s="1081">
        <f t="shared" si="1"/>
        <v>0</v>
      </c>
      <c r="G1164" s="1083">
        <f t="shared" si="2"/>
        <v>123.33</v>
      </c>
      <c r="H1164" s="1084"/>
    </row>
    <row r="1165" ht="14.25" customHeight="1">
      <c r="A1165" s="1085">
        <v>1339.0</v>
      </c>
      <c r="B1165" s="1086" t="s">
        <v>6473</v>
      </c>
      <c r="C1165" s="1087" t="s">
        <v>3606</v>
      </c>
      <c r="D1165" s="1088">
        <v>62.3</v>
      </c>
      <c r="E1165" s="1089" t="s">
        <v>5308</v>
      </c>
      <c r="F1165" s="1081">
        <f t="shared" si="1"/>
        <v>0</v>
      </c>
      <c r="G1165" s="1083">
        <f t="shared" si="2"/>
        <v>62.3</v>
      </c>
      <c r="H1165" s="1084"/>
    </row>
    <row r="1166" ht="14.25" customHeight="1">
      <c r="A1166" s="1085">
        <v>44396.0</v>
      </c>
      <c r="B1166" s="1086" t="s">
        <v>6474</v>
      </c>
      <c r="C1166" s="1087" t="s">
        <v>3606</v>
      </c>
      <c r="D1166" s="1088">
        <v>39.48</v>
      </c>
      <c r="E1166" s="1089" t="s">
        <v>5308</v>
      </c>
      <c r="F1166" s="1081">
        <f t="shared" si="1"/>
        <v>0</v>
      </c>
      <c r="G1166" s="1083">
        <f t="shared" si="2"/>
        <v>39.48</v>
      </c>
      <c r="H1166" s="1084"/>
    </row>
    <row r="1167" ht="14.25" customHeight="1">
      <c r="A1167" s="1085">
        <v>44327.0</v>
      </c>
      <c r="B1167" s="1086" t="s">
        <v>6475</v>
      </c>
      <c r="C1167" s="1087" t="s">
        <v>2386</v>
      </c>
      <c r="D1167" s="1088">
        <v>134.29</v>
      </c>
      <c r="E1167" s="1089" t="s">
        <v>5308</v>
      </c>
      <c r="F1167" s="1081">
        <f t="shared" si="1"/>
        <v>0</v>
      </c>
      <c r="G1167" s="1083">
        <f t="shared" si="2"/>
        <v>134.29</v>
      </c>
      <c r="H1167" s="1084"/>
    </row>
    <row r="1168" ht="14.25" customHeight="1">
      <c r="A1168" s="1085">
        <v>37418.0</v>
      </c>
      <c r="B1168" s="1086" t="s">
        <v>6476</v>
      </c>
      <c r="C1168" s="1087" t="s">
        <v>1788</v>
      </c>
      <c r="D1168" s="1088">
        <v>17.83</v>
      </c>
      <c r="E1168" s="1089" t="s">
        <v>5308</v>
      </c>
      <c r="F1168" s="1081">
        <f t="shared" si="1"/>
        <v>0</v>
      </c>
      <c r="G1168" s="1083">
        <f t="shared" si="2"/>
        <v>17.83</v>
      </c>
      <c r="H1168" s="1084"/>
    </row>
    <row r="1169" ht="14.25" customHeight="1">
      <c r="A1169" s="1085">
        <v>37419.0</v>
      </c>
      <c r="B1169" s="1086" t="s">
        <v>6477</v>
      </c>
      <c r="C1169" s="1087" t="s">
        <v>1788</v>
      </c>
      <c r="D1169" s="1088">
        <v>18.31</v>
      </c>
      <c r="E1169" s="1089" t="s">
        <v>5308</v>
      </c>
      <c r="F1169" s="1081">
        <f t="shared" si="1"/>
        <v>0</v>
      </c>
      <c r="G1169" s="1083">
        <f t="shared" si="2"/>
        <v>18.31</v>
      </c>
      <c r="H1169" s="1084"/>
    </row>
    <row r="1170" ht="14.25" customHeight="1">
      <c r="A1170" s="1085">
        <v>1427.0</v>
      </c>
      <c r="B1170" s="1086" t="s">
        <v>6478</v>
      </c>
      <c r="C1170" s="1087" t="s">
        <v>1788</v>
      </c>
      <c r="D1170" s="1088">
        <v>18.5</v>
      </c>
      <c r="E1170" s="1089" t="s">
        <v>5308</v>
      </c>
      <c r="F1170" s="1081">
        <f t="shared" si="1"/>
        <v>0</v>
      </c>
      <c r="G1170" s="1083">
        <f t="shared" si="2"/>
        <v>18.5</v>
      </c>
      <c r="H1170" s="1084"/>
    </row>
    <row r="1171" ht="14.25" customHeight="1">
      <c r="A1171" s="1085">
        <v>1402.0</v>
      </c>
      <c r="B1171" s="1086" t="s">
        <v>6479</v>
      </c>
      <c r="C1171" s="1087" t="s">
        <v>1788</v>
      </c>
      <c r="D1171" s="1088">
        <v>6.4</v>
      </c>
      <c r="E1171" s="1089" t="s">
        <v>5308</v>
      </c>
      <c r="F1171" s="1081">
        <f t="shared" si="1"/>
        <v>0</v>
      </c>
      <c r="G1171" s="1083">
        <f t="shared" si="2"/>
        <v>6.4</v>
      </c>
      <c r="H1171" s="1084"/>
    </row>
    <row r="1172" ht="14.25" customHeight="1">
      <c r="A1172" s="1085">
        <v>1420.0</v>
      </c>
      <c r="B1172" s="1086" t="s">
        <v>6480</v>
      </c>
      <c r="C1172" s="1087" t="s">
        <v>1788</v>
      </c>
      <c r="D1172" s="1088">
        <v>8.23</v>
      </c>
      <c r="E1172" s="1089" t="s">
        <v>5308</v>
      </c>
      <c r="F1172" s="1081">
        <f t="shared" si="1"/>
        <v>0</v>
      </c>
      <c r="G1172" s="1083">
        <f t="shared" si="2"/>
        <v>8.23</v>
      </c>
      <c r="H1172" s="1084"/>
    </row>
    <row r="1173" ht="14.25" customHeight="1">
      <c r="A1173" s="1085">
        <v>1419.0</v>
      </c>
      <c r="B1173" s="1086" t="s">
        <v>6481</v>
      </c>
      <c r="C1173" s="1087" t="s">
        <v>1788</v>
      </c>
      <c r="D1173" s="1088">
        <v>9.94</v>
      </c>
      <c r="E1173" s="1089" t="s">
        <v>5308</v>
      </c>
      <c r="F1173" s="1081">
        <f t="shared" si="1"/>
        <v>0</v>
      </c>
      <c r="G1173" s="1083">
        <f t="shared" si="2"/>
        <v>9.94</v>
      </c>
      <c r="H1173" s="1084"/>
    </row>
    <row r="1174" ht="14.25" customHeight="1">
      <c r="A1174" s="1085">
        <v>1414.0</v>
      </c>
      <c r="B1174" s="1086" t="s">
        <v>6482</v>
      </c>
      <c r="C1174" s="1087" t="s">
        <v>1788</v>
      </c>
      <c r="D1174" s="1088">
        <v>9.73</v>
      </c>
      <c r="E1174" s="1089" t="s">
        <v>5308</v>
      </c>
      <c r="F1174" s="1081">
        <f t="shared" si="1"/>
        <v>0</v>
      </c>
      <c r="G1174" s="1083">
        <f t="shared" si="2"/>
        <v>9.73</v>
      </c>
      <c r="H1174" s="1084"/>
    </row>
    <row r="1175" ht="14.25" customHeight="1">
      <c r="A1175" s="1085">
        <v>1413.0</v>
      </c>
      <c r="B1175" s="1086" t="s">
        <v>6483</v>
      </c>
      <c r="C1175" s="1087" t="s">
        <v>1788</v>
      </c>
      <c r="D1175" s="1088">
        <v>14.37</v>
      </c>
      <c r="E1175" s="1089" t="s">
        <v>5308</v>
      </c>
      <c r="F1175" s="1081">
        <f t="shared" si="1"/>
        <v>0</v>
      </c>
      <c r="G1175" s="1083">
        <f t="shared" si="2"/>
        <v>14.37</v>
      </c>
      <c r="H1175" s="1084"/>
    </row>
    <row r="1176" ht="14.25" customHeight="1">
      <c r="A1176" s="1085">
        <v>1412.0</v>
      </c>
      <c r="B1176" s="1086" t="s">
        <v>6484</v>
      </c>
      <c r="C1176" s="1087" t="s">
        <v>1788</v>
      </c>
      <c r="D1176" s="1088">
        <v>12.18</v>
      </c>
      <c r="E1176" s="1089" t="s">
        <v>5308</v>
      </c>
      <c r="F1176" s="1081">
        <f t="shared" si="1"/>
        <v>0</v>
      </c>
      <c r="G1176" s="1083">
        <f t="shared" si="2"/>
        <v>12.18</v>
      </c>
      <c r="H1176" s="1084"/>
    </row>
    <row r="1177" ht="14.25" customHeight="1">
      <c r="A1177" s="1085">
        <v>1406.0</v>
      </c>
      <c r="B1177" s="1086" t="s">
        <v>6485</v>
      </c>
      <c r="C1177" s="1087" t="s">
        <v>1788</v>
      </c>
      <c r="D1177" s="1088">
        <v>14.69</v>
      </c>
      <c r="E1177" s="1089" t="s">
        <v>5308</v>
      </c>
      <c r="F1177" s="1081">
        <f t="shared" si="1"/>
        <v>0</v>
      </c>
      <c r="G1177" s="1083">
        <f t="shared" si="2"/>
        <v>14.69</v>
      </c>
      <c r="H1177" s="1084"/>
    </row>
    <row r="1178" ht="14.25" customHeight="1">
      <c r="A1178" s="1085">
        <v>11281.0</v>
      </c>
      <c r="B1178" s="1086" t="s">
        <v>6486</v>
      </c>
      <c r="C1178" s="1087" t="s">
        <v>1788</v>
      </c>
      <c r="D1178" s="1088">
        <v>10199.0</v>
      </c>
      <c r="E1178" s="1089" t="s">
        <v>5482</v>
      </c>
      <c r="F1178" s="1081">
        <f t="shared" si="1"/>
        <v>0</v>
      </c>
      <c r="G1178" s="1083">
        <f t="shared" si="2"/>
        <v>10199</v>
      </c>
      <c r="H1178" s="1084"/>
    </row>
    <row r="1179" ht="14.25" customHeight="1">
      <c r="A1179" s="1085">
        <v>1442.0</v>
      </c>
      <c r="B1179" s="1086" t="s">
        <v>6487</v>
      </c>
      <c r="C1179" s="1087" t="s">
        <v>1788</v>
      </c>
      <c r="D1179" s="1088">
        <v>8561.98</v>
      </c>
      <c r="E1179" s="1089" t="s">
        <v>5482</v>
      </c>
      <c r="F1179" s="1081">
        <f t="shared" si="1"/>
        <v>0</v>
      </c>
      <c r="G1179" s="1083">
        <f t="shared" si="2"/>
        <v>8561.98</v>
      </c>
      <c r="H1179" s="1084"/>
    </row>
    <row r="1180" ht="14.25" customHeight="1">
      <c r="A1180" s="1085">
        <v>13457.0</v>
      </c>
      <c r="B1180" s="1086" t="s">
        <v>6488</v>
      </c>
      <c r="C1180" s="1087" t="s">
        <v>1788</v>
      </c>
      <c r="D1180" s="1088">
        <v>7390.57</v>
      </c>
      <c r="E1180" s="1089" t="s">
        <v>5482</v>
      </c>
      <c r="F1180" s="1081">
        <f t="shared" si="1"/>
        <v>0</v>
      </c>
      <c r="G1180" s="1083">
        <f t="shared" si="2"/>
        <v>7390.57</v>
      </c>
      <c r="H1180" s="1084"/>
    </row>
    <row r="1181" ht="14.25" customHeight="1">
      <c r="A1181" s="1085">
        <v>40699.0</v>
      </c>
      <c r="B1181" s="1086" t="s">
        <v>6489</v>
      </c>
      <c r="C1181" s="1087" t="s">
        <v>1788</v>
      </c>
      <c r="D1181" s="1088">
        <v>5713.2</v>
      </c>
      <c r="E1181" s="1089" t="s">
        <v>5482</v>
      </c>
      <c r="F1181" s="1081">
        <f t="shared" si="1"/>
        <v>0</v>
      </c>
      <c r="G1181" s="1083">
        <f t="shared" si="2"/>
        <v>5713.2</v>
      </c>
      <c r="H1181" s="1084"/>
    </row>
    <row r="1182" ht="14.25" customHeight="1">
      <c r="A1182" s="1085">
        <v>40701.0</v>
      </c>
      <c r="B1182" s="1086" t="s">
        <v>6490</v>
      </c>
      <c r="C1182" s="1087" t="s">
        <v>1788</v>
      </c>
      <c r="D1182" s="1088">
        <v>101017.17</v>
      </c>
      <c r="E1182" s="1089" t="s">
        <v>5482</v>
      </c>
      <c r="F1182" s="1081">
        <f t="shared" si="1"/>
        <v>0</v>
      </c>
      <c r="G1182" s="1083">
        <f t="shared" si="2"/>
        <v>101017.17</v>
      </c>
      <c r="H1182" s="1084"/>
    </row>
    <row r="1183" ht="14.25" customHeight="1">
      <c r="A1183" s="1085">
        <v>40700.0</v>
      </c>
      <c r="B1183" s="1086" t="s">
        <v>6491</v>
      </c>
      <c r="C1183" s="1087" t="s">
        <v>1788</v>
      </c>
      <c r="D1183" s="1088">
        <v>13299.58</v>
      </c>
      <c r="E1183" s="1089" t="s">
        <v>5482</v>
      </c>
      <c r="F1183" s="1081">
        <f t="shared" si="1"/>
        <v>0</v>
      </c>
      <c r="G1183" s="1083">
        <f t="shared" si="2"/>
        <v>13299.58</v>
      </c>
      <c r="H1183" s="1084"/>
    </row>
    <row r="1184" ht="14.25" customHeight="1">
      <c r="A1184" s="1085">
        <v>13458.0</v>
      </c>
      <c r="B1184" s="1086" t="s">
        <v>6492</v>
      </c>
      <c r="C1184" s="1087" t="s">
        <v>1788</v>
      </c>
      <c r="D1184" s="1088">
        <v>12637.89</v>
      </c>
      <c r="E1184" s="1089" t="s">
        <v>5482</v>
      </c>
      <c r="F1184" s="1081">
        <f t="shared" si="1"/>
        <v>0</v>
      </c>
      <c r="G1184" s="1083">
        <f t="shared" si="2"/>
        <v>12637.89</v>
      </c>
      <c r="H1184" s="1084"/>
    </row>
    <row r="1185" ht="14.25" customHeight="1">
      <c r="A1185" s="1085">
        <v>11134.0</v>
      </c>
      <c r="B1185" s="1086" t="s">
        <v>6493</v>
      </c>
      <c r="C1185" s="1087" t="s">
        <v>1814</v>
      </c>
      <c r="D1185" s="1088">
        <v>61.2</v>
      </c>
      <c r="E1185" s="1089" t="s">
        <v>5308</v>
      </c>
      <c r="F1185" s="1081">
        <f t="shared" si="1"/>
        <v>0</v>
      </c>
      <c r="G1185" s="1083">
        <f t="shared" si="2"/>
        <v>61.2</v>
      </c>
      <c r="H1185" s="1084"/>
    </row>
    <row r="1186" ht="14.25" customHeight="1">
      <c r="A1186" s="1085">
        <v>11135.0</v>
      </c>
      <c r="B1186" s="1086" t="s">
        <v>6494</v>
      </c>
      <c r="C1186" s="1087" t="s">
        <v>1814</v>
      </c>
      <c r="D1186" s="1088">
        <v>66.08</v>
      </c>
      <c r="E1186" s="1089" t="s">
        <v>5308</v>
      </c>
      <c r="F1186" s="1081">
        <f t="shared" si="1"/>
        <v>0</v>
      </c>
      <c r="G1186" s="1083">
        <f t="shared" si="2"/>
        <v>66.08</v>
      </c>
      <c r="H1186" s="1084"/>
    </row>
    <row r="1187" ht="14.25" customHeight="1">
      <c r="A1187" s="1085">
        <v>11136.0</v>
      </c>
      <c r="B1187" s="1086" t="s">
        <v>6495</v>
      </c>
      <c r="C1187" s="1087" t="s">
        <v>1814</v>
      </c>
      <c r="D1187" s="1088">
        <v>75.67</v>
      </c>
      <c r="E1187" s="1089" t="s">
        <v>5308</v>
      </c>
      <c r="F1187" s="1081">
        <f t="shared" si="1"/>
        <v>0</v>
      </c>
      <c r="G1187" s="1083">
        <f t="shared" si="2"/>
        <v>75.67</v>
      </c>
      <c r="H1187" s="1084"/>
    </row>
    <row r="1188" ht="14.25" customHeight="1">
      <c r="A1188" s="1085">
        <v>34743.0</v>
      </c>
      <c r="B1188" s="1086" t="s">
        <v>6496</v>
      </c>
      <c r="C1188" s="1087" t="s">
        <v>1814</v>
      </c>
      <c r="D1188" s="1088">
        <v>91.3</v>
      </c>
      <c r="E1188" s="1089" t="s">
        <v>5308</v>
      </c>
      <c r="F1188" s="1081">
        <f t="shared" si="1"/>
        <v>0</v>
      </c>
      <c r="G1188" s="1083">
        <f t="shared" si="2"/>
        <v>91.3</v>
      </c>
      <c r="H1188" s="1084"/>
    </row>
    <row r="1189" ht="14.25" customHeight="1">
      <c r="A1189" s="1085">
        <v>11137.0</v>
      </c>
      <c r="B1189" s="1086" t="s">
        <v>6497</v>
      </c>
      <c r="C1189" s="1087" t="s">
        <v>1814</v>
      </c>
      <c r="D1189" s="1088">
        <v>103.69</v>
      </c>
      <c r="E1189" s="1089" t="s">
        <v>5308</v>
      </c>
      <c r="F1189" s="1081">
        <f t="shared" si="1"/>
        <v>0</v>
      </c>
      <c r="G1189" s="1083">
        <f t="shared" si="2"/>
        <v>103.69</v>
      </c>
      <c r="H1189" s="1084"/>
    </row>
    <row r="1190" ht="14.25" customHeight="1">
      <c r="A1190" s="1085">
        <v>34745.0</v>
      </c>
      <c r="B1190" s="1086" t="s">
        <v>6498</v>
      </c>
      <c r="C1190" s="1087" t="s">
        <v>1814</v>
      </c>
      <c r="D1190" s="1088">
        <v>123.31</v>
      </c>
      <c r="E1190" s="1089" t="s">
        <v>5308</v>
      </c>
      <c r="F1190" s="1081">
        <f t="shared" si="1"/>
        <v>0</v>
      </c>
      <c r="G1190" s="1083">
        <f t="shared" si="2"/>
        <v>123.31</v>
      </c>
      <c r="H1190" s="1084"/>
    </row>
    <row r="1191" ht="14.25" customHeight="1">
      <c r="A1191" s="1085">
        <v>34746.0</v>
      </c>
      <c r="B1191" s="1086" t="s">
        <v>6499</v>
      </c>
      <c r="C1191" s="1087" t="s">
        <v>1814</v>
      </c>
      <c r="D1191" s="1088">
        <v>33.63</v>
      </c>
      <c r="E1191" s="1089" t="s">
        <v>5308</v>
      </c>
      <c r="F1191" s="1081">
        <f t="shared" si="1"/>
        <v>0</v>
      </c>
      <c r="G1191" s="1083">
        <f t="shared" si="2"/>
        <v>33.63</v>
      </c>
      <c r="H1191" s="1084"/>
    </row>
    <row r="1192" ht="14.25" customHeight="1">
      <c r="A1192" s="1085">
        <v>1360.0</v>
      </c>
      <c r="B1192" s="1086" t="s">
        <v>6500</v>
      </c>
      <c r="C1192" s="1087" t="s">
        <v>1814</v>
      </c>
      <c r="D1192" s="1088">
        <v>39.23</v>
      </c>
      <c r="E1192" s="1089" t="s">
        <v>5308</v>
      </c>
      <c r="F1192" s="1081">
        <f t="shared" si="1"/>
        <v>0</v>
      </c>
      <c r="G1192" s="1083">
        <f t="shared" si="2"/>
        <v>39.23</v>
      </c>
      <c r="H1192" s="1084"/>
    </row>
    <row r="1193" ht="14.25" customHeight="1">
      <c r="A1193" s="1085">
        <v>36524.0</v>
      </c>
      <c r="B1193" s="1086" t="s">
        <v>6501</v>
      </c>
      <c r="C1193" s="1087" t="s">
        <v>1788</v>
      </c>
      <c r="D1193" s="1088">
        <v>168486.83</v>
      </c>
      <c r="E1193" s="1089" t="s">
        <v>5482</v>
      </c>
      <c r="F1193" s="1081">
        <f t="shared" si="1"/>
        <v>0</v>
      </c>
      <c r="G1193" s="1083">
        <f t="shared" si="2"/>
        <v>168486.83</v>
      </c>
      <c r="H1193" s="1084"/>
    </row>
    <row r="1194" ht="14.25" customHeight="1">
      <c r="A1194" s="1085">
        <v>36526.0</v>
      </c>
      <c r="B1194" s="1086" t="s">
        <v>6502</v>
      </c>
      <c r="C1194" s="1087" t="s">
        <v>1788</v>
      </c>
      <c r="D1194" s="1088">
        <v>135773.55</v>
      </c>
      <c r="E1194" s="1089" t="s">
        <v>5482</v>
      </c>
      <c r="F1194" s="1081">
        <f t="shared" si="1"/>
        <v>0</v>
      </c>
      <c r="G1194" s="1083">
        <f t="shared" si="2"/>
        <v>135773.55</v>
      </c>
      <c r="H1194" s="1084"/>
    </row>
    <row r="1195" ht="14.25" customHeight="1">
      <c r="A1195" s="1085">
        <v>36523.0</v>
      </c>
      <c r="B1195" s="1086" t="s">
        <v>6503</v>
      </c>
      <c r="C1195" s="1087" t="s">
        <v>1788</v>
      </c>
      <c r="D1195" s="1088">
        <v>290672.85</v>
      </c>
      <c r="E1195" s="1089" t="s">
        <v>5482</v>
      </c>
      <c r="F1195" s="1081">
        <f t="shared" si="1"/>
        <v>0</v>
      </c>
      <c r="G1195" s="1083">
        <f t="shared" si="2"/>
        <v>290672.85</v>
      </c>
      <c r="H1195" s="1084"/>
    </row>
    <row r="1196" ht="14.25" customHeight="1">
      <c r="A1196" s="1085">
        <v>36527.0</v>
      </c>
      <c r="B1196" s="1086" t="s">
        <v>6504</v>
      </c>
      <c r="C1196" s="1087" t="s">
        <v>1788</v>
      </c>
      <c r="D1196" s="1088">
        <v>315730.59</v>
      </c>
      <c r="E1196" s="1089" t="s">
        <v>5482</v>
      </c>
      <c r="F1196" s="1081">
        <f t="shared" si="1"/>
        <v>0</v>
      </c>
      <c r="G1196" s="1083">
        <f t="shared" si="2"/>
        <v>315730.59</v>
      </c>
      <c r="H1196" s="1084"/>
    </row>
    <row r="1197" ht="14.25" customHeight="1">
      <c r="A1197" s="1085">
        <v>38642.0</v>
      </c>
      <c r="B1197" s="1086" t="s">
        <v>6505</v>
      </c>
      <c r="C1197" s="1087" t="s">
        <v>1788</v>
      </c>
      <c r="D1197" s="1088">
        <v>73510.18</v>
      </c>
      <c r="E1197" s="1089" t="s">
        <v>5482</v>
      </c>
      <c r="F1197" s="1081">
        <f t="shared" si="1"/>
        <v>0</v>
      </c>
      <c r="G1197" s="1083">
        <f t="shared" si="2"/>
        <v>73510.18</v>
      </c>
      <c r="H1197" s="1084"/>
    </row>
    <row r="1198" ht="14.25" customHeight="1">
      <c r="A1198" s="1085">
        <v>36522.0</v>
      </c>
      <c r="B1198" s="1086" t="s">
        <v>6506</v>
      </c>
      <c r="C1198" s="1087" t="s">
        <v>1788</v>
      </c>
      <c r="D1198" s="1088">
        <v>85491.46</v>
      </c>
      <c r="E1198" s="1089" t="s">
        <v>5482</v>
      </c>
      <c r="F1198" s="1081">
        <f t="shared" si="1"/>
        <v>0</v>
      </c>
      <c r="G1198" s="1083">
        <f t="shared" si="2"/>
        <v>85491.46</v>
      </c>
      <c r="H1198" s="1084"/>
    </row>
    <row r="1199" ht="14.25" customHeight="1">
      <c r="A1199" s="1085">
        <v>36525.0</v>
      </c>
      <c r="B1199" s="1086" t="s">
        <v>6507</v>
      </c>
      <c r="C1199" s="1087" t="s">
        <v>1788</v>
      </c>
      <c r="D1199" s="1088">
        <v>114493.03</v>
      </c>
      <c r="E1199" s="1089" t="s">
        <v>5482</v>
      </c>
      <c r="F1199" s="1081">
        <f t="shared" si="1"/>
        <v>0</v>
      </c>
      <c r="G1199" s="1083">
        <f t="shared" si="2"/>
        <v>114493.03</v>
      </c>
      <c r="H1199" s="1084"/>
    </row>
    <row r="1200" ht="14.25" customHeight="1">
      <c r="A1200" s="1085">
        <v>13803.0</v>
      </c>
      <c r="B1200" s="1086" t="s">
        <v>6508</v>
      </c>
      <c r="C1200" s="1087" t="s">
        <v>1788</v>
      </c>
      <c r="D1200" s="1088">
        <v>114165.43</v>
      </c>
      <c r="E1200" s="1089" t="s">
        <v>5482</v>
      </c>
      <c r="F1200" s="1081">
        <f t="shared" si="1"/>
        <v>0</v>
      </c>
      <c r="G1200" s="1083">
        <f t="shared" si="2"/>
        <v>114165.43</v>
      </c>
      <c r="H1200" s="1084"/>
    </row>
    <row r="1201" ht="14.25" customHeight="1">
      <c r="A1201" s="1085">
        <v>34348.0</v>
      </c>
      <c r="B1201" s="1086" t="s">
        <v>6509</v>
      </c>
      <c r="C1201" s="1087" t="s">
        <v>1731</v>
      </c>
      <c r="D1201" s="1088">
        <v>29.06</v>
      </c>
      <c r="E1201" s="1089" t="s">
        <v>5308</v>
      </c>
      <c r="F1201" s="1081">
        <f t="shared" si="1"/>
        <v>0</v>
      </c>
      <c r="G1201" s="1083">
        <f t="shared" si="2"/>
        <v>29.06</v>
      </c>
      <c r="H1201" s="1084"/>
    </row>
    <row r="1202" ht="14.25" customHeight="1">
      <c r="A1202" s="1085">
        <v>34347.0</v>
      </c>
      <c r="B1202" s="1086" t="s">
        <v>6510</v>
      </c>
      <c r="C1202" s="1087" t="s">
        <v>1731</v>
      </c>
      <c r="D1202" s="1088">
        <v>20.78</v>
      </c>
      <c r="E1202" s="1089" t="s">
        <v>5308</v>
      </c>
      <c r="F1202" s="1081">
        <f t="shared" si="1"/>
        <v>0</v>
      </c>
      <c r="G1202" s="1083">
        <f t="shared" si="2"/>
        <v>20.78</v>
      </c>
      <c r="H1202" s="1084"/>
    </row>
    <row r="1203" ht="14.25" customHeight="1">
      <c r="A1203" s="1085">
        <v>11146.0</v>
      </c>
      <c r="B1203" s="1086" t="s">
        <v>6511</v>
      </c>
      <c r="C1203" s="1087" t="s">
        <v>2178</v>
      </c>
      <c r="D1203" s="1088">
        <v>457.97</v>
      </c>
      <c r="E1203" s="1089" t="s">
        <v>5308</v>
      </c>
      <c r="F1203" s="1081">
        <f t="shared" si="1"/>
        <v>0</v>
      </c>
      <c r="G1203" s="1083">
        <f t="shared" si="2"/>
        <v>457.97</v>
      </c>
      <c r="H1203" s="1084"/>
    </row>
    <row r="1204" ht="14.25" customHeight="1">
      <c r="A1204" s="1085">
        <v>11147.0</v>
      </c>
      <c r="B1204" s="1086" t="s">
        <v>6512</v>
      </c>
      <c r="C1204" s="1087" t="s">
        <v>2178</v>
      </c>
      <c r="D1204" s="1088">
        <v>475.9</v>
      </c>
      <c r="E1204" s="1089" t="s">
        <v>5308</v>
      </c>
      <c r="F1204" s="1081">
        <f t="shared" si="1"/>
        <v>0</v>
      </c>
      <c r="G1204" s="1083">
        <f t="shared" si="2"/>
        <v>475.9</v>
      </c>
      <c r="H1204" s="1084"/>
    </row>
    <row r="1205" ht="14.25" customHeight="1">
      <c r="A1205" s="1085">
        <v>34872.0</v>
      </c>
      <c r="B1205" s="1086" t="s">
        <v>6513</v>
      </c>
      <c r="C1205" s="1087" t="s">
        <v>2178</v>
      </c>
      <c r="D1205" s="1088">
        <v>481.24</v>
      </c>
      <c r="E1205" s="1089" t="s">
        <v>5308</v>
      </c>
      <c r="F1205" s="1081">
        <f t="shared" si="1"/>
        <v>0</v>
      </c>
      <c r="G1205" s="1083">
        <f t="shared" si="2"/>
        <v>481.24</v>
      </c>
      <c r="H1205" s="1084"/>
    </row>
    <row r="1206" ht="14.25" customHeight="1">
      <c r="A1206" s="1085">
        <v>34491.0</v>
      </c>
      <c r="B1206" s="1086" t="s">
        <v>6514</v>
      </c>
      <c r="C1206" s="1087" t="s">
        <v>2178</v>
      </c>
      <c r="D1206" s="1088">
        <v>495.19</v>
      </c>
      <c r="E1206" s="1089" t="s">
        <v>5308</v>
      </c>
      <c r="F1206" s="1081">
        <f t="shared" si="1"/>
        <v>0</v>
      </c>
      <c r="G1206" s="1083">
        <f t="shared" si="2"/>
        <v>495.19</v>
      </c>
      <c r="H1206" s="1084"/>
    </row>
    <row r="1207" ht="14.25" customHeight="1">
      <c r="A1207" s="1085">
        <v>34770.0</v>
      </c>
      <c r="B1207" s="1086" t="s">
        <v>6515</v>
      </c>
      <c r="C1207" s="1087" t="s">
        <v>6370</v>
      </c>
      <c r="D1207" s="1088">
        <v>441.4</v>
      </c>
      <c r="E1207" s="1089" t="s">
        <v>5308</v>
      </c>
      <c r="F1207" s="1081">
        <f t="shared" si="1"/>
        <v>0</v>
      </c>
      <c r="G1207" s="1083">
        <f t="shared" si="2"/>
        <v>441.4</v>
      </c>
      <c r="H1207" s="1084"/>
    </row>
    <row r="1208" ht="14.25" customHeight="1">
      <c r="A1208" s="1085">
        <v>1518.0</v>
      </c>
      <c r="B1208" s="1086" t="s">
        <v>6516</v>
      </c>
      <c r="C1208" s="1087" t="s">
        <v>6370</v>
      </c>
      <c r="D1208" s="1088">
        <v>450.0</v>
      </c>
      <c r="E1208" s="1089" t="s">
        <v>5308</v>
      </c>
      <c r="F1208" s="1081">
        <f t="shared" si="1"/>
        <v>0</v>
      </c>
      <c r="G1208" s="1083">
        <f t="shared" si="2"/>
        <v>450</v>
      </c>
      <c r="H1208" s="1084"/>
    </row>
    <row r="1209" ht="14.25" customHeight="1">
      <c r="A1209" s="1085">
        <v>41965.0</v>
      </c>
      <c r="B1209" s="1086" t="s">
        <v>6517</v>
      </c>
      <c r="C1209" s="1087" t="s">
        <v>6370</v>
      </c>
      <c r="D1209" s="1088">
        <v>394.57</v>
      </c>
      <c r="E1209" s="1089" t="s">
        <v>5308</v>
      </c>
      <c r="F1209" s="1081">
        <f t="shared" si="1"/>
        <v>0</v>
      </c>
      <c r="G1209" s="1083">
        <f t="shared" si="2"/>
        <v>394.57</v>
      </c>
      <c r="H1209" s="1084"/>
    </row>
    <row r="1210" ht="14.25" customHeight="1">
      <c r="A1210" s="1085">
        <v>1524.0</v>
      </c>
      <c r="B1210" s="1086" t="s">
        <v>6518</v>
      </c>
      <c r="C1210" s="1087" t="s">
        <v>2178</v>
      </c>
      <c r="D1210" s="1088">
        <v>439.39</v>
      </c>
      <c r="E1210" s="1089" t="s">
        <v>5308</v>
      </c>
      <c r="F1210" s="1081">
        <f t="shared" si="1"/>
        <v>0</v>
      </c>
      <c r="G1210" s="1083">
        <f t="shared" si="2"/>
        <v>439.39</v>
      </c>
      <c r="H1210" s="1084"/>
    </row>
    <row r="1211" ht="14.25" customHeight="1">
      <c r="A1211" s="1085">
        <v>34492.0</v>
      </c>
      <c r="B1211" s="1086" t="s">
        <v>6519</v>
      </c>
      <c r="C1211" s="1087" t="s">
        <v>2178</v>
      </c>
      <c r="D1211" s="1088">
        <v>407.0</v>
      </c>
      <c r="E1211" s="1089" t="s">
        <v>5308</v>
      </c>
      <c r="F1211" s="1081">
        <f t="shared" si="1"/>
        <v>0</v>
      </c>
      <c r="G1211" s="1083">
        <f t="shared" si="2"/>
        <v>407</v>
      </c>
      <c r="H1211" s="1084"/>
    </row>
    <row r="1212" ht="14.25" customHeight="1">
      <c r="A1212" s="1085">
        <v>38404.0</v>
      </c>
      <c r="B1212" s="1086" t="s">
        <v>6520</v>
      </c>
      <c r="C1212" s="1087" t="s">
        <v>2178</v>
      </c>
      <c r="D1212" s="1088">
        <v>421.57</v>
      </c>
      <c r="E1212" s="1089" t="s">
        <v>5308</v>
      </c>
      <c r="F1212" s="1081">
        <f t="shared" si="1"/>
        <v>0</v>
      </c>
      <c r="G1212" s="1083">
        <f t="shared" si="2"/>
        <v>421.57</v>
      </c>
      <c r="H1212" s="1084"/>
    </row>
    <row r="1213" ht="14.25" customHeight="1">
      <c r="A1213" s="1085">
        <v>39849.0</v>
      </c>
      <c r="B1213" s="1086" t="s">
        <v>6521</v>
      </c>
      <c r="C1213" s="1087" t="s">
        <v>2178</v>
      </c>
      <c r="D1213" s="1088">
        <v>483.12</v>
      </c>
      <c r="E1213" s="1089" t="s">
        <v>5308</v>
      </c>
      <c r="F1213" s="1081">
        <f t="shared" si="1"/>
        <v>0</v>
      </c>
      <c r="G1213" s="1083">
        <f t="shared" si="2"/>
        <v>483.12</v>
      </c>
      <c r="H1213" s="1084"/>
    </row>
    <row r="1214" ht="14.25" customHeight="1">
      <c r="A1214" s="1085">
        <v>38464.0</v>
      </c>
      <c r="B1214" s="1086" t="s">
        <v>6522</v>
      </c>
      <c r="C1214" s="1087" t="s">
        <v>2178</v>
      </c>
      <c r="D1214" s="1088">
        <v>490.13</v>
      </c>
      <c r="E1214" s="1089" t="s">
        <v>5308</v>
      </c>
      <c r="F1214" s="1081">
        <f t="shared" si="1"/>
        <v>0</v>
      </c>
      <c r="G1214" s="1083">
        <f t="shared" si="2"/>
        <v>490.13</v>
      </c>
      <c r="H1214" s="1084"/>
    </row>
    <row r="1215" ht="14.25" customHeight="1">
      <c r="A1215" s="1085">
        <v>1527.0</v>
      </c>
      <c r="B1215" s="1086" t="s">
        <v>6523</v>
      </c>
      <c r="C1215" s="1087" t="s">
        <v>2178</v>
      </c>
      <c r="D1215" s="1088">
        <v>453.34</v>
      </c>
      <c r="E1215" s="1089" t="s">
        <v>5308</v>
      </c>
      <c r="F1215" s="1081">
        <f t="shared" si="1"/>
        <v>0</v>
      </c>
      <c r="G1215" s="1083">
        <f t="shared" si="2"/>
        <v>453.34</v>
      </c>
      <c r="H1215" s="1084"/>
    </row>
    <row r="1216" ht="14.25" customHeight="1">
      <c r="A1216" s="1085">
        <v>34493.0</v>
      </c>
      <c r="B1216" s="1086" t="s">
        <v>6524</v>
      </c>
      <c r="C1216" s="1087" t="s">
        <v>2178</v>
      </c>
      <c r="D1216" s="1088">
        <v>418.47</v>
      </c>
      <c r="E1216" s="1089" t="s">
        <v>5308</v>
      </c>
      <c r="F1216" s="1081">
        <f t="shared" si="1"/>
        <v>0</v>
      </c>
      <c r="G1216" s="1083">
        <f t="shared" si="2"/>
        <v>418.47</v>
      </c>
      <c r="H1216" s="1084"/>
    </row>
    <row r="1217" ht="14.25" customHeight="1">
      <c r="A1217" s="1085">
        <v>38405.0</v>
      </c>
      <c r="B1217" s="1086" t="s">
        <v>6525</v>
      </c>
      <c r="C1217" s="1087" t="s">
        <v>2178</v>
      </c>
      <c r="D1217" s="1088">
        <v>434.57</v>
      </c>
      <c r="E1217" s="1089" t="s">
        <v>5308</v>
      </c>
      <c r="F1217" s="1081">
        <f t="shared" si="1"/>
        <v>0</v>
      </c>
      <c r="G1217" s="1083">
        <f t="shared" si="2"/>
        <v>434.57</v>
      </c>
      <c r="H1217" s="1084"/>
    </row>
    <row r="1218" ht="14.25" customHeight="1">
      <c r="A1218" s="1085">
        <v>38408.0</v>
      </c>
      <c r="B1218" s="1086" t="s">
        <v>6526</v>
      </c>
      <c r="C1218" s="1087" t="s">
        <v>2178</v>
      </c>
      <c r="D1218" s="1088">
        <v>481.03</v>
      </c>
      <c r="E1218" s="1089" t="s">
        <v>5308</v>
      </c>
      <c r="F1218" s="1081">
        <f t="shared" si="1"/>
        <v>0</v>
      </c>
      <c r="G1218" s="1083">
        <f t="shared" si="2"/>
        <v>481.03</v>
      </c>
      <c r="H1218" s="1084"/>
    </row>
    <row r="1219" ht="14.25" customHeight="1">
      <c r="A1219" s="1085">
        <v>1525.0</v>
      </c>
      <c r="B1219" s="1086" t="s">
        <v>6527</v>
      </c>
      <c r="C1219" s="1087" t="s">
        <v>2178</v>
      </c>
      <c r="D1219" s="1088">
        <v>467.29</v>
      </c>
      <c r="E1219" s="1089" t="s">
        <v>5308</v>
      </c>
      <c r="F1219" s="1081">
        <f t="shared" si="1"/>
        <v>0</v>
      </c>
      <c r="G1219" s="1083">
        <f t="shared" si="2"/>
        <v>467.29</v>
      </c>
      <c r="H1219" s="1084"/>
    </row>
    <row r="1220" ht="14.25" customHeight="1">
      <c r="A1220" s="1085">
        <v>34494.0</v>
      </c>
      <c r="B1220" s="1086" t="s">
        <v>6528</v>
      </c>
      <c r="C1220" s="1087" t="s">
        <v>2178</v>
      </c>
      <c r="D1220" s="1088">
        <v>432.42</v>
      </c>
      <c r="E1220" s="1089" t="s">
        <v>5308</v>
      </c>
      <c r="F1220" s="1081">
        <f t="shared" si="1"/>
        <v>0</v>
      </c>
      <c r="G1220" s="1083">
        <f t="shared" si="2"/>
        <v>432.42</v>
      </c>
      <c r="H1220" s="1084"/>
    </row>
    <row r="1221" ht="14.25" customHeight="1">
      <c r="A1221" s="1085">
        <v>38406.0</v>
      </c>
      <c r="B1221" s="1086" t="s">
        <v>6529</v>
      </c>
      <c r="C1221" s="1087" t="s">
        <v>2178</v>
      </c>
      <c r="D1221" s="1088">
        <v>458.88</v>
      </c>
      <c r="E1221" s="1089" t="s">
        <v>5308</v>
      </c>
      <c r="F1221" s="1081">
        <f t="shared" si="1"/>
        <v>0</v>
      </c>
      <c r="G1221" s="1083">
        <f t="shared" si="2"/>
        <v>458.88</v>
      </c>
      <c r="H1221" s="1084"/>
    </row>
    <row r="1222" ht="14.25" customHeight="1">
      <c r="A1222" s="1085">
        <v>38409.0</v>
      </c>
      <c r="B1222" s="1086" t="s">
        <v>6530</v>
      </c>
      <c r="C1222" s="1087" t="s">
        <v>2178</v>
      </c>
      <c r="D1222" s="1088">
        <v>484.31</v>
      </c>
      <c r="E1222" s="1089" t="s">
        <v>5308</v>
      </c>
      <c r="F1222" s="1081">
        <f t="shared" si="1"/>
        <v>0</v>
      </c>
      <c r="G1222" s="1083">
        <f t="shared" si="2"/>
        <v>484.31</v>
      </c>
      <c r="H1222" s="1084"/>
    </row>
    <row r="1223" ht="14.25" customHeight="1">
      <c r="A1223" s="1085">
        <v>43360.0</v>
      </c>
      <c r="B1223" s="1086" t="s">
        <v>6531</v>
      </c>
      <c r="C1223" s="1087" t="s">
        <v>2178</v>
      </c>
      <c r="D1223" s="1088">
        <v>504.99</v>
      </c>
      <c r="E1223" s="1089" t="s">
        <v>5308</v>
      </c>
      <c r="F1223" s="1081">
        <f t="shared" si="1"/>
        <v>0</v>
      </c>
      <c r="G1223" s="1083">
        <f t="shared" si="2"/>
        <v>504.99</v>
      </c>
      <c r="H1223" s="1084"/>
    </row>
    <row r="1224" ht="14.25" customHeight="1">
      <c r="A1224" s="1085">
        <v>11145.0</v>
      </c>
      <c r="B1224" s="1086" t="s">
        <v>6532</v>
      </c>
      <c r="C1224" s="1087" t="s">
        <v>2178</v>
      </c>
      <c r="D1224" s="1088">
        <v>481.24</v>
      </c>
      <c r="E1224" s="1089" t="s">
        <v>5308</v>
      </c>
      <c r="F1224" s="1081">
        <f t="shared" si="1"/>
        <v>0</v>
      </c>
      <c r="G1224" s="1083">
        <f t="shared" si="2"/>
        <v>481.24</v>
      </c>
      <c r="H1224" s="1084"/>
    </row>
    <row r="1225" ht="14.25" customHeight="1">
      <c r="A1225" s="1085">
        <v>34495.0</v>
      </c>
      <c r="B1225" s="1086" t="s">
        <v>6533</v>
      </c>
      <c r="C1225" s="1087" t="s">
        <v>2178</v>
      </c>
      <c r="D1225" s="1088">
        <v>446.36</v>
      </c>
      <c r="E1225" s="1089" t="s">
        <v>5308</v>
      </c>
      <c r="F1225" s="1081">
        <f t="shared" si="1"/>
        <v>0</v>
      </c>
      <c r="G1225" s="1083">
        <f t="shared" si="2"/>
        <v>446.36</v>
      </c>
      <c r="H1225" s="1084"/>
    </row>
    <row r="1226" ht="14.25" customHeight="1">
      <c r="A1226" s="1085">
        <v>34479.0</v>
      </c>
      <c r="B1226" s="1086" t="s">
        <v>6534</v>
      </c>
      <c r="C1226" s="1087" t="s">
        <v>2178</v>
      </c>
      <c r="D1226" s="1088">
        <v>495.19</v>
      </c>
      <c r="E1226" s="1089" t="s">
        <v>5308</v>
      </c>
      <c r="F1226" s="1081">
        <f t="shared" si="1"/>
        <v>0</v>
      </c>
      <c r="G1226" s="1083">
        <f t="shared" si="2"/>
        <v>495.19</v>
      </c>
      <c r="H1226" s="1084"/>
    </row>
    <row r="1227" ht="14.25" customHeight="1">
      <c r="A1227" s="1085">
        <v>34496.0</v>
      </c>
      <c r="B1227" s="1086" t="s">
        <v>6535</v>
      </c>
      <c r="C1227" s="1087" t="s">
        <v>2178</v>
      </c>
      <c r="D1227" s="1088">
        <v>465.64</v>
      </c>
      <c r="E1227" s="1089" t="s">
        <v>5308</v>
      </c>
      <c r="F1227" s="1081">
        <f t="shared" si="1"/>
        <v>0</v>
      </c>
      <c r="G1227" s="1083">
        <f t="shared" si="2"/>
        <v>465.64</v>
      </c>
      <c r="H1227" s="1084"/>
    </row>
    <row r="1228" ht="14.25" customHeight="1">
      <c r="A1228" s="1085">
        <v>34481.0</v>
      </c>
      <c r="B1228" s="1086" t="s">
        <v>6536</v>
      </c>
      <c r="C1228" s="1087" t="s">
        <v>2178</v>
      </c>
      <c r="D1228" s="1088">
        <v>517.41</v>
      </c>
      <c r="E1228" s="1089" t="s">
        <v>5308</v>
      </c>
      <c r="F1228" s="1081">
        <f t="shared" si="1"/>
        <v>0</v>
      </c>
      <c r="G1228" s="1083">
        <f t="shared" si="2"/>
        <v>517.41</v>
      </c>
      <c r="H1228" s="1084"/>
    </row>
    <row r="1229" ht="14.25" customHeight="1">
      <c r="A1229" s="1085">
        <v>34483.0</v>
      </c>
      <c r="B1229" s="1086" t="s">
        <v>6537</v>
      </c>
      <c r="C1229" s="1087" t="s">
        <v>2178</v>
      </c>
      <c r="D1229" s="1088">
        <v>552.82</v>
      </c>
      <c r="E1229" s="1089" t="s">
        <v>5308</v>
      </c>
      <c r="F1229" s="1081">
        <f t="shared" si="1"/>
        <v>0</v>
      </c>
      <c r="G1229" s="1083">
        <f t="shared" si="2"/>
        <v>552.82</v>
      </c>
      <c r="H1229" s="1084"/>
    </row>
    <row r="1230" ht="14.25" customHeight="1">
      <c r="A1230" s="1085">
        <v>34485.0</v>
      </c>
      <c r="B1230" s="1086" t="s">
        <v>6538</v>
      </c>
      <c r="C1230" s="1087" t="s">
        <v>2178</v>
      </c>
      <c r="D1230" s="1088">
        <v>591.18</v>
      </c>
      <c r="E1230" s="1089" t="s">
        <v>5308</v>
      </c>
      <c r="F1230" s="1081">
        <f t="shared" si="1"/>
        <v>0</v>
      </c>
      <c r="G1230" s="1083">
        <f t="shared" si="2"/>
        <v>591.18</v>
      </c>
      <c r="H1230" s="1084"/>
    </row>
    <row r="1231" ht="14.25" customHeight="1">
      <c r="A1231" s="1085">
        <v>14041.0</v>
      </c>
      <c r="B1231" s="1086" t="s">
        <v>6539</v>
      </c>
      <c r="C1231" s="1087" t="s">
        <v>2178</v>
      </c>
      <c r="D1231" s="1088">
        <v>384.29</v>
      </c>
      <c r="E1231" s="1089" t="s">
        <v>5308</v>
      </c>
      <c r="F1231" s="1081">
        <f t="shared" si="1"/>
        <v>0</v>
      </c>
      <c r="G1231" s="1083">
        <f t="shared" si="2"/>
        <v>384.29</v>
      </c>
      <c r="H1231" s="1084"/>
    </row>
    <row r="1232" ht="14.25" customHeight="1">
      <c r="A1232" s="1085">
        <v>1523.0</v>
      </c>
      <c r="B1232" s="1086" t="s">
        <v>6540</v>
      </c>
      <c r="C1232" s="1087" t="s">
        <v>2178</v>
      </c>
      <c r="D1232" s="1088">
        <v>390.57</v>
      </c>
      <c r="E1232" s="1089" t="s">
        <v>5308</v>
      </c>
      <c r="F1232" s="1081">
        <f t="shared" si="1"/>
        <v>0</v>
      </c>
      <c r="G1232" s="1083">
        <f t="shared" si="2"/>
        <v>390.57</v>
      </c>
      <c r="H1232" s="1084"/>
    </row>
    <row r="1233" ht="14.25" customHeight="1">
      <c r="A1233" s="1085">
        <v>14052.0</v>
      </c>
      <c r="B1233" s="1086" t="s">
        <v>6541</v>
      </c>
      <c r="C1233" s="1087" t="s">
        <v>1788</v>
      </c>
      <c r="D1233" s="1088">
        <v>15.49</v>
      </c>
      <c r="E1233" s="1089" t="s">
        <v>5308</v>
      </c>
      <c r="F1233" s="1081">
        <f t="shared" si="1"/>
        <v>0</v>
      </c>
      <c r="G1233" s="1083">
        <f t="shared" si="2"/>
        <v>15.49</v>
      </c>
      <c r="H1233" s="1084"/>
    </row>
    <row r="1234" ht="14.25" customHeight="1">
      <c r="A1234" s="1085">
        <v>14054.0</v>
      </c>
      <c r="B1234" s="1086" t="s">
        <v>6542</v>
      </c>
      <c r="C1234" s="1087" t="s">
        <v>1788</v>
      </c>
      <c r="D1234" s="1088">
        <v>20.14</v>
      </c>
      <c r="E1234" s="1089" t="s">
        <v>5308</v>
      </c>
      <c r="F1234" s="1081">
        <f t="shared" si="1"/>
        <v>0</v>
      </c>
      <c r="G1234" s="1083">
        <f t="shared" si="2"/>
        <v>20.14</v>
      </c>
      <c r="H1234" s="1084"/>
    </row>
    <row r="1235" ht="14.25" customHeight="1">
      <c r="A1235" s="1085">
        <v>14053.0</v>
      </c>
      <c r="B1235" s="1086" t="s">
        <v>6543</v>
      </c>
      <c r="C1235" s="1087" t="s">
        <v>1788</v>
      </c>
      <c r="D1235" s="1088">
        <v>15.73</v>
      </c>
      <c r="E1235" s="1089" t="s">
        <v>5308</v>
      </c>
      <c r="F1235" s="1081">
        <f t="shared" si="1"/>
        <v>0</v>
      </c>
      <c r="G1235" s="1083">
        <f t="shared" si="2"/>
        <v>15.73</v>
      </c>
      <c r="H1235" s="1084"/>
    </row>
    <row r="1236" ht="14.25" customHeight="1">
      <c r="A1236" s="1085">
        <v>2558.0</v>
      </c>
      <c r="B1236" s="1086" t="s">
        <v>6544</v>
      </c>
      <c r="C1236" s="1087" t="s">
        <v>1788</v>
      </c>
      <c r="D1236" s="1088">
        <v>11.84</v>
      </c>
      <c r="E1236" s="1089" t="s">
        <v>5308</v>
      </c>
      <c r="F1236" s="1081">
        <f t="shared" si="1"/>
        <v>0</v>
      </c>
      <c r="G1236" s="1083">
        <f t="shared" si="2"/>
        <v>11.84</v>
      </c>
      <c r="H1236" s="1084"/>
    </row>
    <row r="1237" ht="14.25" customHeight="1">
      <c r="A1237" s="1085">
        <v>2560.0</v>
      </c>
      <c r="B1237" s="1086" t="s">
        <v>6545</v>
      </c>
      <c r="C1237" s="1087" t="s">
        <v>1788</v>
      </c>
      <c r="D1237" s="1088">
        <v>20.84</v>
      </c>
      <c r="E1237" s="1089" t="s">
        <v>5308</v>
      </c>
      <c r="F1237" s="1081">
        <f t="shared" si="1"/>
        <v>0</v>
      </c>
      <c r="G1237" s="1083">
        <f t="shared" si="2"/>
        <v>20.84</v>
      </c>
      <c r="H1237" s="1084"/>
    </row>
    <row r="1238" ht="14.25" customHeight="1">
      <c r="A1238" s="1085">
        <v>2559.0</v>
      </c>
      <c r="B1238" s="1086" t="s">
        <v>6546</v>
      </c>
      <c r="C1238" s="1087" t="s">
        <v>1788</v>
      </c>
      <c r="D1238" s="1088">
        <v>16.67</v>
      </c>
      <c r="E1238" s="1089" t="s">
        <v>5308</v>
      </c>
      <c r="F1238" s="1081">
        <f t="shared" si="1"/>
        <v>0</v>
      </c>
      <c r="G1238" s="1083">
        <f t="shared" si="2"/>
        <v>16.67</v>
      </c>
      <c r="H1238" s="1084"/>
    </row>
    <row r="1239" ht="14.25" customHeight="1">
      <c r="A1239" s="1085">
        <v>2592.0</v>
      </c>
      <c r="B1239" s="1086" t="s">
        <v>6547</v>
      </c>
      <c r="C1239" s="1087" t="s">
        <v>1788</v>
      </c>
      <c r="D1239" s="1088">
        <v>276.35</v>
      </c>
      <c r="E1239" s="1089" t="s">
        <v>5308</v>
      </c>
      <c r="F1239" s="1081">
        <f t="shared" si="1"/>
        <v>0</v>
      </c>
      <c r="G1239" s="1083">
        <f t="shared" si="2"/>
        <v>276.35</v>
      </c>
      <c r="H1239" s="1084"/>
    </row>
    <row r="1240" ht="14.25" customHeight="1">
      <c r="A1240" s="1085">
        <v>2566.0</v>
      </c>
      <c r="B1240" s="1086" t="s">
        <v>6548</v>
      </c>
      <c r="C1240" s="1087" t="s">
        <v>1788</v>
      </c>
      <c r="D1240" s="1088">
        <v>27.81</v>
      </c>
      <c r="E1240" s="1089" t="s">
        <v>5308</v>
      </c>
      <c r="F1240" s="1081">
        <f t="shared" si="1"/>
        <v>0</v>
      </c>
      <c r="G1240" s="1083">
        <f t="shared" si="2"/>
        <v>27.81</v>
      </c>
      <c r="H1240" s="1084"/>
    </row>
    <row r="1241" ht="14.25" customHeight="1">
      <c r="A1241" s="1085">
        <v>2589.0</v>
      </c>
      <c r="B1241" s="1086" t="s">
        <v>6549</v>
      </c>
      <c r="C1241" s="1087" t="s">
        <v>1788</v>
      </c>
      <c r="D1241" s="1088">
        <v>36.96</v>
      </c>
      <c r="E1241" s="1089" t="s">
        <v>5308</v>
      </c>
      <c r="F1241" s="1081">
        <f t="shared" si="1"/>
        <v>0</v>
      </c>
      <c r="G1241" s="1083">
        <f t="shared" si="2"/>
        <v>36.96</v>
      </c>
      <c r="H1241" s="1084"/>
    </row>
    <row r="1242" ht="14.25" customHeight="1">
      <c r="A1242" s="1085">
        <v>2591.0</v>
      </c>
      <c r="B1242" s="1086" t="s">
        <v>6550</v>
      </c>
      <c r="C1242" s="1087" t="s">
        <v>1788</v>
      </c>
      <c r="D1242" s="1088">
        <v>13.48</v>
      </c>
      <c r="E1242" s="1089" t="s">
        <v>5308</v>
      </c>
      <c r="F1242" s="1081">
        <f t="shared" si="1"/>
        <v>0</v>
      </c>
      <c r="G1242" s="1083">
        <f t="shared" si="2"/>
        <v>13.48</v>
      </c>
      <c r="H1242" s="1084"/>
    </row>
    <row r="1243" ht="14.25" customHeight="1">
      <c r="A1243" s="1085">
        <v>2590.0</v>
      </c>
      <c r="B1243" s="1086" t="s">
        <v>6551</v>
      </c>
      <c r="C1243" s="1087" t="s">
        <v>1788</v>
      </c>
      <c r="D1243" s="1088">
        <v>22.68</v>
      </c>
      <c r="E1243" s="1089" t="s">
        <v>5308</v>
      </c>
      <c r="F1243" s="1081">
        <f t="shared" si="1"/>
        <v>0</v>
      </c>
      <c r="G1243" s="1083">
        <f t="shared" si="2"/>
        <v>22.68</v>
      </c>
      <c r="H1243" s="1084"/>
    </row>
    <row r="1244" ht="14.25" customHeight="1">
      <c r="A1244" s="1085">
        <v>2567.0</v>
      </c>
      <c r="B1244" s="1086" t="s">
        <v>6552</v>
      </c>
      <c r="C1244" s="1087" t="s">
        <v>1788</v>
      </c>
      <c r="D1244" s="1088">
        <v>54.22</v>
      </c>
      <c r="E1244" s="1089" t="s">
        <v>5308</v>
      </c>
      <c r="F1244" s="1081">
        <f t="shared" si="1"/>
        <v>0</v>
      </c>
      <c r="G1244" s="1083">
        <f t="shared" si="2"/>
        <v>54.22</v>
      </c>
      <c r="H1244" s="1084"/>
    </row>
    <row r="1245" ht="14.25" customHeight="1">
      <c r="A1245" s="1085">
        <v>2565.0</v>
      </c>
      <c r="B1245" s="1086" t="s">
        <v>6553</v>
      </c>
      <c r="C1245" s="1087" t="s">
        <v>1788</v>
      </c>
      <c r="D1245" s="1088">
        <v>13.5</v>
      </c>
      <c r="E1245" s="1089" t="s">
        <v>5308</v>
      </c>
      <c r="F1245" s="1081">
        <f t="shared" si="1"/>
        <v>0</v>
      </c>
      <c r="G1245" s="1083">
        <f t="shared" si="2"/>
        <v>13.5</v>
      </c>
      <c r="H1245" s="1084"/>
    </row>
    <row r="1246" ht="14.25" customHeight="1">
      <c r="A1246" s="1085">
        <v>2568.0</v>
      </c>
      <c r="B1246" s="1086" t="s">
        <v>6554</v>
      </c>
      <c r="C1246" s="1087" t="s">
        <v>1788</v>
      </c>
      <c r="D1246" s="1088">
        <v>150.56</v>
      </c>
      <c r="E1246" s="1089" t="s">
        <v>5308</v>
      </c>
      <c r="F1246" s="1081">
        <f t="shared" si="1"/>
        <v>0</v>
      </c>
      <c r="G1246" s="1083">
        <f t="shared" si="2"/>
        <v>150.56</v>
      </c>
      <c r="H1246" s="1084"/>
    </row>
    <row r="1247" ht="14.25" customHeight="1">
      <c r="A1247" s="1085">
        <v>2594.0</v>
      </c>
      <c r="B1247" s="1086" t="s">
        <v>6555</v>
      </c>
      <c r="C1247" s="1087" t="s">
        <v>1788</v>
      </c>
      <c r="D1247" s="1088">
        <v>250.83</v>
      </c>
      <c r="E1247" s="1089" t="s">
        <v>5308</v>
      </c>
      <c r="F1247" s="1081">
        <f t="shared" si="1"/>
        <v>0</v>
      </c>
      <c r="G1247" s="1083">
        <f t="shared" si="2"/>
        <v>250.83</v>
      </c>
      <c r="H1247" s="1084"/>
    </row>
    <row r="1248" ht="14.25" customHeight="1">
      <c r="A1248" s="1085">
        <v>2587.0</v>
      </c>
      <c r="B1248" s="1086" t="s">
        <v>6556</v>
      </c>
      <c r="C1248" s="1087" t="s">
        <v>1788</v>
      </c>
      <c r="D1248" s="1088">
        <v>42.75</v>
      </c>
      <c r="E1248" s="1089" t="s">
        <v>5308</v>
      </c>
      <c r="F1248" s="1081">
        <f t="shared" si="1"/>
        <v>0</v>
      </c>
      <c r="G1248" s="1083">
        <f t="shared" si="2"/>
        <v>42.75</v>
      </c>
      <c r="H1248" s="1084"/>
    </row>
    <row r="1249" ht="14.25" customHeight="1">
      <c r="A1249" s="1085">
        <v>2588.0</v>
      </c>
      <c r="B1249" s="1086" t="s">
        <v>6557</v>
      </c>
      <c r="C1249" s="1087" t="s">
        <v>1788</v>
      </c>
      <c r="D1249" s="1088">
        <v>33.96</v>
      </c>
      <c r="E1249" s="1089" t="s">
        <v>5308</v>
      </c>
      <c r="F1249" s="1081">
        <f t="shared" si="1"/>
        <v>0</v>
      </c>
      <c r="G1249" s="1083">
        <f t="shared" si="2"/>
        <v>33.96</v>
      </c>
      <c r="H1249" s="1084"/>
    </row>
    <row r="1250" ht="14.25" customHeight="1">
      <c r="A1250" s="1085">
        <v>2569.0</v>
      </c>
      <c r="B1250" s="1086" t="s">
        <v>6558</v>
      </c>
      <c r="C1250" s="1087" t="s">
        <v>1788</v>
      </c>
      <c r="D1250" s="1088">
        <v>13.08</v>
      </c>
      <c r="E1250" s="1089" t="s">
        <v>5308</v>
      </c>
      <c r="F1250" s="1081">
        <f t="shared" si="1"/>
        <v>0</v>
      </c>
      <c r="G1250" s="1083">
        <f t="shared" si="2"/>
        <v>13.08</v>
      </c>
      <c r="H1250" s="1084"/>
    </row>
    <row r="1251" ht="14.25" customHeight="1">
      <c r="A1251" s="1085">
        <v>2570.0</v>
      </c>
      <c r="B1251" s="1086" t="s">
        <v>6559</v>
      </c>
      <c r="C1251" s="1087" t="s">
        <v>1788</v>
      </c>
      <c r="D1251" s="1088">
        <v>21.93</v>
      </c>
      <c r="E1251" s="1089" t="s">
        <v>5308</v>
      </c>
      <c r="F1251" s="1081">
        <f t="shared" si="1"/>
        <v>0</v>
      </c>
      <c r="G1251" s="1083">
        <f t="shared" si="2"/>
        <v>21.93</v>
      </c>
      <c r="H1251" s="1084"/>
    </row>
    <row r="1252" ht="14.25" customHeight="1">
      <c r="A1252" s="1085">
        <v>2571.0</v>
      </c>
      <c r="B1252" s="1086" t="s">
        <v>6560</v>
      </c>
      <c r="C1252" s="1087" t="s">
        <v>1788</v>
      </c>
      <c r="D1252" s="1088">
        <v>65.11</v>
      </c>
      <c r="E1252" s="1089" t="s">
        <v>5308</v>
      </c>
      <c r="F1252" s="1081">
        <f t="shared" si="1"/>
        <v>0</v>
      </c>
      <c r="G1252" s="1083">
        <f t="shared" si="2"/>
        <v>65.11</v>
      </c>
      <c r="H1252" s="1084"/>
    </row>
    <row r="1253" ht="14.25" customHeight="1">
      <c r="A1253" s="1085">
        <v>2593.0</v>
      </c>
      <c r="B1253" s="1086" t="s">
        <v>6561</v>
      </c>
      <c r="C1253" s="1087" t="s">
        <v>1788</v>
      </c>
      <c r="D1253" s="1088">
        <v>13.95</v>
      </c>
      <c r="E1253" s="1089" t="s">
        <v>5308</v>
      </c>
      <c r="F1253" s="1081">
        <f t="shared" si="1"/>
        <v>0</v>
      </c>
      <c r="G1253" s="1083">
        <f t="shared" si="2"/>
        <v>13.95</v>
      </c>
      <c r="H1253" s="1084"/>
    </row>
    <row r="1254" ht="14.25" customHeight="1">
      <c r="A1254" s="1085">
        <v>2572.0</v>
      </c>
      <c r="B1254" s="1086" t="s">
        <v>6562</v>
      </c>
      <c r="C1254" s="1087" t="s">
        <v>1788</v>
      </c>
      <c r="D1254" s="1088">
        <v>192.54</v>
      </c>
      <c r="E1254" s="1089" t="s">
        <v>5308</v>
      </c>
      <c r="F1254" s="1081">
        <f t="shared" si="1"/>
        <v>0</v>
      </c>
      <c r="G1254" s="1083">
        <f t="shared" si="2"/>
        <v>192.54</v>
      </c>
      <c r="H1254" s="1084"/>
    </row>
    <row r="1255" ht="14.25" customHeight="1">
      <c r="A1255" s="1085">
        <v>2595.0</v>
      </c>
      <c r="B1255" s="1086" t="s">
        <v>6563</v>
      </c>
      <c r="C1255" s="1087" t="s">
        <v>1788</v>
      </c>
      <c r="D1255" s="1088">
        <v>300.41</v>
      </c>
      <c r="E1255" s="1089" t="s">
        <v>5308</v>
      </c>
      <c r="F1255" s="1081">
        <f t="shared" si="1"/>
        <v>0</v>
      </c>
      <c r="G1255" s="1083">
        <f t="shared" si="2"/>
        <v>300.41</v>
      </c>
      <c r="H1255" s="1084"/>
    </row>
    <row r="1256" ht="14.25" customHeight="1">
      <c r="A1256" s="1085">
        <v>2576.0</v>
      </c>
      <c r="B1256" s="1086" t="s">
        <v>6564</v>
      </c>
      <c r="C1256" s="1087" t="s">
        <v>1788</v>
      </c>
      <c r="D1256" s="1088">
        <v>51.21</v>
      </c>
      <c r="E1256" s="1089" t="s">
        <v>5308</v>
      </c>
      <c r="F1256" s="1081">
        <f t="shared" si="1"/>
        <v>0</v>
      </c>
      <c r="G1256" s="1083">
        <f t="shared" si="2"/>
        <v>51.21</v>
      </c>
      <c r="H1256" s="1084"/>
    </row>
    <row r="1257" ht="14.25" customHeight="1">
      <c r="A1257" s="1085">
        <v>2575.0</v>
      </c>
      <c r="B1257" s="1086" t="s">
        <v>6565</v>
      </c>
      <c r="C1257" s="1087" t="s">
        <v>1788</v>
      </c>
      <c r="D1257" s="1088">
        <v>38.5</v>
      </c>
      <c r="E1257" s="1089" t="s">
        <v>5308</v>
      </c>
      <c r="F1257" s="1081">
        <f t="shared" si="1"/>
        <v>0</v>
      </c>
      <c r="G1257" s="1083">
        <f t="shared" si="2"/>
        <v>38.5</v>
      </c>
      <c r="H1257" s="1084"/>
    </row>
    <row r="1258" ht="14.25" customHeight="1">
      <c r="A1258" s="1085">
        <v>2573.0</v>
      </c>
      <c r="B1258" s="1086" t="s">
        <v>6566</v>
      </c>
      <c r="C1258" s="1087" t="s">
        <v>1788</v>
      </c>
      <c r="D1258" s="1088">
        <v>15.99</v>
      </c>
      <c r="E1258" s="1089" t="s">
        <v>5308</v>
      </c>
      <c r="F1258" s="1081">
        <f t="shared" si="1"/>
        <v>0</v>
      </c>
      <c r="G1258" s="1083">
        <f t="shared" si="2"/>
        <v>15.99</v>
      </c>
      <c r="H1258" s="1084"/>
    </row>
    <row r="1259" ht="14.25" customHeight="1">
      <c r="A1259" s="1085">
        <v>2586.0</v>
      </c>
      <c r="B1259" s="1086" t="s">
        <v>6567</v>
      </c>
      <c r="C1259" s="1087" t="s">
        <v>1788</v>
      </c>
      <c r="D1259" s="1088">
        <v>25.91</v>
      </c>
      <c r="E1259" s="1089" t="s">
        <v>5308</v>
      </c>
      <c r="F1259" s="1081">
        <f t="shared" si="1"/>
        <v>0</v>
      </c>
      <c r="G1259" s="1083">
        <f t="shared" si="2"/>
        <v>25.91</v>
      </c>
      <c r="H1259" s="1084"/>
    </row>
    <row r="1260" ht="14.25" customHeight="1">
      <c r="A1260" s="1085">
        <v>2577.0</v>
      </c>
      <c r="B1260" s="1086" t="s">
        <v>6568</v>
      </c>
      <c r="C1260" s="1087" t="s">
        <v>1788</v>
      </c>
      <c r="D1260" s="1088">
        <v>69.39</v>
      </c>
      <c r="E1260" s="1089" t="s">
        <v>5308</v>
      </c>
      <c r="F1260" s="1081">
        <f t="shared" si="1"/>
        <v>0</v>
      </c>
      <c r="G1260" s="1083">
        <f t="shared" si="2"/>
        <v>69.39</v>
      </c>
      <c r="H1260" s="1084"/>
    </row>
    <row r="1261" ht="14.25" customHeight="1">
      <c r="A1261" s="1085">
        <v>2574.0</v>
      </c>
      <c r="B1261" s="1086" t="s">
        <v>6569</v>
      </c>
      <c r="C1261" s="1087" t="s">
        <v>1788</v>
      </c>
      <c r="D1261" s="1088">
        <v>16.09</v>
      </c>
      <c r="E1261" s="1089" t="s">
        <v>5308</v>
      </c>
      <c r="F1261" s="1081">
        <f t="shared" si="1"/>
        <v>0</v>
      </c>
      <c r="G1261" s="1083">
        <f t="shared" si="2"/>
        <v>16.09</v>
      </c>
      <c r="H1261" s="1084"/>
    </row>
    <row r="1262" ht="14.25" customHeight="1">
      <c r="A1262" s="1085">
        <v>2578.0</v>
      </c>
      <c r="B1262" s="1086" t="s">
        <v>6570</v>
      </c>
      <c r="C1262" s="1087" t="s">
        <v>1788</v>
      </c>
      <c r="D1262" s="1088">
        <v>216.65</v>
      </c>
      <c r="E1262" s="1089" t="s">
        <v>5308</v>
      </c>
      <c r="F1262" s="1081">
        <f t="shared" si="1"/>
        <v>0</v>
      </c>
      <c r="G1262" s="1083">
        <f t="shared" si="2"/>
        <v>216.65</v>
      </c>
      <c r="H1262" s="1084"/>
    </row>
    <row r="1263" ht="14.25" customHeight="1">
      <c r="A1263" s="1085">
        <v>2585.0</v>
      </c>
      <c r="B1263" s="1086" t="s">
        <v>6571</v>
      </c>
      <c r="C1263" s="1087" t="s">
        <v>1788</v>
      </c>
      <c r="D1263" s="1088">
        <v>297.29</v>
      </c>
      <c r="E1263" s="1089" t="s">
        <v>5308</v>
      </c>
      <c r="F1263" s="1081">
        <f t="shared" si="1"/>
        <v>0</v>
      </c>
      <c r="G1263" s="1083">
        <f t="shared" si="2"/>
        <v>297.29</v>
      </c>
      <c r="H1263" s="1084"/>
    </row>
    <row r="1264" ht="14.25" customHeight="1">
      <c r="A1264" s="1085">
        <v>12008.0</v>
      </c>
      <c r="B1264" s="1086" t="s">
        <v>6572</v>
      </c>
      <c r="C1264" s="1087" t="s">
        <v>1788</v>
      </c>
      <c r="D1264" s="1088">
        <v>159.51</v>
      </c>
      <c r="E1264" s="1089" t="s">
        <v>5308</v>
      </c>
      <c r="F1264" s="1081">
        <f t="shared" si="1"/>
        <v>0</v>
      </c>
      <c r="G1264" s="1083">
        <f t="shared" si="2"/>
        <v>159.51</v>
      </c>
      <c r="H1264" s="1084"/>
    </row>
    <row r="1265" ht="14.25" customHeight="1">
      <c r="A1265" s="1085">
        <v>2582.0</v>
      </c>
      <c r="B1265" s="1086" t="s">
        <v>6573</v>
      </c>
      <c r="C1265" s="1087" t="s">
        <v>1788</v>
      </c>
      <c r="D1265" s="1088">
        <v>47.5</v>
      </c>
      <c r="E1265" s="1089" t="s">
        <v>5308</v>
      </c>
      <c r="F1265" s="1081">
        <f t="shared" si="1"/>
        <v>0</v>
      </c>
      <c r="G1265" s="1083">
        <f t="shared" si="2"/>
        <v>47.5</v>
      </c>
      <c r="H1265" s="1084"/>
    </row>
    <row r="1266" ht="14.25" customHeight="1">
      <c r="A1266" s="1085">
        <v>2597.0</v>
      </c>
      <c r="B1266" s="1086" t="s">
        <v>6574</v>
      </c>
      <c r="C1266" s="1087" t="s">
        <v>1788</v>
      </c>
      <c r="D1266" s="1088">
        <v>40.71</v>
      </c>
      <c r="E1266" s="1089" t="s">
        <v>5308</v>
      </c>
      <c r="F1266" s="1081">
        <f t="shared" si="1"/>
        <v>0</v>
      </c>
      <c r="G1266" s="1083">
        <f t="shared" si="2"/>
        <v>40.71</v>
      </c>
      <c r="H1266" s="1084"/>
    </row>
    <row r="1267" ht="14.25" customHeight="1">
      <c r="A1267" s="1085">
        <v>2579.0</v>
      </c>
      <c r="B1267" s="1086" t="s">
        <v>6575</v>
      </c>
      <c r="C1267" s="1087" t="s">
        <v>1788</v>
      </c>
      <c r="D1267" s="1088">
        <v>19.38</v>
      </c>
      <c r="E1267" s="1089" t="s">
        <v>5308</v>
      </c>
      <c r="F1267" s="1081">
        <f t="shared" si="1"/>
        <v>0</v>
      </c>
      <c r="G1267" s="1083">
        <f t="shared" si="2"/>
        <v>19.38</v>
      </c>
      <c r="H1267" s="1084"/>
    </row>
    <row r="1268" ht="14.25" customHeight="1">
      <c r="A1268" s="1085">
        <v>2581.0</v>
      </c>
      <c r="B1268" s="1086" t="s">
        <v>6576</v>
      </c>
      <c r="C1268" s="1087" t="s">
        <v>1788</v>
      </c>
      <c r="D1268" s="1088">
        <v>24.8</v>
      </c>
      <c r="E1268" s="1089" t="s">
        <v>5308</v>
      </c>
      <c r="F1268" s="1081">
        <f t="shared" si="1"/>
        <v>0</v>
      </c>
      <c r="G1268" s="1083">
        <f t="shared" si="2"/>
        <v>24.8</v>
      </c>
      <c r="H1268" s="1084"/>
    </row>
    <row r="1269" ht="14.25" customHeight="1">
      <c r="A1269" s="1085">
        <v>2596.0</v>
      </c>
      <c r="B1269" s="1086" t="s">
        <v>6577</v>
      </c>
      <c r="C1269" s="1087" t="s">
        <v>1788</v>
      </c>
      <c r="D1269" s="1088">
        <v>73.35</v>
      </c>
      <c r="E1269" s="1089" t="s">
        <v>5308</v>
      </c>
      <c r="F1269" s="1081">
        <f t="shared" si="1"/>
        <v>0</v>
      </c>
      <c r="G1269" s="1083">
        <f t="shared" si="2"/>
        <v>73.35</v>
      </c>
      <c r="H1269" s="1084"/>
    </row>
    <row r="1270" ht="14.25" customHeight="1">
      <c r="A1270" s="1085">
        <v>2580.0</v>
      </c>
      <c r="B1270" s="1086" t="s">
        <v>6578</v>
      </c>
      <c r="C1270" s="1087" t="s">
        <v>1788</v>
      </c>
      <c r="D1270" s="1088">
        <v>21.24</v>
      </c>
      <c r="E1270" s="1089" t="s">
        <v>5308</v>
      </c>
      <c r="F1270" s="1081">
        <f t="shared" si="1"/>
        <v>0</v>
      </c>
      <c r="G1270" s="1083">
        <f t="shared" si="2"/>
        <v>21.24</v>
      </c>
      <c r="H1270" s="1084"/>
    </row>
    <row r="1271" ht="14.25" customHeight="1">
      <c r="A1271" s="1085">
        <v>2583.0</v>
      </c>
      <c r="B1271" s="1086" t="s">
        <v>6579</v>
      </c>
      <c r="C1271" s="1087" t="s">
        <v>1788</v>
      </c>
      <c r="D1271" s="1088">
        <v>178.4</v>
      </c>
      <c r="E1271" s="1089" t="s">
        <v>5308</v>
      </c>
      <c r="F1271" s="1081">
        <f t="shared" si="1"/>
        <v>0</v>
      </c>
      <c r="G1271" s="1083">
        <f t="shared" si="2"/>
        <v>178.4</v>
      </c>
      <c r="H1271" s="1084"/>
    </row>
    <row r="1272" ht="14.25" customHeight="1">
      <c r="A1272" s="1085">
        <v>2584.0</v>
      </c>
      <c r="B1272" s="1086" t="s">
        <v>6580</v>
      </c>
      <c r="C1272" s="1087" t="s">
        <v>1788</v>
      </c>
      <c r="D1272" s="1088">
        <v>296.99</v>
      </c>
      <c r="E1272" s="1089" t="s">
        <v>5308</v>
      </c>
      <c r="F1272" s="1081">
        <f t="shared" si="1"/>
        <v>0</v>
      </c>
      <c r="G1272" s="1083">
        <f t="shared" si="2"/>
        <v>296.99</v>
      </c>
      <c r="H1272" s="1084"/>
    </row>
    <row r="1273" ht="14.25" customHeight="1">
      <c r="A1273" s="1085">
        <v>12010.0</v>
      </c>
      <c r="B1273" s="1086" t="s">
        <v>6581</v>
      </c>
      <c r="C1273" s="1087" t="s">
        <v>1788</v>
      </c>
      <c r="D1273" s="1088">
        <v>14.03</v>
      </c>
      <c r="E1273" s="1089" t="s">
        <v>5308</v>
      </c>
      <c r="F1273" s="1081">
        <f t="shared" si="1"/>
        <v>0</v>
      </c>
      <c r="G1273" s="1083">
        <f t="shared" si="2"/>
        <v>14.03</v>
      </c>
      <c r="H1273" s="1084"/>
    </row>
    <row r="1274" ht="14.25" customHeight="1">
      <c r="A1274" s="1085">
        <v>39329.0</v>
      </c>
      <c r="B1274" s="1086" t="s">
        <v>6582</v>
      </c>
      <c r="C1274" s="1087" t="s">
        <v>1788</v>
      </c>
      <c r="D1274" s="1088">
        <v>14.68</v>
      </c>
      <c r="E1274" s="1089" t="s">
        <v>5308</v>
      </c>
      <c r="F1274" s="1081">
        <f t="shared" si="1"/>
        <v>0</v>
      </c>
      <c r="G1274" s="1083">
        <f t="shared" si="2"/>
        <v>14.68</v>
      </c>
      <c r="H1274" s="1084"/>
    </row>
    <row r="1275" ht="14.25" customHeight="1">
      <c r="A1275" s="1085">
        <v>39330.0</v>
      </c>
      <c r="B1275" s="1086" t="s">
        <v>6583</v>
      </c>
      <c r="C1275" s="1087" t="s">
        <v>1788</v>
      </c>
      <c r="D1275" s="1088">
        <v>15.44</v>
      </c>
      <c r="E1275" s="1089" t="s">
        <v>5308</v>
      </c>
      <c r="F1275" s="1081">
        <f t="shared" si="1"/>
        <v>0</v>
      </c>
      <c r="G1275" s="1083">
        <f t="shared" si="2"/>
        <v>15.44</v>
      </c>
      <c r="H1275" s="1084"/>
    </row>
    <row r="1276" ht="14.25" customHeight="1">
      <c r="A1276" s="1085">
        <v>39332.0</v>
      </c>
      <c r="B1276" s="1086" t="s">
        <v>6584</v>
      </c>
      <c r="C1276" s="1087" t="s">
        <v>1788</v>
      </c>
      <c r="D1276" s="1088">
        <v>17.26</v>
      </c>
      <c r="E1276" s="1089" t="s">
        <v>5308</v>
      </c>
      <c r="F1276" s="1081">
        <f t="shared" si="1"/>
        <v>0</v>
      </c>
      <c r="G1276" s="1083">
        <f t="shared" si="2"/>
        <v>17.26</v>
      </c>
      <c r="H1276" s="1084"/>
    </row>
    <row r="1277" ht="14.25" customHeight="1">
      <c r="A1277" s="1085">
        <v>39331.0</v>
      </c>
      <c r="B1277" s="1086" t="s">
        <v>6585</v>
      </c>
      <c r="C1277" s="1087" t="s">
        <v>1788</v>
      </c>
      <c r="D1277" s="1088">
        <v>13.74</v>
      </c>
      <c r="E1277" s="1089" t="s">
        <v>5308</v>
      </c>
      <c r="F1277" s="1081">
        <f t="shared" si="1"/>
        <v>0</v>
      </c>
      <c r="G1277" s="1083">
        <f t="shared" si="2"/>
        <v>13.74</v>
      </c>
      <c r="H1277" s="1084"/>
    </row>
    <row r="1278" ht="14.25" customHeight="1">
      <c r="A1278" s="1085">
        <v>39333.0</v>
      </c>
      <c r="B1278" s="1086" t="s">
        <v>6586</v>
      </c>
      <c r="C1278" s="1087" t="s">
        <v>1788</v>
      </c>
      <c r="D1278" s="1088">
        <v>13.39</v>
      </c>
      <c r="E1278" s="1089" t="s">
        <v>5308</v>
      </c>
      <c r="F1278" s="1081">
        <f t="shared" si="1"/>
        <v>0</v>
      </c>
      <c r="G1278" s="1083">
        <f t="shared" si="2"/>
        <v>13.39</v>
      </c>
      <c r="H1278" s="1084"/>
    </row>
    <row r="1279" ht="14.25" customHeight="1">
      <c r="A1279" s="1085">
        <v>39335.0</v>
      </c>
      <c r="B1279" s="1086" t="s">
        <v>6587</v>
      </c>
      <c r="C1279" s="1087" t="s">
        <v>1788</v>
      </c>
      <c r="D1279" s="1088">
        <v>15.5</v>
      </c>
      <c r="E1279" s="1089" t="s">
        <v>5308</v>
      </c>
      <c r="F1279" s="1081">
        <f t="shared" si="1"/>
        <v>0</v>
      </c>
      <c r="G1279" s="1083">
        <f t="shared" si="2"/>
        <v>15.5</v>
      </c>
      <c r="H1279" s="1084"/>
    </row>
    <row r="1280" ht="14.25" customHeight="1">
      <c r="A1280" s="1085">
        <v>39334.0</v>
      </c>
      <c r="B1280" s="1086" t="s">
        <v>6588</v>
      </c>
      <c r="C1280" s="1087" t="s">
        <v>1788</v>
      </c>
      <c r="D1280" s="1088">
        <v>12.32</v>
      </c>
      <c r="E1280" s="1089" t="s">
        <v>5308</v>
      </c>
      <c r="F1280" s="1081">
        <f t="shared" si="1"/>
        <v>0</v>
      </c>
      <c r="G1280" s="1083">
        <f t="shared" si="2"/>
        <v>12.32</v>
      </c>
      <c r="H1280" s="1084"/>
    </row>
    <row r="1281" ht="14.25" customHeight="1">
      <c r="A1281" s="1085">
        <v>12016.0</v>
      </c>
      <c r="B1281" s="1086" t="s">
        <v>6589</v>
      </c>
      <c r="C1281" s="1087" t="s">
        <v>1788</v>
      </c>
      <c r="D1281" s="1088">
        <v>15.46</v>
      </c>
      <c r="E1281" s="1089" t="s">
        <v>5308</v>
      </c>
      <c r="F1281" s="1081">
        <f t="shared" si="1"/>
        <v>0</v>
      </c>
      <c r="G1281" s="1083">
        <f t="shared" si="2"/>
        <v>15.46</v>
      </c>
      <c r="H1281" s="1084"/>
    </row>
    <row r="1282" ht="14.25" customHeight="1">
      <c r="A1282" s="1085">
        <v>12015.0</v>
      </c>
      <c r="B1282" s="1086" t="s">
        <v>6590</v>
      </c>
      <c r="C1282" s="1087" t="s">
        <v>1788</v>
      </c>
      <c r="D1282" s="1088">
        <v>18.0</v>
      </c>
      <c r="E1282" s="1089" t="s">
        <v>5308</v>
      </c>
      <c r="F1282" s="1081">
        <f t="shared" si="1"/>
        <v>0</v>
      </c>
      <c r="G1282" s="1083">
        <f t="shared" si="2"/>
        <v>18</v>
      </c>
      <c r="H1282" s="1084"/>
    </row>
    <row r="1283" ht="14.25" customHeight="1">
      <c r="A1283" s="1085">
        <v>12020.0</v>
      </c>
      <c r="B1283" s="1086" t="s">
        <v>6591</v>
      </c>
      <c r="C1283" s="1087" t="s">
        <v>1788</v>
      </c>
      <c r="D1283" s="1088">
        <v>15.46</v>
      </c>
      <c r="E1283" s="1089" t="s">
        <v>5308</v>
      </c>
      <c r="F1283" s="1081">
        <f t="shared" si="1"/>
        <v>0</v>
      </c>
      <c r="G1283" s="1083">
        <f t="shared" si="2"/>
        <v>15.46</v>
      </c>
      <c r="H1283" s="1084"/>
    </row>
    <row r="1284" ht="14.25" customHeight="1">
      <c r="A1284" s="1085">
        <v>12019.0</v>
      </c>
      <c r="B1284" s="1086" t="s">
        <v>6592</v>
      </c>
      <c r="C1284" s="1087" t="s">
        <v>1788</v>
      </c>
      <c r="D1284" s="1088">
        <v>18.0</v>
      </c>
      <c r="E1284" s="1089" t="s">
        <v>5308</v>
      </c>
      <c r="F1284" s="1081">
        <f t="shared" si="1"/>
        <v>0</v>
      </c>
      <c r="G1284" s="1083">
        <f t="shared" si="2"/>
        <v>18</v>
      </c>
      <c r="H1284" s="1084"/>
    </row>
    <row r="1285" ht="14.25" customHeight="1">
      <c r="A1285" s="1085">
        <v>39336.0</v>
      </c>
      <c r="B1285" s="1086" t="s">
        <v>6593</v>
      </c>
      <c r="C1285" s="1087" t="s">
        <v>1788</v>
      </c>
      <c r="D1285" s="1088">
        <v>15.44</v>
      </c>
      <c r="E1285" s="1089" t="s">
        <v>5308</v>
      </c>
      <c r="F1285" s="1081">
        <f t="shared" si="1"/>
        <v>0</v>
      </c>
      <c r="G1285" s="1083">
        <f t="shared" si="2"/>
        <v>15.44</v>
      </c>
      <c r="H1285" s="1084"/>
    </row>
    <row r="1286" ht="14.25" customHeight="1">
      <c r="A1286" s="1085">
        <v>39338.0</v>
      </c>
      <c r="B1286" s="1086" t="s">
        <v>6594</v>
      </c>
      <c r="C1286" s="1087" t="s">
        <v>1788</v>
      </c>
      <c r="D1286" s="1088">
        <v>17.26</v>
      </c>
      <c r="E1286" s="1089" t="s">
        <v>5308</v>
      </c>
      <c r="F1286" s="1081">
        <f t="shared" si="1"/>
        <v>0</v>
      </c>
      <c r="G1286" s="1083">
        <f t="shared" si="2"/>
        <v>17.26</v>
      </c>
      <c r="H1286" s="1084"/>
    </row>
    <row r="1287" ht="14.25" customHeight="1">
      <c r="A1287" s="1085">
        <v>39337.0</v>
      </c>
      <c r="B1287" s="1086" t="s">
        <v>6595</v>
      </c>
      <c r="C1287" s="1087" t="s">
        <v>1788</v>
      </c>
      <c r="D1287" s="1088">
        <v>13.74</v>
      </c>
      <c r="E1287" s="1089" t="s">
        <v>5308</v>
      </c>
      <c r="F1287" s="1081">
        <f t="shared" si="1"/>
        <v>0</v>
      </c>
      <c r="G1287" s="1083">
        <f t="shared" si="2"/>
        <v>13.74</v>
      </c>
      <c r="H1287" s="1084"/>
    </row>
    <row r="1288" ht="14.25" customHeight="1">
      <c r="A1288" s="1085">
        <v>39341.0</v>
      </c>
      <c r="B1288" s="1086" t="s">
        <v>6596</v>
      </c>
      <c r="C1288" s="1087" t="s">
        <v>1788</v>
      </c>
      <c r="D1288" s="1088">
        <v>22.49</v>
      </c>
      <c r="E1288" s="1089" t="s">
        <v>5308</v>
      </c>
      <c r="F1288" s="1081">
        <f t="shared" si="1"/>
        <v>0</v>
      </c>
      <c r="G1288" s="1083">
        <f t="shared" si="2"/>
        <v>22.49</v>
      </c>
      <c r="H1288" s="1084"/>
    </row>
    <row r="1289" ht="14.25" customHeight="1">
      <c r="A1289" s="1085">
        <v>39340.0</v>
      </c>
      <c r="B1289" s="1086" t="s">
        <v>6597</v>
      </c>
      <c r="C1289" s="1087" t="s">
        <v>1788</v>
      </c>
      <c r="D1289" s="1088">
        <v>16.52</v>
      </c>
      <c r="E1289" s="1089" t="s">
        <v>5308</v>
      </c>
      <c r="F1289" s="1081">
        <f t="shared" si="1"/>
        <v>0</v>
      </c>
      <c r="G1289" s="1083">
        <f t="shared" si="2"/>
        <v>16.52</v>
      </c>
      <c r="H1289" s="1084"/>
    </row>
    <row r="1290" ht="14.25" customHeight="1">
      <c r="A1290" s="1085">
        <v>12025.0</v>
      </c>
      <c r="B1290" s="1086" t="s">
        <v>6598</v>
      </c>
      <c r="C1290" s="1087" t="s">
        <v>1788</v>
      </c>
      <c r="D1290" s="1088">
        <v>17.06</v>
      </c>
      <c r="E1290" s="1089" t="s">
        <v>5308</v>
      </c>
      <c r="F1290" s="1081">
        <f t="shared" si="1"/>
        <v>0</v>
      </c>
      <c r="G1290" s="1083">
        <f t="shared" si="2"/>
        <v>17.06</v>
      </c>
      <c r="H1290" s="1084"/>
    </row>
    <row r="1291" ht="14.25" customHeight="1">
      <c r="A1291" s="1085">
        <v>39342.0</v>
      </c>
      <c r="B1291" s="1086" t="s">
        <v>6599</v>
      </c>
      <c r="C1291" s="1087" t="s">
        <v>1788</v>
      </c>
      <c r="D1291" s="1088">
        <v>22.49</v>
      </c>
      <c r="E1291" s="1089" t="s">
        <v>5308</v>
      </c>
      <c r="F1291" s="1081">
        <f t="shared" si="1"/>
        <v>0</v>
      </c>
      <c r="G1291" s="1083">
        <f t="shared" si="2"/>
        <v>22.49</v>
      </c>
      <c r="H1291" s="1084"/>
    </row>
    <row r="1292" ht="14.25" customHeight="1">
      <c r="A1292" s="1085">
        <v>39343.0</v>
      </c>
      <c r="B1292" s="1086" t="s">
        <v>6600</v>
      </c>
      <c r="C1292" s="1087" t="s">
        <v>1788</v>
      </c>
      <c r="D1292" s="1088">
        <v>19.0</v>
      </c>
      <c r="E1292" s="1089" t="s">
        <v>5308</v>
      </c>
      <c r="F1292" s="1081">
        <f t="shared" si="1"/>
        <v>0</v>
      </c>
      <c r="G1292" s="1083">
        <f t="shared" si="2"/>
        <v>19</v>
      </c>
      <c r="H1292" s="1084"/>
    </row>
    <row r="1293" ht="14.25" customHeight="1">
      <c r="A1293" s="1085">
        <v>39345.0</v>
      </c>
      <c r="B1293" s="1086" t="s">
        <v>6601</v>
      </c>
      <c r="C1293" s="1087" t="s">
        <v>1788</v>
      </c>
      <c r="D1293" s="1088">
        <v>25.71</v>
      </c>
      <c r="E1293" s="1089" t="s">
        <v>5308</v>
      </c>
      <c r="F1293" s="1081">
        <f t="shared" si="1"/>
        <v>0</v>
      </c>
      <c r="G1293" s="1083">
        <f t="shared" si="2"/>
        <v>25.71</v>
      </c>
      <c r="H1293" s="1084"/>
    </row>
    <row r="1294" ht="14.25" customHeight="1">
      <c r="A1294" s="1085">
        <v>39344.0</v>
      </c>
      <c r="B1294" s="1086" t="s">
        <v>6602</v>
      </c>
      <c r="C1294" s="1087" t="s">
        <v>1788</v>
      </c>
      <c r="D1294" s="1088">
        <v>18.36</v>
      </c>
      <c r="E1294" s="1089" t="s">
        <v>5308</v>
      </c>
      <c r="F1294" s="1081">
        <f t="shared" si="1"/>
        <v>0</v>
      </c>
      <c r="G1294" s="1083">
        <f t="shared" si="2"/>
        <v>18.36</v>
      </c>
      <c r="H1294" s="1084"/>
    </row>
    <row r="1295" ht="14.25" customHeight="1">
      <c r="A1295" s="1085">
        <v>12623.0</v>
      </c>
      <c r="B1295" s="1086" t="s">
        <v>6603</v>
      </c>
      <c r="C1295" s="1087" t="s">
        <v>1731</v>
      </c>
      <c r="D1295" s="1088">
        <v>50.21</v>
      </c>
      <c r="E1295" s="1089" t="s">
        <v>5308</v>
      </c>
      <c r="F1295" s="1081">
        <f t="shared" si="1"/>
        <v>0</v>
      </c>
      <c r="G1295" s="1083">
        <f t="shared" si="2"/>
        <v>50.21</v>
      </c>
      <c r="H1295" s="1084"/>
    </row>
    <row r="1296" ht="14.25" customHeight="1">
      <c r="A1296" s="1085">
        <v>34498.0</v>
      </c>
      <c r="B1296" s="1086" t="s">
        <v>6604</v>
      </c>
      <c r="C1296" s="1087" t="s">
        <v>1788</v>
      </c>
      <c r="D1296" s="1088">
        <v>94.62</v>
      </c>
      <c r="E1296" s="1089" t="s">
        <v>5308</v>
      </c>
      <c r="F1296" s="1081">
        <f t="shared" si="1"/>
        <v>0</v>
      </c>
      <c r="G1296" s="1083">
        <f t="shared" si="2"/>
        <v>94.62</v>
      </c>
      <c r="H1296" s="1084"/>
    </row>
    <row r="1297" ht="14.25" customHeight="1">
      <c r="A1297" s="1085">
        <v>13244.0</v>
      </c>
      <c r="B1297" s="1086" t="s">
        <v>6605</v>
      </c>
      <c r="C1297" s="1087" t="s">
        <v>1788</v>
      </c>
      <c r="D1297" s="1088">
        <v>39.83</v>
      </c>
      <c r="E1297" s="1089" t="s">
        <v>5308</v>
      </c>
      <c r="F1297" s="1081">
        <f t="shared" si="1"/>
        <v>0</v>
      </c>
      <c r="G1297" s="1083">
        <f t="shared" si="2"/>
        <v>39.83</v>
      </c>
      <c r="H1297" s="1084"/>
    </row>
    <row r="1298" ht="14.25" customHeight="1">
      <c r="A1298" s="1085">
        <v>38998.0</v>
      </c>
      <c r="B1298" s="1086" t="s">
        <v>6606</v>
      </c>
      <c r="C1298" s="1087" t="s">
        <v>1788</v>
      </c>
      <c r="D1298" s="1088">
        <v>12.01</v>
      </c>
      <c r="E1298" s="1089" t="s">
        <v>5308</v>
      </c>
      <c r="F1298" s="1081">
        <f t="shared" si="1"/>
        <v>0</v>
      </c>
      <c r="G1298" s="1083">
        <f t="shared" si="2"/>
        <v>12.01</v>
      </c>
      <c r="H1298" s="1084"/>
    </row>
    <row r="1299" ht="14.25" customHeight="1">
      <c r="A1299" s="1085">
        <v>38999.0</v>
      </c>
      <c r="B1299" s="1086" t="s">
        <v>6607</v>
      </c>
      <c r="C1299" s="1087" t="s">
        <v>1788</v>
      </c>
      <c r="D1299" s="1088">
        <v>30.36</v>
      </c>
      <c r="E1299" s="1089" t="s">
        <v>5308</v>
      </c>
      <c r="F1299" s="1081">
        <f t="shared" si="1"/>
        <v>0</v>
      </c>
      <c r="G1299" s="1083">
        <f t="shared" si="2"/>
        <v>30.36</v>
      </c>
      <c r="H1299" s="1084"/>
    </row>
    <row r="1300" ht="14.25" customHeight="1">
      <c r="A1300" s="1085">
        <v>38996.0</v>
      </c>
      <c r="B1300" s="1086" t="s">
        <v>6608</v>
      </c>
      <c r="C1300" s="1087" t="s">
        <v>1788</v>
      </c>
      <c r="D1300" s="1088">
        <v>21.46</v>
      </c>
      <c r="E1300" s="1089" t="s">
        <v>5308</v>
      </c>
      <c r="F1300" s="1081">
        <f t="shared" si="1"/>
        <v>0</v>
      </c>
      <c r="G1300" s="1083">
        <f t="shared" si="2"/>
        <v>21.46</v>
      </c>
      <c r="H1300" s="1084"/>
    </row>
    <row r="1301" ht="14.25" customHeight="1">
      <c r="A1301" s="1085">
        <v>44173.0</v>
      </c>
      <c r="B1301" s="1086" t="s">
        <v>6609</v>
      </c>
      <c r="C1301" s="1087" t="s">
        <v>1788</v>
      </c>
      <c r="D1301" s="1088">
        <v>20.87</v>
      </c>
      <c r="E1301" s="1089" t="s">
        <v>5308</v>
      </c>
      <c r="F1301" s="1081">
        <f t="shared" si="1"/>
        <v>0</v>
      </c>
      <c r="G1301" s="1083">
        <f t="shared" si="2"/>
        <v>20.87</v>
      </c>
      <c r="H1301" s="1084"/>
    </row>
    <row r="1302" ht="14.25" customHeight="1">
      <c r="A1302" s="1085">
        <v>44174.0</v>
      </c>
      <c r="B1302" s="1086" t="s">
        <v>6610</v>
      </c>
      <c r="C1302" s="1087" t="s">
        <v>1788</v>
      </c>
      <c r="D1302" s="1088">
        <v>34.16</v>
      </c>
      <c r="E1302" s="1089" t="s">
        <v>5308</v>
      </c>
      <c r="F1302" s="1081">
        <f t="shared" si="1"/>
        <v>0</v>
      </c>
      <c r="G1302" s="1083">
        <f t="shared" si="2"/>
        <v>34.16</v>
      </c>
      <c r="H1302" s="1084"/>
    </row>
    <row r="1303" ht="14.25" customHeight="1">
      <c r="A1303" s="1085">
        <v>38997.0</v>
      </c>
      <c r="B1303" s="1086" t="s">
        <v>6611</v>
      </c>
      <c r="C1303" s="1087" t="s">
        <v>1788</v>
      </c>
      <c r="D1303" s="1088">
        <v>30.7</v>
      </c>
      <c r="E1303" s="1089" t="s">
        <v>5308</v>
      </c>
      <c r="F1303" s="1081">
        <f t="shared" si="1"/>
        <v>0</v>
      </c>
      <c r="G1303" s="1083">
        <f t="shared" si="2"/>
        <v>30.7</v>
      </c>
      <c r="H1303" s="1084"/>
    </row>
    <row r="1304" ht="14.25" customHeight="1">
      <c r="A1304" s="1085">
        <v>39600.0</v>
      </c>
      <c r="B1304" s="1086" t="s">
        <v>6612</v>
      </c>
      <c r="C1304" s="1087" t="s">
        <v>1788</v>
      </c>
      <c r="D1304" s="1088">
        <v>15.73</v>
      </c>
      <c r="E1304" s="1089" t="s">
        <v>5308</v>
      </c>
      <c r="F1304" s="1081">
        <f t="shared" si="1"/>
        <v>0</v>
      </c>
      <c r="G1304" s="1083">
        <f t="shared" si="2"/>
        <v>15.73</v>
      </c>
      <c r="H1304" s="1084"/>
    </row>
    <row r="1305" ht="14.25" customHeight="1">
      <c r="A1305" s="1085">
        <v>39601.0</v>
      </c>
      <c r="B1305" s="1086" t="s">
        <v>6613</v>
      </c>
      <c r="C1305" s="1087" t="s">
        <v>1788</v>
      </c>
      <c r="D1305" s="1088">
        <v>33.36</v>
      </c>
      <c r="E1305" s="1089" t="s">
        <v>5308</v>
      </c>
      <c r="F1305" s="1081">
        <f t="shared" si="1"/>
        <v>0</v>
      </c>
      <c r="G1305" s="1083">
        <f t="shared" si="2"/>
        <v>33.36</v>
      </c>
      <c r="H1305" s="1084"/>
    </row>
    <row r="1306" ht="14.25" customHeight="1">
      <c r="A1306" s="1085">
        <v>39862.0</v>
      </c>
      <c r="B1306" s="1086" t="s">
        <v>6614</v>
      </c>
      <c r="C1306" s="1087" t="s">
        <v>1788</v>
      </c>
      <c r="D1306" s="1088">
        <v>13.61</v>
      </c>
      <c r="E1306" s="1089" t="s">
        <v>5308</v>
      </c>
      <c r="F1306" s="1081">
        <f t="shared" si="1"/>
        <v>0</v>
      </c>
      <c r="G1306" s="1083">
        <f t="shared" si="2"/>
        <v>13.61</v>
      </c>
      <c r="H1306" s="1084"/>
    </row>
    <row r="1307" ht="14.25" customHeight="1">
      <c r="A1307" s="1085">
        <v>39863.0</v>
      </c>
      <c r="B1307" s="1086" t="s">
        <v>6615</v>
      </c>
      <c r="C1307" s="1087" t="s">
        <v>1788</v>
      </c>
      <c r="D1307" s="1088">
        <v>13.8</v>
      </c>
      <c r="E1307" s="1089" t="s">
        <v>5308</v>
      </c>
      <c r="F1307" s="1081">
        <f t="shared" si="1"/>
        <v>0</v>
      </c>
      <c r="G1307" s="1083">
        <f t="shared" si="2"/>
        <v>13.8</v>
      </c>
      <c r="H1307" s="1084"/>
    </row>
    <row r="1308" ht="14.25" customHeight="1">
      <c r="A1308" s="1085">
        <v>39864.0</v>
      </c>
      <c r="B1308" s="1086" t="s">
        <v>6616</v>
      </c>
      <c r="C1308" s="1087" t="s">
        <v>1788</v>
      </c>
      <c r="D1308" s="1088">
        <v>17.12</v>
      </c>
      <c r="E1308" s="1089" t="s">
        <v>5308</v>
      </c>
      <c r="F1308" s="1081">
        <f t="shared" si="1"/>
        <v>0</v>
      </c>
      <c r="G1308" s="1083">
        <f t="shared" si="2"/>
        <v>17.12</v>
      </c>
      <c r="H1308" s="1084"/>
    </row>
    <row r="1309" ht="14.25" customHeight="1">
      <c r="A1309" s="1085">
        <v>39865.0</v>
      </c>
      <c r="B1309" s="1086" t="s">
        <v>6617</v>
      </c>
      <c r="C1309" s="1087" t="s">
        <v>1788</v>
      </c>
      <c r="D1309" s="1088">
        <v>24.13</v>
      </c>
      <c r="E1309" s="1089" t="s">
        <v>5308</v>
      </c>
      <c r="F1309" s="1081">
        <f t="shared" si="1"/>
        <v>0</v>
      </c>
      <c r="G1309" s="1083">
        <f t="shared" si="2"/>
        <v>24.13</v>
      </c>
      <c r="H1309" s="1084"/>
    </row>
    <row r="1310" ht="14.25" customHeight="1">
      <c r="A1310" s="1085">
        <v>2517.0</v>
      </c>
      <c r="B1310" s="1086" t="s">
        <v>6618</v>
      </c>
      <c r="C1310" s="1087" t="s">
        <v>1788</v>
      </c>
      <c r="D1310" s="1088">
        <v>29.59</v>
      </c>
      <c r="E1310" s="1089" t="s">
        <v>5308</v>
      </c>
      <c r="F1310" s="1081">
        <f t="shared" si="1"/>
        <v>0</v>
      </c>
      <c r="G1310" s="1083">
        <f t="shared" si="2"/>
        <v>29.59</v>
      </c>
      <c r="H1310" s="1084"/>
    </row>
    <row r="1311" ht="14.25" customHeight="1">
      <c r="A1311" s="1085">
        <v>2522.0</v>
      </c>
      <c r="B1311" s="1086" t="s">
        <v>6619</v>
      </c>
      <c r="C1311" s="1087" t="s">
        <v>1788</v>
      </c>
      <c r="D1311" s="1088">
        <v>19.12</v>
      </c>
      <c r="E1311" s="1089" t="s">
        <v>5308</v>
      </c>
      <c r="F1311" s="1081">
        <f t="shared" si="1"/>
        <v>0</v>
      </c>
      <c r="G1311" s="1083">
        <f t="shared" si="2"/>
        <v>19.12</v>
      </c>
      <c r="H1311" s="1084"/>
    </row>
    <row r="1312" ht="14.25" customHeight="1">
      <c r="A1312" s="1085">
        <v>2548.0</v>
      </c>
      <c r="B1312" s="1086" t="s">
        <v>6620</v>
      </c>
      <c r="C1312" s="1087" t="s">
        <v>1788</v>
      </c>
      <c r="D1312" s="1088">
        <v>11.76</v>
      </c>
      <c r="E1312" s="1089" t="s">
        <v>5308</v>
      </c>
      <c r="F1312" s="1081">
        <f t="shared" si="1"/>
        <v>0</v>
      </c>
      <c r="G1312" s="1083">
        <f t="shared" si="2"/>
        <v>11.76</v>
      </c>
      <c r="H1312" s="1084"/>
    </row>
    <row r="1313" ht="14.25" customHeight="1">
      <c r="A1313" s="1085">
        <v>2516.0</v>
      </c>
      <c r="B1313" s="1086" t="s">
        <v>6621</v>
      </c>
      <c r="C1313" s="1087" t="s">
        <v>1788</v>
      </c>
      <c r="D1313" s="1088">
        <v>15.35</v>
      </c>
      <c r="E1313" s="1089" t="s">
        <v>5308</v>
      </c>
      <c r="F1313" s="1081">
        <f t="shared" si="1"/>
        <v>0</v>
      </c>
      <c r="G1313" s="1083">
        <f t="shared" si="2"/>
        <v>15.35</v>
      </c>
      <c r="H1313" s="1084"/>
    </row>
    <row r="1314" ht="14.25" customHeight="1">
      <c r="A1314" s="1085">
        <v>2518.0</v>
      </c>
      <c r="B1314" s="1086" t="s">
        <v>6622</v>
      </c>
      <c r="C1314" s="1087" t="s">
        <v>1788</v>
      </c>
      <c r="D1314" s="1088">
        <v>140.85</v>
      </c>
      <c r="E1314" s="1089" t="s">
        <v>5308</v>
      </c>
      <c r="F1314" s="1081">
        <f t="shared" si="1"/>
        <v>0</v>
      </c>
      <c r="G1314" s="1083">
        <f t="shared" si="2"/>
        <v>140.85</v>
      </c>
      <c r="H1314" s="1084"/>
    </row>
    <row r="1315" ht="14.25" customHeight="1">
      <c r="A1315" s="1085">
        <v>2521.0</v>
      </c>
      <c r="B1315" s="1086" t="s">
        <v>6623</v>
      </c>
      <c r="C1315" s="1087" t="s">
        <v>1788</v>
      </c>
      <c r="D1315" s="1088">
        <v>59.96</v>
      </c>
      <c r="E1315" s="1089" t="s">
        <v>5308</v>
      </c>
      <c r="F1315" s="1081">
        <f t="shared" si="1"/>
        <v>0</v>
      </c>
      <c r="G1315" s="1083">
        <f t="shared" si="2"/>
        <v>59.96</v>
      </c>
      <c r="H1315" s="1084"/>
    </row>
    <row r="1316" ht="14.25" customHeight="1">
      <c r="A1316" s="1085">
        <v>2515.0</v>
      </c>
      <c r="B1316" s="1086" t="s">
        <v>6624</v>
      </c>
      <c r="C1316" s="1087" t="s">
        <v>1788</v>
      </c>
      <c r="D1316" s="1088">
        <v>12.78</v>
      </c>
      <c r="E1316" s="1089" t="s">
        <v>5308</v>
      </c>
      <c r="F1316" s="1081">
        <f t="shared" si="1"/>
        <v>0</v>
      </c>
      <c r="G1316" s="1083">
        <f t="shared" si="2"/>
        <v>12.78</v>
      </c>
      <c r="H1316" s="1084"/>
    </row>
    <row r="1317" ht="14.25" customHeight="1">
      <c r="A1317" s="1085">
        <v>2519.0</v>
      </c>
      <c r="B1317" s="1086" t="s">
        <v>6625</v>
      </c>
      <c r="C1317" s="1087" t="s">
        <v>1788</v>
      </c>
      <c r="D1317" s="1088">
        <v>169.83</v>
      </c>
      <c r="E1317" s="1089" t="s">
        <v>5308</v>
      </c>
      <c r="F1317" s="1081">
        <f t="shared" si="1"/>
        <v>0</v>
      </c>
      <c r="G1317" s="1083">
        <f t="shared" si="2"/>
        <v>169.83</v>
      </c>
      <c r="H1317" s="1084"/>
    </row>
    <row r="1318" ht="14.25" customHeight="1">
      <c r="A1318" s="1085">
        <v>2520.0</v>
      </c>
      <c r="B1318" s="1086" t="s">
        <v>6626</v>
      </c>
      <c r="C1318" s="1087" t="s">
        <v>1788</v>
      </c>
      <c r="D1318" s="1088">
        <v>312.58</v>
      </c>
      <c r="E1318" s="1089" t="s">
        <v>5308</v>
      </c>
      <c r="F1318" s="1081">
        <f t="shared" si="1"/>
        <v>0</v>
      </c>
      <c r="G1318" s="1083">
        <f t="shared" si="2"/>
        <v>312.58</v>
      </c>
      <c r="H1318" s="1084"/>
    </row>
    <row r="1319" ht="14.25" customHeight="1">
      <c r="A1319" s="1085">
        <v>1602.0</v>
      </c>
      <c r="B1319" s="1086" t="s">
        <v>6627</v>
      </c>
      <c r="C1319" s="1087" t="s">
        <v>1788</v>
      </c>
      <c r="D1319" s="1088">
        <v>48.78</v>
      </c>
      <c r="E1319" s="1089" t="s">
        <v>5308</v>
      </c>
      <c r="F1319" s="1081">
        <f t="shared" si="1"/>
        <v>0</v>
      </c>
      <c r="G1319" s="1083">
        <f t="shared" si="2"/>
        <v>48.78</v>
      </c>
      <c r="H1319" s="1084"/>
    </row>
    <row r="1320" ht="14.25" customHeight="1">
      <c r="A1320" s="1085">
        <v>1601.0</v>
      </c>
      <c r="B1320" s="1086" t="s">
        <v>6628</v>
      </c>
      <c r="C1320" s="1087" t="s">
        <v>1788</v>
      </c>
      <c r="D1320" s="1088">
        <v>43.48</v>
      </c>
      <c r="E1320" s="1089" t="s">
        <v>5308</v>
      </c>
      <c r="F1320" s="1081">
        <f t="shared" si="1"/>
        <v>0</v>
      </c>
      <c r="G1320" s="1083">
        <f t="shared" si="2"/>
        <v>43.48</v>
      </c>
      <c r="H1320" s="1084"/>
    </row>
    <row r="1321" ht="14.25" customHeight="1">
      <c r="A1321" s="1085">
        <v>1598.0</v>
      </c>
      <c r="B1321" s="1086" t="s">
        <v>6629</v>
      </c>
      <c r="C1321" s="1087" t="s">
        <v>1788</v>
      </c>
      <c r="D1321" s="1088">
        <v>12.87</v>
      </c>
      <c r="E1321" s="1089" t="s">
        <v>5308</v>
      </c>
      <c r="F1321" s="1081">
        <f t="shared" si="1"/>
        <v>0</v>
      </c>
      <c r="G1321" s="1083">
        <f t="shared" si="2"/>
        <v>12.87</v>
      </c>
      <c r="H1321" s="1084"/>
    </row>
    <row r="1322" ht="14.25" customHeight="1">
      <c r="A1322" s="1085">
        <v>1600.0</v>
      </c>
      <c r="B1322" s="1086" t="s">
        <v>6630</v>
      </c>
      <c r="C1322" s="1087" t="s">
        <v>1788</v>
      </c>
      <c r="D1322" s="1088">
        <v>18.99</v>
      </c>
      <c r="E1322" s="1089" t="s">
        <v>5308</v>
      </c>
      <c r="F1322" s="1081">
        <f t="shared" si="1"/>
        <v>0</v>
      </c>
      <c r="G1322" s="1083">
        <f t="shared" si="2"/>
        <v>18.99</v>
      </c>
      <c r="H1322" s="1084"/>
    </row>
    <row r="1323" ht="14.25" customHeight="1">
      <c r="A1323" s="1085">
        <v>1603.0</v>
      </c>
      <c r="B1323" s="1086" t="s">
        <v>6631</v>
      </c>
      <c r="C1323" s="1087" t="s">
        <v>1788</v>
      </c>
      <c r="D1323" s="1088">
        <v>73.65</v>
      </c>
      <c r="E1323" s="1089" t="s">
        <v>5308</v>
      </c>
      <c r="F1323" s="1081">
        <f t="shared" si="1"/>
        <v>0</v>
      </c>
      <c r="G1323" s="1083">
        <f t="shared" si="2"/>
        <v>73.65</v>
      </c>
      <c r="H1323" s="1084"/>
    </row>
    <row r="1324" ht="14.25" customHeight="1">
      <c r="A1324" s="1085">
        <v>1599.0</v>
      </c>
      <c r="B1324" s="1086" t="s">
        <v>6632</v>
      </c>
      <c r="C1324" s="1087" t="s">
        <v>1788</v>
      </c>
      <c r="D1324" s="1088">
        <v>14.93</v>
      </c>
      <c r="E1324" s="1089" t="s">
        <v>5308</v>
      </c>
      <c r="F1324" s="1081">
        <f t="shared" si="1"/>
        <v>0</v>
      </c>
      <c r="G1324" s="1083">
        <f t="shared" si="2"/>
        <v>14.93</v>
      </c>
      <c r="H1324" s="1084"/>
    </row>
    <row r="1325" ht="14.25" customHeight="1">
      <c r="A1325" s="1085">
        <v>1597.0</v>
      </c>
      <c r="B1325" s="1086" t="s">
        <v>6633</v>
      </c>
      <c r="C1325" s="1087" t="s">
        <v>1788</v>
      </c>
      <c r="D1325" s="1088">
        <v>12.1</v>
      </c>
      <c r="E1325" s="1089" t="s">
        <v>5308</v>
      </c>
      <c r="F1325" s="1081">
        <f t="shared" si="1"/>
        <v>0</v>
      </c>
      <c r="G1325" s="1083">
        <f t="shared" si="2"/>
        <v>12.1</v>
      </c>
      <c r="H1325" s="1084"/>
    </row>
    <row r="1326" ht="14.25" customHeight="1">
      <c r="A1326" s="1085">
        <v>39602.0</v>
      </c>
      <c r="B1326" s="1086" t="s">
        <v>6634</v>
      </c>
      <c r="C1326" s="1087" t="s">
        <v>1788</v>
      </c>
      <c r="D1326" s="1088">
        <v>1.67</v>
      </c>
      <c r="E1326" s="1089" t="s">
        <v>5308</v>
      </c>
      <c r="F1326" s="1081">
        <f t="shared" si="1"/>
        <v>0</v>
      </c>
      <c r="G1326" s="1083">
        <f t="shared" si="2"/>
        <v>1.67</v>
      </c>
      <c r="H1326" s="1084"/>
    </row>
    <row r="1327" ht="14.25" customHeight="1">
      <c r="A1327" s="1085">
        <v>39603.0</v>
      </c>
      <c r="B1327" s="1086" t="s">
        <v>6635</v>
      </c>
      <c r="C1327" s="1087" t="s">
        <v>1788</v>
      </c>
      <c r="D1327" s="1088">
        <v>3.55</v>
      </c>
      <c r="E1327" s="1089" t="s">
        <v>5308</v>
      </c>
      <c r="F1327" s="1081">
        <f t="shared" si="1"/>
        <v>0</v>
      </c>
      <c r="G1327" s="1083">
        <f t="shared" si="2"/>
        <v>3.55</v>
      </c>
      <c r="H1327" s="1084"/>
    </row>
    <row r="1328" ht="14.25" customHeight="1">
      <c r="A1328" s="1085">
        <v>11821.0</v>
      </c>
      <c r="B1328" s="1086" t="s">
        <v>6636</v>
      </c>
      <c r="C1328" s="1087" t="s">
        <v>1788</v>
      </c>
      <c r="D1328" s="1088">
        <v>9.93</v>
      </c>
      <c r="E1328" s="1089" t="s">
        <v>5308</v>
      </c>
      <c r="F1328" s="1081">
        <f t="shared" si="1"/>
        <v>0</v>
      </c>
      <c r="G1328" s="1083">
        <f t="shared" si="2"/>
        <v>9.93</v>
      </c>
      <c r="H1328" s="1084"/>
    </row>
    <row r="1329" ht="14.25" customHeight="1">
      <c r="A1329" s="1085">
        <v>1562.0</v>
      </c>
      <c r="B1329" s="1086" t="s">
        <v>6637</v>
      </c>
      <c r="C1329" s="1087" t="s">
        <v>1788</v>
      </c>
      <c r="D1329" s="1088">
        <v>16.27</v>
      </c>
      <c r="E1329" s="1089" t="s">
        <v>5308</v>
      </c>
      <c r="F1329" s="1081">
        <f t="shared" si="1"/>
        <v>0</v>
      </c>
      <c r="G1329" s="1083">
        <f t="shared" si="2"/>
        <v>16.27</v>
      </c>
      <c r="H1329" s="1084"/>
    </row>
    <row r="1330" ht="14.25" customHeight="1">
      <c r="A1330" s="1085">
        <v>1563.0</v>
      </c>
      <c r="B1330" s="1086" t="s">
        <v>6638</v>
      </c>
      <c r="C1330" s="1087" t="s">
        <v>1788</v>
      </c>
      <c r="D1330" s="1088">
        <v>21.84</v>
      </c>
      <c r="E1330" s="1089" t="s">
        <v>5308</v>
      </c>
      <c r="F1330" s="1081">
        <f t="shared" si="1"/>
        <v>0</v>
      </c>
      <c r="G1330" s="1083">
        <f t="shared" si="2"/>
        <v>21.84</v>
      </c>
      <c r="H1330" s="1084"/>
    </row>
    <row r="1331" ht="14.25" customHeight="1">
      <c r="A1331" s="1085">
        <v>11856.0</v>
      </c>
      <c r="B1331" s="1086" t="s">
        <v>6639</v>
      </c>
      <c r="C1331" s="1087" t="s">
        <v>1788</v>
      </c>
      <c r="D1331" s="1088">
        <v>6.51</v>
      </c>
      <c r="E1331" s="1089" t="s">
        <v>5308</v>
      </c>
      <c r="F1331" s="1081">
        <f t="shared" si="1"/>
        <v>0</v>
      </c>
      <c r="G1331" s="1083">
        <f t="shared" si="2"/>
        <v>6.51</v>
      </c>
      <c r="H1331" s="1084"/>
    </row>
    <row r="1332" ht="14.25" customHeight="1">
      <c r="A1332" s="1085">
        <v>11857.0</v>
      </c>
      <c r="B1332" s="1086" t="s">
        <v>6640</v>
      </c>
      <c r="C1332" s="1087" t="s">
        <v>1788</v>
      </c>
      <c r="D1332" s="1088">
        <v>34.26</v>
      </c>
      <c r="E1332" s="1089" t="s">
        <v>5308</v>
      </c>
      <c r="F1332" s="1081">
        <f t="shared" si="1"/>
        <v>0</v>
      </c>
      <c r="G1332" s="1083">
        <f t="shared" si="2"/>
        <v>34.26</v>
      </c>
      <c r="H1332" s="1084"/>
    </row>
    <row r="1333" ht="14.25" customHeight="1">
      <c r="A1333" s="1085">
        <v>11858.0</v>
      </c>
      <c r="B1333" s="1086" t="s">
        <v>6641</v>
      </c>
      <c r="C1333" s="1087" t="s">
        <v>1788</v>
      </c>
      <c r="D1333" s="1088">
        <v>42.52</v>
      </c>
      <c r="E1333" s="1089" t="s">
        <v>5308</v>
      </c>
      <c r="F1333" s="1081">
        <f t="shared" si="1"/>
        <v>0</v>
      </c>
      <c r="G1333" s="1083">
        <f t="shared" si="2"/>
        <v>42.52</v>
      </c>
      <c r="H1333" s="1084"/>
    </row>
    <row r="1334" ht="14.25" customHeight="1">
      <c r="A1334" s="1085">
        <v>1539.0</v>
      </c>
      <c r="B1334" s="1086" t="s">
        <v>6642</v>
      </c>
      <c r="C1334" s="1087" t="s">
        <v>1788</v>
      </c>
      <c r="D1334" s="1088">
        <v>7.65</v>
      </c>
      <c r="E1334" s="1089" t="s">
        <v>5308</v>
      </c>
      <c r="F1334" s="1081">
        <f t="shared" si="1"/>
        <v>0</v>
      </c>
      <c r="G1334" s="1083">
        <f t="shared" si="2"/>
        <v>7.65</v>
      </c>
      <c r="H1334" s="1084"/>
    </row>
    <row r="1335" ht="14.25" customHeight="1">
      <c r="A1335" s="1085">
        <v>11859.0</v>
      </c>
      <c r="B1335" s="1086" t="s">
        <v>6643</v>
      </c>
      <c r="C1335" s="1087" t="s">
        <v>1788</v>
      </c>
      <c r="D1335" s="1088">
        <v>57.85</v>
      </c>
      <c r="E1335" s="1089" t="s">
        <v>5308</v>
      </c>
      <c r="F1335" s="1081">
        <f t="shared" si="1"/>
        <v>0</v>
      </c>
      <c r="G1335" s="1083">
        <f t="shared" si="2"/>
        <v>57.85</v>
      </c>
      <c r="H1335" s="1084"/>
    </row>
    <row r="1336" ht="14.25" customHeight="1">
      <c r="A1336" s="1085">
        <v>1550.0</v>
      </c>
      <c r="B1336" s="1086" t="s">
        <v>6644</v>
      </c>
      <c r="C1336" s="1087" t="s">
        <v>1788</v>
      </c>
      <c r="D1336" s="1088">
        <v>8.07</v>
      </c>
      <c r="E1336" s="1089" t="s">
        <v>5308</v>
      </c>
      <c r="F1336" s="1081">
        <f t="shared" si="1"/>
        <v>0</v>
      </c>
      <c r="G1336" s="1083">
        <f t="shared" si="2"/>
        <v>8.07</v>
      </c>
      <c r="H1336" s="1084"/>
    </row>
    <row r="1337" ht="14.25" customHeight="1">
      <c r="A1337" s="1085">
        <v>11854.0</v>
      </c>
      <c r="B1337" s="1086" t="s">
        <v>6645</v>
      </c>
      <c r="C1337" s="1087" t="s">
        <v>1788</v>
      </c>
      <c r="D1337" s="1088">
        <v>10.08</v>
      </c>
      <c r="E1337" s="1089" t="s">
        <v>5308</v>
      </c>
      <c r="F1337" s="1081">
        <f t="shared" si="1"/>
        <v>0</v>
      </c>
      <c r="G1337" s="1083">
        <f t="shared" si="2"/>
        <v>10.08</v>
      </c>
      <c r="H1337" s="1084"/>
    </row>
    <row r="1338" ht="14.25" customHeight="1">
      <c r="A1338" s="1085">
        <v>11862.0</v>
      </c>
      <c r="B1338" s="1086" t="s">
        <v>6646</v>
      </c>
      <c r="C1338" s="1087" t="s">
        <v>1788</v>
      </c>
      <c r="D1338" s="1088">
        <v>14.15</v>
      </c>
      <c r="E1338" s="1089" t="s">
        <v>5308</v>
      </c>
      <c r="F1338" s="1081">
        <f t="shared" si="1"/>
        <v>0</v>
      </c>
      <c r="G1338" s="1083">
        <f t="shared" si="2"/>
        <v>14.15</v>
      </c>
      <c r="H1338" s="1084"/>
    </row>
    <row r="1339" ht="14.25" customHeight="1">
      <c r="A1339" s="1085">
        <v>11863.0</v>
      </c>
      <c r="B1339" s="1086" t="s">
        <v>6647</v>
      </c>
      <c r="C1339" s="1087" t="s">
        <v>1788</v>
      </c>
      <c r="D1339" s="1088">
        <v>5.71</v>
      </c>
      <c r="E1339" s="1089" t="s">
        <v>5308</v>
      </c>
      <c r="F1339" s="1081">
        <f t="shared" si="1"/>
        <v>0</v>
      </c>
      <c r="G1339" s="1083">
        <f t="shared" si="2"/>
        <v>5.71</v>
      </c>
      <c r="H1339" s="1084"/>
    </row>
    <row r="1340" ht="14.25" customHeight="1">
      <c r="A1340" s="1085">
        <v>11855.0</v>
      </c>
      <c r="B1340" s="1086" t="s">
        <v>6648</v>
      </c>
      <c r="C1340" s="1087" t="s">
        <v>1788</v>
      </c>
      <c r="D1340" s="1088">
        <v>21.12</v>
      </c>
      <c r="E1340" s="1089" t="s">
        <v>5308</v>
      </c>
      <c r="F1340" s="1081">
        <f t="shared" si="1"/>
        <v>0</v>
      </c>
      <c r="G1340" s="1083">
        <f t="shared" si="2"/>
        <v>21.12</v>
      </c>
      <c r="H1340" s="1084"/>
    </row>
    <row r="1341" ht="14.25" customHeight="1">
      <c r="A1341" s="1085">
        <v>11864.0</v>
      </c>
      <c r="B1341" s="1086" t="s">
        <v>6649</v>
      </c>
      <c r="C1341" s="1087" t="s">
        <v>1788</v>
      </c>
      <c r="D1341" s="1088">
        <v>31.92</v>
      </c>
      <c r="E1341" s="1089" t="s">
        <v>5308</v>
      </c>
      <c r="F1341" s="1081">
        <f t="shared" si="1"/>
        <v>0</v>
      </c>
      <c r="G1341" s="1083">
        <f t="shared" si="2"/>
        <v>31.92</v>
      </c>
      <c r="H1341" s="1084"/>
    </row>
    <row r="1342" ht="14.25" customHeight="1">
      <c r="A1342" s="1085">
        <v>2527.0</v>
      </c>
      <c r="B1342" s="1086" t="s">
        <v>6650</v>
      </c>
      <c r="C1342" s="1087" t="s">
        <v>1788</v>
      </c>
      <c r="D1342" s="1088">
        <v>10.59</v>
      </c>
      <c r="E1342" s="1089" t="s">
        <v>5308</v>
      </c>
      <c r="F1342" s="1081">
        <f t="shared" si="1"/>
        <v>0</v>
      </c>
      <c r="G1342" s="1083">
        <f t="shared" si="2"/>
        <v>10.59</v>
      </c>
      <c r="H1342" s="1084"/>
    </row>
    <row r="1343" ht="14.25" customHeight="1">
      <c r="A1343" s="1085">
        <v>2526.0</v>
      </c>
      <c r="B1343" s="1086" t="s">
        <v>6651</v>
      </c>
      <c r="C1343" s="1087" t="s">
        <v>1788</v>
      </c>
      <c r="D1343" s="1088">
        <v>6.78</v>
      </c>
      <c r="E1343" s="1089" t="s">
        <v>5308</v>
      </c>
      <c r="F1343" s="1081">
        <f t="shared" si="1"/>
        <v>0</v>
      </c>
      <c r="G1343" s="1083">
        <f t="shared" si="2"/>
        <v>6.78</v>
      </c>
      <c r="H1343" s="1084"/>
    </row>
    <row r="1344" ht="14.25" customHeight="1">
      <c r="A1344" s="1085">
        <v>2487.0</v>
      </c>
      <c r="B1344" s="1086" t="s">
        <v>6652</v>
      </c>
      <c r="C1344" s="1087" t="s">
        <v>1788</v>
      </c>
      <c r="D1344" s="1088">
        <v>2.31</v>
      </c>
      <c r="E1344" s="1089" t="s">
        <v>5308</v>
      </c>
      <c r="F1344" s="1081">
        <f t="shared" si="1"/>
        <v>0</v>
      </c>
      <c r="G1344" s="1083">
        <f t="shared" si="2"/>
        <v>2.31</v>
      </c>
      <c r="H1344" s="1084"/>
    </row>
    <row r="1345" ht="14.25" customHeight="1">
      <c r="A1345" s="1085">
        <v>2483.0</v>
      </c>
      <c r="B1345" s="1086" t="s">
        <v>6653</v>
      </c>
      <c r="C1345" s="1087" t="s">
        <v>1788</v>
      </c>
      <c r="D1345" s="1088">
        <v>4.83</v>
      </c>
      <c r="E1345" s="1089" t="s">
        <v>5308</v>
      </c>
      <c r="F1345" s="1081">
        <f t="shared" si="1"/>
        <v>0</v>
      </c>
      <c r="G1345" s="1083">
        <f t="shared" si="2"/>
        <v>4.83</v>
      </c>
      <c r="H1345" s="1084"/>
    </row>
    <row r="1346" ht="14.25" customHeight="1">
      <c r="A1346" s="1085">
        <v>2528.0</v>
      </c>
      <c r="B1346" s="1086" t="s">
        <v>6654</v>
      </c>
      <c r="C1346" s="1087" t="s">
        <v>1788</v>
      </c>
      <c r="D1346" s="1088">
        <v>26.65</v>
      </c>
      <c r="E1346" s="1089" t="s">
        <v>5308</v>
      </c>
      <c r="F1346" s="1081">
        <f t="shared" si="1"/>
        <v>0</v>
      </c>
      <c r="G1346" s="1083">
        <f t="shared" si="2"/>
        <v>26.65</v>
      </c>
      <c r="H1346" s="1084"/>
    </row>
    <row r="1347" ht="14.25" customHeight="1">
      <c r="A1347" s="1085">
        <v>2489.0</v>
      </c>
      <c r="B1347" s="1086" t="s">
        <v>6655</v>
      </c>
      <c r="C1347" s="1087" t="s">
        <v>1788</v>
      </c>
      <c r="D1347" s="1088">
        <v>11.74</v>
      </c>
      <c r="E1347" s="1089" t="s">
        <v>5308</v>
      </c>
      <c r="F1347" s="1081">
        <f t="shared" si="1"/>
        <v>0</v>
      </c>
      <c r="G1347" s="1083">
        <f t="shared" si="2"/>
        <v>11.74</v>
      </c>
      <c r="H1347" s="1084"/>
    </row>
    <row r="1348" ht="14.25" customHeight="1">
      <c r="A1348" s="1085">
        <v>2488.0</v>
      </c>
      <c r="B1348" s="1086" t="s">
        <v>6656</v>
      </c>
      <c r="C1348" s="1087" t="s">
        <v>1788</v>
      </c>
      <c r="D1348" s="1088">
        <v>2.71</v>
      </c>
      <c r="E1348" s="1089" t="s">
        <v>5308</v>
      </c>
      <c r="F1348" s="1081">
        <f t="shared" si="1"/>
        <v>0</v>
      </c>
      <c r="G1348" s="1083">
        <f t="shared" si="2"/>
        <v>2.71</v>
      </c>
      <c r="H1348" s="1084"/>
    </row>
    <row r="1349" ht="14.25" customHeight="1">
      <c r="A1349" s="1085">
        <v>2484.0</v>
      </c>
      <c r="B1349" s="1086" t="s">
        <v>6657</v>
      </c>
      <c r="C1349" s="1087" t="s">
        <v>1788</v>
      </c>
      <c r="D1349" s="1088">
        <v>38.71</v>
      </c>
      <c r="E1349" s="1089" t="s">
        <v>5308</v>
      </c>
      <c r="F1349" s="1081">
        <f t="shared" si="1"/>
        <v>0</v>
      </c>
      <c r="G1349" s="1083">
        <f t="shared" si="2"/>
        <v>38.71</v>
      </c>
      <c r="H1349" s="1084"/>
    </row>
    <row r="1350" ht="14.25" customHeight="1">
      <c r="A1350" s="1085">
        <v>2485.0</v>
      </c>
      <c r="B1350" s="1086" t="s">
        <v>6658</v>
      </c>
      <c r="C1350" s="1087" t="s">
        <v>1788</v>
      </c>
      <c r="D1350" s="1088">
        <v>60.67</v>
      </c>
      <c r="E1350" s="1089" t="s">
        <v>5308</v>
      </c>
      <c r="F1350" s="1081">
        <f t="shared" si="1"/>
        <v>0</v>
      </c>
      <c r="G1350" s="1083">
        <f t="shared" si="2"/>
        <v>60.67</v>
      </c>
      <c r="H1350" s="1084"/>
    </row>
    <row r="1351" ht="14.25" customHeight="1">
      <c r="A1351" s="1085">
        <v>39279.0</v>
      </c>
      <c r="B1351" s="1086" t="s">
        <v>6659</v>
      </c>
      <c r="C1351" s="1087" t="s">
        <v>1788</v>
      </c>
      <c r="D1351" s="1088">
        <v>7.92</v>
      </c>
      <c r="E1351" s="1089" t="s">
        <v>5308</v>
      </c>
      <c r="F1351" s="1081">
        <f t="shared" si="1"/>
        <v>0</v>
      </c>
      <c r="G1351" s="1083">
        <f t="shared" si="2"/>
        <v>7.92</v>
      </c>
      <c r="H1351" s="1084"/>
    </row>
    <row r="1352" ht="14.25" customHeight="1">
      <c r="A1352" s="1085">
        <v>39280.0</v>
      </c>
      <c r="B1352" s="1086" t="s">
        <v>6660</v>
      </c>
      <c r="C1352" s="1087" t="s">
        <v>1788</v>
      </c>
      <c r="D1352" s="1088">
        <v>8.87</v>
      </c>
      <c r="E1352" s="1089" t="s">
        <v>5308</v>
      </c>
      <c r="F1352" s="1081">
        <f t="shared" si="1"/>
        <v>0</v>
      </c>
      <c r="G1352" s="1083">
        <f t="shared" si="2"/>
        <v>8.87</v>
      </c>
      <c r="H1352" s="1084"/>
    </row>
    <row r="1353" ht="14.25" customHeight="1">
      <c r="A1353" s="1085">
        <v>39281.0</v>
      </c>
      <c r="B1353" s="1086" t="s">
        <v>6661</v>
      </c>
      <c r="C1353" s="1087" t="s">
        <v>1788</v>
      </c>
      <c r="D1353" s="1088">
        <v>11.72</v>
      </c>
      <c r="E1353" s="1089" t="s">
        <v>5308</v>
      </c>
      <c r="F1353" s="1081">
        <f t="shared" si="1"/>
        <v>0</v>
      </c>
      <c r="G1353" s="1083">
        <f t="shared" si="2"/>
        <v>11.72</v>
      </c>
      <c r="H1353" s="1084"/>
    </row>
    <row r="1354" ht="14.25" customHeight="1">
      <c r="A1354" s="1085">
        <v>39282.0</v>
      </c>
      <c r="B1354" s="1086" t="s">
        <v>6662</v>
      </c>
      <c r="C1354" s="1087" t="s">
        <v>1788</v>
      </c>
      <c r="D1354" s="1088">
        <v>16.37</v>
      </c>
      <c r="E1354" s="1089" t="s">
        <v>5308</v>
      </c>
      <c r="F1354" s="1081">
        <f t="shared" si="1"/>
        <v>0</v>
      </c>
      <c r="G1354" s="1083">
        <f t="shared" si="2"/>
        <v>16.37</v>
      </c>
      <c r="H1354" s="1084"/>
    </row>
    <row r="1355" ht="14.25" customHeight="1">
      <c r="A1355" s="1085">
        <v>38844.0</v>
      </c>
      <c r="B1355" s="1086" t="s">
        <v>6663</v>
      </c>
      <c r="C1355" s="1087" t="s">
        <v>1788</v>
      </c>
      <c r="D1355" s="1088">
        <v>8.03</v>
      </c>
      <c r="E1355" s="1089" t="s">
        <v>5308</v>
      </c>
      <c r="F1355" s="1081">
        <f t="shared" si="1"/>
        <v>0</v>
      </c>
      <c r="G1355" s="1083">
        <f t="shared" si="2"/>
        <v>8.03</v>
      </c>
      <c r="H1355" s="1084"/>
    </row>
    <row r="1356" ht="14.25" customHeight="1">
      <c r="A1356" s="1085">
        <v>38846.0</v>
      </c>
      <c r="B1356" s="1086" t="s">
        <v>6664</v>
      </c>
      <c r="C1356" s="1087" t="s">
        <v>1788</v>
      </c>
      <c r="D1356" s="1088">
        <v>8.17</v>
      </c>
      <c r="E1356" s="1089" t="s">
        <v>5308</v>
      </c>
      <c r="F1356" s="1081">
        <f t="shared" si="1"/>
        <v>0</v>
      </c>
      <c r="G1356" s="1083">
        <f t="shared" si="2"/>
        <v>8.17</v>
      </c>
      <c r="H1356" s="1084"/>
    </row>
    <row r="1357" ht="14.25" customHeight="1">
      <c r="A1357" s="1085">
        <v>38847.0</v>
      </c>
      <c r="B1357" s="1086" t="s">
        <v>6665</v>
      </c>
      <c r="C1357" s="1087" t="s">
        <v>1788</v>
      </c>
      <c r="D1357" s="1088">
        <v>9.57</v>
      </c>
      <c r="E1357" s="1089" t="s">
        <v>5308</v>
      </c>
      <c r="F1357" s="1081">
        <f t="shared" si="1"/>
        <v>0</v>
      </c>
      <c r="G1357" s="1083">
        <f t="shared" si="2"/>
        <v>9.57</v>
      </c>
      <c r="H1357" s="1084"/>
    </row>
    <row r="1358" ht="14.25" customHeight="1">
      <c r="A1358" s="1085">
        <v>38850.0</v>
      </c>
      <c r="B1358" s="1086" t="s">
        <v>6666</v>
      </c>
      <c r="C1358" s="1087" t="s">
        <v>1788</v>
      </c>
      <c r="D1358" s="1088">
        <v>17.28</v>
      </c>
      <c r="E1358" s="1089" t="s">
        <v>5308</v>
      </c>
      <c r="F1358" s="1081">
        <f t="shared" si="1"/>
        <v>0</v>
      </c>
      <c r="G1358" s="1083">
        <f t="shared" si="2"/>
        <v>17.28</v>
      </c>
      <c r="H1358" s="1084"/>
    </row>
    <row r="1359" ht="14.25" customHeight="1">
      <c r="A1359" s="1085">
        <v>38848.0</v>
      </c>
      <c r="B1359" s="1086" t="s">
        <v>6667</v>
      </c>
      <c r="C1359" s="1087" t="s">
        <v>1788</v>
      </c>
      <c r="D1359" s="1088">
        <v>11.33</v>
      </c>
      <c r="E1359" s="1089" t="s">
        <v>5308</v>
      </c>
      <c r="F1359" s="1081">
        <f t="shared" si="1"/>
        <v>0</v>
      </c>
      <c r="G1359" s="1083">
        <f t="shared" si="2"/>
        <v>11.33</v>
      </c>
      <c r="H1359" s="1084"/>
    </row>
    <row r="1360" ht="14.25" customHeight="1">
      <c r="A1360" s="1085">
        <v>38851.0</v>
      </c>
      <c r="B1360" s="1086" t="s">
        <v>6668</v>
      </c>
      <c r="C1360" s="1087" t="s">
        <v>1788</v>
      </c>
      <c r="D1360" s="1088">
        <v>19.54</v>
      </c>
      <c r="E1360" s="1089" t="s">
        <v>5308</v>
      </c>
      <c r="F1360" s="1081">
        <f t="shared" si="1"/>
        <v>0</v>
      </c>
      <c r="G1360" s="1083">
        <f t="shared" si="2"/>
        <v>19.54</v>
      </c>
      <c r="H1360" s="1084"/>
    </row>
    <row r="1361" ht="14.25" customHeight="1">
      <c r="A1361" s="1085">
        <v>38854.0</v>
      </c>
      <c r="B1361" s="1086" t="s">
        <v>6669</v>
      </c>
      <c r="C1361" s="1087" t="s">
        <v>1788</v>
      </c>
      <c r="D1361" s="1088">
        <v>8.49</v>
      </c>
      <c r="E1361" s="1089" t="s">
        <v>5308</v>
      </c>
      <c r="F1361" s="1081">
        <f t="shared" si="1"/>
        <v>0</v>
      </c>
      <c r="G1361" s="1083">
        <f t="shared" si="2"/>
        <v>8.49</v>
      </c>
      <c r="H1361" s="1084"/>
    </row>
    <row r="1362" ht="14.25" customHeight="1">
      <c r="A1362" s="1085">
        <v>44247.0</v>
      </c>
      <c r="B1362" s="1086" t="s">
        <v>6670</v>
      </c>
      <c r="C1362" s="1087" t="s">
        <v>1788</v>
      </c>
      <c r="D1362" s="1088">
        <v>1588.73</v>
      </c>
      <c r="E1362" s="1089" t="s">
        <v>5308</v>
      </c>
      <c r="F1362" s="1081">
        <f t="shared" si="1"/>
        <v>0</v>
      </c>
      <c r="G1362" s="1083">
        <f t="shared" si="2"/>
        <v>1588.73</v>
      </c>
      <c r="H1362" s="1084"/>
    </row>
    <row r="1363" ht="14.25" customHeight="1">
      <c r="A1363" s="1085">
        <v>38005.0</v>
      </c>
      <c r="B1363" s="1086" t="s">
        <v>6671</v>
      </c>
      <c r="C1363" s="1087" t="s">
        <v>1788</v>
      </c>
      <c r="D1363" s="1088">
        <v>18.89</v>
      </c>
      <c r="E1363" s="1089" t="s">
        <v>5308</v>
      </c>
      <c r="F1363" s="1081">
        <f t="shared" si="1"/>
        <v>0</v>
      </c>
      <c r="G1363" s="1083">
        <f t="shared" si="2"/>
        <v>18.89</v>
      </c>
      <c r="H1363" s="1084"/>
    </row>
    <row r="1364" ht="14.25" customHeight="1">
      <c r="A1364" s="1085">
        <v>38006.0</v>
      </c>
      <c r="B1364" s="1086" t="s">
        <v>6672</v>
      </c>
      <c r="C1364" s="1087" t="s">
        <v>1788</v>
      </c>
      <c r="D1364" s="1088">
        <v>25.1</v>
      </c>
      <c r="E1364" s="1089" t="s">
        <v>5308</v>
      </c>
      <c r="F1364" s="1081">
        <f t="shared" si="1"/>
        <v>0</v>
      </c>
      <c r="G1364" s="1083">
        <f t="shared" si="2"/>
        <v>25.1</v>
      </c>
      <c r="H1364" s="1084"/>
    </row>
    <row r="1365" ht="14.25" customHeight="1">
      <c r="A1365" s="1085">
        <v>38428.0</v>
      </c>
      <c r="B1365" s="1086" t="s">
        <v>6673</v>
      </c>
      <c r="C1365" s="1087" t="s">
        <v>1788</v>
      </c>
      <c r="D1365" s="1088">
        <v>22.48</v>
      </c>
      <c r="E1365" s="1089" t="s">
        <v>5308</v>
      </c>
      <c r="F1365" s="1081">
        <f t="shared" si="1"/>
        <v>0</v>
      </c>
      <c r="G1365" s="1083">
        <f t="shared" si="2"/>
        <v>22.48</v>
      </c>
      <c r="H1365" s="1084"/>
    </row>
    <row r="1366" ht="14.25" customHeight="1">
      <c r="A1366" s="1085">
        <v>38007.0</v>
      </c>
      <c r="B1366" s="1086" t="s">
        <v>6674</v>
      </c>
      <c r="C1366" s="1087" t="s">
        <v>1788</v>
      </c>
      <c r="D1366" s="1088">
        <v>28.96</v>
      </c>
      <c r="E1366" s="1089" t="s">
        <v>5308</v>
      </c>
      <c r="F1366" s="1081">
        <f t="shared" si="1"/>
        <v>0</v>
      </c>
      <c r="G1366" s="1083">
        <f t="shared" si="2"/>
        <v>28.96</v>
      </c>
      <c r="H1366" s="1084"/>
    </row>
    <row r="1367" ht="14.25" customHeight="1">
      <c r="A1367" s="1085">
        <v>38008.0</v>
      </c>
      <c r="B1367" s="1086" t="s">
        <v>6675</v>
      </c>
      <c r="C1367" s="1087" t="s">
        <v>1788</v>
      </c>
      <c r="D1367" s="1088">
        <v>46.34</v>
      </c>
      <c r="E1367" s="1089" t="s">
        <v>5308</v>
      </c>
      <c r="F1367" s="1081">
        <f t="shared" si="1"/>
        <v>0</v>
      </c>
      <c r="G1367" s="1083">
        <f t="shared" si="2"/>
        <v>46.34</v>
      </c>
      <c r="H1367" s="1084"/>
    </row>
    <row r="1368" ht="14.25" customHeight="1">
      <c r="A1368" s="1085">
        <v>38009.0</v>
      </c>
      <c r="B1368" s="1086" t="s">
        <v>6676</v>
      </c>
      <c r="C1368" s="1087" t="s">
        <v>1788</v>
      </c>
      <c r="D1368" s="1088">
        <v>56.74</v>
      </c>
      <c r="E1368" s="1089" t="s">
        <v>5308</v>
      </c>
      <c r="F1368" s="1081">
        <f t="shared" si="1"/>
        <v>0</v>
      </c>
      <c r="G1368" s="1083">
        <f t="shared" si="2"/>
        <v>56.74</v>
      </c>
      <c r="H1368" s="1084"/>
    </row>
    <row r="1369" ht="14.25" customHeight="1">
      <c r="A1369" s="1085">
        <v>44248.0</v>
      </c>
      <c r="B1369" s="1086" t="s">
        <v>6677</v>
      </c>
      <c r="C1369" s="1087" t="s">
        <v>1788</v>
      </c>
      <c r="D1369" s="1088">
        <v>92.48</v>
      </c>
      <c r="E1369" s="1089" t="s">
        <v>5308</v>
      </c>
      <c r="F1369" s="1081">
        <f t="shared" si="1"/>
        <v>0</v>
      </c>
      <c r="G1369" s="1083">
        <f t="shared" si="2"/>
        <v>92.48</v>
      </c>
      <c r="H1369" s="1084"/>
    </row>
    <row r="1370" ht="14.25" customHeight="1">
      <c r="A1370" s="1085">
        <v>44249.0</v>
      </c>
      <c r="B1370" s="1086" t="s">
        <v>6678</v>
      </c>
      <c r="C1370" s="1087" t="s">
        <v>1788</v>
      </c>
      <c r="D1370" s="1088">
        <v>356.81</v>
      </c>
      <c r="E1370" s="1089" t="s">
        <v>5308</v>
      </c>
      <c r="F1370" s="1081">
        <f t="shared" si="1"/>
        <v>0</v>
      </c>
      <c r="G1370" s="1083">
        <f t="shared" si="2"/>
        <v>356.81</v>
      </c>
      <c r="H1370" s="1084"/>
    </row>
    <row r="1371" ht="14.25" customHeight="1">
      <c r="A1371" s="1085">
        <v>44250.0</v>
      </c>
      <c r="B1371" s="1086" t="s">
        <v>6679</v>
      </c>
      <c r="C1371" s="1087" t="s">
        <v>1788</v>
      </c>
      <c r="D1371" s="1088">
        <v>518.16</v>
      </c>
      <c r="E1371" s="1089" t="s">
        <v>5308</v>
      </c>
      <c r="F1371" s="1081">
        <f t="shared" si="1"/>
        <v>0</v>
      </c>
      <c r="G1371" s="1083">
        <f t="shared" si="2"/>
        <v>518.16</v>
      </c>
      <c r="H1371" s="1084"/>
    </row>
    <row r="1372" ht="14.25" customHeight="1">
      <c r="A1372" s="1085">
        <v>3104.0</v>
      </c>
      <c r="B1372" s="1086" t="s">
        <v>6680</v>
      </c>
      <c r="C1372" s="1087" t="s">
        <v>4034</v>
      </c>
      <c r="D1372" s="1088">
        <v>159.84</v>
      </c>
      <c r="E1372" s="1089" t="s">
        <v>5308</v>
      </c>
      <c r="F1372" s="1081">
        <f t="shared" si="1"/>
        <v>0</v>
      </c>
      <c r="G1372" s="1083">
        <f t="shared" si="2"/>
        <v>159.84</v>
      </c>
      <c r="H1372" s="1084"/>
    </row>
    <row r="1373" ht="14.25" customHeight="1">
      <c r="A1373" s="1085">
        <v>1607.0</v>
      </c>
      <c r="B1373" s="1086" t="s">
        <v>6681</v>
      </c>
      <c r="C1373" s="1087" t="s">
        <v>4034</v>
      </c>
      <c r="D1373" s="1088">
        <v>0.19</v>
      </c>
      <c r="E1373" s="1089" t="s">
        <v>5308</v>
      </c>
      <c r="F1373" s="1081">
        <f t="shared" si="1"/>
        <v>0</v>
      </c>
      <c r="G1373" s="1083">
        <f t="shared" si="2"/>
        <v>0.19</v>
      </c>
      <c r="H1373" s="1084"/>
    </row>
    <row r="1374" ht="14.25" customHeight="1">
      <c r="A1374" s="1085">
        <v>38169.0</v>
      </c>
      <c r="B1374" s="1086" t="s">
        <v>6682</v>
      </c>
      <c r="C1374" s="1087" t="s">
        <v>4034</v>
      </c>
      <c r="D1374" s="1088">
        <v>79.04</v>
      </c>
      <c r="E1374" s="1089" t="s">
        <v>5308</v>
      </c>
      <c r="F1374" s="1081">
        <f t="shared" si="1"/>
        <v>0</v>
      </c>
      <c r="G1374" s="1083">
        <f t="shared" si="2"/>
        <v>79.04</v>
      </c>
      <c r="H1374" s="1084"/>
    </row>
    <row r="1375" ht="14.25" customHeight="1">
      <c r="A1375" s="1085">
        <v>6142.0</v>
      </c>
      <c r="B1375" s="1086" t="s">
        <v>6683</v>
      </c>
      <c r="C1375" s="1087" t="s">
        <v>1788</v>
      </c>
      <c r="D1375" s="1088">
        <v>9.33</v>
      </c>
      <c r="E1375" s="1089" t="s">
        <v>5308</v>
      </c>
      <c r="F1375" s="1081">
        <f t="shared" si="1"/>
        <v>0</v>
      </c>
      <c r="G1375" s="1083">
        <f t="shared" si="2"/>
        <v>9.33</v>
      </c>
      <c r="H1375" s="1084"/>
    </row>
    <row r="1376" ht="14.25" customHeight="1">
      <c r="A1376" s="1085">
        <v>11686.0</v>
      </c>
      <c r="B1376" s="1086" t="s">
        <v>6684</v>
      </c>
      <c r="C1376" s="1087" t="s">
        <v>1788</v>
      </c>
      <c r="D1376" s="1088">
        <v>12.95</v>
      </c>
      <c r="E1376" s="1089" t="s">
        <v>5308</v>
      </c>
      <c r="F1376" s="1081">
        <f t="shared" si="1"/>
        <v>0</v>
      </c>
      <c r="G1376" s="1083">
        <f t="shared" si="2"/>
        <v>12.95</v>
      </c>
      <c r="H1376" s="1084"/>
    </row>
    <row r="1377" ht="14.25" customHeight="1">
      <c r="A1377" s="1085">
        <v>37598.0</v>
      </c>
      <c r="B1377" s="1086" t="s">
        <v>6685</v>
      </c>
      <c r="C1377" s="1087" t="s">
        <v>1788</v>
      </c>
      <c r="D1377" s="1088">
        <v>39.09</v>
      </c>
      <c r="E1377" s="1089" t="s">
        <v>5308</v>
      </c>
      <c r="F1377" s="1081">
        <f t="shared" si="1"/>
        <v>0</v>
      </c>
      <c r="G1377" s="1083">
        <f t="shared" si="2"/>
        <v>39.09</v>
      </c>
      <c r="H1377" s="1084"/>
    </row>
    <row r="1378" ht="14.25" customHeight="1">
      <c r="A1378" s="1085">
        <v>25398.0</v>
      </c>
      <c r="B1378" s="1086" t="s">
        <v>6686</v>
      </c>
      <c r="C1378" s="1087" t="s">
        <v>1788</v>
      </c>
      <c r="D1378" s="1088">
        <v>4452.67</v>
      </c>
      <c r="E1378" s="1089" t="s">
        <v>5308</v>
      </c>
      <c r="F1378" s="1081">
        <f t="shared" si="1"/>
        <v>0</v>
      </c>
      <c r="G1378" s="1083">
        <f t="shared" si="2"/>
        <v>4452.67</v>
      </c>
      <c r="H1378" s="1084"/>
    </row>
    <row r="1379" ht="14.25" customHeight="1">
      <c r="A1379" s="1085">
        <v>25399.0</v>
      </c>
      <c r="B1379" s="1086" t="s">
        <v>6687</v>
      </c>
      <c r="C1379" s="1087" t="s">
        <v>1788</v>
      </c>
      <c r="D1379" s="1088">
        <v>2703.16</v>
      </c>
      <c r="E1379" s="1089" t="s">
        <v>5308</v>
      </c>
      <c r="F1379" s="1081">
        <f t="shared" si="1"/>
        <v>0</v>
      </c>
      <c r="G1379" s="1083">
        <f t="shared" si="2"/>
        <v>2703.16</v>
      </c>
      <c r="H1379" s="1084"/>
    </row>
    <row r="1380" ht="14.25" customHeight="1">
      <c r="A1380" s="1085">
        <v>43440.0</v>
      </c>
      <c r="B1380" s="1086" t="s">
        <v>6688</v>
      </c>
      <c r="C1380" s="1087" t="s">
        <v>1788</v>
      </c>
      <c r="D1380" s="1088">
        <v>324.7</v>
      </c>
      <c r="E1380" s="1089" t="s">
        <v>5308</v>
      </c>
      <c r="F1380" s="1081">
        <f t="shared" si="1"/>
        <v>0</v>
      </c>
      <c r="G1380" s="1083">
        <f t="shared" si="2"/>
        <v>324.7</v>
      </c>
      <c r="H1380" s="1084"/>
    </row>
    <row r="1381" ht="14.25" customHeight="1">
      <c r="A1381" s="1085">
        <v>10667.0</v>
      </c>
      <c r="B1381" s="1086" t="s">
        <v>6689</v>
      </c>
      <c r="C1381" s="1087" t="s">
        <v>1788</v>
      </c>
      <c r="D1381" s="1088">
        <v>32000.0</v>
      </c>
      <c r="E1381" s="1089" t="s">
        <v>5482</v>
      </c>
      <c r="F1381" s="1081">
        <f t="shared" si="1"/>
        <v>0</v>
      </c>
      <c r="G1381" s="1083">
        <f t="shared" si="2"/>
        <v>32000</v>
      </c>
      <c r="H1381" s="1084"/>
    </row>
    <row r="1382" ht="14.25" customHeight="1">
      <c r="A1382" s="1085">
        <v>1613.0</v>
      </c>
      <c r="B1382" s="1086" t="s">
        <v>6690</v>
      </c>
      <c r="C1382" s="1087" t="s">
        <v>1788</v>
      </c>
      <c r="D1382" s="1088">
        <v>1254.9</v>
      </c>
      <c r="E1382" s="1089" t="s">
        <v>5308</v>
      </c>
      <c r="F1382" s="1081">
        <f t="shared" si="1"/>
        <v>0</v>
      </c>
      <c r="G1382" s="1083">
        <f t="shared" si="2"/>
        <v>1254.9</v>
      </c>
      <c r="H1382" s="1084"/>
    </row>
    <row r="1383" ht="14.25" customHeight="1">
      <c r="A1383" s="1085">
        <v>1626.0</v>
      </c>
      <c r="B1383" s="1086" t="s">
        <v>6691</v>
      </c>
      <c r="C1383" s="1087" t="s">
        <v>1788</v>
      </c>
      <c r="D1383" s="1088">
        <v>1876.86</v>
      </c>
      <c r="E1383" s="1089" t="s">
        <v>5308</v>
      </c>
      <c r="F1383" s="1081">
        <f t="shared" si="1"/>
        <v>0</v>
      </c>
      <c r="G1383" s="1083">
        <f t="shared" si="2"/>
        <v>1876.86</v>
      </c>
      <c r="H1383" s="1084"/>
    </row>
    <row r="1384" ht="14.25" customHeight="1">
      <c r="A1384" s="1085">
        <v>1625.0</v>
      </c>
      <c r="B1384" s="1086" t="s">
        <v>6692</v>
      </c>
      <c r="C1384" s="1087" t="s">
        <v>1788</v>
      </c>
      <c r="D1384" s="1088">
        <v>131.09</v>
      </c>
      <c r="E1384" s="1089" t="s">
        <v>5308</v>
      </c>
      <c r="F1384" s="1081">
        <f t="shared" si="1"/>
        <v>0</v>
      </c>
      <c r="G1384" s="1083">
        <f t="shared" si="2"/>
        <v>131.09</v>
      </c>
      <c r="H1384" s="1084"/>
    </row>
    <row r="1385" ht="14.25" customHeight="1">
      <c r="A1385" s="1085">
        <v>1622.0</v>
      </c>
      <c r="B1385" s="1086" t="s">
        <v>6693</v>
      </c>
      <c r="C1385" s="1087" t="s">
        <v>1788</v>
      </c>
      <c r="D1385" s="1088">
        <v>4235.3</v>
      </c>
      <c r="E1385" s="1089" t="s">
        <v>5308</v>
      </c>
      <c r="F1385" s="1081">
        <f t="shared" si="1"/>
        <v>0</v>
      </c>
      <c r="G1385" s="1083">
        <f t="shared" si="2"/>
        <v>4235.3</v>
      </c>
      <c r="H1385" s="1084"/>
    </row>
    <row r="1386" ht="14.25" customHeight="1">
      <c r="A1386" s="1085">
        <v>1620.0</v>
      </c>
      <c r="B1386" s="1086" t="s">
        <v>6694</v>
      </c>
      <c r="C1386" s="1087" t="s">
        <v>1788</v>
      </c>
      <c r="D1386" s="1088">
        <v>276.15</v>
      </c>
      <c r="E1386" s="1089" t="s">
        <v>5308</v>
      </c>
      <c r="F1386" s="1081">
        <f t="shared" si="1"/>
        <v>0</v>
      </c>
      <c r="G1386" s="1083">
        <f t="shared" si="2"/>
        <v>276.15</v>
      </c>
      <c r="H1386" s="1084"/>
    </row>
    <row r="1387" ht="14.25" customHeight="1">
      <c r="A1387" s="1085">
        <v>1629.0</v>
      </c>
      <c r="B1387" s="1086" t="s">
        <v>6695</v>
      </c>
      <c r="C1387" s="1087" t="s">
        <v>1788</v>
      </c>
      <c r="D1387" s="1088">
        <v>10307.71</v>
      </c>
      <c r="E1387" s="1089" t="s">
        <v>5308</v>
      </c>
      <c r="F1387" s="1081">
        <f t="shared" si="1"/>
        <v>0</v>
      </c>
      <c r="G1387" s="1083">
        <f t="shared" si="2"/>
        <v>10307.71</v>
      </c>
      <c r="H1387" s="1084"/>
    </row>
    <row r="1388" ht="14.25" customHeight="1">
      <c r="A1388" s="1085">
        <v>1627.0</v>
      </c>
      <c r="B1388" s="1086" t="s">
        <v>6696</v>
      </c>
      <c r="C1388" s="1087" t="s">
        <v>1788</v>
      </c>
      <c r="D1388" s="1088">
        <v>527.85</v>
      </c>
      <c r="E1388" s="1089" t="s">
        <v>5308</v>
      </c>
      <c r="F1388" s="1081">
        <f t="shared" si="1"/>
        <v>0</v>
      </c>
      <c r="G1388" s="1083">
        <f t="shared" si="2"/>
        <v>527.85</v>
      </c>
      <c r="H1388" s="1084"/>
    </row>
    <row r="1389" ht="14.25" customHeight="1">
      <c r="A1389" s="1085">
        <v>1623.0</v>
      </c>
      <c r="B1389" s="1086" t="s">
        <v>6697</v>
      </c>
      <c r="C1389" s="1087" t="s">
        <v>1788</v>
      </c>
      <c r="D1389" s="1088">
        <v>106.91</v>
      </c>
      <c r="E1389" s="1089" t="s">
        <v>5308</v>
      </c>
      <c r="F1389" s="1081">
        <f t="shared" si="1"/>
        <v>0</v>
      </c>
      <c r="G1389" s="1083">
        <f t="shared" si="2"/>
        <v>106.91</v>
      </c>
      <c r="H1389" s="1084"/>
    </row>
    <row r="1390" ht="14.25" customHeight="1">
      <c r="A1390" s="1085">
        <v>1619.0</v>
      </c>
      <c r="B1390" s="1086" t="s">
        <v>6698</v>
      </c>
      <c r="C1390" s="1087" t="s">
        <v>1788</v>
      </c>
      <c r="D1390" s="1088">
        <v>147.06</v>
      </c>
      <c r="E1390" s="1089" t="s">
        <v>5308</v>
      </c>
      <c r="F1390" s="1081">
        <f t="shared" si="1"/>
        <v>0</v>
      </c>
      <c r="G1390" s="1083">
        <f t="shared" si="2"/>
        <v>147.06</v>
      </c>
      <c r="H1390" s="1084"/>
    </row>
    <row r="1391" ht="14.25" customHeight="1">
      <c r="A1391" s="1085">
        <v>1630.0</v>
      </c>
      <c r="B1391" s="1086" t="s">
        <v>6699</v>
      </c>
      <c r="C1391" s="1087" t="s">
        <v>1788</v>
      </c>
      <c r="D1391" s="1088">
        <v>3237.97</v>
      </c>
      <c r="E1391" s="1089" t="s">
        <v>5308</v>
      </c>
      <c r="F1391" s="1081">
        <f t="shared" si="1"/>
        <v>0</v>
      </c>
      <c r="G1391" s="1083">
        <f t="shared" si="2"/>
        <v>3237.97</v>
      </c>
      <c r="H1391" s="1084"/>
    </row>
    <row r="1392" ht="14.25" customHeight="1">
      <c r="A1392" s="1085">
        <v>1616.0</v>
      </c>
      <c r="B1392" s="1086" t="s">
        <v>6700</v>
      </c>
      <c r="C1392" s="1087" t="s">
        <v>1788</v>
      </c>
      <c r="D1392" s="1088">
        <v>4980.06</v>
      </c>
      <c r="E1392" s="1089" t="s">
        <v>5308</v>
      </c>
      <c r="F1392" s="1081">
        <f t="shared" si="1"/>
        <v>0</v>
      </c>
      <c r="G1392" s="1083">
        <f t="shared" si="2"/>
        <v>4980.06</v>
      </c>
      <c r="H1392" s="1084"/>
    </row>
    <row r="1393" ht="14.25" customHeight="1">
      <c r="A1393" s="1085">
        <v>1614.0</v>
      </c>
      <c r="B1393" s="1086" t="s">
        <v>6701</v>
      </c>
      <c r="C1393" s="1087" t="s">
        <v>1788</v>
      </c>
      <c r="D1393" s="1088">
        <v>227.6</v>
      </c>
      <c r="E1393" s="1089" t="s">
        <v>5308</v>
      </c>
      <c r="F1393" s="1081">
        <f t="shared" si="1"/>
        <v>0</v>
      </c>
      <c r="G1393" s="1083">
        <f t="shared" si="2"/>
        <v>227.6</v>
      </c>
      <c r="H1393" s="1084"/>
    </row>
    <row r="1394" ht="14.25" customHeight="1">
      <c r="A1394" s="1085">
        <v>1617.0</v>
      </c>
      <c r="B1394" s="1086" t="s">
        <v>6702</v>
      </c>
      <c r="C1394" s="1087" t="s">
        <v>1788</v>
      </c>
      <c r="D1394" s="1088">
        <v>5945.11</v>
      </c>
      <c r="E1394" s="1089" t="s">
        <v>5308</v>
      </c>
      <c r="F1394" s="1081">
        <f t="shared" si="1"/>
        <v>0</v>
      </c>
      <c r="G1394" s="1083">
        <f t="shared" si="2"/>
        <v>5945.11</v>
      </c>
      <c r="H1394" s="1084"/>
    </row>
    <row r="1395" ht="14.25" customHeight="1">
      <c r="A1395" s="1085">
        <v>1621.0</v>
      </c>
      <c r="B1395" s="1086" t="s">
        <v>6703</v>
      </c>
      <c r="C1395" s="1087" t="s">
        <v>1788</v>
      </c>
      <c r="D1395" s="1088">
        <v>407.07</v>
      </c>
      <c r="E1395" s="1089" t="s">
        <v>5308</v>
      </c>
      <c r="F1395" s="1081">
        <f t="shared" si="1"/>
        <v>0</v>
      </c>
      <c r="G1395" s="1083">
        <f t="shared" si="2"/>
        <v>407.07</v>
      </c>
      <c r="H1395" s="1084"/>
    </row>
    <row r="1396" ht="14.25" customHeight="1">
      <c r="A1396" s="1085">
        <v>1624.0</v>
      </c>
      <c r="B1396" s="1086" t="s">
        <v>6704</v>
      </c>
      <c r="C1396" s="1087" t="s">
        <v>1788</v>
      </c>
      <c r="D1396" s="1088">
        <v>14613.38</v>
      </c>
      <c r="E1396" s="1089" t="s">
        <v>5308</v>
      </c>
      <c r="F1396" s="1081">
        <f t="shared" si="1"/>
        <v>0</v>
      </c>
      <c r="G1396" s="1083">
        <f t="shared" si="2"/>
        <v>14613.38</v>
      </c>
      <c r="H1396" s="1084"/>
    </row>
    <row r="1397" ht="14.25" customHeight="1">
      <c r="A1397" s="1085">
        <v>1615.0</v>
      </c>
      <c r="B1397" s="1086" t="s">
        <v>6705</v>
      </c>
      <c r="C1397" s="1087" t="s">
        <v>1788</v>
      </c>
      <c r="D1397" s="1088">
        <v>764.41</v>
      </c>
      <c r="E1397" s="1089" t="s">
        <v>5308</v>
      </c>
      <c r="F1397" s="1081">
        <f t="shared" si="1"/>
        <v>0</v>
      </c>
      <c r="G1397" s="1083">
        <f t="shared" si="2"/>
        <v>764.41</v>
      </c>
      <c r="H1397" s="1084"/>
    </row>
    <row r="1398" ht="14.25" customHeight="1">
      <c r="A1398" s="1085">
        <v>1612.0</v>
      </c>
      <c r="B1398" s="1086" t="s">
        <v>6706</v>
      </c>
      <c r="C1398" s="1087" t="s">
        <v>1788</v>
      </c>
      <c r="D1398" s="1088">
        <v>100.68</v>
      </c>
      <c r="E1398" s="1089" t="s">
        <v>5308</v>
      </c>
      <c r="F1398" s="1081">
        <f t="shared" si="1"/>
        <v>0</v>
      </c>
      <c r="G1398" s="1083">
        <f t="shared" si="2"/>
        <v>100.68</v>
      </c>
      <c r="H1398" s="1084"/>
    </row>
    <row r="1399" ht="14.25" customHeight="1">
      <c r="A1399" s="1085">
        <v>1618.0</v>
      </c>
      <c r="B1399" s="1086" t="s">
        <v>6707</v>
      </c>
      <c r="C1399" s="1087" t="s">
        <v>1788</v>
      </c>
      <c r="D1399" s="1088">
        <v>1050.41</v>
      </c>
      <c r="E1399" s="1089" t="s">
        <v>5308</v>
      </c>
      <c r="F1399" s="1081">
        <f t="shared" si="1"/>
        <v>0</v>
      </c>
      <c r="G1399" s="1083">
        <f t="shared" si="2"/>
        <v>1050.41</v>
      </c>
      <c r="H1399" s="1084"/>
    </row>
    <row r="1400" ht="14.25" customHeight="1">
      <c r="A1400" s="1085">
        <v>14211.0</v>
      </c>
      <c r="B1400" s="1086" t="s">
        <v>6708</v>
      </c>
      <c r="C1400" s="1087" t="s">
        <v>1788</v>
      </c>
      <c r="D1400" s="1088">
        <v>49.66</v>
      </c>
      <c r="E1400" s="1089" t="s">
        <v>5308</v>
      </c>
      <c r="F1400" s="1081">
        <f t="shared" si="1"/>
        <v>0</v>
      </c>
      <c r="G1400" s="1083">
        <f t="shared" si="2"/>
        <v>49.66</v>
      </c>
      <c r="H1400" s="1084"/>
    </row>
    <row r="1401" ht="14.25" customHeight="1">
      <c r="A1401" s="1085">
        <v>43657.0</v>
      </c>
      <c r="B1401" s="1086" t="s">
        <v>6709</v>
      </c>
      <c r="C1401" s="1087" t="s">
        <v>1731</v>
      </c>
      <c r="D1401" s="1088">
        <v>12.89</v>
      </c>
      <c r="E1401" s="1089" t="s">
        <v>5308</v>
      </c>
      <c r="F1401" s="1081">
        <f t="shared" si="1"/>
        <v>0</v>
      </c>
      <c r="G1401" s="1083">
        <f t="shared" si="2"/>
        <v>12.89</v>
      </c>
      <c r="H1401" s="1084"/>
    </row>
    <row r="1402" ht="14.25" customHeight="1">
      <c r="A1402" s="1085">
        <v>34500.0</v>
      </c>
      <c r="B1402" s="1086" t="s">
        <v>6710</v>
      </c>
      <c r="C1402" s="1087" t="s">
        <v>1470</v>
      </c>
      <c r="D1402" s="1088">
        <v>139.86</v>
      </c>
      <c r="E1402" s="1089" t="s">
        <v>5452</v>
      </c>
      <c r="F1402" s="1081">
        <f t="shared" si="1"/>
        <v>139.86</v>
      </c>
      <c r="G1402" s="1083">
        <f t="shared" si="2"/>
        <v>0</v>
      </c>
      <c r="H1402" s="1084"/>
    </row>
    <row r="1403" ht="14.25" customHeight="1">
      <c r="A1403" s="1085">
        <v>40934.0</v>
      </c>
      <c r="B1403" s="1086" t="s">
        <v>6711</v>
      </c>
      <c r="C1403" s="1087" t="s">
        <v>5454</v>
      </c>
      <c r="D1403" s="1088">
        <v>24473.88</v>
      </c>
      <c r="E1403" s="1089" t="s">
        <v>5452</v>
      </c>
      <c r="F1403" s="1081">
        <f t="shared" si="1"/>
        <v>24473.88</v>
      </c>
      <c r="G1403" s="1083">
        <f t="shared" si="2"/>
        <v>0</v>
      </c>
      <c r="H1403" s="1084"/>
    </row>
    <row r="1404" ht="14.25" customHeight="1">
      <c r="A1404" s="1085">
        <v>38200.0</v>
      </c>
      <c r="B1404" s="1086" t="s">
        <v>6712</v>
      </c>
      <c r="C1404" s="1087" t="s">
        <v>6713</v>
      </c>
      <c r="D1404" s="1088">
        <v>640.24</v>
      </c>
      <c r="E1404" s="1089" t="s">
        <v>5308</v>
      </c>
      <c r="F1404" s="1081">
        <f t="shared" si="1"/>
        <v>0</v>
      </c>
      <c r="G1404" s="1083">
        <f t="shared" si="2"/>
        <v>640.24</v>
      </c>
      <c r="H1404" s="1084"/>
    </row>
    <row r="1405" ht="14.25" customHeight="1">
      <c r="A1405" s="1085">
        <v>39269.0</v>
      </c>
      <c r="B1405" s="1086" t="s">
        <v>6714</v>
      </c>
      <c r="C1405" s="1087" t="s">
        <v>1731</v>
      </c>
      <c r="D1405" s="1088">
        <v>1.3</v>
      </c>
      <c r="E1405" s="1089" t="s">
        <v>5308</v>
      </c>
      <c r="F1405" s="1081">
        <f t="shared" si="1"/>
        <v>0</v>
      </c>
      <c r="G1405" s="1083">
        <f t="shared" si="2"/>
        <v>1.3</v>
      </c>
      <c r="H1405" s="1084"/>
    </row>
    <row r="1406" ht="14.25" customHeight="1">
      <c r="A1406" s="1085">
        <v>11889.0</v>
      </c>
      <c r="B1406" s="1086" t="s">
        <v>6715</v>
      </c>
      <c r="C1406" s="1087" t="s">
        <v>1731</v>
      </c>
      <c r="D1406" s="1088">
        <v>1.78</v>
      </c>
      <c r="E1406" s="1089" t="s">
        <v>5308</v>
      </c>
      <c r="F1406" s="1081">
        <f t="shared" si="1"/>
        <v>0</v>
      </c>
      <c r="G1406" s="1083">
        <f t="shared" si="2"/>
        <v>1.78</v>
      </c>
      <c r="H1406" s="1084"/>
    </row>
    <row r="1407" ht="14.25" customHeight="1">
      <c r="A1407" s="1085">
        <v>39270.0</v>
      </c>
      <c r="B1407" s="1086" t="s">
        <v>6716</v>
      </c>
      <c r="C1407" s="1087" t="s">
        <v>1731</v>
      </c>
      <c r="D1407" s="1088">
        <v>2.32</v>
      </c>
      <c r="E1407" s="1089" t="s">
        <v>5308</v>
      </c>
      <c r="F1407" s="1081">
        <f t="shared" si="1"/>
        <v>0</v>
      </c>
      <c r="G1407" s="1083">
        <f t="shared" si="2"/>
        <v>2.32</v>
      </c>
      <c r="H1407" s="1084"/>
    </row>
    <row r="1408" ht="14.25" customHeight="1">
      <c r="A1408" s="1085">
        <v>11890.0</v>
      </c>
      <c r="B1408" s="1086" t="s">
        <v>6717</v>
      </c>
      <c r="C1408" s="1087" t="s">
        <v>1731</v>
      </c>
      <c r="D1408" s="1088">
        <v>3.15</v>
      </c>
      <c r="E1408" s="1089" t="s">
        <v>5308</v>
      </c>
      <c r="F1408" s="1081">
        <f t="shared" si="1"/>
        <v>0</v>
      </c>
      <c r="G1408" s="1083">
        <f t="shared" si="2"/>
        <v>3.15</v>
      </c>
      <c r="H1408" s="1084"/>
    </row>
    <row r="1409" ht="14.25" customHeight="1">
      <c r="A1409" s="1085">
        <v>11891.0</v>
      </c>
      <c r="B1409" s="1086" t="s">
        <v>6718</v>
      </c>
      <c r="C1409" s="1087" t="s">
        <v>1731</v>
      </c>
      <c r="D1409" s="1088">
        <v>5.12</v>
      </c>
      <c r="E1409" s="1089" t="s">
        <v>5308</v>
      </c>
      <c r="F1409" s="1081">
        <f t="shared" si="1"/>
        <v>0</v>
      </c>
      <c r="G1409" s="1083">
        <f t="shared" si="2"/>
        <v>5.12</v>
      </c>
      <c r="H1409" s="1084"/>
    </row>
    <row r="1410" ht="14.25" customHeight="1">
      <c r="A1410" s="1085">
        <v>11892.0</v>
      </c>
      <c r="B1410" s="1086" t="s">
        <v>6719</v>
      </c>
      <c r="C1410" s="1087" t="s">
        <v>1731</v>
      </c>
      <c r="D1410" s="1088">
        <v>8.36</v>
      </c>
      <c r="E1410" s="1089" t="s">
        <v>5308</v>
      </c>
      <c r="F1410" s="1081">
        <f t="shared" si="1"/>
        <v>0</v>
      </c>
      <c r="G1410" s="1083">
        <f t="shared" si="2"/>
        <v>8.36</v>
      </c>
      <c r="H1410" s="1084"/>
    </row>
    <row r="1411" ht="14.25" customHeight="1">
      <c r="A1411" s="1085">
        <v>37601.0</v>
      </c>
      <c r="B1411" s="1086" t="s">
        <v>6720</v>
      </c>
      <c r="C1411" s="1087" t="s">
        <v>1731</v>
      </c>
      <c r="D1411" s="1088">
        <v>8.68</v>
      </c>
      <c r="E1411" s="1089" t="s">
        <v>5308</v>
      </c>
      <c r="F1411" s="1081">
        <f t="shared" si="1"/>
        <v>0</v>
      </c>
      <c r="G1411" s="1083">
        <f t="shared" si="2"/>
        <v>8.68</v>
      </c>
      <c r="H1411" s="1084"/>
    </row>
    <row r="1412" ht="14.25" customHeight="1">
      <c r="A1412" s="1085">
        <v>1634.0</v>
      </c>
      <c r="B1412" s="1086" t="s">
        <v>6721</v>
      </c>
      <c r="C1412" s="1087" t="s">
        <v>1731</v>
      </c>
      <c r="D1412" s="1088">
        <v>8.97</v>
      </c>
      <c r="E1412" s="1089" t="s">
        <v>5308</v>
      </c>
      <c r="F1412" s="1081">
        <f t="shared" si="1"/>
        <v>0</v>
      </c>
      <c r="G1412" s="1083">
        <f t="shared" si="2"/>
        <v>8.97</v>
      </c>
      <c r="H1412" s="1084"/>
    </row>
    <row r="1413" ht="14.25" customHeight="1">
      <c r="A1413" s="1085">
        <v>5086.0</v>
      </c>
      <c r="B1413" s="1086" t="s">
        <v>6722</v>
      </c>
      <c r="C1413" s="1087" t="s">
        <v>3606</v>
      </c>
      <c r="D1413" s="1088">
        <v>32.72</v>
      </c>
      <c r="E1413" s="1089" t="s">
        <v>5308</v>
      </c>
      <c r="F1413" s="1081">
        <f t="shared" si="1"/>
        <v>0</v>
      </c>
      <c r="G1413" s="1083">
        <f t="shared" si="2"/>
        <v>32.72</v>
      </c>
      <c r="H1413" s="1084"/>
    </row>
    <row r="1414" ht="14.25" customHeight="1">
      <c r="A1414" s="1085">
        <v>11280.0</v>
      </c>
      <c r="B1414" s="1086" t="s">
        <v>6723</v>
      </c>
      <c r="C1414" s="1087" t="s">
        <v>1788</v>
      </c>
      <c r="D1414" s="1088">
        <v>13452.49</v>
      </c>
      <c r="E1414" s="1089" t="s">
        <v>5482</v>
      </c>
      <c r="F1414" s="1081">
        <f t="shared" si="1"/>
        <v>0</v>
      </c>
      <c r="G1414" s="1083">
        <f t="shared" si="2"/>
        <v>13452.49</v>
      </c>
      <c r="H1414" s="1084"/>
    </row>
    <row r="1415" ht="14.25" customHeight="1">
      <c r="A1415" s="1085">
        <v>40519.0</v>
      </c>
      <c r="B1415" s="1086" t="s">
        <v>6724</v>
      </c>
      <c r="C1415" s="1087" t="s">
        <v>1788</v>
      </c>
      <c r="D1415" s="1088">
        <v>110897.7</v>
      </c>
      <c r="E1415" s="1089" t="s">
        <v>5482</v>
      </c>
      <c r="F1415" s="1081">
        <f t="shared" si="1"/>
        <v>0</v>
      </c>
      <c r="G1415" s="1083">
        <f t="shared" si="2"/>
        <v>110897.7</v>
      </c>
      <c r="H1415" s="1084"/>
    </row>
    <row r="1416" ht="14.25" customHeight="1">
      <c r="A1416" s="1085">
        <v>39869.0</v>
      </c>
      <c r="B1416" s="1086" t="s">
        <v>6725</v>
      </c>
      <c r="C1416" s="1087" t="s">
        <v>1788</v>
      </c>
      <c r="D1416" s="1088">
        <v>13.51</v>
      </c>
      <c r="E1416" s="1089" t="s">
        <v>5308</v>
      </c>
      <c r="F1416" s="1081">
        <f t="shared" si="1"/>
        <v>0</v>
      </c>
      <c r="G1416" s="1083">
        <f t="shared" si="2"/>
        <v>13.51</v>
      </c>
      <c r="H1416" s="1084"/>
    </row>
    <row r="1417" ht="14.25" customHeight="1">
      <c r="A1417" s="1085">
        <v>39870.0</v>
      </c>
      <c r="B1417" s="1086" t="s">
        <v>6726</v>
      </c>
      <c r="C1417" s="1087" t="s">
        <v>1788</v>
      </c>
      <c r="D1417" s="1088">
        <v>20.66</v>
      </c>
      <c r="E1417" s="1089" t="s">
        <v>5308</v>
      </c>
      <c r="F1417" s="1081">
        <f t="shared" si="1"/>
        <v>0</v>
      </c>
      <c r="G1417" s="1083">
        <f t="shared" si="2"/>
        <v>20.66</v>
      </c>
      <c r="H1417" s="1084"/>
    </row>
    <row r="1418" ht="14.25" customHeight="1">
      <c r="A1418" s="1085">
        <v>39871.0</v>
      </c>
      <c r="B1418" s="1086" t="s">
        <v>6727</v>
      </c>
      <c r="C1418" s="1087" t="s">
        <v>1788</v>
      </c>
      <c r="D1418" s="1088">
        <v>23.16</v>
      </c>
      <c r="E1418" s="1089" t="s">
        <v>5308</v>
      </c>
      <c r="F1418" s="1081">
        <f t="shared" si="1"/>
        <v>0</v>
      </c>
      <c r="G1418" s="1083">
        <f t="shared" si="2"/>
        <v>23.16</v>
      </c>
      <c r="H1418" s="1084"/>
    </row>
    <row r="1419" ht="14.25" customHeight="1">
      <c r="A1419" s="1085">
        <v>12722.0</v>
      </c>
      <c r="B1419" s="1086" t="s">
        <v>6728</v>
      </c>
      <c r="C1419" s="1087" t="s">
        <v>1788</v>
      </c>
      <c r="D1419" s="1088">
        <v>775.2</v>
      </c>
      <c r="E1419" s="1089" t="s">
        <v>5308</v>
      </c>
      <c r="F1419" s="1081">
        <f t="shared" si="1"/>
        <v>0</v>
      </c>
      <c r="G1419" s="1083">
        <f t="shared" si="2"/>
        <v>775.2</v>
      </c>
      <c r="H1419" s="1084"/>
    </row>
    <row r="1420" ht="14.25" customHeight="1">
      <c r="A1420" s="1085">
        <v>12714.0</v>
      </c>
      <c r="B1420" s="1086" t="s">
        <v>6729</v>
      </c>
      <c r="C1420" s="1087" t="s">
        <v>1788</v>
      </c>
      <c r="D1420" s="1088">
        <v>5.06</v>
      </c>
      <c r="E1420" s="1089" t="s">
        <v>5308</v>
      </c>
      <c r="F1420" s="1081">
        <f t="shared" si="1"/>
        <v>0</v>
      </c>
      <c r="G1420" s="1083">
        <f t="shared" si="2"/>
        <v>5.06</v>
      </c>
      <c r="H1420" s="1084"/>
    </row>
    <row r="1421" ht="14.25" customHeight="1">
      <c r="A1421" s="1085">
        <v>12715.0</v>
      </c>
      <c r="B1421" s="1086" t="s">
        <v>6730</v>
      </c>
      <c r="C1421" s="1087" t="s">
        <v>1788</v>
      </c>
      <c r="D1421" s="1088">
        <v>11.42</v>
      </c>
      <c r="E1421" s="1089" t="s">
        <v>5308</v>
      </c>
      <c r="F1421" s="1081">
        <f t="shared" si="1"/>
        <v>0</v>
      </c>
      <c r="G1421" s="1083">
        <f t="shared" si="2"/>
        <v>11.42</v>
      </c>
      <c r="H1421" s="1084"/>
    </row>
    <row r="1422" ht="14.25" customHeight="1">
      <c r="A1422" s="1085">
        <v>12716.0</v>
      </c>
      <c r="B1422" s="1086" t="s">
        <v>6731</v>
      </c>
      <c r="C1422" s="1087" t="s">
        <v>1788</v>
      </c>
      <c r="D1422" s="1088">
        <v>19.62</v>
      </c>
      <c r="E1422" s="1089" t="s">
        <v>5308</v>
      </c>
      <c r="F1422" s="1081">
        <f t="shared" si="1"/>
        <v>0</v>
      </c>
      <c r="G1422" s="1083">
        <f t="shared" si="2"/>
        <v>19.62</v>
      </c>
      <c r="H1422" s="1084"/>
    </row>
    <row r="1423" ht="14.25" customHeight="1">
      <c r="A1423" s="1085">
        <v>12717.0</v>
      </c>
      <c r="B1423" s="1086" t="s">
        <v>6732</v>
      </c>
      <c r="C1423" s="1087" t="s">
        <v>1788</v>
      </c>
      <c r="D1423" s="1088">
        <v>38.56</v>
      </c>
      <c r="E1423" s="1089" t="s">
        <v>5308</v>
      </c>
      <c r="F1423" s="1081">
        <f t="shared" si="1"/>
        <v>0</v>
      </c>
      <c r="G1423" s="1083">
        <f t="shared" si="2"/>
        <v>38.56</v>
      </c>
      <c r="H1423" s="1084"/>
    </row>
    <row r="1424" ht="14.25" customHeight="1">
      <c r="A1424" s="1085">
        <v>12718.0</v>
      </c>
      <c r="B1424" s="1086" t="s">
        <v>6733</v>
      </c>
      <c r="C1424" s="1087" t="s">
        <v>1788</v>
      </c>
      <c r="D1424" s="1088">
        <v>59.19</v>
      </c>
      <c r="E1424" s="1089" t="s">
        <v>5308</v>
      </c>
      <c r="F1424" s="1081">
        <f t="shared" si="1"/>
        <v>0</v>
      </c>
      <c r="G1424" s="1083">
        <f t="shared" si="2"/>
        <v>59.19</v>
      </c>
      <c r="H1424" s="1084"/>
    </row>
    <row r="1425" ht="14.25" customHeight="1">
      <c r="A1425" s="1085">
        <v>12719.0</v>
      </c>
      <c r="B1425" s="1086" t="s">
        <v>6734</v>
      </c>
      <c r="C1425" s="1087" t="s">
        <v>1788</v>
      </c>
      <c r="D1425" s="1088">
        <v>93.96</v>
      </c>
      <c r="E1425" s="1089" t="s">
        <v>5308</v>
      </c>
      <c r="F1425" s="1081">
        <f t="shared" si="1"/>
        <v>0</v>
      </c>
      <c r="G1425" s="1083">
        <f t="shared" si="2"/>
        <v>93.96</v>
      </c>
      <c r="H1425" s="1084"/>
    </row>
    <row r="1426" ht="14.25" customHeight="1">
      <c r="A1426" s="1085">
        <v>12720.0</v>
      </c>
      <c r="B1426" s="1086" t="s">
        <v>6735</v>
      </c>
      <c r="C1426" s="1087" t="s">
        <v>1788</v>
      </c>
      <c r="D1426" s="1088">
        <v>327.16</v>
      </c>
      <c r="E1426" s="1089" t="s">
        <v>5308</v>
      </c>
      <c r="F1426" s="1081">
        <f t="shared" si="1"/>
        <v>0</v>
      </c>
      <c r="G1426" s="1083">
        <f t="shared" si="2"/>
        <v>327.16</v>
      </c>
      <c r="H1426" s="1084"/>
    </row>
    <row r="1427" ht="14.25" customHeight="1">
      <c r="A1427" s="1085">
        <v>12721.0</v>
      </c>
      <c r="B1427" s="1086" t="s">
        <v>6736</v>
      </c>
      <c r="C1427" s="1087" t="s">
        <v>1788</v>
      </c>
      <c r="D1427" s="1088">
        <v>313.72</v>
      </c>
      <c r="E1427" s="1089" t="s">
        <v>5308</v>
      </c>
      <c r="F1427" s="1081">
        <f t="shared" si="1"/>
        <v>0</v>
      </c>
      <c r="G1427" s="1083">
        <f t="shared" si="2"/>
        <v>313.72</v>
      </c>
      <c r="H1427" s="1084"/>
    </row>
    <row r="1428" ht="14.25" customHeight="1">
      <c r="A1428" s="1085">
        <v>3468.0</v>
      </c>
      <c r="B1428" s="1086" t="s">
        <v>6737</v>
      </c>
      <c r="C1428" s="1087" t="s">
        <v>1788</v>
      </c>
      <c r="D1428" s="1088">
        <v>46.28</v>
      </c>
      <c r="E1428" s="1089" t="s">
        <v>5308</v>
      </c>
      <c r="F1428" s="1081">
        <f t="shared" si="1"/>
        <v>0</v>
      </c>
      <c r="G1428" s="1083">
        <f t="shared" si="2"/>
        <v>46.28</v>
      </c>
      <c r="H1428" s="1084"/>
    </row>
    <row r="1429" ht="14.25" customHeight="1">
      <c r="A1429" s="1085">
        <v>3465.0</v>
      </c>
      <c r="B1429" s="1086" t="s">
        <v>6738</v>
      </c>
      <c r="C1429" s="1087" t="s">
        <v>1788</v>
      </c>
      <c r="D1429" s="1088">
        <v>46.27</v>
      </c>
      <c r="E1429" s="1089" t="s">
        <v>5308</v>
      </c>
      <c r="F1429" s="1081">
        <f t="shared" si="1"/>
        <v>0</v>
      </c>
      <c r="G1429" s="1083">
        <f t="shared" si="2"/>
        <v>46.27</v>
      </c>
      <c r="H1429" s="1084"/>
    </row>
    <row r="1430" ht="14.25" customHeight="1">
      <c r="A1430" s="1085">
        <v>12403.0</v>
      </c>
      <c r="B1430" s="1086" t="s">
        <v>6739</v>
      </c>
      <c r="C1430" s="1087" t="s">
        <v>1788</v>
      </c>
      <c r="D1430" s="1088">
        <v>32.98</v>
      </c>
      <c r="E1430" s="1089" t="s">
        <v>5308</v>
      </c>
      <c r="F1430" s="1081">
        <f t="shared" si="1"/>
        <v>0</v>
      </c>
      <c r="G1430" s="1083">
        <f t="shared" si="2"/>
        <v>32.98</v>
      </c>
      <c r="H1430" s="1084"/>
    </row>
    <row r="1431" ht="14.25" customHeight="1">
      <c r="A1431" s="1085">
        <v>3463.0</v>
      </c>
      <c r="B1431" s="1086" t="s">
        <v>6740</v>
      </c>
      <c r="C1431" s="1087" t="s">
        <v>1788</v>
      </c>
      <c r="D1431" s="1088">
        <v>19.27</v>
      </c>
      <c r="E1431" s="1089" t="s">
        <v>5308</v>
      </c>
      <c r="F1431" s="1081">
        <f t="shared" si="1"/>
        <v>0</v>
      </c>
      <c r="G1431" s="1083">
        <f t="shared" si="2"/>
        <v>19.27</v>
      </c>
      <c r="H1431" s="1084"/>
    </row>
    <row r="1432" ht="14.25" customHeight="1">
      <c r="A1432" s="1085">
        <v>3464.0</v>
      </c>
      <c r="B1432" s="1086" t="s">
        <v>6741</v>
      </c>
      <c r="C1432" s="1087" t="s">
        <v>1788</v>
      </c>
      <c r="D1432" s="1088">
        <v>19.27</v>
      </c>
      <c r="E1432" s="1089" t="s">
        <v>5308</v>
      </c>
      <c r="F1432" s="1081">
        <f t="shared" si="1"/>
        <v>0</v>
      </c>
      <c r="G1432" s="1083">
        <f t="shared" si="2"/>
        <v>19.27</v>
      </c>
      <c r="H1432" s="1084"/>
    </row>
    <row r="1433" ht="14.25" customHeight="1">
      <c r="A1433" s="1085">
        <v>3466.0</v>
      </c>
      <c r="B1433" s="1086" t="s">
        <v>6742</v>
      </c>
      <c r="C1433" s="1087" t="s">
        <v>1788</v>
      </c>
      <c r="D1433" s="1088">
        <v>117.51</v>
      </c>
      <c r="E1433" s="1089" t="s">
        <v>5308</v>
      </c>
      <c r="F1433" s="1081">
        <f t="shared" si="1"/>
        <v>0</v>
      </c>
      <c r="G1433" s="1083">
        <f t="shared" si="2"/>
        <v>117.51</v>
      </c>
      <c r="H1433" s="1084"/>
    </row>
    <row r="1434" ht="14.25" customHeight="1">
      <c r="A1434" s="1085">
        <v>3467.0</v>
      </c>
      <c r="B1434" s="1086" t="s">
        <v>6743</v>
      </c>
      <c r="C1434" s="1087" t="s">
        <v>1788</v>
      </c>
      <c r="D1434" s="1088">
        <v>66.37</v>
      </c>
      <c r="E1434" s="1089" t="s">
        <v>5308</v>
      </c>
      <c r="F1434" s="1081">
        <f t="shared" si="1"/>
        <v>0</v>
      </c>
      <c r="G1434" s="1083">
        <f t="shared" si="2"/>
        <v>66.37</v>
      </c>
      <c r="H1434" s="1084"/>
    </row>
    <row r="1435" ht="14.25" customHeight="1">
      <c r="A1435" s="1085">
        <v>3462.0</v>
      </c>
      <c r="B1435" s="1086" t="s">
        <v>6744</v>
      </c>
      <c r="C1435" s="1087" t="s">
        <v>1788</v>
      </c>
      <c r="D1435" s="1088">
        <v>12.71</v>
      </c>
      <c r="E1435" s="1089" t="s">
        <v>5308</v>
      </c>
      <c r="F1435" s="1081">
        <f t="shared" si="1"/>
        <v>0</v>
      </c>
      <c r="G1435" s="1083">
        <f t="shared" si="2"/>
        <v>12.71</v>
      </c>
      <c r="H1435" s="1084"/>
    </row>
    <row r="1436" ht="14.25" customHeight="1">
      <c r="A1436" s="1085">
        <v>3446.0</v>
      </c>
      <c r="B1436" s="1086" t="s">
        <v>6745</v>
      </c>
      <c r="C1436" s="1087" t="s">
        <v>1788</v>
      </c>
      <c r="D1436" s="1088">
        <v>39.13</v>
      </c>
      <c r="E1436" s="1089" t="s">
        <v>5308</v>
      </c>
      <c r="F1436" s="1081">
        <f t="shared" si="1"/>
        <v>0</v>
      </c>
      <c r="G1436" s="1083">
        <f t="shared" si="2"/>
        <v>39.13</v>
      </c>
      <c r="H1436" s="1084"/>
    </row>
    <row r="1437" ht="14.25" customHeight="1">
      <c r="A1437" s="1085">
        <v>3445.0</v>
      </c>
      <c r="B1437" s="1086" t="s">
        <v>6746</v>
      </c>
      <c r="C1437" s="1087" t="s">
        <v>1788</v>
      </c>
      <c r="D1437" s="1088">
        <v>31.94</v>
      </c>
      <c r="E1437" s="1089" t="s">
        <v>5308</v>
      </c>
      <c r="F1437" s="1081">
        <f t="shared" si="1"/>
        <v>0</v>
      </c>
      <c r="G1437" s="1083">
        <f t="shared" si="2"/>
        <v>31.94</v>
      </c>
      <c r="H1437" s="1084"/>
    </row>
    <row r="1438" ht="14.25" customHeight="1">
      <c r="A1438" s="1085">
        <v>3441.0</v>
      </c>
      <c r="B1438" s="1086" t="s">
        <v>6747</v>
      </c>
      <c r="C1438" s="1087" t="s">
        <v>1788</v>
      </c>
      <c r="D1438" s="1088">
        <v>9.01</v>
      </c>
      <c r="E1438" s="1089" t="s">
        <v>5308</v>
      </c>
      <c r="F1438" s="1081">
        <f t="shared" si="1"/>
        <v>0</v>
      </c>
      <c r="G1438" s="1083">
        <f t="shared" si="2"/>
        <v>9.01</v>
      </c>
      <c r="H1438" s="1084"/>
    </row>
    <row r="1439" ht="14.25" customHeight="1">
      <c r="A1439" s="1085">
        <v>3444.0</v>
      </c>
      <c r="B1439" s="1086" t="s">
        <v>6748</v>
      </c>
      <c r="C1439" s="1087" t="s">
        <v>1788</v>
      </c>
      <c r="D1439" s="1088">
        <v>19.66</v>
      </c>
      <c r="E1439" s="1089" t="s">
        <v>5308</v>
      </c>
      <c r="F1439" s="1081">
        <f t="shared" si="1"/>
        <v>0</v>
      </c>
      <c r="G1439" s="1083">
        <f t="shared" si="2"/>
        <v>19.66</v>
      </c>
      <c r="H1439" s="1084"/>
    </row>
    <row r="1440" ht="14.25" customHeight="1">
      <c r="A1440" s="1085">
        <v>12402.0</v>
      </c>
      <c r="B1440" s="1086" t="s">
        <v>6749</v>
      </c>
      <c r="C1440" s="1087" t="s">
        <v>1788</v>
      </c>
      <c r="D1440" s="1088">
        <v>109.98</v>
      </c>
      <c r="E1440" s="1089" t="s">
        <v>5308</v>
      </c>
      <c r="F1440" s="1081">
        <f t="shared" si="1"/>
        <v>0</v>
      </c>
      <c r="G1440" s="1083">
        <f t="shared" si="2"/>
        <v>109.98</v>
      </c>
      <c r="H1440" s="1084"/>
    </row>
    <row r="1441" ht="14.25" customHeight="1">
      <c r="A1441" s="1085">
        <v>3447.0</v>
      </c>
      <c r="B1441" s="1086" t="s">
        <v>6750</v>
      </c>
      <c r="C1441" s="1087" t="s">
        <v>1788</v>
      </c>
      <c r="D1441" s="1088">
        <v>56.9</v>
      </c>
      <c r="E1441" s="1089" t="s">
        <v>5308</v>
      </c>
      <c r="F1441" s="1081">
        <f t="shared" si="1"/>
        <v>0</v>
      </c>
      <c r="G1441" s="1083">
        <f t="shared" si="2"/>
        <v>56.9</v>
      </c>
      <c r="H1441" s="1084"/>
    </row>
    <row r="1442" ht="14.25" customHeight="1">
      <c r="A1442" s="1085">
        <v>3442.0</v>
      </c>
      <c r="B1442" s="1086" t="s">
        <v>6751</v>
      </c>
      <c r="C1442" s="1087" t="s">
        <v>1788</v>
      </c>
      <c r="D1442" s="1088">
        <v>13.48</v>
      </c>
      <c r="E1442" s="1089" t="s">
        <v>5308</v>
      </c>
      <c r="F1442" s="1081">
        <f t="shared" si="1"/>
        <v>0</v>
      </c>
      <c r="G1442" s="1083">
        <f t="shared" si="2"/>
        <v>13.48</v>
      </c>
      <c r="H1442" s="1084"/>
    </row>
    <row r="1443" ht="14.25" customHeight="1">
      <c r="A1443" s="1085">
        <v>3448.0</v>
      </c>
      <c r="B1443" s="1086" t="s">
        <v>6752</v>
      </c>
      <c r="C1443" s="1087" t="s">
        <v>1788</v>
      </c>
      <c r="D1443" s="1088">
        <v>160.79</v>
      </c>
      <c r="E1443" s="1089" t="s">
        <v>5308</v>
      </c>
      <c r="F1443" s="1081">
        <f t="shared" si="1"/>
        <v>0</v>
      </c>
      <c r="G1443" s="1083">
        <f t="shared" si="2"/>
        <v>160.79</v>
      </c>
      <c r="H1443" s="1084"/>
    </row>
    <row r="1444" ht="14.25" customHeight="1">
      <c r="A1444" s="1085">
        <v>3449.0</v>
      </c>
      <c r="B1444" s="1086" t="s">
        <v>6753</v>
      </c>
      <c r="C1444" s="1087" t="s">
        <v>1788</v>
      </c>
      <c r="D1444" s="1088">
        <v>281.74</v>
      </c>
      <c r="E1444" s="1089" t="s">
        <v>5308</v>
      </c>
      <c r="F1444" s="1081">
        <f t="shared" si="1"/>
        <v>0</v>
      </c>
      <c r="G1444" s="1083">
        <f t="shared" si="2"/>
        <v>281.74</v>
      </c>
      <c r="H1444" s="1084"/>
    </row>
    <row r="1445" ht="14.25" customHeight="1">
      <c r="A1445" s="1085">
        <v>37438.0</v>
      </c>
      <c r="B1445" s="1086" t="s">
        <v>6754</v>
      </c>
      <c r="C1445" s="1087" t="s">
        <v>1788</v>
      </c>
      <c r="D1445" s="1088">
        <v>243.4</v>
      </c>
      <c r="E1445" s="1089" t="s">
        <v>5308</v>
      </c>
      <c r="F1445" s="1081">
        <f t="shared" si="1"/>
        <v>0</v>
      </c>
      <c r="G1445" s="1083">
        <f t="shared" si="2"/>
        <v>243.4</v>
      </c>
      <c r="H1445" s="1084"/>
    </row>
    <row r="1446" ht="14.25" customHeight="1">
      <c r="A1446" s="1085">
        <v>37439.0</v>
      </c>
      <c r="B1446" s="1086" t="s">
        <v>6755</v>
      </c>
      <c r="C1446" s="1087" t="s">
        <v>1788</v>
      </c>
      <c r="D1446" s="1088">
        <v>1591.32</v>
      </c>
      <c r="E1446" s="1089" t="s">
        <v>5308</v>
      </c>
      <c r="F1446" s="1081">
        <f t="shared" si="1"/>
        <v>0</v>
      </c>
      <c r="G1446" s="1083">
        <f t="shared" si="2"/>
        <v>1591.32</v>
      </c>
      <c r="H1446" s="1084"/>
    </row>
    <row r="1447" ht="14.25" customHeight="1">
      <c r="A1447" s="1085">
        <v>37435.0</v>
      </c>
      <c r="B1447" s="1086" t="s">
        <v>6756</v>
      </c>
      <c r="C1447" s="1087" t="s">
        <v>1788</v>
      </c>
      <c r="D1447" s="1088">
        <v>28.6</v>
      </c>
      <c r="E1447" s="1089" t="s">
        <v>5308</v>
      </c>
      <c r="F1447" s="1081">
        <f t="shared" si="1"/>
        <v>0</v>
      </c>
      <c r="G1447" s="1083">
        <f t="shared" si="2"/>
        <v>28.6</v>
      </c>
      <c r="H1447" s="1084"/>
    </row>
    <row r="1448" ht="14.25" customHeight="1">
      <c r="A1448" s="1085">
        <v>37436.0</v>
      </c>
      <c r="B1448" s="1086" t="s">
        <v>6757</v>
      </c>
      <c r="C1448" s="1087" t="s">
        <v>1788</v>
      </c>
      <c r="D1448" s="1088">
        <v>33.76</v>
      </c>
      <c r="E1448" s="1089" t="s">
        <v>5308</v>
      </c>
      <c r="F1448" s="1081">
        <f t="shared" si="1"/>
        <v>0</v>
      </c>
      <c r="G1448" s="1083">
        <f t="shared" si="2"/>
        <v>33.76</v>
      </c>
      <c r="H1448" s="1084"/>
    </row>
    <row r="1449" ht="14.25" customHeight="1">
      <c r="A1449" s="1085">
        <v>37437.0</v>
      </c>
      <c r="B1449" s="1086" t="s">
        <v>6758</v>
      </c>
      <c r="C1449" s="1087" t="s">
        <v>1788</v>
      </c>
      <c r="D1449" s="1088">
        <v>48.82</v>
      </c>
      <c r="E1449" s="1089" t="s">
        <v>5308</v>
      </c>
      <c r="F1449" s="1081">
        <f t="shared" si="1"/>
        <v>0</v>
      </c>
      <c r="G1449" s="1083">
        <f t="shared" si="2"/>
        <v>48.82</v>
      </c>
      <c r="H1449" s="1084"/>
    </row>
    <row r="1450" ht="14.25" customHeight="1">
      <c r="A1450" s="1085">
        <v>3473.0</v>
      </c>
      <c r="B1450" s="1086" t="s">
        <v>6759</v>
      </c>
      <c r="C1450" s="1087" t="s">
        <v>1788</v>
      </c>
      <c r="D1450" s="1088">
        <v>44.24</v>
      </c>
      <c r="E1450" s="1089" t="s">
        <v>5308</v>
      </c>
      <c r="F1450" s="1081">
        <f t="shared" si="1"/>
        <v>0</v>
      </c>
      <c r="G1450" s="1083">
        <f t="shared" si="2"/>
        <v>44.24</v>
      </c>
      <c r="H1450" s="1084"/>
    </row>
    <row r="1451" ht="14.25" customHeight="1">
      <c r="A1451" s="1085">
        <v>3474.0</v>
      </c>
      <c r="B1451" s="1086" t="s">
        <v>6760</v>
      </c>
      <c r="C1451" s="1087" t="s">
        <v>1788</v>
      </c>
      <c r="D1451" s="1088">
        <v>36.46</v>
      </c>
      <c r="E1451" s="1089" t="s">
        <v>5308</v>
      </c>
      <c r="F1451" s="1081">
        <f t="shared" si="1"/>
        <v>0</v>
      </c>
      <c r="G1451" s="1083">
        <f t="shared" si="2"/>
        <v>36.46</v>
      </c>
      <c r="H1451" s="1084"/>
    </row>
    <row r="1452" ht="14.25" customHeight="1">
      <c r="A1452" s="1085">
        <v>3450.0</v>
      </c>
      <c r="B1452" s="1086" t="s">
        <v>6761</v>
      </c>
      <c r="C1452" s="1087" t="s">
        <v>1788</v>
      </c>
      <c r="D1452" s="1088">
        <v>10.57</v>
      </c>
      <c r="E1452" s="1089" t="s">
        <v>5308</v>
      </c>
      <c r="F1452" s="1081">
        <f t="shared" si="1"/>
        <v>0</v>
      </c>
      <c r="G1452" s="1083">
        <f t="shared" si="2"/>
        <v>10.57</v>
      </c>
      <c r="H1452" s="1084"/>
    </row>
    <row r="1453" ht="14.25" customHeight="1">
      <c r="A1453" s="1085">
        <v>3443.0</v>
      </c>
      <c r="B1453" s="1086" t="s">
        <v>6762</v>
      </c>
      <c r="C1453" s="1087" t="s">
        <v>1788</v>
      </c>
      <c r="D1453" s="1088">
        <v>22.68</v>
      </c>
      <c r="E1453" s="1089" t="s">
        <v>5308</v>
      </c>
      <c r="F1453" s="1081">
        <f t="shared" si="1"/>
        <v>0</v>
      </c>
      <c r="G1453" s="1083">
        <f t="shared" si="2"/>
        <v>22.68</v>
      </c>
      <c r="H1453" s="1084"/>
    </row>
    <row r="1454" ht="14.25" customHeight="1">
      <c r="A1454" s="1085">
        <v>3453.0</v>
      </c>
      <c r="B1454" s="1086" t="s">
        <v>6763</v>
      </c>
      <c r="C1454" s="1087" t="s">
        <v>1788</v>
      </c>
      <c r="D1454" s="1088">
        <v>129.12</v>
      </c>
      <c r="E1454" s="1089" t="s">
        <v>5308</v>
      </c>
      <c r="F1454" s="1081">
        <f t="shared" si="1"/>
        <v>0</v>
      </c>
      <c r="G1454" s="1083">
        <f t="shared" si="2"/>
        <v>129.12</v>
      </c>
      <c r="H1454" s="1084"/>
    </row>
    <row r="1455" ht="14.25" customHeight="1">
      <c r="A1455" s="1085">
        <v>3452.0</v>
      </c>
      <c r="B1455" s="1086" t="s">
        <v>6764</v>
      </c>
      <c r="C1455" s="1087" t="s">
        <v>1788</v>
      </c>
      <c r="D1455" s="1088">
        <v>63.73</v>
      </c>
      <c r="E1455" s="1089" t="s">
        <v>5308</v>
      </c>
      <c r="F1455" s="1081">
        <f t="shared" si="1"/>
        <v>0</v>
      </c>
      <c r="G1455" s="1083">
        <f t="shared" si="2"/>
        <v>63.73</v>
      </c>
      <c r="H1455" s="1084"/>
    </row>
    <row r="1456" ht="14.25" customHeight="1">
      <c r="A1456" s="1085">
        <v>3451.0</v>
      </c>
      <c r="B1456" s="1086" t="s">
        <v>6765</v>
      </c>
      <c r="C1456" s="1087" t="s">
        <v>1788</v>
      </c>
      <c r="D1456" s="1088">
        <v>12.64</v>
      </c>
      <c r="E1456" s="1089" t="s">
        <v>5308</v>
      </c>
      <c r="F1456" s="1081">
        <f t="shared" si="1"/>
        <v>0</v>
      </c>
      <c r="G1456" s="1083">
        <f t="shared" si="2"/>
        <v>12.64</v>
      </c>
      <c r="H1456" s="1084"/>
    </row>
    <row r="1457" ht="14.25" customHeight="1">
      <c r="A1457" s="1085">
        <v>3454.0</v>
      </c>
      <c r="B1457" s="1086" t="s">
        <v>6766</v>
      </c>
      <c r="C1457" s="1087" t="s">
        <v>1788</v>
      </c>
      <c r="D1457" s="1088">
        <v>196.39</v>
      </c>
      <c r="E1457" s="1089" t="s">
        <v>5308</v>
      </c>
      <c r="F1457" s="1081">
        <f t="shared" si="1"/>
        <v>0</v>
      </c>
      <c r="G1457" s="1083">
        <f t="shared" si="2"/>
        <v>196.39</v>
      </c>
      <c r="H1457" s="1084"/>
    </row>
    <row r="1458" ht="14.25" customHeight="1">
      <c r="A1458" s="1085">
        <v>3458.0</v>
      </c>
      <c r="B1458" s="1086" t="s">
        <v>6767</v>
      </c>
      <c r="C1458" s="1087" t="s">
        <v>1788</v>
      </c>
      <c r="D1458" s="1088">
        <v>35.46</v>
      </c>
      <c r="E1458" s="1089" t="s">
        <v>5308</v>
      </c>
      <c r="F1458" s="1081">
        <f t="shared" si="1"/>
        <v>0</v>
      </c>
      <c r="G1458" s="1083">
        <f t="shared" si="2"/>
        <v>35.46</v>
      </c>
      <c r="H1458" s="1084"/>
    </row>
    <row r="1459" ht="14.25" customHeight="1">
      <c r="A1459" s="1085">
        <v>3457.0</v>
      </c>
      <c r="B1459" s="1086" t="s">
        <v>6768</v>
      </c>
      <c r="C1459" s="1087" t="s">
        <v>1788</v>
      </c>
      <c r="D1459" s="1088">
        <v>26.62</v>
      </c>
      <c r="E1459" s="1089" t="s">
        <v>5308</v>
      </c>
      <c r="F1459" s="1081">
        <f t="shared" si="1"/>
        <v>0</v>
      </c>
      <c r="G1459" s="1083">
        <f t="shared" si="2"/>
        <v>26.62</v>
      </c>
      <c r="H1459" s="1084"/>
    </row>
    <row r="1460" ht="14.25" customHeight="1">
      <c r="A1460" s="1085">
        <v>3455.0</v>
      </c>
      <c r="B1460" s="1086" t="s">
        <v>6769</v>
      </c>
      <c r="C1460" s="1087" t="s">
        <v>1788</v>
      </c>
      <c r="D1460" s="1088">
        <v>7.56</v>
      </c>
      <c r="E1460" s="1089" t="s">
        <v>5308</v>
      </c>
      <c r="F1460" s="1081">
        <f t="shared" si="1"/>
        <v>0</v>
      </c>
      <c r="G1460" s="1083">
        <f t="shared" si="2"/>
        <v>7.56</v>
      </c>
      <c r="H1460" s="1084"/>
    </row>
    <row r="1461" ht="14.25" customHeight="1">
      <c r="A1461" s="1085">
        <v>3472.0</v>
      </c>
      <c r="B1461" s="1086" t="s">
        <v>6770</v>
      </c>
      <c r="C1461" s="1087" t="s">
        <v>1788</v>
      </c>
      <c r="D1461" s="1088">
        <v>16.98</v>
      </c>
      <c r="E1461" s="1089" t="s">
        <v>5308</v>
      </c>
      <c r="F1461" s="1081">
        <f t="shared" si="1"/>
        <v>0</v>
      </c>
      <c r="G1461" s="1083">
        <f t="shared" si="2"/>
        <v>16.98</v>
      </c>
      <c r="H1461" s="1084"/>
    </row>
    <row r="1462" ht="14.25" customHeight="1">
      <c r="A1462" s="1085">
        <v>3470.0</v>
      </c>
      <c r="B1462" s="1086" t="s">
        <v>6771</v>
      </c>
      <c r="C1462" s="1087" t="s">
        <v>1788</v>
      </c>
      <c r="D1462" s="1088">
        <v>99.01</v>
      </c>
      <c r="E1462" s="1089" t="s">
        <v>5308</v>
      </c>
      <c r="F1462" s="1081">
        <f t="shared" si="1"/>
        <v>0</v>
      </c>
      <c r="G1462" s="1083">
        <f t="shared" si="2"/>
        <v>99.01</v>
      </c>
      <c r="H1462" s="1084"/>
    </row>
    <row r="1463" ht="14.25" customHeight="1">
      <c r="A1463" s="1085">
        <v>3471.0</v>
      </c>
      <c r="B1463" s="1086" t="s">
        <v>6772</v>
      </c>
      <c r="C1463" s="1087" t="s">
        <v>1788</v>
      </c>
      <c r="D1463" s="1088">
        <v>54.4</v>
      </c>
      <c r="E1463" s="1089" t="s">
        <v>5308</v>
      </c>
      <c r="F1463" s="1081">
        <f t="shared" si="1"/>
        <v>0</v>
      </c>
      <c r="G1463" s="1083">
        <f t="shared" si="2"/>
        <v>54.4</v>
      </c>
      <c r="H1463" s="1084"/>
    </row>
    <row r="1464" ht="14.25" customHeight="1">
      <c r="A1464" s="1085">
        <v>3456.0</v>
      </c>
      <c r="B1464" s="1086" t="s">
        <v>6773</v>
      </c>
      <c r="C1464" s="1087" t="s">
        <v>1788</v>
      </c>
      <c r="D1464" s="1088">
        <v>11.31</v>
      </c>
      <c r="E1464" s="1089" t="s">
        <v>5308</v>
      </c>
      <c r="F1464" s="1081">
        <f t="shared" si="1"/>
        <v>0</v>
      </c>
      <c r="G1464" s="1083">
        <f t="shared" si="2"/>
        <v>11.31</v>
      </c>
      <c r="H1464" s="1084"/>
    </row>
    <row r="1465" ht="14.25" customHeight="1">
      <c r="A1465" s="1085">
        <v>3459.0</v>
      </c>
      <c r="B1465" s="1086" t="s">
        <v>6774</v>
      </c>
      <c r="C1465" s="1087" t="s">
        <v>1788</v>
      </c>
      <c r="D1465" s="1088">
        <v>139.65</v>
      </c>
      <c r="E1465" s="1089" t="s">
        <v>5308</v>
      </c>
      <c r="F1465" s="1081">
        <f t="shared" si="1"/>
        <v>0</v>
      </c>
      <c r="G1465" s="1083">
        <f t="shared" si="2"/>
        <v>139.65</v>
      </c>
      <c r="H1465" s="1084"/>
    </row>
    <row r="1466" ht="14.25" customHeight="1">
      <c r="A1466" s="1085">
        <v>3469.0</v>
      </c>
      <c r="B1466" s="1086" t="s">
        <v>6775</v>
      </c>
      <c r="C1466" s="1087" t="s">
        <v>1788</v>
      </c>
      <c r="D1466" s="1088">
        <v>265.59</v>
      </c>
      <c r="E1466" s="1089" t="s">
        <v>5308</v>
      </c>
      <c r="F1466" s="1081">
        <f t="shared" si="1"/>
        <v>0</v>
      </c>
      <c r="G1466" s="1083">
        <f t="shared" si="2"/>
        <v>265.59</v>
      </c>
      <c r="H1466" s="1084"/>
    </row>
    <row r="1467" ht="14.25" customHeight="1">
      <c r="A1467" s="1085">
        <v>3460.0</v>
      </c>
      <c r="B1467" s="1086" t="s">
        <v>6776</v>
      </c>
      <c r="C1467" s="1087" t="s">
        <v>1788</v>
      </c>
      <c r="D1467" s="1088">
        <v>387.53</v>
      </c>
      <c r="E1467" s="1089" t="s">
        <v>5308</v>
      </c>
      <c r="F1467" s="1081">
        <f t="shared" si="1"/>
        <v>0</v>
      </c>
      <c r="G1467" s="1083">
        <f t="shared" si="2"/>
        <v>387.53</v>
      </c>
      <c r="H1467" s="1084"/>
    </row>
    <row r="1468" ht="14.25" customHeight="1">
      <c r="A1468" s="1085">
        <v>3461.0</v>
      </c>
      <c r="B1468" s="1086" t="s">
        <v>6777</v>
      </c>
      <c r="C1468" s="1087" t="s">
        <v>1788</v>
      </c>
      <c r="D1468" s="1088">
        <v>990.51</v>
      </c>
      <c r="E1468" s="1089" t="s">
        <v>5308</v>
      </c>
      <c r="F1468" s="1081">
        <f t="shared" si="1"/>
        <v>0</v>
      </c>
      <c r="G1468" s="1083">
        <f t="shared" si="2"/>
        <v>990.51</v>
      </c>
      <c r="H1468" s="1084"/>
    </row>
    <row r="1469" ht="14.25" customHeight="1">
      <c r="A1469" s="1085">
        <v>37433.0</v>
      </c>
      <c r="B1469" s="1086" t="s">
        <v>6778</v>
      </c>
      <c r="C1469" s="1087" t="s">
        <v>1788</v>
      </c>
      <c r="D1469" s="1088">
        <v>243.4</v>
      </c>
      <c r="E1469" s="1089" t="s">
        <v>5308</v>
      </c>
      <c r="F1469" s="1081">
        <f t="shared" si="1"/>
        <v>0</v>
      </c>
      <c r="G1469" s="1083">
        <f t="shared" si="2"/>
        <v>243.4</v>
      </c>
      <c r="H1469" s="1084"/>
    </row>
    <row r="1470" ht="14.25" customHeight="1">
      <c r="A1470" s="1085">
        <v>37430.0</v>
      </c>
      <c r="B1470" s="1086" t="s">
        <v>6779</v>
      </c>
      <c r="C1470" s="1087" t="s">
        <v>1788</v>
      </c>
      <c r="D1470" s="1088">
        <v>30.5</v>
      </c>
      <c r="E1470" s="1089" t="s">
        <v>5308</v>
      </c>
      <c r="F1470" s="1081">
        <f t="shared" si="1"/>
        <v>0</v>
      </c>
      <c r="G1470" s="1083">
        <f t="shared" si="2"/>
        <v>30.5</v>
      </c>
      <c r="H1470" s="1084"/>
    </row>
    <row r="1471" ht="14.25" customHeight="1">
      <c r="A1471" s="1085">
        <v>37434.0</v>
      </c>
      <c r="B1471" s="1086" t="s">
        <v>6780</v>
      </c>
      <c r="C1471" s="1087" t="s">
        <v>1788</v>
      </c>
      <c r="D1471" s="1088">
        <v>2269.44</v>
      </c>
      <c r="E1471" s="1089" t="s">
        <v>5308</v>
      </c>
      <c r="F1471" s="1081">
        <f t="shared" si="1"/>
        <v>0</v>
      </c>
      <c r="G1471" s="1083">
        <f t="shared" si="2"/>
        <v>2269.44</v>
      </c>
      <c r="H1471" s="1084"/>
    </row>
    <row r="1472" ht="14.25" customHeight="1">
      <c r="A1472" s="1085">
        <v>37431.0</v>
      </c>
      <c r="B1472" s="1086" t="s">
        <v>6781</v>
      </c>
      <c r="C1472" s="1087" t="s">
        <v>1788</v>
      </c>
      <c r="D1472" s="1088">
        <v>41.38</v>
      </c>
      <c r="E1472" s="1089" t="s">
        <v>5308</v>
      </c>
      <c r="F1472" s="1081">
        <f t="shared" si="1"/>
        <v>0</v>
      </c>
      <c r="G1472" s="1083">
        <f t="shared" si="2"/>
        <v>41.38</v>
      </c>
      <c r="H1472" s="1084"/>
    </row>
    <row r="1473" ht="14.25" customHeight="1">
      <c r="A1473" s="1085">
        <v>37432.0</v>
      </c>
      <c r="B1473" s="1086" t="s">
        <v>6782</v>
      </c>
      <c r="C1473" s="1087" t="s">
        <v>1788</v>
      </c>
      <c r="D1473" s="1088">
        <v>76.32</v>
      </c>
      <c r="E1473" s="1089" t="s">
        <v>5308</v>
      </c>
      <c r="F1473" s="1081">
        <f t="shared" si="1"/>
        <v>0</v>
      </c>
      <c r="G1473" s="1083">
        <f t="shared" si="2"/>
        <v>76.32</v>
      </c>
      <c r="H1473" s="1084"/>
    </row>
    <row r="1474" ht="14.25" customHeight="1">
      <c r="A1474" s="1085">
        <v>37413.0</v>
      </c>
      <c r="B1474" s="1086" t="s">
        <v>6783</v>
      </c>
      <c r="C1474" s="1087" t="s">
        <v>1788</v>
      </c>
      <c r="D1474" s="1088">
        <v>4.08</v>
      </c>
      <c r="E1474" s="1089" t="s">
        <v>5308</v>
      </c>
      <c r="F1474" s="1081">
        <f t="shared" si="1"/>
        <v>0</v>
      </c>
      <c r="G1474" s="1083">
        <f t="shared" si="2"/>
        <v>4.08</v>
      </c>
      <c r="H1474" s="1084"/>
    </row>
    <row r="1475" ht="14.25" customHeight="1">
      <c r="A1475" s="1085">
        <v>37414.0</v>
      </c>
      <c r="B1475" s="1086" t="s">
        <v>6784</v>
      </c>
      <c r="C1475" s="1087" t="s">
        <v>1788</v>
      </c>
      <c r="D1475" s="1088">
        <v>4.63</v>
      </c>
      <c r="E1475" s="1089" t="s">
        <v>5308</v>
      </c>
      <c r="F1475" s="1081">
        <f t="shared" si="1"/>
        <v>0</v>
      </c>
      <c r="G1475" s="1083">
        <f t="shared" si="2"/>
        <v>4.63</v>
      </c>
      <c r="H1475" s="1084"/>
    </row>
    <row r="1476" ht="14.25" customHeight="1">
      <c r="A1476" s="1085">
        <v>37415.0</v>
      </c>
      <c r="B1476" s="1086" t="s">
        <v>6785</v>
      </c>
      <c r="C1476" s="1087" t="s">
        <v>1788</v>
      </c>
      <c r="D1476" s="1088">
        <v>8.43</v>
      </c>
      <c r="E1476" s="1089" t="s">
        <v>5308</v>
      </c>
      <c r="F1476" s="1081">
        <f t="shared" si="1"/>
        <v>0</v>
      </c>
      <c r="G1476" s="1083">
        <f t="shared" si="2"/>
        <v>8.43</v>
      </c>
      <c r="H1476" s="1084"/>
    </row>
    <row r="1477" ht="14.25" customHeight="1">
      <c r="A1477" s="1085">
        <v>37416.0</v>
      </c>
      <c r="B1477" s="1086" t="s">
        <v>6786</v>
      </c>
      <c r="C1477" s="1087" t="s">
        <v>1788</v>
      </c>
      <c r="D1477" s="1088">
        <v>3.82</v>
      </c>
      <c r="E1477" s="1089" t="s">
        <v>5308</v>
      </c>
      <c r="F1477" s="1081">
        <f t="shared" si="1"/>
        <v>0</v>
      </c>
      <c r="G1477" s="1083">
        <f t="shared" si="2"/>
        <v>3.82</v>
      </c>
      <c r="H1477" s="1084"/>
    </row>
    <row r="1478" ht="14.25" customHeight="1">
      <c r="A1478" s="1085">
        <v>37417.0</v>
      </c>
      <c r="B1478" s="1086" t="s">
        <v>6787</v>
      </c>
      <c r="C1478" s="1087" t="s">
        <v>1788</v>
      </c>
      <c r="D1478" s="1088">
        <v>5.49</v>
      </c>
      <c r="E1478" s="1089" t="s">
        <v>5308</v>
      </c>
      <c r="F1478" s="1081">
        <f t="shared" si="1"/>
        <v>0</v>
      </c>
      <c r="G1478" s="1083">
        <f t="shared" si="2"/>
        <v>5.49</v>
      </c>
      <c r="H1478" s="1084"/>
    </row>
    <row r="1479" ht="14.25" customHeight="1">
      <c r="A1479" s="1085">
        <v>43590.0</v>
      </c>
      <c r="B1479" s="1086" t="s">
        <v>6788</v>
      </c>
      <c r="C1479" s="1087" t="s">
        <v>1788</v>
      </c>
      <c r="D1479" s="1088">
        <v>152.13</v>
      </c>
      <c r="E1479" s="1089" t="s">
        <v>5308</v>
      </c>
      <c r="F1479" s="1081">
        <f t="shared" si="1"/>
        <v>0</v>
      </c>
      <c r="G1479" s="1083">
        <f t="shared" si="2"/>
        <v>152.13</v>
      </c>
      <c r="H1479" s="1084"/>
    </row>
    <row r="1480" ht="14.25" customHeight="1">
      <c r="A1480" s="1085">
        <v>43589.0</v>
      </c>
      <c r="B1480" s="1086" t="s">
        <v>6789</v>
      </c>
      <c r="C1480" s="1087" t="s">
        <v>1788</v>
      </c>
      <c r="D1480" s="1088">
        <v>27.52</v>
      </c>
      <c r="E1480" s="1089" t="s">
        <v>5308</v>
      </c>
      <c r="F1480" s="1081">
        <f t="shared" si="1"/>
        <v>0</v>
      </c>
      <c r="G1480" s="1083">
        <f t="shared" si="2"/>
        <v>27.52</v>
      </c>
      <c r="H1480" s="1084"/>
    </row>
    <row r="1481" ht="14.25" customHeight="1">
      <c r="A1481" s="1085">
        <v>34519.0</v>
      </c>
      <c r="B1481" s="1086" t="s">
        <v>6790</v>
      </c>
      <c r="C1481" s="1087" t="s">
        <v>1788</v>
      </c>
      <c r="D1481" s="1088">
        <v>79.0</v>
      </c>
      <c r="E1481" s="1089" t="s">
        <v>5308</v>
      </c>
      <c r="F1481" s="1081">
        <f t="shared" si="1"/>
        <v>0</v>
      </c>
      <c r="G1481" s="1083">
        <f t="shared" si="2"/>
        <v>79</v>
      </c>
      <c r="H1481" s="1084"/>
    </row>
    <row r="1482" ht="14.25" customHeight="1">
      <c r="A1482" s="1085">
        <v>1649.0</v>
      </c>
      <c r="B1482" s="1086" t="s">
        <v>6791</v>
      </c>
      <c r="C1482" s="1087" t="s">
        <v>1788</v>
      </c>
      <c r="D1482" s="1088">
        <v>83.62</v>
      </c>
      <c r="E1482" s="1089" t="s">
        <v>5308</v>
      </c>
      <c r="F1482" s="1081">
        <f t="shared" si="1"/>
        <v>0</v>
      </c>
      <c r="G1482" s="1083">
        <f t="shared" si="2"/>
        <v>83.62</v>
      </c>
      <c r="H1482" s="1084"/>
    </row>
    <row r="1483" ht="14.25" customHeight="1">
      <c r="A1483" s="1085">
        <v>1653.0</v>
      </c>
      <c r="B1483" s="1086" t="s">
        <v>6792</v>
      </c>
      <c r="C1483" s="1087" t="s">
        <v>1788</v>
      </c>
      <c r="D1483" s="1088">
        <v>65.5</v>
      </c>
      <c r="E1483" s="1089" t="s">
        <v>5308</v>
      </c>
      <c r="F1483" s="1081">
        <f t="shared" si="1"/>
        <v>0</v>
      </c>
      <c r="G1483" s="1083">
        <f t="shared" si="2"/>
        <v>65.5</v>
      </c>
      <c r="H1483" s="1084"/>
    </row>
    <row r="1484" ht="14.25" customHeight="1">
      <c r="A1484" s="1085">
        <v>1647.0</v>
      </c>
      <c r="B1484" s="1086" t="s">
        <v>6793</v>
      </c>
      <c r="C1484" s="1087" t="s">
        <v>1788</v>
      </c>
      <c r="D1484" s="1088">
        <v>23.45</v>
      </c>
      <c r="E1484" s="1089" t="s">
        <v>5308</v>
      </c>
      <c r="F1484" s="1081">
        <f t="shared" si="1"/>
        <v>0</v>
      </c>
      <c r="G1484" s="1083">
        <f t="shared" si="2"/>
        <v>23.45</v>
      </c>
      <c r="H1484" s="1084"/>
    </row>
    <row r="1485" ht="14.25" customHeight="1">
      <c r="A1485" s="1085">
        <v>1648.0</v>
      </c>
      <c r="B1485" s="1086" t="s">
        <v>6794</v>
      </c>
      <c r="C1485" s="1087" t="s">
        <v>1788</v>
      </c>
      <c r="D1485" s="1088">
        <v>45.04</v>
      </c>
      <c r="E1485" s="1089" t="s">
        <v>5308</v>
      </c>
      <c r="F1485" s="1081">
        <f t="shared" si="1"/>
        <v>0</v>
      </c>
      <c r="G1485" s="1083">
        <f t="shared" si="2"/>
        <v>45.04</v>
      </c>
      <c r="H1485" s="1084"/>
    </row>
    <row r="1486" ht="14.25" customHeight="1">
      <c r="A1486" s="1085">
        <v>1651.0</v>
      </c>
      <c r="B1486" s="1086" t="s">
        <v>6795</v>
      </c>
      <c r="C1486" s="1087" t="s">
        <v>1788</v>
      </c>
      <c r="D1486" s="1088">
        <v>208.92</v>
      </c>
      <c r="E1486" s="1089" t="s">
        <v>5308</v>
      </c>
      <c r="F1486" s="1081">
        <f t="shared" si="1"/>
        <v>0</v>
      </c>
      <c r="G1486" s="1083">
        <f t="shared" si="2"/>
        <v>208.92</v>
      </c>
      <c r="H1486" s="1084"/>
    </row>
    <row r="1487" ht="14.25" customHeight="1">
      <c r="A1487" s="1085">
        <v>1650.0</v>
      </c>
      <c r="B1487" s="1086" t="s">
        <v>6796</v>
      </c>
      <c r="C1487" s="1087" t="s">
        <v>1788</v>
      </c>
      <c r="D1487" s="1088">
        <v>115.48</v>
      </c>
      <c r="E1487" s="1089" t="s">
        <v>5308</v>
      </c>
      <c r="F1487" s="1081">
        <f t="shared" si="1"/>
        <v>0</v>
      </c>
      <c r="G1487" s="1083">
        <f t="shared" si="2"/>
        <v>115.48</v>
      </c>
      <c r="H1487" s="1084"/>
    </row>
    <row r="1488" ht="14.25" customHeight="1">
      <c r="A1488" s="1085">
        <v>1654.0</v>
      </c>
      <c r="B1488" s="1086" t="s">
        <v>6797</v>
      </c>
      <c r="C1488" s="1087" t="s">
        <v>1788</v>
      </c>
      <c r="D1488" s="1088">
        <v>32.19</v>
      </c>
      <c r="E1488" s="1089" t="s">
        <v>5308</v>
      </c>
      <c r="F1488" s="1081">
        <f t="shared" si="1"/>
        <v>0</v>
      </c>
      <c r="G1488" s="1083">
        <f t="shared" si="2"/>
        <v>32.19</v>
      </c>
      <c r="H1488" s="1084"/>
    </row>
    <row r="1489" ht="14.25" customHeight="1">
      <c r="A1489" s="1085">
        <v>1652.0</v>
      </c>
      <c r="B1489" s="1086" t="s">
        <v>6798</v>
      </c>
      <c r="C1489" s="1087" t="s">
        <v>1788</v>
      </c>
      <c r="D1489" s="1088">
        <v>299.86</v>
      </c>
      <c r="E1489" s="1089" t="s">
        <v>5308</v>
      </c>
      <c r="F1489" s="1081">
        <f t="shared" si="1"/>
        <v>0</v>
      </c>
      <c r="G1489" s="1083">
        <f t="shared" si="2"/>
        <v>299.86</v>
      </c>
      <c r="H1489" s="1084"/>
    </row>
    <row r="1490" ht="14.25" customHeight="1">
      <c r="A1490" s="1085">
        <v>10510.0</v>
      </c>
      <c r="B1490" s="1086" t="s">
        <v>6799</v>
      </c>
      <c r="C1490" s="1087" t="s">
        <v>1788</v>
      </c>
      <c r="D1490" s="1088">
        <v>160.68</v>
      </c>
      <c r="E1490" s="1089" t="s">
        <v>5308</v>
      </c>
      <c r="F1490" s="1081">
        <f t="shared" si="1"/>
        <v>0</v>
      </c>
      <c r="G1490" s="1083">
        <f t="shared" si="2"/>
        <v>160.68</v>
      </c>
      <c r="H1490" s="1084"/>
    </row>
    <row r="1491" ht="14.25" customHeight="1">
      <c r="A1491" s="1085">
        <v>1747.0</v>
      </c>
      <c r="B1491" s="1086" t="s">
        <v>6800</v>
      </c>
      <c r="C1491" s="1087" t="s">
        <v>1788</v>
      </c>
      <c r="D1491" s="1088">
        <v>238.9</v>
      </c>
      <c r="E1491" s="1089" t="s">
        <v>5308</v>
      </c>
      <c r="F1491" s="1081">
        <f t="shared" si="1"/>
        <v>0</v>
      </c>
      <c r="G1491" s="1083">
        <f t="shared" si="2"/>
        <v>238.9</v>
      </c>
      <c r="H1491" s="1084"/>
    </row>
    <row r="1492" ht="14.25" customHeight="1">
      <c r="A1492" s="1085">
        <v>1744.0</v>
      </c>
      <c r="B1492" s="1086" t="s">
        <v>6801</v>
      </c>
      <c r="C1492" s="1087" t="s">
        <v>1788</v>
      </c>
      <c r="D1492" s="1088">
        <v>165.48</v>
      </c>
      <c r="E1492" s="1089" t="s">
        <v>5308</v>
      </c>
      <c r="F1492" s="1081">
        <f t="shared" si="1"/>
        <v>0</v>
      </c>
      <c r="G1492" s="1083">
        <f t="shared" si="2"/>
        <v>165.48</v>
      </c>
      <c r="H1492" s="1084"/>
    </row>
    <row r="1493" ht="14.25" customHeight="1">
      <c r="A1493" s="1085">
        <v>1743.0</v>
      </c>
      <c r="B1493" s="1086" t="s">
        <v>6802</v>
      </c>
      <c r="C1493" s="1087" t="s">
        <v>1788</v>
      </c>
      <c r="D1493" s="1088">
        <v>217.3</v>
      </c>
      <c r="E1493" s="1089" t="s">
        <v>5308</v>
      </c>
      <c r="F1493" s="1081">
        <f t="shared" si="1"/>
        <v>0</v>
      </c>
      <c r="G1493" s="1083">
        <f t="shared" si="2"/>
        <v>217.3</v>
      </c>
      <c r="H1493" s="1084"/>
    </row>
    <row r="1494" ht="14.25" customHeight="1">
      <c r="A1494" s="1085">
        <v>39640.0</v>
      </c>
      <c r="B1494" s="1086" t="s">
        <v>6803</v>
      </c>
      <c r="C1494" s="1087" t="s">
        <v>1788</v>
      </c>
      <c r="D1494" s="1088">
        <v>12.55</v>
      </c>
      <c r="E1494" s="1089" t="s">
        <v>5308</v>
      </c>
      <c r="F1494" s="1081">
        <f t="shared" si="1"/>
        <v>0</v>
      </c>
      <c r="G1494" s="1083">
        <f t="shared" si="2"/>
        <v>12.55</v>
      </c>
      <c r="H1494" s="1084"/>
    </row>
    <row r="1495" ht="14.25" customHeight="1">
      <c r="A1495" s="1085">
        <v>7216.0</v>
      </c>
      <c r="B1495" s="1086" t="s">
        <v>6804</v>
      </c>
      <c r="C1495" s="1087" t="s">
        <v>1788</v>
      </c>
      <c r="D1495" s="1088">
        <v>67.44</v>
      </c>
      <c r="E1495" s="1089" t="s">
        <v>5308</v>
      </c>
      <c r="F1495" s="1081">
        <f t="shared" si="1"/>
        <v>0</v>
      </c>
      <c r="G1495" s="1083">
        <f t="shared" si="2"/>
        <v>67.44</v>
      </c>
      <c r="H1495" s="1084"/>
    </row>
    <row r="1496" ht="14.25" customHeight="1">
      <c r="A1496" s="1085">
        <v>20235.0</v>
      </c>
      <c r="B1496" s="1086" t="s">
        <v>6805</v>
      </c>
      <c r="C1496" s="1087" t="s">
        <v>1788</v>
      </c>
      <c r="D1496" s="1088">
        <v>54.22</v>
      </c>
      <c r="E1496" s="1089" t="s">
        <v>5308</v>
      </c>
      <c r="F1496" s="1081">
        <f t="shared" si="1"/>
        <v>0</v>
      </c>
      <c r="G1496" s="1083">
        <f t="shared" si="2"/>
        <v>54.22</v>
      </c>
      <c r="H1496" s="1084"/>
    </row>
    <row r="1497" ht="14.25" customHeight="1">
      <c r="A1497" s="1085">
        <v>7181.0</v>
      </c>
      <c r="B1497" s="1086" t="s">
        <v>6806</v>
      </c>
      <c r="C1497" s="1087" t="s">
        <v>1788</v>
      </c>
      <c r="D1497" s="1088">
        <v>3.61</v>
      </c>
      <c r="E1497" s="1089" t="s">
        <v>5308</v>
      </c>
      <c r="F1497" s="1081">
        <f t="shared" si="1"/>
        <v>0</v>
      </c>
      <c r="G1497" s="1083">
        <f t="shared" si="2"/>
        <v>3.61</v>
      </c>
      <c r="H1497" s="1084"/>
    </row>
    <row r="1498" ht="14.25" customHeight="1">
      <c r="A1498" s="1085">
        <v>40742.0</v>
      </c>
      <c r="B1498" s="1086" t="s">
        <v>6807</v>
      </c>
      <c r="C1498" s="1087" t="s">
        <v>1788</v>
      </c>
      <c r="D1498" s="1088">
        <v>9.12</v>
      </c>
      <c r="E1498" s="1089" t="s">
        <v>5308</v>
      </c>
      <c r="F1498" s="1081">
        <f t="shared" si="1"/>
        <v>0</v>
      </c>
      <c r="G1498" s="1083">
        <f t="shared" si="2"/>
        <v>9.12</v>
      </c>
      <c r="H1498" s="1084"/>
    </row>
    <row r="1499" ht="14.25" customHeight="1">
      <c r="A1499" s="1085">
        <v>7214.0</v>
      </c>
      <c r="B1499" s="1086" t="s">
        <v>6808</v>
      </c>
      <c r="C1499" s="1087" t="s">
        <v>1788</v>
      </c>
      <c r="D1499" s="1088">
        <v>65.85</v>
      </c>
      <c r="E1499" s="1089" t="s">
        <v>5308</v>
      </c>
      <c r="F1499" s="1081">
        <f t="shared" si="1"/>
        <v>0</v>
      </c>
      <c r="G1499" s="1083">
        <f t="shared" si="2"/>
        <v>65.85</v>
      </c>
      <c r="H1499" s="1084"/>
    </row>
    <row r="1500" ht="14.25" customHeight="1">
      <c r="A1500" s="1085">
        <v>7219.0</v>
      </c>
      <c r="B1500" s="1086" t="s">
        <v>6809</v>
      </c>
      <c r="C1500" s="1087" t="s">
        <v>1788</v>
      </c>
      <c r="D1500" s="1088">
        <v>58.41</v>
      </c>
      <c r="E1500" s="1089" t="s">
        <v>5308</v>
      </c>
      <c r="F1500" s="1081">
        <f t="shared" si="1"/>
        <v>0</v>
      </c>
      <c r="G1500" s="1083">
        <f t="shared" si="2"/>
        <v>58.41</v>
      </c>
      <c r="H1500" s="1084"/>
    </row>
    <row r="1501" ht="14.25" customHeight="1">
      <c r="A1501" s="1085">
        <v>37971.0</v>
      </c>
      <c r="B1501" s="1086" t="s">
        <v>6810</v>
      </c>
      <c r="C1501" s="1087" t="s">
        <v>1788</v>
      </c>
      <c r="D1501" s="1088">
        <v>5.13</v>
      </c>
      <c r="E1501" s="1089" t="s">
        <v>5308</v>
      </c>
      <c r="F1501" s="1081">
        <f t="shared" si="1"/>
        <v>0</v>
      </c>
      <c r="G1501" s="1083">
        <f t="shared" si="2"/>
        <v>5.13</v>
      </c>
      <c r="H1501" s="1084"/>
    </row>
    <row r="1502" ht="14.25" customHeight="1">
      <c r="A1502" s="1085">
        <v>37972.0</v>
      </c>
      <c r="B1502" s="1086" t="s">
        <v>6811</v>
      </c>
      <c r="C1502" s="1087" t="s">
        <v>1788</v>
      </c>
      <c r="D1502" s="1088">
        <v>7.28</v>
      </c>
      <c r="E1502" s="1089" t="s">
        <v>5308</v>
      </c>
      <c r="F1502" s="1081">
        <f t="shared" si="1"/>
        <v>0</v>
      </c>
      <c r="G1502" s="1083">
        <f t="shared" si="2"/>
        <v>7.28</v>
      </c>
      <c r="H1502" s="1084"/>
    </row>
    <row r="1503" ht="14.25" customHeight="1">
      <c r="A1503" s="1085">
        <v>37973.0</v>
      </c>
      <c r="B1503" s="1086" t="s">
        <v>6812</v>
      </c>
      <c r="C1503" s="1087" t="s">
        <v>1788</v>
      </c>
      <c r="D1503" s="1088">
        <v>13.68</v>
      </c>
      <c r="E1503" s="1089" t="s">
        <v>5308</v>
      </c>
      <c r="F1503" s="1081">
        <f t="shared" si="1"/>
        <v>0</v>
      </c>
      <c r="G1503" s="1083">
        <f t="shared" si="2"/>
        <v>13.68</v>
      </c>
      <c r="H1503" s="1084"/>
    </row>
    <row r="1504" ht="14.25" customHeight="1">
      <c r="A1504" s="1085">
        <v>1926.0</v>
      </c>
      <c r="B1504" s="1086" t="s">
        <v>6813</v>
      </c>
      <c r="C1504" s="1087" t="s">
        <v>1788</v>
      </c>
      <c r="D1504" s="1088">
        <v>2.29</v>
      </c>
      <c r="E1504" s="1089" t="s">
        <v>5308</v>
      </c>
      <c r="F1504" s="1081">
        <f t="shared" si="1"/>
        <v>0</v>
      </c>
      <c r="G1504" s="1083">
        <f t="shared" si="2"/>
        <v>2.29</v>
      </c>
      <c r="H1504" s="1084"/>
    </row>
    <row r="1505" ht="14.25" customHeight="1">
      <c r="A1505" s="1085">
        <v>1927.0</v>
      </c>
      <c r="B1505" s="1086" t="s">
        <v>6814</v>
      </c>
      <c r="C1505" s="1087" t="s">
        <v>1788</v>
      </c>
      <c r="D1505" s="1088">
        <v>2.57</v>
      </c>
      <c r="E1505" s="1089" t="s">
        <v>5308</v>
      </c>
      <c r="F1505" s="1081">
        <f t="shared" si="1"/>
        <v>0</v>
      </c>
      <c r="G1505" s="1083">
        <f t="shared" si="2"/>
        <v>2.57</v>
      </c>
      <c r="H1505" s="1084"/>
    </row>
    <row r="1506" ht="14.25" customHeight="1">
      <c r="A1506" s="1085">
        <v>1923.0</v>
      </c>
      <c r="B1506" s="1086" t="s">
        <v>6815</v>
      </c>
      <c r="C1506" s="1087" t="s">
        <v>1788</v>
      </c>
      <c r="D1506" s="1088">
        <v>4.68</v>
      </c>
      <c r="E1506" s="1089" t="s">
        <v>5308</v>
      </c>
      <c r="F1506" s="1081">
        <f t="shared" si="1"/>
        <v>0</v>
      </c>
      <c r="G1506" s="1083">
        <f t="shared" si="2"/>
        <v>4.68</v>
      </c>
      <c r="H1506" s="1084"/>
    </row>
    <row r="1507" ht="14.25" customHeight="1">
      <c r="A1507" s="1085">
        <v>1929.0</v>
      </c>
      <c r="B1507" s="1086" t="s">
        <v>6816</v>
      </c>
      <c r="C1507" s="1087" t="s">
        <v>1788</v>
      </c>
      <c r="D1507" s="1088">
        <v>5.68</v>
      </c>
      <c r="E1507" s="1089" t="s">
        <v>5308</v>
      </c>
      <c r="F1507" s="1081">
        <f t="shared" si="1"/>
        <v>0</v>
      </c>
      <c r="G1507" s="1083">
        <f t="shared" si="2"/>
        <v>5.68</v>
      </c>
      <c r="H1507" s="1084"/>
    </row>
    <row r="1508" ht="14.25" customHeight="1">
      <c r="A1508" s="1085">
        <v>1930.0</v>
      </c>
      <c r="B1508" s="1086" t="s">
        <v>6817</v>
      </c>
      <c r="C1508" s="1087" t="s">
        <v>1788</v>
      </c>
      <c r="D1508" s="1088">
        <v>9.71</v>
      </c>
      <c r="E1508" s="1089" t="s">
        <v>5308</v>
      </c>
      <c r="F1508" s="1081">
        <f t="shared" si="1"/>
        <v>0</v>
      </c>
      <c r="G1508" s="1083">
        <f t="shared" si="2"/>
        <v>9.71</v>
      </c>
      <c r="H1508" s="1084"/>
    </row>
    <row r="1509" ht="14.25" customHeight="1">
      <c r="A1509" s="1085">
        <v>1924.0</v>
      </c>
      <c r="B1509" s="1086" t="s">
        <v>6818</v>
      </c>
      <c r="C1509" s="1087" t="s">
        <v>1788</v>
      </c>
      <c r="D1509" s="1088">
        <v>15.68</v>
      </c>
      <c r="E1509" s="1089" t="s">
        <v>5308</v>
      </c>
      <c r="F1509" s="1081">
        <f t="shared" si="1"/>
        <v>0</v>
      </c>
      <c r="G1509" s="1083">
        <f t="shared" si="2"/>
        <v>15.68</v>
      </c>
      <c r="H1509" s="1084"/>
    </row>
    <row r="1510" ht="14.25" customHeight="1">
      <c r="A1510" s="1085">
        <v>1922.0</v>
      </c>
      <c r="B1510" s="1086" t="s">
        <v>6819</v>
      </c>
      <c r="C1510" s="1087" t="s">
        <v>1788</v>
      </c>
      <c r="D1510" s="1088">
        <v>32.42</v>
      </c>
      <c r="E1510" s="1089" t="s">
        <v>5308</v>
      </c>
      <c r="F1510" s="1081">
        <f t="shared" si="1"/>
        <v>0</v>
      </c>
      <c r="G1510" s="1083">
        <f t="shared" si="2"/>
        <v>32.42</v>
      </c>
      <c r="H1510" s="1084"/>
    </row>
    <row r="1511" ht="14.25" customHeight="1">
      <c r="A1511" s="1085">
        <v>1953.0</v>
      </c>
      <c r="B1511" s="1086" t="s">
        <v>6820</v>
      </c>
      <c r="C1511" s="1087" t="s">
        <v>1788</v>
      </c>
      <c r="D1511" s="1088">
        <v>39.58</v>
      </c>
      <c r="E1511" s="1089" t="s">
        <v>5308</v>
      </c>
      <c r="F1511" s="1081">
        <f t="shared" si="1"/>
        <v>0</v>
      </c>
      <c r="G1511" s="1083">
        <f t="shared" si="2"/>
        <v>39.58</v>
      </c>
      <c r="H1511" s="1084"/>
    </row>
    <row r="1512" ht="14.25" customHeight="1">
      <c r="A1512" s="1085">
        <v>1962.0</v>
      </c>
      <c r="B1512" s="1086" t="s">
        <v>6821</v>
      </c>
      <c r="C1512" s="1087" t="s">
        <v>1788</v>
      </c>
      <c r="D1512" s="1088">
        <v>192.29</v>
      </c>
      <c r="E1512" s="1089" t="s">
        <v>5308</v>
      </c>
      <c r="F1512" s="1081">
        <f t="shared" si="1"/>
        <v>0</v>
      </c>
      <c r="G1512" s="1083">
        <f t="shared" si="2"/>
        <v>192.29</v>
      </c>
      <c r="H1512" s="1084"/>
    </row>
    <row r="1513" ht="14.25" customHeight="1">
      <c r="A1513" s="1085">
        <v>1955.0</v>
      </c>
      <c r="B1513" s="1086" t="s">
        <v>6822</v>
      </c>
      <c r="C1513" s="1087" t="s">
        <v>1788</v>
      </c>
      <c r="D1513" s="1088">
        <v>2.21</v>
      </c>
      <c r="E1513" s="1089" t="s">
        <v>5308</v>
      </c>
      <c r="F1513" s="1081">
        <f t="shared" si="1"/>
        <v>0</v>
      </c>
      <c r="G1513" s="1083">
        <f t="shared" si="2"/>
        <v>2.21</v>
      </c>
      <c r="H1513" s="1084"/>
    </row>
    <row r="1514" ht="14.25" customHeight="1">
      <c r="A1514" s="1085">
        <v>1956.0</v>
      </c>
      <c r="B1514" s="1086" t="s">
        <v>6823</v>
      </c>
      <c r="C1514" s="1087" t="s">
        <v>1788</v>
      </c>
      <c r="D1514" s="1088">
        <v>3.13</v>
      </c>
      <c r="E1514" s="1089" t="s">
        <v>5308</v>
      </c>
      <c r="F1514" s="1081">
        <f t="shared" si="1"/>
        <v>0</v>
      </c>
      <c r="G1514" s="1083">
        <f t="shared" si="2"/>
        <v>3.13</v>
      </c>
      <c r="H1514" s="1084"/>
    </row>
    <row r="1515" ht="14.25" customHeight="1">
      <c r="A1515" s="1085">
        <v>1957.0</v>
      </c>
      <c r="B1515" s="1086" t="s">
        <v>6824</v>
      </c>
      <c r="C1515" s="1087" t="s">
        <v>1788</v>
      </c>
      <c r="D1515" s="1088">
        <v>6.76</v>
      </c>
      <c r="E1515" s="1089" t="s">
        <v>5308</v>
      </c>
      <c r="F1515" s="1081">
        <f t="shared" si="1"/>
        <v>0</v>
      </c>
      <c r="G1515" s="1083">
        <f t="shared" si="2"/>
        <v>6.76</v>
      </c>
      <c r="H1515" s="1084"/>
    </row>
    <row r="1516" ht="14.25" customHeight="1">
      <c r="A1516" s="1085">
        <v>1958.0</v>
      </c>
      <c r="B1516" s="1086" t="s">
        <v>6825</v>
      </c>
      <c r="C1516" s="1087" t="s">
        <v>1788</v>
      </c>
      <c r="D1516" s="1088">
        <v>12.59</v>
      </c>
      <c r="E1516" s="1089" t="s">
        <v>5308</v>
      </c>
      <c r="F1516" s="1081">
        <f t="shared" si="1"/>
        <v>0</v>
      </c>
      <c r="G1516" s="1083">
        <f t="shared" si="2"/>
        <v>12.59</v>
      </c>
      <c r="H1516" s="1084"/>
    </row>
    <row r="1517" ht="14.25" customHeight="1">
      <c r="A1517" s="1085">
        <v>1959.0</v>
      </c>
      <c r="B1517" s="1086" t="s">
        <v>6826</v>
      </c>
      <c r="C1517" s="1087" t="s">
        <v>1788</v>
      </c>
      <c r="D1517" s="1088">
        <v>13.66</v>
      </c>
      <c r="E1517" s="1089" t="s">
        <v>5308</v>
      </c>
      <c r="F1517" s="1081">
        <f t="shared" si="1"/>
        <v>0</v>
      </c>
      <c r="G1517" s="1083">
        <f t="shared" si="2"/>
        <v>13.66</v>
      </c>
      <c r="H1517" s="1084"/>
    </row>
    <row r="1518" ht="14.25" customHeight="1">
      <c r="A1518" s="1085">
        <v>1925.0</v>
      </c>
      <c r="B1518" s="1086" t="s">
        <v>6827</v>
      </c>
      <c r="C1518" s="1087" t="s">
        <v>1788</v>
      </c>
      <c r="D1518" s="1088">
        <v>35.71</v>
      </c>
      <c r="E1518" s="1089" t="s">
        <v>5308</v>
      </c>
      <c r="F1518" s="1081">
        <f t="shared" si="1"/>
        <v>0</v>
      </c>
      <c r="G1518" s="1083">
        <f t="shared" si="2"/>
        <v>35.71</v>
      </c>
      <c r="H1518" s="1084"/>
    </row>
    <row r="1519" ht="14.25" customHeight="1">
      <c r="A1519" s="1085">
        <v>1960.0</v>
      </c>
      <c r="B1519" s="1086" t="s">
        <v>6828</v>
      </c>
      <c r="C1519" s="1087" t="s">
        <v>1788</v>
      </c>
      <c r="D1519" s="1088">
        <v>54.83</v>
      </c>
      <c r="E1519" s="1089" t="s">
        <v>5308</v>
      </c>
      <c r="F1519" s="1081">
        <f t="shared" si="1"/>
        <v>0</v>
      </c>
      <c r="G1519" s="1083">
        <f t="shared" si="2"/>
        <v>54.83</v>
      </c>
      <c r="H1519" s="1084"/>
    </row>
    <row r="1520" ht="14.25" customHeight="1">
      <c r="A1520" s="1085">
        <v>1961.0</v>
      </c>
      <c r="B1520" s="1086" t="s">
        <v>6829</v>
      </c>
      <c r="C1520" s="1087" t="s">
        <v>1788</v>
      </c>
      <c r="D1520" s="1088">
        <v>70.25</v>
      </c>
      <c r="E1520" s="1089" t="s">
        <v>5308</v>
      </c>
      <c r="F1520" s="1081">
        <f t="shared" si="1"/>
        <v>0</v>
      </c>
      <c r="G1520" s="1083">
        <f t="shared" si="2"/>
        <v>70.25</v>
      </c>
      <c r="H1520" s="1084"/>
    </row>
    <row r="1521" ht="14.25" customHeight="1">
      <c r="A1521" s="1085">
        <v>38423.0</v>
      </c>
      <c r="B1521" s="1086" t="s">
        <v>6830</v>
      </c>
      <c r="C1521" s="1087" t="s">
        <v>1788</v>
      </c>
      <c r="D1521" s="1088">
        <v>40.45</v>
      </c>
      <c r="E1521" s="1089" t="s">
        <v>5308</v>
      </c>
      <c r="F1521" s="1081">
        <f t="shared" si="1"/>
        <v>0</v>
      </c>
      <c r="G1521" s="1083">
        <f t="shared" si="2"/>
        <v>40.45</v>
      </c>
      <c r="H1521" s="1084"/>
    </row>
    <row r="1522" ht="14.25" customHeight="1">
      <c r="A1522" s="1085">
        <v>39866.0</v>
      </c>
      <c r="B1522" s="1086" t="s">
        <v>6831</v>
      </c>
      <c r="C1522" s="1087" t="s">
        <v>1788</v>
      </c>
      <c r="D1522" s="1088">
        <v>17.89</v>
      </c>
      <c r="E1522" s="1089" t="s">
        <v>5308</v>
      </c>
      <c r="F1522" s="1081">
        <f t="shared" si="1"/>
        <v>0</v>
      </c>
      <c r="G1522" s="1083">
        <f t="shared" si="2"/>
        <v>17.89</v>
      </c>
      <c r="H1522" s="1084"/>
    </row>
    <row r="1523" ht="14.25" customHeight="1">
      <c r="A1523" s="1085">
        <v>39867.0</v>
      </c>
      <c r="B1523" s="1086" t="s">
        <v>6832</v>
      </c>
      <c r="C1523" s="1087" t="s">
        <v>1788</v>
      </c>
      <c r="D1523" s="1088">
        <v>39.78</v>
      </c>
      <c r="E1523" s="1089" t="s">
        <v>5308</v>
      </c>
      <c r="F1523" s="1081">
        <f t="shared" si="1"/>
        <v>0</v>
      </c>
      <c r="G1523" s="1083">
        <f t="shared" si="2"/>
        <v>39.78</v>
      </c>
      <c r="H1523" s="1084"/>
    </row>
    <row r="1524" ht="14.25" customHeight="1">
      <c r="A1524" s="1085">
        <v>39868.0</v>
      </c>
      <c r="B1524" s="1086" t="s">
        <v>6833</v>
      </c>
      <c r="C1524" s="1087" t="s">
        <v>1788</v>
      </c>
      <c r="D1524" s="1088">
        <v>71.67</v>
      </c>
      <c r="E1524" s="1089" t="s">
        <v>5308</v>
      </c>
      <c r="F1524" s="1081">
        <f t="shared" si="1"/>
        <v>0</v>
      </c>
      <c r="G1524" s="1083">
        <f t="shared" si="2"/>
        <v>71.67</v>
      </c>
      <c r="H1524" s="1084"/>
    </row>
    <row r="1525" ht="14.25" customHeight="1">
      <c r="A1525" s="1085">
        <v>37999.0</v>
      </c>
      <c r="B1525" s="1086" t="s">
        <v>6834</v>
      </c>
      <c r="C1525" s="1087" t="s">
        <v>1788</v>
      </c>
      <c r="D1525" s="1088">
        <v>8.65</v>
      </c>
      <c r="E1525" s="1089" t="s">
        <v>5308</v>
      </c>
      <c r="F1525" s="1081">
        <f t="shared" si="1"/>
        <v>0</v>
      </c>
      <c r="G1525" s="1083">
        <f t="shared" si="2"/>
        <v>8.65</v>
      </c>
      <c r="H1525" s="1084"/>
    </row>
    <row r="1526" ht="14.25" customHeight="1">
      <c r="A1526" s="1085">
        <v>38000.0</v>
      </c>
      <c r="B1526" s="1086" t="s">
        <v>6835</v>
      </c>
      <c r="C1526" s="1087" t="s">
        <v>1788</v>
      </c>
      <c r="D1526" s="1088">
        <v>10.1</v>
      </c>
      <c r="E1526" s="1089" t="s">
        <v>5308</v>
      </c>
      <c r="F1526" s="1081">
        <f t="shared" si="1"/>
        <v>0</v>
      </c>
      <c r="G1526" s="1083">
        <f t="shared" si="2"/>
        <v>10.1</v>
      </c>
      <c r="H1526" s="1084"/>
    </row>
    <row r="1527" ht="14.25" customHeight="1">
      <c r="A1527" s="1085">
        <v>38129.0</v>
      </c>
      <c r="B1527" s="1086" t="s">
        <v>6836</v>
      </c>
      <c r="C1527" s="1087" t="s">
        <v>1788</v>
      </c>
      <c r="D1527" s="1088">
        <v>5.16</v>
      </c>
      <c r="E1527" s="1089" t="s">
        <v>5308</v>
      </c>
      <c r="F1527" s="1081">
        <f t="shared" si="1"/>
        <v>0</v>
      </c>
      <c r="G1527" s="1083">
        <f t="shared" si="2"/>
        <v>5.16</v>
      </c>
      <c r="H1527" s="1084"/>
    </row>
    <row r="1528" ht="14.25" customHeight="1">
      <c r="A1528" s="1085">
        <v>38025.0</v>
      </c>
      <c r="B1528" s="1086" t="s">
        <v>6837</v>
      </c>
      <c r="C1528" s="1087" t="s">
        <v>1788</v>
      </c>
      <c r="D1528" s="1088">
        <v>7.0</v>
      </c>
      <c r="E1528" s="1089" t="s">
        <v>5308</v>
      </c>
      <c r="F1528" s="1081">
        <f t="shared" si="1"/>
        <v>0</v>
      </c>
      <c r="G1528" s="1083">
        <f t="shared" si="2"/>
        <v>7</v>
      </c>
      <c r="H1528" s="1084"/>
    </row>
    <row r="1529" ht="14.25" customHeight="1">
      <c r="A1529" s="1085">
        <v>38026.0</v>
      </c>
      <c r="B1529" s="1086" t="s">
        <v>6838</v>
      </c>
      <c r="C1529" s="1087" t="s">
        <v>1788</v>
      </c>
      <c r="D1529" s="1088">
        <v>17.28</v>
      </c>
      <c r="E1529" s="1089" t="s">
        <v>5308</v>
      </c>
      <c r="F1529" s="1081">
        <f t="shared" si="1"/>
        <v>0</v>
      </c>
      <c r="G1529" s="1083">
        <f t="shared" si="2"/>
        <v>17.28</v>
      </c>
      <c r="H1529" s="1084"/>
    </row>
    <row r="1530" ht="14.25" customHeight="1">
      <c r="A1530" s="1085">
        <v>1858.0</v>
      </c>
      <c r="B1530" s="1086" t="s">
        <v>6839</v>
      </c>
      <c r="C1530" s="1087" t="s">
        <v>1788</v>
      </c>
      <c r="D1530" s="1088">
        <v>62.68</v>
      </c>
      <c r="E1530" s="1089" t="s">
        <v>5308</v>
      </c>
      <c r="F1530" s="1081">
        <f t="shared" si="1"/>
        <v>0</v>
      </c>
      <c r="G1530" s="1083">
        <f t="shared" si="2"/>
        <v>62.68</v>
      </c>
      <c r="H1530" s="1084"/>
    </row>
    <row r="1531" ht="14.25" customHeight="1">
      <c r="A1531" s="1085">
        <v>1844.0</v>
      </c>
      <c r="B1531" s="1086" t="s">
        <v>6840</v>
      </c>
      <c r="C1531" s="1087" t="s">
        <v>1788</v>
      </c>
      <c r="D1531" s="1088">
        <v>143.55</v>
      </c>
      <c r="E1531" s="1089" t="s">
        <v>5308</v>
      </c>
      <c r="F1531" s="1081">
        <f t="shared" si="1"/>
        <v>0</v>
      </c>
      <c r="G1531" s="1083">
        <f t="shared" si="2"/>
        <v>143.55</v>
      </c>
      <c r="H1531" s="1084"/>
    </row>
    <row r="1532" ht="14.25" customHeight="1">
      <c r="A1532" s="1085">
        <v>1863.0</v>
      </c>
      <c r="B1532" s="1086" t="s">
        <v>6841</v>
      </c>
      <c r="C1532" s="1087" t="s">
        <v>1788</v>
      </c>
      <c r="D1532" s="1088">
        <v>66.7</v>
      </c>
      <c r="E1532" s="1089" t="s">
        <v>5308</v>
      </c>
      <c r="F1532" s="1081">
        <f t="shared" si="1"/>
        <v>0</v>
      </c>
      <c r="G1532" s="1083">
        <f t="shared" si="2"/>
        <v>66.7</v>
      </c>
      <c r="H1532" s="1084"/>
    </row>
    <row r="1533" ht="14.25" customHeight="1">
      <c r="A1533" s="1085">
        <v>1865.0</v>
      </c>
      <c r="B1533" s="1086" t="s">
        <v>6842</v>
      </c>
      <c r="C1533" s="1087" t="s">
        <v>1788</v>
      </c>
      <c r="D1533" s="1088">
        <v>173.79</v>
      </c>
      <c r="E1533" s="1089" t="s">
        <v>5308</v>
      </c>
      <c r="F1533" s="1081">
        <f t="shared" si="1"/>
        <v>0</v>
      </c>
      <c r="G1533" s="1083">
        <f t="shared" si="2"/>
        <v>173.79</v>
      </c>
      <c r="H1533" s="1084"/>
    </row>
    <row r="1534" ht="14.25" customHeight="1">
      <c r="A1534" s="1085">
        <v>36355.0</v>
      </c>
      <c r="B1534" s="1086" t="s">
        <v>6843</v>
      </c>
      <c r="C1534" s="1087" t="s">
        <v>1788</v>
      </c>
      <c r="D1534" s="1088">
        <v>11.4</v>
      </c>
      <c r="E1534" s="1089" t="s">
        <v>5308</v>
      </c>
      <c r="F1534" s="1081">
        <f t="shared" si="1"/>
        <v>0</v>
      </c>
      <c r="G1534" s="1083">
        <f t="shared" si="2"/>
        <v>11.4</v>
      </c>
      <c r="H1534" s="1084"/>
    </row>
    <row r="1535" ht="14.25" customHeight="1">
      <c r="A1535" s="1085">
        <v>36356.0</v>
      </c>
      <c r="B1535" s="1086" t="s">
        <v>6844</v>
      </c>
      <c r="C1535" s="1087" t="s">
        <v>1788</v>
      </c>
      <c r="D1535" s="1088">
        <v>18.33</v>
      </c>
      <c r="E1535" s="1089" t="s">
        <v>5308</v>
      </c>
      <c r="F1535" s="1081">
        <f t="shared" si="1"/>
        <v>0</v>
      </c>
      <c r="G1535" s="1083">
        <f t="shared" si="2"/>
        <v>18.33</v>
      </c>
      <c r="H1535" s="1084"/>
    </row>
    <row r="1536" ht="14.25" customHeight="1">
      <c r="A1536" s="1085">
        <v>1966.0</v>
      </c>
      <c r="B1536" s="1086" t="s">
        <v>6845</v>
      </c>
      <c r="C1536" s="1087" t="s">
        <v>1788</v>
      </c>
      <c r="D1536" s="1088">
        <v>26.6</v>
      </c>
      <c r="E1536" s="1089" t="s">
        <v>5308</v>
      </c>
      <c r="F1536" s="1081">
        <f t="shared" si="1"/>
        <v>0</v>
      </c>
      <c r="G1536" s="1083">
        <f t="shared" si="2"/>
        <v>26.6</v>
      </c>
      <c r="H1536" s="1084"/>
    </row>
    <row r="1537" ht="14.25" customHeight="1">
      <c r="A1537" s="1085">
        <v>1933.0</v>
      </c>
      <c r="B1537" s="1086" t="s">
        <v>6846</v>
      </c>
      <c r="C1537" s="1087" t="s">
        <v>1788</v>
      </c>
      <c r="D1537" s="1088">
        <v>5.73</v>
      </c>
      <c r="E1537" s="1089" t="s">
        <v>5308</v>
      </c>
      <c r="F1537" s="1081">
        <f t="shared" si="1"/>
        <v>0</v>
      </c>
      <c r="G1537" s="1083">
        <f t="shared" si="2"/>
        <v>5.73</v>
      </c>
      <c r="H1537" s="1084"/>
    </row>
    <row r="1538" ht="14.25" customHeight="1">
      <c r="A1538" s="1085">
        <v>1932.0</v>
      </c>
      <c r="B1538" s="1086" t="s">
        <v>6847</v>
      </c>
      <c r="C1538" s="1087" t="s">
        <v>1788</v>
      </c>
      <c r="D1538" s="1088">
        <v>13.12</v>
      </c>
      <c r="E1538" s="1089" t="s">
        <v>5308</v>
      </c>
      <c r="F1538" s="1081">
        <f t="shared" si="1"/>
        <v>0</v>
      </c>
      <c r="G1538" s="1083">
        <f t="shared" si="2"/>
        <v>13.12</v>
      </c>
      <c r="H1538" s="1084"/>
    </row>
    <row r="1539" ht="14.25" customHeight="1">
      <c r="A1539" s="1085">
        <v>1951.0</v>
      </c>
      <c r="B1539" s="1086" t="s">
        <v>6848</v>
      </c>
      <c r="C1539" s="1087" t="s">
        <v>1788</v>
      </c>
      <c r="D1539" s="1088">
        <v>27.37</v>
      </c>
      <c r="E1539" s="1089" t="s">
        <v>5308</v>
      </c>
      <c r="F1539" s="1081">
        <f t="shared" si="1"/>
        <v>0</v>
      </c>
      <c r="G1539" s="1083">
        <f t="shared" si="2"/>
        <v>27.37</v>
      </c>
      <c r="H1539" s="1084"/>
    </row>
    <row r="1540" ht="14.25" customHeight="1">
      <c r="A1540" s="1085">
        <v>1970.0</v>
      </c>
      <c r="B1540" s="1086" t="s">
        <v>6849</v>
      </c>
      <c r="C1540" s="1087" t="s">
        <v>1788</v>
      </c>
      <c r="D1540" s="1088">
        <v>66.49</v>
      </c>
      <c r="E1540" s="1089" t="s">
        <v>5308</v>
      </c>
      <c r="F1540" s="1081">
        <f t="shared" si="1"/>
        <v>0</v>
      </c>
      <c r="G1540" s="1083">
        <f t="shared" si="2"/>
        <v>66.49</v>
      </c>
      <c r="H1540" s="1084"/>
    </row>
    <row r="1541" ht="14.25" customHeight="1">
      <c r="A1541" s="1085">
        <v>1967.0</v>
      </c>
      <c r="B1541" s="1086" t="s">
        <v>6850</v>
      </c>
      <c r="C1541" s="1087" t="s">
        <v>1788</v>
      </c>
      <c r="D1541" s="1088">
        <v>7.89</v>
      </c>
      <c r="E1541" s="1089" t="s">
        <v>5308</v>
      </c>
      <c r="F1541" s="1081">
        <f t="shared" si="1"/>
        <v>0</v>
      </c>
      <c r="G1541" s="1083">
        <f t="shared" si="2"/>
        <v>7.89</v>
      </c>
      <c r="H1541" s="1084"/>
    </row>
    <row r="1542" ht="14.25" customHeight="1">
      <c r="A1542" s="1085">
        <v>1968.0</v>
      </c>
      <c r="B1542" s="1086" t="s">
        <v>6851</v>
      </c>
      <c r="C1542" s="1087" t="s">
        <v>1788</v>
      </c>
      <c r="D1542" s="1088">
        <v>15.6</v>
      </c>
      <c r="E1542" s="1089" t="s">
        <v>5308</v>
      </c>
      <c r="F1542" s="1081">
        <f t="shared" si="1"/>
        <v>0</v>
      </c>
      <c r="G1542" s="1083">
        <f t="shared" si="2"/>
        <v>15.6</v>
      </c>
      <c r="H1542" s="1084"/>
    </row>
    <row r="1543" ht="14.25" customHeight="1">
      <c r="A1543" s="1085">
        <v>1969.0</v>
      </c>
      <c r="B1543" s="1086" t="s">
        <v>6852</v>
      </c>
      <c r="C1543" s="1087" t="s">
        <v>1788</v>
      </c>
      <c r="D1543" s="1088">
        <v>50.8</v>
      </c>
      <c r="E1543" s="1089" t="s">
        <v>5308</v>
      </c>
      <c r="F1543" s="1081">
        <f t="shared" si="1"/>
        <v>0</v>
      </c>
      <c r="G1543" s="1083">
        <f t="shared" si="2"/>
        <v>50.8</v>
      </c>
      <c r="H1543" s="1084"/>
    </row>
    <row r="1544" ht="14.25" customHeight="1">
      <c r="A1544" s="1085">
        <v>1827.0</v>
      </c>
      <c r="B1544" s="1086" t="s">
        <v>6853</v>
      </c>
      <c r="C1544" s="1087" t="s">
        <v>1788</v>
      </c>
      <c r="D1544" s="1088">
        <v>131.32</v>
      </c>
      <c r="E1544" s="1089" t="s">
        <v>5308</v>
      </c>
      <c r="F1544" s="1081">
        <f t="shared" si="1"/>
        <v>0</v>
      </c>
      <c r="G1544" s="1083">
        <f t="shared" si="2"/>
        <v>131.32</v>
      </c>
      <c r="H1544" s="1084"/>
    </row>
    <row r="1545" ht="14.25" customHeight="1">
      <c r="A1545" s="1085">
        <v>1831.0</v>
      </c>
      <c r="B1545" s="1086" t="s">
        <v>6854</v>
      </c>
      <c r="C1545" s="1087" t="s">
        <v>1788</v>
      </c>
      <c r="D1545" s="1088">
        <v>28.67</v>
      </c>
      <c r="E1545" s="1089" t="s">
        <v>5308</v>
      </c>
      <c r="F1545" s="1081">
        <f t="shared" si="1"/>
        <v>0</v>
      </c>
      <c r="G1545" s="1083">
        <f t="shared" si="2"/>
        <v>28.67</v>
      </c>
      <c r="H1545" s="1084"/>
    </row>
    <row r="1546" ht="14.25" customHeight="1">
      <c r="A1546" s="1085">
        <v>1825.0</v>
      </c>
      <c r="B1546" s="1086" t="s">
        <v>6855</v>
      </c>
      <c r="C1546" s="1087" t="s">
        <v>1788</v>
      </c>
      <c r="D1546" s="1088">
        <v>70.75</v>
      </c>
      <c r="E1546" s="1089" t="s">
        <v>5308</v>
      </c>
      <c r="F1546" s="1081">
        <f t="shared" si="1"/>
        <v>0</v>
      </c>
      <c r="G1546" s="1083">
        <f t="shared" si="2"/>
        <v>70.75</v>
      </c>
      <c r="H1546" s="1084"/>
    </row>
    <row r="1547" ht="14.25" customHeight="1">
      <c r="A1547" s="1085">
        <v>1828.0</v>
      </c>
      <c r="B1547" s="1086" t="s">
        <v>6856</v>
      </c>
      <c r="C1547" s="1087" t="s">
        <v>1788</v>
      </c>
      <c r="D1547" s="1088">
        <v>160.25</v>
      </c>
      <c r="E1547" s="1089" t="s">
        <v>5308</v>
      </c>
      <c r="F1547" s="1081">
        <f t="shared" si="1"/>
        <v>0</v>
      </c>
      <c r="G1547" s="1083">
        <f t="shared" si="2"/>
        <v>160.25</v>
      </c>
      <c r="H1547" s="1084"/>
    </row>
    <row r="1548" ht="14.25" customHeight="1">
      <c r="A1548" s="1085">
        <v>1845.0</v>
      </c>
      <c r="B1548" s="1086" t="s">
        <v>6857</v>
      </c>
      <c r="C1548" s="1087" t="s">
        <v>1788</v>
      </c>
      <c r="D1548" s="1088">
        <v>35.92</v>
      </c>
      <c r="E1548" s="1089" t="s">
        <v>5308</v>
      </c>
      <c r="F1548" s="1081">
        <f t="shared" si="1"/>
        <v>0</v>
      </c>
      <c r="G1548" s="1083">
        <f t="shared" si="2"/>
        <v>35.92</v>
      </c>
      <c r="H1548" s="1084"/>
    </row>
    <row r="1549" ht="14.25" customHeight="1">
      <c r="A1549" s="1085">
        <v>1824.0</v>
      </c>
      <c r="B1549" s="1086" t="s">
        <v>6858</v>
      </c>
      <c r="C1549" s="1087" t="s">
        <v>1788</v>
      </c>
      <c r="D1549" s="1088">
        <v>84.81</v>
      </c>
      <c r="E1549" s="1089" t="s">
        <v>5308</v>
      </c>
      <c r="F1549" s="1081">
        <f t="shared" si="1"/>
        <v>0</v>
      </c>
      <c r="G1549" s="1083">
        <f t="shared" si="2"/>
        <v>84.81</v>
      </c>
      <c r="H1549" s="1084"/>
    </row>
    <row r="1550" ht="14.25" customHeight="1">
      <c r="A1550" s="1085">
        <v>1940.0</v>
      </c>
      <c r="B1550" s="1086" t="s">
        <v>6859</v>
      </c>
      <c r="C1550" s="1087" t="s">
        <v>1788</v>
      </c>
      <c r="D1550" s="1088">
        <v>34.89</v>
      </c>
      <c r="E1550" s="1089" t="s">
        <v>5308</v>
      </c>
      <c r="F1550" s="1081">
        <f t="shared" si="1"/>
        <v>0</v>
      </c>
      <c r="G1550" s="1083">
        <f t="shared" si="2"/>
        <v>34.89</v>
      </c>
      <c r="H1550" s="1084"/>
    </row>
    <row r="1551" ht="14.25" customHeight="1">
      <c r="A1551" s="1085">
        <v>1937.0</v>
      </c>
      <c r="B1551" s="1086" t="s">
        <v>6860</v>
      </c>
      <c r="C1551" s="1087" t="s">
        <v>1788</v>
      </c>
      <c r="D1551" s="1088">
        <v>5.89</v>
      </c>
      <c r="E1551" s="1089" t="s">
        <v>5308</v>
      </c>
      <c r="F1551" s="1081">
        <f t="shared" si="1"/>
        <v>0</v>
      </c>
      <c r="G1551" s="1083">
        <f t="shared" si="2"/>
        <v>5.89</v>
      </c>
      <c r="H1551" s="1084"/>
    </row>
    <row r="1552" ht="14.25" customHeight="1">
      <c r="A1552" s="1085">
        <v>1939.0</v>
      </c>
      <c r="B1552" s="1086" t="s">
        <v>6861</v>
      </c>
      <c r="C1552" s="1087" t="s">
        <v>1788</v>
      </c>
      <c r="D1552" s="1088">
        <v>9.57</v>
      </c>
      <c r="E1552" s="1089" t="s">
        <v>5308</v>
      </c>
      <c r="F1552" s="1081">
        <f t="shared" si="1"/>
        <v>0</v>
      </c>
      <c r="G1552" s="1083">
        <f t="shared" si="2"/>
        <v>9.57</v>
      </c>
      <c r="H1552" s="1084"/>
    </row>
    <row r="1553" ht="14.25" customHeight="1">
      <c r="A1553" s="1085">
        <v>1938.0</v>
      </c>
      <c r="B1553" s="1086" t="s">
        <v>6862</v>
      </c>
      <c r="C1553" s="1087" t="s">
        <v>1788</v>
      </c>
      <c r="D1553" s="1088">
        <v>6.69</v>
      </c>
      <c r="E1553" s="1089" t="s">
        <v>5308</v>
      </c>
      <c r="F1553" s="1081">
        <f t="shared" si="1"/>
        <v>0</v>
      </c>
      <c r="G1553" s="1083">
        <f t="shared" si="2"/>
        <v>6.69</v>
      </c>
      <c r="H1553" s="1084"/>
    </row>
    <row r="1554" ht="14.25" customHeight="1">
      <c r="A1554" s="1085">
        <v>42693.0</v>
      </c>
      <c r="B1554" s="1086" t="s">
        <v>6863</v>
      </c>
      <c r="C1554" s="1087" t="s">
        <v>1788</v>
      </c>
      <c r="D1554" s="1088">
        <v>488.21</v>
      </c>
      <c r="E1554" s="1089" t="s">
        <v>5308</v>
      </c>
      <c r="F1554" s="1081">
        <f t="shared" si="1"/>
        <v>0</v>
      </c>
      <c r="G1554" s="1083">
        <f t="shared" si="2"/>
        <v>488.21</v>
      </c>
      <c r="H1554" s="1084"/>
    </row>
    <row r="1555" ht="14.25" customHeight="1">
      <c r="A1555" s="1085">
        <v>42695.0</v>
      </c>
      <c r="B1555" s="1086" t="s">
        <v>6864</v>
      </c>
      <c r="C1555" s="1087" t="s">
        <v>1788</v>
      </c>
      <c r="D1555" s="1088">
        <v>341.09</v>
      </c>
      <c r="E1555" s="1089" t="s">
        <v>5308</v>
      </c>
      <c r="F1555" s="1081">
        <f t="shared" si="1"/>
        <v>0</v>
      </c>
      <c r="G1555" s="1083">
        <f t="shared" si="2"/>
        <v>341.09</v>
      </c>
      <c r="H1555" s="1084"/>
    </row>
    <row r="1556" ht="14.25" customHeight="1">
      <c r="A1556" s="1085">
        <v>42694.0</v>
      </c>
      <c r="B1556" s="1086" t="s">
        <v>6865</v>
      </c>
      <c r="C1556" s="1087" t="s">
        <v>1788</v>
      </c>
      <c r="D1556" s="1088">
        <v>653.32</v>
      </c>
      <c r="E1556" s="1089" t="s">
        <v>5308</v>
      </c>
      <c r="F1556" s="1081">
        <f t="shared" si="1"/>
        <v>0</v>
      </c>
      <c r="G1556" s="1083">
        <f t="shared" si="2"/>
        <v>653.32</v>
      </c>
      <c r="H1556" s="1084"/>
    </row>
    <row r="1557" ht="14.25" customHeight="1">
      <c r="A1557" s="1085">
        <v>20097.0</v>
      </c>
      <c r="B1557" s="1086" t="s">
        <v>6866</v>
      </c>
      <c r="C1557" s="1087" t="s">
        <v>1788</v>
      </c>
      <c r="D1557" s="1088">
        <v>28.33</v>
      </c>
      <c r="E1557" s="1089" t="s">
        <v>5308</v>
      </c>
      <c r="F1557" s="1081">
        <f t="shared" si="1"/>
        <v>0</v>
      </c>
      <c r="G1557" s="1083">
        <f t="shared" si="2"/>
        <v>28.33</v>
      </c>
      <c r="H1557" s="1084"/>
    </row>
    <row r="1558" ht="14.25" customHeight="1">
      <c r="A1558" s="1085">
        <v>20098.0</v>
      </c>
      <c r="B1558" s="1086" t="s">
        <v>6867</v>
      </c>
      <c r="C1558" s="1087" t="s">
        <v>1788</v>
      </c>
      <c r="D1558" s="1088">
        <v>115.77</v>
      </c>
      <c r="E1558" s="1089" t="s">
        <v>5308</v>
      </c>
      <c r="F1558" s="1081">
        <f t="shared" si="1"/>
        <v>0</v>
      </c>
      <c r="G1558" s="1083">
        <f t="shared" si="2"/>
        <v>115.77</v>
      </c>
      <c r="H1558" s="1084"/>
    </row>
    <row r="1559" ht="14.25" customHeight="1">
      <c r="A1559" s="1085">
        <v>20096.0</v>
      </c>
      <c r="B1559" s="1086" t="s">
        <v>6868</v>
      </c>
      <c r="C1559" s="1087" t="s">
        <v>1788</v>
      </c>
      <c r="D1559" s="1088">
        <v>29.32</v>
      </c>
      <c r="E1559" s="1089" t="s">
        <v>5308</v>
      </c>
      <c r="F1559" s="1081">
        <f t="shared" si="1"/>
        <v>0</v>
      </c>
      <c r="G1559" s="1083">
        <f t="shared" si="2"/>
        <v>29.32</v>
      </c>
      <c r="H1559" s="1084"/>
    </row>
    <row r="1560" ht="14.25" customHeight="1">
      <c r="A1560" s="1085">
        <v>1880.0</v>
      </c>
      <c r="B1560" s="1086" t="s">
        <v>6869</v>
      </c>
      <c r="C1560" s="1087" t="s">
        <v>1788</v>
      </c>
      <c r="D1560" s="1088">
        <v>4.59</v>
      </c>
      <c r="E1560" s="1089" t="s">
        <v>5308</v>
      </c>
      <c r="F1560" s="1081">
        <f t="shared" si="1"/>
        <v>0</v>
      </c>
      <c r="G1560" s="1083">
        <f t="shared" si="2"/>
        <v>4.59</v>
      </c>
      <c r="H1560" s="1084"/>
    </row>
    <row r="1561" ht="14.25" customHeight="1">
      <c r="A1561" s="1085">
        <v>39274.0</v>
      </c>
      <c r="B1561" s="1086" t="s">
        <v>6870</v>
      </c>
      <c r="C1561" s="1087" t="s">
        <v>1788</v>
      </c>
      <c r="D1561" s="1088">
        <v>3.56</v>
      </c>
      <c r="E1561" s="1089" t="s">
        <v>5308</v>
      </c>
      <c r="F1561" s="1081">
        <f t="shared" si="1"/>
        <v>0</v>
      </c>
      <c r="G1561" s="1083">
        <f t="shared" si="2"/>
        <v>3.56</v>
      </c>
      <c r="H1561" s="1084"/>
    </row>
    <row r="1562" ht="14.25" customHeight="1">
      <c r="A1562" s="1085">
        <v>2628.0</v>
      </c>
      <c r="B1562" s="1086" t="s">
        <v>6871</v>
      </c>
      <c r="C1562" s="1087" t="s">
        <v>1788</v>
      </c>
      <c r="D1562" s="1088">
        <v>270.27</v>
      </c>
      <c r="E1562" s="1089" t="s">
        <v>5308</v>
      </c>
      <c r="F1562" s="1081">
        <f t="shared" si="1"/>
        <v>0</v>
      </c>
      <c r="G1562" s="1083">
        <f t="shared" si="2"/>
        <v>270.27</v>
      </c>
      <c r="H1562" s="1084"/>
    </row>
    <row r="1563" ht="14.25" customHeight="1">
      <c r="A1563" s="1085">
        <v>2622.0</v>
      </c>
      <c r="B1563" s="1086" t="s">
        <v>6872</v>
      </c>
      <c r="C1563" s="1087" t="s">
        <v>1788</v>
      </c>
      <c r="D1563" s="1088">
        <v>6.42</v>
      </c>
      <c r="E1563" s="1089" t="s">
        <v>5308</v>
      </c>
      <c r="F1563" s="1081">
        <f t="shared" si="1"/>
        <v>0</v>
      </c>
      <c r="G1563" s="1083">
        <f t="shared" si="2"/>
        <v>6.42</v>
      </c>
      <c r="H1563" s="1084"/>
    </row>
    <row r="1564" ht="14.25" customHeight="1">
      <c r="A1564" s="1085">
        <v>2623.0</v>
      </c>
      <c r="B1564" s="1086" t="s">
        <v>6873</v>
      </c>
      <c r="C1564" s="1087" t="s">
        <v>1788</v>
      </c>
      <c r="D1564" s="1088">
        <v>7.72</v>
      </c>
      <c r="E1564" s="1089" t="s">
        <v>5308</v>
      </c>
      <c r="F1564" s="1081">
        <f t="shared" si="1"/>
        <v>0</v>
      </c>
      <c r="G1564" s="1083">
        <f t="shared" si="2"/>
        <v>7.72</v>
      </c>
      <c r="H1564" s="1084"/>
    </row>
    <row r="1565" ht="14.25" customHeight="1">
      <c r="A1565" s="1085">
        <v>2624.0</v>
      </c>
      <c r="B1565" s="1086" t="s">
        <v>6874</v>
      </c>
      <c r="C1565" s="1087" t="s">
        <v>1788</v>
      </c>
      <c r="D1565" s="1088">
        <v>12.28</v>
      </c>
      <c r="E1565" s="1089" t="s">
        <v>5308</v>
      </c>
      <c r="F1565" s="1081">
        <f t="shared" si="1"/>
        <v>0</v>
      </c>
      <c r="G1565" s="1083">
        <f t="shared" si="2"/>
        <v>12.28</v>
      </c>
      <c r="H1565" s="1084"/>
    </row>
    <row r="1566" ht="14.25" customHeight="1">
      <c r="A1566" s="1085">
        <v>2625.0</v>
      </c>
      <c r="B1566" s="1086" t="s">
        <v>6875</v>
      </c>
      <c r="C1566" s="1087" t="s">
        <v>1788</v>
      </c>
      <c r="D1566" s="1088">
        <v>25.93</v>
      </c>
      <c r="E1566" s="1089" t="s">
        <v>5308</v>
      </c>
      <c r="F1566" s="1081">
        <f t="shared" si="1"/>
        <v>0</v>
      </c>
      <c r="G1566" s="1083">
        <f t="shared" si="2"/>
        <v>25.93</v>
      </c>
      <c r="H1566" s="1084"/>
    </row>
    <row r="1567" ht="14.25" customHeight="1">
      <c r="A1567" s="1085">
        <v>2626.0</v>
      </c>
      <c r="B1567" s="1086" t="s">
        <v>6876</v>
      </c>
      <c r="C1567" s="1087" t="s">
        <v>1788</v>
      </c>
      <c r="D1567" s="1088">
        <v>38.0</v>
      </c>
      <c r="E1567" s="1089" t="s">
        <v>5308</v>
      </c>
      <c r="F1567" s="1081">
        <f t="shared" si="1"/>
        <v>0</v>
      </c>
      <c r="G1567" s="1083">
        <f t="shared" si="2"/>
        <v>38</v>
      </c>
      <c r="H1567" s="1084"/>
    </row>
    <row r="1568" ht="14.25" customHeight="1">
      <c r="A1568" s="1085">
        <v>2630.0</v>
      </c>
      <c r="B1568" s="1086" t="s">
        <v>6877</v>
      </c>
      <c r="C1568" s="1087" t="s">
        <v>1788</v>
      </c>
      <c r="D1568" s="1088">
        <v>57.79</v>
      </c>
      <c r="E1568" s="1089" t="s">
        <v>5308</v>
      </c>
      <c r="F1568" s="1081">
        <f t="shared" si="1"/>
        <v>0</v>
      </c>
      <c r="G1568" s="1083">
        <f t="shared" si="2"/>
        <v>57.79</v>
      </c>
      <c r="H1568" s="1084"/>
    </row>
    <row r="1569" ht="14.25" customHeight="1">
      <c r="A1569" s="1085">
        <v>2627.0</v>
      </c>
      <c r="B1569" s="1086" t="s">
        <v>6878</v>
      </c>
      <c r="C1569" s="1087" t="s">
        <v>1788</v>
      </c>
      <c r="D1569" s="1088">
        <v>101.8</v>
      </c>
      <c r="E1569" s="1089" t="s">
        <v>5308</v>
      </c>
      <c r="F1569" s="1081">
        <f t="shared" si="1"/>
        <v>0</v>
      </c>
      <c r="G1569" s="1083">
        <f t="shared" si="2"/>
        <v>101.8</v>
      </c>
      <c r="H1569" s="1084"/>
    </row>
    <row r="1570" ht="14.25" customHeight="1">
      <c r="A1570" s="1085">
        <v>2629.0</v>
      </c>
      <c r="B1570" s="1086" t="s">
        <v>6879</v>
      </c>
      <c r="C1570" s="1087" t="s">
        <v>1788</v>
      </c>
      <c r="D1570" s="1088">
        <v>137.69</v>
      </c>
      <c r="E1570" s="1089" t="s">
        <v>5308</v>
      </c>
      <c r="F1570" s="1081">
        <f t="shared" si="1"/>
        <v>0</v>
      </c>
      <c r="G1570" s="1083">
        <f t="shared" si="2"/>
        <v>137.69</v>
      </c>
      <c r="H1570" s="1084"/>
    </row>
    <row r="1571" ht="14.25" customHeight="1">
      <c r="A1571" s="1085">
        <v>12033.0</v>
      </c>
      <c r="B1571" s="1086" t="s">
        <v>6880</v>
      </c>
      <c r="C1571" s="1087" t="s">
        <v>1788</v>
      </c>
      <c r="D1571" s="1088">
        <v>14.65</v>
      </c>
      <c r="E1571" s="1089" t="s">
        <v>5308</v>
      </c>
      <c r="F1571" s="1081">
        <f t="shared" si="1"/>
        <v>0</v>
      </c>
      <c r="G1571" s="1083">
        <f t="shared" si="2"/>
        <v>14.65</v>
      </c>
      <c r="H1571" s="1084"/>
    </row>
    <row r="1572" ht="14.25" customHeight="1">
      <c r="A1572" s="1085">
        <v>40408.0</v>
      </c>
      <c r="B1572" s="1086" t="s">
        <v>6881</v>
      </c>
      <c r="C1572" s="1087" t="s">
        <v>1788</v>
      </c>
      <c r="D1572" s="1088">
        <v>9.63</v>
      </c>
      <c r="E1572" s="1089" t="s">
        <v>5308</v>
      </c>
      <c r="F1572" s="1081">
        <f t="shared" si="1"/>
        <v>0</v>
      </c>
      <c r="G1572" s="1083">
        <f t="shared" si="2"/>
        <v>9.63</v>
      </c>
      <c r="H1572" s="1084"/>
    </row>
    <row r="1573" ht="14.25" customHeight="1">
      <c r="A1573" s="1085">
        <v>40409.0</v>
      </c>
      <c r="B1573" s="1086" t="s">
        <v>6882</v>
      </c>
      <c r="C1573" s="1087" t="s">
        <v>1788</v>
      </c>
      <c r="D1573" s="1088">
        <v>3.41</v>
      </c>
      <c r="E1573" s="1089" t="s">
        <v>5308</v>
      </c>
      <c r="F1573" s="1081">
        <f t="shared" si="1"/>
        <v>0</v>
      </c>
      <c r="G1573" s="1083">
        <f t="shared" si="2"/>
        <v>3.41</v>
      </c>
      <c r="H1573" s="1084"/>
    </row>
    <row r="1574" ht="14.25" customHeight="1">
      <c r="A1574" s="1085">
        <v>39276.0</v>
      </c>
      <c r="B1574" s="1086" t="s">
        <v>6883</v>
      </c>
      <c r="C1574" s="1087" t="s">
        <v>1788</v>
      </c>
      <c r="D1574" s="1088">
        <v>8.68</v>
      </c>
      <c r="E1574" s="1089" t="s">
        <v>5308</v>
      </c>
      <c r="F1574" s="1081">
        <f t="shared" si="1"/>
        <v>0</v>
      </c>
      <c r="G1574" s="1083">
        <f t="shared" si="2"/>
        <v>8.68</v>
      </c>
      <c r="H1574" s="1084"/>
    </row>
    <row r="1575" ht="14.25" customHeight="1">
      <c r="A1575" s="1085">
        <v>39277.0</v>
      </c>
      <c r="B1575" s="1086" t="s">
        <v>6884</v>
      </c>
      <c r="C1575" s="1087" t="s">
        <v>1788</v>
      </c>
      <c r="D1575" s="1088">
        <v>23.42</v>
      </c>
      <c r="E1575" s="1089" t="s">
        <v>5308</v>
      </c>
      <c r="F1575" s="1081">
        <f t="shared" si="1"/>
        <v>0</v>
      </c>
      <c r="G1575" s="1083">
        <f t="shared" si="2"/>
        <v>23.42</v>
      </c>
      <c r="H1575" s="1084"/>
    </row>
    <row r="1576" ht="14.25" customHeight="1">
      <c r="A1576" s="1085">
        <v>12034.0</v>
      </c>
      <c r="B1576" s="1086" t="s">
        <v>6885</v>
      </c>
      <c r="C1576" s="1087" t="s">
        <v>1788</v>
      </c>
      <c r="D1576" s="1088">
        <v>6.64</v>
      </c>
      <c r="E1576" s="1089" t="s">
        <v>5308</v>
      </c>
      <c r="F1576" s="1081">
        <f t="shared" si="1"/>
        <v>0</v>
      </c>
      <c r="G1576" s="1083">
        <f t="shared" si="2"/>
        <v>6.64</v>
      </c>
      <c r="H1576" s="1084"/>
    </row>
    <row r="1577" ht="14.25" customHeight="1">
      <c r="A1577" s="1085">
        <v>39879.0</v>
      </c>
      <c r="B1577" s="1086" t="s">
        <v>6886</v>
      </c>
      <c r="C1577" s="1087" t="s">
        <v>1788</v>
      </c>
      <c r="D1577" s="1088">
        <v>5.03</v>
      </c>
      <c r="E1577" s="1089" t="s">
        <v>5308</v>
      </c>
      <c r="F1577" s="1081">
        <f t="shared" si="1"/>
        <v>0</v>
      </c>
      <c r="G1577" s="1083">
        <f t="shared" si="2"/>
        <v>5.03</v>
      </c>
      <c r="H1577" s="1084"/>
    </row>
    <row r="1578" ht="14.25" customHeight="1">
      <c r="A1578" s="1085">
        <v>39880.0</v>
      </c>
      <c r="B1578" s="1086" t="s">
        <v>6887</v>
      </c>
      <c r="C1578" s="1087" t="s">
        <v>1788</v>
      </c>
      <c r="D1578" s="1088">
        <v>11.14</v>
      </c>
      <c r="E1578" s="1089" t="s">
        <v>5308</v>
      </c>
      <c r="F1578" s="1081">
        <f t="shared" si="1"/>
        <v>0</v>
      </c>
      <c r="G1578" s="1083">
        <f t="shared" si="2"/>
        <v>11.14</v>
      </c>
      <c r="H1578" s="1084"/>
    </row>
    <row r="1579" ht="14.25" customHeight="1">
      <c r="A1579" s="1085">
        <v>39881.0</v>
      </c>
      <c r="B1579" s="1086" t="s">
        <v>6888</v>
      </c>
      <c r="C1579" s="1087" t="s">
        <v>1788</v>
      </c>
      <c r="D1579" s="1088">
        <v>17.88</v>
      </c>
      <c r="E1579" s="1089" t="s">
        <v>5308</v>
      </c>
      <c r="F1579" s="1081">
        <f t="shared" si="1"/>
        <v>0</v>
      </c>
      <c r="G1579" s="1083">
        <f t="shared" si="2"/>
        <v>17.88</v>
      </c>
      <c r="H1579" s="1084"/>
    </row>
    <row r="1580" ht="14.25" customHeight="1">
      <c r="A1580" s="1085">
        <v>39882.0</v>
      </c>
      <c r="B1580" s="1086" t="s">
        <v>6889</v>
      </c>
      <c r="C1580" s="1087" t="s">
        <v>1788</v>
      </c>
      <c r="D1580" s="1088">
        <v>47.09</v>
      </c>
      <c r="E1580" s="1089" t="s">
        <v>5308</v>
      </c>
      <c r="F1580" s="1081">
        <f t="shared" si="1"/>
        <v>0</v>
      </c>
      <c r="G1580" s="1083">
        <f t="shared" si="2"/>
        <v>47.09</v>
      </c>
      <c r="H1580" s="1084"/>
    </row>
    <row r="1581" ht="14.25" customHeight="1">
      <c r="A1581" s="1085">
        <v>39883.0</v>
      </c>
      <c r="B1581" s="1086" t="s">
        <v>6890</v>
      </c>
      <c r="C1581" s="1087" t="s">
        <v>1788</v>
      </c>
      <c r="D1581" s="1088">
        <v>75.2</v>
      </c>
      <c r="E1581" s="1089" t="s">
        <v>5308</v>
      </c>
      <c r="F1581" s="1081">
        <f t="shared" si="1"/>
        <v>0</v>
      </c>
      <c r="G1581" s="1083">
        <f t="shared" si="2"/>
        <v>75.2</v>
      </c>
      <c r="H1581" s="1084"/>
    </row>
    <row r="1582" ht="14.25" customHeight="1">
      <c r="A1582" s="1085">
        <v>39884.0</v>
      </c>
      <c r="B1582" s="1086" t="s">
        <v>6891</v>
      </c>
      <c r="C1582" s="1087" t="s">
        <v>1788</v>
      </c>
      <c r="D1582" s="1088">
        <v>111.7</v>
      </c>
      <c r="E1582" s="1089" t="s">
        <v>5308</v>
      </c>
      <c r="F1582" s="1081">
        <f t="shared" si="1"/>
        <v>0</v>
      </c>
      <c r="G1582" s="1083">
        <f t="shared" si="2"/>
        <v>111.7</v>
      </c>
      <c r="H1582" s="1084"/>
    </row>
    <row r="1583" ht="14.25" customHeight="1">
      <c r="A1583" s="1085">
        <v>39885.0</v>
      </c>
      <c r="B1583" s="1086" t="s">
        <v>6892</v>
      </c>
      <c r="C1583" s="1087" t="s">
        <v>1788</v>
      </c>
      <c r="D1583" s="1088">
        <v>265.46</v>
      </c>
      <c r="E1583" s="1089" t="s">
        <v>5308</v>
      </c>
      <c r="F1583" s="1081">
        <f t="shared" si="1"/>
        <v>0</v>
      </c>
      <c r="G1583" s="1083">
        <f t="shared" si="2"/>
        <v>265.46</v>
      </c>
      <c r="H1583" s="1084"/>
    </row>
    <row r="1584" ht="14.25" customHeight="1">
      <c r="A1584" s="1085">
        <v>1777.0</v>
      </c>
      <c r="B1584" s="1086" t="s">
        <v>6893</v>
      </c>
      <c r="C1584" s="1087" t="s">
        <v>1788</v>
      </c>
      <c r="D1584" s="1088">
        <v>90.16</v>
      </c>
      <c r="E1584" s="1089" t="s">
        <v>5308</v>
      </c>
      <c r="F1584" s="1081">
        <f t="shared" si="1"/>
        <v>0</v>
      </c>
      <c r="G1584" s="1083">
        <f t="shared" si="2"/>
        <v>90.16</v>
      </c>
      <c r="H1584" s="1084"/>
    </row>
    <row r="1585" ht="14.25" customHeight="1">
      <c r="A1585" s="1085">
        <v>1819.0</v>
      </c>
      <c r="B1585" s="1086" t="s">
        <v>6894</v>
      </c>
      <c r="C1585" s="1087" t="s">
        <v>1788</v>
      </c>
      <c r="D1585" s="1088">
        <v>65.6</v>
      </c>
      <c r="E1585" s="1089" t="s">
        <v>5308</v>
      </c>
      <c r="F1585" s="1081">
        <f t="shared" si="1"/>
        <v>0</v>
      </c>
      <c r="G1585" s="1083">
        <f t="shared" si="2"/>
        <v>65.6</v>
      </c>
      <c r="H1585" s="1084"/>
    </row>
    <row r="1586" ht="14.25" customHeight="1">
      <c r="A1586" s="1085">
        <v>1775.0</v>
      </c>
      <c r="B1586" s="1086" t="s">
        <v>6895</v>
      </c>
      <c r="C1586" s="1087" t="s">
        <v>1788</v>
      </c>
      <c r="D1586" s="1088">
        <v>19.62</v>
      </c>
      <c r="E1586" s="1089" t="s">
        <v>5308</v>
      </c>
      <c r="F1586" s="1081">
        <f t="shared" si="1"/>
        <v>0</v>
      </c>
      <c r="G1586" s="1083">
        <f t="shared" si="2"/>
        <v>19.62</v>
      </c>
      <c r="H1586" s="1084"/>
    </row>
    <row r="1587" ht="14.25" customHeight="1">
      <c r="A1587" s="1085">
        <v>1776.0</v>
      </c>
      <c r="B1587" s="1086" t="s">
        <v>6896</v>
      </c>
      <c r="C1587" s="1087" t="s">
        <v>1788</v>
      </c>
      <c r="D1587" s="1088">
        <v>53.37</v>
      </c>
      <c r="E1587" s="1089" t="s">
        <v>5308</v>
      </c>
      <c r="F1587" s="1081">
        <f t="shared" si="1"/>
        <v>0</v>
      </c>
      <c r="G1587" s="1083">
        <f t="shared" si="2"/>
        <v>53.37</v>
      </c>
      <c r="H1587" s="1084"/>
    </row>
    <row r="1588" ht="14.25" customHeight="1">
      <c r="A1588" s="1085">
        <v>1778.0</v>
      </c>
      <c r="B1588" s="1086" t="s">
        <v>6897</v>
      </c>
      <c r="C1588" s="1087" t="s">
        <v>1788</v>
      </c>
      <c r="D1588" s="1088">
        <v>218.24</v>
      </c>
      <c r="E1588" s="1089" t="s">
        <v>5308</v>
      </c>
      <c r="F1588" s="1081">
        <f t="shared" si="1"/>
        <v>0</v>
      </c>
      <c r="G1588" s="1083">
        <f t="shared" si="2"/>
        <v>218.24</v>
      </c>
      <c r="H1588" s="1084"/>
    </row>
    <row r="1589" ht="14.25" customHeight="1">
      <c r="A1589" s="1085">
        <v>1818.0</v>
      </c>
      <c r="B1589" s="1086" t="s">
        <v>6898</v>
      </c>
      <c r="C1589" s="1087" t="s">
        <v>1788</v>
      </c>
      <c r="D1589" s="1088">
        <v>144.86</v>
      </c>
      <c r="E1589" s="1089" t="s">
        <v>5308</v>
      </c>
      <c r="F1589" s="1081">
        <f t="shared" si="1"/>
        <v>0</v>
      </c>
      <c r="G1589" s="1083">
        <f t="shared" si="2"/>
        <v>144.86</v>
      </c>
      <c r="H1589" s="1084"/>
    </row>
    <row r="1590" ht="14.25" customHeight="1">
      <c r="A1590" s="1085">
        <v>1820.0</v>
      </c>
      <c r="B1590" s="1086" t="s">
        <v>6899</v>
      </c>
      <c r="C1590" s="1087" t="s">
        <v>1788</v>
      </c>
      <c r="D1590" s="1088">
        <v>28.33</v>
      </c>
      <c r="E1590" s="1089" t="s">
        <v>5308</v>
      </c>
      <c r="F1590" s="1081">
        <f t="shared" si="1"/>
        <v>0</v>
      </c>
      <c r="G1590" s="1083">
        <f t="shared" si="2"/>
        <v>28.33</v>
      </c>
      <c r="H1590" s="1084"/>
    </row>
    <row r="1591" ht="14.25" customHeight="1">
      <c r="A1591" s="1085">
        <v>1779.0</v>
      </c>
      <c r="B1591" s="1086" t="s">
        <v>6900</v>
      </c>
      <c r="C1591" s="1087" t="s">
        <v>1788</v>
      </c>
      <c r="D1591" s="1088">
        <v>317.39</v>
      </c>
      <c r="E1591" s="1089" t="s">
        <v>5308</v>
      </c>
      <c r="F1591" s="1081">
        <f t="shared" si="1"/>
        <v>0</v>
      </c>
      <c r="G1591" s="1083">
        <f t="shared" si="2"/>
        <v>317.39</v>
      </c>
      <c r="H1591" s="1084"/>
    </row>
    <row r="1592" ht="14.25" customHeight="1">
      <c r="A1592" s="1085">
        <v>1780.0</v>
      </c>
      <c r="B1592" s="1086" t="s">
        <v>6901</v>
      </c>
      <c r="C1592" s="1087" t="s">
        <v>1788</v>
      </c>
      <c r="D1592" s="1088">
        <v>654.31</v>
      </c>
      <c r="E1592" s="1089" t="s">
        <v>5308</v>
      </c>
      <c r="F1592" s="1081">
        <f t="shared" si="1"/>
        <v>0</v>
      </c>
      <c r="G1592" s="1083">
        <f t="shared" si="2"/>
        <v>654.31</v>
      </c>
      <c r="H1592" s="1084"/>
    </row>
    <row r="1593" ht="14.25" customHeight="1">
      <c r="A1593" s="1085">
        <v>1783.0</v>
      </c>
      <c r="B1593" s="1086" t="s">
        <v>6902</v>
      </c>
      <c r="C1593" s="1087" t="s">
        <v>1788</v>
      </c>
      <c r="D1593" s="1088">
        <v>69.18</v>
      </c>
      <c r="E1593" s="1089" t="s">
        <v>5308</v>
      </c>
      <c r="F1593" s="1081">
        <f t="shared" si="1"/>
        <v>0</v>
      </c>
      <c r="G1593" s="1083">
        <f t="shared" si="2"/>
        <v>69.18</v>
      </c>
      <c r="H1593" s="1084"/>
    </row>
    <row r="1594" ht="14.25" customHeight="1">
      <c r="A1594" s="1085">
        <v>1782.0</v>
      </c>
      <c r="B1594" s="1086" t="s">
        <v>6903</v>
      </c>
      <c r="C1594" s="1087" t="s">
        <v>1788</v>
      </c>
      <c r="D1594" s="1088">
        <v>54.7</v>
      </c>
      <c r="E1594" s="1089" t="s">
        <v>5308</v>
      </c>
      <c r="F1594" s="1081">
        <f t="shared" si="1"/>
        <v>0</v>
      </c>
      <c r="G1594" s="1083">
        <f t="shared" si="2"/>
        <v>54.7</v>
      </c>
      <c r="H1594" s="1084"/>
    </row>
    <row r="1595" ht="14.25" customHeight="1">
      <c r="A1595" s="1085">
        <v>1817.0</v>
      </c>
      <c r="B1595" s="1086" t="s">
        <v>6904</v>
      </c>
      <c r="C1595" s="1087" t="s">
        <v>1788</v>
      </c>
      <c r="D1595" s="1088">
        <v>16.3</v>
      </c>
      <c r="E1595" s="1089" t="s">
        <v>5308</v>
      </c>
      <c r="F1595" s="1081">
        <f t="shared" si="1"/>
        <v>0</v>
      </c>
      <c r="G1595" s="1083">
        <f t="shared" si="2"/>
        <v>16.3</v>
      </c>
      <c r="H1595" s="1084"/>
    </row>
    <row r="1596" ht="14.25" customHeight="1">
      <c r="A1596" s="1085">
        <v>1781.0</v>
      </c>
      <c r="B1596" s="1086" t="s">
        <v>6905</v>
      </c>
      <c r="C1596" s="1087" t="s">
        <v>1788</v>
      </c>
      <c r="D1596" s="1088">
        <v>35.64</v>
      </c>
      <c r="E1596" s="1089" t="s">
        <v>5308</v>
      </c>
      <c r="F1596" s="1081">
        <f t="shared" si="1"/>
        <v>0</v>
      </c>
      <c r="G1596" s="1083">
        <f t="shared" si="2"/>
        <v>35.64</v>
      </c>
      <c r="H1596" s="1084"/>
    </row>
    <row r="1597" ht="14.25" customHeight="1">
      <c r="A1597" s="1085">
        <v>1784.0</v>
      </c>
      <c r="B1597" s="1086" t="s">
        <v>6906</v>
      </c>
      <c r="C1597" s="1087" t="s">
        <v>1788</v>
      </c>
      <c r="D1597" s="1088">
        <v>195.35</v>
      </c>
      <c r="E1597" s="1089" t="s">
        <v>5308</v>
      </c>
      <c r="F1597" s="1081">
        <f t="shared" si="1"/>
        <v>0</v>
      </c>
      <c r="G1597" s="1083">
        <f t="shared" si="2"/>
        <v>195.35</v>
      </c>
      <c r="H1597" s="1084"/>
    </row>
    <row r="1598" ht="14.25" customHeight="1">
      <c r="A1598" s="1085">
        <v>1810.0</v>
      </c>
      <c r="B1598" s="1086" t="s">
        <v>6907</v>
      </c>
      <c r="C1598" s="1087" t="s">
        <v>1788</v>
      </c>
      <c r="D1598" s="1088">
        <v>108.35</v>
      </c>
      <c r="E1598" s="1089" t="s">
        <v>5308</v>
      </c>
      <c r="F1598" s="1081">
        <f t="shared" si="1"/>
        <v>0</v>
      </c>
      <c r="G1598" s="1083">
        <f t="shared" si="2"/>
        <v>108.35</v>
      </c>
      <c r="H1598" s="1084"/>
    </row>
    <row r="1599" ht="14.25" customHeight="1">
      <c r="A1599" s="1085">
        <v>1811.0</v>
      </c>
      <c r="B1599" s="1086" t="s">
        <v>6908</v>
      </c>
      <c r="C1599" s="1087" t="s">
        <v>1788</v>
      </c>
      <c r="D1599" s="1088">
        <v>23.44</v>
      </c>
      <c r="E1599" s="1089" t="s">
        <v>5308</v>
      </c>
      <c r="F1599" s="1081">
        <f t="shared" si="1"/>
        <v>0</v>
      </c>
      <c r="G1599" s="1083">
        <f t="shared" si="2"/>
        <v>23.44</v>
      </c>
      <c r="H1599" s="1084"/>
    </row>
    <row r="1600" ht="14.25" customHeight="1">
      <c r="A1600" s="1085">
        <v>1812.0</v>
      </c>
      <c r="B1600" s="1086" t="s">
        <v>6909</v>
      </c>
      <c r="C1600" s="1087" t="s">
        <v>1788</v>
      </c>
      <c r="D1600" s="1088">
        <v>273.53</v>
      </c>
      <c r="E1600" s="1089" t="s">
        <v>5308</v>
      </c>
      <c r="F1600" s="1081">
        <f t="shared" si="1"/>
        <v>0</v>
      </c>
      <c r="G1600" s="1083">
        <f t="shared" si="2"/>
        <v>273.53</v>
      </c>
      <c r="H1600" s="1084"/>
    </row>
    <row r="1601" ht="14.25" customHeight="1">
      <c r="A1601" s="1085">
        <v>40386.0</v>
      </c>
      <c r="B1601" s="1086" t="s">
        <v>6910</v>
      </c>
      <c r="C1601" s="1087" t="s">
        <v>1788</v>
      </c>
      <c r="D1601" s="1088">
        <v>96.36</v>
      </c>
      <c r="E1601" s="1089" t="s">
        <v>5308</v>
      </c>
      <c r="F1601" s="1081">
        <f t="shared" si="1"/>
        <v>0</v>
      </c>
      <c r="G1601" s="1083">
        <f t="shared" si="2"/>
        <v>96.36</v>
      </c>
      <c r="H1601" s="1084"/>
    </row>
    <row r="1602" ht="14.25" customHeight="1">
      <c r="A1602" s="1085">
        <v>40384.0</v>
      </c>
      <c r="B1602" s="1086" t="s">
        <v>6911</v>
      </c>
      <c r="C1602" s="1087" t="s">
        <v>1788</v>
      </c>
      <c r="D1602" s="1088">
        <v>65.97</v>
      </c>
      <c r="E1602" s="1089" t="s">
        <v>5308</v>
      </c>
      <c r="F1602" s="1081">
        <f t="shared" si="1"/>
        <v>0</v>
      </c>
      <c r="G1602" s="1083">
        <f t="shared" si="2"/>
        <v>65.97</v>
      </c>
      <c r="H1602" s="1084"/>
    </row>
    <row r="1603" ht="14.25" customHeight="1">
      <c r="A1603" s="1085">
        <v>40379.0</v>
      </c>
      <c r="B1603" s="1086" t="s">
        <v>6912</v>
      </c>
      <c r="C1603" s="1087" t="s">
        <v>1788</v>
      </c>
      <c r="D1603" s="1088">
        <v>22.81</v>
      </c>
      <c r="E1603" s="1089" t="s">
        <v>5308</v>
      </c>
      <c r="F1603" s="1081">
        <f t="shared" si="1"/>
        <v>0</v>
      </c>
      <c r="G1603" s="1083">
        <f t="shared" si="2"/>
        <v>22.81</v>
      </c>
      <c r="H1603" s="1084"/>
    </row>
    <row r="1604" ht="14.25" customHeight="1">
      <c r="A1604" s="1085">
        <v>40423.0</v>
      </c>
      <c r="B1604" s="1086" t="s">
        <v>6913</v>
      </c>
      <c r="C1604" s="1087" t="s">
        <v>1788</v>
      </c>
      <c r="D1604" s="1088">
        <v>43.16</v>
      </c>
      <c r="E1604" s="1089" t="s">
        <v>5308</v>
      </c>
      <c r="F1604" s="1081">
        <f t="shared" si="1"/>
        <v>0</v>
      </c>
      <c r="G1604" s="1083">
        <f t="shared" si="2"/>
        <v>43.16</v>
      </c>
      <c r="H1604" s="1084"/>
    </row>
    <row r="1605" ht="14.25" customHeight="1">
      <c r="A1605" s="1085">
        <v>40389.0</v>
      </c>
      <c r="B1605" s="1086" t="s">
        <v>6914</v>
      </c>
      <c r="C1605" s="1087" t="s">
        <v>1788</v>
      </c>
      <c r="D1605" s="1088">
        <v>273.72</v>
      </c>
      <c r="E1605" s="1089" t="s">
        <v>5308</v>
      </c>
      <c r="F1605" s="1081">
        <f t="shared" si="1"/>
        <v>0</v>
      </c>
      <c r="G1605" s="1083">
        <f t="shared" si="2"/>
        <v>273.72</v>
      </c>
      <c r="H1605" s="1084"/>
    </row>
    <row r="1606" ht="14.25" customHeight="1">
      <c r="A1606" s="1085">
        <v>40388.0</v>
      </c>
      <c r="B1606" s="1086" t="s">
        <v>6915</v>
      </c>
      <c r="C1606" s="1087" t="s">
        <v>1788</v>
      </c>
      <c r="D1606" s="1088">
        <v>137.01</v>
      </c>
      <c r="E1606" s="1089" t="s">
        <v>5308</v>
      </c>
      <c r="F1606" s="1081">
        <f t="shared" si="1"/>
        <v>0</v>
      </c>
      <c r="G1606" s="1083">
        <f t="shared" si="2"/>
        <v>137.01</v>
      </c>
      <c r="H1606" s="1084"/>
    </row>
    <row r="1607" ht="14.25" customHeight="1">
      <c r="A1607" s="1085">
        <v>40381.0</v>
      </c>
      <c r="B1607" s="1086" t="s">
        <v>6916</v>
      </c>
      <c r="C1607" s="1087" t="s">
        <v>1788</v>
      </c>
      <c r="D1607" s="1088">
        <v>30.41</v>
      </c>
      <c r="E1607" s="1089" t="s">
        <v>5308</v>
      </c>
      <c r="F1607" s="1081">
        <f t="shared" si="1"/>
        <v>0</v>
      </c>
      <c r="G1607" s="1083">
        <f t="shared" si="2"/>
        <v>30.41</v>
      </c>
      <c r="H1607" s="1084"/>
    </row>
    <row r="1608" ht="14.25" customHeight="1">
      <c r="A1608" s="1085">
        <v>40391.0</v>
      </c>
      <c r="B1608" s="1086" t="s">
        <v>6917</v>
      </c>
      <c r="C1608" s="1087" t="s">
        <v>1788</v>
      </c>
      <c r="D1608" s="1088">
        <v>710.43</v>
      </c>
      <c r="E1608" s="1089" t="s">
        <v>5308</v>
      </c>
      <c r="F1608" s="1081">
        <f t="shared" si="1"/>
        <v>0</v>
      </c>
      <c r="G1608" s="1083">
        <f t="shared" si="2"/>
        <v>710.43</v>
      </c>
      <c r="H1608" s="1084"/>
    </row>
    <row r="1609" ht="14.25" customHeight="1">
      <c r="A1609" s="1085">
        <v>40414.0</v>
      </c>
      <c r="B1609" s="1086" t="s">
        <v>6918</v>
      </c>
      <c r="C1609" s="1087" t="s">
        <v>1788</v>
      </c>
      <c r="D1609" s="1088">
        <v>20.76</v>
      </c>
      <c r="E1609" s="1089" t="s">
        <v>5308</v>
      </c>
      <c r="F1609" s="1081">
        <f t="shared" si="1"/>
        <v>0</v>
      </c>
      <c r="G1609" s="1083">
        <f t="shared" si="2"/>
        <v>20.76</v>
      </c>
      <c r="H1609" s="1084"/>
    </row>
    <row r="1610" ht="14.25" customHeight="1">
      <c r="A1610" s="1085">
        <v>40416.0</v>
      </c>
      <c r="B1610" s="1086" t="s">
        <v>6919</v>
      </c>
      <c r="C1610" s="1087" t="s">
        <v>1788</v>
      </c>
      <c r="D1610" s="1088">
        <v>28.69</v>
      </c>
      <c r="E1610" s="1089" t="s">
        <v>5308</v>
      </c>
      <c r="F1610" s="1081">
        <f t="shared" si="1"/>
        <v>0</v>
      </c>
      <c r="G1610" s="1083">
        <f t="shared" si="2"/>
        <v>28.69</v>
      </c>
      <c r="H1610" s="1084"/>
    </row>
    <row r="1611" ht="14.25" customHeight="1">
      <c r="A1611" s="1085">
        <v>40418.0</v>
      </c>
      <c r="B1611" s="1086" t="s">
        <v>6920</v>
      </c>
      <c r="C1611" s="1087" t="s">
        <v>1788</v>
      </c>
      <c r="D1611" s="1088">
        <v>34.22</v>
      </c>
      <c r="E1611" s="1089" t="s">
        <v>5308</v>
      </c>
      <c r="F1611" s="1081">
        <f t="shared" si="1"/>
        <v>0</v>
      </c>
      <c r="G1611" s="1083">
        <f t="shared" si="2"/>
        <v>34.22</v>
      </c>
      <c r="H1611" s="1084"/>
    </row>
    <row r="1612" ht="14.25" customHeight="1">
      <c r="A1612" s="1085">
        <v>2609.0</v>
      </c>
      <c r="B1612" s="1086" t="s">
        <v>6921</v>
      </c>
      <c r="C1612" s="1087" t="s">
        <v>1788</v>
      </c>
      <c r="D1612" s="1088">
        <v>6.03</v>
      </c>
      <c r="E1612" s="1089" t="s">
        <v>5308</v>
      </c>
      <c r="F1612" s="1081">
        <f t="shared" si="1"/>
        <v>0</v>
      </c>
      <c r="G1612" s="1083">
        <f t="shared" si="2"/>
        <v>6.03</v>
      </c>
      <c r="H1612" s="1084"/>
    </row>
    <row r="1613" ht="14.25" customHeight="1">
      <c r="A1613" s="1085">
        <v>2634.0</v>
      </c>
      <c r="B1613" s="1086" t="s">
        <v>6922</v>
      </c>
      <c r="C1613" s="1087" t="s">
        <v>1788</v>
      </c>
      <c r="D1613" s="1088">
        <v>7.92</v>
      </c>
      <c r="E1613" s="1089" t="s">
        <v>5308</v>
      </c>
      <c r="F1613" s="1081">
        <f t="shared" si="1"/>
        <v>0</v>
      </c>
      <c r="G1613" s="1083">
        <f t="shared" si="2"/>
        <v>7.92</v>
      </c>
      <c r="H1613" s="1084"/>
    </row>
    <row r="1614" ht="14.25" customHeight="1">
      <c r="A1614" s="1085">
        <v>2611.0</v>
      </c>
      <c r="B1614" s="1086" t="s">
        <v>6923</v>
      </c>
      <c r="C1614" s="1087" t="s">
        <v>1788</v>
      </c>
      <c r="D1614" s="1088">
        <v>22.32</v>
      </c>
      <c r="E1614" s="1089" t="s">
        <v>5308</v>
      </c>
      <c r="F1614" s="1081">
        <f t="shared" si="1"/>
        <v>0</v>
      </c>
      <c r="G1614" s="1083">
        <f t="shared" si="2"/>
        <v>22.32</v>
      </c>
      <c r="H1614" s="1084"/>
    </row>
    <row r="1615" ht="14.25" customHeight="1">
      <c r="A1615" s="1085">
        <v>34359.0</v>
      </c>
      <c r="B1615" s="1086" t="s">
        <v>6924</v>
      </c>
      <c r="C1615" s="1087" t="s">
        <v>1788</v>
      </c>
      <c r="D1615" s="1088">
        <v>10.65</v>
      </c>
      <c r="E1615" s="1089" t="s">
        <v>5308</v>
      </c>
      <c r="F1615" s="1081">
        <f t="shared" si="1"/>
        <v>0</v>
      </c>
      <c r="G1615" s="1083">
        <f t="shared" si="2"/>
        <v>10.65</v>
      </c>
      <c r="H1615" s="1084"/>
    </row>
    <row r="1616" ht="14.25" customHeight="1">
      <c r="A1616" s="1085">
        <v>1789.0</v>
      </c>
      <c r="B1616" s="1086" t="s">
        <v>6925</v>
      </c>
      <c r="C1616" s="1087" t="s">
        <v>1788</v>
      </c>
      <c r="D1616" s="1088">
        <v>86.53</v>
      </c>
      <c r="E1616" s="1089" t="s">
        <v>5308</v>
      </c>
      <c r="F1616" s="1081">
        <f t="shared" si="1"/>
        <v>0</v>
      </c>
      <c r="G1616" s="1083">
        <f t="shared" si="2"/>
        <v>86.53</v>
      </c>
      <c r="H1616" s="1084"/>
    </row>
    <row r="1617" ht="14.25" customHeight="1">
      <c r="A1617" s="1085">
        <v>1788.0</v>
      </c>
      <c r="B1617" s="1086" t="s">
        <v>6926</v>
      </c>
      <c r="C1617" s="1087" t="s">
        <v>1788</v>
      </c>
      <c r="D1617" s="1088">
        <v>69.36</v>
      </c>
      <c r="E1617" s="1089" t="s">
        <v>5308</v>
      </c>
      <c r="F1617" s="1081">
        <f t="shared" si="1"/>
        <v>0</v>
      </c>
      <c r="G1617" s="1083">
        <f t="shared" si="2"/>
        <v>69.36</v>
      </c>
      <c r="H1617" s="1084"/>
    </row>
    <row r="1618" ht="14.25" customHeight="1">
      <c r="A1618" s="1085">
        <v>1786.0</v>
      </c>
      <c r="B1618" s="1086" t="s">
        <v>6927</v>
      </c>
      <c r="C1618" s="1087" t="s">
        <v>1788</v>
      </c>
      <c r="D1618" s="1088">
        <v>17.22</v>
      </c>
      <c r="E1618" s="1089" t="s">
        <v>5308</v>
      </c>
      <c r="F1618" s="1081">
        <f t="shared" si="1"/>
        <v>0</v>
      </c>
      <c r="G1618" s="1083">
        <f t="shared" si="2"/>
        <v>17.22</v>
      </c>
      <c r="H1618" s="1084"/>
    </row>
    <row r="1619" ht="14.25" customHeight="1">
      <c r="A1619" s="1085">
        <v>1787.0</v>
      </c>
      <c r="B1619" s="1086" t="s">
        <v>6928</v>
      </c>
      <c r="C1619" s="1087" t="s">
        <v>1788</v>
      </c>
      <c r="D1619" s="1088">
        <v>41.24</v>
      </c>
      <c r="E1619" s="1089" t="s">
        <v>5308</v>
      </c>
      <c r="F1619" s="1081">
        <f t="shared" si="1"/>
        <v>0</v>
      </c>
      <c r="G1619" s="1083">
        <f t="shared" si="2"/>
        <v>41.24</v>
      </c>
      <c r="H1619" s="1084"/>
    </row>
    <row r="1620" ht="14.25" customHeight="1">
      <c r="A1620" s="1085">
        <v>1791.0</v>
      </c>
      <c r="B1620" s="1086" t="s">
        <v>6929</v>
      </c>
      <c r="C1620" s="1087" t="s">
        <v>1788</v>
      </c>
      <c r="D1620" s="1088">
        <v>250.08</v>
      </c>
      <c r="E1620" s="1089" t="s">
        <v>5308</v>
      </c>
      <c r="F1620" s="1081">
        <f t="shared" si="1"/>
        <v>0</v>
      </c>
      <c r="G1620" s="1083">
        <f t="shared" si="2"/>
        <v>250.08</v>
      </c>
      <c r="H1620" s="1084"/>
    </row>
    <row r="1621" ht="14.25" customHeight="1">
      <c r="A1621" s="1085">
        <v>1790.0</v>
      </c>
      <c r="B1621" s="1086" t="s">
        <v>6930</v>
      </c>
      <c r="C1621" s="1087" t="s">
        <v>1788</v>
      </c>
      <c r="D1621" s="1088">
        <v>144.11</v>
      </c>
      <c r="E1621" s="1089" t="s">
        <v>5308</v>
      </c>
      <c r="F1621" s="1081">
        <f t="shared" si="1"/>
        <v>0</v>
      </c>
      <c r="G1621" s="1083">
        <f t="shared" si="2"/>
        <v>144.11</v>
      </c>
      <c r="H1621" s="1084"/>
    </row>
    <row r="1622" ht="14.25" customHeight="1">
      <c r="A1622" s="1085">
        <v>1813.0</v>
      </c>
      <c r="B1622" s="1086" t="s">
        <v>6931</v>
      </c>
      <c r="C1622" s="1087" t="s">
        <v>1788</v>
      </c>
      <c r="D1622" s="1088">
        <v>27.33</v>
      </c>
      <c r="E1622" s="1089" t="s">
        <v>5308</v>
      </c>
      <c r="F1622" s="1081">
        <f t="shared" si="1"/>
        <v>0</v>
      </c>
      <c r="G1622" s="1083">
        <f t="shared" si="2"/>
        <v>27.33</v>
      </c>
      <c r="H1622" s="1084"/>
    </row>
    <row r="1623" ht="14.25" customHeight="1">
      <c r="A1623" s="1085">
        <v>1792.0</v>
      </c>
      <c r="B1623" s="1086" t="s">
        <v>6932</v>
      </c>
      <c r="C1623" s="1087" t="s">
        <v>1788</v>
      </c>
      <c r="D1623" s="1088">
        <v>337.57</v>
      </c>
      <c r="E1623" s="1089" t="s">
        <v>5308</v>
      </c>
      <c r="F1623" s="1081">
        <f t="shared" si="1"/>
        <v>0</v>
      </c>
      <c r="G1623" s="1083">
        <f t="shared" si="2"/>
        <v>337.57</v>
      </c>
      <c r="H1623" s="1084"/>
    </row>
    <row r="1624" ht="14.25" customHeight="1">
      <c r="A1624" s="1085">
        <v>1793.0</v>
      </c>
      <c r="B1624" s="1086" t="s">
        <v>6933</v>
      </c>
      <c r="C1624" s="1087" t="s">
        <v>1788</v>
      </c>
      <c r="D1624" s="1088">
        <v>682.13</v>
      </c>
      <c r="E1624" s="1089" t="s">
        <v>5308</v>
      </c>
      <c r="F1624" s="1081">
        <f t="shared" si="1"/>
        <v>0</v>
      </c>
      <c r="G1624" s="1083">
        <f t="shared" si="2"/>
        <v>682.13</v>
      </c>
      <c r="H1624" s="1084"/>
    </row>
    <row r="1625" ht="14.25" customHeight="1">
      <c r="A1625" s="1085">
        <v>1809.0</v>
      </c>
      <c r="B1625" s="1086" t="s">
        <v>6934</v>
      </c>
      <c r="C1625" s="1087" t="s">
        <v>1788</v>
      </c>
      <c r="D1625" s="1088">
        <v>81.13</v>
      </c>
      <c r="E1625" s="1089" t="s">
        <v>5308</v>
      </c>
      <c r="F1625" s="1081">
        <f t="shared" si="1"/>
        <v>0</v>
      </c>
      <c r="G1625" s="1083">
        <f t="shared" si="2"/>
        <v>81.13</v>
      </c>
      <c r="H1625" s="1084"/>
    </row>
    <row r="1626" ht="14.25" customHeight="1">
      <c r="A1626" s="1085">
        <v>1814.0</v>
      </c>
      <c r="B1626" s="1086" t="s">
        <v>6935</v>
      </c>
      <c r="C1626" s="1087" t="s">
        <v>1788</v>
      </c>
      <c r="D1626" s="1088">
        <v>66.65</v>
      </c>
      <c r="E1626" s="1089" t="s">
        <v>5308</v>
      </c>
      <c r="F1626" s="1081">
        <f t="shared" si="1"/>
        <v>0</v>
      </c>
      <c r="G1626" s="1083">
        <f t="shared" si="2"/>
        <v>66.65</v>
      </c>
      <c r="H1626" s="1084"/>
    </row>
    <row r="1627" ht="14.25" customHeight="1">
      <c r="A1627" s="1085">
        <v>1803.0</v>
      </c>
      <c r="B1627" s="1086" t="s">
        <v>6936</v>
      </c>
      <c r="C1627" s="1087" t="s">
        <v>1788</v>
      </c>
      <c r="D1627" s="1088">
        <v>16.84</v>
      </c>
      <c r="E1627" s="1089" t="s">
        <v>5308</v>
      </c>
      <c r="F1627" s="1081">
        <f t="shared" si="1"/>
        <v>0</v>
      </c>
      <c r="G1627" s="1083">
        <f t="shared" si="2"/>
        <v>16.84</v>
      </c>
      <c r="H1627" s="1084"/>
    </row>
    <row r="1628" ht="14.25" customHeight="1">
      <c r="A1628" s="1085">
        <v>1805.0</v>
      </c>
      <c r="B1628" s="1086" t="s">
        <v>6937</v>
      </c>
      <c r="C1628" s="1087" t="s">
        <v>1788</v>
      </c>
      <c r="D1628" s="1088">
        <v>38.68</v>
      </c>
      <c r="E1628" s="1089" t="s">
        <v>5308</v>
      </c>
      <c r="F1628" s="1081">
        <f t="shared" si="1"/>
        <v>0</v>
      </c>
      <c r="G1628" s="1083">
        <f t="shared" si="2"/>
        <v>38.68</v>
      </c>
      <c r="H1628" s="1084"/>
    </row>
    <row r="1629" ht="14.25" customHeight="1">
      <c r="A1629" s="1085">
        <v>1821.0</v>
      </c>
      <c r="B1629" s="1086" t="s">
        <v>6938</v>
      </c>
      <c r="C1629" s="1087" t="s">
        <v>1788</v>
      </c>
      <c r="D1629" s="1088">
        <v>228.49</v>
      </c>
      <c r="E1629" s="1089" t="s">
        <v>5308</v>
      </c>
      <c r="F1629" s="1081">
        <f t="shared" si="1"/>
        <v>0</v>
      </c>
      <c r="G1629" s="1083">
        <f t="shared" si="2"/>
        <v>228.49</v>
      </c>
      <c r="H1629" s="1084"/>
    </row>
    <row r="1630" ht="14.25" customHeight="1">
      <c r="A1630" s="1085">
        <v>1806.0</v>
      </c>
      <c r="B1630" s="1086" t="s">
        <v>6939</v>
      </c>
      <c r="C1630" s="1087" t="s">
        <v>1788</v>
      </c>
      <c r="D1630" s="1088">
        <v>136.0</v>
      </c>
      <c r="E1630" s="1089" t="s">
        <v>5308</v>
      </c>
      <c r="F1630" s="1081">
        <f t="shared" si="1"/>
        <v>0</v>
      </c>
      <c r="G1630" s="1083">
        <f t="shared" si="2"/>
        <v>136</v>
      </c>
      <c r="H1630" s="1084"/>
    </row>
    <row r="1631" ht="14.25" customHeight="1">
      <c r="A1631" s="1085">
        <v>1804.0</v>
      </c>
      <c r="B1631" s="1086" t="s">
        <v>6940</v>
      </c>
      <c r="C1631" s="1087" t="s">
        <v>1788</v>
      </c>
      <c r="D1631" s="1088">
        <v>23.97</v>
      </c>
      <c r="E1631" s="1089" t="s">
        <v>5308</v>
      </c>
      <c r="F1631" s="1081">
        <f t="shared" si="1"/>
        <v>0</v>
      </c>
      <c r="G1631" s="1083">
        <f t="shared" si="2"/>
        <v>23.97</v>
      </c>
      <c r="H1631" s="1084"/>
    </row>
    <row r="1632" ht="14.25" customHeight="1">
      <c r="A1632" s="1085">
        <v>1807.0</v>
      </c>
      <c r="B1632" s="1086" t="s">
        <v>6941</v>
      </c>
      <c r="C1632" s="1087" t="s">
        <v>1788</v>
      </c>
      <c r="D1632" s="1088">
        <v>326.78</v>
      </c>
      <c r="E1632" s="1089" t="s">
        <v>5308</v>
      </c>
      <c r="F1632" s="1081">
        <f t="shared" si="1"/>
        <v>0</v>
      </c>
      <c r="G1632" s="1083">
        <f t="shared" si="2"/>
        <v>326.78</v>
      </c>
      <c r="H1632" s="1084"/>
    </row>
    <row r="1633" ht="14.25" customHeight="1">
      <c r="A1633" s="1085">
        <v>1808.0</v>
      </c>
      <c r="B1633" s="1086" t="s">
        <v>6942</v>
      </c>
      <c r="C1633" s="1087" t="s">
        <v>1788</v>
      </c>
      <c r="D1633" s="1088">
        <v>655.13</v>
      </c>
      <c r="E1633" s="1089" t="s">
        <v>5308</v>
      </c>
      <c r="F1633" s="1081">
        <f t="shared" si="1"/>
        <v>0</v>
      </c>
      <c r="G1633" s="1083">
        <f t="shared" si="2"/>
        <v>655.13</v>
      </c>
      <c r="H1633" s="1084"/>
    </row>
    <row r="1634" ht="14.25" customHeight="1">
      <c r="A1634" s="1085">
        <v>1797.0</v>
      </c>
      <c r="B1634" s="1086" t="s">
        <v>6943</v>
      </c>
      <c r="C1634" s="1087" t="s">
        <v>1788</v>
      </c>
      <c r="D1634" s="1088">
        <v>98.26</v>
      </c>
      <c r="E1634" s="1089" t="s">
        <v>5308</v>
      </c>
      <c r="F1634" s="1081">
        <f t="shared" si="1"/>
        <v>0</v>
      </c>
      <c r="G1634" s="1083">
        <f t="shared" si="2"/>
        <v>98.26</v>
      </c>
      <c r="H1634" s="1084"/>
    </row>
    <row r="1635" ht="14.25" customHeight="1">
      <c r="A1635" s="1085">
        <v>1796.0</v>
      </c>
      <c r="B1635" s="1086" t="s">
        <v>6944</v>
      </c>
      <c r="C1635" s="1087" t="s">
        <v>1788</v>
      </c>
      <c r="D1635" s="1088">
        <v>75.37</v>
      </c>
      <c r="E1635" s="1089" t="s">
        <v>5308</v>
      </c>
      <c r="F1635" s="1081">
        <f t="shared" si="1"/>
        <v>0</v>
      </c>
      <c r="G1635" s="1083">
        <f t="shared" si="2"/>
        <v>75.37</v>
      </c>
      <c r="H1635" s="1084"/>
    </row>
    <row r="1636" ht="14.25" customHeight="1">
      <c r="A1636" s="1085">
        <v>1794.0</v>
      </c>
      <c r="B1636" s="1086" t="s">
        <v>6945</v>
      </c>
      <c r="C1636" s="1087" t="s">
        <v>1788</v>
      </c>
      <c r="D1636" s="1088">
        <v>17.99</v>
      </c>
      <c r="E1636" s="1089" t="s">
        <v>5308</v>
      </c>
      <c r="F1636" s="1081">
        <f t="shared" si="1"/>
        <v>0</v>
      </c>
      <c r="G1636" s="1083">
        <f t="shared" si="2"/>
        <v>17.99</v>
      </c>
      <c r="H1636" s="1084"/>
    </row>
    <row r="1637" ht="14.25" customHeight="1">
      <c r="A1637" s="1085">
        <v>1816.0</v>
      </c>
      <c r="B1637" s="1086" t="s">
        <v>6946</v>
      </c>
      <c r="C1637" s="1087" t="s">
        <v>1788</v>
      </c>
      <c r="D1637" s="1088">
        <v>40.57</v>
      </c>
      <c r="E1637" s="1089" t="s">
        <v>5308</v>
      </c>
      <c r="F1637" s="1081">
        <f t="shared" si="1"/>
        <v>0</v>
      </c>
      <c r="G1637" s="1083">
        <f t="shared" si="2"/>
        <v>40.57</v>
      </c>
      <c r="H1637" s="1084"/>
    </row>
    <row r="1638" ht="14.25" customHeight="1">
      <c r="A1638" s="1085">
        <v>1815.0</v>
      </c>
      <c r="B1638" s="1086" t="s">
        <v>6947</v>
      </c>
      <c r="C1638" s="1087" t="s">
        <v>1788</v>
      </c>
      <c r="D1638" s="1088">
        <v>311.54</v>
      </c>
      <c r="E1638" s="1089" t="s">
        <v>5308</v>
      </c>
      <c r="F1638" s="1081">
        <f t="shared" si="1"/>
        <v>0</v>
      </c>
      <c r="G1638" s="1083">
        <f t="shared" si="2"/>
        <v>311.54</v>
      </c>
      <c r="H1638" s="1084"/>
    </row>
    <row r="1639" ht="14.25" customHeight="1">
      <c r="A1639" s="1085">
        <v>1798.0</v>
      </c>
      <c r="B1639" s="1086" t="s">
        <v>6948</v>
      </c>
      <c r="C1639" s="1087" t="s">
        <v>1788</v>
      </c>
      <c r="D1639" s="1088">
        <v>139.4</v>
      </c>
      <c r="E1639" s="1089" t="s">
        <v>5308</v>
      </c>
      <c r="F1639" s="1081">
        <f t="shared" si="1"/>
        <v>0</v>
      </c>
      <c r="G1639" s="1083">
        <f t="shared" si="2"/>
        <v>139.4</v>
      </c>
      <c r="H1639" s="1084"/>
    </row>
    <row r="1640" ht="14.25" customHeight="1">
      <c r="A1640" s="1085">
        <v>1795.0</v>
      </c>
      <c r="B1640" s="1086" t="s">
        <v>6949</v>
      </c>
      <c r="C1640" s="1087" t="s">
        <v>1788</v>
      </c>
      <c r="D1640" s="1088">
        <v>24.92</v>
      </c>
      <c r="E1640" s="1089" t="s">
        <v>5308</v>
      </c>
      <c r="F1640" s="1081">
        <f t="shared" si="1"/>
        <v>0</v>
      </c>
      <c r="G1640" s="1083">
        <f t="shared" si="2"/>
        <v>24.92</v>
      </c>
      <c r="H1640" s="1084"/>
    </row>
    <row r="1641" ht="14.25" customHeight="1">
      <c r="A1641" s="1085">
        <v>1799.0</v>
      </c>
      <c r="B1641" s="1086" t="s">
        <v>6950</v>
      </c>
      <c r="C1641" s="1087" t="s">
        <v>1788</v>
      </c>
      <c r="D1641" s="1088">
        <v>405.75</v>
      </c>
      <c r="E1641" s="1089" t="s">
        <v>5308</v>
      </c>
      <c r="F1641" s="1081">
        <f t="shared" si="1"/>
        <v>0</v>
      </c>
      <c r="G1641" s="1083">
        <f t="shared" si="2"/>
        <v>405.75</v>
      </c>
      <c r="H1641" s="1084"/>
    </row>
    <row r="1642" ht="14.25" customHeight="1">
      <c r="A1642" s="1085">
        <v>1800.0</v>
      </c>
      <c r="B1642" s="1086" t="s">
        <v>6951</v>
      </c>
      <c r="C1642" s="1087" t="s">
        <v>1788</v>
      </c>
      <c r="D1642" s="1088">
        <v>774.65</v>
      </c>
      <c r="E1642" s="1089" t="s">
        <v>5308</v>
      </c>
      <c r="F1642" s="1081">
        <f t="shared" si="1"/>
        <v>0</v>
      </c>
      <c r="G1642" s="1083">
        <f t="shared" si="2"/>
        <v>774.65</v>
      </c>
      <c r="H1642" s="1084"/>
    </row>
    <row r="1643" ht="14.25" customHeight="1">
      <c r="A1643" s="1085">
        <v>1802.0</v>
      </c>
      <c r="B1643" s="1086" t="s">
        <v>6952</v>
      </c>
      <c r="C1643" s="1087" t="s">
        <v>1788</v>
      </c>
      <c r="D1643" s="1088">
        <v>1937.7</v>
      </c>
      <c r="E1643" s="1089" t="s">
        <v>5308</v>
      </c>
      <c r="F1643" s="1081">
        <f t="shared" si="1"/>
        <v>0</v>
      </c>
      <c r="G1643" s="1083">
        <f t="shared" si="2"/>
        <v>1937.7</v>
      </c>
      <c r="H1643" s="1084"/>
    </row>
    <row r="1644" ht="14.25" customHeight="1">
      <c r="A1644" s="1085">
        <v>40385.0</v>
      </c>
      <c r="B1644" s="1086" t="s">
        <v>6953</v>
      </c>
      <c r="C1644" s="1087" t="s">
        <v>1788</v>
      </c>
      <c r="D1644" s="1088">
        <v>96.36</v>
      </c>
      <c r="E1644" s="1089" t="s">
        <v>5308</v>
      </c>
      <c r="F1644" s="1081">
        <f t="shared" si="1"/>
        <v>0</v>
      </c>
      <c r="G1644" s="1083">
        <f t="shared" si="2"/>
        <v>96.36</v>
      </c>
      <c r="H1644" s="1084"/>
    </row>
    <row r="1645" ht="14.25" customHeight="1">
      <c r="A1645" s="1085">
        <v>40383.0</v>
      </c>
      <c r="B1645" s="1086" t="s">
        <v>6954</v>
      </c>
      <c r="C1645" s="1087" t="s">
        <v>1788</v>
      </c>
      <c r="D1645" s="1088">
        <v>65.97</v>
      </c>
      <c r="E1645" s="1089" t="s">
        <v>5308</v>
      </c>
      <c r="F1645" s="1081">
        <f t="shared" si="1"/>
        <v>0</v>
      </c>
      <c r="G1645" s="1083">
        <f t="shared" si="2"/>
        <v>65.97</v>
      </c>
      <c r="H1645" s="1084"/>
    </row>
    <row r="1646" ht="14.25" customHeight="1">
      <c r="A1646" s="1085">
        <v>40378.0</v>
      </c>
      <c r="B1646" s="1086" t="s">
        <v>6955</v>
      </c>
      <c r="C1646" s="1087" t="s">
        <v>1788</v>
      </c>
      <c r="D1646" s="1088">
        <v>22.81</v>
      </c>
      <c r="E1646" s="1089" t="s">
        <v>5308</v>
      </c>
      <c r="F1646" s="1081">
        <f t="shared" si="1"/>
        <v>0</v>
      </c>
      <c r="G1646" s="1083">
        <f t="shared" si="2"/>
        <v>22.81</v>
      </c>
      <c r="H1646" s="1084"/>
    </row>
    <row r="1647" ht="14.25" customHeight="1">
      <c r="A1647" s="1085">
        <v>40382.0</v>
      </c>
      <c r="B1647" s="1086" t="s">
        <v>6956</v>
      </c>
      <c r="C1647" s="1087" t="s">
        <v>1788</v>
      </c>
      <c r="D1647" s="1088">
        <v>43.16</v>
      </c>
      <c r="E1647" s="1089" t="s">
        <v>5308</v>
      </c>
      <c r="F1647" s="1081">
        <f t="shared" si="1"/>
        <v>0</v>
      </c>
      <c r="G1647" s="1083">
        <f t="shared" si="2"/>
        <v>43.16</v>
      </c>
      <c r="H1647" s="1084"/>
    </row>
    <row r="1648" ht="14.25" customHeight="1">
      <c r="A1648" s="1085">
        <v>40422.0</v>
      </c>
      <c r="B1648" s="1086" t="s">
        <v>6957</v>
      </c>
      <c r="C1648" s="1087" t="s">
        <v>1788</v>
      </c>
      <c r="D1648" s="1088">
        <v>294.04</v>
      </c>
      <c r="E1648" s="1089" t="s">
        <v>5308</v>
      </c>
      <c r="F1648" s="1081">
        <f t="shared" si="1"/>
        <v>0</v>
      </c>
      <c r="G1648" s="1083">
        <f t="shared" si="2"/>
        <v>294.04</v>
      </c>
      <c r="H1648" s="1084"/>
    </row>
    <row r="1649" ht="14.25" customHeight="1">
      <c r="A1649" s="1085">
        <v>40387.0</v>
      </c>
      <c r="B1649" s="1086" t="s">
        <v>6958</v>
      </c>
      <c r="C1649" s="1087" t="s">
        <v>1788</v>
      </c>
      <c r="D1649" s="1088">
        <v>149.71</v>
      </c>
      <c r="E1649" s="1089" t="s">
        <v>5308</v>
      </c>
      <c r="F1649" s="1081">
        <f t="shared" si="1"/>
        <v>0</v>
      </c>
      <c r="G1649" s="1083">
        <f t="shared" si="2"/>
        <v>149.71</v>
      </c>
      <c r="H1649" s="1084"/>
    </row>
    <row r="1650" ht="14.25" customHeight="1">
      <c r="A1650" s="1085">
        <v>40380.0</v>
      </c>
      <c r="B1650" s="1086" t="s">
        <v>6959</v>
      </c>
      <c r="C1650" s="1087" t="s">
        <v>1788</v>
      </c>
      <c r="D1650" s="1088">
        <v>30.41</v>
      </c>
      <c r="E1650" s="1089" t="s">
        <v>5308</v>
      </c>
      <c r="F1650" s="1081">
        <f t="shared" si="1"/>
        <v>0</v>
      </c>
      <c r="G1650" s="1083">
        <f t="shared" si="2"/>
        <v>30.41</v>
      </c>
      <c r="H1650" s="1084"/>
    </row>
    <row r="1651" ht="14.25" customHeight="1">
      <c r="A1651" s="1085">
        <v>40390.0</v>
      </c>
      <c r="B1651" s="1086" t="s">
        <v>6960</v>
      </c>
      <c r="C1651" s="1087" t="s">
        <v>1788</v>
      </c>
      <c r="D1651" s="1088">
        <v>619.27</v>
      </c>
      <c r="E1651" s="1089" t="s">
        <v>5308</v>
      </c>
      <c r="F1651" s="1081">
        <f t="shared" si="1"/>
        <v>0</v>
      </c>
      <c r="G1651" s="1083">
        <f t="shared" si="2"/>
        <v>619.27</v>
      </c>
      <c r="H1651" s="1084"/>
    </row>
    <row r="1652" ht="14.25" customHeight="1">
      <c r="A1652" s="1085">
        <v>40413.0</v>
      </c>
      <c r="B1652" s="1086" t="s">
        <v>6961</v>
      </c>
      <c r="C1652" s="1087" t="s">
        <v>1788</v>
      </c>
      <c r="D1652" s="1088">
        <v>22.55</v>
      </c>
      <c r="E1652" s="1089" t="s">
        <v>5308</v>
      </c>
      <c r="F1652" s="1081">
        <f t="shared" si="1"/>
        <v>0</v>
      </c>
      <c r="G1652" s="1083">
        <f t="shared" si="2"/>
        <v>22.55</v>
      </c>
      <c r="H1652" s="1084"/>
    </row>
    <row r="1653" ht="14.25" customHeight="1">
      <c r="A1653" s="1085">
        <v>40415.0</v>
      </c>
      <c r="B1653" s="1086" t="s">
        <v>6962</v>
      </c>
      <c r="C1653" s="1087" t="s">
        <v>1788</v>
      </c>
      <c r="D1653" s="1088">
        <v>32.13</v>
      </c>
      <c r="E1653" s="1089" t="s">
        <v>5308</v>
      </c>
      <c r="F1653" s="1081">
        <f t="shared" si="1"/>
        <v>0</v>
      </c>
      <c r="G1653" s="1083">
        <f t="shared" si="2"/>
        <v>32.13</v>
      </c>
      <c r="H1653" s="1084"/>
    </row>
    <row r="1654" ht="14.25" customHeight="1">
      <c r="A1654" s="1085">
        <v>40417.0</v>
      </c>
      <c r="B1654" s="1086" t="s">
        <v>6963</v>
      </c>
      <c r="C1654" s="1087" t="s">
        <v>1788</v>
      </c>
      <c r="D1654" s="1088">
        <v>37.9</v>
      </c>
      <c r="E1654" s="1089" t="s">
        <v>5308</v>
      </c>
      <c r="F1654" s="1081">
        <f t="shared" si="1"/>
        <v>0</v>
      </c>
      <c r="G1654" s="1083">
        <f t="shared" si="2"/>
        <v>37.9</v>
      </c>
      <c r="H1654" s="1084"/>
    </row>
    <row r="1655" ht="14.25" customHeight="1">
      <c r="A1655" s="1085">
        <v>39271.0</v>
      </c>
      <c r="B1655" s="1086" t="s">
        <v>6964</v>
      </c>
      <c r="C1655" s="1087" t="s">
        <v>1788</v>
      </c>
      <c r="D1655" s="1088">
        <v>2.95</v>
      </c>
      <c r="E1655" s="1089" t="s">
        <v>5308</v>
      </c>
      <c r="F1655" s="1081">
        <f t="shared" si="1"/>
        <v>0</v>
      </c>
      <c r="G1655" s="1083">
        <f t="shared" si="2"/>
        <v>2.95</v>
      </c>
      <c r="H1655" s="1084"/>
    </row>
    <row r="1656" ht="14.25" customHeight="1">
      <c r="A1656" s="1085">
        <v>39273.0</v>
      </c>
      <c r="B1656" s="1086" t="s">
        <v>6965</v>
      </c>
      <c r="C1656" s="1087" t="s">
        <v>1788</v>
      </c>
      <c r="D1656" s="1088">
        <v>5.01</v>
      </c>
      <c r="E1656" s="1089" t="s">
        <v>5308</v>
      </c>
      <c r="F1656" s="1081">
        <f t="shared" si="1"/>
        <v>0</v>
      </c>
      <c r="G1656" s="1083">
        <f t="shared" si="2"/>
        <v>5.01</v>
      </c>
      <c r="H1656" s="1084"/>
    </row>
    <row r="1657" ht="14.25" customHeight="1">
      <c r="A1657" s="1085">
        <v>39272.0</v>
      </c>
      <c r="B1657" s="1086" t="s">
        <v>6966</v>
      </c>
      <c r="C1657" s="1087" t="s">
        <v>1788</v>
      </c>
      <c r="D1657" s="1088">
        <v>3.63</v>
      </c>
      <c r="E1657" s="1089" t="s">
        <v>5308</v>
      </c>
      <c r="F1657" s="1081">
        <f t="shared" si="1"/>
        <v>0</v>
      </c>
      <c r="G1657" s="1083">
        <f t="shared" si="2"/>
        <v>3.63</v>
      </c>
      <c r="H1657" s="1084"/>
    </row>
    <row r="1658" ht="14.25" customHeight="1">
      <c r="A1658" s="1085">
        <v>1875.0</v>
      </c>
      <c r="B1658" s="1086" t="s">
        <v>6967</v>
      </c>
      <c r="C1658" s="1087" t="s">
        <v>1788</v>
      </c>
      <c r="D1658" s="1088">
        <v>8.01</v>
      </c>
      <c r="E1658" s="1089" t="s">
        <v>5308</v>
      </c>
      <c r="F1658" s="1081">
        <f t="shared" si="1"/>
        <v>0</v>
      </c>
      <c r="G1658" s="1083">
        <f t="shared" si="2"/>
        <v>8.01</v>
      </c>
      <c r="H1658" s="1084"/>
    </row>
    <row r="1659" ht="14.25" customHeight="1">
      <c r="A1659" s="1085">
        <v>1874.0</v>
      </c>
      <c r="B1659" s="1086" t="s">
        <v>6968</v>
      </c>
      <c r="C1659" s="1087" t="s">
        <v>1788</v>
      </c>
      <c r="D1659" s="1088">
        <v>6.62</v>
      </c>
      <c r="E1659" s="1089" t="s">
        <v>5308</v>
      </c>
      <c r="F1659" s="1081">
        <f t="shared" si="1"/>
        <v>0</v>
      </c>
      <c r="G1659" s="1083">
        <f t="shared" si="2"/>
        <v>6.62</v>
      </c>
      <c r="H1659" s="1084"/>
    </row>
    <row r="1660" ht="14.25" customHeight="1">
      <c r="A1660" s="1085">
        <v>1870.0</v>
      </c>
      <c r="B1660" s="1086" t="s">
        <v>6969</v>
      </c>
      <c r="C1660" s="1087" t="s">
        <v>1788</v>
      </c>
      <c r="D1660" s="1088">
        <v>3.82</v>
      </c>
      <c r="E1660" s="1089" t="s">
        <v>5308</v>
      </c>
      <c r="F1660" s="1081">
        <f t="shared" si="1"/>
        <v>0</v>
      </c>
      <c r="G1660" s="1083">
        <f t="shared" si="2"/>
        <v>3.82</v>
      </c>
      <c r="H1660" s="1084"/>
    </row>
    <row r="1661" ht="14.25" customHeight="1">
      <c r="A1661" s="1085">
        <v>1884.0</v>
      </c>
      <c r="B1661" s="1086" t="s">
        <v>6970</v>
      </c>
      <c r="C1661" s="1087" t="s">
        <v>1788</v>
      </c>
      <c r="D1661" s="1088">
        <v>5.86</v>
      </c>
      <c r="E1661" s="1089" t="s">
        <v>5308</v>
      </c>
      <c r="F1661" s="1081">
        <f t="shared" si="1"/>
        <v>0</v>
      </c>
      <c r="G1661" s="1083">
        <f t="shared" si="2"/>
        <v>5.86</v>
      </c>
      <c r="H1661" s="1084"/>
    </row>
    <row r="1662" ht="14.25" customHeight="1">
      <c r="A1662" s="1085">
        <v>1887.0</v>
      </c>
      <c r="B1662" s="1086" t="s">
        <v>6971</v>
      </c>
      <c r="C1662" s="1087" t="s">
        <v>1788</v>
      </c>
      <c r="D1662" s="1088">
        <v>33.21</v>
      </c>
      <c r="E1662" s="1089" t="s">
        <v>5308</v>
      </c>
      <c r="F1662" s="1081">
        <f t="shared" si="1"/>
        <v>0</v>
      </c>
      <c r="G1662" s="1083">
        <f t="shared" si="2"/>
        <v>33.21</v>
      </c>
      <c r="H1662" s="1084"/>
    </row>
    <row r="1663" ht="14.25" customHeight="1">
      <c r="A1663" s="1085">
        <v>1876.0</v>
      </c>
      <c r="B1663" s="1086" t="s">
        <v>6972</v>
      </c>
      <c r="C1663" s="1087" t="s">
        <v>1788</v>
      </c>
      <c r="D1663" s="1088">
        <v>13.02</v>
      </c>
      <c r="E1663" s="1089" t="s">
        <v>5308</v>
      </c>
      <c r="F1663" s="1081">
        <f t="shared" si="1"/>
        <v>0</v>
      </c>
      <c r="G1663" s="1083">
        <f t="shared" si="2"/>
        <v>13.02</v>
      </c>
      <c r="H1663" s="1084"/>
    </row>
    <row r="1664" ht="14.25" customHeight="1">
      <c r="A1664" s="1085">
        <v>1879.0</v>
      </c>
      <c r="B1664" s="1086" t="s">
        <v>6973</v>
      </c>
      <c r="C1664" s="1087" t="s">
        <v>1788</v>
      </c>
      <c r="D1664" s="1088">
        <v>3.87</v>
      </c>
      <c r="E1664" s="1089" t="s">
        <v>5308</v>
      </c>
      <c r="F1664" s="1081">
        <f t="shared" si="1"/>
        <v>0</v>
      </c>
      <c r="G1664" s="1083">
        <f t="shared" si="2"/>
        <v>3.87</v>
      </c>
      <c r="H1664" s="1084"/>
    </row>
    <row r="1665" ht="14.25" customHeight="1">
      <c r="A1665" s="1085">
        <v>1877.0</v>
      </c>
      <c r="B1665" s="1086" t="s">
        <v>6974</v>
      </c>
      <c r="C1665" s="1087" t="s">
        <v>1788</v>
      </c>
      <c r="D1665" s="1088">
        <v>33.26</v>
      </c>
      <c r="E1665" s="1089" t="s">
        <v>5308</v>
      </c>
      <c r="F1665" s="1081">
        <f t="shared" si="1"/>
        <v>0</v>
      </c>
      <c r="G1665" s="1083">
        <f t="shared" si="2"/>
        <v>33.26</v>
      </c>
      <c r="H1665" s="1084"/>
    </row>
    <row r="1666" ht="14.25" customHeight="1">
      <c r="A1666" s="1085">
        <v>1878.0</v>
      </c>
      <c r="B1666" s="1086" t="s">
        <v>6975</v>
      </c>
      <c r="C1666" s="1087" t="s">
        <v>1788</v>
      </c>
      <c r="D1666" s="1088">
        <v>66.82</v>
      </c>
      <c r="E1666" s="1089" t="s">
        <v>5308</v>
      </c>
      <c r="F1666" s="1081">
        <f t="shared" si="1"/>
        <v>0</v>
      </c>
      <c r="G1666" s="1083">
        <f t="shared" si="2"/>
        <v>66.82</v>
      </c>
      <c r="H1666" s="1084"/>
    </row>
    <row r="1667" ht="14.25" customHeight="1">
      <c r="A1667" s="1085">
        <v>2621.0</v>
      </c>
      <c r="B1667" s="1086" t="s">
        <v>6976</v>
      </c>
      <c r="C1667" s="1087" t="s">
        <v>1788</v>
      </c>
      <c r="D1667" s="1088">
        <v>190.96</v>
      </c>
      <c r="E1667" s="1089" t="s">
        <v>5308</v>
      </c>
      <c r="F1667" s="1081">
        <f t="shared" si="1"/>
        <v>0</v>
      </c>
      <c r="G1667" s="1083">
        <f t="shared" si="2"/>
        <v>190.96</v>
      </c>
      <c r="H1667" s="1084"/>
    </row>
    <row r="1668" ht="14.25" customHeight="1">
      <c r="A1668" s="1085">
        <v>2616.0</v>
      </c>
      <c r="B1668" s="1086" t="s">
        <v>6977</v>
      </c>
      <c r="C1668" s="1087" t="s">
        <v>1788</v>
      </c>
      <c r="D1668" s="1088">
        <v>5.4</v>
      </c>
      <c r="E1668" s="1089" t="s">
        <v>5308</v>
      </c>
      <c r="F1668" s="1081">
        <f t="shared" si="1"/>
        <v>0</v>
      </c>
      <c r="G1668" s="1083">
        <f t="shared" si="2"/>
        <v>5.4</v>
      </c>
      <c r="H1668" s="1084"/>
    </row>
    <row r="1669" ht="14.25" customHeight="1">
      <c r="A1669" s="1085">
        <v>2633.0</v>
      </c>
      <c r="B1669" s="1086" t="s">
        <v>6978</v>
      </c>
      <c r="C1669" s="1087" t="s">
        <v>1788</v>
      </c>
      <c r="D1669" s="1088">
        <v>6.11</v>
      </c>
      <c r="E1669" s="1089" t="s">
        <v>5308</v>
      </c>
      <c r="F1669" s="1081">
        <f t="shared" si="1"/>
        <v>0</v>
      </c>
      <c r="G1669" s="1083">
        <f t="shared" si="2"/>
        <v>6.11</v>
      </c>
      <c r="H1669" s="1084"/>
    </row>
    <row r="1670" ht="14.25" customHeight="1">
      <c r="A1670" s="1085">
        <v>2617.0</v>
      </c>
      <c r="B1670" s="1086" t="s">
        <v>6979</v>
      </c>
      <c r="C1670" s="1087" t="s">
        <v>1788</v>
      </c>
      <c r="D1670" s="1088">
        <v>8.31</v>
      </c>
      <c r="E1670" s="1089" t="s">
        <v>5308</v>
      </c>
      <c r="F1670" s="1081">
        <f t="shared" si="1"/>
        <v>0</v>
      </c>
      <c r="G1670" s="1083">
        <f t="shared" si="2"/>
        <v>8.31</v>
      </c>
      <c r="H1670" s="1084"/>
    </row>
    <row r="1671" ht="14.25" customHeight="1">
      <c r="A1671" s="1085">
        <v>2618.0</v>
      </c>
      <c r="B1671" s="1086" t="s">
        <v>6980</v>
      </c>
      <c r="C1671" s="1087" t="s">
        <v>1788</v>
      </c>
      <c r="D1671" s="1088">
        <v>18.91</v>
      </c>
      <c r="E1671" s="1089" t="s">
        <v>5308</v>
      </c>
      <c r="F1671" s="1081">
        <f t="shared" si="1"/>
        <v>0</v>
      </c>
      <c r="G1671" s="1083">
        <f t="shared" si="2"/>
        <v>18.91</v>
      </c>
      <c r="H1671" s="1084"/>
    </row>
    <row r="1672" ht="14.25" customHeight="1">
      <c r="A1672" s="1085">
        <v>2632.0</v>
      </c>
      <c r="B1672" s="1086" t="s">
        <v>6981</v>
      </c>
      <c r="C1672" s="1087" t="s">
        <v>1788</v>
      </c>
      <c r="D1672" s="1088">
        <v>23.07</v>
      </c>
      <c r="E1672" s="1089" t="s">
        <v>5308</v>
      </c>
      <c r="F1672" s="1081">
        <f t="shared" si="1"/>
        <v>0</v>
      </c>
      <c r="G1672" s="1083">
        <f t="shared" si="2"/>
        <v>23.07</v>
      </c>
      <c r="H1672" s="1084"/>
    </row>
    <row r="1673" ht="14.25" customHeight="1">
      <c r="A1673" s="1085">
        <v>2631.0</v>
      </c>
      <c r="B1673" s="1086" t="s">
        <v>6982</v>
      </c>
      <c r="C1673" s="1087" t="s">
        <v>1788</v>
      </c>
      <c r="D1673" s="1088">
        <v>33.87</v>
      </c>
      <c r="E1673" s="1089" t="s">
        <v>5308</v>
      </c>
      <c r="F1673" s="1081">
        <f t="shared" si="1"/>
        <v>0</v>
      </c>
      <c r="G1673" s="1083">
        <f t="shared" si="2"/>
        <v>33.87</v>
      </c>
      <c r="H1673" s="1084"/>
    </row>
    <row r="1674" ht="14.25" customHeight="1">
      <c r="A1674" s="1085">
        <v>2619.0</v>
      </c>
      <c r="B1674" s="1086" t="s">
        <v>6983</v>
      </c>
      <c r="C1674" s="1087" t="s">
        <v>1788</v>
      </c>
      <c r="D1674" s="1088">
        <v>85.76</v>
      </c>
      <c r="E1674" s="1089" t="s">
        <v>5308</v>
      </c>
      <c r="F1674" s="1081">
        <f t="shared" si="1"/>
        <v>0</v>
      </c>
      <c r="G1674" s="1083">
        <f t="shared" si="2"/>
        <v>85.76</v>
      </c>
      <c r="H1674" s="1084"/>
    </row>
    <row r="1675" ht="14.25" customHeight="1">
      <c r="A1675" s="1085">
        <v>2620.0</v>
      </c>
      <c r="B1675" s="1086" t="s">
        <v>6984</v>
      </c>
      <c r="C1675" s="1087" t="s">
        <v>1788</v>
      </c>
      <c r="D1675" s="1088">
        <v>112.59</v>
      </c>
      <c r="E1675" s="1089" t="s">
        <v>5308</v>
      </c>
      <c r="F1675" s="1081">
        <f t="shared" si="1"/>
        <v>0</v>
      </c>
      <c r="G1675" s="1083">
        <f t="shared" si="2"/>
        <v>112.59</v>
      </c>
      <c r="H1675" s="1084"/>
    </row>
    <row r="1676" ht="14.25" customHeight="1">
      <c r="A1676" s="1085">
        <v>44472.0</v>
      </c>
      <c r="B1676" s="1086" t="s">
        <v>6985</v>
      </c>
      <c r="C1676" s="1087" t="s">
        <v>1788</v>
      </c>
      <c r="D1676" s="1088">
        <v>59.3</v>
      </c>
      <c r="E1676" s="1089" t="s">
        <v>5554</v>
      </c>
      <c r="F1676" s="1081">
        <f t="shared" si="1"/>
        <v>0</v>
      </c>
      <c r="G1676" s="1083">
        <f t="shared" si="2"/>
        <v>59.3</v>
      </c>
      <c r="H1676" s="1084"/>
    </row>
    <row r="1677" ht="14.25" customHeight="1">
      <c r="A1677" s="1085">
        <v>38369.0</v>
      </c>
      <c r="B1677" s="1086" t="s">
        <v>6986</v>
      </c>
      <c r="C1677" s="1087" t="s">
        <v>1788</v>
      </c>
      <c r="D1677" s="1088">
        <v>17.0</v>
      </c>
      <c r="E1677" s="1089" t="s">
        <v>5308</v>
      </c>
      <c r="F1677" s="1081">
        <f t="shared" si="1"/>
        <v>0</v>
      </c>
      <c r="G1677" s="1083">
        <f t="shared" si="2"/>
        <v>17</v>
      </c>
      <c r="H1677" s="1084"/>
    </row>
    <row r="1678" ht="14.25" customHeight="1">
      <c r="A1678" s="1085">
        <v>38370.0</v>
      </c>
      <c r="B1678" s="1086" t="s">
        <v>6987</v>
      </c>
      <c r="C1678" s="1087" t="s">
        <v>1788</v>
      </c>
      <c r="D1678" s="1088">
        <v>17.0</v>
      </c>
      <c r="E1678" s="1089" t="s">
        <v>5308</v>
      </c>
      <c r="F1678" s="1081">
        <f t="shared" si="1"/>
        <v>0</v>
      </c>
      <c r="G1678" s="1083">
        <f t="shared" si="2"/>
        <v>17</v>
      </c>
      <c r="H1678" s="1084"/>
    </row>
    <row r="1679" ht="14.25" customHeight="1">
      <c r="A1679" s="1085">
        <v>38372.0</v>
      </c>
      <c r="B1679" s="1086" t="s">
        <v>6988</v>
      </c>
      <c r="C1679" s="1087" t="s">
        <v>1788</v>
      </c>
      <c r="D1679" s="1088">
        <v>19.65</v>
      </c>
      <c r="E1679" s="1089" t="s">
        <v>5308</v>
      </c>
      <c r="F1679" s="1081">
        <f t="shared" si="1"/>
        <v>0</v>
      </c>
      <c r="G1679" s="1083">
        <f t="shared" si="2"/>
        <v>19.65</v>
      </c>
      <c r="H1679" s="1084"/>
    </row>
    <row r="1680" ht="14.25" customHeight="1">
      <c r="A1680" s="1085">
        <v>2357.0</v>
      </c>
      <c r="B1680" s="1086" t="s">
        <v>6989</v>
      </c>
      <c r="C1680" s="1087" t="s">
        <v>1470</v>
      </c>
      <c r="D1680" s="1088">
        <v>10.6</v>
      </c>
      <c r="E1680" s="1089" t="s">
        <v>5452</v>
      </c>
      <c r="F1680" s="1081">
        <f t="shared" si="1"/>
        <v>10.6</v>
      </c>
      <c r="G1680" s="1083">
        <f t="shared" si="2"/>
        <v>0</v>
      </c>
      <c r="H1680" s="1084"/>
    </row>
    <row r="1681" ht="14.25" customHeight="1">
      <c r="A1681" s="1085">
        <v>40806.0</v>
      </c>
      <c r="B1681" s="1086" t="s">
        <v>6990</v>
      </c>
      <c r="C1681" s="1087" t="s">
        <v>5454</v>
      </c>
      <c r="D1681" s="1088">
        <v>1857.75</v>
      </c>
      <c r="E1681" s="1089" t="s">
        <v>5452</v>
      </c>
      <c r="F1681" s="1081">
        <f t="shared" si="1"/>
        <v>1857.75</v>
      </c>
      <c r="G1681" s="1083">
        <f t="shared" si="2"/>
        <v>0</v>
      </c>
      <c r="H1681" s="1084"/>
    </row>
    <row r="1682" ht="14.25" customHeight="1">
      <c r="A1682" s="1085">
        <v>2355.0</v>
      </c>
      <c r="B1682" s="1086" t="s">
        <v>6991</v>
      </c>
      <c r="C1682" s="1087" t="s">
        <v>1470</v>
      </c>
      <c r="D1682" s="1088">
        <v>32.21</v>
      </c>
      <c r="E1682" s="1089" t="s">
        <v>5452</v>
      </c>
      <c r="F1682" s="1081">
        <f t="shared" si="1"/>
        <v>32.21</v>
      </c>
      <c r="G1682" s="1083">
        <f t="shared" si="2"/>
        <v>0</v>
      </c>
      <c r="H1682" s="1084"/>
    </row>
    <row r="1683" ht="14.25" customHeight="1">
      <c r="A1683" s="1085">
        <v>40805.0</v>
      </c>
      <c r="B1683" s="1086" t="s">
        <v>6992</v>
      </c>
      <c r="C1683" s="1087" t="s">
        <v>5454</v>
      </c>
      <c r="D1683" s="1088">
        <v>5639.19</v>
      </c>
      <c r="E1683" s="1089" t="s">
        <v>5452</v>
      </c>
      <c r="F1683" s="1081">
        <f t="shared" si="1"/>
        <v>5639.19</v>
      </c>
      <c r="G1683" s="1083">
        <f t="shared" si="2"/>
        <v>0</v>
      </c>
      <c r="H1683" s="1084"/>
    </row>
    <row r="1684" ht="14.25" customHeight="1">
      <c r="A1684" s="1085">
        <v>2358.0</v>
      </c>
      <c r="B1684" s="1086" t="s">
        <v>6993</v>
      </c>
      <c r="C1684" s="1087" t="s">
        <v>1470</v>
      </c>
      <c r="D1684" s="1088">
        <v>17.06</v>
      </c>
      <c r="E1684" s="1089" t="s">
        <v>5452</v>
      </c>
      <c r="F1684" s="1081">
        <f t="shared" si="1"/>
        <v>17.06</v>
      </c>
      <c r="G1684" s="1083">
        <f t="shared" si="2"/>
        <v>0</v>
      </c>
      <c r="H1684" s="1084"/>
    </row>
    <row r="1685" ht="14.25" customHeight="1">
      <c r="A1685" s="1085">
        <v>40807.0</v>
      </c>
      <c r="B1685" s="1086" t="s">
        <v>6994</v>
      </c>
      <c r="C1685" s="1087" t="s">
        <v>5454</v>
      </c>
      <c r="D1685" s="1088">
        <v>2987.17</v>
      </c>
      <c r="E1685" s="1089" t="s">
        <v>5452</v>
      </c>
      <c r="F1685" s="1081">
        <f t="shared" si="1"/>
        <v>2987.17</v>
      </c>
      <c r="G1685" s="1083">
        <f t="shared" si="2"/>
        <v>0</v>
      </c>
      <c r="H1685" s="1084"/>
    </row>
    <row r="1686" ht="14.25" customHeight="1">
      <c r="A1686" s="1085">
        <v>2359.0</v>
      </c>
      <c r="B1686" s="1086" t="s">
        <v>6995</v>
      </c>
      <c r="C1686" s="1087" t="s">
        <v>1470</v>
      </c>
      <c r="D1686" s="1088">
        <v>14.4</v>
      </c>
      <c r="E1686" s="1089" t="s">
        <v>5452</v>
      </c>
      <c r="F1686" s="1081">
        <f t="shared" si="1"/>
        <v>14.4</v>
      </c>
      <c r="G1686" s="1083">
        <f t="shared" si="2"/>
        <v>0</v>
      </c>
      <c r="H1686" s="1084"/>
    </row>
    <row r="1687" ht="14.25" customHeight="1">
      <c r="A1687" s="1085">
        <v>40808.0</v>
      </c>
      <c r="B1687" s="1086" t="s">
        <v>6996</v>
      </c>
      <c r="C1687" s="1087" t="s">
        <v>5454</v>
      </c>
      <c r="D1687" s="1088">
        <v>2522.59</v>
      </c>
      <c r="E1687" s="1089" t="s">
        <v>5452</v>
      </c>
      <c r="F1687" s="1081">
        <f t="shared" si="1"/>
        <v>2522.59</v>
      </c>
      <c r="G1687" s="1083">
        <f t="shared" si="2"/>
        <v>0</v>
      </c>
      <c r="H1687" s="1084"/>
    </row>
    <row r="1688" ht="14.25" customHeight="1">
      <c r="A1688" s="1085">
        <v>44330.0</v>
      </c>
      <c r="B1688" s="1086" t="s">
        <v>6997</v>
      </c>
      <c r="C1688" s="1087" t="s">
        <v>2386</v>
      </c>
      <c r="D1688" s="1088">
        <v>10.66</v>
      </c>
      <c r="E1688" s="1089" t="s">
        <v>5308</v>
      </c>
      <c r="F1688" s="1081">
        <f t="shared" si="1"/>
        <v>0</v>
      </c>
      <c r="G1688" s="1083">
        <f t="shared" si="2"/>
        <v>10.66</v>
      </c>
      <c r="H1688" s="1084"/>
    </row>
    <row r="1689" ht="14.25" customHeight="1">
      <c r="A1689" s="1085">
        <v>43144.0</v>
      </c>
      <c r="B1689" s="1086" t="s">
        <v>6998</v>
      </c>
      <c r="C1689" s="1087" t="s">
        <v>3606</v>
      </c>
      <c r="D1689" s="1088">
        <v>36.53</v>
      </c>
      <c r="E1689" s="1089" t="s">
        <v>5308</v>
      </c>
      <c r="F1689" s="1081">
        <f t="shared" si="1"/>
        <v>0</v>
      </c>
      <c r="G1689" s="1083">
        <f t="shared" si="2"/>
        <v>36.53</v>
      </c>
      <c r="H1689" s="1084"/>
    </row>
    <row r="1690" ht="14.25" customHeight="1">
      <c r="A1690" s="1085">
        <v>39397.0</v>
      </c>
      <c r="B1690" s="1086" t="s">
        <v>6999</v>
      </c>
      <c r="C1690" s="1087" t="s">
        <v>2386</v>
      </c>
      <c r="D1690" s="1088">
        <v>16.65</v>
      </c>
      <c r="E1690" s="1089" t="s">
        <v>5308</v>
      </c>
      <c r="F1690" s="1081">
        <f t="shared" si="1"/>
        <v>0</v>
      </c>
      <c r="G1690" s="1083">
        <f t="shared" si="2"/>
        <v>16.65</v>
      </c>
      <c r="H1690" s="1084"/>
    </row>
    <row r="1691" ht="14.25" customHeight="1">
      <c r="A1691" s="1085">
        <v>2692.0</v>
      </c>
      <c r="B1691" s="1086" t="s">
        <v>7000</v>
      </c>
      <c r="C1691" s="1087" t="s">
        <v>2386</v>
      </c>
      <c r="D1691" s="1088">
        <v>6.71</v>
      </c>
      <c r="E1691" s="1089" t="s">
        <v>5308</v>
      </c>
      <c r="F1691" s="1081">
        <f t="shared" si="1"/>
        <v>0</v>
      </c>
      <c r="G1691" s="1083">
        <f t="shared" si="2"/>
        <v>6.71</v>
      </c>
      <c r="H1691" s="1084"/>
    </row>
    <row r="1692" ht="14.25" customHeight="1">
      <c r="A1692" s="1085">
        <v>44329.0</v>
      </c>
      <c r="B1692" s="1086" t="s">
        <v>7001</v>
      </c>
      <c r="C1692" s="1087" t="s">
        <v>2386</v>
      </c>
      <c r="D1692" s="1088">
        <v>13.97</v>
      </c>
      <c r="E1692" s="1089" t="s">
        <v>5308</v>
      </c>
      <c r="F1692" s="1081">
        <f t="shared" si="1"/>
        <v>0</v>
      </c>
      <c r="G1692" s="1083">
        <f t="shared" si="2"/>
        <v>13.97</v>
      </c>
      <c r="H1692" s="1084"/>
    </row>
    <row r="1693" ht="14.25" customHeight="1">
      <c r="A1693" s="1085">
        <v>5318.0</v>
      </c>
      <c r="B1693" s="1086" t="s">
        <v>7002</v>
      </c>
      <c r="C1693" s="1087" t="s">
        <v>2386</v>
      </c>
      <c r="D1693" s="1088">
        <v>22.59</v>
      </c>
      <c r="E1693" s="1089" t="s">
        <v>5308</v>
      </c>
      <c r="F1693" s="1081">
        <f t="shared" si="1"/>
        <v>0</v>
      </c>
      <c r="G1693" s="1083">
        <f t="shared" si="2"/>
        <v>22.59</v>
      </c>
      <c r="H1693" s="1084"/>
    </row>
    <row r="1694" ht="14.25" customHeight="1">
      <c r="A1694" s="1085">
        <v>5330.0</v>
      </c>
      <c r="B1694" s="1086" t="s">
        <v>7003</v>
      </c>
      <c r="C1694" s="1087" t="s">
        <v>2386</v>
      </c>
      <c r="D1694" s="1088">
        <v>51.49</v>
      </c>
      <c r="E1694" s="1089" t="s">
        <v>5308</v>
      </c>
      <c r="F1694" s="1081">
        <f t="shared" si="1"/>
        <v>0</v>
      </c>
      <c r="G1694" s="1083">
        <f t="shared" si="2"/>
        <v>51.49</v>
      </c>
      <c r="H1694" s="1084"/>
    </row>
    <row r="1695" ht="14.25" customHeight="1">
      <c r="A1695" s="1085">
        <v>44532.0</v>
      </c>
      <c r="B1695" s="1086" t="s">
        <v>7004</v>
      </c>
      <c r="C1695" s="1087" t="s">
        <v>1788</v>
      </c>
      <c r="D1695" s="1088">
        <v>37.09</v>
      </c>
      <c r="E1695" s="1089" t="s">
        <v>5554</v>
      </c>
      <c r="F1695" s="1081">
        <f t="shared" si="1"/>
        <v>0</v>
      </c>
      <c r="G1695" s="1083">
        <f t="shared" si="2"/>
        <v>37.09</v>
      </c>
      <c r="H1695" s="1084"/>
    </row>
    <row r="1696" ht="14.25" customHeight="1">
      <c r="A1696" s="1085">
        <v>44531.0</v>
      </c>
      <c r="B1696" s="1086" t="s">
        <v>7005</v>
      </c>
      <c r="C1696" s="1087" t="s">
        <v>1788</v>
      </c>
      <c r="D1696" s="1088">
        <v>117.89</v>
      </c>
      <c r="E1696" s="1089" t="s">
        <v>5554</v>
      </c>
      <c r="F1696" s="1081">
        <f t="shared" si="1"/>
        <v>0</v>
      </c>
      <c r="G1696" s="1083">
        <f t="shared" si="2"/>
        <v>117.89</v>
      </c>
      <c r="H1696" s="1084"/>
    </row>
    <row r="1697" ht="14.25" customHeight="1">
      <c r="A1697" s="1085">
        <v>38140.0</v>
      </c>
      <c r="B1697" s="1086" t="s">
        <v>7006</v>
      </c>
      <c r="C1697" s="1087" t="s">
        <v>1788</v>
      </c>
      <c r="D1697" s="1088">
        <v>28.59</v>
      </c>
      <c r="E1697" s="1089" t="s">
        <v>5308</v>
      </c>
      <c r="F1697" s="1081">
        <f t="shared" si="1"/>
        <v>0</v>
      </c>
      <c r="G1697" s="1083">
        <f t="shared" si="2"/>
        <v>28.59</v>
      </c>
      <c r="H1697" s="1084"/>
    </row>
    <row r="1698" ht="14.25" customHeight="1">
      <c r="A1698" s="1085">
        <v>13887.0</v>
      </c>
      <c r="B1698" s="1086" t="s">
        <v>7007</v>
      </c>
      <c r="C1698" s="1087" t="s">
        <v>1788</v>
      </c>
      <c r="D1698" s="1088">
        <v>676.89</v>
      </c>
      <c r="E1698" s="1089" t="s">
        <v>5308</v>
      </c>
      <c r="F1698" s="1081">
        <f t="shared" si="1"/>
        <v>0</v>
      </c>
      <c r="G1698" s="1083">
        <f t="shared" si="2"/>
        <v>676.89</v>
      </c>
      <c r="H1698" s="1084"/>
    </row>
    <row r="1699" ht="14.25" customHeight="1">
      <c r="A1699" s="1085">
        <v>44495.0</v>
      </c>
      <c r="B1699" s="1086" t="s">
        <v>7008</v>
      </c>
      <c r="C1699" s="1087" t="s">
        <v>1788</v>
      </c>
      <c r="D1699" s="1088">
        <v>30.13</v>
      </c>
      <c r="E1699" s="1089" t="s">
        <v>5554</v>
      </c>
      <c r="F1699" s="1081">
        <f t="shared" si="1"/>
        <v>0</v>
      </c>
      <c r="G1699" s="1083">
        <f t="shared" si="2"/>
        <v>30.13</v>
      </c>
      <c r="H1699" s="1084"/>
    </row>
    <row r="1700" ht="14.25" customHeight="1">
      <c r="A1700" s="1085">
        <v>44533.0</v>
      </c>
      <c r="B1700" s="1086" t="s">
        <v>7009</v>
      </c>
      <c r="C1700" s="1087" t="s">
        <v>1788</v>
      </c>
      <c r="D1700" s="1088">
        <v>28.45</v>
      </c>
      <c r="E1700" s="1089" t="s">
        <v>5554</v>
      </c>
      <c r="F1700" s="1081">
        <f t="shared" si="1"/>
        <v>0</v>
      </c>
      <c r="G1700" s="1083">
        <f t="shared" si="2"/>
        <v>28.45</v>
      </c>
      <c r="H1700" s="1084"/>
    </row>
    <row r="1701" ht="14.25" customHeight="1">
      <c r="A1701" s="1085">
        <v>44534.0</v>
      </c>
      <c r="B1701" s="1086" t="s">
        <v>7010</v>
      </c>
      <c r="C1701" s="1087" t="s">
        <v>1788</v>
      </c>
      <c r="D1701" s="1088">
        <v>7.41</v>
      </c>
      <c r="E1701" s="1089" t="s">
        <v>5554</v>
      </c>
      <c r="F1701" s="1081">
        <f t="shared" si="1"/>
        <v>0</v>
      </c>
      <c r="G1701" s="1083">
        <f t="shared" si="2"/>
        <v>7.41</v>
      </c>
      <c r="H1701" s="1084"/>
    </row>
    <row r="1702" ht="14.25" customHeight="1">
      <c r="A1702" s="1085">
        <v>34544.0</v>
      </c>
      <c r="B1702" s="1086" t="s">
        <v>7011</v>
      </c>
      <c r="C1702" s="1087" t="s">
        <v>1788</v>
      </c>
      <c r="D1702" s="1088">
        <v>1520.79</v>
      </c>
      <c r="E1702" s="1089" t="s">
        <v>5308</v>
      </c>
      <c r="F1702" s="1081">
        <f t="shared" si="1"/>
        <v>0</v>
      </c>
      <c r="G1702" s="1083">
        <f t="shared" si="2"/>
        <v>1520.79</v>
      </c>
      <c r="H1702" s="1084"/>
    </row>
    <row r="1703" ht="14.25" customHeight="1">
      <c r="A1703" s="1085">
        <v>34729.0</v>
      </c>
      <c r="B1703" s="1086" t="s">
        <v>7012</v>
      </c>
      <c r="C1703" s="1087" t="s">
        <v>1788</v>
      </c>
      <c r="D1703" s="1088">
        <v>1196.33</v>
      </c>
      <c r="E1703" s="1089" t="s">
        <v>5308</v>
      </c>
      <c r="F1703" s="1081">
        <f t="shared" si="1"/>
        <v>0</v>
      </c>
      <c r="G1703" s="1083">
        <f t="shared" si="2"/>
        <v>1196.33</v>
      </c>
      <c r="H1703" s="1084"/>
    </row>
    <row r="1704" ht="14.25" customHeight="1">
      <c r="A1704" s="1085">
        <v>34734.0</v>
      </c>
      <c r="B1704" s="1086" t="s">
        <v>7013</v>
      </c>
      <c r="C1704" s="1087" t="s">
        <v>1788</v>
      </c>
      <c r="D1704" s="1088">
        <v>1852.31</v>
      </c>
      <c r="E1704" s="1089" t="s">
        <v>5308</v>
      </c>
      <c r="F1704" s="1081">
        <f t="shared" si="1"/>
        <v>0</v>
      </c>
      <c r="G1704" s="1083">
        <f t="shared" si="2"/>
        <v>1852.31</v>
      </c>
      <c r="H1704" s="1084"/>
    </row>
    <row r="1705" ht="14.25" customHeight="1">
      <c r="A1705" s="1085">
        <v>34738.0</v>
      </c>
      <c r="B1705" s="1086" t="s">
        <v>7014</v>
      </c>
      <c r="C1705" s="1087" t="s">
        <v>1788</v>
      </c>
      <c r="D1705" s="1088">
        <v>4327.57</v>
      </c>
      <c r="E1705" s="1089" t="s">
        <v>5308</v>
      </c>
      <c r="F1705" s="1081">
        <f t="shared" si="1"/>
        <v>0</v>
      </c>
      <c r="G1705" s="1083">
        <f t="shared" si="2"/>
        <v>4327.57</v>
      </c>
      <c r="H1705" s="1084"/>
    </row>
    <row r="1706" ht="14.25" customHeight="1">
      <c r="A1706" s="1085">
        <v>2391.0</v>
      </c>
      <c r="B1706" s="1086" t="s">
        <v>7015</v>
      </c>
      <c r="C1706" s="1087" t="s">
        <v>1788</v>
      </c>
      <c r="D1706" s="1088">
        <v>351.97</v>
      </c>
      <c r="E1706" s="1089" t="s">
        <v>5308</v>
      </c>
      <c r="F1706" s="1081">
        <f t="shared" si="1"/>
        <v>0</v>
      </c>
      <c r="G1706" s="1083">
        <f t="shared" si="2"/>
        <v>351.97</v>
      </c>
      <c r="H1706" s="1084"/>
    </row>
    <row r="1707" ht="14.25" customHeight="1">
      <c r="A1707" s="1085">
        <v>2374.0</v>
      </c>
      <c r="B1707" s="1086" t="s">
        <v>7016</v>
      </c>
      <c r="C1707" s="1087" t="s">
        <v>1788</v>
      </c>
      <c r="D1707" s="1088">
        <v>399.3</v>
      </c>
      <c r="E1707" s="1089" t="s">
        <v>5308</v>
      </c>
      <c r="F1707" s="1081">
        <f t="shared" si="1"/>
        <v>0</v>
      </c>
      <c r="G1707" s="1083">
        <f t="shared" si="2"/>
        <v>399.3</v>
      </c>
      <c r="H1707" s="1084"/>
    </row>
    <row r="1708" ht="14.25" customHeight="1">
      <c r="A1708" s="1085">
        <v>2377.0</v>
      </c>
      <c r="B1708" s="1086" t="s">
        <v>7017</v>
      </c>
      <c r="C1708" s="1087" t="s">
        <v>1788</v>
      </c>
      <c r="D1708" s="1088">
        <v>560.38</v>
      </c>
      <c r="E1708" s="1089" t="s">
        <v>5308</v>
      </c>
      <c r="F1708" s="1081">
        <f t="shared" si="1"/>
        <v>0</v>
      </c>
      <c r="G1708" s="1083">
        <f t="shared" si="2"/>
        <v>560.38</v>
      </c>
      <c r="H1708" s="1084"/>
    </row>
    <row r="1709" ht="14.25" customHeight="1">
      <c r="A1709" s="1085">
        <v>2393.0</v>
      </c>
      <c r="B1709" s="1086" t="s">
        <v>7018</v>
      </c>
      <c r="C1709" s="1087" t="s">
        <v>1788</v>
      </c>
      <c r="D1709" s="1088">
        <v>938.43</v>
      </c>
      <c r="E1709" s="1089" t="s">
        <v>5308</v>
      </c>
      <c r="F1709" s="1081">
        <f t="shared" si="1"/>
        <v>0</v>
      </c>
      <c r="G1709" s="1083">
        <f t="shared" si="2"/>
        <v>938.43</v>
      </c>
      <c r="H1709" s="1084"/>
    </row>
    <row r="1710" ht="14.25" customHeight="1">
      <c r="A1710" s="1085">
        <v>34705.0</v>
      </c>
      <c r="B1710" s="1086" t="s">
        <v>7019</v>
      </c>
      <c r="C1710" s="1087" t="s">
        <v>1788</v>
      </c>
      <c r="D1710" s="1088">
        <v>820.79</v>
      </c>
      <c r="E1710" s="1089" t="s">
        <v>5308</v>
      </c>
      <c r="F1710" s="1081">
        <f t="shared" si="1"/>
        <v>0</v>
      </c>
      <c r="G1710" s="1083">
        <f t="shared" si="2"/>
        <v>820.79</v>
      </c>
      <c r="H1710" s="1084"/>
    </row>
    <row r="1711" ht="14.25" customHeight="1">
      <c r="A1711" s="1085">
        <v>34707.0</v>
      </c>
      <c r="B1711" s="1086" t="s">
        <v>7020</v>
      </c>
      <c r="C1711" s="1087" t="s">
        <v>1788</v>
      </c>
      <c r="D1711" s="1088">
        <v>1520.94</v>
      </c>
      <c r="E1711" s="1089" t="s">
        <v>5308</v>
      </c>
      <c r="F1711" s="1081">
        <f t="shared" si="1"/>
        <v>0</v>
      </c>
      <c r="G1711" s="1083">
        <f t="shared" si="2"/>
        <v>1520.94</v>
      </c>
      <c r="H1711" s="1084"/>
    </row>
    <row r="1712" ht="14.25" customHeight="1">
      <c r="A1712" s="1085">
        <v>2378.0</v>
      </c>
      <c r="B1712" s="1086" t="s">
        <v>7021</v>
      </c>
      <c r="C1712" s="1087" t="s">
        <v>1788</v>
      </c>
      <c r="D1712" s="1088">
        <v>1289.06</v>
      </c>
      <c r="E1712" s="1089" t="s">
        <v>5308</v>
      </c>
      <c r="F1712" s="1081">
        <f t="shared" si="1"/>
        <v>0</v>
      </c>
      <c r="G1712" s="1083">
        <f t="shared" si="2"/>
        <v>1289.06</v>
      </c>
      <c r="H1712" s="1084"/>
    </row>
    <row r="1713" ht="14.25" customHeight="1">
      <c r="A1713" s="1085">
        <v>2379.0</v>
      </c>
      <c r="B1713" s="1086" t="s">
        <v>7022</v>
      </c>
      <c r="C1713" s="1087" t="s">
        <v>1788</v>
      </c>
      <c r="D1713" s="1088">
        <v>1289.06</v>
      </c>
      <c r="E1713" s="1089" t="s">
        <v>5308</v>
      </c>
      <c r="F1713" s="1081">
        <f t="shared" si="1"/>
        <v>0</v>
      </c>
      <c r="G1713" s="1083">
        <f t="shared" si="2"/>
        <v>1289.06</v>
      </c>
      <c r="H1713" s="1084"/>
    </row>
    <row r="1714" ht="14.25" customHeight="1">
      <c r="A1714" s="1085">
        <v>2376.0</v>
      </c>
      <c r="B1714" s="1086" t="s">
        <v>7023</v>
      </c>
      <c r="C1714" s="1087" t="s">
        <v>1788</v>
      </c>
      <c r="D1714" s="1088">
        <v>2123.08</v>
      </c>
      <c r="E1714" s="1089" t="s">
        <v>5308</v>
      </c>
      <c r="F1714" s="1081">
        <f t="shared" si="1"/>
        <v>0</v>
      </c>
      <c r="G1714" s="1083">
        <f t="shared" si="2"/>
        <v>2123.08</v>
      </c>
      <c r="H1714" s="1084"/>
    </row>
    <row r="1715" ht="14.25" customHeight="1">
      <c r="A1715" s="1085">
        <v>2394.0</v>
      </c>
      <c r="B1715" s="1086" t="s">
        <v>7024</v>
      </c>
      <c r="C1715" s="1087" t="s">
        <v>1788</v>
      </c>
      <c r="D1715" s="1088">
        <v>4538.75</v>
      </c>
      <c r="E1715" s="1089" t="s">
        <v>5308</v>
      </c>
      <c r="F1715" s="1081">
        <f t="shared" si="1"/>
        <v>0</v>
      </c>
      <c r="G1715" s="1083">
        <f t="shared" si="2"/>
        <v>4538.75</v>
      </c>
      <c r="H1715" s="1084"/>
    </row>
    <row r="1716" ht="14.25" customHeight="1">
      <c r="A1716" s="1085">
        <v>34686.0</v>
      </c>
      <c r="B1716" s="1086" t="s">
        <v>7025</v>
      </c>
      <c r="C1716" s="1087" t="s">
        <v>1788</v>
      </c>
      <c r="D1716" s="1088">
        <v>13.62</v>
      </c>
      <c r="E1716" s="1089" t="s">
        <v>5308</v>
      </c>
      <c r="F1716" s="1081">
        <f t="shared" si="1"/>
        <v>0</v>
      </c>
      <c r="G1716" s="1083">
        <f t="shared" si="2"/>
        <v>13.62</v>
      </c>
      <c r="H1716" s="1084"/>
    </row>
    <row r="1717" ht="14.25" customHeight="1">
      <c r="A1717" s="1085">
        <v>34616.0</v>
      </c>
      <c r="B1717" s="1086" t="s">
        <v>7026</v>
      </c>
      <c r="C1717" s="1087" t="s">
        <v>1788</v>
      </c>
      <c r="D1717" s="1088">
        <v>52.67</v>
      </c>
      <c r="E1717" s="1089" t="s">
        <v>5308</v>
      </c>
      <c r="F1717" s="1081">
        <f t="shared" si="1"/>
        <v>0</v>
      </c>
      <c r="G1717" s="1083">
        <f t="shared" si="2"/>
        <v>52.67</v>
      </c>
      <c r="H1717" s="1084"/>
    </row>
    <row r="1718" ht="14.25" customHeight="1">
      <c r="A1718" s="1085">
        <v>34623.0</v>
      </c>
      <c r="B1718" s="1086" t="s">
        <v>7027</v>
      </c>
      <c r="C1718" s="1087" t="s">
        <v>1788</v>
      </c>
      <c r="D1718" s="1088">
        <v>51.86</v>
      </c>
      <c r="E1718" s="1089" t="s">
        <v>5308</v>
      </c>
      <c r="F1718" s="1081">
        <f t="shared" si="1"/>
        <v>0</v>
      </c>
      <c r="G1718" s="1083">
        <f t="shared" si="2"/>
        <v>51.86</v>
      </c>
      <c r="H1718" s="1084"/>
    </row>
    <row r="1719" ht="14.25" customHeight="1">
      <c r="A1719" s="1085">
        <v>34628.0</v>
      </c>
      <c r="B1719" s="1086" t="s">
        <v>7028</v>
      </c>
      <c r="C1719" s="1087" t="s">
        <v>1788</v>
      </c>
      <c r="D1719" s="1088">
        <v>74.28</v>
      </c>
      <c r="E1719" s="1089" t="s">
        <v>5308</v>
      </c>
      <c r="F1719" s="1081">
        <f t="shared" si="1"/>
        <v>0</v>
      </c>
      <c r="G1719" s="1083">
        <f t="shared" si="2"/>
        <v>74.28</v>
      </c>
      <c r="H1719" s="1084"/>
    </row>
    <row r="1720" ht="14.25" customHeight="1">
      <c r="A1720" s="1085">
        <v>34653.0</v>
      </c>
      <c r="B1720" s="1086" t="s">
        <v>7029</v>
      </c>
      <c r="C1720" s="1087" t="s">
        <v>1788</v>
      </c>
      <c r="D1720" s="1088">
        <v>9.19</v>
      </c>
      <c r="E1720" s="1089" t="s">
        <v>5308</v>
      </c>
      <c r="F1720" s="1081">
        <f t="shared" si="1"/>
        <v>0</v>
      </c>
      <c r="G1720" s="1083">
        <f t="shared" si="2"/>
        <v>9.19</v>
      </c>
      <c r="H1720" s="1084"/>
    </row>
    <row r="1721" ht="14.25" customHeight="1">
      <c r="A1721" s="1085">
        <v>34688.0</v>
      </c>
      <c r="B1721" s="1086" t="s">
        <v>7030</v>
      </c>
      <c r="C1721" s="1087" t="s">
        <v>1788</v>
      </c>
      <c r="D1721" s="1088">
        <v>16.65</v>
      </c>
      <c r="E1721" s="1089" t="s">
        <v>5308</v>
      </c>
      <c r="F1721" s="1081">
        <f t="shared" si="1"/>
        <v>0</v>
      </c>
      <c r="G1721" s="1083">
        <f t="shared" si="2"/>
        <v>16.65</v>
      </c>
      <c r="H1721" s="1084"/>
    </row>
    <row r="1722" ht="14.25" customHeight="1">
      <c r="A1722" s="1085">
        <v>34709.0</v>
      </c>
      <c r="B1722" s="1086" t="s">
        <v>7031</v>
      </c>
      <c r="C1722" s="1087" t="s">
        <v>1788</v>
      </c>
      <c r="D1722" s="1088">
        <v>64.53</v>
      </c>
      <c r="E1722" s="1089" t="s">
        <v>5308</v>
      </c>
      <c r="F1722" s="1081">
        <f t="shared" si="1"/>
        <v>0</v>
      </c>
      <c r="G1722" s="1083">
        <f t="shared" si="2"/>
        <v>64.53</v>
      </c>
      <c r="H1722" s="1084"/>
    </row>
    <row r="1723" ht="14.25" customHeight="1">
      <c r="A1723" s="1085">
        <v>34714.0</v>
      </c>
      <c r="B1723" s="1086" t="s">
        <v>7032</v>
      </c>
      <c r="C1723" s="1087" t="s">
        <v>1788</v>
      </c>
      <c r="D1723" s="1088">
        <v>77.07</v>
      </c>
      <c r="E1723" s="1089" t="s">
        <v>5308</v>
      </c>
      <c r="F1723" s="1081">
        <f t="shared" si="1"/>
        <v>0</v>
      </c>
      <c r="G1723" s="1083">
        <f t="shared" si="2"/>
        <v>77.07</v>
      </c>
      <c r="H1723" s="1084"/>
    </row>
    <row r="1724" ht="14.25" customHeight="1">
      <c r="A1724" s="1085">
        <v>2388.0</v>
      </c>
      <c r="B1724" s="1086" t="s">
        <v>7033</v>
      </c>
      <c r="C1724" s="1087" t="s">
        <v>1788</v>
      </c>
      <c r="D1724" s="1088">
        <v>64.04</v>
      </c>
      <c r="E1724" s="1089" t="s">
        <v>5308</v>
      </c>
      <c r="F1724" s="1081">
        <f t="shared" si="1"/>
        <v>0</v>
      </c>
      <c r="G1724" s="1083">
        <f t="shared" si="2"/>
        <v>64.04</v>
      </c>
      <c r="H1724" s="1084"/>
    </row>
    <row r="1725" ht="14.25" customHeight="1">
      <c r="A1725" s="1085">
        <v>34606.0</v>
      </c>
      <c r="B1725" s="1086" t="s">
        <v>7034</v>
      </c>
      <c r="C1725" s="1087" t="s">
        <v>1788</v>
      </c>
      <c r="D1725" s="1088">
        <v>98.24</v>
      </c>
      <c r="E1725" s="1089" t="s">
        <v>5308</v>
      </c>
      <c r="F1725" s="1081">
        <f t="shared" si="1"/>
        <v>0</v>
      </c>
      <c r="G1725" s="1083">
        <f t="shared" si="2"/>
        <v>98.24</v>
      </c>
      <c r="H1725" s="1084"/>
    </row>
    <row r="1726" ht="14.25" customHeight="1">
      <c r="A1726" s="1085">
        <v>34689.0</v>
      </c>
      <c r="B1726" s="1086" t="s">
        <v>7035</v>
      </c>
      <c r="C1726" s="1087" t="s">
        <v>1788</v>
      </c>
      <c r="D1726" s="1088">
        <v>31.27</v>
      </c>
      <c r="E1726" s="1089" t="s">
        <v>5308</v>
      </c>
      <c r="F1726" s="1081">
        <f t="shared" si="1"/>
        <v>0</v>
      </c>
      <c r="G1726" s="1083">
        <f t="shared" si="2"/>
        <v>31.27</v>
      </c>
      <c r="H1726" s="1084"/>
    </row>
    <row r="1727" ht="14.25" customHeight="1">
      <c r="A1727" s="1085">
        <v>2370.0</v>
      </c>
      <c r="B1727" s="1086" t="s">
        <v>7036</v>
      </c>
      <c r="C1727" s="1087" t="s">
        <v>1788</v>
      </c>
      <c r="D1727" s="1088">
        <v>11.9</v>
      </c>
      <c r="E1727" s="1089" t="s">
        <v>5308</v>
      </c>
      <c r="F1727" s="1081">
        <f t="shared" si="1"/>
        <v>0</v>
      </c>
      <c r="G1727" s="1083">
        <f t="shared" si="2"/>
        <v>11.9</v>
      </c>
      <c r="H1727" s="1084"/>
    </row>
    <row r="1728" ht="14.25" customHeight="1">
      <c r="A1728" s="1085">
        <v>2386.0</v>
      </c>
      <c r="B1728" s="1086" t="s">
        <v>7037</v>
      </c>
      <c r="C1728" s="1087" t="s">
        <v>1788</v>
      </c>
      <c r="D1728" s="1088">
        <v>19.96</v>
      </c>
      <c r="E1728" s="1089" t="s">
        <v>5308</v>
      </c>
      <c r="F1728" s="1081">
        <f t="shared" si="1"/>
        <v>0</v>
      </c>
      <c r="G1728" s="1083">
        <f t="shared" si="2"/>
        <v>19.96</v>
      </c>
      <c r="H1728" s="1084"/>
    </row>
    <row r="1729" ht="14.25" customHeight="1">
      <c r="A1729" s="1085">
        <v>2392.0</v>
      </c>
      <c r="B1729" s="1086" t="s">
        <v>7038</v>
      </c>
      <c r="C1729" s="1087" t="s">
        <v>1788</v>
      </c>
      <c r="D1729" s="1088">
        <v>79.88</v>
      </c>
      <c r="E1729" s="1089" t="s">
        <v>5308</v>
      </c>
      <c r="F1729" s="1081">
        <f t="shared" si="1"/>
        <v>0</v>
      </c>
      <c r="G1729" s="1083">
        <f t="shared" si="2"/>
        <v>79.88</v>
      </c>
      <c r="H1729" s="1084"/>
    </row>
    <row r="1730" ht="14.25" customHeight="1">
      <c r="A1730" s="1085">
        <v>2373.0</v>
      </c>
      <c r="B1730" s="1086" t="s">
        <v>7039</v>
      </c>
      <c r="C1730" s="1087" t="s">
        <v>1788</v>
      </c>
      <c r="D1730" s="1088">
        <v>112.55</v>
      </c>
      <c r="E1730" s="1089" t="s">
        <v>5308</v>
      </c>
      <c r="F1730" s="1081">
        <f t="shared" si="1"/>
        <v>0</v>
      </c>
      <c r="G1730" s="1083">
        <f t="shared" si="2"/>
        <v>112.55</v>
      </c>
      <c r="H1730" s="1084"/>
    </row>
    <row r="1731" ht="14.25" customHeight="1">
      <c r="A1731" s="1085">
        <v>39465.0</v>
      </c>
      <c r="B1731" s="1086" t="s">
        <v>7040</v>
      </c>
      <c r="C1731" s="1087" t="s">
        <v>1788</v>
      </c>
      <c r="D1731" s="1088">
        <v>68.75</v>
      </c>
      <c r="E1731" s="1089" t="s">
        <v>5308</v>
      </c>
      <c r="F1731" s="1081">
        <f t="shared" si="1"/>
        <v>0</v>
      </c>
      <c r="G1731" s="1083">
        <f t="shared" si="2"/>
        <v>68.75</v>
      </c>
      <c r="H1731" s="1084"/>
    </row>
    <row r="1732" ht="14.25" customHeight="1">
      <c r="A1732" s="1085">
        <v>39466.0</v>
      </c>
      <c r="B1732" s="1086" t="s">
        <v>7041</v>
      </c>
      <c r="C1732" s="1087" t="s">
        <v>1788</v>
      </c>
      <c r="D1732" s="1088">
        <v>77.35</v>
      </c>
      <c r="E1732" s="1089" t="s">
        <v>5308</v>
      </c>
      <c r="F1732" s="1081">
        <f t="shared" si="1"/>
        <v>0</v>
      </c>
      <c r="G1732" s="1083">
        <f t="shared" si="2"/>
        <v>77.35</v>
      </c>
      <c r="H1732" s="1084"/>
    </row>
    <row r="1733" ht="14.25" customHeight="1">
      <c r="A1733" s="1085">
        <v>39467.0</v>
      </c>
      <c r="B1733" s="1086" t="s">
        <v>7042</v>
      </c>
      <c r="C1733" s="1087" t="s">
        <v>1788</v>
      </c>
      <c r="D1733" s="1088">
        <v>98.94</v>
      </c>
      <c r="E1733" s="1089" t="s">
        <v>5308</v>
      </c>
      <c r="F1733" s="1081">
        <f t="shared" si="1"/>
        <v>0</v>
      </c>
      <c r="G1733" s="1083">
        <f t="shared" si="2"/>
        <v>98.94</v>
      </c>
      <c r="H1733" s="1084"/>
    </row>
    <row r="1734" ht="14.25" customHeight="1">
      <c r="A1734" s="1085">
        <v>39468.0</v>
      </c>
      <c r="B1734" s="1086" t="s">
        <v>7043</v>
      </c>
      <c r="C1734" s="1087" t="s">
        <v>1788</v>
      </c>
      <c r="D1734" s="1088">
        <v>175.86</v>
      </c>
      <c r="E1734" s="1089" t="s">
        <v>5308</v>
      </c>
      <c r="F1734" s="1081">
        <f t="shared" si="1"/>
        <v>0</v>
      </c>
      <c r="G1734" s="1083">
        <f t="shared" si="2"/>
        <v>175.86</v>
      </c>
      <c r="H1734" s="1084"/>
    </row>
    <row r="1735" ht="14.25" customHeight="1">
      <c r="A1735" s="1085">
        <v>39469.0</v>
      </c>
      <c r="B1735" s="1086" t="s">
        <v>7044</v>
      </c>
      <c r="C1735" s="1087" t="s">
        <v>1788</v>
      </c>
      <c r="D1735" s="1088">
        <v>71.63</v>
      </c>
      <c r="E1735" s="1089" t="s">
        <v>5308</v>
      </c>
      <c r="F1735" s="1081">
        <f t="shared" si="1"/>
        <v>0</v>
      </c>
      <c r="G1735" s="1083">
        <f t="shared" si="2"/>
        <v>71.63</v>
      </c>
      <c r="H1735" s="1084"/>
    </row>
    <row r="1736" ht="14.25" customHeight="1">
      <c r="A1736" s="1085">
        <v>39470.0</v>
      </c>
      <c r="B1736" s="1086" t="s">
        <v>7045</v>
      </c>
      <c r="C1736" s="1087" t="s">
        <v>1788</v>
      </c>
      <c r="D1736" s="1088">
        <v>88.02</v>
      </c>
      <c r="E1736" s="1089" t="s">
        <v>5308</v>
      </c>
      <c r="F1736" s="1081">
        <f t="shared" si="1"/>
        <v>0</v>
      </c>
      <c r="G1736" s="1083">
        <f t="shared" si="2"/>
        <v>88.02</v>
      </c>
      <c r="H1736" s="1084"/>
    </row>
    <row r="1737" ht="14.25" customHeight="1">
      <c r="A1737" s="1085">
        <v>39471.0</v>
      </c>
      <c r="B1737" s="1086" t="s">
        <v>7046</v>
      </c>
      <c r="C1737" s="1087" t="s">
        <v>1788</v>
      </c>
      <c r="D1737" s="1088">
        <v>105.77</v>
      </c>
      <c r="E1737" s="1089" t="s">
        <v>5308</v>
      </c>
      <c r="F1737" s="1081">
        <f t="shared" si="1"/>
        <v>0</v>
      </c>
      <c r="G1737" s="1083">
        <f t="shared" si="2"/>
        <v>105.77</v>
      </c>
      <c r="H1737" s="1084"/>
    </row>
    <row r="1738" ht="14.25" customHeight="1">
      <c r="A1738" s="1085">
        <v>39472.0</v>
      </c>
      <c r="B1738" s="1086" t="s">
        <v>7047</v>
      </c>
      <c r="C1738" s="1087" t="s">
        <v>1788</v>
      </c>
      <c r="D1738" s="1088">
        <v>183.78</v>
      </c>
      <c r="E1738" s="1089" t="s">
        <v>5308</v>
      </c>
      <c r="F1738" s="1081">
        <f t="shared" si="1"/>
        <v>0</v>
      </c>
      <c r="G1738" s="1083">
        <f t="shared" si="2"/>
        <v>183.78</v>
      </c>
      <c r="H1738" s="1084"/>
    </row>
    <row r="1739" ht="14.25" customHeight="1">
      <c r="A1739" s="1085">
        <v>39473.0</v>
      </c>
      <c r="B1739" s="1086" t="s">
        <v>7048</v>
      </c>
      <c r="C1739" s="1087" t="s">
        <v>1788</v>
      </c>
      <c r="D1739" s="1088">
        <v>118.72</v>
      </c>
      <c r="E1739" s="1089" t="s">
        <v>5308</v>
      </c>
      <c r="F1739" s="1081">
        <f t="shared" si="1"/>
        <v>0</v>
      </c>
      <c r="G1739" s="1083">
        <f t="shared" si="2"/>
        <v>118.72</v>
      </c>
      <c r="H1739" s="1084"/>
    </row>
    <row r="1740" ht="14.25" customHeight="1">
      <c r="A1740" s="1085">
        <v>39474.0</v>
      </c>
      <c r="B1740" s="1086" t="s">
        <v>7049</v>
      </c>
      <c r="C1740" s="1087" t="s">
        <v>1788</v>
      </c>
      <c r="D1740" s="1088">
        <v>126.56</v>
      </c>
      <c r="E1740" s="1089" t="s">
        <v>5308</v>
      </c>
      <c r="F1740" s="1081">
        <f t="shared" si="1"/>
        <v>0</v>
      </c>
      <c r="G1740" s="1083">
        <f t="shared" si="2"/>
        <v>126.56</v>
      </c>
      <c r="H1740" s="1084"/>
    </row>
    <row r="1741" ht="14.25" customHeight="1">
      <c r="A1741" s="1085">
        <v>39475.0</v>
      </c>
      <c r="B1741" s="1086" t="s">
        <v>7050</v>
      </c>
      <c r="C1741" s="1087" t="s">
        <v>1788</v>
      </c>
      <c r="D1741" s="1088">
        <v>143.6</v>
      </c>
      <c r="E1741" s="1089" t="s">
        <v>5308</v>
      </c>
      <c r="F1741" s="1081">
        <f t="shared" si="1"/>
        <v>0</v>
      </c>
      <c r="G1741" s="1083">
        <f t="shared" si="2"/>
        <v>143.6</v>
      </c>
      <c r="H1741" s="1084"/>
    </row>
    <row r="1742" ht="14.25" customHeight="1">
      <c r="A1742" s="1085">
        <v>39476.0</v>
      </c>
      <c r="B1742" s="1086" t="s">
        <v>7051</v>
      </c>
      <c r="C1742" s="1087" t="s">
        <v>1788</v>
      </c>
      <c r="D1742" s="1088">
        <v>270.32</v>
      </c>
      <c r="E1742" s="1089" t="s">
        <v>5308</v>
      </c>
      <c r="F1742" s="1081">
        <f t="shared" si="1"/>
        <v>0</v>
      </c>
      <c r="G1742" s="1083">
        <f t="shared" si="2"/>
        <v>270.32</v>
      </c>
      <c r="H1742" s="1084"/>
    </row>
    <row r="1743" ht="14.25" customHeight="1">
      <c r="A1743" s="1085">
        <v>39477.0</v>
      </c>
      <c r="B1743" s="1086" t="s">
        <v>7052</v>
      </c>
      <c r="C1743" s="1087" t="s">
        <v>1788</v>
      </c>
      <c r="D1743" s="1088">
        <v>132.45</v>
      </c>
      <c r="E1743" s="1089" t="s">
        <v>5308</v>
      </c>
      <c r="F1743" s="1081">
        <f t="shared" si="1"/>
        <v>0</v>
      </c>
      <c r="G1743" s="1083">
        <f t="shared" si="2"/>
        <v>132.45</v>
      </c>
      <c r="H1743" s="1084"/>
    </row>
    <row r="1744" ht="14.25" customHeight="1">
      <c r="A1744" s="1085">
        <v>39478.0</v>
      </c>
      <c r="B1744" s="1086" t="s">
        <v>7053</v>
      </c>
      <c r="C1744" s="1087" t="s">
        <v>1788</v>
      </c>
      <c r="D1744" s="1088">
        <v>136.55</v>
      </c>
      <c r="E1744" s="1089" t="s">
        <v>5308</v>
      </c>
      <c r="F1744" s="1081">
        <f t="shared" si="1"/>
        <v>0</v>
      </c>
      <c r="G1744" s="1083">
        <f t="shared" si="2"/>
        <v>136.55</v>
      </c>
      <c r="H1744" s="1084"/>
    </row>
    <row r="1745" ht="14.25" customHeight="1">
      <c r="A1745" s="1085">
        <v>39479.0</v>
      </c>
      <c r="B1745" s="1086" t="s">
        <v>7054</v>
      </c>
      <c r="C1745" s="1087" t="s">
        <v>1788</v>
      </c>
      <c r="D1745" s="1088">
        <v>160.88</v>
      </c>
      <c r="E1745" s="1089" t="s">
        <v>5308</v>
      </c>
      <c r="F1745" s="1081">
        <f t="shared" si="1"/>
        <v>0</v>
      </c>
      <c r="G1745" s="1083">
        <f t="shared" si="2"/>
        <v>160.88</v>
      </c>
      <c r="H1745" s="1084"/>
    </row>
    <row r="1746" ht="14.25" customHeight="1">
      <c r="A1746" s="1085">
        <v>39480.0</v>
      </c>
      <c r="B1746" s="1086" t="s">
        <v>7055</v>
      </c>
      <c r="C1746" s="1087" t="s">
        <v>1788</v>
      </c>
      <c r="D1746" s="1088">
        <v>331.98</v>
      </c>
      <c r="E1746" s="1089" t="s">
        <v>5308</v>
      </c>
      <c r="F1746" s="1081">
        <f t="shared" si="1"/>
        <v>0</v>
      </c>
      <c r="G1746" s="1083">
        <f t="shared" si="2"/>
        <v>331.98</v>
      </c>
      <c r="H1746" s="1084"/>
    </row>
    <row r="1747" ht="14.25" customHeight="1">
      <c r="A1747" s="1085">
        <v>39459.0</v>
      </c>
      <c r="B1747" s="1086" t="s">
        <v>7056</v>
      </c>
      <c r="C1747" s="1087" t="s">
        <v>1788</v>
      </c>
      <c r="D1747" s="1088">
        <v>281.77</v>
      </c>
      <c r="E1747" s="1089" t="s">
        <v>5308</v>
      </c>
      <c r="F1747" s="1081">
        <f t="shared" si="1"/>
        <v>0</v>
      </c>
      <c r="G1747" s="1083">
        <f t="shared" si="2"/>
        <v>281.77</v>
      </c>
      <c r="H1747" s="1084"/>
    </row>
    <row r="1748" ht="14.25" customHeight="1">
      <c r="A1748" s="1085">
        <v>39445.0</v>
      </c>
      <c r="B1748" s="1086" t="s">
        <v>7057</v>
      </c>
      <c r="C1748" s="1087" t="s">
        <v>1788</v>
      </c>
      <c r="D1748" s="1088">
        <v>141.47</v>
      </c>
      <c r="E1748" s="1089" t="s">
        <v>5308</v>
      </c>
      <c r="F1748" s="1081">
        <f t="shared" si="1"/>
        <v>0</v>
      </c>
      <c r="G1748" s="1083">
        <f t="shared" si="2"/>
        <v>141.47</v>
      </c>
      <c r="H1748" s="1084"/>
    </row>
    <row r="1749" ht="14.25" customHeight="1">
      <c r="A1749" s="1085">
        <v>39446.0</v>
      </c>
      <c r="B1749" s="1086" t="s">
        <v>7058</v>
      </c>
      <c r="C1749" s="1087" t="s">
        <v>1788</v>
      </c>
      <c r="D1749" s="1088">
        <v>143.99</v>
      </c>
      <c r="E1749" s="1089" t="s">
        <v>5308</v>
      </c>
      <c r="F1749" s="1081">
        <f t="shared" si="1"/>
        <v>0</v>
      </c>
      <c r="G1749" s="1083">
        <f t="shared" si="2"/>
        <v>143.99</v>
      </c>
      <c r="H1749" s="1084"/>
    </row>
    <row r="1750" ht="14.25" customHeight="1">
      <c r="A1750" s="1085">
        <v>39447.0</v>
      </c>
      <c r="B1750" s="1086" t="s">
        <v>7059</v>
      </c>
      <c r="C1750" s="1087" t="s">
        <v>1788</v>
      </c>
      <c r="D1750" s="1088">
        <v>153.98</v>
      </c>
      <c r="E1750" s="1089" t="s">
        <v>5308</v>
      </c>
      <c r="F1750" s="1081">
        <f t="shared" si="1"/>
        <v>0</v>
      </c>
      <c r="G1750" s="1083">
        <f t="shared" si="2"/>
        <v>153.98</v>
      </c>
      <c r="H1750" s="1084"/>
    </row>
    <row r="1751" ht="14.25" customHeight="1">
      <c r="A1751" s="1085">
        <v>39448.0</v>
      </c>
      <c r="B1751" s="1086" t="s">
        <v>7060</v>
      </c>
      <c r="C1751" s="1087" t="s">
        <v>1788</v>
      </c>
      <c r="D1751" s="1088">
        <v>262.57</v>
      </c>
      <c r="E1751" s="1089" t="s">
        <v>5308</v>
      </c>
      <c r="F1751" s="1081">
        <f t="shared" si="1"/>
        <v>0</v>
      </c>
      <c r="G1751" s="1083">
        <f t="shared" si="2"/>
        <v>262.57</v>
      </c>
      <c r="H1751" s="1084"/>
    </row>
    <row r="1752" ht="14.25" customHeight="1">
      <c r="A1752" s="1085">
        <v>39450.0</v>
      </c>
      <c r="B1752" s="1086" t="s">
        <v>7061</v>
      </c>
      <c r="C1752" s="1087" t="s">
        <v>1788</v>
      </c>
      <c r="D1752" s="1088">
        <v>160.2</v>
      </c>
      <c r="E1752" s="1089" t="s">
        <v>5308</v>
      </c>
      <c r="F1752" s="1081">
        <f t="shared" si="1"/>
        <v>0</v>
      </c>
      <c r="G1752" s="1083">
        <f t="shared" si="2"/>
        <v>160.2</v>
      </c>
      <c r="H1752" s="1084"/>
    </row>
    <row r="1753" ht="14.25" customHeight="1">
      <c r="A1753" s="1085">
        <v>39451.0</v>
      </c>
      <c r="B1753" s="1086" t="s">
        <v>7062</v>
      </c>
      <c r="C1753" s="1087" t="s">
        <v>1788</v>
      </c>
      <c r="D1753" s="1088">
        <v>174.73</v>
      </c>
      <c r="E1753" s="1089" t="s">
        <v>5308</v>
      </c>
      <c r="F1753" s="1081">
        <f t="shared" si="1"/>
        <v>0</v>
      </c>
      <c r="G1753" s="1083">
        <f t="shared" si="2"/>
        <v>174.73</v>
      </c>
      <c r="H1753" s="1084"/>
    </row>
    <row r="1754" ht="14.25" customHeight="1">
      <c r="A1754" s="1085">
        <v>39452.0</v>
      </c>
      <c r="B1754" s="1086" t="s">
        <v>7063</v>
      </c>
      <c r="C1754" s="1087" t="s">
        <v>1788</v>
      </c>
      <c r="D1754" s="1088">
        <v>175.77</v>
      </c>
      <c r="E1754" s="1089" t="s">
        <v>5308</v>
      </c>
      <c r="F1754" s="1081">
        <f t="shared" si="1"/>
        <v>0</v>
      </c>
      <c r="G1754" s="1083">
        <f t="shared" si="2"/>
        <v>175.77</v>
      </c>
      <c r="H1754" s="1084"/>
    </row>
    <row r="1755" ht="14.25" customHeight="1">
      <c r="A1755" s="1085">
        <v>39523.0</v>
      </c>
      <c r="B1755" s="1086" t="s">
        <v>7064</v>
      </c>
      <c r="C1755" s="1087" t="s">
        <v>1788</v>
      </c>
      <c r="D1755" s="1088">
        <v>294.15</v>
      </c>
      <c r="E1755" s="1089" t="s">
        <v>5308</v>
      </c>
      <c r="F1755" s="1081">
        <f t="shared" si="1"/>
        <v>0</v>
      </c>
      <c r="G1755" s="1083">
        <f t="shared" si="2"/>
        <v>294.15</v>
      </c>
      <c r="H1755" s="1084"/>
    </row>
    <row r="1756" ht="14.25" customHeight="1">
      <c r="A1756" s="1085">
        <v>39449.0</v>
      </c>
      <c r="B1756" s="1086" t="s">
        <v>7065</v>
      </c>
      <c r="C1756" s="1087" t="s">
        <v>1788</v>
      </c>
      <c r="D1756" s="1088">
        <v>325.75</v>
      </c>
      <c r="E1756" s="1089" t="s">
        <v>5308</v>
      </c>
      <c r="F1756" s="1081">
        <f t="shared" si="1"/>
        <v>0</v>
      </c>
      <c r="G1756" s="1083">
        <f t="shared" si="2"/>
        <v>325.75</v>
      </c>
      <c r="H1756" s="1084"/>
    </row>
    <row r="1757" ht="14.25" customHeight="1">
      <c r="A1757" s="1085">
        <v>39455.0</v>
      </c>
      <c r="B1757" s="1086" t="s">
        <v>7066</v>
      </c>
      <c r="C1757" s="1087" t="s">
        <v>1788</v>
      </c>
      <c r="D1757" s="1088">
        <v>161.19</v>
      </c>
      <c r="E1757" s="1089" t="s">
        <v>5308</v>
      </c>
      <c r="F1757" s="1081">
        <f t="shared" si="1"/>
        <v>0</v>
      </c>
      <c r="G1757" s="1083">
        <f t="shared" si="2"/>
        <v>161.19</v>
      </c>
      <c r="H1757" s="1084"/>
    </row>
    <row r="1758" ht="14.25" customHeight="1">
      <c r="A1758" s="1085">
        <v>39456.0</v>
      </c>
      <c r="B1758" s="1086" t="s">
        <v>7067</v>
      </c>
      <c r="C1758" s="1087" t="s">
        <v>1788</v>
      </c>
      <c r="D1758" s="1088">
        <v>161.31</v>
      </c>
      <c r="E1758" s="1089" t="s">
        <v>5308</v>
      </c>
      <c r="F1758" s="1081">
        <f t="shared" si="1"/>
        <v>0</v>
      </c>
      <c r="G1758" s="1083">
        <f t="shared" si="2"/>
        <v>161.31</v>
      </c>
      <c r="H1758" s="1084"/>
    </row>
    <row r="1759" ht="14.25" customHeight="1">
      <c r="A1759" s="1085">
        <v>39457.0</v>
      </c>
      <c r="B1759" s="1086" t="s">
        <v>7068</v>
      </c>
      <c r="C1759" s="1087" t="s">
        <v>1788</v>
      </c>
      <c r="D1759" s="1088">
        <v>175.85</v>
      </c>
      <c r="E1759" s="1089" t="s">
        <v>5308</v>
      </c>
      <c r="F1759" s="1081">
        <f t="shared" si="1"/>
        <v>0</v>
      </c>
      <c r="G1759" s="1083">
        <f t="shared" si="2"/>
        <v>175.85</v>
      </c>
      <c r="H1759" s="1084"/>
    </row>
    <row r="1760" ht="14.25" customHeight="1">
      <c r="A1760" s="1085">
        <v>39458.0</v>
      </c>
      <c r="B1760" s="1086" t="s">
        <v>7069</v>
      </c>
      <c r="C1760" s="1087" t="s">
        <v>1788</v>
      </c>
      <c r="D1760" s="1088">
        <v>328.15</v>
      </c>
      <c r="E1760" s="1089" t="s">
        <v>5308</v>
      </c>
      <c r="F1760" s="1081">
        <f t="shared" si="1"/>
        <v>0</v>
      </c>
      <c r="G1760" s="1083">
        <f t="shared" si="2"/>
        <v>328.15</v>
      </c>
      <c r="H1760" s="1084"/>
    </row>
    <row r="1761" ht="14.25" customHeight="1">
      <c r="A1761" s="1085">
        <v>39464.0</v>
      </c>
      <c r="B1761" s="1086" t="s">
        <v>7070</v>
      </c>
      <c r="C1761" s="1087" t="s">
        <v>1788</v>
      </c>
      <c r="D1761" s="1088">
        <v>527.69</v>
      </c>
      <c r="E1761" s="1089" t="s">
        <v>5308</v>
      </c>
      <c r="F1761" s="1081">
        <f t="shared" si="1"/>
        <v>0</v>
      </c>
      <c r="G1761" s="1083">
        <f t="shared" si="2"/>
        <v>527.69</v>
      </c>
      <c r="H1761" s="1084"/>
    </row>
    <row r="1762" ht="14.25" customHeight="1">
      <c r="A1762" s="1085">
        <v>39460.0</v>
      </c>
      <c r="B1762" s="1086" t="s">
        <v>7071</v>
      </c>
      <c r="C1762" s="1087" t="s">
        <v>1788</v>
      </c>
      <c r="D1762" s="1088">
        <v>200.14</v>
      </c>
      <c r="E1762" s="1089" t="s">
        <v>5308</v>
      </c>
      <c r="F1762" s="1081">
        <f t="shared" si="1"/>
        <v>0</v>
      </c>
      <c r="G1762" s="1083">
        <f t="shared" si="2"/>
        <v>200.14</v>
      </c>
      <c r="H1762" s="1084"/>
    </row>
    <row r="1763" ht="14.25" customHeight="1">
      <c r="A1763" s="1085">
        <v>39461.0</v>
      </c>
      <c r="B1763" s="1086" t="s">
        <v>7072</v>
      </c>
      <c r="C1763" s="1087" t="s">
        <v>1788</v>
      </c>
      <c r="D1763" s="1088">
        <v>234.52</v>
      </c>
      <c r="E1763" s="1089" t="s">
        <v>5308</v>
      </c>
      <c r="F1763" s="1081">
        <f t="shared" si="1"/>
        <v>0</v>
      </c>
      <c r="G1763" s="1083">
        <f t="shared" si="2"/>
        <v>234.52</v>
      </c>
      <c r="H1763" s="1084"/>
    </row>
    <row r="1764" ht="14.25" customHeight="1">
      <c r="A1764" s="1085">
        <v>39462.0</v>
      </c>
      <c r="B1764" s="1086" t="s">
        <v>7073</v>
      </c>
      <c r="C1764" s="1087" t="s">
        <v>1788</v>
      </c>
      <c r="D1764" s="1088">
        <v>226.02</v>
      </c>
      <c r="E1764" s="1089" t="s">
        <v>5308</v>
      </c>
      <c r="F1764" s="1081">
        <f t="shared" si="1"/>
        <v>0</v>
      </c>
      <c r="G1764" s="1083">
        <f t="shared" si="2"/>
        <v>226.02</v>
      </c>
      <c r="H1764" s="1084"/>
    </row>
    <row r="1765" ht="14.25" customHeight="1">
      <c r="A1765" s="1085">
        <v>39463.0</v>
      </c>
      <c r="B1765" s="1086" t="s">
        <v>7074</v>
      </c>
      <c r="C1765" s="1087" t="s">
        <v>1788</v>
      </c>
      <c r="D1765" s="1088">
        <v>523.6</v>
      </c>
      <c r="E1765" s="1089" t="s">
        <v>5308</v>
      </c>
      <c r="F1765" s="1081">
        <f t="shared" si="1"/>
        <v>0</v>
      </c>
      <c r="G1765" s="1083">
        <f t="shared" si="2"/>
        <v>523.6</v>
      </c>
      <c r="H1765" s="1084"/>
    </row>
    <row r="1766" ht="14.25" customHeight="1">
      <c r="A1766" s="1085">
        <v>26039.0</v>
      </c>
      <c r="B1766" s="1086" t="s">
        <v>7075</v>
      </c>
      <c r="C1766" s="1087" t="s">
        <v>1788</v>
      </c>
      <c r="D1766" s="1088">
        <v>391246.87</v>
      </c>
      <c r="E1766" s="1089" t="s">
        <v>5482</v>
      </c>
      <c r="F1766" s="1081">
        <f t="shared" si="1"/>
        <v>0</v>
      </c>
      <c r="G1766" s="1083">
        <f t="shared" si="2"/>
        <v>391246.87</v>
      </c>
      <c r="H1766" s="1084"/>
    </row>
    <row r="1767" ht="14.25" customHeight="1">
      <c r="A1767" s="1085">
        <v>2401.0</v>
      </c>
      <c r="B1767" s="1086" t="s">
        <v>7076</v>
      </c>
      <c r="C1767" s="1087" t="s">
        <v>1788</v>
      </c>
      <c r="D1767" s="1088">
        <v>89991.11</v>
      </c>
      <c r="E1767" s="1089" t="s">
        <v>5482</v>
      </c>
      <c r="F1767" s="1081">
        <f t="shared" si="1"/>
        <v>0</v>
      </c>
      <c r="G1767" s="1083">
        <f t="shared" si="2"/>
        <v>89991.11</v>
      </c>
      <c r="H1767" s="1084"/>
    </row>
    <row r="1768" ht="14.25" customHeight="1">
      <c r="A1768" s="1085">
        <v>38870.0</v>
      </c>
      <c r="B1768" s="1086" t="s">
        <v>7077</v>
      </c>
      <c r="C1768" s="1087" t="s">
        <v>1788</v>
      </c>
      <c r="D1768" s="1088">
        <v>27.97</v>
      </c>
      <c r="E1768" s="1089" t="s">
        <v>5308</v>
      </c>
      <c r="F1768" s="1081">
        <f t="shared" si="1"/>
        <v>0</v>
      </c>
      <c r="G1768" s="1083">
        <f t="shared" si="2"/>
        <v>27.97</v>
      </c>
      <c r="H1768" s="1084"/>
    </row>
    <row r="1769" ht="14.25" customHeight="1">
      <c r="A1769" s="1085">
        <v>38869.0</v>
      </c>
      <c r="B1769" s="1086" t="s">
        <v>7078</v>
      </c>
      <c r="C1769" s="1087" t="s">
        <v>1788</v>
      </c>
      <c r="D1769" s="1088">
        <v>18.88</v>
      </c>
      <c r="E1769" s="1089" t="s">
        <v>5308</v>
      </c>
      <c r="F1769" s="1081">
        <f t="shared" si="1"/>
        <v>0</v>
      </c>
      <c r="G1769" s="1083">
        <f t="shared" si="2"/>
        <v>18.88</v>
      </c>
      <c r="H1769" s="1084"/>
    </row>
    <row r="1770" ht="14.25" customHeight="1">
      <c r="A1770" s="1085">
        <v>38872.0</v>
      </c>
      <c r="B1770" s="1086" t="s">
        <v>7079</v>
      </c>
      <c r="C1770" s="1087" t="s">
        <v>1788</v>
      </c>
      <c r="D1770" s="1088">
        <v>35.64</v>
      </c>
      <c r="E1770" s="1089" t="s">
        <v>5308</v>
      </c>
      <c r="F1770" s="1081">
        <f t="shared" si="1"/>
        <v>0</v>
      </c>
      <c r="G1770" s="1083">
        <f t="shared" si="2"/>
        <v>35.64</v>
      </c>
      <c r="H1770" s="1084"/>
    </row>
    <row r="1771" ht="14.25" customHeight="1">
      <c r="A1771" s="1085">
        <v>38871.0</v>
      </c>
      <c r="B1771" s="1086" t="s">
        <v>7080</v>
      </c>
      <c r="C1771" s="1087" t="s">
        <v>1788</v>
      </c>
      <c r="D1771" s="1088">
        <v>24.64</v>
      </c>
      <c r="E1771" s="1089" t="s">
        <v>5308</v>
      </c>
      <c r="F1771" s="1081">
        <f t="shared" si="1"/>
        <v>0</v>
      </c>
      <c r="G1771" s="1083">
        <f t="shared" si="2"/>
        <v>24.64</v>
      </c>
      <c r="H1771" s="1084"/>
    </row>
    <row r="1772" ht="14.25" customHeight="1">
      <c r="A1772" s="1085">
        <v>39283.0</v>
      </c>
      <c r="B1772" s="1086" t="s">
        <v>7081</v>
      </c>
      <c r="C1772" s="1087" t="s">
        <v>1788</v>
      </c>
      <c r="D1772" s="1088">
        <v>115.44</v>
      </c>
      <c r="E1772" s="1089" t="s">
        <v>5308</v>
      </c>
      <c r="F1772" s="1081">
        <f t="shared" si="1"/>
        <v>0</v>
      </c>
      <c r="G1772" s="1083">
        <f t="shared" si="2"/>
        <v>115.44</v>
      </c>
      <c r="H1772" s="1084"/>
    </row>
    <row r="1773" ht="14.25" customHeight="1">
      <c r="A1773" s="1085">
        <v>39285.0</v>
      </c>
      <c r="B1773" s="1086" t="s">
        <v>7082</v>
      </c>
      <c r="C1773" s="1087" t="s">
        <v>1788</v>
      </c>
      <c r="D1773" s="1088">
        <v>131.93</v>
      </c>
      <c r="E1773" s="1089" t="s">
        <v>5308</v>
      </c>
      <c r="F1773" s="1081">
        <f t="shared" si="1"/>
        <v>0</v>
      </c>
      <c r="G1773" s="1083">
        <f t="shared" si="2"/>
        <v>131.93</v>
      </c>
      <c r="H1773" s="1084"/>
    </row>
    <row r="1774" ht="14.25" customHeight="1">
      <c r="A1774" s="1085">
        <v>39286.0</v>
      </c>
      <c r="B1774" s="1086" t="s">
        <v>7083</v>
      </c>
      <c r="C1774" s="1087" t="s">
        <v>1788</v>
      </c>
      <c r="D1774" s="1088">
        <v>126.44</v>
      </c>
      <c r="E1774" s="1089" t="s">
        <v>5308</v>
      </c>
      <c r="F1774" s="1081">
        <f t="shared" si="1"/>
        <v>0</v>
      </c>
      <c r="G1774" s="1083">
        <f t="shared" si="2"/>
        <v>126.44</v>
      </c>
      <c r="H1774" s="1084"/>
    </row>
    <row r="1775" ht="14.25" customHeight="1">
      <c r="A1775" s="1085">
        <v>39288.0</v>
      </c>
      <c r="B1775" s="1086" t="s">
        <v>7084</v>
      </c>
      <c r="C1775" s="1087" t="s">
        <v>1788</v>
      </c>
      <c r="D1775" s="1088">
        <v>153.91</v>
      </c>
      <c r="E1775" s="1089" t="s">
        <v>5308</v>
      </c>
      <c r="F1775" s="1081">
        <f t="shared" si="1"/>
        <v>0</v>
      </c>
      <c r="G1775" s="1083">
        <f t="shared" si="2"/>
        <v>153.91</v>
      </c>
      <c r="H1775" s="1084"/>
    </row>
    <row r="1776" ht="14.25" customHeight="1">
      <c r="A1776" s="1085">
        <v>44476.0</v>
      </c>
      <c r="B1776" s="1086" t="s">
        <v>7085</v>
      </c>
      <c r="C1776" s="1087" t="s">
        <v>1814</v>
      </c>
      <c r="D1776" s="1088">
        <v>669.18</v>
      </c>
      <c r="E1776" s="1089" t="s">
        <v>5554</v>
      </c>
      <c r="F1776" s="1081">
        <f t="shared" si="1"/>
        <v>0</v>
      </c>
      <c r="G1776" s="1083">
        <f t="shared" si="2"/>
        <v>669.18</v>
      </c>
      <c r="H1776" s="1084"/>
    </row>
    <row r="1777" ht="14.25" customHeight="1">
      <c r="A1777" s="1085">
        <v>10629.0</v>
      </c>
      <c r="B1777" s="1086" t="s">
        <v>7086</v>
      </c>
      <c r="C1777" s="1087" t="s">
        <v>1814</v>
      </c>
      <c r="D1777" s="1088">
        <v>747.51</v>
      </c>
      <c r="E1777" s="1089" t="s">
        <v>5308</v>
      </c>
      <c r="F1777" s="1081">
        <f t="shared" si="1"/>
        <v>0</v>
      </c>
      <c r="G1777" s="1083">
        <f t="shared" si="2"/>
        <v>747.51</v>
      </c>
      <c r="H1777" s="1084"/>
    </row>
    <row r="1778" ht="14.25" customHeight="1">
      <c r="A1778" s="1085">
        <v>10698.0</v>
      </c>
      <c r="B1778" s="1086" t="s">
        <v>7087</v>
      </c>
      <c r="C1778" s="1087" t="s">
        <v>1814</v>
      </c>
      <c r="D1778" s="1088">
        <v>207.56</v>
      </c>
      <c r="E1778" s="1089" t="s">
        <v>5308</v>
      </c>
      <c r="F1778" s="1081">
        <f t="shared" si="1"/>
        <v>0</v>
      </c>
      <c r="G1778" s="1083">
        <f t="shared" si="2"/>
        <v>207.56</v>
      </c>
      <c r="H1778" s="1084"/>
    </row>
    <row r="1779" ht="14.25" customHeight="1">
      <c r="A1779" s="1085">
        <v>40521.0</v>
      </c>
      <c r="B1779" s="1086" t="s">
        <v>7088</v>
      </c>
      <c r="C1779" s="1087" t="s">
        <v>1788</v>
      </c>
      <c r="D1779" s="1088">
        <v>117533.73</v>
      </c>
      <c r="E1779" s="1089" t="s">
        <v>5482</v>
      </c>
      <c r="F1779" s="1081">
        <f t="shared" si="1"/>
        <v>0</v>
      </c>
      <c r="G1779" s="1083">
        <f t="shared" si="2"/>
        <v>117533.73</v>
      </c>
      <c r="H1779" s="1084"/>
    </row>
    <row r="1780" ht="14.25" customHeight="1">
      <c r="A1780" s="1085">
        <v>2432.0</v>
      </c>
      <c r="B1780" s="1086" t="s">
        <v>7089</v>
      </c>
      <c r="C1780" s="1087" t="s">
        <v>1788</v>
      </c>
      <c r="D1780" s="1088">
        <v>21.88</v>
      </c>
      <c r="E1780" s="1089" t="s">
        <v>5308</v>
      </c>
      <c r="F1780" s="1081">
        <f t="shared" si="1"/>
        <v>0</v>
      </c>
      <c r="G1780" s="1083">
        <f t="shared" si="2"/>
        <v>21.88</v>
      </c>
      <c r="H1780" s="1084"/>
    </row>
    <row r="1781" ht="14.25" customHeight="1">
      <c r="A1781" s="1085">
        <v>2433.0</v>
      </c>
      <c r="B1781" s="1086" t="s">
        <v>7090</v>
      </c>
      <c r="C1781" s="1087" t="s">
        <v>1788</v>
      </c>
      <c r="D1781" s="1088">
        <v>7.41</v>
      </c>
      <c r="E1781" s="1089" t="s">
        <v>5308</v>
      </c>
      <c r="F1781" s="1081">
        <f t="shared" si="1"/>
        <v>0</v>
      </c>
      <c r="G1781" s="1083">
        <f t="shared" si="2"/>
        <v>7.41</v>
      </c>
      <c r="H1781" s="1084"/>
    </row>
    <row r="1782" ht="14.25" customHeight="1">
      <c r="A1782" s="1085">
        <v>2418.0</v>
      </c>
      <c r="B1782" s="1086" t="s">
        <v>7091</v>
      </c>
      <c r="C1782" s="1087" t="s">
        <v>1788</v>
      </c>
      <c r="D1782" s="1088">
        <v>10.15</v>
      </c>
      <c r="E1782" s="1089" t="s">
        <v>5308</v>
      </c>
      <c r="F1782" s="1081">
        <f t="shared" si="1"/>
        <v>0</v>
      </c>
      <c r="G1782" s="1083">
        <f t="shared" si="2"/>
        <v>10.15</v>
      </c>
      <c r="H1782" s="1084"/>
    </row>
    <row r="1783" ht="14.25" customHeight="1">
      <c r="A1783" s="1085">
        <v>2420.0</v>
      </c>
      <c r="B1783" s="1086" t="s">
        <v>7092</v>
      </c>
      <c r="C1783" s="1087" t="s">
        <v>1788</v>
      </c>
      <c r="D1783" s="1088">
        <v>12.73</v>
      </c>
      <c r="E1783" s="1089" t="s">
        <v>5308</v>
      </c>
      <c r="F1783" s="1081">
        <f t="shared" si="1"/>
        <v>0</v>
      </c>
      <c r="G1783" s="1083">
        <f t="shared" si="2"/>
        <v>12.73</v>
      </c>
      <c r="H1783" s="1084"/>
    </row>
    <row r="1784" ht="14.25" customHeight="1">
      <c r="A1784" s="1085">
        <v>11447.0</v>
      </c>
      <c r="B1784" s="1086" t="s">
        <v>7093</v>
      </c>
      <c r="C1784" s="1087" t="s">
        <v>1788</v>
      </c>
      <c r="D1784" s="1088">
        <v>25.16</v>
      </c>
      <c r="E1784" s="1089" t="s">
        <v>5308</v>
      </c>
      <c r="F1784" s="1081">
        <f t="shared" si="1"/>
        <v>0</v>
      </c>
      <c r="G1784" s="1083">
        <f t="shared" si="2"/>
        <v>25.16</v>
      </c>
      <c r="H1784" s="1084"/>
    </row>
    <row r="1785" ht="14.25" customHeight="1">
      <c r="A1785" s="1085">
        <v>11451.0</v>
      </c>
      <c r="B1785" s="1086" t="s">
        <v>7094</v>
      </c>
      <c r="C1785" s="1087" t="s">
        <v>1788</v>
      </c>
      <c r="D1785" s="1088">
        <v>67.44</v>
      </c>
      <c r="E1785" s="1089" t="s">
        <v>5308</v>
      </c>
      <c r="F1785" s="1081">
        <f t="shared" si="1"/>
        <v>0</v>
      </c>
      <c r="G1785" s="1083">
        <f t="shared" si="2"/>
        <v>67.44</v>
      </c>
      <c r="H1785" s="1084"/>
    </row>
    <row r="1786" ht="14.25" customHeight="1">
      <c r="A1786" s="1085">
        <v>11116.0</v>
      </c>
      <c r="B1786" s="1086" t="s">
        <v>7095</v>
      </c>
      <c r="C1786" s="1087" t="s">
        <v>1788</v>
      </c>
      <c r="D1786" s="1088">
        <v>951.24</v>
      </c>
      <c r="E1786" s="1089" t="s">
        <v>5308</v>
      </c>
      <c r="F1786" s="1081">
        <f t="shared" si="1"/>
        <v>0</v>
      </c>
      <c r="G1786" s="1083">
        <f t="shared" si="2"/>
        <v>951.24</v>
      </c>
      <c r="H1786" s="1084"/>
    </row>
    <row r="1787" ht="14.25" customHeight="1">
      <c r="A1787" s="1085">
        <v>38411.0</v>
      </c>
      <c r="B1787" s="1086" t="s">
        <v>7096</v>
      </c>
      <c r="C1787" s="1087" t="s">
        <v>1788</v>
      </c>
      <c r="D1787" s="1088">
        <v>1585.31</v>
      </c>
      <c r="E1787" s="1089" t="s">
        <v>5482</v>
      </c>
      <c r="F1787" s="1081">
        <f t="shared" si="1"/>
        <v>0</v>
      </c>
      <c r="G1787" s="1083">
        <f t="shared" si="2"/>
        <v>1585.31</v>
      </c>
      <c r="H1787" s="1084"/>
    </row>
    <row r="1788" ht="14.25" customHeight="1">
      <c r="A1788" s="1085">
        <v>38189.0</v>
      </c>
      <c r="B1788" s="1086" t="s">
        <v>7097</v>
      </c>
      <c r="C1788" s="1087" t="s">
        <v>1788</v>
      </c>
      <c r="D1788" s="1088">
        <v>144.72</v>
      </c>
      <c r="E1788" s="1089" t="s">
        <v>5308</v>
      </c>
      <c r="F1788" s="1081">
        <f t="shared" si="1"/>
        <v>0</v>
      </c>
      <c r="G1788" s="1083">
        <f t="shared" si="2"/>
        <v>144.72</v>
      </c>
      <c r="H1788" s="1084"/>
    </row>
    <row r="1789" ht="14.25" customHeight="1">
      <c r="A1789" s="1085">
        <v>38190.0</v>
      </c>
      <c r="B1789" s="1086" t="s">
        <v>7098</v>
      </c>
      <c r="C1789" s="1087" t="s">
        <v>1788</v>
      </c>
      <c r="D1789" s="1088">
        <v>304.88</v>
      </c>
      <c r="E1789" s="1089" t="s">
        <v>5308</v>
      </c>
      <c r="F1789" s="1081">
        <f t="shared" si="1"/>
        <v>0</v>
      </c>
      <c r="G1789" s="1083">
        <f t="shared" si="2"/>
        <v>304.88</v>
      </c>
      <c r="H1789" s="1084"/>
    </row>
    <row r="1790" ht="14.25" customHeight="1">
      <c r="A1790" s="1085">
        <v>7608.0</v>
      </c>
      <c r="B1790" s="1086" t="s">
        <v>7099</v>
      </c>
      <c r="C1790" s="1087" t="s">
        <v>1788</v>
      </c>
      <c r="D1790" s="1088">
        <v>11.94</v>
      </c>
      <c r="E1790" s="1089" t="s">
        <v>5308</v>
      </c>
      <c r="F1790" s="1081">
        <f t="shared" si="1"/>
        <v>0</v>
      </c>
      <c r="G1790" s="1083">
        <f t="shared" si="2"/>
        <v>11.94</v>
      </c>
      <c r="H1790" s="1084"/>
    </row>
    <row r="1791" ht="14.25" customHeight="1">
      <c r="A1791" s="1085">
        <v>1370.0</v>
      </c>
      <c r="B1791" s="1086" t="s">
        <v>7100</v>
      </c>
      <c r="C1791" s="1087" t="s">
        <v>1788</v>
      </c>
      <c r="D1791" s="1088">
        <v>116.48</v>
      </c>
      <c r="E1791" s="1089" t="s">
        <v>5308</v>
      </c>
      <c r="F1791" s="1081">
        <f t="shared" si="1"/>
        <v>0</v>
      </c>
      <c r="G1791" s="1083">
        <f t="shared" si="2"/>
        <v>116.48</v>
      </c>
      <c r="H1791" s="1084"/>
    </row>
    <row r="1792" ht="14.25" customHeight="1">
      <c r="A1792" s="1085">
        <v>36516.0</v>
      </c>
      <c r="B1792" s="1086" t="s">
        <v>7101</v>
      </c>
      <c r="C1792" s="1087" t="s">
        <v>1788</v>
      </c>
      <c r="D1792" s="1088">
        <v>145210.25</v>
      </c>
      <c r="E1792" s="1089" t="s">
        <v>5482</v>
      </c>
      <c r="F1792" s="1081">
        <f t="shared" si="1"/>
        <v>0</v>
      </c>
      <c r="G1792" s="1083">
        <f t="shared" si="2"/>
        <v>145210.25</v>
      </c>
      <c r="H1792" s="1084"/>
    </row>
    <row r="1793" ht="14.25" customHeight="1">
      <c r="A1793" s="1085">
        <v>34777.0</v>
      </c>
      <c r="B1793" s="1086" t="s">
        <v>7102</v>
      </c>
      <c r="C1793" s="1087" t="s">
        <v>1788</v>
      </c>
      <c r="D1793" s="1088">
        <v>2.98</v>
      </c>
      <c r="E1793" s="1089" t="s">
        <v>5308</v>
      </c>
      <c r="F1793" s="1081">
        <f t="shared" si="1"/>
        <v>0</v>
      </c>
      <c r="G1793" s="1083">
        <f t="shared" si="2"/>
        <v>2.98</v>
      </c>
      <c r="H1793" s="1084"/>
    </row>
    <row r="1794" ht="14.25" customHeight="1">
      <c r="A1794" s="1085">
        <v>7272.0</v>
      </c>
      <c r="B1794" s="1086" t="s">
        <v>7103</v>
      </c>
      <c r="C1794" s="1087" t="s">
        <v>1788</v>
      </c>
      <c r="D1794" s="1088">
        <v>2.52</v>
      </c>
      <c r="E1794" s="1089" t="s">
        <v>5308</v>
      </c>
      <c r="F1794" s="1081">
        <f t="shared" si="1"/>
        <v>0</v>
      </c>
      <c r="G1794" s="1083">
        <f t="shared" si="2"/>
        <v>2.52</v>
      </c>
      <c r="H1794" s="1084"/>
    </row>
    <row r="1795" ht="14.25" customHeight="1">
      <c r="A1795" s="1085">
        <v>10605.0</v>
      </c>
      <c r="B1795" s="1086" t="s">
        <v>7104</v>
      </c>
      <c r="C1795" s="1087" t="s">
        <v>1788</v>
      </c>
      <c r="D1795" s="1088">
        <v>4.27</v>
      </c>
      <c r="E1795" s="1089" t="s">
        <v>5308</v>
      </c>
      <c r="F1795" s="1081">
        <f t="shared" si="1"/>
        <v>0</v>
      </c>
      <c r="G1795" s="1083">
        <f t="shared" si="2"/>
        <v>4.27</v>
      </c>
      <c r="H1795" s="1084"/>
    </row>
    <row r="1796" ht="14.25" customHeight="1">
      <c r="A1796" s="1085">
        <v>10604.0</v>
      </c>
      <c r="B1796" s="1086" t="s">
        <v>7105</v>
      </c>
      <c r="C1796" s="1087" t="s">
        <v>1788</v>
      </c>
      <c r="D1796" s="1088">
        <v>9.95</v>
      </c>
      <c r="E1796" s="1089" t="s">
        <v>5308</v>
      </c>
      <c r="F1796" s="1081">
        <f t="shared" si="1"/>
        <v>0</v>
      </c>
      <c r="G1796" s="1083">
        <f t="shared" si="2"/>
        <v>9.95</v>
      </c>
      <c r="H1796" s="1084"/>
    </row>
    <row r="1797" ht="14.25" customHeight="1">
      <c r="A1797" s="1085">
        <v>672.0</v>
      </c>
      <c r="B1797" s="1086" t="s">
        <v>7106</v>
      </c>
      <c r="C1797" s="1087" t="s">
        <v>1788</v>
      </c>
      <c r="D1797" s="1088">
        <v>13.69</v>
      </c>
      <c r="E1797" s="1089" t="s">
        <v>5308</v>
      </c>
      <c r="F1797" s="1081">
        <f t="shared" si="1"/>
        <v>0</v>
      </c>
      <c r="G1797" s="1083">
        <f t="shared" si="2"/>
        <v>13.69</v>
      </c>
      <c r="H1797" s="1084"/>
    </row>
    <row r="1798" ht="14.25" customHeight="1">
      <c r="A1798" s="1085">
        <v>668.0</v>
      </c>
      <c r="B1798" s="1086" t="s">
        <v>7107</v>
      </c>
      <c r="C1798" s="1087" t="s">
        <v>1788</v>
      </c>
      <c r="D1798" s="1088">
        <v>16.53</v>
      </c>
      <c r="E1798" s="1089" t="s">
        <v>5308</v>
      </c>
      <c r="F1798" s="1081">
        <f t="shared" si="1"/>
        <v>0</v>
      </c>
      <c r="G1798" s="1083">
        <f t="shared" si="2"/>
        <v>16.53</v>
      </c>
      <c r="H1798" s="1084"/>
    </row>
    <row r="1799" ht="14.25" customHeight="1">
      <c r="A1799" s="1085">
        <v>10578.0</v>
      </c>
      <c r="B1799" s="1086" t="s">
        <v>7108</v>
      </c>
      <c r="C1799" s="1087" t="s">
        <v>1788</v>
      </c>
      <c r="D1799" s="1088">
        <v>19.25</v>
      </c>
      <c r="E1799" s="1089" t="s">
        <v>5308</v>
      </c>
      <c r="F1799" s="1081">
        <f t="shared" si="1"/>
        <v>0</v>
      </c>
      <c r="G1799" s="1083">
        <f t="shared" si="2"/>
        <v>19.25</v>
      </c>
      <c r="H1799" s="1084"/>
    </row>
    <row r="1800" ht="14.25" customHeight="1">
      <c r="A1800" s="1085">
        <v>666.0</v>
      </c>
      <c r="B1800" s="1086" t="s">
        <v>7109</v>
      </c>
      <c r="C1800" s="1087" t="s">
        <v>1788</v>
      </c>
      <c r="D1800" s="1088">
        <v>21.41</v>
      </c>
      <c r="E1800" s="1089" t="s">
        <v>5308</v>
      </c>
      <c r="F1800" s="1081">
        <f t="shared" si="1"/>
        <v>0</v>
      </c>
      <c r="G1800" s="1083">
        <f t="shared" si="2"/>
        <v>21.41</v>
      </c>
      <c r="H1800" s="1084"/>
    </row>
    <row r="1801" ht="14.25" customHeight="1">
      <c r="A1801" s="1085">
        <v>665.0</v>
      </c>
      <c r="B1801" s="1086" t="s">
        <v>7110</v>
      </c>
      <c r="C1801" s="1087" t="s">
        <v>1788</v>
      </c>
      <c r="D1801" s="1088">
        <v>28.63</v>
      </c>
      <c r="E1801" s="1089" t="s">
        <v>5308</v>
      </c>
      <c r="F1801" s="1081">
        <f t="shared" si="1"/>
        <v>0</v>
      </c>
      <c r="G1801" s="1083">
        <f t="shared" si="2"/>
        <v>28.63</v>
      </c>
      <c r="H1801" s="1084"/>
    </row>
    <row r="1802" ht="14.25" customHeight="1">
      <c r="A1802" s="1085">
        <v>10577.0</v>
      </c>
      <c r="B1802" s="1086" t="s">
        <v>7111</v>
      </c>
      <c r="C1802" s="1087" t="s">
        <v>1788</v>
      </c>
      <c r="D1802" s="1088">
        <v>25.39</v>
      </c>
      <c r="E1802" s="1089" t="s">
        <v>5308</v>
      </c>
      <c r="F1802" s="1081">
        <f t="shared" si="1"/>
        <v>0</v>
      </c>
      <c r="G1802" s="1083">
        <f t="shared" si="2"/>
        <v>25.39</v>
      </c>
      <c r="H1802" s="1084"/>
    </row>
    <row r="1803" ht="14.25" customHeight="1">
      <c r="A1803" s="1085">
        <v>10583.0</v>
      </c>
      <c r="B1803" s="1086" t="s">
        <v>7112</v>
      </c>
      <c r="C1803" s="1087" t="s">
        <v>1788</v>
      </c>
      <c r="D1803" s="1088">
        <v>13.19</v>
      </c>
      <c r="E1803" s="1089" t="s">
        <v>5308</v>
      </c>
      <c r="F1803" s="1081">
        <f t="shared" si="1"/>
        <v>0</v>
      </c>
      <c r="G1803" s="1083">
        <f t="shared" si="2"/>
        <v>13.19</v>
      </c>
      <c r="H1803" s="1084"/>
    </row>
    <row r="1804" ht="14.25" customHeight="1">
      <c r="A1804" s="1085">
        <v>10579.0</v>
      </c>
      <c r="B1804" s="1086" t="s">
        <v>7113</v>
      </c>
      <c r="C1804" s="1087" t="s">
        <v>1788</v>
      </c>
      <c r="D1804" s="1088">
        <v>22.99</v>
      </c>
      <c r="E1804" s="1089" t="s">
        <v>5308</v>
      </c>
      <c r="F1804" s="1081">
        <f t="shared" si="1"/>
        <v>0</v>
      </c>
      <c r="G1804" s="1083">
        <f t="shared" si="2"/>
        <v>22.99</v>
      </c>
      <c r="H1804" s="1084"/>
    </row>
    <row r="1805" ht="14.25" customHeight="1">
      <c r="A1805" s="1085">
        <v>10582.0</v>
      </c>
      <c r="B1805" s="1086" t="s">
        <v>7114</v>
      </c>
      <c r="C1805" s="1087" t="s">
        <v>1788</v>
      </c>
      <c r="D1805" s="1088">
        <v>11.61</v>
      </c>
      <c r="E1805" s="1089" t="s">
        <v>5308</v>
      </c>
      <c r="F1805" s="1081">
        <f t="shared" si="1"/>
        <v>0</v>
      </c>
      <c r="G1805" s="1083">
        <f t="shared" si="2"/>
        <v>11.61</v>
      </c>
      <c r="H1805" s="1084"/>
    </row>
    <row r="1806" ht="14.25" customHeight="1">
      <c r="A1806" s="1085">
        <v>2436.0</v>
      </c>
      <c r="B1806" s="1086" t="s">
        <v>7115</v>
      </c>
      <c r="C1806" s="1087" t="s">
        <v>1470</v>
      </c>
      <c r="D1806" s="1088">
        <v>20.82</v>
      </c>
      <c r="E1806" s="1089" t="s">
        <v>5452</v>
      </c>
      <c r="F1806" s="1081">
        <f t="shared" si="1"/>
        <v>20.82</v>
      </c>
      <c r="G1806" s="1083">
        <f t="shared" si="2"/>
        <v>0</v>
      </c>
      <c r="H1806" s="1084"/>
    </row>
    <row r="1807" ht="14.25" customHeight="1">
      <c r="A1807" s="1085">
        <v>40918.0</v>
      </c>
      <c r="B1807" s="1086" t="s">
        <v>7116</v>
      </c>
      <c r="C1807" s="1087" t="s">
        <v>5454</v>
      </c>
      <c r="D1807" s="1088">
        <v>3643.51</v>
      </c>
      <c r="E1807" s="1089" t="s">
        <v>5452</v>
      </c>
      <c r="F1807" s="1081">
        <f t="shared" si="1"/>
        <v>3643.51</v>
      </c>
      <c r="G1807" s="1083">
        <f t="shared" si="2"/>
        <v>0</v>
      </c>
      <c r="H1807" s="1084"/>
    </row>
    <row r="1808" ht="14.25" customHeight="1">
      <c r="A1808" s="1085">
        <v>2439.0</v>
      </c>
      <c r="B1808" s="1086" t="s">
        <v>7117</v>
      </c>
      <c r="C1808" s="1087" t="s">
        <v>1470</v>
      </c>
      <c r="D1808" s="1088">
        <v>22.84</v>
      </c>
      <c r="E1808" s="1089" t="s">
        <v>5452</v>
      </c>
      <c r="F1808" s="1081">
        <f t="shared" si="1"/>
        <v>22.84</v>
      </c>
      <c r="G1808" s="1083">
        <f t="shared" si="2"/>
        <v>0</v>
      </c>
      <c r="H1808" s="1084"/>
    </row>
    <row r="1809" ht="14.25" customHeight="1">
      <c r="A1809" s="1085">
        <v>40923.0</v>
      </c>
      <c r="B1809" s="1086" t="s">
        <v>7118</v>
      </c>
      <c r="C1809" s="1087" t="s">
        <v>5454</v>
      </c>
      <c r="D1809" s="1088">
        <v>3997.55</v>
      </c>
      <c r="E1809" s="1089" t="s">
        <v>5452</v>
      </c>
      <c r="F1809" s="1081">
        <f t="shared" si="1"/>
        <v>3997.55</v>
      </c>
      <c r="G1809" s="1083">
        <f t="shared" si="2"/>
        <v>0</v>
      </c>
      <c r="H1809" s="1084"/>
    </row>
    <row r="1810" ht="14.25" customHeight="1">
      <c r="A1810" s="1085">
        <v>10998.0</v>
      </c>
      <c r="B1810" s="1086" t="s">
        <v>7119</v>
      </c>
      <c r="C1810" s="1087" t="s">
        <v>3606</v>
      </c>
      <c r="D1810" s="1088">
        <v>34.58</v>
      </c>
      <c r="E1810" s="1089" t="s">
        <v>5308</v>
      </c>
      <c r="F1810" s="1081">
        <f t="shared" si="1"/>
        <v>0</v>
      </c>
      <c r="G1810" s="1083">
        <f t="shared" si="2"/>
        <v>34.58</v>
      </c>
      <c r="H1810" s="1084"/>
    </row>
    <row r="1811" ht="14.25" customHeight="1">
      <c r="A1811" s="1085">
        <v>11002.0</v>
      </c>
      <c r="B1811" s="1086" t="s">
        <v>7120</v>
      </c>
      <c r="C1811" s="1087" t="s">
        <v>3606</v>
      </c>
      <c r="D1811" s="1088">
        <v>31.68</v>
      </c>
      <c r="E1811" s="1089" t="s">
        <v>5308</v>
      </c>
      <c r="F1811" s="1081">
        <f t="shared" si="1"/>
        <v>0</v>
      </c>
      <c r="G1811" s="1083">
        <f t="shared" si="2"/>
        <v>31.68</v>
      </c>
      <c r="H1811" s="1084"/>
    </row>
    <row r="1812" ht="14.25" customHeight="1">
      <c r="A1812" s="1085">
        <v>10999.0</v>
      </c>
      <c r="B1812" s="1086" t="s">
        <v>7121</v>
      </c>
      <c r="C1812" s="1087" t="s">
        <v>3606</v>
      </c>
      <c r="D1812" s="1088">
        <v>30.44</v>
      </c>
      <c r="E1812" s="1089" t="s">
        <v>5308</v>
      </c>
      <c r="F1812" s="1081">
        <f t="shared" si="1"/>
        <v>0</v>
      </c>
      <c r="G1812" s="1083">
        <f t="shared" si="2"/>
        <v>30.44</v>
      </c>
      <c r="H1812" s="1084"/>
    </row>
    <row r="1813" ht="14.25" customHeight="1">
      <c r="A1813" s="1085">
        <v>10997.0</v>
      </c>
      <c r="B1813" s="1086" t="s">
        <v>7122</v>
      </c>
      <c r="C1813" s="1087" t="s">
        <v>3606</v>
      </c>
      <c r="D1813" s="1088">
        <v>32.99</v>
      </c>
      <c r="E1813" s="1089" t="s">
        <v>5308</v>
      </c>
      <c r="F1813" s="1081">
        <f t="shared" si="1"/>
        <v>0</v>
      </c>
      <c r="G1813" s="1083">
        <f t="shared" si="2"/>
        <v>32.99</v>
      </c>
      <c r="H1813" s="1084"/>
    </row>
    <row r="1814" ht="14.25" customHeight="1">
      <c r="A1814" s="1085">
        <v>2685.0</v>
      </c>
      <c r="B1814" s="1086" t="s">
        <v>7123</v>
      </c>
      <c r="C1814" s="1087" t="s">
        <v>1731</v>
      </c>
      <c r="D1814" s="1088">
        <v>10.1</v>
      </c>
      <c r="E1814" s="1089" t="s">
        <v>5308</v>
      </c>
      <c r="F1814" s="1081">
        <f t="shared" si="1"/>
        <v>0</v>
      </c>
      <c r="G1814" s="1083">
        <f t="shared" si="2"/>
        <v>10.1</v>
      </c>
      <c r="H1814" s="1084"/>
    </row>
    <row r="1815" ht="14.25" customHeight="1">
      <c r="A1815" s="1085">
        <v>2680.0</v>
      </c>
      <c r="B1815" s="1086" t="s">
        <v>7124</v>
      </c>
      <c r="C1815" s="1087" t="s">
        <v>1731</v>
      </c>
      <c r="D1815" s="1088">
        <v>14.78</v>
      </c>
      <c r="E1815" s="1089" t="s">
        <v>5308</v>
      </c>
      <c r="F1815" s="1081">
        <f t="shared" si="1"/>
        <v>0</v>
      </c>
      <c r="G1815" s="1083">
        <f t="shared" si="2"/>
        <v>14.78</v>
      </c>
      <c r="H1815" s="1084"/>
    </row>
    <row r="1816" ht="14.25" customHeight="1">
      <c r="A1816" s="1085">
        <v>2684.0</v>
      </c>
      <c r="B1816" s="1086" t="s">
        <v>7125</v>
      </c>
      <c r="C1816" s="1087" t="s">
        <v>1731</v>
      </c>
      <c r="D1816" s="1088">
        <v>13.45</v>
      </c>
      <c r="E1816" s="1089" t="s">
        <v>5308</v>
      </c>
      <c r="F1816" s="1081">
        <f t="shared" si="1"/>
        <v>0</v>
      </c>
      <c r="G1816" s="1083">
        <f t="shared" si="2"/>
        <v>13.45</v>
      </c>
      <c r="H1816" s="1084"/>
    </row>
    <row r="1817" ht="14.25" customHeight="1">
      <c r="A1817" s="1085">
        <v>2673.0</v>
      </c>
      <c r="B1817" s="1086" t="s">
        <v>7126</v>
      </c>
      <c r="C1817" s="1087" t="s">
        <v>1731</v>
      </c>
      <c r="D1817" s="1088">
        <v>5.19</v>
      </c>
      <c r="E1817" s="1089" t="s">
        <v>5308</v>
      </c>
      <c r="F1817" s="1081">
        <f t="shared" si="1"/>
        <v>0</v>
      </c>
      <c r="G1817" s="1083">
        <f t="shared" si="2"/>
        <v>5.19</v>
      </c>
      <c r="H1817" s="1084"/>
    </row>
    <row r="1818" ht="14.25" customHeight="1">
      <c r="A1818" s="1085">
        <v>2681.0</v>
      </c>
      <c r="B1818" s="1086" t="s">
        <v>7127</v>
      </c>
      <c r="C1818" s="1087" t="s">
        <v>1731</v>
      </c>
      <c r="D1818" s="1088">
        <v>24.15</v>
      </c>
      <c r="E1818" s="1089" t="s">
        <v>5308</v>
      </c>
      <c r="F1818" s="1081">
        <f t="shared" si="1"/>
        <v>0</v>
      </c>
      <c r="G1818" s="1083">
        <f t="shared" si="2"/>
        <v>24.15</v>
      </c>
      <c r="H1818" s="1084"/>
    </row>
    <row r="1819" ht="14.25" customHeight="1">
      <c r="A1819" s="1085">
        <v>2682.0</v>
      </c>
      <c r="B1819" s="1086" t="s">
        <v>7128</v>
      </c>
      <c r="C1819" s="1087" t="s">
        <v>1731</v>
      </c>
      <c r="D1819" s="1088">
        <v>35.23</v>
      </c>
      <c r="E1819" s="1089" t="s">
        <v>5308</v>
      </c>
      <c r="F1819" s="1081">
        <f t="shared" si="1"/>
        <v>0</v>
      </c>
      <c r="G1819" s="1083">
        <f t="shared" si="2"/>
        <v>35.23</v>
      </c>
      <c r="H1819" s="1084"/>
    </row>
    <row r="1820" ht="14.25" customHeight="1">
      <c r="A1820" s="1085">
        <v>2686.0</v>
      </c>
      <c r="B1820" s="1086" t="s">
        <v>7129</v>
      </c>
      <c r="C1820" s="1087" t="s">
        <v>1731</v>
      </c>
      <c r="D1820" s="1088">
        <v>44.18</v>
      </c>
      <c r="E1820" s="1089" t="s">
        <v>5308</v>
      </c>
      <c r="F1820" s="1081">
        <f t="shared" si="1"/>
        <v>0</v>
      </c>
      <c r="G1820" s="1083">
        <f t="shared" si="2"/>
        <v>44.18</v>
      </c>
      <c r="H1820" s="1084"/>
    </row>
    <row r="1821" ht="14.25" customHeight="1">
      <c r="A1821" s="1085">
        <v>2674.0</v>
      </c>
      <c r="B1821" s="1086" t="s">
        <v>7130</v>
      </c>
      <c r="C1821" s="1087" t="s">
        <v>1731</v>
      </c>
      <c r="D1821" s="1088">
        <v>6.46</v>
      </c>
      <c r="E1821" s="1089" t="s">
        <v>5308</v>
      </c>
      <c r="F1821" s="1081">
        <f t="shared" si="1"/>
        <v>0</v>
      </c>
      <c r="G1821" s="1083">
        <f t="shared" si="2"/>
        <v>6.46</v>
      </c>
      <c r="H1821" s="1084"/>
    </row>
    <row r="1822" ht="14.25" customHeight="1">
      <c r="A1822" s="1085">
        <v>2683.0</v>
      </c>
      <c r="B1822" s="1086" t="s">
        <v>7131</v>
      </c>
      <c r="C1822" s="1087" t="s">
        <v>1731</v>
      </c>
      <c r="D1822" s="1088">
        <v>69.62</v>
      </c>
      <c r="E1822" s="1089" t="s">
        <v>5308</v>
      </c>
      <c r="F1822" s="1081">
        <f t="shared" si="1"/>
        <v>0</v>
      </c>
      <c r="G1822" s="1083">
        <f t="shared" si="2"/>
        <v>69.62</v>
      </c>
      <c r="H1822" s="1084"/>
    </row>
    <row r="1823" ht="14.25" customHeight="1">
      <c r="A1823" s="1085">
        <v>2676.0</v>
      </c>
      <c r="B1823" s="1086" t="s">
        <v>7132</v>
      </c>
      <c r="C1823" s="1087" t="s">
        <v>1731</v>
      </c>
      <c r="D1823" s="1088">
        <v>3.02</v>
      </c>
      <c r="E1823" s="1089" t="s">
        <v>5308</v>
      </c>
      <c r="F1823" s="1081">
        <f t="shared" si="1"/>
        <v>0</v>
      </c>
      <c r="G1823" s="1083">
        <f t="shared" si="2"/>
        <v>3.02</v>
      </c>
      <c r="H1823" s="1084"/>
    </row>
    <row r="1824" ht="14.25" customHeight="1">
      <c r="A1824" s="1085">
        <v>2678.0</v>
      </c>
      <c r="B1824" s="1086" t="s">
        <v>7133</v>
      </c>
      <c r="C1824" s="1087" t="s">
        <v>1731</v>
      </c>
      <c r="D1824" s="1088">
        <v>3.78</v>
      </c>
      <c r="E1824" s="1089" t="s">
        <v>5308</v>
      </c>
      <c r="F1824" s="1081">
        <f t="shared" si="1"/>
        <v>0</v>
      </c>
      <c r="G1824" s="1083">
        <f t="shared" si="2"/>
        <v>3.78</v>
      </c>
      <c r="H1824" s="1084"/>
    </row>
    <row r="1825" ht="14.25" customHeight="1">
      <c r="A1825" s="1085">
        <v>2679.0</v>
      </c>
      <c r="B1825" s="1086" t="s">
        <v>7134</v>
      </c>
      <c r="C1825" s="1087" t="s">
        <v>1731</v>
      </c>
      <c r="D1825" s="1088">
        <v>5.83</v>
      </c>
      <c r="E1825" s="1089" t="s">
        <v>5308</v>
      </c>
      <c r="F1825" s="1081">
        <f t="shared" si="1"/>
        <v>0</v>
      </c>
      <c r="G1825" s="1083">
        <f t="shared" si="2"/>
        <v>5.83</v>
      </c>
      <c r="H1825" s="1084"/>
    </row>
    <row r="1826" ht="14.25" customHeight="1">
      <c r="A1826" s="1085">
        <v>12070.0</v>
      </c>
      <c r="B1826" s="1086" t="s">
        <v>7135</v>
      </c>
      <c r="C1826" s="1087" t="s">
        <v>1731</v>
      </c>
      <c r="D1826" s="1088">
        <v>8.11</v>
      </c>
      <c r="E1826" s="1089" t="s">
        <v>5308</v>
      </c>
      <c r="F1826" s="1081">
        <f t="shared" si="1"/>
        <v>0</v>
      </c>
      <c r="G1826" s="1083">
        <f t="shared" si="2"/>
        <v>8.11</v>
      </c>
      <c r="H1826" s="1084"/>
    </row>
    <row r="1827" ht="14.25" customHeight="1">
      <c r="A1827" s="1085">
        <v>2675.0</v>
      </c>
      <c r="B1827" s="1086" t="s">
        <v>7136</v>
      </c>
      <c r="C1827" s="1087" t="s">
        <v>1731</v>
      </c>
      <c r="D1827" s="1088">
        <v>10.54</v>
      </c>
      <c r="E1827" s="1089" t="s">
        <v>5308</v>
      </c>
      <c r="F1827" s="1081">
        <f t="shared" si="1"/>
        <v>0</v>
      </c>
      <c r="G1827" s="1083">
        <f t="shared" si="2"/>
        <v>10.54</v>
      </c>
      <c r="H1827" s="1084"/>
    </row>
    <row r="1828" ht="14.25" customHeight="1">
      <c r="A1828" s="1085">
        <v>12067.0</v>
      </c>
      <c r="B1828" s="1086" t="s">
        <v>7137</v>
      </c>
      <c r="C1828" s="1087" t="s">
        <v>1731</v>
      </c>
      <c r="D1828" s="1088">
        <v>14.3</v>
      </c>
      <c r="E1828" s="1089" t="s">
        <v>5308</v>
      </c>
      <c r="F1828" s="1081">
        <f t="shared" si="1"/>
        <v>0</v>
      </c>
      <c r="G1828" s="1083">
        <f t="shared" si="2"/>
        <v>14.3</v>
      </c>
      <c r="H1828" s="1084"/>
    </row>
    <row r="1829" ht="14.25" customHeight="1">
      <c r="A1829" s="1085">
        <v>21136.0</v>
      </c>
      <c r="B1829" s="1086" t="s">
        <v>7138</v>
      </c>
      <c r="C1829" s="1087" t="s">
        <v>1731</v>
      </c>
      <c r="D1829" s="1088">
        <v>16.17</v>
      </c>
      <c r="E1829" s="1089" t="s">
        <v>5308</v>
      </c>
      <c r="F1829" s="1081">
        <f t="shared" si="1"/>
        <v>0</v>
      </c>
      <c r="G1829" s="1083">
        <f t="shared" si="2"/>
        <v>16.17</v>
      </c>
      <c r="H1829" s="1084"/>
    </row>
    <row r="1830" ht="14.25" customHeight="1">
      <c r="A1830" s="1085">
        <v>21128.0</v>
      </c>
      <c r="B1830" s="1086" t="s">
        <v>7139</v>
      </c>
      <c r="C1830" s="1087" t="s">
        <v>1731</v>
      </c>
      <c r="D1830" s="1088">
        <v>12.51</v>
      </c>
      <c r="E1830" s="1089" t="s">
        <v>5308</v>
      </c>
      <c r="F1830" s="1081">
        <f t="shared" si="1"/>
        <v>0</v>
      </c>
      <c r="G1830" s="1083">
        <f t="shared" si="2"/>
        <v>12.51</v>
      </c>
      <c r="H1830" s="1084"/>
    </row>
    <row r="1831" ht="14.25" customHeight="1">
      <c r="A1831" s="1085">
        <v>21130.0</v>
      </c>
      <c r="B1831" s="1086" t="s">
        <v>7140</v>
      </c>
      <c r="C1831" s="1087" t="s">
        <v>1731</v>
      </c>
      <c r="D1831" s="1088">
        <v>31.59</v>
      </c>
      <c r="E1831" s="1089" t="s">
        <v>5308</v>
      </c>
      <c r="F1831" s="1081">
        <f t="shared" si="1"/>
        <v>0</v>
      </c>
      <c r="G1831" s="1083">
        <f t="shared" si="2"/>
        <v>31.59</v>
      </c>
      <c r="H1831" s="1084"/>
    </row>
    <row r="1832" ht="14.25" customHeight="1">
      <c r="A1832" s="1085">
        <v>21135.0</v>
      </c>
      <c r="B1832" s="1086" t="s">
        <v>7141</v>
      </c>
      <c r="C1832" s="1087" t="s">
        <v>1731</v>
      </c>
      <c r="D1832" s="1088">
        <v>31.1</v>
      </c>
      <c r="E1832" s="1089" t="s">
        <v>5308</v>
      </c>
      <c r="F1832" s="1081">
        <f t="shared" si="1"/>
        <v>0</v>
      </c>
      <c r="G1832" s="1083">
        <f t="shared" si="2"/>
        <v>31.1</v>
      </c>
      <c r="H1832" s="1084"/>
    </row>
    <row r="1833" ht="14.25" customHeight="1">
      <c r="A1833" s="1085">
        <v>40401.0</v>
      </c>
      <c r="B1833" s="1086" t="s">
        <v>7142</v>
      </c>
      <c r="C1833" s="1087" t="s">
        <v>1731</v>
      </c>
      <c r="D1833" s="1088">
        <v>2.38</v>
      </c>
      <c r="E1833" s="1089" t="s">
        <v>5308</v>
      </c>
      <c r="F1833" s="1081">
        <f t="shared" si="1"/>
        <v>0</v>
      </c>
      <c r="G1833" s="1083">
        <f t="shared" si="2"/>
        <v>2.38</v>
      </c>
      <c r="H1833" s="1084"/>
    </row>
    <row r="1834" ht="14.25" customHeight="1">
      <c r="A1834" s="1085">
        <v>40402.0</v>
      </c>
      <c r="B1834" s="1086" t="s">
        <v>7143</v>
      </c>
      <c r="C1834" s="1087" t="s">
        <v>1731</v>
      </c>
      <c r="D1834" s="1088">
        <v>3.06</v>
      </c>
      <c r="E1834" s="1089" t="s">
        <v>5308</v>
      </c>
      <c r="F1834" s="1081">
        <f t="shared" si="1"/>
        <v>0</v>
      </c>
      <c r="G1834" s="1083">
        <f t="shared" si="2"/>
        <v>3.06</v>
      </c>
      <c r="H1834" s="1084"/>
    </row>
    <row r="1835" ht="14.25" customHeight="1">
      <c r="A1835" s="1085">
        <v>40400.0</v>
      </c>
      <c r="B1835" s="1086" t="s">
        <v>7144</v>
      </c>
      <c r="C1835" s="1087" t="s">
        <v>1731</v>
      </c>
      <c r="D1835" s="1088">
        <v>1.62</v>
      </c>
      <c r="E1835" s="1089" t="s">
        <v>5308</v>
      </c>
      <c r="F1835" s="1081">
        <f t="shared" si="1"/>
        <v>0</v>
      </c>
      <c r="G1835" s="1083">
        <f t="shared" si="2"/>
        <v>1.62</v>
      </c>
      <c r="H1835" s="1084"/>
    </row>
    <row r="1836" ht="14.25" customHeight="1">
      <c r="A1836" s="1085">
        <v>2504.0</v>
      </c>
      <c r="B1836" s="1086" t="s">
        <v>7145</v>
      </c>
      <c r="C1836" s="1087" t="s">
        <v>1731</v>
      </c>
      <c r="D1836" s="1088">
        <v>13.88</v>
      </c>
      <c r="E1836" s="1089" t="s">
        <v>5308</v>
      </c>
      <c r="F1836" s="1081">
        <f t="shared" si="1"/>
        <v>0</v>
      </c>
      <c r="G1836" s="1083">
        <f t="shared" si="2"/>
        <v>13.88</v>
      </c>
      <c r="H1836" s="1084"/>
    </row>
    <row r="1837" ht="14.25" customHeight="1">
      <c r="A1837" s="1085">
        <v>2501.0</v>
      </c>
      <c r="B1837" s="1086" t="s">
        <v>7146</v>
      </c>
      <c r="C1837" s="1087" t="s">
        <v>1731</v>
      </c>
      <c r="D1837" s="1088">
        <v>18.2</v>
      </c>
      <c r="E1837" s="1089" t="s">
        <v>5308</v>
      </c>
      <c r="F1837" s="1081">
        <f t="shared" si="1"/>
        <v>0</v>
      </c>
      <c r="G1837" s="1083">
        <f t="shared" si="2"/>
        <v>18.2</v>
      </c>
      <c r="H1837" s="1084"/>
    </row>
    <row r="1838" ht="14.25" customHeight="1">
      <c r="A1838" s="1085">
        <v>2502.0</v>
      </c>
      <c r="B1838" s="1086" t="s">
        <v>7147</v>
      </c>
      <c r="C1838" s="1087" t="s">
        <v>1731</v>
      </c>
      <c r="D1838" s="1088">
        <v>27.47</v>
      </c>
      <c r="E1838" s="1089" t="s">
        <v>5308</v>
      </c>
      <c r="F1838" s="1081">
        <f t="shared" si="1"/>
        <v>0</v>
      </c>
      <c r="G1838" s="1083">
        <f t="shared" si="2"/>
        <v>27.47</v>
      </c>
      <c r="H1838" s="1084"/>
    </row>
    <row r="1839" ht="14.25" customHeight="1">
      <c r="A1839" s="1085">
        <v>2503.0</v>
      </c>
      <c r="B1839" s="1086" t="s">
        <v>7148</v>
      </c>
      <c r="C1839" s="1087" t="s">
        <v>1731</v>
      </c>
      <c r="D1839" s="1088">
        <v>35.35</v>
      </c>
      <c r="E1839" s="1089" t="s">
        <v>5308</v>
      </c>
      <c r="F1839" s="1081">
        <f t="shared" si="1"/>
        <v>0</v>
      </c>
      <c r="G1839" s="1083">
        <f t="shared" si="2"/>
        <v>35.35</v>
      </c>
      <c r="H1839" s="1084"/>
    </row>
    <row r="1840" ht="14.25" customHeight="1">
      <c r="A1840" s="1085">
        <v>2500.0</v>
      </c>
      <c r="B1840" s="1086" t="s">
        <v>7149</v>
      </c>
      <c r="C1840" s="1087" t="s">
        <v>1731</v>
      </c>
      <c r="D1840" s="1088">
        <v>47.09</v>
      </c>
      <c r="E1840" s="1089" t="s">
        <v>5308</v>
      </c>
      <c r="F1840" s="1081">
        <f t="shared" si="1"/>
        <v>0</v>
      </c>
      <c r="G1840" s="1083">
        <f t="shared" si="2"/>
        <v>47.09</v>
      </c>
      <c r="H1840" s="1084"/>
    </row>
    <row r="1841" ht="14.25" customHeight="1">
      <c r="A1841" s="1085">
        <v>2505.0</v>
      </c>
      <c r="B1841" s="1086" t="s">
        <v>7150</v>
      </c>
      <c r="C1841" s="1087" t="s">
        <v>1731</v>
      </c>
      <c r="D1841" s="1088">
        <v>73.38</v>
      </c>
      <c r="E1841" s="1089" t="s">
        <v>5308</v>
      </c>
      <c r="F1841" s="1081">
        <f t="shared" si="1"/>
        <v>0</v>
      </c>
      <c r="G1841" s="1083">
        <f t="shared" si="2"/>
        <v>73.38</v>
      </c>
      <c r="H1841" s="1084"/>
    </row>
    <row r="1842" ht="14.25" customHeight="1">
      <c r="A1842" s="1085">
        <v>12056.0</v>
      </c>
      <c r="B1842" s="1086" t="s">
        <v>7151</v>
      </c>
      <c r="C1842" s="1087" t="s">
        <v>1731</v>
      </c>
      <c r="D1842" s="1088">
        <v>29.65</v>
      </c>
      <c r="E1842" s="1089" t="s">
        <v>5308</v>
      </c>
      <c r="F1842" s="1081">
        <f t="shared" si="1"/>
        <v>0</v>
      </c>
      <c r="G1842" s="1083">
        <f t="shared" si="2"/>
        <v>29.65</v>
      </c>
      <c r="H1842" s="1084"/>
    </row>
    <row r="1843" ht="14.25" customHeight="1">
      <c r="A1843" s="1085">
        <v>12057.0</v>
      </c>
      <c r="B1843" s="1086" t="s">
        <v>7152</v>
      </c>
      <c r="C1843" s="1087" t="s">
        <v>1731</v>
      </c>
      <c r="D1843" s="1088">
        <v>25.18</v>
      </c>
      <c r="E1843" s="1089" t="s">
        <v>5308</v>
      </c>
      <c r="F1843" s="1081">
        <f t="shared" si="1"/>
        <v>0</v>
      </c>
      <c r="G1843" s="1083">
        <f t="shared" si="2"/>
        <v>25.18</v>
      </c>
      <c r="H1843" s="1084"/>
    </row>
    <row r="1844" ht="14.25" customHeight="1">
      <c r="A1844" s="1085">
        <v>12059.0</v>
      </c>
      <c r="B1844" s="1086" t="s">
        <v>7153</v>
      </c>
      <c r="C1844" s="1087" t="s">
        <v>1731</v>
      </c>
      <c r="D1844" s="1088">
        <v>8.83</v>
      </c>
      <c r="E1844" s="1089" t="s">
        <v>5308</v>
      </c>
      <c r="F1844" s="1081">
        <f t="shared" si="1"/>
        <v>0</v>
      </c>
      <c r="G1844" s="1083">
        <f t="shared" si="2"/>
        <v>8.83</v>
      </c>
      <c r="H1844" s="1084"/>
    </row>
    <row r="1845" ht="14.25" customHeight="1">
      <c r="A1845" s="1085">
        <v>12058.0</v>
      </c>
      <c r="B1845" s="1086" t="s">
        <v>7154</v>
      </c>
      <c r="C1845" s="1087" t="s">
        <v>1731</v>
      </c>
      <c r="D1845" s="1088">
        <v>15.7</v>
      </c>
      <c r="E1845" s="1089" t="s">
        <v>5308</v>
      </c>
      <c r="F1845" s="1081">
        <f t="shared" si="1"/>
        <v>0</v>
      </c>
      <c r="G1845" s="1083">
        <f t="shared" si="2"/>
        <v>15.7</v>
      </c>
      <c r="H1845" s="1084"/>
    </row>
    <row r="1846" ht="14.25" customHeight="1">
      <c r="A1846" s="1085">
        <v>12060.0</v>
      </c>
      <c r="B1846" s="1086" t="s">
        <v>7155</v>
      </c>
      <c r="C1846" s="1087" t="s">
        <v>1731</v>
      </c>
      <c r="D1846" s="1088">
        <v>65.43</v>
      </c>
      <c r="E1846" s="1089" t="s">
        <v>5308</v>
      </c>
      <c r="F1846" s="1081">
        <f t="shared" si="1"/>
        <v>0</v>
      </c>
      <c r="G1846" s="1083">
        <f t="shared" si="2"/>
        <v>65.43</v>
      </c>
      <c r="H1846" s="1084"/>
    </row>
    <row r="1847" ht="14.25" customHeight="1">
      <c r="A1847" s="1085">
        <v>12061.0</v>
      </c>
      <c r="B1847" s="1086" t="s">
        <v>7156</v>
      </c>
      <c r="C1847" s="1087" t="s">
        <v>1731</v>
      </c>
      <c r="D1847" s="1088">
        <v>39.95</v>
      </c>
      <c r="E1847" s="1089" t="s">
        <v>5308</v>
      </c>
      <c r="F1847" s="1081">
        <f t="shared" si="1"/>
        <v>0</v>
      </c>
      <c r="G1847" s="1083">
        <f t="shared" si="2"/>
        <v>39.95</v>
      </c>
      <c r="H1847" s="1084"/>
    </row>
    <row r="1848" ht="14.25" customHeight="1">
      <c r="A1848" s="1085">
        <v>12062.0</v>
      </c>
      <c r="B1848" s="1086" t="s">
        <v>7157</v>
      </c>
      <c r="C1848" s="1087" t="s">
        <v>1731</v>
      </c>
      <c r="D1848" s="1088">
        <v>73.68</v>
      </c>
      <c r="E1848" s="1089" t="s">
        <v>5308</v>
      </c>
      <c r="F1848" s="1081">
        <f t="shared" si="1"/>
        <v>0</v>
      </c>
      <c r="G1848" s="1083">
        <f t="shared" si="2"/>
        <v>73.68</v>
      </c>
      <c r="H1848" s="1084"/>
    </row>
    <row r="1849" ht="14.25" customHeight="1">
      <c r="A1849" s="1085">
        <v>21137.0</v>
      </c>
      <c r="B1849" s="1086" t="s">
        <v>7158</v>
      </c>
      <c r="C1849" s="1087" t="s">
        <v>1731</v>
      </c>
      <c r="D1849" s="1088">
        <v>12.8</v>
      </c>
      <c r="E1849" s="1089" t="s">
        <v>5308</v>
      </c>
      <c r="F1849" s="1081">
        <f t="shared" si="1"/>
        <v>0</v>
      </c>
      <c r="G1849" s="1083">
        <f t="shared" si="2"/>
        <v>12.8</v>
      </c>
      <c r="H1849" s="1084"/>
    </row>
    <row r="1850" ht="14.25" customHeight="1">
      <c r="A1850" s="1085">
        <v>2687.0</v>
      </c>
      <c r="B1850" s="1086" t="s">
        <v>7159</v>
      </c>
      <c r="C1850" s="1087" t="s">
        <v>1731</v>
      </c>
      <c r="D1850" s="1088">
        <v>2.63</v>
      </c>
      <c r="E1850" s="1089" t="s">
        <v>5308</v>
      </c>
      <c r="F1850" s="1081">
        <f t="shared" si="1"/>
        <v>0</v>
      </c>
      <c r="G1850" s="1083">
        <f t="shared" si="2"/>
        <v>2.63</v>
      </c>
      <c r="H1850" s="1084"/>
    </row>
    <row r="1851" ht="14.25" customHeight="1">
      <c r="A1851" s="1085">
        <v>2689.0</v>
      </c>
      <c r="B1851" s="1086" t="s">
        <v>7160</v>
      </c>
      <c r="C1851" s="1087" t="s">
        <v>1731</v>
      </c>
      <c r="D1851" s="1088">
        <v>3.14</v>
      </c>
      <c r="E1851" s="1089" t="s">
        <v>5308</v>
      </c>
      <c r="F1851" s="1081">
        <f t="shared" si="1"/>
        <v>0</v>
      </c>
      <c r="G1851" s="1083">
        <f t="shared" si="2"/>
        <v>3.14</v>
      </c>
      <c r="H1851" s="1084"/>
    </row>
    <row r="1852" ht="14.25" customHeight="1">
      <c r="A1852" s="1085">
        <v>2688.0</v>
      </c>
      <c r="B1852" s="1086" t="s">
        <v>7161</v>
      </c>
      <c r="C1852" s="1087" t="s">
        <v>1731</v>
      </c>
      <c r="D1852" s="1088">
        <v>3.4</v>
      </c>
      <c r="E1852" s="1089" t="s">
        <v>5308</v>
      </c>
      <c r="F1852" s="1081">
        <f t="shared" si="1"/>
        <v>0</v>
      </c>
      <c r="G1852" s="1083">
        <f t="shared" si="2"/>
        <v>3.4</v>
      </c>
      <c r="H1852" s="1084"/>
    </row>
    <row r="1853" ht="14.25" customHeight="1">
      <c r="A1853" s="1085">
        <v>2690.0</v>
      </c>
      <c r="B1853" s="1086" t="s">
        <v>7162</v>
      </c>
      <c r="C1853" s="1087" t="s">
        <v>1731</v>
      </c>
      <c r="D1853" s="1088">
        <v>5.81</v>
      </c>
      <c r="E1853" s="1089" t="s">
        <v>5308</v>
      </c>
      <c r="F1853" s="1081">
        <f t="shared" si="1"/>
        <v>0</v>
      </c>
      <c r="G1853" s="1083">
        <f t="shared" si="2"/>
        <v>5.81</v>
      </c>
      <c r="H1853" s="1084"/>
    </row>
    <row r="1854" ht="14.25" customHeight="1">
      <c r="A1854" s="1085">
        <v>39243.0</v>
      </c>
      <c r="B1854" s="1086" t="s">
        <v>7163</v>
      </c>
      <c r="C1854" s="1087" t="s">
        <v>1731</v>
      </c>
      <c r="D1854" s="1088">
        <v>3.83</v>
      </c>
      <c r="E1854" s="1089" t="s">
        <v>5308</v>
      </c>
      <c r="F1854" s="1081">
        <f t="shared" si="1"/>
        <v>0</v>
      </c>
      <c r="G1854" s="1083">
        <f t="shared" si="2"/>
        <v>3.83</v>
      </c>
      <c r="H1854" s="1084"/>
    </row>
    <row r="1855" ht="14.25" customHeight="1">
      <c r="A1855" s="1085">
        <v>39244.0</v>
      </c>
      <c r="B1855" s="1086" t="s">
        <v>7164</v>
      </c>
      <c r="C1855" s="1087" t="s">
        <v>1731</v>
      </c>
      <c r="D1855" s="1088">
        <v>5.18</v>
      </c>
      <c r="E1855" s="1089" t="s">
        <v>5308</v>
      </c>
      <c r="F1855" s="1081">
        <f t="shared" si="1"/>
        <v>0</v>
      </c>
      <c r="G1855" s="1083">
        <f t="shared" si="2"/>
        <v>5.18</v>
      </c>
      <c r="H1855" s="1084"/>
    </row>
    <row r="1856" ht="14.25" customHeight="1">
      <c r="A1856" s="1085">
        <v>39245.0</v>
      </c>
      <c r="B1856" s="1086" t="s">
        <v>7165</v>
      </c>
      <c r="C1856" s="1087" t="s">
        <v>1731</v>
      </c>
      <c r="D1856" s="1088">
        <v>9.97</v>
      </c>
      <c r="E1856" s="1089" t="s">
        <v>5308</v>
      </c>
      <c r="F1856" s="1081">
        <f t="shared" si="1"/>
        <v>0</v>
      </c>
      <c r="G1856" s="1083">
        <f t="shared" si="2"/>
        <v>9.97</v>
      </c>
      <c r="H1856" s="1084"/>
    </row>
    <row r="1857" ht="14.25" customHeight="1">
      <c r="A1857" s="1085">
        <v>39254.0</v>
      </c>
      <c r="B1857" s="1086" t="s">
        <v>7166</v>
      </c>
      <c r="C1857" s="1087" t="s">
        <v>1731</v>
      </c>
      <c r="D1857" s="1088">
        <v>14.91</v>
      </c>
      <c r="E1857" s="1089" t="s">
        <v>5308</v>
      </c>
      <c r="F1857" s="1081">
        <f t="shared" si="1"/>
        <v>0</v>
      </c>
      <c r="G1857" s="1083">
        <f t="shared" si="2"/>
        <v>14.91</v>
      </c>
      <c r="H1857" s="1084"/>
    </row>
    <row r="1858" ht="14.25" customHeight="1">
      <c r="A1858" s="1085">
        <v>39255.0</v>
      </c>
      <c r="B1858" s="1086" t="s">
        <v>7167</v>
      </c>
      <c r="C1858" s="1087" t="s">
        <v>1731</v>
      </c>
      <c r="D1858" s="1088">
        <v>27.58</v>
      </c>
      <c r="E1858" s="1089" t="s">
        <v>5308</v>
      </c>
      <c r="F1858" s="1081">
        <f t="shared" si="1"/>
        <v>0</v>
      </c>
      <c r="G1858" s="1083">
        <f t="shared" si="2"/>
        <v>27.58</v>
      </c>
      <c r="H1858" s="1084"/>
    </row>
    <row r="1859" ht="14.25" customHeight="1">
      <c r="A1859" s="1085">
        <v>39253.0</v>
      </c>
      <c r="B1859" s="1086" t="s">
        <v>7168</v>
      </c>
      <c r="C1859" s="1087" t="s">
        <v>1731</v>
      </c>
      <c r="D1859" s="1088">
        <v>19.0</v>
      </c>
      <c r="E1859" s="1089" t="s">
        <v>5308</v>
      </c>
      <c r="F1859" s="1081">
        <f t="shared" si="1"/>
        <v>0</v>
      </c>
      <c r="G1859" s="1083">
        <f t="shared" si="2"/>
        <v>19</v>
      </c>
      <c r="H1859" s="1084"/>
    </row>
    <row r="1860" ht="14.25" customHeight="1">
      <c r="A1860" s="1085">
        <v>39246.0</v>
      </c>
      <c r="B1860" s="1086" t="s">
        <v>7169</v>
      </c>
      <c r="C1860" s="1087" t="s">
        <v>1731</v>
      </c>
      <c r="D1860" s="1088">
        <v>4.14</v>
      </c>
      <c r="E1860" s="1089" t="s">
        <v>5308</v>
      </c>
      <c r="F1860" s="1081">
        <f t="shared" si="1"/>
        <v>0</v>
      </c>
      <c r="G1860" s="1083">
        <f t="shared" si="2"/>
        <v>4.14</v>
      </c>
      <c r="H1860" s="1084"/>
    </row>
    <row r="1861" ht="14.25" customHeight="1">
      <c r="A1861" s="1085">
        <v>39247.0</v>
      </c>
      <c r="B1861" s="1086" t="s">
        <v>7170</v>
      </c>
      <c r="C1861" s="1087" t="s">
        <v>1731</v>
      </c>
      <c r="D1861" s="1088">
        <v>3.61</v>
      </c>
      <c r="E1861" s="1089" t="s">
        <v>5308</v>
      </c>
      <c r="F1861" s="1081">
        <f t="shared" si="1"/>
        <v>0</v>
      </c>
      <c r="G1861" s="1083">
        <f t="shared" si="2"/>
        <v>3.61</v>
      </c>
      <c r="H1861" s="1084"/>
    </row>
    <row r="1862" ht="14.25" customHeight="1">
      <c r="A1862" s="1085">
        <v>2446.0</v>
      </c>
      <c r="B1862" s="1086" t="s">
        <v>7171</v>
      </c>
      <c r="C1862" s="1087" t="s">
        <v>1731</v>
      </c>
      <c r="D1862" s="1088">
        <v>5.95</v>
      </c>
      <c r="E1862" s="1089" t="s">
        <v>5308</v>
      </c>
      <c r="F1862" s="1081">
        <f t="shared" si="1"/>
        <v>0</v>
      </c>
      <c r="G1862" s="1083">
        <f t="shared" si="2"/>
        <v>5.95</v>
      </c>
      <c r="H1862" s="1084"/>
    </row>
    <row r="1863" ht="14.25" customHeight="1">
      <c r="A1863" s="1085">
        <v>2442.0</v>
      </c>
      <c r="B1863" s="1086" t="s">
        <v>7172</v>
      </c>
      <c r="C1863" s="1087" t="s">
        <v>1731</v>
      </c>
      <c r="D1863" s="1088">
        <v>8.33</v>
      </c>
      <c r="E1863" s="1089" t="s">
        <v>5308</v>
      </c>
      <c r="F1863" s="1081">
        <f t="shared" si="1"/>
        <v>0</v>
      </c>
      <c r="G1863" s="1083">
        <f t="shared" si="2"/>
        <v>8.33</v>
      </c>
      <c r="H1863" s="1084"/>
    </row>
    <row r="1864" ht="14.25" customHeight="1">
      <c r="A1864" s="1085">
        <v>39248.0</v>
      </c>
      <c r="B1864" s="1086" t="s">
        <v>7173</v>
      </c>
      <c r="C1864" s="1087" t="s">
        <v>1731</v>
      </c>
      <c r="D1864" s="1088">
        <v>11.62</v>
      </c>
      <c r="E1864" s="1089" t="s">
        <v>5308</v>
      </c>
      <c r="F1864" s="1081">
        <f t="shared" si="1"/>
        <v>0</v>
      </c>
      <c r="G1864" s="1083">
        <f t="shared" si="2"/>
        <v>11.62</v>
      </c>
      <c r="H1864" s="1084"/>
    </row>
    <row r="1865" ht="14.25" customHeight="1">
      <c r="A1865" s="1085">
        <v>2438.0</v>
      </c>
      <c r="B1865" s="1086" t="s">
        <v>7174</v>
      </c>
      <c r="C1865" s="1087" t="s">
        <v>1470</v>
      </c>
      <c r="D1865" s="1088">
        <v>26.19</v>
      </c>
      <c r="E1865" s="1089" t="s">
        <v>5452</v>
      </c>
      <c r="F1865" s="1081">
        <f t="shared" si="1"/>
        <v>26.19</v>
      </c>
      <c r="G1865" s="1083">
        <f t="shared" si="2"/>
        <v>0</v>
      </c>
      <c r="H1865" s="1084"/>
    </row>
    <row r="1866" ht="14.25" customHeight="1">
      <c r="A1866" s="1085">
        <v>40922.0</v>
      </c>
      <c r="B1866" s="1086" t="s">
        <v>7175</v>
      </c>
      <c r="C1866" s="1087" t="s">
        <v>5454</v>
      </c>
      <c r="D1866" s="1088">
        <v>4584.18</v>
      </c>
      <c r="E1866" s="1089" t="s">
        <v>5452</v>
      </c>
      <c r="F1866" s="1081">
        <f t="shared" si="1"/>
        <v>4584.18</v>
      </c>
      <c r="G1866" s="1083">
        <f t="shared" si="2"/>
        <v>0</v>
      </c>
      <c r="H1866" s="1084"/>
    </row>
    <row r="1867" ht="14.25" customHeight="1">
      <c r="A1867" s="1085">
        <v>36486.0</v>
      </c>
      <c r="B1867" s="1086" t="s">
        <v>7176</v>
      </c>
      <c r="C1867" s="1087" t="s">
        <v>1788</v>
      </c>
      <c r="D1867" s="1088">
        <v>70127.2</v>
      </c>
      <c r="E1867" s="1089" t="s">
        <v>5482</v>
      </c>
      <c r="F1867" s="1081">
        <f t="shared" si="1"/>
        <v>0</v>
      </c>
      <c r="G1867" s="1083">
        <f t="shared" si="2"/>
        <v>70127.2</v>
      </c>
      <c r="H1867" s="1084"/>
    </row>
    <row r="1868" ht="14.25" customHeight="1">
      <c r="A1868" s="1085">
        <v>37777.0</v>
      </c>
      <c r="B1868" s="1086" t="s">
        <v>7177</v>
      </c>
      <c r="C1868" s="1087" t="s">
        <v>1788</v>
      </c>
      <c r="D1868" s="1088">
        <v>330157.49</v>
      </c>
      <c r="E1868" s="1089" t="s">
        <v>5482</v>
      </c>
      <c r="F1868" s="1081">
        <f t="shared" si="1"/>
        <v>0</v>
      </c>
      <c r="G1868" s="1083">
        <f t="shared" si="2"/>
        <v>330157.49</v>
      </c>
      <c r="H1868" s="1084"/>
    </row>
    <row r="1869" ht="14.25" customHeight="1">
      <c r="A1869" s="1085">
        <v>12624.0</v>
      </c>
      <c r="B1869" s="1086" t="s">
        <v>7178</v>
      </c>
      <c r="C1869" s="1087" t="s">
        <v>1788</v>
      </c>
      <c r="D1869" s="1088">
        <v>36.57</v>
      </c>
      <c r="E1869" s="1089" t="s">
        <v>5308</v>
      </c>
      <c r="F1869" s="1081">
        <f t="shared" si="1"/>
        <v>0</v>
      </c>
      <c r="G1869" s="1083">
        <f t="shared" si="2"/>
        <v>36.57</v>
      </c>
      <c r="H1869" s="1084"/>
    </row>
    <row r="1870" ht="14.25" customHeight="1">
      <c r="A1870" s="1085">
        <v>517.0</v>
      </c>
      <c r="B1870" s="1086" t="s">
        <v>7179</v>
      </c>
      <c r="C1870" s="1087" t="s">
        <v>2386</v>
      </c>
      <c r="D1870" s="1088">
        <v>5.66</v>
      </c>
      <c r="E1870" s="1089" t="s">
        <v>5308</v>
      </c>
      <c r="F1870" s="1081">
        <f t="shared" si="1"/>
        <v>0</v>
      </c>
      <c r="G1870" s="1083">
        <f t="shared" si="2"/>
        <v>5.66</v>
      </c>
      <c r="H1870" s="1084"/>
    </row>
    <row r="1871" ht="14.25" customHeight="1">
      <c r="A1871" s="1085">
        <v>37534.0</v>
      </c>
      <c r="B1871" s="1086" t="s">
        <v>7180</v>
      </c>
      <c r="C1871" s="1087" t="s">
        <v>3606</v>
      </c>
      <c r="D1871" s="1088">
        <v>17.35</v>
      </c>
      <c r="E1871" s="1089" t="s">
        <v>5308</v>
      </c>
      <c r="F1871" s="1081">
        <f t="shared" si="1"/>
        <v>0</v>
      </c>
      <c r="G1871" s="1083">
        <f t="shared" si="2"/>
        <v>17.35</v>
      </c>
      <c r="H1871" s="1084"/>
    </row>
    <row r="1872" ht="14.25" customHeight="1">
      <c r="A1872" s="1085">
        <v>37535.0</v>
      </c>
      <c r="B1872" s="1086" t="s">
        <v>7181</v>
      </c>
      <c r="C1872" s="1087" t="s">
        <v>3606</v>
      </c>
      <c r="D1872" s="1088">
        <v>17.35</v>
      </c>
      <c r="E1872" s="1089" t="s">
        <v>5308</v>
      </c>
      <c r="F1872" s="1081">
        <f t="shared" si="1"/>
        <v>0</v>
      </c>
      <c r="G1872" s="1083">
        <f t="shared" si="2"/>
        <v>17.35</v>
      </c>
      <c r="H1872" s="1084"/>
    </row>
    <row r="1873" ht="14.25" customHeight="1">
      <c r="A1873" s="1085">
        <v>37533.0</v>
      </c>
      <c r="B1873" s="1086" t="s">
        <v>7182</v>
      </c>
      <c r="C1873" s="1087" t="s">
        <v>3606</v>
      </c>
      <c r="D1873" s="1088">
        <v>17.35</v>
      </c>
      <c r="E1873" s="1089" t="s">
        <v>5308</v>
      </c>
      <c r="F1873" s="1081">
        <f t="shared" si="1"/>
        <v>0</v>
      </c>
      <c r="G1873" s="1083">
        <f t="shared" si="2"/>
        <v>17.35</v>
      </c>
      <c r="H1873" s="1084"/>
    </row>
    <row r="1874" ht="14.25" customHeight="1">
      <c r="A1874" s="1085">
        <v>37537.0</v>
      </c>
      <c r="B1874" s="1086" t="s">
        <v>7183</v>
      </c>
      <c r="C1874" s="1087" t="s">
        <v>3606</v>
      </c>
      <c r="D1874" s="1088">
        <v>13.13</v>
      </c>
      <c r="E1874" s="1089" t="s">
        <v>5308</v>
      </c>
      <c r="F1874" s="1081">
        <f t="shared" si="1"/>
        <v>0</v>
      </c>
      <c r="G1874" s="1083">
        <f t="shared" si="2"/>
        <v>13.13</v>
      </c>
      <c r="H1874" s="1084"/>
    </row>
    <row r="1875" ht="14.25" customHeight="1">
      <c r="A1875" s="1085">
        <v>37536.0</v>
      </c>
      <c r="B1875" s="1086" t="s">
        <v>7184</v>
      </c>
      <c r="C1875" s="1087" t="s">
        <v>3606</v>
      </c>
      <c r="D1875" s="1088">
        <v>13.13</v>
      </c>
      <c r="E1875" s="1089" t="s">
        <v>5308</v>
      </c>
      <c r="F1875" s="1081">
        <f t="shared" si="1"/>
        <v>0</v>
      </c>
      <c r="G1875" s="1083">
        <f t="shared" si="2"/>
        <v>13.13</v>
      </c>
      <c r="H1875" s="1084"/>
    </row>
    <row r="1876" ht="14.25" customHeight="1">
      <c r="A1876" s="1085">
        <v>37532.0</v>
      </c>
      <c r="B1876" s="1086" t="s">
        <v>7185</v>
      </c>
      <c r="C1876" s="1087" t="s">
        <v>3606</v>
      </c>
      <c r="D1876" s="1088">
        <v>13.13</v>
      </c>
      <c r="E1876" s="1089" t="s">
        <v>5308</v>
      </c>
      <c r="F1876" s="1081">
        <f t="shared" si="1"/>
        <v>0</v>
      </c>
      <c r="G1876" s="1083">
        <f t="shared" si="2"/>
        <v>13.13</v>
      </c>
      <c r="H1876" s="1084"/>
    </row>
    <row r="1877" ht="14.25" customHeight="1">
      <c r="A1877" s="1085">
        <v>2696.0</v>
      </c>
      <c r="B1877" s="1086" t="s">
        <v>7186</v>
      </c>
      <c r="C1877" s="1087" t="s">
        <v>1470</v>
      </c>
      <c r="D1877" s="1088">
        <v>20.82</v>
      </c>
      <c r="E1877" s="1089" t="s">
        <v>5452</v>
      </c>
      <c r="F1877" s="1081">
        <f t="shared" si="1"/>
        <v>20.82</v>
      </c>
      <c r="G1877" s="1083">
        <f t="shared" si="2"/>
        <v>0</v>
      </c>
      <c r="H1877" s="1084"/>
    </row>
    <row r="1878" ht="14.25" customHeight="1">
      <c r="A1878" s="1085">
        <v>40928.0</v>
      </c>
      <c r="B1878" s="1086" t="s">
        <v>7187</v>
      </c>
      <c r="C1878" s="1087" t="s">
        <v>5454</v>
      </c>
      <c r="D1878" s="1088">
        <v>3643.51</v>
      </c>
      <c r="E1878" s="1089" t="s">
        <v>5452</v>
      </c>
      <c r="F1878" s="1081">
        <f t="shared" si="1"/>
        <v>3643.51</v>
      </c>
      <c r="G1878" s="1083">
        <f t="shared" si="2"/>
        <v>0</v>
      </c>
      <c r="H1878" s="1084"/>
    </row>
    <row r="1879" ht="14.25" customHeight="1">
      <c r="A1879" s="1085">
        <v>4083.0</v>
      </c>
      <c r="B1879" s="1086" t="s">
        <v>7188</v>
      </c>
      <c r="C1879" s="1087" t="s">
        <v>1470</v>
      </c>
      <c r="D1879" s="1088">
        <v>29.67</v>
      </c>
      <c r="E1879" s="1089" t="s">
        <v>5452</v>
      </c>
      <c r="F1879" s="1081">
        <f t="shared" si="1"/>
        <v>29.67</v>
      </c>
      <c r="G1879" s="1083">
        <f t="shared" si="2"/>
        <v>0</v>
      </c>
      <c r="H1879" s="1084"/>
    </row>
    <row r="1880" ht="14.25" customHeight="1">
      <c r="A1880" s="1085">
        <v>40818.0</v>
      </c>
      <c r="B1880" s="1086" t="s">
        <v>7189</v>
      </c>
      <c r="C1880" s="1087" t="s">
        <v>5454</v>
      </c>
      <c r="D1880" s="1088">
        <v>5191.92</v>
      </c>
      <c r="E1880" s="1089" t="s">
        <v>5452</v>
      </c>
      <c r="F1880" s="1081">
        <f t="shared" si="1"/>
        <v>5191.92</v>
      </c>
      <c r="G1880" s="1083">
        <f t="shared" si="2"/>
        <v>0</v>
      </c>
      <c r="H1880" s="1084"/>
    </row>
    <row r="1881" ht="14.25" customHeight="1">
      <c r="A1881" s="1085">
        <v>43146.0</v>
      </c>
      <c r="B1881" s="1086" t="s">
        <v>7190</v>
      </c>
      <c r="C1881" s="1087" t="s">
        <v>3606</v>
      </c>
      <c r="D1881" s="1088">
        <v>8.6</v>
      </c>
      <c r="E1881" s="1089" t="s">
        <v>5308</v>
      </c>
      <c r="F1881" s="1081">
        <f t="shared" si="1"/>
        <v>0</v>
      </c>
      <c r="G1881" s="1083">
        <f t="shared" si="2"/>
        <v>8.6</v>
      </c>
      <c r="H1881" s="1084"/>
    </row>
    <row r="1882" ht="14.25" customHeight="1">
      <c r="A1882" s="1085">
        <v>2705.0</v>
      </c>
      <c r="B1882" s="1086" t="s">
        <v>7191</v>
      </c>
      <c r="C1882" s="1087" t="s">
        <v>7192</v>
      </c>
      <c r="D1882" s="1088">
        <v>0.64</v>
      </c>
      <c r="E1882" s="1089" t="s">
        <v>5554</v>
      </c>
      <c r="F1882" s="1081">
        <f t="shared" si="1"/>
        <v>0</v>
      </c>
      <c r="G1882" s="1083">
        <f t="shared" si="2"/>
        <v>0.64</v>
      </c>
      <c r="H1882" s="1084"/>
    </row>
    <row r="1883" ht="14.25" customHeight="1">
      <c r="A1883" s="1085">
        <v>14250.0</v>
      </c>
      <c r="B1883" s="1086" t="s">
        <v>7193</v>
      </c>
      <c r="C1883" s="1087" t="s">
        <v>7192</v>
      </c>
      <c r="D1883" s="1088">
        <v>0.65</v>
      </c>
      <c r="E1883" s="1089" t="s">
        <v>5554</v>
      </c>
      <c r="F1883" s="1081">
        <f t="shared" si="1"/>
        <v>0</v>
      </c>
      <c r="G1883" s="1083">
        <f t="shared" si="2"/>
        <v>0.65</v>
      </c>
      <c r="H1883" s="1084"/>
    </row>
    <row r="1884" ht="14.25" customHeight="1">
      <c r="A1884" s="1085">
        <v>11683.0</v>
      </c>
      <c r="B1884" s="1086" t="s">
        <v>7194</v>
      </c>
      <c r="C1884" s="1087" t="s">
        <v>1788</v>
      </c>
      <c r="D1884" s="1088">
        <v>62.49</v>
      </c>
      <c r="E1884" s="1089" t="s">
        <v>5308</v>
      </c>
      <c r="F1884" s="1081">
        <f t="shared" si="1"/>
        <v>0</v>
      </c>
      <c r="G1884" s="1083">
        <f t="shared" si="2"/>
        <v>62.49</v>
      </c>
      <c r="H1884" s="1084"/>
    </row>
    <row r="1885" ht="14.25" customHeight="1">
      <c r="A1885" s="1085">
        <v>11684.0</v>
      </c>
      <c r="B1885" s="1086" t="s">
        <v>7195</v>
      </c>
      <c r="C1885" s="1087" t="s">
        <v>1788</v>
      </c>
      <c r="D1885" s="1088">
        <v>68.4</v>
      </c>
      <c r="E1885" s="1089" t="s">
        <v>5308</v>
      </c>
      <c r="F1885" s="1081">
        <f t="shared" si="1"/>
        <v>0</v>
      </c>
      <c r="G1885" s="1083">
        <f t="shared" si="2"/>
        <v>68.4</v>
      </c>
      <c r="H1885" s="1084"/>
    </row>
    <row r="1886" ht="14.25" customHeight="1">
      <c r="A1886" s="1085">
        <v>6141.0</v>
      </c>
      <c r="B1886" s="1086" t="s">
        <v>7196</v>
      </c>
      <c r="C1886" s="1087" t="s">
        <v>1788</v>
      </c>
      <c r="D1886" s="1088">
        <v>5.74</v>
      </c>
      <c r="E1886" s="1089" t="s">
        <v>5308</v>
      </c>
      <c r="F1886" s="1081">
        <f t="shared" si="1"/>
        <v>0</v>
      </c>
      <c r="G1886" s="1083">
        <f t="shared" si="2"/>
        <v>5.74</v>
      </c>
      <c r="H1886" s="1084"/>
    </row>
    <row r="1887" ht="14.25" customHeight="1">
      <c r="A1887" s="1085">
        <v>11681.0</v>
      </c>
      <c r="B1887" s="1086" t="s">
        <v>7197</v>
      </c>
      <c r="C1887" s="1087" t="s">
        <v>1788</v>
      </c>
      <c r="D1887" s="1088">
        <v>7.24</v>
      </c>
      <c r="E1887" s="1089" t="s">
        <v>5308</v>
      </c>
      <c r="F1887" s="1081">
        <f t="shared" si="1"/>
        <v>0</v>
      </c>
      <c r="G1887" s="1083">
        <f t="shared" si="2"/>
        <v>7.24</v>
      </c>
      <c r="H1887" s="1084"/>
    </row>
    <row r="1888" ht="14.25" customHeight="1">
      <c r="A1888" s="1085">
        <v>2706.0</v>
      </c>
      <c r="B1888" s="1086" t="s">
        <v>7198</v>
      </c>
      <c r="C1888" s="1087" t="s">
        <v>1470</v>
      </c>
      <c r="D1888" s="1088">
        <v>95.41</v>
      </c>
      <c r="E1888" s="1089" t="s">
        <v>5452</v>
      </c>
      <c r="F1888" s="1081">
        <f t="shared" si="1"/>
        <v>95.41</v>
      </c>
      <c r="G1888" s="1083">
        <f t="shared" si="2"/>
        <v>0</v>
      </c>
      <c r="H1888" s="1084"/>
    </row>
    <row r="1889" ht="14.25" customHeight="1">
      <c r="A1889" s="1085">
        <v>40811.0</v>
      </c>
      <c r="B1889" s="1086" t="s">
        <v>7199</v>
      </c>
      <c r="C1889" s="1087" t="s">
        <v>5454</v>
      </c>
      <c r="D1889" s="1088">
        <v>16695.36</v>
      </c>
      <c r="E1889" s="1089" t="s">
        <v>5452</v>
      </c>
      <c r="F1889" s="1081">
        <f t="shared" si="1"/>
        <v>16695.36</v>
      </c>
      <c r="G1889" s="1083">
        <f t="shared" si="2"/>
        <v>0</v>
      </c>
      <c r="H1889" s="1084"/>
    </row>
    <row r="1890" ht="14.25" customHeight="1">
      <c r="A1890" s="1085">
        <v>2707.0</v>
      </c>
      <c r="B1890" s="1086" t="s">
        <v>7200</v>
      </c>
      <c r="C1890" s="1087" t="s">
        <v>1470</v>
      </c>
      <c r="D1890" s="1088">
        <v>108.58</v>
      </c>
      <c r="E1890" s="1089" t="s">
        <v>5452</v>
      </c>
      <c r="F1890" s="1081">
        <f t="shared" si="1"/>
        <v>108.58</v>
      </c>
      <c r="G1890" s="1083">
        <f t="shared" si="2"/>
        <v>0</v>
      </c>
      <c r="H1890" s="1084"/>
    </row>
    <row r="1891" ht="14.25" customHeight="1">
      <c r="A1891" s="1085">
        <v>40813.0</v>
      </c>
      <c r="B1891" s="1086" t="s">
        <v>7201</v>
      </c>
      <c r="C1891" s="1087" t="s">
        <v>5454</v>
      </c>
      <c r="D1891" s="1088">
        <v>19002.75</v>
      </c>
      <c r="E1891" s="1089" t="s">
        <v>5452</v>
      </c>
      <c r="F1891" s="1081">
        <f t="shared" si="1"/>
        <v>19002.75</v>
      </c>
      <c r="G1891" s="1083">
        <f t="shared" si="2"/>
        <v>0</v>
      </c>
      <c r="H1891" s="1084"/>
    </row>
    <row r="1892" ht="14.25" customHeight="1">
      <c r="A1892" s="1085">
        <v>2708.0</v>
      </c>
      <c r="B1892" s="1086" t="s">
        <v>7202</v>
      </c>
      <c r="C1892" s="1087" t="s">
        <v>1470</v>
      </c>
      <c r="D1892" s="1088">
        <v>148.44</v>
      </c>
      <c r="E1892" s="1089" t="s">
        <v>5452</v>
      </c>
      <c r="F1892" s="1081">
        <f t="shared" si="1"/>
        <v>148.44</v>
      </c>
      <c r="G1892" s="1083">
        <f t="shared" si="2"/>
        <v>0</v>
      </c>
      <c r="H1892" s="1084"/>
    </row>
    <row r="1893" ht="14.25" customHeight="1">
      <c r="A1893" s="1085">
        <v>40814.0</v>
      </c>
      <c r="B1893" s="1086" t="s">
        <v>7203</v>
      </c>
      <c r="C1893" s="1087" t="s">
        <v>5454</v>
      </c>
      <c r="D1893" s="1088">
        <v>25976.25</v>
      </c>
      <c r="E1893" s="1089" t="s">
        <v>5452</v>
      </c>
      <c r="F1893" s="1081">
        <f t="shared" si="1"/>
        <v>25976.25</v>
      </c>
      <c r="G1893" s="1083">
        <f t="shared" si="2"/>
        <v>0</v>
      </c>
      <c r="H1893" s="1084"/>
    </row>
    <row r="1894" ht="14.25" customHeight="1">
      <c r="A1894" s="1085">
        <v>34779.0</v>
      </c>
      <c r="B1894" s="1086" t="s">
        <v>7204</v>
      </c>
      <c r="C1894" s="1087" t="s">
        <v>1470</v>
      </c>
      <c r="D1894" s="1088">
        <v>96.79</v>
      </c>
      <c r="E1894" s="1089" t="s">
        <v>5452</v>
      </c>
      <c r="F1894" s="1081">
        <f t="shared" si="1"/>
        <v>96.79</v>
      </c>
      <c r="G1894" s="1083">
        <f t="shared" si="2"/>
        <v>0</v>
      </c>
      <c r="H1894" s="1084"/>
    </row>
    <row r="1895" ht="14.25" customHeight="1">
      <c r="A1895" s="1085">
        <v>40936.0</v>
      </c>
      <c r="B1895" s="1086" t="s">
        <v>7205</v>
      </c>
      <c r="C1895" s="1087" t="s">
        <v>5454</v>
      </c>
      <c r="D1895" s="1088">
        <v>16938.91</v>
      </c>
      <c r="E1895" s="1089" t="s">
        <v>5452</v>
      </c>
      <c r="F1895" s="1081">
        <f t="shared" si="1"/>
        <v>16938.91</v>
      </c>
      <c r="G1895" s="1083">
        <f t="shared" si="2"/>
        <v>0</v>
      </c>
      <c r="H1895" s="1084"/>
    </row>
    <row r="1896" ht="14.25" customHeight="1">
      <c r="A1896" s="1085">
        <v>34780.0</v>
      </c>
      <c r="B1896" s="1086" t="s">
        <v>7206</v>
      </c>
      <c r="C1896" s="1087" t="s">
        <v>1470</v>
      </c>
      <c r="D1896" s="1088">
        <v>109.19</v>
      </c>
      <c r="E1896" s="1089" t="s">
        <v>5452</v>
      </c>
      <c r="F1896" s="1081">
        <f t="shared" si="1"/>
        <v>109.19</v>
      </c>
      <c r="G1896" s="1083">
        <f t="shared" si="2"/>
        <v>0</v>
      </c>
      <c r="H1896" s="1084"/>
    </row>
    <row r="1897" ht="14.25" customHeight="1">
      <c r="A1897" s="1085">
        <v>40937.0</v>
      </c>
      <c r="B1897" s="1086" t="s">
        <v>7207</v>
      </c>
      <c r="C1897" s="1087" t="s">
        <v>5454</v>
      </c>
      <c r="D1897" s="1088">
        <v>19110.44</v>
      </c>
      <c r="E1897" s="1089" t="s">
        <v>5452</v>
      </c>
      <c r="F1897" s="1081">
        <f t="shared" si="1"/>
        <v>19110.44</v>
      </c>
      <c r="G1897" s="1083">
        <f t="shared" si="2"/>
        <v>0</v>
      </c>
      <c r="H1897" s="1084"/>
    </row>
    <row r="1898" ht="14.25" customHeight="1">
      <c r="A1898" s="1085">
        <v>34782.0</v>
      </c>
      <c r="B1898" s="1086" t="s">
        <v>7208</v>
      </c>
      <c r="C1898" s="1087" t="s">
        <v>1470</v>
      </c>
      <c r="D1898" s="1088">
        <v>149.66</v>
      </c>
      <c r="E1898" s="1089" t="s">
        <v>5452</v>
      </c>
      <c r="F1898" s="1081">
        <f t="shared" si="1"/>
        <v>149.66</v>
      </c>
      <c r="G1898" s="1083">
        <f t="shared" si="2"/>
        <v>0</v>
      </c>
      <c r="H1898" s="1084"/>
    </row>
    <row r="1899" ht="14.25" customHeight="1">
      <c r="A1899" s="1085">
        <v>40938.0</v>
      </c>
      <c r="B1899" s="1086" t="s">
        <v>7209</v>
      </c>
      <c r="C1899" s="1087" t="s">
        <v>5454</v>
      </c>
      <c r="D1899" s="1088">
        <v>26189.03</v>
      </c>
      <c r="E1899" s="1089" t="s">
        <v>5452</v>
      </c>
      <c r="F1899" s="1081">
        <f t="shared" si="1"/>
        <v>26189.03</v>
      </c>
      <c r="G1899" s="1083">
        <f t="shared" si="2"/>
        <v>0</v>
      </c>
      <c r="H1899" s="1084"/>
    </row>
    <row r="1900" ht="14.25" customHeight="1">
      <c r="A1900" s="1085">
        <v>34783.0</v>
      </c>
      <c r="B1900" s="1086" t="s">
        <v>1431</v>
      </c>
      <c r="C1900" s="1087" t="s">
        <v>1470</v>
      </c>
      <c r="D1900" s="1088">
        <v>94.04</v>
      </c>
      <c r="E1900" s="1089" t="s">
        <v>5452</v>
      </c>
      <c r="F1900" s="1081">
        <f t="shared" si="1"/>
        <v>94.04</v>
      </c>
      <c r="G1900" s="1083">
        <f t="shared" si="2"/>
        <v>0</v>
      </c>
      <c r="H1900" s="1084"/>
    </row>
    <row r="1901" ht="14.25" customHeight="1">
      <c r="A1901" s="1085">
        <v>40939.0</v>
      </c>
      <c r="B1901" s="1086" t="s">
        <v>7210</v>
      </c>
      <c r="C1901" s="1087" t="s">
        <v>5454</v>
      </c>
      <c r="D1901" s="1088">
        <v>16458.84</v>
      </c>
      <c r="E1901" s="1089" t="s">
        <v>5452</v>
      </c>
      <c r="F1901" s="1081">
        <f t="shared" si="1"/>
        <v>16458.84</v>
      </c>
      <c r="G1901" s="1083">
        <f t="shared" si="2"/>
        <v>0</v>
      </c>
      <c r="H1901" s="1084"/>
    </row>
    <row r="1902" ht="14.25" customHeight="1">
      <c r="A1902" s="1085">
        <v>34785.0</v>
      </c>
      <c r="B1902" s="1086" t="s">
        <v>7211</v>
      </c>
      <c r="C1902" s="1087" t="s">
        <v>1470</v>
      </c>
      <c r="D1902" s="1088">
        <v>65.19</v>
      </c>
      <c r="E1902" s="1089" t="s">
        <v>5452</v>
      </c>
      <c r="F1902" s="1081">
        <f t="shared" si="1"/>
        <v>65.19</v>
      </c>
      <c r="G1902" s="1083">
        <f t="shared" si="2"/>
        <v>0</v>
      </c>
      <c r="H1902" s="1084"/>
    </row>
    <row r="1903" ht="14.25" customHeight="1">
      <c r="A1903" s="1085">
        <v>40940.0</v>
      </c>
      <c r="B1903" s="1086" t="s">
        <v>7212</v>
      </c>
      <c r="C1903" s="1087" t="s">
        <v>5454</v>
      </c>
      <c r="D1903" s="1088">
        <v>11410.68</v>
      </c>
      <c r="E1903" s="1089" t="s">
        <v>5452</v>
      </c>
      <c r="F1903" s="1081">
        <f t="shared" si="1"/>
        <v>11410.68</v>
      </c>
      <c r="G1903" s="1083">
        <f t="shared" si="2"/>
        <v>0</v>
      </c>
      <c r="H1903" s="1084"/>
    </row>
    <row r="1904" ht="14.25" customHeight="1">
      <c r="A1904" s="1085">
        <v>38403.0</v>
      </c>
      <c r="B1904" s="1086" t="s">
        <v>7213</v>
      </c>
      <c r="C1904" s="1087" t="s">
        <v>1788</v>
      </c>
      <c r="D1904" s="1088">
        <v>42.09</v>
      </c>
      <c r="E1904" s="1089" t="s">
        <v>5308</v>
      </c>
      <c r="F1904" s="1081">
        <f t="shared" si="1"/>
        <v>0</v>
      </c>
      <c r="G1904" s="1083">
        <f t="shared" si="2"/>
        <v>42.09</v>
      </c>
      <c r="H1904" s="1084"/>
    </row>
    <row r="1905" ht="14.25" customHeight="1">
      <c r="A1905" s="1085">
        <v>43482.0</v>
      </c>
      <c r="B1905" s="1086" t="s">
        <v>7214</v>
      </c>
      <c r="C1905" s="1087" t="s">
        <v>1470</v>
      </c>
      <c r="D1905" s="1088">
        <v>0.75</v>
      </c>
      <c r="E1905" s="1089" t="s">
        <v>5308</v>
      </c>
      <c r="F1905" s="1081">
        <f t="shared" si="1"/>
        <v>0</v>
      </c>
      <c r="G1905" s="1083">
        <f t="shared" si="2"/>
        <v>0.75</v>
      </c>
      <c r="H1905" s="1084"/>
    </row>
    <row r="1906" ht="14.25" customHeight="1">
      <c r="A1906" s="1085">
        <v>43494.0</v>
      </c>
      <c r="B1906" s="1086" t="s">
        <v>7215</v>
      </c>
      <c r="C1906" s="1087" t="s">
        <v>5454</v>
      </c>
      <c r="D1906" s="1088">
        <v>140.69</v>
      </c>
      <c r="E1906" s="1089" t="s">
        <v>5308</v>
      </c>
      <c r="F1906" s="1081">
        <f t="shared" si="1"/>
        <v>0</v>
      </c>
      <c r="G1906" s="1083">
        <f t="shared" si="2"/>
        <v>140.69</v>
      </c>
      <c r="H1906" s="1084"/>
    </row>
    <row r="1907" ht="14.25" customHeight="1">
      <c r="A1907" s="1085">
        <v>43483.0</v>
      </c>
      <c r="B1907" s="1086" t="s">
        <v>7216</v>
      </c>
      <c r="C1907" s="1087" t="s">
        <v>1470</v>
      </c>
      <c r="D1907" s="1088">
        <v>1.34</v>
      </c>
      <c r="E1907" s="1089" t="s">
        <v>5308</v>
      </c>
      <c r="F1907" s="1081">
        <f t="shared" si="1"/>
        <v>0</v>
      </c>
      <c r="G1907" s="1083">
        <f t="shared" si="2"/>
        <v>1.34</v>
      </c>
      <c r="H1907" s="1084"/>
    </row>
    <row r="1908" ht="14.25" customHeight="1">
      <c r="A1908" s="1085">
        <v>43495.0</v>
      </c>
      <c r="B1908" s="1086" t="s">
        <v>7217</v>
      </c>
      <c r="C1908" s="1087" t="s">
        <v>5454</v>
      </c>
      <c r="D1908" s="1088">
        <v>253.46</v>
      </c>
      <c r="E1908" s="1089" t="s">
        <v>5308</v>
      </c>
      <c r="F1908" s="1081">
        <f t="shared" si="1"/>
        <v>0</v>
      </c>
      <c r="G1908" s="1083">
        <f t="shared" si="2"/>
        <v>253.46</v>
      </c>
      <c r="H1908" s="1084"/>
    </row>
    <row r="1909" ht="14.25" customHeight="1">
      <c r="A1909" s="1085">
        <v>43484.0</v>
      </c>
      <c r="B1909" s="1086" t="s">
        <v>7218</v>
      </c>
      <c r="C1909" s="1087" t="s">
        <v>1470</v>
      </c>
      <c r="D1909" s="1088">
        <v>1.14</v>
      </c>
      <c r="E1909" s="1089" t="s">
        <v>5308</v>
      </c>
      <c r="F1909" s="1081">
        <f t="shared" si="1"/>
        <v>0</v>
      </c>
      <c r="G1909" s="1083">
        <f t="shared" si="2"/>
        <v>1.14</v>
      </c>
      <c r="H1909" s="1084"/>
    </row>
    <row r="1910" ht="14.25" customHeight="1">
      <c r="A1910" s="1085">
        <v>43496.0</v>
      </c>
      <c r="B1910" s="1086" t="s">
        <v>7219</v>
      </c>
      <c r="C1910" s="1087" t="s">
        <v>5454</v>
      </c>
      <c r="D1910" s="1088">
        <v>214.4</v>
      </c>
      <c r="E1910" s="1089" t="s">
        <v>5308</v>
      </c>
      <c r="F1910" s="1081">
        <f t="shared" si="1"/>
        <v>0</v>
      </c>
      <c r="G1910" s="1083">
        <f t="shared" si="2"/>
        <v>214.4</v>
      </c>
      <c r="H1910" s="1084"/>
    </row>
    <row r="1911" ht="14.25" customHeight="1">
      <c r="A1911" s="1085">
        <v>43485.0</v>
      </c>
      <c r="B1911" s="1086" t="s">
        <v>7220</v>
      </c>
      <c r="C1911" s="1087" t="s">
        <v>1470</v>
      </c>
      <c r="D1911" s="1088">
        <v>1.01</v>
      </c>
      <c r="E1911" s="1089" t="s">
        <v>5308</v>
      </c>
      <c r="F1911" s="1081">
        <f t="shared" si="1"/>
        <v>0</v>
      </c>
      <c r="G1911" s="1083">
        <f t="shared" si="2"/>
        <v>1.01</v>
      </c>
      <c r="H1911" s="1084"/>
    </row>
    <row r="1912" ht="14.25" customHeight="1">
      <c r="A1912" s="1085">
        <v>43497.0</v>
      </c>
      <c r="B1912" s="1086" t="s">
        <v>7221</v>
      </c>
      <c r="C1912" s="1087" t="s">
        <v>5454</v>
      </c>
      <c r="D1912" s="1088">
        <v>189.52</v>
      </c>
      <c r="E1912" s="1089" t="s">
        <v>5308</v>
      </c>
      <c r="F1912" s="1081">
        <f t="shared" si="1"/>
        <v>0</v>
      </c>
      <c r="G1912" s="1083">
        <f t="shared" si="2"/>
        <v>189.52</v>
      </c>
      <c r="H1912" s="1084"/>
    </row>
    <row r="1913" ht="14.25" customHeight="1">
      <c r="A1913" s="1085">
        <v>43487.0</v>
      </c>
      <c r="B1913" s="1086" t="s">
        <v>7222</v>
      </c>
      <c r="C1913" s="1087" t="s">
        <v>1470</v>
      </c>
      <c r="D1913" s="1088">
        <v>1.17</v>
      </c>
      <c r="E1913" s="1089" t="s">
        <v>5308</v>
      </c>
      <c r="F1913" s="1081">
        <f t="shared" si="1"/>
        <v>0</v>
      </c>
      <c r="G1913" s="1083">
        <f t="shared" si="2"/>
        <v>1.17</v>
      </c>
      <c r="H1913" s="1084"/>
    </row>
    <row r="1914" ht="14.25" customHeight="1">
      <c r="A1914" s="1085">
        <v>43499.0</v>
      </c>
      <c r="B1914" s="1086" t="s">
        <v>7223</v>
      </c>
      <c r="C1914" s="1087" t="s">
        <v>5454</v>
      </c>
      <c r="D1914" s="1088">
        <v>221.51</v>
      </c>
      <c r="E1914" s="1089" t="s">
        <v>5308</v>
      </c>
      <c r="F1914" s="1081">
        <f t="shared" si="1"/>
        <v>0</v>
      </c>
      <c r="G1914" s="1083">
        <f t="shared" si="2"/>
        <v>221.51</v>
      </c>
      <c r="H1914" s="1084"/>
    </row>
    <row r="1915" ht="14.25" customHeight="1">
      <c r="A1915" s="1085">
        <v>43486.0</v>
      </c>
      <c r="B1915" s="1086" t="s">
        <v>7224</v>
      </c>
      <c r="C1915" s="1087" t="s">
        <v>1470</v>
      </c>
      <c r="D1915" s="1088">
        <v>0.71</v>
      </c>
      <c r="E1915" s="1089" t="s">
        <v>5308</v>
      </c>
      <c r="F1915" s="1081">
        <f t="shared" si="1"/>
        <v>0</v>
      </c>
      <c r="G1915" s="1083">
        <f t="shared" si="2"/>
        <v>0.71</v>
      </c>
      <c r="H1915" s="1084"/>
    </row>
    <row r="1916" ht="14.25" customHeight="1">
      <c r="A1916" s="1085">
        <v>43498.0</v>
      </c>
      <c r="B1916" s="1086" t="s">
        <v>7225</v>
      </c>
      <c r="C1916" s="1087" t="s">
        <v>5454</v>
      </c>
      <c r="D1916" s="1088">
        <v>133.45</v>
      </c>
      <c r="E1916" s="1089" t="s">
        <v>5308</v>
      </c>
      <c r="F1916" s="1081">
        <f t="shared" si="1"/>
        <v>0</v>
      </c>
      <c r="G1916" s="1083">
        <f t="shared" si="2"/>
        <v>133.45</v>
      </c>
      <c r="H1916" s="1084"/>
    </row>
    <row r="1917" ht="14.25" customHeight="1">
      <c r="A1917" s="1085">
        <v>43488.0</v>
      </c>
      <c r="B1917" s="1086" t="s">
        <v>7226</v>
      </c>
      <c r="C1917" s="1087" t="s">
        <v>1470</v>
      </c>
      <c r="D1917" s="1088">
        <v>0.82</v>
      </c>
      <c r="E1917" s="1089" t="s">
        <v>5308</v>
      </c>
      <c r="F1917" s="1081">
        <f t="shared" si="1"/>
        <v>0</v>
      </c>
      <c r="G1917" s="1083">
        <f t="shared" si="2"/>
        <v>0.82</v>
      </c>
      <c r="H1917" s="1084"/>
    </row>
    <row r="1918" ht="14.25" customHeight="1">
      <c r="A1918" s="1085">
        <v>43500.0</v>
      </c>
      <c r="B1918" s="1086" t="s">
        <v>7227</v>
      </c>
      <c r="C1918" s="1087" t="s">
        <v>5454</v>
      </c>
      <c r="D1918" s="1088">
        <v>154.53</v>
      </c>
      <c r="E1918" s="1089" t="s">
        <v>5308</v>
      </c>
      <c r="F1918" s="1081">
        <f t="shared" si="1"/>
        <v>0</v>
      </c>
      <c r="G1918" s="1083">
        <f t="shared" si="2"/>
        <v>154.53</v>
      </c>
      <c r="H1918" s="1084"/>
    </row>
    <row r="1919" ht="14.25" customHeight="1">
      <c r="A1919" s="1085">
        <v>43489.0</v>
      </c>
      <c r="B1919" s="1086" t="s">
        <v>7228</v>
      </c>
      <c r="C1919" s="1087" t="s">
        <v>1470</v>
      </c>
      <c r="D1919" s="1088">
        <v>1.17</v>
      </c>
      <c r="E1919" s="1089" t="s">
        <v>5308</v>
      </c>
      <c r="F1919" s="1081">
        <f t="shared" si="1"/>
        <v>0</v>
      </c>
      <c r="G1919" s="1083">
        <f t="shared" si="2"/>
        <v>1.17</v>
      </c>
      <c r="H1919" s="1084"/>
    </row>
    <row r="1920" ht="14.25" customHeight="1">
      <c r="A1920" s="1085">
        <v>43501.0</v>
      </c>
      <c r="B1920" s="1086" t="s">
        <v>7229</v>
      </c>
      <c r="C1920" s="1087" t="s">
        <v>5454</v>
      </c>
      <c r="D1920" s="1088">
        <v>220.75</v>
      </c>
      <c r="E1920" s="1089" t="s">
        <v>5308</v>
      </c>
      <c r="F1920" s="1081">
        <f t="shared" si="1"/>
        <v>0</v>
      </c>
      <c r="G1920" s="1083">
        <f t="shared" si="2"/>
        <v>220.75</v>
      </c>
      <c r="H1920" s="1084"/>
    </row>
    <row r="1921" ht="14.25" customHeight="1">
      <c r="A1921" s="1085">
        <v>43490.0</v>
      </c>
      <c r="B1921" s="1086" t="s">
        <v>7230</v>
      </c>
      <c r="C1921" s="1087" t="s">
        <v>1470</v>
      </c>
      <c r="D1921" s="1088">
        <v>1.68</v>
      </c>
      <c r="E1921" s="1089" t="s">
        <v>5308</v>
      </c>
      <c r="F1921" s="1081">
        <f t="shared" si="1"/>
        <v>0</v>
      </c>
      <c r="G1921" s="1083">
        <f t="shared" si="2"/>
        <v>1.68</v>
      </c>
      <c r="H1921" s="1084"/>
    </row>
    <row r="1922" ht="14.25" customHeight="1">
      <c r="A1922" s="1085">
        <v>43502.0</v>
      </c>
      <c r="B1922" s="1086" t="s">
        <v>7231</v>
      </c>
      <c r="C1922" s="1087" t="s">
        <v>5454</v>
      </c>
      <c r="D1922" s="1088">
        <v>316.25</v>
      </c>
      <c r="E1922" s="1089" t="s">
        <v>5308</v>
      </c>
      <c r="F1922" s="1081">
        <f t="shared" si="1"/>
        <v>0</v>
      </c>
      <c r="G1922" s="1083">
        <f t="shared" si="2"/>
        <v>316.25</v>
      </c>
      <c r="H1922" s="1084"/>
    </row>
    <row r="1923" ht="14.25" customHeight="1">
      <c r="A1923" s="1085">
        <v>43491.0</v>
      </c>
      <c r="B1923" s="1086" t="s">
        <v>7232</v>
      </c>
      <c r="C1923" s="1087" t="s">
        <v>1470</v>
      </c>
      <c r="D1923" s="1088">
        <v>1.25</v>
      </c>
      <c r="E1923" s="1089" t="s">
        <v>5308</v>
      </c>
      <c r="F1923" s="1081">
        <f t="shared" si="1"/>
        <v>0</v>
      </c>
      <c r="G1923" s="1083">
        <f t="shared" si="2"/>
        <v>1.25</v>
      </c>
      <c r="H1923" s="1084"/>
    </row>
    <row r="1924" ht="14.25" customHeight="1">
      <c r="A1924" s="1085">
        <v>43503.0</v>
      </c>
      <c r="B1924" s="1086" t="s">
        <v>7233</v>
      </c>
      <c r="C1924" s="1087" t="s">
        <v>5454</v>
      </c>
      <c r="D1924" s="1088">
        <v>235.5</v>
      </c>
      <c r="E1924" s="1089" t="s">
        <v>5308</v>
      </c>
      <c r="F1924" s="1081">
        <f t="shared" si="1"/>
        <v>0</v>
      </c>
      <c r="G1924" s="1083">
        <f t="shared" si="2"/>
        <v>235.5</v>
      </c>
      <c r="H1924" s="1084"/>
    </row>
    <row r="1925" ht="14.25" customHeight="1">
      <c r="A1925" s="1085">
        <v>43492.0</v>
      </c>
      <c r="B1925" s="1086" t="s">
        <v>7234</v>
      </c>
      <c r="C1925" s="1087" t="s">
        <v>1470</v>
      </c>
      <c r="D1925" s="1088">
        <v>1.68</v>
      </c>
      <c r="E1925" s="1089" t="s">
        <v>5308</v>
      </c>
      <c r="F1925" s="1081">
        <f t="shared" si="1"/>
        <v>0</v>
      </c>
      <c r="G1925" s="1083">
        <f t="shared" si="2"/>
        <v>1.68</v>
      </c>
      <c r="H1925" s="1084"/>
    </row>
    <row r="1926" ht="14.25" customHeight="1">
      <c r="A1926" s="1085">
        <v>43504.0</v>
      </c>
      <c r="B1926" s="1086" t="s">
        <v>7235</v>
      </c>
      <c r="C1926" s="1087" t="s">
        <v>5454</v>
      </c>
      <c r="D1926" s="1088">
        <v>317.67</v>
      </c>
      <c r="E1926" s="1089" t="s">
        <v>5308</v>
      </c>
      <c r="F1926" s="1081">
        <f t="shared" si="1"/>
        <v>0</v>
      </c>
      <c r="G1926" s="1083">
        <f t="shared" si="2"/>
        <v>317.67</v>
      </c>
      <c r="H1926" s="1084"/>
    </row>
    <row r="1927" ht="14.25" customHeight="1">
      <c r="A1927" s="1085">
        <v>43493.0</v>
      </c>
      <c r="B1927" s="1086" t="s">
        <v>7236</v>
      </c>
      <c r="C1927" s="1087" t="s">
        <v>1470</v>
      </c>
      <c r="D1927" s="1088">
        <v>0.67</v>
      </c>
      <c r="E1927" s="1089" t="s">
        <v>5308</v>
      </c>
      <c r="F1927" s="1081">
        <f t="shared" si="1"/>
        <v>0</v>
      </c>
      <c r="G1927" s="1083">
        <f t="shared" si="2"/>
        <v>0.67</v>
      </c>
      <c r="H1927" s="1084"/>
    </row>
    <row r="1928" ht="14.25" customHeight="1">
      <c r="A1928" s="1085">
        <v>43505.0</v>
      </c>
      <c r="B1928" s="1086" t="s">
        <v>7237</v>
      </c>
      <c r="C1928" s="1087" t="s">
        <v>5454</v>
      </c>
      <c r="D1928" s="1088">
        <v>126.7</v>
      </c>
      <c r="E1928" s="1089" t="s">
        <v>5308</v>
      </c>
      <c r="F1928" s="1081">
        <f t="shared" si="1"/>
        <v>0</v>
      </c>
      <c r="G1928" s="1083">
        <f t="shared" si="2"/>
        <v>126.7</v>
      </c>
      <c r="H1928" s="1084"/>
    </row>
    <row r="1929" ht="14.25" customHeight="1">
      <c r="A1929" s="1085">
        <v>37774.0</v>
      </c>
      <c r="B1929" s="1086" t="s">
        <v>7238</v>
      </c>
      <c r="C1929" s="1087" t="s">
        <v>1788</v>
      </c>
      <c r="D1929" s="1088">
        <v>450184.09</v>
      </c>
      <c r="E1929" s="1089" t="s">
        <v>5482</v>
      </c>
      <c r="F1929" s="1081">
        <f t="shared" si="1"/>
        <v>0</v>
      </c>
      <c r="G1929" s="1083">
        <f t="shared" si="2"/>
        <v>450184.09</v>
      </c>
      <c r="H1929" s="1084"/>
    </row>
    <row r="1930" ht="14.25" customHeight="1">
      <c r="A1930" s="1085">
        <v>38629.0</v>
      </c>
      <c r="B1930" s="1086" t="s">
        <v>7239</v>
      </c>
      <c r="C1930" s="1087" t="s">
        <v>1788</v>
      </c>
      <c r="D1930" s="1088">
        <v>3427734.37</v>
      </c>
      <c r="E1930" s="1089" t="s">
        <v>5482</v>
      </c>
      <c r="F1930" s="1081">
        <f t="shared" si="1"/>
        <v>0</v>
      </c>
      <c r="G1930" s="1083">
        <f t="shared" si="2"/>
        <v>3427734.37</v>
      </c>
      <c r="H1930" s="1084"/>
    </row>
    <row r="1931" ht="14.25" customHeight="1">
      <c r="A1931" s="1085">
        <v>38630.0</v>
      </c>
      <c r="B1931" s="1086" t="s">
        <v>7240</v>
      </c>
      <c r="C1931" s="1087" t="s">
        <v>1788</v>
      </c>
      <c r="D1931" s="1088">
        <v>2302734.37</v>
      </c>
      <c r="E1931" s="1089" t="s">
        <v>5482</v>
      </c>
      <c r="F1931" s="1081">
        <f t="shared" si="1"/>
        <v>0</v>
      </c>
      <c r="G1931" s="1083">
        <f t="shared" si="2"/>
        <v>2302734.37</v>
      </c>
      <c r="H1931" s="1084"/>
    </row>
    <row r="1932" ht="14.25" customHeight="1">
      <c r="A1932" s="1085">
        <v>38476.0</v>
      </c>
      <c r="B1932" s="1086" t="s">
        <v>7241</v>
      </c>
      <c r="C1932" s="1087" t="s">
        <v>1788</v>
      </c>
      <c r="D1932" s="1088">
        <v>316.33</v>
      </c>
      <c r="E1932" s="1089" t="s">
        <v>5308</v>
      </c>
      <c r="F1932" s="1081">
        <f t="shared" si="1"/>
        <v>0</v>
      </c>
      <c r="G1932" s="1083">
        <f t="shared" si="2"/>
        <v>316.33</v>
      </c>
      <c r="H1932" s="1084"/>
    </row>
    <row r="1933" ht="14.25" customHeight="1">
      <c r="A1933" s="1085">
        <v>38477.0</v>
      </c>
      <c r="B1933" s="1086" t="s">
        <v>7242</v>
      </c>
      <c r="C1933" s="1087" t="s">
        <v>1788</v>
      </c>
      <c r="D1933" s="1088">
        <v>895.84</v>
      </c>
      <c r="E1933" s="1089" t="s">
        <v>5308</v>
      </c>
      <c r="F1933" s="1081">
        <f t="shared" si="1"/>
        <v>0</v>
      </c>
      <c r="G1933" s="1083">
        <f t="shared" si="2"/>
        <v>895.84</v>
      </c>
      <c r="H1933" s="1084"/>
    </row>
    <row r="1934" ht="14.25" customHeight="1">
      <c r="A1934" s="1085">
        <v>40635.0</v>
      </c>
      <c r="B1934" s="1086" t="s">
        <v>7243</v>
      </c>
      <c r="C1934" s="1087" t="s">
        <v>1788</v>
      </c>
      <c r="D1934" s="1088">
        <v>1008375.8</v>
      </c>
      <c r="E1934" s="1089" t="s">
        <v>5482</v>
      </c>
      <c r="F1934" s="1081">
        <f t="shared" si="1"/>
        <v>0</v>
      </c>
      <c r="G1934" s="1083">
        <f t="shared" si="2"/>
        <v>1008375.8</v>
      </c>
      <c r="H1934" s="1084"/>
    </row>
    <row r="1935" ht="14.25" customHeight="1">
      <c r="A1935" s="1085">
        <v>36483.0</v>
      </c>
      <c r="B1935" s="1086" t="s">
        <v>7244</v>
      </c>
      <c r="C1935" s="1087" t="s">
        <v>1788</v>
      </c>
      <c r="D1935" s="1088">
        <v>913750.0</v>
      </c>
      <c r="E1935" s="1089" t="s">
        <v>5482</v>
      </c>
      <c r="F1935" s="1081">
        <f t="shared" si="1"/>
        <v>0</v>
      </c>
      <c r="G1935" s="1083">
        <f t="shared" si="2"/>
        <v>913750</v>
      </c>
      <c r="H1935" s="1084"/>
    </row>
    <row r="1936" ht="14.25" customHeight="1">
      <c r="A1936" s="1085">
        <v>14525.0</v>
      </c>
      <c r="B1936" s="1086" t="s">
        <v>7245</v>
      </c>
      <c r="C1936" s="1087" t="s">
        <v>1788</v>
      </c>
      <c r="D1936" s="1088">
        <v>956750.0</v>
      </c>
      <c r="E1936" s="1089" t="s">
        <v>5482</v>
      </c>
      <c r="F1936" s="1081">
        <f t="shared" si="1"/>
        <v>0</v>
      </c>
      <c r="G1936" s="1083">
        <f t="shared" si="2"/>
        <v>956750</v>
      </c>
      <c r="H1936" s="1084"/>
    </row>
    <row r="1937" ht="14.25" customHeight="1">
      <c r="A1937" s="1085">
        <v>36482.0</v>
      </c>
      <c r="B1937" s="1086" t="s">
        <v>7246</v>
      </c>
      <c r="C1937" s="1087" t="s">
        <v>1788</v>
      </c>
      <c r="D1937" s="1088">
        <v>820546.38</v>
      </c>
      <c r="E1937" s="1089" t="s">
        <v>5482</v>
      </c>
      <c r="F1937" s="1081">
        <f t="shared" si="1"/>
        <v>0</v>
      </c>
      <c r="G1937" s="1083">
        <f t="shared" si="2"/>
        <v>820546.38</v>
      </c>
      <c r="H1937" s="1084"/>
    </row>
    <row r="1938" ht="14.25" customHeight="1">
      <c r="A1938" s="1085">
        <v>36408.0</v>
      </c>
      <c r="B1938" s="1086" t="s">
        <v>7247</v>
      </c>
      <c r="C1938" s="1087" t="s">
        <v>1788</v>
      </c>
      <c r="D1938" s="1088">
        <v>980400.0</v>
      </c>
      <c r="E1938" s="1089" t="s">
        <v>5482</v>
      </c>
      <c r="F1938" s="1081">
        <f t="shared" si="1"/>
        <v>0</v>
      </c>
      <c r="G1938" s="1083">
        <f t="shared" si="2"/>
        <v>980400</v>
      </c>
      <c r="H1938" s="1084"/>
    </row>
    <row r="1939" ht="14.25" customHeight="1">
      <c r="A1939" s="1085">
        <v>2723.0</v>
      </c>
      <c r="B1939" s="1086" t="s">
        <v>7248</v>
      </c>
      <c r="C1939" s="1087" t="s">
        <v>1788</v>
      </c>
      <c r="D1939" s="1088">
        <v>752500.0</v>
      </c>
      <c r="E1939" s="1089" t="s">
        <v>5482</v>
      </c>
      <c r="F1939" s="1081">
        <f t="shared" si="1"/>
        <v>0</v>
      </c>
      <c r="G1939" s="1083">
        <f t="shared" si="2"/>
        <v>752500</v>
      </c>
      <c r="H1939" s="1084"/>
    </row>
    <row r="1940" ht="14.25" customHeight="1">
      <c r="A1940" s="1085">
        <v>36481.0</v>
      </c>
      <c r="B1940" s="1086" t="s">
        <v>7249</v>
      </c>
      <c r="C1940" s="1087" t="s">
        <v>1788</v>
      </c>
      <c r="D1940" s="1088">
        <v>897625.0</v>
      </c>
      <c r="E1940" s="1089" t="s">
        <v>5482</v>
      </c>
      <c r="F1940" s="1081">
        <f t="shared" si="1"/>
        <v>0</v>
      </c>
      <c r="G1940" s="1083">
        <f t="shared" si="2"/>
        <v>897625</v>
      </c>
      <c r="H1940" s="1084"/>
    </row>
    <row r="1941" ht="14.25" customHeight="1">
      <c r="A1941" s="1085">
        <v>10685.0</v>
      </c>
      <c r="B1941" s="1086" t="s">
        <v>7250</v>
      </c>
      <c r="C1941" s="1087" t="s">
        <v>1788</v>
      </c>
      <c r="D1941" s="1088">
        <v>860000.0</v>
      </c>
      <c r="E1941" s="1089" t="s">
        <v>5482</v>
      </c>
      <c r="F1941" s="1081">
        <f t="shared" si="1"/>
        <v>0</v>
      </c>
      <c r="G1941" s="1083">
        <f t="shared" si="2"/>
        <v>860000</v>
      </c>
      <c r="H1941" s="1084"/>
    </row>
    <row r="1942" ht="14.25" customHeight="1">
      <c r="A1942" s="1085">
        <v>40636.0</v>
      </c>
      <c r="B1942" s="1086" t="s">
        <v>7251</v>
      </c>
      <c r="C1942" s="1087" t="s">
        <v>1788</v>
      </c>
      <c r="D1942" s="1088">
        <v>970750.8</v>
      </c>
      <c r="E1942" s="1089" t="s">
        <v>5482</v>
      </c>
      <c r="F1942" s="1081">
        <f t="shared" si="1"/>
        <v>0</v>
      </c>
      <c r="G1942" s="1083">
        <f t="shared" si="2"/>
        <v>970750.8</v>
      </c>
      <c r="H1942" s="1084"/>
    </row>
    <row r="1943" ht="14.25" customHeight="1">
      <c r="A1943" s="1085">
        <v>4111.0</v>
      </c>
      <c r="B1943" s="1086" t="s">
        <v>7252</v>
      </c>
      <c r="C1943" s="1087" t="s">
        <v>1788</v>
      </c>
      <c r="D1943" s="1088">
        <v>35.92</v>
      </c>
      <c r="E1943" s="1089" t="s">
        <v>5308</v>
      </c>
      <c r="F1943" s="1081">
        <f t="shared" si="1"/>
        <v>0</v>
      </c>
      <c r="G1943" s="1083">
        <f t="shared" si="2"/>
        <v>35.92</v>
      </c>
      <c r="H1943" s="1084"/>
    </row>
    <row r="1944" ht="14.25" customHeight="1">
      <c r="A1944" s="1085">
        <v>44538.0</v>
      </c>
      <c r="B1944" s="1086" t="s">
        <v>7253</v>
      </c>
      <c r="C1944" s="1087" t="s">
        <v>1788</v>
      </c>
      <c r="D1944" s="1088">
        <v>68.5</v>
      </c>
      <c r="E1944" s="1089" t="s">
        <v>5554</v>
      </c>
      <c r="F1944" s="1081">
        <f t="shared" si="1"/>
        <v>0</v>
      </c>
      <c r="G1944" s="1083">
        <f t="shared" si="2"/>
        <v>68.5</v>
      </c>
      <c r="H1944" s="1084"/>
    </row>
    <row r="1945" ht="14.25" customHeight="1">
      <c r="A1945" s="1085">
        <v>12.0</v>
      </c>
      <c r="B1945" s="1086" t="s">
        <v>7254</v>
      </c>
      <c r="C1945" s="1087" t="s">
        <v>1788</v>
      </c>
      <c r="D1945" s="1088">
        <v>12.48</v>
      </c>
      <c r="E1945" s="1089" t="s">
        <v>5308</v>
      </c>
      <c r="F1945" s="1081">
        <f t="shared" si="1"/>
        <v>0</v>
      </c>
      <c r="G1945" s="1083">
        <f t="shared" si="2"/>
        <v>12.48</v>
      </c>
      <c r="H1945" s="1084"/>
    </row>
    <row r="1946" ht="14.25" customHeight="1">
      <c r="A1946" s="1085">
        <v>37554.0</v>
      </c>
      <c r="B1946" s="1086" t="s">
        <v>7255</v>
      </c>
      <c r="C1946" s="1087" t="s">
        <v>1788</v>
      </c>
      <c r="D1946" s="1088">
        <v>299.46</v>
      </c>
      <c r="E1946" s="1089" t="s">
        <v>5308</v>
      </c>
      <c r="F1946" s="1081">
        <f t="shared" si="1"/>
        <v>0</v>
      </c>
      <c r="G1946" s="1083">
        <f t="shared" si="2"/>
        <v>299.46</v>
      </c>
      <c r="H1946" s="1084"/>
    </row>
    <row r="1947" ht="14.25" customHeight="1">
      <c r="A1947" s="1085">
        <v>37555.0</v>
      </c>
      <c r="B1947" s="1086" t="s">
        <v>7256</v>
      </c>
      <c r="C1947" s="1087" t="s">
        <v>1788</v>
      </c>
      <c r="D1947" s="1088">
        <v>364.28</v>
      </c>
      <c r="E1947" s="1089" t="s">
        <v>5308</v>
      </c>
      <c r="F1947" s="1081">
        <f t="shared" si="1"/>
        <v>0</v>
      </c>
      <c r="G1947" s="1083">
        <f t="shared" si="2"/>
        <v>364.28</v>
      </c>
      <c r="H1947" s="1084"/>
    </row>
    <row r="1948" ht="14.25" customHeight="1">
      <c r="A1948" s="1085">
        <v>10902.0</v>
      </c>
      <c r="B1948" s="1086" t="s">
        <v>7257</v>
      </c>
      <c r="C1948" s="1087" t="s">
        <v>1788</v>
      </c>
      <c r="D1948" s="1088">
        <v>91.41</v>
      </c>
      <c r="E1948" s="1089" t="s">
        <v>5308</v>
      </c>
      <c r="F1948" s="1081">
        <f t="shared" si="1"/>
        <v>0</v>
      </c>
      <c r="G1948" s="1083">
        <f t="shared" si="2"/>
        <v>91.41</v>
      </c>
      <c r="H1948" s="1084"/>
    </row>
    <row r="1949" ht="14.25" customHeight="1">
      <c r="A1949" s="1085">
        <v>20965.0</v>
      </c>
      <c r="B1949" s="1086" t="s">
        <v>7258</v>
      </c>
      <c r="C1949" s="1087" t="s">
        <v>1788</v>
      </c>
      <c r="D1949" s="1088">
        <v>92.26</v>
      </c>
      <c r="E1949" s="1089" t="s">
        <v>5308</v>
      </c>
      <c r="F1949" s="1081">
        <f t="shared" si="1"/>
        <v>0</v>
      </c>
      <c r="G1949" s="1083">
        <f t="shared" si="2"/>
        <v>92.26</v>
      </c>
      <c r="H1949" s="1084"/>
    </row>
    <row r="1950" ht="14.25" customHeight="1">
      <c r="A1950" s="1085">
        <v>20966.0</v>
      </c>
      <c r="B1950" s="1086" t="s">
        <v>7259</v>
      </c>
      <c r="C1950" s="1087" t="s">
        <v>1788</v>
      </c>
      <c r="D1950" s="1088">
        <v>99.34</v>
      </c>
      <c r="E1950" s="1089" t="s">
        <v>5308</v>
      </c>
      <c r="F1950" s="1081">
        <f t="shared" si="1"/>
        <v>0</v>
      </c>
      <c r="G1950" s="1083">
        <f t="shared" si="2"/>
        <v>99.34</v>
      </c>
      <c r="H1950" s="1084"/>
    </row>
    <row r="1951" ht="14.25" customHeight="1">
      <c r="A1951" s="1085">
        <v>10903.0</v>
      </c>
      <c r="B1951" s="1086" t="s">
        <v>7260</v>
      </c>
      <c r="C1951" s="1087" t="s">
        <v>1788</v>
      </c>
      <c r="D1951" s="1088">
        <v>150.57</v>
      </c>
      <c r="E1951" s="1089" t="s">
        <v>5308</v>
      </c>
      <c r="F1951" s="1081">
        <f t="shared" si="1"/>
        <v>0</v>
      </c>
      <c r="G1951" s="1083">
        <f t="shared" si="2"/>
        <v>150.57</v>
      </c>
      <c r="H1951" s="1084"/>
    </row>
    <row r="1952" ht="14.25" customHeight="1">
      <c r="A1952" s="1085">
        <v>20967.0</v>
      </c>
      <c r="B1952" s="1086" t="s">
        <v>7261</v>
      </c>
      <c r="C1952" s="1087" t="s">
        <v>1788</v>
      </c>
      <c r="D1952" s="1088">
        <v>150.57</v>
      </c>
      <c r="E1952" s="1089" t="s">
        <v>5308</v>
      </c>
      <c r="F1952" s="1081">
        <f t="shared" si="1"/>
        <v>0</v>
      </c>
      <c r="G1952" s="1083">
        <f t="shared" si="2"/>
        <v>150.57</v>
      </c>
      <c r="H1952" s="1084"/>
    </row>
    <row r="1953" ht="14.25" customHeight="1">
      <c r="A1953" s="1085">
        <v>20968.0</v>
      </c>
      <c r="B1953" s="1086" t="s">
        <v>7262</v>
      </c>
      <c r="C1953" s="1087" t="s">
        <v>1788</v>
      </c>
      <c r="D1953" s="1088">
        <v>165.14</v>
      </c>
      <c r="E1953" s="1089" t="s">
        <v>5308</v>
      </c>
      <c r="F1953" s="1081">
        <f t="shared" si="1"/>
        <v>0</v>
      </c>
      <c r="G1953" s="1083">
        <f t="shared" si="2"/>
        <v>165.14</v>
      </c>
      <c r="H1953" s="1084"/>
    </row>
    <row r="1954" ht="14.25" customHeight="1">
      <c r="A1954" s="1085">
        <v>11359.0</v>
      </c>
      <c r="B1954" s="1086" t="s">
        <v>7263</v>
      </c>
      <c r="C1954" s="1087" t="s">
        <v>1788</v>
      </c>
      <c r="D1954" s="1088">
        <v>973.72</v>
      </c>
      <c r="E1954" s="1089" t="s">
        <v>5482</v>
      </c>
      <c r="F1954" s="1081">
        <f t="shared" si="1"/>
        <v>0</v>
      </c>
      <c r="G1954" s="1083">
        <f t="shared" si="2"/>
        <v>973.72</v>
      </c>
      <c r="H1954" s="1084"/>
    </row>
    <row r="1955" ht="14.25" customHeight="1">
      <c r="A1955" s="1085">
        <v>39017.0</v>
      </c>
      <c r="B1955" s="1086" t="s">
        <v>7264</v>
      </c>
      <c r="C1955" s="1087" t="s">
        <v>1788</v>
      </c>
      <c r="D1955" s="1088">
        <v>0.22</v>
      </c>
      <c r="E1955" s="1089" t="s">
        <v>5308</v>
      </c>
      <c r="F1955" s="1081">
        <f t="shared" si="1"/>
        <v>0</v>
      </c>
      <c r="G1955" s="1083">
        <f t="shared" si="2"/>
        <v>0.22</v>
      </c>
      <c r="H1955" s="1084"/>
    </row>
    <row r="1956" ht="14.25" customHeight="1">
      <c r="A1956" s="1085">
        <v>39315.0</v>
      </c>
      <c r="B1956" s="1086" t="s">
        <v>7265</v>
      </c>
      <c r="C1956" s="1087" t="s">
        <v>1788</v>
      </c>
      <c r="D1956" s="1088">
        <v>0.35</v>
      </c>
      <c r="E1956" s="1089" t="s">
        <v>5308</v>
      </c>
      <c r="F1956" s="1081">
        <f t="shared" si="1"/>
        <v>0</v>
      </c>
      <c r="G1956" s="1083">
        <f t="shared" si="2"/>
        <v>0.35</v>
      </c>
      <c r="H1956" s="1084"/>
    </row>
    <row r="1957" ht="14.25" customHeight="1">
      <c r="A1957" s="1085">
        <v>39016.0</v>
      </c>
      <c r="B1957" s="1086" t="s">
        <v>7266</v>
      </c>
      <c r="C1957" s="1087" t="s">
        <v>1788</v>
      </c>
      <c r="D1957" s="1088">
        <v>0.36</v>
      </c>
      <c r="E1957" s="1089" t="s">
        <v>5308</v>
      </c>
      <c r="F1957" s="1081">
        <f t="shared" si="1"/>
        <v>0</v>
      </c>
      <c r="G1957" s="1083">
        <f t="shared" si="2"/>
        <v>0.36</v>
      </c>
      <c r="H1957" s="1084"/>
    </row>
    <row r="1958" ht="14.25" customHeight="1">
      <c r="A1958" s="1085">
        <v>39481.0</v>
      </c>
      <c r="B1958" s="1086" t="s">
        <v>7267</v>
      </c>
      <c r="C1958" s="1087" t="s">
        <v>1788</v>
      </c>
      <c r="D1958" s="1088">
        <v>1.74</v>
      </c>
      <c r="E1958" s="1089" t="s">
        <v>5308</v>
      </c>
      <c r="F1958" s="1081">
        <f t="shared" si="1"/>
        <v>0</v>
      </c>
      <c r="G1958" s="1083">
        <f t="shared" si="2"/>
        <v>1.74</v>
      </c>
      <c r="H1958" s="1084"/>
    </row>
    <row r="1959" ht="14.25" customHeight="1">
      <c r="A1959" s="1085">
        <v>39013.0</v>
      </c>
      <c r="B1959" s="1086" t="s">
        <v>7268</v>
      </c>
      <c r="C1959" s="1087" t="s">
        <v>1788</v>
      </c>
      <c r="D1959" s="1088">
        <v>1.48</v>
      </c>
      <c r="E1959" s="1089" t="s">
        <v>5308</v>
      </c>
      <c r="F1959" s="1081">
        <f t="shared" si="1"/>
        <v>0</v>
      </c>
      <c r="G1959" s="1083">
        <f t="shared" si="2"/>
        <v>1.48</v>
      </c>
      <c r="H1959" s="1084"/>
    </row>
    <row r="1960" ht="14.25" customHeight="1">
      <c r="A1960" s="1085">
        <v>44919.0</v>
      </c>
      <c r="B1960" s="1086" t="s">
        <v>7269</v>
      </c>
      <c r="C1960" s="1087" t="s">
        <v>1788</v>
      </c>
      <c r="D1960" s="1088">
        <v>2.77</v>
      </c>
      <c r="E1960" s="1089" t="s">
        <v>5554</v>
      </c>
      <c r="F1960" s="1081">
        <f t="shared" si="1"/>
        <v>0</v>
      </c>
      <c r="G1960" s="1083">
        <f t="shared" si="2"/>
        <v>2.77</v>
      </c>
      <c r="H1960" s="1084"/>
    </row>
    <row r="1961" ht="14.25" customHeight="1">
      <c r="A1961" s="1085">
        <v>40433.0</v>
      </c>
      <c r="B1961" s="1086" t="s">
        <v>7270</v>
      </c>
      <c r="C1961" s="1087" t="s">
        <v>1788</v>
      </c>
      <c r="D1961" s="1088">
        <v>1.53</v>
      </c>
      <c r="E1961" s="1089" t="s">
        <v>5308</v>
      </c>
      <c r="F1961" s="1081">
        <f t="shared" si="1"/>
        <v>0</v>
      </c>
      <c r="G1961" s="1083">
        <f t="shared" si="2"/>
        <v>1.53</v>
      </c>
      <c r="H1961" s="1084"/>
    </row>
    <row r="1962" ht="14.25" customHeight="1">
      <c r="A1962" s="1085">
        <v>20219.0</v>
      </c>
      <c r="B1962" s="1086" t="s">
        <v>7271</v>
      </c>
      <c r="C1962" s="1087" t="s">
        <v>1788</v>
      </c>
      <c r="D1962" s="1088">
        <v>116000.0</v>
      </c>
      <c r="E1962" s="1089" t="s">
        <v>5482</v>
      </c>
      <c r="F1962" s="1081">
        <f t="shared" si="1"/>
        <v>0</v>
      </c>
      <c r="G1962" s="1083">
        <f t="shared" si="2"/>
        <v>116000</v>
      </c>
      <c r="H1962" s="1084"/>
    </row>
    <row r="1963" ht="14.25" customHeight="1">
      <c r="A1963" s="1085">
        <v>36484.0</v>
      </c>
      <c r="B1963" s="1086" t="s">
        <v>7272</v>
      </c>
      <c r="C1963" s="1087" t="s">
        <v>1788</v>
      </c>
      <c r="D1963" s="1088">
        <v>246246.87</v>
      </c>
      <c r="E1963" s="1089" t="s">
        <v>5482</v>
      </c>
      <c r="F1963" s="1081">
        <f t="shared" si="1"/>
        <v>0</v>
      </c>
      <c r="G1963" s="1083">
        <f t="shared" si="2"/>
        <v>246246.87</v>
      </c>
      <c r="H1963" s="1084"/>
    </row>
    <row r="1964" ht="14.25" customHeight="1">
      <c r="A1964" s="1085">
        <v>38367.0</v>
      </c>
      <c r="B1964" s="1086" t="s">
        <v>7273</v>
      </c>
      <c r="C1964" s="1087" t="s">
        <v>1788</v>
      </c>
      <c r="D1964" s="1088">
        <v>16.99</v>
      </c>
      <c r="E1964" s="1089" t="s">
        <v>5308</v>
      </c>
      <c r="F1964" s="1081">
        <f t="shared" si="1"/>
        <v>0</v>
      </c>
      <c r="G1964" s="1083">
        <f t="shared" si="2"/>
        <v>16.99</v>
      </c>
      <c r="H1964" s="1084"/>
    </row>
    <row r="1965" ht="14.25" customHeight="1">
      <c r="A1965" s="1085">
        <v>38368.0</v>
      </c>
      <c r="B1965" s="1086" t="s">
        <v>7274</v>
      </c>
      <c r="C1965" s="1087" t="s">
        <v>1788</v>
      </c>
      <c r="D1965" s="1088">
        <v>7.64</v>
      </c>
      <c r="E1965" s="1089" t="s">
        <v>5308</v>
      </c>
      <c r="F1965" s="1081">
        <f t="shared" si="1"/>
        <v>0</v>
      </c>
      <c r="G1965" s="1083">
        <f t="shared" si="2"/>
        <v>7.64</v>
      </c>
      <c r="H1965" s="1084"/>
    </row>
    <row r="1966" ht="14.25" customHeight="1">
      <c r="A1966" s="1085">
        <v>38091.0</v>
      </c>
      <c r="B1966" s="1086" t="s">
        <v>7275</v>
      </c>
      <c r="C1966" s="1087" t="s">
        <v>1788</v>
      </c>
      <c r="D1966" s="1088">
        <v>2.61</v>
      </c>
      <c r="E1966" s="1089" t="s">
        <v>5308</v>
      </c>
      <c r="F1966" s="1081">
        <f t="shared" si="1"/>
        <v>0</v>
      </c>
      <c r="G1966" s="1083">
        <f t="shared" si="2"/>
        <v>2.61</v>
      </c>
      <c r="H1966" s="1084"/>
    </row>
    <row r="1967" ht="14.25" customHeight="1">
      <c r="A1967" s="1085">
        <v>38095.0</v>
      </c>
      <c r="B1967" s="1086" t="s">
        <v>7276</v>
      </c>
      <c r="C1967" s="1087" t="s">
        <v>1788</v>
      </c>
      <c r="D1967" s="1088">
        <v>5.53</v>
      </c>
      <c r="E1967" s="1089" t="s">
        <v>5308</v>
      </c>
      <c r="F1967" s="1081">
        <f t="shared" si="1"/>
        <v>0</v>
      </c>
      <c r="G1967" s="1083">
        <f t="shared" si="2"/>
        <v>5.53</v>
      </c>
      <c r="H1967" s="1084"/>
    </row>
    <row r="1968" ht="14.25" customHeight="1">
      <c r="A1968" s="1085">
        <v>38092.0</v>
      </c>
      <c r="B1968" s="1086" t="s">
        <v>7277</v>
      </c>
      <c r="C1968" s="1087" t="s">
        <v>1788</v>
      </c>
      <c r="D1968" s="1088">
        <v>2.47</v>
      </c>
      <c r="E1968" s="1089" t="s">
        <v>5308</v>
      </c>
      <c r="F1968" s="1081">
        <f t="shared" si="1"/>
        <v>0</v>
      </c>
      <c r="G1968" s="1083">
        <f t="shared" si="2"/>
        <v>2.47</v>
      </c>
      <c r="H1968" s="1084"/>
    </row>
    <row r="1969" ht="14.25" customHeight="1">
      <c r="A1969" s="1085">
        <v>38093.0</v>
      </c>
      <c r="B1969" s="1086" t="s">
        <v>7278</v>
      </c>
      <c r="C1969" s="1087" t="s">
        <v>1788</v>
      </c>
      <c r="D1969" s="1088">
        <v>2.56</v>
      </c>
      <c r="E1969" s="1089" t="s">
        <v>5308</v>
      </c>
      <c r="F1969" s="1081">
        <f t="shared" si="1"/>
        <v>0</v>
      </c>
      <c r="G1969" s="1083">
        <f t="shared" si="2"/>
        <v>2.56</v>
      </c>
      <c r="H1969" s="1084"/>
    </row>
    <row r="1970" ht="14.25" customHeight="1">
      <c r="A1970" s="1085">
        <v>38096.0</v>
      </c>
      <c r="B1970" s="1086" t="s">
        <v>7279</v>
      </c>
      <c r="C1970" s="1087" t="s">
        <v>1788</v>
      </c>
      <c r="D1970" s="1088">
        <v>5.94</v>
      </c>
      <c r="E1970" s="1089" t="s">
        <v>5308</v>
      </c>
      <c r="F1970" s="1081">
        <f t="shared" si="1"/>
        <v>0</v>
      </c>
      <c r="G1970" s="1083">
        <f t="shared" si="2"/>
        <v>5.94</v>
      </c>
      <c r="H1970" s="1084"/>
    </row>
    <row r="1971" ht="14.25" customHeight="1">
      <c r="A1971" s="1085">
        <v>38094.0</v>
      </c>
      <c r="B1971" s="1086" t="s">
        <v>7280</v>
      </c>
      <c r="C1971" s="1087" t="s">
        <v>1788</v>
      </c>
      <c r="D1971" s="1088">
        <v>3.14</v>
      </c>
      <c r="E1971" s="1089" t="s">
        <v>5308</v>
      </c>
      <c r="F1971" s="1081">
        <f t="shared" si="1"/>
        <v>0</v>
      </c>
      <c r="G1971" s="1083">
        <f t="shared" si="2"/>
        <v>3.14</v>
      </c>
      <c r="H1971" s="1084"/>
    </row>
    <row r="1972" ht="14.25" customHeight="1">
      <c r="A1972" s="1085">
        <v>38097.0</v>
      </c>
      <c r="B1972" s="1086" t="s">
        <v>7281</v>
      </c>
      <c r="C1972" s="1087" t="s">
        <v>1788</v>
      </c>
      <c r="D1972" s="1088">
        <v>6.37</v>
      </c>
      <c r="E1972" s="1089" t="s">
        <v>5308</v>
      </c>
      <c r="F1972" s="1081">
        <f t="shared" si="1"/>
        <v>0</v>
      </c>
      <c r="G1972" s="1083">
        <f t="shared" si="2"/>
        <v>6.37</v>
      </c>
      <c r="H1972" s="1084"/>
    </row>
    <row r="1973" ht="14.25" customHeight="1">
      <c r="A1973" s="1085">
        <v>38098.0</v>
      </c>
      <c r="B1973" s="1086" t="s">
        <v>7282</v>
      </c>
      <c r="C1973" s="1087" t="s">
        <v>1788</v>
      </c>
      <c r="D1973" s="1088">
        <v>6.37</v>
      </c>
      <c r="E1973" s="1089" t="s">
        <v>5308</v>
      </c>
      <c r="F1973" s="1081">
        <f t="shared" si="1"/>
        <v>0</v>
      </c>
      <c r="G1973" s="1083">
        <f t="shared" si="2"/>
        <v>6.37</v>
      </c>
      <c r="H1973" s="1084"/>
    </row>
    <row r="1974" ht="14.25" customHeight="1">
      <c r="A1974" s="1085">
        <v>11186.0</v>
      </c>
      <c r="B1974" s="1086" t="s">
        <v>7283</v>
      </c>
      <c r="C1974" s="1087" t="s">
        <v>1814</v>
      </c>
      <c r="D1974" s="1088">
        <v>394.16</v>
      </c>
      <c r="E1974" s="1089" t="s">
        <v>5308</v>
      </c>
      <c r="F1974" s="1081">
        <f t="shared" si="1"/>
        <v>0</v>
      </c>
      <c r="G1974" s="1083">
        <f t="shared" si="2"/>
        <v>394.16</v>
      </c>
      <c r="H1974" s="1084"/>
    </row>
    <row r="1975" ht="14.25" customHeight="1">
      <c r="A1975" s="1085">
        <v>11558.0</v>
      </c>
      <c r="B1975" s="1086" t="s">
        <v>7284</v>
      </c>
      <c r="C1975" s="1087" t="s">
        <v>5728</v>
      </c>
      <c r="D1975" s="1088">
        <v>14.34</v>
      </c>
      <c r="E1975" s="1089" t="s">
        <v>5308</v>
      </c>
      <c r="F1975" s="1081">
        <f t="shared" si="1"/>
        <v>0</v>
      </c>
      <c r="G1975" s="1083">
        <f t="shared" si="2"/>
        <v>14.34</v>
      </c>
      <c r="H1975" s="1084"/>
    </row>
    <row r="1976" ht="14.25" customHeight="1">
      <c r="A1976" s="1085">
        <v>11557.0</v>
      </c>
      <c r="B1976" s="1086" t="s">
        <v>7285</v>
      </c>
      <c r="C1976" s="1087" t="s">
        <v>5728</v>
      </c>
      <c r="D1976" s="1088">
        <v>36.29</v>
      </c>
      <c r="E1976" s="1089" t="s">
        <v>5308</v>
      </c>
      <c r="F1976" s="1081">
        <f t="shared" si="1"/>
        <v>0</v>
      </c>
      <c r="G1976" s="1083">
        <f t="shared" si="2"/>
        <v>36.29</v>
      </c>
      <c r="H1976" s="1084"/>
    </row>
    <row r="1977" ht="14.25" customHeight="1">
      <c r="A1977" s="1085">
        <v>2759.0</v>
      </c>
      <c r="B1977" s="1086" t="s">
        <v>7286</v>
      </c>
      <c r="C1977" s="1087" t="s">
        <v>1788</v>
      </c>
      <c r="D1977" s="1088">
        <v>9.93</v>
      </c>
      <c r="E1977" s="1089" t="s">
        <v>5308</v>
      </c>
      <c r="F1977" s="1081">
        <f t="shared" si="1"/>
        <v>0</v>
      </c>
      <c r="G1977" s="1083">
        <f t="shared" si="2"/>
        <v>9.93</v>
      </c>
      <c r="H1977" s="1084"/>
    </row>
    <row r="1978" ht="14.25" customHeight="1">
      <c r="A1978" s="1085">
        <v>38124.0</v>
      </c>
      <c r="B1978" s="1086" t="s">
        <v>7287</v>
      </c>
      <c r="C1978" s="1087" t="s">
        <v>1788</v>
      </c>
      <c r="D1978" s="1088">
        <v>29.41</v>
      </c>
      <c r="E1978" s="1089" t="s">
        <v>5308</v>
      </c>
      <c r="F1978" s="1081">
        <f t="shared" si="1"/>
        <v>0</v>
      </c>
      <c r="G1978" s="1083">
        <f t="shared" si="2"/>
        <v>29.41</v>
      </c>
      <c r="H1978" s="1084"/>
    </row>
    <row r="1979" ht="14.25" customHeight="1">
      <c r="A1979" s="1085">
        <v>38380.0</v>
      </c>
      <c r="B1979" s="1086" t="s">
        <v>7288</v>
      </c>
      <c r="C1979" s="1087" t="s">
        <v>1788</v>
      </c>
      <c r="D1979" s="1088">
        <v>27.0</v>
      </c>
      <c r="E1979" s="1089" t="s">
        <v>5308</v>
      </c>
      <c r="F1979" s="1081">
        <f t="shared" si="1"/>
        <v>0</v>
      </c>
      <c r="G1979" s="1083">
        <f t="shared" si="2"/>
        <v>27</v>
      </c>
      <c r="H1979" s="1084"/>
    </row>
    <row r="1980" ht="14.25" customHeight="1">
      <c r="A1980" s="1085">
        <v>42429.0</v>
      </c>
      <c r="B1980" s="1086" t="s">
        <v>7289</v>
      </c>
      <c r="C1980" s="1087" t="s">
        <v>1788</v>
      </c>
      <c r="D1980" s="1088">
        <v>6025.1</v>
      </c>
      <c r="E1980" s="1089" t="s">
        <v>5308</v>
      </c>
      <c r="F1980" s="1081">
        <f t="shared" si="1"/>
        <v>0</v>
      </c>
      <c r="G1980" s="1083">
        <f t="shared" si="2"/>
        <v>6025.1</v>
      </c>
      <c r="H1980" s="1084"/>
    </row>
    <row r="1981" ht="14.25" customHeight="1">
      <c r="A1981" s="1085">
        <v>39616.0</v>
      </c>
      <c r="B1981" s="1086" t="s">
        <v>7290</v>
      </c>
      <c r="C1981" s="1087" t="s">
        <v>1788</v>
      </c>
      <c r="D1981" s="1088">
        <v>554.5</v>
      </c>
      <c r="E1981" s="1089" t="s">
        <v>5482</v>
      </c>
      <c r="F1981" s="1081">
        <f t="shared" si="1"/>
        <v>0</v>
      </c>
      <c r="G1981" s="1083">
        <f t="shared" si="2"/>
        <v>554.5</v>
      </c>
      <c r="H1981" s="1084"/>
    </row>
    <row r="1982" ht="14.25" customHeight="1">
      <c r="A1982" s="1085">
        <v>39618.0</v>
      </c>
      <c r="B1982" s="1086" t="s">
        <v>7291</v>
      </c>
      <c r="C1982" s="1087" t="s">
        <v>1788</v>
      </c>
      <c r="D1982" s="1088">
        <v>1005.77</v>
      </c>
      <c r="E1982" s="1089" t="s">
        <v>5482</v>
      </c>
      <c r="F1982" s="1081">
        <f t="shared" si="1"/>
        <v>0</v>
      </c>
      <c r="G1982" s="1083">
        <f t="shared" si="2"/>
        <v>1005.77</v>
      </c>
      <c r="H1982" s="1084"/>
    </row>
    <row r="1983" ht="14.25" customHeight="1">
      <c r="A1983" s="1085">
        <v>39619.0</v>
      </c>
      <c r="B1983" s="1086" t="s">
        <v>7292</v>
      </c>
      <c r="C1983" s="1087" t="s">
        <v>1788</v>
      </c>
      <c r="D1983" s="1088">
        <v>1377.49</v>
      </c>
      <c r="E1983" s="1089" t="s">
        <v>5482</v>
      </c>
      <c r="F1983" s="1081">
        <f t="shared" si="1"/>
        <v>0</v>
      </c>
      <c r="G1983" s="1083">
        <f t="shared" si="2"/>
        <v>1377.49</v>
      </c>
      <c r="H1983" s="1084"/>
    </row>
    <row r="1984" ht="14.25" customHeight="1">
      <c r="A1984" s="1085">
        <v>39613.0</v>
      </c>
      <c r="B1984" s="1086" t="s">
        <v>7293</v>
      </c>
      <c r="C1984" s="1087" t="s">
        <v>1788</v>
      </c>
      <c r="D1984" s="1088">
        <v>220.26</v>
      </c>
      <c r="E1984" s="1089" t="s">
        <v>5482</v>
      </c>
      <c r="F1984" s="1081">
        <f t="shared" si="1"/>
        <v>0</v>
      </c>
      <c r="G1984" s="1083">
        <f t="shared" si="2"/>
        <v>220.26</v>
      </c>
      <c r="H1984" s="1084"/>
    </row>
    <row r="1985" ht="14.25" customHeight="1">
      <c r="A1985" s="1085">
        <v>39614.0</v>
      </c>
      <c r="B1985" s="1086" t="s">
        <v>7294</v>
      </c>
      <c r="C1985" s="1087" t="s">
        <v>1788</v>
      </c>
      <c r="D1985" s="1088">
        <v>321.34</v>
      </c>
      <c r="E1985" s="1089" t="s">
        <v>5482</v>
      </c>
      <c r="F1985" s="1081">
        <f t="shared" si="1"/>
        <v>0</v>
      </c>
      <c r="G1985" s="1083">
        <f t="shared" si="2"/>
        <v>321.34</v>
      </c>
      <c r="H1985" s="1084"/>
    </row>
    <row r="1986" ht="14.25" customHeight="1">
      <c r="A1986" s="1085">
        <v>38538.0</v>
      </c>
      <c r="B1986" s="1086" t="s">
        <v>7295</v>
      </c>
      <c r="C1986" s="1087" t="s">
        <v>1731</v>
      </c>
      <c r="D1986" s="1088">
        <v>81.8</v>
      </c>
      <c r="E1986" s="1089" t="s">
        <v>5308</v>
      </c>
      <c r="F1986" s="1081">
        <f t="shared" si="1"/>
        <v>0</v>
      </c>
      <c r="G1986" s="1083">
        <f t="shared" si="2"/>
        <v>81.8</v>
      </c>
      <c r="H1986" s="1084"/>
    </row>
    <row r="1987" ht="14.25" customHeight="1">
      <c r="A1987" s="1085">
        <v>38539.0</v>
      </c>
      <c r="B1987" s="1086" t="s">
        <v>7296</v>
      </c>
      <c r="C1987" s="1087" t="s">
        <v>1731</v>
      </c>
      <c r="D1987" s="1088">
        <v>111.23</v>
      </c>
      <c r="E1987" s="1089" t="s">
        <v>5308</v>
      </c>
      <c r="F1987" s="1081">
        <f t="shared" si="1"/>
        <v>0</v>
      </c>
      <c r="G1987" s="1083">
        <f t="shared" si="2"/>
        <v>111.23</v>
      </c>
      <c r="H1987" s="1084"/>
    </row>
    <row r="1988" ht="14.25" customHeight="1">
      <c r="A1988" s="1085">
        <v>38540.0</v>
      </c>
      <c r="B1988" s="1086" t="s">
        <v>7297</v>
      </c>
      <c r="C1988" s="1087" t="s">
        <v>1731</v>
      </c>
      <c r="D1988" s="1088">
        <v>285.07</v>
      </c>
      <c r="E1988" s="1089" t="s">
        <v>5308</v>
      </c>
      <c r="F1988" s="1081">
        <f t="shared" si="1"/>
        <v>0</v>
      </c>
      <c r="G1988" s="1083">
        <f t="shared" si="2"/>
        <v>285.07</v>
      </c>
      <c r="H1988" s="1084"/>
    </row>
    <row r="1989" ht="14.25" customHeight="1">
      <c r="A1989" s="1085">
        <v>38384.0</v>
      </c>
      <c r="B1989" s="1086" t="s">
        <v>7298</v>
      </c>
      <c r="C1989" s="1087" t="s">
        <v>1788</v>
      </c>
      <c r="D1989" s="1088">
        <v>19.8</v>
      </c>
      <c r="E1989" s="1089" t="s">
        <v>5308</v>
      </c>
      <c r="F1989" s="1081">
        <f t="shared" si="1"/>
        <v>0</v>
      </c>
      <c r="G1989" s="1083">
        <f t="shared" si="2"/>
        <v>19.8</v>
      </c>
      <c r="H1989" s="1084"/>
    </row>
    <row r="1990" ht="14.25" customHeight="1">
      <c r="A1990" s="1085">
        <v>13.0</v>
      </c>
      <c r="B1990" s="1086" t="s">
        <v>7299</v>
      </c>
      <c r="C1990" s="1087" t="s">
        <v>3606</v>
      </c>
      <c r="D1990" s="1088">
        <v>19.21</v>
      </c>
      <c r="E1990" s="1089" t="s">
        <v>5308</v>
      </c>
      <c r="F1990" s="1081">
        <f t="shared" si="1"/>
        <v>0</v>
      </c>
      <c r="G1990" s="1083">
        <f t="shared" si="2"/>
        <v>19.21</v>
      </c>
      <c r="H1990" s="1084"/>
    </row>
    <row r="1991" ht="14.25" customHeight="1">
      <c r="A1991" s="1085">
        <v>2762.0</v>
      </c>
      <c r="B1991" s="1086" t="s">
        <v>7300</v>
      </c>
      <c r="C1991" s="1087" t="s">
        <v>1731</v>
      </c>
      <c r="D1991" s="1088">
        <v>12.41</v>
      </c>
      <c r="E1991" s="1089" t="s">
        <v>5308</v>
      </c>
      <c r="F1991" s="1081">
        <f t="shared" si="1"/>
        <v>0</v>
      </c>
      <c r="G1991" s="1083">
        <f t="shared" si="2"/>
        <v>12.41</v>
      </c>
      <c r="H1991" s="1084"/>
    </row>
    <row r="1992" ht="14.25" customHeight="1">
      <c r="A1992" s="1085">
        <v>21142.0</v>
      </c>
      <c r="B1992" s="1086" t="s">
        <v>7301</v>
      </c>
      <c r="C1992" s="1087" t="s">
        <v>1788</v>
      </c>
      <c r="D1992" s="1088">
        <v>23.57</v>
      </c>
      <c r="E1992" s="1089" t="s">
        <v>5308</v>
      </c>
      <c r="F1992" s="1081">
        <f t="shared" si="1"/>
        <v>0</v>
      </c>
      <c r="G1992" s="1083">
        <f t="shared" si="2"/>
        <v>23.57</v>
      </c>
      <c r="H1992" s="1084"/>
    </row>
    <row r="1993" ht="14.25" customHeight="1">
      <c r="A1993" s="1085">
        <v>4223.0</v>
      </c>
      <c r="B1993" s="1086" t="s">
        <v>7302</v>
      </c>
      <c r="C1993" s="1087" t="s">
        <v>2386</v>
      </c>
      <c r="D1993" s="1088">
        <v>4.45</v>
      </c>
      <c r="E1993" s="1089" t="s">
        <v>5308</v>
      </c>
      <c r="F1993" s="1081">
        <f t="shared" si="1"/>
        <v>0</v>
      </c>
      <c r="G1993" s="1083">
        <f t="shared" si="2"/>
        <v>4.45</v>
      </c>
      <c r="H1993" s="1084"/>
    </row>
    <row r="1994" ht="14.25" customHeight="1">
      <c r="A1994" s="1085">
        <v>37372.0</v>
      </c>
      <c r="B1994" s="1086" t="s">
        <v>7303</v>
      </c>
      <c r="C1994" s="1087" t="s">
        <v>1470</v>
      </c>
      <c r="D1994" s="1088">
        <v>1.14</v>
      </c>
      <c r="E1994" s="1089" t="s">
        <v>5308</v>
      </c>
      <c r="F1994" s="1081">
        <f t="shared" si="1"/>
        <v>0</v>
      </c>
      <c r="G1994" s="1083">
        <f t="shared" si="2"/>
        <v>1.14</v>
      </c>
      <c r="H1994" s="1084"/>
    </row>
    <row r="1995" ht="14.25" customHeight="1">
      <c r="A1995" s="1085">
        <v>40863.0</v>
      </c>
      <c r="B1995" s="1086" t="s">
        <v>7304</v>
      </c>
      <c r="C1995" s="1087" t="s">
        <v>5454</v>
      </c>
      <c r="D1995" s="1088">
        <v>215.56</v>
      </c>
      <c r="E1995" s="1089" t="s">
        <v>5308</v>
      </c>
      <c r="F1995" s="1081">
        <f t="shared" si="1"/>
        <v>0</v>
      </c>
      <c r="G1995" s="1083">
        <f t="shared" si="2"/>
        <v>215.56</v>
      </c>
      <c r="H1995" s="1084"/>
    </row>
    <row r="1996" ht="14.25" customHeight="1">
      <c r="A1996" s="1085">
        <v>38475.0</v>
      </c>
      <c r="B1996" s="1086" t="s">
        <v>7305</v>
      </c>
      <c r="C1996" s="1087" t="s">
        <v>1788</v>
      </c>
      <c r="D1996" s="1088">
        <v>41.09</v>
      </c>
      <c r="E1996" s="1089" t="s">
        <v>5308</v>
      </c>
      <c r="F1996" s="1081">
        <f t="shared" si="1"/>
        <v>0</v>
      </c>
      <c r="G1996" s="1083">
        <f t="shared" si="2"/>
        <v>41.09</v>
      </c>
      <c r="H1996" s="1084"/>
    </row>
    <row r="1997" ht="14.25" customHeight="1">
      <c r="A1997" s="1085">
        <v>38474.0</v>
      </c>
      <c r="B1997" s="1086" t="s">
        <v>7306</v>
      </c>
      <c r="C1997" s="1087" t="s">
        <v>1788</v>
      </c>
      <c r="D1997" s="1088">
        <v>50.79</v>
      </c>
      <c r="E1997" s="1089" t="s">
        <v>5308</v>
      </c>
      <c r="F1997" s="1081">
        <f t="shared" si="1"/>
        <v>0</v>
      </c>
      <c r="G1997" s="1083">
        <f t="shared" si="2"/>
        <v>50.79</v>
      </c>
      <c r="H1997" s="1084"/>
    </row>
    <row r="1998" ht="14.25" customHeight="1">
      <c r="A1998" s="1085">
        <v>10886.0</v>
      </c>
      <c r="B1998" s="1086" t="s">
        <v>7307</v>
      </c>
      <c r="C1998" s="1087" t="s">
        <v>1788</v>
      </c>
      <c r="D1998" s="1088">
        <v>173.25</v>
      </c>
      <c r="E1998" s="1089" t="s">
        <v>5308</v>
      </c>
      <c r="F1998" s="1081">
        <f t="shared" si="1"/>
        <v>0</v>
      </c>
      <c r="G1998" s="1083">
        <f t="shared" si="2"/>
        <v>173.25</v>
      </c>
      <c r="H1998" s="1084"/>
    </row>
    <row r="1999" ht="14.25" customHeight="1">
      <c r="A1999" s="1085">
        <v>10888.0</v>
      </c>
      <c r="B1999" s="1086" t="s">
        <v>7308</v>
      </c>
      <c r="C1999" s="1087" t="s">
        <v>1788</v>
      </c>
      <c r="D1999" s="1088">
        <v>548.3</v>
      </c>
      <c r="E1999" s="1089" t="s">
        <v>5308</v>
      </c>
      <c r="F1999" s="1081">
        <f t="shared" si="1"/>
        <v>0</v>
      </c>
      <c r="G1999" s="1083">
        <f t="shared" si="2"/>
        <v>548.3</v>
      </c>
      <c r="H1999" s="1084"/>
    </row>
    <row r="2000" ht="14.25" customHeight="1">
      <c r="A2000" s="1085">
        <v>10889.0</v>
      </c>
      <c r="B2000" s="1086" t="s">
        <v>7309</v>
      </c>
      <c r="C2000" s="1087" t="s">
        <v>1788</v>
      </c>
      <c r="D2000" s="1088">
        <v>594.0</v>
      </c>
      <c r="E2000" s="1089" t="s">
        <v>5308</v>
      </c>
      <c r="F2000" s="1081">
        <f t="shared" si="1"/>
        <v>0</v>
      </c>
      <c r="G2000" s="1083">
        <f t="shared" si="2"/>
        <v>594</v>
      </c>
      <c r="H2000" s="1084"/>
    </row>
    <row r="2001" ht="14.25" customHeight="1">
      <c r="A2001" s="1085">
        <v>10890.0</v>
      </c>
      <c r="B2001" s="1086" t="s">
        <v>7310</v>
      </c>
      <c r="C2001" s="1087" t="s">
        <v>1788</v>
      </c>
      <c r="D2001" s="1088">
        <v>274.15</v>
      </c>
      <c r="E2001" s="1089" t="s">
        <v>5308</v>
      </c>
      <c r="F2001" s="1081">
        <f t="shared" si="1"/>
        <v>0</v>
      </c>
      <c r="G2001" s="1083">
        <f t="shared" si="2"/>
        <v>274.15</v>
      </c>
      <c r="H2001" s="1084"/>
    </row>
    <row r="2002" ht="14.25" customHeight="1">
      <c r="A2002" s="1085">
        <v>10891.0</v>
      </c>
      <c r="B2002" s="1086" t="s">
        <v>7311</v>
      </c>
      <c r="C2002" s="1087" t="s">
        <v>1788</v>
      </c>
      <c r="D2002" s="1088">
        <v>167.53</v>
      </c>
      <c r="E2002" s="1089" t="s">
        <v>5308</v>
      </c>
      <c r="F2002" s="1081">
        <f t="shared" si="1"/>
        <v>0</v>
      </c>
      <c r="G2002" s="1083">
        <f t="shared" si="2"/>
        <v>167.53</v>
      </c>
      <c r="H2002" s="1084"/>
    </row>
    <row r="2003" ht="14.25" customHeight="1">
      <c r="A2003" s="1085">
        <v>10892.0</v>
      </c>
      <c r="B2003" s="1086" t="s">
        <v>7312</v>
      </c>
      <c r="C2003" s="1087" t="s">
        <v>1788</v>
      </c>
      <c r="D2003" s="1088">
        <v>198.0</v>
      </c>
      <c r="E2003" s="1089" t="s">
        <v>5308</v>
      </c>
      <c r="F2003" s="1081">
        <f t="shared" si="1"/>
        <v>0</v>
      </c>
      <c r="G2003" s="1083">
        <f t="shared" si="2"/>
        <v>198</v>
      </c>
      <c r="H2003" s="1084"/>
    </row>
    <row r="2004" ht="14.25" customHeight="1">
      <c r="A2004" s="1085">
        <v>20977.0</v>
      </c>
      <c r="B2004" s="1086" t="s">
        <v>7313</v>
      </c>
      <c r="C2004" s="1087" t="s">
        <v>1788</v>
      </c>
      <c r="D2004" s="1088">
        <v>236.07</v>
      </c>
      <c r="E2004" s="1089" t="s">
        <v>5308</v>
      </c>
      <c r="F2004" s="1081">
        <f t="shared" si="1"/>
        <v>0</v>
      </c>
      <c r="G2004" s="1083">
        <f t="shared" si="2"/>
        <v>236.07</v>
      </c>
      <c r="H2004" s="1084"/>
    </row>
    <row r="2005" ht="14.25" customHeight="1">
      <c r="A2005" s="1085">
        <v>3073.0</v>
      </c>
      <c r="B2005" s="1086" t="s">
        <v>7314</v>
      </c>
      <c r="C2005" s="1087" t="s">
        <v>1788</v>
      </c>
      <c r="D2005" s="1088">
        <v>193.14</v>
      </c>
      <c r="E2005" s="1089" t="s">
        <v>5308</v>
      </c>
      <c r="F2005" s="1081">
        <f t="shared" si="1"/>
        <v>0</v>
      </c>
      <c r="G2005" s="1083">
        <f t="shared" si="2"/>
        <v>193.14</v>
      </c>
      <c r="H2005" s="1084"/>
    </row>
    <row r="2006" ht="14.25" customHeight="1">
      <c r="A2006" s="1085">
        <v>3074.0</v>
      </c>
      <c r="B2006" s="1086" t="s">
        <v>7315</v>
      </c>
      <c r="C2006" s="1087" t="s">
        <v>1788</v>
      </c>
      <c r="D2006" s="1088">
        <v>121.93</v>
      </c>
      <c r="E2006" s="1089" t="s">
        <v>5308</v>
      </c>
      <c r="F2006" s="1081">
        <f t="shared" si="1"/>
        <v>0</v>
      </c>
      <c r="G2006" s="1083">
        <f t="shared" si="2"/>
        <v>121.93</v>
      </c>
      <c r="H2006" s="1084"/>
    </row>
    <row r="2007" ht="14.25" customHeight="1">
      <c r="A2007" s="1085">
        <v>3076.0</v>
      </c>
      <c r="B2007" s="1086" t="s">
        <v>7316</v>
      </c>
      <c r="C2007" s="1087" t="s">
        <v>1788</v>
      </c>
      <c r="D2007" s="1088">
        <v>158.78</v>
      </c>
      <c r="E2007" s="1089" t="s">
        <v>5308</v>
      </c>
      <c r="F2007" s="1081">
        <f t="shared" si="1"/>
        <v>0</v>
      </c>
      <c r="G2007" s="1083">
        <f t="shared" si="2"/>
        <v>158.78</v>
      </c>
      <c r="H2007" s="1084"/>
    </row>
    <row r="2008" ht="14.25" customHeight="1">
      <c r="A2008" s="1085">
        <v>3075.0</v>
      </c>
      <c r="B2008" s="1086" t="s">
        <v>7317</v>
      </c>
      <c r="C2008" s="1087" t="s">
        <v>1788</v>
      </c>
      <c r="D2008" s="1088">
        <v>100.34</v>
      </c>
      <c r="E2008" s="1089" t="s">
        <v>5308</v>
      </c>
      <c r="F2008" s="1081">
        <f t="shared" si="1"/>
        <v>0</v>
      </c>
      <c r="G2008" s="1083">
        <f t="shared" si="2"/>
        <v>100.34</v>
      </c>
      <c r="H2008" s="1084"/>
    </row>
    <row r="2009" ht="14.25" customHeight="1">
      <c r="A2009" s="1085">
        <v>10781.0</v>
      </c>
      <c r="B2009" s="1086" t="s">
        <v>7318</v>
      </c>
      <c r="C2009" s="1087" t="s">
        <v>1788</v>
      </c>
      <c r="D2009" s="1088">
        <v>13.6</v>
      </c>
      <c r="E2009" s="1089" t="s">
        <v>5308</v>
      </c>
      <c r="F2009" s="1081">
        <f t="shared" si="1"/>
        <v>0</v>
      </c>
      <c r="G2009" s="1083">
        <f t="shared" si="2"/>
        <v>13.6</v>
      </c>
      <c r="H2009" s="1084"/>
    </row>
    <row r="2010" ht="14.25" customHeight="1">
      <c r="A2010" s="1085">
        <v>43612.0</v>
      </c>
      <c r="B2010" s="1086" t="s">
        <v>7319</v>
      </c>
      <c r="C2010" s="1087" t="s">
        <v>4034</v>
      </c>
      <c r="D2010" s="1088">
        <v>100.96</v>
      </c>
      <c r="E2010" s="1089" t="s">
        <v>5308</v>
      </c>
      <c r="F2010" s="1081">
        <f t="shared" si="1"/>
        <v>0</v>
      </c>
      <c r="G2010" s="1083">
        <f t="shared" si="2"/>
        <v>100.96</v>
      </c>
      <c r="H2010" s="1084"/>
    </row>
    <row r="2011" ht="14.25" customHeight="1">
      <c r="A2011" s="1085">
        <v>43613.0</v>
      </c>
      <c r="B2011" s="1086" t="s">
        <v>7320</v>
      </c>
      <c r="C2011" s="1087" t="s">
        <v>4034</v>
      </c>
      <c r="D2011" s="1088">
        <v>83.58</v>
      </c>
      <c r="E2011" s="1089" t="s">
        <v>5308</v>
      </c>
      <c r="F2011" s="1081">
        <f t="shared" si="1"/>
        <v>0</v>
      </c>
      <c r="G2011" s="1083">
        <f t="shared" si="2"/>
        <v>83.58</v>
      </c>
      <c r="H2011" s="1084"/>
    </row>
    <row r="2012" ht="14.25" customHeight="1">
      <c r="A2012" s="1085">
        <v>11480.0</v>
      </c>
      <c r="B2012" s="1086" t="s">
        <v>7321</v>
      </c>
      <c r="C2012" s="1087" t="s">
        <v>4034</v>
      </c>
      <c r="D2012" s="1088">
        <v>128.27</v>
      </c>
      <c r="E2012" s="1089" t="s">
        <v>5308</v>
      </c>
      <c r="F2012" s="1081">
        <f t="shared" si="1"/>
        <v>0</v>
      </c>
      <c r="G2012" s="1083">
        <f t="shared" si="2"/>
        <v>128.27</v>
      </c>
      <c r="H2012" s="1084"/>
    </row>
    <row r="2013" ht="14.25" customHeight="1">
      <c r="A2013" s="1085">
        <v>11469.0</v>
      </c>
      <c r="B2013" s="1086" t="s">
        <v>7322</v>
      </c>
      <c r="C2013" s="1087" t="s">
        <v>1788</v>
      </c>
      <c r="D2013" s="1088">
        <v>13.69</v>
      </c>
      <c r="E2013" s="1089" t="s">
        <v>5308</v>
      </c>
      <c r="F2013" s="1081">
        <f t="shared" si="1"/>
        <v>0</v>
      </c>
      <c r="G2013" s="1083">
        <f t="shared" si="2"/>
        <v>13.69</v>
      </c>
      <c r="H2013" s="1084"/>
    </row>
    <row r="2014" ht="14.25" customHeight="1">
      <c r="A2014" s="1085">
        <v>11468.0</v>
      </c>
      <c r="B2014" s="1086" t="s">
        <v>7323</v>
      </c>
      <c r="C2014" s="1087" t="s">
        <v>1788</v>
      </c>
      <c r="D2014" s="1088">
        <v>13.7</v>
      </c>
      <c r="E2014" s="1089" t="s">
        <v>5308</v>
      </c>
      <c r="F2014" s="1081">
        <f t="shared" si="1"/>
        <v>0</v>
      </c>
      <c r="G2014" s="1083">
        <f t="shared" si="2"/>
        <v>13.7</v>
      </c>
      <c r="H2014" s="1084"/>
    </row>
    <row r="2015" ht="14.25" customHeight="1">
      <c r="A2015" s="1085">
        <v>11484.0</v>
      </c>
      <c r="B2015" s="1086" t="s">
        <v>7324</v>
      </c>
      <c r="C2015" s="1087" t="s">
        <v>1788</v>
      </c>
      <c r="D2015" s="1088">
        <v>60.18</v>
      </c>
      <c r="E2015" s="1089" t="s">
        <v>5308</v>
      </c>
      <c r="F2015" s="1081">
        <f t="shared" si="1"/>
        <v>0</v>
      </c>
      <c r="G2015" s="1083">
        <f t="shared" si="2"/>
        <v>60.18</v>
      </c>
      <c r="H2015" s="1084"/>
    </row>
    <row r="2016" ht="14.25" customHeight="1">
      <c r="A2016" s="1085">
        <v>38155.0</v>
      </c>
      <c r="B2016" s="1086" t="s">
        <v>7325</v>
      </c>
      <c r="C2016" s="1087" t="s">
        <v>1788</v>
      </c>
      <c r="D2016" s="1088">
        <v>93.43</v>
      </c>
      <c r="E2016" s="1089" t="s">
        <v>5308</v>
      </c>
      <c r="F2016" s="1081">
        <f t="shared" si="1"/>
        <v>0</v>
      </c>
      <c r="G2016" s="1083">
        <f t="shared" si="2"/>
        <v>93.43</v>
      </c>
      <c r="H2016" s="1084"/>
    </row>
    <row r="2017" ht="14.25" customHeight="1">
      <c r="A2017" s="1085">
        <v>11467.0</v>
      </c>
      <c r="B2017" s="1086" t="s">
        <v>7326</v>
      </c>
      <c r="C2017" s="1087" t="s">
        <v>1788</v>
      </c>
      <c r="D2017" s="1088">
        <v>21.35</v>
      </c>
      <c r="E2017" s="1089" t="s">
        <v>5308</v>
      </c>
      <c r="F2017" s="1081">
        <f t="shared" si="1"/>
        <v>0</v>
      </c>
      <c r="G2017" s="1083">
        <f t="shared" si="2"/>
        <v>21.35</v>
      </c>
      <c r="H2017" s="1084"/>
    </row>
    <row r="2018" ht="14.25" customHeight="1">
      <c r="A2018" s="1085">
        <v>38153.0</v>
      </c>
      <c r="B2018" s="1086" t="s">
        <v>7327</v>
      </c>
      <c r="C2018" s="1087" t="s">
        <v>4034</v>
      </c>
      <c r="D2018" s="1088">
        <v>54.53</v>
      </c>
      <c r="E2018" s="1089" t="s">
        <v>5308</v>
      </c>
      <c r="F2018" s="1081">
        <f t="shared" si="1"/>
        <v>0</v>
      </c>
      <c r="G2018" s="1083">
        <f t="shared" si="2"/>
        <v>54.53</v>
      </c>
      <c r="H2018" s="1084"/>
    </row>
    <row r="2019" ht="14.25" customHeight="1">
      <c r="A2019" s="1085">
        <v>43607.0</v>
      </c>
      <c r="B2019" s="1086" t="s">
        <v>7328</v>
      </c>
      <c r="C2019" s="1087" t="s">
        <v>4034</v>
      </c>
      <c r="D2019" s="1088">
        <v>103.14</v>
      </c>
      <c r="E2019" s="1089" t="s">
        <v>5308</v>
      </c>
      <c r="F2019" s="1081">
        <f t="shared" si="1"/>
        <v>0</v>
      </c>
      <c r="G2019" s="1083">
        <f t="shared" si="2"/>
        <v>103.14</v>
      </c>
      <c r="H2019" s="1084"/>
    </row>
    <row r="2020" ht="14.25" customHeight="1">
      <c r="A2020" s="1085">
        <v>3080.0</v>
      </c>
      <c r="B2020" s="1086" t="s">
        <v>7329</v>
      </c>
      <c r="C2020" s="1087" t="s">
        <v>4034</v>
      </c>
      <c r="D2020" s="1088">
        <v>69.35</v>
      </c>
      <c r="E2020" s="1089" t="s">
        <v>5308</v>
      </c>
      <c r="F2020" s="1081">
        <f t="shared" si="1"/>
        <v>0</v>
      </c>
      <c r="G2020" s="1083">
        <f t="shared" si="2"/>
        <v>69.35</v>
      </c>
      <c r="H2020" s="1084"/>
    </row>
    <row r="2021" ht="14.25" customHeight="1">
      <c r="A2021" s="1085">
        <v>3081.0</v>
      </c>
      <c r="B2021" s="1086" t="s">
        <v>7330</v>
      </c>
      <c r="C2021" s="1087" t="s">
        <v>4034</v>
      </c>
      <c r="D2021" s="1088">
        <v>137.21</v>
      </c>
      <c r="E2021" s="1089" t="s">
        <v>5308</v>
      </c>
      <c r="F2021" s="1081">
        <f t="shared" si="1"/>
        <v>0</v>
      </c>
      <c r="G2021" s="1083">
        <f t="shared" si="2"/>
        <v>137.21</v>
      </c>
      <c r="H2021" s="1084"/>
    </row>
    <row r="2022" ht="14.25" customHeight="1">
      <c r="A2022" s="1085">
        <v>3090.0</v>
      </c>
      <c r="B2022" s="1086" t="s">
        <v>7331</v>
      </c>
      <c r="C2022" s="1087" t="s">
        <v>4034</v>
      </c>
      <c r="D2022" s="1088">
        <v>61.9</v>
      </c>
      <c r="E2022" s="1089" t="s">
        <v>5308</v>
      </c>
      <c r="F2022" s="1081">
        <f t="shared" si="1"/>
        <v>0</v>
      </c>
      <c r="G2022" s="1083">
        <f t="shared" si="2"/>
        <v>61.9</v>
      </c>
      <c r="H2022" s="1084"/>
    </row>
    <row r="2023" ht="14.25" customHeight="1">
      <c r="A2023" s="1085">
        <v>43611.0</v>
      </c>
      <c r="B2023" s="1086" t="s">
        <v>7332</v>
      </c>
      <c r="C2023" s="1087" t="s">
        <v>4034</v>
      </c>
      <c r="D2023" s="1088">
        <v>102.71</v>
      </c>
      <c r="E2023" s="1089" t="s">
        <v>5308</v>
      </c>
      <c r="F2023" s="1081">
        <f t="shared" si="1"/>
        <v>0</v>
      </c>
      <c r="G2023" s="1083">
        <f t="shared" si="2"/>
        <v>102.71</v>
      </c>
      <c r="H2023" s="1084"/>
    </row>
    <row r="2024" ht="14.25" customHeight="1">
      <c r="A2024" s="1085">
        <v>3103.0</v>
      </c>
      <c r="B2024" s="1086" t="s">
        <v>7333</v>
      </c>
      <c r="C2024" s="1087" t="s">
        <v>1788</v>
      </c>
      <c r="D2024" s="1088">
        <v>51.32</v>
      </c>
      <c r="E2024" s="1089" t="s">
        <v>5308</v>
      </c>
      <c r="F2024" s="1081">
        <f t="shared" si="1"/>
        <v>0</v>
      </c>
      <c r="G2024" s="1083">
        <f t="shared" si="2"/>
        <v>51.32</v>
      </c>
      <c r="H2024" s="1084"/>
    </row>
    <row r="2025" ht="14.25" customHeight="1">
      <c r="A2025" s="1085">
        <v>3097.0</v>
      </c>
      <c r="B2025" s="1086" t="s">
        <v>7334</v>
      </c>
      <c r="C2025" s="1087" t="s">
        <v>4034</v>
      </c>
      <c r="D2025" s="1088">
        <v>77.65</v>
      </c>
      <c r="E2025" s="1089" t="s">
        <v>5308</v>
      </c>
      <c r="F2025" s="1081">
        <f t="shared" si="1"/>
        <v>0</v>
      </c>
      <c r="G2025" s="1083">
        <f t="shared" si="2"/>
        <v>77.65</v>
      </c>
      <c r="H2025" s="1084"/>
    </row>
    <row r="2026" ht="14.25" customHeight="1">
      <c r="A2026" s="1085">
        <v>3099.0</v>
      </c>
      <c r="B2026" s="1086" t="s">
        <v>7335</v>
      </c>
      <c r="C2026" s="1087" t="s">
        <v>4034</v>
      </c>
      <c r="D2026" s="1088">
        <v>124.33</v>
      </c>
      <c r="E2026" s="1089" t="s">
        <v>5308</v>
      </c>
      <c r="F2026" s="1081">
        <f t="shared" si="1"/>
        <v>0</v>
      </c>
      <c r="G2026" s="1083">
        <f t="shared" si="2"/>
        <v>124.33</v>
      </c>
      <c r="H2026" s="1084"/>
    </row>
    <row r="2027" ht="14.25" customHeight="1">
      <c r="A2027" s="1085">
        <v>38151.0</v>
      </c>
      <c r="B2027" s="1086" t="s">
        <v>7336</v>
      </c>
      <c r="C2027" s="1087" t="s">
        <v>4034</v>
      </c>
      <c r="D2027" s="1088">
        <v>90.13</v>
      </c>
      <c r="E2027" s="1089" t="s">
        <v>5308</v>
      </c>
      <c r="F2027" s="1081">
        <f t="shared" si="1"/>
        <v>0</v>
      </c>
      <c r="G2027" s="1083">
        <f t="shared" si="2"/>
        <v>90.13</v>
      </c>
      <c r="H2027" s="1084"/>
    </row>
    <row r="2028" ht="14.25" customHeight="1">
      <c r="A2028" s="1085">
        <v>38152.0</v>
      </c>
      <c r="B2028" s="1086" t="s">
        <v>7337</v>
      </c>
      <c r="C2028" s="1087" t="s">
        <v>4034</v>
      </c>
      <c r="D2028" s="1088">
        <v>145.4</v>
      </c>
      <c r="E2028" s="1089" t="s">
        <v>5308</v>
      </c>
      <c r="F2028" s="1081">
        <f t="shared" si="1"/>
        <v>0</v>
      </c>
      <c r="G2028" s="1083">
        <f t="shared" si="2"/>
        <v>145.4</v>
      </c>
      <c r="H2028" s="1084"/>
    </row>
    <row r="2029" ht="14.25" customHeight="1">
      <c r="A2029" s="1085">
        <v>43610.0</v>
      </c>
      <c r="B2029" s="1086" t="s">
        <v>7338</v>
      </c>
      <c r="C2029" s="1087" t="s">
        <v>4034</v>
      </c>
      <c r="D2029" s="1088">
        <v>77.04</v>
      </c>
      <c r="E2029" s="1089" t="s">
        <v>5308</v>
      </c>
      <c r="F2029" s="1081">
        <f t="shared" si="1"/>
        <v>0</v>
      </c>
      <c r="G2029" s="1083">
        <f t="shared" si="2"/>
        <v>77.04</v>
      </c>
      <c r="H2029" s="1084"/>
    </row>
    <row r="2030" ht="14.25" customHeight="1">
      <c r="A2030" s="1085">
        <v>3093.0</v>
      </c>
      <c r="B2030" s="1086" t="s">
        <v>7339</v>
      </c>
      <c r="C2030" s="1087" t="s">
        <v>4034</v>
      </c>
      <c r="D2030" s="1088">
        <v>124.33</v>
      </c>
      <c r="E2030" s="1089" t="s">
        <v>5308</v>
      </c>
      <c r="F2030" s="1081">
        <f t="shared" si="1"/>
        <v>0</v>
      </c>
      <c r="G2030" s="1083">
        <f t="shared" si="2"/>
        <v>124.33</v>
      </c>
      <c r="H2030" s="1084"/>
    </row>
    <row r="2031" ht="14.25" customHeight="1">
      <c r="A2031" s="1085">
        <v>38165.0</v>
      </c>
      <c r="B2031" s="1086" t="s">
        <v>7340</v>
      </c>
      <c r="C2031" s="1087" t="s">
        <v>4034</v>
      </c>
      <c r="D2031" s="1088">
        <v>68.97</v>
      </c>
      <c r="E2031" s="1089" t="s">
        <v>5308</v>
      </c>
      <c r="F2031" s="1081">
        <f t="shared" si="1"/>
        <v>0</v>
      </c>
      <c r="G2031" s="1083">
        <f t="shared" si="2"/>
        <v>68.97</v>
      </c>
      <c r="H2031" s="1084"/>
    </row>
    <row r="2032" ht="14.25" customHeight="1">
      <c r="A2032" s="1085">
        <v>38177.0</v>
      </c>
      <c r="B2032" s="1086" t="s">
        <v>7341</v>
      </c>
      <c r="C2032" s="1087" t="s">
        <v>1788</v>
      </c>
      <c r="D2032" s="1088">
        <v>20.49</v>
      </c>
      <c r="E2032" s="1089" t="s">
        <v>5308</v>
      </c>
      <c r="F2032" s="1081">
        <f t="shared" si="1"/>
        <v>0</v>
      </c>
      <c r="G2032" s="1083">
        <f t="shared" si="2"/>
        <v>20.49</v>
      </c>
      <c r="H2032" s="1084"/>
    </row>
    <row r="2033" ht="14.25" customHeight="1">
      <c r="A2033" s="1085">
        <v>11458.0</v>
      </c>
      <c r="B2033" s="1086" t="s">
        <v>7342</v>
      </c>
      <c r="C2033" s="1087" t="s">
        <v>1788</v>
      </c>
      <c r="D2033" s="1088">
        <v>24.47</v>
      </c>
      <c r="E2033" s="1089" t="s">
        <v>5308</v>
      </c>
      <c r="F2033" s="1081">
        <f t="shared" si="1"/>
        <v>0</v>
      </c>
      <c r="G2033" s="1083">
        <f t="shared" si="2"/>
        <v>24.47</v>
      </c>
      <c r="H2033" s="1084"/>
    </row>
    <row r="2034" ht="14.25" customHeight="1">
      <c r="A2034" s="1085">
        <v>3108.0</v>
      </c>
      <c r="B2034" s="1086" t="s">
        <v>7343</v>
      </c>
      <c r="C2034" s="1087" t="s">
        <v>1788</v>
      </c>
      <c r="D2034" s="1088">
        <v>104.01</v>
      </c>
      <c r="E2034" s="1089" t="s">
        <v>5308</v>
      </c>
      <c r="F2034" s="1081">
        <f t="shared" si="1"/>
        <v>0</v>
      </c>
      <c r="G2034" s="1083">
        <f t="shared" si="2"/>
        <v>104.01</v>
      </c>
      <c r="H2034" s="1084"/>
    </row>
    <row r="2035" ht="14.25" customHeight="1">
      <c r="A2035" s="1085">
        <v>3105.0</v>
      </c>
      <c r="B2035" s="1086" t="s">
        <v>7344</v>
      </c>
      <c r="C2035" s="1087" t="s">
        <v>1788</v>
      </c>
      <c r="D2035" s="1088">
        <v>136.04</v>
      </c>
      <c r="E2035" s="1089" t="s">
        <v>5308</v>
      </c>
      <c r="F2035" s="1081">
        <f t="shared" si="1"/>
        <v>0</v>
      </c>
      <c r="G2035" s="1083">
        <f t="shared" si="2"/>
        <v>136.04</v>
      </c>
      <c r="H2035" s="1084"/>
    </row>
    <row r="2036" ht="14.25" customHeight="1">
      <c r="A2036" s="1085">
        <v>38178.0</v>
      </c>
      <c r="B2036" s="1086" t="s">
        <v>7345</v>
      </c>
      <c r="C2036" s="1087" t="s">
        <v>1788</v>
      </c>
      <c r="D2036" s="1088">
        <v>22.55</v>
      </c>
      <c r="E2036" s="1089" t="s">
        <v>5308</v>
      </c>
      <c r="F2036" s="1081">
        <f t="shared" si="1"/>
        <v>0</v>
      </c>
      <c r="G2036" s="1083">
        <f t="shared" si="2"/>
        <v>22.55</v>
      </c>
      <c r="H2036" s="1084"/>
    </row>
    <row r="2037" ht="14.25" customHeight="1">
      <c r="A2037" s="1085">
        <v>43575.0</v>
      </c>
      <c r="B2037" s="1086" t="s">
        <v>7346</v>
      </c>
      <c r="C2037" s="1087" t="s">
        <v>1788</v>
      </c>
      <c r="D2037" s="1088">
        <v>48.86</v>
      </c>
      <c r="E2037" s="1089" t="s">
        <v>5308</v>
      </c>
      <c r="F2037" s="1081">
        <f t="shared" si="1"/>
        <v>0</v>
      </c>
      <c r="G2037" s="1083">
        <f t="shared" si="2"/>
        <v>48.86</v>
      </c>
      <c r="H2037" s="1084"/>
    </row>
    <row r="2038" ht="14.25" customHeight="1">
      <c r="A2038" s="1085">
        <v>43577.0</v>
      </c>
      <c r="B2038" s="1086" t="s">
        <v>7347</v>
      </c>
      <c r="C2038" s="1087" t="s">
        <v>1788</v>
      </c>
      <c r="D2038" s="1088">
        <v>84.94</v>
      </c>
      <c r="E2038" s="1089" t="s">
        <v>5308</v>
      </c>
      <c r="F2038" s="1081">
        <f t="shared" si="1"/>
        <v>0</v>
      </c>
      <c r="G2038" s="1083">
        <f t="shared" si="2"/>
        <v>84.94</v>
      </c>
      <c r="H2038" s="1084"/>
    </row>
    <row r="2039" ht="14.25" customHeight="1">
      <c r="A2039" s="1085">
        <v>43458.0</v>
      </c>
      <c r="B2039" s="1086" t="s">
        <v>7348</v>
      </c>
      <c r="C2039" s="1087" t="s">
        <v>1470</v>
      </c>
      <c r="D2039" s="1088">
        <v>0.06</v>
      </c>
      <c r="E2039" s="1089" t="s">
        <v>5308</v>
      </c>
      <c r="F2039" s="1081">
        <f t="shared" si="1"/>
        <v>0</v>
      </c>
      <c r="G2039" s="1083">
        <f t="shared" si="2"/>
        <v>0.06</v>
      </c>
      <c r="H2039" s="1084"/>
    </row>
    <row r="2040" ht="14.25" customHeight="1">
      <c r="A2040" s="1085">
        <v>43470.0</v>
      </c>
      <c r="B2040" s="1086" t="s">
        <v>7349</v>
      </c>
      <c r="C2040" s="1087" t="s">
        <v>5454</v>
      </c>
      <c r="D2040" s="1088">
        <v>10.6</v>
      </c>
      <c r="E2040" s="1089" t="s">
        <v>5308</v>
      </c>
      <c r="F2040" s="1081">
        <f t="shared" si="1"/>
        <v>0</v>
      </c>
      <c r="G2040" s="1083">
        <f t="shared" si="2"/>
        <v>10.6</v>
      </c>
      <c r="H2040" s="1084"/>
    </row>
    <row r="2041" ht="14.25" customHeight="1">
      <c r="A2041" s="1085">
        <v>43459.0</v>
      </c>
      <c r="B2041" s="1086" t="s">
        <v>7350</v>
      </c>
      <c r="C2041" s="1087" t="s">
        <v>1470</v>
      </c>
      <c r="D2041" s="1088">
        <v>0.49</v>
      </c>
      <c r="E2041" s="1089" t="s">
        <v>5308</v>
      </c>
      <c r="F2041" s="1081">
        <f t="shared" si="1"/>
        <v>0</v>
      </c>
      <c r="G2041" s="1083">
        <f t="shared" si="2"/>
        <v>0.49</v>
      </c>
      <c r="H2041" s="1084"/>
    </row>
    <row r="2042" ht="14.25" customHeight="1">
      <c r="A2042" s="1085">
        <v>43471.0</v>
      </c>
      <c r="B2042" s="1086" t="s">
        <v>7351</v>
      </c>
      <c r="C2042" s="1087" t="s">
        <v>5454</v>
      </c>
      <c r="D2042" s="1088">
        <v>92.9</v>
      </c>
      <c r="E2042" s="1089" t="s">
        <v>5308</v>
      </c>
      <c r="F2042" s="1081">
        <f t="shared" si="1"/>
        <v>0</v>
      </c>
      <c r="G2042" s="1083">
        <f t="shared" si="2"/>
        <v>92.9</v>
      </c>
      <c r="H2042" s="1084"/>
    </row>
    <row r="2043" ht="14.25" customHeight="1">
      <c r="A2043" s="1085">
        <v>43460.0</v>
      </c>
      <c r="B2043" s="1086" t="s">
        <v>7352</v>
      </c>
      <c r="C2043" s="1087" t="s">
        <v>1470</v>
      </c>
      <c r="D2043" s="1088">
        <v>0.86</v>
      </c>
      <c r="E2043" s="1089" t="s">
        <v>5308</v>
      </c>
      <c r="F2043" s="1081">
        <f t="shared" si="1"/>
        <v>0</v>
      </c>
      <c r="G2043" s="1083">
        <f t="shared" si="2"/>
        <v>0.86</v>
      </c>
      <c r="H2043" s="1084"/>
    </row>
    <row r="2044" ht="14.25" customHeight="1">
      <c r="A2044" s="1085">
        <v>43472.0</v>
      </c>
      <c r="B2044" s="1086" t="s">
        <v>7353</v>
      </c>
      <c r="C2044" s="1087" t="s">
        <v>5454</v>
      </c>
      <c r="D2044" s="1088">
        <v>161.79</v>
      </c>
      <c r="E2044" s="1089" t="s">
        <v>5308</v>
      </c>
      <c r="F2044" s="1081">
        <f t="shared" si="1"/>
        <v>0</v>
      </c>
      <c r="G2044" s="1083">
        <f t="shared" si="2"/>
        <v>161.79</v>
      </c>
      <c r="H2044" s="1084"/>
    </row>
    <row r="2045" ht="14.25" customHeight="1">
      <c r="A2045" s="1085">
        <v>43461.0</v>
      </c>
      <c r="B2045" s="1086" t="s">
        <v>7354</v>
      </c>
      <c r="C2045" s="1087" t="s">
        <v>1470</v>
      </c>
      <c r="D2045" s="1088">
        <v>0.32</v>
      </c>
      <c r="E2045" s="1089" t="s">
        <v>5308</v>
      </c>
      <c r="F2045" s="1081">
        <f t="shared" si="1"/>
        <v>0</v>
      </c>
      <c r="G2045" s="1083">
        <f t="shared" si="2"/>
        <v>0.32</v>
      </c>
      <c r="H2045" s="1084"/>
    </row>
    <row r="2046" ht="14.25" customHeight="1">
      <c r="A2046" s="1085">
        <v>43473.0</v>
      </c>
      <c r="B2046" s="1086" t="s">
        <v>7355</v>
      </c>
      <c r="C2046" s="1087" t="s">
        <v>5454</v>
      </c>
      <c r="D2046" s="1088">
        <v>60.76</v>
      </c>
      <c r="E2046" s="1089" t="s">
        <v>5308</v>
      </c>
      <c r="F2046" s="1081">
        <f t="shared" si="1"/>
        <v>0</v>
      </c>
      <c r="G2046" s="1083">
        <f t="shared" si="2"/>
        <v>60.76</v>
      </c>
      <c r="H2046" s="1084"/>
    </row>
    <row r="2047" ht="14.25" customHeight="1">
      <c r="A2047" s="1085">
        <v>43463.0</v>
      </c>
      <c r="B2047" s="1086" t="s">
        <v>7356</v>
      </c>
      <c r="C2047" s="1087" t="s">
        <v>1470</v>
      </c>
      <c r="D2047" s="1088">
        <v>0.11</v>
      </c>
      <c r="E2047" s="1089" t="s">
        <v>5308</v>
      </c>
      <c r="F2047" s="1081">
        <f t="shared" si="1"/>
        <v>0</v>
      </c>
      <c r="G2047" s="1083">
        <f t="shared" si="2"/>
        <v>0.11</v>
      </c>
      <c r="H2047" s="1084"/>
    </row>
    <row r="2048" ht="14.25" customHeight="1">
      <c r="A2048" s="1085">
        <v>43475.0</v>
      </c>
      <c r="B2048" s="1086" t="s">
        <v>7357</v>
      </c>
      <c r="C2048" s="1087" t="s">
        <v>5454</v>
      </c>
      <c r="D2048" s="1088">
        <v>21.49</v>
      </c>
      <c r="E2048" s="1089" t="s">
        <v>5308</v>
      </c>
      <c r="F2048" s="1081">
        <f t="shared" si="1"/>
        <v>0</v>
      </c>
      <c r="G2048" s="1083">
        <f t="shared" si="2"/>
        <v>21.49</v>
      </c>
      <c r="H2048" s="1084"/>
    </row>
    <row r="2049" ht="14.25" customHeight="1">
      <c r="A2049" s="1085">
        <v>43462.0</v>
      </c>
      <c r="B2049" s="1086" t="s">
        <v>7358</v>
      </c>
      <c r="C2049" s="1087" t="s">
        <v>1470</v>
      </c>
      <c r="D2049" s="1088">
        <v>0.01</v>
      </c>
      <c r="E2049" s="1089" t="s">
        <v>5308</v>
      </c>
      <c r="F2049" s="1081">
        <f t="shared" si="1"/>
        <v>0</v>
      </c>
      <c r="G2049" s="1083">
        <f t="shared" si="2"/>
        <v>0.01</v>
      </c>
      <c r="H2049" s="1084"/>
    </row>
    <row r="2050" ht="14.25" customHeight="1">
      <c r="A2050" s="1085">
        <v>43474.0</v>
      </c>
      <c r="B2050" s="1086" t="s">
        <v>7359</v>
      </c>
      <c r="C2050" s="1087" t="s">
        <v>5454</v>
      </c>
      <c r="D2050" s="1088">
        <v>2.54</v>
      </c>
      <c r="E2050" s="1089" t="s">
        <v>5308</v>
      </c>
      <c r="F2050" s="1081">
        <f t="shared" si="1"/>
        <v>0</v>
      </c>
      <c r="G2050" s="1083">
        <f t="shared" si="2"/>
        <v>2.54</v>
      </c>
      <c r="H2050" s="1084"/>
    </row>
    <row r="2051" ht="14.25" customHeight="1">
      <c r="A2051" s="1085">
        <v>43464.0</v>
      </c>
      <c r="B2051" s="1086" t="s">
        <v>7360</v>
      </c>
      <c r="C2051" s="1087" t="s">
        <v>1470</v>
      </c>
      <c r="D2051" s="1088">
        <v>0.01</v>
      </c>
      <c r="E2051" s="1089" t="s">
        <v>5308</v>
      </c>
      <c r="F2051" s="1081">
        <f t="shared" si="1"/>
        <v>0</v>
      </c>
      <c r="G2051" s="1083">
        <f t="shared" si="2"/>
        <v>0.01</v>
      </c>
      <c r="H2051" s="1084"/>
    </row>
    <row r="2052" ht="14.25" customHeight="1">
      <c r="A2052" s="1085">
        <v>43476.0</v>
      </c>
      <c r="B2052" s="1086" t="s">
        <v>7361</v>
      </c>
      <c r="C2052" s="1087" t="s">
        <v>5454</v>
      </c>
      <c r="D2052" s="1088">
        <v>0.01</v>
      </c>
      <c r="E2052" s="1089" t="s">
        <v>5308</v>
      </c>
      <c r="F2052" s="1081">
        <f t="shared" si="1"/>
        <v>0</v>
      </c>
      <c r="G2052" s="1083">
        <f t="shared" si="2"/>
        <v>0.01</v>
      </c>
      <c r="H2052" s="1084"/>
    </row>
    <row r="2053" ht="14.25" customHeight="1">
      <c r="A2053" s="1085">
        <v>43465.0</v>
      </c>
      <c r="B2053" s="1086" t="s">
        <v>7362</v>
      </c>
      <c r="C2053" s="1087" t="s">
        <v>1470</v>
      </c>
      <c r="D2053" s="1088">
        <v>0.84</v>
      </c>
      <c r="E2053" s="1089" t="s">
        <v>5308</v>
      </c>
      <c r="F2053" s="1081">
        <f t="shared" si="1"/>
        <v>0</v>
      </c>
      <c r="G2053" s="1083">
        <f t="shared" si="2"/>
        <v>0.84</v>
      </c>
      <c r="H2053" s="1084"/>
    </row>
    <row r="2054" ht="14.25" customHeight="1">
      <c r="A2054" s="1085">
        <v>43477.0</v>
      </c>
      <c r="B2054" s="1086" t="s">
        <v>7363</v>
      </c>
      <c r="C2054" s="1087" t="s">
        <v>5454</v>
      </c>
      <c r="D2054" s="1088">
        <v>158.88</v>
      </c>
      <c r="E2054" s="1089" t="s">
        <v>5308</v>
      </c>
      <c r="F2054" s="1081">
        <f t="shared" si="1"/>
        <v>0</v>
      </c>
      <c r="G2054" s="1083">
        <f t="shared" si="2"/>
        <v>158.88</v>
      </c>
      <c r="H2054" s="1084"/>
    </row>
    <row r="2055" ht="14.25" customHeight="1">
      <c r="A2055" s="1085">
        <v>43466.0</v>
      </c>
      <c r="B2055" s="1086" t="s">
        <v>7364</v>
      </c>
      <c r="C2055" s="1087" t="s">
        <v>1470</v>
      </c>
      <c r="D2055" s="1088">
        <v>1.68</v>
      </c>
      <c r="E2055" s="1089" t="s">
        <v>5308</v>
      </c>
      <c r="F2055" s="1081">
        <f t="shared" si="1"/>
        <v>0</v>
      </c>
      <c r="G2055" s="1083">
        <f t="shared" si="2"/>
        <v>1.68</v>
      </c>
      <c r="H2055" s="1084"/>
    </row>
    <row r="2056" ht="14.25" customHeight="1">
      <c r="A2056" s="1085">
        <v>43478.0</v>
      </c>
      <c r="B2056" s="1086" t="s">
        <v>7365</v>
      </c>
      <c r="C2056" s="1087" t="s">
        <v>5454</v>
      </c>
      <c r="D2056" s="1088">
        <v>315.88</v>
      </c>
      <c r="E2056" s="1089" t="s">
        <v>5308</v>
      </c>
      <c r="F2056" s="1081">
        <f t="shared" si="1"/>
        <v>0</v>
      </c>
      <c r="G2056" s="1083">
        <f t="shared" si="2"/>
        <v>315.88</v>
      </c>
      <c r="H2056" s="1084"/>
    </row>
    <row r="2057" ht="14.25" customHeight="1">
      <c r="A2057" s="1085">
        <v>43467.0</v>
      </c>
      <c r="B2057" s="1086" t="s">
        <v>7366</v>
      </c>
      <c r="C2057" s="1087" t="s">
        <v>1470</v>
      </c>
      <c r="D2057" s="1088">
        <v>0.59</v>
      </c>
      <c r="E2057" s="1089" t="s">
        <v>5308</v>
      </c>
      <c r="F2057" s="1081">
        <f t="shared" si="1"/>
        <v>0</v>
      </c>
      <c r="G2057" s="1083">
        <f t="shared" si="2"/>
        <v>0.59</v>
      </c>
      <c r="H2057" s="1084"/>
    </row>
    <row r="2058" ht="14.25" customHeight="1">
      <c r="A2058" s="1085">
        <v>43479.0</v>
      </c>
      <c r="B2058" s="1086" t="s">
        <v>7367</v>
      </c>
      <c r="C2058" s="1087" t="s">
        <v>5454</v>
      </c>
      <c r="D2058" s="1088">
        <v>110.64</v>
      </c>
      <c r="E2058" s="1089" t="s">
        <v>5308</v>
      </c>
      <c r="F2058" s="1081">
        <f t="shared" si="1"/>
        <v>0</v>
      </c>
      <c r="G2058" s="1083">
        <f t="shared" si="2"/>
        <v>110.64</v>
      </c>
      <c r="H2058" s="1084"/>
    </row>
    <row r="2059" ht="14.25" customHeight="1">
      <c r="A2059" s="1085">
        <v>43468.0</v>
      </c>
      <c r="B2059" s="1086" t="s">
        <v>7368</v>
      </c>
      <c r="C2059" s="1087" t="s">
        <v>1470</v>
      </c>
      <c r="D2059" s="1088">
        <v>1.17</v>
      </c>
      <c r="E2059" s="1089" t="s">
        <v>5308</v>
      </c>
      <c r="F2059" s="1081">
        <f t="shared" si="1"/>
        <v>0</v>
      </c>
      <c r="G2059" s="1083">
        <f t="shared" si="2"/>
        <v>1.17</v>
      </c>
      <c r="H2059" s="1084"/>
    </row>
    <row r="2060" ht="14.25" customHeight="1">
      <c r="A2060" s="1085">
        <v>43480.0</v>
      </c>
      <c r="B2060" s="1086" t="s">
        <v>7369</v>
      </c>
      <c r="C2060" s="1087" t="s">
        <v>5454</v>
      </c>
      <c r="D2060" s="1088">
        <v>220.75</v>
      </c>
      <c r="E2060" s="1089" t="s">
        <v>5308</v>
      </c>
      <c r="F2060" s="1081">
        <f t="shared" si="1"/>
        <v>0</v>
      </c>
      <c r="G2060" s="1083">
        <f t="shared" si="2"/>
        <v>220.75</v>
      </c>
      <c r="H2060" s="1084"/>
    </row>
    <row r="2061" ht="14.25" customHeight="1">
      <c r="A2061" s="1085">
        <v>43469.0</v>
      </c>
      <c r="B2061" s="1086" t="s">
        <v>7370</v>
      </c>
      <c r="C2061" s="1087" t="s">
        <v>1470</v>
      </c>
      <c r="D2061" s="1088">
        <v>0.08</v>
      </c>
      <c r="E2061" s="1089" t="s">
        <v>5308</v>
      </c>
      <c r="F2061" s="1081">
        <f t="shared" si="1"/>
        <v>0</v>
      </c>
      <c r="G2061" s="1083">
        <f t="shared" si="2"/>
        <v>0.08</v>
      </c>
      <c r="H2061" s="1084"/>
    </row>
    <row r="2062" ht="14.25" customHeight="1">
      <c r="A2062" s="1085">
        <v>43481.0</v>
      </c>
      <c r="B2062" s="1086" t="s">
        <v>7371</v>
      </c>
      <c r="C2062" s="1087" t="s">
        <v>5454</v>
      </c>
      <c r="D2062" s="1088">
        <v>15.18</v>
      </c>
      <c r="E2062" s="1089" t="s">
        <v>5308</v>
      </c>
      <c r="F2062" s="1081">
        <f t="shared" si="1"/>
        <v>0</v>
      </c>
      <c r="G2062" s="1083">
        <f t="shared" si="2"/>
        <v>15.18</v>
      </c>
      <c r="H2062" s="1084"/>
    </row>
    <row r="2063" ht="14.25" customHeight="1">
      <c r="A2063" s="1085">
        <v>3119.0</v>
      </c>
      <c r="B2063" s="1086" t="s">
        <v>7372</v>
      </c>
      <c r="C2063" s="1087" t="s">
        <v>1788</v>
      </c>
      <c r="D2063" s="1088">
        <v>2.65</v>
      </c>
      <c r="E2063" s="1089" t="s">
        <v>5308</v>
      </c>
      <c r="F2063" s="1081">
        <f t="shared" si="1"/>
        <v>0</v>
      </c>
      <c r="G2063" s="1083">
        <f t="shared" si="2"/>
        <v>2.65</v>
      </c>
      <c r="H2063" s="1084"/>
    </row>
    <row r="2064" ht="14.25" customHeight="1">
      <c r="A2064" s="1085">
        <v>3122.0</v>
      </c>
      <c r="B2064" s="1086" t="s">
        <v>7373</v>
      </c>
      <c r="C2064" s="1087" t="s">
        <v>1788</v>
      </c>
      <c r="D2064" s="1088">
        <v>5.39</v>
      </c>
      <c r="E2064" s="1089" t="s">
        <v>5308</v>
      </c>
      <c r="F2064" s="1081">
        <f t="shared" si="1"/>
        <v>0</v>
      </c>
      <c r="G2064" s="1083">
        <f t="shared" si="2"/>
        <v>5.39</v>
      </c>
      <c r="H2064" s="1084"/>
    </row>
    <row r="2065" ht="14.25" customHeight="1">
      <c r="A2065" s="1085">
        <v>3121.0</v>
      </c>
      <c r="B2065" s="1086" t="s">
        <v>7374</v>
      </c>
      <c r="C2065" s="1087" t="s">
        <v>1788</v>
      </c>
      <c r="D2065" s="1088">
        <v>6.11</v>
      </c>
      <c r="E2065" s="1089" t="s">
        <v>5308</v>
      </c>
      <c r="F2065" s="1081">
        <f t="shared" si="1"/>
        <v>0</v>
      </c>
      <c r="G2065" s="1083">
        <f t="shared" si="2"/>
        <v>6.11</v>
      </c>
      <c r="H2065" s="1084"/>
    </row>
    <row r="2066" ht="14.25" customHeight="1">
      <c r="A2066" s="1085">
        <v>3120.0</v>
      </c>
      <c r="B2066" s="1086" t="s">
        <v>7375</v>
      </c>
      <c r="C2066" s="1087" t="s">
        <v>1788</v>
      </c>
      <c r="D2066" s="1088">
        <v>11.58</v>
      </c>
      <c r="E2066" s="1089" t="s">
        <v>5308</v>
      </c>
      <c r="F2066" s="1081">
        <f t="shared" si="1"/>
        <v>0</v>
      </c>
      <c r="G2066" s="1083">
        <f t="shared" si="2"/>
        <v>11.58</v>
      </c>
      <c r="H2066" s="1084"/>
    </row>
    <row r="2067" ht="14.25" customHeight="1">
      <c r="A2067" s="1085">
        <v>11455.0</v>
      </c>
      <c r="B2067" s="1086" t="s">
        <v>7376</v>
      </c>
      <c r="C2067" s="1087" t="s">
        <v>1788</v>
      </c>
      <c r="D2067" s="1088">
        <v>16.75</v>
      </c>
      <c r="E2067" s="1089" t="s">
        <v>5308</v>
      </c>
      <c r="F2067" s="1081">
        <f t="shared" si="1"/>
        <v>0</v>
      </c>
      <c r="G2067" s="1083">
        <f t="shared" si="2"/>
        <v>16.75</v>
      </c>
      <c r="H2067" s="1084"/>
    </row>
    <row r="2068" ht="14.25" customHeight="1">
      <c r="A2068" s="1085">
        <v>11456.0</v>
      </c>
      <c r="B2068" s="1086" t="s">
        <v>7377</v>
      </c>
      <c r="C2068" s="1087" t="s">
        <v>1788</v>
      </c>
      <c r="D2068" s="1088">
        <v>20.02</v>
      </c>
      <c r="E2068" s="1089" t="s">
        <v>5308</v>
      </c>
      <c r="F2068" s="1081">
        <f t="shared" si="1"/>
        <v>0</v>
      </c>
      <c r="G2068" s="1083">
        <f t="shared" si="2"/>
        <v>20.02</v>
      </c>
      <c r="H2068" s="1084"/>
    </row>
    <row r="2069" ht="14.25" customHeight="1">
      <c r="A2069" s="1085">
        <v>3107.0</v>
      </c>
      <c r="B2069" s="1086" t="s">
        <v>7378</v>
      </c>
      <c r="C2069" s="1087" t="s">
        <v>1788</v>
      </c>
      <c r="D2069" s="1088">
        <v>8.44</v>
      </c>
      <c r="E2069" s="1089" t="s">
        <v>5308</v>
      </c>
      <c r="F2069" s="1081">
        <f t="shared" si="1"/>
        <v>0</v>
      </c>
      <c r="G2069" s="1083">
        <f t="shared" si="2"/>
        <v>8.44</v>
      </c>
      <c r="H2069" s="1084"/>
    </row>
    <row r="2070" ht="14.25" customHeight="1">
      <c r="A2070" s="1085">
        <v>43583.0</v>
      </c>
      <c r="B2070" s="1086" t="s">
        <v>7379</v>
      </c>
      <c r="C2070" s="1087" t="s">
        <v>1788</v>
      </c>
      <c r="D2070" s="1088">
        <v>9.52</v>
      </c>
      <c r="E2070" s="1089" t="s">
        <v>5308</v>
      </c>
      <c r="F2070" s="1081">
        <f t="shared" si="1"/>
        <v>0</v>
      </c>
      <c r="G2070" s="1083">
        <f t="shared" si="2"/>
        <v>9.52</v>
      </c>
      <c r="H2070" s="1084"/>
    </row>
    <row r="2071" ht="14.25" customHeight="1">
      <c r="A2071" s="1085">
        <v>43586.0</v>
      </c>
      <c r="B2071" s="1086" t="s">
        <v>7380</v>
      </c>
      <c r="C2071" s="1087" t="s">
        <v>1788</v>
      </c>
      <c r="D2071" s="1088">
        <v>9.76</v>
      </c>
      <c r="E2071" s="1089" t="s">
        <v>5308</v>
      </c>
      <c r="F2071" s="1081">
        <f t="shared" si="1"/>
        <v>0</v>
      </c>
      <c r="G2071" s="1083">
        <f t="shared" si="2"/>
        <v>9.76</v>
      </c>
      <c r="H2071" s="1084"/>
    </row>
    <row r="2072" ht="14.25" customHeight="1">
      <c r="A2072" s="1085">
        <v>11461.0</v>
      </c>
      <c r="B2072" s="1086" t="s">
        <v>7381</v>
      </c>
      <c r="C2072" s="1087" t="s">
        <v>1788</v>
      </c>
      <c r="D2072" s="1088">
        <v>10.64</v>
      </c>
      <c r="E2072" s="1089" t="s">
        <v>5308</v>
      </c>
      <c r="F2072" s="1081">
        <f t="shared" si="1"/>
        <v>0</v>
      </c>
      <c r="G2072" s="1083">
        <f t="shared" si="2"/>
        <v>10.64</v>
      </c>
      <c r="H2072" s="1084"/>
    </row>
    <row r="2073" ht="14.25" customHeight="1">
      <c r="A2073" s="1085">
        <v>43587.0</v>
      </c>
      <c r="B2073" s="1086" t="s">
        <v>7382</v>
      </c>
      <c r="C2073" s="1087" t="s">
        <v>1788</v>
      </c>
      <c r="D2073" s="1088">
        <v>12.27</v>
      </c>
      <c r="E2073" s="1089" t="s">
        <v>5308</v>
      </c>
      <c r="F2073" s="1081">
        <f t="shared" si="1"/>
        <v>0</v>
      </c>
      <c r="G2073" s="1083">
        <f t="shared" si="2"/>
        <v>12.27</v>
      </c>
      <c r="H2073" s="1084"/>
    </row>
    <row r="2074" ht="14.25" customHeight="1">
      <c r="A2074" s="1085">
        <v>3106.0</v>
      </c>
      <c r="B2074" s="1086" t="s">
        <v>7383</v>
      </c>
      <c r="C2074" s="1087" t="s">
        <v>1788</v>
      </c>
      <c r="D2074" s="1088">
        <v>15.57</v>
      </c>
      <c r="E2074" s="1089" t="s">
        <v>5308</v>
      </c>
      <c r="F2074" s="1081">
        <f t="shared" si="1"/>
        <v>0</v>
      </c>
      <c r="G2074" s="1083">
        <f t="shared" si="2"/>
        <v>15.57</v>
      </c>
      <c r="H2074" s="1084"/>
    </row>
    <row r="2075" ht="14.25" customHeight="1">
      <c r="A2075" s="1085">
        <v>44539.0</v>
      </c>
      <c r="B2075" s="1086" t="s">
        <v>7384</v>
      </c>
      <c r="C2075" s="1087" t="s">
        <v>3606</v>
      </c>
      <c r="D2075" s="1088">
        <v>2.83</v>
      </c>
      <c r="E2075" s="1089" t="s">
        <v>5554</v>
      </c>
      <c r="F2075" s="1081">
        <f t="shared" si="1"/>
        <v>0</v>
      </c>
      <c r="G2075" s="1083">
        <f t="shared" si="2"/>
        <v>2.83</v>
      </c>
      <c r="H2075" s="1084"/>
    </row>
    <row r="2076" ht="14.25" customHeight="1">
      <c r="A2076" s="1085">
        <v>3123.0</v>
      </c>
      <c r="B2076" s="1086" t="s">
        <v>7385</v>
      </c>
      <c r="C2076" s="1087" t="s">
        <v>3606</v>
      </c>
      <c r="D2076" s="1088">
        <v>2.64</v>
      </c>
      <c r="E2076" s="1089" t="s">
        <v>5308</v>
      </c>
      <c r="F2076" s="1081">
        <f t="shared" si="1"/>
        <v>0</v>
      </c>
      <c r="G2076" s="1083">
        <f t="shared" si="2"/>
        <v>2.64</v>
      </c>
      <c r="H2076" s="1084"/>
    </row>
    <row r="2077" ht="14.25" customHeight="1">
      <c r="A2077" s="1085">
        <v>38125.0</v>
      </c>
      <c r="B2077" s="1086" t="s">
        <v>7386</v>
      </c>
      <c r="C2077" s="1087" t="s">
        <v>3606</v>
      </c>
      <c r="D2077" s="1088">
        <v>1.28</v>
      </c>
      <c r="E2077" s="1089" t="s">
        <v>5308</v>
      </c>
      <c r="F2077" s="1081">
        <f t="shared" si="1"/>
        <v>0</v>
      </c>
      <c r="G2077" s="1083">
        <f t="shared" si="2"/>
        <v>1.28</v>
      </c>
      <c r="H2077" s="1084"/>
    </row>
    <row r="2078" ht="14.25" customHeight="1">
      <c r="A2078" s="1085">
        <v>39014.0</v>
      </c>
      <c r="B2078" s="1086" t="s">
        <v>7387</v>
      </c>
      <c r="C2078" s="1087" t="s">
        <v>3606</v>
      </c>
      <c r="D2078" s="1088">
        <v>10.68</v>
      </c>
      <c r="E2078" s="1089" t="s">
        <v>5308</v>
      </c>
      <c r="F2078" s="1081">
        <f t="shared" si="1"/>
        <v>0</v>
      </c>
      <c r="G2078" s="1083">
        <f t="shared" si="2"/>
        <v>10.68</v>
      </c>
      <c r="H2078" s="1084"/>
    </row>
    <row r="2079" ht="14.25" customHeight="1">
      <c r="A2079" s="1085">
        <v>39365.0</v>
      </c>
      <c r="B2079" s="1086" t="s">
        <v>7388</v>
      </c>
      <c r="C2079" s="1087" t="s">
        <v>1788</v>
      </c>
      <c r="D2079" s="1088">
        <v>2031.34</v>
      </c>
      <c r="E2079" s="1089" t="s">
        <v>5308</v>
      </c>
      <c r="F2079" s="1081">
        <f t="shared" si="1"/>
        <v>0</v>
      </c>
      <c r="G2079" s="1083">
        <f t="shared" si="2"/>
        <v>2031.34</v>
      </c>
      <c r="H2079" s="1084"/>
    </row>
    <row r="2080" ht="14.25" customHeight="1">
      <c r="A2080" s="1085">
        <v>39366.0</v>
      </c>
      <c r="B2080" s="1086" t="s">
        <v>7389</v>
      </c>
      <c r="C2080" s="1087" t="s">
        <v>1788</v>
      </c>
      <c r="D2080" s="1088">
        <v>3081.88</v>
      </c>
      <c r="E2080" s="1089" t="s">
        <v>5308</v>
      </c>
      <c r="F2080" s="1081">
        <f t="shared" si="1"/>
        <v>0</v>
      </c>
      <c r="G2080" s="1083">
        <f t="shared" si="2"/>
        <v>3081.88</v>
      </c>
      <c r="H2080" s="1084"/>
    </row>
    <row r="2081" ht="14.25" customHeight="1">
      <c r="A2081" s="1085">
        <v>39367.0</v>
      </c>
      <c r="B2081" s="1086" t="s">
        <v>7390</v>
      </c>
      <c r="C2081" s="1087" t="s">
        <v>1788</v>
      </c>
      <c r="D2081" s="1088">
        <v>5280.6</v>
      </c>
      <c r="E2081" s="1089" t="s">
        <v>5308</v>
      </c>
      <c r="F2081" s="1081">
        <f t="shared" si="1"/>
        <v>0</v>
      </c>
      <c r="G2081" s="1083">
        <f t="shared" si="2"/>
        <v>5280.6</v>
      </c>
      <c r="H2081" s="1084"/>
    </row>
    <row r="2082" ht="14.25" customHeight="1">
      <c r="A2082" s="1085">
        <v>37394.0</v>
      </c>
      <c r="B2082" s="1086" t="s">
        <v>7391</v>
      </c>
      <c r="C2082" s="1087" t="s">
        <v>7392</v>
      </c>
      <c r="D2082" s="1088">
        <v>40.79</v>
      </c>
      <c r="E2082" s="1089" t="s">
        <v>5308</v>
      </c>
      <c r="F2082" s="1081">
        <f t="shared" si="1"/>
        <v>0</v>
      </c>
      <c r="G2082" s="1083">
        <f t="shared" si="2"/>
        <v>40.79</v>
      </c>
      <c r="H2082" s="1084"/>
    </row>
    <row r="2083" ht="14.25" customHeight="1">
      <c r="A2083" s="1085">
        <v>14146.0</v>
      </c>
      <c r="B2083" s="1086" t="s">
        <v>7393</v>
      </c>
      <c r="C2083" s="1087" t="s">
        <v>7392</v>
      </c>
      <c r="D2083" s="1088">
        <v>65.6</v>
      </c>
      <c r="E2083" s="1089" t="s">
        <v>5308</v>
      </c>
      <c r="F2083" s="1081">
        <f t="shared" si="1"/>
        <v>0</v>
      </c>
      <c r="G2083" s="1083">
        <f t="shared" si="2"/>
        <v>65.6</v>
      </c>
      <c r="H2083" s="1084"/>
    </row>
    <row r="2084" ht="14.25" customHeight="1">
      <c r="A2084" s="1085">
        <v>938.0</v>
      </c>
      <c r="B2084" s="1086" t="s">
        <v>7394</v>
      </c>
      <c r="C2084" s="1087" t="s">
        <v>1731</v>
      </c>
      <c r="D2084" s="1088">
        <v>1.49</v>
      </c>
      <c r="E2084" s="1089" t="s">
        <v>5308</v>
      </c>
      <c r="F2084" s="1081">
        <f t="shared" si="1"/>
        <v>0</v>
      </c>
      <c r="G2084" s="1083">
        <f t="shared" si="2"/>
        <v>1.49</v>
      </c>
      <c r="H2084" s="1084"/>
    </row>
    <row r="2085" ht="14.25" customHeight="1">
      <c r="A2085" s="1085">
        <v>937.0</v>
      </c>
      <c r="B2085" s="1086" t="s">
        <v>7395</v>
      </c>
      <c r="C2085" s="1087" t="s">
        <v>1731</v>
      </c>
      <c r="D2085" s="1088">
        <v>8.71</v>
      </c>
      <c r="E2085" s="1089" t="s">
        <v>5308</v>
      </c>
      <c r="F2085" s="1081">
        <f t="shared" si="1"/>
        <v>0</v>
      </c>
      <c r="G2085" s="1083">
        <f t="shared" si="2"/>
        <v>8.71</v>
      </c>
      <c r="H2085" s="1084"/>
    </row>
    <row r="2086" ht="14.25" customHeight="1">
      <c r="A2086" s="1085">
        <v>939.0</v>
      </c>
      <c r="B2086" s="1086" t="s">
        <v>7396</v>
      </c>
      <c r="C2086" s="1087" t="s">
        <v>1731</v>
      </c>
      <c r="D2086" s="1088">
        <v>2.42</v>
      </c>
      <c r="E2086" s="1089" t="s">
        <v>5308</v>
      </c>
      <c r="F2086" s="1081">
        <f t="shared" si="1"/>
        <v>0</v>
      </c>
      <c r="G2086" s="1083">
        <f t="shared" si="2"/>
        <v>2.42</v>
      </c>
      <c r="H2086" s="1084"/>
    </row>
    <row r="2087" ht="14.25" customHeight="1">
      <c r="A2087" s="1085">
        <v>944.0</v>
      </c>
      <c r="B2087" s="1086" t="s">
        <v>7397</v>
      </c>
      <c r="C2087" s="1087" t="s">
        <v>1731</v>
      </c>
      <c r="D2087" s="1088">
        <v>3.82</v>
      </c>
      <c r="E2087" s="1089" t="s">
        <v>5308</v>
      </c>
      <c r="F2087" s="1081">
        <f t="shared" si="1"/>
        <v>0</v>
      </c>
      <c r="G2087" s="1083">
        <f t="shared" si="2"/>
        <v>3.82</v>
      </c>
      <c r="H2087" s="1084"/>
    </row>
    <row r="2088" ht="14.25" customHeight="1">
      <c r="A2088" s="1085">
        <v>940.0</v>
      </c>
      <c r="B2088" s="1086" t="s">
        <v>7398</v>
      </c>
      <c r="C2088" s="1087" t="s">
        <v>1731</v>
      </c>
      <c r="D2088" s="1088">
        <v>5.51</v>
      </c>
      <c r="E2088" s="1089" t="s">
        <v>5308</v>
      </c>
      <c r="F2088" s="1081">
        <f t="shared" si="1"/>
        <v>0</v>
      </c>
      <c r="G2088" s="1083">
        <f t="shared" si="2"/>
        <v>5.51</v>
      </c>
      <c r="H2088" s="1084"/>
    </row>
    <row r="2089" ht="14.25" customHeight="1">
      <c r="A2089" s="1085">
        <v>44397.0</v>
      </c>
      <c r="B2089" s="1086" t="s">
        <v>7399</v>
      </c>
      <c r="C2089" s="1087" t="s">
        <v>1731</v>
      </c>
      <c r="D2089" s="1088">
        <v>3.47</v>
      </c>
      <c r="E2089" s="1089" t="s">
        <v>5308</v>
      </c>
      <c r="F2089" s="1081">
        <f t="shared" si="1"/>
        <v>0</v>
      </c>
      <c r="G2089" s="1083">
        <f t="shared" si="2"/>
        <v>3.47</v>
      </c>
      <c r="H2089" s="1084"/>
    </row>
    <row r="2090" ht="14.25" customHeight="1">
      <c r="A2090" s="1085">
        <v>406.0</v>
      </c>
      <c r="B2090" s="1086" t="s">
        <v>7400</v>
      </c>
      <c r="C2090" s="1087" t="s">
        <v>1788</v>
      </c>
      <c r="D2090" s="1088">
        <v>103.23</v>
      </c>
      <c r="E2090" s="1089" t="s">
        <v>5308</v>
      </c>
      <c r="F2090" s="1081">
        <f t="shared" si="1"/>
        <v>0</v>
      </c>
      <c r="G2090" s="1083">
        <f t="shared" si="2"/>
        <v>103.23</v>
      </c>
      <c r="H2090" s="1084"/>
    </row>
    <row r="2091" ht="14.25" customHeight="1">
      <c r="A2091" s="1085">
        <v>42529.0</v>
      </c>
      <c r="B2091" s="1086" t="s">
        <v>7401</v>
      </c>
      <c r="C2091" s="1087" t="s">
        <v>1731</v>
      </c>
      <c r="D2091" s="1088">
        <v>1.06</v>
      </c>
      <c r="E2091" s="1089" t="s">
        <v>5308</v>
      </c>
      <c r="F2091" s="1081">
        <f t="shared" si="1"/>
        <v>0</v>
      </c>
      <c r="G2091" s="1083">
        <f t="shared" si="2"/>
        <v>1.06</v>
      </c>
      <c r="H2091" s="1084"/>
    </row>
    <row r="2092" ht="14.25" customHeight="1">
      <c r="A2092" s="1085">
        <v>39634.0</v>
      </c>
      <c r="B2092" s="1086" t="s">
        <v>7402</v>
      </c>
      <c r="C2092" s="1087" t="s">
        <v>1731</v>
      </c>
      <c r="D2092" s="1088">
        <v>8.77</v>
      </c>
      <c r="E2092" s="1089" t="s">
        <v>5308</v>
      </c>
      <c r="F2092" s="1081">
        <f t="shared" si="1"/>
        <v>0</v>
      </c>
      <c r="G2092" s="1083">
        <f t="shared" si="2"/>
        <v>8.77</v>
      </c>
      <c r="H2092" s="1084"/>
    </row>
    <row r="2093" ht="14.25" customHeight="1">
      <c r="A2093" s="1085">
        <v>39701.0</v>
      </c>
      <c r="B2093" s="1086" t="s">
        <v>7403</v>
      </c>
      <c r="C2093" s="1087" t="s">
        <v>1788</v>
      </c>
      <c r="D2093" s="1088">
        <v>102.7</v>
      </c>
      <c r="E2093" s="1089" t="s">
        <v>5308</v>
      </c>
      <c r="F2093" s="1081">
        <f t="shared" si="1"/>
        <v>0</v>
      </c>
      <c r="G2093" s="1083">
        <f t="shared" si="2"/>
        <v>102.7</v>
      </c>
      <c r="H2093" s="1084"/>
    </row>
    <row r="2094" ht="14.25" customHeight="1">
      <c r="A2094" s="1085">
        <v>12815.0</v>
      </c>
      <c r="B2094" s="1086" t="s">
        <v>7404</v>
      </c>
      <c r="C2094" s="1087" t="s">
        <v>1788</v>
      </c>
      <c r="D2094" s="1088">
        <v>8.72</v>
      </c>
      <c r="E2094" s="1089" t="s">
        <v>5308</v>
      </c>
      <c r="F2094" s="1081">
        <f t="shared" si="1"/>
        <v>0</v>
      </c>
      <c r="G2094" s="1083">
        <f t="shared" si="2"/>
        <v>8.72</v>
      </c>
      <c r="H2094" s="1084"/>
    </row>
    <row r="2095" ht="14.25" customHeight="1">
      <c r="A2095" s="1085">
        <v>407.0</v>
      </c>
      <c r="B2095" s="1086" t="s">
        <v>7405</v>
      </c>
      <c r="C2095" s="1087" t="s">
        <v>3606</v>
      </c>
      <c r="D2095" s="1088">
        <v>57.47</v>
      </c>
      <c r="E2095" s="1089" t="s">
        <v>5308</v>
      </c>
      <c r="F2095" s="1081">
        <f t="shared" si="1"/>
        <v>0</v>
      </c>
      <c r="G2095" s="1083">
        <f t="shared" si="2"/>
        <v>57.47</v>
      </c>
      <c r="H2095" s="1084"/>
    </row>
    <row r="2096" ht="14.25" customHeight="1">
      <c r="A2096" s="1085">
        <v>39431.0</v>
      </c>
      <c r="B2096" s="1086" t="s">
        <v>7406</v>
      </c>
      <c r="C2096" s="1087" t="s">
        <v>1731</v>
      </c>
      <c r="D2096" s="1088">
        <v>0.3</v>
      </c>
      <c r="E2096" s="1089" t="s">
        <v>5308</v>
      </c>
      <c r="F2096" s="1081">
        <f t="shared" si="1"/>
        <v>0</v>
      </c>
      <c r="G2096" s="1083">
        <f t="shared" si="2"/>
        <v>0.3</v>
      </c>
      <c r="H2096" s="1084"/>
    </row>
    <row r="2097" ht="14.25" customHeight="1">
      <c r="A2097" s="1085">
        <v>39432.0</v>
      </c>
      <c r="B2097" s="1086" t="s">
        <v>7407</v>
      </c>
      <c r="C2097" s="1087" t="s">
        <v>1731</v>
      </c>
      <c r="D2097" s="1088">
        <v>2.7</v>
      </c>
      <c r="E2097" s="1089" t="s">
        <v>5308</v>
      </c>
      <c r="F2097" s="1081">
        <f t="shared" si="1"/>
        <v>0</v>
      </c>
      <c r="G2097" s="1083">
        <f t="shared" si="2"/>
        <v>2.7</v>
      </c>
      <c r="H2097" s="1084"/>
    </row>
    <row r="2098" ht="14.25" customHeight="1">
      <c r="A2098" s="1085">
        <v>20111.0</v>
      </c>
      <c r="B2098" s="1086" t="s">
        <v>7408</v>
      </c>
      <c r="C2098" s="1087" t="s">
        <v>1788</v>
      </c>
      <c r="D2098" s="1088">
        <v>12.9</v>
      </c>
      <c r="E2098" s="1089" t="s">
        <v>5308</v>
      </c>
      <c r="F2098" s="1081">
        <f t="shared" si="1"/>
        <v>0</v>
      </c>
      <c r="G2098" s="1083">
        <f t="shared" si="2"/>
        <v>12.9</v>
      </c>
      <c r="H2098" s="1084"/>
    </row>
    <row r="2099" ht="14.25" customHeight="1">
      <c r="A2099" s="1085">
        <v>21127.0</v>
      </c>
      <c r="B2099" s="1086" t="s">
        <v>7409</v>
      </c>
      <c r="C2099" s="1087" t="s">
        <v>1788</v>
      </c>
      <c r="D2099" s="1088">
        <v>4.87</v>
      </c>
      <c r="E2099" s="1089" t="s">
        <v>5308</v>
      </c>
      <c r="F2099" s="1081">
        <f t="shared" si="1"/>
        <v>0</v>
      </c>
      <c r="G2099" s="1083">
        <f t="shared" si="2"/>
        <v>4.87</v>
      </c>
      <c r="H2099" s="1084"/>
    </row>
    <row r="2100" ht="14.25" customHeight="1">
      <c r="A2100" s="1085">
        <v>404.0</v>
      </c>
      <c r="B2100" s="1086" t="s">
        <v>7410</v>
      </c>
      <c r="C2100" s="1087" t="s">
        <v>1731</v>
      </c>
      <c r="D2100" s="1088">
        <v>1.75</v>
      </c>
      <c r="E2100" s="1089" t="s">
        <v>5308</v>
      </c>
      <c r="F2100" s="1081">
        <f t="shared" si="1"/>
        <v>0</v>
      </c>
      <c r="G2100" s="1083">
        <f t="shared" si="2"/>
        <v>1.75</v>
      </c>
      <c r="H2100" s="1084"/>
    </row>
    <row r="2101" ht="14.25" customHeight="1">
      <c r="A2101" s="1085">
        <v>14151.0</v>
      </c>
      <c r="B2101" s="1086" t="s">
        <v>7411</v>
      </c>
      <c r="C2101" s="1087" t="s">
        <v>1788</v>
      </c>
      <c r="D2101" s="1088">
        <v>47.15</v>
      </c>
      <c r="E2101" s="1089" t="s">
        <v>5308</v>
      </c>
      <c r="F2101" s="1081">
        <f t="shared" si="1"/>
        <v>0</v>
      </c>
      <c r="G2101" s="1083">
        <f t="shared" si="2"/>
        <v>47.15</v>
      </c>
      <c r="H2101" s="1084"/>
    </row>
    <row r="2102" ht="14.25" customHeight="1">
      <c r="A2102" s="1085">
        <v>14153.0</v>
      </c>
      <c r="B2102" s="1086" t="s">
        <v>7412</v>
      </c>
      <c r="C2102" s="1087" t="s">
        <v>1788</v>
      </c>
      <c r="D2102" s="1088">
        <v>53.3</v>
      </c>
      <c r="E2102" s="1089" t="s">
        <v>5308</v>
      </c>
      <c r="F2102" s="1081">
        <f t="shared" si="1"/>
        <v>0</v>
      </c>
      <c r="G2102" s="1083">
        <f t="shared" si="2"/>
        <v>53.3</v>
      </c>
      <c r="H2102" s="1084"/>
    </row>
    <row r="2103" ht="14.25" customHeight="1">
      <c r="A2103" s="1085">
        <v>14152.0</v>
      </c>
      <c r="B2103" s="1086" t="s">
        <v>7413</v>
      </c>
      <c r="C2103" s="1087" t="s">
        <v>1788</v>
      </c>
      <c r="D2103" s="1088">
        <v>40.91</v>
      </c>
      <c r="E2103" s="1089" t="s">
        <v>5308</v>
      </c>
      <c r="F2103" s="1081">
        <f t="shared" si="1"/>
        <v>0</v>
      </c>
      <c r="G2103" s="1083">
        <f t="shared" si="2"/>
        <v>40.91</v>
      </c>
      <c r="H2103" s="1084"/>
    </row>
    <row r="2104" ht="14.25" customHeight="1">
      <c r="A2104" s="1085">
        <v>14154.0</v>
      </c>
      <c r="B2104" s="1086" t="s">
        <v>7414</v>
      </c>
      <c r="C2104" s="1087" t="s">
        <v>1788</v>
      </c>
      <c r="D2104" s="1088">
        <v>143.21</v>
      </c>
      <c r="E2104" s="1089" t="s">
        <v>5308</v>
      </c>
      <c r="F2104" s="1081">
        <f t="shared" si="1"/>
        <v>0</v>
      </c>
      <c r="G2104" s="1083">
        <f t="shared" si="2"/>
        <v>143.21</v>
      </c>
      <c r="H2104" s="1084"/>
    </row>
    <row r="2105" ht="14.25" customHeight="1">
      <c r="A2105" s="1085">
        <v>3146.0</v>
      </c>
      <c r="B2105" s="1086" t="s">
        <v>7415</v>
      </c>
      <c r="C2105" s="1087" t="s">
        <v>1788</v>
      </c>
      <c r="D2105" s="1088">
        <v>4.5</v>
      </c>
      <c r="E2105" s="1089" t="s">
        <v>5308</v>
      </c>
      <c r="F2105" s="1081">
        <f t="shared" si="1"/>
        <v>0</v>
      </c>
      <c r="G2105" s="1083">
        <f t="shared" si="2"/>
        <v>4.5</v>
      </c>
      <c r="H2105" s="1084"/>
    </row>
    <row r="2106" ht="14.25" customHeight="1">
      <c r="A2106" s="1085">
        <v>3143.0</v>
      </c>
      <c r="B2106" s="1086" t="s">
        <v>7416</v>
      </c>
      <c r="C2106" s="1087" t="s">
        <v>1788</v>
      </c>
      <c r="D2106" s="1088">
        <v>10.23</v>
      </c>
      <c r="E2106" s="1089" t="s">
        <v>5308</v>
      </c>
      <c r="F2106" s="1081">
        <f t="shared" si="1"/>
        <v>0</v>
      </c>
      <c r="G2106" s="1083">
        <f t="shared" si="2"/>
        <v>10.23</v>
      </c>
      <c r="H2106" s="1084"/>
    </row>
    <row r="2107" ht="14.25" customHeight="1">
      <c r="A2107" s="1085">
        <v>3148.0</v>
      </c>
      <c r="B2107" s="1086" t="s">
        <v>7417</v>
      </c>
      <c r="C2107" s="1087" t="s">
        <v>1788</v>
      </c>
      <c r="D2107" s="1088">
        <v>16.59</v>
      </c>
      <c r="E2107" s="1089" t="s">
        <v>5308</v>
      </c>
      <c r="F2107" s="1081">
        <f t="shared" si="1"/>
        <v>0</v>
      </c>
      <c r="G2107" s="1083">
        <f t="shared" si="2"/>
        <v>16.59</v>
      </c>
      <c r="H2107" s="1084"/>
    </row>
    <row r="2108" ht="14.25" customHeight="1">
      <c r="A2108" s="1085">
        <v>4310.0</v>
      </c>
      <c r="B2108" s="1086" t="s">
        <v>7418</v>
      </c>
      <c r="C2108" s="1087" t="s">
        <v>1788</v>
      </c>
      <c r="D2108" s="1088">
        <v>2.25</v>
      </c>
      <c r="E2108" s="1089" t="s">
        <v>5308</v>
      </c>
      <c r="F2108" s="1081">
        <f t="shared" si="1"/>
        <v>0</v>
      </c>
      <c r="G2108" s="1083">
        <f t="shared" si="2"/>
        <v>2.25</v>
      </c>
      <c r="H2108" s="1084"/>
    </row>
    <row r="2109" ht="14.25" customHeight="1">
      <c r="A2109" s="1085">
        <v>4311.0</v>
      </c>
      <c r="B2109" s="1086" t="s">
        <v>7419</v>
      </c>
      <c r="C2109" s="1087" t="s">
        <v>1788</v>
      </c>
      <c r="D2109" s="1088">
        <v>1.58</v>
      </c>
      <c r="E2109" s="1089" t="s">
        <v>5308</v>
      </c>
      <c r="F2109" s="1081">
        <f t="shared" si="1"/>
        <v>0</v>
      </c>
      <c r="G2109" s="1083">
        <f t="shared" si="2"/>
        <v>1.58</v>
      </c>
      <c r="H2109" s="1084"/>
    </row>
    <row r="2110" ht="14.25" customHeight="1">
      <c r="A2110" s="1085">
        <v>4312.0</v>
      </c>
      <c r="B2110" s="1086" t="s">
        <v>7420</v>
      </c>
      <c r="C2110" s="1087" t="s">
        <v>1788</v>
      </c>
      <c r="D2110" s="1088">
        <v>2.22</v>
      </c>
      <c r="E2110" s="1089" t="s">
        <v>5308</v>
      </c>
      <c r="F2110" s="1081">
        <f t="shared" si="1"/>
        <v>0</v>
      </c>
      <c r="G2110" s="1083">
        <f t="shared" si="2"/>
        <v>2.22</v>
      </c>
      <c r="H2110" s="1084"/>
    </row>
    <row r="2111" ht="14.25" customHeight="1">
      <c r="A2111" s="1085">
        <v>13261.0</v>
      </c>
      <c r="B2111" s="1086" t="s">
        <v>7421</v>
      </c>
      <c r="C2111" s="1087" t="s">
        <v>1788</v>
      </c>
      <c r="D2111" s="1088">
        <v>2.95</v>
      </c>
      <c r="E2111" s="1089" t="s">
        <v>5308</v>
      </c>
      <c r="F2111" s="1081">
        <f t="shared" si="1"/>
        <v>0</v>
      </c>
      <c r="G2111" s="1083">
        <f t="shared" si="2"/>
        <v>2.95</v>
      </c>
      <c r="H2111" s="1084"/>
    </row>
    <row r="2112" ht="14.25" customHeight="1">
      <c r="A2112" s="1085">
        <v>3272.0</v>
      </c>
      <c r="B2112" s="1086" t="s">
        <v>7422</v>
      </c>
      <c r="C2112" s="1087" t="s">
        <v>1788</v>
      </c>
      <c r="D2112" s="1088">
        <v>57.65</v>
      </c>
      <c r="E2112" s="1089" t="s">
        <v>5308</v>
      </c>
      <c r="F2112" s="1081">
        <f t="shared" si="1"/>
        <v>0</v>
      </c>
      <c r="G2112" s="1083">
        <f t="shared" si="2"/>
        <v>57.65</v>
      </c>
      <c r="H2112" s="1084"/>
    </row>
    <row r="2113" ht="14.25" customHeight="1">
      <c r="A2113" s="1085">
        <v>3265.0</v>
      </c>
      <c r="B2113" s="1086" t="s">
        <v>7423</v>
      </c>
      <c r="C2113" s="1087" t="s">
        <v>1788</v>
      </c>
      <c r="D2113" s="1088">
        <v>45.81</v>
      </c>
      <c r="E2113" s="1089" t="s">
        <v>5308</v>
      </c>
      <c r="F2113" s="1081">
        <f t="shared" si="1"/>
        <v>0</v>
      </c>
      <c r="G2113" s="1083">
        <f t="shared" si="2"/>
        <v>45.81</v>
      </c>
      <c r="H2113" s="1084"/>
    </row>
    <row r="2114" ht="14.25" customHeight="1">
      <c r="A2114" s="1085">
        <v>3262.0</v>
      </c>
      <c r="B2114" s="1086" t="s">
        <v>7424</v>
      </c>
      <c r="C2114" s="1087" t="s">
        <v>1788</v>
      </c>
      <c r="D2114" s="1088">
        <v>20.05</v>
      </c>
      <c r="E2114" s="1089" t="s">
        <v>5308</v>
      </c>
      <c r="F2114" s="1081">
        <f t="shared" si="1"/>
        <v>0</v>
      </c>
      <c r="G2114" s="1083">
        <f t="shared" si="2"/>
        <v>20.05</v>
      </c>
      <c r="H2114" s="1084"/>
    </row>
    <row r="2115" ht="14.25" customHeight="1">
      <c r="A2115" s="1085">
        <v>3264.0</v>
      </c>
      <c r="B2115" s="1086" t="s">
        <v>7425</v>
      </c>
      <c r="C2115" s="1087" t="s">
        <v>1788</v>
      </c>
      <c r="D2115" s="1088">
        <v>32.94</v>
      </c>
      <c r="E2115" s="1089" t="s">
        <v>5308</v>
      </c>
      <c r="F2115" s="1081">
        <f t="shared" si="1"/>
        <v>0</v>
      </c>
      <c r="G2115" s="1083">
        <f t="shared" si="2"/>
        <v>32.94</v>
      </c>
      <c r="H2115" s="1084"/>
    </row>
    <row r="2116" ht="14.25" customHeight="1">
      <c r="A2116" s="1085">
        <v>3267.0</v>
      </c>
      <c r="B2116" s="1086" t="s">
        <v>7426</v>
      </c>
      <c r="C2116" s="1087" t="s">
        <v>1788</v>
      </c>
      <c r="D2116" s="1088">
        <v>107.57</v>
      </c>
      <c r="E2116" s="1089" t="s">
        <v>5308</v>
      </c>
      <c r="F2116" s="1081">
        <f t="shared" si="1"/>
        <v>0</v>
      </c>
      <c r="G2116" s="1083">
        <f t="shared" si="2"/>
        <v>107.57</v>
      </c>
      <c r="H2116" s="1084"/>
    </row>
    <row r="2117" ht="14.25" customHeight="1">
      <c r="A2117" s="1085">
        <v>3266.0</v>
      </c>
      <c r="B2117" s="1086" t="s">
        <v>7427</v>
      </c>
      <c r="C2117" s="1087" t="s">
        <v>1788</v>
      </c>
      <c r="D2117" s="1088">
        <v>68.44</v>
      </c>
      <c r="E2117" s="1089" t="s">
        <v>5308</v>
      </c>
      <c r="F2117" s="1081">
        <f t="shared" si="1"/>
        <v>0</v>
      </c>
      <c r="G2117" s="1083">
        <f t="shared" si="2"/>
        <v>68.44</v>
      </c>
      <c r="H2117" s="1084"/>
    </row>
    <row r="2118" ht="14.25" customHeight="1">
      <c r="A2118" s="1085">
        <v>3263.0</v>
      </c>
      <c r="B2118" s="1086" t="s">
        <v>7428</v>
      </c>
      <c r="C2118" s="1087" t="s">
        <v>1788</v>
      </c>
      <c r="D2118" s="1088">
        <v>27.39</v>
      </c>
      <c r="E2118" s="1089" t="s">
        <v>5308</v>
      </c>
      <c r="F2118" s="1081">
        <f t="shared" si="1"/>
        <v>0</v>
      </c>
      <c r="G2118" s="1083">
        <f t="shared" si="2"/>
        <v>27.39</v>
      </c>
      <c r="H2118" s="1084"/>
    </row>
    <row r="2119" ht="14.25" customHeight="1">
      <c r="A2119" s="1085">
        <v>3268.0</v>
      </c>
      <c r="B2119" s="1086" t="s">
        <v>7429</v>
      </c>
      <c r="C2119" s="1087" t="s">
        <v>1788</v>
      </c>
      <c r="D2119" s="1088">
        <v>145.44</v>
      </c>
      <c r="E2119" s="1089" t="s">
        <v>5308</v>
      </c>
      <c r="F2119" s="1081">
        <f t="shared" si="1"/>
        <v>0</v>
      </c>
      <c r="G2119" s="1083">
        <f t="shared" si="2"/>
        <v>145.44</v>
      </c>
      <c r="H2119" s="1084"/>
    </row>
    <row r="2120" ht="14.25" customHeight="1">
      <c r="A2120" s="1085">
        <v>3271.0</v>
      </c>
      <c r="B2120" s="1086" t="s">
        <v>7430</v>
      </c>
      <c r="C2120" s="1087" t="s">
        <v>1788</v>
      </c>
      <c r="D2120" s="1088">
        <v>215.02</v>
      </c>
      <c r="E2120" s="1089" t="s">
        <v>5308</v>
      </c>
      <c r="F2120" s="1081">
        <f t="shared" si="1"/>
        <v>0</v>
      </c>
      <c r="G2120" s="1083">
        <f t="shared" si="2"/>
        <v>215.02</v>
      </c>
      <c r="H2120" s="1084"/>
    </row>
    <row r="2121" ht="14.25" customHeight="1">
      <c r="A2121" s="1085">
        <v>3270.0</v>
      </c>
      <c r="B2121" s="1086" t="s">
        <v>7431</v>
      </c>
      <c r="C2121" s="1087" t="s">
        <v>1788</v>
      </c>
      <c r="D2121" s="1088">
        <v>361.24</v>
      </c>
      <c r="E2121" s="1089" t="s">
        <v>5308</v>
      </c>
      <c r="F2121" s="1081">
        <f t="shared" si="1"/>
        <v>0</v>
      </c>
      <c r="G2121" s="1083">
        <f t="shared" si="2"/>
        <v>361.24</v>
      </c>
      <c r="H2121" s="1084"/>
    </row>
    <row r="2122" ht="14.25" customHeight="1">
      <c r="A2122" s="1085">
        <v>3275.0</v>
      </c>
      <c r="B2122" s="1086" t="s">
        <v>7432</v>
      </c>
      <c r="C2122" s="1087" t="s">
        <v>1814</v>
      </c>
      <c r="D2122" s="1088">
        <v>183.0</v>
      </c>
      <c r="E2122" s="1089" t="s">
        <v>5308</v>
      </c>
      <c r="F2122" s="1081">
        <f t="shared" si="1"/>
        <v>0</v>
      </c>
      <c r="G2122" s="1083">
        <f t="shared" si="2"/>
        <v>183</v>
      </c>
      <c r="H2122" s="1084"/>
    </row>
    <row r="2123" ht="14.25" customHeight="1">
      <c r="A2123" s="1085">
        <v>39512.0</v>
      </c>
      <c r="B2123" s="1086" t="s">
        <v>7433</v>
      </c>
      <c r="C2123" s="1087" t="s">
        <v>1814</v>
      </c>
      <c r="D2123" s="1088">
        <v>93.3</v>
      </c>
      <c r="E2123" s="1089" t="s">
        <v>5308</v>
      </c>
      <c r="F2123" s="1081">
        <f t="shared" si="1"/>
        <v>0</v>
      </c>
      <c r="G2123" s="1083">
        <f t="shared" si="2"/>
        <v>93.3</v>
      </c>
      <c r="H2123" s="1084"/>
    </row>
    <row r="2124" ht="14.25" customHeight="1">
      <c r="A2124" s="1085">
        <v>39511.0</v>
      </c>
      <c r="B2124" s="1086" t="s">
        <v>7434</v>
      </c>
      <c r="C2124" s="1087" t="s">
        <v>1814</v>
      </c>
      <c r="D2124" s="1088">
        <v>101.77</v>
      </c>
      <c r="E2124" s="1089" t="s">
        <v>5308</v>
      </c>
      <c r="F2124" s="1081">
        <f t="shared" si="1"/>
        <v>0</v>
      </c>
      <c r="G2124" s="1083">
        <f t="shared" si="2"/>
        <v>101.77</v>
      </c>
      <c r="H2124" s="1084"/>
    </row>
    <row r="2125" ht="14.25" customHeight="1">
      <c r="A2125" s="1085">
        <v>39513.0</v>
      </c>
      <c r="B2125" s="1086" t="s">
        <v>7435</v>
      </c>
      <c r="C2125" s="1087" t="s">
        <v>1814</v>
      </c>
      <c r="D2125" s="1088">
        <v>109.15</v>
      </c>
      <c r="E2125" s="1089" t="s">
        <v>5308</v>
      </c>
      <c r="F2125" s="1081">
        <f t="shared" si="1"/>
        <v>0</v>
      </c>
      <c r="G2125" s="1083">
        <f t="shared" si="2"/>
        <v>109.15</v>
      </c>
      <c r="H2125" s="1084"/>
    </row>
    <row r="2126" ht="14.25" customHeight="1">
      <c r="A2126" s="1085">
        <v>3286.0</v>
      </c>
      <c r="B2126" s="1086" t="s">
        <v>7436</v>
      </c>
      <c r="C2126" s="1087" t="s">
        <v>1814</v>
      </c>
      <c r="D2126" s="1088">
        <v>111.17</v>
      </c>
      <c r="E2126" s="1089" t="s">
        <v>5308</v>
      </c>
      <c r="F2126" s="1081">
        <f t="shared" si="1"/>
        <v>0</v>
      </c>
      <c r="G2126" s="1083">
        <f t="shared" si="2"/>
        <v>111.17</v>
      </c>
      <c r="H2126" s="1084"/>
    </row>
    <row r="2127" ht="14.25" customHeight="1">
      <c r="A2127" s="1085">
        <v>3287.0</v>
      </c>
      <c r="B2127" s="1086" t="s">
        <v>7437</v>
      </c>
      <c r="C2127" s="1087" t="s">
        <v>1814</v>
      </c>
      <c r="D2127" s="1088">
        <v>168.0</v>
      </c>
      <c r="E2127" s="1089" t="s">
        <v>5308</v>
      </c>
      <c r="F2127" s="1081">
        <f t="shared" si="1"/>
        <v>0</v>
      </c>
      <c r="G2127" s="1083">
        <f t="shared" si="2"/>
        <v>168</v>
      </c>
      <c r="H2127" s="1084"/>
    </row>
    <row r="2128" ht="14.25" customHeight="1">
      <c r="A2128" s="1085">
        <v>3283.0</v>
      </c>
      <c r="B2128" s="1086" t="s">
        <v>7438</v>
      </c>
      <c r="C2128" s="1087" t="s">
        <v>1814</v>
      </c>
      <c r="D2128" s="1088">
        <v>35.29</v>
      </c>
      <c r="E2128" s="1089" t="s">
        <v>5308</v>
      </c>
      <c r="F2128" s="1081">
        <f t="shared" si="1"/>
        <v>0</v>
      </c>
      <c r="G2128" s="1083">
        <f t="shared" si="2"/>
        <v>35.29</v>
      </c>
      <c r="H2128" s="1084"/>
    </row>
    <row r="2129" ht="14.25" customHeight="1">
      <c r="A2129" s="1085">
        <v>11587.0</v>
      </c>
      <c r="B2129" s="1086" t="s">
        <v>7439</v>
      </c>
      <c r="C2129" s="1087" t="s">
        <v>1814</v>
      </c>
      <c r="D2129" s="1088">
        <v>125.48</v>
      </c>
      <c r="E2129" s="1089" t="s">
        <v>5308</v>
      </c>
      <c r="F2129" s="1081">
        <f t="shared" si="1"/>
        <v>0</v>
      </c>
      <c r="G2129" s="1083">
        <f t="shared" si="2"/>
        <v>125.48</v>
      </c>
      <c r="H2129" s="1084"/>
    </row>
    <row r="2130" ht="14.25" customHeight="1">
      <c r="A2130" s="1085">
        <v>36225.0</v>
      </c>
      <c r="B2130" s="1086" t="s">
        <v>7440</v>
      </c>
      <c r="C2130" s="1087" t="s">
        <v>1814</v>
      </c>
      <c r="D2130" s="1088">
        <v>50.97</v>
      </c>
      <c r="E2130" s="1089" t="s">
        <v>5308</v>
      </c>
      <c r="F2130" s="1081">
        <f t="shared" si="1"/>
        <v>0</v>
      </c>
      <c r="G2130" s="1083">
        <f t="shared" si="2"/>
        <v>50.97</v>
      </c>
      <c r="H2130" s="1084"/>
    </row>
    <row r="2131" ht="14.25" customHeight="1">
      <c r="A2131" s="1085">
        <v>36230.0</v>
      </c>
      <c r="B2131" s="1086" t="s">
        <v>7441</v>
      </c>
      <c r="C2131" s="1087" t="s">
        <v>1814</v>
      </c>
      <c r="D2131" s="1088">
        <v>37.45</v>
      </c>
      <c r="E2131" s="1089" t="s">
        <v>5308</v>
      </c>
      <c r="F2131" s="1081">
        <f t="shared" si="1"/>
        <v>0</v>
      </c>
      <c r="G2131" s="1083">
        <f t="shared" si="2"/>
        <v>37.45</v>
      </c>
      <c r="H2131" s="1084"/>
    </row>
    <row r="2132" ht="14.25" customHeight="1">
      <c r="A2132" s="1085">
        <v>36238.0</v>
      </c>
      <c r="B2132" s="1086" t="s">
        <v>7442</v>
      </c>
      <c r="C2132" s="1087" t="s">
        <v>1814</v>
      </c>
      <c r="D2132" s="1088">
        <v>36.6</v>
      </c>
      <c r="E2132" s="1089" t="s">
        <v>5308</v>
      </c>
      <c r="F2132" s="1081">
        <f t="shared" si="1"/>
        <v>0</v>
      </c>
      <c r="G2132" s="1083">
        <f t="shared" si="2"/>
        <v>36.6</v>
      </c>
      <c r="H2132" s="1084"/>
    </row>
    <row r="2133" ht="14.25" customHeight="1">
      <c r="A2133" s="1085">
        <v>39363.0</v>
      </c>
      <c r="B2133" s="1086" t="s">
        <v>7443</v>
      </c>
      <c r="C2133" s="1087" t="s">
        <v>1788</v>
      </c>
      <c r="D2133" s="1088">
        <v>5987.71</v>
      </c>
      <c r="E2133" s="1089" t="s">
        <v>5308</v>
      </c>
      <c r="F2133" s="1081">
        <f t="shared" si="1"/>
        <v>0</v>
      </c>
      <c r="G2133" s="1083">
        <f t="shared" si="2"/>
        <v>5987.71</v>
      </c>
      <c r="H2133" s="1084"/>
    </row>
    <row r="2134" ht="14.25" customHeight="1">
      <c r="A2134" s="1085">
        <v>39361.0</v>
      </c>
      <c r="B2134" s="1086" t="s">
        <v>7444</v>
      </c>
      <c r="C2134" s="1087" t="s">
        <v>1788</v>
      </c>
      <c r="D2134" s="1088">
        <v>1829.28</v>
      </c>
      <c r="E2134" s="1089" t="s">
        <v>5308</v>
      </c>
      <c r="F2134" s="1081">
        <f t="shared" si="1"/>
        <v>0</v>
      </c>
      <c r="G2134" s="1083">
        <f t="shared" si="2"/>
        <v>1829.28</v>
      </c>
      <c r="H2134" s="1084"/>
    </row>
    <row r="2135" ht="14.25" customHeight="1">
      <c r="A2135" s="1085">
        <v>39362.0</v>
      </c>
      <c r="B2135" s="1086" t="s">
        <v>7445</v>
      </c>
      <c r="C2135" s="1087" t="s">
        <v>1788</v>
      </c>
      <c r="D2135" s="1088">
        <v>3231.53</v>
      </c>
      <c r="E2135" s="1089" t="s">
        <v>5308</v>
      </c>
      <c r="F2135" s="1081">
        <f t="shared" si="1"/>
        <v>0</v>
      </c>
      <c r="G2135" s="1083">
        <f t="shared" si="2"/>
        <v>3231.53</v>
      </c>
      <c r="H2135" s="1084"/>
    </row>
    <row r="2136" ht="14.25" customHeight="1">
      <c r="A2136" s="1085">
        <v>39364.0</v>
      </c>
      <c r="B2136" s="1086" t="s">
        <v>7446</v>
      </c>
      <c r="C2136" s="1087" t="s">
        <v>1788</v>
      </c>
      <c r="D2136" s="1088">
        <v>12629.66</v>
      </c>
      <c r="E2136" s="1089" t="s">
        <v>5308</v>
      </c>
      <c r="F2136" s="1081">
        <f t="shared" si="1"/>
        <v>0</v>
      </c>
      <c r="G2136" s="1083">
        <f t="shared" si="2"/>
        <v>12629.66</v>
      </c>
      <c r="H2136" s="1084"/>
    </row>
    <row r="2137" ht="14.25" customHeight="1">
      <c r="A2137" s="1085">
        <v>14576.0</v>
      </c>
      <c r="B2137" s="1086" t="s">
        <v>7447</v>
      </c>
      <c r="C2137" s="1087" t="s">
        <v>1788</v>
      </c>
      <c r="D2137" s="1088">
        <v>6490831.24</v>
      </c>
      <c r="E2137" s="1089" t="s">
        <v>5482</v>
      </c>
      <c r="F2137" s="1081">
        <f t="shared" si="1"/>
        <v>0</v>
      </c>
      <c r="G2137" s="1083">
        <f t="shared" si="2"/>
        <v>6490831.24</v>
      </c>
      <c r="H2137" s="1084"/>
    </row>
    <row r="2138" ht="14.25" customHeight="1">
      <c r="A2138" s="1085">
        <v>13877.0</v>
      </c>
      <c r="B2138" s="1086" t="s">
        <v>7448</v>
      </c>
      <c r="C2138" s="1087" t="s">
        <v>1788</v>
      </c>
      <c r="D2138" s="1088">
        <v>2778628.04</v>
      </c>
      <c r="E2138" s="1089" t="s">
        <v>5482</v>
      </c>
      <c r="F2138" s="1081">
        <f t="shared" si="1"/>
        <v>0</v>
      </c>
      <c r="G2138" s="1083">
        <f t="shared" si="2"/>
        <v>2778628.04</v>
      </c>
      <c r="H2138" s="1084"/>
    </row>
    <row r="2139" ht="14.25" customHeight="1">
      <c r="A2139" s="1085">
        <v>7307.0</v>
      </c>
      <c r="B2139" s="1086" t="s">
        <v>7449</v>
      </c>
      <c r="C2139" s="1087" t="s">
        <v>2386</v>
      </c>
      <c r="D2139" s="1088">
        <v>40.72</v>
      </c>
      <c r="E2139" s="1089" t="s">
        <v>5308</v>
      </c>
      <c r="F2139" s="1081">
        <f t="shared" si="1"/>
        <v>0</v>
      </c>
      <c r="G2139" s="1083">
        <f t="shared" si="2"/>
        <v>40.72</v>
      </c>
      <c r="H2139" s="1084"/>
    </row>
    <row r="2140" ht="14.25" customHeight="1">
      <c r="A2140" s="1085">
        <v>38122.0</v>
      </c>
      <c r="B2140" s="1086" t="s">
        <v>7450</v>
      </c>
      <c r="C2140" s="1087" t="s">
        <v>2386</v>
      </c>
      <c r="D2140" s="1088">
        <v>18.15</v>
      </c>
      <c r="E2140" s="1089" t="s">
        <v>5308</v>
      </c>
      <c r="F2140" s="1081">
        <f t="shared" si="1"/>
        <v>0</v>
      </c>
      <c r="G2140" s="1083">
        <f t="shared" si="2"/>
        <v>18.15</v>
      </c>
      <c r="H2140" s="1084"/>
    </row>
    <row r="2141" ht="14.25" customHeight="1">
      <c r="A2141" s="1085">
        <v>43653.0</v>
      </c>
      <c r="B2141" s="1086" t="s">
        <v>7451</v>
      </c>
      <c r="C2141" s="1087" t="s">
        <v>2386</v>
      </c>
      <c r="D2141" s="1088">
        <v>48.3</v>
      </c>
      <c r="E2141" s="1089" t="s">
        <v>5308</v>
      </c>
      <c r="F2141" s="1081">
        <f t="shared" si="1"/>
        <v>0</v>
      </c>
      <c r="G2141" s="1083">
        <f t="shared" si="2"/>
        <v>48.3</v>
      </c>
      <c r="H2141" s="1084"/>
    </row>
    <row r="2142" ht="14.25" customHeight="1">
      <c r="A2142" s="1085">
        <v>38633.0</v>
      </c>
      <c r="B2142" s="1086" t="s">
        <v>7452</v>
      </c>
      <c r="C2142" s="1087" t="s">
        <v>1788</v>
      </c>
      <c r="D2142" s="1088">
        <v>26.14</v>
      </c>
      <c r="E2142" s="1089" t="s">
        <v>5308</v>
      </c>
      <c r="F2142" s="1081">
        <f t="shared" si="1"/>
        <v>0</v>
      </c>
      <c r="G2142" s="1083">
        <f t="shared" si="2"/>
        <v>26.14</v>
      </c>
      <c r="H2142" s="1084"/>
    </row>
    <row r="2143" ht="14.25" customHeight="1">
      <c r="A2143" s="1085">
        <v>12344.0</v>
      </c>
      <c r="B2143" s="1086" t="s">
        <v>7453</v>
      </c>
      <c r="C2143" s="1087" t="s">
        <v>1788</v>
      </c>
      <c r="D2143" s="1088">
        <v>4.01</v>
      </c>
      <c r="E2143" s="1089" t="s">
        <v>5308</v>
      </c>
      <c r="F2143" s="1081">
        <f t="shared" si="1"/>
        <v>0</v>
      </c>
      <c r="G2143" s="1083">
        <f t="shared" si="2"/>
        <v>4.01</v>
      </c>
      <c r="H2143" s="1084"/>
    </row>
    <row r="2144" ht="14.25" customHeight="1">
      <c r="A2144" s="1085">
        <v>12343.0</v>
      </c>
      <c r="B2144" s="1086" t="s">
        <v>7454</v>
      </c>
      <c r="C2144" s="1087" t="s">
        <v>1788</v>
      </c>
      <c r="D2144" s="1088">
        <v>6.21</v>
      </c>
      <c r="E2144" s="1089" t="s">
        <v>5308</v>
      </c>
      <c r="F2144" s="1081">
        <f t="shared" si="1"/>
        <v>0</v>
      </c>
      <c r="G2144" s="1083">
        <f t="shared" si="2"/>
        <v>6.21</v>
      </c>
      <c r="H2144" s="1084"/>
    </row>
    <row r="2145" ht="14.25" customHeight="1">
      <c r="A2145" s="1085">
        <v>3295.0</v>
      </c>
      <c r="B2145" s="1086" t="s">
        <v>7455</v>
      </c>
      <c r="C2145" s="1087" t="s">
        <v>1788</v>
      </c>
      <c r="D2145" s="1088">
        <v>21.71</v>
      </c>
      <c r="E2145" s="1089" t="s">
        <v>5308</v>
      </c>
      <c r="F2145" s="1081">
        <f t="shared" si="1"/>
        <v>0</v>
      </c>
      <c r="G2145" s="1083">
        <f t="shared" si="2"/>
        <v>21.71</v>
      </c>
      <c r="H2145" s="1084"/>
    </row>
    <row r="2146" ht="14.25" customHeight="1">
      <c r="A2146" s="1085">
        <v>3302.0</v>
      </c>
      <c r="B2146" s="1086" t="s">
        <v>7456</v>
      </c>
      <c r="C2146" s="1087" t="s">
        <v>1788</v>
      </c>
      <c r="D2146" s="1088">
        <v>22.7</v>
      </c>
      <c r="E2146" s="1089" t="s">
        <v>5308</v>
      </c>
      <c r="F2146" s="1081">
        <f t="shared" si="1"/>
        <v>0</v>
      </c>
      <c r="G2146" s="1083">
        <f t="shared" si="2"/>
        <v>22.7</v>
      </c>
      <c r="H2146" s="1084"/>
    </row>
    <row r="2147" ht="14.25" customHeight="1">
      <c r="A2147" s="1085">
        <v>3297.0</v>
      </c>
      <c r="B2147" s="1086" t="s">
        <v>7457</v>
      </c>
      <c r="C2147" s="1087" t="s">
        <v>1788</v>
      </c>
      <c r="D2147" s="1088">
        <v>24.23</v>
      </c>
      <c r="E2147" s="1089" t="s">
        <v>5308</v>
      </c>
      <c r="F2147" s="1081">
        <f t="shared" si="1"/>
        <v>0</v>
      </c>
      <c r="G2147" s="1083">
        <f t="shared" si="2"/>
        <v>24.23</v>
      </c>
      <c r="H2147" s="1084"/>
    </row>
    <row r="2148" ht="14.25" customHeight="1">
      <c r="A2148" s="1085">
        <v>3294.0</v>
      </c>
      <c r="B2148" s="1086" t="s">
        <v>7458</v>
      </c>
      <c r="C2148" s="1087" t="s">
        <v>1788</v>
      </c>
      <c r="D2148" s="1088">
        <v>24.6</v>
      </c>
      <c r="E2148" s="1089" t="s">
        <v>5308</v>
      </c>
      <c r="F2148" s="1081">
        <f t="shared" si="1"/>
        <v>0</v>
      </c>
      <c r="G2148" s="1083">
        <f t="shared" si="2"/>
        <v>24.6</v>
      </c>
      <c r="H2148" s="1084"/>
    </row>
    <row r="2149" ht="14.25" customHeight="1">
      <c r="A2149" s="1085">
        <v>3292.0</v>
      </c>
      <c r="B2149" s="1086" t="s">
        <v>7459</v>
      </c>
      <c r="C2149" s="1087" t="s">
        <v>1788</v>
      </c>
      <c r="D2149" s="1088">
        <v>23.11</v>
      </c>
      <c r="E2149" s="1089" t="s">
        <v>5308</v>
      </c>
      <c r="F2149" s="1081">
        <f t="shared" si="1"/>
        <v>0</v>
      </c>
      <c r="G2149" s="1083">
        <f t="shared" si="2"/>
        <v>23.11</v>
      </c>
      <c r="H2149" s="1084"/>
    </row>
    <row r="2150" ht="14.25" customHeight="1">
      <c r="A2150" s="1085">
        <v>3298.0</v>
      </c>
      <c r="B2150" s="1086" t="s">
        <v>7460</v>
      </c>
      <c r="C2150" s="1087" t="s">
        <v>1788</v>
      </c>
      <c r="D2150" s="1088">
        <v>54.16</v>
      </c>
      <c r="E2150" s="1089" t="s">
        <v>5308</v>
      </c>
      <c r="F2150" s="1081">
        <f t="shared" si="1"/>
        <v>0</v>
      </c>
      <c r="G2150" s="1083">
        <f t="shared" si="2"/>
        <v>54.16</v>
      </c>
      <c r="H2150" s="1084"/>
    </row>
    <row r="2151" ht="14.25" customHeight="1">
      <c r="A2151" s="1085">
        <v>11596.0</v>
      </c>
      <c r="B2151" s="1086" t="s">
        <v>7461</v>
      </c>
      <c r="C2151" s="1087" t="s">
        <v>1788</v>
      </c>
      <c r="D2151" s="1088">
        <v>589.13</v>
      </c>
      <c r="E2151" s="1089" t="s">
        <v>5308</v>
      </c>
      <c r="F2151" s="1081">
        <f t="shared" si="1"/>
        <v>0</v>
      </c>
      <c r="G2151" s="1083">
        <f t="shared" si="2"/>
        <v>589.13</v>
      </c>
      <c r="H2151" s="1084"/>
    </row>
    <row r="2152" ht="14.25" customHeight="1">
      <c r="A2152" s="1085">
        <v>34802.0</v>
      </c>
      <c r="B2152" s="1086" t="s">
        <v>7462</v>
      </c>
      <c r="C2152" s="1087" t="s">
        <v>1788</v>
      </c>
      <c r="D2152" s="1088">
        <v>1617.95</v>
      </c>
      <c r="E2152" s="1089" t="s">
        <v>5308</v>
      </c>
      <c r="F2152" s="1081">
        <f t="shared" si="1"/>
        <v>0</v>
      </c>
      <c r="G2152" s="1083">
        <f t="shared" si="2"/>
        <v>1617.95</v>
      </c>
      <c r="H2152" s="1084"/>
    </row>
    <row r="2153" ht="14.25" customHeight="1">
      <c r="A2153" s="1085">
        <v>11588.0</v>
      </c>
      <c r="B2153" s="1086" t="s">
        <v>7463</v>
      </c>
      <c r="C2153" s="1087" t="s">
        <v>1788</v>
      </c>
      <c r="D2153" s="1088">
        <v>1745.5</v>
      </c>
      <c r="E2153" s="1089" t="s">
        <v>5308</v>
      </c>
      <c r="F2153" s="1081">
        <f t="shared" si="1"/>
        <v>0</v>
      </c>
      <c r="G2153" s="1083">
        <f t="shared" si="2"/>
        <v>1745.5</v>
      </c>
      <c r="H2153" s="1084"/>
    </row>
    <row r="2154" ht="14.25" customHeight="1">
      <c r="A2154" s="1085">
        <v>34383.0</v>
      </c>
      <c r="B2154" s="1086" t="s">
        <v>7464</v>
      </c>
      <c r="C2154" s="1087" t="s">
        <v>1788</v>
      </c>
      <c r="D2154" s="1088">
        <v>1920.18</v>
      </c>
      <c r="E2154" s="1089" t="s">
        <v>5308</v>
      </c>
      <c r="F2154" s="1081">
        <f t="shared" si="1"/>
        <v>0</v>
      </c>
      <c r="G2154" s="1083">
        <f t="shared" si="2"/>
        <v>1920.18</v>
      </c>
      <c r="H2154" s="1084"/>
    </row>
    <row r="2155" ht="14.25" customHeight="1">
      <c r="A2155" s="1085">
        <v>40451.0</v>
      </c>
      <c r="B2155" s="1086" t="s">
        <v>7465</v>
      </c>
      <c r="C2155" s="1087" t="s">
        <v>1814</v>
      </c>
      <c r="D2155" s="1088">
        <v>155.21</v>
      </c>
      <c r="E2155" s="1089" t="s">
        <v>5308</v>
      </c>
      <c r="F2155" s="1081">
        <f t="shared" si="1"/>
        <v>0</v>
      </c>
      <c r="G2155" s="1083">
        <f t="shared" si="2"/>
        <v>155.21</v>
      </c>
      <c r="H2155" s="1084"/>
    </row>
    <row r="2156" ht="14.25" customHeight="1">
      <c r="A2156" s="1085">
        <v>40453.0</v>
      </c>
      <c r="B2156" s="1086" t="s">
        <v>7466</v>
      </c>
      <c r="C2156" s="1087" t="s">
        <v>1814</v>
      </c>
      <c r="D2156" s="1088">
        <v>167.94</v>
      </c>
      <c r="E2156" s="1089" t="s">
        <v>5308</v>
      </c>
      <c r="F2156" s="1081">
        <f t="shared" si="1"/>
        <v>0</v>
      </c>
      <c r="G2156" s="1083">
        <f t="shared" si="2"/>
        <v>167.94</v>
      </c>
      <c r="H2156" s="1084"/>
    </row>
    <row r="2157" ht="14.25" customHeight="1">
      <c r="A2157" s="1085">
        <v>40452.0</v>
      </c>
      <c r="B2157" s="1086" t="s">
        <v>7467</v>
      </c>
      <c r="C2157" s="1087" t="s">
        <v>1814</v>
      </c>
      <c r="D2157" s="1088">
        <v>184.21</v>
      </c>
      <c r="E2157" s="1089" t="s">
        <v>5308</v>
      </c>
      <c r="F2157" s="1081">
        <f t="shared" si="1"/>
        <v>0</v>
      </c>
      <c r="G2157" s="1083">
        <f t="shared" si="2"/>
        <v>184.21</v>
      </c>
      <c r="H2157" s="1084"/>
    </row>
    <row r="2158" ht="14.25" customHeight="1">
      <c r="A2158" s="1085">
        <v>11594.0</v>
      </c>
      <c r="B2158" s="1086" t="s">
        <v>7468</v>
      </c>
      <c r="C2158" s="1087" t="s">
        <v>1788</v>
      </c>
      <c r="D2158" s="1088">
        <v>556.34</v>
      </c>
      <c r="E2158" s="1089" t="s">
        <v>5308</v>
      </c>
      <c r="F2158" s="1081">
        <f t="shared" si="1"/>
        <v>0</v>
      </c>
      <c r="G2158" s="1083">
        <f t="shared" si="2"/>
        <v>556.34</v>
      </c>
      <c r="H2158" s="1084"/>
    </row>
    <row r="2159" ht="14.25" customHeight="1">
      <c r="A2159" s="1085">
        <v>3311.0</v>
      </c>
      <c r="B2159" s="1086" t="s">
        <v>7469</v>
      </c>
      <c r="C2159" s="1087" t="s">
        <v>2178</v>
      </c>
      <c r="D2159" s="1088">
        <v>556.34</v>
      </c>
      <c r="E2159" s="1089" t="s">
        <v>5308</v>
      </c>
      <c r="F2159" s="1081">
        <f t="shared" si="1"/>
        <v>0</v>
      </c>
      <c r="G2159" s="1083">
        <f t="shared" si="2"/>
        <v>556.34</v>
      </c>
      <c r="H2159" s="1084"/>
    </row>
    <row r="2160" ht="14.25" customHeight="1">
      <c r="A2160" s="1085">
        <v>11599.0</v>
      </c>
      <c r="B2160" s="1086" t="s">
        <v>7470</v>
      </c>
      <c r="C2160" s="1087" t="s">
        <v>1788</v>
      </c>
      <c r="D2160" s="1088">
        <v>739.87</v>
      </c>
      <c r="E2160" s="1089" t="s">
        <v>5308</v>
      </c>
      <c r="F2160" s="1081">
        <f t="shared" si="1"/>
        <v>0</v>
      </c>
      <c r="G2160" s="1083">
        <f t="shared" si="2"/>
        <v>739.87</v>
      </c>
      <c r="H2160" s="1084"/>
    </row>
    <row r="2161" ht="14.25" customHeight="1">
      <c r="A2161" s="1085">
        <v>11593.0</v>
      </c>
      <c r="B2161" s="1086" t="s">
        <v>7471</v>
      </c>
      <c r="C2161" s="1087" t="s">
        <v>1788</v>
      </c>
      <c r="D2161" s="1088">
        <v>1037.25</v>
      </c>
      <c r="E2161" s="1089" t="s">
        <v>5308</v>
      </c>
      <c r="F2161" s="1081">
        <f t="shared" si="1"/>
        <v>0</v>
      </c>
      <c r="G2161" s="1083">
        <f t="shared" si="2"/>
        <v>1037.25</v>
      </c>
      <c r="H2161" s="1084"/>
    </row>
    <row r="2162" ht="14.25" customHeight="1">
      <c r="A2162" s="1085">
        <v>3314.0</v>
      </c>
      <c r="B2162" s="1086" t="s">
        <v>7472</v>
      </c>
      <c r="C2162" s="1087" t="s">
        <v>2178</v>
      </c>
      <c r="D2162" s="1088">
        <v>741.85</v>
      </c>
      <c r="E2162" s="1089" t="s">
        <v>5308</v>
      </c>
      <c r="F2162" s="1081">
        <f t="shared" si="1"/>
        <v>0</v>
      </c>
      <c r="G2162" s="1083">
        <f t="shared" si="2"/>
        <v>741.85</v>
      </c>
      <c r="H2162" s="1084"/>
    </row>
    <row r="2163" ht="14.25" customHeight="1">
      <c r="A2163" s="1085">
        <v>11597.0</v>
      </c>
      <c r="B2163" s="1086" t="s">
        <v>7473</v>
      </c>
      <c r="C2163" s="1087" t="s">
        <v>1788</v>
      </c>
      <c r="D2163" s="1088">
        <v>862.67</v>
      </c>
      <c r="E2163" s="1089" t="s">
        <v>5308</v>
      </c>
      <c r="F2163" s="1081">
        <f t="shared" si="1"/>
        <v>0</v>
      </c>
      <c r="G2163" s="1083">
        <f t="shared" si="2"/>
        <v>862.67</v>
      </c>
      <c r="H2163" s="1084"/>
    </row>
    <row r="2164" ht="14.25" customHeight="1">
      <c r="A2164" s="1085">
        <v>3309.0</v>
      </c>
      <c r="B2164" s="1086" t="s">
        <v>7474</v>
      </c>
      <c r="C2164" s="1087" t="s">
        <v>2178</v>
      </c>
      <c r="D2164" s="1088">
        <v>589.13</v>
      </c>
      <c r="E2164" s="1089" t="s">
        <v>5308</v>
      </c>
      <c r="F2164" s="1081">
        <f t="shared" si="1"/>
        <v>0</v>
      </c>
      <c r="G2164" s="1083">
        <f t="shared" si="2"/>
        <v>589.13</v>
      </c>
      <c r="H2164" s="1084"/>
    </row>
    <row r="2165" ht="14.25" customHeight="1">
      <c r="A2165" s="1085">
        <v>34612.0</v>
      </c>
      <c r="B2165" s="1086" t="s">
        <v>7475</v>
      </c>
      <c r="C2165" s="1087" t="s">
        <v>1788</v>
      </c>
      <c r="D2165" s="1088">
        <v>1066.98</v>
      </c>
      <c r="E2165" s="1089" t="s">
        <v>5308</v>
      </c>
      <c r="F2165" s="1081">
        <f t="shared" si="1"/>
        <v>0</v>
      </c>
      <c r="G2165" s="1083">
        <f t="shared" si="2"/>
        <v>1066.98</v>
      </c>
      <c r="H2165" s="1084"/>
    </row>
    <row r="2166" ht="14.25" customHeight="1">
      <c r="A2166" s="1085">
        <v>34635.0</v>
      </c>
      <c r="B2166" s="1086" t="s">
        <v>7476</v>
      </c>
      <c r="C2166" s="1087" t="s">
        <v>1788</v>
      </c>
      <c r="D2166" s="1088">
        <v>1372.08</v>
      </c>
      <c r="E2166" s="1089" t="s">
        <v>5308</v>
      </c>
      <c r="F2166" s="1081">
        <f t="shared" si="1"/>
        <v>0</v>
      </c>
      <c r="G2166" s="1083">
        <f t="shared" si="2"/>
        <v>1372.08</v>
      </c>
      <c r="H2166" s="1084"/>
    </row>
    <row r="2167" ht="14.25" customHeight="1">
      <c r="A2167" s="1085">
        <v>34633.0</v>
      </c>
      <c r="B2167" s="1086" t="s">
        <v>7477</v>
      </c>
      <c r="C2167" s="1087" t="s">
        <v>1788</v>
      </c>
      <c r="D2167" s="1088">
        <v>1512.4</v>
      </c>
      <c r="E2167" s="1089" t="s">
        <v>5308</v>
      </c>
      <c r="F2167" s="1081">
        <f t="shared" si="1"/>
        <v>0</v>
      </c>
      <c r="G2167" s="1083">
        <f t="shared" si="2"/>
        <v>1512.4</v>
      </c>
      <c r="H2167" s="1084"/>
    </row>
    <row r="2168" ht="14.25" customHeight="1">
      <c r="A2168" s="1085">
        <v>40440.0</v>
      </c>
      <c r="B2168" s="1086" t="s">
        <v>7478</v>
      </c>
      <c r="C2168" s="1087" t="s">
        <v>2178</v>
      </c>
      <c r="D2168" s="1088">
        <v>772.71</v>
      </c>
      <c r="E2168" s="1089" t="s">
        <v>5308</v>
      </c>
      <c r="F2168" s="1081">
        <f t="shared" si="1"/>
        <v>0</v>
      </c>
      <c r="G2168" s="1083">
        <f t="shared" si="2"/>
        <v>772.71</v>
      </c>
      <c r="H2168" s="1084"/>
    </row>
    <row r="2169" ht="14.25" customHeight="1">
      <c r="A2169" s="1085">
        <v>40441.0</v>
      </c>
      <c r="B2169" s="1086" t="s">
        <v>7479</v>
      </c>
      <c r="C2169" s="1087" t="s">
        <v>2178</v>
      </c>
      <c r="D2169" s="1088">
        <v>493.33</v>
      </c>
      <c r="E2169" s="1089" t="s">
        <v>5308</v>
      </c>
      <c r="F2169" s="1081">
        <f t="shared" si="1"/>
        <v>0</v>
      </c>
      <c r="G2169" s="1083">
        <f t="shared" si="2"/>
        <v>493.33</v>
      </c>
      <c r="H2169" s="1084"/>
    </row>
    <row r="2170" ht="14.25" customHeight="1">
      <c r="A2170" s="1085">
        <v>40449.0</v>
      </c>
      <c r="B2170" s="1086" t="s">
        <v>7480</v>
      </c>
      <c r="C2170" s="1087" t="s">
        <v>2178</v>
      </c>
      <c r="D2170" s="1088">
        <v>414.73</v>
      </c>
      <c r="E2170" s="1089" t="s">
        <v>5308</v>
      </c>
      <c r="F2170" s="1081">
        <f t="shared" si="1"/>
        <v>0</v>
      </c>
      <c r="G2170" s="1083">
        <f t="shared" si="2"/>
        <v>414.73</v>
      </c>
      <c r="H2170" s="1084"/>
    </row>
    <row r="2171" ht="14.25" customHeight="1">
      <c r="A2171" s="1085">
        <v>34800.0</v>
      </c>
      <c r="B2171" s="1086" t="s">
        <v>7481</v>
      </c>
      <c r="C2171" s="1087" t="s">
        <v>2178</v>
      </c>
      <c r="D2171" s="1088">
        <v>518.62</v>
      </c>
      <c r="E2171" s="1089" t="s">
        <v>5308</v>
      </c>
      <c r="F2171" s="1081">
        <f t="shared" si="1"/>
        <v>0</v>
      </c>
      <c r="G2171" s="1083">
        <f t="shared" si="2"/>
        <v>518.62</v>
      </c>
      <c r="H2171" s="1084"/>
    </row>
    <row r="2172" ht="14.25" customHeight="1">
      <c r="A2172" s="1085">
        <v>11592.0</v>
      </c>
      <c r="B2172" s="1086" t="s">
        <v>7482</v>
      </c>
      <c r="C2172" s="1087" t="s">
        <v>1788</v>
      </c>
      <c r="D2172" s="1088">
        <v>741.85</v>
      </c>
      <c r="E2172" s="1089" t="s">
        <v>5308</v>
      </c>
      <c r="F2172" s="1081">
        <f t="shared" si="1"/>
        <v>0</v>
      </c>
      <c r="G2172" s="1083">
        <f t="shared" si="2"/>
        <v>741.85</v>
      </c>
      <c r="H2172" s="1084"/>
    </row>
    <row r="2173" ht="14.25" customHeight="1">
      <c r="A2173" s="1085">
        <v>40438.0</v>
      </c>
      <c r="B2173" s="1086" t="s">
        <v>7483</v>
      </c>
      <c r="C2173" s="1087" t="s">
        <v>2178</v>
      </c>
      <c r="D2173" s="1088">
        <v>345.52</v>
      </c>
      <c r="E2173" s="1089" t="s">
        <v>5308</v>
      </c>
      <c r="F2173" s="1081">
        <f t="shared" si="1"/>
        <v>0</v>
      </c>
      <c r="G2173" s="1083">
        <f t="shared" si="2"/>
        <v>345.52</v>
      </c>
      <c r="H2173" s="1084"/>
    </row>
    <row r="2174" ht="14.25" customHeight="1">
      <c r="A2174" s="1085">
        <v>40436.0</v>
      </c>
      <c r="B2174" s="1086" t="s">
        <v>7484</v>
      </c>
      <c r="C2174" s="1087" t="s">
        <v>2178</v>
      </c>
      <c r="D2174" s="1088">
        <v>430.83</v>
      </c>
      <c r="E2174" s="1089" t="s">
        <v>5308</v>
      </c>
      <c r="F2174" s="1081">
        <f t="shared" si="1"/>
        <v>0</v>
      </c>
      <c r="G2174" s="1083">
        <f t="shared" si="2"/>
        <v>430.83</v>
      </c>
      <c r="H2174" s="1084"/>
    </row>
    <row r="2175" ht="14.25" customHeight="1">
      <c r="A2175" s="1085">
        <v>4315.0</v>
      </c>
      <c r="B2175" s="1086" t="s">
        <v>7485</v>
      </c>
      <c r="C2175" s="1087" t="s">
        <v>1788</v>
      </c>
      <c r="D2175" s="1088">
        <v>1.63</v>
      </c>
      <c r="E2175" s="1089" t="s">
        <v>5308</v>
      </c>
      <c r="F2175" s="1081">
        <f t="shared" si="1"/>
        <v>0</v>
      </c>
      <c r="G2175" s="1083">
        <f t="shared" si="2"/>
        <v>1.63</v>
      </c>
      <c r="H2175" s="1084"/>
    </row>
    <row r="2176" ht="14.25" customHeight="1">
      <c r="A2176" s="1085">
        <v>402.0</v>
      </c>
      <c r="B2176" s="1086" t="s">
        <v>7486</v>
      </c>
      <c r="C2176" s="1087" t="s">
        <v>1788</v>
      </c>
      <c r="D2176" s="1088">
        <v>9.38</v>
      </c>
      <c r="E2176" s="1089" t="s">
        <v>5308</v>
      </c>
      <c r="F2176" s="1081">
        <f t="shared" si="1"/>
        <v>0</v>
      </c>
      <c r="G2176" s="1083">
        <f t="shared" si="2"/>
        <v>9.38</v>
      </c>
      <c r="H2176" s="1084"/>
    </row>
    <row r="2177" ht="14.25" customHeight="1">
      <c r="A2177" s="1085">
        <v>4226.0</v>
      </c>
      <c r="B2177" s="1086" t="s">
        <v>7487</v>
      </c>
      <c r="C2177" s="1087" t="s">
        <v>3606</v>
      </c>
      <c r="D2177" s="1088">
        <v>7.07</v>
      </c>
      <c r="E2177" s="1089" t="s">
        <v>5308</v>
      </c>
      <c r="F2177" s="1081">
        <f t="shared" si="1"/>
        <v>0</v>
      </c>
      <c r="G2177" s="1083">
        <f t="shared" si="2"/>
        <v>7.07</v>
      </c>
      <c r="H2177" s="1084"/>
    </row>
    <row r="2178" ht="14.25" customHeight="1">
      <c r="A2178" s="1085">
        <v>4222.0</v>
      </c>
      <c r="B2178" s="1086" t="s">
        <v>7488</v>
      </c>
      <c r="C2178" s="1087" t="s">
        <v>2386</v>
      </c>
      <c r="D2178" s="1088">
        <v>5.63</v>
      </c>
      <c r="E2178" s="1089" t="s">
        <v>5308</v>
      </c>
      <c r="F2178" s="1081">
        <f t="shared" si="1"/>
        <v>0</v>
      </c>
      <c r="G2178" s="1083">
        <f t="shared" si="2"/>
        <v>5.63</v>
      </c>
      <c r="H2178" s="1084"/>
    </row>
    <row r="2179" ht="14.25" customHeight="1">
      <c r="A2179" s="1085">
        <v>34804.0</v>
      </c>
      <c r="B2179" s="1086" t="s">
        <v>7489</v>
      </c>
      <c r="C2179" s="1087" t="s">
        <v>1814</v>
      </c>
      <c r="D2179" s="1088">
        <v>62.63</v>
      </c>
      <c r="E2179" s="1089" t="s">
        <v>5308</v>
      </c>
      <c r="F2179" s="1081">
        <f t="shared" si="1"/>
        <v>0</v>
      </c>
      <c r="G2179" s="1083">
        <f t="shared" si="2"/>
        <v>62.63</v>
      </c>
      <c r="H2179" s="1084"/>
    </row>
    <row r="2180" ht="14.25" customHeight="1">
      <c r="A2180" s="1085">
        <v>4013.0</v>
      </c>
      <c r="B2180" s="1086" t="s">
        <v>7490</v>
      </c>
      <c r="C2180" s="1087" t="s">
        <v>1814</v>
      </c>
      <c r="D2180" s="1088">
        <v>7.24</v>
      </c>
      <c r="E2180" s="1089" t="s">
        <v>5308</v>
      </c>
      <c r="F2180" s="1081">
        <f t="shared" si="1"/>
        <v>0</v>
      </c>
      <c r="G2180" s="1083">
        <f t="shared" si="2"/>
        <v>7.24</v>
      </c>
      <c r="H2180" s="1084"/>
    </row>
    <row r="2181" ht="14.25" customHeight="1">
      <c r="A2181" s="1085">
        <v>4011.0</v>
      </c>
      <c r="B2181" s="1086" t="s">
        <v>7491</v>
      </c>
      <c r="C2181" s="1087" t="s">
        <v>1814</v>
      </c>
      <c r="D2181" s="1088">
        <v>8.09</v>
      </c>
      <c r="E2181" s="1089" t="s">
        <v>5308</v>
      </c>
      <c r="F2181" s="1081">
        <f t="shared" si="1"/>
        <v>0</v>
      </c>
      <c r="G2181" s="1083">
        <f t="shared" si="2"/>
        <v>8.09</v>
      </c>
      <c r="H2181" s="1084"/>
    </row>
    <row r="2182" ht="14.25" customHeight="1">
      <c r="A2182" s="1085">
        <v>4021.0</v>
      </c>
      <c r="B2182" s="1086" t="s">
        <v>7492</v>
      </c>
      <c r="C2182" s="1087" t="s">
        <v>1814</v>
      </c>
      <c r="D2182" s="1088">
        <v>10.09</v>
      </c>
      <c r="E2182" s="1089" t="s">
        <v>5308</v>
      </c>
      <c r="F2182" s="1081">
        <f t="shared" si="1"/>
        <v>0</v>
      </c>
      <c r="G2182" s="1083">
        <f t="shared" si="2"/>
        <v>10.09</v>
      </c>
      <c r="H2182" s="1084"/>
    </row>
    <row r="2183" ht="14.25" customHeight="1">
      <c r="A2183" s="1085">
        <v>4019.0</v>
      </c>
      <c r="B2183" s="1086" t="s">
        <v>7493</v>
      </c>
      <c r="C2183" s="1087" t="s">
        <v>1814</v>
      </c>
      <c r="D2183" s="1088">
        <v>12.11</v>
      </c>
      <c r="E2183" s="1089" t="s">
        <v>5308</v>
      </c>
      <c r="F2183" s="1081">
        <f t="shared" si="1"/>
        <v>0</v>
      </c>
      <c r="G2183" s="1083">
        <f t="shared" si="2"/>
        <v>12.11</v>
      </c>
      <c r="H2183" s="1084"/>
    </row>
    <row r="2184" ht="14.25" customHeight="1">
      <c r="A2184" s="1085">
        <v>4012.0</v>
      </c>
      <c r="B2184" s="1086" t="s">
        <v>7494</v>
      </c>
      <c r="C2184" s="1087" t="s">
        <v>1814</v>
      </c>
      <c r="D2184" s="1088">
        <v>16.23</v>
      </c>
      <c r="E2184" s="1089" t="s">
        <v>5308</v>
      </c>
      <c r="F2184" s="1081">
        <f t="shared" si="1"/>
        <v>0</v>
      </c>
      <c r="G2184" s="1083">
        <f t="shared" si="2"/>
        <v>16.23</v>
      </c>
      <c r="H2184" s="1084"/>
    </row>
    <row r="2185" ht="14.25" customHeight="1">
      <c r="A2185" s="1085">
        <v>4020.0</v>
      </c>
      <c r="B2185" s="1086" t="s">
        <v>7495</v>
      </c>
      <c r="C2185" s="1087" t="s">
        <v>1814</v>
      </c>
      <c r="D2185" s="1088">
        <v>20.32</v>
      </c>
      <c r="E2185" s="1089" t="s">
        <v>5308</v>
      </c>
      <c r="F2185" s="1081">
        <f t="shared" si="1"/>
        <v>0</v>
      </c>
      <c r="G2185" s="1083">
        <f t="shared" si="2"/>
        <v>20.32</v>
      </c>
      <c r="H2185" s="1084"/>
    </row>
    <row r="2186" ht="14.25" customHeight="1">
      <c r="A2186" s="1085">
        <v>4018.0</v>
      </c>
      <c r="B2186" s="1086" t="s">
        <v>7496</v>
      </c>
      <c r="C2186" s="1087" t="s">
        <v>1814</v>
      </c>
      <c r="D2186" s="1088">
        <v>24.35</v>
      </c>
      <c r="E2186" s="1089" t="s">
        <v>5308</v>
      </c>
      <c r="F2186" s="1081">
        <f t="shared" si="1"/>
        <v>0</v>
      </c>
      <c r="G2186" s="1083">
        <f t="shared" si="2"/>
        <v>24.35</v>
      </c>
      <c r="H2186" s="1084"/>
    </row>
    <row r="2187" ht="14.25" customHeight="1">
      <c r="A2187" s="1085">
        <v>36498.0</v>
      </c>
      <c r="B2187" s="1086" t="s">
        <v>7497</v>
      </c>
      <c r="C2187" s="1087" t="s">
        <v>1788</v>
      </c>
      <c r="D2187" s="1088">
        <v>6774.18</v>
      </c>
      <c r="E2187" s="1089" t="s">
        <v>5482</v>
      </c>
      <c r="F2187" s="1081">
        <f t="shared" si="1"/>
        <v>0</v>
      </c>
      <c r="G2187" s="1083">
        <f t="shared" si="2"/>
        <v>6774.18</v>
      </c>
      <c r="H2187" s="1084"/>
    </row>
    <row r="2188" ht="14.25" customHeight="1">
      <c r="A2188" s="1085">
        <v>12872.0</v>
      </c>
      <c r="B2188" s="1086" t="s">
        <v>7498</v>
      </c>
      <c r="C2188" s="1087" t="s">
        <v>1470</v>
      </c>
      <c r="D2188" s="1088">
        <v>19.84</v>
      </c>
      <c r="E2188" s="1089" t="s">
        <v>5452</v>
      </c>
      <c r="F2188" s="1081">
        <f t="shared" si="1"/>
        <v>19.84</v>
      </c>
      <c r="G2188" s="1083">
        <f t="shared" si="2"/>
        <v>0</v>
      </c>
      <c r="H2188" s="1084"/>
    </row>
    <row r="2189" ht="14.25" customHeight="1">
      <c r="A2189" s="1085">
        <v>41075.0</v>
      </c>
      <c r="B2189" s="1086" t="s">
        <v>7499</v>
      </c>
      <c r="C2189" s="1087" t="s">
        <v>5454</v>
      </c>
      <c r="D2189" s="1088">
        <v>3474.27</v>
      </c>
      <c r="E2189" s="1089" t="s">
        <v>5452</v>
      </c>
      <c r="F2189" s="1081">
        <f t="shared" si="1"/>
        <v>3474.27</v>
      </c>
      <c r="G2189" s="1083">
        <f t="shared" si="2"/>
        <v>0</v>
      </c>
      <c r="H2189" s="1084"/>
    </row>
    <row r="2190" ht="14.25" customHeight="1">
      <c r="A2190" s="1085">
        <v>44324.0</v>
      </c>
      <c r="B2190" s="1086" t="s">
        <v>7500</v>
      </c>
      <c r="C2190" s="1087" t="s">
        <v>3606</v>
      </c>
      <c r="D2190" s="1088">
        <v>2.67</v>
      </c>
      <c r="E2190" s="1089" t="s">
        <v>5308</v>
      </c>
      <c r="F2190" s="1081">
        <f t="shared" si="1"/>
        <v>0</v>
      </c>
      <c r="G2190" s="1083">
        <f t="shared" si="2"/>
        <v>2.67</v>
      </c>
      <c r="H2190" s="1084"/>
    </row>
    <row r="2191" ht="14.25" customHeight="1">
      <c r="A2191" s="1085">
        <v>3315.0</v>
      </c>
      <c r="B2191" s="1086" t="s">
        <v>7501</v>
      </c>
      <c r="C2191" s="1087" t="s">
        <v>3606</v>
      </c>
      <c r="D2191" s="1088">
        <v>0.77</v>
      </c>
      <c r="E2191" s="1089" t="s">
        <v>5308</v>
      </c>
      <c r="F2191" s="1081">
        <f t="shared" si="1"/>
        <v>0</v>
      </c>
      <c r="G2191" s="1083">
        <f t="shared" si="2"/>
        <v>0.77</v>
      </c>
      <c r="H2191" s="1084"/>
    </row>
    <row r="2192" ht="14.25" customHeight="1">
      <c r="A2192" s="1085">
        <v>36870.0</v>
      </c>
      <c r="B2192" s="1086" t="s">
        <v>7502</v>
      </c>
      <c r="C2192" s="1087" t="s">
        <v>3606</v>
      </c>
      <c r="D2192" s="1088">
        <v>0.6</v>
      </c>
      <c r="E2192" s="1089" t="s">
        <v>5308</v>
      </c>
      <c r="F2192" s="1081">
        <f t="shared" si="1"/>
        <v>0</v>
      </c>
      <c r="G2192" s="1083">
        <f t="shared" si="2"/>
        <v>0.6</v>
      </c>
      <c r="H2192" s="1084"/>
    </row>
    <row r="2193" ht="14.25" customHeight="1">
      <c r="A2193" s="1085">
        <v>5092.0</v>
      </c>
      <c r="B2193" s="1086" t="s">
        <v>7503</v>
      </c>
      <c r="C2193" s="1087" t="s">
        <v>5728</v>
      </c>
      <c r="D2193" s="1088">
        <v>17.55</v>
      </c>
      <c r="E2193" s="1089" t="s">
        <v>5308</v>
      </c>
      <c r="F2193" s="1081">
        <f t="shared" si="1"/>
        <v>0</v>
      </c>
      <c r="G2193" s="1083">
        <f t="shared" si="2"/>
        <v>17.55</v>
      </c>
      <c r="H2193" s="1084"/>
    </row>
    <row r="2194" ht="14.25" customHeight="1">
      <c r="A2194" s="1085">
        <v>11462.0</v>
      </c>
      <c r="B2194" s="1086" t="s">
        <v>7504</v>
      </c>
      <c r="C2194" s="1087" t="s">
        <v>5728</v>
      </c>
      <c r="D2194" s="1088">
        <v>17.94</v>
      </c>
      <c r="E2194" s="1089" t="s">
        <v>5308</v>
      </c>
      <c r="F2194" s="1081">
        <f t="shared" si="1"/>
        <v>0</v>
      </c>
      <c r="G2194" s="1083">
        <f t="shared" si="2"/>
        <v>17.94</v>
      </c>
      <c r="H2194" s="1084"/>
    </row>
    <row r="2195" ht="14.25" customHeight="1">
      <c r="A2195" s="1085">
        <v>36529.0</v>
      </c>
      <c r="B2195" s="1086" t="s">
        <v>7505</v>
      </c>
      <c r="C2195" s="1087" t="s">
        <v>1788</v>
      </c>
      <c r="D2195" s="1088">
        <v>71681.64</v>
      </c>
      <c r="E2195" s="1089" t="s">
        <v>5482</v>
      </c>
      <c r="F2195" s="1081">
        <f t="shared" si="1"/>
        <v>0</v>
      </c>
      <c r="G2195" s="1083">
        <f t="shared" si="2"/>
        <v>71681.64</v>
      </c>
      <c r="H2195" s="1084"/>
    </row>
    <row r="2196" ht="14.25" customHeight="1">
      <c r="A2196" s="1085">
        <v>3318.0</v>
      </c>
      <c r="B2196" s="1086" t="s">
        <v>7506</v>
      </c>
      <c r="C2196" s="1087" t="s">
        <v>1788</v>
      </c>
      <c r="D2196" s="1088">
        <v>56198.41</v>
      </c>
      <c r="E2196" s="1089" t="s">
        <v>5482</v>
      </c>
      <c r="F2196" s="1081">
        <f t="shared" si="1"/>
        <v>0</v>
      </c>
      <c r="G2196" s="1083">
        <f t="shared" si="2"/>
        <v>56198.41</v>
      </c>
      <c r="H2196" s="1084"/>
    </row>
    <row r="2197" ht="14.25" customHeight="1">
      <c r="A2197" s="1085">
        <v>3324.0</v>
      </c>
      <c r="B2197" s="1086" t="s">
        <v>7507</v>
      </c>
      <c r="C2197" s="1087" t="s">
        <v>1814</v>
      </c>
      <c r="D2197" s="1088">
        <v>6.07</v>
      </c>
      <c r="E2197" s="1089" t="s">
        <v>5308</v>
      </c>
      <c r="F2197" s="1081">
        <f t="shared" si="1"/>
        <v>0</v>
      </c>
      <c r="G2197" s="1083">
        <f t="shared" si="2"/>
        <v>6.07</v>
      </c>
      <c r="H2197" s="1084"/>
    </row>
    <row r="2198" ht="14.25" customHeight="1">
      <c r="A2198" s="1085">
        <v>3322.0</v>
      </c>
      <c r="B2198" s="1086" t="s">
        <v>7508</v>
      </c>
      <c r="C2198" s="1087" t="s">
        <v>1814</v>
      </c>
      <c r="D2198" s="1088">
        <v>8.5</v>
      </c>
      <c r="E2198" s="1089" t="s">
        <v>5308</v>
      </c>
      <c r="F2198" s="1081">
        <f t="shared" si="1"/>
        <v>0</v>
      </c>
      <c r="G2198" s="1083">
        <f t="shared" si="2"/>
        <v>8.5</v>
      </c>
      <c r="H2198" s="1084"/>
    </row>
    <row r="2199" ht="14.25" customHeight="1">
      <c r="A2199" s="1085">
        <v>5076.0</v>
      </c>
      <c r="B2199" s="1086" t="s">
        <v>7509</v>
      </c>
      <c r="C2199" s="1087" t="s">
        <v>3606</v>
      </c>
      <c r="D2199" s="1088">
        <v>16.44</v>
      </c>
      <c r="E2199" s="1089" t="s">
        <v>5308</v>
      </c>
      <c r="F2199" s="1081">
        <f t="shared" si="1"/>
        <v>0</v>
      </c>
      <c r="G2199" s="1083">
        <f t="shared" si="2"/>
        <v>16.44</v>
      </c>
      <c r="H2199" s="1084"/>
    </row>
    <row r="2200" ht="14.25" customHeight="1">
      <c r="A2200" s="1085">
        <v>5077.0</v>
      </c>
      <c r="B2200" s="1086" t="s">
        <v>7510</v>
      </c>
      <c r="C2200" s="1087" t="s">
        <v>3606</v>
      </c>
      <c r="D2200" s="1088">
        <v>18.17</v>
      </c>
      <c r="E2200" s="1089" t="s">
        <v>5308</v>
      </c>
      <c r="F2200" s="1081">
        <f t="shared" si="1"/>
        <v>0</v>
      </c>
      <c r="G2200" s="1083">
        <f t="shared" si="2"/>
        <v>18.17</v>
      </c>
      <c r="H2200" s="1084"/>
    </row>
    <row r="2201" ht="14.25" customHeight="1">
      <c r="A2201" s="1085">
        <v>11837.0</v>
      </c>
      <c r="B2201" s="1086" t="s">
        <v>7511</v>
      </c>
      <c r="C2201" s="1087" t="s">
        <v>1788</v>
      </c>
      <c r="D2201" s="1088">
        <v>64.48</v>
      </c>
      <c r="E2201" s="1089" t="s">
        <v>5308</v>
      </c>
      <c r="F2201" s="1081">
        <f t="shared" si="1"/>
        <v>0</v>
      </c>
      <c r="G2201" s="1083">
        <f t="shared" si="2"/>
        <v>64.48</v>
      </c>
      <c r="H2201" s="1084"/>
    </row>
    <row r="2202" ht="14.25" customHeight="1">
      <c r="A2202" s="1085">
        <v>38055.0</v>
      </c>
      <c r="B2202" s="1086" t="s">
        <v>7512</v>
      </c>
      <c r="C2202" s="1087" t="s">
        <v>1788</v>
      </c>
      <c r="D2202" s="1088">
        <v>5.85</v>
      </c>
      <c r="E2202" s="1089" t="s">
        <v>5308</v>
      </c>
      <c r="F2202" s="1081">
        <f t="shared" si="1"/>
        <v>0</v>
      </c>
      <c r="G2202" s="1083">
        <f t="shared" si="2"/>
        <v>5.85</v>
      </c>
      <c r="H2202" s="1084"/>
    </row>
    <row r="2203" ht="14.25" customHeight="1">
      <c r="A2203" s="1085">
        <v>415.0</v>
      </c>
      <c r="B2203" s="1086" t="s">
        <v>7513</v>
      </c>
      <c r="C2203" s="1087" t="s">
        <v>1788</v>
      </c>
      <c r="D2203" s="1088">
        <v>26.44</v>
      </c>
      <c r="E2203" s="1089" t="s">
        <v>5308</v>
      </c>
      <c r="F2203" s="1081">
        <f t="shared" si="1"/>
        <v>0</v>
      </c>
      <c r="G2203" s="1083">
        <f t="shared" si="2"/>
        <v>26.44</v>
      </c>
      <c r="H2203" s="1084"/>
    </row>
    <row r="2204" ht="14.25" customHeight="1">
      <c r="A2204" s="1085">
        <v>416.0</v>
      </c>
      <c r="B2204" s="1086" t="s">
        <v>7514</v>
      </c>
      <c r="C2204" s="1087" t="s">
        <v>1788</v>
      </c>
      <c r="D2204" s="1088">
        <v>9.68</v>
      </c>
      <c r="E2204" s="1089" t="s">
        <v>5308</v>
      </c>
      <c r="F2204" s="1081">
        <f t="shared" si="1"/>
        <v>0</v>
      </c>
      <c r="G2204" s="1083">
        <f t="shared" si="2"/>
        <v>9.68</v>
      </c>
      <c r="H2204" s="1084"/>
    </row>
    <row r="2205" ht="14.25" customHeight="1">
      <c r="A2205" s="1085">
        <v>425.0</v>
      </c>
      <c r="B2205" s="1086" t="s">
        <v>7515</v>
      </c>
      <c r="C2205" s="1087" t="s">
        <v>1788</v>
      </c>
      <c r="D2205" s="1088">
        <v>6.0</v>
      </c>
      <c r="E2205" s="1089" t="s">
        <v>5308</v>
      </c>
      <c r="F2205" s="1081">
        <f t="shared" si="1"/>
        <v>0</v>
      </c>
      <c r="G2205" s="1083">
        <f t="shared" si="2"/>
        <v>6</v>
      </c>
      <c r="H2205" s="1084"/>
    </row>
    <row r="2206" ht="14.25" customHeight="1">
      <c r="A2206" s="1085">
        <v>426.0</v>
      </c>
      <c r="B2206" s="1086" t="s">
        <v>7516</v>
      </c>
      <c r="C2206" s="1087" t="s">
        <v>1788</v>
      </c>
      <c r="D2206" s="1088">
        <v>33.05</v>
      </c>
      <c r="E2206" s="1089" t="s">
        <v>5308</v>
      </c>
      <c r="F2206" s="1081">
        <f t="shared" si="1"/>
        <v>0</v>
      </c>
      <c r="G2206" s="1083">
        <f t="shared" si="2"/>
        <v>33.05</v>
      </c>
      <c r="H2206" s="1084"/>
    </row>
    <row r="2207" ht="14.25" customHeight="1">
      <c r="A2207" s="1085">
        <v>38056.0</v>
      </c>
      <c r="B2207" s="1086" t="s">
        <v>7517</v>
      </c>
      <c r="C2207" s="1087" t="s">
        <v>1788</v>
      </c>
      <c r="D2207" s="1088">
        <v>32.27</v>
      </c>
      <c r="E2207" s="1089" t="s">
        <v>5308</v>
      </c>
      <c r="F2207" s="1081">
        <f t="shared" si="1"/>
        <v>0</v>
      </c>
      <c r="G2207" s="1083">
        <f t="shared" si="2"/>
        <v>32.27</v>
      </c>
      <c r="H2207" s="1084"/>
    </row>
    <row r="2208" ht="14.25" customHeight="1">
      <c r="A2208" s="1085">
        <v>1564.0</v>
      </c>
      <c r="B2208" s="1086" t="s">
        <v>7518</v>
      </c>
      <c r="C2208" s="1087" t="s">
        <v>1788</v>
      </c>
      <c r="D2208" s="1088">
        <v>12.31</v>
      </c>
      <c r="E2208" s="1089" t="s">
        <v>5308</v>
      </c>
      <c r="F2208" s="1081">
        <f t="shared" si="1"/>
        <v>0</v>
      </c>
      <c r="G2208" s="1083">
        <f t="shared" si="2"/>
        <v>12.31</v>
      </c>
      <c r="H2208" s="1084"/>
    </row>
    <row r="2209" ht="14.25" customHeight="1">
      <c r="A2209" s="1085">
        <v>11032.0</v>
      </c>
      <c r="B2209" s="1086" t="s">
        <v>7519</v>
      </c>
      <c r="C2209" s="1087" t="s">
        <v>1788</v>
      </c>
      <c r="D2209" s="1088">
        <v>9.2</v>
      </c>
      <c r="E2209" s="1089" t="s">
        <v>5308</v>
      </c>
      <c r="F2209" s="1081">
        <f t="shared" si="1"/>
        <v>0</v>
      </c>
      <c r="G2209" s="1083">
        <f t="shared" si="2"/>
        <v>9.2</v>
      </c>
      <c r="H2209" s="1084"/>
    </row>
    <row r="2210" ht="14.25" customHeight="1">
      <c r="A2210" s="1085">
        <v>36786.0</v>
      </c>
      <c r="B2210" s="1086" t="s">
        <v>7520</v>
      </c>
      <c r="C2210" s="1087" t="s">
        <v>7521</v>
      </c>
      <c r="D2210" s="1088">
        <v>158.34</v>
      </c>
      <c r="E2210" s="1089" t="s">
        <v>5308</v>
      </c>
      <c r="F2210" s="1081">
        <f t="shared" si="1"/>
        <v>0</v>
      </c>
      <c r="G2210" s="1083">
        <f t="shared" si="2"/>
        <v>158.34</v>
      </c>
      <c r="H2210" s="1084"/>
    </row>
    <row r="2211" ht="14.25" customHeight="1">
      <c r="A2211" s="1085">
        <v>36785.0</v>
      </c>
      <c r="B2211" s="1086" t="s">
        <v>7522</v>
      </c>
      <c r="C2211" s="1087" t="s">
        <v>7521</v>
      </c>
      <c r="D2211" s="1088">
        <v>137.59</v>
      </c>
      <c r="E2211" s="1089" t="s">
        <v>5308</v>
      </c>
      <c r="F2211" s="1081">
        <f t="shared" si="1"/>
        <v>0</v>
      </c>
      <c r="G2211" s="1083">
        <f t="shared" si="2"/>
        <v>137.59</v>
      </c>
      <c r="H2211" s="1084"/>
    </row>
    <row r="2212" ht="14.25" customHeight="1">
      <c r="A2212" s="1085">
        <v>36782.0</v>
      </c>
      <c r="B2212" s="1086" t="s">
        <v>7523</v>
      </c>
      <c r="C2212" s="1087" t="s">
        <v>7521</v>
      </c>
      <c r="D2212" s="1088">
        <v>164.24</v>
      </c>
      <c r="E2212" s="1089" t="s">
        <v>5308</v>
      </c>
      <c r="F2212" s="1081">
        <f t="shared" si="1"/>
        <v>0</v>
      </c>
      <c r="G2212" s="1083">
        <f t="shared" si="2"/>
        <v>164.24</v>
      </c>
      <c r="H2212" s="1084"/>
    </row>
    <row r="2213" ht="14.25" customHeight="1">
      <c r="A2213" s="1085">
        <v>44481.0</v>
      </c>
      <c r="B2213" s="1086" t="s">
        <v>7524</v>
      </c>
      <c r="C2213" s="1087" t="s">
        <v>7521</v>
      </c>
      <c r="D2213" s="1088">
        <v>185.0</v>
      </c>
      <c r="E2213" s="1089" t="s">
        <v>5554</v>
      </c>
      <c r="F2213" s="1081">
        <f t="shared" si="1"/>
        <v>0</v>
      </c>
      <c r="G2213" s="1083">
        <f t="shared" si="2"/>
        <v>185</v>
      </c>
      <c r="H2213" s="1084"/>
    </row>
    <row r="2214" ht="14.25" customHeight="1">
      <c r="A2214" s="1085">
        <v>4824.0</v>
      </c>
      <c r="B2214" s="1086" t="s">
        <v>7525</v>
      </c>
      <c r="C2214" s="1087" t="s">
        <v>3606</v>
      </c>
      <c r="D2214" s="1088">
        <v>0.69</v>
      </c>
      <c r="E2214" s="1089" t="s">
        <v>5308</v>
      </c>
      <c r="F2214" s="1081">
        <f t="shared" si="1"/>
        <v>0</v>
      </c>
      <c r="G2214" s="1083">
        <f t="shared" si="2"/>
        <v>0.69</v>
      </c>
      <c r="H2214" s="1084"/>
    </row>
    <row r="2215" ht="14.25" customHeight="1">
      <c r="A2215" s="1085">
        <v>11795.0</v>
      </c>
      <c r="B2215" s="1086" t="s">
        <v>7526</v>
      </c>
      <c r="C2215" s="1087" t="s">
        <v>1814</v>
      </c>
      <c r="D2215" s="1088">
        <v>603.77</v>
      </c>
      <c r="E2215" s="1089" t="s">
        <v>5308</v>
      </c>
      <c r="F2215" s="1081">
        <f t="shared" si="1"/>
        <v>0</v>
      </c>
      <c r="G2215" s="1083">
        <f t="shared" si="2"/>
        <v>603.77</v>
      </c>
      <c r="H2215" s="1084"/>
    </row>
    <row r="2216" ht="14.25" customHeight="1">
      <c r="A2216" s="1085">
        <v>134.0</v>
      </c>
      <c r="B2216" s="1086" t="s">
        <v>7527</v>
      </c>
      <c r="C2216" s="1087" t="s">
        <v>3606</v>
      </c>
      <c r="D2216" s="1088">
        <v>1.64</v>
      </c>
      <c r="E2216" s="1089" t="s">
        <v>5308</v>
      </c>
      <c r="F2216" s="1081">
        <f t="shared" si="1"/>
        <v>0</v>
      </c>
      <c r="G2216" s="1083">
        <f t="shared" si="2"/>
        <v>1.64</v>
      </c>
      <c r="H2216" s="1084"/>
    </row>
    <row r="2217" ht="14.25" customHeight="1">
      <c r="A2217" s="1085">
        <v>4229.0</v>
      </c>
      <c r="B2217" s="1086" t="s">
        <v>7528</v>
      </c>
      <c r="C2217" s="1087" t="s">
        <v>3606</v>
      </c>
      <c r="D2217" s="1088">
        <v>32.85</v>
      </c>
      <c r="E2217" s="1089" t="s">
        <v>5308</v>
      </c>
      <c r="F2217" s="1081">
        <f t="shared" si="1"/>
        <v>0</v>
      </c>
      <c r="G2217" s="1083">
        <f t="shared" si="2"/>
        <v>32.85</v>
      </c>
      <c r="H2217" s="1084"/>
    </row>
    <row r="2218" ht="14.25" customHeight="1">
      <c r="A2218" s="1085">
        <v>11731.0</v>
      </c>
      <c r="B2218" s="1086" t="s">
        <v>7529</v>
      </c>
      <c r="C2218" s="1087" t="s">
        <v>1788</v>
      </c>
      <c r="D2218" s="1088">
        <v>9.97</v>
      </c>
      <c r="E2218" s="1089" t="s">
        <v>5308</v>
      </c>
      <c r="F2218" s="1081">
        <f t="shared" si="1"/>
        <v>0</v>
      </c>
      <c r="G2218" s="1083">
        <f t="shared" si="2"/>
        <v>9.97</v>
      </c>
      <c r="H2218" s="1084"/>
    </row>
    <row r="2219" ht="14.25" customHeight="1">
      <c r="A2219" s="1085">
        <v>11732.0</v>
      </c>
      <c r="B2219" s="1086" t="s">
        <v>7530</v>
      </c>
      <c r="C2219" s="1087" t="s">
        <v>1788</v>
      </c>
      <c r="D2219" s="1088">
        <v>26.12</v>
      </c>
      <c r="E2219" s="1089" t="s">
        <v>5308</v>
      </c>
      <c r="F2219" s="1081">
        <f t="shared" si="1"/>
        <v>0</v>
      </c>
      <c r="G2219" s="1083">
        <f t="shared" si="2"/>
        <v>26.12</v>
      </c>
      <c r="H2219" s="1084"/>
    </row>
    <row r="2220" ht="14.25" customHeight="1">
      <c r="A2220" s="1085">
        <v>11244.0</v>
      </c>
      <c r="B2220" s="1086" t="s">
        <v>7531</v>
      </c>
      <c r="C2220" s="1087" t="s">
        <v>1788</v>
      </c>
      <c r="D2220" s="1088">
        <v>299.2</v>
      </c>
      <c r="E2220" s="1089" t="s">
        <v>5308</v>
      </c>
      <c r="F2220" s="1081">
        <f t="shared" si="1"/>
        <v>0</v>
      </c>
      <c r="G2220" s="1083">
        <f t="shared" si="2"/>
        <v>299.2</v>
      </c>
      <c r="H2220" s="1084"/>
    </row>
    <row r="2221" ht="14.25" customHeight="1">
      <c r="A2221" s="1085">
        <v>11245.0</v>
      </c>
      <c r="B2221" s="1086" t="s">
        <v>7532</v>
      </c>
      <c r="C2221" s="1087" t="s">
        <v>1788</v>
      </c>
      <c r="D2221" s="1088">
        <v>413.85</v>
      </c>
      <c r="E2221" s="1089" t="s">
        <v>5308</v>
      </c>
      <c r="F2221" s="1081">
        <f t="shared" si="1"/>
        <v>0</v>
      </c>
      <c r="G2221" s="1083">
        <f t="shared" si="2"/>
        <v>413.85</v>
      </c>
      <c r="H2221" s="1084"/>
    </row>
    <row r="2222" ht="14.25" customHeight="1">
      <c r="A2222" s="1085">
        <v>11235.0</v>
      </c>
      <c r="B2222" s="1086" t="s">
        <v>7533</v>
      </c>
      <c r="C2222" s="1087" t="s">
        <v>1788</v>
      </c>
      <c r="D2222" s="1088">
        <v>228.33</v>
      </c>
      <c r="E2222" s="1089" t="s">
        <v>5308</v>
      </c>
      <c r="F2222" s="1081">
        <f t="shared" si="1"/>
        <v>0</v>
      </c>
      <c r="G2222" s="1083">
        <f t="shared" si="2"/>
        <v>228.33</v>
      </c>
      <c r="H2222" s="1084"/>
    </row>
    <row r="2223" ht="14.25" customHeight="1">
      <c r="A2223" s="1085">
        <v>11236.0</v>
      </c>
      <c r="B2223" s="1086" t="s">
        <v>7534</v>
      </c>
      <c r="C2223" s="1087" t="s">
        <v>1788</v>
      </c>
      <c r="D2223" s="1088">
        <v>290.17</v>
      </c>
      <c r="E2223" s="1089" t="s">
        <v>5308</v>
      </c>
      <c r="F2223" s="1081">
        <f t="shared" si="1"/>
        <v>0</v>
      </c>
      <c r="G2223" s="1083">
        <f t="shared" si="2"/>
        <v>290.17</v>
      </c>
      <c r="H2223" s="1084"/>
    </row>
    <row r="2224" ht="14.25" customHeight="1">
      <c r="A2224" s="1085">
        <v>36494.0</v>
      </c>
      <c r="B2224" s="1086" t="s">
        <v>7535</v>
      </c>
      <c r="C2224" s="1087" t="s">
        <v>1788</v>
      </c>
      <c r="D2224" s="1088">
        <v>719505.07</v>
      </c>
      <c r="E2224" s="1089" t="s">
        <v>5482</v>
      </c>
      <c r="F2224" s="1081">
        <f t="shared" si="1"/>
        <v>0</v>
      </c>
      <c r="G2224" s="1083">
        <f t="shared" si="2"/>
        <v>719505.07</v>
      </c>
      <c r="H2224" s="1084"/>
    </row>
    <row r="2225" ht="14.25" customHeight="1">
      <c r="A2225" s="1085">
        <v>36493.0</v>
      </c>
      <c r="B2225" s="1086" t="s">
        <v>7536</v>
      </c>
      <c r="C2225" s="1087" t="s">
        <v>1788</v>
      </c>
      <c r="D2225" s="1088">
        <v>815170.02</v>
      </c>
      <c r="E2225" s="1089" t="s">
        <v>5482</v>
      </c>
      <c r="F2225" s="1081">
        <f t="shared" si="1"/>
        <v>0</v>
      </c>
      <c r="G2225" s="1083">
        <f t="shared" si="2"/>
        <v>815170.02</v>
      </c>
      <c r="H2225" s="1084"/>
    </row>
    <row r="2226" ht="14.25" customHeight="1">
      <c r="A2226" s="1085">
        <v>36492.0</v>
      </c>
      <c r="B2226" s="1086" t="s">
        <v>7537</v>
      </c>
      <c r="C2226" s="1087" t="s">
        <v>1788</v>
      </c>
      <c r="D2226" s="1088">
        <v>1514276.75</v>
      </c>
      <c r="E2226" s="1089" t="s">
        <v>5482</v>
      </c>
      <c r="F2226" s="1081">
        <f t="shared" si="1"/>
        <v>0</v>
      </c>
      <c r="G2226" s="1083">
        <f t="shared" si="2"/>
        <v>1514276.75</v>
      </c>
      <c r="H2226" s="1084"/>
    </row>
    <row r="2227" ht="14.25" customHeight="1">
      <c r="A2227" s="1085">
        <v>36499.0</v>
      </c>
      <c r="B2227" s="1086" t="s">
        <v>7538</v>
      </c>
      <c r="C2227" s="1087" t="s">
        <v>1788</v>
      </c>
      <c r="D2227" s="1088">
        <v>3658.05</v>
      </c>
      <c r="E2227" s="1089" t="s">
        <v>5482</v>
      </c>
      <c r="F2227" s="1081">
        <f t="shared" si="1"/>
        <v>0</v>
      </c>
      <c r="G2227" s="1083">
        <f t="shared" si="2"/>
        <v>3658.05</v>
      </c>
      <c r="H2227" s="1084"/>
    </row>
    <row r="2228" ht="14.25" customHeight="1">
      <c r="A2228" s="1085">
        <v>13533.0</v>
      </c>
      <c r="B2228" s="1086" t="s">
        <v>7539</v>
      </c>
      <c r="C2228" s="1087" t="s">
        <v>1788</v>
      </c>
      <c r="D2228" s="1088">
        <v>167686.92</v>
      </c>
      <c r="E2228" s="1089" t="s">
        <v>5482</v>
      </c>
      <c r="F2228" s="1081">
        <f t="shared" si="1"/>
        <v>0</v>
      </c>
      <c r="G2228" s="1083">
        <f t="shared" si="2"/>
        <v>167686.92</v>
      </c>
      <c r="H2228" s="1084"/>
    </row>
    <row r="2229" ht="14.25" customHeight="1">
      <c r="A2229" s="1085">
        <v>13333.0</v>
      </c>
      <c r="B2229" s="1086" t="s">
        <v>7540</v>
      </c>
      <c r="C2229" s="1087" t="s">
        <v>1788</v>
      </c>
      <c r="D2229" s="1088">
        <v>187592.57</v>
      </c>
      <c r="E2229" s="1089" t="s">
        <v>5482</v>
      </c>
      <c r="F2229" s="1081">
        <f t="shared" si="1"/>
        <v>0</v>
      </c>
      <c r="G2229" s="1083">
        <f t="shared" si="2"/>
        <v>187592.57</v>
      </c>
      <c r="H2229" s="1084"/>
    </row>
    <row r="2230" ht="14.25" customHeight="1">
      <c r="A2230" s="1085">
        <v>39585.0</v>
      </c>
      <c r="B2230" s="1086" t="s">
        <v>7541</v>
      </c>
      <c r="C2230" s="1087" t="s">
        <v>1788</v>
      </c>
      <c r="D2230" s="1088">
        <v>121128.52</v>
      </c>
      <c r="E2230" s="1089" t="s">
        <v>5482</v>
      </c>
      <c r="F2230" s="1081">
        <f t="shared" si="1"/>
        <v>0</v>
      </c>
      <c r="G2230" s="1083">
        <f t="shared" si="2"/>
        <v>121128.52</v>
      </c>
      <c r="H2230" s="1084"/>
    </row>
    <row r="2231" ht="14.25" customHeight="1">
      <c r="A2231" s="1085">
        <v>39586.0</v>
      </c>
      <c r="B2231" s="1086" t="s">
        <v>7542</v>
      </c>
      <c r="C2231" s="1087" t="s">
        <v>1788</v>
      </c>
      <c r="D2231" s="1088">
        <v>142075.55</v>
      </c>
      <c r="E2231" s="1089" t="s">
        <v>5482</v>
      </c>
      <c r="F2231" s="1081">
        <f t="shared" si="1"/>
        <v>0</v>
      </c>
      <c r="G2231" s="1083">
        <f t="shared" si="2"/>
        <v>142075.55</v>
      </c>
      <c r="H2231" s="1084"/>
    </row>
    <row r="2232" ht="14.25" customHeight="1">
      <c r="A2232" s="1085">
        <v>39587.0</v>
      </c>
      <c r="B2232" s="1086" t="s">
        <v>7543</v>
      </c>
      <c r="C2232" s="1087" t="s">
        <v>1788</v>
      </c>
      <c r="D2232" s="1088">
        <v>173040.74</v>
      </c>
      <c r="E2232" s="1089" t="s">
        <v>5482</v>
      </c>
      <c r="F2232" s="1081">
        <f t="shared" si="1"/>
        <v>0</v>
      </c>
      <c r="G2232" s="1083">
        <f t="shared" si="2"/>
        <v>173040.74</v>
      </c>
      <c r="H2232" s="1084"/>
    </row>
    <row r="2233" ht="14.25" customHeight="1">
      <c r="A2233" s="1085">
        <v>39588.0</v>
      </c>
      <c r="B2233" s="1086" t="s">
        <v>7544</v>
      </c>
      <c r="C2233" s="1087" t="s">
        <v>1788</v>
      </c>
      <c r="D2233" s="1088">
        <v>200362.95</v>
      </c>
      <c r="E2233" s="1089" t="s">
        <v>5482</v>
      </c>
      <c r="F2233" s="1081">
        <f t="shared" si="1"/>
        <v>0</v>
      </c>
      <c r="G2233" s="1083">
        <f t="shared" si="2"/>
        <v>200362.95</v>
      </c>
      <c r="H2233" s="1084"/>
    </row>
    <row r="2234" ht="14.25" customHeight="1">
      <c r="A2234" s="1085">
        <v>39584.0</v>
      </c>
      <c r="B2234" s="1086" t="s">
        <v>7545</v>
      </c>
      <c r="C2234" s="1087" t="s">
        <v>1788</v>
      </c>
      <c r="D2234" s="1088">
        <v>107868.13</v>
      </c>
      <c r="E2234" s="1089" t="s">
        <v>5482</v>
      </c>
      <c r="F2234" s="1081">
        <f t="shared" si="1"/>
        <v>0</v>
      </c>
      <c r="G2234" s="1083">
        <f t="shared" si="2"/>
        <v>107868.13</v>
      </c>
      <c r="H2234" s="1084"/>
    </row>
    <row r="2235" ht="14.25" customHeight="1">
      <c r="A2235" s="1085">
        <v>39590.0</v>
      </c>
      <c r="B2235" s="1086" t="s">
        <v>7546</v>
      </c>
      <c r="C2235" s="1087" t="s">
        <v>1788</v>
      </c>
      <c r="D2235" s="1088">
        <v>105281.63</v>
      </c>
      <c r="E2235" s="1089" t="s">
        <v>5482</v>
      </c>
      <c r="F2235" s="1081">
        <f t="shared" si="1"/>
        <v>0</v>
      </c>
      <c r="G2235" s="1083">
        <f t="shared" si="2"/>
        <v>105281.63</v>
      </c>
      <c r="H2235" s="1084"/>
    </row>
    <row r="2236" ht="14.25" customHeight="1">
      <c r="A2236" s="1085">
        <v>39592.0</v>
      </c>
      <c r="B2236" s="1086" t="s">
        <v>7547</v>
      </c>
      <c r="C2236" s="1087" t="s">
        <v>1788</v>
      </c>
      <c r="D2236" s="1088">
        <v>151292.24</v>
      </c>
      <c r="E2236" s="1089" t="s">
        <v>5482</v>
      </c>
      <c r="F2236" s="1081">
        <f t="shared" si="1"/>
        <v>0</v>
      </c>
      <c r="G2236" s="1083">
        <f t="shared" si="2"/>
        <v>151292.24</v>
      </c>
      <c r="H2236" s="1084"/>
    </row>
    <row r="2237" ht="14.25" customHeight="1">
      <c r="A2237" s="1085">
        <v>39593.0</v>
      </c>
      <c r="B2237" s="1086" t="s">
        <v>7548</v>
      </c>
      <c r="C2237" s="1087" t="s">
        <v>1788</v>
      </c>
      <c r="D2237" s="1088">
        <v>173040.74</v>
      </c>
      <c r="E2237" s="1089" t="s">
        <v>5482</v>
      </c>
      <c r="F2237" s="1081">
        <f t="shared" si="1"/>
        <v>0</v>
      </c>
      <c r="G2237" s="1083">
        <f t="shared" si="2"/>
        <v>173040.74</v>
      </c>
      <c r="H2237" s="1084"/>
    </row>
    <row r="2238" ht="14.25" customHeight="1">
      <c r="A2238" s="1085">
        <v>14254.0</v>
      </c>
      <c r="B2238" s="1086" t="s">
        <v>7549</v>
      </c>
      <c r="C2238" s="1087" t="s">
        <v>1788</v>
      </c>
      <c r="D2238" s="1088">
        <v>98360.0</v>
      </c>
      <c r="E2238" s="1089" t="s">
        <v>5482</v>
      </c>
      <c r="F2238" s="1081">
        <f t="shared" si="1"/>
        <v>0</v>
      </c>
      <c r="G2238" s="1083">
        <f t="shared" si="2"/>
        <v>98360</v>
      </c>
      <c r="H2238" s="1084"/>
    </row>
    <row r="2239" ht="14.25" customHeight="1">
      <c r="A2239" s="1085">
        <v>44494.0</v>
      </c>
      <c r="B2239" s="1086" t="s">
        <v>7550</v>
      </c>
      <c r="C2239" s="1087" t="s">
        <v>1788</v>
      </c>
      <c r="D2239" s="1088">
        <v>82138.44</v>
      </c>
      <c r="E2239" s="1089" t="s">
        <v>5554</v>
      </c>
      <c r="F2239" s="1081">
        <f t="shared" si="1"/>
        <v>0</v>
      </c>
      <c r="G2239" s="1083">
        <f t="shared" si="2"/>
        <v>82138.44</v>
      </c>
      <c r="H2239" s="1084"/>
    </row>
    <row r="2240" ht="14.25" customHeight="1">
      <c r="A2240" s="1085">
        <v>25019.0</v>
      </c>
      <c r="B2240" s="1086" t="s">
        <v>7551</v>
      </c>
      <c r="C2240" s="1087" t="s">
        <v>1788</v>
      </c>
      <c r="D2240" s="1088">
        <v>140794.48</v>
      </c>
      <c r="E2240" s="1089" t="s">
        <v>5482</v>
      </c>
      <c r="F2240" s="1081">
        <f t="shared" si="1"/>
        <v>0</v>
      </c>
      <c r="G2240" s="1083">
        <f t="shared" si="2"/>
        <v>140794.48</v>
      </c>
      <c r="H2240" s="1084"/>
    </row>
    <row r="2241" ht="14.25" customHeight="1">
      <c r="A2241" s="1085">
        <v>36501.0</v>
      </c>
      <c r="B2241" s="1086" t="s">
        <v>7552</v>
      </c>
      <c r="C2241" s="1087" t="s">
        <v>1788</v>
      </c>
      <c r="D2241" s="1088">
        <v>125355.61</v>
      </c>
      <c r="E2241" s="1089" t="s">
        <v>5482</v>
      </c>
      <c r="F2241" s="1081">
        <f t="shared" si="1"/>
        <v>0</v>
      </c>
      <c r="G2241" s="1083">
        <f t="shared" si="2"/>
        <v>125355.61</v>
      </c>
      <c r="H2241" s="1084"/>
    </row>
    <row r="2242" ht="14.25" customHeight="1">
      <c r="A2242" s="1085">
        <v>44493.0</v>
      </c>
      <c r="B2242" s="1086" t="s">
        <v>7553</v>
      </c>
      <c r="C2242" s="1087" t="s">
        <v>1788</v>
      </c>
      <c r="D2242" s="1088">
        <v>150701.45</v>
      </c>
      <c r="E2242" s="1089" t="s">
        <v>5554</v>
      </c>
      <c r="F2242" s="1081">
        <f t="shared" si="1"/>
        <v>0</v>
      </c>
      <c r="G2242" s="1083">
        <f t="shared" si="2"/>
        <v>150701.45</v>
      </c>
      <c r="H2242" s="1084"/>
    </row>
    <row r="2243" ht="14.25" customHeight="1">
      <c r="A2243" s="1085">
        <v>36500.0</v>
      </c>
      <c r="B2243" s="1086" t="s">
        <v>7554</v>
      </c>
      <c r="C2243" s="1087" t="s">
        <v>1788</v>
      </c>
      <c r="D2243" s="1088">
        <v>88585.38</v>
      </c>
      <c r="E2243" s="1089" t="s">
        <v>5482</v>
      </c>
      <c r="F2243" s="1081">
        <f t="shared" si="1"/>
        <v>0</v>
      </c>
      <c r="G2243" s="1083">
        <f t="shared" si="2"/>
        <v>88585.38</v>
      </c>
      <c r="H2243" s="1084"/>
    </row>
    <row r="2244" ht="14.25" customHeight="1">
      <c r="A2244" s="1085">
        <v>20017.0</v>
      </c>
      <c r="B2244" s="1086" t="s">
        <v>7555</v>
      </c>
      <c r="C2244" s="1087" t="s">
        <v>1731</v>
      </c>
      <c r="D2244" s="1088">
        <v>10.18</v>
      </c>
      <c r="E2244" s="1089" t="s">
        <v>5308</v>
      </c>
      <c r="F2244" s="1081">
        <f t="shared" si="1"/>
        <v>0</v>
      </c>
      <c r="G2244" s="1083">
        <f t="shared" si="2"/>
        <v>10.18</v>
      </c>
      <c r="H2244" s="1084"/>
    </row>
    <row r="2245" ht="14.25" customHeight="1">
      <c r="A2245" s="1085">
        <v>20007.0</v>
      </c>
      <c r="B2245" s="1086" t="s">
        <v>7556</v>
      </c>
      <c r="C2245" s="1087" t="s">
        <v>1731</v>
      </c>
      <c r="D2245" s="1088">
        <v>6.07</v>
      </c>
      <c r="E2245" s="1089" t="s">
        <v>5308</v>
      </c>
      <c r="F2245" s="1081">
        <f t="shared" si="1"/>
        <v>0</v>
      </c>
      <c r="G2245" s="1083">
        <f t="shared" si="2"/>
        <v>6.07</v>
      </c>
      <c r="H2245" s="1084"/>
    </row>
    <row r="2246" ht="14.25" customHeight="1">
      <c r="A2246" s="1085">
        <v>39831.0</v>
      </c>
      <c r="B2246" s="1086" t="s">
        <v>7557</v>
      </c>
      <c r="C2246" s="1087" t="s">
        <v>5763</v>
      </c>
      <c r="D2246" s="1088">
        <v>254.19</v>
      </c>
      <c r="E2246" s="1089" t="s">
        <v>5308</v>
      </c>
      <c r="F2246" s="1081">
        <f t="shared" si="1"/>
        <v>0</v>
      </c>
      <c r="G2246" s="1083">
        <f t="shared" si="2"/>
        <v>254.19</v>
      </c>
      <c r="H2246" s="1084"/>
    </row>
    <row r="2247" ht="14.25" customHeight="1">
      <c r="A2247" s="1085">
        <v>36888.0</v>
      </c>
      <c r="B2247" s="1086" t="s">
        <v>7558</v>
      </c>
      <c r="C2247" s="1087" t="s">
        <v>1731</v>
      </c>
      <c r="D2247" s="1088">
        <v>49.13</v>
      </c>
      <c r="E2247" s="1089" t="s">
        <v>5308</v>
      </c>
      <c r="F2247" s="1081">
        <f t="shared" si="1"/>
        <v>0</v>
      </c>
      <c r="G2247" s="1083">
        <f t="shared" si="2"/>
        <v>49.13</v>
      </c>
      <c r="H2247" s="1084"/>
    </row>
    <row r="2248" ht="14.25" customHeight="1">
      <c r="A2248" s="1085">
        <v>39836.0</v>
      </c>
      <c r="B2248" s="1086" t="s">
        <v>7559</v>
      </c>
      <c r="C2248" s="1087" t="s">
        <v>5763</v>
      </c>
      <c r="D2248" s="1088">
        <v>223.36</v>
      </c>
      <c r="E2248" s="1089" t="s">
        <v>5308</v>
      </c>
      <c r="F2248" s="1081">
        <f t="shared" si="1"/>
        <v>0</v>
      </c>
      <c r="G2248" s="1083">
        <f t="shared" si="2"/>
        <v>223.36</v>
      </c>
      <c r="H2248" s="1084"/>
    </row>
    <row r="2249" ht="14.25" customHeight="1">
      <c r="A2249" s="1085">
        <v>39830.0</v>
      </c>
      <c r="B2249" s="1086" t="s">
        <v>7560</v>
      </c>
      <c r="C2249" s="1087" t="s">
        <v>5763</v>
      </c>
      <c r="D2249" s="1088">
        <v>254.74</v>
      </c>
      <c r="E2249" s="1089" t="s">
        <v>5308</v>
      </c>
      <c r="F2249" s="1081">
        <f t="shared" si="1"/>
        <v>0</v>
      </c>
      <c r="G2249" s="1083">
        <f t="shared" si="2"/>
        <v>254.74</v>
      </c>
      <c r="H2249" s="1084"/>
    </row>
    <row r="2250" ht="14.25" customHeight="1">
      <c r="A2250" s="1085">
        <v>40527.0</v>
      </c>
      <c r="B2250" s="1086" t="s">
        <v>7561</v>
      </c>
      <c r="C2250" s="1087" t="s">
        <v>1788</v>
      </c>
      <c r="D2250" s="1088">
        <v>2413.53</v>
      </c>
      <c r="E2250" s="1089" t="s">
        <v>5482</v>
      </c>
      <c r="F2250" s="1081">
        <f t="shared" si="1"/>
        <v>0</v>
      </c>
      <c r="G2250" s="1083">
        <f t="shared" si="2"/>
        <v>2413.53</v>
      </c>
      <c r="H2250" s="1084"/>
    </row>
    <row r="2251" ht="14.25" customHeight="1">
      <c r="A2251" s="1085">
        <v>36497.0</v>
      </c>
      <c r="B2251" s="1086" t="s">
        <v>7562</v>
      </c>
      <c r="C2251" s="1087" t="s">
        <v>1788</v>
      </c>
      <c r="D2251" s="1088">
        <v>2755.3</v>
      </c>
      <c r="E2251" s="1089" t="s">
        <v>5482</v>
      </c>
      <c r="F2251" s="1081">
        <f t="shared" si="1"/>
        <v>0</v>
      </c>
      <c r="G2251" s="1083">
        <f t="shared" si="2"/>
        <v>2755.3</v>
      </c>
      <c r="H2251" s="1084"/>
    </row>
    <row r="2252" ht="14.25" customHeight="1">
      <c r="A2252" s="1085">
        <v>36487.0</v>
      </c>
      <c r="B2252" s="1086" t="s">
        <v>7563</v>
      </c>
      <c r="C2252" s="1087" t="s">
        <v>1788</v>
      </c>
      <c r="D2252" s="1088">
        <v>4797.4</v>
      </c>
      <c r="E2252" s="1089" t="s">
        <v>5482</v>
      </c>
      <c r="F2252" s="1081">
        <f t="shared" si="1"/>
        <v>0</v>
      </c>
      <c r="G2252" s="1083">
        <f t="shared" si="2"/>
        <v>4797.4</v>
      </c>
      <c r="H2252" s="1084"/>
    </row>
    <row r="2253" ht="14.25" customHeight="1">
      <c r="A2253" s="1085">
        <v>44475.0</v>
      </c>
      <c r="B2253" s="1086" t="s">
        <v>7564</v>
      </c>
      <c r="C2253" s="1087" t="s">
        <v>1788</v>
      </c>
      <c r="D2253" s="1088">
        <v>1258165.24</v>
      </c>
      <c r="E2253" s="1089" t="s">
        <v>5554</v>
      </c>
      <c r="F2253" s="1081">
        <f t="shared" si="1"/>
        <v>0</v>
      </c>
      <c r="G2253" s="1083">
        <f t="shared" si="2"/>
        <v>1258165.24</v>
      </c>
      <c r="H2253" s="1084"/>
    </row>
    <row r="2254" ht="14.25" customHeight="1">
      <c r="A2254" s="1085">
        <v>44474.0</v>
      </c>
      <c r="B2254" s="1086" t="s">
        <v>7565</v>
      </c>
      <c r="C2254" s="1087" t="s">
        <v>1788</v>
      </c>
      <c r="D2254" s="1088">
        <v>2419548.54</v>
      </c>
      <c r="E2254" s="1089" t="s">
        <v>5554</v>
      </c>
      <c r="F2254" s="1081">
        <f t="shared" si="1"/>
        <v>0</v>
      </c>
      <c r="G2254" s="1083">
        <f t="shared" si="2"/>
        <v>2419548.54</v>
      </c>
      <c r="H2254" s="1084"/>
    </row>
    <row r="2255" ht="14.25" customHeight="1">
      <c r="A2255" s="1085">
        <v>44490.0</v>
      </c>
      <c r="B2255" s="1086" t="s">
        <v>7566</v>
      </c>
      <c r="C2255" s="1087" t="s">
        <v>1788</v>
      </c>
      <c r="D2255" s="1088">
        <v>4113232.5</v>
      </c>
      <c r="E2255" s="1089" t="s">
        <v>5554</v>
      </c>
      <c r="F2255" s="1081">
        <f t="shared" si="1"/>
        <v>0</v>
      </c>
      <c r="G2255" s="1083">
        <f t="shared" si="2"/>
        <v>4113232.5</v>
      </c>
      <c r="H2255" s="1084"/>
    </row>
    <row r="2256" ht="14.25" customHeight="1">
      <c r="A2256" s="1085">
        <v>37776.0</v>
      </c>
      <c r="B2256" s="1086" t="s">
        <v>7567</v>
      </c>
      <c r="C2256" s="1087" t="s">
        <v>1788</v>
      </c>
      <c r="D2256" s="1088">
        <v>252088.58</v>
      </c>
      <c r="E2256" s="1089" t="s">
        <v>5482</v>
      </c>
      <c r="F2256" s="1081">
        <f t="shared" si="1"/>
        <v>0</v>
      </c>
      <c r="G2256" s="1083">
        <f t="shared" si="2"/>
        <v>252088.58</v>
      </c>
      <c r="H2256" s="1084"/>
    </row>
    <row r="2257" ht="14.25" customHeight="1">
      <c r="A2257" s="1085">
        <v>37775.0</v>
      </c>
      <c r="B2257" s="1086" t="s">
        <v>7568</v>
      </c>
      <c r="C2257" s="1087" t="s">
        <v>1788</v>
      </c>
      <c r="D2257" s="1088">
        <v>397058.59</v>
      </c>
      <c r="E2257" s="1089" t="s">
        <v>5482</v>
      </c>
      <c r="F2257" s="1081">
        <f t="shared" si="1"/>
        <v>0</v>
      </c>
      <c r="G2257" s="1083">
        <f t="shared" si="2"/>
        <v>397058.59</v>
      </c>
      <c r="H2257" s="1084"/>
    </row>
    <row r="2258" ht="14.25" customHeight="1">
      <c r="A2258" s="1085">
        <v>36491.0</v>
      </c>
      <c r="B2258" s="1086" t="s">
        <v>7569</v>
      </c>
      <c r="C2258" s="1087" t="s">
        <v>1788</v>
      </c>
      <c r="D2258" s="1088">
        <v>1470425.78</v>
      </c>
      <c r="E2258" s="1089" t="s">
        <v>5482</v>
      </c>
      <c r="F2258" s="1081">
        <f t="shared" si="1"/>
        <v>0</v>
      </c>
      <c r="G2258" s="1083">
        <f t="shared" si="2"/>
        <v>1470425.78</v>
      </c>
      <c r="H2258" s="1084"/>
    </row>
    <row r="2259" ht="14.25" customHeight="1">
      <c r="A2259" s="1085">
        <v>10712.0</v>
      </c>
      <c r="B2259" s="1086" t="s">
        <v>7570</v>
      </c>
      <c r="C2259" s="1087" t="s">
        <v>1788</v>
      </c>
      <c r="D2259" s="1088">
        <v>99264.64</v>
      </c>
      <c r="E2259" s="1089" t="s">
        <v>5482</v>
      </c>
      <c r="F2259" s="1081">
        <f t="shared" si="1"/>
        <v>0</v>
      </c>
      <c r="G2259" s="1083">
        <f t="shared" si="2"/>
        <v>99264.64</v>
      </c>
      <c r="H2259" s="1084"/>
    </row>
    <row r="2260" ht="14.25" customHeight="1">
      <c r="A2260" s="1085">
        <v>3363.0</v>
      </c>
      <c r="B2260" s="1086" t="s">
        <v>7571</v>
      </c>
      <c r="C2260" s="1087" t="s">
        <v>1788</v>
      </c>
      <c r="D2260" s="1088">
        <v>139625.0</v>
      </c>
      <c r="E2260" s="1089" t="s">
        <v>5482</v>
      </c>
      <c r="F2260" s="1081">
        <f t="shared" si="1"/>
        <v>0</v>
      </c>
      <c r="G2260" s="1083">
        <f t="shared" si="2"/>
        <v>139625</v>
      </c>
      <c r="H2260" s="1084"/>
    </row>
    <row r="2261" ht="14.25" customHeight="1">
      <c r="A2261" s="1085">
        <v>3365.0</v>
      </c>
      <c r="B2261" s="1086" t="s">
        <v>7572</v>
      </c>
      <c r="C2261" s="1087" t="s">
        <v>1788</v>
      </c>
      <c r="D2261" s="1088">
        <v>326373.43</v>
      </c>
      <c r="E2261" s="1089" t="s">
        <v>5482</v>
      </c>
      <c r="F2261" s="1081">
        <f t="shared" si="1"/>
        <v>0</v>
      </c>
      <c r="G2261" s="1083">
        <f t="shared" si="2"/>
        <v>326373.43</v>
      </c>
      <c r="H2261" s="1084"/>
    </row>
    <row r="2262" ht="14.25" customHeight="1">
      <c r="A2262" s="1085">
        <v>7569.0</v>
      </c>
      <c r="B2262" s="1086" t="s">
        <v>7573</v>
      </c>
      <c r="C2262" s="1087" t="s">
        <v>1788</v>
      </c>
      <c r="D2262" s="1088">
        <v>43.81</v>
      </c>
      <c r="E2262" s="1089" t="s">
        <v>5308</v>
      </c>
      <c r="F2262" s="1081">
        <f t="shared" si="1"/>
        <v>0</v>
      </c>
      <c r="G2262" s="1083">
        <f t="shared" si="2"/>
        <v>43.81</v>
      </c>
      <c r="H2262" s="1084"/>
    </row>
    <row r="2263" ht="14.25" customHeight="1">
      <c r="A2263" s="1085">
        <v>34349.0</v>
      </c>
      <c r="B2263" s="1086" t="s">
        <v>7574</v>
      </c>
      <c r="C2263" s="1087" t="s">
        <v>1788</v>
      </c>
      <c r="D2263" s="1088">
        <v>35.58</v>
      </c>
      <c r="E2263" s="1089" t="s">
        <v>5308</v>
      </c>
      <c r="F2263" s="1081">
        <f t="shared" si="1"/>
        <v>0</v>
      </c>
      <c r="G2263" s="1083">
        <f t="shared" si="2"/>
        <v>35.58</v>
      </c>
      <c r="H2263" s="1084"/>
    </row>
    <row r="2264" ht="14.25" customHeight="1">
      <c r="A2264" s="1085">
        <v>3378.0</v>
      </c>
      <c r="B2264" s="1086" t="s">
        <v>7575</v>
      </c>
      <c r="C2264" s="1087" t="s">
        <v>1788</v>
      </c>
      <c r="D2264" s="1088">
        <v>93.59</v>
      </c>
      <c r="E2264" s="1089" t="s">
        <v>5308</v>
      </c>
      <c r="F2264" s="1081">
        <f t="shared" si="1"/>
        <v>0</v>
      </c>
      <c r="G2264" s="1083">
        <f t="shared" si="2"/>
        <v>93.59</v>
      </c>
      <c r="H2264" s="1084"/>
    </row>
    <row r="2265" ht="14.25" customHeight="1">
      <c r="A2265" s="1085">
        <v>3380.0</v>
      </c>
      <c r="B2265" s="1086" t="s">
        <v>7576</v>
      </c>
      <c r="C2265" s="1087" t="s">
        <v>1788</v>
      </c>
      <c r="D2265" s="1088">
        <v>65.52</v>
      </c>
      <c r="E2265" s="1089" t="s">
        <v>5308</v>
      </c>
      <c r="F2265" s="1081">
        <f t="shared" si="1"/>
        <v>0</v>
      </c>
      <c r="G2265" s="1083">
        <f t="shared" si="2"/>
        <v>65.52</v>
      </c>
      <c r="H2265" s="1084"/>
    </row>
    <row r="2266" ht="14.25" customHeight="1">
      <c r="A2266" s="1085">
        <v>3379.0</v>
      </c>
      <c r="B2266" s="1086" t="s">
        <v>7577</v>
      </c>
      <c r="C2266" s="1087" t="s">
        <v>1788</v>
      </c>
      <c r="D2266" s="1088">
        <v>63.26</v>
      </c>
      <c r="E2266" s="1089" t="s">
        <v>5308</v>
      </c>
      <c r="F2266" s="1081">
        <f t="shared" si="1"/>
        <v>0</v>
      </c>
      <c r="G2266" s="1083">
        <f t="shared" si="2"/>
        <v>63.26</v>
      </c>
      <c r="H2266" s="1084"/>
    </row>
    <row r="2267" ht="14.25" customHeight="1">
      <c r="A2267" s="1085">
        <v>11991.0</v>
      </c>
      <c r="B2267" s="1086" t="s">
        <v>7578</v>
      </c>
      <c r="C2267" s="1087" t="s">
        <v>1788</v>
      </c>
      <c r="D2267" s="1088">
        <v>73.44</v>
      </c>
      <c r="E2267" s="1089" t="s">
        <v>5308</v>
      </c>
      <c r="F2267" s="1081">
        <f t="shared" si="1"/>
        <v>0</v>
      </c>
      <c r="G2267" s="1083">
        <f t="shared" si="2"/>
        <v>73.44</v>
      </c>
      <c r="H2267" s="1084"/>
    </row>
    <row r="2268" ht="14.25" customHeight="1">
      <c r="A2268" s="1085">
        <v>11029.0</v>
      </c>
      <c r="B2268" s="1086" t="s">
        <v>7579</v>
      </c>
      <c r="C2268" s="1087" t="s">
        <v>4034</v>
      </c>
      <c r="D2268" s="1088">
        <v>1.41</v>
      </c>
      <c r="E2268" s="1089" t="s">
        <v>5308</v>
      </c>
      <c r="F2268" s="1081">
        <f t="shared" si="1"/>
        <v>0</v>
      </c>
      <c r="G2268" s="1083">
        <f t="shared" si="2"/>
        <v>1.41</v>
      </c>
      <c r="H2268" s="1084"/>
    </row>
    <row r="2269" ht="14.25" customHeight="1">
      <c r="A2269" s="1085">
        <v>4316.0</v>
      </c>
      <c r="B2269" s="1086" t="s">
        <v>7580</v>
      </c>
      <c r="C2269" s="1087" t="s">
        <v>1788</v>
      </c>
      <c r="D2269" s="1088">
        <v>1.42</v>
      </c>
      <c r="E2269" s="1089" t="s">
        <v>5308</v>
      </c>
      <c r="F2269" s="1081">
        <f t="shared" si="1"/>
        <v>0</v>
      </c>
      <c r="G2269" s="1083">
        <f t="shared" si="2"/>
        <v>1.42</v>
      </c>
      <c r="H2269" s="1084"/>
    </row>
    <row r="2270" ht="14.25" customHeight="1">
      <c r="A2270" s="1085">
        <v>4313.0</v>
      </c>
      <c r="B2270" s="1086" t="s">
        <v>7581</v>
      </c>
      <c r="C2270" s="1087" t="s">
        <v>4034</v>
      </c>
      <c r="D2270" s="1088">
        <v>2.04</v>
      </c>
      <c r="E2270" s="1089" t="s">
        <v>5308</v>
      </c>
      <c r="F2270" s="1081">
        <f t="shared" si="1"/>
        <v>0</v>
      </c>
      <c r="G2270" s="1083">
        <f t="shared" si="2"/>
        <v>2.04</v>
      </c>
      <c r="H2270" s="1084"/>
    </row>
    <row r="2271" ht="14.25" customHeight="1">
      <c r="A2271" s="1085">
        <v>4317.0</v>
      </c>
      <c r="B2271" s="1086" t="s">
        <v>7582</v>
      </c>
      <c r="C2271" s="1087" t="s">
        <v>1788</v>
      </c>
      <c r="D2271" s="1088">
        <v>2.33</v>
      </c>
      <c r="E2271" s="1089" t="s">
        <v>5308</v>
      </c>
      <c r="F2271" s="1081">
        <f t="shared" si="1"/>
        <v>0</v>
      </c>
      <c r="G2271" s="1083">
        <f t="shared" si="2"/>
        <v>2.33</v>
      </c>
      <c r="H2271" s="1084"/>
    </row>
    <row r="2272" ht="14.25" customHeight="1">
      <c r="A2272" s="1085">
        <v>4314.0</v>
      </c>
      <c r="B2272" s="1086" t="s">
        <v>7583</v>
      </c>
      <c r="C2272" s="1087" t="s">
        <v>4034</v>
      </c>
      <c r="D2272" s="1088">
        <v>2.73</v>
      </c>
      <c r="E2272" s="1089" t="s">
        <v>5308</v>
      </c>
      <c r="F2272" s="1081">
        <f t="shared" si="1"/>
        <v>0</v>
      </c>
      <c r="G2272" s="1083">
        <f t="shared" si="2"/>
        <v>2.73</v>
      </c>
      <c r="H2272" s="1084"/>
    </row>
    <row r="2273" ht="14.25" customHeight="1">
      <c r="A2273" s="1085">
        <v>10921.0</v>
      </c>
      <c r="B2273" s="1086" t="s">
        <v>7584</v>
      </c>
      <c r="C2273" s="1087" t="s">
        <v>1788</v>
      </c>
      <c r="D2273" s="1088">
        <v>5965.0</v>
      </c>
      <c r="E2273" s="1089" t="s">
        <v>5308</v>
      </c>
      <c r="F2273" s="1081">
        <f t="shared" si="1"/>
        <v>0</v>
      </c>
      <c r="G2273" s="1083">
        <f t="shared" si="2"/>
        <v>5965</v>
      </c>
      <c r="H2273" s="1084"/>
    </row>
    <row r="2274" ht="14.25" customHeight="1">
      <c r="A2274" s="1085">
        <v>10922.0</v>
      </c>
      <c r="B2274" s="1086" t="s">
        <v>7585</v>
      </c>
      <c r="C2274" s="1087" t="s">
        <v>1788</v>
      </c>
      <c r="D2274" s="1088">
        <v>5402.94</v>
      </c>
      <c r="E2274" s="1089" t="s">
        <v>5308</v>
      </c>
      <c r="F2274" s="1081">
        <f t="shared" si="1"/>
        <v>0</v>
      </c>
      <c r="G2274" s="1083">
        <f t="shared" si="2"/>
        <v>5402.94</v>
      </c>
      <c r="H2274" s="1084"/>
    </row>
    <row r="2275" ht="14.25" customHeight="1">
      <c r="A2275" s="1085">
        <v>10923.0</v>
      </c>
      <c r="B2275" s="1086" t="s">
        <v>7586</v>
      </c>
      <c r="C2275" s="1087" t="s">
        <v>1788</v>
      </c>
      <c r="D2275" s="1088">
        <v>3193.37</v>
      </c>
      <c r="E2275" s="1089" t="s">
        <v>5308</v>
      </c>
      <c r="F2275" s="1081">
        <f t="shared" si="1"/>
        <v>0</v>
      </c>
      <c r="G2275" s="1083">
        <f t="shared" si="2"/>
        <v>3193.37</v>
      </c>
      <c r="H2275" s="1084"/>
    </row>
    <row r="2276" ht="14.25" customHeight="1">
      <c r="A2276" s="1085">
        <v>10924.0</v>
      </c>
      <c r="B2276" s="1086" t="s">
        <v>7587</v>
      </c>
      <c r="C2276" s="1087" t="s">
        <v>1788</v>
      </c>
      <c r="D2276" s="1088">
        <v>3363.24</v>
      </c>
      <c r="E2276" s="1089" t="s">
        <v>5308</v>
      </c>
      <c r="F2276" s="1081">
        <f t="shared" si="1"/>
        <v>0</v>
      </c>
      <c r="G2276" s="1083">
        <f t="shared" si="2"/>
        <v>3363.24</v>
      </c>
      <c r="H2276" s="1084"/>
    </row>
    <row r="2277" ht="14.25" customHeight="1">
      <c r="A2277" s="1085">
        <v>37772.0</v>
      </c>
      <c r="B2277" s="1086" t="s">
        <v>7588</v>
      </c>
      <c r="C2277" s="1087" t="s">
        <v>1788</v>
      </c>
      <c r="D2277" s="1088">
        <v>273236.33</v>
      </c>
      <c r="E2277" s="1089" t="s">
        <v>5482</v>
      </c>
      <c r="F2277" s="1081">
        <f t="shared" si="1"/>
        <v>0</v>
      </c>
      <c r="G2277" s="1083">
        <f t="shared" si="2"/>
        <v>273236.33</v>
      </c>
      <c r="H2277" s="1084"/>
    </row>
    <row r="2278" ht="14.25" customHeight="1">
      <c r="A2278" s="1085">
        <v>37771.0</v>
      </c>
      <c r="B2278" s="1086" t="s">
        <v>7589</v>
      </c>
      <c r="C2278" s="1087" t="s">
        <v>1788</v>
      </c>
      <c r="D2278" s="1088">
        <v>290679.93</v>
      </c>
      <c r="E2278" s="1089" t="s">
        <v>5482</v>
      </c>
      <c r="F2278" s="1081">
        <f t="shared" si="1"/>
        <v>0</v>
      </c>
      <c r="G2278" s="1083">
        <f t="shared" si="2"/>
        <v>290679.93</v>
      </c>
      <c r="H2278" s="1084"/>
    </row>
    <row r="2279" ht="14.25" customHeight="1">
      <c r="A2279" s="1085">
        <v>12772.0</v>
      </c>
      <c r="B2279" s="1086" t="s">
        <v>7590</v>
      </c>
      <c r="C2279" s="1087" t="s">
        <v>1788</v>
      </c>
      <c r="D2279" s="1088">
        <v>798.23</v>
      </c>
      <c r="E2279" s="1089" t="s">
        <v>5308</v>
      </c>
      <c r="F2279" s="1081">
        <f t="shared" si="1"/>
        <v>0</v>
      </c>
      <c r="G2279" s="1083">
        <f t="shared" si="2"/>
        <v>798.23</v>
      </c>
      <c r="H2279" s="1084"/>
    </row>
    <row r="2280" ht="14.25" customHeight="1">
      <c r="A2280" s="1085">
        <v>12770.0</v>
      </c>
      <c r="B2280" s="1086" t="s">
        <v>7591</v>
      </c>
      <c r="C2280" s="1087" t="s">
        <v>1788</v>
      </c>
      <c r="D2280" s="1088">
        <v>480.29</v>
      </c>
      <c r="E2280" s="1089" t="s">
        <v>5308</v>
      </c>
      <c r="F2280" s="1081">
        <f t="shared" si="1"/>
        <v>0</v>
      </c>
      <c r="G2280" s="1083">
        <f t="shared" si="2"/>
        <v>480.29</v>
      </c>
      <c r="H2280" s="1084"/>
    </row>
    <row r="2281" ht="14.25" customHeight="1">
      <c r="A2281" s="1085">
        <v>12775.0</v>
      </c>
      <c r="B2281" s="1086" t="s">
        <v>7592</v>
      </c>
      <c r="C2281" s="1087" t="s">
        <v>1788</v>
      </c>
      <c r="D2281" s="1088">
        <v>351.76</v>
      </c>
      <c r="E2281" s="1089" t="s">
        <v>5308</v>
      </c>
      <c r="F2281" s="1081">
        <f t="shared" si="1"/>
        <v>0</v>
      </c>
      <c r="G2281" s="1083">
        <f t="shared" si="2"/>
        <v>351.76</v>
      </c>
      <c r="H2281" s="1084"/>
    </row>
    <row r="2282" ht="14.25" customHeight="1">
      <c r="A2282" s="1085">
        <v>12768.0</v>
      </c>
      <c r="B2282" s="1086" t="s">
        <v>7593</v>
      </c>
      <c r="C2282" s="1087" t="s">
        <v>1788</v>
      </c>
      <c r="D2282" s="1088">
        <v>1122.94</v>
      </c>
      <c r="E2282" s="1089" t="s">
        <v>5308</v>
      </c>
      <c r="F2282" s="1081">
        <f t="shared" si="1"/>
        <v>0</v>
      </c>
      <c r="G2282" s="1083">
        <f t="shared" si="2"/>
        <v>1122.94</v>
      </c>
      <c r="H2282" s="1084"/>
    </row>
    <row r="2283" ht="14.25" customHeight="1">
      <c r="A2283" s="1085">
        <v>12769.0</v>
      </c>
      <c r="B2283" s="1086" t="s">
        <v>7594</v>
      </c>
      <c r="C2283" s="1087" t="s">
        <v>1788</v>
      </c>
      <c r="D2283" s="1088">
        <v>92.0</v>
      </c>
      <c r="E2283" s="1089" t="s">
        <v>5308</v>
      </c>
      <c r="F2283" s="1081">
        <f t="shared" si="1"/>
        <v>0</v>
      </c>
      <c r="G2283" s="1083">
        <f t="shared" si="2"/>
        <v>92</v>
      </c>
      <c r="H2283" s="1084"/>
    </row>
    <row r="2284" ht="14.25" customHeight="1">
      <c r="A2284" s="1085">
        <v>12773.0</v>
      </c>
      <c r="B2284" s="1086" t="s">
        <v>7595</v>
      </c>
      <c r="C2284" s="1087" t="s">
        <v>1788</v>
      </c>
      <c r="D2284" s="1088">
        <v>98.76</v>
      </c>
      <c r="E2284" s="1089" t="s">
        <v>5308</v>
      </c>
      <c r="F2284" s="1081">
        <f t="shared" si="1"/>
        <v>0</v>
      </c>
      <c r="G2284" s="1083">
        <f t="shared" si="2"/>
        <v>98.76</v>
      </c>
      <c r="H2284" s="1084"/>
    </row>
    <row r="2285" ht="14.25" customHeight="1">
      <c r="A2285" s="1085">
        <v>12774.0</v>
      </c>
      <c r="B2285" s="1086" t="s">
        <v>7596</v>
      </c>
      <c r="C2285" s="1087" t="s">
        <v>1788</v>
      </c>
      <c r="D2285" s="1088">
        <v>121.76</v>
      </c>
      <c r="E2285" s="1089" t="s">
        <v>5308</v>
      </c>
      <c r="F2285" s="1081">
        <f t="shared" si="1"/>
        <v>0</v>
      </c>
      <c r="G2285" s="1083">
        <f t="shared" si="2"/>
        <v>121.76</v>
      </c>
      <c r="H2285" s="1084"/>
    </row>
    <row r="2286" ht="14.25" customHeight="1">
      <c r="A2286" s="1085">
        <v>12776.0</v>
      </c>
      <c r="B2286" s="1086" t="s">
        <v>7597</v>
      </c>
      <c r="C2286" s="1087" t="s">
        <v>1788</v>
      </c>
      <c r="D2286" s="1088">
        <v>1812.94</v>
      </c>
      <c r="E2286" s="1089" t="s">
        <v>5308</v>
      </c>
      <c r="F2286" s="1081">
        <f t="shared" si="1"/>
        <v>0</v>
      </c>
      <c r="G2286" s="1083">
        <f t="shared" si="2"/>
        <v>1812.94</v>
      </c>
      <c r="H2286" s="1084"/>
    </row>
    <row r="2287" ht="14.25" customHeight="1">
      <c r="A2287" s="1085">
        <v>12777.0</v>
      </c>
      <c r="B2287" s="1086" t="s">
        <v>7598</v>
      </c>
      <c r="C2287" s="1087" t="s">
        <v>1788</v>
      </c>
      <c r="D2287" s="1088">
        <v>2367.64</v>
      </c>
      <c r="E2287" s="1089" t="s">
        <v>5308</v>
      </c>
      <c r="F2287" s="1081">
        <f t="shared" si="1"/>
        <v>0</v>
      </c>
      <c r="G2287" s="1083">
        <f t="shared" si="2"/>
        <v>2367.64</v>
      </c>
      <c r="H2287" s="1084"/>
    </row>
    <row r="2288" ht="14.25" customHeight="1">
      <c r="A2288" s="1085">
        <v>3391.0</v>
      </c>
      <c r="B2288" s="1086" t="s">
        <v>7599</v>
      </c>
      <c r="C2288" s="1087" t="s">
        <v>1788</v>
      </c>
      <c r="D2288" s="1088">
        <v>55.9</v>
      </c>
      <c r="E2288" s="1089" t="s">
        <v>5308</v>
      </c>
      <c r="F2288" s="1081">
        <f t="shared" si="1"/>
        <v>0</v>
      </c>
      <c r="G2288" s="1083">
        <f t="shared" si="2"/>
        <v>55.9</v>
      </c>
      <c r="H2288" s="1084"/>
    </row>
    <row r="2289" ht="14.25" customHeight="1">
      <c r="A2289" s="1085">
        <v>3389.0</v>
      </c>
      <c r="B2289" s="1086" t="s">
        <v>7600</v>
      </c>
      <c r="C2289" s="1087" t="s">
        <v>1788</v>
      </c>
      <c r="D2289" s="1088">
        <v>29.0</v>
      </c>
      <c r="E2289" s="1089" t="s">
        <v>5308</v>
      </c>
      <c r="F2289" s="1081">
        <f t="shared" si="1"/>
        <v>0</v>
      </c>
      <c r="G2289" s="1083">
        <f t="shared" si="2"/>
        <v>29</v>
      </c>
      <c r="H2289" s="1084"/>
    </row>
    <row r="2290" ht="14.25" customHeight="1">
      <c r="A2290" s="1085">
        <v>3390.0</v>
      </c>
      <c r="B2290" s="1086" t="s">
        <v>7601</v>
      </c>
      <c r="C2290" s="1087" t="s">
        <v>1788</v>
      </c>
      <c r="D2290" s="1088">
        <v>32.63</v>
      </c>
      <c r="E2290" s="1089" t="s">
        <v>5308</v>
      </c>
      <c r="F2290" s="1081">
        <f t="shared" si="1"/>
        <v>0</v>
      </c>
      <c r="G2290" s="1083">
        <f t="shared" si="2"/>
        <v>32.63</v>
      </c>
      <c r="H2290" s="1084"/>
    </row>
    <row r="2291" ht="14.25" customHeight="1">
      <c r="A2291" s="1085">
        <v>12873.0</v>
      </c>
      <c r="B2291" s="1086" t="s">
        <v>7602</v>
      </c>
      <c r="C2291" s="1087" t="s">
        <v>1470</v>
      </c>
      <c r="D2291" s="1088">
        <v>20.82</v>
      </c>
      <c r="E2291" s="1089" t="s">
        <v>5452</v>
      </c>
      <c r="F2291" s="1081">
        <f t="shared" si="1"/>
        <v>20.82</v>
      </c>
      <c r="G2291" s="1083">
        <f t="shared" si="2"/>
        <v>0</v>
      </c>
      <c r="H2291" s="1084"/>
    </row>
    <row r="2292" ht="14.25" customHeight="1">
      <c r="A2292" s="1085">
        <v>41076.0</v>
      </c>
      <c r="B2292" s="1086" t="s">
        <v>7603</v>
      </c>
      <c r="C2292" s="1087" t="s">
        <v>5454</v>
      </c>
      <c r="D2292" s="1088">
        <v>3643.51</v>
      </c>
      <c r="E2292" s="1089" t="s">
        <v>5452</v>
      </c>
      <c r="F2292" s="1081">
        <f t="shared" si="1"/>
        <v>3643.51</v>
      </c>
      <c r="G2292" s="1083">
        <f t="shared" si="2"/>
        <v>0</v>
      </c>
      <c r="H2292" s="1084"/>
    </row>
    <row r="2293" ht="14.25" customHeight="1">
      <c r="A2293" s="1085">
        <v>140.0</v>
      </c>
      <c r="B2293" s="1086" t="s">
        <v>7604</v>
      </c>
      <c r="C2293" s="1087" t="s">
        <v>3606</v>
      </c>
      <c r="D2293" s="1088">
        <v>18.38</v>
      </c>
      <c r="E2293" s="1089" t="s">
        <v>5308</v>
      </c>
      <c r="F2293" s="1081">
        <f t="shared" si="1"/>
        <v>0</v>
      </c>
      <c r="G2293" s="1083">
        <f t="shared" si="2"/>
        <v>18.38</v>
      </c>
      <c r="H2293" s="1084"/>
    </row>
    <row r="2294" ht="14.25" customHeight="1">
      <c r="A2294" s="1085">
        <v>151.0</v>
      </c>
      <c r="B2294" s="1086" t="s">
        <v>7605</v>
      </c>
      <c r="C2294" s="1087" t="s">
        <v>2386</v>
      </c>
      <c r="D2294" s="1088">
        <v>27.12</v>
      </c>
      <c r="E2294" s="1089" t="s">
        <v>5308</v>
      </c>
      <c r="F2294" s="1081">
        <f t="shared" si="1"/>
        <v>0</v>
      </c>
      <c r="G2294" s="1083">
        <f t="shared" si="2"/>
        <v>27.12</v>
      </c>
      <c r="H2294" s="1084"/>
    </row>
    <row r="2295" ht="14.25" customHeight="1">
      <c r="A2295" s="1085">
        <v>7340.0</v>
      </c>
      <c r="B2295" s="1086" t="s">
        <v>7606</v>
      </c>
      <c r="C2295" s="1087" t="s">
        <v>2386</v>
      </c>
      <c r="D2295" s="1088">
        <v>28.35</v>
      </c>
      <c r="E2295" s="1089" t="s">
        <v>5308</v>
      </c>
      <c r="F2295" s="1081">
        <f t="shared" si="1"/>
        <v>0</v>
      </c>
      <c r="G2295" s="1083">
        <f t="shared" si="2"/>
        <v>28.35</v>
      </c>
      <c r="H2295" s="1084"/>
    </row>
    <row r="2296" ht="14.25" customHeight="1">
      <c r="A2296" s="1085">
        <v>2701.0</v>
      </c>
      <c r="B2296" s="1086" t="s">
        <v>7607</v>
      </c>
      <c r="C2296" s="1087" t="s">
        <v>1470</v>
      </c>
      <c r="D2296" s="1088">
        <v>24.17</v>
      </c>
      <c r="E2296" s="1089" t="s">
        <v>5452</v>
      </c>
      <c r="F2296" s="1081">
        <f t="shared" si="1"/>
        <v>24.17</v>
      </c>
      <c r="G2296" s="1083">
        <f t="shared" si="2"/>
        <v>0</v>
      </c>
      <c r="H2296" s="1084"/>
    </row>
    <row r="2297" ht="14.25" customHeight="1">
      <c r="A2297" s="1085">
        <v>40929.0</v>
      </c>
      <c r="B2297" s="1086" t="s">
        <v>7608</v>
      </c>
      <c r="C2297" s="1087" t="s">
        <v>5454</v>
      </c>
      <c r="D2297" s="1088">
        <v>4231.21</v>
      </c>
      <c r="E2297" s="1089" t="s">
        <v>5452</v>
      </c>
      <c r="F2297" s="1081">
        <f t="shared" si="1"/>
        <v>4231.21</v>
      </c>
      <c r="G2297" s="1083">
        <f t="shared" si="2"/>
        <v>0</v>
      </c>
      <c r="H2297" s="1084"/>
    </row>
    <row r="2298" ht="14.25" customHeight="1">
      <c r="A2298" s="1085">
        <v>45099.0</v>
      </c>
      <c r="B2298" s="1086" t="s">
        <v>7609</v>
      </c>
      <c r="C2298" s="1087" t="s">
        <v>7610</v>
      </c>
      <c r="D2298" s="1088">
        <v>84.45</v>
      </c>
      <c r="E2298" s="1089" t="s">
        <v>5308</v>
      </c>
      <c r="F2298" s="1081">
        <f t="shared" si="1"/>
        <v>0</v>
      </c>
      <c r="G2298" s="1083">
        <f t="shared" si="2"/>
        <v>84.45</v>
      </c>
      <c r="H2298" s="1084"/>
    </row>
    <row r="2299" ht="14.25" customHeight="1">
      <c r="A2299" s="1085">
        <v>38114.0</v>
      </c>
      <c r="B2299" s="1086" t="s">
        <v>7611</v>
      </c>
      <c r="C2299" s="1087" t="s">
        <v>1788</v>
      </c>
      <c r="D2299" s="1088">
        <v>19.18</v>
      </c>
      <c r="E2299" s="1089" t="s">
        <v>5308</v>
      </c>
      <c r="F2299" s="1081">
        <f t="shared" si="1"/>
        <v>0</v>
      </c>
      <c r="G2299" s="1083">
        <f t="shared" si="2"/>
        <v>19.18</v>
      </c>
      <c r="H2299" s="1084"/>
    </row>
    <row r="2300" ht="14.25" customHeight="1">
      <c r="A2300" s="1085">
        <v>38064.0</v>
      </c>
      <c r="B2300" s="1086" t="s">
        <v>7612</v>
      </c>
      <c r="C2300" s="1087" t="s">
        <v>1788</v>
      </c>
      <c r="D2300" s="1088">
        <v>21.45</v>
      </c>
      <c r="E2300" s="1089" t="s">
        <v>5308</v>
      </c>
      <c r="F2300" s="1081">
        <f t="shared" si="1"/>
        <v>0</v>
      </c>
      <c r="G2300" s="1083">
        <f t="shared" si="2"/>
        <v>21.45</v>
      </c>
      <c r="H2300" s="1084"/>
    </row>
    <row r="2301" ht="14.25" customHeight="1">
      <c r="A2301" s="1085">
        <v>38115.0</v>
      </c>
      <c r="B2301" s="1086" t="s">
        <v>7613</v>
      </c>
      <c r="C2301" s="1087" t="s">
        <v>1788</v>
      </c>
      <c r="D2301" s="1088">
        <v>20.48</v>
      </c>
      <c r="E2301" s="1089" t="s">
        <v>5308</v>
      </c>
      <c r="F2301" s="1081">
        <f t="shared" si="1"/>
        <v>0</v>
      </c>
      <c r="G2301" s="1083">
        <f t="shared" si="2"/>
        <v>20.48</v>
      </c>
      <c r="H2301" s="1084"/>
    </row>
    <row r="2302" ht="14.25" customHeight="1">
      <c r="A2302" s="1085">
        <v>38065.0</v>
      </c>
      <c r="B2302" s="1086" t="s">
        <v>7614</v>
      </c>
      <c r="C2302" s="1087" t="s">
        <v>1788</v>
      </c>
      <c r="D2302" s="1088">
        <v>30.43</v>
      </c>
      <c r="E2302" s="1089" t="s">
        <v>5308</v>
      </c>
      <c r="F2302" s="1081">
        <f t="shared" si="1"/>
        <v>0</v>
      </c>
      <c r="G2302" s="1083">
        <f t="shared" si="2"/>
        <v>30.43</v>
      </c>
      <c r="H2302" s="1084"/>
    </row>
    <row r="2303" ht="14.25" customHeight="1">
      <c r="A2303" s="1085">
        <v>38078.0</v>
      </c>
      <c r="B2303" s="1086" t="s">
        <v>7615</v>
      </c>
      <c r="C2303" s="1087" t="s">
        <v>1788</v>
      </c>
      <c r="D2303" s="1088">
        <v>17.75</v>
      </c>
      <c r="E2303" s="1089" t="s">
        <v>5308</v>
      </c>
      <c r="F2303" s="1081">
        <f t="shared" si="1"/>
        <v>0</v>
      </c>
      <c r="G2303" s="1083">
        <f t="shared" si="2"/>
        <v>17.75</v>
      </c>
      <c r="H2303" s="1084"/>
    </row>
    <row r="2304" ht="14.25" customHeight="1">
      <c r="A2304" s="1085">
        <v>38113.0</v>
      </c>
      <c r="B2304" s="1086" t="s">
        <v>7616</v>
      </c>
      <c r="C2304" s="1087" t="s">
        <v>1788</v>
      </c>
      <c r="D2304" s="1088">
        <v>9.64</v>
      </c>
      <c r="E2304" s="1089" t="s">
        <v>5308</v>
      </c>
      <c r="F2304" s="1081">
        <f t="shared" si="1"/>
        <v>0</v>
      </c>
      <c r="G2304" s="1083">
        <f t="shared" si="2"/>
        <v>9.64</v>
      </c>
      <c r="H2304" s="1084"/>
    </row>
    <row r="2305" ht="14.25" customHeight="1">
      <c r="A2305" s="1085">
        <v>38063.0</v>
      </c>
      <c r="B2305" s="1086" t="s">
        <v>7617</v>
      </c>
      <c r="C2305" s="1087" t="s">
        <v>1788</v>
      </c>
      <c r="D2305" s="1088">
        <v>10.34</v>
      </c>
      <c r="E2305" s="1089" t="s">
        <v>5308</v>
      </c>
      <c r="F2305" s="1081">
        <f t="shared" si="1"/>
        <v>0</v>
      </c>
      <c r="G2305" s="1083">
        <f t="shared" si="2"/>
        <v>10.34</v>
      </c>
      <c r="H2305" s="1084"/>
    </row>
    <row r="2306" ht="14.25" customHeight="1">
      <c r="A2306" s="1085">
        <v>38080.0</v>
      </c>
      <c r="B2306" s="1086" t="s">
        <v>7618</v>
      </c>
      <c r="C2306" s="1087" t="s">
        <v>1788</v>
      </c>
      <c r="D2306" s="1088">
        <v>30.83</v>
      </c>
      <c r="E2306" s="1089" t="s">
        <v>5308</v>
      </c>
      <c r="F2306" s="1081">
        <f t="shared" si="1"/>
        <v>0</v>
      </c>
      <c r="G2306" s="1083">
        <f t="shared" si="2"/>
        <v>30.83</v>
      </c>
      <c r="H2306" s="1084"/>
    </row>
    <row r="2307" ht="14.25" customHeight="1">
      <c r="A2307" s="1085">
        <v>38069.0</v>
      </c>
      <c r="B2307" s="1086" t="s">
        <v>7619</v>
      </c>
      <c r="C2307" s="1087" t="s">
        <v>1788</v>
      </c>
      <c r="D2307" s="1088">
        <v>16.86</v>
      </c>
      <c r="E2307" s="1089" t="s">
        <v>5308</v>
      </c>
      <c r="F2307" s="1081">
        <f t="shared" si="1"/>
        <v>0</v>
      </c>
      <c r="G2307" s="1083">
        <f t="shared" si="2"/>
        <v>16.86</v>
      </c>
      <c r="H2307" s="1084"/>
    </row>
    <row r="2308" ht="14.25" customHeight="1">
      <c r="A2308" s="1085">
        <v>38077.0</v>
      </c>
      <c r="B2308" s="1086" t="s">
        <v>7620</v>
      </c>
      <c r="C2308" s="1087" t="s">
        <v>1788</v>
      </c>
      <c r="D2308" s="1088">
        <v>16.48</v>
      </c>
      <c r="E2308" s="1089" t="s">
        <v>5308</v>
      </c>
      <c r="F2308" s="1081">
        <f t="shared" si="1"/>
        <v>0</v>
      </c>
      <c r="G2308" s="1083">
        <f t="shared" si="2"/>
        <v>16.48</v>
      </c>
      <c r="H2308" s="1084"/>
    </row>
    <row r="2309" ht="14.25" customHeight="1">
      <c r="A2309" s="1085">
        <v>38073.0</v>
      </c>
      <c r="B2309" s="1086" t="s">
        <v>7621</v>
      </c>
      <c r="C2309" s="1087" t="s">
        <v>1788</v>
      </c>
      <c r="D2309" s="1088">
        <v>25.1</v>
      </c>
      <c r="E2309" s="1089" t="s">
        <v>5308</v>
      </c>
      <c r="F2309" s="1081">
        <f t="shared" si="1"/>
        <v>0</v>
      </c>
      <c r="G2309" s="1083">
        <f t="shared" si="2"/>
        <v>25.1</v>
      </c>
      <c r="H2309" s="1084"/>
    </row>
    <row r="2310" ht="14.25" customHeight="1">
      <c r="A2310" s="1085">
        <v>38112.0</v>
      </c>
      <c r="B2310" s="1086" t="s">
        <v>7622</v>
      </c>
      <c r="C2310" s="1087" t="s">
        <v>1788</v>
      </c>
      <c r="D2310" s="1088">
        <v>7.4</v>
      </c>
      <c r="E2310" s="1089" t="s">
        <v>5308</v>
      </c>
      <c r="F2310" s="1081">
        <f t="shared" si="1"/>
        <v>0</v>
      </c>
      <c r="G2310" s="1083">
        <f t="shared" si="2"/>
        <v>7.4</v>
      </c>
      <c r="H2310" s="1084"/>
    </row>
    <row r="2311" ht="14.25" customHeight="1">
      <c r="A2311" s="1085">
        <v>38062.0</v>
      </c>
      <c r="B2311" s="1086" t="s">
        <v>7623</v>
      </c>
      <c r="C2311" s="1087" t="s">
        <v>1788</v>
      </c>
      <c r="D2311" s="1088">
        <v>7.6</v>
      </c>
      <c r="E2311" s="1089" t="s">
        <v>5308</v>
      </c>
      <c r="F2311" s="1081">
        <f t="shared" si="1"/>
        <v>0</v>
      </c>
      <c r="G2311" s="1083">
        <f t="shared" si="2"/>
        <v>7.6</v>
      </c>
      <c r="H2311" s="1084"/>
    </row>
    <row r="2312" ht="14.25" customHeight="1">
      <c r="A2312" s="1085">
        <v>12128.0</v>
      </c>
      <c r="B2312" s="1086" t="s">
        <v>7624</v>
      </c>
      <c r="C2312" s="1087" t="s">
        <v>1788</v>
      </c>
      <c r="D2312" s="1088">
        <v>10.16</v>
      </c>
      <c r="E2312" s="1089" t="s">
        <v>5308</v>
      </c>
      <c r="F2312" s="1081">
        <f t="shared" si="1"/>
        <v>0</v>
      </c>
      <c r="G2312" s="1083">
        <f t="shared" si="2"/>
        <v>10.16</v>
      </c>
      <c r="H2312" s="1084"/>
    </row>
    <row r="2313" ht="14.25" customHeight="1">
      <c r="A2313" s="1085">
        <v>12129.0</v>
      </c>
      <c r="B2313" s="1086" t="s">
        <v>7625</v>
      </c>
      <c r="C2313" s="1087" t="s">
        <v>1788</v>
      </c>
      <c r="D2313" s="1088">
        <v>13.42</v>
      </c>
      <c r="E2313" s="1089" t="s">
        <v>5308</v>
      </c>
      <c r="F2313" s="1081">
        <f t="shared" si="1"/>
        <v>0</v>
      </c>
      <c r="G2313" s="1083">
        <f t="shared" si="2"/>
        <v>13.42</v>
      </c>
      <c r="H2313" s="1084"/>
    </row>
    <row r="2314" ht="14.25" customHeight="1">
      <c r="A2314" s="1085">
        <v>38081.0</v>
      </c>
      <c r="B2314" s="1086" t="s">
        <v>7626</v>
      </c>
      <c r="C2314" s="1087" t="s">
        <v>1788</v>
      </c>
      <c r="D2314" s="1088">
        <v>26.15</v>
      </c>
      <c r="E2314" s="1089" t="s">
        <v>5308</v>
      </c>
      <c r="F2314" s="1081">
        <f t="shared" si="1"/>
        <v>0</v>
      </c>
      <c r="G2314" s="1083">
        <f t="shared" si="2"/>
        <v>26.15</v>
      </c>
      <c r="H2314" s="1084"/>
    </row>
    <row r="2315" ht="14.25" customHeight="1">
      <c r="A2315" s="1085">
        <v>38070.0</v>
      </c>
      <c r="B2315" s="1086" t="s">
        <v>7627</v>
      </c>
      <c r="C2315" s="1087" t="s">
        <v>1788</v>
      </c>
      <c r="D2315" s="1088">
        <v>18.02</v>
      </c>
      <c r="E2315" s="1089" t="s">
        <v>5308</v>
      </c>
      <c r="F2315" s="1081">
        <f t="shared" si="1"/>
        <v>0</v>
      </c>
      <c r="G2315" s="1083">
        <f t="shared" si="2"/>
        <v>18.02</v>
      </c>
      <c r="H2315" s="1084"/>
    </row>
    <row r="2316" ht="14.25" customHeight="1">
      <c r="A2316" s="1085">
        <v>38074.0</v>
      </c>
      <c r="B2316" s="1086" t="s">
        <v>7628</v>
      </c>
      <c r="C2316" s="1087" t="s">
        <v>1788</v>
      </c>
      <c r="D2316" s="1088">
        <v>27.4</v>
      </c>
      <c r="E2316" s="1089" t="s">
        <v>5308</v>
      </c>
      <c r="F2316" s="1081">
        <f t="shared" si="1"/>
        <v>0</v>
      </c>
      <c r="G2316" s="1083">
        <f t="shared" si="2"/>
        <v>27.4</v>
      </c>
      <c r="H2316" s="1084"/>
    </row>
    <row r="2317" ht="14.25" customHeight="1">
      <c r="A2317" s="1085">
        <v>38079.0</v>
      </c>
      <c r="B2317" s="1086" t="s">
        <v>7629</v>
      </c>
      <c r="C2317" s="1087" t="s">
        <v>1788</v>
      </c>
      <c r="D2317" s="1088">
        <v>23.52</v>
      </c>
      <c r="E2317" s="1089" t="s">
        <v>5308</v>
      </c>
      <c r="F2317" s="1081">
        <f t="shared" si="1"/>
        <v>0</v>
      </c>
      <c r="G2317" s="1083">
        <f t="shared" si="2"/>
        <v>23.52</v>
      </c>
      <c r="H2317" s="1084"/>
    </row>
    <row r="2318" ht="14.25" customHeight="1">
      <c r="A2318" s="1085">
        <v>38072.0</v>
      </c>
      <c r="B2318" s="1086" t="s">
        <v>7630</v>
      </c>
      <c r="C2318" s="1087" t="s">
        <v>1788</v>
      </c>
      <c r="D2318" s="1088">
        <v>22.6</v>
      </c>
      <c r="E2318" s="1089" t="s">
        <v>5308</v>
      </c>
      <c r="F2318" s="1081">
        <f t="shared" si="1"/>
        <v>0</v>
      </c>
      <c r="G2318" s="1083">
        <f t="shared" si="2"/>
        <v>22.6</v>
      </c>
      <c r="H2318" s="1084"/>
    </row>
    <row r="2319" ht="14.25" customHeight="1">
      <c r="A2319" s="1085">
        <v>38068.0</v>
      </c>
      <c r="B2319" s="1086" t="s">
        <v>7631</v>
      </c>
      <c r="C2319" s="1087" t="s">
        <v>1788</v>
      </c>
      <c r="D2319" s="1088">
        <v>15.6</v>
      </c>
      <c r="E2319" s="1089" t="s">
        <v>5308</v>
      </c>
      <c r="F2319" s="1081">
        <f t="shared" si="1"/>
        <v>0</v>
      </c>
      <c r="G2319" s="1083">
        <f t="shared" si="2"/>
        <v>15.6</v>
      </c>
      <c r="H2319" s="1084"/>
    </row>
    <row r="2320" ht="14.25" customHeight="1">
      <c r="A2320" s="1085">
        <v>38071.0</v>
      </c>
      <c r="B2320" s="1086" t="s">
        <v>7632</v>
      </c>
      <c r="C2320" s="1087" t="s">
        <v>1788</v>
      </c>
      <c r="D2320" s="1088">
        <v>18.65</v>
      </c>
      <c r="E2320" s="1089" t="s">
        <v>5308</v>
      </c>
      <c r="F2320" s="1081">
        <f t="shared" si="1"/>
        <v>0</v>
      </c>
      <c r="G2320" s="1083">
        <f t="shared" si="2"/>
        <v>18.65</v>
      </c>
      <c r="H2320" s="1084"/>
    </row>
    <row r="2321" ht="14.25" customHeight="1">
      <c r="A2321" s="1085">
        <v>38412.0</v>
      </c>
      <c r="B2321" s="1086" t="s">
        <v>7633</v>
      </c>
      <c r="C2321" s="1087" t="s">
        <v>1788</v>
      </c>
      <c r="D2321" s="1088">
        <v>1109.99</v>
      </c>
      <c r="E2321" s="1089" t="s">
        <v>5482</v>
      </c>
      <c r="F2321" s="1081">
        <f t="shared" si="1"/>
        <v>0</v>
      </c>
      <c r="G2321" s="1083">
        <f t="shared" si="2"/>
        <v>1109.99</v>
      </c>
      <c r="H2321" s="1084"/>
    </row>
    <row r="2322" ht="14.25" customHeight="1">
      <c r="A2322" s="1085">
        <v>3405.0</v>
      </c>
      <c r="B2322" s="1086" t="s">
        <v>7634</v>
      </c>
      <c r="C2322" s="1087" t="s">
        <v>1788</v>
      </c>
      <c r="D2322" s="1088">
        <v>88.21</v>
      </c>
      <c r="E2322" s="1089" t="s">
        <v>5308</v>
      </c>
      <c r="F2322" s="1081">
        <f t="shared" si="1"/>
        <v>0</v>
      </c>
      <c r="G2322" s="1083">
        <f t="shared" si="2"/>
        <v>88.21</v>
      </c>
      <c r="H2322" s="1084"/>
    </row>
    <row r="2323" ht="14.25" customHeight="1">
      <c r="A2323" s="1085">
        <v>3394.0</v>
      </c>
      <c r="B2323" s="1086" t="s">
        <v>7635</v>
      </c>
      <c r="C2323" s="1087" t="s">
        <v>1788</v>
      </c>
      <c r="D2323" s="1088">
        <v>465.62</v>
      </c>
      <c r="E2323" s="1089" t="s">
        <v>5308</v>
      </c>
      <c r="F2323" s="1081">
        <f t="shared" si="1"/>
        <v>0</v>
      </c>
      <c r="G2323" s="1083">
        <f t="shared" si="2"/>
        <v>465.62</v>
      </c>
      <c r="H2323" s="1084"/>
    </row>
    <row r="2324" ht="14.25" customHeight="1">
      <c r="A2324" s="1085">
        <v>3393.0</v>
      </c>
      <c r="B2324" s="1086" t="s">
        <v>7636</v>
      </c>
      <c r="C2324" s="1087" t="s">
        <v>1788</v>
      </c>
      <c r="D2324" s="1088">
        <v>792.78</v>
      </c>
      <c r="E2324" s="1089" t="s">
        <v>5308</v>
      </c>
      <c r="F2324" s="1081">
        <f t="shared" si="1"/>
        <v>0</v>
      </c>
      <c r="G2324" s="1083">
        <f t="shared" si="2"/>
        <v>792.78</v>
      </c>
      <c r="H2324" s="1084"/>
    </row>
    <row r="2325" ht="14.25" customHeight="1">
      <c r="A2325" s="1085">
        <v>3406.0</v>
      </c>
      <c r="B2325" s="1086" t="s">
        <v>7637</v>
      </c>
      <c r="C2325" s="1087" t="s">
        <v>1788</v>
      </c>
      <c r="D2325" s="1088">
        <v>27.0</v>
      </c>
      <c r="E2325" s="1089" t="s">
        <v>5308</v>
      </c>
      <c r="F2325" s="1081">
        <f t="shared" si="1"/>
        <v>0</v>
      </c>
      <c r="G2325" s="1083">
        <f t="shared" si="2"/>
        <v>27</v>
      </c>
      <c r="H2325" s="1084"/>
    </row>
    <row r="2326" ht="14.25" customHeight="1">
      <c r="A2326" s="1085">
        <v>3395.0</v>
      </c>
      <c r="B2326" s="1086" t="s">
        <v>7638</v>
      </c>
      <c r="C2326" s="1087" t="s">
        <v>1788</v>
      </c>
      <c r="D2326" s="1088">
        <v>113.9</v>
      </c>
      <c r="E2326" s="1089" t="s">
        <v>5308</v>
      </c>
      <c r="F2326" s="1081">
        <f t="shared" si="1"/>
        <v>0</v>
      </c>
      <c r="G2326" s="1083">
        <f t="shared" si="2"/>
        <v>113.9</v>
      </c>
      <c r="H2326" s="1084"/>
    </row>
    <row r="2327" ht="14.25" customHeight="1">
      <c r="A2327" s="1085">
        <v>3398.0</v>
      </c>
      <c r="B2327" s="1086" t="s">
        <v>7639</v>
      </c>
      <c r="C2327" s="1087" t="s">
        <v>1788</v>
      </c>
      <c r="D2327" s="1088">
        <v>5.41</v>
      </c>
      <c r="E2327" s="1089" t="s">
        <v>5308</v>
      </c>
      <c r="F2327" s="1081">
        <f t="shared" si="1"/>
        <v>0</v>
      </c>
      <c r="G2327" s="1083">
        <f t="shared" si="2"/>
        <v>5.41</v>
      </c>
      <c r="H2327" s="1084"/>
    </row>
    <row r="2328" ht="14.25" customHeight="1">
      <c r="A2328" s="1085">
        <v>40662.0</v>
      </c>
      <c r="B2328" s="1086" t="s">
        <v>7640</v>
      </c>
      <c r="C2328" s="1087" t="s">
        <v>1788</v>
      </c>
      <c r="D2328" s="1088">
        <v>174.74</v>
      </c>
      <c r="E2328" s="1089" t="s">
        <v>5308</v>
      </c>
      <c r="F2328" s="1081">
        <f t="shared" si="1"/>
        <v>0</v>
      </c>
      <c r="G2328" s="1083">
        <f t="shared" si="2"/>
        <v>174.74</v>
      </c>
      <c r="H2328" s="1084"/>
    </row>
    <row r="2329" ht="14.25" customHeight="1">
      <c r="A2329" s="1085">
        <v>3437.0</v>
      </c>
      <c r="B2329" s="1086" t="s">
        <v>7641</v>
      </c>
      <c r="C2329" s="1087" t="s">
        <v>1814</v>
      </c>
      <c r="D2329" s="1088">
        <v>485.39</v>
      </c>
      <c r="E2329" s="1089" t="s">
        <v>5308</v>
      </c>
      <c r="F2329" s="1081">
        <f t="shared" si="1"/>
        <v>0</v>
      </c>
      <c r="G2329" s="1083">
        <f t="shared" si="2"/>
        <v>485.39</v>
      </c>
      <c r="H2329" s="1084"/>
    </row>
    <row r="2330" ht="14.25" customHeight="1">
      <c r="A2330" s="1085">
        <v>11190.0</v>
      </c>
      <c r="B2330" s="1086" t="s">
        <v>7642</v>
      </c>
      <c r="C2330" s="1087" t="s">
        <v>1788</v>
      </c>
      <c r="D2330" s="1088">
        <v>178.13</v>
      </c>
      <c r="E2330" s="1089" t="s">
        <v>5308</v>
      </c>
      <c r="F2330" s="1081">
        <f t="shared" si="1"/>
        <v>0</v>
      </c>
      <c r="G2330" s="1083">
        <f t="shared" si="2"/>
        <v>178.13</v>
      </c>
      <c r="H2330" s="1084"/>
    </row>
    <row r="2331" ht="14.25" customHeight="1">
      <c r="A2331" s="1085">
        <v>34377.0</v>
      </c>
      <c r="B2331" s="1086" t="s">
        <v>7643</v>
      </c>
      <c r="C2331" s="1087" t="s">
        <v>1788</v>
      </c>
      <c r="D2331" s="1088">
        <v>345.93</v>
      </c>
      <c r="E2331" s="1089" t="s">
        <v>5308</v>
      </c>
      <c r="F2331" s="1081">
        <f t="shared" si="1"/>
        <v>0</v>
      </c>
      <c r="G2331" s="1083">
        <f t="shared" si="2"/>
        <v>345.93</v>
      </c>
      <c r="H2331" s="1084"/>
    </row>
    <row r="2332" ht="14.25" customHeight="1">
      <c r="A2332" s="1085">
        <v>3428.0</v>
      </c>
      <c r="B2332" s="1086" t="s">
        <v>7644</v>
      </c>
      <c r="C2332" s="1087" t="s">
        <v>1814</v>
      </c>
      <c r="D2332" s="1088">
        <v>720.0</v>
      </c>
      <c r="E2332" s="1089" t="s">
        <v>5308</v>
      </c>
      <c r="F2332" s="1081">
        <f t="shared" si="1"/>
        <v>0</v>
      </c>
      <c r="G2332" s="1083">
        <f t="shared" si="2"/>
        <v>720</v>
      </c>
      <c r="H2332" s="1084"/>
    </row>
    <row r="2333" ht="14.25" customHeight="1">
      <c r="A2333" s="1085">
        <v>3429.0</v>
      </c>
      <c r="B2333" s="1086" t="s">
        <v>7645</v>
      </c>
      <c r="C2333" s="1087" t="s">
        <v>1814</v>
      </c>
      <c r="D2333" s="1088">
        <v>411.37</v>
      </c>
      <c r="E2333" s="1089" t="s">
        <v>5308</v>
      </c>
      <c r="F2333" s="1081">
        <f t="shared" si="1"/>
        <v>0</v>
      </c>
      <c r="G2333" s="1083">
        <f t="shared" si="2"/>
        <v>411.37</v>
      </c>
      <c r="H2333" s="1084"/>
    </row>
    <row r="2334" ht="14.25" customHeight="1">
      <c r="A2334" s="1085">
        <v>11199.0</v>
      </c>
      <c r="B2334" s="1086" t="s">
        <v>7646</v>
      </c>
      <c r="C2334" s="1087" t="s">
        <v>1788</v>
      </c>
      <c r="D2334" s="1088">
        <v>983.78</v>
      </c>
      <c r="E2334" s="1089" t="s">
        <v>5308</v>
      </c>
      <c r="F2334" s="1081">
        <f t="shared" si="1"/>
        <v>0</v>
      </c>
      <c r="G2334" s="1083">
        <f t="shared" si="2"/>
        <v>983.78</v>
      </c>
      <c r="H2334" s="1084"/>
    </row>
    <row r="2335" ht="14.25" customHeight="1">
      <c r="A2335" s="1085">
        <v>34369.0</v>
      </c>
      <c r="B2335" s="1086" t="s">
        <v>7647</v>
      </c>
      <c r="C2335" s="1087" t="s">
        <v>1788</v>
      </c>
      <c r="D2335" s="1088">
        <v>1203.2</v>
      </c>
      <c r="E2335" s="1089" t="s">
        <v>5308</v>
      </c>
      <c r="F2335" s="1081">
        <f t="shared" si="1"/>
        <v>0</v>
      </c>
      <c r="G2335" s="1083">
        <f t="shared" si="2"/>
        <v>1203.2</v>
      </c>
      <c r="H2335" s="1084"/>
    </row>
    <row r="2336" ht="14.25" customHeight="1">
      <c r="A2336" s="1085">
        <v>36896.0</v>
      </c>
      <c r="B2336" s="1086" t="s">
        <v>7648</v>
      </c>
      <c r="C2336" s="1087" t="s">
        <v>1788</v>
      </c>
      <c r="D2336" s="1088">
        <v>670.0</v>
      </c>
      <c r="E2336" s="1089" t="s">
        <v>5308</v>
      </c>
      <c r="F2336" s="1081">
        <f t="shared" si="1"/>
        <v>0</v>
      </c>
      <c r="G2336" s="1083">
        <f t="shared" si="2"/>
        <v>670</v>
      </c>
      <c r="H2336" s="1084"/>
    </row>
    <row r="2337" ht="14.25" customHeight="1">
      <c r="A2337" s="1085">
        <v>34367.0</v>
      </c>
      <c r="B2337" s="1086" t="s">
        <v>7649</v>
      </c>
      <c r="C2337" s="1087" t="s">
        <v>1788</v>
      </c>
      <c r="D2337" s="1088">
        <v>863.53</v>
      </c>
      <c r="E2337" s="1089" t="s">
        <v>5308</v>
      </c>
      <c r="F2337" s="1081">
        <f t="shared" si="1"/>
        <v>0</v>
      </c>
      <c r="G2337" s="1083">
        <f t="shared" si="2"/>
        <v>863.53</v>
      </c>
      <c r="H2337" s="1084"/>
    </row>
    <row r="2338" ht="14.25" customHeight="1">
      <c r="A2338" s="1085">
        <v>36897.0</v>
      </c>
      <c r="B2338" s="1086" t="s">
        <v>7650</v>
      </c>
      <c r="C2338" s="1087" t="s">
        <v>1788</v>
      </c>
      <c r="D2338" s="1088">
        <v>1045.52</v>
      </c>
      <c r="E2338" s="1089" t="s">
        <v>5308</v>
      </c>
      <c r="F2338" s="1081">
        <f t="shared" si="1"/>
        <v>0</v>
      </c>
      <c r="G2338" s="1083">
        <f t="shared" si="2"/>
        <v>1045.52</v>
      </c>
      <c r="H2338" s="1084"/>
    </row>
    <row r="2339" ht="14.25" customHeight="1">
      <c r="A2339" s="1085">
        <v>34364.0</v>
      </c>
      <c r="B2339" s="1086" t="s">
        <v>7651</v>
      </c>
      <c r="C2339" s="1087" t="s">
        <v>1788</v>
      </c>
      <c r="D2339" s="1088">
        <v>1135.08</v>
      </c>
      <c r="E2339" s="1089" t="s">
        <v>5308</v>
      </c>
      <c r="F2339" s="1081">
        <f t="shared" si="1"/>
        <v>0</v>
      </c>
      <c r="G2339" s="1083">
        <f t="shared" si="2"/>
        <v>1135.08</v>
      </c>
      <c r="H2339" s="1084"/>
    </row>
    <row r="2340" ht="14.25" customHeight="1">
      <c r="A2340" s="1085">
        <v>40659.0</v>
      </c>
      <c r="B2340" s="1086" t="s">
        <v>7652</v>
      </c>
      <c r="C2340" s="1087" t="s">
        <v>1814</v>
      </c>
      <c r="D2340" s="1088">
        <v>686.76</v>
      </c>
      <c r="E2340" s="1089" t="s">
        <v>5308</v>
      </c>
      <c r="F2340" s="1081">
        <f t="shared" si="1"/>
        <v>0</v>
      </c>
      <c r="G2340" s="1083">
        <f t="shared" si="2"/>
        <v>686.76</v>
      </c>
      <c r="H2340" s="1084"/>
    </row>
    <row r="2341" ht="14.25" customHeight="1">
      <c r="A2341" s="1085">
        <v>40660.0</v>
      </c>
      <c r="B2341" s="1086" t="s">
        <v>7653</v>
      </c>
      <c r="C2341" s="1087" t="s">
        <v>1814</v>
      </c>
      <c r="D2341" s="1088">
        <v>870.39</v>
      </c>
      <c r="E2341" s="1089" t="s">
        <v>5308</v>
      </c>
      <c r="F2341" s="1081">
        <f t="shared" si="1"/>
        <v>0</v>
      </c>
      <c r="G2341" s="1083">
        <f t="shared" si="2"/>
        <v>870.39</v>
      </c>
      <c r="H2341" s="1084"/>
    </row>
    <row r="2342" ht="14.25" customHeight="1">
      <c r="A2342" s="1085">
        <v>40661.0</v>
      </c>
      <c r="B2342" s="1086" t="s">
        <v>7654</v>
      </c>
      <c r="C2342" s="1087" t="s">
        <v>1814</v>
      </c>
      <c r="D2342" s="1088">
        <v>535.14</v>
      </c>
      <c r="E2342" s="1089" t="s">
        <v>5308</v>
      </c>
      <c r="F2342" s="1081">
        <f t="shared" si="1"/>
        <v>0</v>
      </c>
      <c r="G2342" s="1083">
        <f t="shared" si="2"/>
        <v>535.14</v>
      </c>
      <c r="H2342" s="1084"/>
    </row>
    <row r="2343" ht="14.25" customHeight="1">
      <c r="A2343" s="1085">
        <v>3421.0</v>
      </c>
      <c r="B2343" s="1086" t="s">
        <v>7655</v>
      </c>
      <c r="C2343" s="1087" t="s">
        <v>1814</v>
      </c>
      <c r="D2343" s="1088">
        <v>539.23</v>
      </c>
      <c r="E2343" s="1089" t="s">
        <v>5308</v>
      </c>
      <c r="F2343" s="1081">
        <f t="shared" si="1"/>
        <v>0</v>
      </c>
      <c r="G2343" s="1083">
        <f t="shared" si="2"/>
        <v>539.23</v>
      </c>
      <c r="H2343" s="1084"/>
    </row>
    <row r="2344" ht="14.25" customHeight="1">
      <c r="A2344" s="1085">
        <v>599.0</v>
      </c>
      <c r="B2344" s="1086" t="s">
        <v>7656</v>
      </c>
      <c r="C2344" s="1087" t="s">
        <v>1814</v>
      </c>
      <c r="D2344" s="1088">
        <v>1221.93</v>
      </c>
      <c r="E2344" s="1089" t="s">
        <v>5308</v>
      </c>
      <c r="F2344" s="1081">
        <f t="shared" si="1"/>
        <v>0</v>
      </c>
      <c r="G2344" s="1083">
        <f t="shared" si="2"/>
        <v>1221.93</v>
      </c>
      <c r="H2344" s="1084"/>
    </row>
    <row r="2345" ht="14.25" customHeight="1">
      <c r="A2345" s="1085">
        <v>44053.0</v>
      </c>
      <c r="B2345" s="1086" t="s">
        <v>7657</v>
      </c>
      <c r="C2345" s="1087" t="s">
        <v>1788</v>
      </c>
      <c r="D2345" s="1088">
        <v>2712.13</v>
      </c>
      <c r="E2345" s="1089" t="s">
        <v>5308</v>
      </c>
      <c r="F2345" s="1081">
        <f t="shared" si="1"/>
        <v>0</v>
      </c>
      <c r="G2345" s="1083">
        <f t="shared" si="2"/>
        <v>2712.13</v>
      </c>
      <c r="H2345" s="1084"/>
    </row>
    <row r="2346" ht="14.25" customHeight="1">
      <c r="A2346" s="1085">
        <v>3423.0</v>
      </c>
      <c r="B2346" s="1086" t="s">
        <v>7658</v>
      </c>
      <c r="C2346" s="1087" t="s">
        <v>1814</v>
      </c>
      <c r="D2346" s="1088">
        <v>760.45</v>
      </c>
      <c r="E2346" s="1089" t="s">
        <v>5308</v>
      </c>
      <c r="F2346" s="1081">
        <f t="shared" si="1"/>
        <v>0</v>
      </c>
      <c r="G2346" s="1083">
        <f t="shared" si="2"/>
        <v>760.45</v>
      </c>
      <c r="H2346" s="1084"/>
    </row>
    <row r="2347" ht="14.25" customHeight="1">
      <c r="A2347" s="1085">
        <v>34381.0</v>
      </c>
      <c r="B2347" s="1086" t="s">
        <v>7659</v>
      </c>
      <c r="C2347" s="1087" t="s">
        <v>1788</v>
      </c>
      <c r="D2347" s="1088">
        <v>493.39</v>
      </c>
      <c r="E2347" s="1089" t="s">
        <v>5308</v>
      </c>
      <c r="F2347" s="1081">
        <f t="shared" si="1"/>
        <v>0</v>
      </c>
      <c r="G2347" s="1083">
        <f t="shared" si="2"/>
        <v>493.39</v>
      </c>
      <c r="H2347" s="1084"/>
    </row>
    <row r="2348" ht="14.25" customHeight="1">
      <c r="A2348" s="1085">
        <v>34797.0</v>
      </c>
      <c r="B2348" s="1086" t="s">
        <v>7660</v>
      </c>
      <c r="C2348" s="1087" t="s">
        <v>1788</v>
      </c>
      <c r="D2348" s="1088">
        <v>387.99</v>
      </c>
      <c r="E2348" s="1089" t="s">
        <v>5308</v>
      </c>
      <c r="F2348" s="1081">
        <f t="shared" si="1"/>
        <v>0</v>
      </c>
      <c r="G2348" s="1083">
        <f t="shared" si="2"/>
        <v>387.99</v>
      </c>
      <c r="H2348" s="1084"/>
    </row>
    <row r="2349" ht="14.25" customHeight="1">
      <c r="A2349" s="1085">
        <v>44054.0</v>
      </c>
      <c r="B2349" s="1086" t="s">
        <v>7661</v>
      </c>
      <c r="C2349" s="1087" t="s">
        <v>1788</v>
      </c>
      <c r="D2349" s="1088">
        <v>972.95</v>
      </c>
      <c r="E2349" s="1089" t="s">
        <v>5308</v>
      </c>
      <c r="F2349" s="1081">
        <f t="shared" si="1"/>
        <v>0</v>
      </c>
      <c r="G2349" s="1083">
        <f t="shared" si="2"/>
        <v>972.95</v>
      </c>
      <c r="H2349" s="1084"/>
    </row>
    <row r="2350" ht="14.25" customHeight="1">
      <c r="A2350" s="1085">
        <v>44399.0</v>
      </c>
      <c r="B2350" s="1086" t="s">
        <v>7662</v>
      </c>
      <c r="C2350" s="1087" t="s">
        <v>1788</v>
      </c>
      <c r="D2350" s="1088">
        <v>1329.36</v>
      </c>
      <c r="E2350" s="1089" t="s">
        <v>5308</v>
      </c>
      <c r="F2350" s="1081">
        <f t="shared" si="1"/>
        <v>0</v>
      </c>
      <c r="G2350" s="1083">
        <f t="shared" si="2"/>
        <v>1329.36</v>
      </c>
      <c r="H2350" s="1084"/>
    </row>
    <row r="2351" ht="14.25" customHeight="1">
      <c r="A2351" s="1085">
        <v>44503.0</v>
      </c>
      <c r="B2351" s="1086" t="s">
        <v>7663</v>
      </c>
      <c r="C2351" s="1087" t="s">
        <v>1470</v>
      </c>
      <c r="D2351" s="1088">
        <v>15.69</v>
      </c>
      <c r="E2351" s="1089" t="s">
        <v>5554</v>
      </c>
      <c r="F2351" s="1081">
        <f t="shared" si="1"/>
        <v>0</v>
      </c>
      <c r="G2351" s="1083">
        <f t="shared" si="2"/>
        <v>15.69</v>
      </c>
      <c r="H2351" s="1084"/>
    </row>
    <row r="2352" ht="14.25" customHeight="1">
      <c r="A2352" s="1085">
        <v>41077.0</v>
      </c>
      <c r="B2352" s="1086" t="s">
        <v>7664</v>
      </c>
      <c r="C2352" s="1087" t="s">
        <v>5454</v>
      </c>
      <c r="D2352" s="1088">
        <v>2747.96</v>
      </c>
      <c r="E2352" s="1089" t="s">
        <v>5452</v>
      </c>
      <c r="F2352" s="1081">
        <f t="shared" si="1"/>
        <v>2747.96</v>
      </c>
      <c r="G2352" s="1083">
        <f t="shared" si="2"/>
        <v>0</v>
      </c>
      <c r="H2352" s="1084"/>
    </row>
    <row r="2353" ht="14.25" customHeight="1">
      <c r="A2353" s="1085">
        <v>37963.0</v>
      </c>
      <c r="B2353" s="1086" t="s">
        <v>7665</v>
      </c>
      <c r="C2353" s="1087" t="s">
        <v>1788</v>
      </c>
      <c r="D2353" s="1088">
        <v>4.48</v>
      </c>
      <c r="E2353" s="1089" t="s">
        <v>5308</v>
      </c>
      <c r="F2353" s="1081">
        <f t="shared" si="1"/>
        <v>0</v>
      </c>
      <c r="G2353" s="1083">
        <f t="shared" si="2"/>
        <v>4.48</v>
      </c>
      <c r="H2353" s="1084"/>
    </row>
    <row r="2354" ht="14.25" customHeight="1">
      <c r="A2354" s="1085">
        <v>37964.0</v>
      </c>
      <c r="B2354" s="1086" t="s">
        <v>7666</v>
      </c>
      <c r="C2354" s="1087" t="s">
        <v>1788</v>
      </c>
      <c r="D2354" s="1088">
        <v>5.99</v>
      </c>
      <c r="E2354" s="1089" t="s">
        <v>5308</v>
      </c>
      <c r="F2354" s="1081">
        <f t="shared" si="1"/>
        <v>0</v>
      </c>
      <c r="G2354" s="1083">
        <f t="shared" si="2"/>
        <v>5.99</v>
      </c>
      <c r="H2354" s="1084"/>
    </row>
    <row r="2355" ht="14.25" customHeight="1">
      <c r="A2355" s="1085">
        <v>37965.0</v>
      </c>
      <c r="B2355" s="1086" t="s">
        <v>7667</v>
      </c>
      <c r="C2355" s="1087" t="s">
        <v>1788</v>
      </c>
      <c r="D2355" s="1088">
        <v>8.64</v>
      </c>
      <c r="E2355" s="1089" t="s">
        <v>5308</v>
      </c>
      <c r="F2355" s="1081">
        <f t="shared" si="1"/>
        <v>0</v>
      </c>
      <c r="G2355" s="1083">
        <f t="shared" si="2"/>
        <v>8.64</v>
      </c>
      <c r="H2355" s="1084"/>
    </row>
    <row r="2356" ht="14.25" customHeight="1">
      <c r="A2356" s="1085">
        <v>37966.0</v>
      </c>
      <c r="B2356" s="1086" t="s">
        <v>7668</v>
      </c>
      <c r="C2356" s="1087" t="s">
        <v>1788</v>
      </c>
      <c r="D2356" s="1088">
        <v>15.18</v>
      </c>
      <c r="E2356" s="1089" t="s">
        <v>5308</v>
      </c>
      <c r="F2356" s="1081">
        <f t="shared" si="1"/>
        <v>0</v>
      </c>
      <c r="G2356" s="1083">
        <f t="shared" si="2"/>
        <v>15.18</v>
      </c>
      <c r="H2356" s="1084"/>
    </row>
    <row r="2357" ht="14.25" customHeight="1">
      <c r="A2357" s="1085">
        <v>37967.0</v>
      </c>
      <c r="B2357" s="1086" t="s">
        <v>7669</v>
      </c>
      <c r="C2357" s="1087" t="s">
        <v>1788</v>
      </c>
      <c r="D2357" s="1088">
        <v>25.51</v>
      </c>
      <c r="E2357" s="1089" t="s">
        <v>5308</v>
      </c>
      <c r="F2357" s="1081">
        <f t="shared" si="1"/>
        <v>0</v>
      </c>
      <c r="G2357" s="1083">
        <f t="shared" si="2"/>
        <v>25.51</v>
      </c>
      <c r="H2357" s="1084"/>
    </row>
    <row r="2358" ht="14.25" customHeight="1">
      <c r="A2358" s="1085">
        <v>37968.0</v>
      </c>
      <c r="B2358" s="1086" t="s">
        <v>7670</v>
      </c>
      <c r="C2358" s="1087" t="s">
        <v>1788</v>
      </c>
      <c r="D2358" s="1088">
        <v>54.16</v>
      </c>
      <c r="E2358" s="1089" t="s">
        <v>5308</v>
      </c>
      <c r="F2358" s="1081">
        <f t="shared" si="1"/>
        <v>0</v>
      </c>
      <c r="G2358" s="1083">
        <f t="shared" si="2"/>
        <v>54.16</v>
      </c>
      <c r="H2358" s="1084"/>
    </row>
    <row r="2359" ht="14.25" customHeight="1">
      <c r="A2359" s="1085">
        <v>37969.0</v>
      </c>
      <c r="B2359" s="1086" t="s">
        <v>7671</v>
      </c>
      <c r="C2359" s="1087" t="s">
        <v>1788</v>
      </c>
      <c r="D2359" s="1088">
        <v>136.86</v>
      </c>
      <c r="E2359" s="1089" t="s">
        <v>5308</v>
      </c>
      <c r="F2359" s="1081">
        <f t="shared" si="1"/>
        <v>0</v>
      </c>
      <c r="G2359" s="1083">
        <f t="shared" si="2"/>
        <v>136.86</v>
      </c>
      <c r="H2359" s="1084"/>
    </row>
    <row r="2360" ht="14.25" customHeight="1">
      <c r="A2360" s="1085">
        <v>37970.0</v>
      </c>
      <c r="B2360" s="1086" t="s">
        <v>7672</v>
      </c>
      <c r="C2360" s="1087" t="s">
        <v>1788</v>
      </c>
      <c r="D2360" s="1088">
        <v>198.0</v>
      </c>
      <c r="E2360" s="1089" t="s">
        <v>5308</v>
      </c>
      <c r="F2360" s="1081">
        <f t="shared" si="1"/>
        <v>0</v>
      </c>
      <c r="G2360" s="1083">
        <f t="shared" si="2"/>
        <v>198</v>
      </c>
      <c r="H2360" s="1084"/>
    </row>
    <row r="2361" ht="14.25" customHeight="1">
      <c r="A2361" s="1085">
        <v>44251.0</v>
      </c>
      <c r="B2361" s="1086" t="s">
        <v>7673</v>
      </c>
      <c r="C2361" s="1087" t="s">
        <v>1788</v>
      </c>
      <c r="D2361" s="1088">
        <v>228.71</v>
      </c>
      <c r="E2361" s="1089" t="s">
        <v>5308</v>
      </c>
      <c r="F2361" s="1081">
        <f t="shared" si="1"/>
        <v>0</v>
      </c>
      <c r="G2361" s="1083">
        <f t="shared" si="2"/>
        <v>228.71</v>
      </c>
      <c r="H2361" s="1084"/>
    </row>
    <row r="2362" ht="14.25" customHeight="1">
      <c r="A2362" s="1085">
        <v>21118.0</v>
      </c>
      <c r="B2362" s="1086" t="s">
        <v>7674</v>
      </c>
      <c r="C2362" s="1087" t="s">
        <v>1788</v>
      </c>
      <c r="D2362" s="1088">
        <v>3.56</v>
      </c>
      <c r="E2362" s="1089" t="s">
        <v>5308</v>
      </c>
      <c r="F2362" s="1081">
        <f t="shared" si="1"/>
        <v>0</v>
      </c>
      <c r="G2362" s="1083">
        <f t="shared" si="2"/>
        <v>3.56</v>
      </c>
      <c r="H2362" s="1084"/>
    </row>
    <row r="2363" ht="14.25" customHeight="1">
      <c r="A2363" s="1085">
        <v>37956.0</v>
      </c>
      <c r="B2363" s="1086" t="s">
        <v>7675</v>
      </c>
      <c r="C2363" s="1087" t="s">
        <v>1788</v>
      </c>
      <c r="D2363" s="1088">
        <v>4.38</v>
      </c>
      <c r="E2363" s="1089" t="s">
        <v>5308</v>
      </c>
      <c r="F2363" s="1081">
        <f t="shared" si="1"/>
        <v>0</v>
      </c>
      <c r="G2363" s="1083">
        <f t="shared" si="2"/>
        <v>4.38</v>
      </c>
      <c r="H2363" s="1084"/>
    </row>
    <row r="2364" ht="14.25" customHeight="1">
      <c r="A2364" s="1085">
        <v>37957.0</v>
      </c>
      <c r="B2364" s="1086" t="s">
        <v>7676</v>
      </c>
      <c r="C2364" s="1087" t="s">
        <v>1788</v>
      </c>
      <c r="D2364" s="1088">
        <v>9.31</v>
      </c>
      <c r="E2364" s="1089" t="s">
        <v>5308</v>
      </c>
      <c r="F2364" s="1081">
        <f t="shared" si="1"/>
        <v>0</v>
      </c>
      <c r="G2364" s="1083">
        <f t="shared" si="2"/>
        <v>9.31</v>
      </c>
      <c r="H2364" s="1084"/>
    </row>
    <row r="2365" ht="14.25" customHeight="1">
      <c r="A2365" s="1085">
        <v>37958.0</v>
      </c>
      <c r="B2365" s="1086" t="s">
        <v>7677</v>
      </c>
      <c r="C2365" s="1087" t="s">
        <v>1788</v>
      </c>
      <c r="D2365" s="1088">
        <v>16.83</v>
      </c>
      <c r="E2365" s="1089" t="s">
        <v>5308</v>
      </c>
      <c r="F2365" s="1081">
        <f t="shared" si="1"/>
        <v>0</v>
      </c>
      <c r="G2365" s="1083">
        <f t="shared" si="2"/>
        <v>16.83</v>
      </c>
      <c r="H2365" s="1084"/>
    </row>
    <row r="2366" ht="14.25" customHeight="1">
      <c r="A2366" s="1085">
        <v>37959.0</v>
      </c>
      <c r="B2366" s="1086" t="s">
        <v>7678</v>
      </c>
      <c r="C2366" s="1087" t="s">
        <v>1788</v>
      </c>
      <c r="D2366" s="1088">
        <v>25.92</v>
      </c>
      <c r="E2366" s="1089" t="s">
        <v>5308</v>
      </c>
      <c r="F2366" s="1081">
        <f t="shared" si="1"/>
        <v>0</v>
      </c>
      <c r="G2366" s="1083">
        <f t="shared" si="2"/>
        <v>25.92</v>
      </c>
      <c r="H2366" s="1084"/>
    </row>
    <row r="2367" ht="14.25" customHeight="1">
      <c r="A2367" s="1085">
        <v>37960.0</v>
      </c>
      <c r="B2367" s="1086" t="s">
        <v>7679</v>
      </c>
      <c r="C2367" s="1087" t="s">
        <v>1788</v>
      </c>
      <c r="D2367" s="1088">
        <v>66.22</v>
      </c>
      <c r="E2367" s="1089" t="s">
        <v>5308</v>
      </c>
      <c r="F2367" s="1081">
        <f t="shared" si="1"/>
        <v>0</v>
      </c>
      <c r="G2367" s="1083">
        <f t="shared" si="2"/>
        <v>66.22</v>
      </c>
      <c r="H2367" s="1084"/>
    </row>
    <row r="2368" ht="14.25" customHeight="1">
      <c r="A2368" s="1085">
        <v>37961.0</v>
      </c>
      <c r="B2368" s="1086" t="s">
        <v>7680</v>
      </c>
      <c r="C2368" s="1087" t="s">
        <v>1788</v>
      </c>
      <c r="D2368" s="1088">
        <v>142.31</v>
      </c>
      <c r="E2368" s="1089" t="s">
        <v>5308</v>
      </c>
      <c r="F2368" s="1081">
        <f t="shared" si="1"/>
        <v>0</v>
      </c>
      <c r="G2368" s="1083">
        <f t="shared" si="2"/>
        <v>142.31</v>
      </c>
      <c r="H2368" s="1084"/>
    </row>
    <row r="2369" ht="14.25" customHeight="1">
      <c r="A2369" s="1085">
        <v>37962.0</v>
      </c>
      <c r="B2369" s="1086" t="s">
        <v>7681</v>
      </c>
      <c r="C2369" s="1087" t="s">
        <v>1788</v>
      </c>
      <c r="D2369" s="1088">
        <v>164.07</v>
      </c>
      <c r="E2369" s="1089" t="s">
        <v>5308</v>
      </c>
      <c r="F2369" s="1081">
        <f t="shared" si="1"/>
        <v>0</v>
      </c>
      <c r="G2369" s="1083">
        <f t="shared" si="2"/>
        <v>164.07</v>
      </c>
      <c r="H2369" s="1084"/>
    </row>
    <row r="2370" ht="14.25" customHeight="1">
      <c r="A2370" s="1085">
        <v>3533.0</v>
      </c>
      <c r="B2370" s="1086" t="s">
        <v>7682</v>
      </c>
      <c r="C2370" s="1087" t="s">
        <v>1788</v>
      </c>
      <c r="D2370" s="1088">
        <v>2.87</v>
      </c>
      <c r="E2370" s="1089" t="s">
        <v>5308</v>
      </c>
      <c r="F2370" s="1081">
        <f t="shared" si="1"/>
        <v>0</v>
      </c>
      <c r="G2370" s="1083">
        <f t="shared" si="2"/>
        <v>2.87</v>
      </c>
      <c r="H2370" s="1084"/>
    </row>
    <row r="2371" ht="14.25" customHeight="1">
      <c r="A2371" s="1085">
        <v>3538.0</v>
      </c>
      <c r="B2371" s="1086" t="s">
        <v>7683</v>
      </c>
      <c r="C2371" s="1087" t="s">
        <v>1788</v>
      </c>
      <c r="D2371" s="1088">
        <v>5.42</v>
      </c>
      <c r="E2371" s="1089" t="s">
        <v>5308</v>
      </c>
      <c r="F2371" s="1081">
        <f t="shared" si="1"/>
        <v>0</v>
      </c>
      <c r="G2371" s="1083">
        <f t="shared" si="2"/>
        <v>5.42</v>
      </c>
      <c r="H2371" s="1084"/>
    </row>
    <row r="2372" ht="14.25" customHeight="1">
      <c r="A2372" s="1085">
        <v>3498.0</v>
      </c>
      <c r="B2372" s="1086" t="s">
        <v>7684</v>
      </c>
      <c r="C2372" s="1087" t="s">
        <v>1788</v>
      </c>
      <c r="D2372" s="1088">
        <v>5.26</v>
      </c>
      <c r="E2372" s="1089" t="s">
        <v>5308</v>
      </c>
      <c r="F2372" s="1081">
        <f t="shared" si="1"/>
        <v>0</v>
      </c>
      <c r="G2372" s="1083">
        <f t="shared" si="2"/>
        <v>5.26</v>
      </c>
      <c r="H2372" s="1084"/>
    </row>
    <row r="2373" ht="14.25" customHeight="1">
      <c r="A2373" s="1085">
        <v>3496.0</v>
      </c>
      <c r="B2373" s="1086" t="s">
        <v>7685</v>
      </c>
      <c r="C2373" s="1087" t="s">
        <v>1788</v>
      </c>
      <c r="D2373" s="1088">
        <v>3.52</v>
      </c>
      <c r="E2373" s="1089" t="s">
        <v>5308</v>
      </c>
      <c r="F2373" s="1081">
        <f t="shared" si="1"/>
        <v>0</v>
      </c>
      <c r="G2373" s="1083">
        <f t="shared" si="2"/>
        <v>3.52</v>
      </c>
      <c r="H2373" s="1084"/>
    </row>
    <row r="2374" ht="14.25" customHeight="1">
      <c r="A2374" s="1085">
        <v>38429.0</v>
      </c>
      <c r="B2374" s="1086" t="s">
        <v>7686</v>
      </c>
      <c r="C2374" s="1087" t="s">
        <v>1788</v>
      </c>
      <c r="D2374" s="1088">
        <v>12.12</v>
      </c>
      <c r="E2374" s="1089" t="s">
        <v>5308</v>
      </c>
      <c r="F2374" s="1081">
        <f t="shared" si="1"/>
        <v>0</v>
      </c>
      <c r="G2374" s="1083">
        <f t="shared" si="2"/>
        <v>12.12</v>
      </c>
      <c r="H2374" s="1084"/>
    </row>
    <row r="2375" ht="14.25" customHeight="1">
      <c r="A2375" s="1085">
        <v>38431.0</v>
      </c>
      <c r="B2375" s="1086" t="s">
        <v>7687</v>
      </c>
      <c r="C2375" s="1087" t="s">
        <v>1788</v>
      </c>
      <c r="D2375" s="1088">
        <v>15.2</v>
      </c>
      <c r="E2375" s="1089" t="s">
        <v>5308</v>
      </c>
      <c r="F2375" s="1081">
        <f t="shared" si="1"/>
        <v>0</v>
      </c>
      <c r="G2375" s="1083">
        <f t="shared" si="2"/>
        <v>15.2</v>
      </c>
      <c r="H2375" s="1084"/>
    </row>
    <row r="2376" ht="14.25" customHeight="1">
      <c r="A2376" s="1085">
        <v>38430.0</v>
      </c>
      <c r="B2376" s="1086" t="s">
        <v>7688</v>
      </c>
      <c r="C2376" s="1087" t="s">
        <v>1788</v>
      </c>
      <c r="D2376" s="1088">
        <v>23.57</v>
      </c>
      <c r="E2376" s="1089" t="s">
        <v>5308</v>
      </c>
      <c r="F2376" s="1081">
        <f t="shared" si="1"/>
        <v>0</v>
      </c>
      <c r="G2376" s="1083">
        <f t="shared" si="2"/>
        <v>23.57</v>
      </c>
      <c r="H2376" s="1084"/>
    </row>
    <row r="2377" ht="14.25" customHeight="1">
      <c r="A2377" s="1085">
        <v>36348.0</v>
      </c>
      <c r="B2377" s="1086" t="s">
        <v>7689</v>
      </c>
      <c r="C2377" s="1087" t="s">
        <v>1788</v>
      </c>
      <c r="D2377" s="1088">
        <v>2.36</v>
      </c>
      <c r="E2377" s="1089" t="s">
        <v>5308</v>
      </c>
      <c r="F2377" s="1081">
        <f t="shared" si="1"/>
        <v>0</v>
      </c>
      <c r="G2377" s="1083">
        <f t="shared" si="2"/>
        <v>2.36</v>
      </c>
      <c r="H2377" s="1084"/>
    </row>
    <row r="2378" ht="14.25" customHeight="1">
      <c r="A2378" s="1085">
        <v>36349.0</v>
      </c>
      <c r="B2378" s="1086" t="s">
        <v>7690</v>
      </c>
      <c r="C2378" s="1087" t="s">
        <v>1788</v>
      </c>
      <c r="D2378" s="1088">
        <v>3.25</v>
      </c>
      <c r="E2378" s="1089" t="s">
        <v>5308</v>
      </c>
      <c r="F2378" s="1081">
        <f t="shared" si="1"/>
        <v>0</v>
      </c>
      <c r="G2378" s="1083">
        <f t="shared" si="2"/>
        <v>3.25</v>
      </c>
      <c r="H2378" s="1084"/>
    </row>
    <row r="2379" ht="14.25" customHeight="1">
      <c r="A2379" s="1085">
        <v>38987.0</v>
      </c>
      <c r="B2379" s="1086" t="s">
        <v>7691</v>
      </c>
      <c r="C2379" s="1087" t="s">
        <v>1788</v>
      </c>
      <c r="D2379" s="1088">
        <v>15.64</v>
      </c>
      <c r="E2379" s="1089" t="s">
        <v>5308</v>
      </c>
      <c r="F2379" s="1081">
        <f t="shared" si="1"/>
        <v>0</v>
      </c>
      <c r="G2379" s="1083">
        <f t="shared" si="2"/>
        <v>15.64</v>
      </c>
      <c r="H2379" s="1084"/>
    </row>
    <row r="2380" ht="14.25" customHeight="1">
      <c r="A2380" s="1085">
        <v>38988.0</v>
      </c>
      <c r="B2380" s="1086" t="s">
        <v>7692</v>
      </c>
      <c r="C2380" s="1087" t="s">
        <v>1788</v>
      </c>
      <c r="D2380" s="1088">
        <v>25.48</v>
      </c>
      <c r="E2380" s="1089" t="s">
        <v>5308</v>
      </c>
      <c r="F2380" s="1081">
        <f t="shared" si="1"/>
        <v>0</v>
      </c>
      <c r="G2380" s="1083">
        <f t="shared" si="2"/>
        <v>25.48</v>
      </c>
      <c r="H2380" s="1084"/>
    </row>
    <row r="2381" ht="14.25" customHeight="1">
      <c r="A2381" s="1085">
        <v>38989.0</v>
      </c>
      <c r="B2381" s="1086" t="s">
        <v>7693</v>
      </c>
      <c r="C2381" s="1087" t="s">
        <v>1788</v>
      </c>
      <c r="D2381" s="1088">
        <v>42.87</v>
      </c>
      <c r="E2381" s="1089" t="s">
        <v>5308</v>
      </c>
      <c r="F2381" s="1081">
        <f t="shared" si="1"/>
        <v>0</v>
      </c>
      <c r="G2381" s="1083">
        <f t="shared" si="2"/>
        <v>42.87</v>
      </c>
      <c r="H2381" s="1084"/>
    </row>
    <row r="2382" ht="14.25" customHeight="1">
      <c r="A2382" s="1085">
        <v>38990.0</v>
      </c>
      <c r="B2382" s="1086" t="s">
        <v>7694</v>
      </c>
      <c r="C2382" s="1087" t="s">
        <v>1788</v>
      </c>
      <c r="D2382" s="1088">
        <v>85.68</v>
      </c>
      <c r="E2382" s="1089" t="s">
        <v>5308</v>
      </c>
      <c r="F2382" s="1081">
        <f t="shared" si="1"/>
        <v>0</v>
      </c>
      <c r="G2382" s="1083">
        <f t="shared" si="2"/>
        <v>85.68</v>
      </c>
      <c r="H2382" s="1084"/>
    </row>
    <row r="2383" ht="14.25" customHeight="1">
      <c r="A2383" s="1085">
        <v>38991.0</v>
      </c>
      <c r="B2383" s="1086" t="s">
        <v>7695</v>
      </c>
      <c r="C2383" s="1087" t="s">
        <v>1788</v>
      </c>
      <c r="D2383" s="1088">
        <v>154.17</v>
      </c>
      <c r="E2383" s="1089" t="s">
        <v>5308</v>
      </c>
      <c r="F2383" s="1081">
        <f t="shared" si="1"/>
        <v>0</v>
      </c>
      <c r="G2383" s="1083">
        <f t="shared" si="2"/>
        <v>154.17</v>
      </c>
      <c r="H2383" s="1084"/>
    </row>
    <row r="2384" ht="14.25" customHeight="1">
      <c r="A2384" s="1085">
        <v>38433.0</v>
      </c>
      <c r="B2384" s="1086" t="s">
        <v>7696</v>
      </c>
      <c r="C2384" s="1087" t="s">
        <v>1788</v>
      </c>
      <c r="D2384" s="1088">
        <v>7.97</v>
      </c>
      <c r="E2384" s="1089" t="s">
        <v>5308</v>
      </c>
      <c r="F2384" s="1081">
        <f t="shared" si="1"/>
        <v>0</v>
      </c>
      <c r="G2384" s="1083">
        <f t="shared" si="2"/>
        <v>7.97</v>
      </c>
      <c r="H2384" s="1084"/>
    </row>
    <row r="2385" ht="14.25" customHeight="1">
      <c r="A2385" s="1085">
        <v>38440.0</v>
      </c>
      <c r="B2385" s="1086" t="s">
        <v>7697</v>
      </c>
      <c r="C2385" s="1087" t="s">
        <v>1788</v>
      </c>
      <c r="D2385" s="1088">
        <v>336.0</v>
      </c>
      <c r="E2385" s="1089" t="s">
        <v>5308</v>
      </c>
      <c r="F2385" s="1081">
        <f t="shared" si="1"/>
        <v>0</v>
      </c>
      <c r="G2385" s="1083">
        <f t="shared" si="2"/>
        <v>336</v>
      </c>
      <c r="H2385" s="1084"/>
    </row>
    <row r="2386" ht="14.25" customHeight="1">
      <c r="A2386" s="1085">
        <v>36359.0</v>
      </c>
      <c r="B2386" s="1086" t="s">
        <v>7698</v>
      </c>
      <c r="C2386" s="1087" t="s">
        <v>1788</v>
      </c>
      <c r="D2386" s="1088">
        <v>2.09</v>
      </c>
      <c r="E2386" s="1089" t="s">
        <v>5308</v>
      </c>
      <c r="F2386" s="1081">
        <f t="shared" si="1"/>
        <v>0</v>
      </c>
      <c r="G2386" s="1083">
        <f t="shared" si="2"/>
        <v>2.09</v>
      </c>
      <c r="H2386" s="1084"/>
    </row>
    <row r="2387" ht="14.25" customHeight="1">
      <c r="A2387" s="1085">
        <v>36360.0</v>
      </c>
      <c r="B2387" s="1086" t="s">
        <v>7699</v>
      </c>
      <c r="C2387" s="1087" t="s">
        <v>1788</v>
      </c>
      <c r="D2387" s="1088">
        <v>2.82</v>
      </c>
      <c r="E2387" s="1089" t="s">
        <v>5308</v>
      </c>
      <c r="F2387" s="1081">
        <f t="shared" si="1"/>
        <v>0</v>
      </c>
      <c r="G2387" s="1083">
        <f t="shared" si="2"/>
        <v>2.82</v>
      </c>
      <c r="H2387" s="1084"/>
    </row>
    <row r="2388" ht="14.25" customHeight="1">
      <c r="A2388" s="1085">
        <v>38434.0</v>
      </c>
      <c r="B2388" s="1086" t="s">
        <v>7700</v>
      </c>
      <c r="C2388" s="1087" t="s">
        <v>1788</v>
      </c>
      <c r="D2388" s="1088">
        <v>4.29</v>
      </c>
      <c r="E2388" s="1089" t="s">
        <v>5308</v>
      </c>
      <c r="F2388" s="1081">
        <f t="shared" si="1"/>
        <v>0</v>
      </c>
      <c r="G2388" s="1083">
        <f t="shared" si="2"/>
        <v>4.29</v>
      </c>
      <c r="H2388" s="1084"/>
    </row>
    <row r="2389" ht="14.25" customHeight="1">
      <c r="A2389" s="1085">
        <v>38435.0</v>
      </c>
      <c r="B2389" s="1086" t="s">
        <v>7701</v>
      </c>
      <c r="C2389" s="1087" t="s">
        <v>1788</v>
      </c>
      <c r="D2389" s="1088">
        <v>9.66</v>
      </c>
      <c r="E2389" s="1089" t="s">
        <v>5308</v>
      </c>
      <c r="F2389" s="1081">
        <f t="shared" si="1"/>
        <v>0</v>
      </c>
      <c r="G2389" s="1083">
        <f t="shared" si="2"/>
        <v>9.66</v>
      </c>
      <c r="H2389" s="1084"/>
    </row>
    <row r="2390" ht="14.25" customHeight="1">
      <c r="A2390" s="1085">
        <v>38436.0</v>
      </c>
      <c r="B2390" s="1086" t="s">
        <v>7702</v>
      </c>
      <c r="C2390" s="1087" t="s">
        <v>1788</v>
      </c>
      <c r="D2390" s="1088">
        <v>16.02</v>
      </c>
      <c r="E2390" s="1089" t="s">
        <v>5308</v>
      </c>
      <c r="F2390" s="1081">
        <f t="shared" si="1"/>
        <v>0</v>
      </c>
      <c r="G2390" s="1083">
        <f t="shared" si="2"/>
        <v>16.02</v>
      </c>
      <c r="H2390" s="1084"/>
    </row>
    <row r="2391" ht="14.25" customHeight="1">
      <c r="A2391" s="1085">
        <v>38437.0</v>
      </c>
      <c r="B2391" s="1086" t="s">
        <v>7703</v>
      </c>
      <c r="C2391" s="1087" t="s">
        <v>1788</v>
      </c>
      <c r="D2391" s="1088">
        <v>25.99</v>
      </c>
      <c r="E2391" s="1089" t="s">
        <v>5308</v>
      </c>
      <c r="F2391" s="1081">
        <f t="shared" si="1"/>
        <v>0</v>
      </c>
      <c r="G2391" s="1083">
        <f t="shared" si="2"/>
        <v>25.99</v>
      </c>
      <c r="H2391" s="1084"/>
    </row>
    <row r="2392" ht="14.25" customHeight="1">
      <c r="A2392" s="1085">
        <v>38438.0</v>
      </c>
      <c r="B2392" s="1086" t="s">
        <v>7704</v>
      </c>
      <c r="C2392" s="1087" t="s">
        <v>1788</v>
      </c>
      <c r="D2392" s="1088">
        <v>75.37</v>
      </c>
      <c r="E2392" s="1089" t="s">
        <v>5308</v>
      </c>
      <c r="F2392" s="1081">
        <f t="shared" si="1"/>
        <v>0</v>
      </c>
      <c r="G2392" s="1083">
        <f t="shared" si="2"/>
        <v>75.37</v>
      </c>
      <c r="H2392" s="1084"/>
    </row>
    <row r="2393" ht="14.25" customHeight="1">
      <c r="A2393" s="1085">
        <v>38439.0</v>
      </c>
      <c r="B2393" s="1086" t="s">
        <v>7705</v>
      </c>
      <c r="C2393" s="1087" t="s">
        <v>1788</v>
      </c>
      <c r="D2393" s="1088">
        <v>95.78</v>
      </c>
      <c r="E2393" s="1089" t="s">
        <v>5308</v>
      </c>
      <c r="F2393" s="1081">
        <f t="shared" si="1"/>
        <v>0</v>
      </c>
      <c r="G2393" s="1083">
        <f t="shared" si="2"/>
        <v>95.78</v>
      </c>
      <c r="H2393" s="1084"/>
    </row>
    <row r="2394" ht="14.25" customHeight="1">
      <c r="A2394" s="1085">
        <v>10836.0</v>
      </c>
      <c r="B2394" s="1086" t="s">
        <v>7706</v>
      </c>
      <c r="C2394" s="1087" t="s">
        <v>1788</v>
      </c>
      <c r="D2394" s="1088">
        <v>23.16</v>
      </c>
      <c r="E2394" s="1089" t="s">
        <v>5308</v>
      </c>
      <c r="F2394" s="1081">
        <f t="shared" si="1"/>
        <v>0</v>
      </c>
      <c r="G2394" s="1083">
        <f t="shared" si="2"/>
        <v>23.16</v>
      </c>
      <c r="H2394" s="1084"/>
    </row>
    <row r="2395" ht="14.25" customHeight="1">
      <c r="A2395" s="1085">
        <v>10835.0</v>
      </c>
      <c r="B2395" s="1086" t="s">
        <v>7707</v>
      </c>
      <c r="C2395" s="1087" t="s">
        <v>1788</v>
      </c>
      <c r="D2395" s="1088">
        <v>6.46</v>
      </c>
      <c r="E2395" s="1089" t="s">
        <v>5308</v>
      </c>
      <c r="F2395" s="1081">
        <f t="shared" si="1"/>
        <v>0</v>
      </c>
      <c r="G2395" s="1083">
        <f t="shared" si="2"/>
        <v>6.46</v>
      </c>
      <c r="H2395" s="1084"/>
    </row>
    <row r="2396" ht="14.25" customHeight="1">
      <c r="A2396" s="1085">
        <v>3475.0</v>
      </c>
      <c r="B2396" s="1086" t="s">
        <v>7708</v>
      </c>
      <c r="C2396" s="1087" t="s">
        <v>1788</v>
      </c>
      <c r="D2396" s="1088">
        <v>5.02</v>
      </c>
      <c r="E2396" s="1089" t="s">
        <v>5308</v>
      </c>
      <c r="F2396" s="1081">
        <f t="shared" si="1"/>
        <v>0</v>
      </c>
      <c r="G2396" s="1083">
        <f t="shared" si="2"/>
        <v>5.02</v>
      </c>
      <c r="H2396" s="1084"/>
    </row>
    <row r="2397" ht="14.25" customHeight="1">
      <c r="A2397" s="1085">
        <v>3485.0</v>
      </c>
      <c r="B2397" s="1086" t="s">
        <v>7709</v>
      </c>
      <c r="C2397" s="1087" t="s">
        <v>1788</v>
      </c>
      <c r="D2397" s="1088">
        <v>13.88</v>
      </c>
      <c r="E2397" s="1089" t="s">
        <v>5308</v>
      </c>
      <c r="F2397" s="1081">
        <f t="shared" si="1"/>
        <v>0</v>
      </c>
      <c r="G2397" s="1083">
        <f t="shared" si="2"/>
        <v>13.88</v>
      </c>
      <c r="H2397" s="1084"/>
    </row>
    <row r="2398" ht="14.25" customHeight="1">
      <c r="A2398" s="1085">
        <v>3534.0</v>
      </c>
      <c r="B2398" s="1086" t="s">
        <v>7710</v>
      </c>
      <c r="C2398" s="1087" t="s">
        <v>1788</v>
      </c>
      <c r="D2398" s="1088">
        <v>7.96</v>
      </c>
      <c r="E2398" s="1089" t="s">
        <v>5308</v>
      </c>
      <c r="F2398" s="1081">
        <f t="shared" si="1"/>
        <v>0</v>
      </c>
      <c r="G2398" s="1083">
        <f t="shared" si="2"/>
        <v>7.96</v>
      </c>
      <c r="H2398" s="1084"/>
    </row>
    <row r="2399" ht="14.25" customHeight="1">
      <c r="A2399" s="1085">
        <v>3543.0</v>
      </c>
      <c r="B2399" s="1086" t="s">
        <v>7711</v>
      </c>
      <c r="C2399" s="1087" t="s">
        <v>1788</v>
      </c>
      <c r="D2399" s="1088">
        <v>1.85</v>
      </c>
      <c r="E2399" s="1089" t="s">
        <v>5308</v>
      </c>
      <c r="F2399" s="1081">
        <f t="shared" si="1"/>
        <v>0</v>
      </c>
      <c r="G2399" s="1083">
        <f t="shared" si="2"/>
        <v>1.85</v>
      </c>
      <c r="H2399" s="1084"/>
    </row>
    <row r="2400" ht="14.25" customHeight="1">
      <c r="A2400" s="1085">
        <v>3482.0</v>
      </c>
      <c r="B2400" s="1086" t="s">
        <v>7712</v>
      </c>
      <c r="C2400" s="1087" t="s">
        <v>1788</v>
      </c>
      <c r="D2400" s="1088">
        <v>5.69</v>
      </c>
      <c r="E2400" s="1089" t="s">
        <v>5308</v>
      </c>
      <c r="F2400" s="1081">
        <f t="shared" si="1"/>
        <v>0</v>
      </c>
      <c r="G2400" s="1083">
        <f t="shared" si="2"/>
        <v>5.69</v>
      </c>
      <c r="H2400" s="1084"/>
    </row>
    <row r="2401" ht="14.25" customHeight="1">
      <c r="A2401" s="1085">
        <v>3505.0</v>
      </c>
      <c r="B2401" s="1086" t="s">
        <v>7713</v>
      </c>
      <c r="C2401" s="1087" t="s">
        <v>1788</v>
      </c>
      <c r="D2401" s="1088">
        <v>2.75</v>
      </c>
      <c r="E2401" s="1089" t="s">
        <v>5308</v>
      </c>
      <c r="F2401" s="1081">
        <f t="shared" si="1"/>
        <v>0</v>
      </c>
      <c r="G2401" s="1083">
        <f t="shared" si="2"/>
        <v>2.75</v>
      </c>
      <c r="H2401" s="1084"/>
    </row>
    <row r="2402" ht="14.25" customHeight="1">
      <c r="A2402" s="1085">
        <v>3521.0</v>
      </c>
      <c r="B2402" s="1086" t="s">
        <v>7714</v>
      </c>
      <c r="C2402" s="1087" t="s">
        <v>1788</v>
      </c>
      <c r="D2402" s="1088">
        <v>2.07</v>
      </c>
      <c r="E2402" s="1089" t="s">
        <v>5308</v>
      </c>
      <c r="F2402" s="1081">
        <f t="shared" si="1"/>
        <v>0</v>
      </c>
      <c r="G2402" s="1083">
        <f t="shared" si="2"/>
        <v>2.07</v>
      </c>
      <c r="H2402" s="1084"/>
    </row>
    <row r="2403" ht="14.25" customHeight="1">
      <c r="A2403" s="1085">
        <v>3531.0</v>
      </c>
      <c r="B2403" s="1086" t="s">
        <v>7715</v>
      </c>
      <c r="C2403" s="1087" t="s">
        <v>1788</v>
      </c>
      <c r="D2403" s="1088">
        <v>3.94</v>
      </c>
      <c r="E2403" s="1089" t="s">
        <v>5308</v>
      </c>
      <c r="F2403" s="1081">
        <f t="shared" si="1"/>
        <v>0</v>
      </c>
      <c r="G2403" s="1083">
        <f t="shared" si="2"/>
        <v>3.94</v>
      </c>
      <c r="H2403" s="1084"/>
    </row>
    <row r="2404" ht="14.25" customHeight="1">
      <c r="A2404" s="1085">
        <v>3522.0</v>
      </c>
      <c r="B2404" s="1086" t="s">
        <v>7716</v>
      </c>
      <c r="C2404" s="1087" t="s">
        <v>1788</v>
      </c>
      <c r="D2404" s="1088">
        <v>2.54</v>
      </c>
      <c r="E2404" s="1089" t="s">
        <v>5308</v>
      </c>
      <c r="F2404" s="1081">
        <f t="shared" si="1"/>
        <v>0</v>
      </c>
      <c r="G2404" s="1083">
        <f t="shared" si="2"/>
        <v>2.54</v>
      </c>
      <c r="H2404" s="1084"/>
    </row>
    <row r="2405" ht="14.25" customHeight="1">
      <c r="A2405" s="1085">
        <v>3527.0</v>
      </c>
      <c r="B2405" s="1086" t="s">
        <v>7717</v>
      </c>
      <c r="C2405" s="1087" t="s">
        <v>1788</v>
      </c>
      <c r="D2405" s="1088">
        <v>13.38</v>
      </c>
      <c r="E2405" s="1089" t="s">
        <v>5308</v>
      </c>
      <c r="F2405" s="1081">
        <f t="shared" si="1"/>
        <v>0</v>
      </c>
      <c r="G2405" s="1083">
        <f t="shared" si="2"/>
        <v>13.38</v>
      </c>
      <c r="H2405" s="1084"/>
    </row>
    <row r="2406" ht="14.25" customHeight="1">
      <c r="A2406" s="1085">
        <v>3516.0</v>
      </c>
      <c r="B2406" s="1086" t="s">
        <v>7718</v>
      </c>
      <c r="C2406" s="1087" t="s">
        <v>1788</v>
      </c>
      <c r="D2406" s="1088">
        <v>2.67</v>
      </c>
      <c r="E2406" s="1089" t="s">
        <v>5308</v>
      </c>
      <c r="F2406" s="1081">
        <f t="shared" si="1"/>
        <v>0</v>
      </c>
      <c r="G2406" s="1083">
        <f t="shared" si="2"/>
        <v>2.67</v>
      </c>
      <c r="H2406" s="1084"/>
    </row>
    <row r="2407" ht="14.25" customHeight="1">
      <c r="A2407" s="1085">
        <v>3517.0</v>
      </c>
      <c r="B2407" s="1086" t="s">
        <v>7719</v>
      </c>
      <c r="C2407" s="1087" t="s">
        <v>1788</v>
      </c>
      <c r="D2407" s="1088">
        <v>2.41</v>
      </c>
      <c r="E2407" s="1089" t="s">
        <v>5308</v>
      </c>
      <c r="F2407" s="1081">
        <f t="shared" si="1"/>
        <v>0</v>
      </c>
      <c r="G2407" s="1083">
        <f t="shared" si="2"/>
        <v>2.41</v>
      </c>
      <c r="H2407" s="1084"/>
    </row>
    <row r="2408" ht="14.25" customHeight="1">
      <c r="A2408" s="1085">
        <v>3515.0</v>
      </c>
      <c r="B2408" s="1086" t="s">
        <v>7720</v>
      </c>
      <c r="C2408" s="1087" t="s">
        <v>1788</v>
      </c>
      <c r="D2408" s="1088">
        <v>6.82</v>
      </c>
      <c r="E2408" s="1089" t="s">
        <v>5308</v>
      </c>
      <c r="F2408" s="1081">
        <f t="shared" si="1"/>
        <v>0</v>
      </c>
      <c r="G2408" s="1083">
        <f t="shared" si="2"/>
        <v>6.82</v>
      </c>
      <c r="H2408" s="1084"/>
    </row>
    <row r="2409" ht="14.25" customHeight="1">
      <c r="A2409" s="1085">
        <v>20147.0</v>
      </c>
      <c r="B2409" s="1086" t="s">
        <v>7721</v>
      </c>
      <c r="C2409" s="1087" t="s">
        <v>1788</v>
      </c>
      <c r="D2409" s="1088">
        <v>5.61</v>
      </c>
      <c r="E2409" s="1089" t="s">
        <v>5308</v>
      </c>
      <c r="F2409" s="1081">
        <f t="shared" si="1"/>
        <v>0</v>
      </c>
      <c r="G2409" s="1083">
        <f t="shared" si="2"/>
        <v>5.61</v>
      </c>
      <c r="H2409" s="1084"/>
    </row>
    <row r="2410" ht="14.25" customHeight="1">
      <c r="A2410" s="1085">
        <v>3524.0</v>
      </c>
      <c r="B2410" s="1086" t="s">
        <v>7722</v>
      </c>
      <c r="C2410" s="1087" t="s">
        <v>1788</v>
      </c>
      <c r="D2410" s="1088">
        <v>8.44</v>
      </c>
      <c r="E2410" s="1089" t="s">
        <v>5308</v>
      </c>
      <c r="F2410" s="1081">
        <f t="shared" si="1"/>
        <v>0</v>
      </c>
      <c r="G2410" s="1083">
        <f t="shared" si="2"/>
        <v>8.44</v>
      </c>
      <c r="H2410" s="1084"/>
    </row>
    <row r="2411" ht="14.25" customHeight="1">
      <c r="A2411" s="1085">
        <v>3532.0</v>
      </c>
      <c r="B2411" s="1086" t="s">
        <v>7723</v>
      </c>
      <c r="C2411" s="1087" t="s">
        <v>1788</v>
      </c>
      <c r="D2411" s="1088">
        <v>19.51</v>
      </c>
      <c r="E2411" s="1089" t="s">
        <v>5308</v>
      </c>
      <c r="F2411" s="1081">
        <f t="shared" si="1"/>
        <v>0</v>
      </c>
      <c r="G2411" s="1083">
        <f t="shared" si="2"/>
        <v>19.51</v>
      </c>
      <c r="H2411" s="1084"/>
    </row>
    <row r="2412" ht="14.25" customHeight="1">
      <c r="A2412" s="1085">
        <v>3528.0</v>
      </c>
      <c r="B2412" s="1086" t="s">
        <v>7724</v>
      </c>
      <c r="C2412" s="1087" t="s">
        <v>1788</v>
      </c>
      <c r="D2412" s="1088">
        <v>10.43</v>
      </c>
      <c r="E2412" s="1089" t="s">
        <v>5308</v>
      </c>
      <c r="F2412" s="1081">
        <f t="shared" si="1"/>
        <v>0</v>
      </c>
      <c r="G2412" s="1083">
        <f t="shared" si="2"/>
        <v>10.43</v>
      </c>
      <c r="H2412" s="1084"/>
    </row>
    <row r="2413" ht="14.25" customHeight="1">
      <c r="A2413" s="1085">
        <v>37952.0</v>
      </c>
      <c r="B2413" s="1086" t="s">
        <v>7725</v>
      </c>
      <c r="C2413" s="1087" t="s">
        <v>1788</v>
      </c>
      <c r="D2413" s="1088">
        <v>74.73</v>
      </c>
      <c r="E2413" s="1089" t="s">
        <v>5308</v>
      </c>
      <c r="F2413" s="1081">
        <f t="shared" si="1"/>
        <v>0</v>
      </c>
      <c r="G2413" s="1083">
        <f t="shared" si="2"/>
        <v>74.73</v>
      </c>
      <c r="H2413" s="1084"/>
    </row>
    <row r="2414" ht="14.25" customHeight="1">
      <c r="A2414" s="1085">
        <v>37951.0</v>
      </c>
      <c r="B2414" s="1086" t="s">
        <v>7726</v>
      </c>
      <c r="C2414" s="1087" t="s">
        <v>1788</v>
      </c>
      <c r="D2414" s="1088">
        <v>2.81</v>
      </c>
      <c r="E2414" s="1089" t="s">
        <v>5308</v>
      </c>
      <c r="F2414" s="1081">
        <f t="shared" si="1"/>
        <v>0</v>
      </c>
      <c r="G2414" s="1083">
        <f t="shared" si="2"/>
        <v>2.81</v>
      </c>
      <c r="H2414" s="1084"/>
    </row>
    <row r="2415" ht="14.25" customHeight="1">
      <c r="A2415" s="1085">
        <v>3518.0</v>
      </c>
      <c r="B2415" s="1086" t="s">
        <v>7727</v>
      </c>
      <c r="C2415" s="1087" t="s">
        <v>1788</v>
      </c>
      <c r="D2415" s="1088">
        <v>4.32</v>
      </c>
      <c r="E2415" s="1089" t="s">
        <v>5308</v>
      </c>
      <c r="F2415" s="1081">
        <f t="shared" si="1"/>
        <v>0</v>
      </c>
      <c r="G2415" s="1083">
        <f t="shared" si="2"/>
        <v>4.32</v>
      </c>
      <c r="H2415" s="1084"/>
    </row>
    <row r="2416" ht="14.25" customHeight="1">
      <c r="A2416" s="1085">
        <v>3519.0</v>
      </c>
      <c r="B2416" s="1086" t="s">
        <v>7728</v>
      </c>
      <c r="C2416" s="1087" t="s">
        <v>1788</v>
      </c>
      <c r="D2416" s="1088">
        <v>9.04</v>
      </c>
      <c r="E2416" s="1089" t="s">
        <v>5308</v>
      </c>
      <c r="F2416" s="1081">
        <f t="shared" si="1"/>
        <v>0</v>
      </c>
      <c r="G2416" s="1083">
        <f t="shared" si="2"/>
        <v>9.04</v>
      </c>
      <c r="H2416" s="1084"/>
    </row>
    <row r="2417" ht="14.25" customHeight="1">
      <c r="A2417" s="1085">
        <v>3520.0</v>
      </c>
      <c r="B2417" s="1086" t="s">
        <v>7729</v>
      </c>
      <c r="C2417" s="1087" t="s">
        <v>1788</v>
      </c>
      <c r="D2417" s="1088">
        <v>9.48</v>
      </c>
      <c r="E2417" s="1089" t="s">
        <v>5308</v>
      </c>
      <c r="F2417" s="1081">
        <f t="shared" si="1"/>
        <v>0</v>
      </c>
      <c r="G2417" s="1083">
        <f t="shared" si="2"/>
        <v>9.48</v>
      </c>
      <c r="H2417" s="1084"/>
    </row>
    <row r="2418" ht="14.25" customHeight="1">
      <c r="A2418" s="1085">
        <v>37950.0</v>
      </c>
      <c r="B2418" s="1086" t="s">
        <v>7730</v>
      </c>
      <c r="C2418" s="1087" t="s">
        <v>1788</v>
      </c>
      <c r="D2418" s="1088">
        <v>68.8</v>
      </c>
      <c r="E2418" s="1089" t="s">
        <v>5308</v>
      </c>
      <c r="F2418" s="1081">
        <f t="shared" si="1"/>
        <v>0</v>
      </c>
      <c r="G2418" s="1083">
        <f t="shared" si="2"/>
        <v>68.8</v>
      </c>
      <c r="H2418" s="1084"/>
    </row>
    <row r="2419" ht="14.25" customHeight="1">
      <c r="A2419" s="1085">
        <v>37949.0</v>
      </c>
      <c r="B2419" s="1086" t="s">
        <v>7731</v>
      </c>
      <c r="C2419" s="1087" t="s">
        <v>1788</v>
      </c>
      <c r="D2419" s="1088">
        <v>2.53</v>
      </c>
      <c r="E2419" s="1089" t="s">
        <v>5308</v>
      </c>
      <c r="F2419" s="1081">
        <f t="shared" si="1"/>
        <v>0</v>
      </c>
      <c r="G2419" s="1083">
        <f t="shared" si="2"/>
        <v>2.53</v>
      </c>
      <c r="H2419" s="1084"/>
    </row>
    <row r="2420" ht="14.25" customHeight="1">
      <c r="A2420" s="1085">
        <v>3526.0</v>
      </c>
      <c r="B2420" s="1086" t="s">
        <v>7732</v>
      </c>
      <c r="C2420" s="1087" t="s">
        <v>1788</v>
      </c>
      <c r="D2420" s="1088">
        <v>3.49</v>
      </c>
      <c r="E2420" s="1089" t="s">
        <v>5308</v>
      </c>
      <c r="F2420" s="1081">
        <f t="shared" si="1"/>
        <v>0</v>
      </c>
      <c r="G2420" s="1083">
        <f t="shared" si="2"/>
        <v>3.49</v>
      </c>
      <c r="H2420" s="1084"/>
    </row>
    <row r="2421" ht="14.25" customHeight="1">
      <c r="A2421" s="1085">
        <v>3509.0</v>
      </c>
      <c r="B2421" s="1086" t="s">
        <v>7733</v>
      </c>
      <c r="C2421" s="1087" t="s">
        <v>1788</v>
      </c>
      <c r="D2421" s="1088">
        <v>7.93</v>
      </c>
      <c r="E2421" s="1089" t="s">
        <v>5308</v>
      </c>
      <c r="F2421" s="1081">
        <f t="shared" si="1"/>
        <v>0</v>
      </c>
      <c r="G2421" s="1083">
        <f t="shared" si="2"/>
        <v>7.93</v>
      </c>
      <c r="H2421" s="1084"/>
    </row>
    <row r="2422" ht="14.25" customHeight="1">
      <c r="A2422" s="1085">
        <v>3530.0</v>
      </c>
      <c r="B2422" s="1086" t="s">
        <v>7734</v>
      </c>
      <c r="C2422" s="1087" t="s">
        <v>1788</v>
      </c>
      <c r="D2422" s="1088">
        <v>216.63</v>
      </c>
      <c r="E2422" s="1089" t="s">
        <v>5308</v>
      </c>
      <c r="F2422" s="1081">
        <f t="shared" si="1"/>
        <v>0</v>
      </c>
      <c r="G2422" s="1083">
        <f t="shared" si="2"/>
        <v>216.63</v>
      </c>
      <c r="H2422" s="1084"/>
    </row>
    <row r="2423" ht="14.25" customHeight="1">
      <c r="A2423" s="1085">
        <v>3542.0</v>
      </c>
      <c r="B2423" s="1086" t="s">
        <v>7735</v>
      </c>
      <c r="C2423" s="1087" t="s">
        <v>1788</v>
      </c>
      <c r="D2423" s="1088">
        <v>0.62</v>
      </c>
      <c r="E2423" s="1089" t="s">
        <v>5308</v>
      </c>
      <c r="F2423" s="1081">
        <f t="shared" si="1"/>
        <v>0</v>
      </c>
      <c r="G2423" s="1083">
        <f t="shared" si="2"/>
        <v>0.62</v>
      </c>
      <c r="H2423" s="1084"/>
    </row>
    <row r="2424" ht="14.25" customHeight="1">
      <c r="A2424" s="1085">
        <v>3529.0</v>
      </c>
      <c r="B2424" s="1086" t="s">
        <v>7736</v>
      </c>
      <c r="C2424" s="1087" t="s">
        <v>1788</v>
      </c>
      <c r="D2424" s="1088">
        <v>0.76</v>
      </c>
      <c r="E2424" s="1089" t="s">
        <v>5308</v>
      </c>
      <c r="F2424" s="1081">
        <f t="shared" si="1"/>
        <v>0</v>
      </c>
      <c r="G2424" s="1083">
        <f t="shared" si="2"/>
        <v>0.76</v>
      </c>
      <c r="H2424" s="1084"/>
    </row>
    <row r="2425" ht="14.25" customHeight="1">
      <c r="A2425" s="1085">
        <v>3536.0</v>
      </c>
      <c r="B2425" s="1086" t="s">
        <v>7737</v>
      </c>
      <c r="C2425" s="1087" t="s">
        <v>1788</v>
      </c>
      <c r="D2425" s="1088">
        <v>2.54</v>
      </c>
      <c r="E2425" s="1089" t="s">
        <v>5308</v>
      </c>
      <c r="F2425" s="1081">
        <f t="shared" si="1"/>
        <v>0</v>
      </c>
      <c r="G2425" s="1083">
        <f t="shared" si="2"/>
        <v>2.54</v>
      </c>
      <c r="H2425" s="1084"/>
    </row>
    <row r="2426" ht="14.25" customHeight="1">
      <c r="A2426" s="1085">
        <v>3535.0</v>
      </c>
      <c r="B2426" s="1086" t="s">
        <v>7738</v>
      </c>
      <c r="C2426" s="1087" t="s">
        <v>1788</v>
      </c>
      <c r="D2426" s="1088">
        <v>6.18</v>
      </c>
      <c r="E2426" s="1089" t="s">
        <v>5308</v>
      </c>
      <c r="F2426" s="1081">
        <f t="shared" si="1"/>
        <v>0</v>
      </c>
      <c r="G2426" s="1083">
        <f t="shared" si="2"/>
        <v>6.18</v>
      </c>
      <c r="H2426" s="1084"/>
    </row>
    <row r="2427" ht="14.25" customHeight="1">
      <c r="A2427" s="1085">
        <v>3540.0</v>
      </c>
      <c r="B2427" s="1086" t="s">
        <v>7739</v>
      </c>
      <c r="C2427" s="1087" t="s">
        <v>1788</v>
      </c>
      <c r="D2427" s="1088">
        <v>5.23</v>
      </c>
      <c r="E2427" s="1089" t="s">
        <v>5308</v>
      </c>
      <c r="F2427" s="1081">
        <f t="shared" si="1"/>
        <v>0</v>
      </c>
      <c r="G2427" s="1083">
        <f t="shared" si="2"/>
        <v>5.23</v>
      </c>
      <c r="H2427" s="1084"/>
    </row>
    <row r="2428" ht="14.25" customHeight="1">
      <c r="A2428" s="1085">
        <v>3539.0</v>
      </c>
      <c r="B2428" s="1086" t="s">
        <v>7740</v>
      </c>
      <c r="C2428" s="1087" t="s">
        <v>1788</v>
      </c>
      <c r="D2428" s="1088">
        <v>30.32</v>
      </c>
      <c r="E2428" s="1089" t="s">
        <v>5308</v>
      </c>
      <c r="F2428" s="1081">
        <f t="shared" si="1"/>
        <v>0</v>
      </c>
      <c r="G2428" s="1083">
        <f t="shared" si="2"/>
        <v>30.32</v>
      </c>
      <c r="H2428" s="1084"/>
    </row>
    <row r="2429" ht="14.25" customHeight="1">
      <c r="A2429" s="1085">
        <v>3513.0</v>
      </c>
      <c r="B2429" s="1086" t="s">
        <v>7741</v>
      </c>
      <c r="C2429" s="1087" t="s">
        <v>1788</v>
      </c>
      <c r="D2429" s="1088">
        <v>106.91</v>
      </c>
      <c r="E2429" s="1089" t="s">
        <v>5308</v>
      </c>
      <c r="F2429" s="1081">
        <f t="shared" si="1"/>
        <v>0</v>
      </c>
      <c r="G2429" s="1083">
        <f t="shared" si="2"/>
        <v>106.91</v>
      </c>
      <c r="H2429" s="1084"/>
    </row>
    <row r="2430" ht="14.25" customHeight="1">
      <c r="A2430" s="1085">
        <v>3510.0</v>
      </c>
      <c r="B2430" s="1086" t="s">
        <v>7742</v>
      </c>
      <c r="C2430" s="1087" t="s">
        <v>1788</v>
      </c>
      <c r="D2430" s="1088">
        <v>13.2</v>
      </c>
      <c r="E2430" s="1089" t="s">
        <v>5308</v>
      </c>
      <c r="F2430" s="1081">
        <f t="shared" si="1"/>
        <v>0</v>
      </c>
      <c r="G2430" s="1083">
        <f t="shared" si="2"/>
        <v>13.2</v>
      </c>
      <c r="H2430" s="1084"/>
    </row>
    <row r="2431" ht="14.25" customHeight="1">
      <c r="A2431" s="1085">
        <v>38913.0</v>
      </c>
      <c r="B2431" s="1086" t="s">
        <v>7743</v>
      </c>
      <c r="C2431" s="1087" t="s">
        <v>1788</v>
      </c>
      <c r="D2431" s="1088">
        <v>8.93</v>
      </c>
      <c r="E2431" s="1089" t="s">
        <v>5308</v>
      </c>
      <c r="F2431" s="1081">
        <f t="shared" si="1"/>
        <v>0</v>
      </c>
      <c r="G2431" s="1083">
        <f t="shared" si="2"/>
        <v>8.93</v>
      </c>
      <c r="H2431" s="1084"/>
    </row>
    <row r="2432" ht="14.25" customHeight="1">
      <c r="A2432" s="1085">
        <v>38914.0</v>
      </c>
      <c r="B2432" s="1086" t="s">
        <v>7744</v>
      </c>
      <c r="C2432" s="1087" t="s">
        <v>1788</v>
      </c>
      <c r="D2432" s="1088">
        <v>10.96</v>
      </c>
      <c r="E2432" s="1089" t="s">
        <v>5308</v>
      </c>
      <c r="F2432" s="1081">
        <f t="shared" si="1"/>
        <v>0</v>
      </c>
      <c r="G2432" s="1083">
        <f t="shared" si="2"/>
        <v>10.96</v>
      </c>
      <c r="H2432" s="1084"/>
    </row>
    <row r="2433" ht="14.25" customHeight="1">
      <c r="A2433" s="1085">
        <v>38915.0</v>
      </c>
      <c r="B2433" s="1086" t="s">
        <v>7745</v>
      </c>
      <c r="C2433" s="1087" t="s">
        <v>1788</v>
      </c>
      <c r="D2433" s="1088">
        <v>21.13</v>
      </c>
      <c r="E2433" s="1089" t="s">
        <v>5308</v>
      </c>
      <c r="F2433" s="1081">
        <f t="shared" si="1"/>
        <v>0</v>
      </c>
      <c r="G2433" s="1083">
        <f t="shared" si="2"/>
        <v>21.13</v>
      </c>
      <c r="H2433" s="1084"/>
    </row>
    <row r="2434" ht="14.25" customHeight="1">
      <c r="A2434" s="1085">
        <v>38916.0</v>
      </c>
      <c r="B2434" s="1086" t="s">
        <v>7746</v>
      </c>
      <c r="C2434" s="1087" t="s">
        <v>1788</v>
      </c>
      <c r="D2434" s="1088">
        <v>29.25</v>
      </c>
      <c r="E2434" s="1089" t="s">
        <v>5308</v>
      </c>
      <c r="F2434" s="1081">
        <f t="shared" si="1"/>
        <v>0</v>
      </c>
      <c r="G2434" s="1083">
        <f t="shared" si="2"/>
        <v>29.25</v>
      </c>
      <c r="H2434" s="1084"/>
    </row>
    <row r="2435" ht="14.25" customHeight="1">
      <c r="A2435" s="1085">
        <v>39300.0</v>
      </c>
      <c r="B2435" s="1086" t="s">
        <v>7747</v>
      </c>
      <c r="C2435" s="1087" t="s">
        <v>1788</v>
      </c>
      <c r="D2435" s="1088">
        <v>7.97</v>
      </c>
      <c r="E2435" s="1089" t="s">
        <v>5308</v>
      </c>
      <c r="F2435" s="1081">
        <f t="shared" si="1"/>
        <v>0</v>
      </c>
      <c r="G2435" s="1083">
        <f t="shared" si="2"/>
        <v>7.97</v>
      </c>
      <c r="H2435" s="1084"/>
    </row>
    <row r="2436" ht="14.25" customHeight="1">
      <c r="A2436" s="1085">
        <v>39301.0</v>
      </c>
      <c r="B2436" s="1086" t="s">
        <v>7748</v>
      </c>
      <c r="C2436" s="1087" t="s">
        <v>1788</v>
      </c>
      <c r="D2436" s="1088">
        <v>10.68</v>
      </c>
      <c r="E2436" s="1089" t="s">
        <v>5308</v>
      </c>
      <c r="F2436" s="1081">
        <f t="shared" si="1"/>
        <v>0</v>
      </c>
      <c r="G2436" s="1083">
        <f t="shared" si="2"/>
        <v>10.68</v>
      </c>
      <c r="H2436" s="1084"/>
    </row>
    <row r="2437" ht="14.25" customHeight="1">
      <c r="A2437" s="1085">
        <v>39302.0</v>
      </c>
      <c r="B2437" s="1086" t="s">
        <v>7749</v>
      </c>
      <c r="C2437" s="1087" t="s">
        <v>1788</v>
      </c>
      <c r="D2437" s="1088">
        <v>19.41</v>
      </c>
      <c r="E2437" s="1089" t="s">
        <v>5308</v>
      </c>
      <c r="F2437" s="1081">
        <f t="shared" si="1"/>
        <v>0</v>
      </c>
      <c r="G2437" s="1083">
        <f t="shared" si="2"/>
        <v>19.41</v>
      </c>
      <c r="H2437" s="1084"/>
    </row>
    <row r="2438" ht="14.25" customHeight="1">
      <c r="A2438" s="1085">
        <v>38923.0</v>
      </c>
      <c r="B2438" s="1086" t="s">
        <v>7750</v>
      </c>
      <c r="C2438" s="1087" t="s">
        <v>1788</v>
      </c>
      <c r="D2438" s="1088">
        <v>9.56</v>
      </c>
      <c r="E2438" s="1089" t="s">
        <v>5308</v>
      </c>
      <c r="F2438" s="1081">
        <f t="shared" si="1"/>
        <v>0</v>
      </c>
      <c r="G2438" s="1083">
        <f t="shared" si="2"/>
        <v>9.56</v>
      </c>
      <c r="H2438" s="1084"/>
    </row>
    <row r="2439" ht="14.25" customHeight="1">
      <c r="A2439" s="1085">
        <v>38925.0</v>
      </c>
      <c r="B2439" s="1086" t="s">
        <v>7751</v>
      </c>
      <c r="C2439" s="1087" t="s">
        <v>1788</v>
      </c>
      <c r="D2439" s="1088">
        <v>11.09</v>
      </c>
      <c r="E2439" s="1089" t="s">
        <v>5308</v>
      </c>
      <c r="F2439" s="1081">
        <f t="shared" si="1"/>
        <v>0</v>
      </c>
      <c r="G2439" s="1083">
        <f t="shared" si="2"/>
        <v>11.09</v>
      </c>
      <c r="H2439" s="1084"/>
    </row>
    <row r="2440" ht="14.25" customHeight="1">
      <c r="A2440" s="1085">
        <v>38926.0</v>
      </c>
      <c r="B2440" s="1086" t="s">
        <v>7752</v>
      </c>
      <c r="C2440" s="1087" t="s">
        <v>1788</v>
      </c>
      <c r="D2440" s="1088">
        <v>13.15</v>
      </c>
      <c r="E2440" s="1089" t="s">
        <v>5308</v>
      </c>
      <c r="F2440" s="1081">
        <f t="shared" si="1"/>
        <v>0</v>
      </c>
      <c r="G2440" s="1083">
        <f t="shared" si="2"/>
        <v>13.15</v>
      </c>
      <c r="H2440" s="1084"/>
    </row>
    <row r="2441" ht="14.25" customHeight="1">
      <c r="A2441" s="1085">
        <v>38927.0</v>
      </c>
      <c r="B2441" s="1086" t="s">
        <v>7753</v>
      </c>
      <c r="C2441" s="1087" t="s">
        <v>1788</v>
      </c>
      <c r="D2441" s="1088">
        <v>16.61</v>
      </c>
      <c r="E2441" s="1089" t="s">
        <v>5308</v>
      </c>
      <c r="F2441" s="1081">
        <f t="shared" si="1"/>
        <v>0</v>
      </c>
      <c r="G2441" s="1083">
        <f t="shared" si="2"/>
        <v>16.61</v>
      </c>
      <c r="H2441" s="1084"/>
    </row>
    <row r="2442" ht="14.25" customHeight="1">
      <c r="A2442" s="1085">
        <v>39304.0</v>
      </c>
      <c r="B2442" s="1086" t="s">
        <v>7754</v>
      </c>
      <c r="C2442" s="1087" t="s">
        <v>1788</v>
      </c>
      <c r="D2442" s="1088">
        <v>9.44</v>
      </c>
      <c r="E2442" s="1089" t="s">
        <v>5308</v>
      </c>
      <c r="F2442" s="1081">
        <f t="shared" si="1"/>
        <v>0</v>
      </c>
      <c r="G2442" s="1083">
        <f t="shared" si="2"/>
        <v>9.44</v>
      </c>
      <c r="H2442" s="1084"/>
    </row>
    <row r="2443" ht="14.25" customHeight="1">
      <c r="A2443" s="1085">
        <v>39305.0</v>
      </c>
      <c r="B2443" s="1086" t="s">
        <v>7755</v>
      </c>
      <c r="C2443" s="1087" t="s">
        <v>1788</v>
      </c>
      <c r="D2443" s="1088">
        <v>10.35</v>
      </c>
      <c r="E2443" s="1089" t="s">
        <v>5308</v>
      </c>
      <c r="F2443" s="1081">
        <f t="shared" si="1"/>
        <v>0</v>
      </c>
      <c r="G2443" s="1083">
        <f t="shared" si="2"/>
        <v>10.35</v>
      </c>
      <c r="H2443" s="1084"/>
    </row>
    <row r="2444" ht="14.25" customHeight="1">
      <c r="A2444" s="1085">
        <v>39306.0</v>
      </c>
      <c r="B2444" s="1086" t="s">
        <v>7756</v>
      </c>
      <c r="C2444" s="1087" t="s">
        <v>1788</v>
      </c>
      <c r="D2444" s="1088">
        <v>13.91</v>
      </c>
      <c r="E2444" s="1089" t="s">
        <v>5308</v>
      </c>
      <c r="F2444" s="1081">
        <f t="shared" si="1"/>
        <v>0</v>
      </c>
      <c r="G2444" s="1083">
        <f t="shared" si="2"/>
        <v>13.91</v>
      </c>
      <c r="H2444" s="1084"/>
    </row>
    <row r="2445" ht="14.25" customHeight="1">
      <c r="A2445" s="1085">
        <v>38928.0</v>
      </c>
      <c r="B2445" s="1086" t="s">
        <v>7757</v>
      </c>
      <c r="C2445" s="1087" t="s">
        <v>1788</v>
      </c>
      <c r="D2445" s="1088">
        <v>18.39</v>
      </c>
      <c r="E2445" s="1089" t="s">
        <v>5308</v>
      </c>
      <c r="F2445" s="1081">
        <f t="shared" si="1"/>
        <v>0</v>
      </c>
      <c r="G2445" s="1083">
        <f t="shared" si="2"/>
        <v>18.39</v>
      </c>
      <c r="H2445" s="1084"/>
    </row>
    <row r="2446" ht="14.25" customHeight="1">
      <c r="A2446" s="1085">
        <v>38941.0</v>
      </c>
      <c r="B2446" s="1086" t="s">
        <v>7758</v>
      </c>
      <c r="C2446" s="1087" t="s">
        <v>1788</v>
      </c>
      <c r="D2446" s="1088">
        <v>14.41</v>
      </c>
      <c r="E2446" s="1089" t="s">
        <v>5308</v>
      </c>
      <c r="F2446" s="1081">
        <f t="shared" si="1"/>
        <v>0</v>
      </c>
      <c r="G2446" s="1083">
        <f t="shared" si="2"/>
        <v>14.41</v>
      </c>
      <c r="H2446" s="1084"/>
    </row>
    <row r="2447" ht="14.25" customHeight="1">
      <c r="A2447" s="1085">
        <v>38917.0</v>
      </c>
      <c r="B2447" s="1086" t="s">
        <v>7759</v>
      </c>
      <c r="C2447" s="1087" t="s">
        <v>1788</v>
      </c>
      <c r="D2447" s="1088">
        <v>10.27</v>
      </c>
      <c r="E2447" s="1089" t="s">
        <v>5308</v>
      </c>
      <c r="F2447" s="1081">
        <f t="shared" si="1"/>
        <v>0</v>
      </c>
      <c r="G2447" s="1083">
        <f t="shared" si="2"/>
        <v>10.27</v>
      </c>
      <c r="H2447" s="1084"/>
    </row>
    <row r="2448" ht="14.25" customHeight="1">
      <c r="A2448" s="1085">
        <v>38919.0</v>
      </c>
      <c r="B2448" s="1086" t="s">
        <v>7760</v>
      </c>
      <c r="C2448" s="1087" t="s">
        <v>1788</v>
      </c>
      <c r="D2448" s="1088">
        <v>12.06</v>
      </c>
      <c r="E2448" s="1089" t="s">
        <v>5308</v>
      </c>
      <c r="F2448" s="1081">
        <f t="shared" si="1"/>
        <v>0</v>
      </c>
      <c r="G2448" s="1083">
        <f t="shared" si="2"/>
        <v>12.06</v>
      </c>
      <c r="H2448" s="1084"/>
    </row>
    <row r="2449" ht="14.25" customHeight="1">
      <c r="A2449" s="1085">
        <v>38922.0</v>
      </c>
      <c r="B2449" s="1086" t="s">
        <v>7761</v>
      </c>
      <c r="C2449" s="1087" t="s">
        <v>1788</v>
      </c>
      <c r="D2449" s="1088">
        <v>16.18</v>
      </c>
      <c r="E2449" s="1089" t="s">
        <v>5308</v>
      </c>
      <c r="F2449" s="1081">
        <f t="shared" si="1"/>
        <v>0</v>
      </c>
      <c r="G2449" s="1083">
        <f t="shared" si="2"/>
        <v>16.18</v>
      </c>
      <c r="H2449" s="1084"/>
    </row>
    <row r="2450" ht="14.25" customHeight="1">
      <c r="A2450" s="1085">
        <v>20151.0</v>
      </c>
      <c r="B2450" s="1086" t="s">
        <v>7762</v>
      </c>
      <c r="C2450" s="1087" t="s">
        <v>1788</v>
      </c>
      <c r="D2450" s="1088">
        <v>23.31</v>
      </c>
      <c r="E2450" s="1089" t="s">
        <v>5308</v>
      </c>
      <c r="F2450" s="1081">
        <f t="shared" si="1"/>
        <v>0</v>
      </c>
      <c r="G2450" s="1083">
        <f t="shared" si="2"/>
        <v>23.31</v>
      </c>
      <c r="H2450" s="1084"/>
    </row>
    <row r="2451" ht="14.25" customHeight="1">
      <c r="A2451" s="1085">
        <v>20152.0</v>
      </c>
      <c r="B2451" s="1086" t="s">
        <v>7763</v>
      </c>
      <c r="C2451" s="1087" t="s">
        <v>1788</v>
      </c>
      <c r="D2451" s="1088">
        <v>84.33</v>
      </c>
      <c r="E2451" s="1089" t="s">
        <v>5308</v>
      </c>
      <c r="F2451" s="1081">
        <f t="shared" si="1"/>
        <v>0</v>
      </c>
      <c r="G2451" s="1083">
        <f t="shared" si="2"/>
        <v>84.33</v>
      </c>
      <c r="H2451" s="1084"/>
    </row>
    <row r="2452" ht="14.25" customHeight="1">
      <c r="A2452" s="1085">
        <v>20148.0</v>
      </c>
      <c r="B2452" s="1086" t="s">
        <v>7764</v>
      </c>
      <c r="C2452" s="1087" t="s">
        <v>1788</v>
      </c>
      <c r="D2452" s="1088">
        <v>4.58</v>
      </c>
      <c r="E2452" s="1089" t="s">
        <v>5308</v>
      </c>
      <c r="F2452" s="1081">
        <f t="shared" si="1"/>
        <v>0</v>
      </c>
      <c r="G2452" s="1083">
        <f t="shared" si="2"/>
        <v>4.58</v>
      </c>
      <c r="H2452" s="1084"/>
    </row>
    <row r="2453" ht="14.25" customHeight="1">
      <c r="A2453" s="1085">
        <v>20149.0</v>
      </c>
      <c r="B2453" s="1086" t="s">
        <v>7765</v>
      </c>
      <c r="C2453" s="1087" t="s">
        <v>1788</v>
      </c>
      <c r="D2453" s="1088">
        <v>7.65</v>
      </c>
      <c r="E2453" s="1089" t="s">
        <v>5308</v>
      </c>
      <c r="F2453" s="1081">
        <f t="shared" si="1"/>
        <v>0</v>
      </c>
      <c r="G2453" s="1083">
        <f t="shared" si="2"/>
        <v>7.65</v>
      </c>
      <c r="H2453" s="1084"/>
    </row>
    <row r="2454" ht="14.25" customHeight="1">
      <c r="A2454" s="1085">
        <v>20150.0</v>
      </c>
      <c r="B2454" s="1086" t="s">
        <v>7766</v>
      </c>
      <c r="C2454" s="1087" t="s">
        <v>1788</v>
      </c>
      <c r="D2454" s="1088">
        <v>19.72</v>
      </c>
      <c r="E2454" s="1089" t="s">
        <v>5308</v>
      </c>
      <c r="F2454" s="1081">
        <f t="shared" si="1"/>
        <v>0</v>
      </c>
      <c r="G2454" s="1083">
        <f t="shared" si="2"/>
        <v>19.72</v>
      </c>
      <c r="H2454" s="1084"/>
    </row>
    <row r="2455" ht="14.25" customHeight="1">
      <c r="A2455" s="1085">
        <v>20157.0</v>
      </c>
      <c r="B2455" s="1086" t="s">
        <v>7767</v>
      </c>
      <c r="C2455" s="1087" t="s">
        <v>1788</v>
      </c>
      <c r="D2455" s="1088">
        <v>22.14</v>
      </c>
      <c r="E2455" s="1089" t="s">
        <v>5308</v>
      </c>
      <c r="F2455" s="1081">
        <f t="shared" si="1"/>
        <v>0</v>
      </c>
      <c r="G2455" s="1083">
        <f t="shared" si="2"/>
        <v>22.14</v>
      </c>
      <c r="H2455" s="1084"/>
    </row>
    <row r="2456" ht="14.25" customHeight="1">
      <c r="A2456" s="1085">
        <v>20158.0</v>
      </c>
      <c r="B2456" s="1086" t="s">
        <v>7768</v>
      </c>
      <c r="C2456" s="1087" t="s">
        <v>1788</v>
      </c>
      <c r="D2456" s="1088">
        <v>87.91</v>
      </c>
      <c r="E2456" s="1089" t="s">
        <v>5308</v>
      </c>
      <c r="F2456" s="1081">
        <f t="shared" si="1"/>
        <v>0</v>
      </c>
      <c r="G2456" s="1083">
        <f t="shared" si="2"/>
        <v>87.91</v>
      </c>
      <c r="H2456" s="1084"/>
    </row>
    <row r="2457" ht="14.25" customHeight="1">
      <c r="A2457" s="1085">
        <v>20154.0</v>
      </c>
      <c r="B2457" s="1086" t="s">
        <v>7769</v>
      </c>
      <c r="C2457" s="1087" t="s">
        <v>1788</v>
      </c>
      <c r="D2457" s="1088">
        <v>4.49</v>
      </c>
      <c r="E2457" s="1089" t="s">
        <v>5308</v>
      </c>
      <c r="F2457" s="1081">
        <f t="shared" si="1"/>
        <v>0</v>
      </c>
      <c r="G2457" s="1083">
        <f t="shared" si="2"/>
        <v>4.49</v>
      </c>
      <c r="H2457" s="1084"/>
    </row>
    <row r="2458" ht="14.25" customHeight="1">
      <c r="A2458" s="1085">
        <v>20155.0</v>
      </c>
      <c r="B2458" s="1086" t="s">
        <v>7770</v>
      </c>
      <c r="C2458" s="1087" t="s">
        <v>1788</v>
      </c>
      <c r="D2458" s="1088">
        <v>6.83</v>
      </c>
      <c r="E2458" s="1089" t="s">
        <v>5308</v>
      </c>
      <c r="F2458" s="1081">
        <f t="shared" si="1"/>
        <v>0</v>
      </c>
      <c r="G2458" s="1083">
        <f t="shared" si="2"/>
        <v>6.83</v>
      </c>
      <c r="H2458" s="1084"/>
    </row>
    <row r="2459" ht="14.25" customHeight="1">
      <c r="A2459" s="1085">
        <v>20156.0</v>
      </c>
      <c r="B2459" s="1086" t="s">
        <v>7771</v>
      </c>
      <c r="C2459" s="1087" t="s">
        <v>1788</v>
      </c>
      <c r="D2459" s="1088">
        <v>19.2</v>
      </c>
      <c r="E2459" s="1089" t="s">
        <v>5308</v>
      </c>
      <c r="F2459" s="1081">
        <f t="shared" si="1"/>
        <v>0</v>
      </c>
      <c r="G2459" s="1083">
        <f t="shared" si="2"/>
        <v>19.2</v>
      </c>
      <c r="H2459" s="1084"/>
    </row>
    <row r="2460" ht="14.25" customHeight="1">
      <c r="A2460" s="1085">
        <v>3499.0</v>
      </c>
      <c r="B2460" s="1086" t="s">
        <v>7772</v>
      </c>
      <c r="C2460" s="1087" t="s">
        <v>1788</v>
      </c>
      <c r="D2460" s="1088">
        <v>1.18</v>
      </c>
      <c r="E2460" s="1089" t="s">
        <v>5308</v>
      </c>
      <c r="F2460" s="1081">
        <f t="shared" si="1"/>
        <v>0</v>
      </c>
      <c r="G2460" s="1083">
        <f t="shared" si="2"/>
        <v>1.18</v>
      </c>
      <c r="H2460" s="1084"/>
    </row>
    <row r="2461" ht="14.25" customHeight="1">
      <c r="A2461" s="1085">
        <v>3500.0</v>
      </c>
      <c r="B2461" s="1086" t="s">
        <v>7773</v>
      </c>
      <c r="C2461" s="1087" t="s">
        <v>1788</v>
      </c>
      <c r="D2461" s="1088">
        <v>1.57</v>
      </c>
      <c r="E2461" s="1089" t="s">
        <v>5308</v>
      </c>
      <c r="F2461" s="1081">
        <f t="shared" si="1"/>
        <v>0</v>
      </c>
      <c r="G2461" s="1083">
        <f t="shared" si="2"/>
        <v>1.57</v>
      </c>
      <c r="H2461" s="1084"/>
    </row>
    <row r="2462" ht="14.25" customHeight="1">
      <c r="A2462" s="1085">
        <v>3501.0</v>
      </c>
      <c r="B2462" s="1086" t="s">
        <v>7774</v>
      </c>
      <c r="C2462" s="1087" t="s">
        <v>1788</v>
      </c>
      <c r="D2462" s="1088">
        <v>4.34</v>
      </c>
      <c r="E2462" s="1089" t="s">
        <v>5308</v>
      </c>
      <c r="F2462" s="1081">
        <f t="shared" si="1"/>
        <v>0</v>
      </c>
      <c r="G2462" s="1083">
        <f t="shared" si="2"/>
        <v>4.34</v>
      </c>
      <c r="H2462" s="1084"/>
    </row>
    <row r="2463" ht="14.25" customHeight="1">
      <c r="A2463" s="1085">
        <v>3502.0</v>
      </c>
      <c r="B2463" s="1086" t="s">
        <v>7775</v>
      </c>
      <c r="C2463" s="1087" t="s">
        <v>1788</v>
      </c>
      <c r="D2463" s="1088">
        <v>6.24</v>
      </c>
      <c r="E2463" s="1089" t="s">
        <v>5308</v>
      </c>
      <c r="F2463" s="1081">
        <f t="shared" si="1"/>
        <v>0</v>
      </c>
      <c r="G2463" s="1083">
        <f t="shared" si="2"/>
        <v>6.24</v>
      </c>
      <c r="H2463" s="1084"/>
    </row>
    <row r="2464" ht="14.25" customHeight="1">
      <c r="A2464" s="1085">
        <v>3503.0</v>
      </c>
      <c r="B2464" s="1086" t="s">
        <v>7776</v>
      </c>
      <c r="C2464" s="1087" t="s">
        <v>1788</v>
      </c>
      <c r="D2464" s="1088">
        <v>7.84</v>
      </c>
      <c r="E2464" s="1089" t="s">
        <v>5308</v>
      </c>
      <c r="F2464" s="1081">
        <f t="shared" si="1"/>
        <v>0</v>
      </c>
      <c r="G2464" s="1083">
        <f t="shared" si="2"/>
        <v>7.84</v>
      </c>
      <c r="H2464" s="1084"/>
    </row>
    <row r="2465" ht="14.25" customHeight="1">
      <c r="A2465" s="1085">
        <v>3477.0</v>
      </c>
      <c r="B2465" s="1086" t="s">
        <v>7777</v>
      </c>
      <c r="C2465" s="1087" t="s">
        <v>1788</v>
      </c>
      <c r="D2465" s="1088">
        <v>28.49</v>
      </c>
      <c r="E2465" s="1089" t="s">
        <v>5308</v>
      </c>
      <c r="F2465" s="1081">
        <f t="shared" si="1"/>
        <v>0</v>
      </c>
      <c r="G2465" s="1083">
        <f t="shared" si="2"/>
        <v>28.49</v>
      </c>
      <c r="H2465" s="1084"/>
    </row>
    <row r="2466" ht="14.25" customHeight="1">
      <c r="A2466" s="1085">
        <v>3478.0</v>
      </c>
      <c r="B2466" s="1086" t="s">
        <v>7778</v>
      </c>
      <c r="C2466" s="1087" t="s">
        <v>1788</v>
      </c>
      <c r="D2466" s="1088">
        <v>68.31</v>
      </c>
      <c r="E2466" s="1089" t="s">
        <v>5308</v>
      </c>
      <c r="F2466" s="1081">
        <f t="shared" si="1"/>
        <v>0</v>
      </c>
      <c r="G2466" s="1083">
        <f t="shared" si="2"/>
        <v>68.31</v>
      </c>
      <c r="H2466" s="1084"/>
    </row>
    <row r="2467" ht="14.25" customHeight="1">
      <c r="A2467" s="1085">
        <v>3525.0</v>
      </c>
      <c r="B2467" s="1086" t="s">
        <v>7779</v>
      </c>
      <c r="C2467" s="1087" t="s">
        <v>1788</v>
      </c>
      <c r="D2467" s="1088">
        <v>84.3</v>
      </c>
      <c r="E2467" s="1089" t="s">
        <v>5308</v>
      </c>
      <c r="F2467" s="1081">
        <f t="shared" si="1"/>
        <v>0</v>
      </c>
      <c r="G2467" s="1083">
        <f t="shared" si="2"/>
        <v>84.3</v>
      </c>
      <c r="H2467" s="1084"/>
    </row>
    <row r="2468" ht="14.25" customHeight="1">
      <c r="A2468" s="1085">
        <v>3511.0</v>
      </c>
      <c r="B2468" s="1086" t="s">
        <v>7780</v>
      </c>
      <c r="C2468" s="1087" t="s">
        <v>1788</v>
      </c>
      <c r="D2468" s="1088">
        <v>89.42</v>
      </c>
      <c r="E2468" s="1089" t="s">
        <v>5308</v>
      </c>
      <c r="F2468" s="1081">
        <f t="shared" si="1"/>
        <v>0</v>
      </c>
      <c r="G2468" s="1083">
        <f t="shared" si="2"/>
        <v>89.42</v>
      </c>
      <c r="H2468" s="1084"/>
    </row>
    <row r="2469" ht="14.25" customHeight="1">
      <c r="A2469" s="1085">
        <v>12032.0</v>
      </c>
      <c r="B2469" s="1086" t="s">
        <v>7781</v>
      </c>
      <c r="C2469" s="1087" t="s">
        <v>5763</v>
      </c>
      <c r="D2469" s="1088">
        <v>54.61</v>
      </c>
      <c r="E2469" s="1089" t="s">
        <v>5308</v>
      </c>
      <c r="F2469" s="1081">
        <f t="shared" si="1"/>
        <v>0</v>
      </c>
      <c r="G2469" s="1083">
        <f t="shared" si="2"/>
        <v>54.61</v>
      </c>
      <c r="H2469" s="1084"/>
    </row>
    <row r="2470" ht="14.25" customHeight="1">
      <c r="A2470" s="1085">
        <v>12030.0</v>
      </c>
      <c r="B2470" s="1086" t="s">
        <v>7782</v>
      </c>
      <c r="C2470" s="1087" t="s">
        <v>5763</v>
      </c>
      <c r="D2470" s="1088">
        <v>51.31</v>
      </c>
      <c r="E2470" s="1089" t="s">
        <v>5308</v>
      </c>
      <c r="F2470" s="1081">
        <f t="shared" si="1"/>
        <v>0</v>
      </c>
      <c r="G2470" s="1083">
        <f t="shared" si="2"/>
        <v>51.31</v>
      </c>
      <c r="H2470" s="1084"/>
    </row>
    <row r="2471" ht="14.25" customHeight="1">
      <c r="A2471" s="1085">
        <v>10908.0</v>
      </c>
      <c r="B2471" s="1086" t="s">
        <v>7783</v>
      </c>
      <c r="C2471" s="1087" t="s">
        <v>1788</v>
      </c>
      <c r="D2471" s="1088">
        <v>21.76</v>
      </c>
      <c r="E2471" s="1089" t="s">
        <v>5308</v>
      </c>
      <c r="F2471" s="1081">
        <f t="shared" si="1"/>
        <v>0</v>
      </c>
      <c r="G2471" s="1083">
        <f t="shared" si="2"/>
        <v>21.76</v>
      </c>
      <c r="H2471" s="1084"/>
    </row>
    <row r="2472" ht="14.25" customHeight="1">
      <c r="A2472" s="1085">
        <v>10909.0</v>
      </c>
      <c r="B2472" s="1086" t="s">
        <v>7784</v>
      </c>
      <c r="C2472" s="1087" t="s">
        <v>1788</v>
      </c>
      <c r="D2472" s="1088">
        <v>25.31</v>
      </c>
      <c r="E2472" s="1089" t="s">
        <v>5308</v>
      </c>
      <c r="F2472" s="1081">
        <f t="shared" si="1"/>
        <v>0</v>
      </c>
      <c r="G2472" s="1083">
        <f t="shared" si="2"/>
        <v>25.31</v>
      </c>
      <c r="H2472" s="1084"/>
    </row>
    <row r="2473" ht="14.25" customHeight="1">
      <c r="A2473" s="1085">
        <v>3669.0</v>
      </c>
      <c r="B2473" s="1086" t="s">
        <v>7785</v>
      </c>
      <c r="C2473" s="1087" t="s">
        <v>1788</v>
      </c>
      <c r="D2473" s="1088">
        <v>15.55</v>
      </c>
      <c r="E2473" s="1089" t="s">
        <v>5308</v>
      </c>
      <c r="F2473" s="1081">
        <f t="shared" si="1"/>
        <v>0</v>
      </c>
      <c r="G2473" s="1083">
        <f t="shared" si="2"/>
        <v>15.55</v>
      </c>
      <c r="H2473" s="1084"/>
    </row>
    <row r="2474" ht="14.25" customHeight="1">
      <c r="A2474" s="1085">
        <v>20139.0</v>
      </c>
      <c r="B2474" s="1086" t="s">
        <v>7786</v>
      </c>
      <c r="C2474" s="1087" t="s">
        <v>1788</v>
      </c>
      <c r="D2474" s="1088">
        <v>133.74</v>
      </c>
      <c r="E2474" s="1089" t="s">
        <v>5308</v>
      </c>
      <c r="F2474" s="1081">
        <f t="shared" si="1"/>
        <v>0</v>
      </c>
      <c r="G2474" s="1083">
        <f t="shared" si="2"/>
        <v>133.74</v>
      </c>
      <c r="H2474" s="1084"/>
    </row>
    <row r="2475" ht="14.25" customHeight="1">
      <c r="A2475" s="1085">
        <v>3668.0</v>
      </c>
      <c r="B2475" s="1086" t="s">
        <v>7787</v>
      </c>
      <c r="C2475" s="1087" t="s">
        <v>1788</v>
      </c>
      <c r="D2475" s="1088">
        <v>47.77</v>
      </c>
      <c r="E2475" s="1089" t="s">
        <v>5308</v>
      </c>
      <c r="F2475" s="1081">
        <f t="shared" si="1"/>
        <v>0</v>
      </c>
      <c r="G2475" s="1083">
        <f t="shared" si="2"/>
        <v>47.77</v>
      </c>
      <c r="H2475" s="1084"/>
    </row>
    <row r="2476" ht="14.25" customHeight="1">
      <c r="A2476" s="1085">
        <v>10911.0</v>
      </c>
      <c r="B2476" s="1086" t="s">
        <v>7788</v>
      </c>
      <c r="C2476" s="1087" t="s">
        <v>1788</v>
      </c>
      <c r="D2476" s="1088">
        <v>20.94</v>
      </c>
      <c r="E2476" s="1089" t="s">
        <v>5308</v>
      </c>
      <c r="F2476" s="1081">
        <f t="shared" si="1"/>
        <v>0</v>
      </c>
      <c r="G2476" s="1083">
        <f t="shared" si="2"/>
        <v>20.94</v>
      </c>
      <c r="H2476" s="1084"/>
    </row>
    <row r="2477" ht="14.25" customHeight="1">
      <c r="A2477" s="1085">
        <v>3659.0</v>
      </c>
      <c r="B2477" s="1086" t="s">
        <v>7789</v>
      </c>
      <c r="C2477" s="1087" t="s">
        <v>1788</v>
      </c>
      <c r="D2477" s="1088">
        <v>21.34</v>
      </c>
      <c r="E2477" s="1089" t="s">
        <v>5308</v>
      </c>
      <c r="F2477" s="1081">
        <f t="shared" si="1"/>
        <v>0</v>
      </c>
      <c r="G2477" s="1083">
        <f t="shared" si="2"/>
        <v>21.34</v>
      </c>
      <c r="H2477" s="1084"/>
    </row>
    <row r="2478" ht="14.25" customHeight="1">
      <c r="A2478" s="1085">
        <v>3660.0</v>
      </c>
      <c r="B2478" s="1086" t="s">
        <v>7790</v>
      </c>
      <c r="C2478" s="1087" t="s">
        <v>1788</v>
      </c>
      <c r="D2478" s="1088">
        <v>27.59</v>
      </c>
      <c r="E2478" s="1089" t="s">
        <v>5308</v>
      </c>
      <c r="F2478" s="1081">
        <f t="shared" si="1"/>
        <v>0</v>
      </c>
      <c r="G2478" s="1083">
        <f t="shared" si="2"/>
        <v>27.59</v>
      </c>
      <c r="H2478" s="1084"/>
    </row>
    <row r="2479" ht="14.25" customHeight="1">
      <c r="A2479" s="1085">
        <v>20144.0</v>
      </c>
      <c r="B2479" s="1086" t="s">
        <v>7791</v>
      </c>
      <c r="C2479" s="1087" t="s">
        <v>1788</v>
      </c>
      <c r="D2479" s="1088">
        <v>61.8</v>
      </c>
      <c r="E2479" s="1089" t="s">
        <v>5308</v>
      </c>
      <c r="F2479" s="1081">
        <f t="shared" si="1"/>
        <v>0</v>
      </c>
      <c r="G2479" s="1083">
        <f t="shared" si="2"/>
        <v>61.8</v>
      </c>
      <c r="H2479" s="1084"/>
    </row>
    <row r="2480" ht="14.25" customHeight="1">
      <c r="A2480" s="1085">
        <v>20143.0</v>
      </c>
      <c r="B2480" s="1086" t="s">
        <v>7792</v>
      </c>
      <c r="C2480" s="1087" t="s">
        <v>1788</v>
      </c>
      <c r="D2480" s="1088">
        <v>79.06</v>
      </c>
      <c r="E2480" s="1089" t="s">
        <v>5308</v>
      </c>
      <c r="F2480" s="1081">
        <f t="shared" si="1"/>
        <v>0</v>
      </c>
      <c r="G2480" s="1083">
        <f t="shared" si="2"/>
        <v>79.06</v>
      </c>
      <c r="H2480" s="1084"/>
    </row>
    <row r="2481" ht="14.25" customHeight="1">
      <c r="A2481" s="1085">
        <v>20145.0</v>
      </c>
      <c r="B2481" s="1086" t="s">
        <v>7793</v>
      </c>
      <c r="C2481" s="1087" t="s">
        <v>1788</v>
      </c>
      <c r="D2481" s="1088">
        <v>152.51</v>
      </c>
      <c r="E2481" s="1089" t="s">
        <v>5308</v>
      </c>
      <c r="F2481" s="1081">
        <f t="shared" si="1"/>
        <v>0</v>
      </c>
      <c r="G2481" s="1083">
        <f t="shared" si="2"/>
        <v>152.51</v>
      </c>
      <c r="H2481" s="1084"/>
    </row>
    <row r="2482" ht="14.25" customHeight="1">
      <c r="A2482" s="1085">
        <v>20146.0</v>
      </c>
      <c r="B2482" s="1086" t="s">
        <v>7794</v>
      </c>
      <c r="C2482" s="1087" t="s">
        <v>1788</v>
      </c>
      <c r="D2482" s="1088">
        <v>208.48</v>
      </c>
      <c r="E2482" s="1089" t="s">
        <v>5308</v>
      </c>
      <c r="F2482" s="1081">
        <f t="shared" si="1"/>
        <v>0</v>
      </c>
      <c r="G2482" s="1083">
        <f t="shared" si="2"/>
        <v>208.48</v>
      </c>
      <c r="H2482" s="1084"/>
    </row>
    <row r="2483" ht="14.25" customHeight="1">
      <c r="A2483" s="1085">
        <v>20140.0</v>
      </c>
      <c r="B2483" s="1086" t="s">
        <v>7795</v>
      </c>
      <c r="C2483" s="1087" t="s">
        <v>1788</v>
      </c>
      <c r="D2483" s="1088">
        <v>9.78</v>
      </c>
      <c r="E2483" s="1089" t="s">
        <v>5308</v>
      </c>
      <c r="F2483" s="1081">
        <f t="shared" si="1"/>
        <v>0</v>
      </c>
      <c r="G2483" s="1083">
        <f t="shared" si="2"/>
        <v>9.78</v>
      </c>
      <c r="H2483" s="1084"/>
    </row>
    <row r="2484" ht="14.25" customHeight="1">
      <c r="A2484" s="1085">
        <v>20141.0</v>
      </c>
      <c r="B2484" s="1086" t="s">
        <v>7796</v>
      </c>
      <c r="C2484" s="1087" t="s">
        <v>1788</v>
      </c>
      <c r="D2484" s="1088">
        <v>23.95</v>
      </c>
      <c r="E2484" s="1089" t="s">
        <v>5308</v>
      </c>
      <c r="F2484" s="1081">
        <f t="shared" si="1"/>
        <v>0</v>
      </c>
      <c r="G2484" s="1083">
        <f t="shared" si="2"/>
        <v>23.95</v>
      </c>
      <c r="H2484" s="1084"/>
    </row>
    <row r="2485" ht="14.25" customHeight="1">
      <c r="A2485" s="1085">
        <v>20142.0</v>
      </c>
      <c r="B2485" s="1086" t="s">
        <v>7797</v>
      </c>
      <c r="C2485" s="1087" t="s">
        <v>1788</v>
      </c>
      <c r="D2485" s="1088">
        <v>42.14</v>
      </c>
      <c r="E2485" s="1089" t="s">
        <v>5308</v>
      </c>
      <c r="F2485" s="1081">
        <f t="shared" si="1"/>
        <v>0</v>
      </c>
      <c r="G2485" s="1083">
        <f t="shared" si="2"/>
        <v>42.14</v>
      </c>
      <c r="H2485" s="1084"/>
    </row>
    <row r="2486" ht="14.25" customHeight="1">
      <c r="A2486" s="1085">
        <v>3670.0</v>
      </c>
      <c r="B2486" s="1086" t="s">
        <v>7798</v>
      </c>
      <c r="C2486" s="1087" t="s">
        <v>1788</v>
      </c>
      <c r="D2486" s="1088">
        <v>27.4</v>
      </c>
      <c r="E2486" s="1089" t="s">
        <v>5308</v>
      </c>
      <c r="F2486" s="1081">
        <f t="shared" si="1"/>
        <v>0</v>
      </c>
      <c r="G2486" s="1083">
        <f t="shared" si="2"/>
        <v>27.4</v>
      </c>
      <c r="H2486" s="1084"/>
    </row>
    <row r="2487" ht="14.25" customHeight="1">
      <c r="A2487" s="1085">
        <v>3666.0</v>
      </c>
      <c r="B2487" s="1086" t="s">
        <v>7799</v>
      </c>
      <c r="C2487" s="1087" t="s">
        <v>1788</v>
      </c>
      <c r="D2487" s="1088">
        <v>4.31</v>
      </c>
      <c r="E2487" s="1089" t="s">
        <v>5308</v>
      </c>
      <c r="F2487" s="1081">
        <f t="shared" si="1"/>
        <v>0</v>
      </c>
      <c r="G2487" s="1083">
        <f t="shared" si="2"/>
        <v>4.31</v>
      </c>
      <c r="H2487" s="1084"/>
    </row>
    <row r="2488" ht="14.25" customHeight="1">
      <c r="A2488" s="1085">
        <v>3662.0</v>
      </c>
      <c r="B2488" s="1086" t="s">
        <v>7800</v>
      </c>
      <c r="C2488" s="1087" t="s">
        <v>1788</v>
      </c>
      <c r="D2488" s="1088">
        <v>11.24</v>
      </c>
      <c r="E2488" s="1089" t="s">
        <v>5308</v>
      </c>
      <c r="F2488" s="1081">
        <f t="shared" si="1"/>
        <v>0</v>
      </c>
      <c r="G2488" s="1083">
        <f t="shared" si="2"/>
        <v>11.24</v>
      </c>
      <c r="H2488" s="1084"/>
    </row>
    <row r="2489" ht="14.25" customHeight="1">
      <c r="A2489" s="1085">
        <v>3658.0</v>
      </c>
      <c r="B2489" s="1086" t="s">
        <v>7801</v>
      </c>
      <c r="C2489" s="1087" t="s">
        <v>1788</v>
      </c>
      <c r="D2489" s="1088">
        <v>21.3</v>
      </c>
      <c r="E2489" s="1089" t="s">
        <v>5308</v>
      </c>
      <c r="F2489" s="1081">
        <f t="shared" si="1"/>
        <v>0</v>
      </c>
      <c r="G2489" s="1083">
        <f t="shared" si="2"/>
        <v>21.3</v>
      </c>
      <c r="H2489" s="1084"/>
    </row>
    <row r="2490" ht="14.25" customHeight="1">
      <c r="A2490" s="1085">
        <v>14157.0</v>
      </c>
      <c r="B2490" s="1086" t="s">
        <v>7802</v>
      </c>
      <c r="C2490" s="1087" t="s">
        <v>1788</v>
      </c>
      <c r="D2490" s="1088">
        <v>1.22</v>
      </c>
      <c r="E2490" s="1089" t="s">
        <v>5308</v>
      </c>
      <c r="F2490" s="1081">
        <f t="shared" si="1"/>
        <v>0</v>
      </c>
      <c r="G2490" s="1083">
        <f t="shared" si="2"/>
        <v>1.22</v>
      </c>
      <c r="H2490" s="1084"/>
    </row>
    <row r="2491" ht="14.25" customHeight="1">
      <c r="A2491" s="1085">
        <v>42696.0</v>
      </c>
      <c r="B2491" s="1086" t="s">
        <v>7803</v>
      </c>
      <c r="C2491" s="1087" t="s">
        <v>1788</v>
      </c>
      <c r="D2491" s="1088">
        <v>168.93</v>
      </c>
      <c r="E2491" s="1089" t="s">
        <v>5308</v>
      </c>
      <c r="F2491" s="1081">
        <f t="shared" si="1"/>
        <v>0</v>
      </c>
      <c r="G2491" s="1083">
        <f t="shared" si="2"/>
        <v>168.93</v>
      </c>
      <c r="H2491" s="1084"/>
    </row>
    <row r="2492" ht="14.25" customHeight="1">
      <c r="A2492" s="1085">
        <v>39875.0</v>
      </c>
      <c r="B2492" s="1086" t="s">
        <v>7804</v>
      </c>
      <c r="C2492" s="1087" t="s">
        <v>1788</v>
      </c>
      <c r="D2492" s="1088">
        <v>636.32</v>
      </c>
      <c r="E2492" s="1089" t="s">
        <v>5308</v>
      </c>
      <c r="F2492" s="1081">
        <f t="shared" si="1"/>
        <v>0</v>
      </c>
      <c r="G2492" s="1083">
        <f t="shared" si="2"/>
        <v>636.32</v>
      </c>
      <c r="H2492" s="1084"/>
    </row>
    <row r="2493" ht="14.25" customHeight="1">
      <c r="A2493" s="1085">
        <v>39876.0</v>
      </c>
      <c r="B2493" s="1086" t="s">
        <v>7805</v>
      </c>
      <c r="C2493" s="1087" t="s">
        <v>1788</v>
      </c>
      <c r="D2493" s="1088">
        <v>796.67</v>
      </c>
      <c r="E2493" s="1089" t="s">
        <v>5308</v>
      </c>
      <c r="F2493" s="1081">
        <f t="shared" si="1"/>
        <v>0</v>
      </c>
      <c r="G2493" s="1083">
        <f t="shared" si="2"/>
        <v>796.67</v>
      </c>
      <c r="H2493" s="1084"/>
    </row>
    <row r="2494" ht="14.25" customHeight="1">
      <c r="A2494" s="1085">
        <v>39877.0</v>
      </c>
      <c r="B2494" s="1086" t="s">
        <v>7806</v>
      </c>
      <c r="C2494" s="1087" t="s">
        <v>1788</v>
      </c>
      <c r="D2494" s="1088">
        <v>1104.95</v>
      </c>
      <c r="E2494" s="1089" t="s">
        <v>5308</v>
      </c>
      <c r="F2494" s="1081">
        <f t="shared" si="1"/>
        <v>0</v>
      </c>
      <c r="G2494" s="1083">
        <f t="shared" si="2"/>
        <v>1104.95</v>
      </c>
      <c r="H2494" s="1084"/>
    </row>
    <row r="2495" ht="14.25" customHeight="1">
      <c r="A2495" s="1085">
        <v>39878.0</v>
      </c>
      <c r="B2495" s="1086" t="s">
        <v>7807</v>
      </c>
      <c r="C2495" s="1087" t="s">
        <v>1788</v>
      </c>
      <c r="D2495" s="1088">
        <v>1459.46</v>
      </c>
      <c r="E2495" s="1089" t="s">
        <v>5308</v>
      </c>
      <c r="F2495" s="1081">
        <f t="shared" si="1"/>
        <v>0</v>
      </c>
      <c r="G2495" s="1083">
        <f t="shared" si="2"/>
        <v>1459.46</v>
      </c>
      <c r="H2495" s="1084"/>
    </row>
    <row r="2496" ht="14.25" customHeight="1">
      <c r="A2496" s="1085">
        <v>39872.0</v>
      </c>
      <c r="B2496" s="1086" t="s">
        <v>7808</v>
      </c>
      <c r="C2496" s="1087" t="s">
        <v>1788</v>
      </c>
      <c r="D2496" s="1088">
        <v>436.37</v>
      </c>
      <c r="E2496" s="1089" t="s">
        <v>5308</v>
      </c>
      <c r="F2496" s="1081">
        <f t="shared" si="1"/>
        <v>0</v>
      </c>
      <c r="G2496" s="1083">
        <f t="shared" si="2"/>
        <v>436.37</v>
      </c>
      <c r="H2496" s="1084"/>
    </row>
    <row r="2497" ht="14.25" customHeight="1">
      <c r="A2497" s="1085">
        <v>39873.0</v>
      </c>
      <c r="B2497" s="1086" t="s">
        <v>7809</v>
      </c>
      <c r="C2497" s="1087" t="s">
        <v>1788</v>
      </c>
      <c r="D2497" s="1088">
        <v>506.17</v>
      </c>
      <c r="E2497" s="1089" t="s">
        <v>5308</v>
      </c>
      <c r="F2497" s="1081">
        <f t="shared" si="1"/>
        <v>0</v>
      </c>
      <c r="G2497" s="1083">
        <f t="shared" si="2"/>
        <v>506.17</v>
      </c>
      <c r="H2497" s="1084"/>
    </row>
    <row r="2498" ht="14.25" customHeight="1">
      <c r="A2498" s="1085">
        <v>39874.0</v>
      </c>
      <c r="B2498" s="1086" t="s">
        <v>7810</v>
      </c>
      <c r="C2498" s="1087" t="s">
        <v>1788</v>
      </c>
      <c r="D2498" s="1088">
        <v>555.96</v>
      </c>
      <c r="E2498" s="1089" t="s">
        <v>5308</v>
      </c>
      <c r="F2498" s="1081">
        <f t="shared" si="1"/>
        <v>0</v>
      </c>
      <c r="G2498" s="1083">
        <f t="shared" si="2"/>
        <v>555.96</v>
      </c>
      <c r="H2498" s="1084"/>
    </row>
    <row r="2499" ht="14.25" customHeight="1">
      <c r="A2499" s="1085">
        <v>3674.0</v>
      </c>
      <c r="B2499" s="1086" t="s">
        <v>7811</v>
      </c>
      <c r="C2499" s="1087" t="s">
        <v>1731</v>
      </c>
      <c r="D2499" s="1088">
        <v>137.55</v>
      </c>
      <c r="E2499" s="1089" t="s">
        <v>5308</v>
      </c>
      <c r="F2499" s="1081">
        <f t="shared" si="1"/>
        <v>0</v>
      </c>
      <c r="G2499" s="1083">
        <f t="shared" si="2"/>
        <v>137.55</v>
      </c>
      <c r="H2499" s="1084"/>
    </row>
    <row r="2500" ht="14.25" customHeight="1">
      <c r="A2500" s="1085">
        <v>3681.0</v>
      </c>
      <c r="B2500" s="1086" t="s">
        <v>7812</v>
      </c>
      <c r="C2500" s="1087" t="s">
        <v>1731</v>
      </c>
      <c r="D2500" s="1088">
        <v>204.66</v>
      </c>
      <c r="E2500" s="1089" t="s">
        <v>5308</v>
      </c>
      <c r="F2500" s="1081">
        <f t="shared" si="1"/>
        <v>0</v>
      </c>
      <c r="G2500" s="1083">
        <f t="shared" si="2"/>
        <v>204.66</v>
      </c>
      <c r="H2500" s="1084"/>
    </row>
    <row r="2501" ht="14.25" customHeight="1">
      <c r="A2501" s="1085">
        <v>3676.0</v>
      </c>
      <c r="B2501" s="1086" t="s">
        <v>7813</v>
      </c>
      <c r="C2501" s="1087" t="s">
        <v>1731</v>
      </c>
      <c r="D2501" s="1088">
        <v>770.21</v>
      </c>
      <c r="E2501" s="1089" t="s">
        <v>5308</v>
      </c>
      <c r="F2501" s="1081">
        <f t="shared" si="1"/>
        <v>0</v>
      </c>
      <c r="G2501" s="1083">
        <f t="shared" si="2"/>
        <v>770.21</v>
      </c>
      <c r="H2501" s="1084"/>
    </row>
    <row r="2502" ht="14.25" customHeight="1">
      <c r="A2502" s="1085">
        <v>3679.0</v>
      </c>
      <c r="B2502" s="1086" t="s">
        <v>7814</v>
      </c>
      <c r="C2502" s="1087" t="s">
        <v>1731</v>
      </c>
      <c r="D2502" s="1088">
        <v>637.21</v>
      </c>
      <c r="E2502" s="1089" t="s">
        <v>5308</v>
      </c>
      <c r="F2502" s="1081">
        <f t="shared" si="1"/>
        <v>0</v>
      </c>
      <c r="G2502" s="1083">
        <f t="shared" si="2"/>
        <v>637.21</v>
      </c>
      <c r="H2502" s="1084"/>
    </row>
    <row r="2503" ht="14.25" customHeight="1">
      <c r="A2503" s="1085">
        <v>3672.0</v>
      </c>
      <c r="B2503" s="1086" t="s">
        <v>7815</v>
      </c>
      <c r="C2503" s="1087" t="s">
        <v>1731</v>
      </c>
      <c r="D2503" s="1088">
        <v>2.17</v>
      </c>
      <c r="E2503" s="1089" t="s">
        <v>5308</v>
      </c>
      <c r="F2503" s="1081">
        <f t="shared" si="1"/>
        <v>0</v>
      </c>
      <c r="G2503" s="1083">
        <f t="shared" si="2"/>
        <v>2.17</v>
      </c>
      <c r="H2503" s="1084"/>
    </row>
    <row r="2504" ht="14.25" customHeight="1">
      <c r="A2504" s="1085">
        <v>3671.0</v>
      </c>
      <c r="B2504" s="1086" t="s">
        <v>7816</v>
      </c>
      <c r="C2504" s="1087" t="s">
        <v>1731</v>
      </c>
      <c r="D2504" s="1088">
        <v>2.05</v>
      </c>
      <c r="E2504" s="1089" t="s">
        <v>5308</v>
      </c>
      <c r="F2504" s="1081">
        <f t="shared" si="1"/>
        <v>0</v>
      </c>
      <c r="G2504" s="1083">
        <f t="shared" si="2"/>
        <v>2.05</v>
      </c>
      <c r="H2504" s="1084"/>
    </row>
    <row r="2505" ht="14.25" customHeight="1">
      <c r="A2505" s="1085">
        <v>3673.0</v>
      </c>
      <c r="B2505" s="1086" t="s">
        <v>7817</v>
      </c>
      <c r="C2505" s="1087" t="s">
        <v>1731</v>
      </c>
      <c r="D2505" s="1088">
        <v>3.22</v>
      </c>
      <c r="E2505" s="1089" t="s">
        <v>5308</v>
      </c>
      <c r="F2505" s="1081">
        <f t="shared" si="1"/>
        <v>0</v>
      </c>
      <c r="G2505" s="1083">
        <f t="shared" si="2"/>
        <v>3.22</v>
      </c>
      <c r="H2505" s="1084"/>
    </row>
    <row r="2506" ht="14.25" customHeight="1">
      <c r="A2506" s="1085">
        <v>38394.0</v>
      </c>
      <c r="B2506" s="1086" t="s">
        <v>7818</v>
      </c>
      <c r="C2506" s="1087" t="s">
        <v>1788</v>
      </c>
      <c r="D2506" s="1088">
        <v>312.47</v>
      </c>
      <c r="E2506" s="1089" t="s">
        <v>5308</v>
      </c>
      <c r="F2506" s="1081">
        <f t="shared" si="1"/>
        <v>0</v>
      </c>
      <c r="G2506" s="1083">
        <f t="shared" si="2"/>
        <v>312.47</v>
      </c>
      <c r="H2506" s="1084"/>
    </row>
    <row r="2507" ht="14.25" customHeight="1">
      <c r="A2507" s="1085">
        <v>3729.0</v>
      </c>
      <c r="B2507" s="1086" t="s">
        <v>7819</v>
      </c>
      <c r="C2507" s="1087" t="s">
        <v>1788</v>
      </c>
      <c r="D2507" s="1088">
        <v>145.25</v>
      </c>
      <c r="E2507" s="1089" t="s">
        <v>5308</v>
      </c>
      <c r="F2507" s="1081">
        <f t="shared" si="1"/>
        <v>0</v>
      </c>
      <c r="G2507" s="1083">
        <f t="shared" si="2"/>
        <v>145.25</v>
      </c>
      <c r="H2507" s="1084"/>
    </row>
    <row r="2508" ht="14.25" customHeight="1">
      <c r="A2508" s="1085">
        <v>39357.0</v>
      </c>
      <c r="B2508" s="1086" t="s">
        <v>7820</v>
      </c>
      <c r="C2508" s="1087" t="s">
        <v>1788</v>
      </c>
      <c r="D2508" s="1088">
        <v>49.5</v>
      </c>
      <c r="E2508" s="1089" t="s">
        <v>5308</v>
      </c>
      <c r="F2508" s="1081">
        <f t="shared" si="1"/>
        <v>0</v>
      </c>
      <c r="G2508" s="1083">
        <f t="shared" si="2"/>
        <v>49.5</v>
      </c>
      <c r="H2508" s="1084"/>
    </row>
    <row r="2509" ht="14.25" customHeight="1">
      <c r="A2509" s="1085">
        <v>39358.0</v>
      </c>
      <c r="B2509" s="1086" t="s">
        <v>7821</v>
      </c>
      <c r="C2509" s="1087" t="s">
        <v>1788</v>
      </c>
      <c r="D2509" s="1088">
        <v>49.5</v>
      </c>
      <c r="E2509" s="1089" t="s">
        <v>5308</v>
      </c>
      <c r="F2509" s="1081">
        <f t="shared" si="1"/>
        <v>0</v>
      </c>
      <c r="G2509" s="1083">
        <f t="shared" si="2"/>
        <v>49.5</v>
      </c>
      <c r="H2509" s="1084"/>
    </row>
    <row r="2510" ht="14.25" customHeight="1">
      <c r="A2510" s="1085">
        <v>39355.0</v>
      </c>
      <c r="B2510" s="1086" t="s">
        <v>7822</v>
      </c>
      <c r="C2510" s="1087" t="s">
        <v>1788</v>
      </c>
      <c r="D2510" s="1088">
        <v>72.12</v>
      </c>
      <c r="E2510" s="1089" t="s">
        <v>5308</v>
      </c>
      <c r="F2510" s="1081">
        <f t="shared" si="1"/>
        <v>0</v>
      </c>
      <c r="G2510" s="1083">
        <f t="shared" si="2"/>
        <v>72.12</v>
      </c>
      <c r="H2510" s="1084"/>
    </row>
    <row r="2511" ht="14.25" customHeight="1">
      <c r="A2511" s="1085">
        <v>39356.0</v>
      </c>
      <c r="B2511" s="1086" t="s">
        <v>7823</v>
      </c>
      <c r="C2511" s="1087" t="s">
        <v>1788</v>
      </c>
      <c r="D2511" s="1088">
        <v>68.83</v>
      </c>
      <c r="E2511" s="1089" t="s">
        <v>5308</v>
      </c>
      <c r="F2511" s="1081">
        <f t="shared" si="1"/>
        <v>0</v>
      </c>
      <c r="G2511" s="1083">
        <f t="shared" si="2"/>
        <v>68.83</v>
      </c>
      <c r="H2511" s="1084"/>
    </row>
    <row r="2512" ht="14.25" customHeight="1">
      <c r="A2512" s="1085">
        <v>39353.0</v>
      </c>
      <c r="B2512" s="1086" t="s">
        <v>7824</v>
      </c>
      <c r="C2512" s="1087" t="s">
        <v>1788</v>
      </c>
      <c r="D2512" s="1088">
        <v>158.0</v>
      </c>
      <c r="E2512" s="1089" t="s">
        <v>5308</v>
      </c>
      <c r="F2512" s="1081">
        <f t="shared" si="1"/>
        <v>0</v>
      </c>
      <c r="G2512" s="1083">
        <f t="shared" si="2"/>
        <v>158</v>
      </c>
      <c r="H2512" s="1084"/>
    </row>
    <row r="2513" ht="14.25" customHeight="1">
      <c r="A2513" s="1085">
        <v>39354.0</v>
      </c>
      <c r="B2513" s="1086" t="s">
        <v>7825</v>
      </c>
      <c r="C2513" s="1087" t="s">
        <v>1788</v>
      </c>
      <c r="D2513" s="1088">
        <v>333.36</v>
      </c>
      <c r="E2513" s="1089" t="s">
        <v>5308</v>
      </c>
      <c r="F2513" s="1081">
        <f t="shared" si="1"/>
        <v>0</v>
      </c>
      <c r="G2513" s="1083">
        <f t="shared" si="2"/>
        <v>333.36</v>
      </c>
      <c r="H2513" s="1084"/>
    </row>
    <row r="2514" ht="14.25" customHeight="1">
      <c r="A2514" s="1085">
        <v>39398.0</v>
      </c>
      <c r="B2514" s="1086" t="s">
        <v>7826</v>
      </c>
      <c r="C2514" s="1087" t="s">
        <v>1788</v>
      </c>
      <c r="D2514" s="1088">
        <v>194.82</v>
      </c>
      <c r="E2514" s="1089" t="s">
        <v>5308</v>
      </c>
      <c r="F2514" s="1081">
        <f t="shared" si="1"/>
        <v>0</v>
      </c>
      <c r="G2514" s="1083">
        <f t="shared" si="2"/>
        <v>194.82</v>
      </c>
      <c r="H2514" s="1084"/>
    </row>
    <row r="2515" ht="14.25" customHeight="1">
      <c r="A2515" s="1085">
        <v>13343.0</v>
      </c>
      <c r="B2515" s="1086" t="s">
        <v>7827</v>
      </c>
      <c r="C2515" s="1087" t="s">
        <v>1788</v>
      </c>
      <c r="D2515" s="1088">
        <v>49.46</v>
      </c>
      <c r="E2515" s="1089" t="s">
        <v>5308</v>
      </c>
      <c r="F2515" s="1081">
        <f t="shared" si="1"/>
        <v>0</v>
      </c>
      <c r="G2515" s="1083">
        <f t="shared" si="2"/>
        <v>49.46</v>
      </c>
      <c r="H2515" s="1084"/>
    </row>
    <row r="2516" ht="14.25" customHeight="1">
      <c r="A2516" s="1085">
        <v>12118.0</v>
      </c>
      <c r="B2516" s="1086" t="s">
        <v>7828</v>
      </c>
      <c r="C2516" s="1087" t="s">
        <v>1788</v>
      </c>
      <c r="D2516" s="1088">
        <v>24.37</v>
      </c>
      <c r="E2516" s="1089" t="s">
        <v>5308</v>
      </c>
      <c r="F2516" s="1081">
        <f t="shared" si="1"/>
        <v>0</v>
      </c>
      <c r="G2516" s="1083">
        <f t="shared" si="2"/>
        <v>24.37</v>
      </c>
      <c r="H2516" s="1084"/>
    </row>
    <row r="2517" ht="14.25" customHeight="1">
      <c r="A2517" s="1085">
        <v>39482.0</v>
      </c>
      <c r="B2517" s="1086" t="s">
        <v>7829</v>
      </c>
      <c r="C2517" s="1087" t="s">
        <v>1788</v>
      </c>
      <c r="D2517" s="1088">
        <v>597.65</v>
      </c>
      <c r="E2517" s="1089" t="s">
        <v>5308</v>
      </c>
      <c r="F2517" s="1081">
        <f t="shared" si="1"/>
        <v>0</v>
      </c>
      <c r="G2517" s="1083">
        <f t="shared" si="2"/>
        <v>597.65</v>
      </c>
      <c r="H2517" s="1084"/>
    </row>
    <row r="2518" ht="14.25" customHeight="1">
      <c r="A2518" s="1085">
        <v>39486.0</v>
      </c>
      <c r="B2518" s="1086" t="s">
        <v>7830</v>
      </c>
      <c r="C2518" s="1087" t="s">
        <v>1788</v>
      </c>
      <c r="D2518" s="1088">
        <v>487.77</v>
      </c>
      <c r="E2518" s="1089" t="s">
        <v>5308</v>
      </c>
      <c r="F2518" s="1081">
        <f t="shared" si="1"/>
        <v>0</v>
      </c>
      <c r="G2518" s="1083">
        <f t="shared" si="2"/>
        <v>487.77</v>
      </c>
      <c r="H2518" s="1084"/>
    </row>
    <row r="2519" ht="14.25" customHeight="1">
      <c r="A2519" s="1085">
        <v>39484.0</v>
      </c>
      <c r="B2519" s="1086" t="s">
        <v>7831</v>
      </c>
      <c r="C2519" s="1087" t="s">
        <v>1788</v>
      </c>
      <c r="D2519" s="1088">
        <v>597.65</v>
      </c>
      <c r="E2519" s="1089" t="s">
        <v>5308</v>
      </c>
      <c r="F2519" s="1081">
        <f t="shared" si="1"/>
        <v>0</v>
      </c>
      <c r="G2519" s="1083">
        <f t="shared" si="2"/>
        <v>597.65</v>
      </c>
      <c r="H2519" s="1084"/>
    </row>
    <row r="2520" ht="14.25" customHeight="1">
      <c r="A2520" s="1085">
        <v>39488.0</v>
      </c>
      <c r="B2520" s="1086" t="s">
        <v>7832</v>
      </c>
      <c r="C2520" s="1087" t="s">
        <v>1788</v>
      </c>
      <c r="D2520" s="1088">
        <v>495.75</v>
      </c>
      <c r="E2520" s="1089" t="s">
        <v>5308</v>
      </c>
      <c r="F2520" s="1081">
        <f t="shared" si="1"/>
        <v>0</v>
      </c>
      <c r="G2520" s="1083">
        <f t="shared" si="2"/>
        <v>495.75</v>
      </c>
      <c r="H2520" s="1084"/>
    </row>
    <row r="2521" ht="14.25" customHeight="1">
      <c r="A2521" s="1085">
        <v>39485.0</v>
      </c>
      <c r="B2521" s="1086" t="s">
        <v>7833</v>
      </c>
      <c r="C2521" s="1087" t="s">
        <v>1788</v>
      </c>
      <c r="D2521" s="1088">
        <v>597.65</v>
      </c>
      <c r="E2521" s="1089" t="s">
        <v>5308</v>
      </c>
      <c r="F2521" s="1081">
        <f t="shared" si="1"/>
        <v>0</v>
      </c>
      <c r="G2521" s="1083">
        <f t="shared" si="2"/>
        <v>597.65</v>
      </c>
      <c r="H2521" s="1084"/>
    </row>
    <row r="2522" ht="14.25" customHeight="1">
      <c r="A2522" s="1085">
        <v>39489.0</v>
      </c>
      <c r="B2522" s="1086" t="s">
        <v>7834</v>
      </c>
      <c r="C2522" s="1087" t="s">
        <v>1788</v>
      </c>
      <c r="D2522" s="1088">
        <v>504.16</v>
      </c>
      <c r="E2522" s="1089" t="s">
        <v>5308</v>
      </c>
      <c r="F2522" s="1081">
        <f t="shared" si="1"/>
        <v>0</v>
      </c>
      <c r="G2522" s="1083">
        <f t="shared" si="2"/>
        <v>504.16</v>
      </c>
      <c r="H2522" s="1084"/>
    </row>
    <row r="2523" ht="14.25" customHeight="1">
      <c r="A2523" s="1085">
        <v>39490.0</v>
      </c>
      <c r="B2523" s="1086" t="s">
        <v>7835</v>
      </c>
      <c r="C2523" s="1087" t="s">
        <v>1788</v>
      </c>
      <c r="D2523" s="1088">
        <v>751.26</v>
      </c>
      <c r="E2523" s="1089" t="s">
        <v>5308</v>
      </c>
      <c r="F2523" s="1081">
        <f t="shared" si="1"/>
        <v>0</v>
      </c>
      <c r="G2523" s="1083">
        <f t="shared" si="2"/>
        <v>751.26</v>
      </c>
      <c r="H2523" s="1084"/>
    </row>
    <row r="2524" ht="14.25" customHeight="1">
      <c r="A2524" s="1085">
        <v>39494.0</v>
      </c>
      <c r="B2524" s="1086" t="s">
        <v>7836</v>
      </c>
      <c r="C2524" s="1087" t="s">
        <v>1788</v>
      </c>
      <c r="D2524" s="1088">
        <v>539.47</v>
      </c>
      <c r="E2524" s="1089" t="s">
        <v>5308</v>
      </c>
      <c r="F2524" s="1081">
        <f t="shared" si="1"/>
        <v>0</v>
      </c>
      <c r="G2524" s="1083">
        <f t="shared" si="2"/>
        <v>539.47</v>
      </c>
      <c r="H2524" s="1084"/>
    </row>
    <row r="2525" ht="14.25" customHeight="1">
      <c r="A2525" s="1085">
        <v>39495.0</v>
      </c>
      <c r="B2525" s="1086" t="s">
        <v>7837</v>
      </c>
      <c r="C2525" s="1087" t="s">
        <v>1788</v>
      </c>
      <c r="D2525" s="1088">
        <v>607.91</v>
      </c>
      <c r="E2525" s="1089" t="s">
        <v>5308</v>
      </c>
      <c r="F2525" s="1081">
        <f t="shared" si="1"/>
        <v>0</v>
      </c>
      <c r="G2525" s="1083">
        <f t="shared" si="2"/>
        <v>607.91</v>
      </c>
      <c r="H2525" s="1084"/>
    </row>
    <row r="2526" ht="14.25" customHeight="1">
      <c r="A2526" s="1085">
        <v>39496.0</v>
      </c>
      <c r="B2526" s="1086" t="s">
        <v>7838</v>
      </c>
      <c r="C2526" s="1087" t="s">
        <v>1788</v>
      </c>
      <c r="D2526" s="1088">
        <v>668.7</v>
      </c>
      <c r="E2526" s="1089" t="s">
        <v>5308</v>
      </c>
      <c r="F2526" s="1081">
        <f t="shared" si="1"/>
        <v>0</v>
      </c>
      <c r="G2526" s="1083">
        <f t="shared" si="2"/>
        <v>668.7</v>
      </c>
      <c r="H2526" s="1084"/>
    </row>
    <row r="2527" ht="14.25" customHeight="1">
      <c r="A2527" s="1085">
        <v>39492.0</v>
      </c>
      <c r="B2527" s="1086" t="s">
        <v>7839</v>
      </c>
      <c r="C2527" s="1087" t="s">
        <v>1788</v>
      </c>
      <c r="D2527" s="1088">
        <v>774.17</v>
      </c>
      <c r="E2527" s="1089" t="s">
        <v>5308</v>
      </c>
      <c r="F2527" s="1081">
        <f t="shared" si="1"/>
        <v>0</v>
      </c>
      <c r="G2527" s="1083">
        <f t="shared" si="2"/>
        <v>774.17</v>
      </c>
      <c r="H2527" s="1084"/>
    </row>
    <row r="2528" ht="14.25" customHeight="1">
      <c r="A2528" s="1085">
        <v>39497.0</v>
      </c>
      <c r="B2528" s="1086" t="s">
        <v>7840</v>
      </c>
      <c r="C2528" s="1087" t="s">
        <v>1788</v>
      </c>
      <c r="D2528" s="1088">
        <v>699.28</v>
      </c>
      <c r="E2528" s="1089" t="s">
        <v>5308</v>
      </c>
      <c r="F2528" s="1081">
        <f t="shared" si="1"/>
        <v>0</v>
      </c>
      <c r="G2528" s="1083">
        <f t="shared" si="2"/>
        <v>699.28</v>
      </c>
      <c r="H2528" s="1084"/>
    </row>
    <row r="2529" ht="14.25" customHeight="1">
      <c r="A2529" s="1085">
        <v>39493.0</v>
      </c>
      <c r="B2529" s="1086" t="s">
        <v>7841</v>
      </c>
      <c r="C2529" s="1087" t="s">
        <v>1788</v>
      </c>
      <c r="D2529" s="1088">
        <v>830.37</v>
      </c>
      <c r="E2529" s="1089" t="s">
        <v>5308</v>
      </c>
      <c r="F2529" s="1081">
        <f t="shared" si="1"/>
        <v>0</v>
      </c>
      <c r="G2529" s="1083">
        <f t="shared" si="2"/>
        <v>830.37</v>
      </c>
      <c r="H2529" s="1084"/>
    </row>
    <row r="2530" ht="14.25" customHeight="1">
      <c r="A2530" s="1085">
        <v>39500.0</v>
      </c>
      <c r="B2530" s="1086" t="s">
        <v>7842</v>
      </c>
      <c r="C2530" s="1087" t="s">
        <v>1788</v>
      </c>
      <c r="D2530" s="1088">
        <v>906.0</v>
      </c>
      <c r="E2530" s="1089" t="s">
        <v>5308</v>
      </c>
      <c r="F2530" s="1081">
        <f t="shared" si="1"/>
        <v>0</v>
      </c>
      <c r="G2530" s="1083">
        <f t="shared" si="2"/>
        <v>906</v>
      </c>
      <c r="H2530" s="1084"/>
    </row>
    <row r="2531" ht="14.25" customHeight="1">
      <c r="A2531" s="1085">
        <v>39498.0</v>
      </c>
      <c r="B2531" s="1086" t="s">
        <v>7843</v>
      </c>
      <c r="C2531" s="1087" t="s">
        <v>1788</v>
      </c>
      <c r="D2531" s="1088">
        <v>1117.4</v>
      </c>
      <c r="E2531" s="1089" t="s">
        <v>5308</v>
      </c>
      <c r="F2531" s="1081">
        <f t="shared" si="1"/>
        <v>0</v>
      </c>
      <c r="G2531" s="1083">
        <f t="shared" si="2"/>
        <v>1117.4</v>
      </c>
      <c r="H2531" s="1084"/>
    </row>
    <row r="2532" ht="14.25" customHeight="1">
      <c r="A2532" s="1085">
        <v>43628.0</v>
      </c>
      <c r="B2532" s="1086" t="s">
        <v>7844</v>
      </c>
      <c r="C2532" s="1087" t="s">
        <v>1788</v>
      </c>
      <c r="D2532" s="1088">
        <v>880.75</v>
      </c>
      <c r="E2532" s="1089" t="s">
        <v>5308</v>
      </c>
      <c r="F2532" s="1081">
        <f t="shared" si="1"/>
        <v>0</v>
      </c>
      <c r="G2532" s="1083">
        <f t="shared" si="2"/>
        <v>880.75</v>
      </c>
      <c r="H2532" s="1084"/>
    </row>
    <row r="2533" ht="14.25" customHeight="1">
      <c r="A2533" s="1085">
        <v>39501.0</v>
      </c>
      <c r="B2533" s="1086" t="s">
        <v>7845</v>
      </c>
      <c r="C2533" s="1087" t="s">
        <v>1788</v>
      </c>
      <c r="D2533" s="1088">
        <v>930.54</v>
      </c>
      <c r="E2533" s="1089" t="s">
        <v>5308</v>
      </c>
      <c r="F2533" s="1081">
        <f t="shared" si="1"/>
        <v>0</v>
      </c>
      <c r="G2533" s="1083">
        <f t="shared" si="2"/>
        <v>930.54</v>
      </c>
      <c r="H2533" s="1084"/>
    </row>
    <row r="2534" ht="14.25" customHeight="1">
      <c r="A2534" s="1085">
        <v>39499.0</v>
      </c>
      <c r="B2534" s="1086" t="s">
        <v>7846</v>
      </c>
      <c r="C2534" s="1087" t="s">
        <v>1788</v>
      </c>
      <c r="D2534" s="1088">
        <v>1133.27</v>
      </c>
      <c r="E2534" s="1089" t="s">
        <v>5308</v>
      </c>
      <c r="F2534" s="1081">
        <f t="shared" si="1"/>
        <v>0</v>
      </c>
      <c r="G2534" s="1083">
        <f t="shared" si="2"/>
        <v>1133.27</v>
      </c>
      <c r="H2534" s="1084"/>
    </row>
    <row r="2535" ht="14.25" customHeight="1">
      <c r="A2535" s="1085">
        <v>43621.0</v>
      </c>
      <c r="B2535" s="1086" t="s">
        <v>7847</v>
      </c>
      <c r="C2535" s="1087" t="s">
        <v>1788</v>
      </c>
      <c r="D2535" s="1088">
        <v>935.8</v>
      </c>
      <c r="E2535" s="1089" t="s">
        <v>5308</v>
      </c>
      <c r="F2535" s="1081">
        <f t="shared" si="1"/>
        <v>0</v>
      </c>
      <c r="G2535" s="1083">
        <f t="shared" si="2"/>
        <v>935.8</v>
      </c>
      <c r="H2535" s="1084"/>
    </row>
    <row r="2536" ht="14.25" customHeight="1">
      <c r="A2536" s="1085">
        <v>3733.0</v>
      </c>
      <c r="B2536" s="1086" t="s">
        <v>7848</v>
      </c>
      <c r="C2536" s="1087" t="s">
        <v>1814</v>
      </c>
      <c r="D2536" s="1088">
        <v>53.86</v>
      </c>
      <c r="E2536" s="1089" t="s">
        <v>5308</v>
      </c>
      <c r="F2536" s="1081">
        <f t="shared" si="1"/>
        <v>0</v>
      </c>
      <c r="G2536" s="1083">
        <f t="shared" si="2"/>
        <v>53.86</v>
      </c>
      <c r="H2536" s="1084"/>
    </row>
    <row r="2537" ht="14.25" customHeight="1">
      <c r="A2537" s="1085">
        <v>3731.0</v>
      </c>
      <c r="B2537" s="1086" t="s">
        <v>7849</v>
      </c>
      <c r="C2537" s="1087" t="s">
        <v>1814</v>
      </c>
      <c r="D2537" s="1088">
        <v>50.0</v>
      </c>
      <c r="E2537" s="1089" t="s">
        <v>5308</v>
      </c>
      <c r="F2537" s="1081">
        <f t="shared" si="1"/>
        <v>0</v>
      </c>
      <c r="G2537" s="1083">
        <f t="shared" si="2"/>
        <v>50</v>
      </c>
      <c r="H2537" s="1084"/>
    </row>
    <row r="2538" ht="14.25" customHeight="1">
      <c r="A2538" s="1085">
        <v>38137.0</v>
      </c>
      <c r="B2538" s="1086" t="s">
        <v>7850</v>
      </c>
      <c r="C2538" s="1087" t="s">
        <v>1814</v>
      </c>
      <c r="D2538" s="1088">
        <v>50.29</v>
      </c>
      <c r="E2538" s="1089" t="s">
        <v>5308</v>
      </c>
      <c r="F2538" s="1081">
        <f t="shared" si="1"/>
        <v>0</v>
      </c>
      <c r="G2538" s="1083">
        <f t="shared" si="2"/>
        <v>50.29</v>
      </c>
      <c r="H2538" s="1084"/>
    </row>
    <row r="2539" ht="14.25" customHeight="1">
      <c r="A2539" s="1085">
        <v>38135.0</v>
      </c>
      <c r="B2539" s="1086" t="s">
        <v>7851</v>
      </c>
      <c r="C2539" s="1087" t="s">
        <v>1814</v>
      </c>
      <c r="D2539" s="1088">
        <v>63.75</v>
      </c>
      <c r="E2539" s="1089" t="s">
        <v>5308</v>
      </c>
      <c r="F2539" s="1081">
        <f t="shared" si="1"/>
        <v>0</v>
      </c>
      <c r="G2539" s="1083">
        <f t="shared" si="2"/>
        <v>63.75</v>
      </c>
      <c r="H2539" s="1084"/>
    </row>
    <row r="2540" ht="14.25" customHeight="1">
      <c r="A2540" s="1085">
        <v>38138.0</v>
      </c>
      <c r="B2540" s="1086" t="s">
        <v>7852</v>
      </c>
      <c r="C2540" s="1087" t="s">
        <v>1814</v>
      </c>
      <c r="D2540" s="1088">
        <v>49.39</v>
      </c>
      <c r="E2540" s="1089" t="s">
        <v>5308</v>
      </c>
      <c r="F2540" s="1081">
        <f t="shared" si="1"/>
        <v>0</v>
      </c>
      <c r="G2540" s="1083">
        <f t="shared" si="2"/>
        <v>49.39</v>
      </c>
      <c r="H2540" s="1084"/>
    </row>
    <row r="2541" ht="14.25" customHeight="1">
      <c r="A2541" s="1085">
        <v>3736.0</v>
      </c>
      <c r="B2541" s="1086" t="s">
        <v>7853</v>
      </c>
      <c r="C2541" s="1087" t="s">
        <v>1814</v>
      </c>
      <c r="D2541" s="1088">
        <v>49.45</v>
      </c>
      <c r="E2541" s="1089" t="s">
        <v>5308</v>
      </c>
      <c r="F2541" s="1081">
        <f t="shared" si="1"/>
        <v>0</v>
      </c>
      <c r="G2541" s="1083">
        <f t="shared" si="2"/>
        <v>49.45</v>
      </c>
      <c r="H2541" s="1084"/>
    </row>
    <row r="2542" ht="14.25" customHeight="1">
      <c r="A2542" s="1085">
        <v>3741.0</v>
      </c>
      <c r="B2542" s="1086" t="s">
        <v>7854</v>
      </c>
      <c r="C2542" s="1087" t="s">
        <v>1814</v>
      </c>
      <c r="D2542" s="1088">
        <v>51.54</v>
      </c>
      <c r="E2542" s="1089" t="s">
        <v>5308</v>
      </c>
      <c r="F2542" s="1081">
        <f t="shared" si="1"/>
        <v>0</v>
      </c>
      <c r="G2542" s="1083">
        <f t="shared" si="2"/>
        <v>51.54</v>
      </c>
      <c r="H2542" s="1084"/>
    </row>
    <row r="2543" ht="14.25" customHeight="1">
      <c r="A2543" s="1085">
        <v>3745.0</v>
      </c>
      <c r="B2543" s="1086" t="s">
        <v>7855</v>
      </c>
      <c r="C2543" s="1087" t="s">
        <v>1814</v>
      </c>
      <c r="D2543" s="1088">
        <v>55.58</v>
      </c>
      <c r="E2543" s="1089" t="s">
        <v>5308</v>
      </c>
      <c r="F2543" s="1081">
        <f t="shared" si="1"/>
        <v>0</v>
      </c>
      <c r="G2543" s="1083">
        <f t="shared" si="2"/>
        <v>55.58</v>
      </c>
      <c r="H2543" s="1084"/>
    </row>
    <row r="2544" ht="14.25" customHeight="1">
      <c r="A2544" s="1085">
        <v>3743.0</v>
      </c>
      <c r="B2544" s="1086" t="s">
        <v>7856</v>
      </c>
      <c r="C2544" s="1087" t="s">
        <v>1814</v>
      </c>
      <c r="D2544" s="1088">
        <v>51.36</v>
      </c>
      <c r="E2544" s="1089" t="s">
        <v>5308</v>
      </c>
      <c r="F2544" s="1081">
        <f t="shared" si="1"/>
        <v>0</v>
      </c>
      <c r="G2544" s="1083">
        <f t="shared" si="2"/>
        <v>51.36</v>
      </c>
      <c r="H2544" s="1084"/>
    </row>
    <row r="2545" ht="14.25" customHeight="1">
      <c r="A2545" s="1085">
        <v>3744.0</v>
      </c>
      <c r="B2545" s="1086" t="s">
        <v>7857</v>
      </c>
      <c r="C2545" s="1087" t="s">
        <v>1814</v>
      </c>
      <c r="D2545" s="1088">
        <v>56.54</v>
      </c>
      <c r="E2545" s="1089" t="s">
        <v>5308</v>
      </c>
      <c r="F2545" s="1081">
        <f t="shared" si="1"/>
        <v>0</v>
      </c>
      <c r="G2545" s="1083">
        <f t="shared" si="2"/>
        <v>56.54</v>
      </c>
      <c r="H2545" s="1084"/>
    </row>
    <row r="2546" ht="14.25" customHeight="1">
      <c r="A2546" s="1085">
        <v>3739.0</v>
      </c>
      <c r="B2546" s="1086" t="s">
        <v>7858</v>
      </c>
      <c r="C2546" s="1087" t="s">
        <v>1814</v>
      </c>
      <c r="D2546" s="1088">
        <v>59.41</v>
      </c>
      <c r="E2546" s="1089" t="s">
        <v>5308</v>
      </c>
      <c r="F2546" s="1081">
        <f t="shared" si="1"/>
        <v>0</v>
      </c>
      <c r="G2546" s="1083">
        <f t="shared" si="2"/>
        <v>59.41</v>
      </c>
      <c r="H2546" s="1084"/>
    </row>
    <row r="2547" ht="14.25" customHeight="1">
      <c r="A2547" s="1085">
        <v>3737.0</v>
      </c>
      <c r="B2547" s="1086" t="s">
        <v>7859</v>
      </c>
      <c r="C2547" s="1087" t="s">
        <v>1814</v>
      </c>
      <c r="D2547" s="1088">
        <v>62.29</v>
      </c>
      <c r="E2547" s="1089" t="s">
        <v>5308</v>
      </c>
      <c r="F2547" s="1081">
        <f t="shared" si="1"/>
        <v>0</v>
      </c>
      <c r="G2547" s="1083">
        <f t="shared" si="2"/>
        <v>62.29</v>
      </c>
      <c r="H2547" s="1084"/>
    </row>
    <row r="2548" ht="14.25" customHeight="1">
      <c r="A2548" s="1085">
        <v>3738.0</v>
      </c>
      <c r="B2548" s="1086" t="s">
        <v>7860</v>
      </c>
      <c r="C2548" s="1087" t="s">
        <v>1814</v>
      </c>
      <c r="D2548" s="1088">
        <v>71.87</v>
      </c>
      <c r="E2548" s="1089" t="s">
        <v>5308</v>
      </c>
      <c r="F2548" s="1081">
        <f t="shared" si="1"/>
        <v>0</v>
      </c>
      <c r="G2548" s="1083">
        <f t="shared" si="2"/>
        <v>71.87</v>
      </c>
      <c r="H2548" s="1084"/>
    </row>
    <row r="2549" ht="14.25" customHeight="1">
      <c r="A2549" s="1085">
        <v>3747.0</v>
      </c>
      <c r="B2549" s="1086" t="s">
        <v>7861</v>
      </c>
      <c r="C2549" s="1087" t="s">
        <v>1814</v>
      </c>
      <c r="D2549" s="1088">
        <v>56.54</v>
      </c>
      <c r="E2549" s="1089" t="s">
        <v>5308</v>
      </c>
      <c r="F2549" s="1081">
        <f t="shared" si="1"/>
        <v>0</v>
      </c>
      <c r="G2549" s="1083">
        <f t="shared" si="2"/>
        <v>56.54</v>
      </c>
      <c r="H2549" s="1084"/>
    </row>
    <row r="2550" ht="14.25" customHeight="1">
      <c r="A2550" s="1085">
        <v>11649.0</v>
      </c>
      <c r="B2550" s="1086" t="s">
        <v>7862</v>
      </c>
      <c r="C2550" s="1087" t="s">
        <v>1788</v>
      </c>
      <c r="D2550" s="1088">
        <v>410.16</v>
      </c>
      <c r="E2550" s="1089" t="s">
        <v>5308</v>
      </c>
      <c r="F2550" s="1081">
        <f t="shared" si="1"/>
        <v>0</v>
      </c>
      <c r="G2550" s="1083">
        <f t="shared" si="2"/>
        <v>410.16</v>
      </c>
      <c r="H2550" s="1084"/>
    </row>
    <row r="2551" ht="14.25" customHeight="1">
      <c r="A2551" s="1085">
        <v>11650.0</v>
      </c>
      <c r="B2551" s="1086" t="s">
        <v>7863</v>
      </c>
      <c r="C2551" s="1087" t="s">
        <v>1788</v>
      </c>
      <c r="D2551" s="1088">
        <v>699.1</v>
      </c>
      <c r="E2551" s="1089" t="s">
        <v>5308</v>
      </c>
      <c r="F2551" s="1081">
        <f t="shared" si="1"/>
        <v>0</v>
      </c>
      <c r="G2551" s="1083">
        <f t="shared" si="2"/>
        <v>699.1</v>
      </c>
      <c r="H2551" s="1084"/>
    </row>
    <row r="2552" ht="14.25" customHeight="1">
      <c r="A2552" s="1085">
        <v>3742.0</v>
      </c>
      <c r="B2552" s="1086" t="s">
        <v>7864</v>
      </c>
      <c r="C2552" s="1087" t="s">
        <v>1814</v>
      </c>
      <c r="D2552" s="1088">
        <v>74.55</v>
      </c>
      <c r="E2552" s="1089" t="s">
        <v>5308</v>
      </c>
      <c r="F2552" s="1081">
        <f t="shared" si="1"/>
        <v>0</v>
      </c>
      <c r="G2552" s="1083">
        <f t="shared" si="2"/>
        <v>74.55</v>
      </c>
      <c r="H2552" s="1084"/>
    </row>
    <row r="2553" ht="14.25" customHeight="1">
      <c r="A2553" s="1085">
        <v>3746.0</v>
      </c>
      <c r="B2553" s="1086" t="s">
        <v>7865</v>
      </c>
      <c r="C2553" s="1087" t="s">
        <v>1814</v>
      </c>
      <c r="D2553" s="1088">
        <v>87.05</v>
      </c>
      <c r="E2553" s="1089" t="s">
        <v>5308</v>
      </c>
      <c r="F2553" s="1081">
        <f t="shared" si="1"/>
        <v>0</v>
      </c>
      <c r="G2553" s="1083">
        <f t="shared" si="2"/>
        <v>87.05</v>
      </c>
      <c r="H2553" s="1084"/>
    </row>
    <row r="2554" ht="14.25" customHeight="1">
      <c r="A2554" s="1085">
        <v>21106.0</v>
      </c>
      <c r="B2554" s="1086" t="s">
        <v>7866</v>
      </c>
      <c r="C2554" s="1087" t="s">
        <v>3606</v>
      </c>
      <c r="D2554" s="1088">
        <v>33.94</v>
      </c>
      <c r="E2554" s="1089" t="s">
        <v>5308</v>
      </c>
      <c r="F2554" s="1081">
        <f t="shared" si="1"/>
        <v>0</v>
      </c>
      <c r="G2554" s="1083">
        <f t="shared" si="2"/>
        <v>33.94</v>
      </c>
      <c r="H2554" s="1084"/>
    </row>
    <row r="2555" ht="14.25" customHeight="1">
      <c r="A2555" s="1085">
        <v>3755.0</v>
      </c>
      <c r="B2555" s="1086" t="s">
        <v>7867</v>
      </c>
      <c r="C2555" s="1087" t="s">
        <v>1788</v>
      </c>
      <c r="D2555" s="1088">
        <v>26.86</v>
      </c>
      <c r="E2555" s="1089" t="s">
        <v>5308</v>
      </c>
      <c r="F2555" s="1081">
        <f t="shared" si="1"/>
        <v>0</v>
      </c>
      <c r="G2555" s="1083">
        <f t="shared" si="2"/>
        <v>26.86</v>
      </c>
      <c r="H2555" s="1084"/>
    </row>
    <row r="2556" ht="14.25" customHeight="1">
      <c r="A2556" s="1085">
        <v>3750.0</v>
      </c>
      <c r="B2556" s="1086" t="s">
        <v>7868</v>
      </c>
      <c r="C2556" s="1087" t="s">
        <v>1788</v>
      </c>
      <c r="D2556" s="1088">
        <v>36.12</v>
      </c>
      <c r="E2556" s="1089" t="s">
        <v>5308</v>
      </c>
      <c r="F2556" s="1081">
        <f t="shared" si="1"/>
        <v>0</v>
      </c>
      <c r="G2556" s="1083">
        <f t="shared" si="2"/>
        <v>36.12</v>
      </c>
      <c r="H2556" s="1084"/>
    </row>
    <row r="2557" ht="14.25" customHeight="1">
      <c r="A2557" s="1085">
        <v>3756.0</v>
      </c>
      <c r="B2557" s="1086" t="s">
        <v>7869</v>
      </c>
      <c r="C2557" s="1087" t="s">
        <v>1788</v>
      </c>
      <c r="D2557" s="1088">
        <v>67.5</v>
      </c>
      <c r="E2557" s="1089" t="s">
        <v>5308</v>
      </c>
      <c r="F2557" s="1081">
        <f t="shared" si="1"/>
        <v>0</v>
      </c>
      <c r="G2557" s="1083">
        <f t="shared" si="2"/>
        <v>67.5</v>
      </c>
      <c r="H2557" s="1084"/>
    </row>
    <row r="2558" ht="14.25" customHeight="1">
      <c r="A2558" s="1085">
        <v>39377.0</v>
      </c>
      <c r="B2558" s="1086" t="s">
        <v>7870</v>
      </c>
      <c r="C2558" s="1087" t="s">
        <v>1788</v>
      </c>
      <c r="D2558" s="1088">
        <v>199.94</v>
      </c>
      <c r="E2558" s="1089" t="s">
        <v>5308</v>
      </c>
      <c r="F2558" s="1081">
        <f t="shared" si="1"/>
        <v>0</v>
      </c>
      <c r="G2558" s="1083">
        <f t="shared" si="2"/>
        <v>199.94</v>
      </c>
      <c r="H2558" s="1084"/>
    </row>
    <row r="2559" ht="14.25" customHeight="1">
      <c r="A2559" s="1085">
        <v>38191.0</v>
      </c>
      <c r="B2559" s="1086" t="s">
        <v>7871</v>
      </c>
      <c r="C2559" s="1087" t="s">
        <v>1788</v>
      </c>
      <c r="D2559" s="1088">
        <v>14.89</v>
      </c>
      <c r="E2559" s="1089" t="s">
        <v>5308</v>
      </c>
      <c r="F2559" s="1081">
        <f t="shared" si="1"/>
        <v>0</v>
      </c>
      <c r="G2559" s="1083">
        <f t="shared" si="2"/>
        <v>14.89</v>
      </c>
      <c r="H2559" s="1084"/>
    </row>
    <row r="2560" ht="14.25" customHeight="1">
      <c r="A2560" s="1085">
        <v>39381.0</v>
      </c>
      <c r="B2560" s="1086" t="s">
        <v>7872</v>
      </c>
      <c r="C2560" s="1087" t="s">
        <v>1788</v>
      </c>
      <c r="D2560" s="1088">
        <v>13.88</v>
      </c>
      <c r="E2560" s="1089" t="s">
        <v>5308</v>
      </c>
      <c r="F2560" s="1081">
        <f t="shared" si="1"/>
        <v>0</v>
      </c>
      <c r="G2560" s="1083">
        <f t="shared" si="2"/>
        <v>13.88</v>
      </c>
      <c r="H2560" s="1084"/>
    </row>
    <row r="2561" ht="14.25" customHeight="1">
      <c r="A2561" s="1085">
        <v>38780.0</v>
      </c>
      <c r="B2561" s="1086" t="s">
        <v>7873</v>
      </c>
      <c r="C2561" s="1087" t="s">
        <v>1788</v>
      </c>
      <c r="D2561" s="1088">
        <v>16.99</v>
      </c>
      <c r="E2561" s="1089" t="s">
        <v>5308</v>
      </c>
      <c r="F2561" s="1081">
        <f t="shared" si="1"/>
        <v>0</v>
      </c>
      <c r="G2561" s="1083">
        <f t="shared" si="2"/>
        <v>16.99</v>
      </c>
      <c r="H2561" s="1084"/>
    </row>
    <row r="2562" ht="14.25" customHeight="1">
      <c r="A2562" s="1085">
        <v>38781.0</v>
      </c>
      <c r="B2562" s="1086" t="s">
        <v>7874</v>
      </c>
      <c r="C2562" s="1087" t="s">
        <v>1788</v>
      </c>
      <c r="D2562" s="1088">
        <v>57.35</v>
      </c>
      <c r="E2562" s="1089" t="s">
        <v>5308</v>
      </c>
      <c r="F2562" s="1081">
        <f t="shared" si="1"/>
        <v>0</v>
      </c>
      <c r="G2562" s="1083">
        <f t="shared" si="2"/>
        <v>57.35</v>
      </c>
      <c r="H2562" s="1084"/>
    </row>
    <row r="2563" ht="14.25" customHeight="1">
      <c r="A2563" s="1085">
        <v>38192.0</v>
      </c>
      <c r="B2563" s="1086" t="s">
        <v>7875</v>
      </c>
      <c r="C2563" s="1087" t="s">
        <v>1788</v>
      </c>
      <c r="D2563" s="1088">
        <v>103.77</v>
      </c>
      <c r="E2563" s="1089" t="s">
        <v>5308</v>
      </c>
      <c r="F2563" s="1081">
        <f t="shared" si="1"/>
        <v>0</v>
      </c>
      <c r="G2563" s="1083">
        <f t="shared" si="2"/>
        <v>103.77</v>
      </c>
      <c r="H2563" s="1084"/>
    </row>
    <row r="2564" ht="14.25" customHeight="1">
      <c r="A2564" s="1085">
        <v>3753.0</v>
      </c>
      <c r="B2564" s="1086" t="s">
        <v>7876</v>
      </c>
      <c r="C2564" s="1087" t="s">
        <v>1788</v>
      </c>
      <c r="D2564" s="1088">
        <v>9.08</v>
      </c>
      <c r="E2564" s="1089" t="s">
        <v>5308</v>
      </c>
      <c r="F2564" s="1081">
        <f t="shared" si="1"/>
        <v>0</v>
      </c>
      <c r="G2564" s="1083">
        <f t="shared" si="2"/>
        <v>9.08</v>
      </c>
      <c r="H2564" s="1084"/>
    </row>
    <row r="2565" ht="14.25" customHeight="1">
      <c r="A2565" s="1085">
        <v>38782.0</v>
      </c>
      <c r="B2565" s="1086" t="s">
        <v>7877</v>
      </c>
      <c r="C2565" s="1087" t="s">
        <v>1788</v>
      </c>
      <c r="D2565" s="1088">
        <v>11.83</v>
      </c>
      <c r="E2565" s="1089" t="s">
        <v>5308</v>
      </c>
      <c r="F2565" s="1081">
        <f t="shared" si="1"/>
        <v>0</v>
      </c>
      <c r="G2565" s="1083">
        <f t="shared" si="2"/>
        <v>11.83</v>
      </c>
      <c r="H2565" s="1084"/>
    </row>
    <row r="2566" ht="14.25" customHeight="1">
      <c r="A2566" s="1085">
        <v>38778.0</v>
      </c>
      <c r="B2566" s="1086" t="s">
        <v>7878</v>
      </c>
      <c r="C2566" s="1087" t="s">
        <v>1788</v>
      </c>
      <c r="D2566" s="1088">
        <v>8.88</v>
      </c>
      <c r="E2566" s="1089" t="s">
        <v>5308</v>
      </c>
      <c r="F2566" s="1081">
        <f t="shared" si="1"/>
        <v>0</v>
      </c>
      <c r="G2566" s="1083">
        <f t="shared" si="2"/>
        <v>8.88</v>
      </c>
      <c r="H2566" s="1084"/>
    </row>
    <row r="2567" ht="14.25" customHeight="1">
      <c r="A2567" s="1085">
        <v>38779.0</v>
      </c>
      <c r="B2567" s="1086" t="s">
        <v>7879</v>
      </c>
      <c r="C2567" s="1087" t="s">
        <v>1788</v>
      </c>
      <c r="D2567" s="1088">
        <v>9.41</v>
      </c>
      <c r="E2567" s="1089" t="s">
        <v>5308</v>
      </c>
      <c r="F2567" s="1081">
        <f t="shared" si="1"/>
        <v>0</v>
      </c>
      <c r="G2567" s="1083">
        <f t="shared" si="2"/>
        <v>9.41</v>
      </c>
      <c r="H2567" s="1084"/>
    </row>
    <row r="2568" ht="14.25" customHeight="1">
      <c r="A2568" s="1085">
        <v>39388.0</v>
      </c>
      <c r="B2568" s="1086" t="s">
        <v>7880</v>
      </c>
      <c r="C2568" s="1087" t="s">
        <v>1788</v>
      </c>
      <c r="D2568" s="1088">
        <v>9.22</v>
      </c>
      <c r="E2568" s="1089" t="s">
        <v>5308</v>
      </c>
      <c r="F2568" s="1081">
        <f t="shared" si="1"/>
        <v>0</v>
      </c>
      <c r="G2568" s="1083">
        <f t="shared" si="2"/>
        <v>9.22</v>
      </c>
      <c r="H2568" s="1084"/>
    </row>
    <row r="2569" ht="14.25" customHeight="1">
      <c r="A2569" s="1085">
        <v>39387.0</v>
      </c>
      <c r="B2569" s="1086" t="s">
        <v>7881</v>
      </c>
      <c r="C2569" s="1087" t="s">
        <v>1788</v>
      </c>
      <c r="D2569" s="1088">
        <v>14.38</v>
      </c>
      <c r="E2569" s="1089" t="s">
        <v>5308</v>
      </c>
      <c r="F2569" s="1081">
        <f t="shared" si="1"/>
        <v>0</v>
      </c>
      <c r="G2569" s="1083">
        <f t="shared" si="2"/>
        <v>14.38</v>
      </c>
      <c r="H2569" s="1084"/>
    </row>
    <row r="2570" ht="14.25" customHeight="1">
      <c r="A2570" s="1085">
        <v>39386.0</v>
      </c>
      <c r="B2570" s="1086" t="s">
        <v>7882</v>
      </c>
      <c r="C2570" s="1087" t="s">
        <v>1788</v>
      </c>
      <c r="D2570" s="1088">
        <v>10.02</v>
      </c>
      <c r="E2570" s="1089" t="s">
        <v>5308</v>
      </c>
      <c r="F2570" s="1081">
        <f t="shared" si="1"/>
        <v>0</v>
      </c>
      <c r="G2570" s="1083">
        <f t="shared" si="2"/>
        <v>10.02</v>
      </c>
      <c r="H2570" s="1084"/>
    </row>
    <row r="2571" ht="14.25" customHeight="1">
      <c r="A2571" s="1085">
        <v>38194.0</v>
      </c>
      <c r="B2571" s="1086" t="s">
        <v>7883</v>
      </c>
      <c r="C2571" s="1087" t="s">
        <v>1788</v>
      </c>
      <c r="D2571" s="1088">
        <v>7.5</v>
      </c>
      <c r="E2571" s="1089" t="s">
        <v>5308</v>
      </c>
      <c r="F2571" s="1081">
        <f t="shared" si="1"/>
        <v>0</v>
      </c>
      <c r="G2571" s="1083">
        <f t="shared" si="2"/>
        <v>7.5</v>
      </c>
      <c r="H2571" s="1084"/>
    </row>
    <row r="2572" ht="14.25" customHeight="1">
      <c r="A2572" s="1085">
        <v>38193.0</v>
      </c>
      <c r="B2572" s="1086" t="s">
        <v>7884</v>
      </c>
      <c r="C2572" s="1087" t="s">
        <v>1788</v>
      </c>
      <c r="D2572" s="1088">
        <v>6.52</v>
      </c>
      <c r="E2572" s="1089" t="s">
        <v>5308</v>
      </c>
      <c r="F2572" s="1081">
        <f t="shared" si="1"/>
        <v>0</v>
      </c>
      <c r="G2572" s="1083">
        <f t="shared" si="2"/>
        <v>6.52</v>
      </c>
      <c r="H2572" s="1084"/>
    </row>
    <row r="2573" ht="14.25" customHeight="1">
      <c r="A2573" s="1085">
        <v>12216.0</v>
      </c>
      <c r="B2573" s="1086" t="s">
        <v>7885</v>
      </c>
      <c r="C2573" s="1087" t="s">
        <v>1788</v>
      </c>
      <c r="D2573" s="1088">
        <v>51.89</v>
      </c>
      <c r="E2573" s="1089" t="s">
        <v>5308</v>
      </c>
      <c r="F2573" s="1081">
        <f t="shared" si="1"/>
        <v>0</v>
      </c>
      <c r="G2573" s="1083">
        <f t="shared" si="2"/>
        <v>51.89</v>
      </c>
      <c r="H2573" s="1084"/>
    </row>
    <row r="2574" ht="14.25" customHeight="1">
      <c r="A2574" s="1085">
        <v>3757.0</v>
      </c>
      <c r="B2574" s="1086" t="s">
        <v>7886</v>
      </c>
      <c r="C2574" s="1087" t="s">
        <v>1788</v>
      </c>
      <c r="D2574" s="1088">
        <v>60.0</v>
      </c>
      <c r="E2574" s="1089" t="s">
        <v>5308</v>
      </c>
      <c r="F2574" s="1081">
        <f t="shared" si="1"/>
        <v>0</v>
      </c>
      <c r="G2574" s="1083">
        <f t="shared" si="2"/>
        <v>60</v>
      </c>
      <c r="H2574" s="1084"/>
    </row>
    <row r="2575" ht="14.25" customHeight="1">
      <c r="A2575" s="1085">
        <v>3758.0</v>
      </c>
      <c r="B2575" s="1086" t="s">
        <v>7887</v>
      </c>
      <c r="C2575" s="1087" t="s">
        <v>1788</v>
      </c>
      <c r="D2575" s="1088">
        <v>69.96</v>
      </c>
      <c r="E2575" s="1089" t="s">
        <v>5308</v>
      </c>
      <c r="F2575" s="1081">
        <f t="shared" si="1"/>
        <v>0</v>
      </c>
      <c r="G2575" s="1083">
        <f t="shared" si="2"/>
        <v>69.96</v>
      </c>
      <c r="H2575" s="1084"/>
    </row>
    <row r="2576" ht="14.25" customHeight="1">
      <c r="A2576" s="1085">
        <v>12214.0</v>
      </c>
      <c r="B2576" s="1086" t="s">
        <v>7888</v>
      </c>
      <c r="C2576" s="1087" t="s">
        <v>1788</v>
      </c>
      <c r="D2576" s="1088">
        <v>23.96</v>
      </c>
      <c r="E2576" s="1089" t="s">
        <v>5308</v>
      </c>
      <c r="F2576" s="1081">
        <f t="shared" si="1"/>
        <v>0</v>
      </c>
      <c r="G2576" s="1083">
        <f t="shared" si="2"/>
        <v>23.96</v>
      </c>
      <c r="H2576" s="1084"/>
    </row>
    <row r="2577" ht="14.25" customHeight="1">
      <c r="A2577" s="1085">
        <v>3749.0</v>
      </c>
      <c r="B2577" s="1086" t="s">
        <v>7889</v>
      </c>
      <c r="C2577" s="1087" t="s">
        <v>1788</v>
      </c>
      <c r="D2577" s="1088">
        <v>42.7</v>
      </c>
      <c r="E2577" s="1089" t="s">
        <v>5308</v>
      </c>
      <c r="F2577" s="1081">
        <f t="shared" si="1"/>
        <v>0</v>
      </c>
      <c r="G2577" s="1083">
        <f t="shared" si="2"/>
        <v>42.7</v>
      </c>
      <c r="H2577" s="1084"/>
    </row>
    <row r="2578" ht="14.25" customHeight="1">
      <c r="A2578" s="1085">
        <v>3751.0</v>
      </c>
      <c r="B2578" s="1086" t="s">
        <v>7890</v>
      </c>
      <c r="C2578" s="1087" t="s">
        <v>1788</v>
      </c>
      <c r="D2578" s="1088">
        <v>58.27</v>
      </c>
      <c r="E2578" s="1089" t="s">
        <v>5308</v>
      </c>
      <c r="F2578" s="1081">
        <f t="shared" si="1"/>
        <v>0</v>
      </c>
      <c r="G2578" s="1083">
        <f t="shared" si="2"/>
        <v>58.27</v>
      </c>
      <c r="H2578" s="1084"/>
    </row>
    <row r="2579" ht="14.25" customHeight="1">
      <c r="A2579" s="1085">
        <v>39376.0</v>
      </c>
      <c r="B2579" s="1086" t="s">
        <v>7891</v>
      </c>
      <c r="C2579" s="1087" t="s">
        <v>1788</v>
      </c>
      <c r="D2579" s="1088">
        <v>49.12</v>
      </c>
      <c r="E2579" s="1089" t="s">
        <v>5308</v>
      </c>
      <c r="F2579" s="1081">
        <f t="shared" si="1"/>
        <v>0</v>
      </c>
      <c r="G2579" s="1083">
        <f t="shared" si="2"/>
        <v>49.12</v>
      </c>
      <c r="H2579" s="1084"/>
    </row>
    <row r="2580" ht="14.25" customHeight="1">
      <c r="A2580" s="1085">
        <v>3752.0</v>
      </c>
      <c r="B2580" s="1086" t="s">
        <v>7892</v>
      </c>
      <c r="C2580" s="1087" t="s">
        <v>1788</v>
      </c>
      <c r="D2580" s="1088">
        <v>96.13</v>
      </c>
      <c r="E2580" s="1089" t="s">
        <v>5308</v>
      </c>
      <c r="F2580" s="1081">
        <f t="shared" si="1"/>
        <v>0</v>
      </c>
      <c r="G2580" s="1083">
        <f t="shared" si="2"/>
        <v>96.13</v>
      </c>
      <c r="H2580" s="1084"/>
    </row>
    <row r="2581" ht="14.25" customHeight="1">
      <c r="A2581" s="1085">
        <v>746.0</v>
      </c>
      <c r="B2581" s="1086" t="s">
        <v>7893</v>
      </c>
      <c r="C2581" s="1087" t="s">
        <v>1788</v>
      </c>
      <c r="D2581" s="1088">
        <v>2404.02</v>
      </c>
      <c r="E2581" s="1089" t="s">
        <v>5482</v>
      </c>
      <c r="F2581" s="1081">
        <f t="shared" si="1"/>
        <v>0</v>
      </c>
      <c r="G2581" s="1083">
        <f t="shared" si="2"/>
        <v>2404.02</v>
      </c>
      <c r="H2581" s="1084"/>
    </row>
    <row r="2582" ht="14.25" customHeight="1">
      <c r="A2582" s="1085">
        <v>20269.0</v>
      </c>
      <c r="B2582" s="1086" t="s">
        <v>7894</v>
      </c>
      <c r="C2582" s="1087" t="s">
        <v>1788</v>
      </c>
      <c r="D2582" s="1088">
        <v>104.73</v>
      </c>
      <c r="E2582" s="1089" t="s">
        <v>5308</v>
      </c>
      <c r="F2582" s="1081">
        <f t="shared" si="1"/>
        <v>0</v>
      </c>
      <c r="G2582" s="1083">
        <f t="shared" si="2"/>
        <v>104.73</v>
      </c>
      <c r="H2582" s="1084"/>
    </row>
    <row r="2583" ht="14.25" customHeight="1">
      <c r="A2583" s="1085">
        <v>20270.0</v>
      </c>
      <c r="B2583" s="1086" t="s">
        <v>7895</v>
      </c>
      <c r="C2583" s="1087" t="s">
        <v>1788</v>
      </c>
      <c r="D2583" s="1088">
        <v>115.72</v>
      </c>
      <c r="E2583" s="1089" t="s">
        <v>5308</v>
      </c>
      <c r="F2583" s="1081">
        <f t="shared" si="1"/>
        <v>0</v>
      </c>
      <c r="G2583" s="1083">
        <f t="shared" si="2"/>
        <v>115.72</v>
      </c>
      <c r="H2583" s="1084"/>
    </row>
    <row r="2584" ht="14.25" customHeight="1">
      <c r="A2584" s="1085">
        <v>11696.0</v>
      </c>
      <c r="B2584" s="1086" t="s">
        <v>7896</v>
      </c>
      <c r="C2584" s="1087" t="s">
        <v>1788</v>
      </c>
      <c r="D2584" s="1088">
        <v>185.24</v>
      </c>
      <c r="E2584" s="1089" t="s">
        <v>5308</v>
      </c>
      <c r="F2584" s="1081">
        <f t="shared" si="1"/>
        <v>0</v>
      </c>
      <c r="G2584" s="1083">
        <f t="shared" si="2"/>
        <v>185.24</v>
      </c>
      <c r="H2584" s="1084"/>
    </row>
    <row r="2585" ht="14.25" customHeight="1">
      <c r="A2585" s="1085">
        <v>10427.0</v>
      </c>
      <c r="B2585" s="1086" t="s">
        <v>7897</v>
      </c>
      <c r="C2585" s="1087" t="s">
        <v>1788</v>
      </c>
      <c r="D2585" s="1088">
        <v>518.39</v>
      </c>
      <c r="E2585" s="1089" t="s">
        <v>5308</v>
      </c>
      <c r="F2585" s="1081">
        <f t="shared" si="1"/>
        <v>0</v>
      </c>
      <c r="G2585" s="1083">
        <f t="shared" si="2"/>
        <v>518.39</v>
      </c>
      <c r="H2585" s="1084"/>
    </row>
    <row r="2586" ht="14.25" customHeight="1">
      <c r="A2586" s="1085">
        <v>10428.0</v>
      </c>
      <c r="B2586" s="1086" t="s">
        <v>7898</v>
      </c>
      <c r="C2586" s="1087" t="s">
        <v>1788</v>
      </c>
      <c r="D2586" s="1088">
        <v>534.1</v>
      </c>
      <c r="E2586" s="1089" t="s">
        <v>5308</v>
      </c>
      <c r="F2586" s="1081">
        <f t="shared" si="1"/>
        <v>0</v>
      </c>
      <c r="G2586" s="1083">
        <f t="shared" si="2"/>
        <v>534.1</v>
      </c>
      <c r="H2586" s="1084"/>
    </row>
    <row r="2587" ht="14.25" customHeight="1">
      <c r="A2587" s="1085">
        <v>36521.0</v>
      </c>
      <c r="B2587" s="1086" t="s">
        <v>7899</v>
      </c>
      <c r="C2587" s="1087" t="s">
        <v>1788</v>
      </c>
      <c r="D2587" s="1088">
        <v>166.65</v>
      </c>
      <c r="E2587" s="1089" t="s">
        <v>5308</v>
      </c>
      <c r="F2587" s="1081">
        <f t="shared" si="1"/>
        <v>0</v>
      </c>
      <c r="G2587" s="1083">
        <f t="shared" si="2"/>
        <v>166.65</v>
      </c>
      <c r="H2587" s="1084"/>
    </row>
    <row r="2588" ht="14.25" customHeight="1">
      <c r="A2588" s="1085">
        <v>36794.0</v>
      </c>
      <c r="B2588" s="1086" t="s">
        <v>7900</v>
      </c>
      <c r="C2588" s="1087" t="s">
        <v>1788</v>
      </c>
      <c r="D2588" s="1088">
        <v>177.41</v>
      </c>
      <c r="E2588" s="1089" t="s">
        <v>5308</v>
      </c>
      <c r="F2588" s="1081">
        <f t="shared" si="1"/>
        <v>0</v>
      </c>
      <c r="G2588" s="1083">
        <f t="shared" si="2"/>
        <v>177.41</v>
      </c>
      <c r="H2588" s="1084"/>
    </row>
    <row r="2589" ht="14.25" customHeight="1">
      <c r="A2589" s="1085">
        <v>10426.0</v>
      </c>
      <c r="B2589" s="1086" t="s">
        <v>7901</v>
      </c>
      <c r="C2589" s="1087" t="s">
        <v>1788</v>
      </c>
      <c r="D2589" s="1088">
        <v>198.66</v>
      </c>
      <c r="E2589" s="1089" t="s">
        <v>5308</v>
      </c>
      <c r="F2589" s="1081">
        <f t="shared" si="1"/>
        <v>0</v>
      </c>
      <c r="G2589" s="1083">
        <f t="shared" si="2"/>
        <v>198.66</v>
      </c>
      <c r="H2589" s="1084"/>
    </row>
    <row r="2590" ht="14.25" customHeight="1">
      <c r="A2590" s="1085">
        <v>10425.0</v>
      </c>
      <c r="B2590" s="1086" t="s">
        <v>7902</v>
      </c>
      <c r="C2590" s="1087" t="s">
        <v>1788</v>
      </c>
      <c r="D2590" s="1088">
        <v>100.78</v>
      </c>
      <c r="E2590" s="1089" t="s">
        <v>5308</v>
      </c>
      <c r="F2590" s="1081">
        <f t="shared" si="1"/>
        <v>0</v>
      </c>
      <c r="G2590" s="1083">
        <f t="shared" si="2"/>
        <v>100.78</v>
      </c>
      <c r="H2590" s="1084"/>
    </row>
    <row r="2591" ht="14.25" customHeight="1">
      <c r="A2591" s="1085">
        <v>10431.0</v>
      </c>
      <c r="B2591" s="1086" t="s">
        <v>7903</v>
      </c>
      <c r="C2591" s="1087" t="s">
        <v>1788</v>
      </c>
      <c r="D2591" s="1088">
        <v>345.05</v>
      </c>
      <c r="E2591" s="1089" t="s">
        <v>5308</v>
      </c>
      <c r="F2591" s="1081">
        <f t="shared" si="1"/>
        <v>0</v>
      </c>
      <c r="G2591" s="1083">
        <f t="shared" si="2"/>
        <v>345.05</v>
      </c>
      <c r="H2591" s="1084"/>
    </row>
    <row r="2592" ht="14.25" customHeight="1">
      <c r="A2592" s="1085">
        <v>10429.0</v>
      </c>
      <c r="B2592" s="1086" t="s">
        <v>7904</v>
      </c>
      <c r="C2592" s="1087" t="s">
        <v>1788</v>
      </c>
      <c r="D2592" s="1088">
        <v>170.22</v>
      </c>
      <c r="E2592" s="1089" t="s">
        <v>5308</v>
      </c>
      <c r="F2592" s="1081">
        <f t="shared" si="1"/>
        <v>0</v>
      </c>
      <c r="G2592" s="1083">
        <f t="shared" si="2"/>
        <v>170.22</v>
      </c>
      <c r="H2592" s="1084"/>
    </row>
    <row r="2593" ht="14.25" customHeight="1">
      <c r="A2593" s="1085">
        <v>2354.0</v>
      </c>
      <c r="B2593" s="1086" t="s">
        <v>7905</v>
      </c>
      <c r="C2593" s="1087" t="s">
        <v>1470</v>
      </c>
      <c r="D2593" s="1088">
        <v>16.78</v>
      </c>
      <c r="E2593" s="1089" t="s">
        <v>5452</v>
      </c>
      <c r="F2593" s="1081">
        <f t="shared" si="1"/>
        <v>16.78</v>
      </c>
      <c r="G2593" s="1083">
        <f t="shared" si="2"/>
        <v>0</v>
      </c>
      <c r="H2593" s="1084"/>
    </row>
    <row r="2594" ht="14.25" customHeight="1">
      <c r="A2594" s="1085">
        <v>40932.0</v>
      </c>
      <c r="B2594" s="1086" t="s">
        <v>7906</v>
      </c>
      <c r="C2594" s="1087" t="s">
        <v>5454</v>
      </c>
      <c r="D2594" s="1088">
        <v>2937.66</v>
      </c>
      <c r="E2594" s="1089" t="s">
        <v>5452</v>
      </c>
      <c r="F2594" s="1081">
        <f t="shared" si="1"/>
        <v>2937.66</v>
      </c>
      <c r="G2594" s="1083">
        <f t="shared" si="2"/>
        <v>0</v>
      </c>
      <c r="H2594" s="1084"/>
    </row>
    <row r="2595" ht="14.25" customHeight="1">
      <c r="A2595" s="1085">
        <v>10853.0</v>
      </c>
      <c r="B2595" s="1086" t="s">
        <v>7907</v>
      </c>
      <c r="C2595" s="1087" t="s">
        <v>1788</v>
      </c>
      <c r="D2595" s="1088">
        <v>121.99</v>
      </c>
      <c r="E2595" s="1089" t="s">
        <v>5308</v>
      </c>
      <c r="F2595" s="1081">
        <f t="shared" si="1"/>
        <v>0</v>
      </c>
      <c r="G2595" s="1083">
        <f t="shared" si="2"/>
        <v>121.99</v>
      </c>
      <c r="H2595" s="1084"/>
    </row>
    <row r="2596" ht="14.25" customHeight="1">
      <c r="A2596" s="1085">
        <v>5093.0</v>
      </c>
      <c r="B2596" s="1086" t="s">
        <v>7908</v>
      </c>
      <c r="C2596" s="1087" t="s">
        <v>5728</v>
      </c>
      <c r="D2596" s="1088">
        <v>17.36</v>
      </c>
      <c r="E2596" s="1089" t="s">
        <v>5308</v>
      </c>
      <c r="F2596" s="1081">
        <f t="shared" si="1"/>
        <v>0</v>
      </c>
      <c r="G2596" s="1083">
        <f t="shared" si="2"/>
        <v>17.36</v>
      </c>
      <c r="H2596" s="1084"/>
    </row>
    <row r="2597" ht="14.25" customHeight="1">
      <c r="A2597" s="1085">
        <v>44331.0</v>
      </c>
      <c r="B2597" s="1086" t="s">
        <v>7909</v>
      </c>
      <c r="C2597" s="1087" t="s">
        <v>2386</v>
      </c>
      <c r="D2597" s="1088">
        <v>55.65</v>
      </c>
      <c r="E2597" s="1089" t="s">
        <v>5308</v>
      </c>
      <c r="F2597" s="1081">
        <f t="shared" si="1"/>
        <v>0</v>
      </c>
      <c r="G2597" s="1083">
        <f t="shared" si="2"/>
        <v>55.65</v>
      </c>
      <c r="H2597" s="1084"/>
    </row>
    <row r="2598" ht="14.25" customHeight="1">
      <c r="A2598" s="1085">
        <v>37768.0</v>
      </c>
      <c r="B2598" s="1086" t="s">
        <v>7910</v>
      </c>
      <c r="C2598" s="1087" t="s">
        <v>1788</v>
      </c>
      <c r="D2598" s="1088">
        <v>235000.0</v>
      </c>
      <c r="E2598" s="1089" t="s">
        <v>5482</v>
      </c>
      <c r="F2598" s="1081">
        <f t="shared" si="1"/>
        <v>0</v>
      </c>
      <c r="G2598" s="1083">
        <f t="shared" si="2"/>
        <v>235000</v>
      </c>
      <c r="H2598" s="1084"/>
    </row>
    <row r="2599" ht="14.25" customHeight="1">
      <c r="A2599" s="1085">
        <v>37773.0</v>
      </c>
      <c r="B2599" s="1086" t="s">
        <v>7911</v>
      </c>
      <c r="C2599" s="1087" t="s">
        <v>1788</v>
      </c>
      <c r="D2599" s="1088">
        <v>199554.62</v>
      </c>
      <c r="E2599" s="1089" t="s">
        <v>5482</v>
      </c>
      <c r="F2599" s="1081">
        <f t="shared" si="1"/>
        <v>0</v>
      </c>
      <c r="G2599" s="1083">
        <f t="shared" si="2"/>
        <v>199554.62</v>
      </c>
      <c r="H2599" s="1084"/>
    </row>
    <row r="2600" ht="14.25" customHeight="1">
      <c r="A2600" s="1085">
        <v>37769.0</v>
      </c>
      <c r="B2600" s="1086" t="s">
        <v>7912</v>
      </c>
      <c r="C2600" s="1087" t="s">
        <v>1788</v>
      </c>
      <c r="D2600" s="1088">
        <v>334079.57</v>
      </c>
      <c r="E2600" s="1089" t="s">
        <v>5482</v>
      </c>
      <c r="F2600" s="1081">
        <f t="shared" si="1"/>
        <v>0</v>
      </c>
      <c r="G2600" s="1083">
        <f t="shared" si="2"/>
        <v>334079.57</v>
      </c>
      <c r="H2600" s="1084"/>
    </row>
    <row r="2601" ht="14.25" customHeight="1">
      <c r="A2601" s="1085">
        <v>37770.0</v>
      </c>
      <c r="B2601" s="1086" t="s">
        <v>7913</v>
      </c>
      <c r="C2601" s="1087" t="s">
        <v>1788</v>
      </c>
      <c r="D2601" s="1088">
        <v>566986.33</v>
      </c>
      <c r="E2601" s="1089" t="s">
        <v>5482</v>
      </c>
      <c r="F2601" s="1081">
        <f t="shared" si="1"/>
        <v>0</v>
      </c>
      <c r="G2601" s="1083">
        <f t="shared" si="2"/>
        <v>566986.33</v>
      </c>
      <c r="H2601" s="1084"/>
    </row>
    <row r="2602" ht="14.25" customHeight="1">
      <c r="A2602" s="1085">
        <v>38382.0</v>
      </c>
      <c r="B2602" s="1086" t="s">
        <v>7914</v>
      </c>
      <c r="C2602" s="1087" t="s">
        <v>1788</v>
      </c>
      <c r="D2602" s="1088">
        <v>11.37</v>
      </c>
      <c r="E2602" s="1089" t="s">
        <v>5308</v>
      </c>
      <c r="F2602" s="1081">
        <f t="shared" si="1"/>
        <v>0</v>
      </c>
      <c r="G2602" s="1083">
        <f t="shared" si="2"/>
        <v>11.37</v>
      </c>
      <c r="H2602" s="1084"/>
    </row>
    <row r="2603" ht="14.25" customHeight="1">
      <c r="A2603" s="1085">
        <v>38383.0</v>
      </c>
      <c r="B2603" s="1086" t="s">
        <v>7915</v>
      </c>
      <c r="C2603" s="1087" t="s">
        <v>1788</v>
      </c>
      <c r="D2603" s="1088">
        <v>2.13</v>
      </c>
      <c r="E2603" s="1089" t="s">
        <v>5308</v>
      </c>
      <c r="F2603" s="1081">
        <f t="shared" si="1"/>
        <v>0</v>
      </c>
      <c r="G2603" s="1083">
        <f t="shared" si="2"/>
        <v>2.13</v>
      </c>
      <c r="H2603" s="1084"/>
    </row>
    <row r="2604" ht="14.25" customHeight="1">
      <c r="A2604" s="1085">
        <v>3768.0</v>
      </c>
      <c r="B2604" s="1086" t="s">
        <v>7916</v>
      </c>
      <c r="C2604" s="1087" t="s">
        <v>1788</v>
      </c>
      <c r="D2604" s="1088">
        <v>4.96</v>
      </c>
      <c r="E2604" s="1089" t="s">
        <v>5308</v>
      </c>
      <c r="F2604" s="1081">
        <f t="shared" si="1"/>
        <v>0</v>
      </c>
      <c r="G2604" s="1083">
        <f t="shared" si="2"/>
        <v>4.96</v>
      </c>
      <c r="H2604" s="1084"/>
    </row>
    <row r="2605" ht="14.25" customHeight="1">
      <c r="A2605" s="1085">
        <v>3767.0</v>
      </c>
      <c r="B2605" s="1086" t="s">
        <v>7917</v>
      </c>
      <c r="C2605" s="1087" t="s">
        <v>1788</v>
      </c>
      <c r="D2605" s="1088">
        <v>1.66</v>
      </c>
      <c r="E2605" s="1089" t="s">
        <v>5308</v>
      </c>
      <c r="F2605" s="1081">
        <f t="shared" si="1"/>
        <v>0</v>
      </c>
      <c r="G2605" s="1083">
        <f t="shared" si="2"/>
        <v>1.66</v>
      </c>
      <c r="H2605" s="1084"/>
    </row>
    <row r="2606" ht="14.25" customHeight="1">
      <c r="A2606" s="1085">
        <v>13192.0</v>
      </c>
      <c r="B2606" s="1086" t="s">
        <v>7918</v>
      </c>
      <c r="C2606" s="1087" t="s">
        <v>1788</v>
      </c>
      <c r="D2606" s="1088">
        <v>6070.05</v>
      </c>
      <c r="E2606" s="1089" t="s">
        <v>5482</v>
      </c>
      <c r="F2606" s="1081">
        <f t="shared" si="1"/>
        <v>0</v>
      </c>
      <c r="G2606" s="1083">
        <f t="shared" si="2"/>
        <v>6070.05</v>
      </c>
      <c r="H2606" s="1084"/>
    </row>
    <row r="2607" ht="14.25" customHeight="1">
      <c r="A2607" s="1085">
        <v>38413.0</v>
      </c>
      <c r="B2607" s="1086" t="s">
        <v>7919</v>
      </c>
      <c r="C2607" s="1087" t="s">
        <v>1788</v>
      </c>
      <c r="D2607" s="1088">
        <v>1003.9</v>
      </c>
      <c r="E2607" s="1089" t="s">
        <v>5482</v>
      </c>
      <c r="F2607" s="1081">
        <f t="shared" si="1"/>
        <v>0</v>
      </c>
      <c r="G2607" s="1083">
        <f t="shared" si="2"/>
        <v>1003.9</v>
      </c>
      <c r="H2607" s="1084"/>
    </row>
    <row r="2608" ht="14.25" customHeight="1">
      <c r="A2608" s="1085">
        <v>42440.0</v>
      </c>
      <c r="B2608" s="1086" t="s">
        <v>7920</v>
      </c>
      <c r="C2608" s="1087" t="s">
        <v>1788</v>
      </c>
      <c r="D2608" s="1088">
        <v>1235.91</v>
      </c>
      <c r="E2608" s="1089" t="s">
        <v>5308</v>
      </c>
      <c r="F2608" s="1081">
        <f t="shared" si="1"/>
        <v>0</v>
      </c>
      <c r="G2608" s="1083">
        <f t="shared" si="2"/>
        <v>1235.91</v>
      </c>
      <c r="H2608" s="1084"/>
    </row>
    <row r="2609" ht="14.25" customHeight="1">
      <c r="A2609" s="1085">
        <v>20193.0</v>
      </c>
      <c r="B2609" s="1086" t="s">
        <v>7921</v>
      </c>
      <c r="C2609" s="1087" t="s">
        <v>7922</v>
      </c>
      <c r="D2609" s="1088">
        <v>15.0</v>
      </c>
      <c r="E2609" s="1089" t="s">
        <v>7923</v>
      </c>
      <c r="F2609" s="1081">
        <f t="shared" si="1"/>
        <v>0</v>
      </c>
      <c r="G2609" s="1083">
        <f t="shared" si="2"/>
        <v>15</v>
      </c>
      <c r="H2609" s="1084"/>
    </row>
    <row r="2610" ht="14.25" customHeight="1">
      <c r="A2610" s="1085">
        <v>10527.0</v>
      </c>
      <c r="B2610" s="1086" t="s">
        <v>7924</v>
      </c>
      <c r="C2610" s="1087" t="s">
        <v>7925</v>
      </c>
      <c r="D2610" s="1088">
        <v>20.0</v>
      </c>
      <c r="E2610" s="1089" t="s">
        <v>7923</v>
      </c>
      <c r="F2610" s="1081">
        <f t="shared" si="1"/>
        <v>0</v>
      </c>
      <c r="G2610" s="1083">
        <f t="shared" si="2"/>
        <v>20</v>
      </c>
      <c r="H2610" s="1084"/>
    </row>
    <row r="2611" ht="14.25" customHeight="1">
      <c r="A2611" s="1085">
        <v>41805.0</v>
      </c>
      <c r="B2611" s="1086" t="s">
        <v>7926</v>
      </c>
      <c r="C2611" s="1087" t="s">
        <v>5454</v>
      </c>
      <c r="D2611" s="1088">
        <v>575.0</v>
      </c>
      <c r="E2611" s="1089" t="s">
        <v>7923</v>
      </c>
      <c r="F2611" s="1081">
        <f t="shared" si="1"/>
        <v>0</v>
      </c>
      <c r="G2611" s="1083">
        <f t="shared" si="2"/>
        <v>575</v>
      </c>
      <c r="H2611" s="1084"/>
    </row>
    <row r="2612" ht="14.25" customHeight="1">
      <c r="A2612" s="1085">
        <v>40271.0</v>
      </c>
      <c r="B2612" s="1086" t="s">
        <v>7927</v>
      </c>
      <c r="C2612" s="1087" t="s">
        <v>5454</v>
      </c>
      <c r="D2612" s="1088">
        <v>15.31</v>
      </c>
      <c r="E2612" s="1089" t="s">
        <v>7923</v>
      </c>
      <c r="F2612" s="1081">
        <f t="shared" si="1"/>
        <v>0</v>
      </c>
      <c r="G2612" s="1083">
        <f t="shared" si="2"/>
        <v>15.31</v>
      </c>
      <c r="H2612" s="1084"/>
    </row>
    <row r="2613" ht="14.25" customHeight="1">
      <c r="A2613" s="1085">
        <v>40287.0</v>
      </c>
      <c r="B2613" s="1086" t="s">
        <v>7928</v>
      </c>
      <c r="C2613" s="1087" t="s">
        <v>5454</v>
      </c>
      <c r="D2613" s="1088">
        <v>5.89</v>
      </c>
      <c r="E2613" s="1089" t="s">
        <v>7923</v>
      </c>
      <c r="F2613" s="1081">
        <f t="shared" si="1"/>
        <v>0</v>
      </c>
      <c r="G2613" s="1083">
        <f t="shared" si="2"/>
        <v>5.89</v>
      </c>
      <c r="H2613" s="1084"/>
    </row>
    <row r="2614" ht="14.25" customHeight="1">
      <c r="A2614" s="1085">
        <v>4084.0</v>
      </c>
      <c r="B2614" s="1086" t="s">
        <v>7929</v>
      </c>
      <c r="C2614" s="1087" t="s">
        <v>1470</v>
      </c>
      <c r="D2614" s="1088">
        <v>1.6</v>
      </c>
      <c r="E2614" s="1089" t="s">
        <v>7923</v>
      </c>
      <c r="F2614" s="1081">
        <f t="shared" si="1"/>
        <v>0</v>
      </c>
      <c r="G2614" s="1083">
        <f t="shared" si="2"/>
        <v>1.6</v>
      </c>
      <c r="H2614" s="1084"/>
    </row>
    <row r="2615" ht="14.25" customHeight="1">
      <c r="A2615" s="1085">
        <v>743.0</v>
      </c>
      <c r="B2615" s="1086" t="s">
        <v>7930</v>
      </c>
      <c r="C2615" s="1087" t="s">
        <v>1470</v>
      </c>
      <c r="D2615" s="1088">
        <v>1.6</v>
      </c>
      <c r="E2615" s="1089" t="s">
        <v>7923</v>
      </c>
      <c r="F2615" s="1081">
        <f t="shared" si="1"/>
        <v>0</v>
      </c>
      <c r="G2615" s="1083">
        <f t="shared" si="2"/>
        <v>1.6</v>
      </c>
      <c r="H2615" s="1084"/>
    </row>
    <row r="2616" ht="14.25" customHeight="1">
      <c r="A2616" s="1085">
        <v>40293.0</v>
      </c>
      <c r="B2616" s="1086" t="s">
        <v>7931</v>
      </c>
      <c r="C2616" s="1087" t="s">
        <v>1470</v>
      </c>
      <c r="D2616" s="1088">
        <v>1.92</v>
      </c>
      <c r="E2616" s="1089" t="s">
        <v>7923</v>
      </c>
      <c r="F2616" s="1081">
        <f t="shared" si="1"/>
        <v>0</v>
      </c>
      <c r="G2616" s="1083">
        <f t="shared" si="2"/>
        <v>1.92</v>
      </c>
      <c r="H2616" s="1084"/>
    </row>
    <row r="2617" ht="14.25" customHeight="1">
      <c r="A2617" s="1085">
        <v>40294.0</v>
      </c>
      <c r="B2617" s="1086" t="s">
        <v>7932</v>
      </c>
      <c r="C2617" s="1087" t="s">
        <v>1470</v>
      </c>
      <c r="D2617" s="1088">
        <v>1.6</v>
      </c>
      <c r="E2617" s="1089" t="s">
        <v>7923</v>
      </c>
      <c r="F2617" s="1081">
        <f t="shared" si="1"/>
        <v>0</v>
      </c>
      <c r="G2617" s="1083">
        <f t="shared" si="2"/>
        <v>1.6</v>
      </c>
      <c r="H2617" s="1084"/>
    </row>
    <row r="2618" ht="14.25" customHeight="1">
      <c r="A2618" s="1085">
        <v>4085.0</v>
      </c>
      <c r="B2618" s="1086" t="s">
        <v>7933</v>
      </c>
      <c r="C2618" s="1087" t="s">
        <v>1470</v>
      </c>
      <c r="D2618" s="1088">
        <v>2.24</v>
      </c>
      <c r="E2618" s="1089" t="s">
        <v>7923</v>
      </c>
      <c r="F2618" s="1081">
        <f t="shared" si="1"/>
        <v>0</v>
      </c>
      <c r="G2618" s="1083">
        <f t="shared" si="2"/>
        <v>2.24</v>
      </c>
      <c r="H2618" s="1084"/>
    </row>
    <row r="2619" ht="14.25" customHeight="1">
      <c r="A2619" s="1085">
        <v>10779.0</v>
      </c>
      <c r="B2619" s="1086" t="s">
        <v>7934</v>
      </c>
      <c r="C2619" s="1087" t="s">
        <v>5454</v>
      </c>
      <c r="D2619" s="1088">
        <v>918.75</v>
      </c>
      <c r="E2619" s="1089" t="s">
        <v>7923</v>
      </c>
      <c r="F2619" s="1081">
        <f t="shared" si="1"/>
        <v>0</v>
      </c>
      <c r="G2619" s="1083">
        <f t="shared" si="2"/>
        <v>918.75</v>
      </c>
      <c r="H2619" s="1084"/>
    </row>
    <row r="2620" ht="14.25" customHeight="1">
      <c r="A2620" s="1085">
        <v>10777.0</v>
      </c>
      <c r="B2620" s="1086" t="s">
        <v>7935</v>
      </c>
      <c r="C2620" s="1087" t="s">
        <v>5454</v>
      </c>
      <c r="D2620" s="1088">
        <v>834.53</v>
      </c>
      <c r="E2620" s="1089" t="s">
        <v>7923</v>
      </c>
      <c r="F2620" s="1081">
        <f t="shared" si="1"/>
        <v>0</v>
      </c>
      <c r="G2620" s="1083">
        <f t="shared" si="2"/>
        <v>834.53</v>
      </c>
      <c r="H2620" s="1084"/>
    </row>
    <row r="2621" ht="14.25" customHeight="1">
      <c r="A2621" s="1085">
        <v>10775.0</v>
      </c>
      <c r="B2621" s="1086" t="s">
        <v>7936</v>
      </c>
      <c r="C2621" s="1087" t="s">
        <v>5454</v>
      </c>
      <c r="D2621" s="1088">
        <v>735.0</v>
      </c>
      <c r="E2621" s="1089" t="s">
        <v>7923</v>
      </c>
      <c r="F2621" s="1081">
        <f t="shared" si="1"/>
        <v>0</v>
      </c>
      <c r="G2621" s="1083">
        <f t="shared" si="2"/>
        <v>735</v>
      </c>
      <c r="H2621" s="1084"/>
    </row>
    <row r="2622" ht="14.25" customHeight="1">
      <c r="A2622" s="1085">
        <v>10776.0</v>
      </c>
      <c r="B2622" s="1086" t="s">
        <v>7937</v>
      </c>
      <c r="C2622" s="1087" t="s">
        <v>5454</v>
      </c>
      <c r="D2622" s="1088">
        <v>574.21</v>
      </c>
      <c r="E2622" s="1089" t="s">
        <v>7923</v>
      </c>
      <c r="F2622" s="1081">
        <f t="shared" si="1"/>
        <v>0</v>
      </c>
      <c r="G2622" s="1083">
        <f t="shared" si="2"/>
        <v>574.21</v>
      </c>
      <c r="H2622" s="1084"/>
    </row>
    <row r="2623" ht="14.25" customHeight="1">
      <c r="A2623" s="1085">
        <v>10778.0</v>
      </c>
      <c r="B2623" s="1086" t="s">
        <v>7938</v>
      </c>
      <c r="C2623" s="1087" t="s">
        <v>5454</v>
      </c>
      <c r="D2623" s="1088">
        <v>918.75</v>
      </c>
      <c r="E2623" s="1089" t="s">
        <v>7923</v>
      </c>
      <c r="F2623" s="1081">
        <f t="shared" si="1"/>
        <v>0</v>
      </c>
      <c r="G2623" s="1083">
        <f t="shared" si="2"/>
        <v>918.75</v>
      </c>
      <c r="H2623" s="1084"/>
    </row>
    <row r="2624" ht="14.25" customHeight="1">
      <c r="A2624" s="1085">
        <v>40339.0</v>
      </c>
      <c r="B2624" s="1086" t="s">
        <v>7939</v>
      </c>
      <c r="C2624" s="1087" t="s">
        <v>5454</v>
      </c>
      <c r="D2624" s="1088">
        <v>5.37</v>
      </c>
      <c r="E2624" s="1089" t="s">
        <v>7923</v>
      </c>
      <c r="F2624" s="1081">
        <f t="shared" si="1"/>
        <v>0</v>
      </c>
      <c r="G2624" s="1083">
        <f t="shared" si="2"/>
        <v>5.37</v>
      </c>
      <c r="H2624" s="1084"/>
    </row>
    <row r="2625" ht="14.25" customHeight="1">
      <c r="A2625" s="1085">
        <v>10749.0</v>
      </c>
      <c r="B2625" s="1086" t="s">
        <v>7940</v>
      </c>
      <c r="C2625" s="1087" t="s">
        <v>5454</v>
      </c>
      <c r="D2625" s="1088">
        <v>17.75</v>
      </c>
      <c r="E2625" s="1089" t="s">
        <v>7923</v>
      </c>
      <c r="F2625" s="1081">
        <f t="shared" si="1"/>
        <v>0</v>
      </c>
      <c r="G2625" s="1083">
        <f t="shared" si="2"/>
        <v>17.75</v>
      </c>
      <c r="H2625" s="1084"/>
    </row>
    <row r="2626" ht="14.25" customHeight="1">
      <c r="A2626" s="1085">
        <v>40290.0</v>
      </c>
      <c r="B2626" s="1086" t="s">
        <v>7941</v>
      </c>
      <c r="C2626" s="1087" t="s">
        <v>7942</v>
      </c>
      <c r="D2626" s="1088">
        <v>9.6</v>
      </c>
      <c r="E2626" s="1089" t="s">
        <v>7923</v>
      </c>
      <c r="F2626" s="1081">
        <f t="shared" si="1"/>
        <v>0</v>
      </c>
      <c r="G2626" s="1083">
        <f t="shared" si="2"/>
        <v>9.6</v>
      </c>
      <c r="H2626" s="1084"/>
    </row>
    <row r="2627" ht="14.25" customHeight="1">
      <c r="A2627" s="1085">
        <v>3346.0</v>
      </c>
      <c r="B2627" s="1086" t="s">
        <v>7943</v>
      </c>
      <c r="C2627" s="1087" t="s">
        <v>1470</v>
      </c>
      <c r="D2627" s="1088">
        <v>17.33</v>
      </c>
      <c r="E2627" s="1089" t="s">
        <v>7923</v>
      </c>
      <c r="F2627" s="1081">
        <f t="shared" si="1"/>
        <v>0</v>
      </c>
      <c r="G2627" s="1083">
        <f t="shared" si="2"/>
        <v>17.33</v>
      </c>
      <c r="H2627" s="1084"/>
    </row>
    <row r="2628" ht="14.25" customHeight="1">
      <c r="A2628" s="1085">
        <v>3348.0</v>
      </c>
      <c r="B2628" s="1086" t="s">
        <v>7944</v>
      </c>
      <c r="C2628" s="1087" t="s">
        <v>1470</v>
      </c>
      <c r="D2628" s="1088">
        <v>20.73</v>
      </c>
      <c r="E2628" s="1089" t="s">
        <v>7923</v>
      </c>
      <c r="F2628" s="1081">
        <f t="shared" si="1"/>
        <v>0</v>
      </c>
      <c r="G2628" s="1083">
        <f t="shared" si="2"/>
        <v>20.73</v>
      </c>
      <c r="H2628" s="1084"/>
    </row>
    <row r="2629" ht="14.25" customHeight="1">
      <c r="A2629" s="1085">
        <v>39833.0</v>
      </c>
      <c r="B2629" s="1086" t="s">
        <v>7945</v>
      </c>
      <c r="C2629" s="1087" t="s">
        <v>1470</v>
      </c>
      <c r="D2629" s="1088">
        <v>28.39</v>
      </c>
      <c r="E2629" s="1089" t="s">
        <v>7923</v>
      </c>
      <c r="F2629" s="1081">
        <f t="shared" si="1"/>
        <v>0</v>
      </c>
      <c r="G2629" s="1083">
        <f t="shared" si="2"/>
        <v>28.39</v>
      </c>
      <c r="H2629" s="1084"/>
    </row>
    <row r="2630" ht="14.25" customHeight="1">
      <c r="A2630" s="1085">
        <v>7252.0</v>
      </c>
      <c r="B2630" s="1086" t="s">
        <v>7946</v>
      </c>
      <c r="C2630" s="1087" t="s">
        <v>1470</v>
      </c>
      <c r="D2630" s="1088">
        <v>2.25</v>
      </c>
      <c r="E2630" s="1089" t="s">
        <v>7923</v>
      </c>
      <c r="F2630" s="1081">
        <f t="shared" si="1"/>
        <v>0</v>
      </c>
      <c r="G2630" s="1083">
        <f t="shared" si="2"/>
        <v>2.25</v>
      </c>
      <c r="H2630" s="1084"/>
    </row>
    <row r="2631" ht="14.25" customHeight="1">
      <c r="A2631" s="1085">
        <v>7247.0</v>
      </c>
      <c r="B2631" s="1086" t="s">
        <v>7947</v>
      </c>
      <c r="C2631" s="1087" t="s">
        <v>1470</v>
      </c>
      <c r="D2631" s="1088">
        <v>2.25</v>
      </c>
      <c r="E2631" s="1089" t="s">
        <v>7923</v>
      </c>
      <c r="F2631" s="1081">
        <f t="shared" si="1"/>
        <v>0</v>
      </c>
      <c r="G2631" s="1083">
        <f t="shared" si="2"/>
        <v>2.25</v>
      </c>
      <c r="H2631" s="1084"/>
    </row>
    <row r="2632" ht="14.25" customHeight="1">
      <c r="A2632" s="1085">
        <v>40291.0</v>
      </c>
      <c r="B2632" s="1086" t="s">
        <v>7948</v>
      </c>
      <c r="C2632" s="1087" t="s">
        <v>5454</v>
      </c>
      <c r="D2632" s="1088">
        <v>500.0</v>
      </c>
      <c r="E2632" s="1089" t="s">
        <v>7923</v>
      </c>
      <c r="F2632" s="1081">
        <f t="shared" si="1"/>
        <v>0</v>
      </c>
      <c r="G2632" s="1083">
        <f t="shared" si="2"/>
        <v>500</v>
      </c>
      <c r="H2632" s="1084"/>
    </row>
    <row r="2633" ht="14.25" customHeight="1">
      <c r="A2633" s="1085">
        <v>40275.0</v>
      </c>
      <c r="B2633" s="1086" t="s">
        <v>7949</v>
      </c>
      <c r="C2633" s="1087" t="s">
        <v>5454</v>
      </c>
      <c r="D2633" s="1088">
        <v>16.0</v>
      </c>
      <c r="E2633" s="1089" t="s">
        <v>7923</v>
      </c>
      <c r="F2633" s="1081">
        <f t="shared" si="1"/>
        <v>0</v>
      </c>
      <c r="G2633" s="1083">
        <f t="shared" si="2"/>
        <v>16</v>
      </c>
      <c r="H2633" s="1084"/>
    </row>
    <row r="2634" ht="14.25" customHeight="1">
      <c r="A2634" s="1085">
        <v>42408.0</v>
      </c>
      <c r="B2634" s="1086" t="s">
        <v>7950</v>
      </c>
      <c r="C2634" s="1087" t="s">
        <v>1814</v>
      </c>
      <c r="D2634" s="1088">
        <v>2.24</v>
      </c>
      <c r="E2634" s="1089" t="s">
        <v>5308</v>
      </c>
      <c r="F2634" s="1081">
        <f t="shared" si="1"/>
        <v>0</v>
      </c>
      <c r="G2634" s="1083">
        <f t="shared" si="2"/>
        <v>2.24</v>
      </c>
      <c r="H2634" s="1084"/>
    </row>
    <row r="2635" ht="14.25" customHeight="1">
      <c r="A2635" s="1085">
        <v>3777.0</v>
      </c>
      <c r="B2635" s="1086" t="s">
        <v>7951</v>
      </c>
      <c r="C2635" s="1087" t="s">
        <v>1814</v>
      </c>
      <c r="D2635" s="1088">
        <v>1.62</v>
      </c>
      <c r="E2635" s="1089" t="s">
        <v>5308</v>
      </c>
      <c r="F2635" s="1081">
        <f t="shared" si="1"/>
        <v>0</v>
      </c>
      <c r="G2635" s="1083">
        <f t="shared" si="2"/>
        <v>1.62</v>
      </c>
      <c r="H2635" s="1084"/>
    </row>
    <row r="2636" ht="14.25" customHeight="1">
      <c r="A2636" s="1085">
        <v>3798.0</v>
      </c>
      <c r="B2636" s="1086" t="s">
        <v>7952</v>
      </c>
      <c r="C2636" s="1087" t="s">
        <v>1788</v>
      </c>
      <c r="D2636" s="1088">
        <v>80.81</v>
      </c>
      <c r="E2636" s="1089" t="s">
        <v>5308</v>
      </c>
      <c r="F2636" s="1081">
        <f t="shared" si="1"/>
        <v>0</v>
      </c>
      <c r="G2636" s="1083">
        <f t="shared" si="2"/>
        <v>80.81</v>
      </c>
      <c r="H2636" s="1084"/>
    </row>
    <row r="2637" ht="14.25" customHeight="1">
      <c r="A2637" s="1085">
        <v>38769.0</v>
      </c>
      <c r="B2637" s="1086" t="s">
        <v>7953</v>
      </c>
      <c r="C2637" s="1087" t="s">
        <v>1788</v>
      </c>
      <c r="D2637" s="1088">
        <v>63.11</v>
      </c>
      <c r="E2637" s="1089" t="s">
        <v>5308</v>
      </c>
      <c r="F2637" s="1081">
        <f t="shared" si="1"/>
        <v>0</v>
      </c>
      <c r="G2637" s="1083">
        <f t="shared" si="2"/>
        <v>63.11</v>
      </c>
      <c r="H2637" s="1084"/>
    </row>
    <row r="2638" ht="14.25" customHeight="1">
      <c r="A2638" s="1085">
        <v>39510.0</v>
      </c>
      <c r="B2638" s="1086" t="s">
        <v>7954</v>
      </c>
      <c r="C2638" s="1087" t="s">
        <v>1788</v>
      </c>
      <c r="D2638" s="1088">
        <v>255.42</v>
      </c>
      <c r="E2638" s="1089" t="s">
        <v>5308</v>
      </c>
      <c r="F2638" s="1081">
        <f t="shared" si="1"/>
        <v>0</v>
      </c>
      <c r="G2638" s="1083">
        <f t="shared" si="2"/>
        <v>255.42</v>
      </c>
      <c r="H2638" s="1084"/>
    </row>
    <row r="2639" ht="14.25" customHeight="1">
      <c r="A2639" s="1085">
        <v>38776.0</v>
      </c>
      <c r="B2639" s="1086" t="s">
        <v>7955</v>
      </c>
      <c r="C2639" s="1087" t="s">
        <v>1788</v>
      </c>
      <c r="D2639" s="1088">
        <v>271.07</v>
      </c>
      <c r="E2639" s="1089" t="s">
        <v>5308</v>
      </c>
      <c r="F2639" s="1081">
        <f t="shared" si="1"/>
        <v>0</v>
      </c>
      <c r="G2639" s="1083">
        <f t="shared" si="2"/>
        <v>271.07</v>
      </c>
      <c r="H2639" s="1084"/>
    </row>
    <row r="2640" ht="14.25" customHeight="1">
      <c r="A2640" s="1085">
        <v>38774.0</v>
      </c>
      <c r="B2640" s="1086" t="s">
        <v>7956</v>
      </c>
      <c r="C2640" s="1087" t="s">
        <v>1788</v>
      </c>
      <c r="D2640" s="1088">
        <v>18.84</v>
      </c>
      <c r="E2640" s="1089" t="s">
        <v>5308</v>
      </c>
      <c r="F2640" s="1081">
        <f t="shared" si="1"/>
        <v>0</v>
      </c>
      <c r="G2640" s="1083">
        <f t="shared" si="2"/>
        <v>18.84</v>
      </c>
      <c r="H2640" s="1084"/>
    </row>
    <row r="2641" ht="14.25" customHeight="1">
      <c r="A2641" s="1085">
        <v>42247.0</v>
      </c>
      <c r="B2641" s="1086" t="s">
        <v>7957</v>
      </c>
      <c r="C2641" s="1087" t="s">
        <v>1788</v>
      </c>
      <c r="D2641" s="1088">
        <v>643.11</v>
      </c>
      <c r="E2641" s="1089" t="s">
        <v>5308</v>
      </c>
      <c r="F2641" s="1081">
        <f t="shared" si="1"/>
        <v>0</v>
      </c>
      <c r="G2641" s="1083">
        <f t="shared" si="2"/>
        <v>643.11</v>
      </c>
      <c r="H2641" s="1084"/>
    </row>
    <row r="2642" ht="14.25" customHeight="1">
      <c r="A2642" s="1085">
        <v>42248.0</v>
      </c>
      <c r="B2642" s="1086" t="s">
        <v>7958</v>
      </c>
      <c r="C2642" s="1087" t="s">
        <v>1788</v>
      </c>
      <c r="D2642" s="1088">
        <v>747.03</v>
      </c>
      <c r="E2642" s="1089" t="s">
        <v>5308</v>
      </c>
      <c r="F2642" s="1081">
        <f t="shared" si="1"/>
        <v>0</v>
      </c>
      <c r="G2642" s="1083">
        <f t="shared" si="2"/>
        <v>747.03</v>
      </c>
      <c r="H2642" s="1084"/>
    </row>
    <row r="2643" ht="14.25" customHeight="1">
      <c r="A2643" s="1085">
        <v>42249.0</v>
      </c>
      <c r="B2643" s="1086" t="s">
        <v>7959</v>
      </c>
      <c r="C2643" s="1087" t="s">
        <v>1788</v>
      </c>
      <c r="D2643" s="1088">
        <v>1237.56</v>
      </c>
      <c r="E2643" s="1089" t="s">
        <v>5308</v>
      </c>
      <c r="F2643" s="1081">
        <f t="shared" si="1"/>
        <v>0</v>
      </c>
      <c r="G2643" s="1083">
        <f t="shared" si="2"/>
        <v>1237.56</v>
      </c>
      <c r="H2643" s="1084"/>
    </row>
    <row r="2644" ht="14.25" customHeight="1">
      <c r="A2644" s="1085">
        <v>42244.0</v>
      </c>
      <c r="B2644" s="1086" t="s">
        <v>7960</v>
      </c>
      <c r="C2644" s="1087" t="s">
        <v>1788</v>
      </c>
      <c r="D2644" s="1088">
        <v>193.27</v>
      </c>
      <c r="E2644" s="1089" t="s">
        <v>5308</v>
      </c>
      <c r="F2644" s="1081">
        <f t="shared" si="1"/>
        <v>0</v>
      </c>
      <c r="G2644" s="1083">
        <f t="shared" si="2"/>
        <v>193.27</v>
      </c>
      <c r="H2644" s="1084"/>
    </row>
    <row r="2645" ht="14.25" customHeight="1">
      <c r="A2645" s="1085">
        <v>42245.0</v>
      </c>
      <c r="B2645" s="1086" t="s">
        <v>7961</v>
      </c>
      <c r="C2645" s="1087" t="s">
        <v>1788</v>
      </c>
      <c r="D2645" s="1088">
        <v>356.64</v>
      </c>
      <c r="E2645" s="1089" t="s">
        <v>5308</v>
      </c>
      <c r="F2645" s="1081">
        <f t="shared" si="1"/>
        <v>0</v>
      </c>
      <c r="G2645" s="1083">
        <f t="shared" si="2"/>
        <v>356.64</v>
      </c>
      <c r="H2645" s="1084"/>
    </row>
    <row r="2646" ht="14.25" customHeight="1">
      <c r="A2646" s="1085">
        <v>42246.0</v>
      </c>
      <c r="B2646" s="1086" t="s">
        <v>7962</v>
      </c>
      <c r="C2646" s="1087" t="s">
        <v>1788</v>
      </c>
      <c r="D2646" s="1088">
        <v>394.79</v>
      </c>
      <c r="E2646" s="1089" t="s">
        <v>5308</v>
      </c>
      <c r="F2646" s="1081">
        <f t="shared" si="1"/>
        <v>0</v>
      </c>
      <c r="G2646" s="1083">
        <f t="shared" si="2"/>
        <v>394.79</v>
      </c>
      <c r="H2646" s="1084"/>
    </row>
    <row r="2647" ht="14.25" customHeight="1">
      <c r="A2647" s="1085">
        <v>42243.0</v>
      </c>
      <c r="B2647" s="1086" t="s">
        <v>7963</v>
      </c>
      <c r="C2647" s="1087" t="s">
        <v>1788</v>
      </c>
      <c r="D2647" s="1088">
        <v>476.04</v>
      </c>
      <c r="E2647" s="1089" t="s">
        <v>5308</v>
      </c>
      <c r="F2647" s="1081">
        <f t="shared" si="1"/>
        <v>0</v>
      </c>
      <c r="G2647" s="1083">
        <f t="shared" si="2"/>
        <v>476.04</v>
      </c>
      <c r="H2647" s="1084"/>
    </row>
    <row r="2648" ht="14.25" customHeight="1">
      <c r="A2648" s="1085">
        <v>38889.0</v>
      </c>
      <c r="B2648" s="1086" t="s">
        <v>7964</v>
      </c>
      <c r="C2648" s="1087" t="s">
        <v>1788</v>
      </c>
      <c r="D2648" s="1088">
        <v>48.37</v>
      </c>
      <c r="E2648" s="1089" t="s">
        <v>5308</v>
      </c>
      <c r="F2648" s="1081">
        <f t="shared" si="1"/>
        <v>0</v>
      </c>
      <c r="G2648" s="1083">
        <f t="shared" si="2"/>
        <v>48.37</v>
      </c>
      <c r="H2648" s="1084"/>
    </row>
    <row r="2649" ht="14.25" customHeight="1">
      <c r="A2649" s="1085">
        <v>38784.0</v>
      </c>
      <c r="B2649" s="1086" t="s">
        <v>7965</v>
      </c>
      <c r="C2649" s="1087" t="s">
        <v>1788</v>
      </c>
      <c r="D2649" s="1088">
        <v>64.71</v>
      </c>
      <c r="E2649" s="1089" t="s">
        <v>5308</v>
      </c>
      <c r="F2649" s="1081">
        <f t="shared" si="1"/>
        <v>0</v>
      </c>
      <c r="G2649" s="1083">
        <f t="shared" si="2"/>
        <v>64.71</v>
      </c>
      <c r="H2649" s="1084"/>
    </row>
    <row r="2650" ht="14.25" customHeight="1">
      <c r="A2650" s="1085">
        <v>3788.0</v>
      </c>
      <c r="B2650" s="1086" t="s">
        <v>7966</v>
      </c>
      <c r="C2650" s="1087" t="s">
        <v>1788</v>
      </c>
      <c r="D2650" s="1088">
        <v>67.44</v>
      </c>
      <c r="E2650" s="1089" t="s">
        <v>5308</v>
      </c>
      <c r="F2650" s="1081">
        <f t="shared" si="1"/>
        <v>0</v>
      </c>
      <c r="G2650" s="1083">
        <f t="shared" si="2"/>
        <v>67.44</v>
      </c>
      <c r="H2650" s="1084"/>
    </row>
    <row r="2651" ht="14.25" customHeight="1">
      <c r="A2651" s="1085">
        <v>12230.0</v>
      </c>
      <c r="B2651" s="1086" t="s">
        <v>7967</v>
      </c>
      <c r="C2651" s="1087" t="s">
        <v>1788</v>
      </c>
      <c r="D2651" s="1088">
        <v>17.35</v>
      </c>
      <c r="E2651" s="1089" t="s">
        <v>5308</v>
      </c>
      <c r="F2651" s="1081">
        <f t="shared" si="1"/>
        <v>0</v>
      </c>
      <c r="G2651" s="1083">
        <f t="shared" si="2"/>
        <v>17.35</v>
      </c>
      <c r="H2651" s="1084"/>
    </row>
    <row r="2652" ht="14.25" customHeight="1">
      <c r="A2652" s="1085">
        <v>3780.0</v>
      </c>
      <c r="B2652" s="1086" t="s">
        <v>7968</v>
      </c>
      <c r="C2652" s="1087" t="s">
        <v>1788</v>
      </c>
      <c r="D2652" s="1088">
        <v>99.5</v>
      </c>
      <c r="E2652" s="1089" t="s">
        <v>5308</v>
      </c>
      <c r="F2652" s="1081">
        <f t="shared" si="1"/>
        <v>0</v>
      </c>
      <c r="G2652" s="1083">
        <f t="shared" si="2"/>
        <v>99.5</v>
      </c>
      <c r="H2652" s="1084"/>
    </row>
    <row r="2653" ht="14.25" customHeight="1">
      <c r="A2653" s="1085">
        <v>12231.0</v>
      </c>
      <c r="B2653" s="1086" t="s">
        <v>7969</v>
      </c>
      <c r="C2653" s="1087" t="s">
        <v>1788</v>
      </c>
      <c r="D2653" s="1088">
        <v>28.85</v>
      </c>
      <c r="E2653" s="1089" t="s">
        <v>5308</v>
      </c>
      <c r="F2653" s="1081">
        <f t="shared" si="1"/>
        <v>0</v>
      </c>
      <c r="G2653" s="1083">
        <f t="shared" si="2"/>
        <v>28.85</v>
      </c>
      <c r="H2653" s="1084"/>
    </row>
    <row r="2654" ht="14.25" customHeight="1">
      <c r="A2654" s="1085">
        <v>3811.0</v>
      </c>
      <c r="B2654" s="1086" t="s">
        <v>7970</v>
      </c>
      <c r="C2654" s="1087" t="s">
        <v>1788</v>
      </c>
      <c r="D2654" s="1088">
        <v>93.46</v>
      </c>
      <c r="E2654" s="1089" t="s">
        <v>5308</v>
      </c>
      <c r="F2654" s="1081">
        <f t="shared" si="1"/>
        <v>0</v>
      </c>
      <c r="G2654" s="1083">
        <f t="shared" si="2"/>
        <v>93.46</v>
      </c>
      <c r="H2654" s="1084"/>
    </row>
    <row r="2655" ht="14.25" customHeight="1">
      <c r="A2655" s="1085">
        <v>12232.0</v>
      </c>
      <c r="B2655" s="1086" t="s">
        <v>7971</v>
      </c>
      <c r="C2655" s="1087" t="s">
        <v>1788</v>
      </c>
      <c r="D2655" s="1088">
        <v>30.22</v>
      </c>
      <c r="E2655" s="1089" t="s">
        <v>5308</v>
      </c>
      <c r="F2655" s="1081">
        <f t="shared" si="1"/>
        <v>0</v>
      </c>
      <c r="G2655" s="1083">
        <f t="shared" si="2"/>
        <v>30.22</v>
      </c>
      <c r="H2655" s="1084"/>
    </row>
    <row r="2656" ht="14.25" customHeight="1">
      <c r="A2656" s="1085">
        <v>3799.0</v>
      </c>
      <c r="B2656" s="1086" t="s">
        <v>7972</v>
      </c>
      <c r="C2656" s="1087" t="s">
        <v>1788</v>
      </c>
      <c r="D2656" s="1088">
        <v>132.18</v>
      </c>
      <c r="E2656" s="1089" t="s">
        <v>5308</v>
      </c>
      <c r="F2656" s="1081">
        <f t="shared" si="1"/>
        <v>0</v>
      </c>
      <c r="G2656" s="1083">
        <f t="shared" si="2"/>
        <v>132.18</v>
      </c>
      <c r="H2656" s="1084"/>
    </row>
    <row r="2657" ht="14.25" customHeight="1">
      <c r="A2657" s="1085">
        <v>12239.0</v>
      </c>
      <c r="B2657" s="1086" t="s">
        <v>7973</v>
      </c>
      <c r="C2657" s="1087" t="s">
        <v>1788</v>
      </c>
      <c r="D2657" s="1088">
        <v>39.57</v>
      </c>
      <c r="E2657" s="1089" t="s">
        <v>5308</v>
      </c>
      <c r="F2657" s="1081">
        <f t="shared" si="1"/>
        <v>0</v>
      </c>
      <c r="G2657" s="1083">
        <f t="shared" si="2"/>
        <v>39.57</v>
      </c>
      <c r="H2657" s="1084"/>
    </row>
    <row r="2658" ht="14.25" customHeight="1">
      <c r="A2658" s="1085">
        <v>38773.0</v>
      </c>
      <c r="B2658" s="1086" t="s">
        <v>7974</v>
      </c>
      <c r="C2658" s="1087" t="s">
        <v>1788</v>
      </c>
      <c r="D2658" s="1088">
        <v>6.34</v>
      </c>
      <c r="E2658" s="1089" t="s">
        <v>5308</v>
      </c>
      <c r="F2658" s="1081">
        <f t="shared" si="1"/>
        <v>0</v>
      </c>
      <c r="G2658" s="1083">
        <f t="shared" si="2"/>
        <v>6.34</v>
      </c>
      <c r="H2658" s="1084"/>
    </row>
    <row r="2659" ht="14.25" customHeight="1">
      <c r="A2659" s="1085">
        <v>12271.0</v>
      </c>
      <c r="B2659" s="1086" t="s">
        <v>7975</v>
      </c>
      <c r="C2659" s="1087" t="s">
        <v>1788</v>
      </c>
      <c r="D2659" s="1088">
        <v>353.9</v>
      </c>
      <c r="E2659" s="1089" t="s">
        <v>5308</v>
      </c>
      <c r="F2659" s="1081">
        <f t="shared" si="1"/>
        <v>0</v>
      </c>
      <c r="G2659" s="1083">
        <f t="shared" si="2"/>
        <v>353.9</v>
      </c>
      <c r="H2659" s="1084"/>
    </row>
    <row r="2660" ht="14.25" customHeight="1">
      <c r="A2660" s="1085">
        <v>13382.0</v>
      </c>
      <c r="B2660" s="1086" t="s">
        <v>7976</v>
      </c>
      <c r="C2660" s="1087" t="s">
        <v>1788</v>
      </c>
      <c r="D2660" s="1088">
        <v>377.11</v>
      </c>
      <c r="E2660" s="1089" t="s">
        <v>5308</v>
      </c>
      <c r="F2660" s="1081">
        <f t="shared" si="1"/>
        <v>0</v>
      </c>
      <c r="G2660" s="1083">
        <f t="shared" si="2"/>
        <v>377.11</v>
      </c>
      <c r="H2660" s="1084"/>
    </row>
    <row r="2661" ht="14.25" customHeight="1">
      <c r="A2661" s="1085">
        <v>38785.0</v>
      </c>
      <c r="B2661" s="1086" t="s">
        <v>7977</v>
      </c>
      <c r="C2661" s="1087" t="s">
        <v>1788</v>
      </c>
      <c r="D2661" s="1088">
        <v>167.55</v>
      </c>
      <c r="E2661" s="1089" t="s">
        <v>5308</v>
      </c>
      <c r="F2661" s="1081">
        <f t="shared" si="1"/>
        <v>0</v>
      </c>
      <c r="G2661" s="1083">
        <f t="shared" si="2"/>
        <v>167.55</v>
      </c>
      <c r="H2661" s="1084"/>
    </row>
    <row r="2662" ht="14.25" customHeight="1">
      <c r="A2662" s="1085">
        <v>38786.0</v>
      </c>
      <c r="B2662" s="1086" t="s">
        <v>7978</v>
      </c>
      <c r="C2662" s="1087" t="s">
        <v>1788</v>
      </c>
      <c r="D2662" s="1088">
        <v>206.38</v>
      </c>
      <c r="E2662" s="1089" t="s">
        <v>5308</v>
      </c>
      <c r="F2662" s="1081">
        <f t="shared" si="1"/>
        <v>0</v>
      </c>
      <c r="G2662" s="1083">
        <f t="shared" si="2"/>
        <v>206.38</v>
      </c>
      <c r="H2662" s="1084"/>
    </row>
    <row r="2663" ht="14.25" customHeight="1">
      <c r="A2663" s="1085">
        <v>39385.0</v>
      </c>
      <c r="B2663" s="1086" t="s">
        <v>7979</v>
      </c>
      <c r="C2663" s="1087" t="s">
        <v>1788</v>
      </c>
      <c r="D2663" s="1088">
        <v>17.23</v>
      </c>
      <c r="E2663" s="1089" t="s">
        <v>5308</v>
      </c>
      <c r="F2663" s="1081">
        <f t="shared" si="1"/>
        <v>0</v>
      </c>
      <c r="G2663" s="1083">
        <f t="shared" si="2"/>
        <v>17.23</v>
      </c>
      <c r="H2663" s="1084"/>
    </row>
    <row r="2664" ht="14.25" customHeight="1">
      <c r="A2664" s="1085">
        <v>39389.0</v>
      </c>
      <c r="B2664" s="1086" t="s">
        <v>7980</v>
      </c>
      <c r="C2664" s="1087" t="s">
        <v>1788</v>
      </c>
      <c r="D2664" s="1088">
        <v>18.7</v>
      </c>
      <c r="E2664" s="1089" t="s">
        <v>5308</v>
      </c>
      <c r="F2664" s="1081">
        <f t="shared" si="1"/>
        <v>0</v>
      </c>
      <c r="G2664" s="1083">
        <f t="shared" si="2"/>
        <v>18.7</v>
      </c>
      <c r="H2664" s="1084"/>
    </row>
    <row r="2665" ht="14.25" customHeight="1">
      <c r="A2665" s="1085">
        <v>39390.0</v>
      </c>
      <c r="B2665" s="1086" t="s">
        <v>7981</v>
      </c>
      <c r="C2665" s="1087" t="s">
        <v>1788</v>
      </c>
      <c r="D2665" s="1088">
        <v>39.19</v>
      </c>
      <c r="E2665" s="1089" t="s">
        <v>5308</v>
      </c>
      <c r="F2665" s="1081">
        <f t="shared" si="1"/>
        <v>0</v>
      </c>
      <c r="G2665" s="1083">
        <f t="shared" si="2"/>
        <v>39.19</v>
      </c>
      <c r="H2665" s="1084"/>
    </row>
    <row r="2666" ht="14.25" customHeight="1">
      <c r="A2666" s="1085">
        <v>39391.0</v>
      </c>
      <c r="B2666" s="1086" t="s">
        <v>7982</v>
      </c>
      <c r="C2666" s="1087" t="s">
        <v>1788</v>
      </c>
      <c r="D2666" s="1088">
        <v>44.0</v>
      </c>
      <c r="E2666" s="1089" t="s">
        <v>5308</v>
      </c>
      <c r="F2666" s="1081">
        <f t="shared" si="1"/>
        <v>0</v>
      </c>
      <c r="G2666" s="1083">
        <f t="shared" si="2"/>
        <v>44</v>
      </c>
      <c r="H2666" s="1084"/>
    </row>
    <row r="2667" ht="14.25" customHeight="1">
      <c r="A2667" s="1085">
        <v>3803.0</v>
      </c>
      <c r="B2667" s="1086" t="s">
        <v>7983</v>
      </c>
      <c r="C2667" s="1087" t="s">
        <v>1788</v>
      </c>
      <c r="D2667" s="1088">
        <v>59.84</v>
      </c>
      <c r="E2667" s="1089" t="s">
        <v>5308</v>
      </c>
      <c r="F2667" s="1081">
        <f t="shared" si="1"/>
        <v>0</v>
      </c>
      <c r="G2667" s="1083">
        <f t="shared" si="2"/>
        <v>59.84</v>
      </c>
      <c r="H2667" s="1084"/>
    </row>
    <row r="2668" ht="14.25" customHeight="1">
      <c r="A2668" s="1085">
        <v>38770.0</v>
      </c>
      <c r="B2668" s="1086" t="s">
        <v>7984</v>
      </c>
      <c r="C2668" s="1087" t="s">
        <v>1788</v>
      </c>
      <c r="D2668" s="1088">
        <v>69.29</v>
      </c>
      <c r="E2668" s="1089" t="s">
        <v>5308</v>
      </c>
      <c r="F2668" s="1081">
        <f t="shared" si="1"/>
        <v>0</v>
      </c>
      <c r="G2668" s="1083">
        <f t="shared" si="2"/>
        <v>69.29</v>
      </c>
      <c r="H2668" s="1084"/>
    </row>
    <row r="2669" ht="14.25" customHeight="1">
      <c r="A2669" s="1085">
        <v>12267.0</v>
      </c>
      <c r="B2669" s="1086" t="s">
        <v>7985</v>
      </c>
      <c r="C2669" s="1087" t="s">
        <v>1788</v>
      </c>
      <c r="D2669" s="1088">
        <v>203.06</v>
      </c>
      <c r="E2669" s="1089" t="s">
        <v>5308</v>
      </c>
      <c r="F2669" s="1081">
        <f t="shared" si="1"/>
        <v>0</v>
      </c>
      <c r="G2669" s="1083">
        <f t="shared" si="2"/>
        <v>203.06</v>
      </c>
      <c r="H2669" s="1084"/>
    </row>
    <row r="2670" ht="14.25" customHeight="1">
      <c r="A2670" s="1085">
        <v>43265.0</v>
      </c>
      <c r="B2670" s="1086" t="s">
        <v>7986</v>
      </c>
      <c r="C2670" s="1087" t="s">
        <v>1788</v>
      </c>
      <c r="D2670" s="1088">
        <v>53.89</v>
      </c>
      <c r="E2670" s="1089" t="s">
        <v>5308</v>
      </c>
      <c r="F2670" s="1081">
        <f t="shared" si="1"/>
        <v>0</v>
      </c>
      <c r="G2670" s="1083">
        <f t="shared" si="2"/>
        <v>53.89</v>
      </c>
      <c r="H2670" s="1084"/>
    </row>
    <row r="2671" ht="14.25" customHeight="1">
      <c r="A2671" s="1085">
        <v>12266.0</v>
      </c>
      <c r="B2671" s="1086" t="s">
        <v>7987</v>
      </c>
      <c r="C2671" s="1087" t="s">
        <v>1788</v>
      </c>
      <c r="D2671" s="1088">
        <v>103.93</v>
      </c>
      <c r="E2671" s="1089" t="s">
        <v>5308</v>
      </c>
      <c r="F2671" s="1081">
        <f t="shared" si="1"/>
        <v>0</v>
      </c>
      <c r="G2671" s="1083">
        <f t="shared" si="2"/>
        <v>103.93</v>
      </c>
      <c r="H2671" s="1084"/>
    </row>
    <row r="2672" ht="14.25" customHeight="1">
      <c r="A2672" s="1085">
        <v>39378.0</v>
      </c>
      <c r="B2672" s="1086" t="s">
        <v>7988</v>
      </c>
      <c r="C2672" s="1087" t="s">
        <v>1788</v>
      </c>
      <c r="D2672" s="1088">
        <v>73.68</v>
      </c>
      <c r="E2672" s="1089" t="s">
        <v>5308</v>
      </c>
      <c r="F2672" s="1081">
        <f t="shared" si="1"/>
        <v>0</v>
      </c>
      <c r="G2672" s="1083">
        <f t="shared" si="2"/>
        <v>73.68</v>
      </c>
      <c r="H2672" s="1084"/>
    </row>
    <row r="2673" ht="14.25" customHeight="1">
      <c r="A2673" s="1085">
        <v>43543.0</v>
      </c>
      <c r="B2673" s="1086" t="s">
        <v>7989</v>
      </c>
      <c r="C2673" s="1087" t="s">
        <v>1788</v>
      </c>
      <c r="D2673" s="1088">
        <v>153.51</v>
      </c>
      <c r="E2673" s="1089" t="s">
        <v>5308</v>
      </c>
      <c r="F2673" s="1081">
        <f t="shared" si="1"/>
        <v>0</v>
      </c>
      <c r="G2673" s="1083">
        <f t="shared" si="2"/>
        <v>153.51</v>
      </c>
      <c r="H2673" s="1084"/>
    </row>
    <row r="2674" ht="14.25" customHeight="1">
      <c r="A2674" s="1085">
        <v>38775.0</v>
      </c>
      <c r="B2674" s="1086" t="s">
        <v>7990</v>
      </c>
      <c r="C2674" s="1087" t="s">
        <v>1788</v>
      </c>
      <c r="D2674" s="1088">
        <v>78.12</v>
      </c>
      <c r="E2674" s="1089" t="s">
        <v>5308</v>
      </c>
      <c r="F2674" s="1081">
        <f t="shared" si="1"/>
        <v>0</v>
      </c>
      <c r="G2674" s="1083">
        <f t="shared" si="2"/>
        <v>78.12</v>
      </c>
      <c r="H2674" s="1084"/>
    </row>
    <row r="2675" ht="14.25" customHeight="1">
      <c r="A2675" s="1085">
        <v>44252.0</v>
      </c>
      <c r="B2675" s="1086" t="s">
        <v>7991</v>
      </c>
      <c r="C2675" s="1087" t="s">
        <v>1788</v>
      </c>
      <c r="D2675" s="1088">
        <v>187.18</v>
      </c>
      <c r="E2675" s="1089" t="s">
        <v>5308</v>
      </c>
      <c r="F2675" s="1081">
        <f t="shared" si="1"/>
        <v>0</v>
      </c>
      <c r="G2675" s="1083">
        <f t="shared" si="2"/>
        <v>187.18</v>
      </c>
      <c r="H2675" s="1084"/>
    </row>
    <row r="2676" ht="14.25" customHeight="1">
      <c r="A2676" s="1085">
        <v>21119.0</v>
      </c>
      <c r="B2676" s="1086" t="s">
        <v>7992</v>
      </c>
      <c r="C2676" s="1087" t="s">
        <v>1788</v>
      </c>
      <c r="D2676" s="1088">
        <v>1.88</v>
      </c>
      <c r="E2676" s="1089" t="s">
        <v>5308</v>
      </c>
      <c r="F2676" s="1081">
        <f t="shared" si="1"/>
        <v>0</v>
      </c>
      <c r="G2676" s="1083">
        <f t="shared" si="2"/>
        <v>1.88</v>
      </c>
      <c r="H2676" s="1084"/>
    </row>
    <row r="2677" ht="14.25" customHeight="1">
      <c r="A2677" s="1085">
        <v>37974.0</v>
      </c>
      <c r="B2677" s="1086" t="s">
        <v>7993</v>
      </c>
      <c r="C2677" s="1087" t="s">
        <v>1788</v>
      </c>
      <c r="D2677" s="1088">
        <v>2.43</v>
      </c>
      <c r="E2677" s="1089" t="s">
        <v>5308</v>
      </c>
      <c r="F2677" s="1081">
        <f t="shared" si="1"/>
        <v>0</v>
      </c>
      <c r="G2677" s="1083">
        <f t="shared" si="2"/>
        <v>2.43</v>
      </c>
      <c r="H2677" s="1084"/>
    </row>
    <row r="2678" ht="14.25" customHeight="1">
      <c r="A2678" s="1085">
        <v>37975.0</v>
      </c>
      <c r="B2678" s="1086" t="s">
        <v>7994</v>
      </c>
      <c r="C2678" s="1087" t="s">
        <v>1788</v>
      </c>
      <c r="D2678" s="1088">
        <v>5.4</v>
      </c>
      <c r="E2678" s="1089" t="s">
        <v>5308</v>
      </c>
      <c r="F2678" s="1081">
        <f t="shared" si="1"/>
        <v>0</v>
      </c>
      <c r="G2678" s="1083">
        <f t="shared" si="2"/>
        <v>5.4</v>
      </c>
      <c r="H2678" s="1084"/>
    </row>
    <row r="2679" ht="14.25" customHeight="1">
      <c r="A2679" s="1085">
        <v>37976.0</v>
      </c>
      <c r="B2679" s="1086" t="s">
        <v>7995</v>
      </c>
      <c r="C2679" s="1087" t="s">
        <v>1788</v>
      </c>
      <c r="D2679" s="1088">
        <v>12.03</v>
      </c>
      <c r="E2679" s="1089" t="s">
        <v>5308</v>
      </c>
      <c r="F2679" s="1081">
        <f t="shared" si="1"/>
        <v>0</v>
      </c>
      <c r="G2679" s="1083">
        <f t="shared" si="2"/>
        <v>12.03</v>
      </c>
      <c r="H2679" s="1084"/>
    </row>
    <row r="2680" ht="14.25" customHeight="1">
      <c r="A2680" s="1085">
        <v>37977.0</v>
      </c>
      <c r="B2680" s="1086" t="s">
        <v>7996</v>
      </c>
      <c r="C2680" s="1087" t="s">
        <v>1788</v>
      </c>
      <c r="D2680" s="1088">
        <v>16.65</v>
      </c>
      <c r="E2680" s="1089" t="s">
        <v>5308</v>
      </c>
      <c r="F2680" s="1081">
        <f t="shared" si="1"/>
        <v>0</v>
      </c>
      <c r="G2680" s="1083">
        <f t="shared" si="2"/>
        <v>16.65</v>
      </c>
      <c r="H2680" s="1084"/>
    </row>
    <row r="2681" ht="14.25" customHeight="1">
      <c r="A2681" s="1085">
        <v>37978.0</v>
      </c>
      <c r="B2681" s="1086" t="s">
        <v>7997</v>
      </c>
      <c r="C2681" s="1087" t="s">
        <v>1788</v>
      </c>
      <c r="D2681" s="1088">
        <v>33.02</v>
      </c>
      <c r="E2681" s="1089" t="s">
        <v>5308</v>
      </c>
      <c r="F2681" s="1081">
        <f t="shared" si="1"/>
        <v>0</v>
      </c>
      <c r="G2681" s="1083">
        <f t="shared" si="2"/>
        <v>33.02</v>
      </c>
      <c r="H2681" s="1084"/>
    </row>
    <row r="2682" ht="14.25" customHeight="1">
      <c r="A2682" s="1085">
        <v>37979.0</v>
      </c>
      <c r="B2682" s="1086" t="s">
        <v>7998</v>
      </c>
      <c r="C2682" s="1087" t="s">
        <v>1788</v>
      </c>
      <c r="D2682" s="1088">
        <v>140.13</v>
      </c>
      <c r="E2682" s="1089" t="s">
        <v>5308</v>
      </c>
      <c r="F2682" s="1081">
        <f t="shared" si="1"/>
        <v>0</v>
      </c>
      <c r="G2682" s="1083">
        <f t="shared" si="2"/>
        <v>140.13</v>
      </c>
      <c r="H2682" s="1084"/>
    </row>
    <row r="2683" ht="14.25" customHeight="1">
      <c r="A2683" s="1085">
        <v>37980.0</v>
      </c>
      <c r="B2683" s="1086" t="s">
        <v>7999</v>
      </c>
      <c r="C2683" s="1087" t="s">
        <v>1788</v>
      </c>
      <c r="D2683" s="1088">
        <v>160.97</v>
      </c>
      <c r="E2683" s="1089" t="s">
        <v>5308</v>
      </c>
      <c r="F2683" s="1081">
        <f t="shared" si="1"/>
        <v>0</v>
      </c>
      <c r="G2683" s="1083">
        <f t="shared" si="2"/>
        <v>160.97</v>
      </c>
      <c r="H2683" s="1084"/>
    </row>
    <row r="2684" ht="14.25" customHeight="1">
      <c r="A2684" s="1085">
        <v>36147.0</v>
      </c>
      <c r="B2684" s="1086" t="s">
        <v>8000</v>
      </c>
      <c r="C2684" s="1087" t="s">
        <v>5728</v>
      </c>
      <c r="D2684" s="1088">
        <v>388.14</v>
      </c>
      <c r="E2684" s="1089" t="s">
        <v>5308</v>
      </c>
      <c r="F2684" s="1081">
        <f t="shared" si="1"/>
        <v>0</v>
      </c>
      <c r="G2684" s="1083">
        <f t="shared" si="2"/>
        <v>388.14</v>
      </c>
      <c r="H2684" s="1084"/>
    </row>
    <row r="2685" ht="14.25" customHeight="1">
      <c r="A2685" s="1085">
        <v>12731.0</v>
      </c>
      <c r="B2685" s="1086" t="s">
        <v>8001</v>
      </c>
      <c r="C2685" s="1087" t="s">
        <v>1788</v>
      </c>
      <c r="D2685" s="1088">
        <v>363.14</v>
      </c>
      <c r="E2685" s="1089" t="s">
        <v>5308</v>
      </c>
      <c r="F2685" s="1081">
        <f t="shared" si="1"/>
        <v>0</v>
      </c>
      <c r="G2685" s="1083">
        <f t="shared" si="2"/>
        <v>363.14</v>
      </c>
      <c r="H2685" s="1084"/>
    </row>
    <row r="2686" ht="14.25" customHeight="1">
      <c r="A2686" s="1085">
        <v>12723.0</v>
      </c>
      <c r="B2686" s="1086" t="s">
        <v>8002</v>
      </c>
      <c r="C2686" s="1087" t="s">
        <v>1788</v>
      </c>
      <c r="D2686" s="1088">
        <v>2.81</v>
      </c>
      <c r="E2686" s="1089" t="s">
        <v>5308</v>
      </c>
      <c r="F2686" s="1081">
        <f t="shared" si="1"/>
        <v>0</v>
      </c>
      <c r="G2686" s="1083">
        <f t="shared" si="2"/>
        <v>2.81</v>
      </c>
      <c r="H2686" s="1084"/>
    </row>
    <row r="2687" ht="14.25" customHeight="1">
      <c r="A2687" s="1085">
        <v>12724.0</v>
      </c>
      <c r="B2687" s="1086" t="s">
        <v>8003</v>
      </c>
      <c r="C2687" s="1087" t="s">
        <v>1788</v>
      </c>
      <c r="D2687" s="1088">
        <v>5.41</v>
      </c>
      <c r="E2687" s="1089" t="s">
        <v>5308</v>
      </c>
      <c r="F2687" s="1081">
        <f t="shared" si="1"/>
        <v>0</v>
      </c>
      <c r="G2687" s="1083">
        <f t="shared" si="2"/>
        <v>5.41</v>
      </c>
      <c r="H2687" s="1084"/>
    </row>
    <row r="2688" ht="14.25" customHeight="1">
      <c r="A2688" s="1085">
        <v>12725.0</v>
      </c>
      <c r="B2688" s="1086" t="s">
        <v>8004</v>
      </c>
      <c r="C2688" s="1087" t="s">
        <v>1788</v>
      </c>
      <c r="D2688" s="1088">
        <v>10.85</v>
      </c>
      <c r="E2688" s="1089" t="s">
        <v>5308</v>
      </c>
      <c r="F2688" s="1081">
        <f t="shared" si="1"/>
        <v>0</v>
      </c>
      <c r="G2688" s="1083">
        <f t="shared" si="2"/>
        <v>10.85</v>
      </c>
      <c r="H2688" s="1084"/>
    </row>
    <row r="2689" ht="14.25" customHeight="1">
      <c r="A2689" s="1085">
        <v>12726.0</v>
      </c>
      <c r="B2689" s="1086" t="s">
        <v>8005</v>
      </c>
      <c r="C2689" s="1087" t="s">
        <v>1788</v>
      </c>
      <c r="D2689" s="1088">
        <v>23.96</v>
      </c>
      <c r="E2689" s="1089" t="s">
        <v>5308</v>
      </c>
      <c r="F2689" s="1081">
        <f t="shared" si="1"/>
        <v>0</v>
      </c>
      <c r="G2689" s="1083">
        <f t="shared" si="2"/>
        <v>23.96</v>
      </c>
      <c r="H2689" s="1084"/>
    </row>
    <row r="2690" ht="14.25" customHeight="1">
      <c r="A2690" s="1085">
        <v>12727.0</v>
      </c>
      <c r="B2690" s="1086" t="s">
        <v>8006</v>
      </c>
      <c r="C2690" s="1087" t="s">
        <v>1788</v>
      </c>
      <c r="D2690" s="1088">
        <v>30.38</v>
      </c>
      <c r="E2690" s="1089" t="s">
        <v>5308</v>
      </c>
      <c r="F2690" s="1081">
        <f t="shared" si="1"/>
        <v>0</v>
      </c>
      <c r="G2690" s="1083">
        <f t="shared" si="2"/>
        <v>30.38</v>
      </c>
      <c r="H2690" s="1084"/>
    </row>
    <row r="2691" ht="14.25" customHeight="1">
      <c r="A2691" s="1085">
        <v>12728.0</v>
      </c>
      <c r="B2691" s="1086" t="s">
        <v>8007</v>
      </c>
      <c r="C2691" s="1087" t="s">
        <v>1788</v>
      </c>
      <c r="D2691" s="1088">
        <v>49.63</v>
      </c>
      <c r="E2691" s="1089" t="s">
        <v>5308</v>
      </c>
      <c r="F2691" s="1081">
        <f t="shared" si="1"/>
        <v>0</v>
      </c>
      <c r="G2691" s="1083">
        <f t="shared" si="2"/>
        <v>49.63</v>
      </c>
      <c r="H2691" s="1084"/>
    </row>
    <row r="2692" ht="14.25" customHeight="1">
      <c r="A2692" s="1085">
        <v>12729.0</v>
      </c>
      <c r="B2692" s="1086" t="s">
        <v>8008</v>
      </c>
      <c r="C2692" s="1087" t="s">
        <v>1788</v>
      </c>
      <c r="D2692" s="1088">
        <v>162.66</v>
      </c>
      <c r="E2692" s="1089" t="s">
        <v>5308</v>
      </c>
      <c r="F2692" s="1081">
        <f t="shared" si="1"/>
        <v>0</v>
      </c>
      <c r="G2692" s="1083">
        <f t="shared" si="2"/>
        <v>162.66</v>
      </c>
      <c r="H2692" s="1084"/>
    </row>
    <row r="2693" ht="14.25" customHeight="1">
      <c r="A2693" s="1085">
        <v>12730.0</v>
      </c>
      <c r="B2693" s="1086" t="s">
        <v>8009</v>
      </c>
      <c r="C2693" s="1087" t="s">
        <v>1788</v>
      </c>
      <c r="D2693" s="1088">
        <v>249.04</v>
      </c>
      <c r="E2693" s="1089" t="s">
        <v>5308</v>
      </c>
      <c r="F2693" s="1081">
        <f t="shared" si="1"/>
        <v>0</v>
      </c>
      <c r="G2693" s="1083">
        <f t="shared" si="2"/>
        <v>249.04</v>
      </c>
      <c r="H2693" s="1084"/>
    </row>
    <row r="2694" ht="14.25" customHeight="1">
      <c r="A2694" s="1085">
        <v>3840.0</v>
      </c>
      <c r="B2694" s="1086" t="s">
        <v>8010</v>
      </c>
      <c r="C2694" s="1087" t="s">
        <v>1788</v>
      </c>
      <c r="D2694" s="1088">
        <v>50.77</v>
      </c>
      <c r="E2694" s="1089" t="s">
        <v>5308</v>
      </c>
      <c r="F2694" s="1081">
        <f t="shared" si="1"/>
        <v>0</v>
      </c>
      <c r="G2694" s="1083">
        <f t="shared" si="2"/>
        <v>50.77</v>
      </c>
      <c r="H2694" s="1084"/>
    </row>
    <row r="2695" ht="14.25" customHeight="1">
      <c r="A2695" s="1085">
        <v>3838.0</v>
      </c>
      <c r="B2695" s="1086" t="s">
        <v>8011</v>
      </c>
      <c r="C2695" s="1087" t="s">
        <v>1788</v>
      </c>
      <c r="D2695" s="1088">
        <v>112.06</v>
      </c>
      <c r="E2695" s="1089" t="s">
        <v>5308</v>
      </c>
      <c r="F2695" s="1081">
        <f t="shared" si="1"/>
        <v>0</v>
      </c>
      <c r="G2695" s="1083">
        <f t="shared" si="2"/>
        <v>112.06</v>
      </c>
      <c r="H2695" s="1084"/>
    </row>
    <row r="2696" ht="14.25" customHeight="1">
      <c r="A2696" s="1085">
        <v>3844.0</v>
      </c>
      <c r="B2696" s="1086" t="s">
        <v>8012</v>
      </c>
      <c r="C2696" s="1087" t="s">
        <v>1788</v>
      </c>
      <c r="D2696" s="1088">
        <v>199.88</v>
      </c>
      <c r="E2696" s="1089" t="s">
        <v>5308</v>
      </c>
      <c r="F2696" s="1081">
        <f t="shared" si="1"/>
        <v>0</v>
      </c>
      <c r="G2696" s="1083">
        <f t="shared" si="2"/>
        <v>199.88</v>
      </c>
      <c r="H2696" s="1084"/>
    </row>
    <row r="2697" ht="14.25" customHeight="1">
      <c r="A2697" s="1085">
        <v>3839.0</v>
      </c>
      <c r="B2697" s="1086" t="s">
        <v>8013</v>
      </c>
      <c r="C2697" s="1087" t="s">
        <v>1788</v>
      </c>
      <c r="D2697" s="1088">
        <v>364.07</v>
      </c>
      <c r="E2697" s="1089" t="s">
        <v>5308</v>
      </c>
      <c r="F2697" s="1081">
        <f t="shared" si="1"/>
        <v>0</v>
      </c>
      <c r="G2697" s="1083">
        <f t="shared" si="2"/>
        <v>364.07</v>
      </c>
      <c r="H2697" s="1084"/>
    </row>
    <row r="2698" ht="14.25" customHeight="1">
      <c r="A2698" s="1085">
        <v>3843.0</v>
      </c>
      <c r="B2698" s="1086" t="s">
        <v>8014</v>
      </c>
      <c r="C2698" s="1087" t="s">
        <v>1788</v>
      </c>
      <c r="D2698" s="1088">
        <v>499.7</v>
      </c>
      <c r="E2698" s="1089" t="s">
        <v>5308</v>
      </c>
      <c r="F2698" s="1081">
        <f t="shared" si="1"/>
        <v>0</v>
      </c>
      <c r="G2698" s="1083">
        <f t="shared" si="2"/>
        <v>499.7</v>
      </c>
      <c r="H2698" s="1084"/>
    </row>
    <row r="2699" ht="14.25" customHeight="1">
      <c r="A2699" s="1085">
        <v>3900.0</v>
      </c>
      <c r="B2699" s="1086" t="s">
        <v>8015</v>
      </c>
      <c r="C2699" s="1087" t="s">
        <v>1788</v>
      </c>
      <c r="D2699" s="1088">
        <v>48.84</v>
      </c>
      <c r="E2699" s="1089" t="s">
        <v>5308</v>
      </c>
      <c r="F2699" s="1081">
        <f t="shared" si="1"/>
        <v>0</v>
      </c>
      <c r="G2699" s="1083">
        <f t="shared" si="2"/>
        <v>48.84</v>
      </c>
      <c r="H2699" s="1084"/>
    </row>
    <row r="2700" ht="14.25" customHeight="1">
      <c r="A2700" s="1085">
        <v>3846.0</v>
      </c>
      <c r="B2700" s="1086" t="s">
        <v>8016</v>
      </c>
      <c r="C2700" s="1087" t="s">
        <v>1788</v>
      </c>
      <c r="D2700" s="1088">
        <v>14.67</v>
      </c>
      <c r="E2700" s="1089" t="s">
        <v>5308</v>
      </c>
      <c r="F2700" s="1081">
        <f t="shared" si="1"/>
        <v>0</v>
      </c>
      <c r="G2700" s="1083">
        <f t="shared" si="2"/>
        <v>14.67</v>
      </c>
      <c r="H2700" s="1084"/>
    </row>
    <row r="2701" ht="14.25" customHeight="1">
      <c r="A2701" s="1085">
        <v>3886.0</v>
      </c>
      <c r="B2701" s="1086" t="s">
        <v>8017</v>
      </c>
      <c r="C2701" s="1087" t="s">
        <v>1788</v>
      </c>
      <c r="D2701" s="1088">
        <v>19.48</v>
      </c>
      <c r="E2701" s="1089" t="s">
        <v>5308</v>
      </c>
      <c r="F2701" s="1081">
        <f t="shared" si="1"/>
        <v>0</v>
      </c>
      <c r="G2701" s="1083">
        <f t="shared" si="2"/>
        <v>19.48</v>
      </c>
      <c r="H2701" s="1084"/>
    </row>
    <row r="2702" ht="14.25" customHeight="1">
      <c r="A2702" s="1085">
        <v>3854.0</v>
      </c>
      <c r="B2702" s="1086" t="s">
        <v>8018</v>
      </c>
      <c r="C2702" s="1087" t="s">
        <v>1788</v>
      </c>
      <c r="D2702" s="1088">
        <v>11.1</v>
      </c>
      <c r="E2702" s="1089" t="s">
        <v>5308</v>
      </c>
      <c r="F2702" s="1081">
        <f t="shared" si="1"/>
        <v>0</v>
      </c>
      <c r="G2702" s="1083">
        <f t="shared" si="2"/>
        <v>11.1</v>
      </c>
      <c r="H2702" s="1084"/>
    </row>
    <row r="2703" ht="14.25" customHeight="1">
      <c r="A2703" s="1085">
        <v>3873.0</v>
      </c>
      <c r="B2703" s="1086" t="s">
        <v>8019</v>
      </c>
      <c r="C2703" s="1087" t="s">
        <v>1788</v>
      </c>
      <c r="D2703" s="1088">
        <v>12.93</v>
      </c>
      <c r="E2703" s="1089" t="s">
        <v>5308</v>
      </c>
      <c r="F2703" s="1081">
        <f t="shared" si="1"/>
        <v>0</v>
      </c>
      <c r="G2703" s="1083">
        <f t="shared" si="2"/>
        <v>12.93</v>
      </c>
      <c r="H2703" s="1084"/>
    </row>
    <row r="2704" ht="14.25" customHeight="1">
      <c r="A2704" s="1085">
        <v>38021.0</v>
      </c>
      <c r="B2704" s="1086" t="s">
        <v>8020</v>
      </c>
      <c r="C2704" s="1087" t="s">
        <v>1788</v>
      </c>
      <c r="D2704" s="1088">
        <v>22.95</v>
      </c>
      <c r="E2704" s="1089" t="s">
        <v>5308</v>
      </c>
      <c r="F2704" s="1081">
        <f t="shared" si="1"/>
        <v>0</v>
      </c>
      <c r="G2704" s="1083">
        <f t="shared" si="2"/>
        <v>22.95</v>
      </c>
      <c r="H2704" s="1084"/>
    </row>
    <row r="2705" ht="14.25" customHeight="1">
      <c r="A2705" s="1085">
        <v>43838.0</v>
      </c>
      <c r="B2705" s="1086" t="s">
        <v>8021</v>
      </c>
      <c r="C2705" s="1087" t="s">
        <v>1788</v>
      </c>
      <c r="D2705" s="1088">
        <v>29.66</v>
      </c>
      <c r="E2705" s="1089" t="s">
        <v>5308</v>
      </c>
      <c r="F2705" s="1081">
        <f t="shared" si="1"/>
        <v>0</v>
      </c>
      <c r="G2705" s="1083">
        <f t="shared" si="2"/>
        <v>29.66</v>
      </c>
      <c r="H2705" s="1084"/>
    </row>
    <row r="2706" ht="14.25" customHeight="1">
      <c r="A2706" s="1085">
        <v>3847.0</v>
      </c>
      <c r="B2706" s="1086" t="s">
        <v>8022</v>
      </c>
      <c r="C2706" s="1087" t="s">
        <v>1788</v>
      </c>
      <c r="D2706" s="1088">
        <v>29.91</v>
      </c>
      <c r="E2706" s="1089" t="s">
        <v>5308</v>
      </c>
      <c r="F2706" s="1081">
        <f t="shared" si="1"/>
        <v>0</v>
      </c>
      <c r="G2706" s="1083">
        <f t="shared" si="2"/>
        <v>29.91</v>
      </c>
      <c r="H2706" s="1084"/>
    </row>
    <row r="2707" ht="14.25" customHeight="1">
      <c r="A2707" s="1085">
        <v>38022.0</v>
      </c>
      <c r="B2707" s="1086" t="s">
        <v>8023</v>
      </c>
      <c r="C2707" s="1087" t="s">
        <v>1788</v>
      </c>
      <c r="D2707" s="1088">
        <v>41.12</v>
      </c>
      <c r="E2707" s="1089" t="s">
        <v>5308</v>
      </c>
      <c r="F2707" s="1081">
        <f t="shared" si="1"/>
        <v>0</v>
      </c>
      <c r="G2707" s="1083">
        <f t="shared" si="2"/>
        <v>41.12</v>
      </c>
      <c r="H2707" s="1084"/>
    </row>
    <row r="2708" ht="14.25" customHeight="1">
      <c r="A2708" s="1085">
        <v>3830.0</v>
      </c>
      <c r="B2708" s="1086" t="s">
        <v>8024</v>
      </c>
      <c r="C2708" s="1087" t="s">
        <v>1788</v>
      </c>
      <c r="D2708" s="1088">
        <v>225.48</v>
      </c>
      <c r="E2708" s="1089" t="s">
        <v>5308</v>
      </c>
      <c r="F2708" s="1081">
        <f t="shared" si="1"/>
        <v>0</v>
      </c>
      <c r="G2708" s="1083">
        <f t="shared" si="2"/>
        <v>225.48</v>
      </c>
      <c r="H2708" s="1084"/>
    </row>
    <row r="2709" ht="14.25" customHeight="1">
      <c r="A2709" s="1085">
        <v>37981.0</v>
      </c>
      <c r="B2709" s="1086" t="s">
        <v>8025</v>
      </c>
      <c r="C2709" s="1087" t="s">
        <v>1788</v>
      </c>
      <c r="D2709" s="1088">
        <v>7.01</v>
      </c>
      <c r="E2709" s="1089" t="s">
        <v>5308</v>
      </c>
      <c r="F2709" s="1081">
        <f t="shared" si="1"/>
        <v>0</v>
      </c>
      <c r="G2709" s="1083">
        <f t="shared" si="2"/>
        <v>7.01</v>
      </c>
      <c r="H2709" s="1084"/>
    </row>
    <row r="2710" ht="14.25" customHeight="1">
      <c r="A2710" s="1085">
        <v>37982.0</v>
      </c>
      <c r="B2710" s="1086" t="s">
        <v>8026</v>
      </c>
      <c r="C2710" s="1087" t="s">
        <v>1788</v>
      </c>
      <c r="D2710" s="1088">
        <v>10.17</v>
      </c>
      <c r="E2710" s="1089" t="s">
        <v>5308</v>
      </c>
      <c r="F2710" s="1081">
        <f t="shared" si="1"/>
        <v>0</v>
      </c>
      <c r="G2710" s="1083">
        <f t="shared" si="2"/>
        <v>10.17</v>
      </c>
      <c r="H2710" s="1084"/>
    </row>
    <row r="2711" ht="14.25" customHeight="1">
      <c r="A2711" s="1085">
        <v>37983.0</v>
      </c>
      <c r="B2711" s="1086" t="s">
        <v>8027</v>
      </c>
      <c r="C2711" s="1087" t="s">
        <v>1788</v>
      </c>
      <c r="D2711" s="1088">
        <v>15.04</v>
      </c>
      <c r="E2711" s="1089" t="s">
        <v>5308</v>
      </c>
      <c r="F2711" s="1081">
        <f t="shared" si="1"/>
        <v>0</v>
      </c>
      <c r="G2711" s="1083">
        <f t="shared" si="2"/>
        <v>15.04</v>
      </c>
      <c r="H2711" s="1084"/>
    </row>
    <row r="2712" ht="14.25" customHeight="1">
      <c r="A2712" s="1085">
        <v>37984.0</v>
      </c>
      <c r="B2712" s="1086" t="s">
        <v>8028</v>
      </c>
      <c r="C2712" s="1087" t="s">
        <v>1788</v>
      </c>
      <c r="D2712" s="1088">
        <v>21.13</v>
      </c>
      <c r="E2712" s="1089" t="s">
        <v>5308</v>
      </c>
      <c r="F2712" s="1081">
        <f t="shared" si="1"/>
        <v>0</v>
      </c>
      <c r="G2712" s="1083">
        <f t="shared" si="2"/>
        <v>21.13</v>
      </c>
      <c r="H2712" s="1084"/>
    </row>
    <row r="2713" ht="14.25" customHeight="1">
      <c r="A2713" s="1085">
        <v>37985.0</v>
      </c>
      <c r="B2713" s="1086" t="s">
        <v>8029</v>
      </c>
      <c r="C2713" s="1087" t="s">
        <v>1788</v>
      </c>
      <c r="D2713" s="1088">
        <v>30.02</v>
      </c>
      <c r="E2713" s="1089" t="s">
        <v>5308</v>
      </c>
      <c r="F2713" s="1081">
        <f t="shared" si="1"/>
        <v>0</v>
      </c>
      <c r="G2713" s="1083">
        <f t="shared" si="2"/>
        <v>30.02</v>
      </c>
      <c r="H2713" s="1084"/>
    </row>
    <row r="2714" ht="14.25" customHeight="1">
      <c r="A2714" s="1085">
        <v>3826.0</v>
      </c>
      <c r="B2714" s="1086" t="s">
        <v>8030</v>
      </c>
      <c r="C2714" s="1087" t="s">
        <v>1788</v>
      </c>
      <c r="D2714" s="1088">
        <v>50.38</v>
      </c>
      <c r="E2714" s="1089" t="s">
        <v>5308</v>
      </c>
      <c r="F2714" s="1081">
        <f t="shared" si="1"/>
        <v>0</v>
      </c>
      <c r="G2714" s="1083">
        <f t="shared" si="2"/>
        <v>50.38</v>
      </c>
      <c r="H2714" s="1084"/>
    </row>
    <row r="2715" ht="14.25" customHeight="1">
      <c r="A2715" s="1085">
        <v>3825.0</v>
      </c>
      <c r="B2715" s="1086" t="s">
        <v>8031</v>
      </c>
      <c r="C2715" s="1087" t="s">
        <v>1788</v>
      </c>
      <c r="D2715" s="1088">
        <v>14.49</v>
      </c>
      <c r="E2715" s="1089" t="s">
        <v>5308</v>
      </c>
      <c r="F2715" s="1081">
        <f t="shared" si="1"/>
        <v>0</v>
      </c>
      <c r="G2715" s="1083">
        <f t="shared" si="2"/>
        <v>14.49</v>
      </c>
      <c r="H2715" s="1084"/>
    </row>
    <row r="2716" ht="14.25" customHeight="1">
      <c r="A2716" s="1085">
        <v>3827.0</v>
      </c>
      <c r="B2716" s="1086" t="s">
        <v>8032</v>
      </c>
      <c r="C2716" s="1087" t="s">
        <v>1788</v>
      </c>
      <c r="D2716" s="1088">
        <v>31.65</v>
      </c>
      <c r="E2716" s="1089" t="s">
        <v>5308</v>
      </c>
      <c r="F2716" s="1081">
        <f t="shared" si="1"/>
        <v>0</v>
      </c>
      <c r="G2716" s="1083">
        <f t="shared" si="2"/>
        <v>31.65</v>
      </c>
      <c r="H2716" s="1084"/>
    </row>
    <row r="2717" ht="14.25" customHeight="1">
      <c r="A2717" s="1085">
        <v>20165.0</v>
      </c>
      <c r="B2717" s="1086" t="s">
        <v>8033</v>
      </c>
      <c r="C2717" s="1087" t="s">
        <v>1788</v>
      </c>
      <c r="D2717" s="1088">
        <v>27.95</v>
      </c>
      <c r="E2717" s="1089" t="s">
        <v>5308</v>
      </c>
      <c r="F2717" s="1081">
        <f t="shared" si="1"/>
        <v>0</v>
      </c>
      <c r="G2717" s="1083">
        <f t="shared" si="2"/>
        <v>27.95</v>
      </c>
      <c r="H2717" s="1084"/>
    </row>
    <row r="2718" ht="14.25" customHeight="1">
      <c r="A2718" s="1085">
        <v>20166.0</v>
      </c>
      <c r="B2718" s="1086" t="s">
        <v>8034</v>
      </c>
      <c r="C2718" s="1087" t="s">
        <v>1788</v>
      </c>
      <c r="D2718" s="1088">
        <v>85.37</v>
      </c>
      <c r="E2718" s="1089" t="s">
        <v>5308</v>
      </c>
      <c r="F2718" s="1081">
        <f t="shared" si="1"/>
        <v>0</v>
      </c>
      <c r="G2718" s="1083">
        <f t="shared" si="2"/>
        <v>85.37</v>
      </c>
      <c r="H2718" s="1084"/>
    </row>
    <row r="2719" ht="14.25" customHeight="1">
      <c r="A2719" s="1085">
        <v>20164.0</v>
      </c>
      <c r="B2719" s="1086" t="s">
        <v>8035</v>
      </c>
      <c r="C2719" s="1087" t="s">
        <v>1788</v>
      </c>
      <c r="D2719" s="1088">
        <v>13.43</v>
      </c>
      <c r="E2719" s="1089" t="s">
        <v>5308</v>
      </c>
      <c r="F2719" s="1081">
        <f t="shared" si="1"/>
        <v>0</v>
      </c>
      <c r="G2719" s="1083">
        <f t="shared" si="2"/>
        <v>13.43</v>
      </c>
      <c r="H2719" s="1084"/>
    </row>
    <row r="2720" ht="14.25" customHeight="1">
      <c r="A2720" s="1085">
        <v>3893.0</v>
      </c>
      <c r="B2720" s="1086" t="s">
        <v>8036</v>
      </c>
      <c r="C2720" s="1087" t="s">
        <v>1788</v>
      </c>
      <c r="D2720" s="1088">
        <v>21.05</v>
      </c>
      <c r="E2720" s="1089" t="s">
        <v>5308</v>
      </c>
      <c r="F2720" s="1081">
        <f t="shared" si="1"/>
        <v>0</v>
      </c>
      <c r="G2720" s="1083">
        <f t="shared" si="2"/>
        <v>21.05</v>
      </c>
      <c r="H2720" s="1084"/>
    </row>
    <row r="2721" ht="14.25" customHeight="1">
      <c r="A2721" s="1085">
        <v>3848.0</v>
      </c>
      <c r="B2721" s="1086" t="s">
        <v>8037</v>
      </c>
      <c r="C2721" s="1087" t="s">
        <v>1788</v>
      </c>
      <c r="D2721" s="1088">
        <v>12.83</v>
      </c>
      <c r="E2721" s="1089" t="s">
        <v>5308</v>
      </c>
      <c r="F2721" s="1081">
        <f t="shared" si="1"/>
        <v>0</v>
      </c>
      <c r="G2721" s="1083">
        <f t="shared" si="2"/>
        <v>12.83</v>
      </c>
      <c r="H2721" s="1084"/>
    </row>
    <row r="2722" ht="14.25" customHeight="1">
      <c r="A2722" s="1085">
        <v>3895.0</v>
      </c>
      <c r="B2722" s="1086" t="s">
        <v>8038</v>
      </c>
      <c r="C2722" s="1087" t="s">
        <v>1788</v>
      </c>
      <c r="D2722" s="1088">
        <v>14.25</v>
      </c>
      <c r="E2722" s="1089" t="s">
        <v>5308</v>
      </c>
      <c r="F2722" s="1081">
        <f t="shared" si="1"/>
        <v>0</v>
      </c>
      <c r="G2722" s="1083">
        <f t="shared" si="2"/>
        <v>14.25</v>
      </c>
      <c r="H2722" s="1084"/>
    </row>
    <row r="2723" ht="14.25" customHeight="1">
      <c r="A2723" s="1085">
        <v>12404.0</v>
      </c>
      <c r="B2723" s="1086" t="s">
        <v>8039</v>
      </c>
      <c r="C2723" s="1087" t="s">
        <v>1788</v>
      </c>
      <c r="D2723" s="1088">
        <v>12.14</v>
      </c>
      <c r="E2723" s="1089" t="s">
        <v>5308</v>
      </c>
      <c r="F2723" s="1081">
        <f t="shared" si="1"/>
        <v>0</v>
      </c>
      <c r="G2723" s="1083">
        <f t="shared" si="2"/>
        <v>12.14</v>
      </c>
      <c r="H2723" s="1084"/>
    </row>
    <row r="2724" ht="14.25" customHeight="1">
      <c r="A2724" s="1085">
        <v>3939.0</v>
      </c>
      <c r="B2724" s="1086" t="s">
        <v>8040</v>
      </c>
      <c r="C2724" s="1087" t="s">
        <v>1788</v>
      </c>
      <c r="D2724" s="1088">
        <v>25.01</v>
      </c>
      <c r="E2724" s="1089" t="s">
        <v>5308</v>
      </c>
      <c r="F2724" s="1081">
        <f t="shared" si="1"/>
        <v>0</v>
      </c>
      <c r="G2724" s="1083">
        <f t="shared" si="2"/>
        <v>25.01</v>
      </c>
      <c r="H2724" s="1084"/>
    </row>
    <row r="2725" ht="14.25" customHeight="1">
      <c r="A2725" s="1085">
        <v>3911.0</v>
      </c>
      <c r="B2725" s="1086" t="s">
        <v>8041</v>
      </c>
      <c r="C2725" s="1087" t="s">
        <v>1788</v>
      </c>
      <c r="D2725" s="1088">
        <v>20.43</v>
      </c>
      <c r="E2725" s="1089" t="s">
        <v>5308</v>
      </c>
      <c r="F2725" s="1081">
        <f t="shared" si="1"/>
        <v>0</v>
      </c>
      <c r="G2725" s="1083">
        <f t="shared" si="2"/>
        <v>20.43</v>
      </c>
      <c r="H2725" s="1084"/>
    </row>
    <row r="2726" ht="14.25" customHeight="1">
      <c r="A2726" s="1085">
        <v>3908.0</v>
      </c>
      <c r="B2726" s="1086" t="s">
        <v>8042</v>
      </c>
      <c r="C2726" s="1087" t="s">
        <v>1788</v>
      </c>
      <c r="D2726" s="1088">
        <v>6.61</v>
      </c>
      <c r="E2726" s="1089" t="s">
        <v>5308</v>
      </c>
      <c r="F2726" s="1081">
        <f t="shared" si="1"/>
        <v>0</v>
      </c>
      <c r="G2726" s="1083">
        <f t="shared" si="2"/>
        <v>6.61</v>
      </c>
      <c r="H2726" s="1084"/>
    </row>
    <row r="2727" ht="14.25" customHeight="1">
      <c r="A2727" s="1085">
        <v>3910.0</v>
      </c>
      <c r="B2727" s="1086" t="s">
        <v>8043</v>
      </c>
      <c r="C2727" s="1087" t="s">
        <v>1788</v>
      </c>
      <c r="D2727" s="1088">
        <v>14.62</v>
      </c>
      <c r="E2727" s="1089" t="s">
        <v>5308</v>
      </c>
      <c r="F2727" s="1081">
        <f t="shared" si="1"/>
        <v>0</v>
      </c>
      <c r="G2727" s="1083">
        <f t="shared" si="2"/>
        <v>14.62</v>
      </c>
      <c r="H2727" s="1084"/>
    </row>
    <row r="2728" ht="14.25" customHeight="1">
      <c r="A2728" s="1085">
        <v>3913.0</v>
      </c>
      <c r="B2728" s="1086" t="s">
        <v>8044</v>
      </c>
      <c r="C2728" s="1087" t="s">
        <v>1788</v>
      </c>
      <c r="D2728" s="1088">
        <v>69.87</v>
      </c>
      <c r="E2728" s="1089" t="s">
        <v>5308</v>
      </c>
      <c r="F2728" s="1081">
        <f t="shared" si="1"/>
        <v>0</v>
      </c>
      <c r="G2728" s="1083">
        <f t="shared" si="2"/>
        <v>69.87</v>
      </c>
      <c r="H2728" s="1084"/>
    </row>
    <row r="2729" ht="14.25" customHeight="1">
      <c r="A2729" s="1085">
        <v>3912.0</v>
      </c>
      <c r="B2729" s="1086" t="s">
        <v>8045</v>
      </c>
      <c r="C2729" s="1087" t="s">
        <v>1788</v>
      </c>
      <c r="D2729" s="1088">
        <v>38.3</v>
      </c>
      <c r="E2729" s="1089" t="s">
        <v>5308</v>
      </c>
      <c r="F2729" s="1081">
        <f t="shared" si="1"/>
        <v>0</v>
      </c>
      <c r="G2729" s="1083">
        <f t="shared" si="2"/>
        <v>38.3</v>
      </c>
      <c r="H2729" s="1084"/>
    </row>
    <row r="2730" ht="14.25" customHeight="1">
      <c r="A2730" s="1085">
        <v>3909.0</v>
      </c>
      <c r="B2730" s="1086" t="s">
        <v>8046</v>
      </c>
      <c r="C2730" s="1087" t="s">
        <v>1788</v>
      </c>
      <c r="D2730" s="1088">
        <v>8.99</v>
      </c>
      <c r="E2730" s="1089" t="s">
        <v>5308</v>
      </c>
      <c r="F2730" s="1081">
        <f t="shared" si="1"/>
        <v>0</v>
      </c>
      <c r="G2730" s="1083">
        <f t="shared" si="2"/>
        <v>8.99</v>
      </c>
      <c r="H2730" s="1084"/>
    </row>
    <row r="2731" ht="14.25" customHeight="1">
      <c r="A2731" s="1085">
        <v>3914.0</v>
      </c>
      <c r="B2731" s="1086" t="s">
        <v>8047</v>
      </c>
      <c r="C2731" s="1087" t="s">
        <v>1788</v>
      </c>
      <c r="D2731" s="1088">
        <v>105.4</v>
      </c>
      <c r="E2731" s="1089" t="s">
        <v>5308</v>
      </c>
      <c r="F2731" s="1081">
        <f t="shared" si="1"/>
        <v>0</v>
      </c>
      <c r="G2731" s="1083">
        <f t="shared" si="2"/>
        <v>105.4</v>
      </c>
      <c r="H2731" s="1084"/>
    </row>
    <row r="2732" ht="14.25" customHeight="1">
      <c r="A2732" s="1085">
        <v>3915.0</v>
      </c>
      <c r="B2732" s="1086" t="s">
        <v>8048</v>
      </c>
      <c r="C2732" s="1087" t="s">
        <v>1788</v>
      </c>
      <c r="D2732" s="1088">
        <v>166.21</v>
      </c>
      <c r="E2732" s="1089" t="s">
        <v>5308</v>
      </c>
      <c r="F2732" s="1081">
        <f t="shared" si="1"/>
        <v>0</v>
      </c>
      <c r="G2732" s="1083">
        <f t="shared" si="2"/>
        <v>166.21</v>
      </c>
      <c r="H2732" s="1084"/>
    </row>
    <row r="2733" ht="14.25" customHeight="1">
      <c r="A2733" s="1085">
        <v>3916.0</v>
      </c>
      <c r="B2733" s="1086" t="s">
        <v>8049</v>
      </c>
      <c r="C2733" s="1087" t="s">
        <v>1788</v>
      </c>
      <c r="D2733" s="1088">
        <v>302.8</v>
      </c>
      <c r="E2733" s="1089" t="s">
        <v>5308</v>
      </c>
      <c r="F2733" s="1081">
        <f t="shared" si="1"/>
        <v>0</v>
      </c>
      <c r="G2733" s="1083">
        <f t="shared" si="2"/>
        <v>302.8</v>
      </c>
      <c r="H2733" s="1084"/>
    </row>
    <row r="2734" ht="14.25" customHeight="1">
      <c r="A2734" s="1085">
        <v>3917.0</v>
      </c>
      <c r="B2734" s="1086" t="s">
        <v>8050</v>
      </c>
      <c r="C2734" s="1087" t="s">
        <v>1788</v>
      </c>
      <c r="D2734" s="1088">
        <v>499.43</v>
      </c>
      <c r="E2734" s="1089" t="s">
        <v>5308</v>
      </c>
      <c r="F2734" s="1081">
        <f t="shared" si="1"/>
        <v>0</v>
      </c>
      <c r="G2734" s="1083">
        <f t="shared" si="2"/>
        <v>499.43</v>
      </c>
      <c r="H2734" s="1084"/>
    </row>
    <row r="2735" ht="14.25" customHeight="1">
      <c r="A2735" s="1085">
        <v>1904.0</v>
      </c>
      <c r="B2735" s="1086" t="s">
        <v>8051</v>
      </c>
      <c r="C2735" s="1087" t="s">
        <v>1788</v>
      </c>
      <c r="D2735" s="1088">
        <v>1.32</v>
      </c>
      <c r="E2735" s="1089" t="s">
        <v>5308</v>
      </c>
      <c r="F2735" s="1081">
        <f t="shared" si="1"/>
        <v>0</v>
      </c>
      <c r="G2735" s="1083">
        <f t="shared" si="2"/>
        <v>1.32</v>
      </c>
      <c r="H2735" s="1084"/>
    </row>
    <row r="2736" ht="14.25" customHeight="1">
      <c r="A2736" s="1085">
        <v>1899.0</v>
      </c>
      <c r="B2736" s="1086" t="s">
        <v>8052</v>
      </c>
      <c r="C2736" s="1087" t="s">
        <v>1788</v>
      </c>
      <c r="D2736" s="1088">
        <v>1.5</v>
      </c>
      <c r="E2736" s="1089" t="s">
        <v>5308</v>
      </c>
      <c r="F2736" s="1081">
        <f t="shared" si="1"/>
        <v>0</v>
      </c>
      <c r="G2736" s="1083">
        <f t="shared" si="2"/>
        <v>1.5</v>
      </c>
      <c r="H2736" s="1084"/>
    </row>
    <row r="2737" ht="14.25" customHeight="1">
      <c r="A2737" s="1085">
        <v>1900.0</v>
      </c>
      <c r="B2737" s="1086" t="s">
        <v>8053</v>
      </c>
      <c r="C2737" s="1087" t="s">
        <v>1788</v>
      </c>
      <c r="D2737" s="1088">
        <v>2.43</v>
      </c>
      <c r="E2737" s="1089" t="s">
        <v>5308</v>
      </c>
      <c r="F2737" s="1081">
        <f t="shared" si="1"/>
        <v>0</v>
      </c>
      <c r="G2737" s="1083">
        <f t="shared" si="2"/>
        <v>2.43</v>
      </c>
      <c r="H2737" s="1084"/>
    </row>
    <row r="2738" ht="14.25" customHeight="1">
      <c r="A2738" s="1085">
        <v>12407.0</v>
      </c>
      <c r="B2738" s="1086" t="s">
        <v>8054</v>
      </c>
      <c r="C2738" s="1087" t="s">
        <v>1788</v>
      </c>
      <c r="D2738" s="1088">
        <v>37.81</v>
      </c>
      <c r="E2738" s="1089" t="s">
        <v>5308</v>
      </c>
      <c r="F2738" s="1081">
        <f t="shared" si="1"/>
        <v>0</v>
      </c>
      <c r="G2738" s="1083">
        <f t="shared" si="2"/>
        <v>37.81</v>
      </c>
      <c r="H2738" s="1084"/>
    </row>
    <row r="2739" ht="14.25" customHeight="1">
      <c r="A2739" s="1085">
        <v>12408.0</v>
      </c>
      <c r="B2739" s="1086" t="s">
        <v>8055</v>
      </c>
      <c r="C2739" s="1087" t="s">
        <v>1788</v>
      </c>
      <c r="D2739" s="1088">
        <v>21.34</v>
      </c>
      <c r="E2739" s="1089" t="s">
        <v>5308</v>
      </c>
      <c r="F2739" s="1081">
        <f t="shared" si="1"/>
        <v>0</v>
      </c>
      <c r="G2739" s="1083">
        <f t="shared" si="2"/>
        <v>21.34</v>
      </c>
      <c r="H2739" s="1084"/>
    </row>
    <row r="2740" ht="14.25" customHeight="1">
      <c r="A2740" s="1085">
        <v>12409.0</v>
      </c>
      <c r="B2740" s="1086" t="s">
        <v>8056</v>
      </c>
      <c r="C2740" s="1087" t="s">
        <v>1788</v>
      </c>
      <c r="D2740" s="1088">
        <v>21.34</v>
      </c>
      <c r="E2740" s="1089" t="s">
        <v>5308</v>
      </c>
      <c r="F2740" s="1081">
        <f t="shared" si="1"/>
        <v>0</v>
      </c>
      <c r="G2740" s="1083">
        <f t="shared" si="2"/>
        <v>21.34</v>
      </c>
      <c r="H2740" s="1084"/>
    </row>
    <row r="2741" ht="14.25" customHeight="1">
      <c r="A2741" s="1085">
        <v>12410.0</v>
      </c>
      <c r="B2741" s="1086" t="s">
        <v>8057</v>
      </c>
      <c r="C2741" s="1087" t="s">
        <v>1788</v>
      </c>
      <c r="D2741" s="1088">
        <v>14.7</v>
      </c>
      <c r="E2741" s="1089" t="s">
        <v>5308</v>
      </c>
      <c r="F2741" s="1081">
        <f t="shared" si="1"/>
        <v>0</v>
      </c>
      <c r="G2741" s="1083">
        <f t="shared" si="2"/>
        <v>14.7</v>
      </c>
      <c r="H2741" s="1084"/>
    </row>
    <row r="2742" ht="14.25" customHeight="1">
      <c r="A2742" s="1085">
        <v>3936.0</v>
      </c>
      <c r="B2742" s="1086" t="s">
        <v>8058</v>
      </c>
      <c r="C2742" s="1087" t="s">
        <v>1788</v>
      </c>
      <c r="D2742" s="1088">
        <v>26.56</v>
      </c>
      <c r="E2742" s="1089" t="s">
        <v>5308</v>
      </c>
      <c r="F2742" s="1081">
        <f t="shared" si="1"/>
        <v>0</v>
      </c>
      <c r="G2742" s="1083">
        <f t="shared" si="2"/>
        <v>26.56</v>
      </c>
      <c r="H2742" s="1084"/>
    </row>
    <row r="2743" ht="14.25" customHeight="1">
      <c r="A2743" s="1085">
        <v>3922.0</v>
      </c>
      <c r="B2743" s="1086" t="s">
        <v>8059</v>
      </c>
      <c r="C2743" s="1087" t="s">
        <v>1788</v>
      </c>
      <c r="D2743" s="1088">
        <v>24.43</v>
      </c>
      <c r="E2743" s="1089" t="s">
        <v>5308</v>
      </c>
      <c r="F2743" s="1081">
        <f t="shared" si="1"/>
        <v>0</v>
      </c>
      <c r="G2743" s="1083">
        <f t="shared" si="2"/>
        <v>24.43</v>
      </c>
      <c r="H2743" s="1084"/>
    </row>
    <row r="2744" ht="14.25" customHeight="1">
      <c r="A2744" s="1085">
        <v>3924.0</v>
      </c>
      <c r="B2744" s="1086" t="s">
        <v>8060</v>
      </c>
      <c r="C2744" s="1087" t="s">
        <v>1788</v>
      </c>
      <c r="D2744" s="1088">
        <v>26.56</v>
      </c>
      <c r="E2744" s="1089" t="s">
        <v>5308</v>
      </c>
      <c r="F2744" s="1081">
        <f t="shared" si="1"/>
        <v>0</v>
      </c>
      <c r="G2744" s="1083">
        <f t="shared" si="2"/>
        <v>26.56</v>
      </c>
      <c r="H2744" s="1084"/>
    </row>
    <row r="2745" ht="14.25" customHeight="1">
      <c r="A2745" s="1085">
        <v>3923.0</v>
      </c>
      <c r="B2745" s="1086" t="s">
        <v>8061</v>
      </c>
      <c r="C2745" s="1087" t="s">
        <v>1788</v>
      </c>
      <c r="D2745" s="1088">
        <v>26.56</v>
      </c>
      <c r="E2745" s="1089" t="s">
        <v>5308</v>
      </c>
      <c r="F2745" s="1081">
        <f t="shared" si="1"/>
        <v>0</v>
      </c>
      <c r="G2745" s="1083">
        <f t="shared" si="2"/>
        <v>26.56</v>
      </c>
      <c r="H2745" s="1084"/>
    </row>
    <row r="2746" ht="14.25" customHeight="1">
      <c r="A2746" s="1085">
        <v>3937.0</v>
      </c>
      <c r="B2746" s="1086" t="s">
        <v>8062</v>
      </c>
      <c r="C2746" s="1087" t="s">
        <v>1788</v>
      </c>
      <c r="D2746" s="1088">
        <v>21.91</v>
      </c>
      <c r="E2746" s="1089" t="s">
        <v>5308</v>
      </c>
      <c r="F2746" s="1081">
        <f t="shared" si="1"/>
        <v>0</v>
      </c>
      <c r="G2746" s="1083">
        <f t="shared" si="2"/>
        <v>21.91</v>
      </c>
      <c r="H2746" s="1084"/>
    </row>
    <row r="2747" ht="14.25" customHeight="1">
      <c r="A2747" s="1085">
        <v>3921.0</v>
      </c>
      <c r="B2747" s="1086" t="s">
        <v>8063</v>
      </c>
      <c r="C2747" s="1087" t="s">
        <v>1788</v>
      </c>
      <c r="D2747" s="1088">
        <v>21.93</v>
      </c>
      <c r="E2747" s="1089" t="s">
        <v>5308</v>
      </c>
      <c r="F2747" s="1081">
        <f t="shared" si="1"/>
        <v>0</v>
      </c>
      <c r="G2747" s="1083">
        <f t="shared" si="2"/>
        <v>21.93</v>
      </c>
      <c r="H2747" s="1084"/>
    </row>
    <row r="2748" ht="14.25" customHeight="1">
      <c r="A2748" s="1085">
        <v>3920.0</v>
      </c>
      <c r="B2748" s="1086" t="s">
        <v>8064</v>
      </c>
      <c r="C2748" s="1087" t="s">
        <v>1788</v>
      </c>
      <c r="D2748" s="1088">
        <v>21.91</v>
      </c>
      <c r="E2748" s="1089" t="s">
        <v>5308</v>
      </c>
      <c r="F2748" s="1081">
        <f t="shared" si="1"/>
        <v>0</v>
      </c>
      <c r="G2748" s="1083">
        <f t="shared" si="2"/>
        <v>21.91</v>
      </c>
      <c r="H2748" s="1084"/>
    </row>
    <row r="2749" ht="14.25" customHeight="1">
      <c r="A2749" s="1085">
        <v>3938.0</v>
      </c>
      <c r="B2749" s="1086" t="s">
        <v>8065</v>
      </c>
      <c r="C2749" s="1087" t="s">
        <v>1788</v>
      </c>
      <c r="D2749" s="1088">
        <v>14.45</v>
      </c>
      <c r="E2749" s="1089" t="s">
        <v>5308</v>
      </c>
      <c r="F2749" s="1081">
        <f t="shared" si="1"/>
        <v>0</v>
      </c>
      <c r="G2749" s="1083">
        <f t="shared" si="2"/>
        <v>14.45</v>
      </c>
      <c r="H2749" s="1084"/>
    </row>
    <row r="2750" ht="14.25" customHeight="1">
      <c r="A2750" s="1085">
        <v>3919.0</v>
      </c>
      <c r="B2750" s="1086" t="s">
        <v>8066</v>
      </c>
      <c r="C2750" s="1087" t="s">
        <v>1788</v>
      </c>
      <c r="D2750" s="1088">
        <v>14.73</v>
      </c>
      <c r="E2750" s="1089" t="s">
        <v>5308</v>
      </c>
      <c r="F2750" s="1081">
        <f t="shared" si="1"/>
        <v>0</v>
      </c>
      <c r="G2750" s="1083">
        <f t="shared" si="2"/>
        <v>14.73</v>
      </c>
      <c r="H2750" s="1084"/>
    </row>
    <row r="2751" ht="14.25" customHeight="1">
      <c r="A2751" s="1085">
        <v>3927.0</v>
      </c>
      <c r="B2751" s="1086" t="s">
        <v>8067</v>
      </c>
      <c r="C2751" s="1087" t="s">
        <v>1788</v>
      </c>
      <c r="D2751" s="1088">
        <v>74.6</v>
      </c>
      <c r="E2751" s="1089" t="s">
        <v>5308</v>
      </c>
      <c r="F2751" s="1081">
        <f t="shared" si="1"/>
        <v>0</v>
      </c>
      <c r="G2751" s="1083">
        <f t="shared" si="2"/>
        <v>74.6</v>
      </c>
      <c r="H2751" s="1084"/>
    </row>
    <row r="2752" ht="14.25" customHeight="1">
      <c r="A2752" s="1085">
        <v>3928.0</v>
      </c>
      <c r="B2752" s="1086" t="s">
        <v>8068</v>
      </c>
      <c r="C2752" s="1087" t="s">
        <v>1788</v>
      </c>
      <c r="D2752" s="1088">
        <v>74.6</v>
      </c>
      <c r="E2752" s="1089" t="s">
        <v>5308</v>
      </c>
      <c r="F2752" s="1081">
        <f t="shared" si="1"/>
        <v>0</v>
      </c>
      <c r="G2752" s="1083">
        <f t="shared" si="2"/>
        <v>74.6</v>
      </c>
      <c r="H2752" s="1084"/>
    </row>
    <row r="2753" ht="14.25" customHeight="1">
      <c r="A2753" s="1085">
        <v>3926.0</v>
      </c>
      <c r="B2753" s="1086" t="s">
        <v>8069</v>
      </c>
      <c r="C2753" s="1087" t="s">
        <v>1788</v>
      </c>
      <c r="D2753" s="1088">
        <v>42.53</v>
      </c>
      <c r="E2753" s="1089" t="s">
        <v>5308</v>
      </c>
      <c r="F2753" s="1081">
        <f t="shared" si="1"/>
        <v>0</v>
      </c>
      <c r="G2753" s="1083">
        <f t="shared" si="2"/>
        <v>42.53</v>
      </c>
      <c r="H2753" s="1084"/>
    </row>
    <row r="2754" ht="14.25" customHeight="1">
      <c r="A2754" s="1085">
        <v>3935.0</v>
      </c>
      <c r="B2754" s="1086" t="s">
        <v>8070</v>
      </c>
      <c r="C2754" s="1087" t="s">
        <v>1788</v>
      </c>
      <c r="D2754" s="1088">
        <v>42.53</v>
      </c>
      <c r="E2754" s="1089" t="s">
        <v>5308</v>
      </c>
      <c r="F2754" s="1081">
        <f t="shared" si="1"/>
        <v>0</v>
      </c>
      <c r="G2754" s="1083">
        <f t="shared" si="2"/>
        <v>42.53</v>
      </c>
      <c r="H2754" s="1084"/>
    </row>
    <row r="2755" ht="14.25" customHeight="1">
      <c r="A2755" s="1085">
        <v>3925.0</v>
      </c>
      <c r="B2755" s="1086" t="s">
        <v>8071</v>
      </c>
      <c r="C2755" s="1087" t="s">
        <v>1788</v>
      </c>
      <c r="D2755" s="1088">
        <v>42.53</v>
      </c>
      <c r="E2755" s="1089" t="s">
        <v>5308</v>
      </c>
      <c r="F2755" s="1081">
        <f t="shared" si="1"/>
        <v>0</v>
      </c>
      <c r="G2755" s="1083">
        <f t="shared" si="2"/>
        <v>42.53</v>
      </c>
      <c r="H2755" s="1084"/>
    </row>
    <row r="2756" ht="14.25" customHeight="1">
      <c r="A2756" s="1085">
        <v>12406.0</v>
      </c>
      <c r="B2756" s="1086" t="s">
        <v>8072</v>
      </c>
      <c r="C2756" s="1087" t="s">
        <v>1788</v>
      </c>
      <c r="D2756" s="1088">
        <v>10.44</v>
      </c>
      <c r="E2756" s="1089" t="s">
        <v>5308</v>
      </c>
      <c r="F2756" s="1081">
        <f t="shared" si="1"/>
        <v>0</v>
      </c>
      <c r="G2756" s="1083">
        <f t="shared" si="2"/>
        <v>10.44</v>
      </c>
      <c r="H2756" s="1084"/>
    </row>
    <row r="2757" ht="14.25" customHeight="1">
      <c r="A2757" s="1085">
        <v>3929.0</v>
      </c>
      <c r="B2757" s="1086" t="s">
        <v>8073</v>
      </c>
      <c r="C2757" s="1087" t="s">
        <v>1788</v>
      </c>
      <c r="D2757" s="1088">
        <v>113.66</v>
      </c>
      <c r="E2757" s="1089" t="s">
        <v>5308</v>
      </c>
      <c r="F2757" s="1081">
        <f t="shared" si="1"/>
        <v>0</v>
      </c>
      <c r="G2757" s="1083">
        <f t="shared" si="2"/>
        <v>113.66</v>
      </c>
      <c r="H2757" s="1084"/>
    </row>
    <row r="2758" ht="14.25" customHeight="1">
      <c r="A2758" s="1085">
        <v>3931.0</v>
      </c>
      <c r="B2758" s="1086" t="s">
        <v>8074</v>
      </c>
      <c r="C2758" s="1087" t="s">
        <v>1788</v>
      </c>
      <c r="D2758" s="1088">
        <v>113.66</v>
      </c>
      <c r="E2758" s="1089" t="s">
        <v>5308</v>
      </c>
      <c r="F2758" s="1081">
        <f t="shared" si="1"/>
        <v>0</v>
      </c>
      <c r="G2758" s="1083">
        <f t="shared" si="2"/>
        <v>113.66</v>
      </c>
      <c r="H2758" s="1084"/>
    </row>
    <row r="2759" ht="14.25" customHeight="1">
      <c r="A2759" s="1085">
        <v>3930.0</v>
      </c>
      <c r="B2759" s="1086" t="s">
        <v>8075</v>
      </c>
      <c r="C2759" s="1087" t="s">
        <v>1788</v>
      </c>
      <c r="D2759" s="1088">
        <v>113.66</v>
      </c>
      <c r="E2759" s="1089" t="s">
        <v>5308</v>
      </c>
      <c r="F2759" s="1081">
        <f t="shared" si="1"/>
        <v>0</v>
      </c>
      <c r="G2759" s="1083">
        <f t="shared" si="2"/>
        <v>113.66</v>
      </c>
      <c r="H2759" s="1084"/>
    </row>
    <row r="2760" ht="14.25" customHeight="1">
      <c r="A2760" s="1085">
        <v>3932.0</v>
      </c>
      <c r="B2760" s="1086" t="s">
        <v>8076</v>
      </c>
      <c r="C2760" s="1087" t="s">
        <v>1788</v>
      </c>
      <c r="D2760" s="1088">
        <v>196.26</v>
      </c>
      <c r="E2760" s="1089" t="s">
        <v>5308</v>
      </c>
      <c r="F2760" s="1081">
        <f t="shared" si="1"/>
        <v>0</v>
      </c>
      <c r="G2760" s="1083">
        <f t="shared" si="2"/>
        <v>196.26</v>
      </c>
      <c r="H2760" s="1084"/>
    </row>
    <row r="2761" ht="14.25" customHeight="1">
      <c r="A2761" s="1085">
        <v>3933.0</v>
      </c>
      <c r="B2761" s="1086" t="s">
        <v>8077</v>
      </c>
      <c r="C2761" s="1087" t="s">
        <v>1788</v>
      </c>
      <c r="D2761" s="1088">
        <v>196.26</v>
      </c>
      <c r="E2761" s="1089" t="s">
        <v>5308</v>
      </c>
      <c r="F2761" s="1081">
        <f t="shared" si="1"/>
        <v>0</v>
      </c>
      <c r="G2761" s="1083">
        <f t="shared" si="2"/>
        <v>196.26</v>
      </c>
      <c r="H2761" s="1084"/>
    </row>
    <row r="2762" ht="14.25" customHeight="1">
      <c r="A2762" s="1085">
        <v>3934.0</v>
      </c>
      <c r="B2762" s="1086" t="s">
        <v>8078</v>
      </c>
      <c r="C2762" s="1087" t="s">
        <v>1788</v>
      </c>
      <c r="D2762" s="1088">
        <v>196.26</v>
      </c>
      <c r="E2762" s="1089" t="s">
        <v>5308</v>
      </c>
      <c r="F2762" s="1081">
        <f t="shared" si="1"/>
        <v>0</v>
      </c>
      <c r="G2762" s="1083">
        <f t="shared" si="2"/>
        <v>196.26</v>
      </c>
      <c r="H2762" s="1084"/>
    </row>
    <row r="2763" ht="14.25" customHeight="1">
      <c r="A2763" s="1085">
        <v>40355.0</v>
      </c>
      <c r="B2763" s="1086" t="s">
        <v>8079</v>
      </c>
      <c r="C2763" s="1087" t="s">
        <v>1788</v>
      </c>
      <c r="D2763" s="1088">
        <v>13.66</v>
      </c>
      <c r="E2763" s="1089" t="s">
        <v>5308</v>
      </c>
      <c r="F2763" s="1081">
        <f t="shared" si="1"/>
        <v>0</v>
      </c>
      <c r="G2763" s="1083">
        <f t="shared" si="2"/>
        <v>13.66</v>
      </c>
      <c r="H2763" s="1084"/>
    </row>
    <row r="2764" ht="14.25" customHeight="1">
      <c r="A2764" s="1085">
        <v>40364.0</v>
      </c>
      <c r="B2764" s="1086" t="s">
        <v>8080</v>
      </c>
      <c r="C2764" s="1087" t="s">
        <v>1788</v>
      </c>
      <c r="D2764" s="1088">
        <v>64.0</v>
      </c>
      <c r="E2764" s="1089" t="s">
        <v>5308</v>
      </c>
      <c r="F2764" s="1081">
        <f t="shared" si="1"/>
        <v>0</v>
      </c>
      <c r="G2764" s="1083">
        <f t="shared" si="2"/>
        <v>64</v>
      </c>
      <c r="H2764" s="1084"/>
    </row>
    <row r="2765" ht="14.25" customHeight="1">
      <c r="A2765" s="1085">
        <v>40361.0</v>
      </c>
      <c r="B2765" s="1086" t="s">
        <v>8081</v>
      </c>
      <c r="C2765" s="1087" t="s">
        <v>1788</v>
      </c>
      <c r="D2765" s="1088">
        <v>50.04</v>
      </c>
      <c r="E2765" s="1089" t="s">
        <v>5308</v>
      </c>
      <c r="F2765" s="1081">
        <f t="shared" si="1"/>
        <v>0</v>
      </c>
      <c r="G2765" s="1083">
        <f t="shared" si="2"/>
        <v>50.04</v>
      </c>
      <c r="H2765" s="1084"/>
    </row>
    <row r="2766" ht="14.25" customHeight="1">
      <c r="A2766" s="1085">
        <v>40358.0</v>
      </c>
      <c r="B2766" s="1086" t="s">
        <v>8082</v>
      </c>
      <c r="C2766" s="1087" t="s">
        <v>1788</v>
      </c>
      <c r="D2766" s="1088">
        <v>19.08</v>
      </c>
      <c r="E2766" s="1089" t="s">
        <v>5308</v>
      </c>
      <c r="F2766" s="1081">
        <f t="shared" si="1"/>
        <v>0</v>
      </c>
      <c r="G2766" s="1083">
        <f t="shared" si="2"/>
        <v>19.08</v>
      </c>
      <c r="H2766" s="1084"/>
    </row>
    <row r="2767" ht="14.25" customHeight="1">
      <c r="A2767" s="1085">
        <v>40370.0</v>
      </c>
      <c r="B2767" s="1086" t="s">
        <v>8083</v>
      </c>
      <c r="C2767" s="1087" t="s">
        <v>1788</v>
      </c>
      <c r="D2767" s="1088">
        <v>203.08</v>
      </c>
      <c r="E2767" s="1089" t="s">
        <v>5308</v>
      </c>
      <c r="F2767" s="1081">
        <f t="shared" si="1"/>
        <v>0</v>
      </c>
      <c r="G2767" s="1083">
        <f t="shared" si="2"/>
        <v>203.08</v>
      </c>
      <c r="H2767" s="1084"/>
    </row>
    <row r="2768" ht="14.25" customHeight="1">
      <c r="A2768" s="1085">
        <v>40367.0</v>
      </c>
      <c r="B2768" s="1086" t="s">
        <v>8084</v>
      </c>
      <c r="C2768" s="1087" t="s">
        <v>1788</v>
      </c>
      <c r="D2768" s="1088">
        <v>100.94</v>
      </c>
      <c r="E2768" s="1089" t="s">
        <v>5308</v>
      </c>
      <c r="F2768" s="1081">
        <f t="shared" si="1"/>
        <v>0</v>
      </c>
      <c r="G2768" s="1083">
        <f t="shared" si="2"/>
        <v>100.94</v>
      </c>
      <c r="H2768" s="1084"/>
    </row>
    <row r="2769" ht="14.25" customHeight="1">
      <c r="A2769" s="1085">
        <v>40373.0</v>
      </c>
      <c r="B2769" s="1086" t="s">
        <v>8085</v>
      </c>
      <c r="C2769" s="1087" t="s">
        <v>1788</v>
      </c>
      <c r="D2769" s="1088">
        <v>274.62</v>
      </c>
      <c r="E2769" s="1089" t="s">
        <v>5308</v>
      </c>
      <c r="F2769" s="1081">
        <f t="shared" si="1"/>
        <v>0</v>
      </c>
      <c r="G2769" s="1083">
        <f t="shared" si="2"/>
        <v>274.62</v>
      </c>
      <c r="H2769" s="1084"/>
    </row>
    <row r="2770" ht="14.25" customHeight="1">
      <c r="A2770" s="1085">
        <v>3907.0</v>
      </c>
      <c r="B2770" s="1086" t="s">
        <v>8086</v>
      </c>
      <c r="C2770" s="1087" t="s">
        <v>1788</v>
      </c>
      <c r="D2770" s="1088">
        <v>5.62</v>
      </c>
      <c r="E2770" s="1089" t="s">
        <v>5308</v>
      </c>
      <c r="F2770" s="1081">
        <f t="shared" si="1"/>
        <v>0</v>
      </c>
      <c r="G2770" s="1083">
        <f t="shared" si="2"/>
        <v>5.62</v>
      </c>
      <c r="H2770" s="1084"/>
    </row>
    <row r="2771" ht="14.25" customHeight="1">
      <c r="A2771" s="1085">
        <v>3889.0</v>
      </c>
      <c r="B2771" s="1086" t="s">
        <v>8087</v>
      </c>
      <c r="C2771" s="1087" t="s">
        <v>1788</v>
      </c>
      <c r="D2771" s="1088">
        <v>4.0</v>
      </c>
      <c r="E2771" s="1089" t="s">
        <v>5308</v>
      </c>
      <c r="F2771" s="1081">
        <f t="shared" si="1"/>
        <v>0</v>
      </c>
      <c r="G2771" s="1083">
        <f t="shared" si="2"/>
        <v>4</v>
      </c>
      <c r="H2771" s="1084"/>
    </row>
    <row r="2772" ht="14.25" customHeight="1">
      <c r="A2772" s="1085">
        <v>3868.0</v>
      </c>
      <c r="B2772" s="1086" t="s">
        <v>8088</v>
      </c>
      <c r="C2772" s="1087" t="s">
        <v>1788</v>
      </c>
      <c r="D2772" s="1088">
        <v>1.47</v>
      </c>
      <c r="E2772" s="1089" t="s">
        <v>5308</v>
      </c>
      <c r="F2772" s="1081">
        <f t="shared" si="1"/>
        <v>0</v>
      </c>
      <c r="G2772" s="1083">
        <f t="shared" si="2"/>
        <v>1.47</v>
      </c>
      <c r="H2772" s="1084"/>
    </row>
    <row r="2773" ht="14.25" customHeight="1">
      <c r="A2773" s="1085">
        <v>3869.0</v>
      </c>
      <c r="B2773" s="1086" t="s">
        <v>8089</v>
      </c>
      <c r="C2773" s="1087" t="s">
        <v>1788</v>
      </c>
      <c r="D2773" s="1088">
        <v>3.25</v>
      </c>
      <c r="E2773" s="1089" t="s">
        <v>5308</v>
      </c>
      <c r="F2773" s="1081">
        <f t="shared" si="1"/>
        <v>0</v>
      </c>
      <c r="G2773" s="1083">
        <f t="shared" si="2"/>
        <v>3.25</v>
      </c>
      <c r="H2773" s="1084"/>
    </row>
    <row r="2774" ht="14.25" customHeight="1">
      <c r="A2774" s="1085">
        <v>3872.0</v>
      </c>
      <c r="B2774" s="1086" t="s">
        <v>8090</v>
      </c>
      <c r="C2774" s="1087" t="s">
        <v>1788</v>
      </c>
      <c r="D2774" s="1088">
        <v>5.55</v>
      </c>
      <c r="E2774" s="1089" t="s">
        <v>5308</v>
      </c>
      <c r="F2774" s="1081">
        <f t="shared" si="1"/>
        <v>0</v>
      </c>
      <c r="G2774" s="1083">
        <f t="shared" si="2"/>
        <v>5.55</v>
      </c>
      <c r="H2774" s="1084"/>
    </row>
    <row r="2775" ht="14.25" customHeight="1">
      <c r="A2775" s="1085">
        <v>3850.0</v>
      </c>
      <c r="B2775" s="1086" t="s">
        <v>8091</v>
      </c>
      <c r="C2775" s="1087" t="s">
        <v>1788</v>
      </c>
      <c r="D2775" s="1088">
        <v>12.81</v>
      </c>
      <c r="E2775" s="1089" t="s">
        <v>5308</v>
      </c>
      <c r="F2775" s="1081">
        <f t="shared" si="1"/>
        <v>0</v>
      </c>
      <c r="G2775" s="1083">
        <f t="shared" si="2"/>
        <v>12.81</v>
      </c>
      <c r="H2775" s="1084"/>
    </row>
    <row r="2776" ht="14.25" customHeight="1">
      <c r="A2776" s="1085">
        <v>38023.0</v>
      </c>
      <c r="B2776" s="1086" t="s">
        <v>8092</v>
      </c>
      <c r="C2776" s="1087" t="s">
        <v>1788</v>
      </c>
      <c r="D2776" s="1088">
        <v>6.52</v>
      </c>
      <c r="E2776" s="1089" t="s">
        <v>5308</v>
      </c>
      <c r="F2776" s="1081">
        <f t="shared" si="1"/>
        <v>0</v>
      </c>
      <c r="G2776" s="1083">
        <f t="shared" si="2"/>
        <v>6.52</v>
      </c>
      <c r="H2776" s="1084"/>
    </row>
    <row r="2777" ht="14.25" customHeight="1">
      <c r="A2777" s="1085">
        <v>37986.0</v>
      </c>
      <c r="B2777" s="1086" t="s">
        <v>8093</v>
      </c>
      <c r="C2777" s="1087" t="s">
        <v>1788</v>
      </c>
      <c r="D2777" s="1088">
        <v>2.39</v>
      </c>
      <c r="E2777" s="1089" t="s">
        <v>5308</v>
      </c>
      <c r="F2777" s="1081">
        <f t="shared" si="1"/>
        <v>0</v>
      </c>
      <c r="G2777" s="1083">
        <f t="shared" si="2"/>
        <v>2.39</v>
      </c>
      <c r="H2777" s="1084"/>
    </row>
    <row r="2778" ht="14.25" customHeight="1">
      <c r="A2778" s="1085">
        <v>37987.0</v>
      </c>
      <c r="B2778" s="1086" t="s">
        <v>8094</v>
      </c>
      <c r="C2778" s="1087" t="s">
        <v>1788</v>
      </c>
      <c r="D2778" s="1088">
        <v>119.4</v>
      </c>
      <c r="E2778" s="1089" t="s">
        <v>5308</v>
      </c>
      <c r="F2778" s="1081">
        <f t="shared" si="1"/>
        <v>0</v>
      </c>
      <c r="G2778" s="1083">
        <f t="shared" si="2"/>
        <v>119.4</v>
      </c>
      <c r="H2778" s="1084"/>
    </row>
    <row r="2779" ht="14.25" customHeight="1">
      <c r="A2779" s="1085">
        <v>37988.0</v>
      </c>
      <c r="B2779" s="1086" t="s">
        <v>8095</v>
      </c>
      <c r="C2779" s="1087" t="s">
        <v>1788</v>
      </c>
      <c r="D2779" s="1088">
        <v>189.74</v>
      </c>
      <c r="E2779" s="1089" t="s">
        <v>5308</v>
      </c>
      <c r="F2779" s="1081">
        <f t="shared" si="1"/>
        <v>0</v>
      </c>
      <c r="G2779" s="1083">
        <f t="shared" si="2"/>
        <v>189.74</v>
      </c>
      <c r="H2779" s="1084"/>
    </row>
    <row r="2780" ht="14.25" customHeight="1">
      <c r="A2780" s="1085">
        <v>21120.0</v>
      </c>
      <c r="B2780" s="1086" t="s">
        <v>8096</v>
      </c>
      <c r="C2780" s="1087" t="s">
        <v>1788</v>
      </c>
      <c r="D2780" s="1088">
        <v>12.21</v>
      </c>
      <c r="E2780" s="1089" t="s">
        <v>5308</v>
      </c>
      <c r="F2780" s="1081">
        <f t="shared" si="1"/>
        <v>0</v>
      </c>
      <c r="G2780" s="1083">
        <f t="shared" si="2"/>
        <v>12.21</v>
      </c>
      <c r="H2780" s="1084"/>
    </row>
    <row r="2781" ht="14.25" customHeight="1">
      <c r="A2781" s="1085">
        <v>39318.0</v>
      </c>
      <c r="B2781" s="1086" t="s">
        <v>8097</v>
      </c>
      <c r="C2781" s="1087" t="s">
        <v>1788</v>
      </c>
      <c r="D2781" s="1088">
        <v>11.36</v>
      </c>
      <c r="E2781" s="1089" t="s">
        <v>5308</v>
      </c>
      <c r="F2781" s="1081">
        <f t="shared" si="1"/>
        <v>0</v>
      </c>
      <c r="G2781" s="1083">
        <f t="shared" si="2"/>
        <v>11.36</v>
      </c>
      <c r="H2781" s="1084"/>
    </row>
    <row r="2782" ht="14.25" customHeight="1">
      <c r="A2782" s="1085">
        <v>40366.0</v>
      </c>
      <c r="B2782" s="1086" t="s">
        <v>8098</v>
      </c>
      <c r="C2782" s="1087" t="s">
        <v>1788</v>
      </c>
      <c r="D2782" s="1088">
        <v>49.92</v>
      </c>
      <c r="E2782" s="1089" t="s">
        <v>5308</v>
      </c>
      <c r="F2782" s="1081">
        <f t="shared" si="1"/>
        <v>0</v>
      </c>
      <c r="G2782" s="1083">
        <f t="shared" si="2"/>
        <v>49.92</v>
      </c>
      <c r="H2782" s="1084"/>
    </row>
    <row r="2783" ht="14.25" customHeight="1">
      <c r="A2783" s="1085">
        <v>40363.0</v>
      </c>
      <c r="B2783" s="1086" t="s">
        <v>8099</v>
      </c>
      <c r="C2783" s="1087" t="s">
        <v>1788</v>
      </c>
      <c r="D2783" s="1088">
        <v>39.05</v>
      </c>
      <c r="E2783" s="1089" t="s">
        <v>5308</v>
      </c>
      <c r="F2783" s="1081">
        <f t="shared" si="1"/>
        <v>0</v>
      </c>
      <c r="G2783" s="1083">
        <f t="shared" si="2"/>
        <v>39.05</v>
      </c>
      <c r="H2783" s="1084"/>
    </row>
    <row r="2784" ht="14.25" customHeight="1">
      <c r="A2784" s="1085">
        <v>40354.0</v>
      </c>
      <c r="B2784" s="1086" t="s">
        <v>8100</v>
      </c>
      <c r="C2784" s="1087" t="s">
        <v>1788</v>
      </c>
      <c r="D2784" s="1088">
        <v>17.0</v>
      </c>
      <c r="E2784" s="1089" t="s">
        <v>5308</v>
      </c>
      <c r="F2784" s="1081">
        <f t="shared" si="1"/>
        <v>0</v>
      </c>
      <c r="G2784" s="1083">
        <f t="shared" si="2"/>
        <v>17</v>
      </c>
      <c r="H2784" s="1084"/>
    </row>
    <row r="2785" ht="14.25" customHeight="1">
      <c r="A2785" s="1085">
        <v>40360.0</v>
      </c>
      <c r="B2785" s="1086" t="s">
        <v>8101</v>
      </c>
      <c r="C2785" s="1087" t="s">
        <v>1788</v>
      </c>
      <c r="D2785" s="1088">
        <v>25.6</v>
      </c>
      <c r="E2785" s="1089" t="s">
        <v>5308</v>
      </c>
      <c r="F2785" s="1081">
        <f t="shared" si="1"/>
        <v>0</v>
      </c>
      <c r="G2785" s="1083">
        <f t="shared" si="2"/>
        <v>25.6</v>
      </c>
      <c r="H2785" s="1084"/>
    </row>
    <row r="2786" ht="14.25" customHeight="1">
      <c r="A2786" s="1085">
        <v>40372.0</v>
      </c>
      <c r="B2786" s="1086" t="s">
        <v>8102</v>
      </c>
      <c r="C2786" s="1087" t="s">
        <v>1788</v>
      </c>
      <c r="D2786" s="1088">
        <v>158.08</v>
      </c>
      <c r="E2786" s="1089" t="s">
        <v>5308</v>
      </c>
      <c r="F2786" s="1081">
        <f t="shared" si="1"/>
        <v>0</v>
      </c>
      <c r="G2786" s="1083">
        <f t="shared" si="2"/>
        <v>158.08</v>
      </c>
      <c r="H2786" s="1084"/>
    </row>
    <row r="2787" ht="14.25" customHeight="1">
      <c r="A2787" s="1085">
        <v>40369.0</v>
      </c>
      <c r="B2787" s="1086" t="s">
        <v>8103</v>
      </c>
      <c r="C2787" s="1087" t="s">
        <v>1788</v>
      </c>
      <c r="D2787" s="1088">
        <v>78.68</v>
      </c>
      <c r="E2787" s="1089" t="s">
        <v>5308</v>
      </c>
      <c r="F2787" s="1081">
        <f t="shared" si="1"/>
        <v>0</v>
      </c>
      <c r="G2787" s="1083">
        <f t="shared" si="2"/>
        <v>78.68</v>
      </c>
      <c r="H2787" s="1084"/>
    </row>
    <row r="2788" ht="14.25" customHeight="1">
      <c r="A2788" s="1085">
        <v>40357.0</v>
      </c>
      <c r="B2788" s="1086" t="s">
        <v>8104</v>
      </c>
      <c r="C2788" s="1087" t="s">
        <v>1788</v>
      </c>
      <c r="D2788" s="1088">
        <v>19.08</v>
      </c>
      <c r="E2788" s="1089" t="s">
        <v>5308</v>
      </c>
      <c r="F2788" s="1081">
        <f t="shared" si="1"/>
        <v>0</v>
      </c>
      <c r="G2788" s="1083">
        <f t="shared" si="2"/>
        <v>19.08</v>
      </c>
      <c r="H2788" s="1084"/>
    </row>
    <row r="2789" ht="14.25" customHeight="1">
      <c r="A2789" s="1085">
        <v>40375.0</v>
      </c>
      <c r="B2789" s="1086" t="s">
        <v>8105</v>
      </c>
      <c r="C2789" s="1087" t="s">
        <v>1788</v>
      </c>
      <c r="D2789" s="1088">
        <v>214.0</v>
      </c>
      <c r="E2789" s="1089" t="s">
        <v>5308</v>
      </c>
      <c r="F2789" s="1081">
        <f t="shared" si="1"/>
        <v>0</v>
      </c>
      <c r="G2789" s="1083">
        <f t="shared" si="2"/>
        <v>214</v>
      </c>
      <c r="H2789" s="1084"/>
    </row>
    <row r="2790" ht="14.25" customHeight="1">
      <c r="A2790" s="1085">
        <v>1893.0</v>
      </c>
      <c r="B2790" s="1086" t="s">
        <v>8106</v>
      </c>
      <c r="C2790" s="1087" t="s">
        <v>1788</v>
      </c>
      <c r="D2790" s="1088">
        <v>5.0</v>
      </c>
      <c r="E2790" s="1089" t="s">
        <v>5308</v>
      </c>
      <c r="F2790" s="1081">
        <f t="shared" si="1"/>
        <v>0</v>
      </c>
      <c r="G2790" s="1083">
        <f t="shared" si="2"/>
        <v>5</v>
      </c>
      <c r="H2790" s="1084"/>
    </row>
    <row r="2791" ht="14.25" customHeight="1">
      <c r="A2791" s="1085">
        <v>1902.0</v>
      </c>
      <c r="B2791" s="1086" t="s">
        <v>8107</v>
      </c>
      <c r="C2791" s="1087" t="s">
        <v>1788</v>
      </c>
      <c r="D2791" s="1088">
        <v>3.64</v>
      </c>
      <c r="E2791" s="1089" t="s">
        <v>5308</v>
      </c>
      <c r="F2791" s="1081">
        <f t="shared" si="1"/>
        <v>0</v>
      </c>
      <c r="G2791" s="1083">
        <f t="shared" si="2"/>
        <v>3.64</v>
      </c>
      <c r="H2791" s="1084"/>
    </row>
    <row r="2792" ht="14.25" customHeight="1">
      <c r="A2792" s="1085">
        <v>1901.0</v>
      </c>
      <c r="B2792" s="1086" t="s">
        <v>8108</v>
      </c>
      <c r="C2792" s="1087" t="s">
        <v>1788</v>
      </c>
      <c r="D2792" s="1088">
        <v>1.14</v>
      </c>
      <c r="E2792" s="1089" t="s">
        <v>5308</v>
      </c>
      <c r="F2792" s="1081">
        <f t="shared" si="1"/>
        <v>0</v>
      </c>
      <c r="G2792" s="1083">
        <f t="shared" si="2"/>
        <v>1.14</v>
      </c>
      <c r="H2792" s="1084"/>
    </row>
    <row r="2793" ht="14.25" customHeight="1">
      <c r="A2793" s="1085">
        <v>1892.0</v>
      </c>
      <c r="B2793" s="1086" t="s">
        <v>8109</v>
      </c>
      <c r="C2793" s="1087" t="s">
        <v>1788</v>
      </c>
      <c r="D2793" s="1088">
        <v>2.34</v>
      </c>
      <c r="E2793" s="1089" t="s">
        <v>5308</v>
      </c>
      <c r="F2793" s="1081">
        <f t="shared" si="1"/>
        <v>0</v>
      </c>
      <c r="G2793" s="1083">
        <f t="shared" si="2"/>
        <v>2.34</v>
      </c>
      <c r="H2793" s="1084"/>
    </row>
    <row r="2794" ht="14.25" customHeight="1">
      <c r="A2794" s="1085">
        <v>1907.0</v>
      </c>
      <c r="B2794" s="1086" t="s">
        <v>8110</v>
      </c>
      <c r="C2794" s="1087" t="s">
        <v>1788</v>
      </c>
      <c r="D2794" s="1088">
        <v>16.09</v>
      </c>
      <c r="E2794" s="1089" t="s">
        <v>5308</v>
      </c>
      <c r="F2794" s="1081">
        <f t="shared" si="1"/>
        <v>0</v>
      </c>
      <c r="G2794" s="1083">
        <f t="shared" si="2"/>
        <v>16.09</v>
      </c>
      <c r="H2794" s="1084"/>
    </row>
    <row r="2795" ht="14.25" customHeight="1">
      <c r="A2795" s="1085">
        <v>1894.0</v>
      </c>
      <c r="B2795" s="1086" t="s">
        <v>8111</v>
      </c>
      <c r="C2795" s="1087" t="s">
        <v>1788</v>
      </c>
      <c r="D2795" s="1088">
        <v>7.24</v>
      </c>
      <c r="E2795" s="1089" t="s">
        <v>5308</v>
      </c>
      <c r="F2795" s="1081">
        <f t="shared" si="1"/>
        <v>0</v>
      </c>
      <c r="G2795" s="1083">
        <f t="shared" si="2"/>
        <v>7.24</v>
      </c>
      <c r="H2795" s="1084"/>
    </row>
    <row r="2796" ht="14.25" customHeight="1">
      <c r="A2796" s="1085">
        <v>1891.0</v>
      </c>
      <c r="B2796" s="1086" t="s">
        <v>8112</v>
      </c>
      <c r="C2796" s="1087" t="s">
        <v>1788</v>
      </c>
      <c r="D2796" s="1088">
        <v>1.68</v>
      </c>
      <c r="E2796" s="1089" t="s">
        <v>5308</v>
      </c>
      <c r="F2796" s="1081">
        <f t="shared" si="1"/>
        <v>0</v>
      </c>
      <c r="G2796" s="1083">
        <f t="shared" si="2"/>
        <v>1.68</v>
      </c>
      <c r="H2796" s="1084"/>
    </row>
    <row r="2797" ht="14.25" customHeight="1">
      <c r="A2797" s="1085">
        <v>1896.0</v>
      </c>
      <c r="B2797" s="1086" t="s">
        <v>8113</v>
      </c>
      <c r="C2797" s="1087" t="s">
        <v>1788</v>
      </c>
      <c r="D2797" s="1088">
        <v>21.61</v>
      </c>
      <c r="E2797" s="1089" t="s">
        <v>5308</v>
      </c>
      <c r="F2797" s="1081">
        <f t="shared" si="1"/>
        <v>0</v>
      </c>
      <c r="G2797" s="1083">
        <f t="shared" si="2"/>
        <v>21.61</v>
      </c>
      <c r="H2797" s="1084"/>
    </row>
    <row r="2798" ht="14.25" customHeight="1">
      <c r="A2798" s="1085">
        <v>1895.0</v>
      </c>
      <c r="B2798" s="1086" t="s">
        <v>8114</v>
      </c>
      <c r="C2798" s="1087" t="s">
        <v>1788</v>
      </c>
      <c r="D2798" s="1088">
        <v>37.97</v>
      </c>
      <c r="E2798" s="1089" t="s">
        <v>5308</v>
      </c>
      <c r="F2798" s="1081">
        <f t="shared" si="1"/>
        <v>0</v>
      </c>
      <c r="G2798" s="1083">
        <f t="shared" si="2"/>
        <v>37.97</v>
      </c>
      <c r="H2798" s="1084"/>
    </row>
    <row r="2799" ht="14.25" customHeight="1">
      <c r="A2799" s="1085">
        <v>2641.0</v>
      </c>
      <c r="B2799" s="1086" t="s">
        <v>8115</v>
      </c>
      <c r="C2799" s="1087" t="s">
        <v>1788</v>
      </c>
      <c r="D2799" s="1088">
        <v>33.62</v>
      </c>
      <c r="E2799" s="1089" t="s">
        <v>5308</v>
      </c>
      <c r="F2799" s="1081">
        <f t="shared" si="1"/>
        <v>0</v>
      </c>
      <c r="G2799" s="1083">
        <f t="shared" si="2"/>
        <v>33.62</v>
      </c>
      <c r="H2799" s="1084"/>
    </row>
    <row r="2800" ht="14.25" customHeight="1">
      <c r="A2800" s="1085">
        <v>2636.0</v>
      </c>
      <c r="B2800" s="1086" t="s">
        <v>8116</v>
      </c>
      <c r="C2800" s="1087" t="s">
        <v>1788</v>
      </c>
      <c r="D2800" s="1088">
        <v>2.16</v>
      </c>
      <c r="E2800" s="1089" t="s">
        <v>5308</v>
      </c>
      <c r="F2800" s="1081">
        <f t="shared" si="1"/>
        <v>0</v>
      </c>
      <c r="G2800" s="1083">
        <f t="shared" si="2"/>
        <v>2.16</v>
      </c>
      <c r="H2800" s="1084"/>
    </row>
    <row r="2801" ht="14.25" customHeight="1">
      <c r="A2801" s="1085">
        <v>2637.0</v>
      </c>
      <c r="B2801" s="1086" t="s">
        <v>8117</v>
      </c>
      <c r="C2801" s="1087" t="s">
        <v>1788</v>
      </c>
      <c r="D2801" s="1088">
        <v>2.3</v>
      </c>
      <c r="E2801" s="1089" t="s">
        <v>5308</v>
      </c>
      <c r="F2801" s="1081">
        <f t="shared" si="1"/>
        <v>0</v>
      </c>
      <c r="G2801" s="1083">
        <f t="shared" si="2"/>
        <v>2.3</v>
      </c>
      <c r="H2801" s="1084"/>
    </row>
    <row r="2802" ht="14.25" customHeight="1">
      <c r="A2802" s="1085">
        <v>2638.0</v>
      </c>
      <c r="B2802" s="1086" t="s">
        <v>8118</v>
      </c>
      <c r="C2802" s="1087" t="s">
        <v>1788</v>
      </c>
      <c r="D2802" s="1088">
        <v>2.68</v>
      </c>
      <c r="E2802" s="1089" t="s">
        <v>5308</v>
      </c>
      <c r="F2802" s="1081">
        <f t="shared" si="1"/>
        <v>0</v>
      </c>
      <c r="G2802" s="1083">
        <f t="shared" si="2"/>
        <v>2.68</v>
      </c>
      <c r="H2802" s="1084"/>
    </row>
    <row r="2803" ht="14.25" customHeight="1">
      <c r="A2803" s="1085">
        <v>2639.0</v>
      </c>
      <c r="B2803" s="1086" t="s">
        <v>8119</v>
      </c>
      <c r="C2803" s="1087" t="s">
        <v>1788</v>
      </c>
      <c r="D2803" s="1088">
        <v>4.75</v>
      </c>
      <c r="E2803" s="1089" t="s">
        <v>5308</v>
      </c>
      <c r="F2803" s="1081">
        <f t="shared" si="1"/>
        <v>0</v>
      </c>
      <c r="G2803" s="1083">
        <f t="shared" si="2"/>
        <v>4.75</v>
      </c>
      <c r="H2803" s="1084"/>
    </row>
    <row r="2804" ht="14.25" customHeight="1">
      <c r="A2804" s="1085">
        <v>2644.0</v>
      </c>
      <c r="B2804" s="1086" t="s">
        <v>8120</v>
      </c>
      <c r="C2804" s="1087" t="s">
        <v>1788</v>
      </c>
      <c r="D2804" s="1088">
        <v>6.88</v>
      </c>
      <c r="E2804" s="1089" t="s">
        <v>5308</v>
      </c>
      <c r="F2804" s="1081">
        <f t="shared" si="1"/>
        <v>0</v>
      </c>
      <c r="G2804" s="1083">
        <f t="shared" si="2"/>
        <v>6.88</v>
      </c>
      <c r="H2804" s="1084"/>
    </row>
    <row r="2805" ht="14.25" customHeight="1">
      <c r="A2805" s="1085">
        <v>2643.0</v>
      </c>
      <c r="B2805" s="1086" t="s">
        <v>8121</v>
      </c>
      <c r="C2805" s="1087" t="s">
        <v>1788</v>
      </c>
      <c r="D2805" s="1088">
        <v>9.59</v>
      </c>
      <c r="E2805" s="1089" t="s">
        <v>5308</v>
      </c>
      <c r="F2805" s="1081">
        <f t="shared" si="1"/>
        <v>0</v>
      </c>
      <c r="G2805" s="1083">
        <f t="shared" si="2"/>
        <v>9.59</v>
      </c>
      <c r="H2805" s="1084"/>
    </row>
    <row r="2806" ht="14.25" customHeight="1">
      <c r="A2806" s="1085">
        <v>2640.0</v>
      </c>
      <c r="B2806" s="1086" t="s">
        <v>8122</v>
      </c>
      <c r="C2806" s="1087" t="s">
        <v>1788</v>
      </c>
      <c r="D2806" s="1088">
        <v>13.99</v>
      </c>
      <c r="E2806" s="1089" t="s">
        <v>5308</v>
      </c>
      <c r="F2806" s="1081">
        <f t="shared" si="1"/>
        <v>0</v>
      </c>
      <c r="G2806" s="1083">
        <f t="shared" si="2"/>
        <v>13.99</v>
      </c>
      <c r="H2806" s="1084"/>
    </row>
    <row r="2807" ht="14.25" customHeight="1">
      <c r="A2807" s="1085">
        <v>2642.0</v>
      </c>
      <c r="B2807" s="1086" t="s">
        <v>8123</v>
      </c>
      <c r="C2807" s="1087" t="s">
        <v>1788</v>
      </c>
      <c r="D2807" s="1088">
        <v>21.3</v>
      </c>
      <c r="E2807" s="1089" t="s">
        <v>5308</v>
      </c>
      <c r="F2807" s="1081">
        <f t="shared" si="1"/>
        <v>0</v>
      </c>
      <c r="G2807" s="1083">
        <f t="shared" si="2"/>
        <v>21.3</v>
      </c>
      <c r="H2807" s="1084"/>
    </row>
    <row r="2808" ht="14.25" customHeight="1">
      <c r="A2808" s="1085">
        <v>39855.0</v>
      </c>
      <c r="B2808" s="1086" t="s">
        <v>8124</v>
      </c>
      <c r="C2808" s="1087" t="s">
        <v>1788</v>
      </c>
      <c r="D2808" s="1088">
        <v>2.84</v>
      </c>
      <c r="E2808" s="1089" t="s">
        <v>5308</v>
      </c>
      <c r="F2808" s="1081">
        <f t="shared" si="1"/>
        <v>0</v>
      </c>
      <c r="G2808" s="1083">
        <f t="shared" si="2"/>
        <v>2.84</v>
      </c>
      <c r="H2808" s="1084"/>
    </row>
    <row r="2809" ht="14.25" customHeight="1">
      <c r="A2809" s="1085">
        <v>39856.0</v>
      </c>
      <c r="B2809" s="1086" t="s">
        <v>8125</v>
      </c>
      <c r="C2809" s="1087" t="s">
        <v>1788</v>
      </c>
      <c r="D2809" s="1088">
        <v>6.71</v>
      </c>
      <c r="E2809" s="1089" t="s">
        <v>5308</v>
      </c>
      <c r="F2809" s="1081">
        <f t="shared" si="1"/>
        <v>0</v>
      </c>
      <c r="G2809" s="1083">
        <f t="shared" si="2"/>
        <v>6.71</v>
      </c>
      <c r="H2809" s="1084"/>
    </row>
    <row r="2810" ht="14.25" customHeight="1">
      <c r="A2810" s="1085">
        <v>39857.0</v>
      </c>
      <c r="B2810" s="1086" t="s">
        <v>8126</v>
      </c>
      <c r="C2810" s="1087" t="s">
        <v>1788</v>
      </c>
      <c r="D2810" s="1088">
        <v>10.85</v>
      </c>
      <c r="E2810" s="1089" t="s">
        <v>5308</v>
      </c>
      <c r="F2810" s="1081">
        <f t="shared" si="1"/>
        <v>0</v>
      </c>
      <c r="G2810" s="1083">
        <f t="shared" si="2"/>
        <v>10.85</v>
      </c>
      <c r="H2810" s="1084"/>
    </row>
    <row r="2811" ht="14.25" customHeight="1">
      <c r="A2811" s="1085">
        <v>39858.0</v>
      </c>
      <c r="B2811" s="1086" t="s">
        <v>8127</v>
      </c>
      <c r="C2811" s="1087" t="s">
        <v>1788</v>
      </c>
      <c r="D2811" s="1088">
        <v>24.08</v>
      </c>
      <c r="E2811" s="1089" t="s">
        <v>5308</v>
      </c>
      <c r="F2811" s="1081">
        <f t="shared" si="1"/>
        <v>0</v>
      </c>
      <c r="G2811" s="1083">
        <f t="shared" si="2"/>
        <v>24.08</v>
      </c>
      <c r="H2811" s="1084"/>
    </row>
    <row r="2812" ht="14.25" customHeight="1">
      <c r="A2812" s="1085">
        <v>39859.0</v>
      </c>
      <c r="B2812" s="1086" t="s">
        <v>8128</v>
      </c>
      <c r="C2812" s="1087" t="s">
        <v>1788</v>
      </c>
      <c r="D2812" s="1088">
        <v>37.12</v>
      </c>
      <c r="E2812" s="1089" t="s">
        <v>5308</v>
      </c>
      <c r="F2812" s="1081">
        <f t="shared" si="1"/>
        <v>0</v>
      </c>
      <c r="G2812" s="1083">
        <f t="shared" si="2"/>
        <v>37.12</v>
      </c>
      <c r="H2812" s="1084"/>
    </row>
    <row r="2813" ht="14.25" customHeight="1">
      <c r="A2813" s="1085">
        <v>39860.0</v>
      </c>
      <c r="B2813" s="1086" t="s">
        <v>8129</v>
      </c>
      <c r="C2813" s="1087" t="s">
        <v>1788</v>
      </c>
      <c r="D2813" s="1088">
        <v>56.97</v>
      </c>
      <c r="E2813" s="1089" t="s">
        <v>5308</v>
      </c>
      <c r="F2813" s="1081">
        <f t="shared" si="1"/>
        <v>0</v>
      </c>
      <c r="G2813" s="1083">
        <f t="shared" si="2"/>
        <v>56.97</v>
      </c>
      <c r="H2813" s="1084"/>
    </row>
    <row r="2814" ht="14.25" customHeight="1">
      <c r="A2814" s="1085">
        <v>39861.0</v>
      </c>
      <c r="B2814" s="1086" t="s">
        <v>8130</v>
      </c>
      <c r="C2814" s="1087" t="s">
        <v>1788</v>
      </c>
      <c r="D2814" s="1088">
        <v>162.66</v>
      </c>
      <c r="E2814" s="1089" t="s">
        <v>5308</v>
      </c>
      <c r="F2814" s="1081">
        <f t="shared" si="1"/>
        <v>0</v>
      </c>
      <c r="G2814" s="1083">
        <f t="shared" si="2"/>
        <v>162.66</v>
      </c>
      <c r="H2814" s="1084"/>
    </row>
    <row r="2815" ht="14.25" customHeight="1">
      <c r="A2815" s="1085">
        <v>3867.0</v>
      </c>
      <c r="B2815" s="1086" t="s">
        <v>8131</v>
      </c>
      <c r="C2815" s="1087" t="s">
        <v>1788</v>
      </c>
      <c r="D2815" s="1088">
        <v>78.0</v>
      </c>
      <c r="E2815" s="1089" t="s">
        <v>5308</v>
      </c>
      <c r="F2815" s="1081">
        <f t="shared" si="1"/>
        <v>0</v>
      </c>
      <c r="G2815" s="1083">
        <f t="shared" si="2"/>
        <v>78</v>
      </c>
      <c r="H2815" s="1084"/>
    </row>
    <row r="2816" ht="14.25" customHeight="1">
      <c r="A2816" s="1085">
        <v>3861.0</v>
      </c>
      <c r="B2816" s="1086" t="s">
        <v>8132</v>
      </c>
      <c r="C2816" s="1087" t="s">
        <v>1788</v>
      </c>
      <c r="D2816" s="1088">
        <v>0.81</v>
      </c>
      <c r="E2816" s="1089" t="s">
        <v>5308</v>
      </c>
      <c r="F2816" s="1081">
        <f t="shared" si="1"/>
        <v>0</v>
      </c>
      <c r="G2816" s="1083">
        <f t="shared" si="2"/>
        <v>0.81</v>
      </c>
      <c r="H2816" s="1084"/>
    </row>
    <row r="2817" ht="14.25" customHeight="1">
      <c r="A2817" s="1085">
        <v>3904.0</v>
      </c>
      <c r="B2817" s="1086" t="s">
        <v>8133</v>
      </c>
      <c r="C2817" s="1087" t="s">
        <v>1788</v>
      </c>
      <c r="D2817" s="1088">
        <v>0.86</v>
      </c>
      <c r="E2817" s="1089" t="s">
        <v>5308</v>
      </c>
      <c r="F2817" s="1081">
        <f t="shared" si="1"/>
        <v>0</v>
      </c>
      <c r="G2817" s="1083">
        <f t="shared" si="2"/>
        <v>0.86</v>
      </c>
      <c r="H2817" s="1084"/>
    </row>
    <row r="2818" ht="14.25" customHeight="1">
      <c r="A2818" s="1085">
        <v>3903.0</v>
      </c>
      <c r="B2818" s="1086" t="s">
        <v>8134</v>
      </c>
      <c r="C2818" s="1087" t="s">
        <v>1788</v>
      </c>
      <c r="D2818" s="1088">
        <v>2.09</v>
      </c>
      <c r="E2818" s="1089" t="s">
        <v>5308</v>
      </c>
      <c r="F2818" s="1081">
        <f t="shared" si="1"/>
        <v>0</v>
      </c>
      <c r="G2818" s="1083">
        <f t="shared" si="2"/>
        <v>2.09</v>
      </c>
      <c r="H2818" s="1084"/>
    </row>
    <row r="2819" ht="14.25" customHeight="1">
      <c r="A2819" s="1085">
        <v>3862.0</v>
      </c>
      <c r="B2819" s="1086" t="s">
        <v>8135</v>
      </c>
      <c r="C2819" s="1087" t="s">
        <v>1788</v>
      </c>
      <c r="D2819" s="1088">
        <v>4.46</v>
      </c>
      <c r="E2819" s="1089" t="s">
        <v>5308</v>
      </c>
      <c r="F2819" s="1081">
        <f t="shared" si="1"/>
        <v>0</v>
      </c>
      <c r="G2819" s="1083">
        <f t="shared" si="2"/>
        <v>4.46</v>
      </c>
      <c r="H2819" s="1084"/>
    </row>
    <row r="2820" ht="14.25" customHeight="1">
      <c r="A2820" s="1085">
        <v>3863.0</v>
      </c>
      <c r="B2820" s="1086" t="s">
        <v>8136</v>
      </c>
      <c r="C2820" s="1087" t="s">
        <v>1788</v>
      </c>
      <c r="D2820" s="1088">
        <v>4.57</v>
      </c>
      <c r="E2820" s="1089" t="s">
        <v>5308</v>
      </c>
      <c r="F2820" s="1081">
        <f t="shared" si="1"/>
        <v>0</v>
      </c>
      <c r="G2820" s="1083">
        <f t="shared" si="2"/>
        <v>4.57</v>
      </c>
      <c r="H2820" s="1084"/>
    </row>
    <row r="2821" ht="14.25" customHeight="1">
      <c r="A2821" s="1085">
        <v>3864.0</v>
      </c>
      <c r="B2821" s="1086" t="s">
        <v>8137</v>
      </c>
      <c r="C2821" s="1087" t="s">
        <v>1788</v>
      </c>
      <c r="D2821" s="1088">
        <v>13.99</v>
      </c>
      <c r="E2821" s="1089" t="s">
        <v>5308</v>
      </c>
      <c r="F2821" s="1081">
        <f t="shared" si="1"/>
        <v>0</v>
      </c>
      <c r="G2821" s="1083">
        <f t="shared" si="2"/>
        <v>13.99</v>
      </c>
      <c r="H2821" s="1084"/>
    </row>
    <row r="2822" ht="14.25" customHeight="1">
      <c r="A2822" s="1085">
        <v>3865.0</v>
      </c>
      <c r="B2822" s="1086" t="s">
        <v>8138</v>
      </c>
      <c r="C2822" s="1087" t="s">
        <v>1788</v>
      </c>
      <c r="D2822" s="1088">
        <v>20.46</v>
      </c>
      <c r="E2822" s="1089" t="s">
        <v>5308</v>
      </c>
      <c r="F2822" s="1081">
        <f t="shared" si="1"/>
        <v>0</v>
      </c>
      <c r="G2822" s="1083">
        <f t="shared" si="2"/>
        <v>20.46</v>
      </c>
      <c r="H2822" s="1084"/>
    </row>
    <row r="2823" ht="14.25" customHeight="1">
      <c r="A2823" s="1085">
        <v>3866.0</v>
      </c>
      <c r="B2823" s="1086" t="s">
        <v>8139</v>
      </c>
      <c r="C2823" s="1087" t="s">
        <v>1788</v>
      </c>
      <c r="D2823" s="1088">
        <v>45.93</v>
      </c>
      <c r="E2823" s="1089" t="s">
        <v>5308</v>
      </c>
      <c r="F2823" s="1081">
        <f t="shared" si="1"/>
        <v>0</v>
      </c>
      <c r="G2823" s="1083">
        <f t="shared" si="2"/>
        <v>45.93</v>
      </c>
      <c r="H2823" s="1084"/>
    </row>
    <row r="2824" ht="14.25" customHeight="1">
      <c r="A2824" s="1085">
        <v>3878.0</v>
      </c>
      <c r="B2824" s="1086" t="s">
        <v>8140</v>
      </c>
      <c r="C2824" s="1087" t="s">
        <v>1788</v>
      </c>
      <c r="D2824" s="1088">
        <v>12.52</v>
      </c>
      <c r="E2824" s="1089" t="s">
        <v>5308</v>
      </c>
      <c r="F2824" s="1081">
        <f t="shared" si="1"/>
        <v>0</v>
      </c>
      <c r="G2824" s="1083">
        <f t="shared" si="2"/>
        <v>12.52</v>
      </c>
      <c r="H2824" s="1084"/>
    </row>
    <row r="2825" ht="14.25" customHeight="1">
      <c r="A2825" s="1085">
        <v>3883.0</v>
      </c>
      <c r="B2825" s="1086" t="s">
        <v>8141</v>
      </c>
      <c r="C2825" s="1087" t="s">
        <v>1788</v>
      </c>
      <c r="D2825" s="1088">
        <v>1.6</v>
      </c>
      <c r="E2825" s="1089" t="s">
        <v>5308</v>
      </c>
      <c r="F2825" s="1081">
        <f t="shared" si="1"/>
        <v>0</v>
      </c>
      <c r="G2825" s="1083">
        <f t="shared" si="2"/>
        <v>1.6</v>
      </c>
      <c r="H2825" s="1084"/>
    </row>
    <row r="2826" ht="14.25" customHeight="1">
      <c r="A2826" s="1085">
        <v>3876.0</v>
      </c>
      <c r="B2826" s="1086" t="s">
        <v>8142</v>
      </c>
      <c r="C2826" s="1087" t="s">
        <v>1788</v>
      </c>
      <c r="D2826" s="1088">
        <v>4.98</v>
      </c>
      <c r="E2826" s="1089" t="s">
        <v>5308</v>
      </c>
      <c r="F2826" s="1081">
        <f t="shared" si="1"/>
        <v>0</v>
      </c>
      <c r="G2826" s="1083">
        <f t="shared" si="2"/>
        <v>4.98</v>
      </c>
      <c r="H2826" s="1084"/>
    </row>
    <row r="2827" ht="14.25" customHeight="1">
      <c r="A2827" s="1085">
        <v>3884.0</v>
      </c>
      <c r="B2827" s="1086" t="s">
        <v>8143</v>
      </c>
      <c r="C2827" s="1087" t="s">
        <v>1788</v>
      </c>
      <c r="D2827" s="1088">
        <v>2.53</v>
      </c>
      <c r="E2827" s="1089" t="s">
        <v>5308</v>
      </c>
      <c r="F2827" s="1081">
        <f t="shared" si="1"/>
        <v>0</v>
      </c>
      <c r="G2827" s="1083">
        <f t="shared" si="2"/>
        <v>2.53</v>
      </c>
      <c r="H2827" s="1084"/>
    </row>
    <row r="2828" ht="14.25" customHeight="1">
      <c r="A2828" s="1085">
        <v>12892.0</v>
      </c>
      <c r="B2828" s="1086" t="s">
        <v>8144</v>
      </c>
      <c r="C2828" s="1087" t="s">
        <v>5728</v>
      </c>
      <c r="D2828" s="1088">
        <v>13.5</v>
      </c>
      <c r="E2828" s="1089" t="s">
        <v>5308</v>
      </c>
      <c r="F2828" s="1081">
        <f t="shared" si="1"/>
        <v>0</v>
      </c>
      <c r="G2828" s="1083">
        <f t="shared" si="2"/>
        <v>13.5</v>
      </c>
      <c r="H2828" s="1084"/>
    </row>
    <row r="2829" ht="14.25" customHeight="1">
      <c r="A2829" s="1085">
        <v>38447.0</v>
      </c>
      <c r="B2829" s="1086" t="s">
        <v>8145</v>
      </c>
      <c r="C2829" s="1087" t="s">
        <v>1788</v>
      </c>
      <c r="D2829" s="1088">
        <v>98.36</v>
      </c>
      <c r="E2829" s="1089" t="s">
        <v>5308</v>
      </c>
      <c r="F2829" s="1081">
        <f t="shared" si="1"/>
        <v>0</v>
      </c>
      <c r="G2829" s="1083">
        <f t="shared" si="2"/>
        <v>98.36</v>
      </c>
      <c r="H2829" s="1084"/>
    </row>
    <row r="2830" ht="14.25" customHeight="1">
      <c r="A2830" s="1085">
        <v>36320.0</v>
      </c>
      <c r="B2830" s="1086" t="s">
        <v>8146</v>
      </c>
      <c r="C2830" s="1087" t="s">
        <v>1788</v>
      </c>
      <c r="D2830" s="1088">
        <v>2.64</v>
      </c>
      <c r="E2830" s="1089" t="s">
        <v>5308</v>
      </c>
      <c r="F2830" s="1081">
        <f t="shared" si="1"/>
        <v>0</v>
      </c>
      <c r="G2830" s="1083">
        <f t="shared" si="2"/>
        <v>2.64</v>
      </c>
      <c r="H2830" s="1084"/>
    </row>
    <row r="2831" ht="14.25" customHeight="1">
      <c r="A2831" s="1085">
        <v>36324.0</v>
      </c>
      <c r="B2831" s="1086" t="s">
        <v>8147</v>
      </c>
      <c r="C2831" s="1087" t="s">
        <v>1788</v>
      </c>
      <c r="D2831" s="1088">
        <v>2.41</v>
      </c>
      <c r="E2831" s="1089" t="s">
        <v>5308</v>
      </c>
      <c r="F2831" s="1081">
        <f t="shared" si="1"/>
        <v>0</v>
      </c>
      <c r="G2831" s="1083">
        <f t="shared" si="2"/>
        <v>2.41</v>
      </c>
      <c r="H2831" s="1084"/>
    </row>
    <row r="2832" ht="14.25" customHeight="1">
      <c r="A2832" s="1085">
        <v>38441.0</v>
      </c>
      <c r="B2832" s="1086" t="s">
        <v>8148</v>
      </c>
      <c r="C2832" s="1087" t="s">
        <v>1788</v>
      </c>
      <c r="D2832" s="1088">
        <v>4.32</v>
      </c>
      <c r="E2832" s="1089" t="s">
        <v>5308</v>
      </c>
      <c r="F2832" s="1081">
        <f t="shared" si="1"/>
        <v>0</v>
      </c>
      <c r="G2832" s="1083">
        <f t="shared" si="2"/>
        <v>4.32</v>
      </c>
      <c r="H2832" s="1084"/>
    </row>
    <row r="2833" ht="14.25" customHeight="1">
      <c r="A2833" s="1085">
        <v>38442.0</v>
      </c>
      <c r="B2833" s="1086" t="s">
        <v>8149</v>
      </c>
      <c r="C2833" s="1087" t="s">
        <v>1788</v>
      </c>
      <c r="D2833" s="1088">
        <v>12.29</v>
      </c>
      <c r="E2833" s="1089" t="s">
        <v>5308</v>
      </c>
      <c r="F2833" s="1081">
        <f t="shared" si="1"/>
        <v>0</v>
      </c>
      <c r="G2833" s="1083">
        <f t="shared" si="2"/>
        <v>12.29</v>
      </c>
      <c r="H2833" s="1084"/>
    </row>
    <row r="2834" ht="14.25" customHeight="1">
      <c r="A2834" s="1085">
        <v>38443.0</v>
      </c>
      <c r="B2834" s="1086" t="s">
        <v>8150</v>
      </c>
      <c r="C2834" s="1087" t="s">
        <v>1788</v>
      </c>
      <c r="D2834" s="1088">
        <v>14.91</v>
      </c>
      <c r="E2834" s="1089" t="s">
        <v>5308</v>
      </c>
      <c r="F2834" s="1081">
        <f t="shared" si="1"/>
        <v>0</v>
      </c>
      <c r="G2834" s="1083">
        <f t="shared" si="2"/>
        <v>14.91</v>
      </c>
      <c r="H2834" s="1084"/>
    </row>
    <row r="2835" ht="14.25" customHeight="1">
      <c r="A2835" s="1085">
        <v>38444.0</v>
      </c>
      <c r="B2835" s="1086" t="s">
        <v>8151</v>
      </c>
      <c r="C2835" s="1087" t="s">
        <v>1788</v>
      </c>
      <c r="D2835" s="1088">
        <v>25.04</v>
      </c>
      <c r="E2835" s="1089" t="s">
        <v>5308</v>
      </c>
      <c r="F2835" s="1081">
        <f t="shared" si="1"/>
        <v>0</v>
      </c>
      <c r="G2835" s="1083">
        <f t="shared" si="2"/>
        <v>25.04</v>
      </c>
      <c r="H2835" s="1084"/>
    </row>
    <row r="2836" ht="14.25" customHeight="1">
      <c r="A2836" s="1085">
        <v>38445.0</v>
      </c>
      <c r="B2836" s="1086" t="s">
        <v>8152</v>
      </c>
      <c r="C2836" s="1087" t="s">
        <v>1788</v>
      </c>
      <c r="D2836" s="1088">
        <v>46.43</v>
      </c>
      <c r="E2836" s="1089" t="s">
        <v>5308</v>
      </c>
      <c r="F2836" s="1081">
        <f t="shared" si="1"/>
        <v>0</v>
      </c>
      <c r="G2836" s="1083">
        <f t="shared" si="2"/>
        <v>46.43</v>
      </c>
      <c r="H2836" s="1084"/>
    </row>
    <row r="2837" ht="14.25" customHeight="1">
      <c r="A2837" s="1085">
        <v>38446.0</v>
      </c>
      <c r="B2837" s="1086" t="s">
        <v>8153</v>
      </c>
      <c r="C2837" s="1087" t="s">
        <v>1788</v>
      </c>
      <c r="D2837" s="1088">
        <v>76.0</v>
      </c>
      <c r="E2837" s="1089" t="s">
        <v>5308</v>
      </c>
      <c r="F2837" s="1081">
        <f t="shared" si="1"/>
        <v>0</v>
      </c>
      <c r="G2837" s="1083">
        <f t="shared" si="2"/>
        <v>76</v>
      </c>
      <c r="H2837" s="1084"/>
    </row>
    <row r="2838" ht="14.25" customHeight="1">
      <c r="A2838" s="1085">
        <v>3837.0</v>
      </c>
      <c r="B2838" s="1086" t="s">
        <v>8154</v>
      </c>
      <c r="C2838" s="1087" t="s">
        <v>1788</v>
      </c>
      <c r="D2838" s="1088">
        <v>43.73</v>
      </c>
      <c r="E2838" s="1089" t="s">
        <v>5308</v>
      </c>
      <c r="F2838" s="1081">
        <f t="shared" si="1"/>
        <v>0</v>
      </c>
      <c r="G2838" s="1083">
        <f t="shared" si="2"/>
        <v>43.73</v>
      </c>
      <c r="H2838" s="1084"/>
    </row>
    <row r="2839" ht="14.25" customHeight="1">
      <c r="A2839" s="1085">
        <v>3845.0</v>
      </c>
      <c r="B2839" s="1086" t="s">
        <v>8155</v>
      </c>
      <c r="C2839" s="1087" t="s">
        <v>1788</v>
      </c>
      <c r="D2839" s="1088">
        <v>15.98</v>
      </c>
      <c r="E2839" s="1089" t="s">
        <v>5308</v>
      </c>
      <c r="F2839" s="1081">
        <f t="shared" si="1"/>
        <v>0</v>
      </c>
      <c r="G2839" s="1083">
        <f t="shared" si="2"/>
        <v>15.98</v>
      </c>
      <c r="H2839" s="1084"/>
    </row>
    <row r="2840" ht="14.25" customHeight="1">
      <c r="A2840" s="1085">
        <v>11045.0</v>
      </c>
      <c r="B2840" s="1086" t="s">
        <v>8156</v>
      </c>
      <c r="C2840" s="1087" t="s">
        <v>1788</v>
      </c>
      <c r="D2840" s="1088">
        <v>30.82</v>
      </c>
      <c r="E2840" s="1089" t="s">
        <v>5308</v>
      </c>
      <c r="F2840" s="1081">
        <f t="shared" si="1"/>
        <v>0</v>
      </c>
      <c r="G2840" s="1083">
        <f t="shared" si="2"/>
        <v>30.82</v>
      </c>
      <c r="H2840" s="1084"/>
    </row>
    <row r="2841" ht="14.25" customHeight="1">
      <c r="A2841" s="1085">
        <v>20170.0</v>
      </c>
      <c r="B2841" s="1086" t="s">
        <v>8157</v>
      </c>
      <c r="C2841" s="1087" t="s">
        <v>1788</v>
      </c>
      <c r="D2841" s="1088">
        <v>15.48</v>
      </c>
      <c r="E2841" s="1089" t="s">
        <v>5308</v>
      </c>
      <c r="F2841" s="1081">
        <f t="shared" si="1"/>
        <v>0</v>
      </c>
      <c r="G2841" s="1083">
        <f t="shared" si="2"/>
        <v>15.48</v>
      </c>
      <c r="H2841" s="1084"/>
    </row>
    <row r="2842" ht="14.25" customHeight="1">
      <c r="A2842" s="1085">
        <v>20171.0</v>
      </c>
      <c r="B2842" s="1086" t="s">
        <v>8158</v>
      </c>
      <c r="C2842" s="1087" t="s">
        <v>1788</v>
      </c>
      <c r="D2842" s="1088">
        <v>44.65</v>
      </c>
      <c r="E2842" s="1089" t="s">
        <v>5308</v>
      </c>
      <c r="F2842" s="1081">
        <f t="shared" si="1"/>
        <v>0</v>
      </c>
      <c r="G2842" s="1083">
        <f t="shared" si="2"/>
        <v>44.65</v>
      </c>
      <c r="H2842" s="1084"/>
    </row>
    <row r="2843" ht="14.25" customHeight="1">
      <c r="A2843" s="1085">
        <v>20167.0</v>
      </c>
      <c r="B2843" s="1086" t="s">
        <v>8159</v>
      </c>
      <c r="C2843" s="1087" t="s">
        <v>1788</v>
      </c>
      <c r="D2843" s="1088">
        <v>5.61</v>
      </c>
      <c r="E2843" s="1089" t="s">
        <v>5308</v>
      </c>
      <c r="F2843" s="1081">
        <f t="shared" si="1"/>
        <v>0</v>
      </c>
      <c r="G2843" s="1083">
        <f t="shared" si="2"/>
        <v>5.61</v>
      </c>
      <c r="H2843" s="1084"/>
    </row>
    <row r="2844" ht="14.25" customHeight="1">
      <c r="A2844" s="1085">
        <v>20168.0</v>
      </c>
      <c r="B2844" s="1086" t="s">
        <v>8160</v>
      </c>
      <c r="C2844" s="1087" t="s">
        <v>1788</v>
      </c>
      <c r="D2844" s="1088">
        <v>11.55</v>
      </c>
      <c r="E2844" s="1089" t="s">
        <v>5308</v>
      </c>
      <c r="F2844" s="1081">
        <f t="shared" si="1"/>
        <v>0</v>
      </c>
      <c r="G2844" s="1083">
        <f t="shared" si="2"/>
        <v>11.55</v>
      </c>
      <c r="H2844" s="1084"/>
    </row>
    <row r="2845" ht="14.25" customHeight="1">
      <c r="A2845" s="1085">
        <v>20169.0</v>
      </c>
      <c r="B2845" s="1086" t="s">
        <v>8161</v>
      </c>
      <c r="C2845" s="1087" t="s">
        <v>1788</v>
      </c>
      <c r="D2845" s="1088">
        <v>13.48</v>
      </c>
      <c r="E2845" s="1089" t="s">
        <v>5308</v>
      </c>
      <c r="F2845" s="1081">
        <f t="shared" si="1"/>
        <v>0</v>
      </c>
      <c r="G2845" s="1083">
        <f t="shared" si="2"/>
        <v>13.48</v>
      </c>
      <c r="H2845" s="1084"/>
    </row>
    <row r="2846" ht="14.25" customHeight="1">
      <c r="A2846" s="1085">
        <v>3899.0</v>
      </c>
      <c r="B2846" s="1086" t="s">
        <v>8162</v>
      </c>
      <c r="C2846" s="1087" t="s">
        <v>1788</v>
      </c>
      <c r="D2846" s="1088">
        <v>7.48</v>
      </c>
      <c r="E2846" s="1089" t="s">
        <v>5308</v>
      </c>
      <c r="F2846" s="1081">
        <f t="shared" si="1"/>
        <v>0</v>
      </c>
      <c r="G2846" s="1083">
        <f t="shared" si="2"/>
        <v>7.48</v>
      </c>
      <c r="H2846" s="1084"/>
    </row>
    <row r="2847" ht="14.25" customHeight="1">
      <c r="A2847" s="1085">
        <v>38676.0</v>
      </c>
      <c r="B2847" s="1086" t="s">
        <v>8163</v>
      </c>
      <c r="C2847" s="1087" t="s">
        <v>1788</v>
      </c>
      <c r="D2847" s="1088">
        <v>37.41</v>
      </c>
      <c r="E2847" s="1089" t="s">
        <v>5308</v>
      </c>
      <c r="F2847" s="1081">
        <f t="shared" si="1"/>
        <v>0</v>
      </c>
      <c r="G2847" s="1083">
        <f t="shared" si="2"/>
        <v>37.41</v>
      </c>
      <c r="H2847" s="1084"/>
    </row>
    <row r="2848" ht="14.25" customHeight="1">
      <c r="A2848" s="1085">
        <v>3897.0</v>
      </c>
      <c r="B2848" s="1086" t="s">
        <v>8164</v>
      </c>
      <c r="C2848" s="1087" t="s">
        <v>1788</v>
      </c>
      <c r="D2848" s="1088">
        <v>1.82</v>
      </c>
      <c r="E2848" s="1089" t="s">
        <v>5308</v>
      </c>
      <c r="F2848" s="1081">
        <f t="shared" si="1"/>
        <v>0</v>
      </c>
      <c r="G2848" s="1083">
        <f t="shared" si="2"/>
        <v>1.82</v>
      </c>
      <c r="H2848" s="1084"/>
    </row>
    <row r="2849" ht="14.25" customHeight="1">
      <c r="A2849" s="1085">
        <v>3875.0</v>
      </c>
      <c r="B2849" s="1086" t="s">
        <v>8165</v>
      </c>
      <c r="C2849" s="1087" t="s">
        <v>1788</v>
      </c>
      <c r="D2849" s="1088">
        <v>3.77</v>
      </c>
      <c r="E2849" s="1089" t="s">
        <v>5308</v>
      </c>
      <c r="F2849" s="1081">
        <f t="shared" si="1"/>
        <v>0</v>
      </c>
      <c r="G2849" s="1083">
        <f t="shared" si="2"/>
        <v>3.77</v>
      </c>
      <c r="H2849" s="1084"/>
    </row>
    <row r="2850" ht="14.25" customHeight="1">
      <c r="A2850" s="1085">
        <v>3898.0</v>
      </c>
      <c r="B2850" s="1086" t="s">
        <v>8166</v>
      </c>
      <c r="C2850" s="1087" t="s">
        <v>1788</v>
      </c>
      <c r="D2850" s="1088">
        <v>7.65</v>
      </c>
      <c r="E2850" s="1089" t="s">
        <v>5308</v>
      </c>
      <c r="F2850" s="1081">
        <f t="shared" si="1"/>
        <v>0</v>
      </c>
      <c r="G2850" s="1083">
        <f t="shared" si="2"/>
        <v>7.65</v>
      </c>
      <c r="H2850" s="1084"/>
    </row>
    <row r="2851" ht="14.25" customHeight="1">
      <c r="A2851" s="1085">
        <v>3855.0</v>
      </c>
      <c r="B2851" s="1086" t="s">
        <v>8167</v>
      </c>
      <c r="C2851" s="1087" t="s">
        <v>1788</v>
      </c>
      <c r="D2851" s="1088">
        <v>5.41</v>
      </c>
      <c r="E2851" s="1089" t="s">
        <v>5308</v>
      </c>
      <c r="F2851" s="1081">
        <f t="shared" si="1"/>
        <v>0</v>
      </c>
      <c r="G2851" s="1083">
        <f t="shared" si="2"/>
        <v>5.41</v>
      </c>
      <c r="H2851" s="1084"/>
    </row>
    <row r="2852" ht="14.25" customHeight="1">
      <c r="A2852" s="1085">
        <v>3874.0</v>
      </c>
      <c r="B2852" s="1086" t="s">
        <v>8168</v>
      </c>
      <c r="C2852" s="1087" t="s">
        <v>1788</v>
      </c>
      <c r="D2852" s="1088">
        <v>6.27</v>
      </c>
      <c r="E2852" s="1089" t="s">
        <v>5308</v>
      </c>
      <c r="F2852" s="1081">
        <f t="shared" si="1"/>
        <v>0</v>
      </c>
      <c r="G2852" s="1083">
        <f t="shared" si="2"/>
        <v>6.27</v>
      </c>
      <c r="H2852" s="1084"/>
    </row>
    <row r="2853" ht="14.25" customHeight="1">
      <c r="A2853" s="1085">
        <v>3870.0</v>
      </c>
      <c r="B2853" s="1086" t="s">
        <v>8169</v>
      </c>
      <c r="C2853" s="1087" t="s">
        <v>1788</v>
      </c>
      <c r="D2853" s="1088">
        <v>6.88</v>
      </c>
      <c r="E2853" s="1089" t="s">
        <v>5308</v>
      </c>
      <c r="F2853" s="1081">
        <f t="shared" si="1"/>
        <v>0</v>
      </c>
      <c r="G2853" s="1083">
        <f t="shared" si="2"/>
        <v>6.88</v>
      </c>
      <c r="H2853" s="1084"/>
    </row>
    <row r="2854" ht="14.25" customHeight="1">
      <c r="A2854" s="1085">
        <v>38678.0</v>
      </c>
      <c r="B2854" s="1086" t="s">
        <v>8170</v>
      </c>
      <c r="C2854" s="1087" t="s">
        <v>1788</v>
      </c>
      <c r="D2854" s="1088">
        <v>18.2</v>
      </c>
      <c r="E2854" s="1089" t="s">
        <v>5308</v>
      </c>
      <c r="F2854" s="1081">
        <f t="shared" si="1"/>
        <v>0</v>
      </c>
      <c r="G2854" s="1083">
        <f t="shared" si="2"/>
        <v>18.2</v>
      </c>
      <c r="H2854" s="1084"/>
    </row>
    <row r="2855" ht="14.25" customHeight="1">
      <c r="A2855" s="1085">
        <v>3859.0</v>
      </c>
      <c r="B2855" s="1086" t="s">
        <v>8171</v>
      </c>
      <c r="C2855" s="1087" t="s">
        <v>1788</v>
      </c>
      <c r="D2855" s="1088">
        <v>1.39</v>
      </c>
      <c r="E2855" s="1089" t="s">
        <v>5308</v>
      </c>
      <c r="F2855" s="1081">
        <f t="shared" si="1"/>
        <v>0</v>
      </c>
      <c r="G2855" s="1083">
        <f t="shared" si="2"/>
        <v>1.39</v>
      </c>
      <c r="H2855" s="1084"/>
    </row>
    <row r="2856" ht="14.25" customHeight="1">
      <c r="A2856" s="1085">
        <v>3856.0</v>
      </c>
      <c r="B2856" s="1086" t="s">
        <v>8172</v>
      </c>
      <c r="C2856" s="1087" t="s">
        <v>1788</v>
      </c>
      <c r="D2856" s="1088">
        <v>1.92</v>
      </c>
      <c r="E2856" s="1089" t="s">
        <v>5308</v>
      </c>
      <c r="F2856" s="1081">
        <f t="shared" si="1"/>
        <v>0</v>
      </c>
      <c r="G2856" s="1083">
        <f t="shared" si="2"/>
        <v>1.92</v>
      </c>
      <c r="H2856" s="1084"/>
    </row>
    <row r="2857" ht="14.25" customHeight="1">
      <c r="A2857" s="1085">
        <v>3906.0</v>
      </c>
      <c r="B2857" s="1086" t="s">
        <v>8173</v>
      </c>
      <c r="C2857" s="1087" t="s">
        <v>1788</v>
      </c>
      <c r="D2857" s="1088">
        <v>1.59</v>
      </c>
      <c r="E2857" s="1089" t="s">
        <v>5308</v>
      </c>
      <c r="F2857" s="1081">
        <f t="shared" si="1"/>
        <v>0</v>
      </c>
      <c r="G2857" s="1083">
        <f t="shared" si="2"/>
        <v>1.59</v>
      </c>
      <c r="H2857" s="1084"/>
    </row>
    <row r="2858" ht="14.25" customHeight="1">
      <c r="A2858" s="1085">
        <v>3860.0</v>
      </c>
      <c r="B2858" s="1086" t="s">
        <v>8174</v>
      </c>
      <c r="C2858" s="1087" t="s">
        <v>1788</v>
      </c>
      <c r="D2858" s="1088">
        <v>4.72</v>
      </c>
      <c r="E2858" s="1089" t="s">
        <v>5308</v>
      </c>
      <c r="F2858" s="1081">
        <f t="shared" si="1"/>
        <v>0</v>
      </c>
      <c r="G2858" s="1083">
        <f t="shared" si="2"/>
        <v>4.72</v>
      </c>
      <c r="H2858" s="1084"/>
    </row>
    <row r="2859" ht="14.25" customHeight="1">
      <c r="A2859" s="1085">
        <v>3905.0</v>
      </c>
      <c r="B2859" s="1086" t="s">
        <v>8175</v>
      </c>
      <c r="C2859" s="1087" t="s">
        <v>1788</v>
      </c>
      <c r="D2859" s="1088">
        <v>10.81</v>
      </c>
      <c r="E2859" s="1089" t="s">
        <v>5308</v>
      </c>
      <c r="F2859" s="1081">
        <f t="shared" si="1"/>
        <v>0</v>
      </c>
      <c r="G2859" s="1083">
        <f t="shared" si="2"/>
        <v>10.81</v>
      </c>
      <c r="H2859" s="1084"/>
    </row>
    <row r="2860" ht="14.25" customHeight="1">
      <c r="A2860" s="1085">
        <v>3871.0</v>
      </c>
      <c r="B2860" s="1086" t="s">
        <v>8176</v>
      </c>
      <c r="C2860" s="1087" t="s">
        <v>1788</v>
      </c>
      <c r="D2860" s="1088">
        <v>19.14</v>
      </c>
      <c r="E2860" s="1089" t="s">
        <v>5308</v>
      </c>
      <c r="F2860" s="1081">
        <f t="shared" si="1"/>
        <v>0</v>
      </c>
      <c r="G2860" s="1083">
        <f t="shared" si="2"/>
        <v>19.14</v>
      </c>
      <c r="H2860" s="1084"/>
    </row>
    <row r="2861" ht="14.25" customHeight="1">
      <c r="A2861" s="1085">
        <v>39292.0</v>
      </c>
      <c r="B2861" s="1086" t="s">
        <v>8177</v>
      </c>
      <c r="C2861" s="1087" t="s">
        <v>1788</v>
      </c>
      <c r="D2861" s="1088">
        <v>7.19</v>
      </c>
      <c r="E2861" s="1089" t="s">
        <v>5308</v>
      </c>
      <c r="F2861" s="1081">
        <f t="shared" si="1"/>
        <v>0</v>
      </c>
      <c r="G2861" s="1083">
        <f t="shared" si="2"/>
        <v>7.19</v>
      </c>
      <c r="H2861" s="1084"/>
    </row>
    <row r="2862" ht="14.25" customHeight="1">
      <c r="A2862" s="1085">
        <v>39293.0</v>
      </c>
      <c r="B2862" s="1086" t="s">
        <v>8178</v>
      </c>
      <c r="C2862" s="1087" t="s">
        <v>1788</v>
      </c>
      <c r="D2862" s="1088">
        <v>11.17</v>
      </c>
      <c r="E2862" s="1089" t="s">
        <v>5308</v>
      </c>
      <c r="F2862" s="1081">
        <f t="shared" si="1"/>
        <v>0</v>
      </c>
      <c r="G2862" s="1083">
        <f t="shared" si="2"/>
        <v>11.17</v>
      </c>
      <c r="H2862" s="1084"/>
    </row>
    <row r="2863" ht="14.25" customHeight="1">
      <c r="A2863" s="1085">
        <v>39294.0</v>
      </c>
      <c r="B2863" s="1086" t="s">
        <v>8179</v>
      </c>
      <c r="C2863" s="1087" t="s">
        <v>1788</v>
      </c>
      <c r="D2863" s="1088">
        <v>11.94</v>
      </c>
      <c r="E2863" s="1089" t="s">
        <v>5308</v>
      </c>
      <c r="F2863" s="1081">
        <f t="shared" si="1"/>
        <v>0</v>
      </c>
      <c r="G2863" s="1083">
        <f t="shared" si="2"/>
        <v>11.94</v>
      </c>
      <c r="H2863" s="1084"/>
    </row>
    <row r="2864" ht="14.25" customHeight="1">
      <c r="A2864" s="1085">
        <v>39295.0</v>
      </c>
      <c r="B2864" s="1086" t="s">
        <v>8180</v>
      </c>
      <c r="C2864" s="1087" t="s">
        <v>1788</v>
      </c>
      <c r="D2864" s="1088">
        <v>16.42</v>
      </c>
      <c r="E2864" s="1089" t="s">
        <v>5308</v>
      </c>
      <c r="F2864" s="1081">
        <f t="shared" si="1"/>
        <v>0</v>
      </c>
      <c r="G2864" s="1083">
        <f t="shared" si="2"/>
        <v>16.42</v>
      </c>
      <c r="H2864" s="1084"/>
    </row>
    <row r="2865" ht="14.25" customHeight="1">
      <c r="A2865" s="1085">
        <v>39312.0</v>
      </c>
      <c r="B2865" s="1086" t="s">
        <v>8181</v>
      </c>
      <c r="C2865" s="1087" t="s">
        <v>1788</v>
      </c>
      <c r="D2865" s="1088">
        <v>11.02</v>
      </c>
      <c r="E2865" s="1089" t="s">
        <v>5308</v>
      </c>
      <c r="F2865" s="1081">
        <f t="shared" si="1"/>
        <v>0</v>
      </c>
      <c r="G2865" s="1083">
        <f t="shared" si="2"/>
        <v>11.02</v>
      </c>
      <c r="H2865" s="1084"/>
    </row>
    <row r="2866" ht="14.25" customHeight="1">
      <c r="A2866" s="1085">
        <v>39313.0</v>
      </c>
      <c r="B2866" s="1086" t="s">
        <v>8182</v>
      </c>
      <c r="C2866" s="1087" t="s">
        <v>1788</v>
      </c>
      <c r="D2866" s="1088">
        <v>14.8</v>
      </c>
      <c r="E2866" s="1089" t="s">
        <v>5308</v>
      </c>
      <c r="F2866" s="1081">
        <f t="shared" si="1"/>
        <v>0</v>
      </c>
      <c r="G2866" s="1083">
        <f t="shared" si="2"/>
        <v>14.8</v>
      </c>
      <c r="H2866" s="1084"/>
    </row>
    <row r="2867" ht="14.25" customHeight="1">
      <c r="A2867" s="1085">
        <v>39314.0</v>
      </c>
      <c r="B2867" s="1086" t="s">
        <v>8183</v>
      </c>
      <c r="C2867" s="1087" t="s">
        <v>1788</v>
      </c>
      <c r="D2867" s="1088">
        <v>21.78</v>
      </c>
      <c r="E2867" s="1089" t="s">
        <v>5308</v>
      </c>
      <c r="F2867" s="1081">
        <f t="shared" si="1"/>
        <v>0</v>
      </c>
      <c r="G2867" s="1083">
        <f t="shared" si="2"/>
        <v>21.78</v>
      </c>
      <c r="H2867" s="1084"/>
    </row>
    <row r="2868" ht="14.25" customHeight="1">
      <c r="A2868" s="1085">
        <v>39296.0</v>
      </c>
      <c r="B2868" s="1086" t="s">
        <v>8184</v>
      </c>
      <c r="C2868" s="1087" t="s">
        <v>1788</v>
      </c>
      <c r="D2868" s="1088">
        <v>6.55</v>
      </c>
      <c r="E2868" s="1089" t="s">
        <v>5308</v>
      </c>
      <c r="F2868" s="1081">
        <f t="shared" si="1"/>
        <v>0</v>
      </c>
      <c r="G2868" s="1083">
        <f t="shared" si="2"/>
        <v>6.55</v>
      </c>
      <c r="H2868" s="1084"/>
    </row>
    <row r="2869" ht="14.25" customHeight="1">
      <c r="A2869" s="1085">
        <v>39297.0</v>
      </c>
      <c r="B2869" s="1086" t="s">
        <v>8185</v>
      </c>
      <c r="C2869" s="1087" t="s">
        <v>1788</v>
      </c>
      <c r="D2869" s="1088">
        <v>8.88</v>
      </c>
      <c r="E2869" s="1089" t="s">
        <v>5308</v>
      </c>
      <c r="F2869" s="1081">
        <f t="shared" si="1"/>
        <v>0</v>
      </c>
      <c r="G2869" s="1083">
        <f t="shared" si="2"/>
        <v>8.88</v>
      </c>
      <c r="H2869" s="1084"/>
    </row>
    <row r="2870" ht="14.25" customHeight="1">
      <c r="A2870" s="1085">
        <v>39298.0</v>
      </c>
      <c r="B2870" s="1086" t="s">
        <v>8186</v>
      </c>
      <c r="C2870" s="1087" t="s">
        <v>1788</v>
      </c>
      <c r="D2870" s="1088">
        <v>17.06</v>
      </c>
      <c r="E2870" s="1089" t="s">
        <v>5308</v>
      </c>
      <c r="F2870" s="1081">
        <f t="shared" si="1"/>
        <v>0</v>
      </c>
      <c r="G2870" s="1083">
        <f t="shared" si="2"/>
        <v>17.06</v>
      </c>
      <c r="H2870" s="1084"/>
    </row>
    <row r="2871" ht="14.25" customHeight="1">
      <c r="A2871" s="1085">
        <v>39299.0</v>
      </c>
      <c r="B2871" s="1086" t="s">
        <v>8187</v>
      </c>
      <c r="C2871" s="1087" t="s">
        <v>1788</v>
      </c>
      <c r="D2871" s="1088">
        <v>20.22</v>
      </c>
      <c r="E2871" s="1089" t="s">
        <v>5308</v>
      </c>
      <c r="F2871" s="1081">
        <f t="shared" si="1"/>
        <v>0</v>
      </c>
      <c r="G2871" s="1083">
        <f t="shared" si="2"/>
        <v>20.22</v>
      </c>
      <c r="H2871" s="1084"/>
    </row>
    <row r="2872" ht="14.25" customHeight="1">
      <c r="A2872" s="1085">
        <v>39308.0</v>
      </c>
      <c r="B2872" s="1086" t="s">
        <v>8188</v>
      </c>
      <c r="C2872" s="1087" t="s">
        <v>1788</v>
      </c>
      <c r="D2872" s="1088">
        <v>5.46</v>
      </c>
      <c r="E2872" s="1089" t="s">
        <v>5308</v>
      </c>
      <c r="F2872" s="1081">
        <f t="shared" si="1"/>
        <v>0</v>
      </c>
      <c r="G2872" s="1083">
        <f t="shared" si="2"/>
        <v>5.46</v>
      </c>
      <c r="H2872" s="1084"/>
    </row>
    <row r="2873" ht="14.25" customHeight="1">
      <c r="A2873" s="1085">
        <v>39309.0</v>
      </c>
      <c r="B2873" s="1086" t="s">
        <v>8189</v>
      </c>
      <c r="C2873" s="1087" t="s">
        <v>1788</v>
      </c>
      <c r="D2873" s="1088">
        <v>6.23</v>
      </c>
      <c r="E2873" s="1089" t="s">
        <v>5308</v>
      </c>
      <c r="F2873" s="1081">
        <f t="shared" si="1"/>
        <v>0</v>
      </c>
      <c r="G2873" s="1083">
        <f t="shared" si="2"/>
        <v>6.23</v>
      </c>
      <c r="H2873" s="1084"/>
    </row>
    <row r="2874" ht="14.25" customHeight="1">
      <c r="A2874" s="1085">
        <v>39310.0</v>
      </c>
      <c r="B2874" s="1086" t="s">
        <v>8190</v>
      </c>
      <c r="C2874" s="1087" t="s">
        <v>1788</v>
      </c>
      <c r="D2874" s="1088">
        <v>11.63</v>
      </c>
      <c r="E2874" s="1089" t="s">
        <v>5308</v>
      </c>
      <c r="F2874" s="1081">
        <f t="shared" si="1"/>
        <v>0</v>
      </c>
      <c r="G2874" s="1083">
        <f t="shared" si="2"/>
        <v>11.63</v>
      </c>
      <c r="H2874" s="1084"/>
    </row>
    <row r="2875" ht="14.25" customHeight="1">
      <c r="A2875" s="1085">
        <v>39311.0</v>
      </c>
      <c r="B2875" s="1086" t="s">
        <v>8191</v>
      </c>
      <c r="C2875" s="1087" t="s">
        <v>1788</v>
      </c>
      <c r="D2875" s="1088">
        <v>16.47</v>
      </c>
      <c r="E2875" s="1089" t="s">
        <v>5308</v>
      </c>
      <c r="F2875" s="1081">
        <f t="shared" si="1"/>
        <v>0</v>
      </c>
      <c r="G2875" s="1083">
        <f t="shared" si="2"/>
        <v>16.47</v>
      </c>
      <c r="H2875" s="1084"/>
    </row>
    <row r="2876" ht="14.25" customHeight="1">
      <c r="A2876" s="1085">
        <v>37429.0</v>
      </c>
      <c r="B2876" s="1086" t="s">
        <v>8192</v>
      </c>
      <c r="C2876" s="1087" t="s">
        <v>1788</v>
      </c>
      <c r="D2876" s="1088">
        <v>2794.13</v>
      </c>
      <c r="E2876" s="1089" t="s">
        <v>5308</v>
      </c>
      <c r="F2876" s="1081">
        <f t="shared" si="1"/>
        <v>0</v>
      </c>
      <c r="G2876" s="1083">
        <f t="shared" si="2"/>
        <v>2794.13</v>
      </c>
      <c r="H2876" s="1084"/>
    </row>
    <row r="2877" ht="14.25" customHeight="1">
      <c r="A2877" s="1085">
        <v>37426.0</v>
      </c>
      <c r="B2877" s="1086" t="s">
        <v>8193</v>
      </c>
      <c r="C2877" s="1087" t="s">
        <v>1788</v>
      </c>
      <c r="D2877" s="1088">
        <v>26.88</v>
      </c>
      <c r="E2877" s="1089" t="s">
        <v>5308</v>
      </c>
      <c r="F2877" s="1081">
        <f t="shared" si="1"/>
        <v>0</v>
      </c>
      <c r="G2877" s="1083">
        <f t="shared" si="2"/>
        <v>26.88</v>
      </c>
      <c r="H2877" s="1084"/>
    </row>
    <row r="2878" ht="14.25" customHeight="1">
      <c r="A2878" s="1085">
        <v>37427.0</v>
      </c>
      <c r="B2878" s="1086" t="s">
        <v>8194</v>
      </c>
      <c r="C2878" s="1087" t="s">
        <v>1788</v>
      </c>
      <c r="D2878" s="1088">
        <v>64.11</v>
      </c>
      <c r="E2878" s="1089" t="s">
        <v>5308</v>
      </c>
      <c r="F2878" s="1081">
        <f t="shared" si="1"/>
        <v>0</v>
      </c>
      <c r="G2878" s="1083">
        <f t="shared" si="2"/>
        <v>64.11</v>
      </c>
      <c r="H2878" s="1084"/>
    </row>
    <row r="2879" ht="14.25" customHeight="1">
      <c r="A2879" s="1085">
        <v>37424.0</v>
      </c>
      <c r="B2879" s="1086" t="s">
        <v>8195</v>
      </c>
      <c r="C2879" s="1087" t="s">
        <v>1788</v>
      </c>
      <c r="D2879" s="1088">
        <v>12.35</v>
      </c>
      <c r="E2879" s="1089" t="s">
        <v>5308</v>
      </c>
      <c r="F2879" s="1081">
        <f t="shared" si="1"/>
        <v>0</v>
      </c>
      <c r="G2879" s="1083">
        <f t="shared" si="2"/>
        <v>12.35</v>
      </c>
      <c r="H2879" s="1084"/>
    </row>
    <row r="2880" ht="14.25" customHeight="1">
      <c r="A2880" s="1085">
        <v>37428.0</v>
      </c>
      <c r="B2880" s="1086" t="s">
        <v>8196</v>
      </c>
      <c r="C2880" s="1087" t="s">
        <v>1788</v>
      </c>
      <c r="D2880" s="1088">
        <v>220.95</v>
      </c>
      <c r="E2880" s="1089" t="s">
        <v>5308</v>
      </c>
      <c r="F2880" s="1081">
        <f t="shared" si="1"/>
        <v>0</v>
      </c>
      <c r="G2880" s="1083">
        <f t="shared" si="2"/>
        <v>220.95</v>
      </c>
      <c r="H2880" s="1084"/>
    </row>
    <row r="2881" ht="14.25" customHeight="1">
      <c r="A2881" s="1085">
        <v>37425.0</v>
      </c>
      <c r="B2881" s="1086" t="s">
        <v>8197</v>
      </c>
      <c r="C2881" s="1087" t="s">
        <v>1788</v>
      </c>
      <c r="D2881" s="1088">
        <v>13.31</v>
      </c>
      <c r="E2881" s="1089" t="s">
        <v>5308</v>
      </c>
      <c r="F2881" s="1081">
        <f t="shared" si="1"/>
        <v>0</v>
      </c>
      <c r="G2881" s="1083">
        <f t="shared" si="2"/>
        <v>13.31</v>
      </c>
      <c r="H2881" s="1084"/>
    </row>
    <row r="2882" ht="14.25" customHeight="1">
      <c r="A2882" s="1085">
        <v>11519.0</v>
      </c>
      <c r="B2882" s="1086" t="s">
        <v>8198</v>
      </c>
      <c r="C2882" s="1087" t="s">
        <v>5728</v>
      </c>
      <c r="D2882" s="1088">
        <v>51.9</v>
      </c>
      <c r="E2882" s="1089" t="s">
        <v>5308</v>
      </c>
      <c r="F2882" s="1081">
        <f t="shared" si="1"/>
        <v>0</v>
      </c>
      <c r="G2882" s="1083">
        <f t="shared" si="2"/>
        <v>51.9</v>
      </c>
      <c r="H2882" s="1084"/>
    </row>
    <row r="2883" ht="14.25" customHeight="1">
      <c r="A2883" s="1085">
        <v>11520.0</v>
      </c>
      <c r="B2883" s="1086" t="s">
        <v>8199</v>
      </c>
      <c r="C2883" s="1087" t="s">
        <v>5728</v>
      </c>
      <c r="D2883" s="1088">
        <v>23.99</v>
      </c>
      <c r="E2883" s="1089" t="s">
        <v>5308</v>
      </c>
      <c r="F2883" s="1081">
        <f t="shared" si="1"/>
        <v>0</v>
      </c>
      <c r="G2883" s="1083">
        <f t="shared" si="2"/>
        <v>23.99</v>
      </c>
      <c r="H2883" s="1084"/>
    </row>
    <row r="2884" ht="14.25" customHeight="1">
      <c r="A2884" s="1085">
        <v>11518.0</v>
      </c>
      <c r="B2884" s="1086" t="s">
        <v>8200</v>
      </c>
      <c r="C2884" s="1087" t="s">
        <v>5728</v>
      </c>
      <c r="D2884" s="1088">
        <v>87.25</v>
      </c>
      <c r="E2884" s="1089" t="s">
        <v>5308</v>
      </c>
      <c r="F2884" s="1081">
        <f t="shared" si="1"/>
        <v>0</v>
      </c>
      <c r="G2884" s="1083">
        <f t="shared" si="2"/>
        <v>87.25</v>
      </c>
      <c r="H2884" s="1084"/>
    </row>
    <row r="2885" ht="14.25" customHeight="1">
      <c r="A2885" s="1085">
        <v>38473.0</v>
      </c>
      <c r="B2885" s="1086" t="s">
        <v>8201</v>
      </c>
      <c r="C2885" s="1087" t="s">
        <v>1788</v>
      </c>
      <c r="D2885" s="1088">
        <v>170.96</v>
      </c>
      <c r="E2885" s="1089" t="s">
        <v>5308</v>
      </c>
      <c r="F2885" s="1081">
        <f t="shared" si="1"/>
        <v>0</v>
      </c>
      <c r="G2885" s="1083">
        <f t="shared" si="2"/>
        <v>170.96</v>
      </c>
      <c r="H2885" s="1084"/>
    </row>
    <row r="2886" ht="14.25" customHeight="1">
      <c r="A2886" s="1085">
        <v>4244.0</v>
      </c>
      <c r="B2886" s="1086" t="s">
        <v>8202</v>
      </c>
      <c r="C2886" s="1087" t="s">
        <v>1470</v>
      </c>
      <c r="D2886" s="1088">
        <v>20.85</v>
      </c>
      <c r="E2886" s="1089" t="s">
        <v>5452</v>
      </c>
      <c r="F2886" s="1081">
        <f t="shared" si="1"/>
        <v>20.85</v>
      </c>
      <c r="G2886" s="1083">
        <f t="shared" si="2"/>
        <v>0</v>
      </c>
      <c r="H2886" s="1084"/>
    </row>
    <row r="2887" ht="14.25" customHeight="1">
      <c r="A2887" s="1085">
        <v>40977.0</v>
      </c>
      <c r="B2887" s="1086" t="s">
        <v>8203</v>
      </c>
      <c r="C2887" s="1087" t="s">
        <v>5454</v>
      </c>
      <c r="D2887" s="1088">
        <v>3650.76</v>
      </c>
      <c r="E2887" s="1089" t="s">
        <v>5452</v>
      </c>
      <c r="F2887" s="1081">
        <f t="shared" si="1"/>
        <v>3650.76</v>
      </c>
      <c r="G2887" s="1083">
        <f t="shared" si="2"/>
        <v>0</v>
      </c>
      <c r="H2887" s="1084"/>
    </row>
    <row r="2888" ht="14.25" customHeight="1">
      <c r="A2888" s="1085">
        <v>4115.0</v>
      </c>
      <c r="B2888" s="1086" t="s">
        <v>8204</v>
      </c>
      <c r="C2888" s="1087" t="s">
        <v>1731</v>
      </c>
      <c r="D2888" s="1088">
        <v>30.36</v>
      </c>
      <c r="E2888" s="1089" t="s">
        <v>5308</v>
      </c>
      <c r="F2888" s="1081">
        <f t="shared" si="1"/>
        <v>0</v>
      </c>
      <c r="G2888" s="1083">
        <f t="shared" si="2"/>
        <v>30.36</v>
      </c>
      <c r="H2888" s="1084"/>
    </row>
    <row r="2889" ht="14.25" customHeight="1">
      <c r="A2889" s="1085">
        <v>4119.0</v>
      </c>
      <c r="B2889" s="1086" t="s">
        <v>8205</v>
      </c>
      <c r="C2889" s="1087" t="s">
        <v>1731</v>
      </c>
      <c r="D2889" s="1088">
        <v>61.33</v>
      </c>
      <c r="E2889" s="1089" t="s">
        <v>5308</v>
      </c>
      <c r="F2889" s="1081">
        <f t="shared" si="1"/>
        <v>0</v>
      </c>
      <c r="G2889" s="1083">
        <f t="shared" si="2"/>
        <v>61.33</v>
      </c>
      <c r="H2889" s="1084"/>
    </row>
    <row r="2890" ht="14.25" customHeight="1">
      <c r="A2890" s="1085">
        <v>2794.0</v>
      </c>
      <c r="B2890" s="1086" t="s">
        <v>8206</v>
      </c>
      <c r="C2890" s="1087" t="s">
        <v>1731</v>
      </c>
      <c r="D2890" s="1088">
        <v>162.69</v>
      </c>
      <c r="E2890" s="1089" t="s">
        <v>5308</v>
      </c>
      <c r="F2890" s="1081">
        <f t="shared" si="1"/>
        <v>0</v>
      </c>
      <c r="G2890" s="1083">
        <f t="shared" si="2"/>
        <v>162.69</v>
      </c>
      <c r="H2890" s="1084"/>
    </row>
    <row r="2891" ht="14.25" customHeight="1">
      <c r="A2891" s="1085">
        <v>2788.0</v>
      </c>
      <c r="B2891" s="1086" t="s">
        <v>8207</v>
      </c>
      <c r="C2891" s="1087" t="s">
        <v>1731</v>
      </c>
      <c r="D2891" s="1088">
        <v>237.01</v>
      </c>
      <c r="E2891" s="1089" t="s">
        <v>5308</v>
      </c>
      <c r="F2891" s="1081">
        <f t="shared" si="1"/>
        <v>0</v>
      </c>
      <c r="G2891" s="1083">
        <f t="shared" si="2"/>
        <v>237.01</v>
      </c>
      <c r="H2891" s="1084"/>
    </row>
    <row r="2892" ht="14.25" customHeight="1">
      <c r="A2892" s="1085">
        <v>4006.0</v>
      </c>
      <c r="B2892" s="1086" t="s">
        <v>8208</v>
      </c>
      <c r="C2892" s="1087" t="s">
        <v>2178</v>
      </c>
      <c r="D2892" s="1088">
        <v>1562.39</v>
      </c>
      <c r="E2892" s="1089" t="s">
        <v>5308</v>
      </c>
      <c r="F2892" s="1081">
        <f t="shared" si="1"/>
        <v>0</v>
      </c>
      <c r="G2892" s="1083">
        <f t="shared" si="2"/>
        <v>1562.39</v>
      </c>
      <c r="H2892" s="1084"/>
    </row>
    <row r="2893" ht="14.25" customHeight="1">
      <c r="A2893" s="1085">
        <v>36151.0</v>
      </c>
      <c r="B2893" s="1086" t="s">
        <v>8209</v>
      </c>
      <c r="C2893" s="1087" t="s">
        <v>1788</v>
      </c>
      <c r="D2893" s="1088">
        <v>30.0</v>
      </c>
      <c r="E2893" s="1089" t="s">
        <v>5308</v>
      </c>
      <c r="F2893" s="1081">
        <f t="shared" si="1"/>
        <v>0</v>
      </c>
      <c r="G2893" s="1083">
        <f t="shared" si="2"/>
        <v>30</v>
      </c>
      <c r="H2893" s="1084"/>
    </row>
    <row r="2894" ht="14.25" customHeight="1">
      <c r="A2894" s="1085">
        <v>37457.0</v>
      </c>
      <c r="B2894" s="1086" t="s">
        <v>8210</v>
      </c>
      <c r="C2894" s="1087" t="s">
        <v>1731</v>
      </c>
      <c r="D2894" s="1088">
        <v>4.2</v>
      </c>
      <c r="E2894" s="1089" t="s">
        <v>5308</v>
      </c>
      <c r="F2894" s="1081">
        <f t="shared" si="1"/>
        <v>0</v>
      </c>
      <c r="G2894" s="1083">
        <f t="shared" si="2"/>
        <v>4.2</v>
      </c>
      <c r="H2894" s="1084"/>
    </row>
    <row r="2895" ht="14.25" customHeight="1">
      <c r="A2895" s="1085">
        <v>37456.0</v>
      </c>
      <c r="B2895" s="1086" t="s">
        <v>8211</v>
      </c>
      <c r="C2895" s="1087" t="s">
        <v>1731</v>
      </c>
      <c r="D2895" s="1088">
        <v>2.21</v>
      </c>
      <c r="E2895" s="1089" t="s">
        <v>5308</v>
      </c>
      <c r="F2895" s="1081">
        <f t="shared" si="1"/>
        <v>0</v>
      </c>
      <c r="G2895" s="1083">
        <f t="shared" si="2"/>
        <v>2.21</v>
      </c>
      <c r="H2895" s="1084"/>
    </row>
    <row r="2896" ht="14.25" customHeight="1">
      <c r="A2896" s="1085">
        <v>37461.0</v>
      </c>
      <c r="B2896" s="1086" t="s">
        <v>8212</v>
      </c>
      <c r="C2896" s="1087" t="s">
        <v>1731</v>
      </c>
      <c r="D2896" s="1088">
        <v>15.59</v>
      </c>
      <c r="E2896" s="1089" t="s">
        <v>5308</v>
      </c>
      <c r="F2896" s="1081">
        <f t="shared" si="1"/>
        <v>0</v>
      </c>
      <c r="G2896" s="1083">
        <f t="shared" si="2"/>
        <v>15.59</v>
      </c>
      <c r="H2896" s="1084"/>
    </row>
    <row r="2897" ht="14.25" customHeight="1">
      <c r="A2897" s="1085">
        <v>37460.0</v>
      </c>
      <c r="B2897" s="1086" t="s">
        <v>8213</v>
      </c>
      <c r="C2897" s="1087" t="s">
        <v>1731</v>
      </c>
      <c r="D2897" s="1088">
        <v>21.29</v>
      </c>
      <c r="E2897" s="1089" t="s">
        <v>5308</v>
      </c>
      <c r="F2897" s="1081">
        <f t="shared" si="1"/>
        <v>0</v>
      </c>
      <c r="G2897" s="1083">
        <f t="shared" si="2"/>
        <v>21.29</v>
      </c>
      <c r="H2897" s="1084"/>
    </row>
    <row r="2898" ht="14.25" customHeight="1">
      <c r="A2898" s="1085">
        <v>37458.0</v>
      </c>
      <c r="B2898" s="1086" t="s">
        <v>8214</v>
      </c>
      <c r="C2898" s="1087" t="s">
        <v>1731</v>
      </c>
      <c r="D2898" s="1088">
        <v>6.24</v>
      </c>
      <c r="E2898" s="1089" t="s">
        <v>5308</v>
      </c>
      <c r="F2898" s="1081">
        <f t="shared" si="1"/>
        <v>0</v>
      </c>
      <c r="G2898" s="1083">
        <f t="shared" si="2"/>
        <v>6.24</v>
      </c>
      <c r="H2898" s="1084"/>
    </row>
    <row r="2899" ht="14.25" customHeight="1">
      <c r="A2899" s="1085">
        <v>37454.0</v>
      </c>
      <c r="B2899" s="1086" t="s">
        <v>8215</v>
      </c>
      <c r="C2899" s="1087" t="s">
        <v>1731</v>
      </c>
      <c r="D2899" s="1088">
        <v>1.64</v>
      </c>
      <c r="E2899" s="1089" t="s">
        <v>5308</v>
      </c>
      <c r="F2899" s="1081">
        <f t="shared" si="1"/>
        <v>0</v>
      </c>
      <c r="G2899" s="1083">
        <f t="shared" si="2"/>
        <v>1.64</v>
      </c>
      <c r="H2899" s="1084"/>
    </row>
    <row r="2900" ht="14.25" customHeight="1">
      <c r="A2900" s="1085">
        <v>37455.0</v>
      </c>
      <c r="B2900" s="1086" t="s">
        <v>8216</v>
      </c>
      <c r="C2900" s="1087" t="s">
        <v>1731</v>
      </c>
      <c r="D2900" s="1088">
        <v>2.75</v>
      </c>
      <c r="E2900" s="1089" t="s">
        <v>5308</v>
      </c>
      <c r="F2900" s="1081">
        <f t="shared" si="1"/>
        <v>0</v>
      </c>
      <c r="G2900" s="1083">
        <f t="shared" si="2"/>
        <v>2.75</v>
      </c>
      <c r="H2900" s="1084"/>
    </row>
    <row r="2901" ht="14.25" customHeight="1">
      <c r="A2901" s="1085">
        <v>37459.0</v>
      </c>
      <c r="B2901" s="1086" t="s">
        <v>8217</v>
      </c>
      <c r="C2901" s="1087" t="s">
        <v>1731</v>
      </c>
      <c r="D2901" s="1088">
        <v>8.76</v>
      </c>
      <c r="E2901" s="1089" t="s">
        <v>5308</v>
      </c>
      <c r="F2901" s="1081">
        <f t="shared" si="1"/>
        <v>0</v>
      </c>
      <c r="G2901" s="1083">
        <f t="shared" si="2"/>
        <v>8.76</v>
      </c>
      <c r="H2901" s="1084"/>
    </row>
    <row r="2902" ht="14.25" customHeight="1">
      <c r="A2902" s="1085">
        <v>21029.0</v>
      </c>
      <c r="B2902" s="1086" t="s">
        <v>8218</v>
      </c>
      <c r="C2902" s="1087" t="s">
        <v>1788</v>
      </c>
      <c r="D2902" s="1088">
        <v>295.0</v>
      </c>
      <c r="E2902" s="1089" t="s">
        <v>5308</v>
      </c>
      <c r="F2902" s="1081">
        <f t="shared" si="1"/>
        <v>0</v>
      </c>
      <c r="G2902" s="1083">
        <f t="shared" si="2"/>
        <v>295</v>
      </c>
      <c r="H2902" s="1084"/>
    </row>
    <row r="2903" ht="14.25" customHeight="1">
      <c r="A2903" s="1085">
        <v>21030.0</v>
      </c>
      <c r="B2903" s="1086" t="s">
        <v>8219</v>
      </c>
      <c r="C2903" s="1087" t="s">
        <v>1788</v>
      </c>
      <c r="D2903" s="1088">
        <v>363.63</v>
      </c>
      <c r="E2903" s="1089" t="s">
        <v>5308</v>
      </c>
      <c r="F2903" s="1081">
        <f t="shared" si="1"/>
        <v>0</v>
      </c>
      <c r="G2903" s="1083">
        <f t="shared" si="2"/>
        <v>363.63</v>
      </c>
      <c r="H2903" s="1084"/>
    </row>
    <row r="2904" ht="14.25" customHeight="1">
      <c r="A2904" s="1085">
        <v>21031.0</v>
      </c>
      <c r="B2904" s="1086" t="s">
        <v>8220</v>
      </c>
      <c r="C2904" s="1087" t="s">
        <v>1788</v>
      </c>
      <c r="D2904" s="1088">
        <v>452.72</v>
      </c>
      <c r="E2904" s="1089" t="s">
        <v>5308</v>
      </c>
      <c r="F2904" s="1081">
        <f t="shared" si="1"/>
        <v>0</v>
      </c>
      <c r="G2904" s="1083">
        <f t="shared" si="2"/>
        <v>452.72</v>
      </c>
      <c r="H2904" s="1084"/>
    </row>
    <row r="2905" ht="14.25" customHeight="1">
      <c r="A2905" s="1085">
        <v>21032.0</v>
      </c>
      <c r="B2905" s="1086" t="s">
        <v>8221</v>
      </c>
      <c r="C2905" s="1087" t="s">
        <v>1788</v>
      </c>
      <c r="D2905" s="1088">
        <v>483.39</v>
      </c>
      <c r="E2905" s="1089" t="s">
        <v>5308</v>
      </c>
      <c r="F2905" s="1081">
        <f t="shared" si="1"/>
        <v>0</v>
      </c>
      <c r="G2905" s="1083">
        <f t="shared" si="2"/>
        <v>483.39</v>
      </c>
      <c r="H2905" s="1084"/>
    </row>
    <row r="2906" ht="14.25" customHeight="1">
      <c r="A2906" s="1085">
        <v>37527.0</v>
      </c>
      <c r="B2906" s="1086" t="s">
        <v>8222</v>
      </c>
      <c r="C2906" s="1087" t="s">
        <v>1788</v>
      </c>
      <c r="D2906" s="1088">
        <v>436.65</v>
      </c>
      <c r="E2906" s="1089" t="s">
        <v>5308</v>
      </c>
      <c r="F2906" s="1081">
        <f t="shared" si="1"/>
        <v>0</v>
      </c>
      <c r="G2906" s="1083">
        <f t="shared" si="2"/>
        <v>436.65</v>
      </c>
      <c r="H2906" s="1084"/>
    </row>
    <row r="2907" ht="14.25" customHeight="1">
      <c r="A2907" s="1085">
        <v>37528.0</v>
      </c>
      <c r="B2907" s="1086" t="s">
        <v>8223</v>
      </c>
      <c r="C2907" s="1087" t="s">
        <v>1788</v>
      </c>
      <c r="D2907" s="1088">
        <v>520.63</v>
      </c>
      <c r="E2907" s="1089" t="s">
        <v>5308</v>
      </c>
      <c r="F2907" s="1081">
        <f t="shared" si="1"/>
        <v>0</v>
      </c>
      <c r="G2907" s="1083">
        <f t="shared" si="2"/>
        <v>520.63</v>
      </c>
      <c r="H2907" s="1084"/>
    </row>
    <row r="2908" ht="14.25" customHeight="1">
      <c r="A2908" s="1085">
        <v>37529.0</v>
      </c>
      <c r="B2908" s="1086" t="s">
        <v>8224</v>
      </c>
      <c r="C2908" s="1087" t="s">
        <v>1788</v>
      </c>
      <c r="D2908" s="1088">
        <v>525.74</v>
      </c>
      <c r="E2908" s="1089" t="s">
        <v>5308</v>
      </c>
      <c r="F2908" s="1081">
        <f t="shared" si="1"/>
        <v>0</v>
      </c>
      <c r="G2908" s="1083">
        <f t="shared" si="2"/>
        <v>525.74</v>
      </c>
      <c r="H2908" s="1084"/>
    </row>
    <row r="2909" ht="14.25" customHeight="1">
      <c r="A2909" s="1085">
        <v>37530.0</v>
      </c>
      <c r="B2909" s="1086" t="s">
        <v>8225</v>
      </c>
      <c r="C2909" s="1087" t="s">
        <v>1788</v>
      </c>
      <c r="D2909" s="1088">
        <v>686.38</v>
      </c>
      <c r="E2909" s="1089" t="s">
        <v>5308</v>
      </c>
      <c r="F2909" s="1081">
        <f t="shared" si="1"/>
        <v>0</v>
      </c>
      <c r="G2909" s="1083">
        <f t="shared" si="2"/>
        <v>686.38</v>
      </c>
      <c r="H2909" s="1084"/>
    </row>
    <row r="2910" ht="14.25" customHeight="1">
      <c r="A2910" s="1085">
        <v>21034.0</v>
      </c>
      <c r="B2910" s="1086" t="s">
        <v>8226</v>
      </c>
      <c r="C2910" s="1087" t="s">
        <v>1788</v>
      </c>
      <c r="D2910" s="1088">
        <v>585.61</v>
      </c>
      <c r="E2910" s="1089" t="s">
        <v>5308</v>
      </c>
      <c r="F2910" s="1081">
        <f t="shared" si="1"/>
        <v>0</v>
      </c>
      <c r="G2910" s="1083">
        <f t="shared" si="2"/>
        <v>585.61</v>
      </c>
      <c r="H2910" s="1084"/>
    </row>
    <row r="2911" ht="14.25" customHeight="1">
      <c r="A2911" s="1085">
        <v>37531.0</v>
      </c>
      <c r="B2911" s="1086" t="s">
        <v>8227</v>
      </c>
      <c r="C2911" s="1087" t="s">
        <v>1788</v>
      </c>
      <c r="D2911" s="1088">
        <v>737.5</v>
      </c>
      <c r="E2911" s="1089" t="s">
        <v>5308</v>
      </c>
      <c r="F2911" s="1081">
        <f t="shared" si="1"/>
        <v>0</v>
      </c>
      <c r="G2911" s="1083">
        <f t="shared" si="2"/>
        <v>737.5</v>
      </c>
      <c r="H2911" s="1084"/>
    </row>
    <row r="2912" ht="14.25" customHeight="1">
      <c r="A2912" s="1085">
        <v>21036.0</v>
      </c>
      <c r="B2912" s="1086" t="s">
        <v>8228</v>
      </c>
      <c r="C2912" s="1087" t="s">
        <v>1788</v>
      </c>
      <c r="D2912" s="1088">
        <v>896.68</v>
      </c>
      <c r="E2912" s="1089" t="s">
        <v>5308</v>
      </c>
      <c r="F2912" s="1081">
        <f t="shared" si="1"/>
        <v>0</v>
      </c>
      <c r="G2912" s="1083">
        <f t="shared" si="2"/>
        <v>896.68</v>
      </c>
      <c r="H2912" s="1084"/>
    </row>
    <row r="2913" ht="14.25" customHeight="1">
      <c r="A2913" s="1085">
        <v>21037.0</v>
      </c>
      <c r="B2913" s="1086" t="s">
        <v>8229</v>
      </c>
      <c r="C2913" s="1087" t="s">
        <v>1788</v>
      </c>
      <c r="D2913" s="1088">
        <v>1022.27</v>
      </c>
      <c r="E2913" s="1089" t="s">
        <v>5308</v>
      </c>
      <c r="F2913" s="1081">
        <f t="shared" si="1"/>
        <v>0</v>
      </c>
      <c r="G2913" s="1083">
        <f t="shared" si="2"/>
        <v>1022.27</v>
      </c>
      <c r="H2913" s="1084"/>
    </row>
    <row r="2914" ht="14.25" customHeight="1">
      <c r="A2914" s="1085">
        <v>20185.0</v>
      </c>
      <c r="B2914" s="1086" t="s">
        <v>8230</v>
      </c>
      <c r="C2914" s="1087" t="s">
        <v>1731</v>
      </c>
      <c r="D2914" s="1088">
        <v>25.34</v>
      </c>
      <c r="E2914" s="1089" t="s">
        <v>5308</v>
      </c>
      <c r="F2914" s="1081">
        <f t="shared" si="1"/>
        <v>0</v>
      </c>
      <c r="G2914" s="1083">
        <f t="shared" si="2"/>
        <v>25.34</v>
      </c>
      <c r="H2914" s="1084"/>
    </row>
    <row r="2915" ht="14.25" customHeight="1">
      <c r="A2915" s="1085">
        <v>20260.0</v>
      </c>
      <c r="B2915" s="1086" t="s">
        <v>8231</v>
      </c>
      <c r="C2915" s="1087" t="s">
        <v>1788</v>
      </c>
      <c r="D2915" s="1088">
        <v>20.38</v>
      </c>
      <c r="E2915" s="1089" t="s">
        <v>5308</v>
      </c>
      <c r="F2915" s="1081">
        <f t="shared" si="1"/>
        <v>0</v>
      </c>
      <c r="G2915" s="1083">
        <f t="shared" si="2"/>
        <v>20.38</v>
      </c>
      <c r="H2915" s="1084"/>
    </row>
    <row r="2916" ht="14.25" customHeight="1">
      <c r="A2916" s="1085">
        <v>37523.0</v>
      </c>
      <c r="B2916" s="1086" t="s">
        <v>8232</v>
      </c>
      <c r="C2916" s="1087" t="s">
        <v>1788</v>
      </c>
      <c r="D2916" s="1088">
        <v>584893.24</v>
      </c>
      <c r="E2916" s="1089" t="s">
        <v>5482</v>
      </c>
      <c r="F2916" s="1081">
        <f t="shared" si="1"/>
        <v>0</v>
      </c>
      <c r="G2916" s="1083">
        <f t="shared" si="2"/>
        <v>584893.24</v>
      </c>
      <c r="H2916" s="1084"/>
    </row>
    <row r="2917" ht="14.25" customHeight="1">
      <c r="A2917" s="1085">
        <v>37515.0</v>
      </c>
      <c r="B2917" s="1086" t="s">
        <v>8233</v>
      </c>
      <c r="C2917" s="1087" t="s">
        <v>1788</v>
      </c>
      <c r="D2917" s="1088">
        <v>520000.0</v>
      </c>
      <c r="E2917" s="1089" t="s">
        <v>5482</v>
      </c>
      <c r="F2917" s="1081">
        <f t="shared" si="1"/>
        <v>0</v>
      </c>
      <c r="G2917" s="1083">
        <f t="shared" si="2"/>
        <v>520000</v>
      </c>
      <c r="H2917" s="1084"/>
    </row>
    <row r="2918" ht="14.25" customHeight="1">
      <c r="A2918" s="1085">
        <v>12899.0</v>
      </c>
      <c r="B2918" s="1086" t="s">
        <v>8234</v>
      </c>
      <c r="C2918" s="1087" t="s">
        <v>1788</v>
      </c>
      <c r="D2918" s="1088">
        <v>114.55</v>
      </c>
      <c r="E2918" s="1089" t="s">
        <v>5308</v>
      </c>
      <c r="F2918" s="1081">
        <f t="shared" si="1"/>
        <v>0</v>
      </c>
      <c r="G2918" s="1083">
        <f t="shared" si="2"/>
        <v>114.55</v>
      </c>
      <c r="H2918" s="1084"/>
    </row>
    <row r="2919" ht="14.25" customHeight="1">
      <c r="A2919" s="1085">
        <v>12898.0</v>
      </c>
      <c r="B2919" s="1086" t="s">
        <v>8235</v>
      </c>
      <c r="C2919" s="1087" t="s">
        <v>1788</v>
      </c>
      <c r="D2919" s="1088">
        <v>181.71</v>
      </c>
      <c r="E2919" s="1089" t="s">
        <v>5308</v>
      </c>
      <c r="F2919" s="1081">
        <f t="shared" si="1"/>
        <v>0</v>
      </c>
      <c r="G2919" s="1083">
        <f t="shared" si="2"/>
        <v>181.71</v>
      </c>
      <c r="H2919" s="1084"/>
    </row>
    <row r="2920" ht="14.25" customHeight="1">
      <c r="A2920" s="1085">
        <v>39699.0</v>
      </c>
      <c r="B2920" s="1086" t="s">
        <v>8236</v>
      </c>
      <c r="C2920" s="1087" t="s">
        <v>1814</v>
      </c>
      <c r="D2920" s="1088">
        <v>15.83</v>
      </c>
      <c r="E2920" s="1089" t="s">
        <v>5308</v>
      </c>
      <c r="F2920" s="1081">
        <f t="shared" si="1"/>
        <v>0</v>
      </c>
      <c r="G2920" s="1083">
        <f t="shared" si="2"/>
        <v>15.83</v>
      </c>
      <c r="H2920" s="1084"/>
    </row>
    <row r="2921" ht="14.25" customHeight="1">
      <c r="A2921" s="1085">
        <v>42528.0</v>
      </c>
      <c r="B2921" s="1086" t="s">
        <v>8237</v>
      </c>
      <c r="C2921" s="1087" t="s">
        <v>1814</v>
      </c>
      <c r="D2921" s="1088">
        <v>7.15</v>
      </c>
      <c r="E2921" s="1089" t="s">
        <v>5308</v>
      </c>
      <c r="F2921" s="1081">
        <f t="shared" si="1"/>
        <v>0</v>
      </c>
      <c r="G2921" s="1083">
        <f t="shared" si="2"/>
        <v>7.15</v>
      </c>
      <c r="H2921" s="1084"/>
    </row>
    <row r="2922" ht="14.25" customHeight="1">
      <c r="A2922" s="1085">
        <v>39696.0</v>
      </c>
      <c r="B2922" s="1086" t="s">
        <v>8238</v>
      </c>
      <c r="C2922" s="1087" t="s">
        <v>1814</v>
      </c>
      <c r="D2922" s="1088">
        <v>5.03</v>
      </c>
      <c r="E2922" s="1089" t="s">
        <v>5308</v>
      </c>
      <c r="F2922" s="1081">
        <f t="shared" si="1"/>
        <v>0</v>
      </c>
      <c r="G2922" s="1083">
        <f t="shared" si="2"/>
        <v>5.03</v>
      </c>
      <c r="H2922" s="1084"/>
    </row>
    <row r="2923" ht="14.25" customHeight="1">
      <c r="A2923" s="1085">
        <v>39700.0</v>
      </c>
      <c r="B2923" s="1086" t="s">
        <v>8239</v>
      </c>
      <c r="C2923" s="1087" t="s">
        <v>1814</v>
      </c>
      <c r="D2923" s="1088">
        <v>27.83</v>
      </c>
      <c r="E2923" s="1089" t="s">
        <v>5308</v>
      </c>
      <c r="F2923" s="1081">
        <f t="shared" si="1"/>
        <v>0</v>
      </c>
      <c r="G2923" s="1083">
        <f t="shared" si="2"/>
        <v>27.83</v>
      </c>
      <c r="H2923" s="1084"/>
    </row>
    <row r="2924" ht="14.25" customHeight="1">
      <c r="A2924" s="1085">
        <v>11621.0</v>
      </c>
      <c r="B2924" s="1086" t="s">
        <v>8240</v>
      </c>
      <c r="C2924" s="1087" t="s">
        <v>1814</v>
      </c>
      <c r="D2924" s="1088">
        <v>55.37</v>
      </c>
      <c r="E2924" s="1089" t="s">
        <v>5308</v>
      </c>
      <c r="F2924" s="1081">
        <f t="shared" si="1"/>
        <v>0</v>
      </c>
      <c r="G2924" s="1083">
        <f t="shared" si="2"/>
        <v>55.37</v>
      </c>
      <c r="H2924" s="1084"/>
    </row>
    <row r="2925" ht="14.25" customHeight="1">
      <c r="A2925" s="1085">
        <v>4014.0</v>
      </c>
      <c r="B2925" s="1086" t="s">
        <v>8241</v>
      </c>
      <c r="C2925" s="1087" t="s">
        <v>1814</v>
      </c>
      <c r="D2925" s="1088">
        <v>57.29</v>
      </c>
      <c r="E2925" s="1089" t="s">
        <v>5308</v>
      </c>
      <c r="F2925" s="1081">
        <f t="shared" si="1"/>
        <v>0</v>
      </c>
      <c r="G2925" s="1083">
        <f t="shared" si="2"/>
        <v>57.29</v>
      </c>
      <c r="H2925" s="1084"/>
    </row>
    <row r="2926" ht="14.25" customHeight="1">
      <c r="A2926" s="1085">
        <v>4015.0</v>
      </c>
      <c r="B2926" s="1086" t="s">
        <v>8242</v>
      </c>
      <c r="C2926" s="1087" t="s">
        <v>1814</v>
      </c>
      <c r="D2926" s="1088">
        <v>70.35</v>
      </c>
      <c r="E2926" s="1089" t="s">
        <v>5308</v>
      </c>
      <c r="F2926" s="1081">
        <f t="shared" si="1"/>
        <v>0</v>
      </c>
      <c r="G2926" s="1083">
        <f t="shared" si="2"/>
        <v>70.35</v>
      </c>
      <c r="H2926" s="1084"/>
    </row>
    <row r="2927" ht="14.25" customHeight="1">
      <c r="A2927" s="1085">
        <v>4017.0</v>
      </c>
      <c r="B2927" s="1086" t="s">
        <v>8243</v>
      </c>
      <c r="C2927" s="1087" t="s">
        <v>1814</v>
      </c>
      <c r="D2927" s="1088">
        <v>102.36</v>
      </c>
      <c r="E2927" s="1089" t="s">
        <v>5308</v>
      </c>
      <c r="F2927" s="1081">
        <f t="shared" si="1"/>
        <v>0</v>
      </c>
      <c r="G2927" s="1083">
        <f t="shared" si="2"/>
        <v>102.36</v>
      </c>
      <c r="H2927" s="1084"/>
    </row>
    <row r="2928" ht="14.25" customHeight="1">
      <c r="A2928" s="1085">
        <v>4016.0</v>
      </c>
      <c r="B2928" s="1086" t="s">
        <v>8244</v>
      </c>
      <c r="C2928" s="1087" t="s">
        <v>1814</v>
      </c>
      <c r="D2928" s="1088">
        <v>40.43</v>
      </c>
      <c r="E2928" s="1089" t="s">
        <v>5308</v>
      </c>
      <c r="F2928" s="1081">
        <f t="shared" si="1"/>
        <v>0</v>
      </c>
      <c r="G2928" s="1083">
        <f t="shared" si="2"/>
        <v>40.43</v>
      </c>
      <c r="H2928" s="1084"/>
    </row>
    <row r="2929" ht="14.25" customHeight="1">
      <c r="A2929" s="1085">
        <v>38544.0</v>
      </c>
      <c r="B2929" s="1086" t="s">
        <v>8245</v>
      </c>
      <c r="C2929" s="1087" t="s">
        <v>1814</v>
      </c>
      <c r="D2929" s="1088">
        <v>10.37</v>
      </c>
      <c r="E2929" s="1089" t="s">
        <v>5308</v>
      </c>
      <c r="F2929" s="1081">
        <f t="shared" si="1"/>
        <v>0</v>
      </c>
      <c r="G2929" s="1083">
        <f t="shared" si="2"/>
        <v>10.37</v>
      </c>
      <c r="H2929" s="1084"/>
    </row>
    <row r="2930" ht="14.25" customHeight="1">
      <c r="A2930" s="1085">
        <v>38545.0</v>
      </c>
      <c r="B2930" s="1086" t="s">
        <v>8246</v>
      </c>
      <c r="C2930" s="1087" t="s">
        <v>1814</v>
      </c>
      <c r="D2930" s="1088">
        <v>6.67</v>
      </c>
      <c r="E2930" s="1089" t="s">
        <v>5308</v>
      </c>
      <c r="F2930" s="1081">
        <f t="shared" si="1"/>
        <v>0</v>
      </c>
      <c r="G2930" s="1083">
        <f t="shared" si="2"/>
        <v>6.67</v>
      </c>
      <c r="H2930" s="1084"/>
    </row>
    <row r="2931" ht="14.25" customHeight="1">
      <c r="A2931" s="1085">
        <v>42527.0</v>
      </c>
      <c r="B2931" s="1086" t="s">
        <v>8247</v>
      </c>
      <c r="C2931" s="1087" t="s">
        <v>1814</v>
      </c>
      <c r="D2931" s="1088">
        <v>18.9</v>
      </c>
      <c r="E2931" s="1089" t="s">
        <v>5308</v>
      </c>
      <c r="F2931" s="1081">
        <f t="shared" si="1"/>
        <v>0</v>
      </c>
      <c r="G2931" s="1083">
        <f t="shared" si="2"/>
        <v>18.9</v>
      </c>
      <c r="H2931" s="1084"/>
    </row>
    <row r="2932" ht="14.25" customHeight="1">
      <c r="A2932" s="1085">
        <v>39323.0</v>
      </c>
      <c r="B2932" s="1086" t="s">
        <v>8248</v>
      </c>
      <c r="C2932" s="1087" t="s">
        <v>1814</v>
      </c>
      <c r="D2932" s="1088">
        <v>25.43</v>
      </c>
      <c r="E2932" s="1089" t="s">
        <v>5308</v>
      </c>
      <c r="F2932" s="1081">
        <f t="shared" si="1"/>
        <v>0</v>
      </c>
      <c r="G2932" s="1083">
        <f t="shared" si="2"/>
        <v>25.43</v>
      </c>
      <c r="H2932" s="1084"/>
    </row>
    <row r="2933" ht="14.25" customHeight="1">
      <c r="A2933" s="1085">
        <v>626.0</v>
      </c>
      <c r="B2933" s="1086" t="s">
        <v>8249</v>
      </c>
      <c r="C2933" s="1087" t="s">
        <v>3606</v>
      </c>
      <c r="D2933" s="1088">
        <v>18.75</v>
      </c>
      <c r="E2933" s="1089" t="s">
        <v>5308</v>
      </c>
      <c r="F2933" s="1081">
        <f t="shared" si="1"/>
        <v>0</v>
      </c>
      <c r="G2933" s="1083">
        <f t="shared" si="2"/>
        <v>18.75</v>
      </c>
      <c r="H2933" s="1084"/>
    </row>
    <row r="2934" ht="14.25" customHeight="1">
      <c r="A2934" s="1085">
        <v>44504.0</v>
      </c>
      <c r="B2934" s="1086" t="s">
        <v>8250</v>
      </c>
      <c r="C2934" s="1087" t="s">
        <v>1814</v>
      </c>
      <c r="D2934" s="1088">
        <v>14.1</v>
      </c>
      <c r="E2934" s="1089" t="s">
        <v>5554</v>
      </c>
      <c r="F2934" s="1081">
        <f t="shared" si="1"/>
        <v>0</v>
      </c>
      <c r="G2934" s="1083">
        <f t="shared" si="2"/>
        <v>14.1</v>
      </c>
      <c r="H2934" s="1084"/>
    </row>
    <row r="2935" ht="14.25" customHeight="1">
      <c r="A2935" s="1085">
        <v>44505.0</v>
      </c>
      <c r="B2935" s="1086" t="s">
        <v>8251</v>
      </c>
      <c r="C2935" s="1087" t="s">
        <v>1814</v>
      </c>
      <c r="D2935" s="1088">
        <v>21.28</v>
      </c>
      <c r="E2935" s="1089" t="s">
        <v>5554</v>
      </c>
      <c r="F2935" s="1081">
        <f t="shared" si="1"/>
        <v>0</v>
      </c>
      <c r="G2935" s="1083">
        <f t="shared" si="2"/>
        <v>21.28</v>
      </c>
      <c r="H2935" s="1084"/>
    </row>
    <row r="2936" ht="14.25" customHeight="1">
      <c r="A2936" s="1085">
        <v>44506.0</v>
      </c>
      <c r="B2936" s="1086" t="s">
        <v>8252</v>
      </c>
      <c r="C2936" s="1087" t="s">
        <v>1814</v>
      </c>
      <c r="D2936" s="1088">
        <v>22.58</v>
      </c>
      <c r="E2936" s="1089" t="s">
        <v>5554</v>
      </c>
      <c r="F2936" s="1081">
        <f t="shared" si="1"/>
        <v>0</v>
      </c>
      <c r="G2936" s="1083">
        <f t="shared" si="2"/>
        <v>22.58</v>
      </c>
      <c r="H2936" s="1084"/>
    </row>
    <row r="2937" ht="14.25" customHeight="1">
      <c r="A2937" s="1085">
        <v>44507.0</v>
      </c>
      <c r="B2937" s="1086" t="s">
        <v>8253</v>
      </c>
      <c r="C2937" s="1087" t="s">
        <v>1814</v>
      </c>
      <c r="D2937" s="1088">
        <v>28.23</v>
      </c>
      <c r="E2937" s="1089" t="s">
        <v>5554</v>
      </c>
      <c r="F2937" s="1081">
        <f t="shared" si="1"/>
        <v>0</v>
      </c>
      <c r="G2937" s="1083">
        <f t="shared" si="2"/>
        <v>28.23</v>
      </c>
      <c r="H2937" s="1084"/>
    </row>
    <row r="2938" ht="14.25" customHeight="1">
      <c r="A2938" s="1085">
        <v>44508.0</v>
      </c>
      <c r="B2938" s="1086" t="s">
        <v>8254</v>
      </c>
      <c r="C2938" s="1087" t="s">
        <v>1814</v>
      </c>
      <c r="D2938" s="1088">
        <v>42.34</v>
      </c>
      <c r="E2938" s="1089" t="s">
        <v>5554</v>
      </c>
      <c r="F2938" s="1081">
        <f t="shared" si="1"/>
        <v>0</v>
      </c>
      <c r="G2938" s="1083">
        <f t="shared" si="2"/>
        <v>42.34</v>
      </c>
      <c r="H2938" s="1084"/>
    </row>
    <row r="2939" ht="14.25" customHeight="1">
      <c r="A2939" s="1085">
        <v>44509.0</v>
      </c>
      <c r="B2939" s="1086" t="s">
        <v>8255</v>
      </c>
      <c r="C2939" s="1087" t="s">
        <v>1814</v>
      </c>
      <c r="D2939" s="1088">
        <v>56.71</v>
      </c>
      <c r="E2939" s="1089" t="s">
        <v>5554</v>
      </c>
      <c r="F2939" s="1081">
        <f t="shared" si="1"/>
        <v>0</v>
      </c>
      <c r="G2939" s="1083">
        <f t="shared" si="2"/>
        <v>56.71</v>
      </c>
      <c r="H2939" s="1084"/>
    </row>
    <row r="2940" ht="14.25" customHeight="1">
      <c r="A2940" s="1085">
        <v>44510.0</v>
      </c>
      <c r="B2940" s="1086" t="s">
        <v>8256</v>
      </c>
      <c r="C2940" s="1087" t="s">
        <v>1814</v>
      </c>
      <c r="D2940" s="1088">
        <v>70.43</v>
      </c>
      <c r="E2940" s="1089" t="s">
        <v>5554</v>
      </c>
      <c r="F2940" s="1081">
        <f t="shared" si="1"/>
        <v>0</v>
      </c>
      <c r="G2940" s="1083">
        <f t="shared" si="2"/>
        <v>70.43</v>
      </c>
      <c r="H2940" s="1084"/>
    </row>
    <row r="2941" ht="14.25" customHeight="1">
      <c r="A2941" s="1085">
        <v>44512.0</v>
      </c>
      <c r="B2941" s="1086" t="s">
        <v>8257</v>
      </c>
      <c r="C2941" s="1087" t="s">
        <v>1814</v>
      </c>
      <c r="D2941" s="1088">
        <v>15.72</v>
      </c>
      <c r="E2941" s="1089" t="s">
        <v>5554</v>
      </c>
      <c r="F2941" s="1081">
        <f t="shared" si="1"/>
        <v>0</v>
      </c>
      <c r="G2941" s="1083">
        <f t="shared" si="2"/>
        <v>15.72</v>
      </c>
      <c r="H2941" s="1084"/>
    </row>
    <row r="2942" ht="14.25" customHeight="1">
      <c r="A2942" s="1085">
        <v>44513.0</v>
      </c>
      <c r="B2942" s="1086" t="s">
        <v>8258</v>
      </c>
      <c r="C2942" s="1087" t="s">
        <v>1814</v>
      </c>
      <c r="D2942" s="1088">
        <v>22.19</v>
      </c>
      <c r="E2942" s="1089" t="s">
        <v>5554</v>
      </c>
      <c r="F2942" s="1081">
        <f t="shared" si="1"/>
        <v>0</v>
      </c>
      <c r="G2942" s="1083">
        <f t="shared" si="2"/>
        <v>22.19</v>
      </c>
      <c r="H2942" s="1084"/>
    </row>
    <row r="2943" ht="14.25" customHeight="1">
      <c r="A2943" s="1085">
        <v>44514.0</v>
      </c>
      <c r="B2943" s="1086" t="s">
        <v>8259</v>
      </c>
      <c r="C2943" s="1087" t="s">
        <v>1814</v>
      </c>
      <c r="D2943" s="1088">
        <v>25.15</v>
      </c>
      <c r="E2943" s="1089" t="s">
        <v>5554</v>
      </c>
      <c r="F2943" s="1081">
        <f t="shared" si="1"/>
        <v>0</v>
      </c>
      <c r="G2943" s="1083">
        <f t="shared" si="2"/>
        <v>25.15</v>
      </c>
      <c r="H2943" s="1084"/>
    </row>
    <row r="2944" ht="14.25" customHeight="1">
      <c r="A2944" s="1085">
        <v>44515.0</v>
      </c>
      <c r="B2944" s="1086" t="s">
        <v>8260</v>
      </c>
      <c r="C2944" s="1087" t="s">
        <v>1814</v>
      </c>
      <c r="D2944" s="1088">
        <v>30.88</v>
      </c>
      <c r="E2944" s="1089" t="s">
        <v>5554</v>
      </c>
      <c r="F2944" s="1081">
        <f t="shared" si="1"/>
        <v>0</v>
      </c>
      <c r="G2944" s="1083">
        <f t="shared" si="2"/>
        <v>30.88</v>
      </c>
      <c r="H2944" s="1084"/>
    </row>
    <row r="2945" ht="14.25" customHeight="1">
      <c r="A2945" s="1085">
        <v>44511.0</v>
      </c>
      <c r="B2945" s="1086" t="s">
        <v>8261</v>
      </c>
      <c r="C2945" s="1087" t="s">
        <v>1814</v>
      </c>
      <c r="D2945" s="1088">
        <v>45.72</v>
      </c>
      <c r="E2945" s="1089" t="s">
        <v>5554</v>
      </c>
      <c r="F2945" s="1081">
        <f t="shared" si="1"/>
        <v>0</v>
      </c>
      <c r="G2945" s="1083">
        <f t="shared" si="2"/>
        <v>45.72</v>
      </c>
      <c r="H2945" s="1084"/>
    </row>
    <row r="2946" ht="14.25" customHeight="1">
      <c r="A2946" s="1085">
        <v>44516.0</v>
      </c>
      <c r="B2946" s="1086" t="s">
        <v>8262</v>
      </c>
      <c r="C2946" s="1087" t="s">
        <v>1814</v>
      </c>
      <c r="D2946" s="1088">
        <v>61.78</v>
      </c>
      <c r="E2946" s="1089" t="s">
        <v>5554</v>
      </c>
      <c r="F2946" s="1081">
        <f t="shared" si="1"/>
        <v>0</v>
      </c>
      <c r="G2946" s="1083">
        <f t="shared" si="2"/>
        <v>61.78</v>
      </c>
      <c r="H2946" s="1084"/>
    </row>
    <row r="2947" ht="14.25" customHeight="1">
      <c r="A2947" s="1085">
        <v>44517.0</v>
      </c>
      <c r="B2947" s="1086" t="s">
        <v>8263</v>
      </c>
      <c r="C2947" s="1087" t="s">
        <v>1814</v>
      </c>
      <c r="D2947" s="1088">
        <v>77.06</v>
      </c>
      <c r="E2947" s="1089" t="s">
        <v>5554</v>
      </c>
      <c r="F2947" s="1081">
        <f t="shared" si="1"/>
        <v>0</v>
      </c>
      <c r="G2947" s="1083">
        <f t="shared" si="2"/>
        <v>77.06</v>
      </c>
      <c r="H2947" s="1084"/>
    </row>
    <row r="2948" ht="14.25" customHeight="1">
      <c r="A2948" s="1085">
        <v>11479.0</v>
      </c>
      <c r="B2948" s="1086" t="s">
        <v>8264</v>
      </c>
      <c r="C2948" s="1087" t="s">
        <v>1788</v>
      </c>
      <c r="D2948" s="1088">
        <v>36.44</v>
      </c>
      <c r="E2948" s="1089" t="s">
        <v>5308</v>
      </c>
      <c r="F2948" s="1081">
        <f t="shared" si="1"/>
        <v>0</v>
      </c>
      <c r="G2948" s="1083">
        <f t="shared" si="2"/>
        <v>36.44</v>
      </c>
      <c r="H2948" s="1084"/>
    </row>
    <row r="2949" ht="14.25" customHeight="1">
      <c r="A2949" s="1085">
        <v>11481.0</v>
      </c>
      <c r="B2949" s="1086" t="s">
        <v>8265</v>
      </c>
      <c r="C2949" s="1087" t="s">
        <v>1788</v>
      </c>
      <c r="D2949" s="1088">
        <v>32.97</v>
      </c>
      <c r="E2949" s="1089" t="s">
        <v>5308</v>
      </c>
      <c r="F2949" s="1081">
        <f t="shared" si="1"/>
        <v>0</v>
      </c>
      <c r="G2949" s="1083">
        <f t="shared" si="2"/>
        <v>32.97</v>
      </c>
      <c r="H2949" s="1084"/>
    </row>
    <row r="2950" ht="14.25" customHeight="1">
      <c r="A2950" s="1085">
        <v>43609.0</v>
      </c>
      <c r="B2950" s="1086" t="s">
        <v>8266</v>
      </c>
      <c r="C2950" s="1087" t="s">
        <v>1788</v>
      </c>
      <c r="D2950" s="1088">
        <v>32.97</v>
      </c>
      <c r="E2950" s="1089" t="s">
        <v>5308</v>
      </c>
      <c r="F2950" s="1081">
        <f t="shared" si="1"/>
        <v>0</v>
      </c>
      <c r="G2950" s="1083">
        <f t="shared" si="2"/>
        <v>32.97</v>
      </c>
      <c r="H2950" s="1084"/>
    </row>
    <row r="2951" ht="14.25" customHeight="1">
      <c r="A2951" s="1085">
        <v>11478.0</v>
      </c>
      <c r="B2951" s="1086" t="s">
        <v>8267</v>
      </c>
      <c r="C2951" s="1087" t="s">
        <v>1788</v>
      </c>
      <c r="D2951" s="1088">
        <v>62.53</v>
      </c>
      <c r="E2951" s="1089" t="s">
        <v>5308</v>
      </c>
      <c r="F2951" s="1081">
        <f t="shared" si="1"/>
        <v>0</v>
      </c>
      <c r="G2951" s="1083">
        <f t="shared" si="2"/>
        <v>62.53</v>
      </c>
      <c r="H2951" s="1084"/>
    </row>
    <row r="2952" ht="14.25" customHeight="1">
      <c r="A2952" s="1085">
        <v>43608.0</v>
      </c>
      <c r="B2952" s="1086" t="s">
        <v>8268</v>
      </c>
      <c r="C2952" s="1087" t="s">
        <v>1788</v>
      </c>
      <c r="D2952" s="1088">
        <v>47.71</v>
      </c>
      <c r="E2952" s="1089" t="s">
        <v>5308</v>
      </c>
      <c r="F2952" s="1081">
        <f t="shared" si="1"/>
        <v>0</v>
      </c>
      <c r="G2952" s="1083">
        <f t="shared" si="2"/>
        <v>47.71</v>
      </c>
      <c r="H2952" s="1084"/>
    </row>
    <row r="2953" ht="14.25" customHeight="1">
      <c r="A2953" s="1085">
        <v>11476.0</v>
      </c>
      <c r="B2953" s="1086" t="s">
        <v>8269</v>
      </c>
      <c r="C2953" s="1087" t="s">
        <v>1788</v>
      </c>
      <c r="D2953" s="1088">
        <v>47.71</v>
      </c>
      <c r="E2953" s="1089" t="s">
        <v>5308</v>
      </c>
      <c r="F2953" s="1081">
        <f t="shared" si="1"/>
        <v>0</v>
      </c>
      <c r="G2953" s="1083">
        <f t="shared" si="2"/>
        <v>47.71</v>
      </c>
      <c r="H2953" s="1084"/>
    </row>
    <row r="2954" ht="14.25" customHeight="1">
      <c r="A2954" s="1085">
        <v>40637.0</v>
      </c>
      <c r="B2954" s="1086" t="s">
        <v>8270</v>
      </c>
      <c r="C2954" s="1087" t="s">
        <v>1788</v>
      </c>
      <c r="D2954" s="1088">
        <v>793072.01</v>
      </c>
      <c r="E2954" s="1089" t="s">
        <v>5482</v>
      </c>
      <c r="F2954" s="1081">
        <f t="shared" si="1"/>
        <v>0</v>
      </c>
      <c r="G2954" s="1083">
        <f t="shared" si="2"/>
        <v>793072.01</v>
      </c>
      <c r="H2954" s="1084"/>
    </row>
    <row r="2955" ht="14.25" customHeight="1">
      <c r="A2955" s="1085">
        <v>13836.0</v>
      </c>
      <c r="B2955" s="1086" t="s">
        <v>8271</v>
      </c>
      <c r="C2955" s="1087" t="s">
        <v>1788</v>
      </c>
      <c r="D2955" s="1088">
        <v>68281.71</v>
      </c>
      <c r="E2955" s="1089" t="s">
        <v>5482</v>
      </c>
      <c r="F2955" s="1081">
        <f t="shared" si="1"/>
        <v>0</v>
      </c>
      <c r="G2955" s="1083">
        <f t="shared" si="2"/>
        <v>68281.71</v>
      </c>
      <c r="H2955" s="1084"/>
    </row>
    <row r="2956" ht="14.25" customHeight="1">
      <c r="A2956" s="1085">
        <v>14534.0</v>
      </c>
      <c r="B2956" s="1086" t="s">
        <v>8272</v>
      </c>
      <c r="C2956" s="1087" t="s">
        <v>1788</v>
      </c>
      <c r="D2956" s="1088">
        <v>28584.53</v>
      </c>
      <c r="E2956" s="1089" t="s">
        <v>5482</v>
      </c>
      <c r="F2956" s="1081">
        <f t="shared" si="1"/>
        <v>0</v>
      </c>
      <c r="G2956" s="1083">
        <f t="shared" si="2"/>
        <v>28584.53</v>
      </c>
      <c r="H2956" s="1084"/>
    </row>
    <row r="2957" ht="14.25" customHeight="1">
      <c r="A2957" s="1085">
        <v>14619.0</v>
      </c>
      <c r="B2957" s="1086" t="s">
        <v>8273</v>
      </c>
      <c r="C2957" s="1087" t="s">
        <v>1788</v>
      </c>
      <c r="D2957" s="1088">
        <v>17158.36</v>
      </c>
      <c r="E2957" s="1089" t="s">
        <v>5482</v>
      </c>
      <c r="F2957" s="1081">
        <f t="shared" si="1"/>
        <v>0</v>
      </c>
      <c r="G2957" s="1083">
        <f t="shared" si="2"/>
        <v>17158.36</v>
      </c>
      <c r="H2957" s="1084"/>
    </row>
    <row r="2958" ht="14.25" customHeight="1">
      <c r="A2958" s="1085">
        <v>14535.0</v>
      </c>
      <c r="B2958" s="1086" t="s">
        <v>8274</v>
      </c>
      <c r="C2958" s="1087" t="s">
        <v>1788</v>
      </c>
      <c r="D2958" s="1088">
        <v>283704.22</v>
      </c>
      <c r="E2958" s="1089" t="s">
        <v>5482</v>
      </c>
      <c r="F2958" s="1081">
        <f t="shared" si="1"/>
        <v>0</v>
      </c>
      <c r="G2958" s="1083">
        <f t="shared" si="2"/>
        <v>283704.22</v>
      </c>
      <c r="H2958" s="1084"/>
    </row>
    <row r="2959" ht="14.25" customHeight="1">
      <c r="A2959" s="1085">
        <v>39813.0</v>
      </c>
      <c r="B2959" s="1086" t="s">
        <v>8275</v>
      </c>
      <c r="C2959" s="1087" t="s">
        <v>1788</v>
      </c>
      <c r="D2959" s="1088">
        <v>33767.23</v>
      </c>
      <c r="E2959" s="1089" t="s">
        <v>5482</v>
      </c>
      <c r="F2959" s="1081">
        <f t="shared" si="1"/>
        <v>0</v>
      </c>
      <c r="G2959" s="1083">
        <f t="shared" si="2"/>
        <v>33767.23</v>
      </c>
      <c r="H2959" s="1084"/>
    </row>
    <row r="2960" ht="14.25" customHeight="1">
      <c r="A2960" s="1085">
        <v>40403.0</v>
      </c>
      <c r="B2960" s="1086" t="s">
        <v>8276</v>
      </c>
      <c r="C2960" s="1087" t="s">
        <v>1788</v>
      </c>
      <c r="D2960" s="1088">
        <v>538.72</v>
      </c>
      <c r="E2960" s="1089" t="s">
        <v>5482</v>
      </c>
      <c r="F2960" s="1081">
        <f t="shared" si="1"/>
        <v>0</v>
      </c>
      <c r="G2960" s="1083">
        <f t="shared" si="2"/>
        <v>538.72</v>
      </c>
      <c r="H2960" s="1084"/>
    </row>
    <row r="2961" ht="14.25" customHeight="1">
      <c r="A2961" s="1085">
        <v>12868.0</v>
      </c>
      <c r="B2961" s="1086" t="s">
        <v>8277</v>
      </c>
      <c r="C2961" s="1087" t="s">
        <v>1470</v>
      </c>
      <c r="D2961" s="1088">
        <v>19.08</v>
      </c>
      <c r="E2961" s="1089" t="s">
        <v>5452</v>
      </c>
      <c r="F2961" s="1081">
        <f t="shared" si="1"/>
        <v>19.08</v>
      </c>
      <c r="G2961" s="1083">
        <f t="shared" si="2"/>
        <v>0</v>
      </c>
      <c r="H2961" s="1084"/>
    </row>
    <row r="2962" ht="14.25" customHeight="1">
      <c r="A2962" s="1085">
        <v>40916.0</v>
      </c>
      <c r="B2962" s="1086" t="s">
        <v>8278</v>
      </c>
      <c r="C2962" s="1087" t="s">
        <v>5454</v>
      </c>
      <c r="D2962" s="1088">
        <v>3342.3</v>
      </c>
      <c r="E2962" s="1089" t="s">
        <v>5452</v>
      </c>
      <c r="F2962" s="1081">
        <f t="shared" si="1"/>
        <v>3342.3</v>
      </c>
      <c r="G2962" s="1083">
        <f t="shared" si="2"/>
        <v>0</v>
      </c>
      <c r="H2962" s="1084"/>
    </row>
    <row r="2963" ht="14.25" customHeight="1">
      <c r="A2963" s="1085">
        <v>4755.0</v>
      </c>
      <c r="B2963" s="1086" t="s">
        <v>8279</v>
      </c>
      <c r="C2963" s="1087" t="s">
        <v>1470</v>
      </c>
      <c r="D2963" s="1088">
        <v>23.64</v>
      </c>
      <c r="E2963" s="1089" t="s">
        <v>5452</v>
      </c>
      <c r="F2963" s="1081">
        <f t="shared" si="1"/>
        <v>23.64</v>
      </c>
      <c r="G2963" s="1083">
        <f t="shared" si="2"/>
        <v>0</v>
      </c>
      <c r="H2963" s="1084"/>
    </row>
    <row r="2964" ht="14.25" customHeight="1">
      <c r="A2964" s="1085">
        <v>41067.0</v>
      </c>
      <c r="B2964" s="1086" t="s">
        <v>8280</v>
      </c>
      <c r="C2964" s="1087" t="s">
        <v>5454</v>
      </c>
      <c r="D2964" s="1088">
        <v>4140.99</v>
      </c>
      <c r="E2964" s="1089" t="s">
        <v>5452</v>
      </c>
      <c r="F2964" s="1081">
        <f t="shared" si="1"/>
        <v>4140.99</v>
      </c>
      <c r="G2964" s="1083">
        <f t="shared" si="2"/>
        <v>0</v>
      </c>
      <c r="H2964" s="1084"/>
    </row>
    <row r="2965" ht="14.25" customHeight="1">
      <c r="A2965" s="1085">
        <v>38463.0</v>
      </c>
      <c r="B2965" s="1086" t="s">
        <v>8281</v>
      </c>
      <c r="C2965" s="1087" t="s">
        <v>1788</v>
      </c>
      <c r="D2965" s="1088">
        <v>41.53</v>
      </c>
      <c r="E2965" s="1089" t="s">
        <v>5308</v>
      </c>
      <c r="F2965" s="1081">
        <f t="shared" si="1"/>
        <v>0</v>
      </c>
      <c r="G2965" s="1083">
        <f t="shared" si="2"/>
        <v>41.53</v>
      </c>
      <c r="H2965" s="1084"/>
    </row>
    <row r="2966" ht="14.25" customHeight="1">
      <c r="A2966" s="1085">
        <v>40703.0</v>
      </c>
      <c r="B2966" s="1086" t="s">
        <v>8282</v>
      </c>
      <c r="C2966" s="1087" t="s">
        <v>1788</v>
      </c>
      <c r="D2966" s="1088">
        <v>8567.84</v>
      </c>
      <c r="E2966" s="1089" t="s">
        <v>5482</v>
      </c>
      <c r="F2966" s="1081">
        <f t="shared" si="1"/>
        <v>0</v>
      </c>
      <c r="G2966" s="1083">
        <f t="shared" si="2"/>
        <v>8567.84</v>
      </c>
      <c r="H2966" s="1084"/>
    </row>
    <row r="2967" ht="14.25" customHeight="1">
      <c r="A2967" s="1085">
        <v>14531.0</v>
      </c>
      <c r="B2967" s="1086" t="s">
        <v>8283</v>
      </c>
      <c r="C2967" s="1087" t="s">
        <v>1788</v>
      </c>
      <c r="D2967" s="1088">
        <v>15973.68</v>
      </c>
      <c r="E2967" s="1089" t="s">
        <v>5482</v>
      </c>
      <c r="F2967" s="1081">
        <f t="shared" si="1"/>
        <v>0</v>
      </c>
      <c r="G2967" s="1083">
        <f t="shared" si="2"/>
        <v>15973.68</v>
      </c>
      <c r="H2967" s="1084"/>
    </row>
    <row r="2968" ht="14.25" customHeight="1">
      <c r="A2968" s="1085">
        <v>36533.0</v>
      </c>
      <c r="B2968" s="1086" t="s">
        <v>8284</v>
      </c>
      <c r="C2968" s="1087" t="s">
        <v>1788</v>
      </c>
      <c r="D2968" s="1088">
        <v>18381.62</v>
      </c>
      <c r="E2968" s="1089" t="s">
        <v>5482</v>
      </c>
      <c r="F2968" s="1081">
        <f t="shared" si="1"/>
        <v>0</v>
      </c>
      <c r="G2968" s="1083">
        <f t="shared" si="2"/>
        <v>18381.62</v>
      </c>
      <c r="H2968" s="1084"/>
    </row>
    <row r="2969" ht="14.25" customHeight="1">
      <c r="A2969" s="1085">
        <v>11616.0</v>
      </c>
      <c r="B2969" s="1086" t="s">
        <v>8285</v>
      </c>
      <c r="C2969" s="1087" t="s">
        <v>1788</v>
      </c>
      <c r="D2969" s="1088">
        <v>17361.17</v>
      </c>
      <c r="E2969" s="1089" t="s">
        <v>5482</v>
      </c>
      <c r="F2969" s="1081">
        <f t="shared" si="1"/>
        <v>0</v>
      </c>
      <c r="G2969" s="1083">
        <f t="shared" si="2"/>
        <v>17361.17</v>
      </c>
      <c r="H2969" s="1084"/>
    </row>
    <row r="2970" ht="14.25" customHeight="1">
      <c r="A2970" s="1085">
        <v>41898.0</v>
      </c>
      <c r="B2970" s="1086" t="s">
        <v>8286</v>
      </c>
      <c r="C2970" s="1087" t="s">
        <v>1788</v>
      </c>
      <c r="D2970" s="1088">
        <v>19533.68</v>
      </c>
      <c r="E2970" s="1089" t="s">
        <v>5482</v>
      </c>
      <c r="F2970" s="1081">
        <f t="shared" si="1"/>
        <v>0</v>
      </c>
      <c r="G2970" s="1083">
        <f t="shared" si="2"/>
        <v>19533.68</v>
      </c>
      <c r="H2970" s="1084"/>
    </row>
    <row r="2971" ht="14.25" customHeight="1">
      <c r="A2971" s="1085">
        <v>13447.0</v>
      </c>
      <c r="B2971" s="1086" t="s">
        <v>8287</v>
      </c>
      <c r="C2971" s="1087" t="s">
        <v>1788</v>
      </c>
      <c r="D2971" s="1088">
        <v>35943.31</v>
      </c>
      <c r="E2971" s="1089" t="s">
        <v>5482</v>
      </c>
      <c r="F2971" s="1081">
        <f t="shared" si="1"/>
        <v>0</v>
      </c>
      <c r="G2971" s="1083">
        <f t="shared" si="2"/>
        <v>35943.31</v>
      </c>
      <c r="H2971" s="1084"/>
    </row>
    <row r="2972" ht="14.25" customHeight="1">
      <c r="A2972" s="1085">
        <v>14529.0</v>
      </c>
      <c r="B2972" s="1086" t="s">
        <v>8288</v>
      </c>
      <c r="C2972" s="1087" t="s">
        <v>1788</v>
      </c>
      <c r="D2972" s="1088">
        <v>20102.18</v>
      </c>
      <c r="E2972" s="1089" t="s">
        <v>5482</v>
      </c>
      <c r="F2972" s="1081">
        <f t="shared" si="1"/>
        <v>0</v>
      </c>
      <c r="G2972" s="1083">
        <f t="shared" si="2"/>
        <v>20102.18</v>
      </c>
      <c r="H2972" s="1084"/>
    </row>
    <row r="2973" ht="14.25" customHeight="1">
      <c r="A2973" s="1085">
        <v>10747.0</v>
      </c>
      <c r="B2973" s="1086" t="s">
        <v>8289</v>
      </c>
      <c r="C2973" s="1087" t="s">
        <v>1788</v>
      </c>
      <c r="D2973" s="1088">
        <v>19723.31</v>
      </c>
      <c r="E2973" s="1089" t="s">
        <v>5482</v>
      </c>
      <c r="F2973" s="1081">
        <f t="shared" si="1"/>
        <v>0</v>
      </c>
      <c r="G2973" s="1083">
        <f t="shared" si="2"/>
        <v>19723.31</v>
      </c>
      <c r="H2973" s="1084"/>
    </row>
    <row r="2974" ht="14.25" customHeight="1">
      <c r="A2974" s="1085">
        <v>36141.0</v>
      </c>
      <c r="B2974" s="1086" t="s">
        <v>8290</v>
      </c>
      <c r="C2974" s="1087" t="s">
        <v>1788</v>
      </c>
      <c r="D2974" s="1088">
        <v>40.5</v>
      </c>
      <c r="E2974" s="1089" t="s">
        <v>5308</v>
      </c>
      <c r="F2974" s="1081">
        <f t="shared" si="1"/>
        <v>0</v>
      </c>
      <c r="G2974" s="1083">
        <f t="shared" si="2"/>
        <v>40.5</v>
      </c>
      <c r="H2974" s="1084"/>
    </row>
    <row r="2975" ht="14.25" customHeight="1">
      <c r="A2975" s="1085">
        <v>43651.0</v>
      </c>
      <c r="B2975" s="1086" t="s">
        <v>8291</v>
      </c>
      <c r="C2975" s="1087" t="s">
        <v>3606</v>
      </c>
      <c r="D2975" s="1088">
        <v>8.83</v>
      </c>
      <c r="E2975" s="1089" t="s">
        <v>5308</v>
      </c>
      <c r="F2975" s="1081">
        <f t="shared" si="1"/>
        <v>0</v>
      </c>
      <c r="G2975" s="1083">
        <f t="shared" si="2"/>
        <v>8.83</v>
      </c>
      <c r="H2975" s="1084"/>
    </row>
    <row r="2976" ht="14.25" customHeight="1">
      <c r="A2976" s="1085">
        <v>43626.0</v>
      </c>
      <c r="B2976" s="1086" t="s">
        <v>8292</v>
      </c>
      <c r="C2976" s="1087" t="s">
        <v>3606</v>
      </c>
      <c r="D2976" s="1088">
        <v>4.91</v>
      </c>
      <c r="E2976" s="1089" t="s">
        <v>5308</v>
      </c>
      <c r="F2976" s="1081">
        <f t="shared" si="1"/>
        <v>0</v>
      </c>
      <c r="G2976" s="1083">
        <f t="shared" si="2"/>
        <v>4.91</v>
      </c>
      <c r="H2976" s="1084"/>
    </row>
    <row r="2977" ht="14.25" customHeight="1">
      <c r="A2977" s="1085">
        <v>39434.0</v>
      </c>
      <c r="B2977" s="1086" t="s">
        <v>8293</v>
      </c>
      <c r="C2977" s="1087" t="s">
        <v>3606</v>
      </c>
      <c r="D2977" s="1088">
        <v>3.38</v>
      </c>
      <c r="E2977" s="1089" t="s">
        <v>5308</v>
      </c>
      <c r="F2977" s="1081">
        <f t="shared" si="1"/>
        <v>0</v>
      </c>
      <c r="G2977" s="1083">
        <f t="shared" si="2"/>
        <v>3.38</v>
      </c>
      <c r="H2977" s="1084"/>
    </row>
    <row r="2978" ht="14.25" customHeight="1">
      <c r="A2978" s="1085">
        <v>39433.0</v>
      </c>
      <c r="B2978" s="1086" t="s">
        <v>8294</v>
      </c>
      <c r="C2978" s="1087" t="s">
        <v>3606</v>
      </c>
      <c r="D2978" s="1088">
        <v>2.68</v>
      </c>
      <c r="E2978" s="1089" t="s">
        <v>5308</v>
      </c>
      <c r="F2978" s="1081">
        <f t="shared" si="1"/>
        <v>0</v>
      </c>
      <c r="G2978" s="1083">
        <f t="shared" si="2"/>
        <v>2.68</v>
      </c>
      <c r="H2978" s="1084"/>
    </row>
    <row r="2979" ht="14.25" customHeight="1">
      <c r="A2979" s="1085">
        <v>4049.0</v>
      </c>
      <c r="B2979" s="1086" t="s">
        <v>8295</v>
      </c>
      <c r="C2979" s="1087" t="s">
        <v>2386</v>
      </c>
      <c r="D2979" s="1088">
        <v>98.55</v>
      </c>
      <c r="E2979" s="1089" t="s">
        <v>5308</v>
      </c>
      <c r="F2979" s="1081">
        <f t="shared" si="1"/>
        <v>0</v>
      </c>
      <c r="G2979" s="1083">
        <f t="shared" si="2"/>
        <v>98.55</v>
      </c>
      <c r="H2979" s="1084"/>
    </row>
    <row r="2980" ht="14.25" customHeight="1">
      <c r="A2980" s="1085">
        <v>38120.0</v>
      </c>
      <c r="B2980" s="1086" t="s">
        <v>8296</v>
      </c>
      <c r="C2980" s="1087" t="s">
        <v>3606</v>
      </c>
      <c r="D2980" s="1088">
        <v>133.43</v>
      </c>
      <c r="E2980" s="1089" t="s">
        <v>5308</v>
      </c>
      <c r="F2980" s="1081">
        <f t="shared" si="1"/>
        <v>0</v>
      </c>
      <c r="G2980" s="1083">
        <f t="shared" si="2"/>
        <v>133.43</v>
      </c>
      <c r="H2980" s="1084"/>
    </row>
    <row r="2981" ht="14.25" customHeight="1">
      <c r="A2981" s="1085">
        <v>43652.0</v>
      </c>
      <c r="B2981" s="1086" t="s">
        <v>8297</v>
      </c>
      <c r="C2981" s="1087" t="s">
        <v>3606</v>
      </c>
      <c r="D2981" s="1088">
        <v>19.79</v>
      </c>
      <c r="E2981" s="1089" t="s">
        <v>5308</v>
      </c>
      <c r="F2981" s="1081">
        <f t="shared" si="1"/>
        <v>0</v>
      </c>
      <c r="G2981" s="1083">
        <f t="shared" si="2"/>
        <v>19.79</v>
      </c>
      <c r="H2981" s="1084"/>
    </row>
    <row r="2982" ht="14.25" customHeight="1">
      <c r="A2982" s="1085">
        <v>10498.0</v>
      </c>
      <c r="B2982" s="1086" t="s">
        <v>8298</v>
      </c>
      <c r="C2982" s="1087" t="s">
        <v>3606</v>
      </c>
      <c r="D2982" s="1088">
        <v>8.75</v>
      </c>
      <c r="E2982" s="1089" t="s">
        <v>5308</v>
      </c>
      <c r="F2982" s="1081">
        <f t="shared" si="1"/>
        <v>0</v>
      </c>
      <c r="G2982" s="1083">
        <f t="shared" si="2"/>
        <v>8.75</v>
      </c>
      <c r="H2982" s="1084"/>
    </row>
    <row r="2983" ht="14.25" customHeight="1">
      <c r="A2983" s="1085">
        <v>4823.0</v>
      </c>
      <c r="B2983" s="1086" t="s">
        <v>8299</v>
      </c>
      <c r="C2983" s="1087" t="s">
        <v>3606</v>
      </c>
      <c r="D2983" s="1088">
        <v>37.56</v>
      </c>
      <c r="E2983" s="1089" t="s">
        <v>5308</v>
      </c>
      <c r="F2983" s="1081">
        <f t="shared" si="1"/>
        <v>0</v>
      </c>
      <c r="G2983" s="1083">
        <f t="shared" si="2"/>
        <v>37.56</v>
      </c>
      <c r="H2983" s="1084"/>
    </row>
    <row r="2984" ht="14.25" customHeight="1">
      <c r="A2984" s="1085">
        <v>38877.0</v>
      </c>
      <c r="B2984" s="1086" t="s">
        <v>8300</v>
      </c>
      <c r="C2984" s="1087" t="s">
        <v>3606</v>
      </c>
      <c r="D2984" s="1088">
        <v>6.57</v>
      </c>
      <c r="E2984" s="1089" t="s">
        <v>5308</v>
      </c>
      <c r="F2984" s="1081">
        <f t="shared" si="1"/>
        <v>0</v>
      </c>
      <c r="G2984" s="1083">
        <f t="shared" si="2"/>
        <v>6.57</v>
      </c>
      <c r="H2984" s="1084"/>
    </row>
    <row r="2985" ht="14.25" customHeight="1">
      <c r="A2985" s="1085">
        <v>34546.0</v>
      </c>
      <c r="B2985" s="1086" t="s">
        <v>8301</v>
      </c>
      <c r="C2985" s="1087" t="s">
        <v>3606</v>
      </c>
      <c r="D2985" s="1088">
        <v>6.76</v>
      </c>
      <c r="E2985" s="1089" t="s">
        <v>5308</v>
      </c>
      <c r="F2985" s="1081">
        <f t="shared" si="1"/>
        <v>0</v>
      </c>
      <c r="G2985" s="1083">
        <f t="shared" si="2"/>
        <v>6.76</v>
      </c>
      <c r="H2985" s="1084"/>
    </row>
    <row r="2986" ht="14.25" customHeight="1">
      <c r="A2986" s="1085">
        <v>41387.0</v>
      </c>
      <c r="B2986" s="1086" t="s">
        <v>8302</v>
      </c>
      <c r="C2986" s="1087" t="s">
        <v>1731</v>
      </c>
      <c r="D2986" s="1088">
        <v>49.28</v>
      </c>
      <c r="E2986" s="1089" t="s">
        <v>5308</v>
      </c>
      <c r="F2986" s="1081">
        <f t="shared" si="1"/>
        <v>0</v>
      </c>
      <c r="G2986" s="1083">
        <f t="shared" si="2"/>
        <v>49.28</v>
      </c>
      <c r="H2986" s="1084"/>
    </row>
    <row r="2987" ht="14.25" customHeight="1">
      <c r="A2987" s="1085">
        <v>41388.0</v>
      </c>
      <c r="B2987" s="1086" t="s">
        <v>8303</v>
      </c>
      <c r="C2987" s="1087" t="s">
        <v>1731</v>
      </c>
      <c r="D2987" s="1088">
        <v>59.13</v>
      </c>
      <c r="E2987" s="1089" t="s">
        <v>5308</v>
      </c>
      <c r="F2987" s="1081">
        <f t="shared" si="1"/>
        <v>0</v>
      </c>
      <c r="G2987" s="1083">
        <f t="shared" si="2"/>
        <v>59.13</v>
      </c>
      <c r="H2987" s="1084"/>
    </row>
    <row r="2988" ht="14.25" customHeight="1">
      <c r="A2988" s="1085">
        <v>41380.0</v>
      </c>
      <c r="B2988" s="1086" t="s">
        <v>8304</v>
      </c>
      <c r="C2988" s="1087" t="s">
        <v>1788</v>
      </c>
      <c r="D2988" s="1088">
        <v>393.4</v>
      </c>
      <c r="E2988" s="1089" t="s">
        <v>5308</v>
      </c>
      <c r="F2988" s="1081">
        <f t="shared" si="1"/>
        <v>0</v>
      </c>
      <c r="G2988" s="1083">
        <f t="shared" si="2"/>
        <v>393.4</v>
      </c>
      <c r="H2988" s="1084"/>
    </row>
    <row r="2989" ht="14.25" customHeight="1">
      <c r="A2989" s="1085">
        <v>41381.0</v>
      </c>
      <c r="B2989" s="1086" t="s">
        <v>8305</v>
      </c>
      <c r="C2989" s="1087" t="s">
        <v>1788</v>
      </c>
      <c r="D2989" s="1088">
        <v>412.14</v>
      </c>
      <c r="E2989" s="1089" t="s">
        <v>5308</v>
      </c>
      <c r="F2989" s="1081">
        <f t="shared" si="1"/>
        <v>0</v>
      </c>
      <c r="G2989" s="1083">
        <f t="shared" si="2"/>
        <v>412.14</v>
      </c>
      <c r="H2989" s="1084"/>
    </row>
    <row r="2990" ht="14.25" customHeight="1">
      <c r="A2990" s="1085">
        <v>41382.0</v>
      </c>
      <c r="B2990" s="1086" t="s">
        <v>8306</v>
      </c>
      <c r="C2990" s="1087" t="s">
        <v>1788</v>
      </c>
      <c r="D2990" s="1088">
        <v>398.92</v>
      </c>
      <c r="E2990" s="1089" t="s">
        <v>5308</v>
      </c>
      <c r="F2990" s="1081">
        <f t="shared" si="1"/>
        <v>0</v>
      </c>
      <c r="G2990" s="1083">
        <f t="shared" si="2"/>
        <v>398.92</v>
      </c>
      <c r="H2990" s="1084"/>
    </row>
    <row r="2991" ht="14.25" customHeight="1">
      <c r="A2991" s="1085">
        <v>41383.0</v>
      </c>
      <c r="B2991" s="1086" t="s">
        <v>8307</v>
      </c>
      <c r="C2991" s="1087" t="s">
        <v>1788</v>
      </c>
      <c r="D2991" s="1088">
        <v>541.46</v>
      </c>
      <c r="E2991" s="1089" t="s">
        <v>5308</v>
      </c>
      <c r="F2991" s="1081">
        <f t="shared" si="1"/>
        <v>0</v>
      </c>
      <c r="G2991" s="1083">
        <f t="shared" si="2"/>
        <v>541.46</v>
      </c>
      <c r="H2991" s="1084"/>
    </row>
    <row r="2992" ht="14.25" customHeight="1">
      <c r="A2992" s="1085">
        <v>41385.0</v>
      </c>
      <c r="B2992" s="1086" t="s">
        <v>8308</v>
      </c>
      <c r="C2992" s="1087" t="s">
        <v>1788</v>
      </c>
      <c r="D2992" s="1088">
        <v>673.77</v>
      </c>
      <c r="E2992" s="1089" t="s">
        <v>5308</v>
      </c>
      <c r="F2992" s="1081">
        <f t="shared" si="1"/>
        <v>0</v>
      </c>
      <c r="G2992" s="1083">
        <f t="shared" si="2"/>
        <v>673.77</v>
      </c>
      <c r="H2992" s="1084"/>
    </row>
    <row r="2993" ht="14.25" customHeight="1">
      <c r="A2993" s="1085">
        <v>11079.0</v>
      </c>
      <c r="B2993" s="1086" t="s">
        <v>8309</v>
      </c>
      <c r="C2993" s="1087" t="s">
        <v>2178</v>
      </c>
      <c r="D2993" s="1088">
        <v>1367.47</v>
      </c>
      <c r="E2993" s="1089" t="s">
        <v>5308</v>
      </c>
      <c r="F2993" s="1081">
        <f t="shared" si="1"/>
        <v>0</v>
      </c>
      <c r="G2993" s="1083">
        <f t="shared" si="2"/>
        <v>1367.47</v>
      </c>
      <c r="H2993" s="1084"/>
    </row>
    <row r="2994" ht="14.25" customHeight="1">
      <c r="A2994" s="1085">
        <v>11082.0</v>
      </c>
      <c r="B2994" s="1086" t="s">
        <v>8310</v>
      </c>
      <c r="C2994" s="1087" t="s">
        <v>2178</v>
      </c>
      <c r="D2994" s="1088">
        <v>1367.47</v>
      </c>
      <c r="E2994" s="1089" t="s">
        <v>5308</v>
      </c>
      <c r="F2994" s="1081">
        <f t="shared" si="1"/>
        <v>0</v>
      </c>
      <c r="G2994" s="1083">
        <f t="shared" si="2"/>
        <v>1367.47</v>
      </c>
      <c r="H2994" s="1084"/>
    </row>
    <row r="2995" ht="14.25" customHeight="1">
      <c r="A2995" s="1085">
        <v>4058.0</v>
      </c>
      <c r="B2995" s="1086" t="s">
        <v>8311</v>
      </c>
      <c r="C2995" s="1087" t="s">
        <v>1470</v>
      </c>
      <c r="D2995" s="1088">
        <v>24.24</v>
      </c>
      <c r="E2995" s="1089" t="s">
        <v>5452</v>
      </c>
      <c r="F2995" s="1081">
        <f t="shared" si="1"/>
        <v>24.24</v>
      </c>
      <c r="G2995" s="1083">
        <f t="shared" si="2"/>
        <v>0</v>
      </c>
      <c r="H2995" s="1084"/>
    </row>
    <row r="2996" ht="14.25" customHeight="1">
      <c r="A2996" s="1085">
        <v>40974.0</v>
      </c>
      <c r="B2996" s="1086" t="s">
        <v>8312</v>
      </c>
      <c r="C2996" s="1087" t="s">
        <v>5454</v>
      </c>
      <c r="D2996" s="1088">
        <v>4244.19</v>
      </c>
      <c r="E2996" s="1089" t="s">
        <v>5452</v>
      </c>
      <c r="F2996" s="1081">
        <f t="shared" si="1"/>
        <v>4244.19</v>
      </c>
      <c r="G2996" s="1083">
        <f t="shared" si="2"/>
        <v>0</v>
      </c>
      <c r="H2996" s="1084"/>
    </row>
    <row r="2997" ht="14.25" customHeight="1">
      <c r="A2997" s="1085">
        <v>34794.0</v>
      </c>
      <c r="B2997" s="1086" t="s">
        <v>8313</v>
      </c>
      <c r="C2997" s="1087" t="s">
        <v>1470</v>
      </c>
      <c r="D2997" s="1088">
        <v>23.12</v>
      </c>
      <c r="E2997" s="1089" t="s">
        <v>5452</v>
      </c>
      <c r="F2997" s="1081">
        <f t="shared" si="1"/>
        <v>23.12</v>
      </c>
      <c r="G2997" s="1083">
        <f t="shared" si="2"/>
        <v>0</v>
      </c>
      <c r="H2997" s="1084"/>
    </row>
    <row r="2998" ht="14.25" customHeight="1">
      <c r="A2998" s="1085">
        <v>40925.0</v>
      </c>
      <c r="B2998" s="1086" t="s">
        <v>8314</v>
      </c>
      <c r="C2998" s="1087" t="s">
        <v>5454</v>
      </c>
      <c r="D2998" s="1088">
        <v>4048.2</v>
      </c>
      <c r="E2998" s="1089" t="s">
        <v>5452</v>
      </c>
      <c r="F2998" s="1081">
        <f t="shared" si="1"/>
        <v>4048.2</v>
      </c>
      <c r="G2998" s="1083">
        <f t="shared" si="2"/>
        <v>0</v>
      </c>
      <c r="H2998" s="1084"/>
    </row>
    <row r="2999" ht="14.25" customHeight="1">
      <c r="A2999" s="1085">
        <v>13741.0</v>
      </c>
      <c r="B2999" s="1086" t="s">
        <v>8315</v>
      </c>
      <c r="C2999" s="1087" t="s">
        <v>1788</v>
      </c>
      <c r="D2999" s="1088">
        <v>2110.48</v>
      </c>
      <c r="E2999" s="1089" t="s">
        <v>5308</v>
      </c>
      <c r="F2999" s="1081">
        <f t="shared" si="1"/>
        <v>0</v>
      </c>
      <c r="G2999" s="1083">
        <f t="shared" si="2"/>
        <v>2110.48</v>
      </c>
      <c r="H2999" s="1084"/>
    </row>
    <row r="3000" ht="14.25" customHeight="1">
      <c r="A3000" s="1085">
        <v>3288.0</v>
      </c>
      <c r="B3000" s="1086" t="s">
        <v>8316</v>
      </c>
      <c r="C3000" s="1087" t="s">
        <v>1731</v>
      </c>
      <c r="D3000" s="1088">
        <v>8.4</v>
      </c>
      <c r="E3000" s="1089" t="s">
        <v>5308</v>
      </c>
      <c r="F3000" s="1081">
        <f t="shared" si="1"/>
        <v>0</v>
      </c>
      <c r="G3000" s="1083">
        <f t="shared" si="2"/>
        <v>8.4</v>
      </c>
      <c r="H3000" s="1084"/>
    </row>
    <row r="3001" ht="14.25" customHeight="1">
      <c r="A3001" s="1085">
        <v>13587.0</v>
      </c>
      <c r="B3001" s="1086" t="s">
        <v>8317</v>
      </c>
      <c r="C3001" s="1087" t="s">
        <v>1731</v>
      </c>
      <c r="D3001" s="1088">
        <v>5.07</v>
      </c>
      <c r="E3001" s="1089" t="s">
        <v>5308</v>
      </c>
      <c r="F3001" s="1081">
        <f t="shared" si="1"/>
        <v>0</v>
      </c>
      <c r="G3001" s="1083">
        <f t="shared" si="2"/>
        <v>5.07</v>
      </c>
      <c r="H3001" s="1084"/>
    </row>
    <row r="3002" ht="14.25" customHeight="1">
      <c r="A3002" s="1085">
        <v>38598.0</v>
      </c>
      <c r="B3002" s="1086" t="s">
        <v>8318</v>
      </c>
      <c r="C3002" s="1087" t="s">
        <v>1788</v>
      </c>
      <c r="D3002" s="1088">
        <v>2.77</v>
      </c>
      <c r="E3002" s="1089" t="s">
        <v>5308</v>
      </c>
      <c r="F3002" s="1081">
        <f t="shared" si="1"/>
        <v>0</v>
      </c>
      <c r="G3002" s="1083">
        <f t="shared" si="2"/>
        <v>2.77</v>
      </c>
      <c r="H3002" s="1084"/>
    </row>
    <row r="3003" ht="14.25" customHeight="1">
      <c r="A3003" s="1085">
        <v>38595.0</v>
      </c>
      <c r="B3003" s="1086" t="s">
        <v>8319</v>
      </c>
      <c r="C3003" s="1087" t="s">
        <v>1788</v>
      </c>
      <c r="D3003" s="1088">
        <v>2.34</v>
      </c>
      <c r="E3003" s="1089" t="s">
        <v>5308</v>
      </c>
      <c r="F3003" s="1081">
        <f t="shared" si="1"/>
        <v>0</v>
      </c>
      <c r="G3003" s="1083">
        <f t="shared" si="2"/>
        <v>2.34</v>
      </c>
      <c r="H3003" s="1084"/>
    </row>
    <row r="3004" ht="14.25" customHeight="1">
      <c r="A3004" s="1085">
        <v>38592.0</v>
      </c>
      <c r="B3004" s="1086" t="s">
        <v>8320</v>
      </c>
      <c r="C3004" s="1087" t="s">
        <v>1788</v>
      </c>
      <c r="D3004" s="1088">
        <v>2.37</v>
      </c>
      <c r="E3004" s="1089" t="s">
        <v>5308</v>
      </c>
      <c r="F3004" s="1081">
        <f t="shared" si="1"/>
        <v>0</v>
      </c>
      <c r="G3004" s="1083">
        <f t="shared" si="2"/>
        <v>2.37</v>
      </c>
      <c r="H3004" s="1084"/>
    </row>
    <row r="3005" ht="14.25" customHeight="1">
      <c r="A3005" s="1085">
        <v>38588.0</v>
      </c>
      <c r="B3005" s="1086" t="s">
        <v>8321</v>
      </c>
      <c r="C3005" s="1087" t="s">
        <v>1788</v>
      </c>
      <c r="D3005" s="1088">
        <v>1.9</v>
      </c>
      <c r="E3005" s="1089" t="s">
        <v>5308</v>
      </c>
      <c r="F3005" s="1081">
        <f t="shared" si="1"/>
        <v>0</v>
      </c>
      <c r="G3005" s="1083">
        <f t="shared" si="2"/>
        <v>1.9</v>
      </c>
      <c r="H3005" s="1084"/>
    </row>
    <row r="3006" ht="14.25" customHeight="1">
      <c r="A3006" s="1085">
        <v>38593.0</v>
      </c>
      <c r="B3006" s="1086" t="s">
        <v>8322</v>
      </c>
      <c r="C3006" s="1087" t="s">
        <v>1788</v>
      </c>
      <c r="D3006" s="1088">
        <v>2.62</v>
      </c>
      <c r="E3006" s="1089" t="s">
        <v>5308</v>
      </c>
      <c r="F3006" s="1081">
        <f t="shared" si="1"/>
        <v>0</v>
      </c>
      <c r="G3006" s="1083">
        <f t="shared" si="2"/>
        <v>2.62</v>
      </c>
      <c r="H3006" s="1084"/>
    </row>
    <row r="3007" ht="14.25" customHeight="1">
      <c r="A3007" s="1085">
        <v>38589.0</v>
      </c>
      <c r="B3007" s="1086" t="s">
        <v>8323</v>
      </c>
      <c r="C3007" s="1087" t="s">
        <v>1788</v>
      </c>
      <c r="D3007" s="1088">
        <v>1.99</v>
      </c>
      <c r="E3007" s="1089" t="s">
        <v>5308</v>
      </c>
      <c r="F3007" s="1081">
        <f t="shared" si="1"/>
        <v>0</v>
      </c>
      <c r="G3007" s="1083">
        <f t="shared" si="2"/>
        <v>1.99</v>
      </c>
      <c r="H3007" s="1084"/>
    </row>
    <row r="3008" ht="14.25" customHeight="1">
      <c r="A3008" s="1085">
        <v>38594.0</v>
      </c>
      <c r="B3008" s="1086" t="s">
        <v>8324</v>
      </c>
      <c r="C3008" s="1087" t="s">
        <v>1788</v>
      </c>
      <c r="D3008" s="1088">
        <v>4.13</v>
      </c>
      <c r="E3008" s="1089" t="s">
        <v>5308</v>
      </c>
      <c r="F3008" s="1081">
        <f t="shared" si="1"/>
        <v>0</v>
      </c>
      <c r="G3008" s="1083">
        <f t="shared" si="2"/>
        <v>4.13</v>
      </c>
      <c r="H3008" s="1084"/>
    </row>
    <row r="3009" ht="14.25" customHeight="1">
      <c r="A3009" s="1085">
        <v>34773.0</v>
      </c>
      <c r="B3009" s="1086" t="s">
        <v>8325</v>
      </c>
      <c r="C3009" s="1087" t="s">
        <v>1788</v>
      </c>
      <c r="D3009" s="1088">
        <v>1.95</v>
      </c>
      <c r="E3009" s="1089" t="s">
        <v>5308</v>
      </c>
      <c r="F3009" s="1081">
        <f t="shared" si="1"/>
        <v>0</v>
      </c>
      <c r="G3009" s="1083">
        <f t="shared" si="2"/>
        <v>1.95</v>
      </c>
      <c r="H3009" s="1084"/>
    </row>
    <row r="3010" ht="14.25" customHeight="1">
      <c r="A3010" s="1085">
        <v>34769.0</v>
      </c>
      <c r="B3010" s="1086" t="s">
        <v>8326</v>
      </c>
      <c r="C3010" s="1087" t="s">
        <v>1788</v>
      </c>
      <c r="D3010" s="1088">
        <v>2.42</v>
      </c>
      <c r="E3010" s="1089" t="s">
        <v>5308</v>
      </c>
      <c r="F3010" s="1081">
        <f t="shared" si="1"/>
        <v>0</v>
      </c>
      <c r="G3010" s="1083">
        <f t="shared" si="2"/>
        <v>2.42</v>
      </c>
      <c r="H3010" s="1084"/>
    </row>
    <row r="3011" ht="14.25" customHeight="1">
      <c r="A3011" s="1085">
        <v>34763.0</v>
      </c>
      <c r="B3011" s="1086" t="s">
        <v>8327</v>
      </c>
      <c r="C3011" s="1087" t="s">
        <v>1788</v>
      </c>
      <c r="D3011" s="1088">
        <v>1.49</v>
      </c>
      <c r="E3011" s="1089" t="s">
        <v>5308</v>
      </c>
      <c r="F3011" s="1081">
        <f t="shared" si="1"/>
        <v>0</v>
      </c>
      <c r="G3011" s="1083">
        <f t="shared" si="2"/>
        <v>1.49</v>
      </c>
      <c r="H3011" s="1084"/>
    </row>
    <row r="3012" ht="14.25" customHeight="1">
      <c r="A3012" s="1085">
        <v>34774.0</v>
      </c>
      <c r="B3012" s="1086" t="s">
        <v>8328</v>
      </c>
      <c r="C3012" s="1087" t="s">
        <v>1788</v>
      </c>
      <c r="D3012" s="1088">
        <v>1.85</v>
      </c>
      <c r="E3012" s="1089" t="s">
        <v>5308</v>
      </c>
      <c r="F3012" s="1081">
        <f t="shared" si="1"/>
        <v>0</v>
      </c>
      <c r="G3012" s="1083">
        <f t="shared" si="2"/>
        <v>1.85</v>
      </c>
      <c r="H3012" s="1084"/>
    </row>
    <row r="3013" ht="14.25" customHeight="1">
      <c r="A3013" s="1085">
        <v>34771.0</v>
      </c>
      <c r="B3013" s="1086" t="s">
        <v>8329</v>
      </c>
      <c r="C3013" s="1087" t="s">
        <v>1788</v>
      </c>
      <c r="D3013" s="1088">
        <v>2.24</v>
      </c>
      <c r="E3013" s="1089" t="s">
        <v>5308</v>
      </c>
      <c r="F3013" s="1081">
        <f t="shared" si="1"/>
        <v>0</v>
      </c>
      <c r="G3013" s="1083">
        <f t="shared" si="2"/>
        <v>2.24</v>
      </c>
      <c r="H3013" s="1084"/>
    </row>
    <row r="3014" ht="14.25" customHeight="1">
      <c r="A3014" s="1085">
        <v>34764.0</v>
      </c>
      <c r="B3014" s="1086" t="s">
        <v>8330</v>
      </c>
      <c r="C3014" s="1087" t="s">
        <v>1788</v>
      </c>
      <c r="D3014" s="1088">
        <v>1.46</v>
      </c>
      <c r="E3014" s="1089" t="s">
        <v>5308</v>
      </c>
      <c r="F3014" s="1081">
        <f t="shared" si="1"/>
        <v>0</v>
      </c>
      <c r="G3014" s="1083">
        <f t="shared" si="2"/>
        <v>1.46</v>
      </c>
      <c r="H3014" s="1084"/>
    </row>
    <row r="3015" ht="14.25" customHeight="1">
      <c r="A3015" s="1085">
        <v>34788.0</v>
      </c>
      <c r="B3015" s="1086" t="s">
        <v>8331</v>
      </c>
      <c r="C3015" s="1087" t="s">
        <v>1788</v>
      </c>
      <c r="D3015" s="1088">
        <v>1.48</v>
      </c>
      <c r="E3015" s="1089" t="s">
        <v>5308</v>
      </c>
      <c r="F3015" s="1081">
        <f t="shared" si="1"/>
        <v>0</v>
      </c>
      <c r="G3015" s="1083">
        <f t="shared" si="2"/>
        <v>1.48</v>
      </c>
      <c r="H3015" s="1084"/>
    </row>
    <row r="3016" ht="14.25" customHeight="1">
      <c r="A3016" s="1085">
        <v>34781.0</v>
      </c>
      <c r="B3016" s="1086" t="s">
        <v>8332</v>
      </c>
      <c r="C3016" s="1087" t="s">
        <v>1788</v>
      </c>
      <c r="D3016" s="1088">
        <v>1.68</v>
      </c>
      <c r="E3016" s="1089" t="s">
        <v>5308</v>
      </c>
      <c r="F3016" s="1081">
        <f t="shared" si="1"/>
        <v>0</v>
      </c>
      <c r="G3016" s="1083">
        <f t="shared" si="2"/>
        <v>1.68</v>
      </c>
      <c r="H3016" s="1084"/>
    </row>
    <row r="3017" ht="14.25" customHeight="1">
      <c r="A3017" s="1085">
        <v>41682.0</v>
      </c>
      <c r="B3017" s="1086" t="s">
        <v>8333</v>
      </c>
      <c r="C3017" s="1087" t="s">
        <v>1788</v>
      </c>
      <c r="D3017" s="1088">
        <v>22.25</v>
      </c>
      <c r="E3017" s="1089" t="s">
        <v>5308</v>
      </c>
      <c r="F3017" s="1081">
        <f t="shared" si="1"/>
        <v>0</v>
      </c>
      <c r="G3017" s="1083">
        <f t="shared" si="2"/>
        <v>22.25</v>
      </c>
      <c r="H3017" s="1084"/>
    </row>
    <row r="3018" ht="14.25" customHeight="1">
      <c r="A3018" s="1085">
        <v>41683.0</v>
      </c>
      <c r="B3018" s="1086" t="s">
        <v>8334</v>
      </c>
      <c r="C3018" s="1087" t="s">
        <v>1788</v>
      </c>
      <c r="D3018" s="1088">
        <v>16.37</v>
      </c>
      <c r="E3018" s="1089" t="s">
        <v>5308</v>
      </c>
      <c r="F3018" s="1081">
        <f t="shared" si="1"/>
        <v>0</v>
      </c>
      <c r="G3018" s="1083">
        <f t="shared" si="2"/>
        <v>16.37</v>
      </c>
      <c r="H3018" s="1084"/>
    </row>
    <row r="3019" ht="14.25" customHeight="1">
      <c r="A3019" s="1085">
        <v>41680.0</v>
      </c>
      <c r="B3019" s="1086" t="s">
        <v>8335</v>
      </c>
      <c r="C3019" s="1087" t="s">
        <v>1788</v>
      </c>
      <c r="D3019" s="1088">
        <v>8.81</v>
      </c>
      <c r="E3019" s="1089" t="s">
        <v>5308</v>
      </c>
      <c r="F3019" s="1081">
        <f t="shared" si="1"/>
        <v>0</v>
      </c>
      <c r="G3019" s="1083">
        <f t="shared" si="2"/>
        <v>8.81</v>
      </c>
      <c r="H3019" s="1084"/>
    </row>
    <row r="3020" ht="14.25" customHeight="1">
      <c r="A3020" s="1085">
        <v>41679.0</v>
      </c>
      <c r="B3020" s="1086" t="s">
        <v>8336</v>
      </c>
      <c r="C3020" s="1087" t="s">
        <v>1788</v>
      </c>
      <c r="D3020" s="1088">
        <v>20.14</v>
      </c>
      <c r="E3020" s="1089" t="s">
        <v>5308</v>
      </c>
      <c r="F3020" s="1081">
        <f t="shared" si="1"/>
        <v>0</v>
      </c>
      <c r="G3020" s="1083">
        <f t="shared" si="2"/>
        <v>20.14</v>
      </c>
      <c r="H3020" s="1084"/>
    </row>
    <row r="3021" ht="14.25" customHeight="1">
      <c r="A3021" s="1085">
        <v>41681.0</v>
      </c>
      <c r="B3021" s="1086" t="s">
        <v>8337</v>
      </c>
      <c r="C3021" s="1087" t="s">
        <v>1788</v>
      </c>
      <c r="D3021" s="1088">
        <v>13.78</v>
      </c>
      <c r="E3021" s="1089" t="s">
        <v>5308</v>
      </c>
      <c r="F3021" s="1081">
        <f t="shared" si="1"/>
        <v>0</v>
      </c>
      <c r="G3021" s="1083">
        <f t="shared" si="2"/>
        <v>13.78</v>
      </c>
      <c r="H3021" s="1084"/>
    </row>
    <row r="3022" ht="14.25" customHeight="1">
      <c r="A3022" s="1085">
        <v>43386.0</v>
      </c>
      <c r="B3022" s="1086" t="s">
        <v>8338</v>
      </c>
      <c r="C3022" s="1087" t="s">
        <v>1788</v>
      </c>
      <c r="D3022" s="1088">
        <v>31.48</v>
      </c>
      <c r="E3022" s="1089" t="s">
        <v>5308</v>
      </c>
      <c r="F3022" s="1081">
        <f t="shared" si="1"/>
        <v>0</v>
      </c>
      <c r="G3022" s="1083">
        <f t="shared" si="2"/>
        <v>31.48</v>
      </c>
      <c r="H3022" s="1084"/>
    </row>
    <row r="3023" ht="14.25" customHeight="1">
      <c r="A3023" s="1085">
        <v>4059.0</v>
      </c>
      <c r="B3023" s="1086" t="s">
        <v>8339</v>
      </c>
      <c r="C3023" s="1087" t="s">
        <v>1731</v>
      </c>
      <c r="D3023" s="1088">
        <v>22.25</v>
      </c>
      <c r="E3023" s="1089" t="s">
        <v>5308</v>
      </c>
      <c r="F3023" s="1081">
        <f t="shared" si="1"/>
        <v>0</v>
      </c>
      <c r="G3023" s="1083">
        <f t="shared" si="2"/>
        <v>22.25</v>
      </c>
      <c r="H3023" s="1084"/>
    </row>
    <row r="3024" ht="14.25" customHeight="1">
      <c r="A3024" s="1085">
        <v>4062.0</v>
      </c>
      <c r="B3024" s="1086" t="s">
        <v>8340</v>
      </c>
      <c r="C3024" s="1087" t="s">
        <v>1788</v>
      </c>
      <c r="D3024" s="1088">
        <v>22.25</v>
      </c>
      <c r="E3024" s="1089" t="s">
        <v>5308</v>
      </c>
      <c r="F3024" s="1081">
        <f t="shared" si="1"/>
        <v>0</v>
      </c>
      <c r="G3024" s="1083">
        <f t="shared" si="2"/>
        <v>22.25</v>
      </c>
      <c r="H3024" s="1084"/>
    </row>
    <row r="3025" ht="14.25" customHeight="1">
      <c r="A3025" s="1085">
        <v>4061.0</v>
      </c>
      <c r="B3025" s="1086" t="s">
        <v>8341</v>
      </c>
      <c r="C3025" s="1087" t="s">
        <v>1788</v>
      </c>
      <c r="D3025" s="1088">
        <v>27.7</v>
      </c>
      <c r="E3025" s="1089" t="s">
        <v>5308</v>
      </c>
      <c r="F3025" s="1081">
        <f t="shared" si="1"/>
        <v>0</v>
      </c>
      <c r="G3025" s="1083">
        <f t="shared" si="2"/>
        <v>27.7</v>
      </c>
      <c r="H3025" s="1084"/>
    </row>
    <row r="3026" ht="14.25" customHeight="1">
      <c r="A3026" s="1085">
        <v>41315.0</v>
      </c>
      <c r="B3026" s="1086" t="s">
        <v>8342</v>
      </c>
      <c r="C3026" s="1087" t="s">
        <v>3606</v>
      </c>
      <c r="D3026" s="1088">
        <v>85.66</v>
      </c>
      <c r="E3026" s="1089" t="s">
        <v>5308</v>
      </c>
      <c r="F3026" s="1081">
        <f t="shared" si="1"/>
        <v>0</v>
      </c>
      <c r="G3026" s="1083">
        <f t="shared" si="2"/>
        <v>85.66</v>
      </c>
      <c r="H3026" s="1084"/>
    </row>
    <row r="3027" ht="14.25" customHeight="1">
      <c r="A3027" s="1085">
        <v>43148.0</v>
      </c>
      <c r="B3027" s="1086" t="s">
        <v>8343</v>
      </c>
      <c r="C3027" s="1087" t="s">
        <v>3606</v>
      </c>
      <c r="D3027" s="1088">
        <v>58.14</v>
      </c>
      <c r="E3027" s="1089" t="s">
        <v>5308</v>
      </c>
      <c r="F3027" s="1081">
        <f t="shared" si="1"/>
        <v>0</v>
      </c>
      <c r="G3027" s="1083">
        <f t="shared" si="2"/>
        <v>58.14</v>
      </c>
      <c r="H3027" s="1084"/>
    </row>
    <row r="3028" ht="14.25" customHeight="1">
      <c r="A3028" s="1085">
        <v>43147.0</v>
      </c>
      <c r="B3028" s="1086" t="s">
        <v>8344</v>
      </c>
      <c r="C3028" s="1087" t="s">
        <v>3606</v>
      </c>
      <c r="D3028" s="1088">
        <v>22.52</v>
      </c>
      <c r="E3028" s="1089" t="s">
        <v>5308</v>
      </c>
      <c r="F3028" s="1081">
        <f t="shared" si="1"/>
        <v>0</v>
      </c>
      <c r="G3028" s="1083">
        <f t="shared" si="2"/>
        <v>22.52</v>
      </c>
      <c r="H3028" s="1084"/>
    </row>
    <row r="3029" ht="14.25" customHeight="1">
      <c r="A3029" s="1085">
        <v>10608.0</v>
      </c>
      <c r="B3029" s="1086" t="s">
        <v>8345</v>
      </c>
      <c r="C3029" s="1087" t="s">
        <v>1788</v>
      </c>
      <c r="D3029" s="1088">
        <v>9767.99</v>
      </c>
      <c r="E3029" s="1089" t="s">
        <v>5482</v>
      </c>
      <c r="F3029" s="1081">
        <f t="shared" si="1"/>
        <v>0</v>
      </c>
      <c r="G3029" s="1083">
        <f t="shared" si="2"/>
        <v>9767.99</v>
      </c>
      <c r="H3029" s="1084"/>
    </row>
    <row r="3030" ht="14.25" customHeight="1">
      <c r="A3030" s="1085">
        <v>4069.0</v>
      </c>
      <c r="B3030" s="1086" t="s">
        <v>8346</v>
      </c>
      <c r="C3030" s="1087" t="s">
        <v>1470</v>
      </c>
      <c r="D3030" s="1088">
        <v>50.81</v>
      </c>
      <c r="E3030" s="1089" t="s">
        <v>5452</v>
      </c>
      <c r="F3030" s="1081">
        <f t="shared" si="1"/>
        <v>50.81</v>
      </c>
      <c r="G3030" s="1083">
        <f t="shared" si="2"/>
        <v>0</v>
      </c>
      <c r="H3030" s="1084"/>
    </row>
    <row r="3031" ht="14.25" customHeight="1">
      <c r="A3031" s="1085">
        <v>40819.0</v>
      </c>
      <c r="B3031" s="1086" t="s">
        <v>8347</v>
      </c>
      <c r="C3031" s="1087" t="s">
        <v>5454</v>
      </c>
      <c r="D3031" s="1088">
        <v>8892.13</v>
      </c>
      <c r="E3031" s="1089" t="s">
        <v>5452</v>
      </c>
      <c r="F3031" s="1081">
        <f t="shared" si="1"/>
        <v>8892.13</v>
      </c>
      <c r="G3031" s="1083">
        <f t="shared" si="2"/>
        <v>0</v>
      </c>
      <c r="H3031" s="1084"/>
    </row>
    <row r="3032" ht="14.25" customHeight="1">
      <c r="A3032" s="1085">
        <v>34361.0</v>
      </c>
      <c r="B3032" s="1086" t="s">
        <v>8348</v>
      </c>
      <c r="C3032" s="1087" t="s">
        <v>3606</v>
      </c>
      <c r="D3032" s="1088">
        <v>16.39</v>
      </c>
      <c r="E3032" s="1089" t="s">
        <v>5308</v>
      </c>
      <c r="F3032" s="1081">
        <f t="shared" si="1"/>
        <v>0</v>
      </c>
      <c r="G3032" s="1083">
        <f t="shared" si="2"/>
        <v>16.39</v>
      </c>
      <c r="H3032" s="1084"/>
    </row>
    <row r="3033" ht="14.25" customHeight="1">
      <c r="A3033" s="1085">
        <v>36512.0</v>
      </c>
      <c r="B3033" s="1086" t="s">
        <v>8349</v>
      </c>
      <c r="C3033" s="1087" t="s">
        <v>1788</v>
      </c>
      <c r="D3033" s="1088">
        <v>21460.25</v>
      </c>
      <c r="E3033" s="1089" t="s">
        <v>5482</v>
      </c>
      <c r="F3033" s="1081">
        <f t="shared" si="1"/>
        <v>0</v>
      </c>
      <c r="G3033" s="1083">
        <f t="shared" si="2"/>
        <v>21460.25</v>
      </c>
      <c r="H3033" s="1084"/>
    </row>
    <row r="3034" ht="14.25" customHeight="1">
      <c r="A3034" s="1085">
        <v>44478.0</v>
      </c>
      <c r="B3034" s="1086" t="s">
        <v>8350</v>
      </c>
      <c r="C3034" s="1087" t="s">
        <v>3606</v>
      </c>
      <c r="D3034" s="1088">
        <v>11.45</v>
      </c>
      <c r="E3034" s="1089" t="s">
        <v>5554</v>
      </c>
      <c r="F3034" s="1081">
        <f t="shared" si="1"/>
        <v>0</v>
      </c>
      <c r="G3034" s="1083">
        <f t="shared" si="2"/>
        <v>11.45</v>
      </c>
      <c r="H3034" s="1084"/>
    </row>
    <row r="3035" ht="14.25" customHeight="1">
      <c r="A3035" s="1085">
        <v>44477.0</v>
      </c>
      <c r="B3035" s="1086" t="s">
        <v>8351</v>
      </c>
      <c r="C3035" s="1087" t="s">
        <v>3606</v>
      </c>
      <c r="D3035" s="1088">
        <v>11.45</v>
      </c>
      <c r="E3035" s="1089" t="s">
        <v>5554</v>
      </c>
      <c r="F3035" s="1081">
        <f t="shared" si="1"/>
        <v>0</v>
      </c>
      <c r="G3035" s="1083">
        <f t="shared" si="2"/>
        <v>11.45</v>
      </c>
      <c r="H3035" s="1084"/>
    </row>
    <row r="3036" ht="14.25" customHeight="1">
      <c r="A3036" s="1085">
        <v>11697.0</v>
      </c>
      <c r="B3036" s="1086" t="s">
        <v>8352</v>
      </c>
      <c r="C3036" s="1087" t="s">
        <v>1788</v>
      </c>
      <c r="D3036" s="1088">
        <v>834.68</v>
      </c>
      <c r="E3036" s="1089" t="s">
        <v>5308</v>
      </c>
      <c r="F3036" s="1081">
        <f t="shared" si="1"/>
        <v>0</v>
      </c>
      <c r="G3036" s="1083">
        <f t="shared" si="2"/>
        <v>834.68</v>
      </c>
      <c r="H3036" s="1084"/>
    </row>
    <row r="3037" ht="14.25" customHeight="1">
      <c r="A3037" s="1085">
        <v>11698.0</v>
      </c>
      <c r="B3037" s="1086" t="s">
        <v>8353</v>
      </c>
      <c r="C3037" s="1087" t="s">
        <v>1788</v>
      </c>
      <c r="D3037" s="1088">
        <v>995.72</v>
      </c>
      <c r="E3037" s="1089" t="s">
        <v>5308</v>
      </c>
      <c r="F3037" s="1081">
        <f t="shared" si="1"/>
        <v>0</v>
      </c>
      <c r="G3037" s="1083">
        <f t="shared" si="2"/>
        <v>995.72</v>
      </c>
      <c r="H3037" s="1084"/>
    </row>
    <row r="3038" ht="14.25" customHeight="1">
      <c r="A3038" s="1085">
        <v>10432.0</v>
      </c>
      <c r="B3038" s="1086" t="s">
        <v>8354</v>
      </c>
      <c r="C3038" s="1087" t="s">
        <v>1788</v>
      </c>
      <c r="D3038" s="1088">
        <v>387.58</v>
      </c>
      <c r="E3038" s="1089" t="s">
        <v>5308</v>
      </c>
      <c r="F3038" s="1081">
        <f t="shared" si="1"/>
        <v>0</v>
      </c>
      <c r="G3038" s="1083">
        <f t="shared" si="2"/>
        <v>387.58</v>
      </c>
      <c r="H3038" s="1084"/>
    </row>
    <row r="3039" ht="14.25" customHeight="1">
      <c r="A3039" s="1085">
        <v>11699.0</v>
      </c>
      <c r="B3039" s="1086" t="s">
        <v>8355</v>
      </c>
      <c r="C3039" s="1087" t="s">
        <v>1788</v>
      </c>
      <c r="D3039" s="1088">
        <v>1100.5</v>
      </c>
      <c r="E3039" s="1089" t="s">
        <v>5308</v>
      </c>
      <c r="F3039" s="1081">
        <f t="shared" si="1"/>
        <v>0</v>
      </c>
      <c r="G3039" s="1083">
        <f t="shared" si="2"/>
        <v>1100.5</v>
      </c>
      <c r="H3039" s="1084"/>
    </row>
    <row r="3040" ht="14.25" customHeight="1">
      <c r="A3040" s="1085">
        <v>44020.0</v>
      </c>
      <c r="B3040" s="1086" t="s">
        <v>8356</v>
      </c>
      <c r="C3040" s="1087" t="s">
        <v>1788</v>
      </c>
      <c r="D3040" s="1088">
        <v>956.21</v>
      </c>
      <c r="E3040" s="1089" t="s">
        <v>5308</v>
      </c>
      <c r="F3040" s="1081">
        <f t="shared" si="1"/>
        <v>0</v>
      </c>
      <c r="G3040" s="1083">
        <f t="shared" si="2"/>
        <v>956.21</v>
      </c>
      <c r="H3040" s="1084"/>
    </row>
    <row r="3041" ht="14.25" customHeight="1">
      <c r="A3041" s="1085">
        <v>41420.0</v>
      </c>
      <c r="B3041" s="1086" t="s">
        <v>8357</v>
      </c>
      <c r="C3041" s="1087" t="s">
        <v>1788</v>
      </c>
      <c r="D3041" s="1088">
        <v>10.03</v>
      </c>
      <c r="E3041" s="1089" t="s">
        <v>5308</v>
      </c>
      <c r="F3041" s="1081">
        <f t="shared" si="1"/>
        <v>0</v>
      </c>
      <c r="G3041" s="1083">
        <f t="shared" si="2"/>
        <v>10.03</v>
      </c>
      <c r="H3041" s="1084"/>
    </row>
    <row r="3042" ht="14.25" customHeight="1">
      <c r="A3042" s="1085">
        <v>41422.0</v>
      </c>
      <c r="B3042" s="1086" t="s">
        <v>8358</v>
      </c>
      <c r="C3042" s="1087" t="s">
        <v>1788</v>
      </c>
      <c r="D3042" s="1088">
        <v>13.7</v>
      </c>
      <c r="E3042" s="1089" t="s">
        <v>5308</v>
      </c>
      <c r="F3042" s="1081">
        <f t="shared" si="1"/>
        <v>0</v>
      </c>
      <c r="G3042" s="1083">
        <f t="shared" si="2"/>
        <v>13.7</v>
      </c>
      <c r="H3042" s="1084"/>
    </row>
    <row r="3043" ht="14.25" customHeight="1">
      <c r="A3043" s="1085">
        <v>41425.0</v>
      </c>
      <c r="B3043" s="1086" t="s">
        <v>8359</v>
      </c>
      <c r="C3043" s="1087" t="s">
        <v>1788</v>
      </c>
      <c r="D3043" s="1088">
        <v>7.01</v>
      </c>
      <c r="E3043" s="1089" t="s">
        <v>5308</v>
      </c>
      <c r="F3043" s="1081">
        <f t="shared" si="1"/>
        <v>0</v>
      </c>
      <c r="G3043" s="1083">
        <f t="shared" si="2"/>
        <v>7.01</v>
      </c>
      <c r="H3043" s="1084"/>
    </row>
    <row r="3044" ht="14.25" customHeight="1">
      <c r="A3044" s="1085">
        <v>41426.0</v>
      </c>
      <c r="B3044" s="1086" t="s">
        <v>8360</v>
      </c>
      <c r="C3044" s="1087" t="s">
        <v>1788</v>
      </c>
      <c r="D3044" s="1088">
        <v>12.63</v>
      </c>
      <c r="E3044" s="1089" t="s">
        <v>5308</v>
      </c>
      <c r="F3044" s="1081">
        <f t="shared" si="1"/>
        <v>0</v>
      </c>
      <c r="G3044" s="1083">
        <f t="shared" si="2"/>
        <v>12.63</v>
      </c>
      <c r="H3044" s="1084"/>
    </row>
    <row r="3045" ht="14.25" customHeight="1">
      <c r="A3045" s="1085">
        <v>41419.0</v>
      </c>
      <c r="B3045" s="1086" t="s">
        <v>8361</v>
      </c>
      <c r="C3045" s="1087" t="s">
        <v>1788</v>
      </c>
      <c r="D3045" s="1088">
        <v>7.37</v>
      </c>
      <c r="E3045" s="1089" t="s">
        <v>5308</v>
      </c>
      <c r="F3045" s="1081">
        <f t="shared" si="1"/>
        <v>0</v>
      </c>
      <c r="G3045" s="1083">
        <f t="shared" si="2"/>
        <v>7.37</v>
      </c>
      <c r="H3045" s="1084"/>
    </row>
    <row r="3046" ht="14.25" customHeight="1">
      <c r="A3046" s="1085">
        <v>41421.0</v>
      </c>
      <c r="B3046" s="1086" t="s">
        <v>8362</v>
      </c>
      <c r="C3046" s="1087" t="s">
        <v>1788</v>
      </c>
      <c r="D3046" s="1088">
        <v>10.0</v>
      </c>
      <c r="E3046" s="1089" t="s">
        <v>5308</v>
      </c>
      <c r="F3046" s="1081">
        <f t="shared" si="1"/>
        <v>0</v>
      </c>
      <c r="G3046" s="1083">
        <f t="shared" si="2"/>
        <v>10</v>
      </c>
      <c r="H3046" s="1084"/>
    </row>
    <row r="3047" ht="14.25" customHeight="1">
      <c r="A3047" s="1085">
        <v>41414.0</v>
      </c>
      <c r="B3047" s="1086" t="s">
        <v>8363</v>
      </c>
      <c r="C3047" s="1087" t="s">
        <v>1788</v>
      </c>
      <c r="D3047" s="1088">
        <v>23.19</v>
      </c>
      <c r="E3047" s="1089" t="s">
        <v>5308</v>
      </c>
      <c r="F3047" s="1081">
        <f t="shared" si="1"/>
        <v>0</v>
      </c>
      <c r="G3047" s="1083">
        <f t="shared" si="2"/>
        <v>23.19</v>
      </c>
      <c r="H3047" s="1084"/>
    </row>
    <row r="3048" ht="14.25" customHeight="1">
      <c r="A3048" s="1085">
        <v>41415.0</v>
      </c>
      <c r="B3048" s="1086" t="s">
        <v>8364</v>
      </c>
      <c r="C3048" s="1087" t="s">
        <v>1788</v>
      </c>
      <c r="D3048" s="1088">
        <v>27.01</v>
      </c>
      <c r="E3048" s="1089" t="s">
        <v>5308</v>
      </c>
      <c r="F3048" s="1081">
        <f t="shared" si="1"/>
        <v>0</v>
      </c>
      <c r="G3048" s="1083">
        <f t="shared" si="2"/>
        <v>27.01</v>
      </c>
      <c r="H3048" s="1084"/>
    </row>
    <row r="3049" ht="14.25" customHeight="1">
      <c r="A3049" s="1085">
        <v>37514.0</v>
      </c>
      <c r="B3049" s="1086" t="s">
        <v>8365</v>
      </c>
      <c r="C3049" s="1087" t="s">
        <v>1788</v>
      </c>
      <c r="D3049" s="1088">
        <v>275000.0</v>
      </c>
      <c r="E3049" s="1089" t="s">
        <v>5482</v>
      </c>
      <c r="F3049" s="1081">
        <f t="shared" si="1"/>
        <v>0</v>
      </c>
      <c r="G3049" s="1083">
        <f t="shared" si="2"/>
        <v>275000</v>
      </c>
      <c r="H3049" s="1084"/>
    </row>
    <row r="3050" ht="14.25" customHeight="1">
      <c r="A3050" s="1085">
        <v>37519.0</v>
      </c>
      <c r="B3050" s="1086" t="s">
        <v>8366</v>
      </c>
      <c r="C3050" s="1087" t="s">
        <v>1788</v>
      </c>
      <c r="D3050" s="1088">
        <v>424405.68</v>
      </c>
      <c r="E3050" s="1089" t="s">
        <v>5482</v>
      </c>
      <c r="F3050" s="1081">
        <f t="shared" si="1"/>
        <v>0</v>
      </c>
      <c r="G3050" s="1083">
        <f t="shared" si="2"/>
        <v>424405.68</v>
      </c>
      <c r="H3050" s="1084"/>
    </row>
    <row r="3051" ht="14.25" customHeight="1">
      <c r="A3051" s="1085">
        <v>37520.0</v>
      </c>
      <c r="B3051" s="1086" t="s">
        <v>8367</v>
      </c>
      <c r="C3051" s="1087" t="s">
        <v>1788</v>
      </c>
      <c r="D3051" s="1088">
        <v>417448.21</v>
      </c>
      <c r="E3051" s="1089" t="s">
        <v>5482</v>
      </c>
      <c r="F3051" s="1081">
        <f t="shared" si="1"/>
        <v>0</v>
      </c>
      <c r="G3051" s="1083">
        <f t="shared" si="2"/>
        <v>417448.21</v>
      </c>
      <c r="H3051" s="1084"/>
    </row>
    <row r="3052" ht="14.25" customHeight="1">
      <c r="A3052" s="1085">
        <v>37521.0</v>
      </c>
      <c r="B3052" s="1086" t="s">
        <v>8368</v>
      </c>
      <c r="C3052" s="1087" t="s">
        <v>1788</v>
      </c>
      <c r="D3052" s="1088">
        <v>509286.82</v>
      </c>
      <c r="E3052" s="1089" t="s">
        <v>5482</v>
      </c>
      <c r="F3052" s="1081">
        <f t="shared" si="1"/>
        <v>0</v>
      </c>
      <c r="G3052" s="1083">
        <f t="shared" si="2"/>
        <v>509286.82</v>
      </c>
      <c r="H3052" s="1084"/>
    </row>
    <row r="3053" ht="14.25" customHeight="1">
      <c r="A3053" s="1085">
        <v>37522.0</v>
      </c>
      <c r="B3053" s="1086" t="s">
        <v>8369</v>
      </c>
      <c r="C3053" s="1087" t="s">
        <v>1788</v>
      </c>
      <c r="D3053" s="1088">
        <v>524609.11</v>
      </c>
      <c r="E3053" s="1089" t="s">
        <v>5482</v>
      </c>
      <c r="F3053" s="1081">
        <f t="shared" si="1"/>
        <v>0</v>
      </c>
      <c r="G3053" s="1083">
        <f t="shared" si="2"/>
        <v>524609.11</v>
      </c>
      <c r="H3053" s="1084"/>
    </row>
    <row r="3054" ht="14.25" customHeight="1">
      <c r="A3054" s="1085">
        <v>21109.0</v>
      </c>
      <c r="B3054" s="1086" t="s">
        <v>8370</v>
      </c>
      <c r="C3054" s="1087" t="s">
        <v>1788</v>
      </c>
      <c r="D3054" s="1088">
        <v>75.38</v>
      </c>
      <c r="E3054" s="1089" t="s">
        <v>5308</v>
      </c>
      <c r="F3054" s="1081">
        <f t="shared" si="1"/>
        <v>0</v>
      </c>
      <c r="G3054" s="1083">
        <f t="shared" si="2"/>
        <v>75.38</v>
      </c>
      <c r="H3054" s="1084"/>
    </row>
    <row r="3055" ht="14.25" customHeight="1">
      <c r="A3055" s="1085">
        <v>37546.0</v>
      </c>
      <c r="B3055" s="1086" t="s">
        <v>8371</v>
      </c>
      <c r="C3055" s="1087" t="s">
        <v>1788</v>
      </c>
      <c r="D3055" s="1088">
        <v>11991.07</v>
      </c>
      <c r="E3055" s="1089" t="s">
        <v>5482</v>
      </c>
      <c r="F3055" s="1081">
        <f t="shared" si="1"/>
        <v>0</v>
      </c>
      <c r="G3055" s="1083">
        <f t="shared" si="2"/>
        <v>11991.07</v>
      </c>
      <c r="H3055" s="1084"/>
    </row>
    <row r="3056" ht="14.25" customHeight="1">
      <c r="A3056" s="1085">
        <v>37544.0</v>
      </c>
      <c r="B3056" s="1086" t="s">
        <v>8372</v>
      </c>
      <c r="C3056" s="1087" t="s">
        <v>1788</v>
      </c>
      <c r="D3056" s="1088">
        <v>12682.57</v>
      </c>
      <c r="E3056" s="1089" t="s">
        <v>5482</v>
      </c>
      <c r="F3056" s="1081">
        <f t="shared" si="1"/>
        <v>0</v>
      </c>
      <c r="G3056" s="1083">
        <f t="shared" si="2"/>
        <v>12682.57</v>
      </c>
      <c r="H3056" s="1084"/>
    </row>
    <row r="3057" ht="14.25" customHeight="1">
      <c r="A3057" s="1085">
        <v>37545.0</v>
      </c>
      <c r="B3057" s="1086" t="s">
        <v>8373</v>
      </c>
      <c r="C3057" s="1087" t="s">
        <v>1788</v>
      </c>
      <c r="D3057" s="1088">
        <v>15090.55</v>
      </c>
      <c r="E3057" s="1089" t="s">
        <v>5482</v>
      </c>
      <c r="F3057" s="1081">
        <f t="shared" si="1"/>
        <v>0</v>
      </c>
      <c r="G3057" s="1083">
        <f t="shared" si="2"/>
        <v>15090.55</v>
      </c>
      <c r="H3057" s="1084"/>
    </row>
    <row r="3058" ht="14.25" customHeight="1">
      <c r="A3058" s="1085">
        <v>36793.0</v>
      </c>
      <c r="B3058" s="1086" t="s">
        <v>8374</v>
      </c>
      <c r="C3058" s="1087" t="s">
        <v>1788</v>
      </c>
      <c r="D3058" s="1088">
        <v>736.88</v>
      </c>
      <c r="E3058" s="1089" t="s">
        <v>5308</v>
      </c>
      <c r="F3058" s="1081">
        <f t="shared" si="1"/>
        <v>0</v>
      </c>
      <c r="G3058" s="1083">
        <f t="shared" si="2"/>
        <v>736.88</v>
      </c>
      <c r="H3058" s="1084"/>
    </row>
    <row r="3059" ht="14.25" customHeight="1">
      <c r="A3059" s="1085">
        <v>11769.0</v>
      </c>
      <c r="B3059" s="1086" t="s">
        <v>8375</v>
      </c>
      <c r="C3059" s="1087" t="s">
        <v>1788</v>
      </c>
      <c r="D3059" s="1088">
        <v>325.64</v>
      </c>
      <c r="E3059" s="1089" t="s">
        <v>5308</v>
      </c>
      <c r="F3059" s="1081">
        <f t="shared" si="1"/>
        <v>0</v>
      </c>
      <c r="G3059" s="1083">
        <f t="shared" si="2"/>
        <v>325.64</v>
      </c>
      <c r="H3059" s="1084"/>
    </row>
    <row r="3060" ht="14.25" customHeight="1">
      <c r="A3060" s="1085">
        <v>11771.0</v>
      </c>
      <c r="B3060" s="1086" t="s">
        <v>8376</v>
      </c>
      <c r="C3060" s="1087" t="s">
        <v>1788</v>
      </c>
      <c r="D3060" s="1088">
        <v>398.87</v>
      </c>
      <c r="E3060" s="1089" t="s">
        <v>5308</v>
      </c>
      <c r="F3060" s="1081">
        <f t="shared" si="1"/>
        <v>0</v>
      </c>
      <c r="G3060" s="1083">
        <f t="shared" si="2"/>
        <v>398.87</v>
      </c>
      <c r="H3060" s="1084"/>
    </row>
    <row r="3061" ht="14.25" customHeight="1">
      <c r="A3061" s="1085">
        <v>39919.0</v>
      </c>
      <c r="B3061" s="1086" t="s">
        <v>8377</v>
      </c>
      <c r="C3061" s="1087" t="s">
        <v>1788</v>
      </c>
      <c r="D3061" s="1088">
        <v>60021.92</v>
      </c>
      <c r="E3061" s="1089" t="s">
        <v>5482</v>
      </c>
      <c r="F3061" s="1081">
        <f t="shared" si="1"/>
        <v>0</v>
      </c>
      <c r="G3061" s="1083">
        <f t="shared" si="2"/>
        <v>60021.92</v>
      </c>
      <c r="H3061" s="1084"/>
    </row>
    <row r="3062" ht="14.25" customHeight="1">
      <c r="A3062" s="1085">
        <v>38385.0</v>
      </c>
      <c r="B3062" s="1086" t="s">
        <v>8378</v>
      </c>
      <c r="C3062" s="1087" t="s">
        <v>1788</v>
      </c>
      <c r="D3062" s="1088">
        <v>46.6</v>
      </c>
      <c r="E3062" s="1089" t="s">
        <v>5308</v>
      </c>
      <c r="F3062" s="1081">
        <f t="shared" si="1"/>
        <v>0</v>
      </c>
      <c r="G3062" s="1083">
        <f t="shared" si="2"/>
        <v>46.6</v>
      </c>
      <c r="H3062" s="1084"/>
    </row>
    <row r="3063" ht="14.25" customHeight="1">
      <c r="A3063" s="1085">
        <v>36800.0</v>
      </c>
      <c r="B3063" s="1086" t="s">
        <v>8379</v>
      </c>
      <c r="C3063" s="1087" t="s">
        <v>1788</v>
      </c>
      <c r="D3063" s="1088">
        <v>195.67</v>
      </c>
      <c r="E3063" s="1089" t="s">
        <v>5308</v>
      </c>
      <c r="F3063" s="1081">
        <f t="shared" si="1"/>
        <v>0</v>
      </c>
      <c r="G3063" s="1083">
        <f t="shared" si="2"/>
        <v>195.67</v>
      </c>
      <c r="H3063" s="1084"/>
    </row>
    <row r="3064" ht="14.25" customHeight="1">
      <c r="A3064" s="1085">
        <v>37587.0</v>
      </c>
      <c r="B3064" s="1086" t="s">
        <v>8380</v>
      </c>
      <c r="C3064" s="1087" t="s">
        <v>1788</v>
      </c>
      <c r="D3064" s="1088">
        <v>429.89</v>
      </c>
      <c r="E3064" s="1089" t="s">
        <v>5308</v>
      </c>
      <c r="F3064" s="1081">
        <f t="shared" si="1"/>
        <v>0</v>
      </c>
      <c r="G3064" s="1083">
        <f t="shared" si="2"/>
        <v>429.89</v>
      </c>
      <c r="H3064" s="1084"/>
    </row>
    <row r="3065" ht="14.25" customHeight="1">
      <c r="A3065" s="1085">
        <v>11561.0</v>
      </c>
      <c r="B3065" s="1086" t="s">
        <v>8381</v>
      </c>
      <c r="C3065" s="1087" t="s">
        <v>1788</v>
      </c>
      <c r="D3065" s="1088">
        <v>231.59</v>
      </c>
      <c r="E3065" s="1089" t="s">
        <v>5308</v>
      </c>
      <c r="F3065" s="1081">
        <f t="shared" si="1"/>
        <v>0</v>
      </c>
      <c r="G3065" s="1083">
        <f t="shared" si="2"/>
        <v>231.59</v>
      </c>
      <c r="H3065" s="1084"/>
    </row>
    <row r="3066" ht="14.25" customHeight="1">
      <c r="A3066" s="1085">
        <v>43604.0</v>
      </c>
      <c r="B3066" s="1086" t="s">
        <v>8382</v>
      </c>
      <c r="C3066" s="1087" t="s">
        <v>1788</v>
      </c>
      <c r="D3066" s="1088">
        <v>123.46</v>
      </c>
      <c r="E3066" s="1089" t="s">
        <v>5308</v>
      </c>
      <c r="F3066" s="1081">
        <f t="shared" si="1"/>
        <v>0</v>
      </c>
      <c r="G3066" s="1083">
        <f t="shared" si="2"/>
        <v>123.46</v>
      </c>
      <c r="H3066" s="1084"/>
    </row>
    <row r="3067" ht="14.25" customHeight="1">
      <c r="A3067" s="1085">
        <v>11560.0</v>
      </c>
      <c r="B3067" s="1086" t="s">
        <v>8383</v>
      </c>
      <c r="C3067" s="1087" t="s">
        <v>1788</v>
      </c>
      <c r="D3067" s="1088">
        <v>178.75</v>
      </c>
      <c r="E3067" s="1089" t="s">
        <v>5308</v>
      </c>
      <c r="F3067" s="1081">
        <f t="shared" si="1"/>
        <v>0</v>
      </c>
      <c r="G3067" s="1083">
        <f t="shared" si="2"/>
        <v>178.75</v>
      </c>
      <c r="H3067" s="1084"/>
    </row>
    <row r="3068" ht="14.25" customHeight="1">
      <c r="A3068" s="1085">
        <v>11499.0</v>
      </c>
      <c r="B3068" s="1086" t="s">
        <v>8384</v>
      </c>
      <c r="C3068" s="1087" t="s">
        <v>1788</v>
      </c>
      <c r="D3068" s="1088">
        <v>861.4</v>
      </c>
      <c r="E3068" s="1089" t="s">
        <v>5308</v>
      </c>
      <c r="F3068" s="1081">
        <f t="shared" si="1"/>
        <v>0</v>
      </c>
      <c r="G3068" s="1083">
        <f t="shared" si="2"/>
        <v>861.4</v>
      </c>
      <c r="H3068" s="1084"/>
    </row>
    <row r="3069" ht="14.25" customHeight="1">
      <c r="A3069" s="1085">
        <v>34761.0</v>
      </c>
      <c r="B3069" s="1086" t="s">
        <v>8385</v>
      </c>
      <c r="C3069" s="1087" t="s">
        <v>1470</v>
      </c>
      <c r="D3069" s="1088">
        <v>17.62</v>
      </c>
      <c r="E3069" s="1089" t="s">
        <v>5452</v>
      </c>
      <c r="F3069" s="1081">
        <f t="shared" si="1"/>
        <v>17.62</v>
      </c>
      <c r="G3069" s="1083">
        <f t="shared" si="2"/>
        <v>0</v>
      </c>
      <c r="H3069" s="1084"/>
    </row>
    <row r="3070" ht="14.25" customHeight="1">
      <c r="A3070" s="1085">
        <v>40924.0</v>
      </c>
      <c r="B3070" s="1086" t="s">
        <v>8386</v>
      </c>
      <c r="C3070" s="1087" t="s">
        <v>5454</v>
      </c>
      <c r="D3070" s="1088">
        <v>3085.71</v>
      </c>
      <c r="E3070" s="1089" t="s">
        <v>5452</v>
      </c>
      <c r="F3070" s="1081">
        <f t="shared" si="1"/>
        <v>3085.71</v>
      </c>
      <c r="G3070" s="1083">
        <f t="shared" si="2"/>
        <v>0</v>
      </c>
      <c r="H3070" s="1084"/>
    </row>
    <row r="3071" ht="14.25" customHeight="1">
      <c r="A3071" s="1085">
        <v>40983.0</v>
      </c>
      <c r="B3071" s="1086" t="s">
        <v>8387</v>
      </c>
      <c r="C3071" s="1087" t="s">
        <v>5454</v>
      </c>
      <c r="D3071" s="1088">
        <v>3430.77</v>
      </c>
      <c r="E3071" s="1089" t="s">
        <v>5452</v>
      </c>
      <c r="F3071" s="1081">
        <f t="shared" si="1"/>
        <v>3430.77</v>
      </c>
      <c r="G3071" s="1083">
        <f t="shared" si="2"/>
        <v>0</v>
      </c>
      <c r="H3071" s="1084"/>
    </row>
    <row r="3072" ht="14.25" customHeight="1">
      <c r="A3072" s="1085">
        <v>44497.0</v>
      </c>
      <c r="B3072" s="1086" t="s">
        <v>8388</v>
      </c>
      <c r="C3072" s="1087" t="s">
        <v>1470</v>
      </c>
      <c r="D3072" s="1088">
        <v>19.6</v>
      </c>
      <c r="E3072" s="1089" t="s">
        <v>5452</v>
      </c>
      <c r="F3072" s="1081">
        <f t="shared" si="1"/>
        <v>19.6</v>
      </c>
      <c r="G3072" s="1083">
        <f t="shared" si="2"/>
        <v>0</v>
      </c>
      <c r="H3072" s="1084"/>
    </row>
    <row r="3073" ht="14.25" customHeight="1">
      <c r="A3073" s="1085">
        <v>2437.0</v>
      </c>
      <c r="B3073" s="1086" t="s">
        <v>8389</v>
      </c>
      <c r="C3073" s="1087" t="s">
        <v>1470</v>
      </c>
      <c r="D3073" s="1088">
        <v>26.34</v>
      </c>
      <c r="E3073" s="1089" t="s">
        <v>5452</v>
      </c>
      <c r="F3073" s="1081">
        <f t="shared" si="1"/>
        <v>26.34</v>
      </c>
      <c r="G3073" s="1083">
        <f t="shared" si="2"/>
        <v>0</v>
      </c>
      <c r="H3073" s="1084"/>
    </row>
    <row r="3074" ht="14.25" customHeight="1">
      <c r="A3074" s="1085">
        <v>40921.0</v>
      </c>
      <c r="B3074" s="1086" t="s">
        <v>8390</v>
      </c>
      <c r="C3074" s="1087" t="s">
        <v>5454</v>
      </c>
      <c r="D3074" s="1088">
        <v>4611.53</v>
      </c>
      <c r="E3074" s="1089" t="s">
        <v>5452</v>
      </c>
      <c r="F3074" s="1081">
        <f t="shared" si="1"/>
        <v>4611.53</v>
      </c>
      <c r="G3074" s="1083">
        <f t="shared" si="2"/>
        <v>0</v>
      </c>
      <c r="H3074" s="1084"/>
    </row>
    <row r="3075" ht="14.25" customHeight="1">
      <c r="A3075" s="1085">
        <v>14252.0</v>
      </c>
      <c r="B3075" s="1086" t="s">
        <v>8391</v>
      </c>
      <c r="C3075" s="1087" t="s">
        <v>1788</v>
      </c>
      <c r="D3075" s="1088">
        <v>2938.35</v>
      </c>
      <c r="E3075" s="1089" t="s">
        <v>5482</v>
      </c>
      <c r="F3075" s="1081">
        <f t="shared" si="1"/>
        <v>0</v>
      </c>
      <c r="G3075" s="1083">
        <f t="shared" si="2"/>
        <v>2938.35</v>
      </c>
      <c r="H3075" s="1084"/>
    </row>
    <row r="3076" ht="14.25" customHeight="1">
      <c r="A3076" s="1085">
        <v>730.0</v>
      </c>
      <c r="B3076" s="1086" t="s">
        <v>8392</v>
      </c>
      <c r="C3076" s="1087" t="s">
        <v>1788</v>
      </c>
      <c r="D3076" s="1088">
        <v>7850.73</v>
      </c>
      <c r="E3076" s="1089" t="s">
        <v>5482</v>
      </c>
      <c r="F3076" s="1081">
        <f t="shared" si="1"/>
        <v>0</v>
      </c>
      <c r="G3076" s="1083">
        <f t="shared" si="2"/>
        <v>7850.73</v>
      </c>
      <c r="H3076" s="1084"/>
    </row>
    <row r="3077" ht="14.25" customHeight="1">
      <c r="A3077" s="1085">
        <v>723.0</v>
      </c>
      <c r="B3077" s="1086" t="s">
        <v>8393</v>
      </c>
      <c r="C3077" s="1087" t="s">
        <v>1788</v>
      </c>
      <c r="D3077" s="1088">
        <v>3902.09</v>
      </c>
      <c r="E3077" s="1089" t="s">
        <v>5482</v>
      </c>
      <c r="F3077" s="1081">
        <f t="shared" si="1"/>
        <v>0</v>
      </c>
      <c r="G3077" s="1083">
        <f t="shared" si="2"/>
        <v>3902.09</v>
      </c>
      <c r="H3077" s="1084"/>
    </row>
    <row r="3078" ht="14.25" customHeight="1">
      <c r="A3078" s="1085">
        <v>36502.0</v>
      </c>
      <c r="B3078" s="1086" t="s">
        <v>8394</v>
      </c>
      <c r="C3078" s="1087" t="s">
        <v>1788</v>
      </c>
      <c r="D3078" s="1088">
        <v>3667.49</v>
      </c>
      <c r="E3078" s="1089" t="s">
        <v>5482</v>
      </c>
      <c r="F3078" s="1081">
        <f t="shared" si="1"/>
        <v>0</v>
      </c>
      <c r="G3078" s="1083">
        <f t="shared" si="2"/>
        <v>3667.49</v>
      </c>
      <c r="H3078" s="1084"/>
    </row>
    <row r="3079" ht="14.25" customHeight="1">
      <c r="A3079" s="1085">
        <v>36503.0</v>
      </c>
      <c r="B3079" s="1086" t="s">
        <v>8395</v>
      </c>
      <c r="C3079" s="1087" t="s">
        <v>1788</v>
      </c>
      <c r="D3079" s="1088">
        <v>4522.45</v>
      </c>
      <c r="E3079" s="1089" t="s">
        <v>5482</v>
      </c>
      <c r="F3079" s="1081">
        <f t="shared" si="1"/>
        <v>0</v>
      </c>
      <c r="G3079" s="1083">
        <f t="shared" si="2"/>
        <v>4522.45</v>
      </c>
      <c r="H3079" s="1084"/>
    </row>
    <row r="3080" ht="14.25" customHeight="1">
      <c r="A3080" s="1085">
        <v>4090.0</v>
      </c>
      <c r="B3080" s="1086" t="s">
        <v>8396</v>
      </c>
      <c r="C3080" s="1087" t="s">
        <v>1788</v>
      </c>
      <c r="D3080" s="1088">
        <v>1400000.0</v>
      </c>
      <c r="E3080" s="1089" t="s">
        <v>5482</v>
      </c>
      <c r="F3080" s="1081">
        <f t="shared" si="1"/>
        <v>0</v>
      </c>
      <c r="G3080" s="1083">
        <f t="shared" si="2"/>
        <v>1400000</v>
      </c>
      <c r="H3080" s="1084"/>
    </row>
    <row r="3081" ht="14.25" customHeight="1">
      <c r="A3081" s="1085">
        <v>13227.0</v>
      </c>
      <c r="B3081" s="1086" t="s">
        <v>8397</v>
      </c>
      <c r="C3081" s="1087" t="s">
        <v>1788</v>
      </c>
      <c r="D3081" s="1088">
        <v>1739674.58</v>
      </c>
      <c r="E3081" s="1089" t="s">
        <v>5482</v>
      </c>
      <c r="F3081" s="1081">
        <f t="shared" si="1"/>
        <v>0</v>
      </c>
      <c r="G3081" s="1083">
        <f t="shared" si="2"/>
        <v>1739674.58</v>
      </c>
      <c r="H3081" s="1084"/>
    </row>
    <row r="3082" ht="14.25" customHeight="1">
      <c r="A3082" s="1085">
        <v>10597.0</v>
      </c>
      <c r="B3082" s="1086" t="s">
        <v>8398</v>
      </c>
      <c r="C3082" s="1087" t="s">
        <v>1788</v>
      </c>
      <c r="D3082" s="1088">
        <v>1831231.92</v>
      </c>
      <c r="E3082" s="1089" t="s">
        <v>5482</v>
      </c>
      <c r="F3082" s="1081">
        <f t="shared" si="1"/>
        <v>0</v>
      </c>
      <c r="G3082" s="1083">
        <f t="shared" si="2"/>
        <v>1831231.92</v>
      </c>
      <c r="H3082" s="1084"/>
    </row>
    <row r="3083" ht="14.25" customHeight="1">
      <c r="A3083" s="1085">
        <v>39628.0</v>
      </c>
      <c r="B3083" s="1086" t="s">
        <v>8399</v>
      </c>
      <c r="C3083" s="1087" t="s">
        <v>1788</v>
      </c>
      <c r="D3083" s="1088">
        <v>4562.56</v>
      </c>
      <c r="E3083" s="1089" t="s">
        <v>5482</v>
      </c>
      <c r="F3083" s="1081">
        <f t="shared" si="1"/>
        <v>0</v>
      </c>
      <c r="G3083" s="1083">
        <f t="shared" si="2"/>
        <v>4562.56</v>
      </c>
      <c r="H3083" s="1084"/>
    </row>
    <row r="3084" ht="14.25" customHeight="1">
      <c r="A3084" s="1085">
        <v>39404.0</v>
      </c>
      <c r="B3084" s="1086" t="s">
        <v>8400</v>
      </c>
      <c r="C3084" s="1087" t="s">
        <v>1788</v>
      </c>
      <c r="D3084" s="1088">
        <v>2262.43</v>
      </c>
      <c r="E3084" s="1089" t="s">
        <v>5482</v>
      </c>
      <c r="F3084" s="1081">
        <f t="shared" si="1"/>
        <v>0</v>
      </c>
      <c r="G3084" s="1083">
        <f t="shared" si="2"/>
        <v>2262.43</v>
      </c>
      <c r="H3084" s="1084"/>
    </row>
    <row r="3085" ht="14.25" customHeight="1">
      <c r="A3085" s="1085">
        <v>39402.0</v>
      </c>
      <c r="B3085" s="1086" t="s">
        <v>8401</v>
      </c>
      <c r="C3085" s="1087" t="s">
        <v>1788</v>
      </c>
      <c r="D3085" s="1088">
        <v>1863.81</v>
      </c>
      <c r="E3085" s="1089" t="s">
        <v>5482</v>
      </c>
      <c r="F3085" s="1081">
        <f t="shared" si="1"/>
        <v>0</v>
      </c>
      <c r="G3085" s="1083">
        <f t="shared" si="2"/>
        <v>1863.81</v>
      </c>
      <c r="H3085" s="1084"/>
    </row>
    <row r="3086" ht="14.25" customHeight="1">
      <c r="A3086" s="1085">
        <v>39403.0</v>
      </c>
      <c r="B3086" s="1086" t="s">
        <v>8402</v>
      </c>
      <c r="C3086" s="1087" t="s">
        <v>1788</v>
      </c>
      <c r="D3086" s="1088">
        <v>1823.27</v>
      </c>
      <c r="E3086" s="1089" t="s">
        <v>5482</v>
      </c>
      <c r="F3086" s="1081">
        <f t="shared" si="1"/>
        <v>0</v>
      </c>
      <c r="G3086" s="1083">
        <f t="shared" si="2"/>
        <v>1823.27</v>
      </c>
      <c r="H3086" s="1084"/>
    </row>
    <row r="3087" ht="14.25" customHeight="1">
      <c r="A3087" s="1085">
        <v>4093.0</v>
      </c>
      <c r="B3087" s="1086" t="s">
        <v>8403</v>
      </c>
      <c r="C3087" s="1087" t="s">
        <v>1470</v>
      </c>
      <c r="D3087" s="1088">
        <v>21.3</v>
      </c>
      <c r="E3087" s="1089" t="s">
        <v>5452</v>
      </c>
      <c r="F3087" s="1081">
        <f t="shared" si="1"/>
        <v>21.3</v>
      </c>
      <c r="G3087" s="1083">
        <f t="shared" si="2"/>
        <v>0</v>
      </c>
      <c r="H3087" s="1084"/>
    </row>
    <row r="3088" ht="14.25" customHeight="1">
      <c r="A3088" s="1085">
        <v>10512.0</v>
      </c>
      <c r="B3088" s="1086" t="s">
        <v>8404</v>
      </c>
      <c r="C3088" s="1087" t="s">
        <v>5454</v>
      </c>
      <c r="D3088" s="1088">
        <v>3728.63</v>
      </c>
      <c r="E3088" s="1089" t="s">
        <v>5452</v>
      </c>
      <c r="F3088" s="1081">
        <f t="shared" si="1"/>
        <v>3728.63</v>
      </c>
      <c r="G3088" s="1083">
        <f t="shared" si="2"/>
        <v>0</v>
      </c>
      <c r="H3088" s="1084"/>
    </row>
    <row r="3089" ht="14.25" customHeight="1">
      <c r="A3089" s="1085">
        <v>20020.0</v>
      </c>
      <c r="B3089" s="1086" t="s">
        <v>8405</v>
      </c>
      <c r="C3089" s="1087" t="s">
        <v>1470</v>
      </c>
      <c r="D3089" s="1088">
        <v>22.13</v>
      </c>
      <c r="E3089" s="1089" t="s">
        <v>5452</v>
      </c>
      <c r="F3089" s="1081">
        <f t="shared" si="1"/>
        <v>22.13</v>
      </c>
      <c r="G3089" s="1083">
        <f t="shared" si="2"/>
        <v>0</v>
      </c>
      <c r="H3089" s="1084"/>
    </row>
    <row r="3090" ht="14.25" customHeight="1">
      <c r="A3090" s="1085">
        <v>41038.0</v>
      </c>
      <c r="B3090" s="1086" t="s">
        <v>8406</v>
      </c>
      <c r="C3090" s="1087" t="s">
        <v>5454</v>
      </c>
      <c r="D3090" s="1088">
        <v>3874.81</v>
      </c>
      <c r="E3090" s="1089" t="s">
        <v>5452</v>
      </c>
      <c r="F3090" s="1081">
        <f t="shared" si="1"/>
        <v>3874.81</v>
      </c>
      <c r="G3090" s="1083">
        <f t="shared" si="2"/>
        <v>0</v>
      </c>
      <c r="H3090" s="1084"/>
    </row>
    <row r="3091" ht="14.25" customHeight="1">
      <c r="A3091" s="1085">
        <v>4094.0</v>
      </c>
      <c r="B3091" s="1086" t="s">
        <v>8407</v>
      </c>
      <c r="C3091" s="1087" t="s">
        <v>1470</v>
      </c>
      <c r="D3091" s="1088">
        <v>26.49</v>
      </c>
      <c r="E3091" s="1089" t="s">
        <v>5452</v>
      </c>
      <c r="F3091" s="1081">
        <f t="shared" si="1"/>
        <v>26.49</v>
      </c>
      <c r="G3091" s="1083">
        <f t="shared" si="2"/>
        <v>0</v>
      </c>
      <c r="H3091" s="1084"/>
    </row>
    <row r="3092" ht="14.25" customHeight="1">
      <c r="A3092" s="1085">
        <v>40988.0</v>
      </c>
      <c r="B3092" s="1086" t="s">
        <v>8408</v>
      </c>
      <c r="C3092" s="1087" t="s">
        <v>5454</v>
      </c>
      <c r="D3092" s="1088">
        <v>4637.75</v>
      </c>
      <c r="E3092" s="1089" t="s">
        <v>5452</v>
      </c>
      <c r="F3092" s="1081">
        <f t="shared" si="1"/>
        <v>4637.75</v>
      </c>
      <c r="G3092" s="1083">
        <f t="shared" si="2"/>
        <v>0</v>
      </c>
      <c r="H3092" s="1084"/>
    </row>
    <row r="3093" ht="14.25" customHeight="1">
      <c r="A3093" s="1085">
        <v>4095.0</v>
      </c>
      <c r="B3093" s="1086" t="s">
        <v>8409</v>
      </c>
      <c r="C3093" s="1087" t="s">
        <v>1470</v>
      </c>
      <c r="D3093" s="1088">
        <v>18.91</v>
      </c>
      <c r="E3093" s="1089" t="s">
        <v>5452</v>
      </c>
      <c r="F3093" s="1081">
        <f t="shared" si="1"/>
        <v>18.91</v>
      </c>
      <c r="G3093" s="1083">
        <f t="shared" si="2"/>
        <v>0</v>
      </c>
      <c r="H3093" s="1084"/>
    </row>
    <row r="3094" ht="14.25" customHeight="1">
      <c r="A3094" s="1085">
        <v>40990.0</v>
      </c>
      <c r="B3094" s="1086" t="s">
        <v>8410</v>
      </c>
      <c r="C3094" s="1087" t="s">
        <v>5454</v>
      </c>
      <c r="D3094" s="1088">
        <v>3311.75</v>
      </c>
      <c r="E3094" s="1089" t="s">
        <v>5452</v>
      </c>
      <c r="F3094" s="1081">
        <f t="shared" si="1"/>
        <v>3311.75</v>
      </c>
      <c r="G3094" s="1083">
        <f t="shared" si="2"/>
        <v>0</v>
      </c>
      <c r="H3094" s="1084"/>
    </row>
    <row r="3095" ht="14.25" customHeight="1">
      <c r="A3095" s="1085">
        <v>4097.0</v>
      </c>
      <c r="B3095" s="1086" t="s">
        <v>8411</v>
      </c>
      <c r="C3095" s="1087" t="s">
        <v>1470</v>
      </c>
      <c r="D3095" s="1088">
        <v>19.84</v>
      </c>
      <c r="E3095" s="1089" t="s">
        <v>5452</v>
      </c>
      <c r="F3095" s="1081">
        <f t="shared" si="1"/>
        <v>19.84</v>
      </c>
      <c r="G3095" s="1083">
        <f t="shared" si="2"/>
        <v>0</v>
      </c>
      <c r="H3095" s="1084"/>
    </row>
    <row r="3096" ht="14.25" customHeight="1">
      <c r="A3096" s="1085">
        <v>40994.0</v>
      </c>
      <c r="B3096" s="1086" t="s">
        <v>8412</v>
      </c>
      <c r="C3096" s="1087" t="s">
        <v>5454</v>
      </c>
      <c r="D3096" s="1088">
        <v>3476.23</v>
      </c>
      <c r="E3096" s="1089" t="s">
        <v>5452</v>
      </c>
      <c r="F3096" s="1081">
        <f t="shared" si="1"/>
        <v>3476.23</v>
      </c>
      <c r="G3096" s="1083">
        <f t="shared" si="2"/>
        <v>0</v>
      </c>
      <c r="H3096" s="1084"/>
    </row>
    <row r="3097" ht="14.25" customHeight="1">
      <c r="A3097" s="1085">
        <v>4096.0</v>
      </c>
      <c r="B3097" s="1086" t="s">
        <v>8413</v>
      </c>
      <c r="C3097" s="1087" t="s">
        <v>1470</v>
      </c>
      <c r="D3097" s="1088">
        <v>23.89</v>
      </c>
      <c r="E3097" s="1089" t="s">
        <v>5452</v>
      </c>
      <c r="F3097" s="1081">
        <f t="shared" si="1"/>
        <v>23.89</v>
      </c>
      <c r="G3097" s="1083">
        <f t="shared" si="2"/>
        <v>0</v>
      </c>
      <c r="H3097" s="1084"/>
    </row>
    <row r="3098" ht="14.25" customHeight="1">
      <c r="A3098" s="1085">
        <v>40992.0</v>
      </c>
      <c r="B3098" s="1086" t="s">
        <v>8414</v>
      </c>
      <c r="C3098" s="1087" t="s">
        <v>5454</v>
      </c>
      <c r="D3098" s="1088">
        <v>4181.19</v>
      </c>
      <c r="E3098" s="1089" t="s">
        <v>5452</v>
      </c>
      <c r="F3098" s="1081">
        <f t="shared" si="1"/>
        <v>4181.19</v>
      </c>
      <c r="G3098" s="1083">
        <f t="shared" si="2"/>
        <v>0</v>
      </c>
      <c r="H3098" s="1084"/>
    </row>
    <row r="3099" ht="14.25" customHeight="1">
      <c r="A3099" s="1085">
        <v>4114.0</v>
      </c>
      <c r="B3099" s="1086" t="s">
        <v>8415</v>
      </c>
      <c r="C3099" s="1087" t="s">
        <v>1788</v>
      </c>
      <c r="D3099" s="1088">
        <v>51.0</v>
      </c>
      <c r="E3099" s="1089" t="s">
        <v>5308</v>
      </c>
      <c r="F3099" s="1081">
        <f t="shared" si="1"/>
        <v>0</v>
      </c>
      <c r="G3099" s="1083">
        <f t="shared" si="2"/>
        <v>51</v>
      </c>
      <c r="H3099" s="1084"/>
    </row>
    <row r="3100" ht="14.25" customHeight="1">
      <c r="A3100" s="1085">
        <v>36797.0</v>
      </c>
      <c r="B3100" s="1086" t="s">
        <v>8416</v>
      </c>
      <c r="C3100" s="1087" t="s">
        <v>1788</v>
      </c>
      <c r="D3100" s="1088">
        <v>45.4</v>
      </c>
      <c r="E3100" s="1089" t="s">
        <v>5308</v>
      </c>
      <c r="F3100" s="1081">
        <f t="shared" si="1"/>
        <v>0</v>
      </c>
      <c r="G3100" s="1083">
        <f t="shared" si="2"/>
        <v>45.4</v>
      </c>
      <c r="H3100" s="1084"/>
    </row>
    <row r="3101" ht="14.25" customHeight="1">
      <c r="A3101" s="1085">
        <v>4107.0</v>
      </c>
      <c r="B3101" s="1086" t="s">
        <v>8417</v>
      </c>
      <c r="C3101" s="1087" t="s">
        <v>1788</v>
      </c>
      <c r="D3101" s="1088">
        <v>42.81</v>
      </c>
      <c r="E3101" s="1089" t="s">
        <v>5308</v>
      </c>
      <c r="F3101" s="1081">
        <f t="shared" si="1"/>
        <v>0</v>
      </c>
      <c r="G3101" s="1083">
        <f t="shared" si="2"/>
        <v>42.81</v>
      </c>
      <c r="H3101" s="1084"/>
    </row>
    <row r="3102" ht="14.25" customHeight="1">
      <c r="A3102" s="1085">
        <v>4102.0</v>
      </c>
      <c r="B3102" s="1086" t="s">
        <v>8418</v>
      </c>
      <c r="C3102" s="1087" t="s">
        <v>1788</v>
      </c>
      <c r="D3102" s="1088">
        <v>52.26</v>
      </c>
      <c r="E3102" s="1089" t="s">
        <v>5308</v>
      </c>
      <c r="F3102" s="1081">
        <f t="shared" si="1"/>
        <v>0</v>
      </c>
      <c r="G3102" s="1083">
        <f t="shared" si="2"/>
        <v>52.26</v>
      </c>
      <c r="H3102" s="1084"/>
    </row>
    <row r="3103" ht="14.25" customHeight="1">
      <c r="A3103" s="1085">
        <v>36799.0</v>
      </c>
      <c r="B3103" s="1086" t="s">
        <v>8419</v>
      </c>
      <c r="C3103" s="1087" t="s">
        <v>1788</v>
      </c>
      <c r="D3103" s="1088">
        <v>44.07</v>
      </c>
      <c r="E3103" s="1089" t="s">
        <v>5308</v>
      </c>
      <c r="F3103" s="1081">
        <f t="shared" si="1"/>
        <v>0</v>
      </c>
      <c r="G3103" s="1083">
        <f t="shared" si="2"/>
        <v>44.07</v>
      </c>
      <c r="H3103" s="1084"/>
    </row>
    <row r="3104" ht="14.25" customHeight="1">
      <c r="A3104" s="1085">
        <v>2747.0</v>
      </c>
      <c r="B3104" s="1086" t="s">
        <v>8420</v>
      </c>
      <c r="C3104" s="1087" t="s">
        <v>1731</v>
      </c>
      <c r="D3104" s="1088">
        <v>34.41</v>
      </c>
      <c r="E3104" s="1089" t="s">
        <v>5308</v>
      </c>
      <c r="F3104" s="1081">
        <f t="shared" si="1"/>
        <v>0</v>
      </c>
      <c r="G3104" s="1083">
        <f t="shared" si="2"/>
        <v>34.41</v>
      </c>
      <c r="H3104" s="1084"/>
    </row>
    <row r="3105" ht="14.25" customHeight="1">
      <c r="A3105" s="1085">
        <v>21138.0</v>
      </c>
      <c r="B3105" s="1086" t="s">
        <v>8421</v>
      </c>
      <c r="C3105" s="1087" t="s">
        <v>1731</v>
      </c>
      <c r="D3105" s="1088">
        <v>10.91</v>
      </c>
      <c r="E3105" s="1089" t="s">
        <v>5308</v>
      </c>
      <c r="F3105" s="1081">
        <f t="shared" si="1"/>
        <v>0</v>
      </c>
      <c r="G3105" s="1083">
        <f t="shared" si="2"/>
        <v>10.91</v>
      </c>
      <c r="H3105" s="1084"/>
    </row>
    <row r="3106" ht="14.25" customHeight="1">
      <c r="A3106" s="1085">
        <v>10826.0</v>
      </c>
      <c r="B3106" s="1086" t="s">
        <v>8422</v>
      </c>
      <c r="C3106" s="1087" t="s">
        <v>1788</v>
      </c>
      <c r="D3106" s="1088">
        <v>47.98</v>
      </c>
      <c r="E3106" s="1089" t="s">
        <v>5308</v>
      </c>
      <c r="F3106" s="1081">
        <f t="shared" si="1"/>
        <v>0</v>
      </c>
      <c r="G3106" s="1083">
        <f t="shared" si="2"/>
        <v>47.98</v>
      </c>
      <c r="H3106" s="1084"/>
    </row>
    <row r="3107" ht="14.25" customHeight="1">
      <c r="A3107" s="1085">
        <v>365.0</v>
      </c>
      <c r="B3107" s="1086" t="s">
        <v>8423</v>
      </c>
      <c r="C3107" s="1087" t="s">
        <v>1788</v>
      </c>
      <c r="D3107" s="1088">
        <v>29.75</v>
      </c>
      <c r="E3107" s="1089" t="s">
        <v>5308</v>
      </c>
      <c r="F3107" s="1081">
        <f t="shared" si="1"/>
        <v>0</v>
      </c>
      <c r="G3107" s="1083">
        <f t="shared" si="2"/>
        <v>29.75</v>
      </c>
      <c r="H3107" s="1084"/>
    </row>
    <row r="3108" ht="14.25" customHeight="1">
      <c r="A3108" s="1085">
        <v>38639.0</v>
      </c>
      <c r="B3108" s="1086" t="s">
        <v>8424</v>
      </c>
      <c r="C3108" s="1087" t="s">
        <v>1788</v>
      </c>
      <c r="D3108" s="1088">
        <v>115.17</v>
      </c>
      <c r="E3108" s="1089" t="s">
        <v>5308</v>
      </c>
      <c r="F3108" s="1081">
        <f t="shared" si="1"/>
        <v>0</v>
      </c>
      <c r="G3108" s="1083">
        <f t="shared" si="2"/>
        <v>115.17</v>
      </c>
      <c r="H3108" s="1084"/>
    </row>
    <row r="3109" ht="14.25" customHeight="1">
      <c r="A3109" s="1085">
        <v>38640.0</v>
      </c>
      <c r="B3109" s="1086" t="s">
        <v>8425</v>
      </c>
      <c r="C3109" s="1087" t="s">
        <v>1788</v>
      </c>
      <c r="D3109" s="1088">
        <v>1.72</v>
      </c>
      <c r="E3109" s="1089" t="s">
        <v>5308</v>
      </c>
      <c r="F3109" s="1081">
        <f t="shared" si="1"/>
        <v>0</v>
      </c>
      <c r="G3109" s="1083">
        <f t="shared" si="2"/>
        <v>1.72</v>
      </c>
      <c r="H3109" s="1084"/>
    </row>
    <row r="3110" ht="14.25" customHeight="1">
      <c r="A3110" s="1085">
        <v>358.0</v>
      </c>
      <c r="B3110" s="1086" t="s">
        <v>8426</v>
      </c>
      <c r="C3110" s="1087" t="s">
        <v>1788</v>
      </c>
      <c r="D3110" s="1088">
        <v>35.51</v>
      </c>
      <c r="E3110" s="1089" t="s">
        <v>5308</v>
      </c>
      <c r="F3110" s="1081">
        <f t="shared" si="1"/>
        <v>0</v>
      </c>
      <c r="G3110" s="1083">
        <f t="shared" si="2"/>
        <v>35.51</v>
      </c>
      <c r="H3110" s="1084"/>
    </row>
    <row r="3111" ht="14.25" customHeight="1">
      <c r="A3111" s="1085">
        <v>359.0</v>
      </c>
      <c r="B3111" s="1086" t="s">
        <v>8427</v>
      </c>
      <c r="C3111" s="1087" t="s">
        <v>1788</v>
      </c>
      <c r="D3111" s="1088">
        <v>72.94</v>
      </c>
      <c r="E3111" s="1089" t="s">
        <v>5308</v>
      </c>
      <c r="F3111" s="1081">
        <f t="shared" si="1"/>
        <v>0</v>
      </c>
      <c r="G3111" s="1083">
        <f t="shared" si="2"/>
        <v>72.94</v>
      </c>
      <c r="H3111" s="1084"/>
    </row>
    <row r="3112" ht="14.25" customHeight="1">
      <c r="A3112" s="1085">
        <v>38641.0</v>
      </c>
      <c r="B3112" s="1086" t="s">
        <v>8428</v>
      </c>
      <c r="C3112" s="1087" t="s">
        <v>1788</v>
      </c>
      <c r="D3112" s="1088">
        <v>71.98</v>
      </c>
      <c r="E3112" s="1089" t="s">
        <v>5308</v>
      </c>
      <c r="F3112" s="1081">
        <f t="shared" si="1"/>
        <v>0</v>
      </c>
      <c r="G3112" s="1083">
        <f t="shared" si="2"/>
        <v>71.98</v>
      </c>
      <c r="H3112" s="1084"/>
    </row>
    <row r="3113" ht="14.25" customHeight="1">
      <c r="A3113" s="1085">
        <v>360.0</v>
      </c>
      <c r="B3113" s="1086" t="s">
        <v>8429</v>
      </c>
      <c r="C3113" s="1087" t="s">
        <v>1788</v>
      </c>
      <c r="D3113" s="1088">
        <v>1.67</v>
      </c>
      <c r="E3113" s="1089" t="s">
        <v>5308</v>
      </c>
      <c r="F3113" s="1081">
        <f t="shared" si="1"/>
        <v>0</v>
      </c>
      <c r="G3113" s="1083">
        <f t="shared" si="2"/>
        <v>1.67</v>
      </c>
      <c r="H3113" s="1084"/>
    </row>
    <row r="3114" ht="14.25" customHeight="1">
      <c r="A3114" s="1085">
        <v>42430.0</v>
      </c>
      <c r="B3114" s="1086" t="s">
        <v>8430</v>
      </c>
      <c r="C3114" s="1087" t="s">
        <v>1788</v>
      </c>
      <c r="D3114" s="1088">
        <v>6434.22</v>
      </c>
      <c r="E3114" s="1089" t="s">
        <v>5308</v>
      </c>
      <c r="F3114" s="1081">
        <f t="shared" si="1"/>
        <v>0</v>
      </c>
      <c r="G3114" s="1083">
        <f t="shared" si="2"/>
        <v>6434.22</v>
      </c>
      <c r="H3114" s="1084"/>
    </row>
    <row r="3115" ht="14.25" customHeight="1">
      <c r="A3115" s="1085">
        <v>4209.0</v>
      </c>
      <c r="B3115" s="1086" t="s">
        <v>8431</v>
      </c>
      <c r="C3115" s="1087" t="s">
        <v>1788</v>
      </c>
      <c r="D3115" s="1088">
        <v>24.64</v>
      </c>
      <c r="E3115" s="1089" t="s">
        <v>5308</v>
      </c>
      <c r="F3115" s="1081">
        <f t="shared" si="1"/>
        <v>0</v>
      </c>
      <c r="G3115" s="1083">
        <f t="shared" si="2"/>
        <v>24.64</v>
      </c>
      <c r="H3115" s="1084"/>
    </row>
    <row r="3116" ht="14.25" customHeight="1">
      <c r="A3116" s="1085">
        <v>4180.0</v>
      </c>
      <c r="B3116" s="1086" t="s">
        <v>8432</v>
      </c>
      <c r="C3116" s="1087" t="s">
        <v>1788</v>
      </c>
      <c r="D3116" s="1088">
        <v>18.55</v>
      </c>
      <c r="E3116" s="1089" t="s">
        <v>5308</v>
      </c>
      <c r="F3116" s="1081">
        <f t="shared" si="1"/>
        <v>0</v>
      </c>
      <c r="G3116" s="1083">
        <f t="shared" si="2"/>
        <v>18.55</v>
      </c>
      <c r="H3116" s="1084"/>
    </row>
    <row r="3117" ht="14.25" customHeight="1">
      <c r="A3117" s="1085">
        <v>4177.0</v>
      </c>
      <c r="B3117" s="1086" t="s">
        <v>8433</v>
      </c>
      <c r="C3117" s="1087" t="s">
        <v>1788</v>
      </c>
      <c r="D3117" s="1088">
        <v>6.16</v>
      </c>
      <c r="E3117" s="1089" t="s">
        <v>5308</v>
      </c>
      <c r="F3117" s="1081">
        <f t="shared" si="1"/>
        <v>0</v>
      </c>
      <c r="G3117" s="1083">
        <f t="shared" si="2"/>
        <v>6.16</v>
      </c>
      <c r="H3117" s="1084"/>
    </row>
    <row r="3118" ht="14.25" customHeight="1">
      <c r="A3118" s="1085">
        <v>4179.0</v>
      </c>
      <c r="B3118" s="1086" t="s">
        <v>8434</v>
      </c>
      <c r="C3118" s="1087" t="s">
        <v>1788</v>
      </c>
      <c r="D3118" s="1088">
        <v>12.6</v>
      </c>
      <c r="E3118" s="1089" t="s">
        <v>5308</v>
      </c>
      <c r="F3118" s="1081">
        <f t="shared" si="1"/>
        <v>0</v>
      </c>
      <c r="G3118" s="1083">
        <f t="shared" si="2"/>
        <v>12.6</v>
      </c>
      <c r="H3118" s="1084"/>
    </row>
    <row r="3119" ht="14.25" customHeight="1">
      <c r="A3119" s="1085">
        <v>4208.0</v>
      </c>
      <c r="B3119" s="1086" t="s">
        <v>8435</v>
      </c>
      <c r="C3119" s="1087" t="s">
        <v>1788</v>
      </c>
      <c r="D3119" s="1088">
        <v>58.66</v>
      </c>
      <c r="E3119" s="1089" t="s">
        <v>5308</v>
      </c>
      <c r="F3119" s="1081">
        <f t="shared" si="1"/>
        <v>0</v>
      </c>
      <c r="G3119" s="1083">
        <f t="shared" si="2"/>
        <v>58.66</v>
      </c>
      <c r="H3119" s="1084"/>
    </row>
    <row r="3120" ht="14.25" customHeight="1">
      <c r="A3120" s="1085">
        <v>4181.0</v>
      </c>
      <c r="B3120" s="1086" t="s">
        <v>8436</v>
      </c>
      <c r="C3120" s="1087" t="s">
        <v>1788</v>
      </c>
      <c r="D3120" s="1088">
        <v>38.33</v>
      </c>
      <c r="E3120" s="1089" t="s">
        <v>5308</v>
      </c>
      <c r="F3120" s="1081">
        <f t="shared" si="1"/>
        <v>0</v>
      </c>
      <c r="G3120" s="1083">
        <f t="shared" si="2"/>
        <v>38.33</v>
      </c>
      <c r="H3120" s="1084"/>
    </row>
    <row r="3121" ht="14.25" customHeight="1">
      <c r="A3121" s="1085">
        <v>4178.0</v>
      </c>
      <c r="B3121" s="1086" t="s">
        <v>8437</v>
      </c>
      <c r="C3121" s="1087" t="s">
        <v>1788</v>
      </c>
      <c r="D3121" s="1088">
        <v>8.54</v>
      </c>
      <c r="E3121" s="1089" t="s">
        <v>5308</v>
      </c>
      <c r="F3121" s="1081">
        <f t="shared" si="1"/>
        <v>0</v>
      </c>
      <c r="G3121" s="1083">
        <f t="shared" si="2"/>
        <v>8.54</v>
      </c>
      <c r="H3121" s="1084"/>
    </row>
    <row r="3122" ht="14.25" customHeight="1">
      <c r="A3122" s="1085">
        <v>4182.0</v>
      </c>
      <c r="B3122" s="1086" t="s">
        <v>8438</v>
      </c>
      <c r="C3122" s="1087" t="s">
        <v>1788</v>
      </c>
      <c r="D3122" s="1088">
        <v>95.43</v>
      </c>
      <c r="E3122" s="1089" t="s">
        <v>5308</v>
      </c>
      <c r="F3122" s="1081">
        <f t="shared" si="1"/>
        <v>0</v>
      </c>
      <c r="G3122" s="1083">
        <f t="shared" si="2"/>
        <v>95.43</v>
      </c>
      <c r="H3122" s="1084"/>
    </row>
    <row r="3123" ht="14.25" customHeight="1">
      <c r="A3123" s="1085">
        <v>4183.0</v>
      </c>
      <c r="B3123" s="1086" t="s">
        <v>8439</v>
      </c>
      <c r="C3123" s="1087" t="s">
        <v>1788</v>
      </c>
      <c r="D3123" s="1088">
        <v>153.63</v>
      </c>
      <c r="E3123" s="1089" t="s">
        <v>5308</v>
      </c>
      <c r="F3123" s="1081">
        <f t="shared" si="1"/>
        <v>0</v>
      </c>
      <c r="G3123" s="1083">
        <f t="shared" si="2"/>
        <v>153.63</v>
      </c>
      <c r="H3123" s="1084"/>
    </row>
    <row r="3124" ht="14.25" customHeight="1">
      <c r="A3124" s="1085">
        <v>4184.0</v>
      </c>
      <c r="B3124" s="1086" t="s">
        <v>8440</v>
      </c>
      <c r="C3124" s="1087" t="s">
        <v>1788</v>
      </c>
      <c r="D3124" s="1088">
        <v>339.13</v>
      </c>
      <c r="E3124" s="1089" t="s">
        <v>5308</v>
      </c>
      <c r="F3124" s="1081">
        <f t="shared" si="1"/>
        <v>0</v>
      </c>
      <c r="G3124" s="1083">
        <f t="shared" si="2"/>
        <v>339.13</v>
      </c>
      <c r="H3124" s="1084"/>
    </row>
    <row r="3125" ht="14.25" customHeight="1">
      <c r="A3125" s="1085">
        <v>4185.0</v>
      </c>
      <c r="B3125" s="1086" t="s">
        <v>8441</v>
      </c>
      <c r="C3125" s="1087" t="s">
        <v>1788</v>
      </c>
      <c r="D3125" s="1088">
        <v>563.48</v>
      </c>
      <c r="E3125" s="1089" t="s">
        <v>5308</v>
      </c>
      <c r="F3125" s="1081">
        <f t="shared" si="1"/>
        <v>0</v>
      </c>
      <c r="G3125" s="1083">
        <f t="shared" si="2"/>
        <v>563.48</v>
      </c>
      <c r="H3125" s="1084"/>
    </row>
    <row r="3126" ht="14.25" customHeight="1">
      <c r="A3126" s="1085">
        <v>4205.0</v>
      </c>
      <c r="B3126" s="1086" t="s">
        <v>8442</v>
      </c>
      <c r="C3126" s="1087" t="s">
        <v>1788</v>
      </c>
      <c r="D3126" s="1088">
        <v>32.54</v>
      </c>
      <c r="E3126" s="1089" t="s">
        <v>5308</v>
      </c>
      <c r="F3126" s="1081">
        <f t="shared" si="1"/>
        <v>0</v>
      </c>
      <c r="G3126" s="1083">
        <f t="shared" si="2"/>
        <v>32.54</v>
      </c>
      <c r="H3126" s="1084"/>
    </row>
    <row r="3127" ht="14.25" customHeight="1">
      <c r="A3127" s="1085">
        <v>4192.0</v>
      </c>
      <c r="B3127" s="1086" t="s">
        <v>8443</v>
      </c>
      <c r="C3127" s="1087" t="s">
        <v>1788</v>
      </c>
      <c r="D3127" s="1088">
        <v>32.54</v>
      </c>
      <c r="E3127" s="1089" t="s">
        <v>5308</v>
      </c>
      <c r="F3127" s="1081">
        <f t="shared" si="1"/>
        <v>0</v>
      </c>
      <c r="G3127" s="1083">
        <f t="shared" si="2"/>
        <v>32.54</v>
      </c>
      <c r="H3127" s="1084"/>
    </row>
    <row r="3128" ht="14.25" customHeight="1">
      <c r="A3128" s="1085">
        <v>4191.0</v>
      </c>
      <c r="B3128" s="1086" t="s">
        <v>8444</v>
      </c>
      <c r="C3128" s="1087" t="s">
        <v>1788</v>
      </c>
      <c r="D3128" s="1088">
        <v>32.54</v>
      </c>
      <c r="E3128" s="1089" t="s">
        <v>5308</v>
      </c>
      <c r="F3128" s="1081">
        <f t="shared" si="1"/>
        <v>0</v>
      </c>
      <c r="G3128" s="1083">
        <f t="shared" si="2"/>
        <v>32.54</v>
      </c>
      <c r="H3128" s="1084"/>
    </row>
    <row r="3129" ht="14.25" customHeight="1">
      <c r="A3129" s="1085">
        <v>4207.0</v>
      </c>
      <c r="B3129" s="1086" t="s">
        <v>8445</v>
      </c>
      <c r="C3129" s="1087" t="s">
        <v>1788</v>
      </c>
      <c r="D3129" s="1088">
        <v>26.18</v>
      </c>
      <c r="E3129" s="1089" t="s">
        <v>5308</v>
      </c>
      <c r="F3129" s="1081">
        <f t="shared" si="1"/>
        <v>0</v>
      </c>
      <c r="G3129" s="1083">
        <f t="shared" si="2"/>
        <v>26.18</v>
      </c>
      <c r="H3129" s="1084"/>
    </row>
    <row r="3130" ht="14.25" customHeight="1">
      <c r="A3130" s="1085">
        <v>4206.0</v>
      </c>
      <c r="B3130" s="1086" t="s">
        <v>8446</v>
      </c>
      <c r="C3130" s="1087" t="s">
        <v>1788</v>
      </c>
      <c r="D3130" s="1088">
        <v>25.43</v>
      </c>
      <c r="E3130" s="1089" t="s">
        <v>5308</v>
      </c>
      <c r="F3130" s="1081">
        <f t="shared" si="1"/>
        <v>0</v>
      </c>
      <c r="G3130" s="1083">
        <f t="shared" si="2"/>
        <v>25.43</v>
      </c>
      <c r="H3130" s="1084"/>
    </row>
    <row r="3131" ht="14.25" customHeight="1">
      <c r="A3131" s="1085">
        <v>4190.0</v>
      </c>
      <c r="B3131" s="1086" t="s">
        <v>8447</v>
      </c>
      <c r="C3131" s="1087" t="s">
        <v>1788</v>
      </c>
      <c r="D3131" s="1088">
        <v>25.43</v>
      </c>
      <c r="E3131" s="1089" t="s">
        <v>5308</v>
      </c>
      <c r="F3131" s="1081">
        <f t="shared" si="1"/>
        <v>0</v>
      </c>
      <c r="G3131" s="1083">
        <f t="shared" si="2"/>
        <v>25.43</v>
      </c>
      <c r="H3131" s="1084"/>
    </row>
    <row r="3132" ht="14.25" customHeight="1">
      <c r="A3132" s="1085">
        <v>4186.0</v>
      </c>
      <c r="B3132" s="1086" t="s">
        <v>8448</v>
      </c>
      <c r="C3132" s="1087" t="s">
        <v>1788</v>
      </c>
      <c r="D3132" s="1088">
        <v>7.52</v>
      </c>
      <c r="E3132" s="1089" t="s">
        <v>5308</v>
      </c>
      <c r="F3132" s="1081">
        <f t="shared" si="1"/>
        <v>0</v>
      </c>
      <c r="G3132" s="1083">
        <f t="shared" si="2"/>
        <v>7.52</v>
      </c>
      <c r="H3132" s="1084"/>
    </row>
    <row r="3133" ht="14.25" customHeight="1">
      <c r="A3133" s="1085">
        <v>4188.0</v>
      </c>
      <c r="B3133" s="1086" t="s">
        <v>8449</v>
      </c>
      <c r="C3133" s="1087" t="s">
        <v>1788</v>
      </c>
      <c r="D3133" s="1088">
        <v>15.34</v>
      </c>
      <c r="E3133" s="1089" t="s">
        <v>5308</v>
      </c>
      <c r="F3133" s="1081">
        <f t="shared" si="1"/>
        <v>0</v>
      </c>
      <c r="G3133" s="1083">
        <f t="shared" si="2"/>
        <v>15.34</v>
      </c>
      <c r="H3133" s="1084"/>
    </row>
    <row r="3134" ht="14.25" customHeight="1">
      <c r="A3134" s="1085">
        <v>4189.0</v>
      </c>
      <c r="B3134" s="1086" t="s">
        <v>8450</v>
      </c>
      <c r="C3134" s="1087" t="s">
        <v>1788</v>
      </c>
      <c r="D3134" s="1088">
        <v>15.34</v>
      </c>
      <c r="E3134" s="1089" t="s">
        <v>5308</v>
      </c>
      <c r="F3134" s="1081">
        <f t="shared" si="1"/>
        <v>0</v>
      </c>
      <c r="G3134" s="1083">
        <f t="shared" si="2"/>
        <v>15.34</v>
      </c>
      <c r="H3134" s="1084"/>
    </row>
    <row r="3135" ht="14.25" customHeight="1">
      <c r="A3135" s="1085">
        <v>4197.0</v>
      </c>
      <c r="B3135" s="1086" t="s">
        <v>8451</v>
      </c>
      <c r="C3135" s="1087" t="s">
        <v>1788</v>
      </c>
      <c r="D3135" s="1088">
        <v>81.25</v>
      </c>
      <c r="E3135" s="1089" t="s">
        <v>5308</v>
      </c>
      <c r="F3135" s="1081">
        <f t="shared" si="1"/>
        <v>0</v>
      </c>
      <c r="G3135" s="1083">
        <f t="shared" si="2"/>
        <v>81.25</v>
      </c>
      <c r="H3135" s="1084"/>
    </row>
    <row r="3136" ht="14.25" customHeight="1">
      <c r="A3136" s="1085">
        <v>4194.0</v>
      </c>
      <c r="B3136" s="1086" t="s">
        <v>8452</v>
      </c>
      <c r="C3136" s="1087" t="s">
        <v>1788</v>
      </c>
      <c r="D3136" s="1088">
        <v>49.1</v>
      </c>
      <c r="E3136" s="1089" t="s">
        <v>5308</v>
      </c>
      <c r="F3136" s="1081">
        <f t="shared" si="1"/>
        <v>0</v>
      </c>
      <c r="G3136" s="1083">
        <f t="shared" si="2"/>
        <v>49.1</v>
      </c>
      <c r="H3136" s="1084"/>
    </row>
    <row r="3137" ht="14.25" customHeight="1">
      <c r="A3137" s="1085">
        <v>4193.0</v>
      </c>
      <c r="B3137" s="1086" t="s">
        <v>8453</v>
      </c>
      <c r="C3137" s="1087" t="s">
        <v>1788</v>
      </c>
      <c r="D3137" s="1088">
        <v>49.1</v>
      </c>
      <c r="E3137" s="1089" t="s">
        <v>5308</v>
      </c>
      <c r="F3137" s="1081">
        <f t="shared" si="1"/>
        <v>0</v>
      </c>
      <c r="G3137" s="1083">
        <f t="shared" si="2"/>
        <v>49.1</v>
      </c>
      <c r="H3137" s="1084"/>
    </row>
    <row r="3138" ht="14.25" customHeight="1">
      <c r="A3138" s="1085">
        <v>4204.0</v>
      </c>
      <c r="B3138" s="1086" t="s">
        <v>8454</v>
      </c>
      <c r="C3138" s="1087" t="s">
        <v>1788</v>
      </c>
      <c r="D3138" s="1088">
        <v>49.1</v>
      </c>
      <c r="E3138" s="1089" t="s">
        <v>5308</v>
      </c>
      <c r="F3138" s="1081">
        <f t="shared" si="1"/>
        <v>0</v>
      </c>
      <c r="G3138" s="1083">
        <f t="shared" si="2"/>
        <v>49.1</v>
      </c>
      <c r="H3138" s="1084"/>
    </row>
    <row r="3139" ht="14.25" customHeight="1">
      <c r="A3139" s="1085">
        <v>4187.0</v>
      </c>
      <c r="B3139" s="1086" t="s">
        <v>8455</v>
      </c>
      <c r="C3139" s="1087" t="s">
        <v>1788</v>
      </c>
      <c r="D3139" s="1088">
        <v>9.78</v>
      </c>
      <c r="E3139" s="1089" t="s">
        <v>5308</v>
      </c>
      <c r="F3139" s="1081">
        <f t="shared" si="1"/>
        <v>0</v>
      </c>
      <c r="G3139" s="1083">
        <f t="shared" si="2"/>
        <v>9.78</v>
      </c>
      <c r="H3139" s="1084"/>
    </row>
    <row r="3140" ht="14.25" customHeight="1">
      <c r="A3140" s="1085">
        <v>4202.0</v>
      </c>
      <c r="B3140" s="1086" t="s">
        <v>8456</v>
      </c>
      <c r="C3140" s="1087" t="s">
        <v>1788</v>
      </c>
      <c r="D3140" s="1088">
        <v>148.39</v>
      </c>
      <c r="E3140" s="1089" t="s">
        <v>5308</v>
      </c>
      <c r="F3140" s="1081">
        <f t="shared" si="1"/>
        <v>0</v>
      </c>
      <c r="G3140" s="1083">
        <f t="shared" si="2"/>
        <v>148.39</v>
      </c>
      <c r="H3140" s="1084"/>
    </row>
    <row r="3141" ht="14.25" customHeight="1">
      <c r="A3141" s="1085">
        <v>4203.0</v>
      </c>
      <c r="B3141" s="1086" t="s">
        <v>8457</v>
      </c>
      <c r="C3141" s="1087" t="s">
        <v>1788</v>
      </c>
      <c r="D3141" s="1088">
        <v>131.06</v>
      </c>
      <c r="E3141" s="1089" t="s">
        <v>5308</v>
      </c>
      <c r="F3141" s="1081">
        <f t="shared" si="1"/>
        <v>0</v>
      </c>
      <c r="G3141" s="1083">
        <f t="shared" si="2"/>
        <v>131.06</v>
      </c>
      <c r="H3141" s="1084"/>
    </row>
    <row r="3142" ht="14.25" customHeight="1">
      <c r="A3142" s="1085">
        <v>40368.0</v>
      </c>
      <c r="B3142" s="1086" t="s">
        <v>8458</v>
      </c>
      <c r="C3142" s="1087" t="s">
        <v>1788</v>
      </c>
      <c r="D3142" s="1088">
        <v>61.16</v>
      </c>
      <c r="E3142" s="1089" t="s">
        <v>5308</v>
      </c>
      <c r="F3142" s="1081">
        <f t="shared" si="1"/>
        <v>0</v>
      </c>
      <c r="G3142" s="1083">
        <f t="shared" si="2"/>
        <v>61.16</v>
      </c>
      <c r="H3142" s="1084"/>
    </row>
    <row r="3143" ht="14.25" customHeight="1">
      <c r="A3143" s="1085">
        <v>40365.0</v>
      </c>
      <c r="B3143" s="1086" t="s">
        <v>8459</v>
      </c>
      <c r="C3143" s="1087" t="s">
        <v>1788</v>
      </c>
      <c r="D3143" s="1088">
        <v>41.26</v>
      </c>
      <c r="E3143" s="1089" t="s">
        <v>5308</v>
      </c>
      <c r="F3143" s="1081">
        <f t="shared" si="1"/>
        <v>0</v>
      </c>
      <c r="G3143" s="1083">
        <f t="shared" si="2"/>
        <v>41.26</v>
      </c>
      <c r="H3143" s="1084"/>
    </row>
    <row r="3144" ht="14.25" customHeight="1">
      <c r="A3144" s="1085">
        <v>40356.0</v>
      </c>
      <c r="B3144" s="1086" t="s">
        <v>8460</v>
      </c>
      <c r="C3144" s="1087" t="s">
        <v>1788</v>
      </c>
      <c r="D3144" s="1088">
        <v>14.1</v>
      </c>
      <c r="E3144" s="1089" t="s">
        <v>5308</v>
      </c>
      <c r="F3144" s="1081">
        <f t="shared" si="1"/>
        <v>0</v>
      </c>
      <c r="G3144" s="1083">
        <f t="shared" si="2"/>
        <v>14.1</v>
      </c>
      <c r="H3144" s="1084"/>
    </row>
    <row r="3145" ht="14.25" customHeight="1">
      <c r="A3145" s="1085">
        <v>40362.0</v>
      </c>
      <c r="B3145" s="1086" t="s">
        <v>8461</v>
      </c>
      <c r="C3145" s="1087" t="s">
        <v>1788</v>
      </c>
      <c r="D3145" s="1088">
        <v>27.33</v>
      </c>
      <c r="E3145" s="1089" t="s">
        <v>5308</v>
      </c>
      <c r="F3145" s="1081">
        <f t="shared" si="1"/>
        <v>0</v>
      </c>
      <c r="G3145" s="1083">
        <f t="shared" si="2"/>
        <v>27.33</v>
      </c>
      <c r="H3145" s="1084"/>
    </row>
    <row r="3146" ht="14.25" customHeight="1">
      <c r="A3146" s="1085">
        <v>40374.0</v>
      </c>
      <c r="B3146" s="1086" t="s">
        <v>8462</v>
      </c>
      <c r="C3146" s="1087" t="s">
        <v>1788</v>
      </c>
      <c r="D3146" s="1088">
        <v>159.85</v>
      </c>
      <c r="E3146" s="1089" t="s">
        <v>5308</v>
      </c>
      <c r="F3146" s="1081">
        <f t="shared" si="1"/>
        <v>0</v>
      </c>
      <c r="G3146" s="1083">
        <f t="shared" si="2"/>
        <v>159.85</v>
      </c>
      <c r="H3146" s="1084"/>
    </row>
    <row r="3147" ht="14.25" customHeight="1">
      <c r="A3147" s="1085">
        <v>40371.0</v>
      </c>
      <c r="B3147" s="1086" t="s">
        <v>8463</v>
      </c>
      <c r="C3147" s="1087" t="s">
        <v>1788</v>
      </c>
      <c r="D3147" s="1088">
        <v>100.62</v>
      </c>
      <c r="E3147" s="1089" t="s">
        <v>5308</v>
      </c>
      <c r="F3147" s="1081">
        <f t="shared" si="1"/>
        <v>0</v>
      </c>
      <c r="G3147" s="1083">
        <f t="shared" si="2"/>
        <v>100.62</v>
      </c>
      <c r="H3147" s="1084"/>
    </row>
    <row r="3148" ht="14.25" customHeight="1">
      <c r="A3148" s="1085">
        <v>40359.0</v>
      </c>
      <c r="B3148" s="1086" t="s">
        <v>8464</v>
      </c>
      <c r="C3148" s="1087" t="s">
        <v>1788</v>
      </c>
      <c r="D3148" s="1088">
        <v>18.21</v>
      </c>
      <c r="E3148" s="1089" t="s">
        <v>5308</v>
      </c>
      <c r="F3148" s="1081">
        <f t="shared" si="1"/>
        <v>0</v>
      </c>
      <c r="G3148" s="1083">
        <f t="shared" si="2"/>
        <v>18.21</v>
      </c>
      <c r="H3148" s="1084"/>
    </row>
    <row r="3149" ht="14.25" customHeight="1">
      <c r="A3149" s="1085">
        <v>7595.0</v>
      </c>
      <c r="B3149" s="1086" t="s">
        <v>8465</v>
      </c>
      <c r="C3149" s="1087" t="s">
        <v>1470</v>
      </c>
      <c r="D3149" s="1088">
        <v>11.95</v>
      </c>
      <c r="E3149" s="1089" t="s">
        <v>5452</v>
      </c>
      <c r="F3149" s="1081">
        <f t="shared" si="1"/>
        <v>11.95</v>
      </c>
      <c r="G3149" s="1083">
        <f t="shared" si="2"/>
        <v>0</v>
      </c>
      <c r="H3149" s="1084"/>
    </row>
    <row r="3150" ht="14.25" customHeight="1">
      <c r="A3150" s="1085">
        <v>41094.0</v>
      </c>
      <c r="B3150" s="1086" t="s">
        <v>8466</v>
      </c>
      <c r="C3150" s="1087" t="s">
        <v>5454</v>
      </c>
      <c r="D3150" s="1088">
        <v>2092.08</v>
      </c>
      <c r="E3150" s="1089" t="s">
        <v>5452</v>
      </c>
      <c r="F3150" s="1081">
        <f t="shared" si="1"/>
        <v>2092.08</v>
      </c>
      <c r="G3150" s="1083">
        <f t="shared" si="2"/>
        <v>0</v>
      </c>
      <c r="H3150" s="1084"/>
    </row>
    <row r="3151" ht="14.25" customHeight="1">
      <c r="A3151" s="1085">
        <v>39609.0</v>
      </c>
      <c r="B3151" s="1086" t="s">
        <v>8467</v>
      </c>
      <c r="C3151" s="1087" t="s">
        <v>1788</v>
      </c>
      <c r="D3151" s="1088">
        <v>76804.57</v>
      </c>
      <c r="E3151" s="1089" t="s">
        <v>5482</v>
      </c>
      <c r="F3151" s="1081">
        <f t="shared" si="1"/>
        <v>0</v>
      </c>
      <c r="G3151" s="1083">
        <f t="shared" si="2"/>
        <v>76804.57</v>
      </c>
      <c r="H3151" s="1084"/>
    </row>
    <row r="3152" ht="14.25" customHeight="1">
      <c r="A3152" s="1085">
        <v>39610.0</v>
      </c>
      <c r="B3152" s="1086" t="s">
        <v>8468</v>
      </c>
      <c r="C3152" s="1087" t="s">
        <v>1788</v>
      </c>
      <c r="D3152" s="1088">
        <v>112110.71</v>
      </c>
      <c r="E3152" s="1089" t="s">
        <v>5482</v>
      </c>
      <c r="F3152" s="1081">
        <f t="shared" si="1"/>
        <v>0</v>
      </c>
      <c r="G3152" s="1083">
        <f t="shared" si="2"/>
        <v>112110.71</v>
      </c>
      <c r="H3152" s="1084"/>
    </row>
    <row r="3153" ht="14.25" customHeight="1">
      <c r="A3153" s="1085">
        <v>39611.0</v>
      </c>
      <c r="B3153" s="1086" t="s">
        <v>8469</v>
      </c>
      <c r="C3153" s="1087" t="s">
        <v>1788</v>
      </c>
      <c r="D3153" s="1088">
        <v>135672.3</v>
      </c>
      <c r="E3153" s="1089" t="s">
        <v>5482</v>
      </c>
      <c r="F3153" s="1081">
        <f t="shared" si="1"/>
        <v>0</v>
      </c>
      <c r="G3153" s="1083">
        <f t="shared" si="2"/>
        <v>135672.3</v>
      </c>
      <c r="H3153" s="1084"/>
    </row>
    <row r="3154" ht="14.25" customHeight="1">
      <c r="A3154" s="1085">
        <v>39612.0</v>
      </c>
      <c r="B3154" s="1086" t="s">
        <v>8470</v>
      </c>
      <c r="C3154" s="1087" t="s">
        <v>1788</v>
      </c>
      <c r="D3154" s="1088">
        <v>212533.72</v>
      </c>
      <c r="E3154" s="1089" t="s">
        <v>5482</v>
      </c>
      <c r="F3154" s="1081">
        <f t="shared" si="1"/>
        <v>0</v>
      </c>
      <c r="G3154" s="1083">
        <f t="shared" si="2"/>
        <v>212533.72</v>
      </c>
      <c r="H3154" s="1084"/>
    </row>
    <row r="3155" ht="14.25" customHeight="1">
      <c r="A3155" s="1085">
        <v>39608.0</v>
      </c>
      <c r="B3155" s="1086" t="s">
        <v>8471</v>
      </c>
      <c r="C3155" s="1087" t="s">
        <v>1788</v>
      </c>
      <c r="D3155" s="1088">
        <v>61412.12</v>
      </c>
      <c r="E3155" s="1089" t="s">
        <v>5482</v>
      </c>
      <c r="F3155" s="1081">
        <f t="shared" si="1"/>
        <v>0</v>
      </c>
      <c r="G3155" s="1083">
        <f t="shared" si="2"/>
        <v>61412.12</v>
      </c>
      <c r="H3155" s="1084"/>
    </row>
    <row r="3156" ht="14.25" customHeight="1">
      <c r="A3156" s="1085">
        <v>38175.0</v>
      </c>
      <c r="B3156" s="1086" t="s">
        <v>8472</v>
      </c>
      <c r="C3156" s="1087" t="s">
        <v>1788</v>
      </c>
      <c r="D3156" s="1088">
        <v>4.64</v>
      </c>
      <c r="E3156" s="1089" t="s">
        <v>5308</v>
      </c>
      <c r="F3156" s="1081">
        <f t="shared" si="1"/>
        <v>0</v>
      </c>
      <c r="G3156" s="1083">
        <f t="shared" si="2"/>
        <v>4.64</v>
      </c>
      <c r="H3156" s="1084"/>
    </row>
    <row r="3157" ht="14.25" customHeight="1">
      <c r="A3157" s="1085">
        <v>38176.0</v>
      </c>
      <c r="B3157" s="1086" t="s">
        <v>8473</v>
      </c>
      <c r="C3157" s="1087" t="s">
        <v>1788</v>
      </c>
      <c r="D3157" s="1088">
        <v>13.66</v>
      </c>
      <c r="E3157" s="1089" t="s">
        <v>5308</v>
      </c>
      <c r="F3157" s="1081">
        <f t="shared" si="1"/>
        <v>0</v>
      </c>
      <c r="G3157" s="1083">
        <f t="shared" si="2"/>
        <v>13.66</v>
      </c>
      <c r="H3157" s="1084"/>
    </row>
    <row r="3158" ht="14.25" customHeight="1">
      <c r="A3158" s="1085">
        <v>36152.0</v>
      </c>
      <c r="B3158" s="1086" t="s">
        <v>8474</v>
      </c>
      <c r="C3158" s="1087" t="s">
        <v>1788</v>
      </c>
      <c r="D3158" s="1088">
        <v>5.85</v>
      </c>
      <c r="E3158" s="1089" t="s">
        <v>5308</v>
      </c>
      <c r="F3158" s="1081">
        <f t="shared" si="1"/>
        <v>0</v>
      </c>
      <c r="G3158" s="1083">
        <f t="shared" si="2"/>
        <v>5.85</v>
      </c>
      <c r="H3158" s="1084"/>
    </row>
    <row r="3159" ht="14.25" customHeight="1">
      <c r="A3159" s="1085">
        <v>11138.0</v>
      </c>
      <c r="B3159" s="1086" t="s">
        <v>8475</v>
      </c>
      <c r="C3159" s="1087" t="s">
        <v>2386</v>
      </c>
      <c r="D3159" s="1088">
        <v>2.93</v>
      </c>
      <c r="E3159" s="1089" t="s">
        <v>5308</v>
      </c>
      <c r="F3159" s="1081">
        <f t="shared" si="1"/>
        <v>0</v>
      </c>
      <c r="G3159" s="1083">
        <f t="shared" si="2"/>
        <v>2.93</v>
      </c>
      <c r="H3159" s="1084"/>
    </row>
    <row r="3160" ht="14.25" customHeight="1">
      <c r="A3160" s="1085">
        <v>4221.0</v>
      </c>
      <c r="B3160" s="1086" t="s">
        <v>8476</v>
      </c>
      <c r="C3160" s="1087" t="s">
        <v>2386</v>
      </c>
      <c r="D3160" s="1088">
        <v>4.55</v>
      </c>
      <c r="E3160" s="1089" t="s">
        <v>5308</v>
      </c>
      <c r="F3160" s="1081">
        <f t="shared" si="1"/>
        <v>0</v>
      </c>
      <c r="G3160" s="1083">
        <f t="shared" si="2"/>
        <v>4.55</v>
      </c>
      <c r="H3160" s="1084"/>
    </row>
    <row r="3161" ht="14.25" customHeight="1">
      <c r="A3161" s="1085">
        <v>4227.0</v>
      </c>
      <c r="B3161" s="1086" t="s">
        <v>8477</v>
      </c>
      <c r="C3161" s="1087" t="s">
        <v>2386</v>
      </c>
      <c r="D3161" s="1088">
        <v>22.38</v>
      </c>
      <c r="E3161" s="1089" t="s">
        <v>5308</v>
      </c>
      <c r="F3161" s="1081">
        <f t="shared" si="1"/>
        <v>0</v>
      </c>
      <c r="G3161" s="1083">
        <f t="shared" si="2"/>
        <v>22.38</v>
      </c>
      <c r="H3161" s="1084"/>
    </row>
    <row r="3162" ht="14.25" customHeight="1">
      <c r="A3162" s="1085">
        <v>38170.0</v>
      </c>
      <c r="B3162" s="1086" t="s">
        <v>8478</v>
      </c>
      <c r="C3162" s="1087" t="s">
        <v>1788</v>
      </c>
      <c r="D3162" s="1088">
        <v>20.3</v>
      </c>
      <c r="E3162" s="1089" t="s">
        <v>5308</v>
      </c>
      <c r="F3162" s="1081">
        <f t="shared" si="1"/>
        <v>0</v>
      </c>
      <c r="G3162" s="1083">
        <f t="shared" si="2"/>
        <v>20.3</v>
      </c>
      <c r="H3162" s="1084"/>
    </row>
    <row r="3163" ht="14.25" customHeight="1">
      <c r="A3163" s="1085">
        <v>4252.0</v>
      </c>
      <c r="B3163" s="1086" t="s">
        <v>8479</v>
      </c>
      <c r="C3163" s="1087" t="s">
        <v>1470</v>
      </c>
      <c r="D3163" s="1088">
        <v>19.17</v>
      </c>
      <c r="E3163" s="1089" t="s">
        <v>5452</v>
      </c>
      <c r="F3163" s="1081">
        <f t="shared" si="1"/>
        <v>19.17</v>
      </c>
      <c r="G3163" s="1083">
        <f t="shared" si="2"/>
        <v>0</v>
      </c>
      <c r="H3163" s="1084"/>
    </row>
    <row r="3164" ht="14.25" customHeight="1">
      <c r="A3164" s="1085">
        <v>40980.0</v>
      </c>
      <c r="B3164" s="1086" t="s">
        <v>8480</v>
      </c>
      <c r="C3164" s="1087" t="s">
        <v>5454</v>
      </c>
      <c r="D3164" s="1088">
        <v>3356.88</v>
      </c>
      <c r="E3164" s="1089" t="s">
        <v>5452</v>
      </c>
      <c r="F3164" s="1081">
        <f t="shared" si="1"/>
        <v>3356.88</v>
      </c>
      <c r="G3164" s="1083">
        <f t="shared" si="2"/>
        <v>0</v>
      </c>
      <c r="H3164" s="1084"/>
    </row>
    <row r="3165" ht="14.25" customHeight="1">
      <c r="A3165" s="1085">
        <v>4243.0</v>
      </c>
      <c r="B3165" s="1086" t="s">
        <v>8481</v>
      </c>
      <c r="C3165" s="1087" t="s">
        <v>1470</v>
      </c>
      <c r="D3165" s="1088">
        <v>15.86</v>
      </c>
      <c r="E3165" s="1089" t="s">
        <v>5452</v>
      </c>
      <c r="F3165" s="1081">
        <f t="shared" si="1"/>
        <v>15.86</v>
      </c>
      <c r="G3165" s="1083">
        <f t="shared" si="2"/>
        <v>0</v>
      </c>
      <c r="H3165" s="1084"/>
    </row>
    <row r="3166" ht="14.25" customHeight="1">
      <c r="A3166" s="1085">
        <v>41031.0</v>
      </c>
      <c r="B3166" s="1086" t="s">
        <v>8482</v>
      </c>
      <c r="C3166" s="1087" t="s">
        <v>5454</v>
      </c>
      <c r="D3166" s="1088">
        <v>2777.66</v>
      </c>
      <c r="E3166" s="1089" t="s">
        <v>5452</v>
      </c>
      <c r="F3166" s="1081">
        <f t="shared" si="1"/>
        <v>2777.66</v>
      </c>
      <c r="G3166" s="1083">
        <f t="shared" si="2"/>
        <v>0</v>
      </c>
      <c r="H3166" s="1084"/>
    </row>
    <row r="3167" ht="14.25" customHeight="1">
      <c r="A3167" s="1085">
        <v>37666.0</v>
      </c>
      <c r="B3167" s="1086" t="s">
        <v>8483</v>
      </c>
      <c r="C3167" s="1087" t="s">
        <v>1470</v>
      </c>
      <c r="D3167" s="1088">
        <v>15.3</v>
      </c>
      <c r="E3167" s="1089" t="s">
        <v>5452</v>
      </c>
      <c r="F3167" s="1081">
        <f t="shared" si="1"/>
        <v>15.3</v>
      </c>
      <c r="G3167" s="1083">
        <f t="shared" si="2"/>
        <v>0</v>
      </c>
      <c r="H3167" s="1084"/>
    </row>
    <row r="3168" ht="14.25" customHeight="1">
      <c r="A3168" s="1085">
        <v>40986.0</v>
      </c>
      <c r="B3168" s="1086" t="s">
        <v>8484</v>
      </c>
      <c r="C3168" s="1087" t="s">
        <v>5454</v>
      </c>
      <c r="D3168" s="1088">
        <v>2680.54</v>
      </c>
      <c r="E3168" s="1089" t="s">
        <v>5452</v>
      </c>
      <c r="F3168" s="1081">
        <f t="shared" si="1"/>
        <v>2680.54</v>
      </c>
      <c r="G3168" s="1083">
        <f t="shared" si="2"/>
        <v>0</v>
      </c>
      <c r="H3168" s="1084"/>
    </row>
    <row r="3169" ht="14.25" customHeight="1">
      <c r="A3169" s="1085">
        <v>4250.0</v>
      </c>
      <c r="B3169" s="1086" t="s">
        <v>8485</v>
      </c>
      <c r="C3169" s="1087" t="s">
        <v>1470</v>
      </c>
      <c r="D3169" s="1088">
        <v>17.28</v>
      </c>
      <c r="E3169" s="1089" t="s">
        <v>5452</v>
      </c>
      <c r="F3169" s="1081">
        <f t="shared" si="1"/>
        <v>17.28</v>
      </c>
      <c r="G3169" s="1083">
        <f t="shared" si="2"/>
        <v>0</v>
      </c>
      <c r="H3169" s="1084"/>
    </row>
    <row r="3170" ht="14.25" customHeight="1">
      <c r="A3170" s="1085">
        <v>40978.0</v>
      </c>
      <c r="B3170" s="1086" t="s">
        <v>8486</v>
      </c>
      <c r="C3170" s="1087" t="s">
        <v>5454</v>
      </c>
      <c r="D3170" s="1088">
        <v>3027.9</v>
      </c>
      <c r="E3170" s="1089" t="s">
        <v>5452</v>
      </c>
      <c r="F3170" s="1081">
        <f t="shared" si="1"/>
        <v>3027.9</v>
      </c>
      <c r="G3170" s="1083">
        <f t="shared" si="2"/>
        <v>0</v>
      </c>
      <c r="H3170" s="1084"/>
    </row>
    <row r="3171" ht="14.25" customHeight="1">
      <c r="A3171" s="1085">
        <v>41043.0</v>
      </c>
      <c r="B3171" s="1086" t="s">
        <v>8487</v>
      </c>
      <c r="C3171" s="1087" t="s">
        <v>5454</v>
      </c>
      <c r="D3171" s="1088">
        <v>3418.66</v>
      </c>
      <c r="E3171" s="1089" t="s">
        <v>5452</v>
      </c>
      <c r="F3171" s="1081">
        <f t="shared" si="1"/>
        <v>3418.66</v>
      </c>
      <c r="G3171" s="1083">
        <f t="shared" si="2"/>
        <v>0</v>
      </c>
      <c r="H3171" s="1084"/>
    </row>
    <row r="3172" ht="14.25" customHeight="1">
      <c r="A3172" s="1085">
        <v>44501.0</v>
      </c>
      <c r="B3172" s="1086" t="s">
        <v>8488</v>
      </c>
      <c r="C3172" s="1087" t="s">
        <v>1470</v>
      </c>
      <c r="D3172" s="1088">
        <v>19.53</v>
      </c>
      <c r="E3172" s="1089" t="s">
        <v>5452</v>
      </c>
      <c r="F3172" s="1081">
        <f t="shared" si="1"/>
        <v>19.53</v>
      </c>
      <c r="G3172" s="1083">
        <f t="shared" si="2"/>
        <v>0</v>
      </c>
      <c r="H3172" s="1084"/>
    </row>
    <row r="3173" ht="14.25" customHeight="1">
      <c r="A3173" s="1085">
        <v>4234.0</v>
      </c>
      <c r="B3173" s="1086" t="s">
        <v>8489</v>
      </c>
      <c r="C3173" s="1087" t="s">
        <v>1470</v>
      </c>
      <c r="D3173" s="1088">
        <v>21.4</v>
      </c>
      <c r="E3173" s="1089" t="s">
        <v>5452</v>
      </c>
      <c r="F3173" s="1081">
        <f t="shared" si="1"/>
        <v>21.4</v>
      </c>
      <c r="G3173" s="1083">
        <f t="shared" si="2"/>
        <v>0</v>
      </c>
      <c r="H3173" s="1084"/>
    </row>
    <row r="3174" ht="14.25" customHeight="1">
      <c r="A3174" s="1085">
        <v>40987.0</v>
      </c>
      <c r="B3174" s="1086" t="s">
        <v>8490</v>
      </c>
      <c r="C3174" s="1087" t="s">
        <v>5454</v>
      </c>
      <c r="D3174" s="1088">
        <v>3744.99</v>
      </c>
      <c r="E3174" s="1089" t="s">
        <v>5452</v>
      </c>
      <c r="F3174" s="1081">
        <f t="shared" si="1"/>
        <v>3744.99</v>
      </c>
      <c r="G3174" s="1083">
        <f t="shared" si="2"/>
        <v>0</v>
      </c>
      <c r="H3174" s="1084"/>
    </row>
    <row r="3175" ht="14.25" customHeight="1">
      <c r="A3175" s="1085">
        <v>4253.0</v>
      </c>
      <c r="B3175" s="1086" t="s">
        <v>8491</v>
      </c>
      <c r="C3175" s="1087" t="s">
        <v>1470</v>
      </c>
      <c r="D3175" s="1088">
        <v>19.64</v>
      </c>
      <c r="E3175" s="1089" t="s">
        <v>5452</v>
      </c>
      <c r="F3175" s="1081">
        <f t="shared" si="1"/>
        <v>19.64</v>
      </c>
      <c r="G3175" s="1083">
        <f t="shared" si="2"/>
        <v>0</v>
      </c>
      <c r="H3175" s="1084"/>
    </row>
    <row r="3176" ht="14.25" customHeight="1">
      <c r="A3176" s="1085">
        <v>40981.0</v>
      </c>
      <c r="B3176" s="1086" t="s">
        <v>8492</v>
      </c>
      <c r="C3176" s="1087" t="s">
        <v>5454</v>
      </c>
      <c r="D3176" s="1088">
        <v>3440.28</v>
      </c>
      <c r="E3176" s="1089" t="s">
        <v>5452</v>
      </c>
      <c r="F3176" s="1081">
        <f t="shared" si="1"/>
        <v>3440.28</v>
      </c>
      <c r="G3176" s="1083">
        <f t="shared" si="2"/>
        <v>0</v>
      </c>
      <c r="H3176" s="1084"/>
    </row>
    <row r="3177" ht="14.25" customHeight="1">
      <c r="A3177" s="1085">
        <v>4254.0</v>
      </c>
      <c r="B3177" s="1086" t="s">
        <v>8493</v>
      </c>
      <c r="C3177" s="1087" t="s">
        <v>1470</v>
      </c>
      <c r="D3177" s="1088">
        <v>48.45</v>
      </c>
      <c r="E3177" s="1089" t="s">
        <v>5452</v>
      </c>
      <c r="F3177" s="1081">
        <f t="shared" si="1"/>
        <v>48.45</v>
      </c>
      <c r="G3177" s="1083">
        <f t="shared" si="2"/>
        <v>0</v>
      </c>
      <c r="H3177" s="1084"/>
    </row>
    <row r="3178" ht="14.25" customHeight="1">
      <c r="A3178" s="1085">
        <v>41036.0</v>
      </c>
      <c r="B3178" s="1086" t="s">
        <v>8494</v>
      </c>
      <c r="C3178" s="1087" t="s">
        <v>5454</v>
      </c>
      <c r="D3178" s="1088">
        <v>8479.72</v>
      </c>
      <c r="E3178" s="1089" t="s">
        <v>5452</v>
      </c>
      <c r="F3178" s="1081">
        <f t="shared" si="1"/>
        <v>8479.72</v>
      </c>
      <c r="G3178" s="1083">
        <f t="shared" si="2"/>
        <v>0</v>
      </c>
      <c r="H3178" s="1084"/>
    </row>
    <row r="3179" ht="14.25" customHeight="1">
      <c r="A3179" s="1085">
        <v>4251.0</v>
      </c>
      <c r="B3179" s="1086" t="s">
        <v>8495</v>
      </c>
      <c r="C3179" s="1087" t="s">
        <v>1470</v>
      </c>
      <c r="D3179" s="1088">
        <v>19.15</v>
      </c>
      <c r="E3179" s="1089" t="s">
        <v>5452</v>
      </c>
      <c r="F3179" s="1081">
        <f t="shared" si="1"/>
        <v>19.15</v>
      </c>
      <c r="G3179" s="1083">
        <f t="shared" si="2"/>
        <v>0</v>
      </c>
      <c r="H3179" s="1084"/>
    </row>
    <row r="3180" ht="14.25" customHeight="1">
      <c r="A3180" s="1085">
        <v>40979.0</v>
      </c>
      <c r="B3180" s="1086" t="s">
        <v>8496</v>
      </c>
      <c r="C3180" s="1087" t="s">
        <v>5454</v>
      </c>
      <c r="D3180" s="1088">
        <v>3352.62</v>
      </c>
      <c r="E3180" s="1089" t="s">
        <v>5452</v>
      </c>
      <c r="F3180" s="1081">
        <f t="shared" si="1"/>
        <v>3352.62</v>
      </c>
      <c r="G3180" s="1083">
        <f t="shared" si="2"/>
        <v>0</v>
      </c>
      <c r="H3180" s="1084"/>
    </row>
    <row r="3181" ht="14.25" customHeight="1">
      <c r="A3181" s="1085">
        <v>4230.0</v>
      </c>
      <c r="B3181" s="1086" t="s">
        <v>8497</v>
      </c>
      <c r="C3181" s="1087" t="s">
        <v>1470</v>
      </c>
      <c r="D3181" s="1088">
        <v>21.04</v>
      </c>
      <c r="E3181" s="1089" t="s">
        <v>5452</v>
      </c>
      <c r="F3181" s="1081">
        <f t="shared" si="1"/>
        <v>21.04</v>
      </c>
      <c r="G3181" s="1083">
        <f t="shared" si="2"/>
        <v>0</v>
      </c>
      <c r="H3181" s="1084"/>
    </row>
    <row r="3182" ht="14.25" customHeight="1">
      <c r="A3182" s="1085">
        <v>40998.0</v>
      </c>
      <c r="B3182" s="1086" t="s">
        <v>8498</v>
      </c>
      <c r="C3182" s="1087" t="s">
        <v>5454</v>
      </c>
      <c r="D3182" s="1088">
        <v>3683.91</v>
      </c>
      <c r="E3182" s="1089" t="s">
        <v>5452</v>
      </c>
      <c r="F3182" s="1081">
        <f t="shared" si="1"/>
        <v>3683.91</v>
      </c>
      <c r="G3182" s="1083">
        <f t="shared" si="2"/>
        <v>0</v>
      </c>
      <c r="H3182" s="1084"/>
    </row>
    <row r="3183" ht="14.25" customHeight="1">
      <c r="A3183" s="1085">
        <v>4257.0</v>
      </c>
      <c r="B3183" s="1086" t="s">
        <v>8499</v>
      </c>
      <c r="C3183" s="1087" t="s">
        <v>1470</v>
      </c>
      <c r="D3183" s="1088">
        <v>16.93</v>
      </c>
      <c r="E3183" s="1089" t="s">
        <v>5452</v>
      </c>
      <c r="F3183" s="1081">
        <f t="shared" si="1"/>
        <v>16.93</v>
      </c>
      <c r="G3183" s="1083">
        <f t="shared" si="2"/>
        <v>0</v>
      </c>
      <c r="H3183" s="1084"/>
    </row>
    <row r="3184" ht="14.25" customHeight="1">
      <c r="A3184" s="1085">
        <v>40982.0</v>
      </c>
      <c r="B3184" s="1086" t="s">
        <v>8500</v>
      </c>
      <c r="C3184" s="1087" t="s">
        <v>5454</v>
      </c>
      <c r="D3184" s="1088">
        <v>2964.84</v>
      </c>
      <c r="E3184" s="1089" t="s">
        <v>5452</v>
      </c>
      <c r="F3184" s="1081">
        <f t="shared" si="1"/>
        <v>2964.84</v>
      </c>
      <c r="G3184" s="1083">
        <f t="shared" si="2"/>
        <v>0</v>
      </c>
      <c r="H3184" s="1084"/>
    </row>
    <row r="3185" ht="14.25" customHeight="1">
      <c r="A3185" s="1085">
        <v>4240.0</v>
      </c>
      <c r="B3185" s="1086" t="s">
        <v>8501</v>
      </c>
      <c r="C3185" s="1087" t="s">
        <v>1470</v>
      </c>
      <c r="D3185" s="1088">
        <v>19.86</v>
      </c>
      <c r="E3185" s="1089" t="s">
        <v>5452</v>
      </c>
      <c r="F3185" s="1081">
        <f t="shared" si="1"/>
        <v>19.86</v>
      </c>
      <c r="G3185" s="1083">
        <f t="shared" si="2"/>
        <v>0</v>
      </c>
      <c r="H3185" s="1084"/>
    </row>
    <row r="3186" ht="14.25" customHeight="1">
      <c r="A3186" s="1085">
        <v>41026.0</v>
      </c>
      <c r="B3186" s="1086" t="s">
        <v>8502</v>
      </c>
      <c r="C3186" s="1087" t="s">
        <v>5454</v>
      </c>
      <c r="D3186" s="1088">
        <v>3476.93</v>
      </c>
      <c r="E3186" s="1089" t="s">
        <v>5452</v>
      </c>
      <c r="F3186" s="1081">
        <f t="shared" si="1"/>
        <v>3476.93</v>
      </c>
      <c r="G3186" s="1083">
        <f t="shared" si="2"/>
        <v>0</v>
      </c>
      <c r="H3186" s="1084"/>
    </row>
    <row r="3187" ht="14.25" customHeight="1">
      <c r="A3187" s="1085">
        <v>4239.0</v>
      </c>
      <c r="B3187" s="1086" t="s">
        <v>8503</v>
      </c>
      <c r="C3187" s="1087" t="s">
        <v>1470</v>
      </c>
      <c r="D3187" s="1088">
        <v>24.37</v>
      </c>
      <c r="E3187" s="1089" t="s">
        <v>5452</v>
      </c>
      <c r="F3187" s="1081">
        <f t="shared" si="1"/>
        <v>24.37</v>
      </c>
      <c r="G3187" s="1083">
        <f t="shared" si="2"/>
        <v>0</v>
      </c>
      <c r="H3187" s="1084"/>
    </row>
    <row r="3188" ht="14.25" customHeight="1">
      <c r="A3188" s="1085">
        <v>41024.0</v>
      </c>
      <c r="B3188" s="1086" t="s">
        <v>8504</v>
      </c>
      <c r="C3188" s="1087" t="s">
        <v>5454</v>
      </c>
      <c r="D3188" s="1088">
        <v>4265.56</v>
      </c>
      <c r="E3188" s="1089" t="s">
        <v>5452</v>
      </c>
      <c r="F3188" s="1081">
        <f t="shared" si="1"/>
        <v>4265.56</v>
      </c>
      <c r="G3188" s="1083">
        <f t="shared" si="2"/>
        <v>0</v>
      </c>
      <c r="H3188" s="1084"/>
    </row>
    <row r="3189" ht="14.25" customHeight="1">
      <c r="A3189" s="1085">
        <v>4248.0</v>
      </c>
      <c r="B3189" s="1086" t="s">
        <v>8505</v>
      </c>
      <c r="C3189" s="1087" t="s">
        <v>1470</v>
      </c>
      <c r="D3189" s="1088">
        <v>20.14</v>
      </c>
      <c r="E3189" s="1089" t="s">
        <v>5452</v>
      </c>
      <c r="F3189" s="1081">
        <f t="shared" si="1"/>
        <v>20.14</v>
      </c>
      <c r="G3189" s="1083">
        <f t="shared" si="2"/>
        <v>0</v>
      </c>
      <c r="H3189" s="1084"/>
    </row>
    <row r="3190" ht="14.25" customHeight="1">
      <c r="A3190" s="1085">
        <v>41033.0</v>
      </c>
      <c r="B3190" s="1086" t="s">
        <v>8506</v>
      </c>
      <c r="C3190" s="1087" t="s">
        <v>5454</v>
      </c>
      <c r="D3190" s="1088">
        <v>3526.72</v>
      </c>
      <c r="E3190" s="1089" t="s">
        <v>5452</v>
      </c>
      <c r="F3190" s="1081">
        <f t="shared" si="1"/>
        <v>3526.72</v>
      </c>
      <c r="G3190" s="1083">
        <f t="shared" si="2"/>
        <v>0</v>
      </c>
      <c r="H3190" s="1084"/>
    </row>
    <row r="3191" ht="14.25" customHeight="1">
      <c r="A3191" s="1085">
        <v>41040.0</v>
      </c>
      <c r="B3191" s="1086" t="s">
        <v>8507</v>
      </c>
      <c r="C3191" s="1087" t="s">
        <v>5454</v>
      </c>
      <c r="D3191" s="1088">
        <v>3589.59</v>
      </c>
      <c r="E3191" s="1089" t="s">
        <v>5452</v>
      </c>
      <c r="F3191" s="1081">
        <f t="shared" si="1"/>
        <v>3589.59</v>
      </c>
      <c r="G3191" s="1083">
        <f t="shared" si="2"/>
        <v>0</v>
      </c>
      <c r="H3191" s="1084"/>
    </row>
    <row r="3192" ht="14.25" customHeight="1">
      <c r="A3192" s="1085">
        <v>44500.0</v>
      </c>
      <c r="B3192" s="1086" t="s">
        <v>8508</v>
      </c>
      <c r="C3192" s="1087" t="s">
        <v>1470</v>
      </c>
      <c r="D3192" s="1088">
        <v>20.5</v>
      </c>
      <c r="E3192" s="1089" t="s">
        <v>5452</v>
      </c>
      <c r="F3192" s="1081">
        <f t="shared" si="1"/>
        <v>20.5</v>
      </c>
      <c r="G3192" s="1083">
        <f t="shared" si="2"/>
        <v>0</v>
      </c>
      <c r="H3192" s="1084"/>
    </row>
    <row r="3193" ht="14.25" customHeight="1">
      <c r="A3193" s="1085">
        <v>4238.0</v>
      </c>
      <c r="B3193" s="1086" t="s">
        <v>8509</v>
      </c>
      <c r="C3193" s="1087" t="s">
        <v>1470</v>
      </c>
      <c r="D3193" s="1088">
        <v>17.86</v>
      </c>
      <c r="E3193" s="1089" t="s">
        <v>5452</v>
      </c>
      <c r="F3193" s="1081">
        <f t="shared" si="1"/>
        <v>17.86</v>
      </c>
      <c r="G3193" s="1083">
        <f t="shared" si="2"/>
        <v>0</v>
      </c>
      <c r="H3193" s="1084"/>
    </row>
    <row r="3194" ht="14.25" customHeight="1">
      <c r="A3194" s="1085">
        <v>41012.0</v>
      </c>
      <c r="B3194" s="1086" t="s">
        <v>8510</v>
      </c>
      <c r="C3194" s="1087" t="s">
        <v>5454</v>
      </c>
      <c r="D3194" s="1088">
        <v>3129.11</v>
      </c>
      <c r="E3194" s="1089" t="s">
        <v>5452</v>
      </c>
      <c r="F3194" s="1081">
        <f t="shared" si="1"/>
        <v>3129.11</v>
      </c>
      <c r="G3194" s="1083">
        <f t="shared" si="2"/>
        <v>0</v>
      </c>
      <c r="H3194" s="1084"/>
    </row>
    <row r="3195" ht="14.25" customHeight="1">
      <c r="A3195" s="1085">
        <v>4237.0</v>
      </c>
      <c r="B3195" s="1086" t="s">
        <v>8511</v>
      </c>
      <c r="C3195" s="1087" t="s">
        <v>1470</v>
      </c>
      <c r="D3195" s="1088">
        <v>22.56</v>
      </c>
      <c r="E3195" s="1089" t="s">
        <v>5452</v>
      </c>
      <c r="F3195" s="1081">
        <f t="shared" si="1"/>
        <v>22.56</v>
      </c>
      <c r="G3195" s="1083">
        <f t="shared" si="2"/>
        <v>0</v>
      </c>
      <c r="H3195" s="1084"/>
    </row>
    <row r="3196" ht="14.25" customHeight="1">
      <c r="A3196" s="1085">
        <v>41002.0</v>
      </c>
      <c r="B3196" s="1086" t="s">
        <v>8512</v>
      </c>
      <c r="C3196" s="1087" t="s">
        <v>5454</v>
      </c>
      <c r="D3196" s="1088">
        <v>3950.28</v>
      </c>
      <c r="E3196" s="1089" t="s">
        <v>5452</v>
      </c>
      <c r="F3196" s="1081">
        <f t="shared" si="1"/>
        <v>3950.28</v>
      </c>
      <c r="G3196" s="1083">
        <f t="shared" si="2"/>
        <v>0</v>
      </c>
      <c r="H3196" s="1084"/>
    </row>
    <row r="3197" ht="14.25" customHeight="1">
      <c r="A3197" s="1085">
        <v>4233.0</v>
      </c>
      <c r="B3197" s="1086" t="s">
        <v>8513</v>
      </c>
      <c r="C3197" s="1087" t="s">
        <v>1470</v>
      </c>
      <c r="D3197" s="1088">
        <v>17.6</v>
      </c>
      <c r="E3197" s="1089" t="s">
        <v>5452</v>
      </c>
      <c r="F3197" s="1081">
        <f t="shared" si="1"/>
        <v>17.6</v>
      </c>
      <c r="G3197" s="1083">
        <f t="shared" si="2"/>
        <v>0</v>
      </c>
      <c r="H3197" s="1084"/>
    </row>
    <row r="3198" ht="14.25" customHeight="1">
      <c r="A3198" s="1085">
        <v>41001.0</v>
      </c>
      <c r="B3198" s="1086" t="s">
        <v>8514</v>
      </c>
      <c r="C3198" s="1087" t="s">
        <v>5454</v>
      </c>
      <c r="D3198" s="1088">
        <v>3082.63</v>
      </c>
      <c r="E3198" s="1089" t="s">
        <v>5452</v>
      </c>
      <c r="F3198" s="1081">
        <f t="shared" si="1"/>
        <v>3082.63</v>
      </c>
      <c r="G3198" s="1083">
        <f t="shared" si="2"/>
        <v>0</v>
      </c>
      <c r="H3198" s="1084"/>
    </row>
    <row r="3199" ht="14.25" customHeight="1">
      <c r="A3199" s="1085">
        <v>2.0</v>
      </c>
      <c r="B3199" s="1086" t="s">
        <v>8515</v>
      </c>
      <c r="C3199" s="1087" t="s">
        <v>2178</v>
      </c>
      <c r="D3199" s="1088">
        <v>18.5</v>
      </c>
      <c r="E3199" s="1089" t="s">
        <v>5308</v>
      </c>
      <c r="F3199" s="1081">
        <f t="shared" si="1"/>
        <v>0</v>
      </c>
      <c r="G3199" s="1083">
        <f t="shared" si="2"/>
        <v>18.5</v>
      </c>
      <c r="H3199" s="1084"/>
    </row>
    <row r="3200" ht="14.25" customHeight="1">
      <c r="A3200" s="1085">
        <v>36517.0</v>
      </c>
      <c r="B3200" s="1086" t="s">
        <v>8516</v>
      </c>
      <c r="C3200" s="1087" t="s">
        <v>1788</v>
      </c>
      <c r="D3200" s="1088">
        <v>716673.72</v>
      </c>
      <c r="E3200" s="1089" t="s">
        <v>5482</v>
      </c>
      <c r="F3200" s="1081">
        <f t="shared" si="1"/>
        <v>0</v>
      </c>
      <c r="G3200" s="1083">
        <f t="shared" si="2"/>
        <v>716673.72</v>
      </c>
      <c r="H3200" s="1084"/>
    </row>
    <row r="3201" ht="14.25" customHeight="1">
      <c r="A3201" s="1085">
        <v>4262.0</v>
      </c>
      <c r="B3201" s="1086" t="s">
        <v>8517</v>
      </c>
      <c r="C3201" s="1087" t="s">
        <v>1788</v>
      </c>
      <c r="D3201" s="1088">
        <v>807065.0</v>
      </c>
      <c r="E3201" s="1089" t="s">
        <v>5482</v>
      </c>
      <c r="F3201" s="1081">
        <f t="shared" si="1"/>
        <v>0</v>
      </c>
      <c r="G3201" s="1083">
        <f t="shared" si="2"/>
        <v>807065</v>
      </c>
      <c r="H3201" s="1084"/>
    </row>
    <row r="3202" ht="14.25" customHeight="1">
      <c r="A3202" s="1085">
        <v>4263.0</v>
      </c>
      <c r="B3202" s="1086" t="s">
        <v>8518</v>
      </c>
      <c r="C3202" s="1087" t="s">
        <v>1788</v>
      </c>
      <c r="D3202" s="1088">
        <v>1119130.07</v>
      </c>
      <c r="E3202" s="1089" t="s">
        <v>5482</v>
      </c>
      <c r="F3202" s="1081">
        <f t="shared" si="1"/>
        <v>0</v>
      </c>
      <c r="G3202" s="1083">
        <f t="shared" si="2"/>
        <v>1119130.07</v>
      </c>
      <c r="H3202" s="1084"/>
    </row>
    <row r="3203" ht="14.25" customHeight="1">
      <c r="A3203" s="1085">
        <v>36518.0</v>
      </c>
      <c r="B3203" s="1086" t="s">
        <v>8519</v>
      </c>
      <c r="C3203" s="1087" t="s">
        <v>1788</v>
      </c>
      <c r="D3203" s="1088">
        <v>1274086.55</v>
      </c>
      <c r="E3203" s="1089" t="s">
        <v>5482</v>
      </c>
      <c r="F3203" s="1081">
        <f t="shared" si="1"/>
        <v>0</v>
      </c>
      <c r="G3203" s="1083">
        <f t="shared" si="2"/>
        <v>1274086.55</v>
      </c>
      <c r="H3203" s="1084"/>
    </row>
    <row r="3204" ht="14.25" customHeight="1">
      <c r="A3204" s="1085">
        <v>14221.0</v>
      </c>
      <c r="B3204" s="1086" t="s">
        <v>8520</v>
      </c>
      <c r="C3204" s="1087" t="s">
        <v>1788</v>
      </c>
      <c r="D3204" s="1088">
        <v>743575.85</v>
      </c>
      <c r="E3204" s="1089" t="s">
        <v>5482</v>
      </c>
      <c r="F3204" s="1081">
        <f t="shared" si="1"/>
        <v>0</v>
      </c>
      <c r="G3204" s="1083">
        <f t="shared" si="2"/>
        <v>743575.85</v>
      </c>
      <c r="H3204" s="1084"/>
    </row>
    <row r="3205" ht="14.25" customHeight="1">
      <c r="A3205" s="1085">
        <v>38402.0</v>
      </c>
      <c r="B3205" s="1086" t="s">
        <v>8521</v>
      </c>
      <c r="C3205" s="1087" t="s">
        <v>1788</v>
      </c>
      <c r="D3205" s="1088">
        <v>12.08</v>
      </c>
      <c r="E3205" s="1089" t="s">
        <v>5308</v>
      </c>
      <c r="F3205" s="1081">
        <f t="shared" si="1"/>
        <v>0</v>
      </c>
      <c r="G3205" s="1083">
        <f t="shared" si="2"/>
        <v>12.08</v>
      </c>
      <c r="H3205" s="1084"/>
    </row>
    <row r="3206" ht="14.25" customHeight="1">
      <c r="A3206" s="1085">
        <v>3412.0</v>
      </c>
      <c r="B3206" s="1086" t="s">
        <v>8522</v>
      </c>
      <c r="C3206" s="1087" t="s">
        <v>1814</v>
      </c>
      <c r="D3206" s="1088">
        <v>30.34</v>
      </c>
      <c r="E3206" s="1089" t="s">
        <v>5308</v>
      </c>
      <c r="F3206" s="1081">
        <f t="shared" si="1"/>
        <v>0</v>
      </c>
      <c r="G3206" s="1083">
        <f t="shared" si="2"/>
        <v>30.34</v>
      </c>
      <c r="H3206" s="1084"/>
    </row>
    <row r="3207" ht="14.25" customHeight="1">
      <c r="A3207" s="1085">
        <v>3413.0</v>
      </c>
      <c r="B3207" s="1086" t="s">
        <v>8523</v>
      </c>
      <c r="C3207" s="1087" t="s">
        <v>1814</v>
      </c>
      <c r="D3207" s="1088">
        <v>68.3</v>
      </c>
      <c r="E3207" s="1089" t="s">
        <v>5308</v>
      </c>
      <c r="F3207" s="1081">
        <f t="shared" si="1"/>
        <v>0</v>
      </c>
      <c r="G3207" s="1083">
        <f t="shared" si="2"/>
        <v>68.3</v>
      </c>
      <c r="H3207" s="1084"/>
    </row>
    <row r="3208" ht="14.25" customHeight="1">
      <c r="A3208" s="1085">
        <v>39744.0</v>
      </c>
      <c r="B3208" s="1086" t="s">
        <v>8524</v>
      </c>
      <c r="C3208" s="1087" t="s">
        <v>1814</v>
      </c>
      <c r="D3208" s="1088">
        <v>53.04</v>
      </c>
      <c r="E3208" s="1089" t="s">
        <v>5308</v>
      </c>
      <c r="F3208" s="1081">
        <f t="shared" si="1"/>
        <v>0</v>
      </c>
      <c r="G3208" s="1083">
        <f t="shared" si="2"/>
        <v>53.04</v>
      </c>
      <c r="H3208" s="1084"/>
    </row>
    <row r="3209" ht="14.25" customHeight="1">
      <c r="A3209" s="1085">
        <v>39745.0</v>
      </c>
      <c r="B3209" s="1086" t="s">
        <v>8525</v>
      </c>
      <c r="C3209" s="1087" t="s">
        <v>1814</v>
      </c>
      <c r="D3209" s="1088">
        <v>111.94</v>
      </c>
      <c r="E3209" s="1089" t="s">
        <v>5308</v>
      </c>
      <c r="F3209" s="1081">
        <f t="shared" si="1"/>
        <v>0</v>
      </c>
      <c r="G3209" s="1083">
        <f t="shared" si="2"/>
        <v>111.94</v>
      </c>
      <c r="H3209" s="1084"/>
    </row>
    <row r="3210" ht="14.25" customHeight="1">
      <c r="A3210" s="1085">
        <v>39637.0</v>
      </c>
      <c r="B3210" s="1086" t="s">
        <v>8526</v>
      </c>
      <c r="C3210" s="1087" t="s">
        <v>1814</v>
      </c>
      <c r="D3210" s="1088">
        <v>96.25</v>
      </c>
      <c r="E3210" s="1089" t="s">
        <v>5308</v>
      </c>
      <c r="F3210" s="1081">
        <f t="shared" si="1"/>
        <v>0</v>
      </c>
      <c r="G3210" s="1083">
        <f t="shared" si="2"/>
        <v>96.25</v>
      </c>
      <c r="H3210" s="1084"/>
    </row>
    <row r="3211" ht="14.25" customHeight="1">
      <c r="A3211" s="1085">
        <v>39638.0</v>
      </c>
      <c r="B3211" s="1086" t="s">
        <v>8527</v>
      </c>
      <c r="C3211" s="1087" t="s">
        <v>1814</v>
      </c>
      <c r="D3211" s="1088">
        <v>108.91</v>
      </c>
      <c r="E3211" s="1089" t="s">
        <v>5308</v>
      </c>
      <c r="F3211" s="1081">
        <f t="shared" si="1"/>
        <v>0</v>
      </c>
      <c r="G3211" s="1083">
        <f t="shared" si="2"/>
        <v>108.91</v>
      </c>
      <c r="H3211" s="1084"/>
    </row>
    <row r="3212" ht="14.25" customHeight="1">
      <c r="A3212" s="1085">
        <v>39639.0</v>
      </c>
      <c r="B3212" s="1086" t="s">
        <v>8528</v>
      </c>
      <c r="C3212" s="1087" t="s">
        <v>1814</v>
      </c>
      <c r="D3212" s="1088">
        <v>164.32</v>
      </c>
      <c r="E3212" s="1089" t="s">
        <v>5308</v>
      </c>
      <c r="F3212" s="1081">
        <f t="shared" si="1"/>
        <v>0</v>
      </c>
      <c r="G3212" s="1083">
        <f t="shared" si="2"/>
        <v>164.32</v>
      </c>
      <c r="H3212" s="1084"/>
    </row>
    <row r="3213" ht="14.25" customHeight="1">
      <c r="A3213" s="1085">
        <v>39517.0</v>
      </c>
      <c r="B3213" s="1086" t="s">
        <v>8529</v>
      </c>
      <c r="C3213" s="1087" t="s">
        <v>1814</v>
      </c>
      <c r="D3213" s="1088">
        <v>253.62</v>
      </c>
      <c r="E3213" s="1089" t="s">
        <v>5308</v>
      </c>
      <c r="F3213" s="1081">
        <f t="shared" si="1"/>
        <v>0</v>
      </c>
      <c r="G3213" s="1083">
        <f t="shared" si="2"/>
        <v>253.62</v>
      </c>
      <c r="H3213" s="1084"/>
    </row>
    <row r="3214" ht="14.25" customHeight="1">
      <c r="A3214" s="1085">
        <v>39518.0</v>
      </c>
      <c r="B3214" s="1086" t="s">
        <v>8530</v>
      </c>
      <c r="C3214" s="1087" t="s">
        <v>1814</v>
      </c>
      <c r="D3214" s="1088">
        <v>300.68</v>
      </c>
      <c r="E3214" s="1089" t="s">
        <v>5308</v>
      </c>
      <c r="F3214" s="1081">
        <f t="shared" si="1"/>
        <v>0</v>
      </c>
      <c r="G3214" s="1083">
        <f t="shared" si="2"/>
        <v>300.68</v>
      </c>
      <c r="H3214" s="1084"/>
    </row>
    <row r="3215" ht="14.25" customHeight="1">
      <c r="A3215" s="1085">
        <v>38366.0</v>
      </c>
      <c r="B3215" s="1086" t="s">
        <v>8531</v>
      </c>
      <c r="C3215" s="1087" t="s">
        <v>1814</v>
      </c>
      <c r="D3215" s="1088">
        <v>5.88</v>
      </c>
      <c r="E3215" s="1089" t="s">
        <v>5308</v>
      </c>
      <c r="F3215" s="1081">
        <f t="shared" si="1"/>
        <v>0</v>
      </c>
      <c r="G3215" s="1083">
        <f t="shared" si="2"/>
        <v>5.88</v>
      </c>
      <c r="H3215" s="1084"/>
    </row>
    <row r="3216" ht="14.25" customHeight="1">
      <c r="A3216" s="1085">
        <v>11703.0</v>
      </c>
      <c r="B3216" s="1086" t="s">
        <v>8532</v>
      </c>
      <c r="C3216" s="1087" t="s">
        <v>1788</v>
      </c>
      <c r="D3216" s="1088">
        <v>75.81</v>
      </c>
      <c r="E3216" s="1089" t="s">
        <v>5308</v>
      </c>
      <c r="F3216" s="1081">
        <f t="shared" si="1"/>
        <v>0</v>
      </c>
      <c r="G3216" s="1083">
        <f t="shared" si="2"/>
        <v>75.81</v>
      </c>
      <c r="H3216" s="1084"/>
    </row>
    <row r="3217" ht="14.25" customHeight="1">
      <c r="A3217" s="1085">
        <v>37400.0</v>
      </c>
      <c r="B3217" s="1086" t="s">
        <v>8533</v>
      </c>
      <c r="C3217" s="1087" t="s">
        <v>1788</v>
      </c>
      <c r="D3217" s="1088">
        <v>46.74</v>
      </c>
      <c r="E3217" s="1089" t="s">
        <v>5308</v>
      </c>
      <c r="F3217" s="1081">
        <f t="shared" si="1"/>
        <v>0</v>
      </c>
      <c r="G3217" s="1083">
        <f t="shared" si="2"/>
        <v>46.74</v>
      </c>
      <c r="H3217" s="1084"/>
    </row>
    <row r="3218" ht="14.25" customHeight="1">
      <c r="A3218" s="1085">
        <v>25400.0</v>
      </c>
      <c r="B3218" s="1086" t="s">
        <v>8534</v>
      </c>
      <c r="C3218" s="1087" t="s">
        <v>1788</v>
      </c>
      <c r="D3218" s="1088">
        <v>2683.36</v>
      </c>
      <c r="E3218" s="1089" t="s">
        <v>5308</v>
      </c>
      <c r="F3218" s="1081">
        <f t="shared" si="1"/>
        <v>0</v>
      </c>
      <c r="G3218" s="1083">
        <f t="shared" si="2"/>
        <v>2683.36</v>
      </c>
      <c r="H3218" s="1084"/>
    </row>
    <row r="3219" ht="14.25" customHeight="1">
      <c r="A3219" s="1085">
        <v>4276.0</v>
      </c>
      <c r="B3219" s="1086" t="s">
        <v>8535</v>
      </c>
      <c r="C3219" s="1087" t="s">
        <v>1788</v>
      </c>
      <c r="D3219" s="1088">
        <v>186.68</v>
      </c>
      <c r="E3219" s="1089" t="s">
        <v>5308</v>
      </c>
      <c r="F3219" s="1081">
        <f t="shared" si="1"/>
        <v>0</v>
      </c>
      <c r="G3219" s="1083">
        <f t="shared" si="2"/>
        <v>186.68</v>
      </c>
      <c r="H3219" s="1084"/>
    </row>
    <row r="3220" ht="14.25" customHeight="1">
      <c r="A3220" s="1085">
        <v>4273.0</v>
      </c>
      <c r="B3220" s="1086" t="s">
        <v>8536</v>
      </c>
      <c r="C3220" s="1087" t="s">
        <v>1788</v>
      </c>
      <c r="D3220" s="1088">
        <v>338.94</v>
      </c>
      <c r="E3220" s="1089" t="s">
        <v>5308</v>
      </c>
      <c r="F3220" s="1081">
        <f t="shared" si="1"/>
        <v>0</v>
      </c>
      <c r="G3220" s="1083">
        <f t="shared" si="2"/>
        <v>338.94</v>
      </c>
      <c r="H3220" s="1084"/>
    </row>
    <row r="3221" ht="14.25" customHeight="1">
      <c r="A3221" s="1085">
        <v>4274.0</v>
      </c>
      <c r="B3221" s="1086" t="s">
        <v>8537</v>
      </c>
      <c r="C3221" s="1087" t="s">
        <v>1788</v>
      </c>
      <c r="D3221" s="1088">
        <v>124.0</v>
      </c>
      <c r="E3221" s="1089" t="s">
        <v>5308</v>
      </c>
      <c r="F3221" s="1081">
        <f t="shared" si="1"/>
        <v>0</v>
      </c>
      <c r="G3221" s="1083">
        <f t="shared" si="2"/>
        <v>124</v>
      </c>
      <c r="H3221" s="1084"/>
    </row>
    <row r="3222" ht="14.25" customHeight="1">
      <c r="A3222" s="1085">
        <v>39438.0</v>
      </c>
      <c r="B3222" s="1086" t="s">
        <v>8538</v>
      </c>
      <c r="C3222" s="1087" t="s">
        <v>1788</v>
      </c>
      <c r="D3222" s="1088">
        <v>0.29</v>
      </c>
      <c r="E3222" s="1089" t="s">
        <v>5308</v>
      </c>
      <c r="F3222" s="1081">
        <f t="shared" si="1"/>
        <v>0</v>
      </c>
      <c r="G3222" s="1083">
        <f t="shared" si="2"/>
        <v>0.29</v>
      </c>
      <c r="H3222" s="1084"/>
    </row>
    <row r="3223" ht="14.25" customHeight="1">
      <c r="A3223" s="1085">
        <v>11963.0</v>
      </c>
      <c r="B3223" s="1086" t="s">
        <v>8539</v>
      </c>
      <c r="C3223" s="1087" t="s">
        <v>1788</v>
      </c>
      <c r="D3223" s="1088">
        <v>10.49</v>
      </c>
      <c r="E3223" s="1089" t="s">
        <v>5308</v>
      </c>
      <c r="F3223" s="1081">
        <f t="shared" si="1"/>
        <v>0</v>
      </c>
      <c r="G3223" s="1083">
        <f t="shared" si="2"/>
        <v>10.49</v>
      </c>
      <c r="H3223" s="1084"/>
    </row>
    <row r="3224" ht="14.25" customHeight="1">
      <c r="A3224" s="1085">
        <v>11964.0</v>
      </c>
      <c r="B3224" s="1086" t="s">
        <v>8540</v>
      </c>
      <c r="C3224" s="1087" t="s">
        <v>1788</v>
      </c>
      <c r="D3224" s="1088">
        <v>2.65</v>
      </c>
      <c r="E3224" s="1089" t="s">
        <v>5308</v>
      </c>
      <c r="F3224" s="1081">
        <f t="shared" si="1"/>
        <v>0</v>
      </c>
      <c r="G3224" s="1083">
        <f t="shared" si="2"/>
        <v>2.65</v>
      </c>
      <c r="H3224" s="1084"/>
    </row>
    <row r="3225" ht="14.25" customHeight="1">
      <c r="A3225" s="1085">
        <v>4379.0</v>
      </c>
      <c r="B3225" s="1086" t="s">
        <v>8541</v>
      </c>
      <c r="C3225" s="1087" t="s">
        <v>1788</v>
      </c>
      <c r="D3225" s="1088">
        <v>0.05</v>
      </c>
      <c r="E3225" s="1089" t="s">
        <v>5308</v>
      </c>
      <c r="F3225" s="1081">
        <f t="shared" si="1"/>
        <v>0</v>
      </c>
      <c r="G3225" s="1083">
        <f t="shared" si="2"/>
        <v>0.05</v>
      </c>
      <c r="H3225" s="1084"/>
    </row>
    <row r="3226" ht="14.25" customHeight="1">
      <c r="A3226" s="1085">
        <v>4377.0</v>
      </c>
      <c r="B3226" s="1086" t="s">
        <v>8542</v>
      </c>
      <c r="C3226" s="1087" t="s">
        <v>1788</v>
      </c>
      <c r="D3226" s="1088">
        <v>0.2</v>
      </c>
      <c r="E3226" s="1089" t="s">
        <v>5308</v>
      </c>
      <c r="F3226" s="1081">
        <f t="shared" si="1"/>
        <v>0</v>
      </c>
      <c r="G3226" s="1083">
        <f t="shared" si="2"/>
        <v>0.2</v>
      </c>
      <c r="H3226" s="1084"/>
    </row>
    <row r="3227" ht="14.25" customHeight="1">
      <c r="A3227" s="1085">
        <v>4356.0</v>
      </c>
      <c r="B3227" s="1086" t="s">
        <v>8543</v>
      </c>
      <c r="C3227" s="1087" t="s">
        <v>1788</v>
      </c>
      <c r="D3227" s="1088">
        <v>0.29</v>
      </c>
      <c r="E3227" s="1089" t="s">
        <v>5308</v>
      </c>
      <c r="F3227" s="1081">
        <f t="shared" si="1"/>
        <v>0</v>
      </c>
      <c r="G3227" s="1083">
        <f t="shared" si="2"/>
        <v>0.29</v>
      </c>
      <c r="H3227" s="1084"/>
    </row>
    <row r="3228" ht="14.25" customHeight="1">
      <c r="A3228" s="1085">
        <v>13246.0</v>
      </c>
      <c r="B3228" s="1086" t="s">
        <v>8544</v>
      </c>
      <c r="C3228" s="1087" t="s">
        <v>1788</v>
      </c>
      <c r="D3228" s="1088">
        <v>0.5</v>
      </c>
      <c r="E3228" s="1089" t="s">
        <v>5308</v>
      </c>
      <c r="F3228" s="1081">
        <f t="shared" si="1"/>
        <v>0</v>
      </c>
      <c r="G3228" s="1083">
        <f t="shared" si="2"/>
        <v>0.5</v>
      </c>
      <c r="H3228" s="1084"/>
    </row>
    <row r="3229" ht="14.25" customHeight="1">
      <c r="A3229" s="1085">
        <v>4346.0</v>
      </c>
      <c r="B3229" s="1086" t="s">
        <v>8545</v>
      </c>
      <c r="C3229" s="1087" t="s">
        <v>1788</v>
      </c>
      <c r="D3229" s="1088">
        <v>11.24</v>
      </c>
      <c r="E3229" s="1089" t="s">
        <v>5308</v>
      </c>
      <c r="F3229" s="1081">
        <f t="shared" si="1"/>
        <v>0</v>
      </c>
      <c r="G3229" s="1083">
        <f t="shared" si="2"/>
        <v>11.24</v>
      </c>
      <c r="H3229" s="1084"/>
    </row>
    <row r="3230" ht="14.25" customHeight="1">
      <c r="A3230" s="1085">
        <v>11955.0</v>
      </c>
      <c r="B3230" s="1086" t="s">
        <v>8546</v>
      </c>
      <c r="C3230" s="1087" t="s">
        <v>1788</v>
      </c>
      <c r="D3230" s="1088">
        <v>4.92</v>
      </c>
      <c r="E3230" s="1089" t="s">
        <v>5308</v>
      </c>
      <c r="F3230" s="1081">
        <f t="shared" si="1"/>
        <v>0</v>
      </c>
      <c r="G3230" s="1083">
        <f t="shared" si="2"/>
        <v>4.92</v>
      </c>
      <c r="H3230" s="1084"/>
    </row>
    <row r="3231" ht="14.25" customHeight="1">
      <c r="A3231" s="1085">
        <v>11960.0</v>
      </c>
      <c r="B3231" s="1086" t="s">
        <v>8547</v>
      </c>
      <c r="C3231" s="1087" t="s">
        <v>1788</v>
      </c>
      <c r="D3231" s="1088">
        <v>0.16</v>
      </c>
      <c r="E3231" s="1089" t="s">
        <v>5308</v>
      </c>
      <c r="F3231" s="1081">
        <f t="shared" si="1"/>
        <v>0</v>
      </c>
      <c r="G3231" s="1083">
        <f t="shared" si="2"/>
        <v>0.16</v>
      </c>
      <c r="H3231" s="1084"/>
    </row>
    <row r="3232" ht="14.25" customHeight="1">
      <c r="A3232" s="1085">
        <v>4333.0</v>
      </c>
      <c r="B3232" s="1086" t="s">
        <v>8548</v>
      </c>
      <c r="C3232" s="1087" t="s">
        <v>1788</v>
      </c>
      <c r="D3232" s="1088">
        <v>0.29</v>
      </c>
      <c r="E3232" s="1089" t="s">
        <v>5308</v>
      </c>
      <c r="F3232" s="1081">
        <f t="shared" si="1"/>
        <v>0</v>
      </c>
      <c r="G3232" s="1083">
        <f t="shared" si="2"/>
        <v>0.29</v>
      </c>
      <c r="H3232" s="1084"/>
    </row>
    <row r="3233" ht="14.25" customHeight="1">
      <c r="A3233" s="1085">
        <v>4358.0</v>
      </c>
      <c r="B3233" s="1086" t="s">
        <v>8549</v>
      </c>
      <c r="C3233" s="1087" t="s">
        <v>1788</v>
      </c>
      <c r="D3233" s="1088">
        <v>2.25</v>
      </c>
      <c r="E3233" s="1089" t="s">
        <v>5308</v>
      </c>
      <c r="F3233" s="1081">
        <f t="shared" si="1"/>
        <v>0</v>
      </c>
      <c r="G3233" s="1083">
        <f t="shared" si="2"/>
        <v>2.25</v>
      </c>
      <c r="H3233" s="1084"/>
    </row>
    <row r="3234" ht="14.25" customHeight="1">
      <c r="A3234" s="1085">
        <v>39435.0</v>
      </c>
      <c r="B3234" s="1086" t="s">
        <v>8550</v>
      </c>
      <c r="C3234" s="1087" t="s">
        <v>1788</v>
      </c>
      <c r="D3234" s="1088">
        <v>0.11</v>
      </c>
      <c r="E3234" s="1089" t="s">
        <v>5308</v>
      </c>
      <c r="F3234" s="1081">
        <f t="shared" si="1"/>
        <v>0</v>
      </c>
      <c r="G3234" s="1083">
        <f t="shared" si="2"/>
        <v>0.11</v>
      </c>
      <c r="H3234" s="1084"/>
    </row>
    <row r="3235" ht="14.25" customHeight="1">
      <c r="A3235" s="1085">
        <v>39436.0</v>
      </c>
      <c r="B3235" s="1086" t="s">
        <v>8551</v>
      </c>
      <c r="C3235" s="1087" t="s">
        <v>1788</v>
      </c>
      <c r="D3235" s="1088">
        <v>0.19</v>
      </c>
      <c r="E3235" s="1089" t="s">
        <v>5308</v>
      </c>
      <c r="F3235" s="1081">
        <f t="shared" si="1"/>
        <v>0</v>
      </c>
      <c r="G3235" s="1083">
        <f t="shared" si="2"/>
        <v>0.19</v>
      </c>
      <c r="H3235" s="1084"/>
    </row>
    <row r="3236" ht="14.25" customHeight="1">
      <c r="A3236" s="1085">
        <v>39437.0</v>
      </c>
      <c r="B3236" s="1086" t="s">
        <v>8552</v>
      </c>
      <c r="C3236" s="1087" t="s">
        <v>1788</v>
      </c>
      <c r="D3236" s="1088">
        <v>0.25</v>
      </c>
      <c r="E3236" s="1089" t="s">
        <v>5308</v>
      </c>
      <c r="F3236" s="1081">
        <f t="shared" si="1"/>
        <v>0</v>
      </c>
      <c r="G3236" s="1083">
        <f t="shared" si="2"/>
        <v>0.25</v>
      </c>
      <c r="H3236" s="1084"/>
    </row>
    <row r="3237" ht="14.25" customHeight="1">
      <c r="A3237" s="1085">
        <v>39439.0</v>
      </c>
      <c r="B3237" s="1086" t="s">
        <v>8553</v>
      </c>
      <c r="C3237" s="1087" t="s">
        <v>1788</v>
      </c>
      <c r="D3237" s="1088">
        <v>0.17</v>
      </c>
      <c r="E3237" s="1089" t="s">
        <v>5308</v>
      </c>
      <c r="F3237" s="1081">
        <f t="shared" si="1"/>
        <v>0</v>
      </c>
      <c r="G3237" s="1083">
        <f t="shared" si="2"/>
        <v>0.17</v>
      </c>
      <c r="H3237" s="1084"/>
    </row>
    <row r="3238" ht="14.25" customHeight="1">
      <c r="A3238" s="1085">
        <v>39440.0</v>
      </c>
      <c r="B3238" s="1086" t="s">
        <v>8554</v>
      </c>
      <c r="C3238" s="1087" t="s">
        <v>1788</v>
      </c>
      <c r="D3238" s="1088">
        <v>0.22</v>
      </c>
      <c r="E3238" s="1089" t="s">
        <v>5308</v>
      </c>
      <c r="F3238" s="1081">
        <f t="shared" si="1"/>
        <v>0</v>
      </c>
      <c r="G3238" s="1083">
        <f t="shared" si="2"/>
        <v>0.22</v>
      </c>
      <c r="H3238" s="1084"/>
    </row>
    <row r="3239" ht="14.25" customHeight="1">
      <c r="A3239" s="1085">
        <v>39441.0</v>
      </c>
      <c r="B3239" s="1086" t="s">
        <v>8555</v>
      </c>
      <c r="C3239" s="1087" t="s">
        <v>1788</v>
      </c>
      <c r="D3239" s="1088">
        <v>0.28</v>
      </c>
      <c r="E3239" s="1089" t="s">
        <v>5308</v>
      </c>
      <c r="F3239" s="1081">
        <f t="shared" si="1"/>
        <v>0</v>
      </c>
      <c r="G3239" s="1083">
        <f t="shared" si="2"/>
        <v>0.28</v>
      </c>
      <c r="H3239" s="1084"/>
    </row>
    <row r="3240" ht="14.25" customHeight="1">
      <c r="A3240" s="1085">
        <v>39442.0</v>
      </c>
      <c r="B3240" s="1086" t="s">
        <v>8556</v>
      </c>
      <c r="C3240" s="1087" t="s">
        <v>1788</v>
      </c>
      <c r="D3240" s="1088">
        <v>0.2</v>
      </c>
      <c r="E3240" s="1089" t="s">
        <v>5308</v>
      </c>
      <c r="F3240" s="1081">
        <f t="shared" si="1"/>
        <v>0</v>
      </c>
      <c r="G3240" s="1083">
        <f t="shared" si="2"/>
        <v>0.2</v>
      </c>
      <c r="H3240" s="1084"/>
    </row>
    <row r="3241" ht="14.25" customHeight="1">
      <c r="A3241" s="1085">
        <v>39443.0</v>
      </c>
      <c r="B3241" s="1086" t="s">
        <v>8557</v>
      </c>
      <c r="C3241" s="1087" t="s">
        <v>1788</v>
      </c>
      <c r="D3241" s="1088">
        <v>0.27</v>
      </c>
      <c r="E3241" s="1089" t="s">
        <v>5308</v>
      </c>
      <c r="F3241" s="1081">
        <f t="shared" si="1"/>
        <v>0</v>
      </c>
      <c r="G3241" s="1083">
        <f t="shared" si="2"/>
        <v>0.27</v>
      </c>
      <c r="H3241" s="1084"/>
    </row>
    <row r="3242" ht="14.25" customHeight="1">
      <c r="A3242" s="1085">
        <v>4329.0</v>
      </c>
      <c r="B3242" s="1086" t="s">
        <v>8558</v>
      </c>
      <c r="C3242" s="1087" t="s">
        <v>1788</v>
      </c>
      <c r="D3242" s="1088">
        <v>2.4</v>
      </c>
      <c r="E3242" s="1089" t="s">
        <v>5308</v>
      </c>
      <c r="F3242" s="1081">
        <f t="shared" si="1"/>
        <v>0</v>
      </c>
      <c r="G3242" s="1083">
        <f t="shared" si="2"/>
        <v>2.4</v>
      </c>
      <c r="H3242" s="1084"/>
    </row>
    <row r="3243" ht="14.25" customHeight="1">
      <c r="A3243" s="1085">
        <v>4383.0</v>
      </c>
      <c r="B3243" s="1086" t="s">
        <v>8559</v>
      </c>
      <c r="C3243" s="1087" t="s">
        <v>1788</v>
      </c>
      <c r="D3243" s="1088">
        <v>21.7</v>
      </c>
      <c r="E3243" s="1089" t="s">
        <v>5308</v>
      </c>
      <c r="F3243" s="1081">
        <f t="shared" si="1"/>
        <v>0</v>
      </c>
      <c r="G3243" s="1083">
        <f t="shared" si="2"/>
        <v>21.7</v>
      </c>
      <c r="H3243" s="1084"/>
    </row>
    <row r="3244" ht="14.25" customHeight="1">
      <c r="A3244" s="1085">
        <v>4344.0</v>
      </c>
      <c r="B3244" s="1086" t="s">
        <v>8560</v>
      </c>
      <c r="C3244" s="1087" t="s">
        <v>1788</v>
      </c>
      <c r="D3244" s="1088">
        <v>22.74</v>
      </c>
      <c r="E3244" s="1089" t="s">
        <v>5308</v>
      </c>
      <c r="F3244" s="1081">
        <f t="shared" si="1"/>
        <v>0</v>
      </c>
      <c r="G3244" s="1083">
        <f t="shared" si="2"/>
        <v>22.74</v>
      </c>
      <c r="H3244" s="1084"/>
    </row>
    <row r="3245" ht="14.25" customHeight="1">
      <c r="A3245" s="1085">
        <v>436.0</v>
      </c>
      <c r="B3245" s="1086" t="s">
        <v>8561</v>
      </c>
      <c r="C3245" s="1087" t="s">
        <v>1788</v>
      </c>
      <c r="D3245" s="1088">
        <v>13.25</v>
      </c>
      <c r="E3245" s="1089" t="s">
        <v>5308</v>
      </c>
      <c r="F3245" s="1081">
        <f t="shared" si="1"/>
        <v>0</v>
      </c>
      <c r="G3245" s="1083">
        <f t="shared" si="2"/>
        <v>13.25</v>
      </c>
      <c r="H3245" s="1084"/>
    </row>
    <row r="3246" ht="14.25" customHeight="1">
      <c r="A3246" s="1085">
        <v>442.0</v>
      </c>
      <c r="B3246" s="1086" t="s">
        <v>8562</v>
      </c>
      <c r="C3246" s="1087" t="s">
        <v>1788</v>
      </c>
      <c r="D3246" s="1088">
        <v>7.83</v>
      </c>
      <c r="E3246" s="1089" t="s">
        <v>5308</v>
      </c>
      <c r="F3246" s="1081">
        <f t="shared" si="1"/>
        <v>0</v>
      </c>
      <c r="G3246" s="1083">
        <f t="shared" si="2"/>
        <v>7.83</v>
      </c>
      <c r="H3246" s="1084"/>
    </row>
    <row r="3247" ht="14.25" customHeight="1">
      <c r="A3247" s="1085">
        <v>11953.0</v>
      </c>
      <c r="B3247" s="1086" t="s">
        <v>8563</v>
      </c>
      <c r="C3247" s="1087" t="s">
        <v>1788</v>
      </c>
      <c r="D3247" s="1088">
        <v>3.61</v>
      </c>
      <c r="E3247" s="1089" t="s">
        <v>5308</v>
      </c>
      <c r="F3247" s="1081">
        <f t="shared" si="1"/>
        <v>0</v>
      </c>
      <c r="G3247" s="1083">
        <f t="shared" si="2"/>
        <v>3.61</v>
      </c>
      <c r="H3247" s="1084"/>
    </row>
    <row r="3248" ht="14.25" customHeight="1">
      <c r="A3248" s="1085">
        <v>4335.0</v>
      </c>
      <c r="B3248" s="1086" t="s">
        <v>8564</v>
      </c>
      <c r="C3248" s="1087" t="s">
        <v>1788</v>
      </c>
      <c r="D3248" s="1088">
        <v>15.27</v>
      </c>
      <c r="E3248" s="1089" t="s">
        <v>5308</v>
      </c>
      <c r="F3248" s="1081">
        <f t="shared" si="1"/>
        <v>0</v>
      </c>
      <c r="G3248" s="1083">
        <f t="shared" si="2"/>
        <v>15.27</v>
      </c>
      <c r="H3248" s="1084"/>
    </row>
    <row r="3249" ht="14.25" customHeight="1">
      <c r="A3249" s="1085">
        <v>4334.0</v>
      </c>
      <c r="B3249" s="1086" t="s">
        <v>8565</v>
      </c>
      <c r="C3249" s="1087" t="s">
        <v>1788</v>
      </c>
      <c r="D3249" s="1088">
        <v>20.95</v>
      </c>
      <c r="E3249" s="1089" t="s">
        <v>5308</v>
      </c>
      <c r="F3249" s="1081">
        <f t="shared" si="1"/>
        <v>0</v>
      </c>
      <c r="G3249" s="1083">
        <f t="shared" si="2"/>
        <v>20.95</v>
      </c>
      <c r="H3249" s="1084"/>
    </row>
    <row r="3250" ht="14.25" customHeight="1">
      <c r="A3250" s="1085">
        <v>4343.0</v>
      </c>
      <c r="B3250" s="1086" t="s">
        <v>8566</v>
      </c>
      <c r="C3250" s="1087" t="s">
        <v>1788</v>
      </c>
      <c r="D3250" s="1088">
        <v>5.15</v>
      </c>
      <c r="E3250" s="1089" t="s">
        <v>5308</v>
      </c>
      <c r="F3250" s="1081">
        <f t="shared" si="1"/>
        <v>0</v>
      </c>
      <c r="G3250" s="1083">
        <f t="shared" si="2"/>
        <v>5.15</v>
      </c>
      <c r="H3250" s="1084"/>
    </row>
    <row r="3251" ht="14.25" customHeight="1">
      <c r="A3251" s="1085">
        <v>430.0</v>
      </c>
      <c r="B3251" s="1086" t="s">
        <v>8567</v>
      </c>
      <c r="C3251" s="1087" t="s">
        <v>1788</v>
      </c>
      <c r="D3251" s="1088">
        <v>11.85</v>
      </c>
      <c r="E3251" s="1089" t="s">
        <v>5308</v>
      </c>
      <c r="F3251" s="1081">
        <f t="shared" si="1"/>
        <v>0</v>
      </c>
      <c r="G3251" s="1083">
        <f t="shared" si="2"/>
        <v>11.85</v>
      </c>
      <c r="H3251" s="1084"/>
    </row>
    <row r="3252" ht="14.25" customHeight="1">
      <c r="A3252" s="1085">
        <v>441.0</v>
      </c>
      <c r="B3252" s="1086" t="s">
        <v>8568</v>
      </c>
      <c r="C3252" s="1087" t="s">
        <v>1788</v>
      </c>
      <c r="D3252" s="1088">
        <v>13.05</v>
      </c>
      <c r="E3252" s="1089" t="s">
        <v>5308</v>
      </c>
      <c r="F3252" s="1081">
        <f t="shared" si="1"/>
        <v>0</v>
      </c>
      <c r="G3252" s="1083">
        <f t="shared" si="2"/>
        <v>13.05</v>
      </c>
      <c r="H3252" s="1084"/>
    </row>
    <row r="3253" ht="14.25" customHeight="1">
      <c r="A3253" s="1085">
        <v>431.0</v>
      </c>
      <c r="B3253" s="1086" t="s">
        <v>8569</v>
      </c>
      <c r="C3253" s="1087" t="s">
        <v>1788</v>
      </c>
      <c r="D3253" s="1088">
        <v>15.75</v>
      </c>
      <c r="E3253" s="1089" t="s">
        <v>5308</v>
      </c>
      <c r="F3253" s="1081">
        <f t="shared" si="1"/>
        <v>0</v>
      </c>
      <c r="G3253" s="1083">
        <f t="shared" si="2"/>
        <v>15.75</v>
      </c>
      <c r="H3253" s="1084"/>
    </row>
    <row r="3254" ht="14.25" customHeight="1">
      <c r="A3254" s="1085">
        <v>432.0</v>
      </c>
      <c r="B3254" s="1086" t="s">
        <v>8570</v>
      </c>
      <c r="C3254" s="1087" t="s">
        <v>1788</v>
      </c>
      <c r="D3254" s="1088">
        <v>17.38</v>
      </c>
      <c r="E3254" s="1089" t="s">
        <v>5308</v>
      </c>
      <c r="F3254" s="1081">
        <f t="shared" si="1"/>
        <v>0</v>
      </c>
      <c r="G3254" s="1083">
        <f t="shared" si="2"/>
        <v>17.38</v>
      </c>
      <c r="H3254" s="1084"/>
    </row>
    <row r="3255" ht="14.25" customHeight="1">
      <c r="A3255" s="1085">
        <v>429.0</v>
      </c>
      <c r="B3255" s="1086" t="s">
        <v>8571</v>
      </c>
      <c r="C3255" s="1087" t="s">
        <v>1788</v>
      </c>
      <c r="D3255" s="1088">
        <v>23.43</v>
      </c>
      <c r="E3255" s="1089" t="s">
        <v>5308</v>
      </c>
      <c r="F3255" s="1081">
        <f t="shared" si="1"/>
        <v>0</v>
      </c>
      <c r="G3255" s="1083">
        <f t="shared" si="2"/>
        <v>23.43</v>
      </c>
      <c r="H3255" s="1084"/>
    </row>
    <row r="3256" ht="14.25" customHeight="1">
      <c r="A3256" s="1085">
        <v>439.0</v>
      </c>
      <c r="B3256" s="1086" t="s">
        <v>8572</v>
      </c>
      <c r="C3256" s="1087" t="s">
        <v>1788</v>
      </c>
      <c r="D3256" s="1088">
        <v>19.97</v>
      </c>
      <c r="E3256" s="1089" t="s">
        <v>5308</v>
      </c>
      <c r="F3256" s="1081">
        <f t="shared" si="1"/>
        <v>0</v>
      </c>
      <c r="G3256" s="1083">
        <f t="shared" si="2"/>
        <v>19.97</v>
      </c>
      <c r="H3256" s="1084"/>
    </row>
    <row r="3257" ht="14.25" customHeight="1">
      <c r="A3257" s="1085">
        <v>433.0</v>
      </c>
      <c r="B3257" s="1086" t="s">
        <v>8573</v>
      </c>
      <c r="C3257" s="1087" t="s">
        <v>1788</v>
      </c>
      <c r="D3257" s="1088">
        <v>23.31</v>
      </c>
      <c r="E3257" s="1089" t="s">
        <v>5308</v>
      </c>
      <c r="F3257" s="1081">
        <f t="shared" si="1"/>
        <v>0</v>
      </c>
      <c r="G3257" s="1083">
        <f t="shared" si="2"/>
        <v>23.31</v>
      </c>
      <c r="H3257" s="1084"/>
    </row>
    <row r="3258" ht="14.25" customHeight="1">
      <c r="A3258" s="1085">
        <v>437.0</v>
      </c>
      <c r="B3258" s="1086" t="s">
        <v>8574</v>
      </c>
      <c r="C3258" s="1087" t="s">
        <v>1788</v>
      </c>
      <c r="D3258" s="1088">
        <v>30.97</v>
      </c>
      <c r="E3258" s="1089" t="s">
        <v>5308</v>
      </c>
      <c r="F3258" s="1081">
        <f t="shared" si="1"/>
        <v>0</v>
      </c>
      <c r="G3258" s="1083">
        <f t="shared" si="2"/>
        <v>30.97</v>
      </c>
      <c r="H3258" s="1084"/>
    </row>
    <row r="3259" ht="14.25" customHeight="1">
      <c r="A3259" s="1085">
        <v>11790.0</v>
      </c>
      <c r="B3259" s="1086" t="s">
        <v>8575</v>
      </c>
      <c r="C3259" s="1087" t="s">
        <v>1788</v>
      </c>
      <c r="D3259" s="1088">
        <v>35.13</v>
      </c>
      <c r="E3259" s="1089" t="s">
        <v>5308</v>
      </c>
      <c r="F3259" s="1081">
        <f t="shared" si="1"/>
        <v>0</v>
      </c>
      <c r="G3259" s="1083">
        <f t="shared" si="2"/>
        <v>35.13</v>
      </c>
      <c r="H3259" s="1084"/>
    </row>
    <row r="3260" ht="14.25" customHeight="1">
      <c r="A3260" s="1085">
        <v>428.0</v>
      </c>
      <c r="B3260" s="1086" t="s">
        <v>8576</v>
      </c>
      <c r="C3260" s="1087" t="s">
        <v>1788</v>
      </c>
      <c r="D3260" s="1088">
        <v>38.2</v>
      </c>
      <c r="E3260" s="1089" t="s">
        <v>5308</v>
      </c>
      <c r="F3260" s="1081">
        <f t="shared" si="1"/>
        <v>0</v>
      </c>
      <c r="G3260" s="1083">
        <f t="shared" si="2"/>
        <v>38.2</v>
      </c>
      <c r="H3260" s="1084"/>
    </row>
    <row r="3261" ht="14.25" customHeight="1">
      <c r="A3261" s="1085">
        <v>4384.0</v>
      </c>
      <c r="B3261" s="1086" t="s">
        <v>8577</v>
      </c>
      <c r="C3261" s="1087" t="s">
        <v>1788</v>
      </c>
      <c r="D3261" s="1088">
        <v>24.93</v>
      </c>
      <c r="E3261" s="1089" t="s">
        <v>5308</v>
      </c>
      <c r="F3261" s="1081">
        <f t="shared" si="1"/>
        <v>0</v>
      </c>
      <c r="G3261" s="1083">
        <f t="shared" si="2"/>
        <v>24.93</v>
      </c>
      <c r="H3261" s="1084"/>
    </row>
    <row r="3262" ht="14.25" customHeight="1">
      <c r="A3262" s="1085">
        <v>4351.0</v>
      </c>
      <c r="B3262" s="1086" t="s">
        <v>8578</v>
      </c>
      <c r="C3262" s="1087" t="s">
        <v>1788</v>
      </c>
      <c r="D3262" s="1088">
        <v>18.49</v>
      </c>
      <c r="E3262" s="1089" t="s">
        <v>5308</v>
      </c>
      <c r="F3262" s="1081">
        <f t="shared" si="1"/>
        <v>0</v>
      </c>
      <c r="G3262" s="1083">
        <f t="shared" si="2"/>
        <v>18.49</v>
      </c>
      <c r="H3262" s="1084"/>
    </row>
    <row r="3263" ht="14.25" customHeight="1">
      <c r="A3263" s="1085">
        <v>11054.0</v>
      </c>
      <c r="B3263" s="1086" t="s">
        <v>8579</v>
      </c>
      <c r="C3263" s="1087" t="s">
        <v>1788</v>
      </c>
      <c r="D3263" s="1088">
        <v>0.03</v>
      </c>
      <c r="E3263" s="1089" t="s">
        <v>5308</v>
      </c>
      <c r="F3263" s="1081">
        <f t="shared" si="1"/>
        <v>0</v>
      </c>
      <c r="G3263" s="1083">
        <f t="shared" si="2"/>
        <v>0.03</v>
      </c>
      <c r="H3263" s="1084"/>
    </row>
    <row r="3264" ht="14.25" customHeight="1">
      <c r="A3264" s="1085">
        <v>11055.0</v>
      </c>
      <c r="B3264" s="1086" t="s">
        <v>8580</v>
      </c>
      <c r="C3264" s="1087" t="s">
        <v>1788</v>
      </c>
      <c r="D3264" s="1088">
        <v>0.05</v>
      </c>
      <c r="E3264" s="1089" t="s">
        <v>5308</v>
      </c>
      <c r="F3264" s="1081">
        <f t="shared" si="1"/>
        <v>0</v>
      </c>
      <c r="G3264" s="1083">
        <f t="shared" si="2"/>
        <v>0.05</v>
      </c>
      <c r="H3264" s="1084"/>
    </row>
    <row r="3265" ht="14.25" customHeight="1">
      <c r="A3265" s="1085">
        <v>11056.0</v>
      </c>
      <c r="B3265" s="1086" t="s">
        <v>8581</v>
      </c>
      <c r="C3265" s="1087" t="s">
        <v>1788</v>
      </c>
      <c r="D3265" s="1088">
        <v>0.06</v>
      </c>
      <c r="E3265" s="1089" t="s">
        <v>5308</v>
      </c>
      <c r="F3265" s="1081">
        <f t="shared" si="1"/>
        <v>0</v>
      </c>
      <c r="G3265" s="1083">
        <f t="shared" si="2"/>
        <v>0.06</v>
      </c>
      <c r="H3265" s="1084"/>
    </row>
    <row r="3266" ht="14.25" customHeight="1">
      <c r="A3266" s="1085">
        <v>11057.0</v>
      </c>
      <c r="B3266" s="1086" t="s">
        <v>8582</v>
      </c>
      <c r="C3266" s="1087" t="s">
        <v>1788</v>
      </c>
      <c r="D3266" s="1088">
        <v>0.12</v>
      </c>
      <c r="E3266" s="1089" t="s">
        <v>5308</v>
      </c>
      <c r="F3266" s="1081">
        <f t="shared" si="1"/>
        <v>0</v>
      </c>
      <c r="G3266" s="1083">
        <f t="shared" si="2"/>
        <v>0.12</v>
      </c>
      <c r="H3266" s="1084"/>
    </row>
    <row r="3267" ht="14.25" customHeight="1">
      <c r="A3267" s="1085">
        <v>11059.0</v>
      </c>
      <c r="B3267" s="1086" t="s">
        <v>8583</v>
      </c>
      <c r="C3267" s="1087" t="s">
        <v>1788</v>
      </c>
      <c r="D3267" s="1088">
        <v>0.24</v>
      </c>
      <c r="E3267" s="1089" t="s">
        <v>5308</v>
      </c>
      <c r="F3267" s="1081">
        <f t="shared" si="1"/>
        <v>0</v>
      </c>
      <c r="G3267" s="1083">
        <f t="shared" si="2"/>
        <v>0.24</v>
      </c>
      <c r="H3267" s="1084"/>
    </row>
    <row r="3268" ht="14.25" customHeight="1">
      <c r="A3268" s="1085">
        <v>11058.0</v>
      </c>
      <c r="B3268" s="1086" t="s">
        <v>8584</v>
      </c>
      <c r="C3268" s="1087" t="s">
        <v>1788</v>
      </c>
      <c r="D3268" s="1088">
        <v>0.31</v>
      </c>
      <c r="E3268" s="1089" t="s">
        <v>5308</v>
      </c>
      <c r="F3268" s="1081">
        <f t="shared" si="1"/>
        <v>0</v>
      </c>
      <c r="G3268" s="1083">
        <f t="shared" si="2"/>
        <v>0.31</v>
      </c>
      <c r="H3268" s="1084"/>
    </row>
    <row r="3269" ht="14.25" customHeight="1">
      <c r="A3269" s="1085">
        <v>4380.0</v>
      </c>
      <c r="B3269" s="1086" t="s">
        <v>8585</v>
      </c>
      <c r="C3269" s="1087" t="s">
        <v>1788</v>
      </c>
      <c r="D3269" s="1088">
        <v>1.06</v>
      </c>
      <c r="E3269" s="1089" t="s">
        <v>5308</v>
      </c>
      <c r="F3269" s="1081">
        <f t="shared" si="1"/>
        <v>0</v>
      </c>
      <c r="G3269" s="1083">
        <f t="shared" si="2"/>
        <v>1.06</v>
      </c>
      <c r="H3269" s="1084"/>
    </row>
    <row r="3270" ht="14.25" customHeight="1">
      <c r="A3270" s="1085">
        <v>4299.0</v>
      </c>
      <c r="B3270" s="1086" t="s">
        <v>8586</v>
      </c>
      <c r="C3270" s="1087" t="s">
        <v>1788</v>
      </c>
      <c r="D3270" s="1088">
        <v>1.0</v>
      </c>
      <c r="E3270" s="1089" t="s">
        <v>5308</v>
      </c>
      <c r="F3270" s="1081">
        <f t="shared" si="1"/>
        <v>0</v>
      </c>
      <c r="G3270" s="1083">
        <f t="shared" si="2"/>
        <v>1</v>
      </c>
      <c r="H3270" s="1084"/>
    </row>
    <row r="3271" ht="14.25" customHeight="1">
      <c r="A3271" s="1085">
        <v>4304.0</v>
      </c>
      <c r="B3271" s="1086" t="s">
        <v>8587</v>
      </c>
      <c r="C3271" s="1087" t="s">
        <v>1788</v>
      </c>
      <c r="D3271" s="1088">
        <v>1.36</v>
      </c>
      <c r="E3271" s="1089" t="s">
        <v>5308</v>
      </c>
      <c r="F3271" s="1081">
        <f t="shared" si="1"/>
        <v>0</v>
      </c>
      <c r="G3271" s="1083">
        <f t="shared" si="2"/>
        <v>1.36</v>
      </c>
      <c r="H3271" s="1084"/>
    </row>
    <row r="3272" ht="14.25" customHeight="1">
      <c r="A3272" s="1085">
        <v>4305.0</v>
      </c>
      <c r="B3272" s="1086" t="s">
        <v>8588</v>
      </c>
      <c r="C3272" s="1087" t="s">
        <v>1788</v>
      </c>
      <c r="D3272" s="1088">
        <v>1.58</v>
      </c>
      <c r="E3272" s="1089" t="s">
        <v>5308</v>
      </c>
      <c r="F3272" s="1081">
        <f t="shared" si="1"/>
        <v>0</v>
      </c>
      <c r="G3272" s="1083">
        <f t="shared" si="2"/>
        <v>1.58</v>
      </c>
      <c r="H3272" s="1084"/>
    </row>
    <row r="3273" ht="14.25" customHeight="1">
      <c r="A3273" s="1085">
        <v>4306.0</v>
      </c>
      <c r="B3273" s="1086" t="s">
        <v>8589</v>
      </c>
      <c r="C3273" s="1087" t="s">
        <v>1788</v>
      </c>
      <c r="D3273" s="1088">
        <v>1.84</v>
      </c>
      <c r="E3273" s="1089" t="s">
        <v>5308</v>
      </c>
      <c r="F3273" s="1081">
        <f t="shared" si="1"/>
        <v>0</v>
      </c>
      <c r="G3273" s="1083">
        <f t="shared" si="2"/>
        <v>1.84</v>
      </c>
      <c r="H3273" s="1084"/>
    </row>
    <row r="3274" ht="14.25" customHeight="1">
      <c r="A3274" s="1085">
        <v>4308.0</v>
      </c>
      <c r="B3274" s="1086" t="s">
        <v>8590</v>
      </c>
      <c r="C3274" s="1087" t="s">
        <v>1788</v>
      </c>
      <c r="D3274" s="1088">
        <v>3.8</v>
      </c>
      <c r="E3274" s="1089" t="s">
        <v>5308</v>
      </c>
      <c r="F3274" s="1081">
        <f t="shared" si="1"/>
        <v>0</v>
      </c>
      <c r="G3274" s="1083">
        <f t="shared" si="2"/>
        <v>3.8</v>
      </c>
      <c r="H3274" s="1084"/>
    </row>
    <row r="3275" ht="14.25" customHeight="1">
      <c r="A3275" s="1085">
        <v>4302.0</v>
      </c>
      <c r="B3275" s="1086" t="s">
        <v>8591</v>
      </c>
      <c r="C3275" s="1087" t="s">
        <v>1788</v>
      </c>
      <c r="D3275" s="1088">
        <v>2.85</v>
      </c>
      <c r="E3275" s="1089" t="s">
        <v>5308</v>
      </c>
      <c r="F3275" s="1081">
        <f t="shared" si="1"/>
        <v>0</v>
      </c>
      <c r="G3275" s="1083">
        <f t="shared" si="2"/>
        <v>2.85</v>
      </c>
      <c r="H3275" s="1084"/>
    </row>
    <row r="3276" ht="14.25" customHeight="1">
      <c r="A3276" s="1085">
        <v>4300.0</v>
      </c>
      <c r="B3276" s="1086" t="s">
        <v>8592</v>
      </c>
      <c r="C3276" s="1087" t="s">
        <v>1788</v>
      </c>
      <c r="D3276" s="1088">
        <v>0.68</v>
      </c>
      <c r="E3276" s="1089" t="s">
        <v>5308</v>
      </c>
      <c r="F3276" s="1081">
        <f t="shared" si="1"/>
        <v>0</v>
      </c>
      <c r="G3276" s="1083">
        <f t="shared" si="2"/>
        <v>0.68</v>
      </c>
      <c r="H3276" s="1084"/>
    </row>
    <row r="3277" ht="14.25" customHeight="1">
      <c r="A3277" s="1085">
        <v>4301.0</v>
      </c>
      <c r="B3277" s="1086" t="s">
        <v>8593</v>
      </c>
      <c r="C3277" s="1087" t="s">
        <v>1788</v>
      </c>
      <c r="D3277" s="1088">
        <v>0.83</v>
      </c>
      <c r="E3277" s="1089" t="s">
        <v>5308</v>
      </c>
      <c r="F3277" s="1081">
        <f t="shared" si="1"/>
        <v>0</v>
      </c>
      <c r="G3277" s="1083">
        <f t="shared" si="2"/>
        <v>0.83</v>
      </c>
      <c r="H3277" s="1084"/>
    </row>
    <row r="3278" ht="14.25" customHeight="1">
      <c r="A3278" s="1085">
        <v>4320.0</v>
      </c>
      <c r="B3278" s="1086" t="s">
        <v>8594</v>
      </c>
      <c r="C3278" s="1087" t="s">
        <v>1788</v>
      </c>
      <c r="D3278" s="1088">
        <v>2.52</v>
      </c>
      <c r="E3278" s="1089" t="s">
        <v>5308</v>
      </c>
      <c r="F3278" s="1081">
        <f t="shared" si="1"/>
        <v>0</v>
      </c>
      <c r="G3278" s="1083">
        <f t="shared" si="2"/>
        <v>2.52</v>
      </c>
      <c r="H3278" s="1084"/>
    </row>
    <row r="3279" ht="14.25" customHeight="1">
      <c r="A3279" s="1085">
        <v>4318.0</v>
      </c>
      <c r="B3279" s="1086" t="s">
        <v>8595</v>
      </c>
      <c r="C3279" s="1087" t="s">
        <v>1788</v>
      </c>
      <c r="D3279" s="1088">
        <v>1.23</v>
      </c>
      <c r="E3279" s="1089" t="s">
        <v>5308</v>
      </c>
      <c r="F3279" s="1081">
        <f t="shared" si="1"/>
        <v>0</v>
      </c>
      <c r="G3279" s="1083">
        <f t="shared" si="2"/>
        <v>1.23</v>
      </c>
      <c r="H3279" s="1084"/>
    </row>
    <row r="3280" ht="14.25" customHeight="1">
      <c r="A3280" s="1085">
        <v>40547.0</v>
      </c>
      <c r="B3280" s="1086" t="s">
        <v>8596</v>
      </c>
      <c r="C3280" s="1087" t="s">
        <v>7392</v>
      </c>
      <c r="D3280" s="1088">
        <v>30.3</v>
      </c>
      <c r="E3280" s="1089" t="s">
        <v>5308</v>
      </c>
      <c r="F3280" s="1081">
        <f t="shared" si="1"/>
        <v>0</v>
      </c>
      <c r="G3280" s="1083">
        <f t="shared" si="2"/>
        <v>30.3</v>
      </c>
      <c r="H3280" s="1084"/>
    </row>
    <row r="3281" ht="14.25" customHeight="1">
      <c r="A3281" s="1085">
        <v>11962.0</v>
      </c>
      <c r="B3281" s="1086" t="s">
        <v>8597</v>
      </c>
      <c r="C3281" s="1087" t="s">
        <v>1788</v>
      </c>
      <c r="D3281" s="1088">
        <v>0.25</v>
      </c>
      <c r="E3281" s="1089" t="s">
        <v>5308</v>
      </c>
      <c r="F3281" s="1081">
        <f t="shared" si="1"/>
        <v>0</v>
      </c>
      <c r="G3281" s="1083">
        <f t="shared" si="2"/>
        <v>0.25</v>
      </c>
      <c r="H3281" s="1084"/>
    </row>
    <row r="3282" ht="14.25" customHeight="1">
      <c r="A3282" s="1085">
        <v>4332.0</v>
      </c>
      <c r="B3282" s="1086" t="s">
        <v>8598</v>
      </c>
      <c r="C3282" s="1087" t="s">
        <v>1788</v>
      </c>
      <c r="D3282" s="1088">
        <v>1.21</v>
      </c>
      <c r="E3282" s="1089" t="s">
        <v>5308</v>
      </c>
      <c r="F3282" s="1081">
        <f t="shared" si="1"/>
        <v>0</v>
      </c>
      <c r="G3282" s="1083">
        <f t="shared" si="2"/>
        <v>1.21</v>
      </c>
      <c r="H3282" s="1084"/>
    </row>
    <row r="3283" ht="14.25" customHeight="1">
      <c r="A3283" s="1085">
        <v>4331.0</v>
      </c>
      <c r="B3283" s="1086" t="s">
        <v>8599</v>
      </c>
      <c r="C3283" s="1087" t="s">
        <v>1788</v>
      </c>
      <c r="D3283" s="1088">
        <v>4.54</v>
      </c>
      <c r="E3283" s="1089" t="s">
        <v>5308</v>
      </c>
      <c r="F3283" s="1081">
        <f t="shared" si="1"/>
        <v>0</v>
      </c>
      <c r="G3283" s="1083">
        <f t="shared" si="2"/>
        <v>4.54</v>
      </c>
      <c r="H3283" s="1084"/>
    </row>
    <row r="3284" ht="14.25" customHeight="1">
      <c r="A3284" s="1085">
        <v>4336.0</v>
      </c>
      <c r="B3284" s="1086" t="s">
        <v>8600</v>
      </c>
      <c r="C3284" s="1087" t="s">
        <v>1788</v>
      </c>
      <c r="D3284" s="1088">
        <v>5.82</v>
      </c>
      <c r="E3284" s="1089" t="s">
        <v>5308</v>
      </c>
      <c r="F3284" s="1081">
        <f t="shared" si="1"/>
        <v>0</v>
      </c>
      <c r="G3284" s="1083">
        <f t="shared" si="2"/>
        <v>5.82</v>
      </c>
      <c r="H3284" s="1084"/>
    </row>
    <row r="3285" ht="14.25" customHeight="1">
      <c r="A3285" s="1085">
        <v>13294.0</v>
      </c>
      <c r="B3285" s="1086" t="s">
        <v>8601</v>
      </c>
      <c r="C3285" s="1087" t="s">
        <v>1788</v>
      </c>
      <c r="D3285" s="1088">
        <v>1.66</v>
      </c>
      <c r="E3285" s="1089" t="s">
        <v>5308</v>
      </c>
      <c r="F3285" s="1081">
        <f t="shared" si="1"/>
        <v>0</v>
      </c>
      <c r="G3285" s="1083">
        <f t="shared" si="2"/>
        <v>1.66</v>
      </c>
      <c r="H3285" s="1084"/>
    </row>
    <row r="3286" ht="14.25" customHeight="1">
      <c r="A3286" s="1085">
        <v>11948.0</v>
      </c>
      <c r="B3286" s="1086" t="s">
        <v>8602</v>
      </c>
      <c r="C3286" s="1087" t="s">
        <v>1788</v>
      </c>
      <c r="D3286" s="1088">
        <v>0.75</v>
      </c>
      <c r="E3286" s="1089" t="s">
        <v>5308</v>
      </c>
      <c r="F3286" s="1081">
        <f t="shared" si="1"/>
        <v>0</v>
      </c>
      <c r="G3286" s="1083">
        <f t="shared" si="2"/>
        <v>0.75</v>
      </c>
      <c r="H3286" s="1084"/>
    </row>
    <row r="3287" ht="14.25" customHeight="1">
      <c r="A3287" s="1085">
        <v>4382.0</v>
      </c>
      <c r="B3287" s="1086" t="s">
        <v>8603</v>
      </c>
      <c r="C3287" s="1087" t="s">
        <v>1788</v>
      </c>
      <c r="D3287" s="1088">
        <v>1.25</v>
      </c>
      <c r="E3287" s="1089" t="s">
        <v>5308</v>
      </c>
      <c r="F3287" s="1081">
        <f t="shared" si="1"/>
        <v>0</v>
      </c>
      <c r="G3287" s="1083">
        <f t="shared" si="2"/>
        <v>1.25</v>
      </c>
      <c r="H3287" s="1084"/>
    </row>
    <row r="3288" ht="14.25" customHeight="1">
      <c r="A3288" s="1085">
        <v>4354.0</v>
      </c>
      <c r="B3288" s="1086" t="s">
        <v>8604</v>
      </c>
      <c r="C3288" s="1087" t="s">
        <v>1788</v>
      </c>
      <c r="D3288" s="1088">
        <v>52.17</v>
      </c>
      <c r="E3288" s="1089" t="s">
        <v>5308</v>
      </c>
      <c r="F3288" s="1081">
        <f t="shared" si="1"/>
        <v>0</v>
      </c>
      <c r="G3288" s="1083">
        <f t="shared" si="2"/>
        <v>52.17</v>
      </c>
      <c r="H3288" s="1084"/>
    </row>
    <row r="3289" ht="14.25" customHeight="1">
      <c r="A3289" s="1085">
        <v>40839.0</v>
      </c>
      <c r="B3289" s="1086" t="s">
        <v>8605</v>
      </c>
      <c r="C3289" s="1087" t="s">
        <v>7392</v>
      </c>
      <c r="D3289" s="1088">
        <v>125.54</v>
      </c>
      <c r="E3289" s="1089" t="s">
        <v>5308</v>
      </c>
      <c r="F3289" s="1081">
        <f t="shared" si="1"/>
        <v>0</v>
      </c>
      <c r="G3289" s="1083">
        <f t="shared" si="2"/>
        <v>125.54</v>
      </c>
      <c r="H3289" s="1084"/>
    </row>
    <row r="3290" ht="14.25" customHeight="1">
      <c r="A3290" s="1085">
        <v>40552.0</v>
      </c>
      <c r="B3290" s="1086" t="s">
        <v>8606</v>
      </c>
      <c r="C3290" s="1087" t="s">
        <v>7392</v>
      </c>
      <c r="D3290" s="1088">
        <v>51.94</v>
      </c>
      <c r="E3290" s="1089" t="s">
        <v>5308</v>
      </c>
      <c r="F3290" s="1081">
        <f t="shared" si="1"/>
        <v>0</v>
      </c>
      <c r="G3290" s="1083">
        <f t="shared" si="2"/>
        <v>51.94</v>
      </c>
      <c r="H3290" s="1084"/>
    </row>
    <row r="3291" ht="14.25" customHeight="1">
      <c r="A3291" s="1085">
        <v>40549.0</v>
      </c>
      <c r="B3291" s="1086" t="s">
        <v>8607</v>
      </c>
      <c r="C3291" s="1087" t="s">
        <v>7392</v>
      </c>
      <c r="D3291" s="1088">
        <v>205.62</v>
      </c>
      <c r="E3291" s="1089" t="s">
        <v>5308</v>
      </c>
      <c r="F3291" s="1081">
        <f t="shared" si="1"/>
        <v>0</v>
      </c>
      <c r="G3291" s="1083">
        <f t="shared" si="2"/>
        <v>205.62</v>
      </c>
      <c r="H3291" s="1084"/>
    </row>
    <row r="3292" ht="14.25" customHeight="1">
      <c r="A3292" s="1085">
        <v>4385.0</v>
      </c>
      <c r="B3292" s="1086" t="s">
        <v>8608</v>
      </c>
      <c r="C3292" s="1087" t="s">
        <v>8609</v>
      </c>
      <c r="D3292" s="1088">
        <v>1799.3</v>
      </c>
      <c r="E3292" s="1089" t="s">
        <v>5308</v>
      </c>
      <c r="F3292" s="1081">
        <f t="shared" si="1"/>
        <v>0</v>
      </c>
      <c r="G3292" s="1083">
        <f t="shared" si="2"/>
        <v>1799.3</v>
      </c>
      <c r="H3292" s="1084"/>
    </row>
    <row r="3293" ht="14.25" customHeight="1">
      <c r="A3293" s="1085">
        <v>20078.0</v>
      </c>
      <c r="B3293" s="1086" t="s">
        <v>8610</v>
      </c>
      <c r="C3293" s="1087" t="s">
        <v>1788</v>
      </c>
      <c r="D3293" s="1088">
        <v>28.8</v>
      </c>
      <c r="E3293" s="1089" t="s">
        <v>5308</v>
      </c>
      <c r="F3293" s="1081">
        <f t="shared" si="1"/>
        <v>0</v>
      </c>
      <c r="G3293" s="1083">
        <f t="shared" si="2"/>
        <v>28.8</v>
      </c>
      <c r="H3293" s="1084"/>
    </row>
    <row r="3294" ht="14.25" customHeight="1">
      <c r="A3294" s="1085">
        <v>39897.0</v>
      </c>
      <c r="B3294" s="1086" t="s">
        <v>8611</v>
      </c>
      <c r="C3294" s="1087" t="s">
        <v>1788</v>
      </c>
      <c r="D3294" s="1088">
        <v>52.22</v>
      </c>
      <c r="E3294" s="1089" t="s">
        <v>5308</v>
      </c>
      <c r="F3294" s="1081">
        <f t="shared" si="1"/>
        <v>0</v>
      </c>
      <c r="G3294" s="1083">
        <f t="shared" si="2"/>
        <v>52.22</v>
      </c>
      <c r="H3294" s="1084"/>
    </row>
    <row r="3295" ht="14.25" customHeight="1">
      <c r="A3295" s="1085">
        <v>118.0</v>
      </c>
      <c r="B3295" s="1086" t="s">
        <v>8612</v>
      </c>
      <c r="C3295" s="1087" t="s">
        <v>1788</v>
      </c>
      <c r="D3295" s="1088">
        <v>60.89</v>
      </c>
      <c r="E3295" s="1089" t="s">
        <v>5308</v>
      </c>
      <c r="F3295" s="1081">
        <f t="shared" si="1"/>
        <v>0</v>
      </c>
      <c r="G3295" s="1083">
        <f t="shared" si="2"/>
        <v>60.89</v>
      </c>
      <c r="H3295" s="1084"/>
    </row>
    <row r="3296" ht="14.25" customHeight="1">
      <c r="A3296" s="1085">
        <v>4396.0</v>
      </c>
      <c r="B3296" s="1086" t="s">
        <v>8613</v>
      </c>
      <c r="C3296" s="1087" t="s">
        <v>1814</v>
      </c>
      <c r="D3296" s="1088">
        <v>226.72</v>
      </c>
      <c r="E3296" s="1089" t="s">
        <v>5308</v>
      </c>
      <c r="F3296" s="1081">
        <f t="shared" si="1"/>
        <v>0</v>
      </c>
      <c r="G3296" s="1083">
        <f t="shared" si="2"/>
        <v>226.72</v>
      </c>
      <c r="H3296" s="1084"/>
    </row>
    <row r="3297" ht="14.25" customHeight="1">
      <c r="A3297" s="1085">
        <v>36881.0</v>
      </c>
      <c r="B3297" s="1086" t="s">
        <v>8614</v>
      </c>
      <c r="C3297" s="1087" t="s">
        <v>1814</v>
      </c>
      <c r="D3297" s="1088">
        <v>146.02</v>
      </c>
      <c r="E3297" s="1089" t="s">
        <v>5308</v>
      </c>
      <c r="F3297" s="1081">
        <f t="shared" si="1"/>
        <v>0</v>
      </c>
      <c r="G3297" s="1083">
        <f t="shared" si="2"/>
        <v>146.02</v>
      </c>
      <c r="H3297" s="1084"/>
    </row>
    <row r="3298" ht="14.25" customHeight="1">
      <c r="A3298" s="1085">
        <v>4397.0</v>
      </c>
      <c r="B3298" s="1086" t="s">
        <v>8615</v>
      </c>
      <c r="C3298" s="1087" t="s">
        <v>1814</v>
      </c>
      <c r="D3298" s="1088">
        <v>246.62</v>
      </c>
      <c r="E3298" s="1089" t="s">
        <v>5308</v>
      </c>
      <c r="F3298" s="1081">
        <f t="shared" si="1"/>
        <v>0</v>
      </c>
      <c r="G3298" s="1083">
        <f t="shared" si="2"/>
        <v>246.62</v>
      </c>
      <c r="H3298" s="1084"/>
    </row>
    <row r="3299" ht="14.25" customHeight="1">
      <c r="A3299" s="1085">
        <v>36882.0</v>
      </c>
      <c r="B3299" s="1086" t="s">
        <v>8616</v>
      </c>
      <c r="C3299" s="1087" t="s">
        <v>1814</v>
      </c>
      <c r="D3299" s="1088">
        <v>174.6</v>
      </c>
      <c r="E3299" s="1089" t="s">
        <v>5308</v>
      </c>
      <c r="F3299" s="1081">
        <f t="shared" si="1"/>
        <v>0</v>
      </c>
      <c r="G3299" s="1083">
        <f t="shared" si="2"/>
        <v>174.6</v>
      </c>
      <c r="H3299" s="1084"/>
    </row>
    <row r="3300" ht="14.25" customHeight="1">
      <c r="A3300" s="1085">
        <v>4751.0</v>
      </c>
      <c r="B3300" s="1086" t="s">
        <v>8617</v>
      </c>
      <c r="C3300" s="1087" t="s">
        <v>1470</v>
      </c>
      <c r="D3300" s="1088">
        <v>20.82</v>
      </c>
      <c r="E3300" s="1089" t="s">
        <v>5452</v>
      </c>
      <c r="F3300" s="1081">
        <f t="shared" si="1"/>
        <v>20.82</v>
      </c>
      <c r="G3300" s="1083">
        <f t="shared" si="2"/>
        <v>0</v>
      </c>
      <c r="H3300" s="1084"/>
    </row>
    <row r="3301" ht="14.25" customHeight="1">
      <c r="A3301" s="1085">
        <v>41066.0</v>
      </c>
      <c r="B3301" s="1086" t="s">
        <v>8618</v>
      </c>
      <c r="C3301" s="1087" t="s">
        <v>5454</v>
      </c>
      <c r="D3301" s="1088">
        <v>3643.51</v>
      </c>
      <c r="E3301" s="1089" t="s">
        <v>5452</v>
      </c>
      <c r="F3301" s="1081">
        <f t="shared" si="1"/>
        <v>3643.51</v>
      </c>
      <c r="G3301" s="1083">
        <f t="shared" si="2"/>
        <v>0</v>
      </c>
      <c r="H3301" s="1084"/>
    </row>
    <row r="3302" ht="14.25" customHeight="1">
      <c r="A3302" s="1085">
        <v>39604.0</v>
      </c>
      <c r="B3302" s="1086" t="s">
        <v>8619</v>
      </c>
      <c r="C3302" s="1087" t="s">
        <v>1788</v>
      </c>
      <c r="D3302" s="1088">
        <v>13.29</v>
      </c>
      <c r="E3302" s="1089" t="s">
        <v>5308</v>
      </c>
      <c r="F3302" s="1081">
        <f t="shared" si="1"/>
        <v>0</v>
      </c>
      <c r="G3302" s="1083">
        <f t="shared" si="2"/>
        <v>13.29</v>
      </c>
      <c r="H3302" s="1084"/>
    </row>
    <row r="3303" ht="14.25" customHeight="1">
      <c r="A3303" s="1085">
        <v>39605.0</v>
      </c>
      <c r="B3303" s="1086" t="s">
        <v>8620</v>
      </c>
      <c r="C3303" s="1087" t="s">
        <v>1788</v>
      </c>
      <c r="D3303" s="1088">
        <v>14.44</v>
      </c>
      <c r="E3303" s="1089" t="s">
        <v>5308</v>
      </c>
      <c r="F3303" s="1081">
        <f t="shared" si="1"/>
        <v>0</v>
      </c>
      <c r="G3303" s="1083">
        <f t="shared" si="2"/>
        <v>14.44</v>
      </c>
      <c r="H3303" s="1084"/>
    </row>
    <row r="3304" ht="14.25" customHeight="1">
      <c r="A3304" s="1085">
        <v>39606.0</v>
      </c>
      <c r="B3304" s="1086" t="s">
        <v>8621</v>
      </c>
      <c r="C3304" s="1087" t="s">
        <v>1788</v>
      </c>
      <c r="D3304" s="1088">
        <v>25.29</v>
      </c>
      <c r="E3304" s="1089" t="s">
        <v>5308</v>
      </c>
      <c r="F3304" s="1081">
        <f t="shared" si="1"/>
        <v>0</v>
      </c>
      <c r="G3304" s="1083">
        <f t="shared" si="2"/>
        <v>25.29</v>
      </c>
      <c r="H3304" s="1084"/>
    </row>
    <row r="3305" ht="14.25" customHeight="1">
      <c r="A3305" s="1085">
        <v>39607.0</v>
      </c>
      <c r="B3305" s="1086" t="s">
        <v>8622</v>
      </c>
      <c r="C3305" s="1087" t="s">
        <v>1788</v>
      </c>
      <c r="D3305" s="1088">
        <v>34.21</v>
      </c>
      <c r="E3305" s="1089" t="s">
        <v>5308</v>
      </c>
      <c r="F3305" s="1081">
        <f t="shared" si="1"/>
        <v>0</v>
      </c>
      <c r="G3305" s="1083">
        <f t="shared" si="2"/>
        <v>34.21</v>
      </c>
      <c r="H3305" s="1084"/>
    </row>
    <row r="3306" ht="14.25" customHeight="1">
      <c r="A3306" s="1085">
        <v>39594.0</v>
      </c>
      <c r="B3306" s="1086" t="s">
        <v>8623</v>
      </c>
      <c r="C3306" s="1087" t="s">
        <v>1788</v>
      </c>
      <c r="D3306" s="1088">
        <v>461.94</v>
      </c>
      <c r="E3306" s="1089" t="s">
        <v>5308</v>
      </c>
      <c r="F3306" s="1081">
        <f t="shared" si="1"/>
        <v>0</v>
      </c>
      <c r="G3306" s="1083">
        <f t="shared" si="2"/>
        <v>461.94</v>
      </c>
      <c r="H3306" s="1084"/>
    </row>
    <row r="3307" ht="14.25" customHeight="1">
      <c r="A3307" s="1085">
        <v>39596.0</v>
      </c>
      <c r="B3307" s="1086" t="s">
        <v>8624</v>
      </c>
      <c r="C3307" s="1087" t="s">
        <v>1788</v>
      </c>
      <c r="D3307" s="1088">
        <v>1237.11</v>
      </c>
      <c r="E3307" s="1089" t="s">
        <v>5308</v>
      </c>
      <c r="F3307" s="1081">
        <f t="shared" si="1"/>
        <v>0</v>
      </c>
      <c r="G3307" s="1083">
        <f t="shared" si="2"/>
        <v>1237.11</v>
      </c>
      <c r="H3307" s="1084"/>
    </row>
    <row r="3308" ht="14.25" customHeight="1">
      <c r="A3308" s="1085">
        <v>39595.0</v>
      </c>
      <c r="B3308" s="1086" t="s">
        <v>8625</v>
      </c>
      <c r="C3308" s="1087" t="s">
        <v>1788</v>
      </c>
      <c r="D3308" s="1088">
        <v>2779.62</v>
      </c>
      <c r="E3308" s="1089" t="s">
        <v>5308</v>
      </c>
      <c r="F3308" s="1081">
        <f t="shared" si="1"/>
        <v>0</v>
      </c>
      <c r="G3308" s="1083">
        <f t="shared" si="2"/>
        <v>2779.62</v>
      </c>
      <c r="H3308" s="1084"/>
    </row>
    <row r="3309" ht="14.25" customHeight="1">
      <c r="A3309" s="1085">
        <v>39597.0</v>
      </c>
      <c r="B3309" s="1086" t="s">
        <v>8626</v>
      </c>
      <c r="C3309" s="1087" t="s">
        <v>1788</v>
      </c>
      <c r="D3309" s="1088">
        <v>4360.21</v>
      </c>
      <c r="E3309" s="1089" t="s">
        <v>5308</v>
      </c>
      <c r="F3309" s="1081">
        <f t="shared" si="1"/>
        <v>0</v>
      </c>
      <c r="G3309" s="1083">
        <f t="shared" si="2"/>
        <v>4360.21</v>
      </c>
      <c r="H3309" s="1084"/>
    </row>
    <row r="3310" ht="14.25" customHeight="1">
      <c r="A3310" s="1085">
        <v>10731.0</v>
      </c>
      <c r="B3310" s="1086" t="s">
        <v>8627</v>
      </c>
      <c r="C3310" s="1087" t="s">
        <v>1814</v>
      </c>
      <c r="D3310" s="1088">
        <v>37.38</v>
      </c>
      <c r="E3310" s="1089" t="s">
        <v>5308</v>
      </c>
      <c r="F3310" s="1081">
        <f t="shared" si="1"/>
        <v>0</v>
      </c>
      <c r="G3310" s="1083">
        <f t="shared" si="2"/>
        <v>37.38</v>
      </c>
      <c r="H3310" s="1084"/>
    </row>
    <row r="3311" ht="14.25" customHeight="1">
      <c r="A3311" s="1085">
        <v>4704.0</v>
      </c>
      <c r="B3311" s="1086" t="s">
        <v>8628</v>
      </c>
      <c r="C3311" s="1087" t="s">
        <v>1814</v>
      </c>
      <c r="D3311" s="1088">
        <v>33.73</v>
      </c>
      <c r="E3311" s="1089" t="s">
        <v>5308</v>
      </c>
      <c r="F3311" s="1081">
        <f t="shared" si="1"/>
        <v>0</v>
      </c>
      <c r="G3311" s="1083">
        <f t="shared" si="2"/>
        <v>33.73</v>
      </c>
      <c r="H3311" s="1084"/>
    </row>
    <row r="3312" ht="14.25" customHeight="1">
      <c r="A3312" s="1085">
        <v>10730.0</v>
      </c>
      <c r="B3312" s="1086" t="s">
        <v>8629</v>
      </c>
      <c r="C3312" s="1087" t="s">
        <v>1814</v>
      </c>
      <c r="D3312" s="1088">
        <v>36.14</v>
      </c>
      <c r="E3312" s="1089" t="s">
        <v>5308</v>
      </c>
      <c r="F3312" s="1081">
        <f t="shared" si="1"/>
        <v>0</v>
      </c>
      <c r="G3312" s="1083">
        <f t="shared" si="2"/>
        <v>36.14</v>
      </c>
      <c r="H3312" s="1084"/>
    </row>
    <row r="3313" ht="14.25" customHeight="1">
      <c r="A3313" s="1085">
        <v>4729.0</v>
      </c>
      <c r="B3313" s="1086" t="s">
        <v>8630</v>
      </c>
      <c r="C3313" s="1087" t="s">
        <v>2178</v>
      </c>
      <c r="D3313" s="1088">
        <v>66.15</v>
      </c>
      <c r="E3313" s="1089" t="s">
        <v>5308</v>
      </c>
      <c r="F3313" s="1081">
        <f t="shared" si="1"/>
        <v>0</v>
      </c>
      <c r="G3313" s="1083">
        <f t="shared" si="2"/>
        <v>66.15</v>
      </c>
      <c r="H3313" s="1084"/>
    </row>
    <row r="3314" ht="14.25" customHeight="1">
      <c r="A3314" s="1085">
        <v>4720.0</v>
      </c>
      <c r="B3314" s="1086" t="s">
        <v>8631</v>
      </c>
      <c r="C3314" s="1087" t="s">
        <v>2178</v>
      </c>
      <c r="D3314" s="1088">
        <v>75.8</v>
      </c>
      <c r="E3314" s="1089" t="s">
        <v>5308</v>
      </c>
      <c r="F3314" s="1081">
        <f t="shared" si="1"/>
        <v>0</v>
      </c>
      <c r="G3314" s="1083">
        <f t="shared" si="2"/>
        <v>75.8</v>
      </c>
      <c r="H3314" s="1084"/>
    </row>
    <row r="3315" ht="14.25" customHeight="1">
      <c r="A3315" s="1085">
        <v>4721.0</v>
      </c>
      <c r="B3315" s="1086" t="s">
        <v>8632</v>
      </c>
      <c r="C3315" s="1087" t="s">
        <v>2178</v>
      </c>
      <c r="D3315" s="1088">
        <v>65.65</v>
      </c>
      <c r="E3315" s="1089" t="s">
        <v>5308</v>
      </c>
      <c r="F3315" s="1081">
        <f t="shared" si="1"/>
        <v>0</v>
      </c>
      <c r="G3315" s="1083">
        <f t="shared" si="2"/>
        <v>65.65</v>
      </c>
      <c r="H3315" s="1084"/>
    </row>
    <row r="3316" ht="14.25" customHeight="1">
      <c r="A3316" s="1085">
        <v>4718.0</v>
      </c>
      <c r="B3316" s="1086" t="s">
        <v>8633</v>
      </c>
      <c r="C3316" s="1087" t="s">
        <v>2178</v>
      </c>
      <c r="D3316" s="1088">
        <v>66.0</v>
      </c>
      <c r="E3316" s="1089" t="s">
        <v>5308</v>
      </c>
      <c r="F3316" s="1081">
        <f t="shared" si="1"/>
        <v>0</v>
      </c>
      <c r="G3316" s="1083">
        <f t="shared" si="2"/>
        <v>66</v>
      </c>
      <c r="H3316" s="1084"/>
    </row>
    <row r="3317" ht="14.25" customHeight="1">
      <c r="A3317" s="1085">
        <v>4722.0</v>
      </c>
      <c r="B3317" s="1086" t="s">
        <v>8634</v>
      </c>
      <c r="C3317" s="1087" t="s">
        <v>2178</v>
      </c>
      <c r="D3317" s="1088">
        <v>62.01</v>
      </c>
      <c r="E3317" s="1089" t="s">
        <v>5308</v>
      </c>
      <c r="F3317" s="1081">
        <f t="shared" si="1"/>
        <v>0</v>
      </c>
      <c r="G3317" s="1083">
        <f t="shared" si="2"/>
        <v>62.01</v>
      </c>
      <c r="H3317" s="1084"/>
    </row>
    <row r="3318" ht="14.25" customHeight="1">
      <c r="A3318" s="1085">
        <v>4723.0</v>
      </c>
      <c r="B3318" s="1086" t="s">
        <v>8635</v>
      </c>
      <c r="C3318" s="1087" t="s">
        <v>2178</v>
      </c>
      <c r="D3318" s="1088">
        <v>61.48</v>
      </c>
      <c r="E3318" s="1089" t="s">
        <v>5308</v>
      </c>
      <c r="F3318" s="1081">
        <f t="shared" si="1"/>
        <v>0</v>
      </c>
      <c r="G3318" s="1083">
        <f t="shared" si="2"/>
        <v>61.48</v>
      </c>
      <c r="H3318" s="1084"/>
    </row>
    <row r="3319" ht="14.25" customHeight="1">
      <c r="A3319" s="1085">
        <v>4727.0</v>
      </c>
      <c r="B3319" s="1086" t="s">
        <v>8636</v>
      </c>
      <c r="C3319" s="1087" t="s">
        <v>2178</v>
      </c>
      <c r="D3319" s="1088">
        <v>56.27</v>
      </c>
      <c r="E3319" s="1089" t="s">
        <v>5308</v>
      </c>
      <c r="F3319" s="1081">
        <f t="shared" si="1"/>
        <v>0</v>
      </c>
      <c r="G3319" s="1083">
        <f t="shared" si="2"/>
        <v>56.27</v>
      </c>
      <c r="H3319" s="1084"/>
    </row>
    <row r="3320" ht="14.25" customHeight="1">
      <c r="A3320" s="1085">
        <v>4748.0</v>
      </c>
      <c r="B3320" s="1086" t="s">
        <v>8637</v>
      </c>
      <c r="C3320" s="1087" t="s">
        <v>2178</v>
      </c>
      <c r="D3320" s="1088">
        <v>60.64</v>
      </c>
      <c r="E3320" s="1089" t="s">
        <v>5308</v>
      </c>
      <c r="F3320" s="1081">
        <f t="shared" si="1"/>
        <v>0</v>
      </c>
      <c r="G3320" s="1083">
        <f t="shared" si="2"/>
        <v>60.64</v>
      </c>
      <c r="H3320" s="1084"/>
    </row>
    <row r="3321" ht="14.25" customHeight="1">
      <c r="A3321" s="1085">
        <v>4730.0</v>
      </c>
      <c r="B3321" s="1086" t="s">
        <v>8638</v>
      </c>
      <c r="C3321" s="1087" t="s">
        <v>2178</v>
      </c>
      <c r="D3321" s="1088">
        <v>61.71</v>
      </c>
      <c r="E3321" s="1089" t="s">
        <v>5308</v>
      </c>
      <c r="F3321" s="1081">
        <f t="shared" si="1"/>
        <v>0</v>
      </c>
      <c r="G3321" s="1083">
        <f t="shared" si="2"/>
        <v>61.71</v>
      </c>
      <c r="H3321" s="1084"/>
    </row>
    <row r="3322" ht="14.25" customHeight="1">
      <c r="A3322" s="1085">
        <v>13186.0</v>
      </c>
      <c r="B3322" s="1086" t="s">
        <v>8639</v>
      </c>
      <c r="C3322" s="1087" t="s">
        <v>2178</v>
      </c>
      <c r="D3322" s="1088">
        <v>71.2</v>
      </c>
      <c r="E3322" s="1089" t="s">
        <v>5308</v>
      </c>
      <c r="F3322" s="1081">
        <f t="shared" si="1"/>
        <v>0</v>
      </c>
      <c r="G3322" s="1083">
        <f t="shared" si="2"/>
        <v>71.2</v>
      </c>
      <c r="H3322" s="1084"/>
    </row>
    <row r="3323" ht="14.25" customHeight="1">
      <c r="A3323" s="1085">
        <v>10737.0</v>
      </c>
      <c r="B3323" s="1086" t="s">
        <v>8640</v>
      </c>
      <c r="C3323" s="1087" t="s">
        <v>1814</v>
      </c>
      <c r="D3323" s="1088">
        <v>117.47</v>
      </c>
      <c r="E3323" s="1089" t="s">
        <v>5308</v>
      </c>
      <c r="F3323" s="1081">
        <f t="shared" si="1"/>
        <v>0</v>
      </c>
      <c r="G3323" s="1083">
        <f t="shared" si="2"/>
        <v>117.47</v>
      </c>
      <c r="H3323" s="1084"/>
    </row>
    <row r="3324" ht="14.25" customHeight="1">
      <c r="A3324" s="1085">
        <v>10734.0</v>
      </c>
      <c r="B3324" s="1086" t="s">
        <v>8641</v>
      </c>
      <c r="C3324" s="1087" t="s">
        <v>1814</v>
      </c>
      <c r="D3324" s="1088">
        <v>69.88</v>
      </c>
      <c r="E3324" s="1089" t="s">
        <v>5308</v>
      </c>
      <c r="F3324" s="1081">
        <f t="shared" si="1"/>
        <v>0</v>
      </c>
      <c r="G3324" s="1083">
        <f t="shared" si="2"/>
        <v>69.88</v>
      </c>
      <c r="H3324" s="1084"/>
    </row>
    <row r="3325" ht="14.25" customHeight="1">
      <c r="A3325" s="1085">
        <v>4708.0</v>
      </c>
      <c r="B3325" s="1086" t="s">
        <v>8642</v>
      </c>
      <c r="C3325" s="1087" t="s">
        <v>1814</v>
      </c>
      <c r="D3325" s="1088">
        <v>135.54</v>
      </c>
      <c r="E3325" s="1089" t="s">
        <v>5308</v>
      </c>
      <c r="F3325" s="1081">
        <f t="shared" si="1"/>
        <v>0</v>
      </c>
      <c r="G3325" s="1083">
        <f t="shared" si="2"/>
        <v>135.54</v>
      </c>
      <c r="H3325" s="1084"/>
    </row>
    <row r="3326" ht="14.25" customHeight="1">
      <c r="A3326" s="1085">
        <v>4712.0</v>
      </c>
      <c r="B3326" s="1086" t="s">
        <v>8643</v>
      </c>
      <c r="C3326" s="1087" t="s">
        <v>1814</v>
      </c>
      <c r="D3326" s="1088">
        <v>66.26</v>
      </c>
      <c r="E3326" s="1089" t="s">
        <v>5308</v>
      </c>
      <c r="F3326" s="1081">
        <f t="shared" si="1"/>
        <v>0</v>
      </c>
      <c r="G3326" s="1083">
        <f t="shared" si="2"/>
        <v>66.26</v>
      </c>
      <c r="H3326" s="1084"/>
    </row>
    <row r="3327" ht="14.25" customHeight="1">
      <c r="A3327" s="1085">
        <v>4710.0</v>
      </c>
      <c r="B3327" s="1086" t="s">
        <v>8644</v>
      </c>
      <c r="C3327" s="1087" t="s">
        <v>1814</v>
      </c>
      <c r="D3327" s="1088">
        <v>212.5</v>
      </c>
      <c r="E3327" s="1089" t="s">
        <v>5308</v>
      </c>
      <c r="F3327" s="1081">
        <f t="shared" si="1"/>
        <v>0</v>
      </c>
      <c r="G3327" s="1083">
        <f t="shared" si="2"/>
        <v>212.5</v>
      </c>
      <c r="H3327" s="1084"/>
    </row>
    <row r="3328" ht="14.25" customHeight="1">
      <c r="A3328" s="1085">
        <v>4746.0</v>
      </c>
      <c r="B3328" s="1086" t="s">
        <v>8645</v>
      </c>
      <c r="C3328" s="1087" t="s">
        <v>2178</v>
      </c>
      <c r="D3328" s="1088">
        <v>46.09</v>
      </c>
      <c r="E3328" s="1089" t="s">
        <v>5308</v>
      </c>
      <c r="F3328" s="1081">
        <f t="shared" si="1"/>
        <v>0</v>
      </c>
      <c r="G3328" s="1083">
        <f t="shared" si="2"/>
        <v>46.09</v>
      </c>
      <c r="H3328" s="1084"/>
    </row>
    <row r="3329" ht="14.25" customHeight="1">
      <c r="A3329" s="1085">
        <v>4750.0</v>
      </c>
      <c r="B3329" s="1086" t="s">
        <v>8646</v>
      </c>
      <c r="C3329" s="1087" t="s">
        <v>1470</v>
      </c>
      <c r="D3329" s="1088">
        <v>20.82</v>
      </c>
      <c r="E3329" s="1089" t="s">
        <v>5452</v>
      </c>
      <c r="F3329" s="1081">
        <f t="shared" si="1"/>
        <v>20.82</v>
      </c>
      <c r="G3329" s="1083">
        <f t="shared" si="2"/>
        <v>0</v>
      </c>
      <c r="H3329" s="1084"/>
    </row>
    <row r="3330" ht="14.25" customHeight="1">
      <c r="A3330" s="1085">
        <v>41065.0</v>
      </c>
      <c r="B3330" s="1086" t="s">
        <v>8647</v>
      </c>
      <c r="C3330" s="1087" t="s">
        <v>5454</v>
      </c>
      <c r="D3330" s="1088">
        <v>3643.51</v>
      </c>
      <c r="E3330" s="1089" t="s">
        <v>5452</v>
      </c>
      <c r="F3330" s="1081">
        <f t="shared" si="1"/>
        <v>3643.51</v>
      </c>
      <c r="G3330" s="1083">
        <f t="shared" si="2"/>
        <v>0</v>
      </c>
      <c r="H3330" s="1084"/>
    </row>
    <row r="3331" ht="14.25" customHeight="1">
      <c r="A3331" s="1085">
        <v>34747.0</v>
      </c>
      <c r="B3331" s="1086" t="s">
        <v>8648</v>
      </c>
      <c r="C3331" s="1087" t="s">
        <v>1731</v>
      </c>
      <c r="D3331" s="1088">
        <v>115.81</v>
      </c>
      <c r="E3331" s="1089" t="s">
        <v>5308</v>
      </c>
      <c r="F3331" s="1081">
        <f t="shared" si="1"/>
        <v>0</v>
      </c>
      <c r="G3331" s="1083">
        <f t="shared" si="2"/>
        <v>115.81</v>
      </c>
      <c r="H3331" s="1084"/>
    </row>
    <row r="3332" ht="14.25" customHeight="1">
      <c r="A3332" s="1085">
        <v>4826.0</v>
      </c>
      <c r="B3332" s="1086" t="s">
        <v>8649</v>
      </c>
      <c r="C3332" s="1087" t="s">
        <v>1731</v>
      </c>
      <c r="D3332" s="1088">
        <v>124.52</v>
      </c>
      <c r="E3332" s="1089" t="s">
        <v>5308</v>
      </c>
      <c r="F3332" s="1081">
        <f t="shared" si="1"/>
        <v>0</v>
      </c>
      <c r="G3332" s="1083">
        <f t="shared" si="2"/>
        <v>124.52</v>
      </c>
      <c r="H3332" s="1084"/>
    </row>
    <row r="3333" ht="14.25" customHeight="1">
      <c r="A3333" s="1085">
        <v>41975.0</v>
      </c>
      <c r="B3333" s="1086" t="s">
        <v>8650</v>
      </c>
      <c r="C3333" s="1087" t="s">
        <v>1814</v>
      </c>
      <c r="D3333" s="1088">
        <v>94.34</v>
      </c>
      <c r="E3333" s="1089" t="s">
        <v>5308</v>
      </c>
      <c r="F3333" s="1081">
        <f t="shared" si="1"/>
        <v>0</v>
      </c>
      <c r="G3333" s="1083">
        <f t="shared" si="2"/>
        <v>94.34</v>
      </c>
      <c r="H3333" s="1084"/>
    </row>
    <row r="3334" ht="14.25" customHeight="1">
      <c r="A3334" s="1085">
        <v>4825.0</v>
      </c>
      <c r="B3334" s="1086" t="s">
        <v>8651</v>
      </c>
      <c r="C3334" s="1087" t="s">
        <v>1731</v>
      </c>
      <c r="D3334" s="1088">
        <v>172.36</v>
      </c>
      <c r="E3334" s="1089" t="s">
        <v>5308</v>
      </c>
      <c r="F3334" s="1081">
        <f t="shared" si="1"/>
        <v>0</v>
      </c>
      <c r="G3334" s="1083">
        <f t="shared" si="2"/>
        <v>172.36</v>
      </c>
      <c r="H3334" s="1084"/>
    </row>
    <row r="3335" ht="14.25" customHeight="1">
      <c r="A3335" s="1085">
        <v>34744.0</v>
      </c>
      <c r="B3335" s="1086" t="s">
        <v>8652</v>
      </c>
      <c r="C3335" s="1087" t="s">
        <v>1814</v>
      </c>
      <c r="D3335" s="1088">
        <v>23.25</v>
      </c>
      <c r="E3335" s="1089" t="s">
        <v>5308</v>
      </c>
      <c r="F3335" s="1081">
        <f t="shared" si="1"/>
        <v>0</v>
      </c>
      <c r="G3335" s="1083">
        <f t="shared" si="2"/>
        <v>23.25</v>
      </c>
      <c r="H3335" s="1084"/>
    </row>
    <row r="3336" ht="14.25" customHeight="1">
      <c r="A3336" s="1085">
        <v>39430.0</v>
      </c>
      <c r="B3336" s="1086" t="s">
        <v>8653</v>
      </c>
      <c r="C3336" s="1087" t="s">
        <v>1788</v>
      </c>
      <c r="D3336" s="1088">
        <v>2.46</v>
      </c>
      <c r="E3336" s="1089" t="s">
        <v>5308</v>
      </c>
      <c r="F3336" s="1081">
        <f t="shared" si="1"/>
        <v>0</v>
      </c>
      <c r="G3336" s="1083">
        <f t="shared" si="2"/>
        <v>2.46</v>
      </c>
      <c r="H3336" s="1084"/>
    </row>
    <row r="3337" ht="14.25" customHeight="1">
      <c r="A3337" s="1085">
        <v>39573.0</v>
      </c>
      <c r="B3337" s="1086" t="s">
        <v>8654</v>
      </c>
      <c r="C3337" s="1087" t="s">
        <v>1788</v>
      </c>
      <c r="D3337" s="1088">
        <v>2.43</v>
      </c>
      <c r="E3337" s="1089" t="s">
        <v>5308</v>
      </c>
      <c r="F3337" s="1081">
        <f t="shared" si="1"/>
        <v>0</v>
      </c>
      <c r="G3337" s="1083">
        <f t="shared" si="2"/>
        <v>2.43</v>
      </c>
      <c r="H3337" s="1084"/>
    </row>
    <row r="3338" ht="14.25" customHeight="1">
      <c r="A3338" s="1085">
        <v>38410.0</v>
      </c>
      <c r="B3338" s="1086" t="s">
        <v>8655</v>
      </c>
      <c r="C3338" s="1087" t="s">
        <v>1788</v>
      </c>
      <c r="D3338" s="1088">
        <v>14041.37</v>
      </c>
      <c r="E3338" s="1089" t="s">
        <v>5482</v>
      </c>
      <c r="F3338" s="1081">
        <f t="shared" si="1"/>
        <v>0</v>
      </c>
      <c r="G3338" s="1083">
        <f t="shared" si="2"/>
        <v>14041.37</v>
      </c>
      <c r="H3338" s="1084"/>
    </row>
    <row r="3339" ht="14.25" customHeight="1">
      <c r="A3339" s="1085">
        <v>41596.0</v>
      </c>
      <c r="B3339" s="1086" t="s">
        <v>8656</v>
      </c>
      <c r="C3339" s="1087" t="s">
        <v>3606</v>
      </c>
      <c r="D3339" s="1088">
        <v>14.18</v>
      </c>
      <c r="E3339" s="1089" t="s">
        <v>5308</v>
      </c>
      <c r="F3339" s="1081">
        <f t="shared" si="1"/>
        <v>0</v>
      </c>
      <c r="G3339" s="1083">
        <f t="shared" si="2"/>
        <v>14.18</v>
      </c>
      <c r="H3339" s="1084"/>
    </row>
    <row r="3340" ht="14.25" customHeight="1">
      <c r="A3340" s="1085">
        <v>41598.0</v>
      </c>
      <c r="B3340" s="1086" t="s">
        <v>8657</v>
      </c>
      <c r="C3340" s="1087" t="s">
        <v>3606</v>
      </c>
      <c r="D3340" s="1088">
        <v>14.18</v>
      </c>
      <c r="E3340" s="1089" t="s">
        <v>5308</v>
      </c>
      <c r="F3340" s="1081">
        <f t="shared" si="1"/>
        <v>0</v>
      </c>
      <c r="G3340" s="1083">
        <f t="shared" si="2"/>
        <v>14.18</v>
      </c>
      <c r="H3340" s="1084"/>
    </row>
    <row r="3341" ht="14.25" customHeight="1">
      <c r="A3341" s="1085">
        <v>41594.0</v>
      </c>
      <c r="B3341" s="1086" t="s">
        <v>8658</v>
      </c>
      <c r="C3341" s="1087" t="s">
        <v>3606</v>
      </c>
      <c r="D3341" s="1088">
        <v>14.4</v>
      </c>
      <c r="E3341" s="1089" t="s">
        <v>5308</v>
      </c>
      <c r="F3341" s="1081">
        <f t="shared" si="1"/>
        <v>0</v>
      </c>
      <c r="G3341" s="1083">
        <f t="shared" si="2"/>
        <v>14.4</v>
      </c>
      <c r="H3341" s="1084"/>
    </row>
    <row r="3342" ht="14.25" customHeight="1">
      <c r="A3342" s="1085">
        <v>43663.0</v>
      </c>
      <c r="B3342" s="1086" t="s">
        <v>8659</v>
      </c>
      <c r="C3342" s="1087" t="s">
        <v>3606</v>
      </c>
      <c r="D3342" s="1088">
        <v>11.86</v>
      </c>
      <c r="E3342" s="1089" t="s">
        <v>5308</v>
      </c>
      <c r="F3342" s="1081">
        <f t="shared" si="1"/>
        <v>0</v>
      </c>
      <c r="G3342" s="1083">
        <f t="shared" si="2"/>
        <v>11.86</v>
      </c>
      <c r="H3342" s="1084"/>
    </row>
    <row r="3343" ht="14.25" customHeight="1">
      <c r="A3343" s="1085">
        <v>4766.0</v>
      </c>
      <c r="B3343" s="1086" t="s">
        <v>8660</v>
      </c>
      <c r="C3343" s="1087" t="s">
        <v>3606</v>
      </c>
      <c r="D3343" s="1088">
        <v>11.17</v>
      </c>
      <c r="E3343" s="1089" t="s">
        <v>5308</v>
      </c>
      <c r="F3343" s="1081">
        <f t="shared" si="1"/>
        <v>0</v>
      </c>
      <c r="G3343" s="1083">
        <f t="shared" si="2"/>
        <v>11.17</v>
      </c>
      <c r="H3343" s="1084"/>
    </row>
    <row r="3344" ht="14.25" customHeight="1">
      <c r="A3344" s="1085">
        <v>43664.0</v>
      </c>
      <c r="B3344" s="1086" t="s">
        <v>8661</v>
      </c>
      <c r="C3344" s="1087" t="s">
        <v>3606</v>
      </c>
      <c r="D3344" s="1088">
        <v>11.93</v>
      </c>
      <c r="E3344" s="1089" t="s">
        <v>5308</v>
      </c>
      <c r="F3344" s="1081">
        <f t="shared" si="1"/>
        <v>0</v>
      </c>
      <c r="G3344" s="1083">
        <f t="shared" si="2"/>
        <v>11.93</v>
      </c>
      <c r="H3344" s="1084"/>
    </row>
    <row r="3345" ht="14.25" customHeight="1">
      <c r="A3345" s="1085">
        <v>43082.0</v>
      </c>
      <c r="B3345" s="1086" t="s">
        <v>8662</v>
      </c>
      <c r="C3345" s="1087" t="s">
        <v>3606</v>
      </c>
      <c r="D3345" s="1088">
        <v>13.0</v>
      </c>
      <c r="E3345" s="1089" t="s">
        <v>5308</v>
      </c>
      <c r="F3345" s="1081">
        <f t="shared" si="1"/>
        <v>0</v>
      </c>
      <c r="G3345" s="1083">
        <f t="shared" si="2"/>
        <v>13</v>
      </c>
      <c r="H3345" s="1084"/>
    </row>
    <row r="3346" ht="14.25" customHeight="1">
      <c r="A3346" s="1085">
        <v>43665.0</v>
      </c>
      <c r="B3346" s="1086" t="s">
        <v>8663</v>
      </c>
      <c r="C3346" s="1087" t="s">
        <v>3606</v>
      </c>
      <c r="D3346" s="1088">
        <v>11.17</v>
      </c>
      <c r="E3346" s="1089" t="s">
        <v>5308</v>
      </c>
      <c r="F3346" s="1081">
        <f t="shared" si="1"/>
        <v>0</v>
      </c>
      <c r="G3346" s="1083">
        <f t="shared" si="2"/>
        <v>11.17</v>
      </c>
      <c r="H3346" s="1084"/>
    </row>
    <row r="3347" ht="14.25" customHeight="1">
      <c r="A3347" s="1085">
        <v>10966.0</v>
      </c>
      <c r="B3347" s="1086" t="s">
        <v>8664</v>
      </c>
      <c r="C3347" s="1087" t="s">
        <v>3606</v>
      </c>
      <c r="D3347" s="1088">
        <v>11.86</v>
      </c>
      <c r="E3347" s="1089" t="s">
        <v>5308</v>
      </c>
      <c r="F3347" s="1081">
        <f t="shared" si="1"/>
        <v>0</v>
      </c>
      <c r="G3347" s="1083">
        <f t="shared" si="2"/>
        <v>11.86</v>
      </c>
      <c r="H3347" s="1084"/>
    </row>
    <row r="3348" ht="14.25" customHeight="1">
      <c r="A3348" s="1085">
        <v>43692.0</v>
      </c>
      <c r="B3348" s="1086" t="s">
        <v>8665</v>
      </c>
      <c r="C3348" s="1087" t="s">
        <v>3606</v>
      </c>
      <c r="D3348" s="1088">
        <v>11.86</v>
      </c>
      <c r="E3348" s="1089" t="s">
        <v>5308</v>
      </c>
      <c r="F3348" s="1081">
        <f t="shared" si="1"/>
        <v>0</v>
      </c>
      <c r="G3348" s="1083">
        <f t="shared" si="2"/>
        <v>11.86</v>
      </c>
      <c r="H3348" s="1084"/>
    </row>
    <row r="3349" ht="14.25" customHeight="1">
      <c r="A3349" s="1085">
        <v>43083.0</v>
      </c>
      <c r="B3349" s="1086" t="s">
        <v>8666</v>
      </c>
      <c r="C3349" s="1087" t="s">
        <v>3606</v>
      </c>
      <c r="D3349" s="1088">
        <v>11.26</v>
      </c>
      <c r="E3349" s="1089" t="s">
        <v>5308</v>
      </c>
      <c r="F3349" s="1081">
        <f t="shared" si="1"/>
        <v>0</v>
      </c>
      <c r="G3349" s="1083">
        <f t="shared" si="2"/>
        <v>11.26</v>
      </c>
      <c r="H3349" s="1084"/>
    </row>
    <row r="3350" ht="14.25" customHeight="1">
      <c r="A3350" s="1085">
        <v>40535.0</v>
      </c>
      <c r="B3350" s="1086" t="s">
        <v>8667</v>
      </c>
      <c r="C3350" s="1087" t="s">
        <v>3606</v>
      </c>
      <c r="D3350" s="1088">
        <v>11.26</v>
      </c>
      <c r="E3350" s="1089" t="s">
        <v>5308</v>
      </c>
      <c r="F3350" s="1081">
        <f t="shared" si="1"/>
        <v>0</v>
      </c>
      <c r="G3350" s="1083">
        <f t="shared" si="2"/>
        <v>11.26</v>
      </c>
      <c r="H3350" s="1084"/>
    </row>
    <row r="3351" ht="14.25" customHeight="1">
      <c r="A3351" s="1085">
        <v>39427.0</v>
      </c>
      <c r="B3351" s="1086" t="s">
        <v>8668</v>
      </c>
      <c r="C3351" s="1087" t="s">
        <v>1731</v>
      </c>
      <c r="D3351" s="1088">
        <v>6.54</v>
      </c>
      <c r="E3351" s="1089" t="s">
        <v>5308</v>
      </c>
      <c r="F3351" s="1081">
        <f t="shared" si="1"/>
        <v>0</v>
      </c>
      <c r="G3351" s="1083">
        <f t="shared" si="2"/>
        <v>6.54</v>
      </c>
      <c r="H3351" s="1084"/>
    </row>
    <row r="3352" ht="14.25" customHeight="1">
      <c r="A3352" s="1085">
        <v>39424.0</v>
      </c>
      <c r="B3352" s="1086" t="s">
        <v>8669</v>
      </c>
      <c r="C3352" s="1087" t="s">
        <v>1731</v>
      </c>
      <c r="D3352" s="1088">
        <v>3.89</v>
      </c>
      <c r="E3352" s="1089" t="s">
        <v>5308</v>
      </c>
      <c r="F3352" s="1081">
        <f t="shared" si="1"/>
        <v>0</v>
      </c>
      <c r="G3352" s="1083">
        <f t="shared" si="2"/>
        <v>3.89</v>
      </c>
      <c r="H3352" s="1084"/>
    </row>
    <row r="3353" ht="14.25" customHeight="1">
      <c r="A3353" s="1085">
        <v>39425.0</v>
      </c>
      <c r="B3353" s="1086" t="s">
        <v>8670</v>
      </c>
      <c r="C3353" s="1087" t="s">
        <v>1731</v>
      </c>
      <c r="D3353" s="1088">
        <v>3.84</v>
      </c>
      <c r="E3353" s="1089" t="s">
        <v>5308</v>
      </c>
      <c r="F3353" s="1081">
        <f t="shared" si="1"/>
        <v>0</v>
      </c>
      <c r="G3353" s="1083">
        <f t="shared" si="2"/>
        <v>3.84</v>
      </c>
      <c r="H3353" s="1084"/>
    </row>
    <row r="3354" ht="14.25" customHeight="1">
      <c r="A3354" s="1085">
        <v>40664.0</v>
      </c>
      <c r="B3354" s="1086" t="s">
        <v>8671</v>
      </c>
      <c r="C3354" s="1087" t="s">
        <v>3606</v>
      </c>
      <c r="D3354" s="1088">
        <v>23.1</v>
      </c>
      <c r="E3354" s="1089" t="s">
        <v>5308</v>
      </c>
      <c r="F3354" s="1081">
        <f t="shared" si="1"/>
        <v>0</v>
      </c>
      <c r="G3354" s="1083">
        <f t="shared" si="2"/>
        <v>23.1</v>
      </c>
      <c r="H3354" s="1084"/>
    </row>
    <row r="3355" ht="14.25" customHeight="1">
      <c r="A3355" s="1085">
        <v>34360.0</v>
      </c>
      <c r="B3355" s="1086" t="s">
        <v>8672</v>
      </c>
      <c r="C3355" s="1087" t="s">
        <v>3606</v>
      </c>
      <c r="D3355" s="1088">
        <v>41.9</v>
      </c>
      <c r="E3355" s="1089" t="s">
        <v>5308</v>
      </c>
      <c r="F3355" s="1081">
        <f t="shared" si="1"/>
        <v>0</v>
      </c>
      <c r="G3355" s="1083">
        <f t="shared" si="2"/>
        <v>41.9</v>
      </c>
      <c r="H3355" s="1084"/>
    </row>
    <row r="3356" ht="14.25" customHeight="1">
      <c r="A3356" s="1085">
        <v>20259.0</v>
      </c>
      <c r="B3356" s="1086" t="s">
        <v>8673</v>
      </c>
      <c r="C3356" s="1087" t="s">
        <v>1731</v>
      </c>
      <c r="D3356" s="1088">
        <v>20.5</v>
      </c>
      <c r="E3356" s="1089" t="s">
        <v>5308</v>
      </c>
      <c r="F3356" s="1081">
        <f t="shared" si="1"/>
        <v>0</v>
      </c>
      <c r="G3356" s="1083">
        <f t="shared" si="2"/>
        <v>20.5</v>
      </c>
      <c r="H3356" s="1084"/>
    </row>
    <row r="3357" ht="14.25" customHeight="1">
      <c r="A3357" s="1085">
        <v>14077.0</v>
      </c>
      <c r="B3357" s="1086" t="s">
        <v>8674</v>
      </c>
      <c r="C3357" s="1087" t="s">
        <v>1731</v>
      </c>
      <c r="D3357" s="1088">
        <v>313.77</v>
      </c>
      <c r="E3357" s="1089" t="s">
        <v>5308</v>
      </c>
      <c r="F3357" s="1081">
        <f t="shared" si="1"/>
        <v>0</v>
      </c>
      <c r="G3357" s="1083">
        <f t="shared" si="2"/>
        <v>313.77</v>
      </c>
      <c r="H3357" s="1084"/>
    </row>
    <row r="3358" ht="14.25" customHeight="1">
      <c r="A3358" s="1085">
        <v>3678.0</v>
      </c>
      <c r="B3358" s="1086" t="s">
        <v>8675</v>
      </c>
      <c r="C3358" s="1087" t="s">
        <v>1731</v>
      </c>
      <c r="D3358" s="1088">
        <v>141.82</v>
      </c>
      <c r="E3358" s="1089" t="s">
        <v>5308</v>
      </c>
      <c r="F3358" s="1081">
        <f t="shared" si="1"/>
        <v>0</v>
      </c>
      <c r="G3358" s="1083">
        <f t="shared" si="2"/>
        <v>141.82</v>
      </c>
      <c r="H3358" s="1084"/>
    </row>
    <row r="3359" ht="14.25" customHeight="1">
      <c r="A3359" s="1085">
        <v>39418.0</v>
      </c>
      <c r="B3359" s="1086" t="s">
        <v>8676</v>
      </c>
      <c r="C3359" s="1087" t="s">
        <v>1731</v>
      </c>
      <c r="D3359" s="1088">
        <v>7.3</v>
      </c>
      <c r="E3359" s="1089" t="s">
        <v>5308</v>
      </c>
      <c r="F3359" s="1081">
        <f t="shared" si="1"/>
        <v>0</v>
      </c>
      <c r="G3359" s="1083">
        <f t="shared" si="2"/>
        <v>7.3</v>
      </c>
      <c r="H3359" s="1084"/>
    </row>
    <row r="3360" ht="14.25" customHeight="1">
      <c r="A3360" s="1085">
        <v>39419.0</v>
      </c>
      <c r="B3360" s="1086" t="s">
        <v>8677</v>
      </c>
      <c r="C3360" s="1087" t="s">
        <v>1731</v>
      </c>
      <c r="D3360" s="1088">
        <v>8.89</v>
      </c>
      <c r="E3360" s="1089" t="s">
        <v>5308</v>
      </c>
      <c r="F3360" s="1081">
        <f t="shared" si="1"/>
        <v>0</v>
      </c>
      <c r="G3360" s="1083">
        <f t="shared" si="2"/>
        <v>8.89</v>
      </c>
      <c r="H3360" s="1084"/>
    </row>
    <row r="3361" ht="14.25" customHeight="1">
      <c r="A3361" s="1085">
        <v>39420.0</v>
      </c>
      <c r="B3361" s="1086" t="s">
        <v>8678</v>
      </c>
      <c r="C3361" s="1087" t="s">
        <v>1731</v>
      </c>
      <c r="D3361" s="1088">
        <v>9.82</v>
      </c>
      <c r="E3361" s="1089" t="s">
        <v>5308</v>
      </c>
      <c r="F3361" s="1081">
        <f t="shared" si="1"/>
        <v>0</v>
      </c>
      <c r="G3361" s="1083">
        <f t="shared" si="2"/>
        <v>9.82</v>
      </c>
      <c r="H3361" s="1084"/>
    </row>
    <row r="3362" ht="14.25" customHeight="1">
      <c r="A3362" s="1085">
        <v>39571.0</v>
      </c>
      <c r="B3362" s="1086" t="s">
        <v>8679</v>
      </c>
      <c r="C3362" s="1087" t="s">
        <v>1731</v>
      </c>
      <c r="D3362" s="1088">
        <v>5.93</v>
      </c>
      <c r="E3362" s="1089" t="s">
        <v>5308</v>
      </c>
      <c r="F3362" s="1081">
        <f t="shared" si="1"/>
        <v>0</v>
      </c>
      <c r="G3362" s="1083">
        <f t="shared" si="2"/>
        <v>5.93</v>
      </c>
      <c r="H3362" s="1084"/>
    </row>
    <row r="3363" ht="14.25" customHeight="1">
      <c r="A3363" s="1085">
        <v>39421.0</v>
      </c>
      <c r="B3363" s="1086" t="s">
        <v>8680</v>
      </c>
      <c r="C3363" s="1087" t="s">
        <v>1731</v>
      </c>
      <c r="D3363" s="1088">
        <v>8.64</v>
      </c>
      <c r="E3363" s="1089" t="s">
        <v>5308</v>
      </c>
      <c r="F3363" s="1081">
        <f t="shared" si="1"/>
        <v>0</v>
      </c>
      <c r="G3363" s="1083">
        <f t="shared" si="2"/>
        <v>8.64</v>
      </c>
      <c r="H3363" s="1084"/>
    </row>
    <row r="3364" ht="14.25" customHeight="1">
      <c r="A3364" s="1085">
        <v>39422.0</v>
      </c>
      <c r="B3364" s="1086" t="s">
        <v>8681</v>
      </c>
      <c r="C3364" s="1087" t="s">
        <v>1731</v>
      </c>
      <c r="D3364" s="1088">
        <v>10.09</v>
      </c>
      <c r="E3364" s="1089" t="s">
        <v>5308</v>
      </c>
      <c r="F3364" s="1081">
        <f t="shared" si="1"/>
        <v>0</v>
      </c>
      <c r="G3364" s="1083">
        <f t="shared" si="2"/>
        <v>10.09</v>
      </c>
      <c r="H3364" s="1084"/>
    </row>
    <row r="3365" ht="14.25" customHeight="1">
      <c r="A3365" s="1085">
        <v>39423.0</v>
      </c>
      <c r="B3365" s="1086" t="s">
        <v>8682</v>
      </c>
      <c r="C3365" s="1087" t="s">
        <v>1731</v>
      </c>
      <c r="D3365" s="1088">
        <v>11.71</v>
      </c>
      <c r="E3365" s="1089" t="s">
        <v>5308</v>
      </c>
      <c r="F3365" s="1081">
        <f t="shared" si="1"/>
        <v>0</v>
      </c>
      <c r="G3365" s="1083">
        <f t="shared" si="2"/>
        <v>11.71</v>
      </c>
      <c r="H3365" s="1084"/>
    </row>
    <row r="3366" ht="14.25" customHeight="1">
      <c r="A3366" s="1085">
        <v>39426.0</v>
      </c>
      <c r="B3366" s="1086" t="s">
        <v>8683</v>
      </c>
      <c r="C3366" s="1087" t="s">
        <v>1731</v>
      </c>
      <c r="D3366" s="1088">
        <v>26.34</v>
      </c>
      <c r="E3366" s="1089" t="s">
        <v>5308</v>
      </c>
      <c r="F3366" s="1081">
        <f t="shared" si="1"/>
        <v>0</v>
      </c>
      <c r="G3366" s="1083">
        <f t="shared" si="2"/>
        <v>26.34</v>
      </c>
      <c r="H3366" s="1084"/>
    </row>
    <row r="3367" ht="14.25" customHeight="1">
      <c r="A3367" s="1085">
        <v>39429.0</v>
      </c>
      <c r="B3367" s="1086" t="s">
        <v>8684</v>
      </c>
      <c r="C3367" s="1087" t="s">
        <v>1731</v>
      </c>
      <c r="D3367" s="1088">
        <v>8.31</v>
      </c>
      <c r="E3367" s="1089" t="s">
        <v>5308</v>
      </c>
      <c r="F3367" s="1081">
        <f t="shared" si="1"/>
        <v>0</v>
      </c>
      <c r="G3367" s="1083">
        <f t="shared" si="2"/>
        <v>8.31</v>
      </c>
      <c r="H3367" s="1084"/>
    </row>
    <row r="3368" ht="14.25" customHeight="1">
      <c r="A3368" s="1085">
        <v>39428.0</v>
      </c>
      <c r="B3368" s="1086" t="s">
        <v>8685</v>
      </c>
      <c r="C3368" s="1087" t="s">
        <v>1731</v>
      </c>
      <c r="D3368" s="1088">
        <v>6.35</v>
      </c>
      <c r="E3368" s="1089" t="s">
        <v>5308</v>
      </c>
      <c r="F3368" s="1081">
        <f t="shared" si="1"/>
        <v>0</v>
      </c>
      <c r="G3368" s="1083">
        <f t="shared" si="2"/>
        <v>6.35</v>
      </c>
      <c r="H3368" s="1084"/>
    </row>
    <row r="3369" ht="14.25" customHeight="1">
      <c r="A3369" s="1085">
        <v>39572.0</v>
      </c>
      <c r="B3369" s="1086" t="s">
        <v>8686</v>
      </c>
      <c r="C3369" s="1087" t="s">
        <v>1731</v>
      </c>
      <c r="D3369" s="1088">
        <v>5.49</v>
      </c>
      <c r="E3369" s="1089" t="s">
        <v>5308</v>
      </c>
      <c r="F3369" s="1081">
        <f t="shared" si="1"/>
        <v>0</v>
      </c>
      <c r="G3369" s="1083">
        <f t="shared" si="2"/>
        <v>5.49</v>
      </c>
      <c r="H3369" s="1084"/>
    </row>
    <row r="3370" ht="14.25" customHeight="1">
      <c r="A3370" s="1085">
        <v>39570.0</v>
      </c>
      <c r="B3370" s="1086" t="s">
        <v>8687</v>
      </c>
      <c r="C3370" s="1087" t="s">
        <v>1731</v>
      </c>
      <c r="D3370" s="1088">
        <v>5.83</v>
      </c>
      <c r="E3370" s="1089" t="s">
        <v>5308</v>
      </c>
      <c r="F3370" s="1081">
        <f t="shared" si="1"/>
        <v>0</v>
      </c>
      <c r="G3370" s="1083">
        <f t="shared" si="2"/>
        <v>5.83</v>
      </c>
      <c r="H3370" s="1084"/>
    </row>
    <row r="3371" ht="14.25" customHeight="1">
      <c r="A3371" s="1085">
        <v>39569.0</v>
      </c>
      <c r="B3371" s="1086" t="s">
        <v>8688</v>
      </c>
      <c r="C3371" s="1087" t="s">
        <v>1731</v>
      </c>
      <c r="D3371" s="1088">
        <v>5.76</v>
      </c>
      <c r="E3371" s="1089" t="s">
        <v>5308</v>
      </c>
      <c r="F3371" s="1081">
        <f t="shared" si="1"/>
        <v>0</v>
      </c>
      <c r="G3371" s="1083">
        <f t="shared" si="2"/>
        <v>5.76</v>
      </c>
      <c r="H3371" s="1084"/>
    </row>
    <row r="3372" ht="14.25" customHeight="1">
      <c r="A3372" s="1085">
        <v>11552.0</v>
      </c>
      <c r="B3372" s="1086" t="s">
        <v>8689</v>
      </c>
      <c r="C3372" s="1087" t="s">
        <v>1731</v>
      </c>
      <c r="D3372" s="1088">
        <v>7.16</v>
      </c>
      <c r="E3372" s="1089" t="s">
        <v>5308</v>
      </c>
      <c r="F3372" s="1081">
        <f t="shared" si="1"/>
        <v>0</v>
      </c>
      <c r="G3372" s="1083">
        <f t="shared" si="2"/>
        <v>7.16</v>
      </c>
      <c r="H3372" s="1084"/>
    </row>
    <row r="3373" ht="14.25" customHeight="1">
      <c r="A3373" s="1085">
        <v>40598.0</v>
      </c>
      <c r="B3373" s="1086" t="s">
        <v>8690</v>
      </c>
      <c r="C3373" s="1087" t="s">
        <v>3606</v>
      </c>
      <c r="D3373" s="1088">
        <v>10.98</v>
      </c>
      <c r="E3373" s="1089" t="s">
        <v>5308</v>
      </c>
      <c r="F3373" s="1081">
        <f t="shared" si="1"/>
        <v>0</v>
      </c>
      <c r="G3373" s="1083">
        <f t="shared" si="2"/>
        <v>10.98</v>
      </c>
      <c r="H3373" s="1084"/>
    </row>
    <row r="3374" ht="14.25" customHeight="1">
      <c r="A3374" s="1085">
        <v>39029.0</v>
      </c>
      <c r="B3374" s="1086" t="s">
        <v>8691</v>
      </c>
      <c r="C3374" s="1087" t="s">
        <v>1731</v>
      </c>
      <c r="D3374" s="1088">
        <v>18.59</v>
      </c>
      <c r="E3374" s="1089" t="s">
        <v>5308</v>
      </c>
      <c r="F3374" s="1081">
        <f t="shared" si="1"/>
        <v>0</v>
      </c>
      <c r="G3374" s="1083">
        <f t="shared" si="2"/>
        <v>18.59</v>
      </c>
      <c r="H3374" s="1084"/>
    </row>
    <row r="3375" ht="14.25" customHeight="1">
      <c r="A3375" s="1085">
        <v>39028.0</v>
      </c>
      <c r="B3375" s="1086" t="s">
        <v>8692</v>
      </c>
      <c r="C3375" s="1087" t="s">
        <v>1731</v>
      </c>
      <c r="D3375" s="1088">
        <v>10.82</v>
      </c>
      <c r="E3375" s="1089" t="s">
        <v>5308</v>
      </c>
      <c r="F3375" s="1081">
        <f t="shared" si="1"/>
        <v>0</v>
      </c>
      <c r="G3375" s="1083">
        <f t="shared" si="2"/>
        <v>10.82</v>
      </c>
      <c r="H3375" s="1084"/>
    </row>
    <row r="3376" ht="14.25" customHeight="1">
      <c r="A3376" s="1085">
        <v>39328.0</v>
      </c>
      <c r="B3376" s="1086" t="s">
        <v>8693</v>
      </c>
      <c r="C3376" s="1087" t="s">
        <v>1731</v>
      </c>
      <c r="D3376" s="1088">
        <v>5.95</v>
      </c>
      <c r="E3376" s="1089" t="s">
        <v>5308</v>
      </c>
      <c r="F3376" s="1081">
        <f t="shared" si="1"/>
        <v>0</v>
      </c>
      <c r="G3376" s="1083">
        <f t="shared" si="2"/>
        <v>5.95</v>
      </c>
      <c r="H3376" s="1084"/>
    </row>
    <row r="3377" ht="14.25" customHeight="1">
      <c r="A3377" s="1085">
        <v>38541.0</v>
      </c>
      <c r="B3377" s="1086" t="s">
        <v>8694</v>
      </c>
      <c r="C3377" s="1087" t="s">
        <v>1788</v>
      </c>
      <c r="D3377" s="1088">
        <v>4220789.44</v>
      </c>
      <c r="E3377" s="1089" t="s">
        <v>5482</v>
      </c>
      <c r="F3377" s="1081">
        <f t="shared" si="1"/>
        <v>0</v>
      </c>
      <c r="G3377" s="1083">
        <f t="shared" si="2"/>
        <v>4220789.44</v>
      </c>
      <c r="H3377" s="1084"/>
    </row>
    <row r="3378" ht="14.25" customHeight="1">
      <c r="A3378" s="1085">
        <v>38542.0</v>
      </c>
      <c r="B3378" s="1086" t="s">
        <v>8695</v>
      </c>
      <c r="C3378" s="1087" t="s">
        <v>1788</v>
      </c>
      <c r="D3378" s="1088">
        <v>6563157.85</v>
      </c>
      <c r="E3378" s="1089" t="s">
        <v>5482</v>
      </c>
      <c r="F3378" s="1081">
        <f t="shared" si="1"/>
        <v>0</v>
      </c>
      <c r="G3378" s="1083">
        <f t="shared" si="2"/>
        <v>6563157.85</v>
      </c>
      <c r="H3378" s="1084"/>
    </row>
    <row r="3379" ht="14.25" customHeight="1">
      <c r="A3379" s="1085">
        <v>38543.0</v>
      </c>
      <c r="B3379" s="1086" t="s">
        <v>8696</v>
      </c>
      <c r="C3379" s="1087" t="s">
        <v>1788</v>
      </c>
      <c r="D3379" s="1088">
        <v>1606842.14</v>
      </c>
      <c r="E3379" s="1089" t="s">
        <v>5482</v>
      </c>
      <c r="F3379" s="1081">
        <f t="shared" si="1"/>
        <v>0</v>
      </c>
      <c r="G3379" s="1083">
        <f t="shared" si="2"/>
        <v>1606842.14</v>
      </c>
      <c r="H3379" s="1084"/>
    </row>
    <row r="3380" ht="14.25" customHeight="1">
      <c r="A3380" s="1085">
        <v>40406.0</v>
      </c>
      <c r="B3380" s="1086" t="s">
        <v>8697</v>
      </c>
      <c r="C3380" s="1087" t="s">
        <v>1788</v>
      </c>
      <c r="D3380" s="1088">
        <v>57697.83</v>
      </c>
      <c r="E3380" s="1089" t="s">
        <v>5482</v>
      </c>
      <c r="F3380" s="1081">
        <f t="shared" si="1"/>
        <v>0</v>
      </c>
      <c r="G3380" s="1083">
        <f t="shared" si="2"/>
        <v>57697.83</v>
      </c>
      <c r="H3380" s="1084"/>
    </row>
    <row r="3381" ht="14.25" customHeight="1">
      <c r="A3381" s="1085">
        <v>40789.0</v>
      </c>
      <c r="B3381" s="1086" t="s">
        <v>8698</v>
      </c>
      <c r="C3381" s="1087" t="s">
        <v>1788</v>
      </c>
      <c r="D3381" s="1088">
        <v>8314.85</v>
      </c>
      <c r="E3381" s="1089" t="s">
        <v>5482</v>
      </c>
      <c r="F3381" s="1081">
        <f t="shared" si="1"/>
        <v>0</v>
      </c>
      <c r="G3381" s="1083">
        <f t="shared" si="2"/>
        <v>8314.85</v>
      </c>
      <c r="H3381" s="1084"/>
    </row>
    <row r="3382" ht="14.25" customHeight="1">
      <c r="A3382" s="1085">
        <v>40791.0</v>
      </c>
      <c r="B3382" s="1086" t="s">
        <v>8699</v>
      </c>
      <c r="C3382" s="1087" t="s">
        <v>1788</v>
      </c>
      <c r="D3382" s="1088">
        <v>26029.1</v>
      </c>
      <c r="E3382" s="1089" t="s">
        <v>5482</v>
      </c>
      <c r="F3382" s="1081">
        <f t="shared" si="1"/>
        <v>0</v>
      </c>
      <c r="G3382" s="1083">
        <f t="shared" si="2"/>
        <v>26029.1</v>
      </c>
      <c r="H3382" s="1084"/>
    </row>
    <row r="3383" ht="14.25" customHeight="1">
      <c r="A3383" s="1085">
        <v>11651.0</v>
      </c>
      <c r="B3383" s="1086" t="s">
        <v>8700</v>
      </c>
      <c r="C3383" s="1087" t="s">
        <v>1788</v>
      </c>
      <c r="D3383" s="1088">
        <v>14235.68</v>
      </c>
      <c r="E3383" s="1089" t="s">
        <v>5482</v>
      </c>
      <c r="F3383" s="1081">
        <f t="shared" si="1"/>
        <v>0</v>
      </c>
      <c r="G3383" s="1083">
        <f t="shared" si="2"/>
        <v>14235.68</v>
      </c>
      <c r="H3383" s="1084"/>
    </row>
    <row r="3384" ht="14.25" customHeight="1">
      <c r="A3384" s="1085">
        <v>40435.0</v>
      </c>
      <c r="B3384" s="1086" t="s">
        <v>8701</v>
      </c>
      <c r="C3384" s="1087" t="s">
        <v>1788</v>
      </c>
      <c r="D3384" s="1088">
        <v>881500.0</v>
      </c>
      <c r="E3384" s="1089" t="s">
        <v>5482</v>
      </c>
      <c r="F3384" s="1081">
        <f t="shared" si="1"/>
        <v>0</v>
      </c>
      <c r="G3384" s="1083">
        <f t="shared" si="2"/>
        <v>881500</v>
      </c>
      <c r="H3384" s="1084"/>
    </row>
    <row r="3385" ht="14.25" customHeight="1">
      <c r="A3385" s="1085">
        <v>39012.0</v>
      </c>
      <c r="B3385" s="1086" t="s">
        <v>8702</v>
      </c>
      <c r="C3385" s="1087" t="s">
        <v>1788</v>
      </c>
      <c r="D3385" s="1088">
        <v>919723.38</v>
      </c>
      <c r="E3385" s="1089" t="s">
        <v>5482</v>
      </c>
      <c r="F3385" s="1081">
        <f t="shared" si="1"/>
        <v>0</v>
      </c>
      <c r="G3385" s="1083">
        <f t="shared" si="2"/>
        <v>919723.38</v>
      </c>
      <c r="H3385" s="1084"/>
    </row>
    <row r="3386" ht="14.25" customHeight="1">
      <c r="A3386" s="1085">
        <v>13617.0</v>
      </c>
      <c r="B3386" s="1086" t="s">
        <v>8703</v>
      </c>
      <c r="C3386" s="1087" t="s">
        <v>1788</v>
      </c>
      <c r="D3386" s="1088">
        <v>101696.95</v>
      </c>
      <c r="E3386" s="1089" t="s">
        <v>5482</v>
      </c>
      <c r="F3386" s="1081">
        <f t="shared" si="1"/>
        <v>0</v>
      </c>
      <c r="G3386" s="1083">
        <f t="shared" si="2"/>
        <v>101696.95</v>
      </c>
      <c r="H3386" s="1084"/>
    </row>
    <row r="3387" ht="14.25" customHeight="1">
      <c r="A3387" s="1085">
        <v>35274.0</v>
      </c>
      <c r="B3387" s="1086" t="s">
        <v>8704</v>
      </c>
      <c r="C3387" s="1087" t="s">
        <v>1731</v>
      </c>
      <c r="D3387" s="1088">
        <v>70.03</v>
      </c>
      <c r="E3387" s="1089" t="s">
        <v>5308</v>
      </c>
      <c r="F3387" s="1081">
        <f t="shared" si="1"/>
        <v>0</v>
      </c>
      <c r="G3387" s="1083">
        <f t="shared" si="2"/>
        <v>70.03</v>
      </c>
      <c r="H3387" s="1084"/>
    </row>
    <row r="3388" ht="14.25" customHeight="1">
      <c r="A3388" s="1085">
        <v>35275.0</v>
      </c>
      <c r="B3388" s="1086" t="s">
        <v>8705</v>
      </c>
      <c r="C3388" s="1087" t="s">
        <v>1731</v>
      </c>
      <c r="D3388" s="1088">
        <v>148.64</v>
      </c>
      <c r="E3388" s="1089" t="s">
        <v>5308</v>
      </c>
      <c r="F3388" s="1081">
        <f t="shared" si="1"/>
        <v>0</v>
      </c>
      <c r="G3388" s="1083">
        <f t="shared" si="2"/>
        <v>148.64</v>
      </c>
      <c r="H3388" s="1084"/>
    </row>
    <row r="3389" ht="14.25" customHeight="1">
      <c r="A3389" s="1085">
        <v>35276.0</v>
      </c>
      <c r="B3389" s="1086" t="s">
        <v>8706</v>
      </c>
      <c r="C3389" s="1087" t="s">
        <v>1731</v>
      </c>
      <c r="D3389" s="1088">
        <v>258.64</v>
      </c>
      <c r="E3389" s="1089" t="s">
        <v>5308</v>
      </c>
      <c r="F3389" s="1081">
        <f t="shared" si="1"/>
        <v>0</v>
      </c>
      <c r="G3389" s="1083">
        <f t="shared" si="2"/>
        <v>258.64</v>
      </c>
      <c r="H3389" s="1084"/>
    </row>
    <row r="3390" ht="14.25" customHeight="1">
      <c r="A3390" s="1085">
        <v>38386.0</v>
      </c>
      <c r="B3390" s="1086" t="s">
        <v>8707</v>
      </c>
      <c r="C3390" s="1087" t="s">
        <v>1788</v>
      </c>
      <c r="D3390" s="1088">
        <v>5.0</v>
      </c>
      <c r="E3390" s="1089" t="s">
        <v>5308</v>
      </c>
      <c r="F3390" s="1081">
        <f t="shared" si="1"/>
        <v>0</v>
      </c>
      <c r="G3390" s="1083">
        <f t="shared" si="2"/>
        <v>5</v>
      </c>
      <c r="H3390" s="1084"/>
    </row>
    <row r="3391" ht="14.25" customHeight="1">
      <c r="A3391" s="1085">
        <v>11091.0</v>
      </c>
      <c r="B3391" s="1086" t="s">
        <v>8708</v>
      </c>
      <c r="C3391" s="1087" t="s">
        <v>1788</v>
      </c>
      <c r="D3391" s="1088">
        <v>1.22</v>
      </c>
      <c r="E3391" s="1089" t="s">
        <v>5308</v>
      </c>
      <c r="F3391" s="1081">
        <f t="shared" si="1"/>
        <v>0</v>
      </c>
      <c r="G3391" s="1083">
        <f t="shared" si="2"/>
        <v>1.22</v>
      </c>
      <c r="H3391" s="1084"/>
    </row>
    <row r="3392" ht="14.25" customHeight="1">
      <c r="A3392" s="1085">
        <v>37586.0</v>
      </c>
      <c r="B3392" s="1086" t="s">
        <v>8709</v>
      </c>
      <c r="C3392" s="1087" t="s">
        <v>7392</v>
      </c>
      <c r="D3392" s="1088">
        <v>45.05</v>
      </c>
      <c r="E3392" s="1089" t="s">
        <v>5308</v>
      </c>
      <c r="F3392" s="1081">
        <f t="shared" si="1"/>
        <v>0</v>
      </c>
      <c r="G3392" s="1083">
        <f t="shared" si="2"/>
        <v>45.05</v>
      </c>
      <c r="H3392" s="1084"/>
    </row>
    <row r="3393" ht="14.25" customHeight="1">
      <c r="A3393" s="1085">
        <v>37395.0</v>
      </c>
      <c r="B3393" s="1086" t="s">
        <v>8710</v>
      </c>
      <c r="C3393" s="1087" t="s">
        <v>7392</v>
      </c>
      <c r="D3393" s="1088">
        <v>38.74</v>
      </c>
      <c r="E3393" s="1089" t="s">
        <v>5308</v>
      </c>
      <c r="F3393" s="1081">
        <f t="shared" si="1"/>
        <v>0</v>
      </c>
      <c r="G3393" s="1083">
        <f t="shared" si="2"/>
        <v>38.74</v>
      </c>
      <c r="H3393" s="1084"/>
    </row>
    <row r="3394" ht="14.25" customHeight="1">
      <c r="A3394" s="1085">
        <v>14147.0</v>
      </c>
      <c r="B3394" s="1086" t="s">
        <v>8711</v>
      </c>
      <c r="C3394" s="1087" t="s">
        <v>7392</v>
      </c>
      <c r="D3394" s="1088">
        <v>51.39</v>
      </c>
      <c r="E3394" s="1089" t="s">
        <v>5308</v>
      </c>
      <c r="F3394" s="1081">
        <f t="shared" si="1"/>
        <v>0</v>
      </c>
      <c r="G3394" s="1083">
        <f t="shared" si="2"/>
        <v>51.39</v>
      </c>
      <c r="H3394" s="1084"/>
    </row>
    <row r="3395" ht="14.25" customHeight="1">
      <c r="A3395" s="1085">
        <v>37396.0</v>
      </c>
      <c r="B3395" s="1086" t="s">
        <v>8712</v>
      </c>
      <c r="C3395" s="1087" t="s">
        <v>7392</v>
      </c>
      <c r="D3395" s="1088">
        <v>31.7</v>
      </c>
      <c r="E3395" s="1089" t="s">
        <v>5308</v>
      </c>
      <c r="F3395" s="1081">
        <f t="shared" si="1"/>
        <v>0</v>
      </c>
      <c r="G3395" s="1083">
        <f t="shared" si="2"/>
        <v>31.7</v>
      </c>
      <c r="H3395" s="1084"/>
    </row>
    <row r="3396" ht="14.25" customHeight="1">
      <c r="A3396" s="1085">
        <v>37397.0</v>
      </c>
      <c r="B3396" s="1086" t="s">
        <v>8713</v>
      </c>
      <c r="C3396" s="1087" t="s">
        <v>7392</v>
      </c>
      <c r="D3396" s="1088">
        <v>33.21</v>
      </c>
      <c r="E3396" s="1089" t="s">
        <v>5308</v>
      </c>
      <c r="F3396" s="1081">
        <f t="shared" si="1"/>
        <v>0</v>
      </c>
      <c r="G3396" s="1083">
        <f t="shared" si="2"/>
        <v>33.21</v>
      </c>
      <c r="H3396" s="1084"/>
    </row>
    <row r="3397" ht="14.25" customHeight="1">
      <c r="A3397" s="1085">
        <v>43606.0</v>
      </c>
      <c r="B3397" s="1086" t="s">
        <v>8714</v>
      </c>
      <c r="C3397" s="1087" t="s">
        <v>1788</v>
      </c>
      <c r="D3397" s="1088">
        <v>8.58</v>
      </c>
      <c r="E3397" s="1089" t="s">
        <v>5308</v>
      </c>
      <c r="F3397" s="1081">
        <f t="shared" si="1"/>
        <v>0</v>
      </c>
      <c r="G3397" s="1083">
        <f t="shared" si="2"/>
        <v>8.58</v>
      </c>
      <c r="H3397" s="1084"/>
    </row>
    <row r="3398" ht="14.25" customHeight="1">
      <c r="A3398" s="1085">
        <v>444.0</v>
      </c>
      <c r="B3398" s="1086" t="s">
        <v>8715</v>
      </c>
      <c r="C3398" s="1087" t="s">
        <v>1788</v>
      </c>
      <c r="D3398" s="1088">
        <v>18.58</v>
      </c>
      <c r="E3398" s="1089" t="s">
        <v>5308</v>
      </c>
      <c r="F3398" s="1081">
        <f t="shared" si="1"/>
        <v>0</v>
      </c>
      <c r="G3398" s="1083">
        <f t="shared" si="2"/>
        <v>18.58</v>
      </c>
      <c r="H3398" s="1084"/>
    </row>
    <row r="3399" ht="14.25" customHeight="1">
      <c r="A3399" s="1085">
        <v>445.0</v>
      </c>
      <c r="B3399" s="1086" t="s">
        <v>8716</v>
      </c>
      <c r="C3399" s="1087" t="s">
        <v>1788</v>
      </c>
      <c r="D3399" s="1088">
        <v>25.43</v>
      </c>
      <c r="E3399" s="1089" t="s">
        <v>5308</v>
      </c>
      <c r="F3399" s="1081">
        <f t="shared" si="1"/>
        <v>0</v>
      </c>
      <c r="G3399" s="1083">
        <f t="shared" si="2"/>
        <v>25.43</v>
      </c>
      <c r="H3399" s="1084"/>
    </row>
    <row r="3400" ht="14.25" customHeight="1">
      <c r="A3400" s="1085">
        <v>4783.0</v>
      </c>
      <c r="B3400" s="1086" t="s">
        <v>8717</v>
      </c>
      <c r="C3400" s="1087" t="s">
        <v>1470</v>
      </c>
      <c r="D3400" s="1088">
        <v>20.82</v>
      </c>
      <c r="E3400" s="1089" t="s">
        <v>5452</v>
      </c>
      <c r="F3400" s="1081">
        <f t="shared" si="1"/>
        <v>20.82</v>
      </c>
      <c r="G3400" s="1083">
        <f t="shared" si="2"/>
        <v>0</v>
      </c>
      <c r="H3400" s="1084"/>
    </row>
    <row r="3401" ht="14.25" customHeight="1">
      <c r="A3401" s="1085">
        <v>41079.0</v>
      </c>
      <c r="B3401" s="1086" t="s">
        <v>8718</v>
      </c>
      <c r="C3401" s="1087" t="s">
        <v>5454</v>
      </c>
      <c r="D3401" s="1088">
        <v>3643.51</v>
      </c>
      <c r="E3401" s="1089" t="s">
        <v>5452</v>
      </c>
      <c r="F3401" s="1081">
        <f t="shared" si="1"/>
        <v>3643.51</v>
      </c>
      <c r="G3401" s="1083">
        <f t="shared" si="2"/>
        <v>0</v>
      </c>
      <c r="H3401" s="1084"/>
    </row>
    <row r="3402" ht="14.25" customHeight="1">
      <c r="A3402" s="1085">
        <v>12874.0</v>
      </c>
      <c r="B3402" s="1086" t="s">
        <v>8719</v>
      </c>
      <c r="C3402" s="1087" t="s">
        <v>1470</v>
      </c>
      <c r="D3402" s="1088">
        <v>20.2</v>
      </c>
      <c r="E3402" s="1089" t="s">
        <v>5452</v>
      </c>
      <c r="F3402" s="1081">
        <f t="shared" si="1"/>
        <v>20.2</v>
      </c>
      <c r="G3402" s="1083">
        <f t="shared" si="2"/>
        <v>0</v>
      </c>
      <c r="H3402" s="1084"/>
    </row>
    <row r="3403" ht="14.25" customHeight="1">
      <c r="A3403" s="1085">
        <v>41082.0</v>
      </c>
      <c r="B3403" s="1086" t="s">
        <v>8720</v>
      </c>
      <c r="C3403" s="1087" t="s">
        <v>5454</v>
      </c>
      <c r="D3403" s="1088">
        <v>3538.09</v>
      </c>
      <c r="E3403" s="1089" t="s">
        <v>5452</v>
      </c>
      <c r="F3403" s="1081">
        <f t="shared" si="1"/>
        <v>3538.09</v>
      </c>
      <c r="G3403" s="1083">
        <f t="shared" si="2"/>
        <v>0</v>
      </c>
      <c r="H3403" s="1084"/>
    </row>
    <row r="3404" ht="14.25" customHeight="1">
      <c r="A3404" s="1085">
        <v>4785.0</v>
      </c>
      <c r="B3404" s="1086" t="s">
        <v>8721</v>
      </c>
      <c r="C3404" s="1087" t="s">
        <v>1470</v>
      </c>
      <c r="D3404" s="1088">
        <v>20.82</v>
      </c>
      <c r="E3404" s="1089" t="s">
        <v>5452</v>
      </c>
      <c r="F3404" s="1081">
        <f t="shared" si="1"/>
        <v>20.82</v>
      </c>
      <c r="G3404" s="1083">
        <f t="shared" si="2"/>
        <v>0</v>
      </c>
      <c r="H3404" s="1084"/>
    </row>
    <row r="3405" ht="14.25" customHeight="1">
      <c r="A3405" s="1085">
        <v>41081.0</v>
      </c>
      <c r="B3405" s="1086" t="s">
        <v>8722</v>
      </c>
      <c r="C3405" s="1087" t="s">
        <v>5454</v>
      </c>
      <c r="D3405" s="1088">
        <v>3643.51</v>
      </c>
      <c r="E3405" s="1089" t="s">
        <v>5452</v>
      </c>
      <c r="F3405" s="1081">
        <f t="shared" si="1"/>
        <v>3643.51</v>
      </c>
      <c r="G3405" s="1083">
        <f t="shared" si="2"/>
        <v>0</v>
      </c>
      <c r="H3405" s="1084"/>
    </row>
    <row r="3406" ht="14.25" customHeight="1">
      <c r="A3406" s="1085">
        <v>4801.0</v>
      </c>
      <c r="B3406" s="1086" t="s">
        <v>8723</v>
      </c>
      <c r="C3406" s="1087" t="s">
        <v>1814</v>
      </c>
      <c r="D3406" s="1088">
        <v>75.46</v>
      </c>
      <c r="E3406" s="1089" t="s">
        <v>5308</v>
      </c>
      <c r="F3406" s="1081">
        <f t="shared" si="1"/>
        <v>0</v>
      </c>
      <c r="G3406" s="1083">
        <f t="shared" si="2"/>
        <v>75.46</v>
      </c>
      <c r="H3406" s="1084"/>
    </row>
    <row r="3407" ht="14.25" customHeight="1">
      <c r="A3407" s="1085">
        <v>4794.0</v>
      </c>
      <c r="B3407" s="1086" t="s">
        <v>8724</v>
      </c>
      <c r="C3407" s="1087" t="s">
        <v>1814</v>
      </c>
      <c r="D3407" s="1088">
        <v>343.67</v>
      </c>
      <c r="E3407" s="1089" t="s">
        <v>5308</v>
      </c>
      <c r="F3407" s="1081">
        <f t="shared" si="1"/>
        <v>0</v>
      </c>
      <c r="G3407" s="1083">
        <f t="shared" si="2"/>
        <v>343.67</v>
      </c>
      <c r="H3407" s="1084"/>
    </row>
    <row r="3408" ht="14.25" customHeight="1">
      <c r="A3408" s="1085">
        <v>4796.0</v>
      </c>
      <c r="B3408" s="1086" t="s">
        <v>8725</v>
      </c>
      <c r="C3408" s="1087" t="s">
        <v>1814</v>
      </c>
      <c r="D3408" s="1088">
        <v>208.74</v>
      </c>
      <c r="E3408" s="1089" t="s">
        <v>5308</v>
      </c>
      <c r="F3408" s="1081">
        <f t="shared" si="1"/>
        <v>0</v>
      </c>
      <c r="G3408" s="1083">
        <f t="shared" si="2"/>
        <v>208.74</v>
      </c>
      <c r="H3408" s="1084"/>
    </row>
    <row r="3409" ht="14.25" customHeight="1">
      <c r="A3409" s="1085">
        <v>4800.0</v>
      </c>
      <c r="B3409" s="1086" t="s">
        <v>8726</v>
      </c>
      <c r="C3409" s="1087" t="s">
        <v>1814</v>
      </c>
      <c r="D3409" s="1088">
        <v>57.4</v>
      </c>
      <c r="E3409" s="1089" t="s">
        <v>5308</v>
      </c>
      <c r="F3409" s="1081">
        <f t="shared" si="1"/>
        <v>0</v>
      </c>
      <c r="G3409" s="1083">
        <f t="shared" si="2"/>
        <v>57.4</v>
      </c>
      <c r="H3409" s="1084"/>
    </row>
    <row r="3410" ht="14.25" customHeight="1">
      <c r="A3410" s="1085">
        <v>4795.0</v>
      </c>
      <c r="B3410" s="1086" t="s">
        <v>8727</v>
      </c>
      <c r="C3410" s="1087" t="s">
        <v>1814</v>
      </c>
      <c r="D3410" s="1088">
        <v>334.55</v>
      </c>
      <c r="E3410" s="1089" t="s">
        <v>5308</v>
      </c>
      <c r="F3410" s="1081">
        <f t="shared" si="1"/>
        <v>0</v>
      </c>
      <c r="G3410" s="1083">
        <f t="shared" si="2"/>
        <v>334.55</v>
      </c>
      <c r="H3410" s="1084"/>
    </row>
    <row r="3411" ht="14.25" customHeight="1">
      <c r="A3411" s="1085">
        <v>39694.0</v>
      </c>
      <c r="B3411" s="1086" t="s">
        <v>8728</v>
      </c>
      <c r="C3411" s="1087" t="s">
        <v>1814</v>
      </c>
      <c r="D3411" s="1088">
        <v>588.21</v>
      </c>
      <c r="E3411" s="1089" t="s">
        <v>5308</v>
      </c>
      <c r="F3411" s="1081">
        <f t="shared" si="1"/>
        <v>0</v>
      </c>
      <c r="G3411" s="1083">
        <f t="shared" si="2"/>
        <v>588.21</v>
      </c>
      <c r="H3411" s="1084"/>
    </row>
    <row r="3412" ht="14.25" customHeight="1">
      <c r="A3412" s="1085">
        <v>1292.0</v>
      </c>
      <c r="B3412" s="1086" t="s">
        <v>8729</v>
      </c>
      <c r="C3412" s="1087" t="s">
        <v>1814</v>
      </c>
      <c r="D3412" s="1088">
        <v>63.76</v>
      </c>
      <c r="E3412" s="1089" t="s">
        <v>5308</v>
      </c>
      <c r="F3412" s="1081">
        <f t="shared" si="1"/>
        <v>0</v>
      </c>
      <c r="G3412" s="1083">
        <f t="shared" si="2"/>
        <v>63.76</v>
      </c>
      <c r="H3412" s="1084"/>
    </row>
    <row r="3413" ht="14.25" customHeight="1">
      <c r="A3413" s="1085">
        <v>1287.0</v>
      </c>
      <c r="B3413" s="1086" t="s">
        <v>8730</v>
      </c>
      <c r="C3413" s="1087" t="s">
        <v>1814</v>
      </c>
      <c r="D3413" s="1088">
        <v>31.28</v>
      </c>
      <c r="E3413" s="1089" t="s">
        <v>5308</v>
      </c>
      <c r="F3413" s="1081">
        <f t="shared" si="1"/>
        <v>0</v>
      </c>
      <c r="G3413" s="1083">
        <f t="shared" si="2"/>
        <v>31.28</v>
      </c>
      <c r="H3413" s="1084"/>
    </row>
    <row r="3414" ht="14.25" customHeight="1">
      <c r="A3414" s="1085">
        <v>1297.0</v>
      </c>
      <c r="B3414" s="1086" t="s">
        <v>8731</v>
      </c>
      <c r="C3414" s="1087" t="s">
        <v>1814</v>
      </c>
      <c r="D3414" s="1088">
        <v>25.94</v>
      </c>
      <c r="E3414" s="1089" t="s">
        <v>5308</v>
      </c>
      <c r="F3414" s="1081">
        <f t="shared" si="1"/>
        <v>0</v>
      </c>
      <c r="G3414" s="1083">
        <f t="shared" si="2"/>
        <v>25.94</v>
      </c>
      <c r="H3414" s="1084"/>
    </row>
    <row r="3415" ht="14.25" customHeight="1">
      <c r="A3415" s="1085">
        <v>4786.0</v>
      </c>
      <c r="B3415" s="1086" t="s">
        <v>8732</v>
      </c>
      <c r="C3415" s="1087" t="s">
        <v>1814</v>
      </c>
      <c r="D3415" s="1088">
        <v>108.5</v>
      </c>
      <c r="E3415" s="1089" t="s">
        <v>5308</v>
      </c>
      <c r="F3415" s="1081">
        <f t="shared" si="1"/>
        <v>0</v>
      </c>
      <c r="G3415" s="1083">
        <f t="shared" si="2"/>
        <v>108.5</v>
      </c>
      <c r="H3415" s="1084"/>
    </row>
    <row r="3416" ht="14.25" customHeight="1">
      <c r="A3416" s="1085">
        <v>10840.0</v>
      </c>
      <c r="B3416" s="1086" t="s">
        <v>8733</v>
      </c>
      <c r="C3416" s="1087" t="s">
        <v>1814</v>
      </c>
      <c r="D3416" s="1088">
        <v>400.0</v>
      </c>
      <c r="E3416" s="1089" t="s">
        <v>5308</v>
      </c>
      <c r="F3416" s="1081">
        <f t="shared" si="1"/>
        <v>0</v>
      </c>
      <c r="G3416" s="1083">
        <f t="shared" si="2"/>
        <v>400</v>
      </c>
      <c r="H3416" s="1084"/>
    </row>
    <row r="3417" ht="14.25" customHeight="1">
      <c r="A3417" s="1085">
        <v>10841.0</v>
      </c>
      <c r="B3417" s="1086" t="s">
        <v>8734</v>
      </c>
      <c r="C3417" s="1087" t="s">
        <v>1814</v>
      </c>
      <c r="D3417" s="1088">
        <v>301.88</v>
      </c>
      <c r="E3417" s="1089" t="s">
        <v>5308</v>
      </c>
      <c r="F3417" s="1081">
        <f t="shared" si="1"/>
        <v>0</v>
      </c>
      <c r="G3417" s="1083">
        <f t="shared" si="2"/>
        <v>301.88</v>
      </c>
      <c r="H3417" s="1084"/>
    </row>
    <row r="3418" ht="14.25" customHeight="1">
      <c r="A3418" s="1085">
        <v>44540.0</v>
      </c>
      <c r="B3418" s="1086" t="s">
        <v>8735</v>
      </c>
      <c r="C3418" s="1087" t="s">
        <v>1814</v>
      </c>
      <c r="D3418" s="1088">
        <v>385.74</v>
      </c>
      <c r="E3418" s="1089" t="s">
        <v>5554</v>
      </c>
      <c r="F3418" s="1081">
        <f t="shared" si="1"/>
        <v>0</v>
      </c>
      <c r="G3418" s="1083">
        <f t="shared" si="2"/>
        <v>385.74</v>
      </c>
      <c r="H3418" s="1084"/>
    </row>
    <row r="3419" ht="14.25" customHeight="1">
      <c r="A3419" s="1085">
        <v>10842.0</v>
      </c>
      <c r="B3419" s="1086" t="s">
        <v>8736</v>
      </c>
      <c r="C3419" s="1087" t="s">
        <v>1814</v>
      </c>
      <c r="D3419" s="1088">
        <v>436.05</v>
      </c>
      <c r="E3419" s="1089" t="s">
        <v>5308</v>
      </c>
      <c r="F3419" s="1081">
        <f t="shared" si="1"/>
        <v>0</v>
      </c>
      <c r="G3419" s="1083">
        <f t="shared" si="2"/>
        <v>436.05</v>
      </c>
      <c r="H3419" s="1084"/>
    </row>
    <row r="3420" ht="14.25" customHeight="1">
      <c r="A3420" s="1085">
        <v>21108.0</v>
      </c>
      <c r="B3420" s="1086" t="s">
        <v>8737</v>
      </c>
      <c r="C3420" s="1087" t="s">
        <v>1814</v>
      </c>
      <c r="D3420" s="1088">
        <v>84.98</v>
      </c>
      <c r="E3420" s="1089" t="s">
        <v>5308</v>
      </c>
      <c r="F3420" s="1081">
        <f t="shared" si="1"/>
        <v>0</v>
      </c>
      <c r="G3420" s="1083">
        <f t="shared" si="2"/>
        <v>84.98</v>
      </c>
      <c r="H3420" s="1084"/>
    </row>
    <row r="3421" ht="14.25" customHeight="1">
      <c r="A3421" s="1085">
        <v>38180.0</v>
      </c>
      <c r="B3421" s="1086" t="s">
        <v>8738</v>
      </c>
      <c r="C3421" s="1087" t="s">
        <v>1814</v>
      </c>
      <c r="D3421" s="1088">
        <v>168.06</v>
      </c>
      <c r="E3421" s="1089" t="s">
        <v>5308</v>
      </c>
      <c r="F3421" s="1081">
        <f t="shared" si="1"/>
        <v>0</v>
      </c>
      <c r="G3421" s="1083">
        <f t="shared" si="2"/>
        <v>168.06</v>
      </c>
      <c r="H3421" s="1084"/>
    </row>
    <row r="3422" ht="14.25" customHeight="1">
      <c r="A3422" s="1085">
        <v>40648.0</v>
      </c>
      <c r="B3422" s="1086" t="s">
        <v>8739</v>
      </c>
      <c r="C3422" s="1087" t="s">
        <v>1814</v>
      </c>
      <c r="D3422" s="1088">
        <v>208.32</v>
      </c>
      <c r="E3422" s="1089" t="s">
        <v>5308</v>
      </c>
      <c r="F3422" s="1081">
        <f t="shared" si="1"/>
        <v>0</v>
      </c>
      <c r="G3422" s="1083">
        <f t="shared" si="2"/>
        <v>208.32</v>
      </c>
      <c r="H3422" s="1084"/>
    </row>
    <row r="3423" ht="14.25" customHeight="1">
      <c r="A3423" s="1085">
        <v>40649.0</v>
      </c>
      <c r="B3423" s="1086" t="s">
        <v>8740</v>
      </c>
      <c r="C3423" s="1087" t="s">
        <v>1814</v>
      </c>
      <c r="D3423" s="1088">
        <v>121.34</v>
      </c>
      <c r="E3423" s="1089" t="s">
        <v>5308</v>
      </c>
      <c r="F3423" s="1081">
        <f t="shared" si="1"/>
        <v>0</v>
      </c>
      <c r="G3423" s="1083">
        <f t="shared" si="2"/>
        <v>121.34</v>
      </c>
      <c r="H3423" s="1084"/>
    </row>
    <row r="3424" ht="14.25" customHeight="1">
      <c r="A3424" s="1085">
        <v>40650.0</v>
      </c>
      <c r="B3424" s="1086" t="s">
        <v>8741</v>
      </c>
      <c r="C3424" s="1087" t="s">
        <v>1814</v>
      </c>
      <c r="D3424" s="1088">
        <v>156.24</v>
      </c>
      <c r="E3424" s="1089" t="s">
        <v>5308</v>
      </c>
      <c r="F3424" s="1081">
        <f t="shared" si="1"/>
        <v>0</v>
      </c>
      <c r="G3424" s="1083">
        <f t="shared" si="2"/>
        <v>156.24</v>
      </c>
      <c r="H3424" s="1084"/>
    </row>
    <row r="3425" ht="14.25" customHeight="1">
      <c r="A3425" s="1085">
        <v>40651.0</v>
      </c>
      <c r="B3425" s="1086" t="s">
        <v>8742</v>
      </c>
      <c r="C3425" s="1087" t="s">
        <v>1814</v>
      </c>
      <c r="D3425" s="1088">
        <v>288.17</v>
      </c>
      <c r="E3425" s="1089" t="s">
        <v>5308</v>
      </c>
      <c r="F3425" s="1081">
        <f t="shared" si="1"/>
        <v>0</v>
      </c>
      <c r="G3425" s="1083">
        <f t="shared" si="2"/>
        <v>288.17</v>
      </c>
      <c r="H3425" s="1084"/>
    </row>
    <row r="3426" ht="14.25" customHeight="1">
      <c r="A3426" s="1085">
        <v>40652.0</v>
      </c>
      <c r="B3426" s="1086" t="s">
        <v>8743</v>
      </c>
      <c r="C3426" s="1087" t="s">
        <v>1814</v>
      </c>
      <c r="D3426" s="1088">
        <v>154.5</v>
      </c>
      <c r="E3426" s="1089" t="s">
        <v>5308</v>
      </c>
      <c r="F3426" s="1081">
        <f t="shared" si="1"/>
        <v>0</v>
      </c>
      <c r="G3426" s="1083">
        <f t="shared" si="2"/>
        <v>154.5</v>
      </c>
      <c r="H3426" s="1084"/>
    </row>
    <row r="3427" ht="14.25" customHeight="1">
      <c r="A3427" s="1085">
        <v>40647.0</v>
      </c>
      <c r="B3427" s="1086" t="s">
        <v>8744</v>
      </c>
      <c r="C3427" s="1087" t="s">
        <v>1814</v>
      </c>
      <c r="D3427" s="1088">
        <v>170.12</v>
      </c>
      <c r="E3427" s="1089" t="s">
        <v>5308</v>
      </c>
      <c r="F3427" s="1081">
        <f t="shared" si="1"/>
        <v>0</v>
      </c>
      <c r="G3427" s="1083">
        <f t="shared" si="2"/>
        <v>170.12</v>
      </c>
      <c r="H3427" s="1084"/>
    </row>
    <row r="3428" ht="14.25" customHeight="1">
      <c r="A3428" s="1085">
        <v>40653.0</v>
      </c>
      <c r="B3428" s="1086" t="s">
        <v>8745</v>
      </c>
      <c r="C3428" s="1087" t="s">
        <v>1814</v>
      </c>
      <c r="D3428" s="1088">
        <v>130.2</v>
      </c>
      <c r="E3428" s="1089" t="s">
        <v>5308</v>
      </c>
      <c r="F3428" s="1081">
        <f t="shared" si="1"/>
        <v>0</v>
      </c>
      <c r="G3428" s="1083">
        <f t="shared" si="2"/>
        <v>130.2</v>
      </c>
      <c r="H3428" s="1084"/>
    </row>
    <row r="3429" ht="14.25" customHeight="1">
      <c r="A3429" s="1085">
        <v>36178.0</v>
      </c>
      <c r="B3429" s="1086" t="s">
        <v>8746</v>
      </c>
      <c r="C3429" s="1087" t="s">
        <v>1788</v>
      </c>
      <c r="D3429" s="1088">
        <v>10.06</v>
      </c>
      <c r="E3429" s="1089" t="s">
        <v>5308</v>
      </c>
      <c r="F3429" s="1081">
        <f t="shared" si="1"/>
        <v>0</v>
      </c>
      <c r="G3429" s="1083">
        <f t="shared" si="2"/>
        <v>10.06</v>
      </c>
      <c r="H3429" s="1084"/>
    </row>
    <row r="3430" ht="14.25" customHeight="1">
      <c r="A3430" s="1085">
        <v>38195.0</v>
      </c>
      <c r="B3430" s="1086" t="s">
        <v>8747</v>
      </c>
      <c r="C3430" s="1087" t="s">
        <v>1814</v>
      </c>
      <c r="D3430" s="1088">
        <v>100.37</v>
      </c>
      <c r="E3430" s="1089" t="s">
        <v>5308</v>
      </c>
      <c r="F3430" s="1081">
        <f t="shared" si="1"/>
        <v>0</v>
      </c>
      <c r="G3430" s="1083">
        <f t="shared" si="2"/>
        <v>100.37</v>
      </c>
      <c r="H3430" s="1084"/>
    </row>
    <row r="3431" ht="14.25" customHeight="1">
      <c r="A3431" s="1085">
        <v>38181.0</v>
      </c>
      <c r="B3431" s="1086" t="s">
        <v>8748</v>
      </c>
      <c r="C3431" s="1087" t="s">
        <v>1814</v>
      </c>
      <c r="D3431" s="1088">
        <v>229.43</v>
      </c>
      <c r="E3431" s="1089" t="s">
        <v>5308</v>
      </c>
      <c r="F3431" s="1081">
        <f t="shared" si="1"/>
        <v>0</v>
      </c>
      <c r="G3431" s="1083">
        <f t="shared" si="2"/>
        <v>229.43</v>
      </c>
      <c r="H3431" s="1084"/>
    </row>
    <row r="3432" ht="14.25" customHeight="1">
      <c r="A3432" s="1085">
        <v>38182.0</v>
      </c>
      <c r="B3432" s="1086" t="s">
        <v>8749</v>
      </c>
      <c r="C3432" s="1087" t="s">
        <v>1814</v>
      </c>
      <c r="D3432" s="1088">
        <v>218.54</v>
      </c>
      <c r="E3432" s="1089" t="s">
        <v>5308</v>
      </c>
      <c r="F3432" s="1081">
        <f t="shared" si="1"/>
        <v>0</v>
      </c>
      <c r="G3432" s="1083">
        <f t="shared" si="2"/>
        <v>218.54</v>
      </c>
      <c r="H3432" s="1084"/>
    </row>
    <row r="3433" ht="14.25" customHeight="1">
      <c r="A3433" s="1085">
        <v>38186.0</v>
      </c>
      <c r="B3433" s="1086" t="s">
        <v>8750</v>
      </c>
      <c r="C3433" s="1087" t="s">
        <v>1814</v>
      </c>
      <c r="D3433" s="1088">
        <v>568.07</v>
      </c>
      <c r="E3433" s="1089" t="s">
        <v>5308</v>
      </c>
      <c r="F3433" s="1081">
        <f t="shared" si="1"/>
        <v>0</v>
      </c>
      <c r="G3433" s="1083">
        <f t="shared" si="2"/>
        <v>568.07</v>
      </c>
      <c r="H3433" s="1084"/>
    </row>
    <row r="3434" ht="14.25" customHeight="1">
      <c r="A3434" s="1085">
        <v>38185.0</v>
      </c>
      <c r="B3434" s="1086" t="s">
        <v>8751</v>
      </c>
      <c r="C3434" s="1087" t="s">
        <v>1814</v>
      </c>
      <c r="D3434" s="1088">
        <v>505.78</v>
      </c>
      <c r="E3434" s="1089" t="s">
        <v>5308</v>
      </c>
      <c r="F3434" s="1081">
        <f t="shared" si="1"/>
        <v>0</v>
      </c>
      <c r="G3434" s="1083">
        <f t="shared" si="2"/>
        <v>505.78</v>
      </c>
      <c r="H3434" s="1084"/>
    </row>
    <row r="3435" ht="14.25" customHeight="1">
      <c r="A3435" s="1085">
        <v>40654.0</v>
      </c>
      <c r="B3435" s="1086" t="s">
        <v>8752</v>
      </c>
      <c r="C3435" s="1087" t="s">
        <v>1814</v>
      </c>
      <c r="D3435" s="1088">
        <v>202.24</v>
      </c>
      <c r="E3435" s="1089" t="s">
        <v>5308</v>
      </c>
      <c r="F3435" s="1081">
        <f t="shared" si="1"/>
        <v>0</v>
      </c>
      <c r="G3435" s="1083">
        <f t="shared" si="2"/>
        <v>202.24</v>
      </c>
      <c r="H3435" s="1084"/>
    </row>
    <row r="3436" ht="14.25" customHeight="1">
      <c r="A3436" s="1085">
        <v>44541.0</v>
      </c>
      <c r="B3436" s="1086" t="s">
        <v>8753</v>
      </c>
      <c r="C3436" s="1087" t="s">
        <v>1814</v>
      </c>
      <c r="D3436" s="1088">
        <v>318.65</v>
      </c>
      <c r="E3436" s="1089" t="s">
        <v>5554</v>
      </c>
      <c r="F3436" s="1081">
        <f t="shared" si="1"/>
        <v>0</v>
      </c>
      <c r="G3436" s="1083">
        <f t="shared" si="2"/>
        <v>318.65</v>
      </c>
      <c r="H3436" s="1084"/>
    </row>
    <row r="3437" ht="14.25" customHeight="1">
      <c r="A3437" s="1085">
        <v>4822.0</v>
      </c>
      <c r="B3437" s="1086" t="s">
        <v>8754</v>
      </c>
      <c r="C3437" s="1087" t="s">
        <v>1814</v>
      </c>
      <c r="D3437" s="1088">
        <v>477.11</v>
      </c>
      <c r="E3437" s="1089" t="s">
        <v>5308</v>
      </c>
      <c r="F3437" s="1081">
        <f t="shared" si="1"/>
        <v>0</v>
      </c>
      <c r="G3437" s="1083">
        <f t="shared" si="2"/>
        <v>477.11</v>
      </c>
      <c r="H3437" s="1084"/>
    </row>
    <row r="3438" ht="14.25" customHeight="1">
      <c r="A3438" s="1085">
        <v>4818.0</v>
      </c>
      <c r="B3438" s="1086" t="s">
        <v>8755</v>
      </c>
      <c r="C3438" s="1087" t="s">
        <v>1814</v>
      </c>
      <c r="D3438" s="1088">
        <v>490.4</v>
      </c>
      <c r="E3438" s="1089" t="s">
        <v>5308</v>
      </c>
      <c r="F3438" s="1081">
        <f t="shared" si="1"/>
        <v>0</v>
      </c>
      <c r="G3438" s="1083">
        <f t="shared" si="2"/>
        <v>490.4</v>
      </c>
      <c r="H3438" s="1084"/>
    </row>
    <row r="3439" ht="14.25" customHeight="1">
      <c r="A3439" s="1085">
        <v>39567.0</v>
      </c>
      <c r="B3439" s="1086" t="s">
        <v>8756</v>
      </c>
      <c r="C3439" s="1087" t="s">
        <v>1814</v>
      </c>
      <c r="D3439" s="1088">
        <v>40.88</v>
      </c>
      <c r="E3439" s="1089" t="s">
        <v>5308</v>
      </c>
      <c r="F3439" s="1081">
        <f t="shared" si="1"/>
        <v>0</v>
      </c>
      <c r="G3439" s="1083">
        <f t="shared" si="2"/>
        <v>40.88</v>
      </c>
      <c r="H3439" s="1084"/>
    </row>
    <row r="3440" ht="14.25" customHeight="1">
      <c r="A3440" s="1085">
        <v>39566.0</v>
      </c>
      <c r="B3440" s="1086" t="s">
        <v>8757</v>
      </c>
      <c r="C3440" s="1087" t="s">
        <v>1814</v>
      </c>
      <c r="D3440" s="1088">
        <v>43.27</v>
      </c>
      <c r="E3440" s="1089" t="s">
        <v>5308</v>
      </c>
      <c r="F3440" s="1081">
        <f t="shared" si="1"/>
        <v>0</v>
      </c>
      <c r="G3440" s="1083">
        <f t="shared" si="2"/>
        <v>43.27</v>
      </c>
      <c r="H3440" s="1084"/>
    </row>
    <row r="3441" ht="14.25" customHeight="1">
      <c r="A3441" s="1085">
        <v>39416.0</v>
      </c>
      <c r="B3441" s="1086" t="s">
        <v>8758</v>
      </c>
      <c r="C3441" s="1087" t="s">
        <v>1814</v>
      </c>
      <c r="D3441" s="1088">
        <v>26.37</v>
      </c>
      <c r="E3441" s="1089" t="s">
        <v>5308</v>
      </c>
      <c r="F3441" s="1081">
        <f t="shared" si="1"/>
        <v>0</v>
      </c>
      <c r="G3441" s="1083">
        <f t="shared" si="2"/>
        <v>26.37</v>
      </c>
      <c r="H3441" s="1084"/>
    </row>
    <row r="3442" ht="14.25" customHeight="1">
      <c r="A3442" s="1085">
        <v>39417.0</v>
      </c>
      <c r="B3442" s="1086" t="s">
        <v>8759</v>
      </c>
      <c r="C3442" s="1087" t="s">
        <v>1814</v>
      </c>
      <c r="D3442" s="1088">
        <v>25.72</v>
      </c>
      <c r="E3442" s="1089" t="s">
        <v>5308</v>
      </c>
      <c r="F3442" s="1081">
        <f t="shared" si="1"/>
        <v>0</v>
      </c>
      <c r="G3442" s="1083">
        <f t="shared" si="2"/>
        <v>25.72</v>
      </c>
      <c r="H3442" s="1084"/>
    </row>
    <row r="3443" ht="14.25" customHeight="1">
      <c r="A3443" s="1085">
        <v>43742.0</v>
      </c>
      <c r="B3443" s="1086" t="s">
        <v>8760</v>
      </c>
      <c r="C3443" s="1087" t="s">
        <v>1814</v>
      </c>
      <c r="D3443" s="1088">
        <v>27.74</v>
      </c>
      <c r="E3443" s="1089" t="s">
        <v>5308</v>
      </c>
      <c r="F3443" s="1081">
        <f t="shared" si="1"/>
        <v>0</v>
      </c>
      <c r="G3443" s="1083">
        <f t="shared" si="2"/>
        <v>27.74</v>
      </c>
      <c r="H3443" s="1084"/>
    </row>
    <row r="3444" ht="14.25" customHeight="1">
      <c r="A3444" s="1085">
        <v>39414.0</v>
      </c>
      <c r="B3444" s="1086" t="s">
        <v>8761</v>
      </c>
      <c r="C3444" s="1087" t="s">
        <v>1814</v>
      </c>
      <c r="D3444" s="1088">
        <v>24.97</v>
      </c>
      <c r="E3444" s="1089" t="s">
        <v>5308</v>
      </c>
      <c r="F3444" s="1081">
        <f t="shared" si="1"/>
        <v>0</v>
      </c>
      <c r="G3444" s="1083">
        <f t="shared" si="2"/>
        <v>24.97</v>
      </c>
      <c r="H3444" s="1084"/>
    </row>
    <row r="3445" ht="14.25" customHeight="1">
      <c r="A3445" s="1085">
        <v>39415.0</v>
      </c>
      <c r="B3445" s="1086" t="s">
        <v>8762</v>
      </c>
      <c r="C3445" s="1087" t="s">
        <v>1814</v>
      </c>
      <c r="D3445" s="1088">
        <v>21.53</v>
      </c>
      <c r="E3445" s="1089" t="s">
        <v>5308</v>
      </c>
      <c r="F3445" s="1081">
        <f t="shared" si="1"/>
        <v>0</v>
      </c>
      <c r="G3445" s="1083">
        <f t="shared" si="2"/>
        <v>21.53</v>
      </c>
      <c r="H3445" s="1084"/>
    </row>
    <row r="3446" ht="14.25" customHeight="1">
      <c r="A3446" s="1085">
        <v>43740.0</v>
      </c>
      <c r="B3446" s="1086" t="s">
        <v>8763</v>
      </c>
      <c r="C3446" s="1087" t="s">
        <v>1814</v>
      </c>
      <c r="D3446" s="1088">
        <v>26.29</v>
      </c>
      <c r="E3446" s="1089" t="s">
        <v>5308</v>
      </c>
      <c r="F3446" s="1081">
        <f t="shared" si="1"/>
        <v>0</v>
      </c>
      <c r="G3446" s="1083">
        <f t="shared" si="2"/>
        <v>26.29</v>
      </c>
      <c r="H3446" s="1084"/>
    </row>
    <row r="3447" ht="14.25" customHeight="1">
      <c r="A3447" s="1085">
        <v>39412.0</v>
      </c>
      <c r="B3447" s="1086" t="s">
        <v>8764</v>
      </c>
      <c r="C3447" s="1087" t="s">
        <v>1814</v>
      </c>
      <c r="D3447" s="1088">
        <v>18.03</v>
      </c>
      <c r="E3447" s="1089" t="s">
        <v>5308</v>
      </c>
      <c r="F3447" s="1081">
        <f t="shared" si="1"/>
        <v>0</v>
      </c>
      <c r="G3447" s="1083">
        <f t="shared" si="2"/>
        <v>18.03</v>
      </c>
      <c r="H3447" s="1084"/>
    </row>
    <row r="3448" ht="14.25" customHeight="1">
      <c r="A3448" s="1085">
        <v>39413.0</v>
      </c>
      <c r="B3448" s="1086" t="s">
        <v>8765</v>
      </c>
      <c r="C3448" s="1087" t="s">
        <v>1814</v>
      </c>
      <c r="D3448" s="1088">
        <v>19.49</v>
      </c>
      <c r="E3448" s="1089" t="s">
        <v>5308</v>
      </c>
      <c r="F3448" s="1081">
        <f t="shared" si="1"/>
        <v>0</v>
      </c>
      <c r="G3448" s="1083">
        <f t="shared" si="2"/>
        <v>19.49</v>
      </c>
      <c r="H3448" s="1084"/>
    </row>
    <row r="3449" ht="14.25" customHeight="1">
      <c r="A3449" s="1085">
        <v>43741.0</v>
      </c>
      <c r="B3449" s="1086" t="s">
        <v>8766</v>
      </c>
      <c r="C3449" s="1087" t="s">
        <v>1814</v>
      </c>
      <c r="D3449" s="1088">
        <v>20.78</v>
      </c>
      <c r="E3449" s="1089" t="s">
        <v>5308</v>
      </c>
      <c r="F3449" s="1081">
        <f t="shared" si="1"/>
        <v>0</v>
      </c>
      <c r="G3449" s="1083">
        <f t="shared" si="2"/>
        <v>20.78</v>
      </c>
      <c r="H3449" s="1084"/>
    </row>
    <row r="3450" ht="14.25" customHeight="1">
      <c r="A3450" s="1085">
        <v>11062.0</v>
      </c>
      <c r="B3450" s="1086" t="s">
        <v>8767</v>
      </c>
      <c r="C3450" s="1087" t="s">
        <v>1814</v>
      </c>
      <c r="D3450" s="1088">
        <v>50.09</v>
      </c>
      <c r="E3450" s="1089" t="s">
        <v>5308</v>
      </c>
      <c r="F3450" s="1081">
        <f t="shared" si="1"/>
        <v>0</v>
      </c>
      <c r="G3450" s="1083">
        <f t="shared" si="2"/>
        <v>50.09</v>
      </c>
      <c r="H3450" s="1084"/>
    </row>
    <row r="3451" ht="14.25" customHeight="1">
      <c r="A3451" s="1085">
        <v>11063.0</v>
      </c>
      <c r="B3451" s="1086" t="s">
        <v>8768</v>
      </c>
      <c r="C3451" s="1087" t="s">
        <v>1814</v>
      </c>
      <c r="D3451" s="1088">
        <v>30.66</v>
      </c>
      <c r="E3451" s="1089" t="s">
        <v>5308</v>
      </c>
      <c r="F3451" s="1081">
        <f t="shared" si="1"/>
        <v>0</v>
      </c>
      <c r="G3451" s="1083">
        <f t="shared" si="2"/>
        <v>30.66</v>
      </c>
      <c r="H3451" s="1084"/>
    </row>
    <row r="3452" ht="14.25" customHeight="1">
      <c r="A3452" s="1085">
        <v>13521.0</v>
      </c>
      <c r="B3452" s="1086" t="s">
        <v>8769</v>
      </c>
      <c r="C3452" s="1087" t="s">
        <v>1788</v>
      </c>
      <c r="D3452" s="1088">
        <v>82.5</v>
      </c>
      <c r="E3452" s="1089" t="s">
        <v>5308</v>
      </c>
      <c r="F3452" s="1081">
        <f t="shared" si="1"/>
        <v>0</v>
      </c>
      <c r="G3452" s="1083">
        <f t="shared" si="2"/>
        <v>82.5</v>
      </c>
      <c r="H3452" s="1084"/>
    </row>
    <row r="3453" ht="14.25" customHeight="1">
      <c r="A3453" s="1085">
        <v>10851.0</v>
      </c>
      <c r="B3453" s="1086" t="s">
        <v>8770</v>
      </c>
      <c r="C3453" s="1087" t="s">
        <v>1788</v>
      </c>
      <c r="D3453" s="1088">
        <v>93.7</v>
      </c>
      <c r="E3453" s="1089" t="s">
        <v>5308</v>
      </c>
      <c r="F3453" s="1081">
        <f t="shared" si="1"/>
        <v>0</v>
      </c>
      <c r="G3453" s="1083">
        <f t="shared" si="2"/>
        <v>93.7</v>
      </c>
      <c r="H3453" s="1084"/>
    </row>
    <row r="3454" ht="14.25" customHeight="1">
      <c r="A3454" s="1085">
        <v>39515.0</v>
      </c>
      <c r="B3454" s="1086" t="s">
        <v>8771</v>
      </c>
      <c r="C3454" s="1087" t="s">
        <v>1788</v>
      </c>
      <c r="D3454" s="1088">
        <v>43.22</v>
      </c>
      <c r="E3454" s="1089" t="s">
        <v>5308</v>
      </c>
      <c r="F3454" s="1081">
        <f t="shared" si="1"/>
        <v>0</v>
      </c>
      <c r="G3454" s="1083">
        <f t="shared" si="2"/>
        <v>43.22</v>
      </c>
      <c r="H3454" s="1084"/>
    </row>
    <row r="3455" ht="14.25" customHeight="1">
      <c r="A3455" s="1085">
        <v>39516.0</v>
      </c>
      <c r="B3455" s="1086" t="s">
        <v>8772</v>
      </c>
      <c r="C3455" s="1087" t="s">
        <v>1788</v>
      </c>
      <c r="D3455" s="1088">
        <v>36.44</v>
      </c>
      <c r="E3455" s="1089" t="s">
        <v>5308</v>
      </c>
      <c r="F3455" s="1081">
        <f t="shared" si="1"/>
        <v>0</v>
      </c>
      <c r="G3455" s="1083">
        <f t="shared" si="2"/>
        <v>36.44</v>
      </c>
      <c r="H3455" s="1084"/>
    </row>
    <row r="3456" ht="14.25" customHeight="1">
      <c r="A3456" s="1085">
        <v>39514.0</v>
      </c>
      <c r="B3456" s="1086" t="s">
        <v>8773</v>
      </c>
      <c r="C3456" s="1087" t="s">
        <v>1788</v>
      </c>
      <c r="D3456" s="1088">
        <v>22.67</v>
      </c>
      <c r="E3456" s="1089" t="s">
        <v>5308</v>
      </c>
      <c r="F3456" s="1081">
        <f t="shared" si="1"/>
        <v>0</v>
      </c>
      <c r="G3456" s="1083">
        <f t="shared" si="2"/>
        <v>22.67</v>
      </c>
      <c r="H3456" s="1084"/>
    </row>
    <row r="3457" ht="14.25" customHeight="1">
      <c r="A3457" s="1085">
        <v>4812.0</v>
      </c>
      <c r="B3457" s="1086" t="s">
        <v>8774</v>
      </c>
      <c r="C3457" s="1087" t="s">
        <v>1814</v>
      </c>
      <c r="D3457" s="1088">
        <v>10.81</v>
      </c>
      <c r="E3457" s="1089" t="s">
        <v>5308</v>
      </c>
      <c r="F3457" s="1081">
        <f t="shared" si="1"/>
        <v>0</v>
      </c>
      <c r="G3457" s="1083">
        <f t="shared" si="2"/>
        <v>10.81</v>
      </c>
      <c r="H3457" s="1084"/>
    </row>
    <row r="3458" ht="14.25" customHeight="1">
      <c r="A3458" s="1085">
        <v>10849.0</v>
      </c>
      <c r="B3458" s="1086" t="s">
        <v>8775</v>
      </c>
      <c r="C3458" s="1087" t="s">
        <v>1788</v>
      </c>
      <c r="D3458" s="1088">
        <v>1200.01</v>
      </c>
      <c r="E3458" s="1089" t="s">
        <v>5308</v>
      </c>
      <c r="F3458" s="1081">
        <f t="shared" si="1"/>
        <v>0</v>
      </c>
      <c r="G3458" s="1083">
        <f t="shared" si="2"/>
        <v>1200.01</v>
      </c>
      <c r="H3458" s="1084"/>
    </row>
    <row r="3459" ht="14.25" customHeight="1">
      <c r="A3459" s="1085">
        <v>10848.0</v>
      </c>
      <c r="B3459" s="1086" t="s">
        <v>8776</v>
      </c>
      <c r="C3459" s="1087" t="s">
        <v>1788</v>
      </c>
      <c r="D3459" s="1088">
        <v>753.75</v>
      </c>
      <c r="E3459" s="1089" t="s">
        <v>5308</v>
      </c>
      <c r="F3459" s="1081">
        <f t="shared" si="1"/>
        <v>0</v>
      </c>
      <c r="G3459" s="1083">
        <f t="shared" si="2"/>
        <v>753.75</v>
      </c>
      <c r="H3459" s="1084"/>
    </row>
    <row r="3460" ht="14.25" customHeight="1">
      <c r="A3460" s="1085">
        <v>4813.0</v>
      </c>
      <c r="B3460" s="1086" t="s">
        <v>8777</v>
      </c>
      <c r="C3460" s="1087" t="s">
        <v>1814</v>
      </c>
      <c r="D3460" s="1088">
        <v>250.0</v>
      </c>
      <c r="E3460" s="1089" t="s">
        <v>5308</v>
      </c>
      <c r="F3460" s="1081">
        <f t="shared" si="1"/>
        <v>0</v>
      </c>
      <c r="G3460" s="1083">
        <f t="shared" si="2"/>
        <v>250</v>
      </c>
      <c r="H3460" s="1084"/>
    </row>
    <row r="3461" ht="14.25" customHeight="1">
      <c r="A3461" s="1085">
        <v>37560.0</v>
      </c>
      <c r="B3461" s="1086" t="s">
        <v>8778</v>
      </c>
      <c r="C3461" s="1087" t="s">
        <v>1788</v>
      </c>
      <c r="D3461" s="1088">
        <v>19.68</v>
      </c>
      <c r="E3461" s="1089" t="s">
        <v>5308</v>
      </c>
      <c r="F3461" s="1081">
        <f t="shared" si="1"/>
        <v>0</v>
      </c>
      <c r="G3461" s="1083">
        <f t="shared" si="2"/>
        <v>19.68</v>
      </c>
      <c r="H3461" s="1084"/>
    </row>
    <row r="3462" ht="14.25" customHeight="1">
      <c r="A3462" s="1085">
        <v>37557.0</v>
      </c>
      <c r="B3462" s="1086" t="s">
        <v>8779</v>
      </c>
      <c r="C3462" s="1087" t="s">
        <v>1788</v>
      </c>
      <c r="D3462" s="1088">
        <v>5.97</v>
      </c>
      <c r="E3462" s="1089" t="s">
        <v>5308</v>
      </c>
      <c r="F3462" s="1081">
        <f t="shared" si="1"/>
        <v>0</v>
      </c>
      <c r="G3462" s="1083">
        <f t="shared" si="2"/>
        <v>5.97</v>
      </c>
      <c r="H3462" s="1084"/>
    </row>
    <row r="3463" ht="14.25" customHeight="1">
      <c r="A3463" s="1085">
        <v>37556.0</v>
      </c>
      <c r="B3463" s="1086" t="s">
        <v>8780</v>
      </c>
      <c r="C3463" s="1087" t="s">
        <v>1788</v>
      </c>
      <c r="D3463" s="1088">
        <v>11.56</v>
      </c>
      <c r="E3463" s="1089" t="s">
        <v>5308</v>
      </c>
      <c r="F3463" s="1081">
        <f t="shared" si="1"/>
        <v>0</v>
      </c>
      <c r="G3463" s="1083">
        <f t="shared" si="2"/>
        <v>11.56</v>
      </c>
      <c r="H3463" s="1084"/>
    </row>
    <row r="3464" ht="14.25" customHeight="1">
      <c r="A3464" s="1085">
        <v>37559.0</v>
      </c>
      <c r="B3464" s="1086" t="s">
        <v>8781</v>
      </c>
      <c r="C3464" s="1087" t="s">
        <v>1788</v>
      </c>
      <c r="D3464" s="1088">
        <v>14.18</v>
      </c>
      <c r="E3464" s="1089" t="s">
        <v>5308</v>
      </c>
      <c r="F3464" s="1081">
        <f t="shared" si="1"/>
        <v>0</v>
      </c>
      <c r="G3464" s="1083">
        <f t="shared" si="2"/>
        <v>14.18</v>
      </c>
      <c r="H3464" s="1084"/>
    </row>
    <row r="3465" ht="14.25" customHeight="1">
      <c r="A3465" s="1085">
        <v>37539.0</v>
      </c>
      <c r="B3465" s="1086" t="s">
        <v>8782</v>
      </c>
      <c r="C3465" s="1087" t="s">
        <v>1788</v>
      </c>
      <c r="D3465" s="1088">
        <v>10.0</v>
      </c>
      <c r="E3465" s="1089" t="s">
        <v>5308</v>
      </c>
      <c r="F3465" s="1081">
        <f t="shared" si="1"/>
        <v>0</v>
      </c>
      <c r="G3465" s="1083">
        <f t="shared" si="2"/>
        <v>10</v>
      </c>
      <c r="H3465" s="1084"/>
    </row>
    <row r="3466" ht="14.25" customHeight="1">
      <c r="A3466" s="1085">
        <v>37558.0</v>
      </c>
      <c r="B3466" s="1086" t="s">
        <v>8783</v>
      </c>
      <c r="C3466" s="1087" t="s">
        <v>1788</v>
      </c>
      <c r="D3466" s="1088">
        <v>18.64</v>
      </c>
      <c r="E3466" s="1089" t="s">
        <v>5308</v>
      </c>
      <c r="F3466" s="1081">
        <f t="shared" si="1"/>
        <v>0</v>
      </c>
      <c r="G3466" s="1083">
        <f t="shared" si="2"/>
        <v>18.64</v>
      </c>
      <c r="H3466" s="1084"/>
    </row>
    <row r="3467" ht="14.25" customHeight="1">
      <c r="A3467" s="1085">
        <v>34723.0</v>
      </c>
      <c r="B3467" s="1086" t="s">
        <v>8784</v>
      </c>
      <c r="C3467" s="1087" t="s">
        <v>1814</v>
      </c>
      <c r="D3467" s="1088">
        <v>577.5</v>
      </c>
      <c r="E3467" s="1089" t="s">
        <v>5308</v>
      </c>
      <c r="F3467" s="1081">
        <f t="shared" si="1"/>
        <v>0</v>
      </c>
      <c r="G3467" s="1083">
        <f t="shared" si="2"/>
        <v>577.5</v>
      </c>
      <c r="H3467" s="1084"/>
    </row>
    <row r="3468" ht="14.25" customHeight="1">
      <c r="A3468" s="1085">
        <v>34721.0</v>
      </c>
      <c r="B3468" s="1086" t="s">
        <v>8785</v>
      </c>
      <c r="C3468" s="1087" t="s">
        <v>1814</v>
      </c>
      <c r="D3468" s="1088">
        <v>720.0</v>
      </c>
      <c r="E3468" s="1089" t="s">
        <v>5308</v>
      </c>
      <c r="F3468" s="1081">
        <f t="shared" si="1"/>
        <v>0</v>
      </c>
      <c r="G3468" s="1083">
        <f t="shared" si="2"/>
        <v>720</v>
      </c>
      <c r="H3468" s="1084"/>
    </row>
    <row r="3469" ht="14.25" customHeight="1">
      <c r="A3469" s="1085">
        <v>4309.0</v>
      </c>
      <c r="B3469" s="1086" t="s">
        <v>8786</v>
      </c>
      <c r="C3469" s="1087" t="s">
        <v>1788</v>
      </c>
      <c r="D3469" s="1088">
        <v>5.47</v>
      </c>
      <c r="E3469" s="1089" t="s">
        <v>5308</v>
      </c>
      <c r="F3469" s="1081">
        <f t="shared" si="1"/>
        <v>0</v>
      </c>
      <c r="G3469" s="1083">
        <f t="shared" si="2"/>
        <v>5.47</v>
      </c>
      <c r="H3469" s="1084"/>
    </row>
    <row r="3470" ht="14.25" customHeight="1">
      <c r="A3470" s="1085">
        <v>4307.0</v>
      </c>
      <c r="B3470" s="1086" t="s">
        <v>8787</v>
      </c>
      <c r="C3470" s="1087" t="s">
        <v>1788</v>
      </c>
      <c r="D3470" s="1088">
        <v>9.36</v>
      </c>
      <c r="E3470" s="1089" t="s">
        <v>5308</v>
      </c>
      <c r="F3470" s="1081">
        <f t="shared" si="1"/>
        <v>0</v>
      </c>
      <c r="G3470" s="1083">
        <f t="shared" si="2"/>
        <v>9.36</v>
      </c>
      <c r="H3470" s="1084"/>
    </row>
    <row r="3471" ht="14.25" customHeight="1">
      <c r="A3471" s="1085">
        <v>10850.0</v>
      </c>
      <c r="B3471" s="1086" t="s">
        <v>8788</v>
      </c>
      <c r="C3471" s="1087" t="s">
        <v>1788</v>
      </c>
      <c r="D3471" s="1088">
        <v>37.5</v>
      </c>
      <c r="E3471" s="1089" t="s">
        <v>5308</v>
      </c>
      <c r="F3471" s="1081">
        <f t="shared" si="1"/>
        <v>0</v>
      </c>
      <c r="G3471" s="1083">
        <f t="shared" si="2"/>
        <v>37.5</v>
      </c>
      <c r="H3471" s="1084"/>
    </row>
    <row r="3472" ht="14.25" customHeight="1">
      <c r="A3472" s="1085">
        <v>42438.0</v>
      </c>
      <c r="B3472" s="1086" t="s">
        <v>8789</v>
      </c>
      <c r="C3472" s="1087" t="s">
        <v>1788</v>
      </c>
      <c r="D3472" s="1088">
        <v>2090.75</v>
      </c>
      <c r="E3472" s="1089" t="s">
        <v>5308</v>
      </c>
      <c r="F3472" s="1081">
        <f t="shared" si="1"/>
        <v>0</v>
      </c>
      <c r="G3472" s="1083">
        <f t="shared" si="2"/>
        <v>2090.75</v>
      </c>
      <c r="H3472" s="1084"/>
    </row>
    <row r="3473" ht="14.25" customHeight="1">
      <c r="A3473" s="1085">
        <v>4792.0</v>
      </c>
      <c r="B3473" s="1086" t="s">
        <v>8790</v>
      </c>
      <c r="C3473" s="1087" t="s">
        <v>1814</v>
      </c>
      <c r="D3473" s="1088">
        <v>161.33</v>
      </c>
      <c r="E3473" s="1089" t="s">
        <v>5308</v>
      </c>
      <c r="F3473" s="1081">
        <f t="shared" si="1"/>
        <v>0</v>
      </c>
      <c r="G3473" s="1083">
        <f t="shared" si="2"/>
        <v>161.33</v>
      </c>
      <c r="H3473" s="1084"/>
    </row>
    <row r="3474" ht="14.25" customHeight="1">
      <c r="A3474" s="1085">
        <v>4790.0</v>
      </c>
      <c r="B3474" s="1086" t="s">
        <v>8791</v>
      </c>
      <c r="C3474" s="1087" t="s">
        <v>1814</v>
      </c>
      <c r="D3474" s="1088">
        <v>97.0</v>
      </c>
      <c r="E3474" s="1089" t="s">
        <v>5308</v>
      </c>
      <c r="F3474" s="1081">
        <f t="shared" si="1"/>
        <v>0</v>
      </c>
      <c r="G3474" s="1083">
        <f t="shared" si="2"/>
        <v>97</v>
      </c>
      <c r="H3474" s="1084"/>
    </row>
    <row r="3475" ht="14.25" customHeight="1">
      <c r="A3475" s="1085">
        <v>40671.0</v>
      </c>
      <c r="B3475" s="1086" t="s">
        <v>8792</v>
      </c>
      <c r="C3475" s="1087" t="s">
        <v>1814</v>
      </c>
      <c r="D3475" s="1088">
        <v>66.02</v>
      </c>
      <c r="E3475" s="1089" t="s">
        <v>5308</v>
      </c>
      <c r="F3475" s="1081">
        <f t="shared" si="1"/>
        <v>0</v>
      </c>
      <c r="G3475" s="1083">
        <f t="shared" si="2"/>
        <v>66.02</v>
      </c>
      <c r="H3475" s="1084"/>
    </row>
    <row r="3476" ht="14.25" customHeight="1">
      <c r="A3476" s="1085">
        <v>7552.0</v>
      </c>
      <c r="B3476" s="1086" t="s">
        <v>8793</v>
      </c>
      <c r="C3476" s="1087" t="s">
        <v>1788</v>
      </c>
      <c r="D3476" s="1088">
        <v>31.27</v>
      </c>
      <c r="E3476" s="1089" t="s">
        <v>5308</v>
      </c>
      <c r="F3476" s="1081">
        <f t="shared" si="1"/>
        <v>0</v>
      </c>
      <c r="G3476" s="1083">
        <f t="shared" si="2"/>
        <v>31.27</v>
      </c>
      <c r="H3476" s="1084"/>
    </row>
    <row r="3477" ht="14.25" customHeight="1">
      <c r="A3477" s="1085">
        <v>4893.0</v>
      </c>
      <c r="B3477" s="1086" t="s">
        <v>8794</v>
      </c>
      <c r="C3477" s="1087" t="s">
        <v>1788</v>
      </c>
      <c r="D3477" s="1088">
        <v>15.37</v>
      </c>
      <c r="E3477" s="1089" t="s">
        <v>5308</v>
      </c>
      <c r="F3477" s="1081">
        <f t="shared" si="1"/>
        <v>0</v>
      </c>
      <c r="G3477" s="1083">
        <f t="shared" si="2"/>
        <v>15.37</v>
      </c>
      <c r="H3477" s="1084"/>
    </row>
    <row r="3478" ht="14.25" customHeight="1">
      <c r="A3478" s="1085">
        <v>4894.0</v>
      </c>
      <c r="B3478" s="1086" t="s">
        <v>8795</v>
      </c>
      <c r="C3478" s="1087" t="s">
        <v>1788</v>
      </c>
      <c r="D3478" s="1088">
        <v>13.19</v>
      </c>
      <c r="E3478" s="1089" t="s">
        <v>5308</v>
      </c>
      <c r="F3478" s="1081">
        <f t="shared" si="1"/>
        <v>0</v>
      </c>
      <c r="G3478" s="1083">
        <f t="shared" si="2"/>
        <v>13.19</v>
      </c>
      <c r="H3478" s="1084"/>
    </row>
    <row r="3479" ht="14.25" customHeight="1">
      <c r="A3479" s="1085">
        <v>4888.0</v>
      </c>
      <c r="B3479" s="1086" t="s">
        <v>8796</v>
      </c>
      <c r="C3479" s="1087" t="s">
        <v>1788</v>
      </c>
      <c r="D3479" s="1088">
        <v>4.49</v>
      </c>
      <c r="E3479" s="1089" t="s">
        <v>5308</v>
      </c>
      <c r="F3479" s="1081">
        <f t="shared" si="1"/>
        <v>0</v>
      </c>
      <c r="G3479" s="1083">
        <f t="shared" si="2"/>
        <v>4.49</v>
      </c>
      <c r="H3479" s="1084"/>
    </row>
    <row r="3480" ht="14.25" customHeight="1">
      <c r="A3480" s="1085">
        <v>4890.0</v>
      </c>
      <c r="B3480" s="1086" t="s">
        <v>8797</v>
      </c>
      <c r="C3480" s="1087" t="s">
        <v>1788</v>
      </c>
      <c r="D3480" s="1088">
        <v>8.44</v>
      </c>
      <c r="E3480" s="1089" t="s">
        <v>5308</v>
      </c>
      <c r="F3480" s="1081">
        <f t="shared" si="1"/>
        <v>0</v>
      </c>
      <c r="G3480" s="1083">
        <f t="shared" si="2"/>
        <v>8.44</v>
      </c>
      <c r="H3480" s="1084"/>
    </row>
    <row r="3481" ht="14.25" customHeight="1">
      <c r="A3481" s="1085">
        <v>12411.0</v>
      </c>
      <c r="B3481" s="1086" t="s">
        <v>8798</v>
      </c>
      <c r="C3481" s="1087" t="s">
        <v>1788</v>
      </c>
      <c r="D3481" s="1088">
        <v>45.46</v>
      </c>
      <c r="E3481" s="1089" t="s">
        <v>5308</v>
      </c>
      <c r="F3481" s="1081">
        <f t="shared" si="1"/>
        <v>0</v>
      </c>
      <c r="G3481" s="1083">
        <f t="shared" si="2"/>
        <v>45.46</v>
      </c>
      <c r="H3481" s="1084"/>
    </row>
    <row r="3482" ht="14.25" customHeight="1">
      <c r="A3482" s="1085">
        <v>4891.0</v>
      </c>
      <c r="B3482" s="1086" t="s">
        <v>8799</v>
      </c>
      <c r="C3482" s="1087" t="s">
        <v>1788</v>
      </c>
      <c r="D3482" s="1088">
        <v>22.73</v>
      </c>
      <c r="E3482" s="1089" t="s">
        <v>5308</v>
      </c>
      <c r="F3482" s="1081">
        <f t="shared" si="1"/>
        <v>0</v>
      </c>
      <c r="G3482" s="1083">
        <f t="shared" si="2"/>
        <v>22.73</v>
      </c>
      <c r="H3482" s="1084"/>
    </row>
    <row r="3483" ht="14.25" customHeight="1">
      <c r="A3483" s="1085">
        <v>4889.0</v>
      </c>
      <c r="B3483" s="1086" t="s">
        <v>8800</v>
      </c>
      <c r="C3483" s="1087" t="s">
        <v>1788</v>
      </c>
      <c r="D3483" s="1088">
        <v>6.07</v>
      </c>
      <c r="E3483" s="1089" t="s">
        <v>5308</v>
      </c>
      <c r="F3483" s="1081">
        <f t="shared" si="1"/>
        <v>0</v>
      </c>
      <c r="G3483" s="1083">
        <f t="shared" si="2"/>
        <v>6.07</v>
      </c>
      <c r="H3483" s="1084"/>
    </row>
    <row r="3484" ht="14.25" customHeight="1">
      <c r="A3484" s="1085">
        <v>4892.0</v>
      </c>
      <c r="B3484" s="1086" t="s">
        <v>8801</v>
      </c>
      <c r="C3484" s="1087" t="s">
        <v>1788</v>
      </c>
      <c r="D3484" s="1088">
        <v>63.65</v>
      </c>
      <c r="E3484" s="1089" t="s">
        <v>5308</v>
      </c>
      <c r="F3484" s="1081">
        <f t="shared" si="1"/>
        <v>0</v>
      </c>
      <c r="G3484" s="1083">
        <f t="shared" si="2"/>
        <v>63.65</v>
      </c>
      <c r="H3484" s="1084"/>
    </row>
    <row r="3485" ht="14.25" customHeight="1">
      <c r="A3485" s="1085">
        <v>12412.0</v>
      </c>
      <c r="B3485" s="1086" t="s">
        <v>8802</v>
      </c>
      <c r="C3485" s="1087" t="s">
        <v>1788</v>
      </c>
      <c r="D3485" s="1088">
        <v>118.3</v>
      </c>
      <c r="E3485" s="1089" t="s">
        <v>5308</v>
      </c>
      <c r="F3485" s="1081">
        <f t="shared" si="1"/>
        <v>0</v>
      </c>
      <c r="G3485" s="1083">
        <f t="shared" si="2"/>
        <v>118.3</v>
      </c>
      <c r="H3485" s="1084"/>
    </row>
    <row r="3486" ht="14.25" customHeight="1">
      <c r="A3486" s="1085">
        <v>4907.0</v>
      </c>
      <c r="B3486" s="1086" t="s">
        <v>8803</v>
      </c>
      <c r="C3486" s="1087" t="s">
        <v>1788</v>
      </c>
      <c r="D3486" s="1088">
        <v>24.3</v>
      </c>
      <c r="E3486" s="1089" t="s">
        <v>5308</v>
      </c>
      <c r="F3486" s="1081">
        <f t="shared" si="1"/>
        <v>0</v>
      </c>
      <c r="G3486" s="1083">
        <f t="shared" si="2"/>
        <v>24.3</v>
      </c>
      <c r="H3486" s="1084"/>
    </row>
    <row r="3487" ht="14.25" customHeight="1">
      <c r="A3487" s="1085">
        <v>4902.0</v>
      </c>
      <c r="B3487" s="1086" t="s">
        <v>8804</v>
      </c>
      <c r="C3487" s="1087" t="s">
        <v>1788</v>
      </c>
      <c r="D3487" s="1088">
        <v>63.04</v>
      </c>
      <c r="E3487" s="1089" t="s">
        <v>5308</v>
      </c>
      <c r="F3487" s="1081">
        <f t="shared" si="1"/>
        <v>0</v>
      </c>
      <c r="G3487" s="1083">
        <f t="shared" si="2"/>
        <v>63.04</v>
      </c>
      <c r="H3487" s="1084"/>
    </row>
    <row r="3488" ht="14.25" customHeight="1">
      <c r="A3488" s="1085">
        <v>11096.0</v>
      </c>
      <c r="B3488" s="1086" t="s">
        <v>8805</v>
      </c>
      <c r="C3488" s="1087" t="s">
        <v>3606</v>
      </c>
      <c r="D3488" s="1088">
        <v>0.9</v>
      </c>
      <c r="E3488" s="1089" t="s">
        <v>5308</v>
      </c>
      <c r="F3488" s="1081">
        <f t="shared" si="1"/>
        <v>0</v>
      </c>
      <c r="G3488" s="1083">
        <f t="shared" si="2"/>
        <v>0.9</v>
      </c>
      <c r="H3488" s="1084"/>
    </row>
    <row r="3489" ht="14.25" customHeight="1">
      <c r="A3489" s="1085">
        <v>4741.0</v>
      </c>
      <c r="B3489" s="1086" t="s">
        <v>8806</v>
      </c>
      <c r="C3489" s="1087" t="s">
        <v>2178</v>
      </c>
      <c r="D3489" s="1088">
        <v>62.01</v>
      </c>
      <c r="E3489" s="1089" t="s">
        <v>5308</v>
      </c>
      <c r="F3489" s="1081">
        <f t="shared" si="1"/>
        <v>0</v>
      </c>
      <c r="G3489" s="1083">
        <f t="shared" si="2"/>
        <v>62.01</v>
      </c>
      <c r="H3489" s="1084"/>
    </row>
    <row r="3490" ht="14.25" customHeight="1">
      <c r="A3490" s="1085">
        <v>4752.0</v>
      </c>
      <c r="B3490" s="1086" t="s">
        <v>8807</v>
      </c>
      <c r="C3490" s="1087" t="s">
        <v>1470</v>
      </c>
      <c r="D3490" s="1088">
        <v>15.41</v>
      </c>
      <c r="E3490" s="1089" t="s">
        <v>5452</v>
      </c>
      <c r="F3490" s="1081">
        <f t="shared" si="1"/>
        <v>15.41</v>
      </c>
      <c r="G3490" s="1083">
        <f t="shared" si="2"/>
        <v>0</v>
      </c>
      <c r="H3490" s="1084"/>
    </row>
    <row r="3491" ht="14.25" customHeight="1">
      <c r="A3491" s="1085">
        <v>41091.0</v>
      </c>
      <c r="B3491" s="1086" t="s">
        <v>8808</v>
      </c>
      <c r="C3491" s="1087" t="s">
        <v>5454</v>
      </c>
      <c r="D3491" s="1088">
        <v>2699.24</v>
      </c>
      <c r="E3491" s="1089" t="s">
        <v>5452</v>
      </c>
      <c r="F3491" s="1081">
        <f t="shared" si="1"/>
        <v>2699.24</v>
      </c>
      <c r="G3491" s="1083">
        <f t="shared" si="2"/>
        <v>0</v>
      </c>
      <c r="H3491" s="1084"/>
    </row>
    <row r="3492" ht="14.25" customHeight="1">
      <c r="A3492" s="1085">
        <v>13954.0</v>
      </c>
      <c r="B3492" s="1086" t="s">
        <v>8809</v>
      </c>
      <c r="C3492" s="1087" t="s">
        <v>1788</v>
      </c>
      <c r="D3492" s="1088">
        <v>7532.65</v>
      </c>
      <c r="E3492" s="1089" t="s">
        <v>5482</v>
      </c>
      <c r="F3492" s="1081">
        <f t="shared" si="1"/>
        <v>0</v>
      </c>
      <c r="G3492" s="1083">
        <f t="shared" si="2"/>
        <v>7532.65</v>
      </c>
      <c r="H3492" s="1084"/>
    </row>
    <row r="3493" ht="14.25" customHeight="1">
      <c r="A3493" s="1085">
        <v>3411.0</v>
      </c>
      <c r="B3493" s="1086" t="s">
        <v>8810</v>
      </c>
      <c r="C3493" s="1087" t="s">
        <v>3606</v>
      </c>
      <c r="D3493" s="1088">
        <v>85.17</v>
      </c>
      <c r="E3493" s="1089" t="s">
        <v>5308</v>
      </c>
      <c r="F3493" s="1081">
        <f t="shared" si="1"/>
        <v>0</v>
      </c>
      <c r="G3493" s="1083">
        <f t="shared" si="2"/>
        <v>85.17</v>
      </c>
      <c r="H3493" s="1084"/>
    </row>
    <row r="3494" ht="14.25" customHeight="1">
      <c r="A3494" s="1085">
        <v>39995.0</v>
      </c>
      <c r="B3494" s="1086" t="s">
        <v>8811</v>
      </c>
      <c r="C3494" s="1087" t="s">
        <v>2178</v>
      </c>
      <c r="D3494" s="1088">
        <v>655.22</v>
      </c>
      <c r="E3494" s="1089" t="s">
        <v>5308</v>
      </c>
      <c r="F3494" s="1081">
        <f t="shared" si="1"/>
        <v>0</v>
      </c>
      <c r="G3494" s="1083">
        <f t="shared" si="2"/>
        <v>655.22</v>
      </c>
      <c r="H3494" s="1084"/>
    </row>
    <row r="3495" ht="14.25" customHeight="1">
      <c r="A3495" s="1085">
        <v>11615.0</v>
      </c>
      <c r="B3495" s="1086" t="s">
        <v>8812</v>
      </c>
      <c r="C3495" s="1087" t="s">
        <v>1814</v>
      </c>
      <c r="D3495" s="1088">
        <v>5.56</v>
      </c>
      <c r="E3495" s="1089" t="s">
        <v>5308</v>
      </c>
      <c r="F3495" s="1081">
        <f t="shared" si="1"/>
        <v>0</v>
      </c>
      <c r="G3495" s="1083">
        <f t="shared" si="2"/>
        <v>5.56</v>
      </c>
      <c r="H3495" s="1084"/>
    </row>
    <row r="3496" ht="14.25" customHeight="1">
      <c r="A3496" s="1085">
        <v>3408.0</v>
      </c>
      <c r="B3496" s="1086" t="s">
        <v>8813</v>
      </c>
      <c r="C3496" s="1087" t="s">
        <v>1814</v>
      </c>
      <c r="D3496" s="1088">
        <v>14.76</v>
      </c>
      <c r="E3496" s="1089" t="s">
        <v>5308</v>
      </c>
      <c r="F3496" s="1081">
        <f t="shared" si="1"/>
        <v>0</v>
      </c>
      <c r="G3496" s="1083">
        <f t="shared" si="2"/>
        <v>14.76</v>
      </c>
      <c r="H3496" s="1084"/>
    </row>
    <row r="3497" ht="14.25" customHeight="1">
      <c r="A3497" s="1085">
        <v>3409.0</v>
      </c>
      <c r="B3497" s="1086" t="s">
        <v>8814</v>
      </c>
      <c r="C3497" s="1087" t="s">
        <v>1814</v>
      </c>
      <c r="D3497" s="1088">
        <v>36.9</v>
      </c>
      <c r="E3497" s="1089" t="s">
        <v>5308</v>
      </c>
      <c r="F3497" s="1081">
        <f t="shared" si="1"/>
        <v>0</v>
      </c>
      <c r="G3497" s="1083">
        <f t="shared" si="2"/>
        <v>36.9</v>
      </c>
      <c r="H3497" s="1084"/>
    </row>
    <row r="3498" ht="14.25" customHeight="1">
      <c r="A3498" s="1085">
        <v>11427.0</v>
      </c>
      <c r="B3498" s="1086" t="s">
        <v>8815</v>
      </c>
      <c r="C3498" s="1087" t="s">
        <v>3606</v>
      </c>
      <c r="D3498" s="1088">
        <v>87.53</v>
      </c>
      <c r="E3498" s="1089" t="s">
        <v>5308</v>
      </c>
      <c r="F3498" s="1081">
        <f t="shared" si="1"/>
        <v>0</v>
      </c>
      <c r="G3498" s="1083">
        <f t="shared" si="2"/>
        <v>87.53</v>
      </c>
      <c r="H3498" s="1084"/>
    </row>
    <row r="3499" ht="14.25" customHeight="1">
      <c r="A3499" s="1085">
        <v>4491.0</v>
      </c>
      <c r="B3499" s="1086" t="s">
        <v>8816</v>
      </c>
      <c r="C3499" s="1087" t="s">
        <v>1731</v>
      </c>
      <c r="D3499" s="1088">
        <v>6.94</v>
      </c>
      <c r="E3499" s="1089" t="s">
        <v>5308</v>
      </c>
      <c r="F3499" s="1081">
        <f t="shared" si="1"/>
        <v>0</v>
      </c>
      <c r="G3499" s="1083">
        <f t="shared" si="2"/>
        <v>6.94</v>
      </c>
      <c r="H3499" s="1084"/>
    </row>
    <row r="3500" ht="14.25" customHeight="1">
      <c r="A3500" s="1085">
        <v>2745.0</v>
      </c>
      <c r="B3500" s="1086" t="s">
        <v>8817</v>
      </c>
      <c r="C3500" s="1087" t="s">
        <v>1731</v>
      </c>
      <c r="D3500" s="1088">
        <v>4.01</v>
      </c>
      <c r="E3500" s="1089" t="s">
        <v>5308</v>
      </c>
      <c r="F3500" s="1081">
        <f t="shared" si="1"/>
        <v>0</v>
      </c>
      <c r="G3500" s="1083">
        <f t="shared" si="2"/>
        <v>4.01</v>
      </c>
      <c r="H3500" s="1084"/>
    </row>
    <row r="3501" ht="14.25" customHeight="1">
      <c r="A3501" s="1085">
        <v>14439.0</v>
      </c>
      <c r="B3501" s="1086" t="s">
        <v>8818</v>
      </c>
      <c r="C3501" s="1087" t="s">
        <v>1731</v>
      </c>
      <c r="D3501" s="1088">
        <v>4.98</v>
      </c>
      <c r="E3501" s="1089" t="s">
        <v>5308</v>
      </c>
      <c r="F3501" s="1081">
        <f t="shared" si="1"/>
        <v>0</v>
      </c>
      <c r="G3501" s="1083">
        <f t="shared" si="2"/>
        <v>4.98</v>
      </c>
      <c r="H3501" s="1084"/>
    </row>
    <row r="3502" ht="14.25" customHeight="1">
      <c r="A3502" s="1085">
        <v>44496.0</v>
      </c>
      <c r="B3502" s="1086" t="s">
        <v>8819</v>
      </c>
      <c r="C3502" s="1087" t="s">
        <v>1788</v>
      </c>
      <c r="D3502" s="1088">
        <v>190.23</v>
      </c>
      <c r="E3502" s="1089" t="s">
        <v>5554</v>
      </c>
      <c r="F3502" s="1081">
        <f t="shared" si="1"/>
        <v>0</v>
      </c>
      <c r="G3502" s="1083">
        <f t="shared" si="2"/>
        <v>190.23</v>
      </c>
      <c r="H3502" s="1084"/>
    </row>
    <row r="3503" ht="14.25" customHeight="1">
      <c r="A3503" s="1085">
        <v>12362.0</v>
      </c>
      <c r="B3503" s="1086" t="s">
        <v>8820</v>
      </c>
      <c r="C3503" s="1087" t="s">
        <v>1788</v>
      </c>
      <c r="D3503" s="1088">
        <v>10.09</v>
      </c>
      <c r="E3503" s="1089" t="s">
        <v>5308</v>
      </c>
      <c r="F3503" s="1081">
        <f t="shared" si="1"/>
        <v>0</v>
      </c>
      <c r="G3503" s="1083">
        <f t="shared" si="2"/>
        <v>10.09</v>
      </c>
      <c r="H3503" s="1084"/>
    </row>
    <row r="3504" ht="14.25" customHeight="1">
      <c r="A3504" s="1085">
        <v>421.0</v>
      </c>
      <c r="B3504" s="1086" t="s">
        <v>8821</v>
      </c>
      <c r="C3504" s="1087" t="s">
        <v>1788</v>
      </c>
      <c r="D3504" s="1088">
        <v>23.07</v>
      </c>
      <c r="E3504" s="1089" t="s">
        <v>5308</v>
      </c>
      <c r="F3504" s="1081">
        <f t="shared" si="1"/>
        <v>0</v>
      </c>
      <c r="G3504" s="1083">
        <f t="shared" si="2"/>
        <v>23.07</v>
      </c>
      <c r="H3504" s="1084"/>
    </row>
    <row r="3505" ht="14.25" customHeight="1">
      <c r="A3505" s="1085">
        <v>14148.0</v>
      </c>
      <c r="B3505" s="1086" t="s">
        <v>8822</v>
      </c>
      <c r="C3505" s="1087" t="s">
        <v>1788</v>
      </c>
      <c r="D3505" s="1088">
        <v>0.87</v>
      </c>
      <c r="E3505" s="1089" t="s">
        <v>5308</v>
      </c>
      <c r="F3505" s="1081">
        <f t="shared" si="1"/>
        <v>0</v>
      </c>
      <c r="G3505" s="1083">
        <f t="shared" si="2"/>
        <v>0.87</v>
      </c>
      <c r="H3505" s="1084"/>
    </row>
    <row r="3506" ht="14.25" customHeight="1">
      <c r="A3506" s="1085">
        <v>4341.0</v>
      </c>
      <c r="B3506" s="1086" t="s">
        <v>8823</v>
      </c>
      <c r="C3506" s="1087" t="s">
        <v>1788</v>
      </c>
      <c r="D3506" s="1088">
        <v>1.12</v>
      </c>
      <c r="E3506" s="1089" t="s">
        <v>5308</v>
      </c>
      <c r="F3506" s="1081">
        <f t="shared" si="1"/>
        <v>0</v>
      </c>
      <c r="G3506" s="1083">
        <f t="shared" si="2"/>
        <v>1.12</v>
      </c>
      <c r="H3506" s="1084"/>
    </row>
    <row r="3507" ht="14.25" customHeight="1">
      <c r="A3507" s="1085">
        <v>4337.0</v>
      </c>
      <c r="B3507" s="1086" t="s">
        <v>8824</v>
      </c>
      <c r="C3507" s="1087" t="s">
        <v>1788</v>
      </c>
      <c r="D3507" s="1088">
        <v>2.83</v>
      </c>
      <c r="E3507" s="1089" t="s">
        <v>5308</v>
      </c>
      <c r="F3507" s="1081">
        <f t="shared" si="1"/>
        <v>0</v>
      </c>
      <c r="G3507" s="1083">
        <f t="shared" si="2"/>
        <v>2.83</v>
      </c>
      <c r="H3507" s="1084"/>
    </row>
    <row r="3508" ht="14.25" customHeight="1">
      <c r="A3508" s="1085">
        <v>4339.0</v>
      </c>
      <c r="B3508" s="1086" t="s">
        <v>8825</v>
      </c>
      <c r="C3508" s="1087" t="s">
        <v>1788</v>
      </c>
      <c r="D3508" s="1088">
        <v>0.6</v>
      </c>
      <c r="E3508" s="1089" t="s">
        <v>5308</v>
      </c>
      <c r="F3508" s="1081">
        <f t="shared" si="1"/>
        <v>0</v>
      </c>
      <c r="G3508" s="1083">
        <f t="shared" si="2"/>
        <v>0.6</v>
      </c>
      <c r="H3508" s="1084"/>
    </row>
    <row r="3509" ht="14.25" customHeight="1">
      <c r="A3509" s="1085">
        <v>39997.0</v>
      </c>
      <c r="B3509" s="1086" t="s">
        <v>8826</v>
      </c>
      <c r="C3509" s="1087" t="s">
        <v>1788</v>
      </c>
      <c r="D3509" s="1088">
        <v>0.33</v>
      </c>
      <c r="E3509" s="1089" t="s">
        <v>5308</v>
      </c>
      <c r="F3509" s="1081">
        <f t="shared" si="1"/>
        <v>0</v>
      </c>
      <c r="G3509" s="1083">
        <f t="shared" si="2"/>
        <v>0.33</v>
      </c>
      <c r="H3509" s="1084"/>
    </row>
    <row r="3510" ht="14.25" customHeight="1">
      <c r="A3510" s="1085">
        <v>11971.0</v>
      </c>
      <c r="B3510" s="1086" t="s">
        <v>8827</v>
      </c>
      <c r="C3510" s="1087" t="s">
        <v>1788</v>
      </c>
      <c r="D3510" s="1088">
        <v>4.69</v>
      </c>
      <c r="E3510" s="1089" t="s">
        <v>5308</v>
      </c>
      <c r="F3510" s="1081">
        <f t="shared" si="1"/>
        <v>0</v>
      </c>
      <c r="G3510" s="1083">
        <f t="shared" si="2"/>
        <v>4.69</v>
      </c>
      <c r="H3510" s="1084"/>
    </row>
    <row r="3511" ht="14.25" customHeight="1">
      <c r="A3511" s="1085">
        <v>4342.0</v>
      </c>
      <c r="B3511" s="1086" t="s">
        <v>8828</v>
      </c>
      <c r="C3511" s="1087" t="s">
        <v>1788</v>
      </c>
      <c r="D3511" s="1088">
        <v>0.25</v>
      </c>
      <c r="E3511" s="1089" t="s">
        <v>5308</v>
      </c>
      <c r="F3511" s="1081">
        <f t="shared" si="1"/>
        <v>0</v>
      </c>
      <c r="G3511" s="1083">
        <f t="shared" si="2"/>
        <v>0.25</v>
      </c>
      <c r="H3511" s="1084"/>
    </row>
    <row r="3512" ht="14.25" customHeight="1">
      <c r="A3512" s="1085">
        <v>4330.0</v>
      </c>
      <c r="B3512" s="1086" t="s">
        <v>8829</v>
      </c>
      <c r="C3512" s="1087" t="s">
        <v>1788</v>
      </c>
      <c r="D3512" s="1088">
        <v>0.16</v>
      </c>
      <c r="E3512" s="1089" t="s">
        <v>5308</v>
      </c>
      <c r="F3512" s="1081">
        <f t="shared" si="1"/>
        <v>0</v>
      </c>
      <c r="G3512" s="1083">
        <f t="shared" si="2"/>
        <v>0.16</v>
      </c>
      <c r="H3512" s="1084"/>
    </row>
    <row r="3513" ht="14.25" customHeight="1">
      <c r="A3513" s="1085">
        <v>4340.0</v>
      </c>
      <c r="B3513" s="1086" t="s">
        <v>8830</v>
      </c>
      <c r="C3513" s="1087" t="s">
        <v>1788</v>
      </c>
      <c r="D3513" s="1088">
        <v>1.31</v>
      </c>
      <c r="E3513" s="1089" t="s">
        <v>5308</v>
      </c>
      <c r="F3513" s="1081">
        <f t="shared" si="1"/>
        <v>0</v>
      </c>
      <c r="G3513" s="1083">
        <f t="shared" si="2"/>
        <v>1.31</v>
      </c>
      <c r="H3513" s="1084"/>
    </row>
    <row r="3514" ht="14.25" customHeight="1">
      <c r="A3514" s="1085">
        <v>5088.0</v>
      </c>
      <c r="B3514" s="1086" t="s">
        <v>8831</v>
      </c>
      <c r="C3514" s="1087" t="s">
        <v>1788</v>
      </c>
      <c r="D3514" s="1088">
        <v>6.7</v>
      </c>
      <c r="E3514" s="1089" t="s">
        <v>5308</v>
      </c>
      <c r="F3514" s="1081">
        <f t="shared" si="1"/>
        <v>0</v>
      </c>
      <c r="G3514" s="1083">
        <f t="shared" si="2"/>
        <v>6.7</v>
      </c>
      <c r="H3514" s="1084"/>
    </row>
    <row r="3515" ht="14.25" customHeight="1">
      <c r="A3515" s="1085">
        <v>11154.0</v>
      </c>
      <c r="B3515" s="1086" t="s">
        <v>8832</v>
      </c>
      <c r="C3515" s="1087" t="s">
        <v>1788</v>
      </c>
      <c r="D3515" s="1088">
        <v>3445.75</v>
      </c>
      <c r="E3515" s="1089" t="s">
        <v>5308</v>
      </c>
      <c r="F3515" s="1081">
        <f t="shared" si="1"/>
        <v>0</v>
      </c>
      <c r="G3515" s="1083">
        <f t="shared" si="2"/>
        <v>3445.75</v>
      </c>
      <c r="H3515" s="1084"/>
    </row>
    <row r="3516" ht="14.25" customHeight="1">
      <c r="A3516" s="1085">
        <v>4989.0</v>
      </c>
      <c r="B3516" s="1086" t="s">
        <v>8833</v>
      </c>
      <c r="C3516" s="1087" t="s">
        <v>1788</v>
      </c>
      <c r="D3516" s="1088">
        <v>315.86</v>
      </c>
      <c r="E3516" s="1089" t="s">
        <v>5308</v>
      </c>
      <c r="F3516" s="1081">
        <f t="shared" si="1"/>
        <v>0</v>
      </c>
      <c r="G3516" s="1083">
        <f t="shared" si="2"/>
        <v>315.86</v>
      </c>
      <c r="H3516" s="1084"/>
    </row>
    <row r="3517" ht="14.25" customHeight="1">
      <c r="A3517" s="1085">
        <v>4982.0</v>
      </c>
      <c r="B3517" s="1086" t="s">
        <v>8834</v>
      </c>
      <c r="C3517" s="1087" t="s">
        <v>1788</v>
      </c>
      <c r="D3517" s="1088">
        <v>296.26</v>
      </c>
      <c r="E3517" s="1089" t="s">
        <v>5308</v>
      </c>
      <c r="F3517" s="1081">
        <f t="shared" si="1"/>
        <v>0</v>
      </c>
      <c r="G3517" s="1083">
        <f t="shared" si="2"/>
        <v>296.26</v>
      </c>
      <c r="H3517" s="1084"/>
    </row>
    <row r="3518" ht="14.25" customHeight="1">
      <c r="A3518" s="1085">
        <v>4962.0</v>
      </c>
      <c r="B3518" s="1086" t="s">
        <v>8835</v>
      </c>
      <c r="C3518" s="1087" t="s">
        <v>1788</v>
      </c>
      <c r="D3518" s="1088">
        <v>233.64</v>
      </c>
      <c r="E3518" s="1089" t="s">
        <v>5308</v>
      </c>
      <c r="F3518" s="1081">
        <f t="shared" si="1"/>
        <v>0</v>
      </c>
      <c r="G3518" s="1083">
        <f t="shared" si="2"/>
        <v>233.64</v>
      </c>
      <c r="H3518" s="1084"/>
    </row>
    <row r="3519" ht="14.25" customHeight="1">
      <c r="A3519" s="1085">
        <v>4981.0</v>
      </c>
      <c r="B3519" s="1086" t="s">
        <v>8836</v>
      </c>
      <c r="C3519" s="1087" t="s">
        <v>1788</v>
      </c>
      <c r="D3519" s="1088">
        <v>208.0</v>
      </c>
      <c r="E3519" s="1089" t="s">
        <v>5308</v>
      </c>
      <c r="F3519" s="1081">
        <f t="shared" si="1"/>
        <v>0</v>
      </c>
      <c r="G3519" s="1083">
        <f t="shared" si="2"/>
        <v>208</v>
      </c>
      <c r="H3519" s="1084"/>
    </row>
    <row r="3520" ht="14.25" customHeight="1">
      <c r="A3520" s="1085">
        <v>4964.0</v>
      </c>
      <c r="B3520" s="1086" t="s">
        <v>8837</v>
      </c>
      <c r="C3520" s="1087" t="s">
        <v>1788</v>
      </c>
      <c r="D3520" s="1088">
        <v>263.87</v>
      </c>
      <c r="E3520" s="1089" t="s">
        <v>5308</v>
      </c>
      <c r="F3520" s="1081">
        <f t="shared" si="1"/>
        <v>0</v>
      </c>
      <c r="G3520" s="1083">
        <f t="shared" si="2"/>
        <v>263.87</v>
      </c>
      <c r="H3520" s="1084"/>
    </row>
    <row r="3521" ht="14.25" customHeight="1">
      <c r="A3521" s="1085">
        <v>4992.0</v>
      </c>
      <c r="B3521" s="1086" t="s">
        <v>8838</v>
      </c>
      <c r="C3521" s="1087" t="s">
        <v>1788</v>
      </c>
      <c r="D3521" s="1088">
        <v>257.76</v>
      </c>
      <c r="E3521" s="1089" t="s">
        <v>5308</v>
      </c>
      <c r="F3521" s="1081">
        <f t="shared" si="1"/>
        <v>0</v>
      </c>
      <c r="G3521" s="1083">
        <f t="shared" si="2"/>
        <v>257.76</v>
      </c>
      <c r="H3521" s="1084"/>
    </row>
    <row r="3522" ht="14.25" customHeight="1">
      <c r="A3522" s="1085">
        <v>4987.0</v>
      </c>
      <c r="B3522" s="1086" t="s">
        <v>8839</v>
      </c>
      <c r="C3522" s="1087" t="s">
        <v>1788</v>
      </c>
      <c r="D3522" s="1088">
        <v>294.89</v>
      </c>
      <c r="E3522" s="1089" t="s">
        <v>5308</v>
      </c>
      <c r="F3522" s="1081">
        <f t="shared" si="1"/>
        <v>0</v>
      </c>
      <c r="G3522" s="1083">
        <f t="shared" si="2"/>
        <v>294.89</v>
      </c>
      <c r="H3522" s="1084"/>
    </row>
    <row r="3523" ht="14.25" customHeight="1">
      <c r="A3523" s="1085">
        <v>4930.0</v>
      </c>
      <c r="B3523" s="1086" t="s">
        <v>8840</v>
      </c>
      <c r="C3523" s="1087" t="s">
        <v>1814</v>
      </c>
      <c r="D3523" s="1088">
        <v>1459.5</v>
      </c>
      <c r="E3523" s="1089" t="s">
        <v>5308</v>
      </c>
      <c r="F3523" s="1081">
        <f t="shared" si="1"/>
        <v>0</v>
      </c>
      <c r="G3523" s="1083">
        <f t="shared" si="2"/>
        <v>1459.5</v>
      </c>
      <c r="H3523" s="1084"/>
    </row>
    <row r="3524" ht="14.25" customHeight="1">
      <c r="A3524" s="1085">
        <v>39021.0</v>
      </c>
      <c r="B3524" s="1086" t="s">
        <v>8841</v>
      </c>
      <c r="C3524" s="1087" t="s">
        <v>1788</v>
      </c>
      <c r="D3524" s="1088">
        <v>1551.81</v>
      </c>
      <c r="E3524" s="1089" t="s">
        <v>5308</v>
      </c>
      <c r="F3524" s="1081">
        <f t="shared" si="1"/>
        <v>0</v>
      </c>
      <c r="G3524" s="1083">
        <f t="shared" si="2"/>
        <v>1551.81</v>
      </c>
      <c r="H3524" s="1084"/>
    </row>
    <row r="3525" ht="14.25" customHeight="1">
      <c r="A3525" s="1085">
        <v>39022.0</v>
      </c>
      <c r="B3525" s="1086" t="s">
        <v>8842</v>
      </c>
      <c r="C3525" s="1087" t="s">
        <v>1788</v>
      </c>
      <c r="D3525" s="1088">
        <v>1390.0</v>
      </c>
      <c r="E3525" s="1089" t="s">
        <v>5308</v>
      </c>
      <c r="F3525" s="1081">
        <f t="shared" si="1"/>
        <v>0</v>
      </c>
      <c r="G3525" s="1083">
        <f t="shared" si="2"/>
        <v>1390</v>
      </c>
      <c r="H3525" s="1084"/>
    </row>
    <row r="3526" ht="14.25" customHeight="1">
      <c r="A3526" s="1085">
        <v>39024.0</v>
      </c>
      <c r="B3526" s="1086" t="s">
        <v>8843</v>
      </c>
      <c r="C3526" s="1087" t="s">
        <v>1788</v>
      </c>
      <c r="D3526" s="1088">
        <v>1371.91</v>
      </c>
      <c r="E3526" s="1089" t="s">
        <v>5308</v>
      </c>
      <c r="F3526" s="1081">
        <f t="shared" si="1"/>
        <v>0</v>
      </c>
      <c r="G3526" s="1083">
        <f t="shared" si="2"/>
        <v>1371.91</v>
      </c>
      <c r="H3526" s="1084"/>
    </row>
    <row r="3527" ht="14.25" customHeight="1">
      <c r="A3527" s="1085">
        <v>4914.0</v>
      </c>
      <c r="B3527" s="1086" t="s">
        <v>8844</v>
      </c>
      <c r="C3527" s="1087" t="s">
        <v>1814</v>
      </c>
      <c r="D3527" s="1088">
        <v>1112.38</v>
      </c>
      <c r="E3527" s="1089" t="s">
        <v>5308</v>
      </c>
      <c r="F3527" s="1081">
        <f t="shared" si="1"/>
        <v>0</v>
      </c>
      <c r="G3527" s="1083">
        <f t="shared" si="2"/>
        <v>1112.38</v>
      </c>
      <c r="H3527" s="1084"/>
    </row>
    <row r="3528" ht="14.25" customHeight="1">
      <c r="A3528" s="1085">
        <v>4917.0</v>
      </c>
      <c r="B3528" s="1086" t="s">
        <v>8845</v>
      </c>
      <c r="C3528" s="1087" t="s">
        <v>1814</v>
      </c>
      <c r="D3528" s="1088">
        <v>768.22</v>
      </c>
      <c r="E3528" s="1089" t="s">
        <v>5308</v>
      </c>
      <c r="F3528" s="1081">
        <f t="shared" si="1"/>
        <v>0</v>
      </c>
      <c r="G3528" s="1083">
        <f t="shared" si="2"/>
        <v>768.22</v>
      </c>
      <c r="H3528" s="1084"/>
    </row>
    <row r="3529" ht="14.25" customHeight="1">
      <c r="A3529" s="1085">
        <v>39025.0</v>
      </c>
      <c r="B3529" s="1086" t="s">
        <v>8846</v>
      </c>
      <c r="C3529" s="1087" t="s">
        <v>1788</v>
      </c>
      <c r="D3529" s="1088">
        <v>1406.75</v>
      </c>
      <c r="E3529" s="1089" t="s">
        <v>5308</v>
      </c>
      <c r="F3529" s="1081">
        <f t="shared" si="1"/>
        <v>0</v>
      </c>
      <c r="G3529" s="1083">
        <f t="shared" si="2"/>
        <v>1406.75</v>
      </c>
      <c r="H3529" s="1084"/>
    </row>
    <row r="3530" ht="14.25" customHeight="1">
      <c r="A3530" s="1085">
        <v>4922.0</v>
      </c>
      <c r="B3530" s="1086" t="s">
        <v>8847</v>
      </c>
      <c r="C3530" s="1087" t="s">
        <v>1814</v>
      </c>
      <c r="D3530" s="1088">
        <v>712.59</v>
      </c>
      <c r="E3530" s="1089" t="s">
        <v>5308</v>
      </c>
      <c r="F3530" s="1081">
        <f t="shared" si="1"/>
        <v>0</v>
      </c>
      <c r="G3530" s="1083">
        <f t="shared" si="2"/>
        <v>712.59</v>
      </c>
      <c r="H3530" s="1084"/>
    </row>
    <row r="3531" ht="14.25" customHeight="1">
      <c r="A3531" s="1085">
        <v>4911.0</v>
      </c>
      <c r="B3531" s="1086" t="s">
        <v>8848</v>
      </c>
      <c r="C3531" s="1087" t="s">
        <v>1814</v>
      </c>
      <c r="D3531" s="1088">
        <v>334.6</v>
      </c>
      <c r="E3531" s="1089" t="s">
        <v>5308</v>
      </c>
      <c r="F3531" s="1081">
        <f t="shared" si="1"/>
        <v>0</v>
      </c>
      <c r="G3531" s="1083">
        <f t="shared" si="2"/>
        <v>334.6</v>
      </c>
      <c r="H3531" s="1084"/>
    </row>
    <row r="3532" ht="14.25" customHeight="1">
      <c r="A3532" s="1085">
        <v>37518.0</v>
      </c>
      <c r="B3532" s="1086" t="s">
        <v>8849</v>
      </c>
      <c r="C3532" s="1087" t="s">
        <v>1814</v>
      </c>
      <c r="D3532" s="1088">
        <v>543.72</v>
      </c>
      <c r="E3532" s="1089" t="s">
        <v>5308</v>
      </c>
      <c r="F3532" s="1081">
        <f t="shared" si="1"/>
        <v>0</v>
      </c>
      <c r="G3532" s="1083">
        <f t="shared" si="2"/>
        <v>543.72</v>
      </c>
      <c r="H3532" s="1084"/>
    </row>
    <row r="3533" ht="14.25" customHeight="1">
      <c r="A3533" s="1085">
        <v>4910.0</v>
      </c>
      <c r="B3533" s="1086" t="s">
        <v>8850</v>
      </c>
      <c r="C3533" s="1087" t="s">
        <v>1814</v>
      </c>
      <c r="D3533" s="1088">
        <v>458.36</v>
      </c>
      <c r="E3533" s="1089" t="s">
        <v>5308</v>
      </c>
      <c r="F3533" s="1081">
        <f t="shared" si="1"/>
        <v>0</v>
      </c>
      <c r="G3533" s="1083">
        <f t="shared" si="2"/>
        <v>458.36</v>
      </c>
      <c r="H3533" s="1084"/>
    </row>
    <row r="3534" ht="14.25" customHeight="1">
      <c r="A3534" s="1085">
        <v>4943.0</v>
      </c>
      <c r="B3534" s="1086" t="s">
        <v>8851</v>
      </c>
      <c r="C3534" s="1087" t="s">
        <v>1814</v>
      </c>
      <c r="D3534" s="1088">
        <v>682.85</v>
      </c>
      <c r="E3534" s="1089" t="s">
        <v>5308</v>
      </c>
      <c r="F3534" s="1081">
        <f t="shared" si="1"/>
        <v>0</v>
      </c>
      <c r="G3534" s="1083">
        <f t="shared" si="2"/>
        <v>682.85</v>
      </c>
      <c r="H3534" s="1084"/>
    </row>
    <row r="3535" ht="14.25" customHeight="1">
      <c r="A3535" s="1085">
        <v>5002.0</v>
      </c>
      <c r="B3535" s="1086" t="s">
        <v>8852</v>
      </c>
      <c r="C3535" s="1087" t="s">
        <v>1814</v>
      </c>
      <c r="D3535" s="1088">
        <v>531.01</v>
      </c>
      <c r="E3535" s="1089" t="s">
        <v>5308</v>
      </c>
      <c r="F3535" s="1081">
        <f t="shared" si="1"/>
        <v>0</v>
      </c>
      <c r="G3535" s="1083">
        <f t="shared" si="2"/>
        <v>531.01</v>
      </c>
      <c r="H3535" s="1084"/>
    </row>
    <row r="3536" ht="14.25" customHeight="1">
      <c r="A3536" s="1085">
        <v>4977.0</v>
      </c>
      <c r="B3536" s="1086" t="s">
        <v>8853</v>
      </c>
      <c r="C3536" s="1087" t="s">
        <v>1814</v>
      </c>
      <c r="D3536" s="1088">
        <v>358.45</v>
      </c>
      <c r="E3536" s="1089" t="s">
        <v>5308</v>
      </c>
      <c r="F3536" s="1081">
        <f t="shared" si="1"/>
        <v>0</v>
      </c>
      <c r="G3536" s="1083">
        <f t="shared" si="2"/>
        <v>358.45</v>
      </c>
      <c r="H3536" s="1084"/>
    </row>
    <row r="3537" ht="14.25" customHeight="1">
      <c r="A3537" s="1085">
        <v>5028.0</v>
      </c>
      <c r="B3537" s="1086" t="s">
        <v>8854</v>
      </c>
      <c r="C3537" s="1087" t="s">
        <v>1814</v>
      </c>
      <c r="D3537" s="1088">
        <v>877.07</v>
      </c>
      <c r="E3537" s="1089" t="s">
        <v>5308</v>
      </c>
      <c r="F3537" s="1081">
        <f t="shared" si="1"/>
        <v>0</v>
      </c>
      <c r="G3537" s="1083">
        <f t="shared" si="2"/>
        <v>877.07</v>
      </c>
      <c r="H3537" s="1084"/>
    </row>
    <row r="3538" ht="14.25" customHeight="1">
      <c r="A3538" s="1085">
        <v>4998.0</v>
      </c>
      <c r="B3538" s="1086" t="s">
        <v>8855</v>
      </c>
      <c r="C3538" s="1087" t="s">
        <v>1814</v>
      </c>
      <c r="D3538" s="1088">
        <v>728.43</v>
      </c>
      <c r="E3538" s="1089" t="s">
        <v>5308</v>
      </c>
      <c r="F3538" s="1081">
        <f t="shared" si="1"/>
        <v>0</v>
      </c>
      <c r="G3538" s="1083">
        <f t="shared" si="2"/>
        <v>728.43</v>
      </c>
      <c r="H3538" s="1084"/>
    </row>
    <row r="3539" ht="14.25" customHeight="1">
      <c r="A3539" s="1085">
        <v>4969.0</v>
      </c>
      <c r="B3539" s="1086" t="s">
        <v>8856</v>
      </c>
      <c r="C3539" s="1087" t="s">
        <v>1814</v>
      </c>
      <c r="D3539" s="1088">
        <v>506.96</v>
      </c>
      <c r="E3539" s="1089" t="s">
        <v>5308</v>
      </c>
      <c r="F3539" s="1081">
        <f t="shared" si="1"/>
        <v>0</v>
      </c>
      <c r="G3539" s="1083">
        <f t="shared" si="2"/>
        <v>506.96</v>
      </c>
      <c r="H3539" s="1084"/>
    </row>
    <row r="3540" ht="14.25" customHeight="1">
      <c r="A3540" s="1085">
        <v>11364.0</v>
      </c>
      <c r="B3540" s="1086" t="s">
        <v>8857</v>
      </c>
      <c r="C3540" s="1087" t="s">
        <v>1788</v>
      </c>
      <c r="D3540" s="1088">
        <v>178.69</v>
      </c>
      <c r="E3540" s="1089" t="s">
        <v>5308</v>
      </c>
      <c r="F3540" s="1081">
        <f t="shared" si="1"/>
        <v>0</v>
      </c>
      <c r="G3540" s="1083">
        <f t="shared" si="2"/>
        <v>178.69</v>
      </c>
      <c r="H3540" s="1084"/>
    </row>
    <row r="3541" ht="14.25" customHeight="1">
      <c r="A3541" s="1085">
        <v>11365.0</v>
      </c>
      <c r="B3541" s="1086" t="s">
        <v>8858</v>
      </c>
      <c r="C3541" s="1087" t="s">
        <v>1788</v>
      </c>
      <c r="D3541" s="1088">
        <v>185.43</v>
      </c>
      <c r="E3541" s="1089" t="s">
        <v>5308</v>
      </c>
      <c r="F3541" s="1081">
        <f t="shared" si="1"/>
        <v>0</v>
      </c>
      <c r="G3541" s="1083">
        <f t="shared" si="2"/>
        <v>185.43</v>
      </c>
      <c r="H3541" s="1084"/>
    </row>
    <row r="3542" ht="14.25" customHeight="1">
      <c r="A3542" s="1085">
        <v>11366.0</v>
      </c>
      <c r="B3542" s="1086" t="s">
        <v>8859</v>
      </c>
      <c r="C3542" s="1087" t="s">
        <v>1788</v>
      </c>
      <c r="D3542" s="1088">
        <v>197.12</v>
      </c>
      <c r="E3542" s="1089" t="s">
        <v>5308</v>
      </c>
      <c r="F3542" s="1081">
        <f t="shared" si="1"/>
        <v>0</v>
      </c>
      <c r="G3542" s="1083">
        <f t="shared" si="2"/>
        <v>197.12</v>
      </c>
      <c r="H3542" s="1084"/>
    </row>
    <row r="3543" ht="14.25" customHeight="1">
      <c r="A3543" s="1085">
        <v>43777.0</v>
      </c>
      <c r="B3543" s="1086" t="s">
        <v>8860</v>
      </c>
      <c r="C3543" s="1087" t="s">
        <v>1788</v>
      </c>
      <c r="D3543" s="1088">
        <v>231.54</v>
      </c>
      <c r="E3543" s="1089" t="s">
        <v>5308</v>
      </c>
      <c r="F3543" s="1081">
        <f t="shared" si="1"/>
        <v>0</v>
      </c>
      <c r="G3543" s="1083">
        <f t="shared" si="2"/>
        <v>231.54</v>
      </c>
      <c r="H3543" s="1084"/>
    </row>
    <row r="3544" ht="14.25" customHeight="1">
      <c r="A3544" s="1085">
        <v>20322.0</v>
      </c>
      <c r="B3544" s="1086" t="s">
        <v>8861</v>
      </c>
      <c r="C3544" s="1087" t="s">
        <v>1788</v>
      </c>
      <c r="D3544" s="1088">
        <v>214.94</v>
      </c>
      <c r="E3544" s="1089" t="s">
        <v>5308</v>
      </c>
      <c r="F3544" s="1081">
        <f t="shared" si="1"/>
        <v>0</v>
      </c>
      <c r="G3544" s="1083">
        <f t="shared" si="2"/>
        <v>214.94</v>
      </c>
      <c r="H3544" s="1084"/>
    </row>
    <row r="3545" ht="14.25" customHeight="1">
      <c r="A3545" s="1085">
        <v>10553.0</v>
      </c>
      <c r="B3545" s="1086" t="s">
        <v>8862</v>
      </c>
      <c r="C3545" s="1087" t="s">
        <v>1788</v>
      </c>
      <c r="D3545" s="1088">
        <v>195.17</v>
      </c>
      <c r="E3545" s="1089" t="s">
        <v>5308</v>
      </c>
      <c r="F3545" s="1081">
        <f t="shared" si="1"/>
        <v>0</v>
      </c>
      <c r="G3545" s="1083">
        <f t="shared" si="2"/>
        <v>195.17</v>
      </c>
      <c r="H3545" s="1084"/>
    </row>
    <row r="3546" ht="14.25" customHeight="1">
      <c r="A3546" s="1085">
        <v>5020.0</v>
      </c>
      <c r="B3546" s="1086" t="s">
        <v>8863</v>
      </c>
      <c r="C3546" s="1087" t="s">
        <v>1788</v>
      </c>
      <c r="D3546" s="1088">
        <v>205.77</v>
      </c>
      <c r="E3546" s="1089" t="s">
        <v>5308</v>
      </c>
      <c r="F3546" s="1081">
        <f t="shared" si="1"/>
        <v>0</v>
      </c>
      <c r="G3546" s="1083">
        <f t="shared" si="2"/>
        <v>205.77</v>
      </c>
      <c r="H3546" s="1084"/>
    </row>
    <row r="3547" ht="14.25" customHeight="1">
      <c r="A3547" s="1085">
        <v>10554.0</v>
      </c>
      <c r="B3547" s="1086" t="s">
        <v>8864</v>
      </c>
      <c r="C3547" s="1087" t="s">
        <v>1788</v>
      </c>
      <c r="D3547" s="1088">
        <v>196.9</v>
      </c>
      <c r="E3547" s="1089" t="s">
        <v>5308</v>
      </c>
      <c r="F3547" s="1081">
        <f t="shared" si="1"/>
        <v>0</v>
      </c>
      <c r="G3547" s="1083">
        <f t="shared" si="2"/>
        <v>196.9</v>
      </c>
      <c r="H3547" s="1084"/>
    </row>
    <row r="3548" ht="14.25" customHeight="1">
      <c r="A3548" s="1085">
        <v>10555.0</v>
      </c>
      <c r="B3548" s="1086" t="s">
        <v>8865</v>
      </c>
      <c r="C3548" s="1087" t="s">
        <v>1788</v>
      </c>
      <c r="D3548" s="1088">
        <v>214.72</v>
      </c>
      <c r="E3548" s="1089" t="s">
        <v>5308</v>
      </c>
      <c r="F3548" s="1081">
        <f t="shared" si="1"/>
        <v>0</v>
      </c>
      <c r="G3548" s="1083">
        <f t="shared" si="2"/>
        <v>214.72</v>
      </c>
      <c r="H3548" s="1084"/>
    </row>
    <row r="3549" ht="14.25" customHeight="1">
      <c r="A3549" s="1085">
        <v>10556.0</v>
      </c>
      <c r="B3549" s="1086" t="s">
        <v>8866</v>
      </c>
      <c r="C3549" s="1087" t="s">
        <v>1788</v>
      </c>
      <c r="D3549" s="1088">
        <v>285.5</v>
      </c>
      <c r="E3549" s="1089" t="s">
        <v>5308</v>
      </c>
      <c r="F3549" s="1081">
        <f t="shared" si="1"/>
        <v>0</v>
      </c>
      <c r="G3549" s="1083">
        <f t="shared" si="2"/>
        <v>285.5</v>
      </c>
      <c r="H3549" s="1084"/>
    </row>
    <row r="3550" ht="14.25" customHeight="1">
      <c r="A3550" s="1085">
        <v>39502.0</v>
      </c>
      <c r="B3550" s="1086" t="s">
        <v>8867</v>
      </c>
      <c r="C3550" s="1087" t="s">
        <v>1788</v>
      </c>
      <c r="D3550" s="1088">
        <v>400.91</v>
      </c>
      <c r="E3550" s="1089" t="s">
        <v>5308</v>
      </c>
      <c r="F3550" s="1081">
        <f t="shared" si="1"/>
        <v>0</v>
      </c>
      <c r="G3550" s="1083">
        <f t="shared" si="2"/>
        <v>400.91</v>
      </c>
      <c r="H3550" s="1084"/>
    </row>
    <row r="3551" ht="14.25" customHeight="1">
      <c r="A3551" s="1085">
        <v>39504.0</v>
      </c>
      <c r="B3551" s="1086" t="s">
        <v>8868</v>
      </c>
      <c r="C3551" s="1087" t="s">
        <v>1788</v>
      </c>
      <c r="D3551" s="1088">
        <v>443.33</v>
      </c>
      <c r="E3551" s="1089" t="s">
        <v>5308</v>
      </c>
      <c r="F3551" s="1081">
        <f t="shared" si="1"/>
        <v>0</v>
      </c>
      <c r="G3551" s="1083">
        <f t="shared" si="2"/>
        <v>443.33</v>
      </c>
      <c r="H3551" s="1084"/>
    </row>
    <row r="3552" ht="14.25" customHeight="1">
      <c r="A3552" s="1085">
        <v>39503.0</v>
      </c>
      <c r="B3552" s="1086" t="s">
        <v>8869</v>
      </c>
      <c r="C3552" s="1087" t="s">
        <v>1788</v>
      </c>
      <c r="D3552" s="1088">
        <v>466.59</v>
      </c>
      <c r="E3552" s="1089" t="s">
        <v>5308</v>
      </c>
      <c r="F3552" s="1081">
        <f t="shared" si="1"/>
        <v>0</v>
      </c>
      <c r="G3552" s="1083">
        <f t="shared" si="2"/>
        <v>466.59</v>
      </c>
      <c r="H3552" s="1084"/>
    </row>
    <row r="3553" ht="14.25" customHeight="1">
      <c r="A3553" s="1085">
        <v>39505.0</v>
      </c>
      <c r="B3553" s="1086" t="s">
        <v>8870</v>
      </c>
      <c r="C3553" s="1087" t="s">
        <v>1788</v>
      </c>
      <c r="D3553" s="1088">
        <v>502.81</v>
      </c>
      <c r="E3553" s="1089" t="s">
        <v>5308</v>
      </c>
      <c r="F3553" s="1081">
        <f t="shared" si="1"/>
        <v>0</v>
      </c>
      <c r="G3553" s="1083">
        <f t="shared" si="2"/>
        <v>502.81</v>
      </c>
      <c r="H3553" s="1084"/>
    </row>
    <row r="3554" ht="14.25" customHeight="1">
      <c r="A3554" s="1085">
        <v>44471.0</v>
      </c>
      <c r="B3554" s="1086" t="s">
        <v>8871</v>
      </c>
      <c r="C3554" s="1087" t="s">
        <v>1788</v>
      </c>
      <c r="D3554" s="1088">
        <v>558.38</v>
      </c>
      <c r="E3554" s="1089" t="s">
        <v>5554</v>
      </c>
      <c r="F3554" s="1081">
        <f t="shared" si="1"/>
        <v>0</v>
      </c>
      <c r="G3554" s="1083">
        <f t="shared" si="2"/>
        <v>558.38</v>
      </c>
      <c r="H3554" s="1084"/>
    </row>
    <row r="3555" ht="14.25" customHeight="1">
      <c r="A3555" s="1085">
        <v>4944.0</v>
      </c>
      <c r="B3555" s="1086" t="s">
        <v>8872</v>
      </c>
      <c r="C3555" s="1087" t="s">
        <v>1814</v>
      </c>
      <c r="D3555" s="1088">
        <v>1020.87</v>
      </c>
      <c r="E3555" s="1089" t="s">
        <v>5308</v>
      </c>
      <c r="F3555" s="1081">
        <f t="shared" si="1"/>
        <v>0</v>
      </c>
      <c r="G3555" s="1083">
        <f t="shared" si="2"/>
        <v>1020.87</v>
      </c>
      <c r="H3555" s="1084"/>
    </row>
    <row r="3556" ht="14.25" customHeight="1">
      <c r="A3556" s="1085">
        <v>21102.0</v>
      </c>
      <c r="B3556" s="1086" t="s">
        <v>8873</v>
      </c>
      <c r="C3556" s="1087" t="s">
        <v>1788</v>
      </c>
      <c r="D3556" s="1088">
        <v>90.18</v>
      </c>
      <c r="E3556" s="1089" t="s">
        <v>5308</v>
      </c>
      <c r="F3556" s="1081">
        <f t="shared" si="1"/>
        <v>0</v>
      </c>
      <c r="G3556" s="1083">
        <f t="shared" si="2"/>
        <v>90.18</v>
      </c>
      <c r="H3556" s="1084"/>
    </row>
    <row r="3557" ht="14.25" customHeight="1">
      <c r="A3557" s="1085">
        <v>21101.0</v>
      </c>
      <c r="B3557" s="1086" t="s">
        <v>8874</v>
      </c>
      <c r="C3557" s="1087" t="s">
        <v>1788</v>
      </c>
      <c r="D3557" s="1088">
        <v>57.91</v>
      </c>
      <c r="E3557" s="1089" t="s">
        <v>5308</v>
      </c>
      <c r="F3557" s="1081">
        <f t="shared" si="1"/>
        <v>0</v>
      </c>
      <c r="G3557" s="1083">
        <f t="shared" si="2"/>
        <v>57.91</v>
      </c>
      <c r="H3557" s="1084"/>
    </row>
    <row r="3558" ht="14.25" customHeight="1">
      <c r="A3558" s="1085">
        <v>34713.0</v>
      </c>
      <c r="B3558" s="1086" t="s">
        <v>8875</v>
      </c>
      <c r="C3558" s="1087" t="s">
        <v>1814</v>
      </c>
      <c r="D3558" s="1088">
        <v>417.11</v>
      </c>
      <c r="E3558" s="1089" t="s">
        <v>5308</v>
      </c>
      <c r="F3558" s="1081">
        <f t="shared" si="1"/>
        <v>0</v>
      </c>
      <c r="G3558" s="1083">
        <f t="shared" si="2"/>
        <v>417.11</v>
      </c>
      <c r="H3558" s="1084"/>
    </row>
    <row r="3559" ht="14.25" customHeight="1">
      <c r="A3559" s="1085">
        <v>37563.0</v>
      </c>
      <c r="B3559" s="1086" t="s">
        <v>8876</v>
      </c>
      <c r="C3559" s="1087" t="s">
        <v>1814</v>
      </c>
      <c r="D3559" s="1088">
        <v>1605.98</v>
      </c>
      <c r="E3559" s="1089" t="s">
        <v>5308</v>
      </c>
      <c r="F3559" s="1081">
        <f t="shared" si="1"/>
        <v>0</v>
      </c>
      <c r="G3559" s="1083">
        <f t="shared" si="2"/>
        <v>1605.98</v>
      </c>
      <c r="H3559" s="1084"/>
    </row>
    <row r="3560" ht="14.25" customHeight="1">
      <c r="A3560" s="1085">
        <v>4948.0</v>
      </c>
      <c r="B3560" s="1086" t="s">
        <v>8877</v>
      </c>
      <c r="C3560" s="1087" t="s">
        <v>1814</v>
      </c>
      <c r="D3560" s="1088">
        <v>1397.23</v>
      </c>
      <c r="E3560" s="1089" t="s">
        <v>5308</v>
      </c>
      <c r="F3560" s="1081">
        <f t="shared" si="1"/>
        <v>0</v>
      </c>
      <c r="G3560" s="1083">
        <f t="shared" si="2"/>
        <v>1397.23</v>
      </c>
      <c r="H3560" s="1084"/>
    </row>
    <row r="3561" ht="14.25" customHeight="1">
      <c r="A3561" s="1085">
        <v>37561.0</v>
      </c>
      <c r="B3561" s="1086" t="s">
        <v>8878</v>
      </c>
      <c r="C3561" s="1087" t="s">
        <v>1814</v>
      </c>
      <c r="D3561" s="1088">
        <v>1303.12</v>
      </c>
      <c r="E3561" s="1089" t="s">
        <v>5308</v>
      </c>
      <c r="F3561" s="1081">
        <f t="shared" si="1"/>
        <v>0</v>
      </c>
      <c r="G3561" s="1083">
        <f t="shared" si="2"/>
        <v>1303.12</v>
      </c>
      <c r="H3561" s="1084"/>
    </row>
    <row r="3562" ht="14.25" customHeight="1">
      <c r="A3562" s="1085">
        <v>37562.0</v>
      </c>
      <c r="B3562" s="1086" t="s">
        <v>8879</v>
      </c>
      <c r="C3562" s="1087" t="s">
        <v>1814</v>
      </c>
      <c r="D3562" s="1088">
        <v>1708.54</v>
      </c>
      <c r="E3562" s="1089" t="s">
        <v>5308</v>
      </c>
      <c r="F3562" s="1081">
        <f t="shared" si="1"/>
        <v>0</v>
      </c>
      <c r="G3562" s="1083">
        <f t="shared" si="2"/>
        <v>1708.54</v>
      </c>
      <c r="H3562" s="1084"/>
    </row>
    <row r="3563" ht="14.25" customHeight="1">
      <c r="A3563" s="1085">
        <v>14164.0</v>
      </c>
      <c r="B3563" s="1086" t="s">
        <v>8880</v>
      </c>
      <c r="C3563" s="1087" t="s">
        <v>1788</v>
      </c>
      <c r="D3563" s="1088">
        <v>2009.86</v>
      </c>
      <c r="E3563" s="1089" t="s">
        <v>5308</v>
      </c>
      <c r="F3563" s="1081">
        <f t="shared" si="1"/>
        <v>0</v>
      </c>
      <c r="G3563" s="1083">
        <f t="shared" si="2"/>
        <v>2009.86</v>
      </c>
      <c r="H3563" s="1084"/>
    </row>
    <row r="3564" ht="14.25" customHeight="1">
      <c r="A3564" s="1085">
        <v>14163.0</v>
      </c>
      <c r="B3564" s="1086" t="s">
        <v>8881</v>
      </c>
      <c r="C3564" s="1087" t="s">
        <v>1788</v>
      </c>
      <c r="D3564" s="1088">
        <v>2284.34</v>
      </c>
      <c r="E3564" s="1089" t="s">
        <v>5308</v>
      </c>
      <c r="F3564" s="1081">
        <f t="shared" si="1"/>
        <v>0</v>
      </c>
      <c r="G3564" s="1083">
        <f t="shared" si="2"/>
        <v>2284.34</v>
      </c>
      <c r="H3564" s="1084"/>
    </row>
    <row r="3565" ht="14.25" customHeight="1">
      <c r="A3565" s="1085">
        <v>5051.0</v>
      </c>
      <c r="B3565" s="1086" t="s">
        <v>8882</v>
      </c>
      <c r="C3565" s="1087" t="s">
        <v>1788</v>
      </c>
      <c r="D3565" s="1088">
        <v>1942.8</v>
      </c>
      <c r="E3565" s="1089" t="s">
        <v>5308</v>
      </c>
      <c r="F3565" s="1081">
        <f t="shared" si="1"/>
        <v>0</v>
      </c>
      <c r="G3565" s="1083">
        <f t="shared" si="2"/>
        <v>1942.8</v>
      </c>
      <c r="H3565" s="1084"/>
    </row>
    <row r="3566" ht="14.25" customHeight="1">
      <c r="A3566" s="1085">
        <v>14162.0</v>
      </c>
      <c r="B3566" s="1086" t="s">
        <v>8883</v>
      </c>
      <c r="C3566" s="1087" t="s">
        <v>1788</v>
      </c>
      <c r="D3566" s="1088">
        <v>1939.98</v>
      </c>
      <c r="E3566" s="1089" t="s">
        <v>5308</v>
      </c>
      <c r="F3566" s="1081">
        <f t="shared" si="1"/>
        <v>0</v>
      </c>
      <c r="G3566" s="1083">
        <f t="shared" si="2"/>
        <v>1939.98</v>
      </c>
      <c r="H3566" s="1084"/>
    </row>
    <row r="3567" ht="14.25" customHeight="1">
      <c r="A3567" s="1085">
        <v>5052.0</v>
      </c>
      <c r="B3567" s="1086" t="s">
        <v>8884</v>
      </c>
      <c r="C3567" s="1087" t="s">
        <v>1788</v>
      </c>
      <c r="D3567" s="1088">
        <v>1447.5</v>
      </c>
      <c r="E3567" s="1089" t="s">
        <v>5308</v>
      </c>
      <c r="F3567" s="1081">
        <f t="shared" si="1"/>
        <v>0</v>
      </c>
      <c r="G3567" s="1083">
        <f t="shared" si="2"/>
        <v>1447.5</v>
      </c>
      <c r="H3567" s="1084"/>
    </row>
    <row r="3568" ht="14.25" customHeight="1">
      <c r="A3568" s="1085">
        <v>14166.0</v>
      </c>
      <c r="B3568" s="1086" t="s">
        <v>8885</v>
      </c>
      <c r="C3568" s="1087" t="s">
        <v>1788</v>
      </c>
      <c r="D3568" s="1088">
        <v>1465.88</v>
      </c>
      <c r="E3568" s="1089" t="s">
        <v>5308</v>
      </c>
      <c r="F3568" s="1081">
        <f t="shared" si="1"/>
        <v>0</v>
      </c>
      <c r="G3568" s="1083">
        <f t="shared" si="2"/>
        <v>1465.88</v>
      </c>
      <c r="H3568" s="1084"/>
    </row>
    <row r="3569" ht="14.25" customHeight="1">
      <c r="A3569" s="1085">
        <v>14165.0</v>
      </c>
      <c r="B3569" s="1086" t="s">
        <v>8886</v>
      </c>
      <c r="C3569" s="1087" t="s">
        <v>1788</v>
      </c>
      <c r="D3569" s="1088">
        <v>2030.77</v>
      </c>
      <c r="E3569" s="1089" t="s">
        <v>5308</v>
      </c>
      <c r="F3569" s="1081">
        <f t="shared" si="1"/>
        <v>0</v>
      </c>
      <c r="G3569" s="1083">
        <f t="shared" si="2"/>
        <v>2030.77</v>
      </c>
      <c r="H3569" s="1084"/>
    </row>
    <row r="3570" ht="14.25" customHeight="1">
      <c r="A3570" s="1085">
        <v>5050.0</v>
      </c>
      <c r="B3570" s="1086" t="s">
        <v>8887</v>
      </c>
      <c r="C3570" s="1087" t="s">
        <v>1788</v>
      </c>
      <c r="D3570" s="1088">
        <v>499.82</v>
      </c>
      <c r="E3570" s="1089" t="s">
        <v>5308</v>
      </c>
      <c r="F3570" s="1081">
        <f t="shared" si="1"/>
        <v>0</v>
      </c>
      <c r="G3570" s="1083">
        <f t="shared" si="2"/>
        <v>499.82</v>
      </c>
      <c r="H3570" s="1084"/>
    </row>
    <row r="3571" ht="14.25" customHeight="1">
      <c r="A3571" s="1085">
        <v>12366.0</v>
      </c>
      <c r="B3571" s="1086" t="s">
        <v>8888</v>
      </c>
      <c r="C3571" s="1087" t="s">
        <v>1788</v>
      </c>
      <c r="D3571" s="1088">
        <v>1008.04</v>
      </c>
      <c r="E3571" s="1089" t="s">
        <v>5308</v>
      </c>
      <c r="F3571" s="1081">
        <f t="shared" si="1"/>
        <v>0</v>
      </c>
      <c r="G3571" s="1083">
        <f t="shared" si="2"/>
        <v>1008.04</v>
      </c>
      <c r="H3571" s="1084"/>
    </row>
    <row r="3572" ht="14.25" customHeight="1">
      <c r="A3572" s="1085">
        <v>5045.0</v>
      </c>
      <c r="B3572" s="1086" t="s">
        <v>8889</v>
      </c>
      <c r="C3572" s="1087" t="s">
        <v>1788</v>
      </c>
      <c r="D3572" s="1088">
        <v>1392.56</v>
      </c>
      <c r="E3572" s="1089" t="s">
        <v>5308</v>
      </c>
      <c r="F3572" s="1081">
        <f t="shared" si="1"/>
        <v>0</v>
      </c>
      <c r="G3572" s="1083">
        <f t="shared" si="2"/>
        <v>1392.56</v>
      </c>
      <c r="H3572" s="1084"/>
    </row>
    <row r="3573" ht="14.25" customHeight="1">
      <c r="A3573" s="1085">
        <v>5035.0</v>
      </c>
      <c r="B3573" s="1086" t="s">
        <v>8890</v>
      </c>
      <c r="C3573" s="1087" t="s">
        <v>1788</v>
      </c>
      <c r="D3573" s="1088">
        <v>1601.11</v>
      </c>
      <c r="E3573" s="1089" t="s">
        <v>5308</v>
      </c>
      <c r="F3573" s="1081">
        <f t="shared" si="1"/>
        <v>0</v>
      </c>
      <c r="G3573" s="1083">
        <f t="shared" si="2"/>
        <v>1601.11</v>
      </c>
      <c r="H3573" s="1084"/>
    </row>
    <row r="3574" ht="14.25" customHeight="1">
      <c r="A3574" s="1085">
        <v>41180.0</v>
      </c>
      <c r="B3574" s="1086" t="s">
        <v>8891</v>
      </c>
      <c r="C3574" s="1087" t="s">
        <v>1788</v>
      </c>
      <c r="D3574" s="1088">
        <v>3599.27</v>
      </c>
      <c r="E3574" s="1089" t="s">
        <v>5308</v>
      </c>
      <c r="F3574" s="1081">
        <f t="shared" si="1"/>
        <v>0</v>
      </c>
      <c r="G3574" s="1083">
        <f t="shared" si="2"/>
        <v>3599.27</v>
      </c>
      <c r="H3574" s="1084"/>
    </row>
    <row r="3575" ht="14.25" customHeight="1">
      <c r="A3575" s="1085">
        <v>41181.0</v>
      </c>
      <c r="B3575" s="1086" t="s">
        <v>8892</v>
      </c>
      <c r="C3575" s="1087" t="s">
        <v>1788</v>
      </c>
      <c r="D3575" s="1088">
        <v>4765.32</v>
      </c>
      <c r="E3575" s="1089" t="s">
        <v>5308</v>
      </c>
      <c r="F3575" s="1081">
        <f t="shared" si="1"/>
        <v>0</v>
      </c>
      <c r="G3575" s="1083">
        <f t="shared" si="2"/>
        <v>4765.32</v>
      </c>
      <c r="H3575" s="1084"/>
    </row>
    <row r="3576" ht="14.25" customHeight="1">
      <c r="A3576" s="1085">
        <v>41182.0</v>
      </c>
      <c r="B3576" s="1086" t="s">
        <v>8893</v>
      </c>
      <c r="C3576" s="1087" t="s">
        <v>1788</v>
      </c>
      <c r="D3576" s="1088">
        <v>6836.24</v>
      </c>
      <c r="E3576" s="1089" t="s">
        <v>5308</v>
      </c>
      <c r="F3576" s="1081">
        <f t="shared" si="1"/>
        <v>0</v>
      </c>
      <c r="G3576" s="1083">
        <f t="shared" si="2"/>
        <v>6836.24</v>
      </c>
      <c r="H3576" s="1084"/>
    </row>
    <row r="3577" ht="14.25" customHeight="1">
      <c r="A3577" s="1085">
        <v>41183.0</v>
      </c>
      <c r="B3577" s="1086" t="s">
        <v>8894</v>
      </c>
      <c r="C3577" s="1087" t="s">
        <v>1788</v>
      </c>
      <c r="D3577" s="1088">
        <v>8535.19</v>
      </c>
      <c r="E3577" s="1089" t="s">
        <v>5308</v>
      </c>
      <c r="F3577" s="1081">
        <f t="shared" si="1"/>
        <v>0</v>
      </c>
      <c r="G3577" s="1083">
        <f t="shared" si="2"/>
        <v>8535.19</v>
      </c>
      <c r="H3577" s="1084"/>
    </row>
    <row r="3578" ht="14.25" customHeight="1">
      <c r="A3578" s="1085">
        <v>41184.0</v>
      </c>
      <c r="B3578" s="1086" t="s">
        <v>8895</v>
      </c>
      <c r="C3578" s="1087" t="s">
        <v>1788</v>
      </c>
      <c r="D3578" s="1088">
        <v>12995.34</v>
      </c>
      <c r="E3578" s="1089" t="s">
        <v>5308</v>
      </c>
      <c r="F3578" s="1081">
        <f t="shared" si="1"/>
        <v>0</v>
      </c>
      <c r="G3578" s="1083">
        <f t="shared" si="2"/>
        <v>12995.34</v>
      </c>
      <c r="H3578" s="1084"/>
    </row>
    <row r="3579" ht="14.25" customHeight="1">
      <c r="A3579" s="1085">
        <v>41185.0</v>
      </c>
      <c r="B3579" s="1086" t="s">
        <v>8896</v>
      </c>
      <c r="C3579" s="1087" t="s">
        <v>1788</v>
      </c>
      <c r="D3579" s="1088">
        <v>4819.26</v>
      </c>
      <c r="E3579" s="1089" t="s">
        <v>5308</v>
      </c>
      <c r="F3579" s="1081">
        <f t="shared" si="1"/>
        <v>0</v>
      </c>
      <c r="G3579" s="1083">
        <f t="shared" si="2"/>
        <v>4819.26</v>
      </c>
      <c r="H3579" s="1084"/>
    </row>
    <row r="3580" ht="14.25" customHeight="1">
      <c r="A3580" s="1085">
        <v>41186.0</v>
      </c>
      <c r="B3580" s="1086" t="s">
        <v>8897</v>
      </c>
      <c r="C3580" s="1087" t="s">
        <v>1788</v>
      </c>
      <c r="D3580" s="1088">
        <v>6753.63</v>
      </c>
      <c r="E3580" s="1089" t="s">
        <v>5308</v>
      </c>
      <c r="F3580" s="1081">
        <f t="shared" si="1"/>
        <v>0</v>
      </c>
      <c r="G3580" s="1083">
        <f t="shared" si="2"/>
        <v>6753.63</v>
      </c>
      <c r="H3580" s="1084"/>
    </row>
    <row r="3581" ht="14.25" customHeight="1">
      <c r="A3581" s="1085">
        <v>41187.0</v>
      </c>
      <c r="B3581" s="1086" t="s">
        <v>8898</v>
      </c>
      <c r="C3581" s="1087" t="s">
        <v>1788</v>
      </c>
      <c r="D3581" s="1088">
        <v>9057.18</v>
      </c>
      <c r="E3581" s="1089" t="s">
        <v>5308</v>
      </c>
      <c r="F3581" s="1081">
        <f t="shared" si="1"/>
        <v>0</v>
      </c>
      <c r="G3581" s="1083">
        <f t="shared" si="2"/>
        <v>9057.18</v>
      </c>
      <c r="H3581" s="1084"/>
    </row>
    <row r="3582" ht="14.25" customHeight="1">
      <c r="A3582" s="1085">
        <v>41188.0</v>
      </c>
      <c r="B3582" s="1086" t="s">
        <v>8899</v>
      </c>
      <c r="C3582" s="1087" t="s">
        <v>1788</v>
      </c>
      <c r="D3582" s="1088">
        <v>11582.12</v>
      </c>
      <c r="E3582" s="1089" t="s">
        <v>5308</v>
      </c>
      <c r="F3582" s="1081">
        <f t="shared" si="1"/>
        <v>0</v>
      </c>
      <c r="G3582" s="1083">
        <f t="shared" si="2"/>
        <v>11582.12</v>
      </c>
      <c r="H3582" s="1084"/>
    </row>
    <row r="3583" ht="14.25" customHeight="1">
      <c r="A3583" s="1085">
        <v>5036.0</v>
      </c>
      <c r="B3583" s="1086" t="s">
        <v>8900</v>
      </c>
      <c r="C3583" s="1087" t="s">
        <v>1788</v>
      </c>
      <c r="D3583" s="1088">
        <v>2456.39</v>
      </c>
      <c r="E3583" s="1089" t="s">
        <v>5308</v>
      </c>
      <c r="F3583" s="1081">
        <f t="shared" si="1"/>
        <v>0</v>
      </c>
      <c r="G3583" s="1083">
        <f t="shared" si="2"/>
        <v>2456.39</v>
      </c>
      <c r="H3583" s="1084"/>
    </row>
    <row r="3584" ht="14.25" customHeight="1">
      <c r="A3584" s="1085">
        <v>41189.0</v>
      </c>
      <c r="B3584" s="1086" t="s">
        <v>8901</v>
      </c>
      <c r="C3584" s="1087" t="s">
        <v>1788</v>
      </c>
      <c r="D3584" s="1088">
        <v>14890.02</v>
      </c>
      <c r="E3584" s="1089" t="s">
        <v>5308</v>
      </c>
      <c r="F3584" s="1081">
        <f t="shared" si="1"/>
        <v>0</v>
      </c>
      <c r="G3584" s="1083">
        <f t="shared" si="2"/>
        <v>14890.02</v>
      </c>
      <c r="H3584" s="1084"/>
    </row>
    <row r="3585" ht="14.25" customHeight="1">
      <c r="A3585" s="1085">
        <v>41190.0</v>
      </c>
      <c r="B3585" s="1086" t="s">
        <v>8902</v>
      </c>
      <c r="C3585" s="1087" t="s">
        <v>1788</v>
      </c>
      <c r="D3585" s="1088">
        <v>5178.23</v>
      </c>
      <c r="E3585" s="1089" t="s">
        <v>5308</v>
      </c>
      <c r="F3585" s="1081">
        <f t="shared" si="1"/>
        <v>0</v>
      </c>
      <c r="G3585" s="1083">
        <f t="shared" si="2"/>
        <v>5178.23</v>
      </c>
      <c r="H3585" s="1084"/>
    </row>
    <row r="3586" ht="14.25" customHeight="1">
      <c r="A3586" s="1085">
        <v>41191.0</v>
      </c>
      <c r="B3586" s="1086" t="s">
        <v>8903</v>
      </c>
      <c r="C3586" s="1087" t="s">
        <v>1788</v>
      </c>
      <c r="D3586" s="1088">
        <v>7940.62</v>
      </c>
      <c r="E3586" s="1089" t="s">
        <v>5308</v>
      </c>
      <c r="F3586" s="1081">
        <f t="shared" si="1"/>
        <v>0</v>
      </c>
      <c r="G3586" s="1083">
        <f t="shared" si="2"/>
        <v>7940.62</v>
      </c>
      <c r="H3586" s="1084"/>
    </row>
    <row r="3587" ht="14.25" customHeight="1">
      <c r="A3587" s="1085">
        <v>41192.0</v>
      </c>
      <c r="B3587" s="1086" t="s">
        <v>8904</v>
      </c>
      <c r="C3587" s="1087" t="s">
        <v>1788</v>
      </c>
      <c r="D3587" s="1088">
        <v>8278.03</v>
      </c>
      <c r="E3587" s="1089" t="s">
        <v>5308</v>
      </c>
      <c r="F3587" s="1081">
        <f t="shared" si="1"/>
        <v>0</v>
      </c>
      <c r="G3587" s="1083">
        <f t="shared" si="2"/>
        <v>8278.03</v>
      </c>
      <c r="H3587" s="1084"/>
    </row>
    <row r="3588" ht="14.25" customHeight="1">
      <c r="A3588" s="1085">
        <v>41193.0</v>
      </c>
      <c r="B3588" s="1086" t="s">
        <v>8905</v>
      </c>
      <c r="C3588" s="1087" t="s">
        <v>1788</v>
      </c>
      <c r="D3588" s="1088">
        <v>13526.03</v>
      </c>
      <c r="E3588" s="1089" t="s">
        <v>5308</v>
      </c>
      <c r="F3588" s="1081">
        <f t="shared" si="1"/>
        <v>0</v>
      </c>
      <c r="G3588" s="1083">
        <f t="shared" si="2"/>
        <v>13526.03</v>
      </c>
      <c r="H3588" s="1084"/>
    </row>
    <row r="3589" ht="14.25" customHeight="1">
      <c r="A3589" s="1085">
        <v>41194.0</v>
      </c>
      <c r="B3589" s="1086" t="s">
        <v>8906</v>
      </c>
      <c r="C3589" s="1087" t="s">
        <v>1788</v>
      </c>
      <c r="D3589" s="1088">
        <v>16139.62</v>
      </c>
      <c r="E3589" s="1089" t="s">
        <v>5308</v>
      </c>
      <c r="F3589" s="1081">
        <f t="shared" si="1"/>
        <v>0</v>
      </c>
      <c r="G3589" s="1083">
        <f t="shared" si="2"/>
        <v>16139.62</v>
      </c>
      <c r="H3589" s="1084"/>
    </row>
    <row r="3590" ht="14.25" customHeight="1">
      <c r="A3590" s="1085">
        <v>5044.0</v>
      </c>
      <c r="B3590" s="1086" t="s">
        <v>8907</v>
      </c>
      <c r="C3590" s="1087" t="s">
        <v>1788</v>
      </c>
      <c r="D3590" s="1088">
        <v>868.48</v>
      </c>
      <c r="E3590" s="1089" t="s">
        <v>5308</v>
      </c>
      <c r="F3590" s="1081">
        <f t="shared" si="1"/>
        <v>0</v>
      </c>
      <c r="G3590" s="1083">
        <f t="shared" si="2"/>
        <v>868.48</v>
      </c>
      <c r="H3590" s="1084"/>
    </row>
    <row r="3591" ht="14.25" customHeight="1">
      <c r="A3591" s="1085">
        <v>5059.0</v>
      </c>
      <c r="B3591" s="1086" t="s">
        <v>8908</v>
      </c>
      <c r="C3591" s="1087" t="s">
        <v>1788</v>
      </c>
      <c r="D3591" s="1088">
        <v>1038.59</v>
      </c>
      <c r="E3591" s="1089" t="s">
        <v>5308</v>
      </c>
      <c r="F3591" s="1081">
        <f t="shared" si="1"/>
        <v>0</v>
      </c>
      <c r="G3591" s="1083">
        <f t="shared" si="2"/>
        <v>1038.59</v>
      </c>
      <c r="H3591" s="1084"/>
    </row>
    <row r="3592" ht="14.25" customHeight="1">
      <c r="A3592" s="1085">
        <v>41201.0</v>
      </c>
      <c r="B3592" s="1086" t="s">
        <v>8909</v>
      </c>
      <c r="C3592" s="1087" t="s">
        <v>1788</v>
      </c>
      <c r="D3592" s="1088">
        <v>2107.73</v>
      </c>
      <c r="E3592" s="1089" t="s">
        <v>5308</v>
      </c>
      <c r="F3592" s="1081">
        <f t="shared" si="1"/>
        <v>0</v>
      </c>
      <c r="G3592" s="1083">
        <f t="shared" si="2"/>
        <v>2107.73</v>
      </c>
      <c r="H3592" s="1084"/>
    </row>
    <row r="3593" ht="14.25" customHeight="1">
      <c r="A3593" s="1085">
        <v>41199.0</v>
      </c>
      <c r="B3593" s="1086" t="s">
        <v>8910</v>
      </c>
      <c r="C3593" s="1087" t="s">
        <v>1788</v>
      </c>
      <c r="D3593" s="1088">
        <v>677.29</v>
      </c>
      <c r="E3593" s="1089" t="s">
        <v>5308</v>
      </c>
      <c r="F3593" s="1081">
        <f t="shared" si="1"/>
        <v>0</v>
      </c>
      <c r="G3593" s="1083">
        <f t="shared" si="2"/>
        <v>677.29</v>
      </c>
      <c r="H3593" s="1084"/>
    </row>
    <row r="3594" ht="14.25" customHeight="1">
      <c r="A3594" s="1085">
        <v>5057.0</v>
      </c>
      <c r="B3594" s="1086" t="s">
        <v>8911</v>
      </c>
      <c r="C3594" s="1087" t="s">
        <v>1788</v>
      </c>
      <c r="D3594" s="1088">
        <v>916.93</v>
      </c>
      <c r="E3594" s="1089" t="s">
        <v>5308</v>
      </c>
      <c r="F3594" s="1081">
        <f t="shared" si="1"/>
        <v>0</v>
      </c>
      <c r="G3594" s="1083">
        <f t="shared" si="2"/>
        <v>916.93</v>
      </c>
      <c r="H3594" s="1084"/>
    </row>
    <row r="3595" ht="14.25" customHeight="1">
      <c r="A3595" s="1085">
        <v>41200.0</v>
      </c>
      <c r="B3595" s="1086" t="s">
        <v>8912</v>
      </c>
      <c r="C3595" s="1087" t="s">
        <v>1788</v>
      </c>
      <c r="D3595" s="1088">
        <v>1318.25</v>
      </c>
      <c r="E3595" s="1089" t="s">
        <v>5308</v>
      </c>
      <c r="F3595" s="1081">
        <f t="shared" si="1"/>
        <v>0</v>
      </c>
      <c r="G3595" s="1083">
        <f t="shared" si="2"/>
        <v>1318.25</v>
      </c>
      <c r="H3595" s="1084"/>
    </row>
    <row r="3596" ht="14.25" customHeight="1">
      <c r="A3596" s="1085">
        <v>41205.0</v>
      </c>
      <c r="B3596" s="1086" t="s">
        <v>8913</v>
      </c>
      <c r="C3596" s="1087" t="s">
        <v>1788</v>
      </c>
      <c r="D3596" s="1088">
        <v>2442.7</v>
      </c>
      <c r="E3596" s="1089" t="s">
        <v>5308</v>
      </c>
      <c r="F3596" s="1081">
        <f t="shared" si="1"/>
        <v>0</v>
      </c>
      <c r="G3596" s="1083">
        <f t="shared" si="2"/>
        <v>2442.7</v>
      </c>
      <c r="H3596" s="1084"/>
    </row>
    <row r="3597" ht="14.25" customHeight="1">
      <c r="A3597" s="1085">
        <v>41202.0</v>
      </c>
      <c r="B3597" s="1086" t="s">
        <v>8914</v>
      </c>
      <c r="C3597" s="1087" t="s">
        <v>1788</v>
      </c>
      <c r="D3597" s="1088">
        <v>712.79</v>
      </c>
      <c r="E3597" s="1089" t="s">
        <v>5308</v>
      </c>
      <c r="F3597" s="1081">
        <f t="shared" si="1"/>
        <v>0</v>
      </c>
      <c r="G3597" s="1083">
        <f t="shared" si="2"/>
        <v>712.79</v>
      </c>
      <c r="H3597" s="1084"/>
    </row>
    <row r="3598" ht="14.25" customHeight="1">
      <c r="A3598" s="1085">
        <v>41206.0</v>
      </c>
      <c r="B3598" s="1086" t="s">
        <v>8915</v>
      </c>
      <c r="C3598" s="1087" t="s">
        <v>1788</v>
      </c>
      <c r="D3598" s="1088">
        <v>3220.59</v>
      </c>
      <c r="E3598" s="1089" t="s">
        <v>5308</v>
      </c>
      <c r="F3598" s="1081">
        <f t="shared" si="1"/>
        <v>0</v>
      </c>
      <c r="G3598" s="1083">
        <f t="shared" si="2"/>
        <v>3220.59</v>
      </c>
      <c r="H3598" s="1084"/>
    </row>
    <row r="3599" ht="14.25" customHeight="1">
      <c r="A3599" s="1085">
        <v>12372.0</v>
      </c>
      <c r="B3599" s="1086" t="s">
        <v>8916</v>
      </c>
      <c r="C3599" s="1087" t="s">
        <v>1788</v>
      </c>
      <c r="D3599" s="1088">
        <v>748.44</v>
      </c>
      <c r="E3599" s="1089" t="s">
        <v>5308</v>
      </c>
      <c r="F3599" s="1081">
        <f t="shared" si="1"/>
        <v>0</v>
      </c>
      <c r="G3599" s="1083">
        <f t="shared" si="2"/>
        <v>748.44</v>
      </c>
      <c r="H3599" s="1084"/>
    </row>
    <row r="3600" ht="14.25" customHeight="1">
      <c r="A3600" s="1085">
        <v>41207.0</v>
      </c>
      <c r="B3600" s="1086" t="s">
        <v>8917</v>
      </c>
      <c r="C3600" s="1087" t="s">
        <v>1788</v>
      </c>
      <c r="D3600" s="1088">
        <v>4335.55</v>
      </c>
      <c r="E3600" s="1089" t="s">
        <v>5308</v>
      </c>
      <c r="F3600" s="1081">
        <f t="shared" si="1"/>
        <v>0</v>
      </c>
      <c r="G3600" s="1083">
        <f t="shared" si="2"/>
        <v>4335.55</v>
      </c>
      <c r="H3600" s="1084"/>
    </row>
    <row r="3601" ht="14.25" customHeight="1">
      <c r="A3601" s="1085">
        <v>41203.0</v>
      </c>
      <c r="B3601" s="1086" t="s">
        <v>8918</v>
      </c>
      <c r="C3601" s="1087" t="s">
        <v>1788</v>
      </c>
      <c r="D3601" s="1088">
        <v>1141.82</v>
      </c>
      <c r="E3601" s="1089" t="s">
        <v>5308</v>
      </c>
      <c r="F3601" s="1081">
        <f t="shared" si="1"/>
        <v>0</v>
      </c>
      <c r="G3601" s="1083">
        <f t="shared" si="2"/>
        <v>1141.82</v>
      </c>
      <c r="H3601" s="1084"/>
    </row>
    <row r="3602" ht="14.25" customHeight="1">
      <c r="A3602" s="1085">
        <v>41204.0</v>
      </c>
      <c r="B3602" s="1086" t="s">
        <v>8919</v>
      </c>
      <c r="C3602" s="1087" t="s">
        <v>1788</v>
      </c>
      <c r="D3602" s="1088">
        <v>1614.24</v>
      </c>
      <c r="E3602" s="1089" t="s">
        <v>5308</v>
      </c>
      <c r="F3602" s="1081">
        <f t="shared" si="1"/>
        <v>0</v>
      </c>
      <c r="G3602" s="1083">
        <f t="shared" si="2"/>
        <v>1614.24</v>
      </c>
      <c r="H3602" s="1084"/>
    </row>
    <row r="3603" ht="14.25" customHeight="1">
      <c r="A3603" s="1085">
        <v>41210.0</v>
      </c>
      <c r="B3603" s="1086" t="s">
        <v>8920</v>
      </c>
      <c r="C3603" s="1087" t="s">
        <v>1788</v>
      </c>
      <c r="D3603" s="1088">
        <v>2696.55</v>
      </c>
      <c r="E3603" s="1089" t="s">
        <v>5308</v>
      </c>
      <c r="F3603" s="1081">
        <f t="shared" si="1"/>
        <v>0</v>
      </c>
      <c r="G3603" s="1083">
        <f t="shared" si="2"/>
        <v>2696.55</v>
      </c>
      <c r="H3603" s="1084"/>
    </row>
    <row r="3604" ht="14.25" customHeight="1">
      <c r="A3604" s="1085">
        <v>41208.0</v>
      </c>
      <c r="B3604" s="1086" t="s">
        <v>8921</v>
      </c>
      <c r="C3604" s="1087" t="s">
        <v>1788</v>
      </c>
      <c r="D3604" s="1088">
        <v>943.95</v>
      </c>
      <c r="E3604" s="1089" t="s">
        <v>5308</v>
      </c>
      <c r="F3604" s="1081">
        <f t="shared" si="1"/>
        <v>0</v>
      </c>
      <c r="G3604" s="1083">
        <f t="shared" si="2"/>
        <v>943.95</v>
      </c>
      <c r="H3604" s="1084"/>
    </row>
    <row r="3605" ht="14.25" customHeight="1">
      <c r="A3605" s="1085">
        <v>41211.0</v>
      </c>
      <c r="B3605" s="1086" t="s">
        <v>8922</v>
      </c>
      <c r="C3605" s="1087" t="s">
        <v>1788</v>
      </c>
      <c r="D3605" s="1088">
        <v>3799.4</v>
      </c>
      <c r="E3605" s="1089" t="s">
        <v>5308</v>
      </c>
      <c r="F3605" s="1081">
        <f t="shared" si="1"/>
        <v>0</v>
      </c>
      <c r="G3605" s="1083">
        <f t="shared" si="2"/>
        <v>3799.4</v>
      </c>
      <c r="H3605" s="1084"/>
    </row>
    <row r="3606" ht="14.25" customHeight="1">
      <c r="A3606" s="1085">
        <v>13339.0</v>
      </c>
      <c r="B3606" s="1086" t="s">
        <v>8923</v>
      </c>
      <c r="C3606" s="1087" t="s">
        <v>1788</v>
      </c>
      <c r="D3606" s="1088">
        <v>1279.28</v>
      </c>
      <c r="E3606" s="1089" t="s">
        <v>5308</v>
      </c>
      <c r="F3606" s="1081">
        <f t="shared" si="1"/>
        <v>0</v>
      </c>
      <c r="G3606" s="1083">
        <f t="shared" si="2"/>
        <v>1279.28</v>
      </c>
      <c r="H3606" s="1084"/>
    </row>
    <row r="3607" ht="14.25" customHeight="1">
      <c r="A3607" s="1085">
        <v>41213.0</v>
      </c>
      <c r="B3607" s="1086" t="s">
        <v>8924</v>
      </c>
      <c r="C3607" s="1087" t="s">
        <v>1788</v>
      </c>
      <c r="D3607" s="1088">
        <v>7875.23</v>
      </c>
      <c r="E3607" s="1089" t="s">
        <v>5308</v>
      </c>
      <c r="F3607" s="1081">
        <f t="shared" si="1"/>
        <v>0</v>
      </c>
      <c r="G3607" s="1083">
        <f t="shared" si="2"/>
        <v>7875.23</v>
      </c>
      <c r="H3607" s="1084"/>
    </row>
    <row r="3608" ht="14.25" customHeight="1">
      <c r="A3608" s="1085">
        <v>41209.0</v>
      </c>
      <c r="B3608" s="1086" t="s">
        <v>8925</v>
      </c>
      <c r="C3608" s="1087" t="s">
        <v>1788</v>
      </c>
      <c r="D3608" s="1088">
        <v>1760.13</v>
      </c>
      <c r="E3608" s="1089" t="s">
        <v>5308</v>
      </c>
      <c r="F3608" s="1081">
        <f t="shared" si="1"/>
        <v>0</v>
      </c>
      <c r="G3608" s="1083">
        <f t="shared" si="2"/>
        <v>1760.13</v>
      </c>
      <c r="H3608" s="1084"/>
    </row>
    <row r="3609" ht="14.25" customHeight="1">
      <c r="A3609" s="1085">
        <v>41216.0</v>
      </c>
      <c r="B3609" s="1086" t="s">
        <v>8926</v>
      </c>
      <c r="C3609" s="1087" t="s">
        <v>1788</v>
      </c>
      <c r="D3609" s="1088">
        <v>3296.96</v>
      </c>
      <c r="E3609" s="1089" t="s">
        <v>5308</v>
      </c>
      <c r="F3609" s="1081">
        <f t="shared" si="1"/>
        <v>0</v>
      </c>
      <c r="G3609" s="1083">
        <f t="shared" si="2"/>
        <v>3296.96</v>
      </c>
      <c r="H3609" s="1084"/>
    </row>
    <row r="3610" ht="14.25" customHeight="1">
      <c r="A3610" s="1085">
        <v>41217.0</v>
      </c>
      <c r="B3610" s="1086" t="s">
        <v>8927</v>
      </c>
      <c r="C3610" s="1087" t="s">
        <v>1788</v>
      </c>
      <c r="D3610" s="1088">
        <v>5286.19</v>
      </c>
      <c r="E3610" s="1089" t="s">
        <v>5308</v>
      </c>
      <c r="F3610" s="1081">
        <f t="shared" si="1"/>
        <v>0</v>
      </c>
      <c r="G3610" s="1083">
        <f t="shared" si="2"/>
        <v>5286.19</v>
      </c>
      <c r="H3610" s="1084"/>
    </row>
    <row r="3611" ht="14.25" customHeight="1">
      <c r="A3611" s="1085">
        <v>41218.0</v>
      </c>
      <c r="B3611" s="1086" t="s">
        <v>8928</v>
      </c>
      <c r="C3611" s="1087" t="s">
        <v>1788</v>
      </c>
      <c r="D3611" s="1088">
        <v>7088.95</v>
      </c>
      <c r="E3611" s="1089" t="s">
        <v>5308</v>
      </c>
      <c r="F3611" s="1081">
        <f t="shared" si="1"/>
        <v>0</v>
      </c>
      <c r="G3611" s="1083">
        <f t="shared" si="2"/>
        <v>7088.95</v>
      </c>
      <c r="H3611" s="1084"/>
    </row>
    <row r="3612" ht="14.25" customHeight="1">
      <c r="A3612" s="1085">
        <v>41214.0</v>
      </c>
      <c r="B3612" s="1086" t="s">
        <v>8929</v>
      </c>
      <c r="C3612" s="1087" t="s">
        <v>1788</v>
      </c>
      <c r="D3612" s="1088">
        <v>1494.69</v>
      </c>
      <c r="E3612" s="1089" t="s">
        <v>5308</v>
      </c>
      <c r="F3612" s="1081">
        <f t="shared" si="1"/>
        <v>0</v>
      </c>
      <c r="G3612" s="1083">
        <f t="shared" si="2"/>
        <v>1494.69</v>
      </c>
      <c r="H3612" s="1084"/>
    </row>
    <row r="3613" ht="14.25" customHeight="1">
      <c r="A3613" s="1085">
        <v>41215.0</v>
      </c>
      <c r="B3613" s="1086" t="s">
        <v>8930</v>
      </c>
      <c r="C3613" s="1087" t="s">
        <v>1788</v>
      </c>
      <c r="D3613" s="1088">
        <v>2250.46</v>
      </c>
      <c r="E3613" s="1089" t="s">
        <v>5308</v>
      </c>
      <c r="F3613" s="1081">
        <f t="shared" si="1"/>
        <v>0</v>
      </c>
      <c r="G3613" s="1083">
        <f t="shared" si="2"/>
        <v>2250.46</v>
      </c>
      <c r="H3613" s="1084"/>
    </row>
    <row r="3614" ht="14.25" customHeight="1">
      <c r="A3614" s="1085">
        <v>41221.0</v>
      </c>
      <c r="B3614" s="1086" t="s">
        <v>8931</v>
      </c>
      <c r="C3614" s="1087" t="s">
        <v>1788</v>
      </c>
      <c r="D3614" s="1088">
        <v>6516.24</v>
      </c>
      <c r="E3614" s="1089" t="s">
        <v>5308</v>
      </c>
      <c r="F3614" s="1081">
        <f t="shared" si="1"/>
        <v>0</v>
      </c>
      <c r="G3614" s="1083">
        <f t="shared" si="2"/>
        <v>6516.24</v>
      </c>
      <c r="H3614" s="1084"/>
    </row>
    <row r="3615" ht="14.25" customHeight="1">
      <c r="A3615" s="1085">
        <v>41222.0</v>
      </c>
      <c r="B3615" s="1086" t="s">
        <v>8932</v>
      </c>
      <c r="C3615" s="1087" t="s">
        <v>1788</v>
      </c>
      <c r="D3615" s="1088">
        <v>9324.82</v>
      </c>
      <c r="E3615" s="1089" t="s">
        <v>5308</v>
      </c>
      <c r="F3615" s="1081">
        <f t="shared" si="1"/>
        <v>0</v>
      </c>
      <c r="G3615" s="1083">
        <f t="shared" si="2"/>
        <v>9324.82</v>
      </c>
      <c r="H3615" s="1084"/>
    </row>
    <row r="3616" ht="14.25" customHeight="1">
      <c r="A3616" s="1085">
        <v>41195.0</v>
      </c>
      <c r="B3616" s="1086" t="s">
        <v>8933</v>
      </c>
      <c r="C3616" s="1087" t="s">
        <v>1788</v>
      </c>
      <c r="D3616" s="1088">
        <v>479.27</v>
      </c>
      <c r="E3616" s="1089" t="s">
        <v>5308</v>
      </c>
      <c r="F3616" s="1081">
        <f t="shared" si="1"/>
        <v>0</v>
      </c>
      <c r="G3616" s="1083">
        <f t="shared" si="2"/>
        <v>479.27</v>
      </c>
      <c r="H3616" s="1084"/>
    </row>
    <row r="3617" ht="14.25" customHeight="1">
      <c r="A3617" s="1085">
        <v>41198.0</v>
      </c>
      <c r="B3617" s="1086" t="s">
        <v>8934</v>
      </c>
      <c r="C3617" s="1087" t="s">
        <v>1788</v>
      </c>
      <c r="D3617" s="1088">
        <v>1872.87</v>
      </c>
      <c r="E3617" s="1089" t="s">
        <v>5308</v>
      </c>
      <c r="F3617" s="1081">
        <f t="shared" si="1"/>
        <v>0</v>
      </c>
      <c r="G3617" s="1083">
        <f t="shared" si="2"/>
        <v>1872.87</v>
      </c>
      <c r="H3617" s="1084"/>
    </row>
    <row r="3618" ht="14.25" customHeight="1">
      <c r="A3618" s="1085">
        <v>41196.0</v>
      </c>
      <c r="B3618" s="1086" t="s">
        <v>8935</v>
      </c>
      <c r="C3618" s="1087" t="s">
        <v>1788</v>
      </c>
      <c r="D3618" s="1088">
        <v>594.08</v>
      </c>
      <c r="E3618" s="1089" t="s">
        <v>5308</v>
      </c>
      <c r="F3618" s="1081">
        <f t="shared" si="1"/>
        <v>0</v>
      </c>
      <c r="G3618" s="1083">
        <f t="shared" si="2"/>
        <v>594.08</v>
      </c>
      <c r="H3618" s="1084"/>
    </row>
    <row r="3619" ht="14.25" customHeight="1">
      <c r="A3619" s="1085">
        <v>5033.0</v>
      </c>
      <c r="B3619" s="1086" t="s">
        <v>8936</v>
      </c>
      <c r="C3619" s="1087" t="s">
        <v>1788</v>
      </c>
      <c r="D3619" s="1088">
        <v>780.0</v>
      </c>
      <c r="E3619" s="1089" t="s">
        <v>5308</v>
      </c>
      <c r="F3619" s="1081">
        <f t="shared" si="1"/>
        <v>0</v>
      </c>
      <c r="G3619" s="1083">
        <f t="shared" si="2"/>
        <v>780</v>
      </c>
      <c r="H3619" s="1084"/>
    </row>
    <row r="3620" ht="14.25" customHeight="1">
      <c r="A3620" s="1085">
        <v>41197.0</v>
      </c>
      <c r="B3620" s="1086" t="s">
        <v>8937</v>
      </c>
      <c r="C3620" s="1087" t="s">
        <v>1788</v>
      </c>
      <c r="D3620" s="1088">
        <v>1158.59</v>
      </c>
      <c r="E3620" s="1089" t="s">
        <v>5308</v>
      </c>
      <c r="F3620" s="1081">
        <f t="shared" si="1"/>
        <v>0</v>
      </c>
      <c r="G3620" s="1083">
        <f t="shared" si="2"/>
        <v>1158.59</v>
      </c>
      <c r="H3620" s="1084"/>
    </row>
    <row r="3621" ht="14.25" customHeight="1">
      <c r="A3621" s="1085">
        <v>12388.0</v>
      </c>
      <c r="B3621" s="1086" t="s">
        <v>8938</v>
      </c>
      <c r="C3621" s="1087" t="s">
        <v>1788</v>
      </c>
      <c r="D3621" s="1088">
        <v>295.85</v>
      </c>
      <c r="E3621" s="1089" t="s">
        <v>5308</v>
      </c>
      <c r="F3621" s="1081">
        <f t="shared" si="1"/>
        <v>0</v>
      </c>
      <c r="G3621" s="1083">
        <f t="shared" si="2"/>
        <v>295.85</v>
      </c>
      <c r="H3621" s="1084"/>
    </row>
    <row r="3622" ht="14.25" customHeight="1">
      <c r="A3622" s="1085">
        <v>2731.0</v>
      </c>
      <c r="B3622" s="1086" t="s">
        <v>8939</v>
      </c>
      <c r="C3622" s="1087" t="s">
        <v>1731</v>
      </c>
      <c r="D3622" s="1088">
        <v>114.64</v>
      </c>
      <c r="E3622" s="1089" t="s">
        <v>5308</v>
      </c>
      <c r="F3622" s="1081">
        <f t="shared" si="1"/>
        <v>0</v>
      </c>
      <c r="G3622" s="1083">
        <f t="shared" si="2"/>
        <v>114.64</v>
      </c>
      <c r="H3622" s="1084"/>
    </row>
    <row r="3623" ht="14.25" customHeight="1">
      <c r="A3623" s="1085">
        <v>41457.0</v>
      </c>
      <c r="B3623" s="1086" t="s">
        <v>8940</v>
      </c>
      <c r="C3623" s="1087" t="s">
        <v>1788</v>
      </c>
      <c r="D3623" s="1088">
        <v>1462.1</v>
      </c>
      <c r="E3623" s="1089" t="s">
        <v>5308</v>
      </c>
      <c r="F3623" s="1081">
        <f t="shared" si="1"/>
        <v>0</v>
      </c>
      <c r="G3623" s="1083">
        <f t="shared" si="2"/>
        <v>1462.1</v>
      </c>
      <c r="H3623" s="1084"/>
    </row>
    <row r="3624" ht="14.25" customHeight="1">
      <c r="A3624" s="1085">
        <v>41458.0</v>
      </c>
      <c r="B3624" s="1086" t="s">
        <v>8941</v>
      </c>
      <c r="C3624" s="1087" t="s">
        <v>1788</v>
      </c>
      <c r="D3624" s="1088">
        <v>2041.16</v>
      </c>
      <c r="E3624" s="1089" t="s">
        <v>5308</v>
      </c>
      <c r="F3624" s="1081">
        <f t="shared" si="1"/>
        <v>0</v>
      </c>
      <c r="G3624" s="1083">
        <f t="shared" si="2"/>
        <v>2041.16</v>
      </c>
      <c r="H3624" s="1084"/>
    </row>
    <row r="3625" ht="14.25" customHeight="1">
      <c r="A3625" s="1085">
        <v>41459.0</v>
      </c>
      <c r="B3625" s="1086" t="s">
        <v>8942</v>
      </c>
      <c r="C3625" s="1087" t="s">
        <v>1788</v>
      </c>
      <c r="D3625" s="1088">
        <v>2847.26</v>
      </c>
      <c r="E3625" s="1089" t="s">
        <v>5308</v>
      </c>
      <c r="F3625" s="1081">
        <f t="shared" si="1"/>
        <v>0</v>
      </c>
      <c r="G3625" s="1083">
        <f t="shared" si="2"/>
        <v>2847.26</v>
      </c>
      <c r="H3625" s="1084"/>
    </row>
    <row r="3626" ht="14.25" customHeight="1">
      <c r="A3626" s="1085">
        <v>41461.0</v>
      </c>
      <c r="B3626" s="1086" t="s">
        <v>8943</v>
      </c>
      <c r="C3626" s="1087" t="s">
        <v>1788</v>
      </c>
      <c r="D3626" s="1088">
        <v>3882.1</v>
      </c>
      <c r="E3626" s="1089" t="s">
        <v>5308</v>
      </c>
      <c r="F3626" s="1081">
        <f t="shared" si="1"/>
        <v>0</v>
      </c>
      <c r="G3626" s="1083">
        <f t="shared" si="2"/>
        <v>3882.1</v>
      </c>
      <c r="H3626" s="1084"/>
    </row>
    <row r="3627" ht="14.25" customHeight="1">
      <c r="A3627" s="1085">
        <v>44537.0</v>
      </c>
      <c r="B3627" s="1086" t="s">
        <v>8944</v>
      </c>
      <c r="C3627" s="1087" t="s">
        <v>6370</v>
      </c>
      <c r="D3627" s="1088">
        <v>340.42</v>
      </c>
      <c r="E3627" s="1089" t="s">
        <v>5554</v>
      </c>
      <c r="F3627" s="1081">
        <f t="shared" si="1"/>
        <v>0</v>
      </c>
      <c r="G3627" s="1083">
        <f t="shared" si="2"/>
        <v>340.42</v>
      </c>
      <c r="H3627" s="1084"/>
    </row>
    <row r="3628" ht="14.25" customHeight="1">
      <c r="A3628" s="1085">
        <v>11844.0</v>
      </c>
      <c r="B3628" s="1086" t="s">
        <v>8945</v>
      </c>
      <c r="C3628" s="1087" t="s">
        <v>1731</v>
      </c>
      <c r="D3628" s="1088">
        <v>73.33</v>
      </c>
      <c r="E3628" s="1089" t="s">
        <v>5308</v>
      </c>
      <c r="F3628" s="1081">
        <f t="shared" si="1"/>
        <v>0</v>
      </c>
      <c r="G3628" s="1083">
        <f t="shared" si="2"/>
        <v>73.33</v>
      </c>
      <c r="H3628" s="1084"/>
    </row>
    <row r="3629" ht="14.25" customHeight="1">
      <c r="A3629" s="1085">
        <v>4465.0</v>
      </c>
      <c r="B3629" s="1086" t="s">
        <v>8946</v>
      </c>
      <c r="C3629" s="1087" t="s">
        <v>1731</v>
      </c>
      <c r="D3629" s="1088">
        <v>60.94</v>
      </c>
      <c r="E3629" s="1089" t="s">
        <v>5308</v>
      </c>
      <c r="F3629" s="1081">
        <f t="shared" si="1"/>
        <v>0</v>
      </c>
      <c r="G3629" s="1083">
        <f t="shared" si="2"/>
        <v>60.94</v>
      </c>
      <c r="H3629" s="1084"/>
    </row>
    <row r="3630" ht="14.25" customHeight="1">
      <c r="A3630" s="1085">
        <v>35273.0</v>
      </c>
      <c r="B3630" s="1086" t="s">
        <v>8947</v>
      </c>
      <c r="C3630" s="1087" t="s">
        <v>1731</v>
      </c>
      <c r="D3630" s="1088">
        <v>73.09</v>
      </c>
      <c r="E3630" s="1089" t="s">
        <v>5308</v>
      </c>
      <c r="F3630" s="1081">
        <f t="shared" si="1"/>
        <v>0</v>
      </c>
      <c r="G3630" s="1083">
        <f t="shared" si="2"/>
        <v>73.09</v>
      </c>
      <c r="H3630" s="1084"/>
    </row>
    <row r="3631" ht="14.25" customHeight="1">
      <c r="A3631" s="1085">
        <v>4470.0</v>
      </c>
      <c r="B3631" s="1086" t="s">
        <v>8948</v>
      </c>
      <c r="C3631" s="1087" t="s">
        <v>1731</v>
      </c>
      <c r="D3631" s="1088">
        <v>168.67</v>
      </c>
      <c r="E3631" s="1089" t="s">
        <v>5308</v>
      </c>
      <c r="F3631" s="1081">
        <f t="shared" si="1"/>
        <v>0</v>
      </c>
      <c r="G3631" s="1083">
        <f t="shared" si="2"/>
        <v>168.67</v>
      </c>
      <c r="H3631" s="1084"/>
    </row>
    <row r="3632" ht="14.25" customHeight="1">
      <c r="A3632" s="1085">
        <v>20208.0</v>
      </c>
      <c r="B3632" s="1086" t="s">
        <v>8949</v>
      </c>
      <c r="C3632" s="1087" t="s">
        <v>1731</v>
      </c>
      <c r="D3632" s="1088">
        <v>151.81</v>
      </c>
      <c r="E3632" s="1089" t="s">
        <v>5308</v>
      </c>
      <c r="F3632" s="1081">
        <f t="shared" si="1"/>
        <v>0</v>
      </c>
      <c r="G3632" s="1083">
        <f t="shared" si="2"/>
        <v>151.81</v>
      </c>
      <c r="H3632" s="1084"/>
    </row>
    <row r="3633" ht="14.25" customHeight="1">
      <c r="A3633" s="1085">
        <v>20204.0</v>
      </c>
      <c r="B3633" s="1086" t="s">
        <v>8950</v>
      </c>
      <c r="C3633" s="1087" t="s">
        <v>1731</v>
      </c>
      <c r="D3633" s="1088">
        <v>112.45</v>
      </c>
      <c r="E3633" s="1089" t="s">
        <v>5308</v>
      </c>
      <c r="F3633" s="1081">
        <f t="shared" si="1"/>
        <v>0</v>
      </c>
      <c r="G3633" s="1083">
        <f t="shared" si="2"/>
        <v>112.45</v>
      </c>
      <c r="H3633" s="1084"/>
    </row>
    <row r="3634" ht="14.25" customHeight="1">
      <c r="A3634" s="1085">
        <v>4437.0</v>
      </c>
      <c r="B3634" s="1086" t="s">
        <v>8951</v>
      </c>
      <c r="C3634" s="1087" t="s">
        <v>1731</v>
      </c>
      <c r="D3634" s="1088">
        <v>126.5</v>
      </c>
      <c r="E3634" s="1089" t="s">
        <v>5308</v>
      </c>
      <c r="F3634" s="1081">
        <f t="shared" si="1"/>
        <v>0</v>
      </c>
      <c r="G3634" s="1083">
        <f t="shared" si="2"/>
        <v>126.5</v>
      </c>
      <c r="H3634" s="1084"/>
    </row>
    <row r="3635" ht="14.25" customHeight="1">
      <c r="A3635" s="1085">
        <v>14580.0</v>
      </c>
      <c r="B3635" s="1086" t="s">
        <v>8952</v>
      </c>
      <c r="C3635" s="1087" t="s">
        <v>1731</v>
      </c>
      <c r="D3635" s="1088">
        <v>126.5</v>
      </c>
      <c r="E3635" s="1089" t="s">
        <v>5308</v>
      </c>
      <c r="F3635" s="1081">
        <f t="shared" si="1"/>
        <v>0</v>
      </c>
      <c r="G3635" s="1083">
        <f t="shared" si="2"/>
        <v>126.5</v>
      </c>
      <c r="H3635" s="1084"/>
    </row>
    <row r="3636" ht="14.25" customHeight="1">
      <c r="A3636" s="1085">
        <v>40304.0</v>
      </c>
      <c r="B3636" s="1086" t="s">
        <v>8953</v>
      </c>
      <c r="C3636" s="1087" t="s">
        <v>3606</v>
      </c>
      <c r="D3636" s="1088">
        <v>20.09</v>
      </c>
      <c r="E3636" s="1089" t="s">
        <v>5308</v>
      </c>
      <c r="F3636" s="1081">
        <f t="shared" si="1"/>
        <v>0</v>
      </c>
      <c r="G3636" s="1083">
        <f t="shared" si="2"/>
        <v>20.09</v>
      </c>
      <c r="H3636" s="1084"/>
    </row>
    <row r="3637" ht="14.25" customHeight="1">
      <c r="A3637" s="1085">
        <v>5065.0</v>
      </c>
      <c r="B3637" s="1086" t="s">
        <v>8954</v>
      </c>
      <c r="C3637" s="1087" t="s">
        <v>3606</v>
      </c>
      <c r="D3637" s="1088">
        <v>30.96</v>
      </c>
      <c r="E3637" s="1089" t="s">
        <v>5308</v>
      </c>
      <c r="F3637" s="1081">
        <f t="shared" si="1"/>
        <v>0</v>
      </c>
      <c r="G3637" s="1083">
        <f t="shared" si="2"/>
        <v>30.96</v>
      </c>
      <c r="H3637" s="1084"/>
    </row>
    <row r="3638" ht="14.25" customHeight="1">
      <c r="A3638" s="1085">
        <v>5072.0</v>
      </c>
      <c r="B3638" s="1086" t="s">
        <v>8955</v>
      </c>
      <c r="C3638" s="1087" t="s">
        <v>3606</v>
      </c>
      <c r="D3638" s="1088">
        <v>28.64</v>
      </c>
      <c r="E3638" s="1089" t="s">
        <v>5308</v>
      </c>
      <c r="F3638" s="1081">
        <f t="shared" si="1"/>
        <v>0</v>
      </c>
      <c r="G3638" s="1083">
        <f t="shared" si="2"/>
        <v>28.64</v>
      </c>
      <c r="H3638" s="1084"/>
    </row>
    <row r="3639" ht="14.25" customHeight="1">
      <c r="A3639" s="1085">
        <v>5066.0</v>
      </c>
      <c r="B3639" s="1086" t="s">
        <v>8956</v>
      </c>
      <c r="C3639" s="1087" t="s">
        <v>3606</v>
      </c>
      <c r="D3639" s="1088">
        <v>21.44</v>
      </c>
      <c r="E3639" s="1089" t="s">
        <v>5308</v>
      </c>
      <c r="F3639" s="1081">
        <f t="shared" si="1"/>
        <v>0</v>
      </c>
      <c r="G3639" s="1083">
        <f t="shared" si="2"/>
        <v>21.44</v>
      </c>
      <c r="H3639" s="1084"/>
    </row>
    <row r="3640" ht="14.25" customHeight="1">
      <c r="A3640" s="1085">
        <v>5063.0</v>
      </c>
      <c r="B3640" s="1086" t="s">
        <v>8957</v>
      </c>
      <c r="C3640" s="1087" t="s">
        <v>3606</v>
      </c>
      <c r="D3640" s="1088">
        <v>19.42</v>
      </c>
      <c r="E3640" s="1089" t="s">
        <v>5308</v>
      </c>
      <c r="F3640" s="1081">
        <f t="shared" si="1"/>
        <v>0</v>
      </c>
      <c r="G3640" s="1083">
        <f t="shared" si="2"/>
        <v>19.42</v>
      </c>
      <c r="H3640" s="1084"/>
    </row>
    <row r="3641" ht="14.25" customHeight="1">
      <c r="A3641" s="1085">
        <v>20247.0</v>
      </c>
      <c r="B3641" s="1086" t="s">
        <v>8958</v>
      </c>
      <c r="C3641" s="1087" t="s">
        <v>3606</v>
      </c>
      <c r="D3641" s="1088">
        <v>18.02</v>
      </c>
      <c r="E3641" s="1089" t="s">
        <v>5308</v>
      </c>
      <c r="F3641" s="1081">
        <f t="shared" si="1"/>
        <v>0</v>
      </c>
      <c r="G3641" s="1083">
        <f t="shared" si="2"/>
        <v>18.02</v>
      </c>
      <c r="H3641" s="1084"/>
    </row>
    <row r="3642" ht="14.25" customHeight="1">
      <c r="A3642" s="1085">
        <v>5074.0</v>
      </c>
      <c r="B3642" s="1086" t="s">
        <v>8959</v>
      </c>
      <c r="C3642" s="1087" t="s">
        <v>3606</v>
      </c>
      <c r="D3642" s="1088">
        <v>18.23</v>
      </c>
      <c r="E3642" s="1089" t="s">
        <v>5308</v>
      </c>
      <c r="F3642" s="1081">
        <f t="shared" si="1"/>
        <v>0</v>
      </c>
      <c r="G3642" s="1083">
        <f t="shared" si="2"/>
        <v>18.23</v>
      </c>
      <c r="H3642" s="1084"/>
    </row>
    <row r="3643" ht="14.25" customHeight="1">
      <c r="A3643" s="1085">
        <v>5067.0</v>
      </c>
      <c r="B3643" s="1086" t="s">
        <v>8960</v>
      </c>
      <c r="C3643" s="1087" t="s">
        <v>3606</v>
      </c>
      <c r="D3643" s="1088">
        <v>17.34</v>
      </c>
      <c r="E3643" s="1089" t="s">
        <v>5308</v>
      </c>
      <c r="F3643" s="1081">
        <f t="shared" si="1"/>
        <v>0</v>
      </c>
      <c r="G3643" s="1083">
        <f t="shared" si="2"/>
        <v>17.34</v>
      </c>
      <c r="H3643" s="1084"/>
    </row>
    <row r="3644" ht="14.25" customHeight="1">
      <c r="A3644" s="1085">
        <v>5078.0</v>
      </c>
      <c r="B3644" s="1086" t="s">
        <v>8961</v>
      </c>
      <c r="C3644" s="1087" t="s">
        <v>3606</v>
      </c>
      <c r="D3644" s="1088">
        <v>17.15</v>
      </c>
      <c r="E3644" s="1089" t="s">
        <v>5308</v>
      </c>
      <c r="F3644" s="1081">
        <f t="shared" si="1"/>
        <v>0</v>
      </c>
      <c r="G3644" s="1083">
        <f t="shared" si="2"/>
        <v>17.15</v>
      </c>
      <c r="H3644" s="1084"/>
    </row>
    <row r="3645" ht="14.25" customHeight="1">
      <c r="A3645" s="1085">
        <v>5068.0</v>
      </c>
      <c r="B3645" s="1086" t="s">
        <v>8962</v>
      </c>
      <c r="C3645" s="1087" t="s">
        <v>3606</v>
      </c>
      <c r="D3645" s="1088">
        <v>16.27</v>
      </c>
      <c r="E3645" s="1089" t="s">
        <v>5308</v>
      </c>
      <c r="F3645" s="1081">
        <f t="shared" si="1"/>
        <v>0</v>
      </c>
      <c r="G3645" s="1083">
        <f t="shared" si="2"/>
        <v>16.27</v>
      </c>
      <c r="H3645" s="1084"/>
    </row>
    <row r="3646" ht="14.25" customHeight="1">
      <c r="A3646" s="1085">
        <v>5073.0</v>
      </c>
      <c r="B3646" s="1086" t="s">
        <v>8963</v>
      </c>
      <c r="C3646" s="1087" t="s">
        <v>3606</v>
      </c>
      <c r="D3646" s="1088">
        <v>16.59</v>
      </c>
      <c r="E3646" s="1089" t="s">
        <v>5308</v>
      </c>
      <c r="F3646" s="1081">
        <f t="shared" si="1"/>
        <v>0</v>
      </c>
      <c r="G3646" s="1083">
        <f t="shared" si="2"/>
        <v>16.59</v>
      </c>
      <c r="H3646" s="1084"/>
    </row>
    <row r="3647" ht="14.25" customHeight="1">
      <c r="A3647" s="1085">
        <v>5069.0</v>
      </c>
      <c r="B3647" s="1086" t="s">
        <v>8964</v>
      </c>
      <c r="C3647" s="1087" t="s">
        <v>3606</v>
      </c>
      <c r="D3647" s="1088">
        <v>16.59</v>
      </c>
      <c r="E3647" s="1089" t="s">
        <v>5308</v>
      </c>
      <c r="F3647" s="1081">
        <f t="shared" si="1"/>
        <v>0</v>
      </c>
      <c r="G3647" s="1083">
        <f t="shared" si="2"/>
        <v>16.59</v>
      </c>
      <c r="H3647" s="1084"/>
    </row>
    <row r="3648" ht="14.25" customHeight="1">
      <c r="A3648" s="1085">
        <v>5070.0</v>
      </c>
      <c r="B3648" s="1086" t="s">
        <v>8965</v>
      </c>
      <c r="C3648" s="1087" t="s">
        <v>3606</v>
      </c>
      <c r="D3648" s="1088">
        <v>16.77</v>
      </c>
      <c r="E3648" s="1089" t="s">
        <v>5308</v>
      </c>
      <c r="F3648" s="1081">
        <f t="shared" si="1"/>
        <v>0</v>
      </c>
      <c r="G3648" s="1083">
        <f t="shared" si="2"/>
        <v>16.77</v>
      </c>
      <c r="H3648" s="1084"/>
    </row>
    <row r="3649" ht="14.25" customHeight="1">
      <c r="A3649" s="1085">
        <v>5071.0</v>
      </c>
      <c r="B3649" s="1086" t="s">
        <v>8966</v>
      </c>
      <c r="C3649" s="1087" t="s">
        <v>3606</v>
      </c>
      <c r="D3649" s="1088">
        <v>16.27</v>
      </c>
      <c r="E3649" s="1089" t="s">
        <v>5308</v>
      </c>
      <c r="F3649" s="1081">
        <f t="shared" si="1"/>
        <v>0</v>
      </c>
      <c r="G3649" s="1083">
        <f t="shared" si="2"/>
        <v>16.27</v>
      </c>
      <c r="H3649" s="1084"/>
    </row>
    <row r="3650" ht="14.25" customHeight="1">
      <c r="A3650" s="1085">
        <v>5061.0</v>
      </c>
      <c r="B3650" s="1086" t="s">
        <v>8967</v>
      </c>
      <c r="C3650" s="1087" t="s">
        <v>3606</v>
      </c>
      <c r="D3650" s="1088">
        <v>16.0</v>
      </c>
      <c r="E3650" s="1089" t="s">
        <v>5308</v>
      </c>
      <c r="F3650" s="1081">
        <f t="shared" si="1"/>
        <v>0</v>
      </c>
      <c r="G3650" s="1083">
        <f t="shared" si="2"/>
        <v>16</v>
      </c>
      <c r="H3650" s="1084"/>
    </row>
    <row r="3651" ht="14.25" customHeight="1">
      <c r="A3651" s="1085">
        <v>5075.0</v>
      </c>
      <c r="B3651" s="1086" t="s">
        <v>8968</v>
      </c>
      <c r="C3651" s="1087" t="s">
        <v>3606</v>
      </c>
      <c r="D3651" s="1088">
        <v>16.27</v>
      </c>
      <c r="E3651" s="1089" t="s">
        <v>5308</v>
      </c>
      <c r="F3651" s="1081">
        <f t="shared" si="1"/>
        <v>0</v>
      </c>
      <c r="G3651" s="1083">
        <f t="shared" si="2"/>
        <v>16.27</v>
      </c>
      <c r="H3651" s="1084"/>
    </row>
    <row r="3652" ht="14.25" customHeight="1">
      <c r="A3652" s="1085">
        <v>39027.0</v>
      </c>
      <c r="B3652" s="1086" t="s">
        <v>8969</v>
      </c>
      <c r="C3652" s="1087" t="s">
        <v>3606</v>
      </c>
      <c r="D3652" s="1088">
        <v>16.26</v>
      </c>
      <c r="E3652" s="1089" t="s">
        <v>5308</v>
      </c>
      <c r="F3652" s="1081">
        <f t="shared" si="1"/>
        <v>0</v>
      </c>
      <c r="G3652" s="1083">
        <f t="shared" si="2"/>
        <v>16.26</v>
      </c>
      <c r="H3652" s="1084"/>
    </row>
    <row r="3653" ht="14.25" customHeight="1">
      <c r="A3653" s="1085">
        <v>5062.0</v>
      </c>
      <c r="B3653" s="1086" t="s">
        <v>8970</v>
      </c>
      <c r="C3653" s="1087" t="s">
        <v>3606</v>
      </c>
      <c r="D3653" s="1088">
        <v>16.49</v>
      </c>
      <c r="E3653" s="1089" t="s">
        <v>5308</v>
      </c>
      <c r="F3653" s="1081">
        <f t="shared" si="1"/>
        <v>0</v>
      </c>
      <c r="G3653" s="1083">
        <f t="shared" si="2"/>
        <v>16.49</v>
      </c>
      <c r="H3653" s="1084"/>
    </row>
    <row r="3654" ht="14.25" customHeight="1">
      <c r="A3654" s="1085">
        <v>40568.0</v>
      </c>
      <c r="B3654" s="1086" t="s">
        <v>8971</v>
      </c>
      <c r="C3654" s="1087" t="s">
        <v>3606</v>
      </c>
      <c r="D3654" s="1088">
        <v>16.4</v>
      </c>
      <c r="E3654" s="1089" t="s">
        <v>5308</v>
      </c>
      <c r="F3654" s="1081">
        <f t="shared" si="1"/>
        <v>0</v>
      </c>
      <c r="G3654" s="1083">
        <f t="shared" si="2"/>
        <v>16.4</v>
      </c>
      <c r="H3654" s="1084"/>
    </row>
    <row r="3655" ht="14.25" customHeight="1">
      <c r="A3655" s="1085">
        <v>39026.0</v>
      </c>
      <c r="B3655" s="1086" t="s">
        <v>8972</v>
      </c>
      <c r="C3655" s="1087" t="s">
        <v>3606</v>
      </c>
      <c r="D3655" s="1088">
        <v>18.3</v>
      </c>
      <c r="E3655" s="1089" t="s">
        <v>5308</v>
      </c>
      <c r="F3655" s="1081">
        <f t="shared" si="1"/>
        <v>0</v>
      </c>
      <c r="G3655" s="1083">
        <f t="shared" si="2"/>
        <v>18.3</v>
      </c>
      <c r="H3655" s="1084"/>
    </row>
    <row r="3656" ht="14.25" customHeight="1">
      <c r="A3656" s="1085">
        <v>42431.0</v>
      </c>
      <c r="B3656" s="1086" t="s">
        <v>8973</v>
      </c>
      <c r="C3656" s="1087" t="s">
        <v>1788</v>
      </c>
      <c r="D3656" s="1088">
        <v>3957.85</v>
      </c>
      <c r="E3656" s="1089" t="s">
        <v>5308</v>
      </c>
      <c r="F3656" s="1081">
        <f t="shared" si="1"/>
        <v>0</v>
      </c>
      <c r="G3656" s="1083">
        <f t="shared" si="2"/>
        <v>3957.85</v>
      </c>
      <c r="H3656" s="1084"/>
    </row>
    <row r="3657" ht="14.25" customHeight="1">
      <c r="A3657" s="1085">
        <v>44074.0</v>
      </c>
      <c r="B3657" s="1086" t="s">
        <v>8974</v>
      </c>
      <c r="C3657" s="1087" t="s">
        <v>2386</v>
      </c>
      <c r="D3657" s="1088">
        <v>543.75</v>
      </c>
      <c r="E3657" s="1089" t="s">
        <v>5308</v>
      </c>
      <c r="F3657" s="1081">
        <f t="shared" si="1"/>
        <v>0</v>
      </c>
      <c r="G3657" s="1083">
        <f t="shared" si="2"/>
        <v>543.75</v>
      </c>
      <c r="H3657" s="1084"/>
    </row>
    <row r="3658" ht="14.25" customHeight="1">
      <c r="A3658" s="1085">
        <v>44072.0</v>
      </c>
      <c r="B3658" s="1086" t="s">
        <v>8975</v>
      </c>
      <c r="C3658" s="1087" t="s">
        <v>2386</v>
      </c>
      <c r="D3658" s="1088">
        <v>117.26</v>
      </c>
      <c r="E3658" s="1089" t="s">
        <v>5308</v>
      </c>
      <c r="F3658" s="1081">
        <f t="shared" si="1"/>
        <v>0</v>
      </c>
      <c r="G3658" s="1083">
        <f t="shared" si="2"/>
        <v>117.26</v>
      </c>
      <c r="H3658" s="1084"/>
    </row>
    <row r="3659" ht="14.25" customHeight="1">
      <c r="A3659" s="1085">
        <v>511.0</v>
      </c>
      <c r="B3659" s="1086" t="s">
        <v>8976</v>
      </c>
      <c r="C3659" s="1087" t="s">
        <v>2386</v>
      </c>
      <c r="D3659" s="1088">
        <v>12.0</v>
      </c>
      <c r="E3659" s="1089" t="s">
        <v>5308</v>
      </c>
      <c r="F3659" s="1081">
        <f t="shared" si="1"/>
        <v>0</v>
      </c>
      <c r="G3659" s="1083">
        <f t="shared" si="2"/>
        <v>12</v>
      </c>
      <c r="H3659" s="1084"/>
    </row>
    <row r="3660" ht="14.25" customHeight="1">
      <c r="A3660" s="1085">
        <v>37540.0</v>
      </c>
      <c r="B3660" s="1086" t="s">
        <v>8977</v>
      </c>
      <c r="C3660" s="1087" t="s">
        <v>1788</v>
      </c>
      <c r="D3660" s="1088">
        <v>78021.05</v>
      </c>
      <c r="E3660" s="1089" t="s">
        <v>5482</v>
      </c>
      <c r="F3660" s="1081">
        <f t="shared" si="1"/>
        <v>0</v>
      </c>
      <c r="G3660" s="1083">
        <f t="shared" si="2"/>
        <v>78021.05</v>
      </c>
      <c r="H3660" s="1084"/>
    </row>
    <row r="3661" ht="14.25" customHeight="1">
      <c r="A3661" s="1085">
        <v>37548.0</v>
      </c>
      <c r="B3661" s="1086" t="s">
        <v>8978</v>
      </c>
      <c r="C3661" s="1087" t="s">
        <v>1788</v>
      </c>
      <c r="D3661" s="1088">
        <v>103416.5</v>
      </c>
      <c r="E3661" s="1089" t="s">
        <v>5482</v>
      </c>
      <c r="F3661" s="1081">
        <f t="shared" si="1"/>
        <v>0</v>
      </c>
      <c r="G3661" s="1083">
        <f t="shared" si="2"/>
        <v>103416.5</v>
      </c>
      <c r="H3661" s="1084"/>
    </row>
    <row r="3662" ht="14.25" customHeight="1">
      <c r="A3662" s="1085">
        <v>39828.0</v>
      </c>
      <c r="B3662" s="1086" t="s">
        <v>8979</v>
      </c>
      <c r="C3662" s="1087" t="s">
        <v>1788</v>
      </c>
      <c r="D3662" s="1088">
        <v>620.4</v>
      </c>
      <c r="E3662" s="1089" t="s">
        <v>5482</v>
      </c>
      <c r="F3662" s="1081">
        <f t="shared" si="1"/>
        <v>0</v>
      </c>
      <c r="G3662" s="1083">
        <f t="shared" si="2"/>
        <v>620.4</v>
      </c>
      <c r="H3662" s="1084"/>
    </row>
    <row r="3663" ht="14.25" customHeight="1">
      <c r="A3663" s="1085">
        <v>12273.0</v>
      </c>
      <c r="B3663" s="1086" t="s">
        <v>8980</v>
      </c>
      <c r="C3663" s="1087" t="s">
        <v>1788</v>
      </c>
      <c r="D3663" s="1088">
        <v>104.43</v>
      </c>
      <c r="E3663" s="1089" t="s">
        <v>5308</v>
      </c>
      <c r="F3663" s="1081">
        <f t="shared" si="1"/>
        <v>0</v>
      </c>
      <c r="G3663" s="1083">
        <f t="shared" si="2"/>
        <v>104.43</v>
      </c>
      <c r="H3663" s="1084"/>
    </row>
    <row r="3664" ht="14.25" customHeight="1">
      <c r="A3664" s="1085">
        <v>38392.0</v>
      </c>
      <c r="B3664" s="1086" t="s">
        <v>8981</v>
      </c>
      <c r="C3664" s="1087" t="s">
        <v>1788</v>
      </c>
      <c r="D3664" s="1088">
        <v>55.16</v>
      </c>
      <c r="E3664" s="1089" t="s">
        <v>5308</v>
      </c>
      <c r="F3664" s="1081">
        <f t="shared" si="1"/>
        <v>0</v>
      </c>
      <c r="G3664" s="1083">
        <f t="shared" si="2"/>
        <v>55.16</v>
      </c>
      <c r="H3664" s="1084"/>
    </row>
    <row r="3665" ht="14.25" customHeight="1">
      <c r="A3665" s="1085">
        <v>11735.0</v>
      </c>
      <c r="B3665" s="1086" t="s">
        <v>8982</v>
      </c>
      <c r="C3665" s="1087" t="s">
        <v>1788</v>
      </c>
      <c r="D3665" s="1088">
        <v>9.18</v>
      </c>
      <c r="E3665" s="1089" t="s">
        <v>5308</v>
      </c>
      <c r="F3665" s="1081">
        <f t="shared" si="1"/>
        <v>0</v>
      </c>
      <c r="G3665" s="1083">
        <f t="shared" si="2"/>
        <v>9.18</v>
      </c>
      <c r="H3665" s="1084"/>
    </row>
    <row r="3666" ht="14.25" customHeight="1">
      <c r="A3666" s="1085">
        <v>11737.0</v>
      </c>
      <c r="B3666" s="1086" t="s">
        <v>8983</v>
      </c>
      <c r="C3666" s="1087" t="s">
        <v>1788</v>
      </c>
      <c r="D3666" s="1088">
        <v>13.01</v>
      </c>
      <c r="E3666" s="1089" t="s">
        <v>5308</v>
      </c>
      <c r="F3666" s="1081">
        <f t="shared" si="1"/>
        <v>0</v>
      </c>
      <c r="G3666" s="1083">
        <f t="shared" si="2"/>
        <v>13.01</v>
      </c>
      <c r="H3666" s="1084"/>
    </row>
    <row r="3667" ht="14.25" customHeight="1">
      <c r="A3667" s="1085">
        <v>11738.0</v>
      </c>
      <c r="B3667" s="1086" t="s">
        <v>8984</v>
      </c>
      <c r="C3667" s="1087" t="s">
        <v>1788</v>
      </c>
      <c r="D3667" s="1088">
        <v>16.41</v>
      </c>
      <c r="E3667" s="1089" t="s">
        <v>5308</v>
      </c>
      <c r="F3667" s="1081">
        <f t="shared" si="1"/>
        <v>0</v>
      </c>
      <c r="G3667" s="1083">
        <f t="shared" si="2"/>
        <v>16.41</v>
      </c>
      <c r="H3667" s="1084"/>
    </row>
    <row r="3668" ht="14.25" customHeight="1">
      <c r="A3668" s="1085">
        <v>36143.0</v>
      </c>
      <c r="B3668" s="1086" t="s">
        <v>8985</v>
      </c>
      <c r="C3668" s="1087" t="s">
        <v>1788</v>
      </c>
      <c r="D3668" s="1088">
        <v>30.75</v>
      </c>
      <c r="E3668" s="1089" t="s">
        <v>5308</v>
      </c>
      <c r="F3668" s="1081">
        <f t="shared" si="1"/>
        <v>0</v>
      </c>
      <c r="G3668" s="1083">
        <f t="shared" si="2"/>
        <v>30.75</v>
      </c>
      <c r="H3668" s="1084"/>
    </row>
    <row r="3669" ht="14.25" customHeight="1">
      <c r="A3669" s="1085">
        <v>36142.0</v>
      </c>
      <c r="B3669" s="1086" t="s">
        <v>8986</v>
      </c>
      <c r="C3669" s="1087" t="s">
        <v>1788</v>
      </c>
      <c r="D3669" s="1088">
        <v>2.25</v>
      </c>
      <c r="E3669" s="1089" t="s">
        <v>5308</v>
      </c>
      <c r="F3669" s="1081">
        <f t="shared" si="1"/>
        <v>0</v>
      </c>
      <c r="G3669" s="1083">
        <f t="shared" si="2"/>
        <v>2.25</v>
      </c>
      <c r="H3669" s="1084"/>
    </row>
    <row r="3670" ht="14.25" customHeight="1">
      <c r="A3670" s="1085">
        <v>36146.0</v>
      </c>
      <c r="B3670" s="1086" t="s">
        <v>8987</v>
      </c>
      <c r="C3670" s="1087" t="s">
        <v>1788</v>
      </c>
      <c r="D3670" s="1088">
        <v>255.0</v>
      </c>
      <c r="E3670" s="1089" t="s">
        <v>5308</v>
      </c>
      <c r="F3670" s="1081">
        <f t="shared" si="1"/>
        <v>0</v>
      </c>
      <c r="G3670" s="1083">
        <f t="shared" si="2"/>
        <v>255</v>
      </c>
      <c r="H3670" s="1084"/>
    </row>
    <row r="3671" ht="14.25" customHeight="1">
      <c r="A3671" s="1085">
        <v>39015.0</v>
      </c>
      <c r="B3671" s="1086" t="s">
        <v>8988</v>
      </c>
      <c r="C3671" s="1087" t="s">
        <v>1788</v>
      </c>
      <c r="D3671" s="1088">
        <v>0.97</v>
      </c>
      <c r="E3671" s="1089" t="s">
        <v>5308</v>
      </c>
      <c r="F3671" s="1081">
        <f t="shared" si="1"/>
        <v>0</v>
      </c>
      <c r="G3671" s="1083">
        <f t="shared" si="2"/>
        <v>0.97</v>
      </c>
      <c r="H3671" s="1084"/>
    </row>
    <row r="3672" ht="14.25" customHeight="1">
      <c r="A3672" s="1085">
        <v>38377.0</v>
      </c>
      <c r="B3672" s="1086" t="s">
        <v>8989</v>
      </c>
      <c r="C3672" s="1087" t="s">
        <v>1788</v>
      </c>
      <c r="D3672" s="1088">
        <v>34.15</v>
      </c>
      <c r="E3672" s="1089" t="s">
        <v>5308</v>
      </c>
      <c r="F3672" s="1081">
        <f t="shared" si="1"/>
        <v>0</v>
      </c>
      <c r="G3672" s="1083">
        <f t="shared" si="2"/>
        <v>34.15</v>
      </c>
      <c r="H3672" s="1084"/>
    </row>
    <row r="3673" ht="14.25" customHeight="1">
      <c r="A3673" s="1085">
        <v>38376.0</v>
      </c>
      <c r="B3673" s="1086" t="s">
        <v>8990</v>
      </c>
      <c r="C3673" s="1087" t="s">
        <v>1788</v>
      </c>
      <c r="D3673" s="1088">
        <v>38.94</v>
      </c>
      <c r="E3673" s="1089" t="s">
        <v>5308</v>
      </c>
      <c r="F3673" s="1081">
        <f t="shared" si="1"/>
        <v>0</v>
      </c>
      <c r="G3673" s="1083">
        <f t="shared" si="2"/>
        <v>38.94</v>
      </c>
      <c r="H3673" s="1084"/>
    </row>
    <row r="3674" ht="14.25" customHeight="1">
      <c r="A3674" s="1085">
        <v>38116.0</v>
      </c>
      <c r="B3674" s="1086" t="s">
        <v>8991</v>
      </c>
      <c r="C3674" s="1087" t="s">
        <v>1788</v>
      </c>
      <c r="D3674" s="1088">
        <v>6.2</v>
      </c>
      <c r="E3674" s="1089" t="s">
        <v>5308</v>
      </c>
      <c r="F3674" s="1081">
        <f t="shared" si="1"/>
        <v>0</v>
      </c>
      <c r="G3674" s="1083">
        <f t="shared" si="2"/>
        <v>6.2</v>
      </c>
      <c r="H3674" s="1084"/>
    </row>
    <row r="3675" ht="14.25" customHeight="1">
      <c r="A3675" s="1085">
        <v>38066.0</v>
      </c>
      <c r="B3675" s="1086" t="s">
        <v>8992</v>
      </c>
      <c r="C3675" s="1087" t="s">
        <v>1788</v>
      </c>
      <c r="D3675" s="1088">
        <v>10.24</v>
      </c>
      <c r="E3675" s="1089" t="s">
        <v>5308</v>
      </c>
      <c r="F3675" s="1081">
        <f t="shared" si="1"/>
        <v>0</v>
      </c>
      <c r="G3675" s="1083">
        <f t="shared" si="2"/>
        <v>10.24</v>
      </c>
      <c r="H3675" s="1084"/>
    </row>
    <row r="3676" ht="14.25" customHeight="1">
      <c r="A3676" s="1085">
        <v>38117.0</v>
      </c>
      <c r="B3676" s="1086" t="s">
        <v>8993</v>
      </c>
      <c r="C3676" s="1087" t="s">
        <v>1788</v>
      </c>
      <c r="D3676" s="1088">
        <v>10.56</v>
      </c>
      <c r="E3676" s="1089" t="s">
        <v>5308</v>
      </c>
      <c r="F3676" s="1081">
        <f t="shared" si="1"/>
        <v>0</v>
      </c>
      <c r="G3676" s="1083">
        <f t="shared" si="2"/>
        <v>10.56</v>
      </c>
      <c r="H3676" s="1084"/>
    </row>
    <row r="3677" ht="14.25" customHeight="1">
      <c r="A3677" s="1085">
        <v>38067.0</v>
      </c>
      <c r="B3677" s="1086" t="s">
        <v>8994</v>
      </c>
      <c r="C3677" s="1087" t="s">
        <v>1788</v>
      </c>
      <c r="D3677" s="1088">
        <v>14.41</v>
      </c>
      <c r="E3677" s="1089" t="s">
        <v>5308</v>
      </c>
      <c r="F3677" s="1081">
        <f t="shared" si="1"/>
        <v>0</v>
      </c>
      <c r="G3677" s="1083">
        <f t="shared" si="2"/>
        <v>14.41</v>
      </c>
      <c r="H3677" s="1084"/>
    </row>
    <row r="3678" ht="14.25" customHeight="1">
      <c r="A3678" s="1085">
        <v>11522.0</v>
      </c>
      <c r="B3678" s="1086" t="s">
        <v>8995</v>
      </c>
      <c r="C3678" s="1087" t="s">
        <v>1788</v>
      </c>
      <c r="D3678" s="1088">
        <v>12.98</v>
      </c>
      <c r="E3678" s="1089" t="s">
        <v>5308</v>
      </c>
      <c r="F3678" s="1081">
        <f t="shared" si="1"/>
        <v>0</v>
      </c>
      <c r="G3678" s="1083">
        <f t="shared" si="2"/>
        <v>12.98</v>
      </c>
      <c r="H3678" s="1084"/>
    </row>
    <row r="3679" ht="14.25" customHeight="1">
      <c r="A3679" s="1085">
        <v>43600.0</v>
      </c>
      <c r="B3679" s="1086" t="s">
        <v>8996</v>
      </c>
      <c r="C3679" s="1087" t="s">
        <v>1788</v>
      </c>
      <c r="D3679" s="1088">
        <v>52.02</v>
      </c>
      <c r="E3679" s="1089" t="s">
        <v>5308</v>
      </c>
      <c r="F3679" s="1081">
        <f t="shared" si="1"/>
        <v>0</v>
      </c>
      <c r="G3679" s="1083">
        <f t="shared" si="2"/>
        <v>52.02</v>
      </c>
      <c r="H3679" s="1084"/>
    </row>
    <row r="3680" ht="14.25" customHeight="1">
      <c r="A3680" s="1085">
        <v>5080.0</v>
      </c>
      <c r="B3680" s="1086" t="s">
        <v>8997</v>
      </c>
      <c r="C3680" s="1087" t="s">
        <v>1788</v>
      </c>
      <c r="D3680" s="1088">
        <v>20.28</v>
      </c>
      <c r="E3680" s="1089" t="s">
        <v>5308</v>
      </c>
      <c r="F3680" s="1081">
        <f t="shared" si="1"/>
        <v>0</v>
      </c>
      <c r="G3680" s="1083">
        <f t="shared" si="2"/>
        <v>20.28</v>
      </c>
      <c r="H3680" s="1084"/>
    </row>
    <row r="3681" ht="14.25" customHeight="1">
      <c r="A3681" s="1085">
        <v>38168.0</v>
      </c>
      <c r="B3681" s="1086" t="s">
        <v>8998</v>
      </c>
      <c r="C3681" s="1087" t="s">
        <v>1788</v>
      </c>
      <c r="D3681" s="1088">
        <v>141.62</v>
      </c>
      <c r="E3681" s="1089" t="s">
        <v>5308</v>
      </c>
      <c r="F3681" s="1081">
        <f t="shared" si="1"/>
        <v>0</v>
      </c>
      <c r="G3681" s="1083">
        <f t="shared" si="2"/>
        <v>141.62</v>
      </c>
      <c r="H3681" s="1084"/>
    </row>
    <row r="3682" ht="14.25" customHeight="1">
      <c r="A3682" s="1085">
        <v>43601.0</v>
      </c>
      <c r="B3682" s="1086" t="s">
        <v>8999</v>
      </c>
      <c r="C3682" s="1087" t="s">
        <v>1788</v>
      </c>
      <c r="D3682" s="1088">
        <v>70.81</v>
      </c>
      <c r="E3682" s="1089" t="s">
        <v>5308</v>
      </c>
      <c r="F3682" s="1081">
        <f t="shared" si="1"/>
        <v>0</v>
      </c>
      <c r="G3682" s="1083">
        <f t="shared" si="2"/>
        <v>70.81</v>
      </c>
      <c r="H3682" s="1084"/>
    </row>
    <row r="3683" ht="14.25" customHeight="1">
      <c r="A3683" s="1085">
        <v>13393.0</v>
      </c>
      <c r="B3683" s="1086" t="s">
        <v>9000</v>
      </c>
      <c r="C3683" s="1087" t="s">
        <v>1788</v>
      </c>
      <c r="D3683" s="1088">
        <v>347.18</v>
      </c>
      <c r="E3683" s="1089" t="s">
        <v>5308</v>
      </c>
      <c r="F3683" s="1081">
        <f t="shared" si="1"/>
        <v>0</v>
      </c>
      <c r="G3683" s="1083">
        <f t="shared" si="2"/>
        <v>347.18</v>
      </c>
      <c r="H3683" s="1084"/>
    </row>
    <row r="3684" ht="14.25" customHeight="1">
      <c r="A3684" s="1085">
        <v>13395.0</v>
      </c>
      <c r="B3684" s="1086" t="s">
        <v>9001</v>
      </c>
      <c r="C3684" s="1087" t="s">
        <v>1788</v>
      </c>
      <c r="D3684" s="1088">
        <v>486.53</v>
      </c>
      <c r="E3684" s="1089" t="s">
        <v>5308</v>
      </c>
      <c r="F3684" s="1081">
        <f t="shared" si="1"/>
        <v>0</v>
      </c>
      <c r="G3684" s="1083">
        <f t="shared" si="2"/>
        <v>486.53</v>
      </c>
      <c r="H3684" s="1084"/>
    </row>
    <row r="3685" ht="14.25" customHeight="1">
      <c r="A3685" s="1085">
        <v>12039.0</v>
      </c>
      <c r="B3685" s="1086" t="s">
        <v>9002</v>
      </c>
      <c r="C3685" s="1087" t="s">
        <v>1788</v>
      </c>
      <c r="D3685" s="1088">
        <v>511.29</v>
      </c>
      <c r="E3685" s="1089" t="s">
        <v>5308</v>
      </c>
      <c r="F3685" s="1081">
        <f t="shared" si="1"/>
        <v>0</v>
      </c>
      <c r="G3685" s="1083">
        <f t="shared" si="2"/>
        <v>511.29</v>
      </c>
      <c r="H3685" s="1084"/>
    </row>
    <row r="3686" ht="14.25" customHeight="1">
      <c r="A3686" s="1085">
        <v>13396.0</v>
      </c>
      <c r="B3686" s="1086" t="s">
        <v>9003</v>
      </c>
      <c r="C3686" s="1087" t="s">
        <v>1788</v>
      </c>
      <c r="D3686" s="1088">
        <v>718.08</v>
      </c>
      <c r="E3686" s="1089" t="s">
        <v>5308</v>
      </c>
      <c r="F3686" s="1081">
        <f t="shared" si="1"/>
        <v>0</v>
      </c>
      <c r="G3686" s="1083">
        <f t="shared" si="2"/>
        <v>718.08</v>
      </c>
      <c r="H3686" s="1084"/>
    </row>
    <row r="3687" ht="14.25" customHeight="1">
      <c r="A3687" s="1085">
        <v>12041.0</v>
      </c>
      <c r="B3687" s="1086" t="s">
        <v>9004</v>
      </c>
      <c r="C3687" s="1087" t="s">
        <v>1788</v>
      </c>
      <c r="D3687" s="1088">
        <v>586.36</v>
      </c>
      <c r="E3687" s="1089" t="s">
        <v>5308</v>
      </c>
      <c r="F3687" s="1081">
        <f t="shared" si="1"/>
        <v>0</v>
      </c>
      <c r="G3687" s="1083">
        <f t="shared" si="2"/>
        <v>586.36</v>
      </c>
      <c r="H3687" s="1084"/>
    </row>
    <row r="3688" ht="14.25" customHeight="1">
      <c r="A3688" s="1085">
        <v>12043.0</v>
      </c>
      <c r="B3688" s="1086" t="s">
        <v>9005</v>
      </c>
      <c r="C3688" s="1087" t="s">
        <v>1788</v>
      </c>
      <c r="D3688" s="1088">
        <v>1238.0</v>
      </c>
      <c r="E3688" s="1089" t="s">
        <v>5308</v>
      </c>
      <c r="F3688" s="1081">
        <f t="shared" si="1"/>
        <v>0</v>
      </c>
      <c r="G3688" s="1083">
        <f t="shared" si="2"/>
        <v>1238</v>
      </c>
      <c r="H3688" s="1084"/>
    </row>
    <row r="3689" ht="14.25" customHeight="1">
      <c r="A3689" s="1085">
        <v>39762.0</v>
      </c>
      <c r="B3689" s="1086" t="s">
        <v>9006</v>
      </c>
      <c r="C3689" s="1087" t="s">
        <v>1788</v>
      </c>
      <c r="D3689" s="1088">
        <v>589.32</v>
      </c>
      <c r="E3689" s="1089" t="s">
        <v>5308</v>
      </c>
      <c r="F3689" s="1081">
        <f t="shared" si="1"/>
        <v>0</v>
      </c>
      <c r="G3689" s="1083">
        <f t="shared" si="2"/>
        <v>589.32</v>
      </c>
      <c r="H3689" s="1084"/>
    </row>
    <row r="3690" ht="14.25" customHeight="1">
      <c r="A3690" s="1085">
        <v>12042.0</v>
      </c>
      <c r="B3690" s="1086" t="s">
        <v>9007</v>
      </c>
      <c r="C3690" s="1087" t="s">
        <v>1788</v>
      </c>
      <c r="D3690" s="1088">
        <v>860.39</v>
      </c>
      <c r="E3690" s="1089" t="s">
        <v>5308</v>
      </c>
      <c r="F3690" s="1081">
        <f t="shared" si="1"/>
        <v>0</v>
      </c>
      <c r="G3690" s="1083">
        <f t="shared" si="2"/>
        <v>860.39</v>
      </c>
      <c r="H3690" s="1084"/>
    </row>
    <row r="3691" ht="14.25" customHeight="1">
      <c r="A3691" s="1085">
        <v>39763.0</v>
      </c>
      <c r="B3691" s="1086" t="s">
        <v>9008</v>
      </c>
      <c r="C3691" s="1087" t="s">
        <v>1788</v>
      </c>
      <c r="D3691" s="1088">
        <v>1006.97</v>
      </c>
      <c r="E3691" s="1089" t="s">
        <v>5308</v>
      </c>
      <c r="F3691" s="1081">
        <f t="shared" si="1"/>
        <v>0</v>
      </c>
      <c r="G3691" s="1083">
        <f t="shared" si="2"/>
        <v>1006.97</v>
      </c>
      <c r="H3691" s="1084"/>
    </row>
    <row r="3692" ht="14.25" customHeight="1">
      <c r="A3692" s="1085">
        <v>39760.0</v>
      </c>
      <c r="B3692" s="1086" t="s">
        <v>9009</v>
      </c>
      <c r="C3692" s="1087" t="s">
        <v>1788</v>
      </c>
      <c r="D3692" s="1088">
        <v>1003.66</v>
      </c>
      <c r="E3692" s="1089" t="s">
        <v>5308</v>
      </c>
      <c r="F3692" s="1081">
        <f t="shared" si="1"/>
        <v>0</v>
      </c>
      <c r="G3692" s="1083">
        <f t="shared" si="2"/>
        <v>1003.66</v>
      </c>
      <c r="H3692" s="1084"/>
    </row>
    <row r="3693" ht="14.25" customHeight="1">
      <c r="A3693" s="1085">
        <v>39756.0</v>
      </c>
      <c r="B3693" s="1086" t="s">
        <v>9010</v>
      </c>
      <c r="C3693" s="1087" t="s">
        <v>1788</v>
      </c>
      <c r="D3693" s="1088">
        <v>360.37</v>
      </c>
      <c r="E3693" s="1089" t="s">
        <v>5308</v>
      </c>
      <c r="F3693" s="1081">
        <f t="shared" si="1"/>
        <v>0</v>
      </c>
      <c r="G3693" s="1083">
        <f t="shared" si="2"/>
        <v>360.37</v>
      </c>
      <c r="H3693" s="1084"/>
    </row>
    <row r="3694" ht="14.25" customHeight="1">
      <c r="A3694" s="1085">
        <v>12038.0</v>
      </c>
      <c r="B3694" s="1086" t="s">
        <v>9011</v>
      </c>
      <c r="C3694" s="1087" t="s">
        <v>1788</v>
      </c>
      <c r="D3694" s="1088">
        <v>450.3</v>
      </c>
      <c r="E3694" s="1089" t="s">
        <v>5308</v>
      </c>
      <c r="F3694" s="1081">
        <f t="shared" si="1"/>
        <v>0</v>
      </c>
      <c r="G3694" s="1083">
        <f t="shared" si="2"/>
        <v>450.3</v>
      </c>
      <c r="H3694" s="1084"/>
    </row>
    <row r="3695" ht="14.25" customHeight="1">
      <c r="A3695" s="1085">
        <v>39757.0</v>
      </c>
      <c r="B3695" s="1086" t="s">
        <v>9012</v>
      </c>
      <c r="C3695" s="1087" t="s">
        <v>1788</v>
      </c>
      <c r="D3695" s="1088">
        <v>416.38</v>
      </c>
      <c r="E3695" s="1089" t="s">
        <v>5308</v>
      </c>
      <c r="F3695" s="1081">
        <f t="shared" si="1"/>
        <v>0</v>
      </c>
      <c r="G3695" s="1083">
        <f t="shared" si="2"/>
        <v>416.38</v>
      </c>
      <c r="H3695" s="1084"/>
    </row>
    <row r="3696" ht="14.25" customHeight="1">
      <c r="A3696" s="1085">
        <v>39758.0</v>
      </c>
      <c r="B3696" s="1086" t="s">
        <v>9013</v>
      </c>
      <c r="C3696" s="1087" t="s">
        <v>1788</v>
      </c>
      <c r="D3696" s="1088">
        <v>606.82</v>
      </c>
      <c r="E3696" s="1089" t="s">
        <v>5308</v>
      </c>
      <c r="F3696" s="1081">
        <f t="shared" si="1"/>
        <v>0</v>
      </c>
      <c r="G3696" s="1083">
        <f t="shared" si="2"/>
        <v>606.82</v>
      </c>
      <c r="H3696" s="1084"/>
    </row>
    <row r="3697" ht="14.25" customHeight="1">
      <c r="A3697" s="1085">
        <v>39759.0</v>
      </c>
      <c r="B3697" s="1086" t="s">
        <v>9014</v>
      </c>
      <c r="C3697" s="1087" t="s">
        <v>1788</v>
      </c>
      <c r="D3697" s="1088">
        <v>749.43</v>
      </c>
      <c r="E3697" s="1089" t="s">
        <v>5308</v>
      </c>
      <c r="F3697" s="1081">
        <f t="shared" si="1"/>
        <v>0</v>
      </c>
      <c r="G3697" s="1083">
        <f t="shared" si="2"/>
        <v>749.43</v>
      </c>
      <c r="H3697" s="1084"/>
    </row>
    <row r="3698" ht="14.25" customHeight="1">
      <c r="A3698" s="1085">
        <v>39761.0</v>
      </c>
      <c r="B3698" s="1086" t="s">
        <v>9015</v>
      </c>
      <c r="C3698" s="1087" t="s">
        <v>1788</v>
      </c>
      <c r="D3698" s="1088">
        <v>900.84</v>
      </c>
      <c r="E3698" s="1089" t="s">
        <v>5308</v>
      </c>
      <c r="F3698" s="1081">
        <f t="shared" si="1"/>
        <v>0</v>
      </c>
      <c r="G3698" s="1083">
        <f t="shared" si="2"/>
        <v>900.84</v>
      </c>
      <c r="H3698" s="1084"/>
    </row>
    <row r="3699" ht="14.25" customHeight="1">
      <c r="A3699" s="1085">
        <v>39805.0</v>
      </c>
      <c r="B3699" s="1086" t="s">
        <v>9016</v>
      </c>
      <c r="C3699" s="1087" t="s">
        <v>1788</v>
      </c>
      <c r="D3699" s="1088">
        <v>175.68</v>
      </c>
      <c r="E3699" s="1089" t="s">
        <v>5308</v>
      </c>
      <c r="F3699" s="1081">
        <f t="shared" si="1"/>
        <v>0</v>
      </c>
      <c r="G3699" s="1083">
        <f t="shared" si="2"/>
        <v>175.68</v>
      </c>
      <c r="H3699" s="1084"/>
    </row>
    <row r="3700" ht="14.25" customHeight="1">
      <c r="A3700" s="1085">
        <v>39806.0</v>
      </c>
      <c r="B3700" s="1086" t="s">
        <v>9017</v>
      </c>
      <c r="C3700" s="1087" t="s">
        <v>1788</v>
      </c>
      <c r="D3700" s="1088">
        <v>325.49</v>
      </c>
      <c r="E3700" s="1089" t="s">
        <v>5308</v>
      </c>
      <c r="F3700" s="1081">
        <f t="shared" si="1"/>
        <v>0</v>
      </c>
      <c r="G3700" s="1083">
        <f t="shared" si="2"/>
        <v>325.49</v>
      </c>
      <c r="H3700" s="1084"/>
    </row>
    <row r="3701" ht="14.25" customHeight="1">
      <c r="A3701" s="1085">
        <v>39807.0</v>
      </c>
      <c r="B3701" s="1086" t="s">
        <v>9018</v>
      </c>
      <c r="C3701" s="1087" t="s">
        <v>1788</v>
      </c>
      <c r="D3701" s="1088">
        <v>705.42</v>
      </c>
      <c r="E3701" s="1089" t="s">
        <v>5308</v>
      </c>
      <c r="F3701" s="1081">
        <f t="shared" si="1"/>
        <v>0</v>
      </c>
      <c r="G3701" s="1083">
        <f t="shared" si="2"/>
        <v>705.42</v>
      </c>
      <c r="H3701" s="1084"/>
    </row>
    <row r="3702" ht="14.25" customHeight="1">
      <c r="A3702" s="1085">
        <v>43100.0</v>
      </c>
      <c r="B3702" s="1086" t="s">
        <v>9019</v>
      </c>
      <c r="C3702" s="1087" t="s">
        <v>1788</v>
      </c>
      <c r="D3702" s="1088">
        <v>551.49</v>
      </c>
      <c r="E3702" s="1089" t="s">
        <v>5308</v>
      </c>
      <c r="F3702" s="1081">
        <f t="shared" si="1"/>
        <v>0</v>
      </c>
      <c r="G3702" s="1083">
        <f t="shared" si="2"/>
        <v>551.49</v>
      </c>
      <c r="H3702" s="1084"/>
    </row>
    <row r="3703" ht="14.25" customHeight="1">
      <c r="A3703" s="1085">
        <v>39804.0</v>
      </c>
      <c r="B3703" s="1086" t="s">
        <v>9020</v>
      </c>
      <c r="C3703" s="1087" t="s">
        <v>1788</v>
      </c>
      <c r="D3703" s="1088">
        <v>103.16</v>
      </c>
      <c r="E3703" s="1089" t="s">
        <v>5308</v>
      </c>
      <c r="F3703" s="1081">
        <f t="shared" si="1"/>
        <v>0</v>
      </c>
      <c r="G3703" s="1083">
        <f t="shared" si="2"/>
        <v>103.16</v>
      </c>
      <c r="H3703" s="1084"/>
    </row>
    <row r="3704" ht="14.25" customHeight="1">
      <c r="A3704" s="1085">
        <v>39796.0</v>
      </c>
      <c r="B3704" s="1086" t="s">
        <v>9021</v>
      </c>
      <c r="C3704" s="1087" t="s">
        <v>1788</v>
      </c>
      <c r="D3704" s="1088">
        <v>106.85</v>
      </c>
      <c r="E3704" s="1089" t="s">
        <v>5308</v>
      </c>
      <c r="F3704" s="1081">
        <f t="shared" si="1"/>
        <v>0</v>
      </c>
      <c r="G3704" s="1083">
        <f t="shared" si="2"/>
        <v>106.85</v>
      </c>
      <c r="H3704" s="1084"/>
    </row>
    <row r="3705" ht="14.25" customHeight="1">
      <c r="A3705" s="1085">
        <v>39797.0</v>
      </c>
      <c r="B3705" s="1086" t="s">
        <v>9022</v>
      </c>
      <c r="C3705" s="1087" t="s">
        <v>1788</v>
      </c>
      <c r="D3705" s="1088">
        <v>167.73</v>
      </c>
      <c r="E3705" s="1089" t="s">
        <v>5308</v>
      </c>
      <c r="F3705" s="1081">
        <f t="shared" si="1"/>
        <v>0</v>
      </c>
      <c r="G3705" s="1083">
        <f t="shared" si="2"/>
        <v>167.73</v>
      </c>
      <c r="H3705" s="1084"/>
    </row>
    <row r="3706" ht="14.25" customHeight="1">
      <c r="A3706" s="1085">
        <v>39798.0</v>
      </c>
      <c r="B3706" s="1086" t="s">
        <v>9023</v>
      </c>
      <c r="C3706" s="1087" t="s">
        <v>1788</v>
      </c>
      <c r="D3706" s="1088">
        <v>287.71</v>
      </c>
      <c r="E3706" s="1089" t="s">
        <v>5308</v>
      </c>
      <c r="F3706" s="1081">
        <f t="shared" si="1"/>
        <v>0</v>
      </c>
      <c r="G3706" s="1083">
        <f t="shared" si="2"/>
        <v>287.71</v>
      </c>
      <c r="H3706" s="1084"/>
    </row>
    <row r="3707" ht="14.25" customHeight="1">
      <c r="A3707" s="1085">
        <v>39794.0</v>
      </c>
      <c r="B3707" s="1086" t="s">
        <v>9024</v>
      </c>
      <c r="C3707" s="1087" t="s">
        <v>1788</v>
      </c>
      <c r="D3707" s="1088">
        <v>45.35</v>
      </c>
      <c r="E3707" s="1089" t="s">
        <v>5308</v>
      </c>
      <c r="F3707" s="1081">
        <f t="shared" si="1"/>
        <v>0</v>
      </c>
      <c r="G3707" s="1083">
        <f t="shared" si="2"/>
        <v>45.35</v>
      </c>
      <c r="H3707" s="1084"/>
    </row>
    <row r="3708" ht="14.25" customHeight="1">
      <c r="A3708" s="1085">
        <v>39795.0</v>
      </c>
      <c r="B3708" s="1086" t="s">
        <v>9025</v>
      </c>
      <c r="C3708" s="1087" t="s">
        <v>1788</v>
      </c>
      <c r="D3708" s="1088">
        <v>71.65</v>
      </c>
      <c r="E3708" s="1089" t="s">
        <v>5308</v>
      </c>
      <c r="F3708" s="1081">
        <f t="shared" si="1"/>
        <v>0</v>
      </c>
      <c r="G3708" s="1083">
        <f t="shared" si="2"/>
        <v>71.65</v>
      </c>
      <c r="H3708" s="1084"/>
    </row>
    <row r="3709" ht="14.25" customHeight="1">
      <c r="A3709" s="1085">
        <v>39799.0</v>
      </c>
      <c r="B3709" s="1086" t="s">
        <v>9026</v>
      </c>
      <c r="C3709" s="1087" t="s">
        <v>1788</v>
      </c>
      <c r="D3709" s="1088">
        <v>52.86</v>
      </c>
      <c r="E3709" s="1089" t="s">
        <v>5308</v>
      </c>
      <c r="F3709" s="1081">
        <f t="shared" si="1"/>
        <v>0</v>
      </c>
      <c r="G3709" s="1083">
        <f t="shared" si="2"/>
        <v>52.86</v>
      </c>
      <c r="H3709" s="1084"/>
    </row>
    <row r="3710" ht="14.25" customHeight="1">
      <c r="A3710" s="1085">
        <v>39801.0</v>
      </c>
      <c r="B3710" s="1086" t="s">
        <v>9027</v>
      </c>
      <c r="C3710" s="1087" t="s">
        <v>1788</v>
      </c>
      <c r="D3710" s="1088">
        <v>151.3</v>
      </c>
      <c r="E3710" s="1089" t="s">
        <v>5308</v>
      </c>
      <c r="F3710" s="1081">
        <f t="shared" si="1"/>
        <v>0</v>
      </c>
      <c r="G3710" s="1083">
        <f t="shared" si="2"/>
        <v>151.3</v>
      </c>
      <c r="H3710" s="1084"/>
    </row>
    <row r="3711" ht="14.25" customHeight="1">
      <c r="A3711" s="1085">
        <v>39802.0</v>
      </c>
      <c r="B3711" s="1086" t="s">
        <v>9028</v>
      </c>
      <c r="C3711" s="1087" t="s">
        <v>1788</v>
      </c>
      <c r="D3711" s="1088">
        <v>221.78</v>
      </c>
      <c r="E3711" s="1089" t="s">
        <v>5308</v>
      </c>
      <c r="F3711" s="1081">
        <f t="shared" si="1"/>
        <v>0</v>
      </c>
      <c r="G3711" s="1083">
        <f t="shared" si="2"/>
        <v>221.78</v>
      </c>
      <c r="H3711" s="1084"/>
    </row>
    <row r="3712" ht="14.25" customHeight="1">
      <c r="A3712" s="1085">
        <v>39803.0</v>
      </c>
      <c r="B3712" s="1086" t="s">
        <v>9029</v>
      </c>
      <c r="C3712" s="1087" t="s">
        <v>1788</v>
      </c>
      <c r="D3712" s="1088">
        <v>309.39</v>
      </c>
      <c r="E3712" s="1089" t="s">
        <v>5308</v>
      </c>
      <c r="F3712" s="1081">
        <f t="shared" si="1"/>
        <v>0</v>
      </c>
      <c r="G3712" s="1083">
        <f t="shared" si="2"/>
        <v>309.39</v>
      </c>
      <c r="H3712" s="1084"/>
    </row>
    <row r="3713" ht="14.25" customHeight="1">
      <c r="A3713" s="1085">
        <v>39800.0</v>
      </c>
      <c r="B3713" s="1086" t="s">
        <v>9030</v>
      </c>
      <c r="C3713" s="1087" t="s">
        <v>1788</v>
      </c>
      <c r="D3713" s="1088">
        <v>90.05</v>
      </c>
      <c r="E3713" s="1089" t="s">
        <v>5308</v>
      </c>
      <c r="F3713" s="1081">
        <f t="shared" si="1"/>
        <v>0</v>
      </c>
      <c r="G3713" s="1083">
        <f t="shared" si="2"/>
        <v>90.05</v>
      </c>
      <c r="H3713" s="1084"/>
    </row>
    <row r="3714" ht="14.25" customHeight="1">
      <c r="A3714" s="1085">
        <v>43837.0</v>
      </c>
      <c r="B3714" s="1086" t="s">
        <v>9031</v>
      </c>
      <c r="C3714" s="1087" t="s">
        <v>1788</v>
      </c>
      <c r="D3714" s="1088">
        <v>1847.43</v>
      </c>
      <c r="E3714" s="1089" t="s">
        <v>5308</v>
      </c>
      <c r="F3714" s="1081">
        <f t="shared" si="1"/>
        <v>0</v>
      </c>
      <c r="G3714" s="1083">
        <f t="shared" si="2"/>
        <v>1847.43</v>
      </c>
      <c r="H3714" s="1084"/>
    </row>
    <row r="3715" ht="14.25" customHeight="1">
      <c r="A3715" s="1085">
        <v>43836.0</v>
      </c>
      <c r="B3715" s="1086" t="s">
        <v>9032</v>
      </c>
      <c r="C3715" s="1087" t="s">
        <v>1788</v>
      </c>
      <c r="D3715" s="1088">
        <v>3759.19</v>
      </c>
      <c r="E3715" s="1089" t="s">
        <v>5308</v>
      </c>
      <c r="F3715" s="1081">
        <f t="shared" si="1"/>
        <v>0</v>
      </c>
      <c r="G3715" s="1083">
        <f t="shared" si="2"/>
        <v>3759.19</v>
      </c>
      <c r="H3715" s="1084"/>
    </row>
    <row r="3716" ht="14.25" customHeight="1">
      <c r="A3716" s="1085">
        <v>21059.0</v>
      </c>
      <c r="B3716" s="1086" t="s">
        <v>9033</v>
      </c>
      <c r="C3716" s="1087" t="s">
        <v>1788</v>
      </c>
      <c r="D3716" s="1088">
        <v>65.64</v>
      </c>
      <c r="E3716" s="1089" t="s">
        <v>5308</v>
      </c>
      <c r="F3716" s="1081">
        <f t="shared" si="1"/>
        <v>0</v>
      </c>
      <c r="G3716" s="1083">
        <f t="shared" si="2"/>
        <v>65.64</v>
      </c>
      <c r="H3716" s="1084"/>
    </row>
    <row r="3717" ht="14.25" customHeight="1">
      <c r="A3717" s="1085">
        <v>11234.0</v>
      </c>
      <c r="B3717" s="1086" t="s">
        <v>9034</v>
      </c>
      <c r="C3717" s="1087" t="s">
        <v>1788</v>
      </c>
      <c r="D3717" s="1088">
        <v>98.94</v>
      </c>
      <c r="E3717" s="1089" t="s">
        <v>5308</v>
      </c>
      <c r="F3717" s="1081">
        <f t="shared" si="1"/>
        <v>0</v>
      </c>
      <c r="G3717" s="1083">
        <f t="shared" si="2"/>
        <v>98.94</v>
      </c>
      <c r="H3717" s="1084"/>
    </row>
    <row r="3718" ht="14.25" customHeight="1">
      <c r="A3718" s="1085">
        <v>21060.0</v>
      </c>
      <c r="B3718" s="1086" t="s">
        <v>9035</v>
      </c>
      <c r="C3718" s="1087" t="s">
        <v>1788</v>
      </c>
      <c r="D3718" s="1088">
        <v>121.77</v>
      </c>
      <c r="E3718" s="1089" t="s">
        <v>5308</v>
      </c>
      <c r="F3718" s="1081">
        <f t="shared" si="1"/>
        <v>0</v>
      </c>
      <c r="G3718" s="1083">
        <f t="shared" si="2"/>
        <v>121.77</v>
      </c>
      <c r="H3718" s="1084"/>
    </row>
    <row r="3719" ht="14.25" customHeight="1">
      <c r="A3719" s="1085">
        <v>21061.0</v>
      </c>
      <c r="B3719" s="1086" t="s">
        <v>9036</v>
      </c>
      <c r="C3719" s="1087" t="s">
        <v>1788</v>
      </c>
      <c r="D3719" s="1088">
        <v>152.22</v>
      </c>
      <c r="E3719" s="1089" t="s">
        <v>5308</v>
      </c>
      <c r="F3719" s="1081">
        <f t="shared" si="1"/>
        <v>0</v>
      </c>
      <c r="G3719" s="1083">
        <f t="shared" si="2"/>
        <v>152.22</v>
      </c>
      <c r="H3719" s="1084"/>
    </row>
    <row r="3720" ht="14.25" customHeight="1">
      <c r="A3720" s="1085">
        <v>21062.0</v>
      </c>
      <c r="B3720" s="1086" t="s">
        <v>9037</v>
      </c>
      <c r="C3720" s="1087" t="s">
        <v>1788</v>
      </c>
      <c r="D3720" s="1088">
        <v>239.74</v>
      </c>
      <c r="E3720" s="1089" t="s">
        <v>5308</v>
      </c>
      <c r="F3720" s="1081">
        <f t="shared" si="1"/>
        <v>0</v>
      </c>
      <c r="G3720" s="1083">
        <f t="shared" si="2"/>
        <v>239.74</v>
      </c>
      <c r="H3720" s="1084"/>
    </row>
    <row r="3721" ht="14.25" customHeight="1">
      <c r="A3721" s="1085">
        <v>11708.0</v>
      </c>
      <c r="B3721" s="1086" t="s">
        <v>9038</v>
      </c>
      <c r="C3721" s="1087" t="s">
        <v>1788</v>
      </c>
      <c r="D3721" s="1088">
        <v>26.16</v>
      </c>
      <c r="E3721" s="1089" t="s">
        <v>5308</v>
      </c>
      <c r="F3721" s="1081">
        <f t="shared" si="1"/>
        <v>0</v>
      </c>
      <c r="G3721" s="1083">
        <f t="shared" si="2"/>
        <v>26.16</v>
      </c>
      <c r="H3721" s="1084"/>
    </row>
    <row r="3722" ht="14.25" customHeight="1">
      <c r="A3722" s="1085">
        <v>11709.0</v>
      </c>
      <c r="B3722" s="1086" t="s">
        <v>9039</v>
      </c>
      <c r="C3722" s="1087" t="s">
        <v>1788</v>
      </c>
      <c r="D3722" s="1088">
        <v>61.45</v>
      </c>
      <c r="E3722" s="1089" t="s">
        <v>5308</v>
      </c>
      <c r="F3722" s="1081">
        <f t="shared" si="1"/>
        <v>0</v>
      </c>
      <c r="G3722" s="1083">
        <f t="shared" si="2"/>
        <v>61.45</v>
      </c>
      <c r="H3722" s="1084"/>
    </row>
    <row r="3723" ht="14.25" customHeight="1">
      <c r="A3723" s="1085">
        <v>11710.0</v>
      </c>
      <c r="B3723" s="1086" t="s">
        <v>9040</v>
      </c>
      <c r="C3723" s="1087" t="s">
        <v>1788</v>
      </c>
      <c r="D3723" s="1088">
        <v>141.27</v>
      </c>
      <c r="E3723" s="1089" t="s">
        <v>5308</v>
      </c>
      <c r="F3723" s="1081">
        <f t="shared" si="1"/>
        <v>0</v>
      </c>
      <c r="G3723" s="1083">
        <f t="shared" si="2"/>
        <v>141.27</v>
      </c>
      <c r="H3723" s="1084"/>
    </row>
    <row r="3724" ht="14.25" customHeight="1">
      <c r="A3724" s="1085">
        <v>11707.0</v>
      </c>
      <c r="B3724" s="1086" t="s">
        <v>9041</v>
      </c>
      <c r="C3724" s="1087" t="s">
        <v>1788</v>
      </c>
      <c r="D3724" s="1088">
        <v>19.59</v>
      </c>
      <c r="E3724" s="1089" t="s">
        <v>5308</v>
      </c>
      <c r="F3724" s="1081">
        <f t="shared" si="1"/>
        <v>0</v>
      </c>
      <c r="G3724" s="1083">
        <f t="shared" si="2"/>
        <v>19.59</v>
      </c>
      <c r="H3724" s="1084"/>
    </row>
    <row r="3725" ht="14.25" customHeight="1">
      <c r="A3725" s="1085">
        <v>5102.0</v>
      </c>
      <c r="B3725" s="1086" t="s">
        <v>9042</v>
      </c>
      <c r="C3725" s="1087" t="s">
        <v>1788</v>
      </c>
      <c r="D3725" s="1088">
        <v>12.9</v>
      </c>
      <c r="E3725" s="1089" t="s">
        <v>5308</v>
      </c>
      <c r="F3725" s="1081">
        <f t="shared" si="1"/>
        <v>0</v>
      </c>
      <c r="G3725" s="1083">
        <f t="shared" si="2"/>
        <v>12.9</v>
      </c>
      <c r="H3725" s="1084"/>
    </row>
    <row r="3726" ht="14.25" customHeight="1">
      <c r="A3726" s="1085">
        <v>11739.0</v>
      </c>
      <c r="B3726" s="1086" t="s">
        <v>9043</v>
      </c>
      <c r="C3726" s="1087" t="s">
        <v>1788</v>
      </c>
      <c r="D3726" s="1088">
        <v>9.19</v>
      </c>
      <c r="E3726" s="1089" t="s">
        <v>5308</v>
      </c>
      <c r="F3726" s="1081">
        <f t="shared" si="1"/>
        <v>0</v>
      </c>
      <c r="G3726" s="1083">
        <f t="shared" si="2"/>
        <v>9.19</v>
      </c>
      <c r="H3726" s="1084"/>
    </row>
    <row r="3727" ht="14.25" customHeight="1">
      <c r="A3727" s="1085">
        <v>11711.0</v>
      </c>
      <c r="B3727" s="1086" t="s">
        <v>9044</v>
      </c>
      <c r="C3727" s="1087" t="s">
        <v>1788</v>
      </c>
      <c r="D3727" s="1088">
        <v>10.74</v>
      </c>
      <c r="E3727" s="1089" t="s">
        <v>5308</v>
      </c>
      <c r="F3727" s="1081">
        <f t="shared" si="1"/>
        <v>0</v>
      </c>
      <c r="G3727" s="1083">
        <f t="shared" si="2"/>
        <v>10.74</v>
      </c>
      <c r="H3727" s="1084"/>
    </row>
    <row r="3728" ht="14.25" customHeight="1">
      <c r="A3728" s="1085">
        <v>11741.0</v>
      </c>
      <c r="B3728" s="1086" t="s">
        <v>9045</v>
      </c>
      <c r="C3728" s="1087" t="s">
        <v>1788</v>
      </c>
      <c r="D3728" s="1088">
        <v>11.7</v>
      </c>
      <c r="E3728" s="1089" t="s">
        <v>5308</v>
      </c>
      <c r="F3728" s="1081">
        <f t="shared" si="1"/>
        <v>0</v>
      </c>
      <c r="G3728" s="1083">
        <f t="shared" si="2"/>
        <v>11.7</v>
      </c>
      <c r="H3728" s="1084"/>
    </row>
    <row r="3729" ht="14.25" customHeight="1">
      <c r="A3729" s="1085">
        <v>11745.0</v>
      </c>
      <c r="B3729" s="1086" t="s">
        <v>9046</v>
      </c>
      <c r="C3729" s="1087" t="s">
        <v>1788</v>
      </c>
      <c r="D3729" s="1088">
        <v>15.42</v>
      </c>
      <c r="E3729" s="1089" t="s">
        <v>5308</v>
      </c>
      <c r="F3729" s="1081">
        <f t="shared" si="1"/>
        <v>0</v>
      </c>
      <c r="G3729" s="1083">
        <f t="shared" si="2"/>
        <v>15.42</v>
      </c>
      <c r="H3729" s="1084"/>
    </row>
    <row r="3730" ht="14.25" customHeight="1">
      <c r="A3730" s="1085">
        <v>11743.0</v>
      </c>
      <c r="B3730" s="1086" t="s">
        <v>9047</v>
      </c>
      <c r="C3730" s="1087" t="s">
        <v>1788</v>
      </c>
      <c r="D3730" s="1088">
        <v>9.82</v>
      </c>
      <c r="E3730" s="1089" t="s">
        <v>5308</v>
      </c>
      <c r="F3730" s="1081">
        <f t="shared" si="1"/>
        <v>0</v>
      </c>
      <c r="G3730" s="1083">
        <f t="shared" si="2"/>
        <v>9.82</v>
      </c>
      <c r="H3730" s="1084"/>
    </row>
    <row r="3731" ht="14.25" customHeight="1">
      <c r="A3731" s="1085">
        <v>40985.0</v>
      </c>
      <c r="B3731" s="1086" t="s">
        <v>9048</v>
      </c>
      <c r="C3731" s="1087" t="s">
        <v>5454</v>
      </c>
      <c r="D3731" s="1088">
        <v>2428.02</v>
      </c>
      <c r="E3731" s="1089" t="s">
        <v>5452</v>
      </c>
      <c r="F3731" s="1081">
        <f t="shared" si="1"/>
        <v>2428.02</v>
      </c>
      <c r="G3731" s="1083">
        <f t="shared" si="2"/>
        <v>0</v>
      </c>
      <c r="H3731" s="1084"/>
    </row>
    <row r="3732" ht="14.25" customHeight="1">
      <c r="A3732" s="1085">
        <v>44502.0</v>
      </c>
      <c r="B3732" s="1086" t="s">
        <v>9049</v>
      </c>
      <c r="C3732" s="1087" t="s">
        <v>1470</v>
      </c>
      <c r="D3732" s="1088">
        <v>13.86</v>
      </c>
      <c r="E3732" s="1089" t="s">
        <v>5452</v>
      </c>
      <c r="F3732" s="1081">
        <f t="shared" si="1"/>
        <v>13.86</v>
      </c>
      <c r="G3732" s="1083">
        <f t="shared" si="2"/>
        <v>0</v>
      </c>
      <c r="H3732" s="1084"/>
    </row>
    <row r="3733" ht="14.25" customHeight="1">
      <c r="A3733" s="1085">
        <v>1088.0</v>
      </c>
      <c r="B3733" s="1086" t="s">
        <v>9050</v>
      </c>
      <c r="C3733" s="1087" t="s">
        <v>1788</v>
      </c>
      <c r="D3733" s="1088">
        <v>27.74</v>
      </c>
      <c r="E3733" s="1089" t="s">
        <v>5308</v>
      </c>
      <c r="F3733" s="1081">
        <f t="shared" si="1"/>
        <v>0</v>
      </c>
      <c r="G3733" s="1083">
        <f t="shared" si="2"/>
        <v>27.74</v>
      </c>
      <c r="H3733" s="1084"/>
    </row>
    <row r="3734" ht="14.25" customHeight="1">
      <c r="A3734" s="1085">
        <v>1087.0</v>
      </c>
      <c r="B3734" s="1086" t="s">
        <v>9051</v>
      </c>
      <c r="C3734" s="1087" t="s">
        <v>1788</v>
      </c>
      <c r="D3734" s="1088">
        <v>34.65</v>
      </c>
      <c r="E3734" s="1089" t="s">
        <v>5308</v>
      </c>
      <c r="F3734" s="1081">
        <f t="shared" si="1"/>
        <v>0</v>
      </c>
      <c r="G3734" s="1083">
        <f t="shared" si="2"/>
        <v>34.65</v>
      </c>
      <c r="H3734" s="1084"/>
    </row>
    <row r="3735" ht="14.25" customHeight="1">
      <c r="A3735" s="1085">
        <v>38777.0</v>
      </c>
      <c r="B3735" s="1086" t="s">
        <v>9052</v>
      </c>
      <c r="C3735" s="1087" t="s">
        <v>1788</v>
      </c>
      <c r="D3735" s="1088">
        <v>69.02</v>
      </c>
      <c r="E3735" s="1089" t="s">
        <v>5308</v>
      </c>
      <c r="F3735" s="1081">
        <f t="shared" si="1"/>
        <v>0</v>
      </c>
      <c r="G3735" s="1083">
        <f t="shared" si="2"/>
        <v>69.02</v>
      </c>
      <c r="H3735" s="1084"/>
    </row>
    <row r="3736" ht="14.25" customHeight="1">
      <c r="A3736" s="1085">
        <v>1086.0</v>
      </c>
      <c r="B3736" s="1086" t="s">
        <v>9053</v>
      </c>
      <c r="C3736" s="1087" t="s">
        <v>1788</v>
      </c>
      <c r="D3736" s="1088">
        <v>36.42</v>
      </c>
      <c r="E3736" s="1089" t="s">
        <v>5308</v>
      </c>
      <c r="F3736" s="1081">
        <f t="shared" si="1"/>
        <v>0</v>
      </c>
      <c r="G3736" s="1083">
        <f t="shared" si="2"/>
        <v>36.42</v>
      </c>
      <c r="H3736" s="1084"/>
    </row>
    <row r="3737" ht="14.25" customHeight="1">
      <c r="A3737" s="1085">
        <v>1079.0</v>
      </c>
      <c r="B3737" s="1086" t="s">
        <v>9054</v>
      </c>
      <c r="C3737" s="1087" t="s">
        <v>1788</v>
      </c>
      <c r="D3737" s="1088">
        <v>37.65</v>
      </c>
      <c r="E3737" s="1089" t="s">
        <v>5308</v>
      </c>
      <c r="F3737" s="1081">
        <f t="shared" si="1"/>
        <v>0</v>
      </c>
      <c r="G3737" s="1083">
        <f t="shared" si="2"/>
        <v>37.65</v>
      </c>
      <c r="H3737" s="1084"/>
    </row>
    <row r="3738" ht="14.25" customHeight="1">
      <c r="A3738" s="1085">
        <v>39374.0</v>
      </c>
      <c r="B3738" s="1086" t="s">
        <v>9055</v>
      </c>
      <c r="C3738" s="1087" t="s">
        <v>1788</v>
      </c>
      <c r="D3738" s="1088">
        <v>141.05</v>
      </c>
      <c r="E3738" s="1089" t="s">
        <v>5308</v>
      </c>
      <c r="F3738" s="1081">
        <f t="shared" si="1"/>
        <v>0</v>
      </c>
      <c r="G3738" s="1083">
        <f t="shared" si="2"/>
        <v>141.05</v>
      </c>
      <c r="H3738" s="1084"/>
    </row>
    <row r="3739" ht="14.25" customHeight="1">
      <c r="A3739" s="1085">
        <v>1082.0</v>
      </c>
      <c r="B3739" s="1086" t="s">
        <v>9056</v>
      </c>
      <c r="C3739" s="1087" t="s">
        <v>1788</v>
      </c>
      <c r="D3739" s="1088">
        <v>236.71</v>
      </c>
      <c r="E3739" s="1089" t="s">
        <v>5308</v>
      </c>
      <c r="F3739" s="1081">
        <f t="shared" si="1"/>
        <v>0</v>
      </c>
      <c r="G3739" s="1083">
        <f t="shared" si="2"/>
        <v>236.71</v>
      </c>
      <c r="H3739" s="1084"/>
    </row>
    <row r="3740" ht="14.25" customHeight="1">
      <c r="A3740" s="1085">
        <v>12316.0</v>
      </c>
      <c r="B3740" s="1086" t="s">
        <v>9057</v>
      </c>
      <c r="C3740" s="1087" t="s">
        <v>1788</v>
      </c>
      <c r="D3740" s="1088">
        <v>108.49</v>
      </c>
      <c r="E3740" s="1089" t="s">
        <v>5308</v>
      </c>
      <c r="F3740" s="1081">
        <f t="shared" si="1"/>
        <v>0</v>
      </c>
      <c r="G3740" s="1083">
        <f t="shared" si="2"/>
        <v>108.49</v>
      </c>
      <c r="H3740" s="1084"/>
    </row>
    <row r="3741" ht="14.25" customHeight="1">
      <c r="A3741" s="1085">
        <v>12317.0</v>
      </c>
      <c r="B3741" s="1086" t="s">
        <v>9058</v>
      </c>
      <c r="C3741" s="1087" t="s">
        <v>1788</v>
      </c>
      <c r="D3741" s="1088">
        <v>129.37</v>
      </c>
      <c r="E3741" s="1089" t="s">
        <v>5308</v>
      </c>
      <c r="F3741" s="1081">
        <f t="shared" si="1"/>
        <v>0</v>
      </c>
      <c r="G3741" s="1083">
        <f t="shared" si="2"/>
        <v>129.37</v>
      </c>
      <c r="H3741" s="1084"/>
    </row>
    <row r="3742" ht="14.25" customHeight="1">
      <c r="A3742" s="1085">
        <v>12318.0</v>
      </c>
      <c r="B3742" s="1086" t="s">
        <v>9059</v>
      </c>
      <c r="C3742" s="1087" t="s">
        <v>1788</v>
      </c>
      <c r="D3742" s="1088">
        <v>149.04</v>
      </c>
      <c r="E3742" s="1089" t="s">
        <v>5308</v>
      </c>
      <c r="F3742" s="1081">
        <f t="shared" si="1"/>
        <v>0</v>
      </c>
      <c r="G3742" s="1083">
        <f t="shared" si="2"/>
        <v>149.04</v>
      </c>
      <c r="H3742" s="1084"/>
    </row>
    <row r="3743" ht="14.25" customHeight="1">
      <c r="A3743" s="1085">
        <v>5104.0</v>
      </c>
      <c r="B3743" s="1086" t="s">
        <v>9060</v>
      </c>
      <c r="C3743" s="1087" t="s">
        <v>3606</v>
      </c>
      <c r="D3743" s="1088">
        <v>68.31</v>
      </c>
      <c r="E3743" s="1089" t="s">
        <v>5308</v>
      </c>
      <c r="F3743" s="1081">
        <f t="shared" si="1"/>
        <v>0</v>
      </c>
      <c r="G3743" s="1083">
        <f t="shared" si="2"/>
        <v>68.31</v>
      </c>
      <c r="H3743" s="1084"/>
    </row>
    <row r="3744" ht="14.25" customHeight="1">
      <c r="A3744" s="1085">
        <v>44530.0</v>
      </c>
      <c r="B3744" s="1086" t="s">
        <v>9061</v>
      </c>
      <c r="C3744" s="1087" t="s">
        <v>1788</v>
      </c>
      <c r="D3744" s="1088">
        <v>67.57</v>
      </c>
      <c r="E3744" s="1089" t="s">
        <v>5554</v>
      </c>
      <c r="F3744" s="1081">
        <f t="shared" si="1"/>
        <v>0</v>
      </c>
      <c r="G3744" s="1083">
        <f t="shared" si="2"/>
        <v>67.57</v>
      </c>
      <c r="H3744" s="1084"/>
    </row>
    <row r="3745" ht="14.25" customHeight="1">
      <c r="A3745" s="1085">
        <v>2710.0</v>
      </c>
      <c r="B3745" s="1086" t="s">
        <v>9062</v>
      </c>
      <c r="C3745" s="1087" t="s">
        <v>1788</v>
      </c>
      <c r="D3745" s="1088">
        <v>53.96</v>
      </c>
      <c r="E3745" s="1089" t="s">
        <v>5308</v>
      </c>
      <c r="F3745" s="1081">
        <f t="shared" si="1"/>
        <v>0</v>
      </c>
      <c r="G3745" s="1083">
        <f t="shared" si="2"/>
        <v>53.96</v>
      </c>
      <c r="H3745" s="1084"/>
    </row>
    <row r="3746" ht="14.25" customHeight="1">
      <c r="A3746" s="1085">
        <v>14575.0</v>
      </c>
      <c r="B3746" s="1086" t="s">
        <v>9063</v>
      </c>
      <c r="C3746" s="1087" t="s">
        <v>1788</v>
      </c>
      <c r="D3746" s="1088">
        <v>5640117.87</v>
      </c>
      <c r="E3746" s="1089" t="s">
        <v>5482</v>
      </c>
      <c r="F3746" s="1081">
        <f t="shared" si="1"/>
        <v>0</v>
      </c>
      <c r="G3746" s="1083">
        <f t="shared" si="2"/>
        <v>5640117.87</v>
      </c>
      <c r="H3746" s="1084"/>
    </row>
    <row r="3747" ht="14.25" customHeight="1">
      <c r="A3747" s="1085">
        <v>20043.0</v>
      </c>
      <c r="B3747" s="1086" t="s">
        <v>9064</v>
      </c>
      <c r="C3747" s="1087" t="s">
        <v>1788</v>
      </c>
      <c r="D3747" s="1088">
        <v>10.24</v>
      </c>
      <c r="E3747" s="1089" t="s">
        <v>5308</v>
      </c>
      <c r="F3747" s="1081">
        <f t="shared" si="1"/>
        <v>0</v>
      </c>
      <c r="G3747" s="1083">
        <f t="shared" si="2"/>
        <v>10.24</v>
      </c>
      <c r="H3747" s="1084"/>
    </row>
    <row r="3748" ht="14.25" customHeight="1">
      <c r="A3748" s="1085">
        <v>20044.0</v>
      </c>
      <c r="B3748" s="1086" t="s">
        <v>9065</v>
      </c>
      <c r="C3748" s="1087" t="s">
        <v>1788</v>
      </c>
      <c r="D3748" s="1088">
        <v>11.87</v>
      </c>
      <c r="E3748" s="1089" t="s">
        <v>5308</v>
      </c>
      <c r="F3748" s="1081">
        <f t="shared" si="1"/>
        <v>0</v>
      </c>
      <c r="G3748" s="1083">
        <f t="shared" si="2"/>
        <v>11.87</v>
      </c>
      <c r="H3748" s="1084"/>
    </row>
    <row r="3749" ht="14.25" customHeight="1">
      <c r="A3749" s="1085">
        <v>20042.0</v>
      </c>
      <c r="B3749" s="1086" t="s">
        <v>9066</v>
      </c>
      <c r="C3749" s="1087" t="s">
        <v>1788</v>
      </c>
      <c r="D3749" s="1088">
        <v>8.88</v>
      </c>
      <c r="E3749" s="1089" t="s">
        <v>5308</v>
      </c>
      <c r="F3749" s="1081">
        <f t="shared" si="1"/>
        <v>0</v>
      </c>
      <c r="G3749" s="1083">
        <f t="shared" si="2"/>
        <v>8.88</v>
      </c>
      <c r="H3749" s="1084"/>
    </row>
    <row r="3750" ht="14.25" customHeight="1">
      <c r="A3750" s="1085">
        <v>20046.0</v>
      </c>
      <c r="B3750" s="1086" t="s">
        <v>9067</v>
      </c>
      <c r="C3750" s="1087" t="s">
        <v>1788</v>
      </c>
      <c r="D3750" s="1088">
        <v>21.02</v>
      </c>
      <c r="E3750" s="1089" t="s">
        <v>5308</v>
      </c>
      <c r="F3750" s="1081">
        <f t="shared" si="1"/>
        <v>0</v>
      </c>
      <c r="G3750" s="1083">
        <f t="shared" si="2"/>
        <v>21.02</v>
      </c>
      <c r="H3750" s="1084"/>
    </row>
    <row r="3751" ht="14.25" customHeight="1">
      <c r="A3751" s="1085">
        <v>20047.0</v>
      </c>
      <c r="B3751" s="1086" t="s">
        <v>9068</v>
      </c>
      <c r="C3751" s="1087" t="s">
        <v>1788</v>
      </c>
      <c r="D3751" s="1088">
        <v>63.02</v>
      </c>
      <c r="E3751" s="1089" t="s">
        <v>5308</v>
      </c>
      <c r="F3751" s="1081">
        <f t="shared" si="1"/>
        <v>0</v>
      </c>
      <c r="G3751" s="1083">
        <f t="shared" si="2"/>
        <v>63.02</v>
      </c>
      <c r="H3751" s="1084"/>
    </row>
    <row r="3752" ht="14.25" customHeight="1">
      <c r="A3752" s="1085">
        <v>20045.0</v>
      </c>
      <c r="B3752" s="1086" t="s">
        <v>9069</v>
      </c>
      <c r="C3752" s="1087" t="s">
        <v>1788</v>
      </c>
      <c r="D3752" s="1088">
        <v>10.63</v>
      </c>
      <c r="E3752" s="1089" t="s">
        <v>5308</v>
      </c>
      <c r="F3752" s="1081">
        <f t="shared" si="1"/>
        <v>0</v>
      </c>
      <c r="G3752" s="1083">
        <f t="shared" si="2"/>
        <v>10.63</v>
      </c>
      <c r="H3752" s="1084"/>
    </row>
    <row r="3753" ht="14.25" customHeight="1">
      <c r="A3753" s="1085">
        <v>20972.0</v>
      </c>
      <c r="B3753" s="1086" t="s">
        <v>9070</v>
      </c>
      <c r="C3753" s="1087" t="s">
        <v>1788</v>
      </c>
      <c r="D3753" s="1088">
        <v>182.14</v>
      </c>
      <c r="E3753" s="1089" t="s">
        <v>5308</v>
      </c>
      <c r="F3753" s="1081">
        <f t="shared" si="1"/>
        <v>0</v>
      </c>
      <c r="G3753" s="1083">
        <f t="shared" si="2"/>
        <v>182.14</v>
      </c>
      <c r="H3753" s="1084"/>
    </row>
    <row r="3754" ht="14.25" customHeight="1">
      <c r="A3754" s="1085">
        <v>11321.0</v>
      </c>
      <c r="B3754" s="1086" t="s">
        <v>9071</v>
      </c>
      <c r="C3754" s="1087" t="s">
        <v>1788</v>
      </c>
      <c r="D3754" s="1088">
        <v>28.42</v>
      </c>
      <c r="E3754" s="1089" t="s">
        <v>5308</v>
      </c>
      <c r="F3754" s="1081">
        <f t="shared" si="1"/>
        <v>0</v>
      </c>
      <c r="G3754" s="1083">
        <f t="shared" si="2"/>
        <v>28.42</v>
      </c>
      <c r="H3754" s="1084"/>
    </row>
    <row r="3755" ht="14.25" customHeight="1">
      <c r="A3755" s="1085">
        <v>11323.0</v>
      </c>
      <c r="B3755" s="1086" t="s">
        <v>9072</v>
      </c>
      <c r="C3755" s="1087" t="s">
        <v>1788</v>
      </c>
      <c r="D3755" s="1088">
        <v>32.69</v>
      </c>
      <c r="E3755" s="1089" t="s">
        <v>5308</v>
      </c>
      <c r="F3755" s="1081">
        <f t="shared" si="1"/>
        <v>0</v>
      </c>
      <c r="G3755" s="1083">
        <f t="shared" si="2"/>
        <v>32.69</v>
      </c>
      <c r="H3755" s="1084"/>
    </row>
    <row r="3756" ht="14.25" customHeight="1">
      <c r="A3756" s="1085">
        <v>20327.0</v>
      </c>
      <c r="B3756" s="1086" t="s">
        <v>9073</v>
      </c>
      <c r="C3756" s="1087" t="s">
        <v>1788</v>
      </c>
      <c r="D3756" s="1088">
        <v>18.55</v>
      </c>
      <c r="E3756" s="1089" t="s">
        <v>5308</v>
      </c>
      <c r="F3756" s="1081">
        <f t="shared" si="1"/>
        <v>0</v>
      </c>
      <c r="G3756" s="1083">
        <f t="shared" si="2"/>
        <v>18.55</v>
      </c>
      <c r="H3756" s="1084"/>
    </row>
    <row r="3757" ht="14.25" customHeight="1">
      <c r="A3757" s="1085">
        <v>13390.0</v>
      </c>
      <c r="B3757" s="1086" t="s">
        <v>9074</v>
      </c>
      <c r="C3757" s="1087" t="s">
        <v>1788</v>
      </c>
      <c r="D3757" s="1088">
        <v>136.92</v>
      </c>
      <c r="E3757" s="1089" t="s">
        <v>5308</v>
      </c>
      <c r="F3757" s="1081">
        <f t="shared" si="1"/>
        <v>0</v>
      </c>
      <c r="G3757" s="1083">
        <f t="shared" si="2"/>
        <v>136.92</v>
      </c>
      <c r="H3757" s="1084"/>
    </row>
    <row r="3758" ht="14.25" customHeight="1">
      <c r="A3758" s="1085">
        <v>6034.0</v>
      </c>
      <c r="B3758" s="1086" t="s">
        <v>9075</v>
      </c>
      <c r="C3758" s="1087" t="s">
        <v>1788</v>
      </c>
      <c r="D3758" s="1088">
        <v>13.06</v>
      </c>
      <c r="E3758" s="1089" t="s">
        <v>5308</v>
      </c>
      <c r="F3758" s="1081">
        <f t="shared" si="1"/>
        <v>0</v>
      </c>
      <c r="G3758" s="1083">
        <f t="shared" si="2"/>
        <v>13.06</v>
      </c>
      <c r="H3758" s="1084"/>
    </row>
    <row r="3759" ht="14.25" customHeight="1">
      <c r="A3759" s="1085">
        <v>6036.0</v>
      </c>
      <c r="B3759" s="1086" t="s">
        <v>9076</v>
      </c>
      <c r="C3759" s="1087" t="s">
        <v>1788</v>
      </c>
      <c r="D3759" s="1088">
        <v>17.78</v>
      </c>
      <c r="E3759" s="1089" t="s">
        <v>5308</v>
      </c>
      <c r="F3759" s="1081">
        <f t="shared" si="1"/>
        <v>0</v>
      </c>
      <c r="G3759" s="1083">
        <f t="shared" si="2"/>
        <v>17.78</v>
      </c>
      <c r="H3759" s="1084"/>
    </row>
    <row r="3760" ht="14.25" customHeight="1">
      <c r="A3760" s="1085">
        <v>6031.0</v>
      </c>
      <c r="B3760" s="1086" t="s">
        <v>9077</v>
      </c>
      <c r="C3760" s="1087" t="s">
        <v>1788</v>
      </c>
      <c r="D3760" s="1088">
        <v>20.9</v>
      </c>
      <c r="E3760" s="1089" t="s">
        <v>5308</v>
      </c>
      <c r="F3760" s="1081">
        <f t="shared" si="1"/>
        <v>0</v>
      </c>
      <c r="G3760" s="1083">
        <f t="shared" si="2"/>
        <v>20.9</v>
      </c>
      <c r="H3760" s="1084"/>
    </row>
    <row r="3761" ht="14.25" customHeight="1">
      <c r="A3761" s="1085">
        <v>6029.0</v>
      </c>
      <c r="B3761" s="1086" t="s">
        <v>9078</v>
      </c>
      <c r="C3761" s="1087" t="s">
        <v>1788</v>
      </c>
      <c r="D3761" s="1088">
        <v>21.12</v>
      </c>
      <c r="E3761" s="1089" t="s">
        <v>5308</v>
      </c>
      <c r="F3761" s="1081">
        <f t="shared" si="1"/>
        <v>0</v>
      </c>
      <c r="G3761" s="1083">
        <f t="shared" si="2"/>
        <v>21.12</v>
      </c>
      <c r="H3761" s="1084"/>
    </row>
    <row r="3762" ht="14.25" customHeight="1">
      <c r="A3762" s="1085">
        <v>6033.0</v>
      </c>
      <c r="B3762" s="1086" t="s">
        <v>9079</v>
      </c>
      <c r="C3762" s="1087" t="s">
        <v>1788</v>
      </c>
      <c r="D3762" s="1088">
        <v>27.84</v>
      </c>
      <c r="E3762" s="1089" t="s">
        <v>5308</v>
      </c>
      <c r="F3762" s="1081">
        <f t="shared" si="1"/>
        <v>0</v>
      </c>
      <c r="G3762" s="1083">
        <f t="shared" si="2"/>
        <v>27.84</v>
      </c>
      <c r="H3762" s="1084"/>
    </row>
    <row r="3763" ht="14.25" customHeight="1">
      <c r="A3763" s="1085">
        <v>11672.0</v>
      </c>
      <c r="B3763" s="1086" t="s">
        <v>9080</v>
      </c>
      <c r="C3763" s="1087" t="s">
        <v>1788</v>
      </c>
      <c r="D3763" s="1088">
        <v>60.56</v>
      </c>
      <c r="E3763" s="1089" t="s">
        <v>5308</v>
      </c>
      <c r="F3763" s="1081">
        <f t="shared" si="1"/>
        <v>0</v>
      </c>
      <c r="G3763" s="1083">
        <f t="shared" si="2"/>
        <v>60.56</v>
      </c>
      <c r="H3763" s="1084"/>
    </row>
    <row r="3764" ht="14.25" customHeight="1">
      <c r="A3764" s="1085">
        <v>11669.0</v>
      </c>
      <c r="B3764" s="1086" t="s">
        <v>9081</v>
      </c>
      <c r="C3764" s="1087" t="s">
        <v>1788</v>
      </c>
      <c r="D3764" s="1088">
        <v>57.67</v>
      </c>
      <c r="E3764" s="1089" t="s">
        <v>5308</v>
      </c>
      <c r="F3764" s="1081">
        <f t="shared" si="1"/>
        <v>0</v>
      </c>
      <c r="G3764" s="1083">
        <f t="shared" si="2"/>
        <v>57.67</v>
      </c>
      <c r="H3764" s="1084"/>
    </row>
    <row r="3765" ht="14.25" customHeight="1">
      <c r="A3765" s="1085">
        <v>11670.0</v>
      </c>
      <c r="B3765" s="1086" t="s">
        <v>9082</v>
      </c>
      <c r="C3765" s="1087" t="s">
        <v>1788</v>
      </c>
      <c r="D3765" s="1088">
        <v>22.09</v>
      </c>
      <c r="E3765" s="1089" t="s">
        <v>5308</v>
      </c>
      <c r="F3765" s="1081">
        <f t="shared" si="1"/>
        <v>0</v>
      </c>
      <c r="G3765" s="1083">
        <f t="shared" si="2"/>
        <v>22.09</v>
      </c>
      <c r="H3765" s="1084"/>
    </row>
    <row r="3766" ht="14.25" customHeight="1">
      <c r="A3766" s="1085">
        <v>20055.0</v>
      </c>
      <c r="B3766" s="1086" t="s">
        <v>9083</v>
      </c>
      <c r="C3766" s="1087" t="s">
        <v>1788</v>
      </c>
      <c r="D3766" s="1088">
        <v>43.19</v>
      </c>
      <c r="E3766" s="1089" t="s">
        <v>5308</v>
      </c>
      <c r="F3766" s="1081">
        <f t="shared" si="1"/>
        <v>0</v>
      </c>
      <c r="G3766" s="1083">
        <f t="shared" si="2"/>
        <v>43.19</v>
      </c>
      <c r="H3766" s="1084"/>
    </row>
    <row r="3767" ht="14.25" customHeight="1">
      <c r="A3767" s="1085">
        <v>11671.0</v>
      </c>
      <c r="B3767" s="1086" t="s">
        <v>9084</v>
      </c>
      <c r="C3767" s="1087" t="s">
        <v>1788</v>
      </c>
      <c r="D3767" s="1088">
        <v>92.68</v>
      </c>
      <c r="E3767" s="1089" t="s">
        <v>5308</v>
      </c>
      <c r="F3767" s="1081">
        <f t="shared" si="1"/>
        <v>0</v>
      </c>
      <c r="G3767" s="1083">
        <f t="shared" si="2"/>
        <v>92.68</v>
      </c>
      <c r="H3767" s="1084"/>
    </row>
    <row r="3768" ht="14.25" customHeight="1">
      <c r="A3768" s="1085">
        <v>6032.0</v>
      </c>
      <c r="B3768" s="1086" t="s">
        <v>9085</v>
      </c>
      <c r="C3768" s="1087" t="s">
        <v>1788</v>
      </c>
      <c r="D3768" s="1088">
        <v>26.47</v>
      </c>
      <c r="E3768" s="1089" t="s">
        <v>5308</v>
      </c>
      <c r="F3768" s="1081">
        <f t="shared" si="1"/>
        <v>0</v>
      </c>
      <c r="G3768" s="1083">
        <f t="shared" si="2"/>
        <v>26.47</v>
      </c>
      <c r="H3768" s="1084"/>
    </row>
    <row r="3769" ht="14.25" customHeight="1">
      <c r="A3769" s="1085">
        <v>11673.0</v>
      </c>
      <c r="B3769" s="1086" t="s">
        <v>9086</v>
      </c>
      <c r="C3769" s="1087" t="s">
        <v>1788</v>
      </c>
      <c r="D3769" s="1088">
        <v>20.85</v>
      </c>
      <c r="E3769" s="1089" t="s">
        <v>5308</v>
      </c>
      <c r="F3769" s="1081">
        <f t="shared" si="1"/>
        <v>0</v>
      </c>
      <c r="G3769" s="1083">
        <f t="shared" si="2"/>
        <v>20.85</v>
      </c>
      <c r="H3769" s="1084"/>
    </row>
    <row r="3770" ht="14.25" customHeight="1">
      <c r="A3770" s="1085">
        <v>11674.0</v>
      </c>
      <c r="B3770" s="1086" t="s">
        <v>9087</v>
      </c>
      <c r="C3770" s="1087" t="s">
        <v>1788</v>
      </c>
      <c r="D3770" s="1088">
        <v>26.84</v>
      </c>
      <c r="E3770" s="1089" t="s">
        <v>5308</v>
      </c>
      <c r="F3770" s="1081">
        <f t="shared" si="1"/>
        <v>0</v>
      </c>
      <c r="G3770" s="1083">
        <f t="shared" si="2"/>
        <v>26.84</v>
      </c>
      <c r="H3770" s="1084"/>
    </row>
    <row r="3771" ht="14.25" customHeight="1">
      <c r="A3771" s="1085">
        <v>11675.0</v>
      </c>
      <c r="B3771" s="1086" t="s">
        <v>9088</v>
      </c>
      <c r="C3771" s="1087" t="s">
        <v>1788</v>
      </c>
      <c r="D3771" s="1088">
        <v>42.62</v>
      </c>
      <c r="E3771" s="1089" t="s">
        <v>5308</v>
      </c>
      <c r="F3771" s="1081">
        <f t="shared" si="1"/>
        <v>0</v>
      </c>
      <c r="G3771" s="1083">
        <f t="shared" si="2"/>
        <v>42.62</v>
      </c>
      <c r="H3771" s="1084"/>
    </row>
    <row r="3772" ht="14.25" customHeight="1">
      <c r="A3772" s="1085">
        <v>11676.0</v>
      </c>
      <c r="B3772" s="1086" t="s">
        <v>9089</v>
      </c>
      <c r="C3772" s="1087" t="s">
        <v>1788</v>
      </c>
      <c r="D3772" s="1088">
        <v>57.0</v>
      </c>
      <c r="E3772" s="1089" t="s">
        <v>5308</v>
      </c>
      <c r="F3772" s="1081">
        <f t="shared" si="1"/>
        <v>0</v>
      </c>
      <c r="G3772" s="1083">
        <f t="shared" si="2"/>
        <v>57</v>
      </c>
      <c r="H3772" s="1084"/>
    </row>
    <row r="3773" ht="14.25" customHeight="1">
      <c r="A3773" s="1085">
        <v>11677.0</v>
      </c>
      <c r="B3773" s="1086" t="s">
        <v>9090</v>
      </c>
      <c r="C3773" s="1087" t="s">
        <v>1788</v>
      </c>
      <c r="D3773" s="1088">
        <v>58.86</v>
      </c>
      <c r="E3773" s="1089" t="s">
        <v>5308</v>
      </c>
      <c r="F3773" s="1081">
        <f t="shared" si="1"/>
        <v>0</v>
      </c>
      <c r="G3773" s="1083">
        <f t="shared" si="2"/>
        <v>58.86</v>
      </c>
      <c r="H3773" s="1084"/>
    </row>
    <row r="3774" ht="14.25" customHeight="1">
      <c r="A3774" s="1085">
        <v>11678.0</v>
      </c>
      <c r="B3774" s="1086" t="s">
        <v>9091</v>
      </c>
      <c r="C3774" s="1087" t="s">
        <v>1788</v>
      </c>
      <c r="D3774" s="1088">
        <v>107.8</v>
      </c>
      <c r="E3774" s="1089" t="s">
        <v>5308</v>
      </c>
      <c r="F3774" s="1081">
        <f t="shared" si="1"/>
        <v>0</v>
      </c>
      <c r="G3774" s="1083">
        <f t="shared" si="2"/>
        <v>107.8</v>
      </c>
      <c r="H3774" s="1084"/>
    </row>
    <row r="3775" ht="14.25" customHeight="1">
      <c r="A3775" s="1085">
        <v>6038.0</v>
      </c>
      <c r="B3775" s="1086" t="s">
        <v>9092</v>
      </c>
      <c r="C3775" s="1087" t="s">
        <v>1788</v>
      </c>
      <c r="D3775" s="1088">
        <v>6.84</v>
      </c>
      <c r="E3775" s="1089" t="s">
        <v>5308</v>
      </c>
      <c r="F3775" s="1081">
        <f t="shared" si="1"/>
        <v>0</v>
      </c>
      <c r="G3775" s="1083">
        <f t="shared" si="2"/>
        <v>6.84</v>
      </c>
      <c r="H3775" s="1084"/>
    </row>
    <row r="3776" ht="14.25" customHeight="1">
      <c r="A3776" s="1085">
        <v>11718.0</v>
      </c>
      <c r="B3776" s="1086" t="s">
        <v>9093</v>
      </c>
      <c r="C3776" s="1087" t="s">
        <v>1788</v>
      </c>
      <c r="D3776" s="1088">
        <v>19.5</v>
      </c>
      <c r="E3776" s="1089" t="s">
        <v>5308</v>
      </c>
      <c r="F3776" s="1081">
        <f t="shared" si="1"/>
        <v>0</v>
      </c>
      <c r="G3776" s="1083">
        <f t="shared" si="2"/>
        <v>19.5</v>
      </c>
      <c r="H3776" s="1084"/>
    </row>
    <row r="3777" ht="14.25" customHeight="1">
      <c r="A3777" s="1085">
        <v>6037.0</v>
      </c>
      <c r="B3777" s="1086" t="s">
        <v>9094</v>
      </c>
      <c r="C3777" s="1087" t="s">
        <v>1788</v>
      </c>
      <c r="D3777" s="1088">
        <v>14.23</v>
      </c>
      <c r="E3777" s="1089" t="s">
        <v>5308</v>
      </c>
      <c r="F3777" s="1081">
        <f t="shared" si="1"/>
        <v>0</v>
      </c>
      <c r="G3777" s="1083">
        <f t="shared" si="2"/>
        <v>14.23</v>
      </c>
      <c r="H3777" s="1084"/>
    </row>
    <row r="3778" ht="14.25" customHeight="1">
      <c r="A3778" s="1085">
        <v>11719.0</v>
      </c>
      <c r="B3778" s="1086" t="s">
        <v>9095</v>
      </c>
      <c r="C3778" s="1087" t="s">
        <v>1788</v>
      </c>
      <c r="D3778" s="1088">
        <v>15.82</v>
      </c>
      <c r="E3778" s="1089" t="s">
        <v>5308</v>
      </c>
      <c r="F3778" s="1081">
        <f t="shared" si="1"/>
        <v>0</v>
      </c>
      <c r="G3778" s="1083">
        <f t="shared" si="2"/>
        <v>15.82</v>
      </c>
      <c r="H3778" s="1084"/>
    </row>
    <row r="3779" ht="14.25" customHeight="1">
      <c r="A3779" s="1085">
        <v>6019.0</v>
      </c>
      <c r="B3779" s="1086" t="s">
        <v>9096</v>
      </c>
      <c r="C3779" s="1087" t="s">
        <v>1788</v>
      </c>
      <c r="D3779" s="1088">
        <v>60.79</v>
      </c>
      <c r="E3779" s="1089" t="s">
        <v>5308</v>
      </c>
      <c r="F3779" s="1081">
        <f t="shared" si="1"/>
        <v>0</v>
      </c>
      <c r="G3779" s="1083">
        <f t="shared" si="2"/>
        <v>60.79</v>
      </c>
      <c r="H3779" s="1084"/>
    </row>
    <row r="3780" ht="14.25" customHeight="1">
      <c r="A3780" s="1085">
        <v>6010.0</v>
      </c>
      <c r="B3780" s="1086" t="s">
        <v>9097</v>
      </c>
      <c r="C3780" s="1087" t="s">
        <v>1788</v>
      </c>
      <c r="D3780" s="1088">
        <v>104.59</v>
      </c>
      <c r="E3780" s="1089" t="s">
        <v>5308</v>
      </c>
      <c r="F3780" s="1081">
        <f t="shared" si="1"/>
        <v>0</v>
      </c>
      <c r="G3780" s="1083">
        <f t="shared" si="2"/>
        <v>104.59</v>
      </c>
      <c r="H3780" s="1084"/>
    </row>
    <row r="3781" ht="14.25" customHeight="1">
      <c r="A3781" s="1085">
        <v>6017.0</v>
      </c>
      <c r="B3781" s="1086" t="s">
        <v>9098</v>
      </c>
      <c r="C3781" s="1087" t="s">
        <v>1788</v>
      </c>
      <c r="D3781" s="1088">
        <v>82.84</v>
      </c>
      <c r="E3781" s="1089" t="s">
        <v>5308</v>
      </c>
      <c r="F3781" s="1081">
        <f t="shared" si="1"/>
        <v>0</v>
      </c>
      <c r="G3781" s="1083">
        <f t="shared" si="2"/>
        <v>82.84</v>
      </c>
      <c r="H3781" s="1084"/>
    </row>
    <row r="3782" ht="14.25" customHeight="1">
      <c r="A3782" s="1085">
        <v>6020.0</v>
      </c>
      <c r="B3782" s="1086" t="s">
        <v>9099</v>
      </c>
      <c r="C3782" s="1087" t="s">
        <v>1788</v>
      </c>
      <c r="D3782" s="1088">
        <v>36.51</v>
      </c>
      <c r="E3782" s="1089" t="s">
        <v>5308</v>
      </c>
      <c r="F3782" s="1081">
        <f t="shared" si="1"/>
        <v>0</v>
      </c>
      <c r="G3782" s="1083">
        <f t="shared" si="2"/>
        <v>36.51</v>
      </c>
      <c r="H3782" s="1084"/>
    </row>
    <row r="3783" ht="14.25" customHeight="1">
      <c r="A3783" s="1085">
        <v>6028.0</v>
      </c>
      <c r="B3783" s="1086" t="s">
        <v>9100</v>
      </c>
      <c r="C3783" s="1087" t="s">
        <v>1788</v>
      </c>
      <c r="D3783" s="1088">
        <v>145.68</v>
      </c>
      <c r="E3783" s="1089" t="s">
        <v>5308</v>
      </c>
      <c r="F3783" s="1081">
        <f t="shared" si="1"/>
        <v>0</v>
      </c>
      <c r="G3783" s="1083">
        <f t="shared" si="2"/>
        <v>145.68</v>
      </c>
      <c r="H3783" s="1084"/>
    </row>
    <row r="3784" ht="14.25" customHeight="1">
      <c r="A3784" s="1085">
        <v>6011.0</v>
      </c>
      <c r="B3784" s="1086" t="s">
        <v>9101</v>
      </c>
      <c r="C3784" s="1087" t="s">
        <v>1788</v>
      </c>
      <c r="D3784" s="1088">
        <v>302.13</v>
      </c>
      <c r="E3784" s="1089" t="s">
        <v>5308</v>
      </c>
      <c r="F3784" s="1081">
        <f t="shared" si="1"/>
        <v>0</v>
      </c>
      <c r="G3784" s="1083">
        <f t="shared" si="2"/>
        <v>302.13</v>
      </c>
      <c r="H3784" s="1084"/>
    </row>
    <row r="3785" ht="14.25" customHeight="1">
      <c r="A3785" s="1085">
        <v>6012.0</v>
      </c>
      <c r="B3785" s="1086" t="s">
        <v>9102</v>
      </c>
      <c r="C3785" s="1087" t="s">
        <v>1788</v>
      </c>
      <c r="D3785" s="1088">
        <v>365.78</v>
      </c>
      <c r="E3785" s="1089" t="s">
        <v>5308</v>
      </c>
      <c r="F3785" s="1081">
        <f t="shared" si="1"/>
        <v>0</v>
      </c>
      <c r="G3785" s="1083">
        <f t="shared" si="2"/>
        <v>365.78</v>
      </c>
      <c r="H3785" s="1084"/>
    </row>
    <row r="3786" ht="14.25" customHeight="1">
      <c r="A3786" s="1085">
        <v>6016.0</v>
      </c>
      <c r="B3786" s="1086" t="s">
        <v>9103</v>
      </c>
      <c r="C3786" s="1087" t="s">
        <v>1788</v>
      </c>
      <c r="D3786" s="1088">
        <v>38.51</v>
      </c>
      <c r="E3786" s="1089" t="s">
        <v>5308</v>
      </c>
      <c r="F3786" s="1081">
        <f t="shared" si="1"/>
        <v>0</v>
      </c>
      <c r="G3786" s="1083">
        <f t="shared" si="2"/>
        <v>38.51</v>
      </c>
      <c r="H3786" s="1084"/>
    </row>
    <row r="3787" ht="14.25" customHeight="1">
      <c r="A3787" s="1085">
        <v>6027.0</v>
      </c>
      <c r="B3787" s="1086" t="s">
        <v>9104</v>
      </c>
      <c r="C3787" s="1087" t="s">
        <v>1788</v>
      </c>
      <c r="D3787" s="1088">
        <v>762.16</v>
      </c>
      <c r="E3787" s="1089" t="s">
        <v>5308</v>
      </c>
      <c r="F3787" s="1081">
        <f t="shared" si="1"/>
        <v>0</v>
      </c>
      <c r="G3787" s="1083">
        <f t="shared" si="2"/>
        <v>762.16</v>
      </c>
      <c r="H3787" s="1084"/>
    </row>
    <row r="3788" ht="14.25" customHeight="1">
      <c r="A3788" s="1085">
        <v>6013.0</v>
      </c>
      <c r="B3788" s="1086" t="s">
        <v>9105</v>
      </c>
      <c r="C3788" s="1087" t="s">
        <v>1788</v>
      </c>
      <c r="D3788" s="1088">
        <v>115.01</v>
      </c>
      <c r="E3788" s="1089" t="s">
        <v>5308</v>
      </c>
      <c r="F3788" s="1081">
        <f t="shared" si="1"/>
        <v>0</v>
      </c>
      <c r="G3788" s="1083">
        <f t="shared" si="2"/>
        <v>115.01</v>
      </c>
      <c r="H3788" s="1084"/>
    </row>
    <row r="3789" ht="14.25" customHeight="1">
      <c r="A3789" s="1085">
        <v>6015.0</v>
      </c>
      <c r="B3789" s="1086" t="s">
        <v>9106</v>
      </c>
      <c r="C3789" s="1087" t="s">
        <v>1788</v>
      </c>
      <c r="D3789" s="1088">
        <v>167.24</v>
      </c>
      <c r="E3789" s="1089" t="s">
        <v>5308</v>
      </c>
      <c r="F3789" s="1081">
        <f t="shared" si="1"/>
        <v>0</v>
      </c>
      <c r="G3789" s="1083">
        <f t="shared" si="2"/>
        <v>167.24</v>
      </c>
      <c r="H3789" s="1084"/>
    </row>
    <row r="3790" ht="14.25" customHeight="1">
      <c r="A3790" s="1085">
        <v>6014.0</v>
      </c>
      <c r="B3790" s="1086" t="s">
        <v>9107</v>
      </c>
      <c r="C3790" s="1087" t="s">
        <v>1788</v>
      </c>
      <c r="D3790" s="1088">
        <v>159.9</v>
      </c>
      <c r="E3790" s="1089" t="s">
        <v>5308</v>
      </c>
      <c r="F3790" s="1081">
        <f t="shared" si="1"/>
        <v>0</v>
      </c>
      <c r="G3790" s="1083">
        <f t="shared" si="2"/>
        <v>159.9</v>
      </c>
      <c r="H3790" s="1084"/>
    </row>
    <row r="3791" ht="14.25" customHeight="1">
      <c r="A3791" s="1085">
        <v>6006.0</v>
      </c>
      <c r="B3791" s="1086" t="s">
        <v>9108</v>
      </c>
      <c r="C3791" s="1087" t="s">
        <v>1788</v>
      </c>
      <c r="D3791" s="1088">
        <v>83.28</v>
      </c>
      <c r="E3791" s="1089" t="s">
        <v>5308</v>
      </c>
      <c r="F3791" s="1081">
        <f t="shared" si="1"/>
        <v>0</v>
      </c>
      <c r="G3791" s="1083">
        <f t="shared" si="2"/>
        <v>83.28</v>
      </c>
      <c r="H3791" s="1084"/>
    </row>
    <row r="3792" ht="14.25" customHeight="1">
      <c r="A3792" s="1085">
        <v>6005.0</v>
      </c>
      <c r="B3792" s="1086" t="s">
        <v>9109</v>
      </c>
      <c r="C3792" s="1087" t="s">
        <v>1788</v>
      </c>
      <c r="D3792" s="1088">
        <v>93.95</v>
      </c>
      <c r="E3792" s="1089" t="s">
        <v>5308</v>
      </c>
      <c r="F3792" s="1081">
        <f t="shared" si="1"/>
        <v>0</v>
      </c>
      <c r="G3792" s="1083">
        <f t="shared" si="2"/>
        <v>93.95</v>
      </c>
      <c r="H3792" s="1084"/>
    </row>
    <row r="3793" ht="14.25" customHeight="1">
      <c r="A3793" s="1085">
        <v>11756.0</v>
      </c>
      <c r="B3793" s="1086" t="s">
        <v>9110</v>
      </c>
      <c r="C3793" s="1087" t="s">
        <v>1788</v>
      </c>
      <c r="D3793" s="1088">
        <v>44.87</v>
      </c>
      <c r="E3793" s="1089" t="s">
        <v>5308</v>
      </c>
      <c r="F3793" s="1081">
        <f t="shared" si="1"/>
        <v>0</v>
      </c>
      <c r="G3793" s="1083">
        <f t="shared" si="2"/>
        <v>44.87</v>
      </c>
      <c r="H3793" s="1084"/>
    </row>
    <row r="3794" ht="14.25" customHeight="1">
      <c r="A3794" s="1085">
        <v>10904.0</v>
      </c>
      <c r="B3794" s="1086" t="s">
        <v>9111</v>
      </c>
      <c r="C3794" s="1087" t="s">
        <v>1788</v>
      </c>
      <c r="D3794" s="1088">
        <v>255.0</v>
      </c>
      <c r="E3794" s="1089" t="s">
        <v>5308</v>
      </c>
      <c r="F3794" s="1081">
        <f t="shared" si="1"/>
        <v>0</v>
      </c>
      <c r="G3794" s="1083">
        <f t="shared" si="2"/>
        <v>255</v>
      </c>
      <c r="H3794" s="1084"/>
    </row>
    <row r="3795" ht="14.25" customHeight="1">
      <c r="A3795" s="1085">
        <v>11752.0</v>
      </c>
      <c r="B3795" s="1086" t="s">
        <v>9112</v>
      </c>
      <c r="C3795" s="1087" t="s">
        <v>1788</v>
      </c>
      <c r="D3795" s="1088">
        <v>25.87</v>
      </c>
      <c r="E3795" s="1089" t="s">
        <v>5308</v>
      </c>
      <c r="F3795" s="1081">
        <f t="shared" si="1"/>
        <v>0</v>
      </c>
      <c r="G3795" s="1083">
        <f t="shared" si="2"/>
        <v>25.87</v>
      </c>
      <c r="H3795" s="1084"/>
    </row>
    <row r="3796" ht="14.25" customHeight="1">
      <c r="A3796" s="1085">
        <v>11753.0</v>
      </c>
      <c r="B3796" s="1086" t="s">
        <v>9113</v>
      </c>
      <c r="C3796" s="1087" t="s">
        <v>1788</v>
      </c>
      <c r="D3796" s="1088">
        <v>30.89</v>
      </c>
      <c r="E3796" s="1089" t="s">
        <v>5308</v>
      </c>
      <c r="F3796" s="1081">
        <f t="shared" si="1"/>
        <v>0</v>
      </c>
      <c r="G3796" s="1083">
        <f t="shared" si="2"/>
        <v>30.89</v>
      </c>
      <c r="H3796" s="1084"/>
    </row>
    <row r="3797" ht="14.25" customHeight="1">
      <c r="A3797" s="1085">
        <v>6021.0</v>
      </c>
      <c r="B3797" s="1086" t="s">
        <v>9114</v>
      </c>
      <c r="C3797" s="1087" t="s">
        <v>1788</v>
      </c>
      <c r="D3797" s="1088">
        <v>85.72</v>
      </c>
      <c r="E3797" s="1089" t="s">
        <v>5308</v>
      </c>
      <c r="F3797" s="1081">
        <f t="shared" si="1"/>
        <v>0</v>
      </c>
      <c r="G3797" s="1083">
        <f t="shared" si="2"/>
        <v>85.72</v>
      </c>
      <c r="H3797" s="1084"/>
    </row>
    <row r="3798" ht="14.25" customHeight="1">
      <c r="A3798" s="1085">
        <v>6024.0</v>
      </c>
      <c r="B3798" s="1086" t="s">
        <v>9115</v>
      </c>
      <c r="C3798" s="1087" t="s">
        <v>1788</v>
      </c>
      <c r="D3798" s="1088">
        <v>88.61</v>
      </c>
      <c r="E3798" s="1089" t="s">
        <v>5308</v>
      </c>
      <c r="F3798" s="1081">
        <f t="shared" si="1"/>
        <v>0</v>
      </c>
      <c r="G3798" s="1083">
        <f t="shared" si="2"/>
        <v>88.61</v>
      </c>
      <c r="H3798" s="1084"/>
    </row>
    <row r="3799" ht="14.25" customHeight="1">
      <c r="A3799" s="1085">
        <v>38379.0</v>
      </c>
      <c r="B3799" s="1086" t="s">
        <v>9116</v>
      </c>
      <c r="C3799" s="1087" t="s">
        <v>1731</v>
      </c>
      <c r="D3799" s="1088">
        <v>45.69</v>
      </c>
      <c r="E3799" s="1089" t="s">
        <v>5308</v>
      </c>
      <c r="F3799" s="1081">
        <f t="shared" si="1"/>
        <v>0</v>
      </c>
      <c r="G3799" s="1083">
        <f t="shared" si="2"/>
        <v>45.69</v>
      </c>
      <c r="H3799" s="1084"/>
    </row>
    <row r="3800" ht="14.25" customHeight="1">
      <c r="A3800" s="1085">
        <v>13897.0</v>
      </c>
      <c r="B3800" s="1086" t="s">
        <v>9117</v>
      </c>
      <c r="C3800" s="1087" t="s">
        <v>1788</v>
      </c>
      <c r="D3800" s="1088">
        <v>6869.77</v>
      </c>
      <c r="E3800" s="1089" t="s">
        <v>5482</v>
      </c>
      <c r="F3800" s="1081">
        <f t="shared" si="1"/>
        <v>0</v>
      </c>
      <c r="G3800" s="1083">
        <f t="shared" si="2"/>
        <v>6869.77</v>
      </c>
      <c r="H3800" s="1084"/>
    </row>
    <row r="3801" ht="14.25" customHeight="1">
      <c r="A3801" s="1085">
        <v>10640.0</v>
      </c>
      <c r="B3801" s="1086" t="s">
        <v>9118</v>
      </c>
      <c r="C3801" s="1087" t="s">
        <v>1788</v>
      </c>
      <c r="D3801" s="1088">
        <v>14878.49</v>
      </c>
      <c r="E3801" s="1089" t="s">
        <v>5482</v>
      </c>
      <c r="F3801" s="1081">
        <f t="shared" si="1"/>
        <v>0</v>
      </c>
      <c r="G3801" s="1083">
        <f t="shared" si="2"/>
        <v>14878.49</v>
      </c>
      <c r="H3801" s="1084"/>
    </row>
    <row r="3802" ht="14.25" customHeight="1">
      <c r="A3802" s="1085">
        <v>34357.0</v>
      </c>
      <c r="B3802" s="1086" t="s">
        <v>9119</v>
      </c>
      <c r="C3802" s="1087" t="s">
        <v>3606</v>
      </c>
      <c r="D3802" s="1088">
        <v>4.28</v>
      </c>
      <c r="E3802" s="1089" t="s">
        <v>5308</v>
      </c>
      <c r="F3802" s="1081">
        <f t="shared" si="1"/>
        <v>0</v>
      </c>
      <c r="G3802" s="1083">
        <f t="shared" si="2"/>
        <v>4.28</v>
      </c>
      <c r="H3802" s="1084"/>
    </row>
    <row r="3803" ht="14.25" customHeight="1">
      <c r="A3803" s="1085">
        <v>37329.0</v>
      </c>
      <c r="B3803" s="1086" t="s">
        <v>9120</v>
      </c>
      <c r="C3803" s="1087" t="s">
        <v>3606</v>
      </c>
      <c r="D3803" s="1088">
        <v>90.28</v>
      </c>
      <c r="E3803" s="1089" t="s">
        <v>5308</v>
      </c>
      <c r="F3803" s="1081">
        <f t="shared" si="1"/>
        <v>0</v>
      </c>
      <c r="G3803" s="1083">
        <f t="shared" si="2"/>
        <v>90.28</v>
      </c>
      <c r="H3803" s="1084"/>
    </row>
    <row r="3804" ht="14.25" customHeight="1">
      <c r="A3804" s="1085">
        <v>2510.0</v>
      </c>
      <c r="B3804" s="1086" t="s">
        <v>9121</v>
      </c>
      <c r="C3804" s="1087" t="s">
        <v>1788</v>
      </c>
      <c r="D3804" s="1088">
        <v>34.29</v>
      </c>
      <c r="E3804" s="1089" t="s">
        <v>5308</v>
      </c>
      <c r="F3804" s="1081">
        <f t="shared" si="1"/>
        <v>0</v>
      </c>
      <c r="G3804" s="1083">
        <f t="shared" si="2"/>
        <v>34.29</v>
      </c>
      <c r="H3804" s="1084"/>
    </row>
    <row r="3805" ht="14.25" customHeight="1">
      <c r="A3805" s="1085">
        <v>12359.0</v>
      </c>
      <c r="B3805" s="1086" t="s">
        <v>9122</v>
      </c>
      <c r="C3805" s="1087" t="s">
        <v>1788</v>
      </c>
      <c r="D3805" s="1088">
        <v>108.83</v>
      </c>
      <c r="E3805" s="1089" t="s">
        <v>5308</v>
      </c>
      <c r="F3805" s="1081">
        <f t="shared" si="1"/>
        <v>0</v>
      </c>
      <c r="G3805" s="1083">
        <f t="shared" si="2"/>
        <v>108.83</v>
      </c>
      <c r="H3805" s="1084"/>
    </row>
    <row r="3806" ht="14.25" customHeight="1">
      <c r="A3806" s="1085">
        <v>7353.0</v>
      </c>
      <c r="B3806" s="1086" t="s">
        <v>9123</v>
      </c>
      <c r="C3806" s="1087" t="s">
        <v>2386</v>
      </c>
      <c r="D3806" s="1088">
        <v>30.53</v>
      </c>
      <c r="E3806" s="1089" t="s">
        <v>5308</v>
      </c>
      <c r="F3806" s="1081">
        <f t="shared" si="1"/>
        <v>0</v>
      </c>
      <c r="G3806" s="1083">
        <f t="shared" si="2"/>
        <v>30.53</v>
      </c>
      <c r="H3806" s="1084"/>
    </row>
    <row r="3807" ht="14.25" customHeight="1">
      <c r="A3807" s="1085">
        <v>36144.0</v>
      </c>
      <c r="B3807" s="1086" t="s">
        <v>9124</v>
      </c>
      <c r="C3807" s="1087" t="s">
        <v>1788</v>
      </c>
      <c r="D3807" s="1088">
        <v>1.68</v>
      </c>
      <c r="E3807" s="1089" t="s">
        <v>5308</v>
      </c>
      <c r="F3807" s="1081">
        <f t="shared" si="1"/>
        <v>0</v>
      </c>
      <c r="G3807" s="1083">
        <f t="shared" si="2"/>
        <v>1.68</v>
      </c>
      <c r="H3807" s="1084"/>
    </row>
    <row r="3808" ht="14.25" customHeight="1">
      <c r="A3808" s="1085">
        <v>10518.0</v>
      </c>
      <c r="B3808" s="1086" t="s">
        <v>9125</v>
      </c>
      <c r="C3808" s="1087" t="s">
        <v>1788</v>
      </c>
      <c r="D3808" s="1088">
        <v>119.98</v>
      </c>
      <c r="E3808" s="1089" t="s">
        <v>5308</v>
      </c>
      <c r="F3808" s="1081">
        <f t="shared" si="1"/>
        <v>0</v>
      </c>
      <c r="G3808" s="1083">
        <f t="shared" si="2"/>
        <v>119.98</v>
      </c>
      <c r="H3808" s="1084"/>
    </row>
    <row r="3809" ht="14.25" customHeight="1">
      <c r="A3809" s="1085">
        <v>36530.0</v>
      </c>
      <c r="B3809" s="1086" t="s">
        <v>9126</v>
      </c>
      <c r="C3809" s="1087" t="s">
        <v>1788</v>
      </c>
      <c r="D3809" s="1088">
        <v>396439.01</v>
      </c>
      <c r="E3809" s="1089" t="s">
        <v>5482</v>
      </c>
      <c r="F3809" s="1081">
        <f t="shared" si="1"/>
        <v>0</v>
      </c>
      <c r="G3809" s="1083">
        <f t="shared" si="2"/>
        <v>396439.01</v>
      </c>
      <c r="H3809" s="1084"/>
    </row>
    <row r="3810" ht="14.25" customHeight="1">
      <c r="A3810" s="1085">
        <v>6046.0</v>
      </c>
      <c r="B3810" s="1086" t="s">
        <v>9127</v>
      </c>
      <c r="C3810" s="1087" t="s">
        <v>1788</v>
      </c>
      <c r="D3810" s="1088">
        <v>430000.0</v>
      </c>
      <c r="E3810" s="1089" t="s">
        <v>5482</v>
      </c>
      <c r="F3810" s="1081">
        <f t="shared" si="1"/>
        <v>0</v>
      </c>
      <c r="G3810" s="1083">
        <f t="shared" si="2"/>
        <v>430000</v>
      </c>
      <c r="H3810" s="1084"/>
    </row>
    <row r="3811" ht="14.25" customHeight="1">
      <c r="A3811" s="1085">
        <v>36531.0</v>
      </c>
      <c r="B3811" s="1086" t="s">
        <v>9128</v>
      </c>
      <c r="C3811" s="1087" t="s">
        <v>1788</v>
      </c>
      <c r="D3811" s="1088">
        <v>445731.67</v>
      </c>
      <c r="E3811" s="1089" t="s">
        <v>5482</v>
      </c>
      <c r="F3811" s="1081">
        <f t="shared" si="1"/>
        <v>0</v>
      </c>
      <c r="G3811" s="1083">
        <f t="shared" si="2"/>
        <v>445731.67</v>
      </c>
      <c r="H3811" s="1084"/>
    </row>
    <row r="3812" ht="14.25" customHeight="1">
      <c r="A3812" s="1085">
        <v>34684.0</v>
      </c>
      <c r="B3812" s="1086" t="s">
        <v>9129</v>
      </c>
      <c r="C3812" s="1087" t="s">
        <v>1814</v>
      </c>
      <c r="D3812" s="1088">
        <v>256.62</v>
      </c>
      <c r="E3812" s="1089" t="s">
        <v>5308</v>
      </c>
      <c r="F3812" s="1081">
        <f t="shared" si="1"/>
        <v>0</v>
      </c>
      <c r="G3812" s="1083">
        <f t="shared" si="2"/>
        <v>256.62</v>
      </c>
      <c r="H3812" s="1084"/>
    </row>
    <row r="3813" ht="14.25" customHeight="1">
      <c r="A3813" s="1085">
        <v>34683.0</v>
      </c>
      <c r="B3813" s="1086" t="s">
        <v>9130</v>
      </c>
      <c r="C3813" s="1087" t="s">
        <v>1814</v>
      </c>
      <c r="D3813" s="1088">
        <v>160.39</v>
      </c>
      <c r="E3813" s="1089" t="s">
        <v>5308</v>
      </c>
      <c r="F3813" s="1081">
        <f t="shared" si="1"/>
        <v>0</v>
      </c>
      <c r="G3813" s="1083">
        <f t="shared" si="2"/>
        <v>160.39</v>
      </c>
      <c r="H3813" s="1084"/>
    </row>
    <row r="3814" ht="14.25" customHeight="1">
      <c r="A3814" s="1085">
        <v>533.0</v>
      </c>
      <c r="B3814" s="1086" t="s">
        <v>9131</v>
      </c>
      <c r="C3814" s="1087" t="s">
        <v>1814</v>
      </c>
      <c r="D3814" s="1088">
        <v>27.04</v>
      </c>
      <c r="E3814" s="1089" t="s">
        <v>5308</v>
      </c>
      <c r="F3814" s="1081">
        <f t="shared" si="1"/>
        <v>0</v>
      </c>
      <c r="G3814" s="1083">
        <f t="shared" si="2"/>
        <v>27.04</v>
      </c>
      <c r="H3814" s="1084"/>
    </row>
    <row r="3815" ht="14.25" customHeight="1">
      <c r="A3815" s="1085">
        <v>10515.0</v>
      </c>
      <c r="B3815" s="1086" t="s">
        <v>9132</v>
      </c>
      <c r="C3815" s="1087" t="s">
        <v>1814</v>
      </c>
      <c r="D3815" s="1088">
        <v>51.01</v>
      </c>
      <c r="E3815" s="1089" t="s">
        <v>5308</v>
      </c>
      <c r="F3815" s="1081">
        <f t="shared" si="1"/>
        <v>0</v>
      </c>
      <c r="G3815" s="1083">
        <f t="shared" si="2"/>
        <v>51.01</v>
      </c>
      <c r="H3815" s="1084"/>
    </row>
    <row r="3816" ht="14.25" customHeight="1">
      <c r="A3816" s="1085">
        <v>536.0</v>
      </c>
      <c r="B3816" s="1086" t="s">
        <v>9133</v>
      </c>
      <c r="C3816" s="1087" t="s">
        <v>1814</v>
      </c>
      <c r="D3816" s="1088">
        <v>36.9</v>
      </c>
      <c r="E3816" s="1089" t="s">
        <v>5308</v>
      </c>
      <c r="F3816" s="1081">
        <f t="shared" si="1"/>
        <v>0</v>
      </c>
      <c r="G3816" s="1083">
        <f t="shared" si="2"/>
        <v>36.9</v>
      </c>
      <c r="H3816" s="1084"/>
    </row>
    <row r="3817" ht="14.25" customHeight="1">
      <c r="A3817" s="1085">
        <v>153.0</v>
      </c>
      <c r="B3817" s="1086" t="s">
        <v>9134</v>
      </c>
      <c r="C3817" s="1087" t="s">
        <v>2386</v>
      </c>
      <c r="D3817" s="1088">
        <v>94.28</v>
      </c>
      <c r="E3817" s="1089" t="s">
        <v>5308</v>
      </c>
      <c r="F3817" s="1081">
        <f t="shared" si="1"/>
        <v>0</v>
      </c>
      <c r="G3817" s="1083">
        <f t="shared" si="2"/>
        <v>94.28</v>
      </c>
      <c r="H3817" s="1084"/>
    </row>
    <row r="3818" ht="14.25" customHeight="1">
      <c r="A3818" s="1085">
        <v>34682.0</v>
      </c>
      <c r="B3818" s="1086" t="s">
        <v>9135</v>
      </c>
      <c r="C3818" s="1087" t="s">
        <v>1814</v>
      </c>
      <c r="D3818" s="1088">
        <v>122.65</v>
      </c>
      <c r="E3818" s="1089" t="s">
        <v>5308</v>
      </c>
      <c r="F3818" s="1081">
        <f t="shared" si="1"/>
        <v>0</v>
      </c>
      <c r="G3818" s="1083">
        <f t="shared" si="2"/>
        <v>122.65</v>
      </c>
      <c r="H3818" s="1084"/>
    </row>
    <row r="3819" ht="14.25" customHeight="1">
      <c r="A3819" s="1085">
        <v>20205.0</v>
      </c>
      <c r="B3819" s="1086" t="s">
        <v>9136</v>
      </c>
      <c r="C3819" s="1087" t="s">
        <v>1731</v>
      </c>
      <c r="D3819" s="1088">
        <v>4.68</v>
      </c>
      <c r="E3819" s="1089" t="s">
        <v>5308</v>
      </c>
      <c r="F3819" s="1081">
        <f t="shared" si="1"/>
        <v>0</v>
      </c>
      <c r="G3819" s="1083">
        <f t="shared" si="2"/>
        <v>4.68</v>
      </c>
      <c r="H3819" s="1084"/>
    </row>
    <row r="3820" ht="14.25" customHeight="1">
      <c r="A3820" s="1085">
        <v>4412.0</v>
      </c>
      <c r="B3820" s="1086" t="s">
        <v>9137</v>
      </c>
      <c r="C3820" s="1087" t="s">
        <v>1731</v>
      </c>
      <c r="D3820" s="1088">
        <v>2.81</v>
      </c>
      <c r="E3820" s="1089" t="s">
        <v>5308</v>
      </c>
      <c r="F3820" s="1081">
        <f t="shared" si="1"/>
        <v>0</v>
      </c>
      <c r="G3820" s="1083">
        <f t="shared" si="2"/>
        <v>2.81</v>
      </c>
      <c r="H3820" s="1084"/>
    </row>
    <row r="3821" ht="14.25" customHeight="1">
      <c r="A3821" s="1085">
        <v>4408.0</v>
      </c>
      <c r="B3821" s="1086" t="s">
        <v>9138</v>
      </c>
      <c r="C3821" s="1087" t="s">
        <v>1731</v>
      </c>
      <c r="D3821" s="1088">
        <v>3.5</v>
      </c>
      <c r="E3821" s="1089" t="s">
        <v>5308</v>
      </c>
      <c r="F3821" s="1081">
        <f t="shared" si="1"/>
        <v>0</v>
      </c>
      <c r="G3821" s="1083">
        <f t="shared" si="2"/>
        <v>3.5</v>
      </c>
      <c r="H3821" s="1084"/>
    </row>
    <row r="3822" ht="14.25" customHeight="1">
      <c r="A3822" s="1085">
        <v>36250.0</v>
      </c>
      <c r="B3822" s="1086" t="s">
        <v>9139</v>
      </c>
      <c r="C3822" s="1087" t="s">
        <v>1731</v>
      </c>
      <c r="D3822" s="1088">
        <v>6.96</v>
      </c>
      <c r="E3822" s="1089" t="s">
        <v>5308</v>
      </c>
      <c r="F3822" s="1081">
        <f t="shared" si="1"/>
        <v>0</v>
      </c>
      <c r="G3822" s="1083">
        <f t="shared" si="2"/>
        <v>6.96</v>
      </c>
      <c r="H3822" s="1084"/>
    </row>
    <row r="3823" ht="14.25" customHeight="1">
      <c r="A3823" s="1085">
        <v>10857.0</v>
      </c>
      <c r="B3823" s="1086" t="s">
        <v>9140</v>
      </c>
      <c r="C3823" s="1087" t="s">
        <v>1731</v>
      </c>
      <c r="D3823" s="1088">
        <v>14.56</v>
      </c>
      <c r="E3823" s="1089" t="s">
        <v>5308</v>
      </c>
      <c r="F3823" s="1081">
        <f t="shared" si="1"/>
        <v>0</v>
      </c>
      <c r="G3823" s="1083">
        <f t="shared" si="2"/>
        <v>14.56</v>
      </c>
      <c r="H3823" s="1084"/>
    </row>
    <row r="3824" ht="14.25" customHeight="1">
      <c r="A3824" s="1085">
        <v>4803.0</v>
      </c>
      <c r="B3824" s="1086" t="s">
        <v>9141</v>
      </c>
      <c r="C3824" s="1087" t="s">
        <v>1731</v>
      </c>
      <c r="D3824" s="1088">
        <v>30.68</v>
      </c>
      <c r="E3824" s="1089" t="s">
        <v>5308</v>
      </c>
      <c r="F3824" s="1081">
        <f t="shared" si="1"/>
        <v>0</v>
      </c>
      <c r="G3824" s="1083">
        <f t="shared" si="2"/>
        <v>30.68</v>
      </c>
      <c r="H3824" s="1084"/>
    </row>
    <row r="3825" ht="14.25" customHeight="1">
      <c r="A3825" s="1085">
        <v>6186.0</v>
      </c>
      <c r="B3825" s="1086" t="s">
        <v>9142</v>
      </c>
      <c r="C3825" s="1087" t="s">
        <v>1731</v>
      </c>
      <c r="D3825" s="1088">
        <v>13.61</v>
      </c>
      <c r="E3825" s="1089" t="s">
        <v>5308</v>
      </c>
      <c r="F3825" s="1081">
        <f t="shared" si="1"/>
        <v>0</v>
      </c>
      <c r="G3825" s="1083">
        <f t="shared" si="2"/>
        <v>13.61</v>
      </c>
      <c r="H3825" s="1084"/>
    </row>
    <row r="3826" ht="14.25" customHeight="1">
      <c r="A3826" s="1085">
        <v>4829.0</v>
      </c>
      <c r="B3826" s="1086" t="s">
        <v>9143</v>
      </c>
      <c r="C3826" s="1087" t="s">
        <v>1731</v>
      </c>
      <c r="D3826" s="1088">
        <v>58.38</v>
      </c>
      <c r="E3826" s="1089" t="s">
        <v>5308</v>
      </c>
      <c r="F3826" s="1081">
        <f t="shared" si="1"/>
        <v>0</v>
      </c>
      <c r="G3826" s="1083">
        <f t="shared" si="2"/>
        <v>58.38</v>
      </c>
      <c r="H3826" s="1084"/>
    </row>
    <row r="3827" ht="14.25" customHeight="1">
      <c r="A3827" s="1085">
        <v>39829.0</v>
      </c>
      <c r="B3827" s="1086" t="s">
        <v>9144</v>
      </c>
      <c r="C3827" s="1087" t="s">
        <v>1731</v>
      </c>
      <c r="D3827" s="1088">
        <v>31.25</v>
      </c>
      <c r="E3827" s="1089" t="s">
        <v>5308</v>
      </c>
      <c r="F3827" s="1081">
        <f t="shared" si="1"/>
        <v>0</v>
      </c>
      <c r="G3827" s="1083">
        <f t="shared" si="2"/>
        <v>31.25</v>
      </c>
      <c r="H3827" s="1084"/>
    </row>
    <row r="3828" ht="14.25" customHeight="1">
      <c r="A3828" s="1085">
        <v>20231.0</v>
      </c>
      <c r="B3828" s="1086" t="s">
        <v>9145</v>
      </c>
      <c r="C3828" s="1087" t="s">
        <v>1731</v>
      </c>
      <c r="D3828" s="1088">
        <v>59.53</v>
      </c>
      <c r="E3828" s="1089" t="s">
        <v>5308</v>
      </c>
      <c r="F3828" s="1081">
        <f t="shared" si="1"/>
        <v>0</v>
      </c>
      <c r="G3828" s="1083">
        <f t="shared" si="2"/>
        <v>59.53</v>
      </c>
      <c r="H3828" s="1084"/>
    </row>
    <row r="3829" ht="14.25" customHeight="1">
      <c r="A3829" s="1085">
        <v>4804.0</v>
      </c>
      <c r="B3829" s="1086" t="s">
        <v>9146</v>
      </c>
      <c r="C3829" s="1087" t="s">
        <v>1731</v>
      </c>
      <c r="D3829" s="1088">
        <v>23.55</v>
      </c>
      <c r="E3829" s="1089" t="s">
        <v>5308</v>
      </c>
      <c r="F3829" s="1081">
        <f t="shared" si="1"/>
        <v>0</v>
      </c>
      <c r="G3829" s="1083">
        <f t="shared" si="2"/>
        <v>23.55</v>
      </c>
      <c r="H3829" s="1084"/>
    </row>
    <row r="3830" ht="14.25" customHeight="1">
      <c r="A3830" s="1085">
        <v>34680.0</v>
      </c>
      <c r="B3830" s="1086" t="s">
        <v>9147</v>
      </c>
      <c r="C3830" s="1087" t="s">
        <v>1731</v>
      </c>
      <c r="D3830" s="1088">
        <v>37.73</v>
      </c>
      <c r="E3830" s="1089" t="s">
        <v>5308</v>
      </c>
      <c r="F3830" s="1081">
        <f t="shared" si="1"/>
        <v>0</v>
      </c>
      <c r="G3830" s="1083">
        <f t="shared" si="2"/>
        <v>37.73</v>
      </c>
      <c r="H3830" s="1084"/>
    </row>
    <row r="3831" ht="14.25" customHeight="1">
      <c r="A3831" s="1085">
        <v>11573.0</v>
      </c>
      <c r="B3831" s="1086" t="s">
        <v>9148</v>
      </c>
      <c r="C3831" s="1087" t="s">
        <v>1788</v>
      </c>
      <c r="D3831" s="1088">
        <v>5.81</v>
      </c>
      <c r="E3831" s="1089" t="s">
        <v>5308</v>
      </c>
      <c r="F3831" s="1081">
        <f t="shared" si="1"/>
        <v>0</v>
      </c>
      <c r="G3831" s="1083">
        <f t="shared" si="2"/>
        <v>5.81</v>
      </c>
      <c r="H3831" s="1084"/>
    </row>
    <row r="3832" ht="14.25" customHeight="1">
      <c r="A3832" s="1085">
        <v>38401.0</v>
      </c>
      <c r="B3832" s="1086" t="s">
        <v>9149</v>
      </c>
      <c r="C3832" s="1087" t="s">
        <v>1788</v>
      </c>
      <c r="D3832" s="1088">
        <v>14.38</v>
      </c>
      <c r="E3832" s="1089" t="s">
        <v>5308</v>
      </c>
      <c r="F3832" s="1081">
        <f t="shared" si="1"/>
        <v>0</v>
      </c>
      <c r="G3832" s="1083">
        <f t="shared" si="2"/>
        <v>14.38</v>
      </c>
      <c r="H3832" s="1084"/>
    </row>
    <row r="3833" ht="14.25" customHeight="1">
      <c r="A3833" s="1085">
        <v>11575.0</v>
      </c>
      <c r="B3833" s="1086" t="s">
        <v>9150</v>
      </c>
      <c r="C3833" s="1087" t="s">
        <v>1788</v>
      </c>
      <c r="D3833" s="1088">
        <v>56.02</v>
      </c>
      <c r="E3833" s="1089" t="s">
        <v>5308</v>
      </c>
      <c r="F3833" s="1081">
        <f t="shared" si="1"/>
        <v>0</v>
      </c>
      <c r="G3833" s="1083">
        <f t="shared" si="2"/>
        <v>56.02</v>
      </c>
      <c r="H3833" s="1084"/>
    </row>
    <row r="3834" ht="14.25" customHeight="1">
      <c r="A3834" s="1085">
        <v>38179.0</v>
      </c>
      <c r="B3834" s="1086" t="s">
        <v>9151</v>
      </c>
      <c r="C3834" s="1087" t="s">
        <v>1788</v>
      </c>
      <c r="D3834" s="1088">
        <v>46.32</v>
      </c>
      <c r="E3834" s="1089" t="s">
        <v>5308</v>
      </c>
      <c r="F3834" s="1081">
        <f t="shared" si="1"/>
        <v>0</v>
      </c>
      <c r="G3834" s="1083">
        <f t="shared" si="2"/>
        <v>46.32</v>
      </c>
      <c r="H3834" s="1084"/>
    </row>
    <row r="3835" ht="14.25" customHeight="1">
      <c r="A3835" s="1085">
        <v>20256.0</v>
      </c>
      <c r="B3835" s="1086" t="s">
        <v>9152</v>
      </c>
      <c r="C3835" s="1087" t="s">
        <v>1788</v>
      </c>
      <c r="D3835" s="1088">
        <v>0.41</v>
      </c>
      <c r="E3835" s="1089" t="s">
        <v>5308</v>
      </c>
      <c r="F3835" s="1081">
        <f t="shared" si="1"/>
        <v>0</v>
      </c>
      <c r="G3835" s="1083">
        <f t="shared" si="2"/>
        <v>0.41</v>
      </c>
      <c r="H3835" s="1084"/>
    </row>
    <row r="3836" ht="14.25" customHeight="1">
      <c r="A3836" s="1085">
        <v>14511.0</v>
      </c>
      <c r="B3836" s="1086" t="s">
        <v>9153</v>
      </c>
      <c r="C3836" s="1087" t="s">
        <v>1788</v>
      </c>
      <c r="D3836" s="1088">
        <v>976595.08</v>
      </c>
      <c r="E3836" s="1089" t="s">
        <v>5482</v>
      </c>
      <c r="F3836" s="1081">
        <f t="shared" si="1"/>
        <v>0</v>
      </c>
      <c r="G3836" s="1083">
        <f t="shared" si="2"/>
        <v>976595.08</v>
      </c>
      <c r="H3836" s="1084"/>
    </row>
    <row r="3837" ht="14.25" customHeight="1">
      <c r="A3837" s="1085">
        <v>10642.0</v>
      </c>
      <c r="B3837" s="1086" t="s">
        <v>9154</v>
      </c>
      <c r="C3837" s="1087" t="s">
        <v>1788</v>
      </c>
      <c r="D3837" s="1088">
        <v>920000.0</v>
      </c>
      <c r="E3837" s="1089" t="s">
        <v>5482</v>
      </c>
      <c r="F3837" s="1081">
        <f t="shared" si="1"/>
        <v>0</v>
      </c>
      <c r="G3837" s="1083">
        <f t="shared" si="2"/>
        <v>920000</v>
      </c>
      <c r="H3837" s="1084"/>
    </row>
    <row r="3838" ht="14.25" customHeight="1">
      <c r="A3838" s="1085">
        <v>14489.0</v>
      </c>
      <c r="B3838" s="1086" t="s">
        <v>9155</v>
      </c>
      <c r="C3838" s="1087" t="s">
        <v>1788</v>
      </c>
      <c r="D3838" s="1088">
        <v>816022.88</v>
      </c>
      <c r="E3838" s="1089" t="s">
        <v>5482</v>
      </c>
      <c r="F3838" s="1081">
        <f t="shared" si="1"/>
        <v>0</v>
      </c>
      <c r="G3838" s="1083">
        <f t="shared" si="2"/>
        <v>816022.88</v>
      </c>
      <c r="H3838" s="1084"/>
    </row>
    <row r="3839" ht="14.25" customHeight="1">
      <c r="A3839" s="1085">
        <v>14513.0</v>
      </c>
      <c r="B3839" s="1086" t="s">
        <v>9156</v>
      </c>
      <c r="C3839" s="1087" t="s">
        <v>1788</v>
      </c>
      <c r="D3839" s="1088">
        <v>612036.53</v>
      </c>
      <c r="E3839" s="1089" t="s">
        <v>5482</v>
      </c>
      <c r="F3839" s="1081">
        <f t="shared" si="1"/>
        <v>0</v>
      </c>
      <c r="G3839" s="1083">
        <f t="shared" si="2"/>
        <v>612036.53</v>
      </c>
      <c r="H3839" s="1084"/>
    </row>
    <row r="3840" ht="14.25" customHeight="1">
      <c r="A3840" s="1085">
        <v>13600.0</v>
      </c>
      <c r="B3840" s="1086" t="s">
        <v>9157</v>
      </c>
      <c r="C3840" s="1087" t="s">
        <v>1788</v>
      </c>
      <c r="D3840" s="1088">
        <v>789699.48</v>
      </c>
      <c r="E3840" s="1089" t="s">
        <v>5482</v>
      </c>
      <c r="F3840" s="1081">
        <f t="shared" si="1"/>
        <v>0</v>
      </c>
      <c r="G3840" s="1083">
        <f t="shared" si="2"/>
        <v>789699.48</v>
      </c>
      <c r="H3840" s="1084"/>
    </row>
    <row r="3841" ht="14.25" customHeight="1">
      <c r="A3841" s="1085">
        <v>10646.0</v>
      </c>
      <c r="B3841" s="1086" t="s">
        <v>9158</v>
      </c>
      <c r="C3841" s="1087" t="s">
        <v>1788</v>
      </c>
      <c r="D3841" s="1088">
        <v>588668.34</v>
      </c>
      <c r="E3841" s="1089" t="s">
        <v>5482</v>
      </c>
      <c r="F3841" s="1081">
        <f t="shared" si="1"/>
        <v>0</v>
      </c>
      <c r="G3841" s="1083">
        <f t="shared" si="2"/>
        <v>588668.34</v>
      </c>
      <c r="H3841" s="1084"/>
    </row>
    <row r="3842" ht="14.25" customHeight="1">
      <c r="A3842" s="1085">
        <v>6070.0</v>
      </c>
      <c r="B3842" s="1086" t="s">
        <v>9159</v>
      </c>
      <c r="C3842" s="1087" t="s">
        <v>1788</v>
      </c>
      <c r="D3842" s="1088">
        <v>804342.84</v>
      </c>
      <c r="E3842" s="1089" t="s">
        <v>5482</v>
      </c>
      <c r="F3842" s="1081">
        <f t="shared" si="1"/>
        <v>0</v>
      </c>
      <c r="G3842" s="1083">
        <f t="shared" si="2"/>
        <v>804342.84</v>
      </c>
      <c r="H3842" s="1084"/>
    </row>
    <row r="3843" ht="14.25" customHeight="1">
      <c r="A3843" s="1085">
        <v>6069.0</v>
      </c>
      <c r="B3843" s="1086" t="s">
        <v>9160</v>
      </c>
      <c r="C3843" s="1087" t="s">
        <v>1788</v>
      </c>
      <c r="D3843" s="1088">
        <v>177691.46</v>
      </c>
      <c r="E3843" s="1089" t="s">
        <v>5482</v>
      </c>
      <c r="F3843" s="1081">
        <f t="shared" si="1"/>
        <v>0</v>
      </c>
      <c r="G3843" s="1083">
        <f t="shared" si="2"/>
        <v>177691.46</v>
      </c>
      <c r="H3843" s="1084"/>
    </row>
    <row r="3844" ht="14.25" customHeight="1">
      <c r="A3844" s="1085">
        <v>14626.0</v>
      </c>
      <c r="B3844" s="1086" t="s">
        <v>9161</v>
      </c>
      <c r="C3844" s="1087" t="s">
        <v>1788</v>
      </c>
      <c r="D3844" s="1088">
        <v>880571.46</v>
      </c>
      <c r="E3844" s="1089" t="s">
        <v>5482</v>
      </c>
      <c r="F3844" s="1081">
        <f t="shared" si="1"/>
        <v>0</v>
      </c>
      <c r="G3844" s="1083">
        <f t="shared" si="2"/>
        <v>880571.46</v>
      </c>
      <c r="H3844" s="1084"/>
    </row>
    <row r="3845" ht="14.25" customHeight="1">
      <c r="A3845" s="1085">
        <v>6067.0</v>
      </c>
      <c r="B3845" s="1086" t="s">
        <v>9162</v>
      </c>
      <c r="C3845" s="1087" t="s">
        <v>1788</v>
      </c>
      <c r="D3845" s="1088">
        <v>722857.15</v>
      </c>
      <c r="E3845" s="1089" t="s">
        <v>5482</v>
      </c>
      <c r="F3845" s="1081">
        <f t="shared" si="1"/>
        <v>0</v>
      </c>
      <c r="G3845" s="1083">
        <f t="shared" si="2"/>
        <v>722857.15</v>
      </c>
      <c r="H3845" s="1084"/>
    </row>
    <row r="3846" ht="14.25" customHeight="1">
      <c r="A3846" s="1085">
        <v>38393.0</v>
      </c>
      <c r="B3846" s="1086" t="s">
        <v>9163</v>
      </c>
      <c r="C3846" s="1087" t="s">
        <v>1788</v>
      </c>
      <c r="D3846" s="1088">
        <v>15.45</v>
      </c>
      <c r="E3846" s="1089" t="s">
        <v>5308</v>
      </c>
      <c r="F3846" s="1081">
        <f t="shared" si="1"/>
        <v>0</v>
      </c>
      <c r="G3846" s="1083">
        <f t="shared" si="2"/>
        <v>15.45</v>
      </c>
      <c r="H3846" s="1084"/>
    </row>
    <row r="3847" ht="14.25" customHeight="1">
      <c r="A3847" s="1085">
        <v>38390.0</v>
      </c>
      <c r="B3847" s="1086" t="s">
        <v>9164</v>
      </c>
      <c r="C3847" s="1087" t="s">
        <v>1788</v>
      </c>
      <c r="D3847" s="1088">
        <v>34.27</v>
      </c>
      <c r="E3847" s="1089" t="s">
        <v>5308</v>
      </c>
      <c r="F3847" s="1081">
        <f t="shared" si="1"/>
        <v>0</v>
      </c>
      <c r="G3847" s="1083">
        <f t="shared" si="2"/>
        <v>34.27</v>
      </c>
      <c r="H3847" s="1084"/>
    </row>
    <row r="3848" ht="14.25" customHeight="1">
      <c r="A3848" s="1085">
        <v>36532.0</v>
      </c>
      <c r="B3848" s="1086" t="s">
        <v>9165</v>
      </c>
      <c r="C3848" s="1087" t="s">
        <v>1788</v>
      </c>
      <c r="D3848" s="1088">
        <v>22262.38</v>
      </c>
      <c r="E3848" s="1089" t="s">
        <v>5482</v>
      </c>
      <c r="F3848" s="1081">
        <f t="shared" si="1"/>
        <v>0</v>
      </c>
      <c r="G3848" s="1083">
        <f t="shared" si="2"/>
        <v>22262.38</v>
      </c>
      <c r="H3848" s="1084"/>
    </row>
    <row r="3849" ht="14.25" customHeight="1">
      <c r="A3849" s="1085">
        <v>11578.0</v>
      </c>
      <c r="B3849" s="1086" t="s">
        <v>9166</v>
      </c>
      <c r="C3849" s="1087" t="s">
        <v>1788</v>
      </c>
      <c r="D3849" s="1088">
        <v>12.09</v>
      </c>
      <c r="E3849" s="1089" t="s">
        <v>5308</v>
      </c>
      <c r="F3849" s="1081">
        <f t="shared" si="1"/>
        <v>0</v>
      </c>
      <c r="G3849" s="1083">
        <f t="shared" si="2"/>
        <v>12.09</v>
      </c>
      <c r="H3849" s="1084"/>
    </row>
    <row r="3850" ht="14.25" customHeight="1">
      <c r="A3850" s="1085">
        <v>11577.0</v>
      </c>
      <c r="B3850" s="1086" t="s">
        <v>9167</v>
      </c>
      <c r="C3850" s="1087" t="s">
        <v>1788</v>
      </c>
      <c r="D3850" s="1088">
        <v>11.54</v>
      </c>
      <c r="E3850" s="1089" t="s">
        <v>5308</v>
      </c>
      <c r="F3850" s="1081">
        <f t="shared" si="1"/>
        <v>0</v>
      </c>
      <c r="G3850" s="1083">
        <f t="shared" si="2"/>
        <v>11.54</v>
      </c>
      <c r="H3850" s="1084"/>
    </row>
    <row r="3851" ht="14.25" customHeight="1">
      <c r="A3851" s="1085">
        <v>42432.0</v>
      </c>
      <c r="B3851" s="1086" t="s">
        <v>9168</v>
      </c>
      <c r="C3851" s="1087" t="s">
        <v>1788</v>
      </c>
      <c r="D3851" s="1088">
        <v>2424.64</v>
      </c>
      <c r="E3851" s="1089" t="s">
        <v>5308</v>
      </c>
      <c r="F3851" s="1081">
        <f t="shared" si="1"/>
        <v>0</v>
      </c>
      <c r="G3851" s="1083">
        <f t="shared" si="2"/>
        <v>2424.64</v>
      </c>
      <c r="H3851" s="1084"/>
    </row>
    <row r="3852" ht="14.25" customHeight="1">
      <c r="A3852" s="1085">
        <v>42437.0</v>
      </c>
      <c r="B3852" s="1086" t="s">
        <v>9169</v>
      </c>
      <c r="C3852" s="1087" t="s">
        <v>1788</v>
      </c>
      <c r="D3852" s="1088">
        <v>1843.37</v>
      </c>
      <c r="E3852" s="1089" t="s">
        <v>5308</v>
      </c>
      <c r="F3852" s="1081">
        <f t="shared" si="1"/>
        <v>0</v>
      </c>
      <c r="G3852" s="1083">
        <f t="shared" si="2"/>
        <v>1843.37</v>
      </c>
      <c r="H3852" s="1084"/>
    </row>
    <row r="3853" ht="14.25" customHeight="1">
      <c r="A3853" s="1085">
        <v>1116.0</v>
      </c>
      <c r="B3853" s="1086" t="s">
        <v>9170</v>
      </c>
      <c r="C3853" s="1087" t="s">
        <v>1731</v>
      </c>
      <c r="D3853" s="1088">
        <v>19.95</v>
      </c>
      <c r="E3853" s="1089" t="s">
        <v>5308</v>
      </c>
      <c r="F3853" s="1081">
        <f t="shared" si="1"/>
        <v>0</v>
      </c>
      <c r="G3853" s="1083">
        <f t="shared" si="2"/>
        <v>19.95</v>
      </c>
      <c r="H3853" s="1084"/>
    </row>
    <row r="3854" ht="14.25" customHeight="1">
      <c r="A3854" s="1085">
        <v>1115.0</v>
      </c>
      <c r="B3854" s="1086" t="s">
        <v>9171</v>
      </c>
      <c r="C3854" s="1087" t="s">
        <v>1731</v>
      </c>
      <c r="D3854" s="1088">
        <v>23.9</v>
      </c>
      <c r="E3854" s="1089" t="s">
        <v>5308</v>
      </c>
      <c r="F3854" s="1081">
        <f t="shared" si="1"/>
        <v>0</v>
      </c>
      <c r="G3854" s="1083">
        <f t="shared" si="2"/>
        <v>23.9</v>
      </c>
      <c r="H3854" s="1084"/>
    </row>
    <row r="3855" ht="14.25" customHeight="1">
      <c r="A3855" s="1085">
        <v>1113.0</v>
      </c>
      <c r="B3855" s="1086" t="s">
        <v>9172</v>
      </c>
      <c r="C3855" s="1087" t="s">
        <v>1731</v>
      </c>
      <c r="D3855" s="1088">
        <v>27.94</v>
      </c>
      <c r="E3855" s="1089" t="s">
        <v>5308</v>
      </c>
      <c r="F3855" s="1081">
        <f t="shared" si="1"/>
        <v>0</v>
      </c>
      <c r="G3855" s="1083">
        <f t="shared" si="2"/>
        <v>27.94</v>
      </c>
      <c r="H3855" s="1084"/>
    </row>
    <row r="3856" ht="14.25" customHeight="1">
      <c r="A3856" s="1085">
        <v>1114.0</v>
      </c>
      <c r="B3856" s="1086" t="s">
        <v>9173</v>
      </c>
      <c r="C3856" s="1087" t="s">
        <v>1731</v>
      </c>
      <c r="D3856" s="1088">
        <v>33.28</v>
      </c>
      <c r="E3856" s="1089" t="s">
        <v>5308</v>
      </c>
      <c r="F3856" s="1081">
        <f t="shared" si="1"/>
        <v>0</v>
      </c>
      <c r="G3856" s="1083">
        <f t="shared" si="2"/>
        <v>33.28</v>
      </c>
      <c r="H3856" s="1084"/>
    </row>
    <row r="3857" ht="14.25" customHeight="1">
      <c r="A3857" s="1085">
        <v>40873.0</v>
      </c>
      <c r="B3857" s="1086" t="s">
        <v>9174</v>
      </c>
      <c r="C3857" s="1087" t="s">
        <v>1731</v>
      </c>
      <c r="D3857" s="1088">
        <v>26.05</v>
      </c>
      <c r="E3857" s="1089" t="s">
        <v>5308</v>
      </c>
      <c r="F3857" s="1081">
        <f t="shared" si="1"/>
        <v>0</v>
      </c>
      <c r="G3857" s="1083">
        <f t="shared" si="2"/>
        <v>26.05</v>
      </c>
      <c r="H3857" s="1084"/>
    </row>
    <row r="3858" ht="14.25" customHeight="1">
      <c r="A3858" s="1085">
        <v>20214.0</v>
      </c>
      <c r="B3858" s="1086" t="s">
        <v>9175</v>
      </c>
      <c r="C3858" s="1087" t="s">
        <v>1788</v>
      </c>
      <c r="D3858" s="1088">
        <v>56.19</v>
      </c>
      <c r="E3858" s="1089" t="s">
        <v>5308</v>
      </c>
      <c r="F3858" s="1081">
        <f t="shared" si="1"/>
        <v>0</v>
      </c>
      <c r="G3858" s="1083">
        <f t="shared" si="2"/>
        <v>56.19</v>
      </c>
      <c r="H3858" s="1084"/>
    </row>
    <row r="3859" ht="14.25" customHeight="1">
      <c r="A3859" s="1085">
        <v>7237.0</v>
      </c>
      <c r="B3859" s="1086" t="s">
        <v>9176</v>
      </c>
      <c r="C3859" s="1087" t="s">
        <v>1788</v>
      </c>
      <c r="D3859" s="1088">
        <v>55.0</v>
      </c>
      <c r="E3859" s="1089" t="s">
        <v>5308</v>
      </c>
      <c r="F3859" s="1081">
        <f t="shared" si="1"/>
        <v>0</v>
      </c>
      <c r="G3859" s="1083">
        <f t="shared" si="2"/>
        <v>55</v>
      </c>
      <c r="H3859" s="1084"/>
    </row>
    <row r="3860" ht="14.25" customHeight="1">
      <c r="A3860" s="1085">
        <v>11757.0</v>
      </c>
      <c r="B3860" s="1086" t="s">
        <v>9177</v>
      </c>
      <c r="C3860" s="1087" t="s">
        <v>1788</v>
      </c>
      <c r="D3860" s="1088">
        <v>73.9</v>
      </c>
      <c r="E3860" s="1089" t="s">
        <v>5308</v>
      </c>
      <c r="F3860" s="1081">
        <f t="shared" si="1"/>
        <v>0</v>
      </c>
      <c r="G3860" s="1083">
        <f t="shared" si="2"/>
        <v>73.9</v>
      </c>
      <c r="H3860" s="1084"/>
    </row>
    <row r="3861" ht="14.25" customHeight="1">
      <c r="A3861" s="1085">
        <v>11758.0</v>
      </c>
      <c r="B3861" s="1086" t="s">
        <v>9178</v>
      </c>
      <c r="C3861" s="1087" t="s">
        <v>1788</v>
      </c>
      <c r="D3861" s="1088">
        <v>44.9</v>
      </c>
      <c r="E3861" s="1089" t="s">
        <v>5308</v>
      </c>
      <c r="F3861" s="1081">
        <f t="shared" si="1"/>
        <v>0</v>
      </c>
      <c r="G3861" s="1083">
        <f t="shared" si="2"/>
        <v>44.9</v>
      </c>
      <c r="H3861" s="1084"/>
    </row>
    <row r="3862" ht="14.25" customHeight="1">
      <c r="A3862" s="1085">
        <v>37526.0</v>
      </c>
      <c r="B3862" s="1086" t="s">
        <v>9179</v>
      </c>
      <c r="C3862" s="1087" t="s">
        <v>1788</v>
      </c>
      <c r="D3862" s="1088">
        <v>3.33</v>
      </c>
      <c r="E3862" s="1089" t="s">
        <v>5308</v>
      </c>
      <c r="F3862" s="1081">
        <f t="shared" si="1"/>
        <v>0</v>
      </c>
      <c r="G3862" s="1083">
        <f t="shared" si="2"/>
        <v>3.33</v>
      </c>
      <c r="H3862" s="1084"/>
    </row>
    <row r="3863" ht="14.25" customHeight="1">
      <c r="A3863" s="1085">
        <v>6076.0</v>
      </c>
      <c r="B3863" s="1086" t="s">
        <v>9180</v>
      </c>
      <c r="C3863" s="1087" t="s">
        <v>2178</v>
      </c>
      <c r="D3863" s="1088">
        <v>69.0</v>
      </c>
      <c r="E3863" s="1089" t="s">
        <v>5308</v>
      </c>
      <c r="F3863" s="1081">
        <f t="shared" si="1"/>
        <v>0</v>
      </c>
      <c r="G3863" s="1083">
        <f t="shared" si="2"/>
        <v>69</v>
      </c>
      <c r="H3863" s="1084"/>
    </row>
    <row r="3864" ht="14.25" customHeight="1">
      <c r="A3864" s="1085">
        <v>13109.0</v>
      </c>
      <c r="B3864" s="1086" t="s">
        <v>9181</v>
      </c>
      <c r="C3864" s="1087" t="s">
        <v>1788</v>
      </c>
      <c r="D3864" s="1088">
        <v>270.47</v>
      </c>
      <c r="E3864" s="1089" t="s">
        <v>5308</v>
      </c>
      <c r="F3864" s="1081">
        <f t="shared" si="1"/>
        <v>0</v>
      </c>
      <c r="G3864" s="1083">
        <f t="shared" si="2"/>
        <v>270.47</v>
      </c>
      <c r="H3864" s="1084"/>
    </row>
    <row r="3865" ht="14.25" customHeight="1">
      <c r="A3865" s="1085">
        <v>13110.0</v>
      </c>
      <c r="B3865" s="1086" t="s">
        <v>9182</v>
      </c>
      <c r="C3865" s="1087" t="s">
        <v>1788</v>
      </c>
      <c r="D3865" s="1088">
        <v>355.96</v>
      </c>
      <c r="E3865" s="1089" t="s">
        <v>5308</v>
      </c>
      <c r="F3865" s="1081">
        <f t="shared" si="1"/>
        <v>0</v>
      </c>
      <c r="G3865" s="1083">
        <f t="shared" si="2"/>
        <v>355.96</v>
      </c>
      <c r="H3865" s="1084"/>
    </row>
    <row r="3866" ht="14.25" customHeight="1">
      <c r="A3866" s="1085">
        <v>7581.0</v>
      </c>
      <c r="B3866" s="1086" t="s">
        <v>9183</v>
      </c>
      <c r="C3866" s="1087" t="s">
        <v>1788</v>
      </c>
      <c r="D3866" s="1088">
        <v>2.66</v>
      </c>
      <c r="E3866" s="1089" t="s">
        <v>5308</v>
      </c>
      <c r="F3866" s="1081">
        <f t="shared" si="1"/>
        <v>0</v>
      </c>
      <c r="G3866" s="1083">
        <f t="shared" si="2"/>
        <v>2.66</v>
      </c>
      <c r="H3866" s="1084"/>
    </row>
    <row r="3867" ht="14.25" customHeight="1">
      <c r="A3867" s="1085">
        <v>4509.0</v>
      </c>
      <c r="B3867" s="1086" t="s">
        <v>9184</v>
      </c>
      <c r="C3867" s="1087" t="s">
        <v>1731</v>
      </c>
      <c r="D3867" s="1088">
        <v>3.52</v>
      </c>
      <c r="E3867" s="1089" t="s">
        <v>5308</v>
      </c>
      <c r="F3867" s="1081">
        <f t="shared" si="1"/>
        <v>0</v>
      </c>
      <c r="G3867" s="1083">
        <f t="shared" si="2"/>
        <v>3.52</v>
      </c>
      <c r="H3867" s="1084"/>
    </row>
    <row r="3868" ht="14.25" customHeight="1">
      <c r="A3868" s="1085">
        <v>4512.0</v>
      </c>
      <c r="B3868" s="1086" t="s">
        <v>9185</v>
      </c>
      <c r="C3868" s="1087" t="s">
        <v>1731</v>
      </c>
      <c r="D3868" s="1088">
        <v>1.68</v>
      </c>
      <c r="E3868" s="1089" t="s">
        <v>5308</v>
      </c>
      <c r="F3868" s="1081">
        <f t="shared" si="1"/>
        <v>0</v>
      </c>
      <c r="G3868" s="1083">
        <f t="shared" si="2"/>
        <v>1.68</v>
      </c>
      <c r="H3868" s="1084"/>
    </row>
    <row r="3869" ht="14.25" customHeight="1">
      <c r="A3869" s="1085">
        <v>4517.0</v>
      </c>
      <c r="B3869" s="1086" t="s">
        <v>9186</v>
      </c>
      <c r="C3869" s="1087" t="s">
        <v>1731</v>
      </c>
      <c r="D3869" s="1088">
        <v>2.43</v>
      </c>
      <c r="E3869" s="1089" t="s">
        <v>5308</v>
      </c>
      <c r="F3869" s="1081">
        <f t="shared" si="1"/>
        <v>0</v>
      </c>
      <c r="G3869" s="1083">
        <f t="shared" si="2"/>
        <v>2.43</v>
      </c>
      <c r="H3869" s="1084"/>
    </row>
    <row r="3870" ht="14.25" customHeight="1">
      <c r="A3870" s="1085">
        <v>20206.0</v>
      </c>
      <c r="B3870" s="1086" t="s">
        <v>9187</v>
      </c>
      <c r="C3870" s="1087" t="s">
        <v>1731</v>
      </c>
      <c r="D3870" s="1088">
        <v>12.65</v>
      </c>
      <c r="E3870" s="1089" t="s">
        <v>5308</v>
      </c>
      <c r="F3870" s="1081">
        <f t="shared" si="1"/>
        <v>0</v>
      </c>
      <c r="G3870" s="1083">
        <f t="shared" si="2"/>
        <v>12.65</v>
      </c>
      <c r="H3870" s="1084"/>
    </row>
    <row r="3871" ht="14.25" customHeight="1">
      <c r="A3871" s="1085">
        <v>4460.0</v>
      </c>
      <c r="B3871" s="1086" t="s">
        <v>9188</v>
      </c>
      <c r="C3871" s="1087" t="s">
        <v>1731</v>
      </c>
      <c r="D3871" s="1088">
        <v>12.98</v>
      </c>
      <c r="E3871" s="1089" t="s">
        <v>5308</v>
      </c>
      <c r="F3871" s="1081">
        <f t="shared" si="1"/>
        <v>0</v>
      </c>
      <c r="G3871" s="1083">
        <f t="shared" si="2"/>
        <v>12.98</v>
      </c>
      <c r="H3871" s="1084"/>
    </row>
    <row r="3872" ht="14.25" customHeight="1">
      <c r="A3872" s="1085">
        <v>4417.0</v>
      </c>
      <c r="B3872" s="1086" t="s">
        <v>9189</v>
      </c>
      <c r="C3872" s="1087" t="s">
        <v>1731</v>
      </c>
      <c r="D3872" s="1088">
        <v>10.01</v>
      </c>
      <c r="E3872" s="1089" t="s">
        <v>5308</v>
      </c>
      <c r="F3872" s="1081">
        <f t="shared" si="1"/>
        <v>0</v>
      </c>
      <c r="G3872" s="1083">
        <f t="shared" si="2"/>
        <v>10.01</v>
      </c>
      <c r="H3872" s="1084"/>
    </row>
    <row r="3873" ht="14.25" customHeight="1">
      <c r="A3873" s="1085">
        <v>4415.0</v>
      </c>
      <c r="B3873" s="1086" t="s">
        <v>9190</v>
      </c>
      <c r="C3873" s="1087" t="s">
        <v>1731</v>
      </c>
      <c r="D3873" s="1088">
        <v>6.95</v>
      </c>
      <c r="E3873" s="1089" t="s">
        <v>5308</v>
      </c>
      <c r="F3873" s="1081">
        <f t="shared" si="1"/>
        <v>0</v>
      </c>
      <c r="G3873" s="1083">
        <f t="shared" si="2"/>
        <v>6.95</v>
      </c>
      <c r="H3873" s="1084"/>
    </row>
    <row r="3874" ht="14.25" customHeight="1">
      <c r="A3874" s="1085">
        <v>37373.0</v>
      </c>
      <c r="B3874" s="1086" t="s">
        <v>9191</v>
      </c>
      <c r="C3874" s="1087" t="s">
        <v>1470</v>
      </c>
      <c r="D3874" s="1088">
        <v>0.07</v>
      </c>
      <c r="E3874" s="1089" t="s">
        <v>5308</v>
      </c>
      <c r="F3874" s="1081">
        <f t="shared" si="1"/>
        <v>0</v>
      </c>
      <c r="G3874" s="1083">
        <f t="shared" si="2"/>
        <v>0.07</v>
      </c>
      <c r="H3874" s="1084"/>
    </row>
    <row r="3875" ht="14.25" customHeight="1">
      <c r="A3875" s="1085">
        <v>40864.0</v>
      </c>
      <c r="B3875" s="1086" t="s">
        <v>9192</v>
      </c>
      <c r="C3875" s="1087" t="s">
        <v>5454</v>
      </c>
      <c r="D3875" s="1088">
        <v>12.89</v>
      </c>
      <c r="E3875" s="1089" t="s">
        <v>5308</v>
      </c>
      <c r="F3875" s="1081">
        <f t="shared" si="1"/>
        <v>0</v>
      </c>
      <c r="G3875" s="1083">
        <f t="shared" si="2"/>
        <v>12.89</v>
      </c>
      <c r="H3875" s="1084"/>
    </row>
    <row r="3876" ht="14.25" customHeight="1">
      <c r="A3876" s="1085">
        <v>4734.0</v>
      </c>
      <c r="B3876" s="1086" t="s">
        <v>9193</v>
      </c>
      <c r="C3876" s="1087" t="s">
        <v>2178</v>
      </c>
      <c r="D3876" s="1088">
        <v>215.82</v>
      </c>
      <c r="E3876" s="1089" t="s">
        <v>5308</v>
      </c>
      <c r="F3876" s="1081">
        <f t="shared" si="1"/>
        <v>0</v>
      </c>
      <c r="G3876" s="1083">
        <f t="shared" si="2"/>
        <v>215.82</v>
      </c>
      <c r="H3876" s="1084"/>
    </row>
    <row r="3877" ht="14.25" customHeight="1">
      <c r="A3877" s="1085">
        <v>6085.0</v>
      </c>
      <c r="B3877" s="1086" t="s">
        <v>9194</v>
      </c>
      <c r="C3877" s="1087" t="s">
        <v>2386</v>
      </c>
      <c r="D3877" s="1088">
        <v>10.14</v>
      </c>
      <c r="E3877" s="1089" t="s">
        <v>5308</v>
      </c>
      <c r="F3877" s="1081">
        <f t="shared" si="1"/>
        <v>0</v>
      </c>
      <c r="G3877" s="1083">
        <f t="shared" si="2"/>
        <v>10.14</v>
      </c>
      <c r="H3877" s="1084"/>
    </row>
    <row r="3878" ht="14.25" customHeight="1">
      <c r="A3878" s="1085">
        <v>38396.0</v>
      </c>
      <c r="B3878" s="1086" t="s">
        <v>9195</v>
      </c>
      <c r="C3878" s="1087" t="s">
        <v>1788</v>
      </c>
      <c r="D3878" s="1088">
        <v>701.27</v>
      </c>
      <c r="E3878" s="1089" t="s">
        <v>5308</v>
      </c>
      <c r="F3878" s="1081">
        <f t="shared" si="1"/>
        <v>0</v>
      </c>
      <c r="G3878" s="1083">
        <f t="shared" si="2"/>
        <v>701.27</v>
      </c>
      <c r="H3878" s="1084"/>
    </row>
    <row r="3879" ht="14.25" customHeight="1">
      <c r="A3879" s="1085">
        <v>11622.0</v>
      </c>
      <c r="B3879" s="1086" t="s">
        <v>9196</v>
      </c>
      <c r="C3879" s="1087" t="s">
        <v>3606</v>
      </c>
      <c r="D3879" s="1088">
        <v>71.04</v>
      </c>
      <c r="E3879" s="1089" t="s">
        <v>5308</v>
      </c>
      <c r="F3879" s="1081">
        <f t="shared" si="1"/>
        <v>0</v>
      </c>
      <c r="G3879" s="1083">
        <f t="shared" si="2"/>
        <v>71.04</v>
      </c>
      <c r="H3879" s="1084"/>
    </row>
    <row r="3880" ht="14.25" customHeight="1">
      <c r="A3880" s="1085">
        <v>43143.0</v>
      </c>
      <c r="B3880" s="1086" t="s">
        <v>9197</v>
      </c>
      <c r="C3880" s="1087" t="s">
        <v>2386</v>
      </c>
      <c r="D3880" s="1088">
        <v>26.83</v>
      </c>
      <c r="E3880" s="1089" t="s">
        <v>5308</v>
      </c>
      <c r="F3880" s="1081">
        <f t="shared" si="1"/>
        <v>0</v>
      </c>
      <c r="G3880" s="1083">
        <f t="shared" si="2"/>
        <v>26.83</v>
      </c>
      <c r="H3880" s="1084"/>
    </row>
    <row r="3881" ht="14.25" customHeight="1">
      <c r="A3881" s="1085">
        <v>7317.0</v>
      </c>
      <c r="B3881" s="1086" t="s">
        <v>9198</v>
      </c>
      <c r="C3881" s="1087" t="s">
        <v>3606</v>
      </c>
      <c r="D3881" s="1088">
        <v>39.52</v>
      </c>
      <c r="E3881" s="1089" t="s">
        <v>5308</v>
      </c>
      <c r="F3881" s="1081">
        <f t="shared" si="1"/>
        <v>0</v>
      </c>
      <c r="G3881" s="1083">
        <f t="shared" si="2"/>
        <v>39.52</v>
      </c>
      <c r="H3881" s="1084"/>
    </row>
    <row r="3882" ht="14.25" customHeight="1">
      <c r="A3882" s="1085">
        <v>142.0</v>
      </c>
      <c r="B3882" s="1086" t="s">
        <v>9199</v>
      </c>
      <c r="C3882" s="1087" t="s">
        <v>9200</v>
      </c>
      <c r="D3882" s="1088">
        <v>33.52</v>
      </c>
      <c r="E3882" s="1089" t="s">
        <v>5308</v>
      </c>
      <c r="F3882" s="1081">
        <f t="shared" si="1"/>
        <v>0</v>
      </c>
      <c r="G3882" s="1083">
        <f t="shared" si="2"/>
        <v>33.52</v>
      </c>
      <c r="H3882" s="1084"/>
    </row>
    <row r="3883" ht="14.25" customHeight="1">
      <c r="A3883" s="1085">
        <v>43142.0</v>
      </c>
      <c r="B3883" s="1086" t="s">
        <v>9201</v>
      </c>
      <c r="C3883" s="1087" t="s">
        <v>2386</v>
      </c>
      <c r="D3883" s="1088">
        <v>152.27</v>
      </c>
      <c r="E3883" s="1089" t="s">
        <v>5308</v>
      </c>
      <c r="F3883" s="1081">
        <f t="shared" si="1"/>
        <v>0</v>
      </c>
      <c r="G3883" s="1083">
        <f t="shared" si="2"/>
        <v>152.27</v>
      </c>
      <c r="H3883" s="1084"/>
    </row>
    <row r="3884" ht="14.25" customHeight="1">
      <c r="A3884" s="1085">
        <v>38123.0</v>
      </c>
      <c r="B3884" s="1086" t="s">
        <v>9202</v>
      </c>
      <c r="C3884" s="1087" t="s">
        <v>3606</v>
      </c>
      <c r="D3884" s="1088">
        <v>64.1</v>
      </c>
      <c r="E3884" s="1089" t="s">
        <v>5308</v>
      </c>
      <c r="F3884" s="1081">
        <f t="shared" si="1"/>
        <v>0</v>
      </c>
      <c r="G3884" s="1083">
        <f t="shared" si="2"/>
        <v>64.1</v>
      </c>
      <c r="H3884" s="1084"/>
    </row>
    <row r="3885" ht="14.25" customHeight="1">
      <c r="A3885" s="1085">
        <v>42699.0</v>
      </c>
      <c r="B3885" s="1086" t="s">
        <v>9203</v>
      </c>
      <c r="C3885" s="1087" t="s">
        <v>1788</v>
      </c>
      <c r="D3885" s="1088">
        <v>36.82</v>
      </c>
      <c r="E3885" s="1089" t="s">
        <v>5308</v>
      </c>
      <c r="F3885" s="1081">
        <f t="shared" si="1"/>
        <v>0</v>
      </c>
      <c r="G3885" s="1083">
        <f t="shared" si="2"/>
        <v>36.82</v>
      </c>
      <c r="H3885" s="1084"/>
    </row>
    <row r="3886" ht="14.25" customHeight="1">
      <c r="A3886" s="1085">
        <v>37743.0</v>
      </c>
      <c r="B3886" s="1086" t="s">
        <v>9204</v>
      </c>
      <c r="C3886" s="1087" t="s">
        <v>1788</v>
      </c>
      <c r="D3886" s="1088">
        <v>281013.98</v>
      </c>
      <c r="E3886" s="1089" t="s">
        <v>5482</v>
      </c>
      <c r="F3886" s="1081">
        <f t="shared" si="1"/>
        <v>0</v>
      </c>
      <c r="G3886" s="1083">
        <f t="shared" si="2"/>
        <v>281013.98</v>
      </c>
      <c r="H3886" s="1084"/>
    </row>
    <row r="3887" ht="14.25" customHeight="1">
      <c r="A3887" s="1085">
        <v>37744.0</v>
      </c>
      <c r="B3887" s="1086" t="s">
        <v>9205</v>
      </c>
      <c r="C3887" s="1087" t="s">
        <v>1788</v>
      </c>
      <c r="D3887" s="1088">
        <v>330419.58</v>
      </c>
      <c r="E3887" s="1089" t="s">
        <v>5482</v>
      </c>
      <c r="F3887" s="1081">
        <f t="shared" si="1"/>
        <v>0</v>
      </c>
      <c r="G3887" s="1083">
        <f t="shared" si="2"/>
        <v>330419.58</v>
      </c>
      <c r="H3887" s="1084"/>
    </row>
    <row r="3888" ht="14.25" customHeight="1">
      <c r="A3888" s="1085">
        <v>37741.0</v>
      </c>
      <c r="B3888" s="1086" t="s">
        <v>9206</v>
      </c>
      <c r="C3888" s="1087" t="s">
        <v>1788</v>
      </c>
      <c r="D3888" s="1088">
        <v>255524.47</v>
      </c>
      <c r="E3888" s="1089" t="s">
        <v>5482</v>
      </c>
      <c r="F3888" s="1081">
        <f t="shared" si="1"/>
        <v>0</v>
      </c>
      <c r="G3888" s="1083">
        <f t="shared" si="2"/>
        <v>255524.47</v>
      </c>
      <c r="H3888" s="1084"/>
    </row>
    <row r="3889" ht="14.25" customHeight="1">
      <c r="A3889" s="1085">
        <v>39396.0</v>
      </c>
      <c r="B3889" s="1086" t="s">
        <v>9207</v>
      </c>
      <c r="C3889" s="1087" t="s">
        <v>1788</v>
      </c>
      <c r="D3889" s="1088">
        <v>67.15</v>
      </c>
      <c r="E3889" s="1089" t="s">
        <v>5308</v>
      </c>
      <c r="F3889" s="1081">
        <f t="shared" si="1"/>
        <v>0</v>
      </c>
      <c r="G3889" s="1083">
        <f t="shared" si="2"/>
        <v>67.15</v>
      </c>
      <c r="H3889" s="1084"/>
    </row>
    <row r="3890" ht="14.25" customHeight="1">
      <c r="A3890" s="1085">
        <v>39392.0</v>
      </c>
      <c r="B3890" s="1086" t="s">
        <v>9208</v>
      </c>
      <c r="C3890" s="1087" t="s">
        <v>1788</v>
      </c>
      <c r="D3890" s="1088">
        <v>75.74</v>
      </c>
      <c r="E3890" s="1089" t="s">
        <v>5308</v>
      </c>
      <c r="F3890" s="1081">
        <f t="shared" si="1"/>
        <v>0</v>
      </c>
      <c r="G3890" s="1083">
        <f t="shared" si="2"/>
        <v>75.74</v>
      </c>
      <c r="H3890" s="1084"/>
    </row>
    <row r="3891" ht="14.25" customHeight="1">
      <c r="A3891" s="1085">
        <v>39393.0</v>
      </c>
      <c r="B3891" s="1086" t="s">
        <v>9209</v>
      </c>
      <c r="C3891" s="1087" t="s">
        <v>1788</v>
      </c>
      <c r="D3891" s="1088">
        <v>46.84</v>
      </c>
      <c r="E3891" s="1089" t="s">
        <v>5308</v>
      </c>
      <c r="F3891" s="1081">
        <f t="shared" si="1"/>
        <v>0</v>
      </c>
      <c r="G3891" s="1083">
        <f t="shared" si="2"/>
        <v>46.84</v>
      </c>
      <c r="H3891" s="1084"/>
    </row>
    <row r="3892" ht="14.25" customHeight="1">
      <c r="A3892" s="1085">
        <v>39394.0</v>
      </c>
      <c r="B3892" s="1086" t="s">
        <v>9210</v>
      </c>
      <c r="C3892" s="1087" t="s">
        <v>1788</v>
      </c>
      <c r="D3892" s="1088">
        <v>52.72</v>
      </c>
      <c r="E3892" s="1089" t="s">
        <v>5308</v>
      </c>
      <c r="F3892" s="1081">
        <f t="shared" si="1"/>
        <v>0</v>
      </c>
      <c r="G3892" s="1083">
        <f t="shared" si="2"/>
        <v>52.72</v>
      </c>
      <c r="H3892" s="1084"/>
    </row>
    <row r="3893" ht="14.25" customHeight="1">
      <c r="A3893" s="1085">
        <v>39395.0</v>
      </c>
      <c r="B3893" s="1086" t="s">
        <v>9211</v>
      </c>
      <c r="C3893" s="1087" t="s">
        <v>1788</v>
      </c>
      <c r="D3893" s="1088">
        <v>49.03</v>
      </c>
      <c r="E3893" s="1089" t="s">
        <v>5308</v>
      </c>
      <c r="F3893" s="1081">
        <f t="shared" si="1"/>
        <v>0</v>
      </c>
      <c r="G3893" s="1083">
        <f t="shared" si="2"/>
        <v>49.03</v>
      </c>
      <c r="H3893" s="1084"/>
    </row>
    <row r="3894" ht="14.25" customHeight="1">
      <c r="A3894" s="1085">
        <v>14618.0</v>
      </c>
      <c r="B3894" s="1086" t="s">
        <v>9212</v>
      </c>
      <c r="C3894" s="1087" t="s">
        <v>1788</v>
      </c>
      <c r="D3894" s="1088">
        <v>1465.18</v>
      </c>
      <c r="E3894" s="1089" t="s">
        <v>5482</v>
      </c>
      <c r="F3894" s="1081">
        <f t="shared" si="1"/>
        <v>0</v>
      </c>
      <c r="G3894" s="1083">
        <f t="shared" si="2"/>
        <v>1465.18</v>
      </c>
      <c r="H3894" s="1084"/>
    </row>
    <row r="3895" ht="14.25" customHeight="1">
      <c r="A3895" s="1085">
        <v>40269.0</v>
      </c>
      <c r="B3895" s="1086" t="s">
        <v>9213</v>
      </c>
      <c r="C3895" s="1087" t="s">
        <v>1788</v>
      </c>
      <c r="D3895" s="1088">
        <v>5903.11</v>
      </c>
      <c r="E3895" s="1089" t="s">
        <v>5482</v>
      </c>
      <c r="F3895" s="1081">
        <f t="shared" si="1"/>
        <v>0</v>
      </c>
      <c r="G3895" s="1083">
        <f t="shared" si="2"/>
        <v>5903.11</v>
      </c>
      <c r="H3895" s="1084"/>
    </row>
    <row r="3896" ht="14.25" customHeight="1">
      <c r="A3896" s="1085">
        <v>6110.0</v>
      </c>
      <c r="B3896" s="1086" t="s">
        <v>9214</v>
      </c>
      <c r="C3896" s="1087" t="s">
        <v>1470</v>
      </c>
      <c r="D3896" s="1088">
        <v>20.82</v>
      </c>
      <c r="E3896" s="1089" t="s">
        <v>5452</v>
      </c>
      <c r="F3896" s="1081">
        <f t="shared" si="1"/>
        <v>20.82</v>
      </c>
      <c r="G3896" s="1083">
        <f t="shared" si="2"/>
        <v>0</v>
      </c>
      <c r="H3896" s="1084"/>
    </row>
    <row r="3897" ht="14.25" customHeight="1">
      <c r="A3897" s="1085">
        <v>40910.0</v>
      </c>
      <c r="B3897" s="1086" t="s">
        <v>9215</v>
      </c>
      <c r="C3897" s="1087" t="s">
        <v>5454</v>
      </c>
      <c r="D3897" s="1088">
        <v>3643.51</v>
      </c>
      <c r="E3897" s="1089" t="s">
        <v>5452</v>
      </c>
      <c r="F3897" s="1081">
        <f t="shared" si="1"/>
        <v>3643.51</v>
      </c>
      <c r="G3897" s="1083">
        <f t="shared" si="2"/>
        <v>0</v>
      </c>
      <c r="H3897" s="1084"/>
    </row>
    <row r="3898" ht="14.25" customHeight="1">
      <c r="A3898" s="1085">
        <v>6111.0</v>
      </c>
      <c r="B3898" s="1086" t="s">
        <v>9216</v>
      </c>
      <c r="C3898" s="1087" t="s">
        <v>1470</v>
      </c>
      <c r="D3898" s="1088">
        <v>14.7</v>
      </c>
      <c r="E3898" s="1089" t="s">
        <v>5452</v>
      </c>
      <c r="F3898" s="1081">
        <f t="shared" si="1"/>
        <v>14.7</v>
      </c>
      <c r="G3898" s="1083">
        <f t="shared" si="2"/>
        <v>0</v>
      </c>
      <c r="H3898" s="1084"/>
    </row>
    <row r="3899" ht="14.25" customHeight="1">
      <c r="A3899" s="1085">
        <v>41084.0</v>
      </c>
      <c r="B3899" s="1086" t="s">
        <v>9217</v>
      </c>
      <c r="C3899" s="1087" t="s">
        <v>5454</v>
      </c>
      <c r="D3899" s="1088">
        <v>2573.04</v>
      </c>
      <c r="E3899" s="1089" t="s">
        <v>5452</v>
      </c>
      <c r="F3899" s="1081">
        <f t="shared" si="1"/>
        <v>2573.04</v>
      </c>
      <c r="G3899" s="1083">
        <f t="shared" si="2"/>
        <v>0</v>
      </c>
      <c r="H3899" s="1084"/>
    </row>
    <row r="3900" ht="14.25" customHeight="1">
      <c r="A3900" s="1085">
        <v>44535.0</v>
      </c>
      <c r="B3900" s="1086" t="s">
        <v>9218</v>
      </c>
      <c r="C3900" s="1087" t="s">
        <v>2178</v>
      </c>
      <c r="D3900" s="1088">
        <v>41.84</v>
      </c>
      <c r="E3900" s="1089" t="s">
        <v>5554</v>
      </c>
      <c r="F3900" s="1081">
        <f t="shared" si="1"/>
        <v>0</v>
      </c>
      <c r="G3900" s="1083">
        <f t="shared" si="2"/>
        <v>41.84</v>
      </c>
      <c r="H3900" s="1084"/>
    </row>
    <row r="3901" ht="14.25" customHeight="1">
      <c r="A3901" s="1085">
        <v>44945.0</v>
      </c>
      <c r="B3901" s="1086" t="s">
        <v>9219</v>
      </c>
      <c r="C3901" s="1087" t="s">
        <v>1788</v>
      </c>
      <c r="D3901" s="1088">
        <v>9.49</v>
      </c>
      <c r="E3901" s="1089" t="s">
        <v>5554</v>
      </c>
      <c r="F3901" s="1081">
        <f t="shared" si="1"/>
        <v>0</v>
      </c>
      <c r="G3901" s="1083">
        <f t="shared" si="2"/>
        <v>9.49</v>
      </c>
      <c r="H3901" s="1084"/>
    </row>
    <row r="3902" ht="14.25" customHeight="1">
      <c r="A3902" s="1085">
        <v>38637.0</v>
      </c>
      <c r="B3902" s="1086" t="s">
        <v>9220</v>
      </c>
      <c r="C3902" s="1087" t="s">
        <v>1788</v>
      </c>
      <c r="D3902" s="1088">
        <v>342.48</v>
      </c>
      <c r="E3902" s="1089" t="s">
        <v>5308</v>
      </c>
      <c r="F3902" s="1081">
        <f t="shared" si="1"/>
        <v>0</v>
      </c>
      <c r="G3902" s="1083">
        <f t="shared" si="2"/>
        <v>342.48</v>
      </c>
      <c r="H3902" s="1084"/>
    </row>
    <row r="3903" ht="14.25" customHeight="1">
      <c r="A3903" s="1085">
        <v>6150.0</v>
      </c>
      <c r="B3903" s="1086" t="s">
        <v>9221</v>
      </c>
      <c r="C3903" s="1087" t="s">
        <v>1788</v>
      </c>
      <c r="D3903" s="1088">
        <v>346.67</v>
      </c>
      <c r="E3903" s="1089" t="s">
        <v>5308</v>
      </c>
      <c r="F3903" s="1081">
        <f t="shared" si="1"/>
        <v>0</v>
      </c>
      <c r="G3903" s="1083">
        <f t="shared" si="2"/>
        <v>346.67</v>
      </c>
      <c r="H3903" s="1084"/>
    </row>
    <row r="3904" ht="14.25" customHeight="1">
      <c r="A3904" s="1085">
        <v>6136.0</v>
      </c>
      <c r="B3904" s="1086" t="s">
        <v>9222</v>
      </c>
      <c r="C3904" s="1087" t="s">
        <v>1788</v>
      </c>
      <c r="D3904" s="1088">
        <v>272.5</v>
      </c>
      <c r="E3904" s="1089" t="s">
        <v>5308</v>
      </c>
      <c r="F3904" s="1081">
        <f t="shared" si="1"/>
        <v>0</v>
      </c>
      <c r="G3904" s="1083">
        <f t="shared" si="2"/>
        <v>272.5</v>
      </c>
      <c r="H3904" s="1084"/>
    </row>
    <row r="3905" ht="14.25" customHeight="1">
      <c r="A3905" s="1085">
        <v>38638.0</v>
      </c>
      <c r="B3905" s="1086" t="s">
        <v>9223</v>
      </c>
      <c r="C3905" s="1087" t="s">
        <v>1788</v>
      </c>
      <c r="D3905" s="1088">
        <v>288.6</v>
      </c>
      <c r="E3905" s="1089" t="s">
        <v>5308</v>
      </c>
      <c r="F3905" s="1081">
        <f t="shared" si="1"/>
        <v>0</v>
      </c>
      <c r="G3905" s="1083">
        <f t="shared" si="2"/>
        <v>288.6</v>
      </c>
      <c r="H3905" s="1084"/>
    </row>
    <row r="3906" ht="14.25" customHeight="1">
      <c r="A3906" s="1085">
        <v>20262.0</v>
      </c>
      <c r="B3906" s="1086" t="s">
        <v>9224</v>
      </c>
      <c r="C3906" s="1087" t="s">
        <v>1788</v>
      </c>
      <c r="D3906" s="1088">
        <v>17.38</v>
      </c>
      <c r="E3906" s="1089" t="s">
        <v>5308</v>
      </c>
      <c r="F3906" s="1081">
        <f t="shared" si="1"/>
        <v>0</v>
      </c>
      <c r="G3906" s="1083">
        <f t="shared" si="2"/>
        <v>17.38</v>
      </c>
      <c r="H3906" s="1084"/>
    </row>
    <row r="3907" ht="14.25" customHeight="1">
      <c r="A3907" s="1085">
        <v>6145.0</v>
      </c>
      <c r="B3907" s="1086" t="s">
        <v>9225</v>
      </c>
      <c r="C3907" s="1087" t="s">
        <v>1788</v>
      </c>
      <c r="D3907" s="1088">
        <v>19.2</v>
      </c>
      <c r="E3907" s="1089" t="s">
        <v>5308</v>
      </c>
      <c r="F3907" s="1081">
        <f t="shared" si="1"/>
        <v>0</v>
      </c>
      <c r="G3907" s="1083">
        <f t="shared" si="2"/>
        <v>19.2</v>
      </c>
      <c r="H3907" s="1084"/>
    </row>
    <row r="3908" ht="14.25" customHeight="1">
      <c r="A3908" s="1085">
        <v>6149.0</v>
      </c>
      <c r="B3908" s="1086" t="s">
        <v>9226</v>
      </c>
      <c r="C3908" s="1087" t="s">
        <v>1788</v>
      </c>
      <c r="D3908" s="1088">
        <v>12.69</v>
      </c>
      <c r="E3908" s="1089" t="s">
        <v>5308</v>
      </c>
      <c r="F3908" s="1081">
        <f t="shared" si="1"/>
        <v>0</v>
      </c>
      <c r="G3908" s="1083">
        <f t="shared" si="2"/>
        <v>12.69</v>
      </c>
      <c r="H3908" s="1084"/>
    </row>
    <row r="3909" ht="14.25" customHeight="1">
      <c r="A3909" s="1085">
        <v>6146.0</v>
      </c>
      <c r="B3909" s="1086" t="s">
        <v>9227</v>
      </c>
      <c r="C3909" s="1087" t="s">
        <v>1788</v>
      </c>
      <c r="D3909" s="1088">
        <v>18.24</v>
      </c>
      <c r="E3909" s="1089" t="s">
        <v>5308</v>
      </c>
      <c r="F3909" s="1081">
        <f t="shared" si="1"/>
        <v>0</v>
      </c>
      <c r="G3909" s="1083">
        <f t="shared" si="2"/>
        <v>18.24</v>
      </c>
      <c r="H3909" s="1084"/>
    </row>
    <row r="3910" ht="14.25" customHeight="1">
      <c r="A3910" s="1085">
        <v>44536.0</v>
      </c>
      <c r="B3910" s="1086" t="s">
        <v>9228</v>
      </c>
      <c r="C3910" s="1087" t="s">
        <v>3606</v>
      </c>
      <c r="D3910" s="1088">
        <v>2.82</v>
      </c>
      <c r="E3910" s="1089" t="s">
        <v>5554</v>
      </c>
      <c r="F3910" s="1081">
        <f t="shared" si="1"/>
        <v>0</v>
      </c>
      <c r="G3910" s="1083">
        <f t="shared" si="2"/>
        <v>2.82</v>
      </c>
      <c r="H3910" s="1084"/>
    </row>
    <row r="3911" ht="14.25" customHeight="1">
      <c r="A3911" s="1085">
        <v>39961.0</v>
      </c>
      <c r="B3911" s="1086" t="s">
        <v>9229</v>
      </c>
      <c r="C3911" s="1087" t="s">
        <v>1788</v>
      </c>
      <c r="D3911" s="1088">
        <v>22.15</v>
      </c>
      <c r="E3911" s="1089" t="s">
        <v>5308</v>
      </c>
      <c r="F3911" s="1081">
        <f t="shared" si="1"/>
        <v>0</v>
      </c>
      <c r="G3911" s="1083">
        <f t="shared" si="2"/>
        <v>22.15</v>
      </c>
      <c r="H3911" s="1084"/>
    </row>
    <row r="3912" ht="14.25" customHeight="1">
      <c r="A3912" s="1085">
        <v>42433.0</v>
      </c>
      <c r="B3912" s="1086" t="s">
        <v>9230</v>
      </c>
      <c r="C3912" s="1087" t="s">
        <v>1788</v>
      </c>
      <c r="D3912" s="1088">
        <v>4789.18</v>
      </c>
      <c r="E3912" s="1089" t="s">
        <v>5308</v>
      </c>
      <c r="F3912" s="1081">
        <f t="shared" si="1"/>
        <v>0</v>
      </c>
      <c r="G3912" s="1083">
        <f t="shared" si="2"/>
        <v>4789.18</v>
      </c>
      <c r="H3912" s="1084"/>
    </row>
    <row r="3913" ht="14.25" customHeight="1">
      <c r="A3913" s="1085">
        <v>42434.0</v>
      </c>
      <c r="B3913" s="1086" t="s">
        <v>9231</v>
      </c>
      <c r="C3913" s="1087" t="s">
        <v>1788</v>
      </c>
      <c r="D3913" s="1088">
        <v>5175.4</v>
      </c>
      <c r="E3913" s="1089" t="s">
        <v>5308</v>
      </c>
      <c r="F3913" s="1081">
        <f t="shared" si="1"/>
        <v>0</v>
      </c>
      <c r="G3913" s="1083">
        <f t="shared" si="2"/>
        <v>5175.4</v>
      </c>
      <c r="H3913" s="1084"/>
    </row>
    <row r="3914" ht="14.25" customHeight="1">
      <c r="A3914" s="1085">
        <v>42435.0</v>
      </c>
      <c r="B3914" s="1086" t="s">
        <v>9232</v>
      </c>
      <c r="C3914" s="1087" t="s">
        <v>1788</v>
      </c>
      <c r="D3914" s="1088">
        <v>2580.78</v>
      </c>
      <c r="E3914" s="1089" t="s">
        <v>5308</v>
      </c>
      <c r="F3914" s="1081">
        <f t="shared" si="1"/>
        <v>0</v>
      </c>
      <c r="G3914" s="1083">
        <f t="shared" si="2"/>
        <v>2580.78</v>
      </c>
      <c r="H3914" s="1084"/>
    </row>
    <row r="3915" ht="14.25" customHeight="1">
      <c r="A3915" s="1085">
        <v>38061.0</v>
      </c>
      <c r="B3915" s="1086" t="s">
        <v>9233</v>
      </c>
      <c r="C3915" s="1087" t="s">
        <v>1788</v>
      </c>
      <c r="D3915" s="1088">
        <v>44.21</v>
      </c>
      <c r="E3915" s="1089" t="s">
        <v>5308</v>
      </c>
      <c r="F3915" s="1081">
        <f t="shared" si="1"/>
        <v>0</v>
      </c>
      <c r="G3915" s="1083">
        <f t="shared" si="2"/>
        <v>44.21</v>
      </c>
      <c r="H3915" s="1084"/>
    </row>
    <row r="3916" ht="14.25" customHeight="1">
      <c r="A3916" s="1085">
        <v>20250.0</v>
      </c>
      <c r="B3916" s="1086" t="s">
        <v>9234</v>
      </c>
      <c r="C3916" s="1087" t="s">
        <v>3606</v>
      </c>
      <c r="D3916" s="1088">
        <v>15.0</v>
      </c>
      <c r="E3916" s="1089" t="s">
        <v>5308</v>
      </c>
      <c r="F3916" s="1081">
        <f t="shared" si="1"/>
        <v>0</v>
      </c>
      <c r="G3916" s="1083">
        <f t="shared" si="2"/>
        <v>15</v>
      </c>
      <c r="H3916" s="1084"/>
    </row>
    <row r="3917" ht="14.25" customHeight="1">
      <c r="A3917" s="1085">
        <v>13388.0</v>
      </c>
      <c r="B3917" s="1086" t="s">
        <v>9235</v>
      </c>
      <c r="C3917" s="1087" t="s">
        <v>3606</v>
      </c>
      <c r="D3917" s="1088">
        <v>160.54</v>
      </c>
      <c r="E3917" s="1089" t="s">
        <v>5308</v>
      </c>
      <c r="F3917" s="1081">
        <f t="shared" si="1"/>
        <v>0</v>
      </c>
      <c r="G3917" s="1083">
        <f t="shared" si="2"/>
        <v>160.54</v>
      </c>
      <c r="H3917" s="1084"/>
    </row>
    <row r="3918" ht="14.25" customHeight="1">
      <c r="A3918" s="1085">
        <v>39914.0</v>
      </c>
      <c r="B3918" s="1086" t="s">
        <v>9236</v>
      </c>
      <c r="C3918" s="1087" t="s">
        <v>3606</v>
      </c>
      <c r="D3918" s="1088">
        <v>246.88</v>
      </c>
      <c r="E3918" s="1089" t="s">
        <v>5308</v>
      </c>
      <c r="F3918" s="1081">
        <f t="shared" si="1"/>
        <v>0</v>
      </c>
      <c r="G3918" s="1083">
        <f t="shared" si="2"/>
        <v>246.88</v>
      </c>
      <c r="H3918" s="1084"/>
    </row>
    <row r="3919" ht="14.25" customHeight="1">
      <c r="A3919" s="1085">
        <v>12732.0</v>
      </c>
      <c r="B3919" s="1086" t="s">
        <v>9237</v>
      </c>
      <c r="C3919" s="1087" t="s">
        <v>1788</v>
      </c>
      <c r="D3919" s="1088">
        <v>284.87</v>
      </c>
      <c r="E3919" s="1089" t="s">
        <v>5308</v>
      </c>
      <c r="F3919" s="1081">
        <f t="shared" si="1"/>
        <v>0</v>
      </c>
      <c r="G3919" s="1083">
        <f t="shared" si="2"/>
        <v>284.87</v>
      </c>
      <c r="H3919" s="1084"/>
    </row>
    <row r="3920" ht="14.25" customHeight="1">
      <c r="A3920" s="1085">
        <v>6160.0</v>
      </c>
      <c r="B3920" s="1086" t="s">
        <v>9238</v>
      </c>
      <c r="C3920" s="1087" t="s">
        <v>1470</v>
      </c>
      <c r="D3920" s="1088">
        <v>21.4</v>
      </c>
      <c r="E3920" s="1089" t="s">
        <v>5452</v>
      </c>
      <c r="F3920" s="1081">
        <f t="shared" si="1"/>
        <v>21.4</v>
      </c>
      <c r="G3920" s="1083">
        <f t="shared" si="2"/>
        <v>0</v>
      </c>
      <c r="H3920" s="1084"/>
    </row>
    <row r="3921" ht="14.25" customHeight="1">
      <c r="A3921" s="1085">
        <v>41087.0</v>
      </c>
      <c r="B3921" s="1086" t="s">
        <v>9239</v>
      </c>
      <c r="C3921" s="1087" t="s">
        <v>5454</v>
      </c>
      <c r="D3921" s="1088">
        <v>3744.99</v>
      </c>
      <c r="E3921" s="1089" t="s">
        <v>5452</v>
      </c>
      <c r="F3921" s="1081">
        <f t="shared" si="1"/>
        <v>3744.99</v>
      </c>
      <c r="G3921" s="1083">
        <f t="shared" si="2"/>
        <v>0</v>
      </c>
      <c r="H3921" s="1084"/>
    </row>
    <row r="3922" ht="14.25" customHeight="1">
      <c r="A3922" s="1085">
        <v>6166.0</v>
      </c>
      <c r="B3922" s="1086" t="s">
        <v>9240</v>
      </c>
      <c r="C3922" s="1087" t="s">
        <v>1470</v>
      </c>
      <c r="D3922" s="1088">
        <v>17.32</v>
      </c>
      <c r="E3922" s="1089" t="s">
        <v>5452</v>
      </c>
      <c r="F3922" s="1081">
        <f t="shared" si="1"/>
        <v>17.32</v>
      </c>
      <c r="G3922" s="1083">
        <f t="shared" si="2"/>
        <v>0</v>
      </c>
      <c r="H3922" s="1084"/>
    </row>
    <row r="3923" ht="14.25" customHeight="1">
      <c r="A3923" s="1085">
        <v>41088.0</v>
      </c>
      <c r="B3923" s="1086" t="s">
        <v>9241</v>
      </c>
      <c r="C3923" s="1087" t="s">
        <v>5454</v>
      </c>
      <c r="D3923" s="1088">
        <v>3031.59</v>
      </c>
      <c r="E3923" s="1089" t="s">
        <v>5452</v>
      </c>
      <c r="F3923" s="1081">
        <f t="shared" si="1"/>
        <v>3031.59</v>
      </c>
      <c r="G3923" s="1083">
        <f t="shared" si="2"/>
        <v>0</v>
      </c>
      <c r="H3923" s="1084"/>
    </row>
    <row r="3924" ht="14.25" customHeight="1">
      <c r="A3924" s="1085">
        <v>20232.0</v>
      </c>
      <c r="B3924" s="1086" t="s">
        <v>9242</v>
      </c>
      <c r="C3924" s="1087" t="s">
        <v>1731</v>
      </c>
      <c r="D3924" s="1088">
        <v>84.27</v>
      </c>
      <c r="E3924" s="1089" t="s">
        <v>5308</v>
      </c>
      <c r="F3924" s="1081">
        <f t="shared" si="1"/>
        <v>0</v>
      </c>
      <c r="G3924" s="1083">
        <f t="shared" si="2"/>
        <v>84.27</v>
      </c>
      <c r="H3924" s="1084"/>
    </row>
    <row r="3925" ht="14.25" customHeight="1">
      <c r="A3925" s="1085">
        <v>10856.0</v>
      </c>
      <c r="B3925" s="1086" t="s">
        <v>9243</v>
      </c>
      <c r="C3925" s="1087" t="s">
        <v>1731</v>
      </c>
      <c r="D3925" s="1088">
        <v>103.78</v>
      </c>
      <c r="E3925" s="1089" t="s">
        <v>5308</v>
      </c>
      <c r="F3925" s="1081">
        <f t="shared" si="1"/>
        <v>0</v>
      </c>
      <c r="G3925" s="1083">
        <f t="shared" si="2"/>
        <v>103.78</v>
      </c>
      <c r="H3925" s="1084"/>
    </row>
    <row r="3926" ht="14.25" customHeight="1">
      <c r="A3926" s="1085">
        <v>4828.0</v>
      </c>
      <c r="B3926" s="1086" t="s">
        <v>9244</v>
      </c>
      <c r="C3926" s="1087" t="s">
        <v>1731</v>
      </c>
      <c r="D3926" s="1088">
        <v>87.14</v>
      </c>
      <c r="E3926" s="1089" t="s">
        <v>5308</v>
      </c>
      <c r="F3926" s="1081">
        <f t="shared" si="1"/>
        <v>0</v>
      </c>
      <c r="G3926" s="1083">
        <f t="shared" si="2"/>
        <v>87.14</v>
      </c>
      <c r="H3926" s="1084"/>
    </row>
    <row r="3927" ht="14.25" customHeight="1">
      <c r="A3927" s="1085">
        <v>20249.0</v>
      </c>
      <c r="B3927" s="1086" t="s">
        <v>9245</v>
      </c>
      <c r="C3927" s="1087" t="s">
        <v>1731</v>
      </c>
      <c r="D3927" s="1088">
        <v>47.71</v>
      </c>
      <c r="E3927" s="1089" t="s">
        <v>5308</v>
      </c>
      <c r="F3927" s="1081">
        <f t="shared" si="1"/>
        <v>0</v>
      </c>
      <c r="G3927" s="1083">
        <f t="shared" si="2"/>
        <v>47.71</v>
      </c>
      <c r="H3927" s="1084"/>
    </row>
    <row r="3928" ht="14.25" customHeight="1">
      <c r="A3928" s="1085">
        <v>11609.0</v>
      </c>
      <c r="B3928" s="1086" t="s">
        <v>9246</v>
      </c>
      <c r="C3928" s="1087" t="s">
        <v>2386</v>
      </c>
      <c r="D3928" s="1088">
        <v>11.8</v>
      </c>
      <c r="E3928" s="1089" t="s">
        <v>5308</v>
      </c>
      <c r="F3928" s="1081">
        <f t="shared" si="1"/>
        <v>0</v>
      </c>
      <c r="G3928" s="1083">
        <f t="shared" si="2"/>
        <v>11.8</v>
      </c>
      <c r="H3928" s="1084"/>
    </row>
    <row r="3929" ht="14.25" customHeight="1">
      <c r="A3929" s="1085">
        <v>20083.0</v>
      </c>
      <c r="B3929" s="1086" t="s">
        <v>9247</v>
      </c>
      <c r="C3929" s="1087" t="s">
        <v>1788</v>
      </c>
      <c r="D3929" s="1088">
        <v>79.06</v>
      </c>
      <c r="E3929" s="1089" t="s">
        <v>5308</v>
      </c>
      <c r="F3929" s="1081">
        <f t="shared" si="1"/>
        <v>0</v>
      </c>
      <c r="G3929" s="1083">
        <f t="shared" si="2"/>
        <v>79.06</v>
      </c>
      <c r="H3929" s="1084"/>
    </row>
    <row r="3930" ht="14.25" customHeight="1">
      <c r="A3930" s="1085">
        <v>10691.0</v>
      </c>
      <c r="B3930" s="1086" t="s">
        <v>9248</v>
      </c>
      <c r="C3930" s="1087" t="s">
        <v>2386</v>
      </c>
      <c r="D3930" s="1088">
        <v>83.23</v>
      </c>
      <c r="E3930" s="1089" t="s">
        <v>5308</v>
      </c>
      <c r="F3930" s="1081">
        <f t="shared" si="1"/>
        <v>0</v>
      </c>
      <c r="G3930" s="1083">
        <f t="shared" si="2"/>
        <v>83.23</v>
      </c>
      <c r="H3930" s="1084"/>
    </row>
    <row r="3931" ht="14.25" customHeight="1">
      <c r="A3931" s="1085">
        <v>12295.0</v>
      </c>
      <c r="B3931" s="1086" t="s">
        <v>9249</v>
      </c>
      <c r="C3931" s="1087" t="s">
        <v>1788</v>
      </c>
      <c r="D3931" s="1088">
        <v>3.45</v>
      </c>
      <c r="E3931" s="1089" t="s">
        <v>5308</v>
      </c>
      <c r="F3931" s="1081">
        <f t="shared" si="1"/>
        <v>0</v>
      </c>
      <c r="G3931" s="1083">
        <f t="shared" si="2"/>
        <v>3.45</v>
      </c>
      <c r="H3931" s="1084"/>
    </row>
    <row r="3932" ht="14.25" customHeight="1">
      <c r="A3932" s="1085">
        <v>12296.0</v>
      </c>
      <c r="B3932" s="1086" t="s">
        <v>9250</v>
      </c>
      <c r="C3932" s="1087" t="s">
        <v>1788</v>
      </c>
      <c r="D3932" s="1088">
        <v>4.47</v>
      </c>
      <c r="E3932" s="1089" t="s">
        <v>5308</v>
      </c>
      <c r="F3932" s="1081">
        <f t="shared" si="1"/>
        <v>0</v>
      </c>
      <c r="G3932" s="1083">
        <f t="shared" si="2"/>
        <v>4.47</v>
      </c>
      <c r="H3932" s="1084"/>
    </row>
    <row r="3933" ht="14.25" customHeight="1">
      <c r="A3933" s="1085">
        <v>12294.0</v>
      </c>
      <c r="B3933" s="1086" t="s">
        <v>9251</v>
      </c>
      <c r="C3933" s="1087" t="s">
        <v>1788</v>
      </c>
      <c r="D3933" s="1088">
        <v>10.74</v>
      </c>
      <c r="E3933" s="1089" t="s">
        <v>5308</v>
      </c>
      <c r="F3933" s="1081">
        <f t="shared" si="1"/>
        <v>0</v>
      </c>
      <c r="G3933" s="1083">
        <f t="shared" si="2"/>
        <v>10.74</v>
      </c>
      <c r="H3933" s="1084"/>
    </row>
    <row r="3934" ht="14.25" customHeight="1">
      <c r="A3934" s="1085">
        <v>14543.0</v>
      </c>
      <c r="B3934" s="1086" t="s">
        <v>9252</v>
      </c>
      <c r="C3934" s="1087" t="s">
        <v>1788</v>
      </c>
      <c r="D3934" s="1088">
        <v>7.66</v>
      </c>
      <c r="E3934" s="1089" t="s">
        <v>5308</v>
      </c>
      <c r="F3934" s="1081">
        <f t="shared" si="1"/>
        <v>0</v>
      </c>
      <c r="G3934" s="1083">
        <f t="shared" si="2"/>
        <v>7.66</v>
      </c>
      <c r="H3934" s="1084"/>
    </row>
    <row r="3935" ht="14.25" customHeight="1">
      <c r="A3935" s="1085">
        <v>13329.0</v>
      </c>
      <c r="B3935" s="1086" t="s">
        <v>9253</v>
      </c>
      <c r="C3935" s="1087" t="s">
        <v>1788</v>
      </c>
      <c r="D3935" s="1088">
        <v>4.5</v>
      </c>
      <c r="E3935" s="1089" t="s">
        <v>5308</v>
      </c>
      <c r="F3935" s="1081">
        <f t="shared" si="1"/>
        <v>0</v>
      </c>
      <c r="G3935" s="1083">
        <f t="shared" si="2"/>
        <v>4.5</v>
      </c>
      <c r="H3935" s="1084"/>
    </row>
    <row r="3936" ht="14.25" customHeight="1">
      <c r="A3936" s="1085">
        <v>21047.0</v>
      </c>
      <c r="B3936" s="1086" t="s">
        <v>9254</v>
      </c>
      <c r="C3936" s="1087" t="s">
        <v>1788</v>
      </c>
      <c r="D3936" s="1088">
        <v>70.81</v>
      </c>
      <c r="E3936" s="1089" t="s">
        <v>5308</v>
      </c>
      <c r="F3936" s="1081">
        <f t="shared" si="1"/>
        <v>0</v>
      </c>
      <c r="G3936" s="1083">
        <f t="shared" si="2"/>
        <v>70.81</v>
      </c>
      <c r="H3936" s="1084"/>
    </row>
    <row r="3937" ht="14.25" customHeight="1">
      <c r="A3937" s="1085">
        <v>21042.0</v>
      </c>
      <c r="B3937" s="1086" t="s">
        <v>9255</v>
      </c>
      <c r="C3937" s="1087" t="s">
        <v>1788</v>
      </c>
      <c r="D3937" s="1088">
        <v>54.58</v>
      </c>
      <c r="E3937" s="1089" t="s">
        <v>5308</v>
      </c>
      <c r="F3937" s="1081">
        <f t="shared" si="1"/>
        <v>0</v>
      </c>
      <c r="G3937" s="1083">
        <f t="shared" si="2"/>
        <v>54.58</v>
      </c>
      <c r="H3937" s="1084"/>
    </row>
    <row r="3938" ht="14.25" customHeight="1">
      <c r="A3938" s="1085">
        <v>21043.0</v>
      </c>
      <c r="B3938" s="1086" t="s">
        <v>9256</v>
      </c>
      <c r="C3938" s="1087" t="s">
        <v>1788</v>
      </c>
      <c r="D3938" s="1088">
        <v>68.94</v>
      </c>
      <c r="E3938" s="1089" t="s">
        <v>5308</v>
      </c>
      <c r="F3938" s="1081">
        <f t="shared" si="1"/>
        <v>0</v>
      </c>
      <c r="G3938" s="1083">
        <f t="shared" si="2"/>
        <v>68.94</v>
      </c>
      <c r="H3938" s="1084"/>
    </row>
    <row r="3939" ht="14.25" customHeight="1">
      <c r="A3939" s="1085">
        <v>21044.0</v>
      </c>
      <c r="B3939" s="1086" t="s">
        <v>9257</v>
      </c>
      <c r="C3939" s="1087" t="s">
        <v>1788</v>
      </c>
      <c r="D3939" s="1088">
        <v>48.03</v>
      </c>
      <c r="E3939" s="1089" t="s">
        <v>5308</v>
      </c>
      <c r="F3939" s="1081">
        <f t="shared" si="1"/>
        <v>0</v>
      </c>
      <c r="G3939" s="1083">
        <f t="shared" si="2"/>
        <v>48.03</v>
      </c>
      <c r="H3939" s="1084"/>
    </row>
    <row r="3940" ht="14.25" customHeight="1">
      <c r="A3940" s="1085">
        <v>21045.0</v>
      </c>
      <c r="B3940" s="1086" t="s">
        <v>9258</v>
      </c>
      <c r="C3940" s="1087" t="s">
        <v>1788</v>
      </c>
      <c r="D3940" s="1088">
        <v>65.78</v>
      </c>
      <c r="E3940" s="1089" t="s">
        <v>5308</v>
      </c>
      <c r="F3940" s="1081">
        <f t="shared" si="1"/>
        <v>0</v>
      </c>
      <c r="G3940" s="1083">
        <f t="shared" si="2"/>
        <v>65.78</v>
      </c>
      <c r="H3940" s="1084"/>
    </row>
    <row r="3941" ht="14.25" customHeight="1">
      <c r="A3941" s="1085">
        <v>21041.0</v>
      </c>
      <c r="B3941" s="1086" t="s">
        <v>9259</v>
      </c>
      <c r="C3941" s="1087" t="s">
        <v>1788</v>
      </c>
      <c r="D3941" s="1088">
        <v>56.73</v>
      </c>
      <c r="E3941" s="1089" t="s">
        <v>5308</v>
      </c>
      <c r="F3941" s="1081">
        <f t="shared" si="1"/>
        <v>0</v>
      </c>
      <c r="G3941" s="1083">
        <f t="shared" si="2"/>
        <v>56.73</v>
      </c>
      <c r="H3941" s="1084"/>
    </row>
    <row r="3942" ht="14.25" customHeight="1">
      <c r="A3942" s="1085">
        <v>21040.0</v>
      </c>
      <c r="B3942" s="1086" t="s">
        <v>9260</v>
      </c>
      <c r="C3942" s="1087" t="s">
        <v>1788</v>
      </c>
      <c r="D3942" s="1088">
        <v>47.0</v>
      </c>
      <c r="E3942" s="1089" t="s">
        <v>5308</v>
      </c>
      <c r="F3942" s="1081">
        <f t="shared" si="1"/>
        <v>0</v>
      </c>
      <c r="G3942" s="1083">
        <f t="shared" si="2"/>
        <v>47</v>
      </c>
      <c r="H3942" s="1084"/>
    </row>
    <row r="3943" ht="14.25" customHeight="1">
      <c r="A3943" s="1085">
        <v>14149.0</v>
      </c>
      <c r="B3943" s="1086" t="s">
        <v>9261</v>
      </c>
      <c r="C3943" s="1087" t="s">
        <v>7392</v>
      </c>
      <c r="D3943" s="1088">
        <v>182.88</v>
      </c>
      <c r="E3943" s="1089" t="s">
        <v>5308</v>
      </c>
      <c r="F3943" s="1081">
        <f t="shared" si="1"/>
        <v>0</v>
      </c>
      <c r="G3943" s="1083">
        <f t="shared" si="2"/>
        <v>182.88</v>
      </c>
      <c r="H3943" s="1084"/>
    </row>
    <row r="3944" ht="14.25" customHeight="1">
      <c r="A3944" s="1085">
        <v>38099.0</v>
      </c>
      <c r="B3944" s="1086" t="s">
        <v>9262</v>
      </c>
      <c r="C3944" s="1087" t="s">
        <v>1788</v>
      </c>
      <c r="D3944" s="1088">
        <v>1.63</v>
      </c>
      <c r="E3944" s="1089" t="s">
        <v>5308</v>
      </c>
      <c r="F3944" s="1081">
        <f t="shared" si="1"/>
        <v>0</v>
      </c>
      <c r="G3944" s="1083">
        <f t="shared" si="2"/>
        <v>1.63</v>
      </c>
      <c r="H3944" s="1084"/>
    </row>
    <row r="3945" ht="14.25" customHeight="1">
      <c r="A3945" s="1085">
        <v>38100.0</v>
      </c>
      <c r="B3945" s="1086" t="s">
        <v>9263</v>
      </c>
      <c r="C3945" s="1087" t="s">
        <v>1788</v>
      </c>
      <c r="D3945" s="1088">
        <v>2.66</v>
      </c>
      <c r="E3945" s="1089" t="s">
        <v>5308</v>
      </c>
      <c r="F3945" s="1081">
        <f t="shared" si="1"/>
        <v>0</v>
      </c>
      <c r="G3945" s="1083">
        <f t="shared" si="2"/>
        <v>2.66</v>
      </c>
      <c r="H3945" s="1084"/>
    </row>
    <row r="3946" ht="14.25" customHeight="1">
      <c r="A3946" s="1085">
        <v>7576.0</v>
      </c>
      <c r="B3946" s="1086" t="s">
        <v>9264</v>
      </c>
      <c r="C3946" s="1087" t="s">
        <v>1788</v>
      </c>
      <c r="D3946" s="1088">
        <v>109.41</v>
      </c>
      <c r="E3946" s="1089" t="s">
        <v>5308</v>
      </c>
      <c r="F3946" s="1081">
        <f t="shared" si="1"/>
        <v>0</v>
      </c>
      <c r="G3946" s="1083">
        <f t="shared" si="2"/>
        <v>109.41</v>
      </c>
      <c r="H3946" s="1084"/>
    </row>
    <row r="3947" ht="14.25" customHeight="1">
      <c r="A3947" s="1085">
        <v>3384.0</v>
      </c>
      <c r="B3947" s="1086" t="s">
        <v>9265</v>
      </c>
      <c r="C3947" s="1087" t="s">
        <v>1788</v>
      </c>
      <c r="D3947" s="1088">
        <v>7.5</v>
      </c>
      <c r="E3947" s="1089" t="s">
        <v>5308</v>
      </c>
      <c r="F3947" s="1081">
        <f t="shared" si="1"/>
        <v>0</v>
      </c>
      <c r="G3947" s="1083">
        <f t="shared" si="2"/>
        <v>7.5</v>
      </c>
      <c r="H3947" s="1084"/>
    </row>
    <row r="3948" ht="14.25" customHeight="1">
      <c r="A3948" s="1085">
        <v>7572.0</v>
      </c>
      <c r="B3948" s="1086" t="s">
        <v>9266</v>
      </c>
      <c r="C3948" s="1087" t="s">
        <v>1788</v>
      </c>
      <c r="D3948" s="1088">
        <v>7.23</v>
      </c>
      <c r="E3948" s="1089" t="s">
        <v>5308</v>
      </c>
      <c r="F3948" s="1081">
        <f t="shared" si="1"/>
        <v>0</v>
      </c>
      <c r="G3948" s="1083">
        <f t="shared" si="2"/>
        <v>7.23</v>
      </c>
      <c r="H3948" s="1084"/>
    </row>
    <row r="3949" ht="14.25" customHeight="1">
      <c r="A3949" s="1085">
        <v>3396.0</v>
      </c>
      <c r="B3949" s="1086" t="s">
        <v>9267</v>
      </c>
      <c r="C3949" s="1087" t="s">
        <v>1788</v>
      </c>
      <c r="D3949" s="1088">
        <v>4.88</v>
      </c>
      <c r="E3949" s="1089" t="s">
        <v>5308</v>
      </c>
      <c r="F3949" s="1081">
        <f t="shared" si="1"/>
        <v>0</v>
      </c>
      <c r="G3949" s="1083">
        <f t="shared" si="2"/>
        <v>4.88</v>
      </c>
      <c r="H3949" s="1084"/>
    </row>
    <row r="3950" ht="14.25" customHeight="1">
      <c r="A3950" s="1085">
        <v>37590.0</v>
      </c>
      <c r="B3950" s="1086" t="s">
        <v>9268</v>
      </c>
      <c r="C3950" s="1087" t="s">
        <v>1788</v>
      </c>
      <c r="D3950" s="1088">
        <v>21.92</v>
      </c>
      <c r="E3950" s="1089" t="s">
        <v>5308</v>
      </c>
      <c r="F3950" s="1081">
        <f t="shared" si="1"/>
        <v>0</v>
      </c>
      <c r="G3950" s="1083">
        <f t="shared" si="2"/>
        <v>21.92</v>
      </c>
      <c r="H3950" s="1084"/>
    </row>
    <row r="3951" ht="14.25" customHeight="1">
      <c r="A3951" s="1085">
        <v>37591.0</v>
      </c>
      <c r="B3951" s="1086" t="s">
        <v>9269</v>
      </c>
      <c r="C3951" s="1087" t="s">
        <v>1788</v>
      </c>
      <c r="D3951" s="1088">
        <v>26.35</v>
      </c>
      <c r="E3951" s="1089" t="s">
        <v>5308</v>
      </c>
      <c r="F3951" s="1081">
        <f t="shared" si="1"/>
        <v>0</v>
      </c>
      <c r="G3951" s="1083">
        <f t="shared" si="2"/>
        <v>26.35</v>
      </c>
      <c r="H3951" s="1084"/>
    </row>
    <row r="3952" ht="14.25" customHeight="1">
      <c r="A3952" s="1085">
        <v>12626.0</v>
      </c>
      <c r="B3952" s="1086" t="s">
        <v>9270</v>
      </c>
      <c r="C3952" s="1087" t="s">
        <v>1788</v>
      </c>
      <c r="D3952" s="1088">
        <v>46.58</v>
      </c>
      <c r="E3952" s="1089" t="s">
        <v>5308</v>
      </c>
      <c r="F3952" s="1081">
        <f t="shared" si="1"/>
        <v>0</v>
      </c>
      <c r="G3952" s="1083">
        <f t="shared" si="2"/>
        <v>46.58</v>
      </c>
      <c r="H3952" s="1084"/>
    </row>
    <row r="3953" ht="14.25" customHeight="1">
      <c r="A3953" s="1085">
        <v>11033.0</v>
      </c>
      <c r="B3953" s="1086" t="s">
        <v>9271</v>
      </c>
      <c r="C3953" s="1087" t="s">
        <v>1788</v>
      </c>
      <c r="D3953" s="1088">
        <v>5.23</v>
      </c>
      <c r="E3953" s="1089" t="s">
        <v>5308</v>
      </c>
      <c r="F3953" s="1081">
        <f t="shared" si="1"/>
        <v>0</v>
      </c>
      <c r="G3953" s="1083">
        <f t="shared" si="2"/>
        <v>5.23</v>
      </c>
      <c r="H3953" s="1084"/>
    </row>
    <row r="3954" ht="14.25" customHeight="1">
      <c r="A3954" s="1085">
        <v>390.0</v>
      </c>
      <c r="B3954" s="1086" t="s">
        <v>9272</v>
      </c>
      <c r="C3954" s="1087" t="s">
        <v>1788</v>
      </c>
      <c r="D3954" s="1088">
        <v>8.84</v>
      </c>
      <c r="E3954" s="1089" t="s">
        <v>5308</v>
      </c>
      <c r="F3954" s="1081">
        <f t="shared" si="1"/>
        <v>0</v>
      </c>
      <c r="G3954" s="1083">
        <f t="shared" si="2"/>
        <v>8.84</v>
      </c>
      <c r="H3954" s="1084"/>
    </row>
    <row r="3955" ht="14.25" customHeight="1">
      <c r="A3955" s="1085">
        <v>42436.0</v>
      </c>
      <c r="B3955" s="1086" t="s">
        <v>9273</v>
      </c>
      <c r="C3955" s="1087" t="s">
        <v>1788</v>
      </c>
      <c r="D3955" s="1088">
        <v>2701.34</v>
      </c>
      <c r="E3955" s="1089" t="s">
        <v>5308</v>
      </c>
      <c r="F3955" s="1081">
        <f t="shared" si="1"/>
        <v>0</v>
      </c>
      <c r="G3955" s="1083">
        <f t="shared" si="2"/>
        <v>2701.34</v>
      </c>
      <c r="H3955" s="1084"/>
    </row>
    <row r="3956" ht="14.25" customHeight="1">
      <c r="A3956" s="1085">
        <v>6193.0</v>
      </c>
      <c r="B3956" s="1086" t="s">
        <v>9274</v>
      </c>
      <c r="C3956" s="1087" t="s">
        <v>1731</v>
      </c>
      <c r="D3956" s="1088">
        <v>26.0</v>
      </c>
      <c r="E3956" s="1089" t="s">
        <v>5308</v>
      </c>
      <c r="F3956" s="1081">
        <f t="shared" si="1"/>
        <v>0</v>
      </c>
      <c r="G3956" s="1083">
        <f t="shared" si="2"/>
        <v>26</v>
      </c>
      <c r="H3956" s="1084"/>
    </row>
    <row r="3957" ht="14.25" customHeight="1">
      <c r="A3957" s="1085">
        <v>6194.0</v>
      </c>
      <c r="B3957" s="1086" t="s">
        <v>9275</v>
      </c>
      <c r="C3957" s="1087" t="s">
        <v>1731</v>
      </c>
      <c r="D3957" s="1088">
        <v>4.95</v>
      </c>
      <c r="E3957" s="1089" t="s">
        <v>5308</v>
      </c>
      <c r="F3957" s="1081">
        <f t="shared" si="1"/>
        <v>0</v>
      </c>
      <c r="G3957" s="1083">
        <f t="shared" si="2"/>
        <v>4.95</v>
      </c>
      <c r="H3957" s="1084"/>
    </row>
    <row r="3958" ht="14.25" customHeight="1">
      <c r="A3958" s="1085">
        <v>10567.0</v>
      </c>
      <c r="B3958" s="1086" t="s">
        <v>9276</v>
      </c>
      <c r="C3958" s="1087" t="s">
        <v>1731</v>
      </c>
      <c r="D3958" s="1088">
        <v>7.84</v>
      </c>
      <c r="E3958" s="1089" t="s">
        <v>5308</v>
      </c>
      <c r="F3958" s="1081">
        <f t="shared" si="1"/>
        <v>0</v>
      </c>
      <c r="G3958" s="1083">
        <f t="shared" si="2"/>
        <v>7.84</v>
      </c>
      <c r="H3958" s="1084"/>
    </row>
    <row r="3959" ht="14.25" customHeight="1">
      <c r="A3959" s="1085">
        <v>6212.0</v>
      </c>
      <c r="B3959" s="1086" t="s">
        <v>9277</v>
      </c>
      <c r="C3959" s="1087" t="s">
        <v>1731</v>
      </c>
      <c r="D3959" s="1088">
        <v>11.51</v>
      </c>
      <c r="E3959" s="1089" t="s">
        <v>5308</v>
      </c>
      <c r="F3959" s="1081">
        <f t="shared" si="1"/>
        <v>0</v>
      </c>
      <c r="G3959" s="1083">
        <f t="shared" si="2"/>
        <v>11.51</v>
      </c>
      <c r="H3959" s="1084"/>
    </row>
    <row r="3960" ht="14.25" customHeight="1">
      <c r="A3960" s="1085">
        <v>3993.0</v>
      </c>
      <c r="B3960" s="1086" t="s">
        <v>9278</v>
      </c>
      <c r="C3960" s="1087" t="s">
        <v>1814</v>
      </c>
      <c r="D3960" s="1088">
        <v>168.06</v>
      </c>
      <c r="E3960" s="1089" t="s">
        <v>5308</v>
      </c>
      <c r="F3960" s="1081">
        <f t="shared" si="1"/>
        <v>0</v>
      </c>
      <c r="G3960" s="1083">
        <f t="shared" si="2"/>
        <v>168.06</v>
      </c>
      <c r="H3960" s="1084"/>
    </row>
    <row r="3961" ht="14.25" customHeight="1">
      <c r="A3961" s="1085">
        <v>3990.0</v>
      </c>
      <c r="B3961" s="1086" t="s">
        <v>9279</v>
      </c>
      <c r="C3961" s="1087" t="s">
        <v>1731</v>
      </c>
      <c r="D3961" s="1088">
        <v>31.62</v>
      </c>
      <c r="E3961" s="1089" t="s">
        <v>5308</v>
      </c>
      <c r="F3961" s="1081">
        <f t="shared" si="1"/>
        <v>0</v>
      </c>
      <c r="G3961" s="1083">
        <f t="shared" si="2"/>
        <v>31.62</v>
      </c>
      <c r="H3961" s="1084"/>
    </row>
    <row r="3962" ht="14.25" customHeight="1">
      <c r="A3962" s="1085">
        <v>3992.0</v>
      </c>
      <c r="B3962" s="1086" t="s">
        <v>9280</v>
      </c>
      <c r="C3962" s="1087" t="s">
        <v>1731</v>
      </c>
      <c r="D3962" s="1088">
        <v>42.69</v>
      </c>
      <c r="E3962" s="1089" t="s">
        <v>5308</v>
      </c>
      <c r="F3962" s="1081">
        <f t="shared" si="1"/>
        <v>0</v>
      </c>
      <c r="G3962" s="1083">
        <f t="shared" si="2"/>
        <v>42.69</v>
      </c>
      <c r="H3962" s="1084"/>
    </row>
    <row r="3963" ht="14.25" customHeight="1">
      <c r="A3963" s="1085">
        <v>6178.0</v>
      </c>
      <c r="B3963" s="1086" t="s">
        <v>9281</v>
      </c>
      <c r="C3963" s="1087" t="s">
        <v>1814</v>
      </c>
      <c r="D3963" s="1088">
        <v>227.01</v>
      </c>
      <c r="E3963" s="1089" t="s">
        <v>5308</v>
      </c>
      <c r="F3963" s="1081">
        <f t="shared" si="1"/>
        <v>0</v>
      </c>
      <c r="G3963" s="1083">
        <f t="shared" si="2"/>
        <v>227.01</v>
      </c>
      <c r="H3963" s="1084"/>
    </row>
    <row r="3964" ht="14.25" customHeight="1">
      <c r="A3964" s="1085">
        <v>6180.0</v>
      </c>
      <c r="B3964" s="1086" t="s">
        <v>9282</v>
      </c>
      <c r="C3964" s="1087" t="s">
        <v>1814</v>
      </c>
      <c r="D3964" s="1088">
        <v>245.0</v>
      </c>
      <c r="E3964" s="1089" t="s">
        <v>5308</v>
      </c>
      <c r="F3964" s="1081">
        <f t="shared" si="1"/>
        <v>0</v>
      </c>
      <c r="G3964" s="1083">
        <f t="shared" si="2"/>
        <v>245</v>
      </c>
      <c r="H3964" s="1084"/>
    </row>
    <row r="3965" ht="14.25" customHeight="1">
      <c r="A3965" s="1085">
        <v>6182.0</v>
      </c>
      <c r="B3965" s="1086" t="s">
        <v>9283</v>
      </c>
      <c r="C3965" s="1087" t="s">
        <v>1814</v>
      </c>
      <c r="D3965" s="1088">
        <v>304.1</v>
      </c>
      <c r="E3965" s="1089" t="s">
        <v>5308</v>
      </c>
      <c r="F3965" s="1081">
        <f t="shared" si="1"/>
        <v>0</v>
      </c>
      <c r="G3965" s="1083">
        <f t="shared" si="2"/>
        <v>304.1</v>
      </c>
      <c r="H3965" s="1084"/>
    </row>
    <row r="3966" ht="14.25" customHeight="1">
      <c r="A3966" s="1085">
        <v>43614.0</v>
      </c>
      <c r="B3966" s="1086" t="s">
        <v>9284</v>
      </c>
      <c r="C3966" s="1087" t="s">
        <v>1731</v>
      </c>
      <c r="D3966" s="1088">
        <v>21.36</v>
      </c>
      <c r="E3966" s="1089" t="s">
        <v>5308</v>
      </c>
      <c r="F3966" s="1081">
        <f t="shared" si="1"/>
        <v>0</v>
      </c>
      <c r="G3966" s="1083">
        <f t="shared" si="2"/>
        <v>21.36</v>
      </c>
      <c r="H3966" s="1084"/>
    </row>
    <row r="3967" ht="14.25" customHeight="1">
      <c r="A3967" s="1085">
        <v>6189.0</v>
      </c>
      <c r="B3967" s="1086" t="s">
        <v>9285</v>
      </c>
      <c r="C3967" s="1087" t="s">
        <v>1731</v>
      </c>
      <c r="D3967" s="1088">
        <v>37.95</v>
      </c>
      <c r="E3967" s="1089" t="s">
        <v>5308</v>
      </c>
      <c r="F3967" s="1081">
        <f t="shared" si="1"/>
        <v>0</v>
      </c>
      <c r="G3967" s="1083">
        <f t="shared" si="2"/>
        <v>37.95</v>
      </c>
      <c r="H3967" s="1084"/>
    </row>
    <row r="3968" ht="14.25" customHeight="1">
      <c r="A3968" s="1085">
        <v>6214.0</v>
      </c>
      <c r="B3968" s="1086" t="s">
        <v>9286</v>
      </c>
      <c r="C3968" s="1087" t="s">
        <v>1814</v>
      </c>
      <c r="D3968" s="1088">
        <v>142.2</v>
      </c>
      <c r="E3968" s="1089" t="s">
        <v>5308</v>
      </c>
      <c r="F3968" s="1081">
        <f t="shared" si="1"/>
        <v>0</v>
      </c>
      <c r="G3968" s="1083">
        <f t="shared" si="2"/>
        <v>142.2</v>
      </c>
      <c r="H3968" s="1084"/>
    </row>
    <row r="3969" ht="14.25" customHeight="1">
      <c r="A3969" s="1085">
        <v>36153.0</v>
      </c>
      <c r="B3969" s="1086" t="s">
        <v>9287</v>
      </c>
      <c r="C3969" s="1087" t="s">
        <v>1788</v>
      </c>
      <c r="D3969" s="1088">
        <v>200.62</v>
      </c>
      <c r="E3969" s="1089" t="s">
        <v>5308</v>
      </c>
      <c r="F3969" s="1081">
        <f t="shared" si="1"/>
        <v>0</v>
      </c>
      <c r="G3969" s="1083">
        <f t="shared" si="2"/>
        <v>200.62</v>
      </c>
      <c r="H3969" s="1084"/>
    </row>
    <row r="3970" ht="14.25" customHeight="1">
      <c r="A3970" s="1085">
        <v>10740.0</v>
      </c>
      <c r="B3970" s="1086" t="s">
        <v>9288</v>
      </c>
      <c r="C3970" s="1087" t="s">
        <v>1788</v>
      </c>
      <c r="D3970" s="1088">
        <v>10697.06</v>
      </c>
      <c r="E3970" s="1089" t="s">
        <v>5482</v>
      </c>
      <c r="F3970" s="1081">
        <f t="shared" si="1"/>
        <v>0</v>
      </c>
      <c r="G3970" s="1083">
        <f t="shared" si="2"/>
        <v>10697.06</v>
      </c>
      <c r="H3970" s="1084"/>
    </row>
    <row r="3971" ht="14.25" customHeight="1">
      <c r="A3971" s="1085">
        <v>13914.0</v>
      </c>
      <c r="B3971" s="1086" t="s">
        <v>9289</v>
      </c>
      <c r="C3971" s="1087" t="s">
        <v>1788</v>
      </c>
      <c r="D3971" s="1088">
        <v>773.97</v>
      </c>
      <c r="E3971" s="1089" t="s">
        <v>5482</v>
      </c>
      <c r="F3971" s="1081">
        <f t="shared" si="1"/>
        <v>0</v>
      </c>
      <c r="G3971" s="1083">
        <f t="shared" si="2"/>
        <v>773.97</v>
      </c>
      <c r="H3971" s="1084"/>
    </row>
    <row r="3972" ht="14.25" customHeight="1">
      <c r="A3972" s="1085">
        <v>10742.0</v>
      </c>
      <c r="B3972" s="1086" t="s">
        <v>9290</v>
      </c>
      <c r="C3972" s="1087" t="s">
        <v>1788</v>
      </c>
      <c r="D3972" s="1088">
        <v>1128.85</v>
      </c>
      <c r="E3972" s="1089" t="s">
        <v>5482</v>
      </c>
      <c r="F3972" s="1081">
        <f t="shared" si="1"/>
        <v>0</v>
      </c>
      <c r="G3972" s="1083">
        <f t="shared" si="2"/>
        <v>1128.85</v>
      </c>
      <c r="H3972" s="1084"/>
    </row>
    <row r="3973" ht="14.25" customHeight="1">
      <c r="A3973" s="1085">
        <v>38465.0</v>
      </c>
      <c r="B3973" s="1086" t="s">
        <v>9291</v>
      </c>
      <c r="C3973" s="1087" t="s">
        <v>1788</v>
      </c>
      <c r="D3973" s="1088">
        <v>42.35</v>
      </c>
      <c r="E3973" s="1089" t="s">
        <v>5308</v>
      </c>
      <c r="F3973" s="1081">
        <f t="shared" si="1"/>
        <v>0</v>
      </c>
      <c r="G3973" s="1083">
        <f t="shared" si="2"/>
        <v>42.35</v>
      </c>
      <c r="H3973" s="1084"/>
    </row>
    <row r="3974" ht="14.25" customHeight="1">
      <c r="A3974" s="1085">
        <v>7543.0</v>
      </c>
      <c r="B3974" s="1086" t="s">
        <v>9292</v>
      </c>
      <c r="C3974" s="1087" t="s">
        <v>1788</v>
      </c>
      <c r="D3974" s="1088">
        <v>7.52</v>
      </c>
      <c r="E3974" s="1089" t="s">
        <v>5308</v>
      </c>
      <c r="F3974" s="1081">
        <f t="shared" si="1"/>
        <v>0</v>
      </c>
      <c r="G3974" s="1083">
        <f t="shared" si="2"/>
        <v>7.52</v>
      </c>
      <c r="H3974" s="1084"/>
    </row>
    <row r="3975" ht="14.25" customHeight="1">
      <c r="A3975" s="1085">
        <v>43427.0</v>
      </c>
      <c r="B3975" s="1086" t="s">
        <v>9293</v>
      </c>
      <c r="C3975" s="1087" t="s">
        <v>1788</v>
      </c>
      <c r="D3975" s="1088">
        <v>1296.8</v>
      </c>
      <c r="E3975" s="1089" t="s">
        <v>5308</v>
      </c>
      <c r="F3975" s="1081">
        <f t="shared" si="1"/>
        <v>0</v>
      </c>
      <c r="G3975" s="1083">
        <f t="shared" si="2"/>
        <v>1296.8</v>
      </c>
      <c r="H3975" s="1084"/>
    </row>
    <row r="3976" ht="14.25" customHeight="1">
      <c r="A3976" s="1085">
        <v>41613.0</v>
      </c>
      <c r="B3976" s="1086" t="s">
        <v>9294</v>
      </c>
      <c r="C3976" s="1087" t="s">
        <v>1788</v>
      </c>
      <c r="D3976" s="1088">
        <v>83.36</v>
      </c>
      <c r="E3976" s="1089" t="s">
        <v>5308</v>
      </c>
      <c r="F3976" s="1081">
        <f t="shared" si="1"/>
        <v>0</v>
      </c>
      <c r="G3976" s="1083">
        <f t="shared" si="2"/>
        <v>83.36</v>
      </c>
      <c r="H3976" s="1084"/>
    </row>
    <row r="3977" ht="14.25" customHeight="1">
      <c r="A3977" s="1085">
        <v>41614.0</v>
      </c>
      <c r="B3977" s="1086" t="s">
        <v>9295</v>
      </c>
      <c r="C3977" s="1087" t="s">
        <v>1788</v>
      </c>
      <c r="D3977" s="1088">
        <v>106.21</v>
      </c>
      <c r="E3977" s="1089" t="s">
        <v>5308</v>
      </c>
      <c r="F3977" s="1081">
        <f t="shared" si="1"/>
        <v>0</v>
      </c>
      <c r="G3977" s="1083">
        <f t="shared" si="2"/>
        <v>106.21</v>
      </c>
      <c r="H3977" s="1084"/>
    </row>
    <row r="3978" ht="14.25" customHeight="1">
      <c r="A3978" s="1085">
        <v>41615.0</v>
      </c>
      <c r="B3978" s="1086" t="s">
        <v>9296</v>
      </c>
      <c r="C3978" s="1087" t="s">
        <v>1788</v>
      </c>
      <c r="D3978" s="1088">
        <v>164.16</v>
      </c>
      <c r="E3978" s="1089" t="s">
        <v>5308</v>
      </c>
      <c r="F3978" s="1081">
        <f t="shared" si="1"/>
        <v>0</v>
      </c>
      <c r="G3978" s="1083">
        <f t="shared" si="2"/>
        <v>164.16</v>
      </c>
      <c r="H3978" s="1084"/>
    </row>
    <row r="3979" ht="14.25" customHeight="1">
      <c r="A3979" s="1085">
        <v>41616.0</v>
      </c>
      <c r="B3979" s="1086" t="s">
        <v>9297</v>
      </c>
      <c r="C3979" s="1087" t="s">
        <v>1788</v>
      </c>
      <c r="D3979" s="1088">
        <v>245.29</v>
      </c>
      <c r="E3979" s="1089" t="s">
        <v>5308</v>
      </c>
      <c r="F3979" s="1081">
        <f t="shared" si="1"/>
        <v>0</v>
      </c>
      <c r="G3979" s="1083">
        <f t="shared" si="2"/>
        <v>245.29</v>
      </c>
      <c r="H3979" s="1084"/>
    </row>
    <row r="3980" ht="14.25" customHeight="1">
      <c r="A3980" s="1085">
        <v>41617.0</v>
      </c>
      <c r="B3980" s="1086" t="s">
        <v>9298</v>
      </c>
      <c r="C3980" s="1087" t="s">
        <v>1788</v>
      </c>
      <c r="D3980" s="1088">
        <v>487.73</v>
      </c>
      <c r="E3980" s="1089" t="s">
        <v>5308</v>
      </c>
      <c r="F3980" s="1081">
        <f t="shared" si="1"/>
        <v>0</v>
      </c>
      <c r="G3980" s="1083">
        <f t="shared" si="2"/>
        <v>487.73</v>
      </c>
      <c r="H3980" s="1084"/>
    </row>
    <row r="3981" ht="14.25" customHeight="1">
      <c r="A3981" s="1085">
        <v>41618.0</v>
      </c>
      <c r="B3981" s="1086" t="s">
        <v>9299</v>
      </c>
      <c r="C3981" s="1087" t="s">
        <v>1788</v>
      </c>
      <c r="D3981" s="1088">
        <v>897.88</v>
      </c>
      <c r="E3981" s="1089" t="s">
        <v>5308</v>
      </c>
      <c r="F3981" s="1081">
        <f t="shared" si="1"/>
        <v>0</v>
      </c>
      <c r="G3981" s="1083">
        <f t="shared" si="2"/>
        <v>897.88</v>
      </c>
      <c r="H3981" s="1084"/>
    </row>
    <row r="3982" ht="14.25" customHeight="1">
      <c r="A3982" s="1085">
        <v>43428.0</v>
      </c>
      <c r="B3982" s="1086" t="s">
        <v>9300</v>
      </c>
      <c r="C3982" s="1087" t="s">
        <v>1788</v>
      </c>
      <c r="D3982" s="1088">
        <v>1577.14</v>
      </c>
      <c r="E3982" s="1089" t="s">
        <v>5308</v>
      </c>
      <c r="F3982" s="1081">
        <f t="shared" si="1"/>
        <v>0</v>
      </c>
      <c r="G3982" s="1083">
        <f t="shared" si="2"/>
        <v>1577.14</v>
      </c>
      <c r="H3982" s="1084"/>
    </row>
    <row r="3983" ht="14.25" customHeight="1">
      <c r="A3983" s="1085">
        <v>41619.0</v>
      </c>
      <c r="B3983" s="1086" t="s">
        <v>9301</v>
      </c>
      <c r="C3983" s="1087" t="s">
        <v>1788</v>
      </c>
      <c r="D3983" s="1088">
        <v>102.18</v>
      </c>
      <c r="E3983" s="1089" t="s">
        <v>5308</v>
      </c>
      <c r="F3983" s="1081">
        <f t="shared" si="1"/>
        <v>0</v>
      </c>
      <c r="G3983" s="1083">
        <f t="shared" si="2"/>
        <v>102.18</v>
      </c>
      <c r="H3983" s="1084"/>
    </row>
    <row r="3984" ht="14.25" customHeight="1">
      <c r="A3984" s="1085">
        <v>41620.0</v>
      </c>
      <c r="B3984" s="1086" t="s">
        <v>9302</v>
      </c>
      <c r="C3984" s="1087" t="s">
        <v>1788</v>
      </c>
      <c r="D3984" s="1088">
        <v>129.07</v>
      </c>
      <c r="E3984" s="1089" t="s">
        <v>5308</v>
      </c>
      <c r="F3984" s="1081">
        <f t="shared" si="1"/>
        <v>0</v>
      </c>
      <c r="G3984" s="1083">
        <f t="shared" si="2"/>
        <v>129.07</v>
      </c>
      <c r="H3984" s="1084"/>
    </row>
    <row r="3985" ht="14.25" customHeight="1">
      <c r="A3985" s="1085">
        <v>41622.0</v>
      </c>
      <c r="B3985" s="1086" t="s">
        <v>9303</v>
      </c>
      <c r="C3985" s="1087" t="s">
        <v>1788</v>
      </c>
      <c r="D3985" s="1088">
        <v>223.86</v>
      </c>
      <c r="E3985" s="1089" t="s">
        <v>5308</v>
      </c>
      <c r="F3985" s="1081">
        <f t="shared" si="1"/>
        <v>0</v>
      </c>
      <c r="G3985" s="1083">
        <f t="shared" si="2"/>
        <v>223.86</v>
      </c>
      <c r="H3985" s="1084"/>
    </row>
    <row r="3986" ht="14.25" customHeight="1">
      <c r="A3986" s="1085">
        <v>41623.0</v>
      </c>
      <c r="B3986" s="1086" t="s">
        <v>9304</v>
      </c>
      <c r="C3986" s="1087" t="s">
        <v>1788</v>
      </c>
      <c r="D3986" s="1088">
        <v>344.2</v>
      </c>
      <c r="E3986" s="1089" t="s">
        <v>5308</v>
      </c>
      <c r="F3986" s="1081">
        <f t="shared" si="1"/>
        <v>0</v>
      </c>
      <c r="G3986" s="1083">
        <f t="shared" si="2"/>
        <v>344.2</v>
      </c>
      <c r="H3986" s="1084"/>
    </row>
    <row r="3987" ht="14.25" customHeight="1">
      <c r="A3987" s="1085">
        <v>41624.0</v>
      </c>
      <c r="B3987" s="1086" t="s">
        <v>9305</v>
      </c>
      <c r="C3987" s="1087" t="s">
        <v>1788</v>
      </c>
      <c r="D3987" s="1088">
        <v>645.37</v>
      </c>
      <c r="E3987" s="1089" t="s">
        <v>5308</v>
      </c>
      <c r="F3987" s="1081">
        <f t="shared" si="1"/>
        <v>0</v>
      </c>
      <c r="G3987" s="1083">
        <f t="shared" si="2"/>
        <v>645.37</v>
      </c>
      <c r="H3987" s="1084"/>
    </row>
    <row r="3988" ht="14.25" customHeight="1">
      <c r="A3988" s="1085">
        <v>41625.0</v>
      </c>
      <c r="B3988" s="1086" t="s">
        <v>9306</v>
      </c>
      <c r="C3988" s="1087" t="s">
        <v>1788</v>
      </c>
      <c r="D3988" s="1088">
        <v>992.94</v>
      </c>
      <c r="E3988" s="1089" t="s">
        <v>5308</v>
      </c>
      <c r="F3988" s="1081">
        <f t="shared" si="1"/>
        <v>0</v>
      </c>
      <c r="G3988" s="1083">
        <f t="shared" si="2"/>
        <v>992.94</v>
      </c>
      <c r="H3988" s="1084"/>
    </row>
    <row r="3989" ht="14.25" customHeight="1">
      <c r="A3989" s="1085">
        <v>39352.0</v>
      </c>
      <c r="B3989" s="1086" t="s">
        <v>9307</v>
      </c>
      <c r="C3989" s="1087" t="s">
        <v>1788</v>
      </c>
      <c r="D3989" s="1088">
        <v>4.65</v>
      </c>
      <c r="E3989" s="1089" t="s">
        <v>5308</v>
      </c>
      <c r="F3989" s="1081">
        <f t="shared" si="1"/>
        <v>0</v>
      </c>
      <c r="G3989" s="1083">
        <f t="shared" si="2"/>
        <v>4.65</v>
      </c>
      <c r="H3989" s="1084"/>
    </row>
    <row r="3990" ht="14.25" customHeight="1">
      <c r="A3990" s="1085">
        <v>39346.0</v>
      </c>
      <c r="B3990" s="1086" t="s">
        <v>9308</v>
      </c>
      <c r="C3990" s="1087" t="s">
        <v>1788</v>
      </c>
      <c r="D3990" s="1088">
        <v>4.65</v>
      </c>
      <c r="E3990" s="1089" t="s">
        <v>5308</v>
      </c>
      <c r="F3990" s="1081">
        <f t="shared" si="1"/>
        <v>0</v>
      </c>
      <c r="G3990" s="1083">
        <f t="shared" si="2"/>
        <v>4.65</v>
      </c>
      <c r="H3990" s="1084"/>
    </row>
    <row r="3991" ht="14.25" customHeight="1">
      <c r="A3991" s="1085">
        <v>39350.0</v>
      </c>
      <c r="B3991" s="1086" t="s">
        <v>9309</v>
      </c>
      <c r="C3991" s="1087" t="s">
        <v>1788</v>
      </c>
      <c r="D3991" s="1088">
        <v>5.0</v>
      </c>
      <c r="E3991" s="1089" t="s">
        <v>5308</v>
      </c>
      <c r="F3991" s="1081">
        <f t="shared" si="1"/>
        <v>0</v>
      </c>
      <c r="G3991" s="1083">
        <f t="shared" si="2"/>
        <v>5</v>
      </c>
      <c r="H3991" s="1084"/>
    </row>
    <row r="3992" ht="14.25" customHeight="1">
      <c r="A3992" s="1085">
        <v>39351.0</v>
      </c>
      <c r="B3992" s="1086" t="s">
        <v>9310</v>
      </c>
      <c r="C3992" s="1087" t="s">
        <v>1788</v>
      </c>
      <c r="D3992" s="1088">
        <v>5.79</v>
      </c>
      <c r="E3992" s="1089" t="s">
        <v>5308</v>
      </c>
      <c r="F3992" s="1081">
        <f t="shared" si="1"/>
        <v>0</v>
      </c>
      <c r="G3992" s="1083">
        <f t="shared" si="2"/>
        <v>5.79</v>
      </c>
      <c r="H3992" s="1084"/>
    </row>
    <row r="3993" ht="14.25" customHeight="1">
      <c r="A3993" s="1085">
        <v>38837.0</v>
      </c>
      <c r="B3993" s="1086" t="s">
        <v>9311</v>
      </c>
      <c r="C3993" s="1087" t="s">
        <v>1788</v>
      </c>
      <c r="D3993" s="1088">
        <v>7.14</v>
      </c>
      <c r="E3993" s="1089" t="s">
        <v>5308</v>
      </c>
      <c r="F3993" s="1081">
        <f t="shared" si="1"/>
        <v>0</v>
      </c>
      <c r="G3993" s="1083">
        <f t="shared" si="2"/>
        <v>7.14</v>
      </c>
      <c r="H3993" s="1084"/>
    </row>
    <row r="3994" ht="14.25" customHeight="1">
      <c r="A3994" s="1085">
        <v>38836.0</v>
      </c>
      <c r="B3994" s="1086" t="s">
        <v>9312</v>
      </c>
      <c r="C3994" s="1087" t="s">
        <v>1788</v>
      </c>
      <c r="D3994" s="1088">
        <v>4.99</v>
      </c>
      <c r="E3994" s="1089" t="s">
        <v>5308</v>
      </c>
      <c r="F3994" s="1081">
        <f t="shared" si="1"/>
        <v>0</v>
      </c>
      <c r="G3994" s="1083">
        <f t="shared" si="2"/>
        <v>4.99</v>
      </c>
      <c r="H3994" s="1084"/>
    </row>
    <row r="3995" ht="14.25" customHeight="1">
      <c r="A3995" s="1085">
        <v>2666.0</v>
      </c>
      <c r="B3995" s="1086" t="s">
        <v>9313</v>
      </c>
      <c r="C3995" s="1087" t="s">
        <v>1788</v>
      </c>
      <c r="D3995" s="1088">
        <v>6.0</v>
      </c>
      <c r="E3995" s="1089" t="s">
        <v>5308</v>
      </c>
      <c r="F3995" s="1081">
        <f t="shared" si="1"/>
        <v>0</v>
      </c>
      <c r="G3995" s="1083">
        <f t="shared" si="2"/>
        <v>6</v>
      </c>
      <c r="H3995" s="1084"/>
    </row>
    <row r="3996" ht="14.25" customHeight="1">
      <c r="A3996" s="1085">
        <v>2668.0</v>
      </c>
      <c r="B3996" s="1086" t="s">
        <v>9314</v>
      </c>
      <c r="C3996" s="1087" t="s">
        <v>1788</v>
      </c>
      <c r="D3996" s="1088">
        <v>6.86</v>
      </c>
      <c r="E3996" s="1089" t="s">
        <v>5308</v>
      </c>
      <c r="F3996" s="1081">
        <f t="shared" si="1"/>
        <v>0</v>
      </c>
      <c r="G3996" s="1083">
        <f t="shared" si="2"/>
        <v>6.86</v>
      </c>
      <c r="H3996" s="1084"/>
    </row>
    <row r="3997" ht="14.25" customHeight="1">
      <c r="A3997" s="1085">
        <v>2664.0</v>
      </c>
      <c r="B3997" s="1086" t="s">
        <v>9315</v>
      </c>
      <c r="C3997" s="1087" t="s">
        <v>1788</v>
      </c>
      <c r="D3997" s="1088">
        <v>10.11</v>
      </c>
      <c r="E3997" s="1089" t="s">
        <v>5308</v>
      </c>
      <c r="F3997" s="1081">
        <f t="shared" si="1"/>
        <v>0</v>
      </c>
      <c r="G3997" s="1083">
        <f t="shared" si="2"/>
        <v>10.11</v>
      </c>
      <c r="H3997" s="1084"/>
    </row>
    <row r="3998" ht="14.25" customHeight="1">
      <c r="A3998" s="1085">
        <v>2662.0</v>
      </c>
      <c r="B3998" s="1086" t="s">
        <v>9316</v>
      </c>
      <c r="C3998" s="1087" t="s">
        <v>1788</v>
      </c>
      <c r="D3998" s="1088">
        <v>12.41</v>
      </c>
      <c r="E3998" s="1089" t="s">
        <v>5308</v>
      </c>
      <c r="F3998" s="1081">
        <f t="shared" si="1"/>
        <v>0</v>
      </c>
      <c r="G3998" s="1083">
        <f t="shared" si="2"/>
        <v>12.41</v>
      </c>
      <c r="H3998" s="1084"/>
    </row>
    <row r="3999" ht="14.25" customHeight="1">
      <c r="A3999" s="1085">
        <v>20964.0</v>
      </c>
      <c r="B3999" s="1086" t="s">
        <v>9317</v>
      </c>
      <c r="C3999" s="1087" t="s">
        <v>1788</v>
      </c>
      <c r="D3999" s="1088">
        <v>99.57</v>
      </c>
      <c r="E3999" s="1089" t="s">
        <v>5308</v>
      </c>
      <c r="F3999" s="1081">
        <f t="shared" si="1"/>
        <v>0</v>
      </c>
      <c r="G3999" s="1083">
        <f t="shared" si="2"/>
        <v>99.57</v>
      </c>
      <c r="H3999" s="1084"/>
    </row>
    <row r="4000" ht="14.25" customHeight="1">
      <c r="A4000" s="1085">
        <v>10905.0</v>
      </c>
      <c r="B4000" s="1086" t="s">
        <v>9318</v>
      </c>
      <c r="C4000" s="1087" t="s">
        <v>1788</v>
      </c>
      <c r="D4000" s="1088">
        <v>133.57</v>
      </c>
      <c r="E4000" s="1089" t="s">
        <v>5308</v>
      </c>
      <c r="F4000" s="1081">
        <f t="shared" si="1"/>
        <v>0</v>
      </c>
      <c r="G4000" s="1083">
        <f t="shared" si="2"/>
        <v>133.57</v>
      </c>
      <c r="H4000" s="1084"/>
    </row>
    <row r="4001" ht="14.25" customHeight="1">
      <c r="A4001" s="1085">
        <v>11289.0</v>
      </c>
      <c r="B4001" s="1086" t="s">
        <v>9319</v>
      </c>
      <c r="C4001" s="1087" t="s">
        <v>1788</v>
      </c>
      <c r="D4001" s="1088">
        <v>106.55</v>
      </c>
      <c r="E4001" s="1089" t="s">
        <v>5308</v>
      </c>
      <c r="F4001" s="1081">
        <f t="shared" si="1"/>
        <v>0</v>
      </c>
      <c r="G4001" s="1083">
        <f t="shared" si="2"/>
        <v>106.55</v>
      </c>
      <c r="H4001" s="1084"/>
    </row>
    <row r="4002" ht="14.25" customHeight="1">
      <c r="A4002" s="1085">
        <v>11241.0</v>
      </c>
      <c r="B4002" s="1086" t="s">
        <v>9320</v>
      </c>
      <c r="C4002" s="1087" t="s">
        <v>1788</v>
      </c>
      <c r="D4002" s="1088">
        <v>266.38</v>
      </c>
      <c r="E4002" s="1089" t="s">
        <v>5308</v>
      </c>
      <c r="F4002" s="1081">
        <f t="shared" si="1"/>
        <v>0</v>
      </c>
      <c r="G4002" s="1083">
        <f t="shared" si="2"/>
        <v>266.38</v>
      </c>
      <c r="H4002" s="1084"/>
    </row>
    <row r="4003" ht="14.25" customHeight="1">
      <c r="A4003" s="1085">
        <v>11301.0</v>
      </c>
      <c r="B4003" s="1086" t="s">
        <v>9321</v>
      </c>
      <c r="C4003" s="1087" t="s">
        <v>1788</v>
      </c>
      <c r="D4003" s="1088">
        <v>675.47</v>
      </c>
      <c r="E4003" s="1089" t="s">
        <v>5308</v>
      </c>
      <c r="F4003" s="1081">
        <f t="shared" si="1"/>
        <v>0</v>
      </c>
      <c r="G4003" s="1083">
        <f t="shared" si="2"/>
        <v>675.47</v>
      </c>
      <c r="H4003" s="1084"/>
    </row>
    <row r="4004" ht="14.25" customHeight="1">
      <c r="A4004" s="1085">
        <v>21090.0</v>
      </c>
      <c r="B4004" s="1086" t="s">
        <v>9322</v>
      </c>
      <c r="C4004" s="1087" t="s">
        <v>1788</v>
      </c>
      <c r="D4004" s="1088">
        <v>827.7</v>
      </c>
      <c r="E4004" s="1089" t="s">
        <v>5308</v>
      </c>
      <c r="F4004" s="1081">
        <f t="shared" si="1"/>
        <v>0</v>
      </c>
      <c r="G4004" s="1083">
        <f t="shared" si="2"/>
        <v>827.7</v>
      </c>
      <c r="H4004" s="1084"/>
    </row>
    <row r="4005" ht="14.25" customHeight="1">
      <c r="A4005" s="1085">
        <v>11315.0</v>
      </c>
      <c r="B4005" s="1086" t="s">
        <v>9323</v>
      </c>
      <c r="C4005" s="1087" t="s">
        <v>1788</v>
      </c>
      <c r="D4005" s="1088">
        <v>161.73</v>
      </c>
      <c r="E4005" s="1089" t="s">
        <v>5308</v>
      </c>
      <c r="F4005" s="1081">
        <f t="shared" si="1"/>
        <v>0</v>
      </c>
      <c r="G4005" s="1083">
        <f t="shared" si="2"/>
        <v>161.73</v>
      </c>
      <c r="H4005" s="1084"/>
    </row>
    <row r="4006" ht="14.25" customHeight="1">
      <c r="A4006" s="1085">
        <v>21071.0</v>
      </c>
      <c r="B4006" s="1086" t="s">
        <v>9324</v>
      </c>
      <c r="C4006" s="1087" t="s">
        <v>1788</v>
      </c>
      <c r="D4006" s="1088">
        <v>247.35</v>
      </c>
      <c r="E4006" s="1089" t="s">
        <v>5308</v>
      </c>
      <c r="F4006" s="1081">
        <f t="shared" si="1"/>
        <v>0</v>
      </c>
      <c r="G4006" s="1083">
        <f t="shared" si="2"/>
        <v>247.35</v>
      </c>
      <c r="H4006" s="1084"/>
    </row>
    <row r="4007" ht="14.25" customHeight="1">
      <c r="A4007" s="1085">
        <v>14112.0</v>
      </c>
      <c r="B4007" s="1086" t="s">
        <v>9325</v>
      </c>
      <c r="C4007" s="1087" t="s">
        <v>1788</v>
      </c>
      <c r="D4007" s="1088">
        <v>345.35</v>
      </c>
      <c r="E4007" s="1089" t="s">
        <v>5308</v>
      </c>
      <c r="F4007" s="1081">
        <f t="shared" si="1"/>
        <v>0</v>
      </c>
      <c r="G4007" s="1083">
        <f t="shared" si="2"/>
        <v>345.35</v>
      </c>
      <c r="H4007" s="1084"/>
    </row>
    <row r="4008" ht="14.25" customHeight="1">
      <c r="A4008" s="1085">
        <v>11316.0</v>
      </c>
      <c r="B4008" s="1086" t="s">
        <v>9326</v>
      </c>
      <c r="C4008" s="1087" t="s">
        <v>1788</v>
      </c>
      <c r="D4008" s="1088">
        <v>532.77</v>
      </c>
      <c r="E4008" s="1089" t="s">
        <v>5308</v>
      </c>
      <c r="F4008" s="1081">
        <f t="shared" si="1"/>
        <v>0</v>
      </c>
      <c r="G4008" s="1083">
        <f t="shared" si="2"/>
        <v>532.77</v>
      </c>
      <c r="H4008" s="1084"/>
    </row>
    <row r="4009" ht="14.25" customHeight="1">
      <c r="A4009" s="1085">
        <v>6243.0</v>
      </c>
      <c r="B4009" s="1086" t="s">
        <v>9327</v>
      </c>
      <c r="C4009" s="1087" t="s">
        <v>1788</v>
      </c>
      <c r="D4009" s="1088">
        <v>613.64</v>
      </c>
      <c r="E4009" s="1089" t="s">
        <v>5308</v>
      </c>
      <c r="F4009" s="1081">
        <f t="shared" si="1"/>
        <v>0</v>
      </c>
      <c r="G4009" s="1083">
        <f t="shared" si="2"/>
        <v>613.64</v>
      </c>
      <c r="H4009" s="1084"/>
    </row>
    <row r="4010" ht="14.25" customHeight="1">
      <c r="A4010" s="1085">
        <v>6240.0</v>
      </c>
      <c r="B4010" s="1086" t="s">
        <v>9328</v>
      </c>
      <c r="C4010" s="1087" t="s">
        <v>1788</v>
      </c>
      <c r="D4010" s="1088">
        <v>812.47</v>
      </c>
      <c r="E4010" s="1089" t="s">
        <v>5308</v>
      </c>
      <c r="F4010" s="1081">
        <f t="shared" si="1"/>
        <v>0</v>
      </c>
      <c r="G4010" s="1083">
        <f t="shared" si="2"/>
        <v>812.47</v>
      </c>
      <c r="H4010" s="1084"/>
    </row>
    <row r="4011" ht="14.25" customHeight="1">
      <c r="A4011" s="1085">
        <v>11296.0</v>
      </c>
      <c r="B4011" s="1086" t="s">
        <v>9329</v>
      </c>
      <c r="C4011" s="1087" t="s">
        <v>1788</v>
      </c>
      <c r="D4011" s="1088">
        <v>2588.7</v>
      </c>
      <c r="E4011" s="1089" t="s">
        <v>5308</v>
      </c>
      <c r="F4011" s="1081">
        <f t="shared" si="1"/>
        <v>0</v>
      </c>
      <c r="G4011" s="1083">
        <f t="shared" si="2"/>
        <v>2588.7</v>
      </c>
      <c r="H4011" s="1084"/>
    </row>
    <row r="4012" ht="14.25" customHeight="1">
      <c r="A4012" s="1085">
        <v>11299.0</v>
      </c>
      <c r="B4012" s="1086" t="s">
        <v>9330</v>
      </c>
      <c r="C4012" s="1087" t="s">
        <v>1788</v>
      </c>
      <c r="D4012" s="1088">
        <v>876.22</v>
      </c>
      <c r="E4012" s="1089" t="s">
        <v>5308</v>
      </c>
      <c r="F4012" s="1081">
        <f t="shared" si="1"/>
        <v>0</v>
      </c>
      <c r="G4012" s="1083">
        <f t="shared" si="2"/>
        <v>876.22</v>
      </c>
      <c r="H4012" s="1084"/>
    </row>
    <row r="4013" ht="14.25" customHeight="1">
      <c r="A4013" s="1085">
        <v>11688.0</v>
      </c>
      <c r="B4013" s="1086" t="s">
        <v>9331</v>
      </c>
      <c r="C4013" s="1087" t="s">
        <v>1788</v>
      </c>
      <c r="D4013" s="1088">
        <v>597.62</v>
      </c>
      <c r="E4013" s="1089" t="s">
        <v>5308</v>
      </c>
      <c r="F4013" s="1081">
        <f t="shared" si="1"/>
        <v>0</v>
      </c>
      <c r="G4013" s="1083">
        <f t="shared" si="2"/>
        <v>597.62</v>
      </c>
      <c r="H4013" s="1084"/>
    </row>
    <row r="4014" ht="14.25" customHeight="1">
      <c r="A4014" s="1085">
        <v>37736.0</v>
      </c>
      <c r="B4014" s="1086" t="s">
        <v>9332</v>
      </c>
      <c r="C4014" s="1087" t="s">
        <v>1788</v>
      </c>
      <c r="D4014" s="1088">
        <v>92450.0</v>
      </c>
      <c r="E4014" s="1089" t="s">
        <v>5482</v>
      </c>
      <c r="F4014" s="1081">
        <f t="shared" si="1"/>
        <v>0</v>
      </c>
      <c r="G4014" s="1083">
        <f t="shared" si="2"/>
        <v>92450</v>
      </c>
      <c r="H4014" s="1084"/>
    </row>
    <row r="4015" ht="14.25" customHeight="1">
      <c r="A4015" s="1085">
        <v>37739.0</v>
      </c>
      <c r="B4015" s="1086" t="s">
        <v>9333</v>
      </c>
      <c r="C4015" s="1087" t="s">
        <v>1788</v>
      </c>
      <c r="D4015" s="1088">
        <v>113784.61</v>
      </c>
      <c r="E4015" s="1089" t="s">
        <v>5482</v>
      </c>
      <c r="F4015" s="1081">
        <f t="shared" si="1"/>
        <v>0</v>
      </c>
      <c r="G4015" s="1083">
        <f t="shared" si="2"/>
        <v>113784.61</v>
      </c>
      <c r="H4015" s="1084"/>
    </row>
    <row r="4016" ht="14.25" customHeight="1">
      <c r="A4016" s="1085">
        <v>37740.0</v>
      </c>
      <c r="B4016" s="1086" t="s">
        <v>9334</v>
      </c>
      <c r="C4016" s="1087" t="s">
        <v>1788</v>
      </c>
      <c r="D4016" s="1088">
        <v>64931.43</v>
      </c>
      <c r="E4016" s="1089" t="s">
        <v>5482</v>
      </c>
      <c r="F4016" s="1081">
        <f t="shared" si="1"/>
        <v>0</v>
      </c>
      <c r="G4016" s="1083">
        <f t="shared" si="2"/>
        <v>64931.43</v>
      </c>
      <c r="H4016" s="1084"/>
    </row>
    <row r="4017" ht="14.25" customHeight="1">
      <c r="A4017" s="1085">
        <v>37738.0</v>
      </c>
      <c r="B4017" s="1086" t="s">
        <v>9335</v>
      </c>
      <c r="C4017" s="1087" t="s">
        <v>1788</v>
      </c>
      <c r="D4017" s="1088">
        <v>77144.73</v>
      </c>
      <c r="E4017" s="1089" t="s">
        <v>5482</v>
      </c>
      <c r="F4017" s="1081">
        <f t="shared" si="1"/>
        <v>0</v>
      </c>
      <c r="G4017" s="1083">
        <f t="shared" si="2"/>
        <v>77144.73</v>
      </c>
      <c r="H4017" s="1084"/>
    </row>
    <row r="4018" ht="14.25" customHeight="1">
      <c r="A4018" s="1085">
        <v>37737.0</v>
      </c>
      <c r="B4018" s="1086" t="s">
        <v>9336</v>
      </c>
      <c r="C4018" s="1087" t="s">
        <v>1788</v>
      </c>
      <c r="D4018" s="1088">
        <v>61375.66</v>
      </c>
      <c r="E4018" s="1089" t="s">
        <v>5482</v>
      </c>
      <c r="F4018" s="1081">
        <f t="shared" si="1"/>
        <v>0</v>
      </c>
      <c r="G4018" s="1083">
        <f t="shared" si="2"/>
        <v>61375.66</v>
      </c>
      <c r="H4018" s="1084"/>
    </row>
    <row r="4019" ht="14.25" customHeight="1">
      <c r="A4019" s="1085">
        <v>25014.0</v>
      </c>
      <c r="B4019" s="1086" t="s">
        <v>9337</v>
      </c>
      <c r="C4019" s="1087" t="s">
        <v>1788</v>
      </c>
      <c r="D4019" s="1088">
        <v>128548.78</v>
      </c>
      <c r="E4019" s="1089" t="s">
        <v>5482</v>
      </c>
      <c r="F4019" s="1081">
        <f t="shared" si="1"/>
        <v>0</v>
      </c>
      <c r="G4019" s="1083">
        <f t="shared" si="2"/>
        <v>128548.78</v>
      </c>
      <c r="H4019" s="1084"/>
    </row>
    <row r="4020" ht="14.25" customHeight="1">
      <c r="A4020" s="1085">
        <v>25013.0</v>
      </c>
      <c r="B4020" s="1086" t="s">
        <v>9338</v>
      </c>
      <c r="C4020" s="1087" t="s">
        <v>1788</v>
      </c>
      <c r="D4020" s="1088">
        <v>134732.73</v>
      </c>
      <c r="E4020" s="1089" t="s">
        <v>5482</v>
      </c>
      <c r="F4020" s="1081">
        <f t="shared" si="1"/>
        <v>0</v>
      </c>
      <c r="G4020" s="1083">
        <f t="shared" si="2"/>
        <v>134732.73</v>
      </c>
      <c r="H4020" s="1084"/>
    </row>
    <row r="4021" ht="14.25" customHeight="1">
      <c r="A4021" s="1085">
        <v>14405.0</v>
      </c>
      <c r="B4021" s="1086" t="s">
        <v>9339</v>
      </c>
      <c r="C4021" s="1087" t="s">
        <v>1788</v>
      </c>
      <c r="D4021" s="1088">
        <v>158154.42</v>
      </c>
      <c r="E4021" s="1089" t="s">
        <v>5482</v>
      </c>
      <c r="F4021" s="1081">
        <f t="shared" si="1"/>
        <v>0</v>
      </c>
      <c r="G4021" s="1083">
        <f t="shared" si="2"/>
        <v>158154.42</v>
      </c>
      <c r="H4021" s="1084"/>
    </row>
    <row r="4022" ht="14.25" customHeight="1">
      <c r="A4022" s="1085">
        <v>20271.0</v>
      </c>
      <c r="B4022" s="1086" t="s">
        <v>9340</v>
      </c>
      <c r="C4022" s="1087" t="s">
        <v>1788</v>
      </c>
      <c r="D4022" s="1088">
        <v>580.7</v>
      </c>
      <c r="E4022" s="1089" t="s">
        <v>5308</v>
      </c>
      <c r="F4022" s="1081">
        <f t="shared" si="1"/>
        <v>0</v>
      </c>
      <c r="G4022" s="1083">
        <f t="shared" si="2"/>
        <v>580.7</v>
      </c>
      <c r="H4022" s="1084"/>
    </row>
    <row r="4023" ht="14.25" customHeight="1">
      <c r="A4023" s="1085">
        <v>10423.0</v>
      </c>
      <c r="B4023" s="1086" t="s">
        <v>9341</v>
      </c>
      <c r="C4023" s="1087" t="s">
        <v>1788</v>
      </c>
      <c r="D4023" s="1088">
        <v>426.37</v>
      </c>
      <c r="E4023" s="1089" t="s">
        <v>5308</v>
      </c>
      <c r="F4023" s="1081">
        <f t="shared" si="1"/>
        <v>0</v>
      </c>
      <c r="G4023" s="1083">
        <f t="shared" si="2"/>
        <v>426.37</v>
      </c>
      <c r="H4023" s="1084"/>
    </row>
    <row r="4024" ht="14.25" customHeight="1">
      <c r="A4024" s="1085">
        <v>36790.0</v>
      </c>
      <c r="B4024" s="1086" t="s">
        <v>9342</v>
      </c>
      <c r="C4024" s="1087" t="s">
        <v>1788</v>
      </c>
      <c r="D4024" s="1088">
        <v>308.88</v>
      </c>
      <c r="E4024" s="1089" t="s">
        <v>5308</v>
      </c>
      <c r="F4024" s="1081">
        <f t="shared" si="1"/>
        <v>0</v>
      </c>
      <c r="G4024" s="1083">
        <f t="shared" si="2"/>
        <v>308.88</v>
      </c>
      <c r="H4024" s="1084"/>
    </row>
    <row r="4025" ht="14.25" customHeight="1">
      <c r="A4025" s="1085">
        <v>37589.0</v>
      </c>
      <c r="B4025" s="1086" t="s">
        <v>9343</v>
      </c>
      <c r="C4025" s="1087" t="s">
        <v>1788</v>
      </c>
      <c r="D4025" s="1088">
        <v>378.45</v>
      </c>
      <c r="E4025" s="1089" t="s">
        <v>5308</v>
      </c>
      <c r="F4025" s="1081">
        <f t="shared" si="1"/>
        <v>0</v>
      </c>
      <c r="G4025" s="1083">
        <f t="shared" si="2"/>
        <v>378.45</v>
      </c>
      <c r="H4025" s="1084"/>
    </row>
    <row r="4026" ht="14.25" customHeight="1">
      <c r="A4026" s="1085">
        <v>11690.0</v>
      </c>
      <c r="B4026" s="1086" t="s">
        <v>9344</v>
      </c>
      <c r="C4026" s="1087" t="s">
        <v>1788</v>
      </c>
      <c r="D4026" s="1088">
        <v>201.04</v>
      </c>
      <c r="E4026" s="1089" t="s">
        <v>5308</v>
      </c>
      <c r="F4026" s="1081">
        <f t="shared" si="1"/>
        <v>0</v>
      </c>
      <c r="G4026" s="1083">
        <f t="shared" si="2"/>
        <v>201.04</v>
      </c>
      <c r="H4026" s="1084"/>
    </row>
    <row r="4027" ht="14.25" customHeight="1">
      <c r="A4027" s="1085">
        <v>20234.0</v>
      </c>
      <c r="B4027" s="1086" t="s">
        <v>9345</v>
      </c>
      <c r="C4027" s="1087" t="s">
        <v>1788</v>
      </c>
      <c r="D4027" s="1088">
        <v>254.42</v>
      </c>
      <c r="E4027" s="1089" t="s">
        <v>5308</v>
      </c>
      <c r="F4027" s="1081">
        <f t="shared" si="1"/>
        <v>0</v>
      </c>
      <c r="G4027" s="1083">
        <f t="shared" si="2"/>
        <v>254.42</v>
      </c>
      <c r="H4027" s="1084"/>
    </row>
    <row r="4028" ht="14.25" customHeight="1">
      <c r="A4028" s="1085">
        <v>4763.0</v>
      </c>
      <c r="B4028" s="1086" t="s">
        <v>9346</v>
      </c>
      <c r="C4028" s="1087" t="s">
        <v>1470</v>
      </c>
      <c r="D4028" s="1088">
        <v>20.82</v>
      </c>
      <c r="E4028" s="1089" t="s">
        <v>5452</v>
      </c>
      <c r="F4028" s="1081">
        <f t="shared" si="1"/>
        <v>20.82</v>
      </c>
      <c r="G4028" s="1083">
        <f t="shared" si="2"/>
        <v>0</v>
      </c>
      <c r="H4028" s="1084"/>
    </row>
    <row r="4029" ht="14.25" customHeight="1">
      <c r="A4029" s="1085">
        <v>41070.0</v>
      </c>
      <c r="B4029" s="1086" t="s">
        <v>9347</v>
      </c>
      <c r="C4029" s="1087" t="s">
        <v>5454</v>
      </c>
      <c r="D4029" s="1088">
        <v>3643.51</v>
      </c>
      <c r="E4029" s="1089" t="s">
        <v>5452</v>
      </c>
      <c r="F4029" s="1081">
        <f t="shared" si="1"/>
        <v>3643.51</v>
      </c>
      <c r="G4029" s="1083">
        <f t="shared" si="2"/>
        <v>0</v>
      </c>
      <c r="H4029" s="1084"/>
    </row>
    <row r="4030" ht="14.25" customHeight="1">
      <c r="A4030" s="1085">
        <v>44480.0</v>
      </c>
      <c r="B4030" s="1086" t="s">
        <v>9348</v>
      </c>
      <c r="C4030" s="1087" t="s">
        <v>2178</v>
      </c>
      <c r="D4030" s="1088">
        <v>12.29</v>
      </c>
      <c r="E4030" s="1089" t="s">
        <v>5554</v>
      </c>
      <c r="F4030" s="1081">
        <f t="shared" si="1"/>
        <v>0</v>
      </c>
      <c r="G4030" s="1083">
        <f t="shared" si="2"/>
        <v>12.29</v>
      </c>
      <c r="H4030" s="1084"/>
    </row>
    <row r="4031" ht="14.25" customHeight="1">
      <c r="A4031" s="1085">
        <v>11457.0</v>
      </c>
      <c r="B4031" s="1086" t="s">
        <v>9349</v>
      </c>
      <c r="C4031" s="1087" t="s">
        <v>1788</v>
      </c>
      <c r="D4031" s="1088">
        <v>45.79</v>
      </c>
      <c r="E4031" s="1089" t="s">
        <v>5308</v>
      </c>
      <c r="F4031" s="1081">
        <f t="shared" si="1"/>
        <v>0</v>
      </c>
      <c r="G4031" s="1083">
        <f t="shared" si="2"/>
        <v>45.79</v>
      </c>
      <c r="H4031" s="1084"/>
    </row>
    <row r="4032" ht="14.25" customHeight="1">
      <c r="A4032" s="1085">
        <v>44073.0</v>
      </c>
      <c r="B4032" s="1086" t="s">
        <v>9350</v>
      </c>
      <c r="C4032" s="1087" t="s">
        <v>1731</v>
      </c>
      <c r="D4032" s="1088">
        <v>0.79</v>
      </c>
      <c r="E4032" s="1089" t="s">
        <v>5308</v>
      </c>
      <c r="F4032" s="1081">
        <f t="shared" si="1"/>
        <v>0</v>
      </c>
      <c r="G4032" s="1083">
        <f t="shared" si="2"/>
        <v>0.79</v>
      </c>
      <c r="H4032" s="1084"/>
    </row>
    <row r="4033" ht="14.25" customHeight="1">
      <c r="A4033" s="1085">
        <v>44253.0</v>
      </c>
      <c r="B4033" s="1086" t="s">
        <v>9351</v>
      </c>
      <c r="C4033" s="1087" t="s">
        <v>1788</v>
      </c>
      <c r="D4033" s="1088">
        <v>276.5</v>
      </c>
      <c r="E4033" s="1089" t="s">
        <v>5308</v>
      </c>
      <c r="F4033" s="1081">
        <f t="shared" si="1"/>
        <v>0</v>
      </c>
      <c r="G4033" s="1083">
        <f t="shared" si="2"/>
        <v>276.5</v>
      </c>
      <c r="H4033" s="1084"/>
    </row>
    <row r="4034" ht="14.25" customHeight="1">
      <c r="A4034" s="1085">
        <v>21121.0</v>
      </c>
      <c r="B4034" s="1086" t="s">
        <v>9352</v>
      </c>
      <c r="C4034" s="1087" t="s">
        <v>1788</v>
      </c>
      <c r="D4034" s="1088">
        <v>3.96</v>
      </c>
      <c r="E4034" s="1089" t="s">
        <v>5308</v>
      </c>
      <c r="F4034" s="1081">
        <f t="shared" si="1"/>
        <v>0</v>
      </c>
      <c r="G4034" s="1083">
        <f t="shared" si="2"/>
        <v>3.96</v>
      </c>
      <c r="H4034" s="1084"/>
    </row>
    <row r="4035" ht="14.25" customHeight="1">
      <c r="A4035" s="1085">
        <v>38010.0</v>
      </c>
      <c r="B4035" s="1086" t="s">
        <v>9353</v>
      </c>
      <c r="C4035" s="1087" t="s">
        <v>1788</v>
      </c>
      <c r="D4035" s="1088">
        <v>4.94</v>
      </c>
      <c r="E4035" s="1089" t="s">
        <v>5308</v>
      </c>
      <c r="F4035" s="1081">
        <f t="shared" si="1"/>
        <v>0</v>
      </c>
      <c r="G4035" s="1083">
        <f t="shared" si="2"/>
        <v>4.94</v>
      </c>
      <c r="H4035" s="1084"/>
    </row>
    <row r="4036" ht="14.25" customHeight="1">
      <c r="A4036" s="1085">
        <v>38011.0</v>
      </c>
      <c r="B4036" s="1086" t="s">
        <v>9354</v>
      </c>
      <c r="C4036" s="1087" t="s">
        <v>1788</v>
      </c>
      <c r="D4036" s="1088">
        <v>9.9</v>
      </c>
      <c r="E4036" s="1089" t="s">
        <v>5308</v>
      </c>
      <c r="F4036" s="1081">
        <f t="shared" si="1"/>
        <v>0</v>
      </c>
      <c r="G4036" s="1083">
        <f t="shared" si="2"/>
        <v>9.9</v>
      </c>
      <c r="H4036" s="1084"/>
    </row>
    <row r="4037" ht="14.25" customHeight="1">
      <c r="A4037" s="1085">
        <v>38012.0</v>
      </c>
      <c r="B4037" s="1086" t="s">
        <v>9355</v>
      </c>
      <c r="C4037" s="1087" t="s">
        <v>1788</v>
      </c>
      <c r="D4037" s="1088">
        <v>37.74</v>
      </c>
      <c r="E4037" s="1089" t="s">
        <v>5308</v>
      </c>
      <c r="F4037" s="1081">
        <f t="shared" si="1"/>
        <v>0</v>
      </c>
      <c r="G4037" s="1083">
        <f t="shared" si="2"/>
        <v>37.74</v>
      </c>
      <c r="H4037" s="1084"/>
    </row>
    <row r="4038" ht="14.25" customHeight="1">
      <c r="A4038" s="1085">
        <v>38013.0</v>
      </c>
      <c r="B4038" s="1086" t="s">
        <v>9356</v>
      </c>
      <c r="C4038" s="1087" t="s">
        <v>1788</v>
      </c>
      <c r="D4038" s="1088">
        <v>48.49</v>
      </c>
      <c r="E4038" s="1089" t="s">
        <v>5308</v>
      </c>
      <c r="F4038" s="1081">
        <f t="shared" si="1"/>
        <v>0</v>
      </c>
      <c r="G4038" s="1083">
        <f t="shared" si="2"/>
        <v>48.49</v>
      </c>
      <c r="H4038" s="1084"/>
    </row>
    <row r="4039" ht="14.25" customHeight="1">
      <c r="A4039" s="1085">
        <v>38014.0</v>
      </c>
      <c r="B4039" s="1086" t="s">
        <v>9357</v>
      </c>
      <c r="C4039" s="1087" t="s">
        <v>1788</v>
      </c>
      <c r="D4039" s="1088">
        <v>80.97</v>
      </c>
      <c r="E4039" s="1089" t="s">
        <v>5308</v>
      </c>
      <c r="F4039" s="1081">
        <f t="shared" si="1"/>
        <v>0</v>
      </c>
      <c r="G4039" s="1083">
        <f t="shared" si="2"/>
        <v>80.97</v>
      </c>
      <c r="H4039" s="1084"/>
    </row>
    <row r="4040" ht="14.25" customHeight="1">
      <c r="A4040" s="1085">
        <v>38015.0</v>
      </c>
      <c r="B4040" s="1086" t="s">
        <v>9358</v>
      </c>
      <c r="C4040" s="1087" t="s">
        <v>1788</v>
      </c>
      <c r="D4040" s="1088">
        <v>190.36</v>
      </c>
      <c r="E4040" s="1089" t="s">
        <v>5308</v>
      </c>
      <c r="F4040" s="1081">
        <f t="shared" si="1"/>
        <v>0</v>
      </c>
      <c r="G4040" s="1083">
        <f t="shared" si="2"/>
        <v>190.36</v>
      </c>
      <c r="H4040" s="1084"/>
    </row>
    <row r="4041" ht="14.25" customHeight="1">
      <c r="A4041" s="1085">
        <v>38016.0</v>
      </c>
      <c r="B4041" s="1086" t="s">
        <v>9359</v>
      </c>
      <c r="C4041" s="1087" t="s">
        <v>1788</v>
      </c>
      <c r="D4041" s="1088">
        <v>221.37</v>
      </c>
      <c r="E4041" s="1089" t="s">
        <v>5308</v>
      </c>
      <c r="F4041" s="1081">
        <f t="shared" si="1"/>
        <v>0</v>
      </c>
      <c r="G4041" s="1083">
        <f t="shared" si="2"/>
        <v>221.37</v>
      </c>
      <c r="H4041" s="1084"/>
    </row>
    <row r="4042" ht="14.25" customHeight="1">
      <c r="A4042" s="1085">
        <v>12741.0</v>
      </c>
      <c r="B4042" s="1086" t="s">
        <v>9360</v>
      </c>
      <c r="C4042" s="1087" t="s">
        <v>1788</v>
      </c>
      <c r="D4042" s="1088">
        <v>1367.86</v>
      </c>
      <c r="E4042" s="1089" t="s">
        <v>5308</v>
      </c>
      <c r="F4042" s="1081">
        <f t="shared" si="1"/>
        <v>0</v>
      </c>
      <c r="G4042" s="1083">
        <f t="shared" si="2"/>
        <v>1367.86</v>
      </c>
      <c r="H4042" s="1084"/>
    </row>
    <row r="4043" ht="14.25" customHeight="1">
      <c r="A4043" s="1085">
        <v>12733.0</v>
      </c>
      <c r="B4043" s="1086" t="s">
        <v>9361</v>
      </c>
      <c r="C4043" s="1087" t="s">
        <v>1788</v>
      </c>
      <c r="D4043" s="1088">
        <v>6.88</v>
      </c>
      <c r="E4043" s="1089" t="s">
        <v>5308</v>
      </c>
      <c r="F4043" s="1081">
        <f t="shared" si="1"/>
        <v>0</v>
      </c>
      <c r="G4043" s="1083">
        <f t="shared" si="2"/>
        <v>6.88</v>
      </c>
      <c r="H4043" s="1084"/>
    </row>
    <row r="4044" ht="14.25" customHeight="1">
      <c r="A4044" s="1085">
        <v>12734.0</v>
      </c>
      <c r="B4044" s="1086" t="s">
        <v>9362</v>
      </c>
      <c r="C4044" s="1087" t="s">
        <v>1788</v>
      </c>
      <c r="D4044" s="1088">
        <v>14.67</v>
      </c>
      <c r="E4044" s="1089" t="s">
        <v>5308</v>
      </c>
      <c r="F4044" s="1081">
        <f t="shared" si="1"/>
        <v>0</v>
      </c>
      <c r="G4044" s="1083">
        <f t="shared" si="2"/>
        <v>14.67</v>
      </c>
      <c r="H4044" s="1084"/>
    </row>
    <row r="4045" ht="14.25" customHeight="1">
      <c r="A4045" s="1085">
        <v>12735.0</v>
      </c>
      <c r="B4045" s="1086" t="s">
        <v>9363</v>
      </c>
      <c r="C4045" s="1087" t="s">
        <v>1788</v>
      </c>
      <c r="D4045" s="1088">
        <v>24.13</v>
      </c>
      <c r="E4045" s="1089" t="s">
        <v>5308</v>
      </c>
      <c r="F4045" s="1081">
        <f t="shared" si="1"/>
        <v>0</v>
      </c>
      <c r="G4045" s="1083">
        <f t="shared" si="2"/>
        <v>24.13</v>
      </c>
      <c r="H4045" s="1084"/>
    </row>
    <row r="4046" ht="14.25" customHeight="1">
      <c r="A4046" s="1085">
        <v>12736.0</v>
      </c>
      <c r="B4046" s="1086" t="s">
        <v>9364</v>
      </c>
      <c r="C4046" s="1087" t="s">
        <v>1788</v>
      </c>
      <c r="D4046" s="1088">
        <v>55.17</v>
      </c>
      <c r="E4046" s="1089" t="s">
        <v>5308</v>
      </c>
      <c r="F4046" s="1081">
        <f t="shared" si="1"/>
        <v>0</v>
      </c>
      <c r="G4046" s="1083">
        <f t="shared" si="2"/>
        <v>55.17</v>
      </c>
      <c r="H4046" s="1084"/>
    </row>
    <row r="4047" ht="14.25" customHeight="1">
      <c r="A4047" s="1085">
        <v>12737.0</v>
      </c>
      <c r="B4047" s="1086" t="s">
        <v>9365</v>
      </c>
      <c r="C4047" s="1087" t="s">
        <v>1788</v>
      </c>
      <c r="D4047" s="1088">
        <v>71.07</v>
      </c>
      <c r="E4047" s="1089" t="s">
        <v>5308</v>
      </c>
      <c r="F4047" s="1081">
        <f t="shared" si="1"/>
        <v>0</v>
      </c>
      <c r="G4047" s="1083">
        <f t="shared" si="2"/>
        <v>71.07</v>
      </c>
      <c r="H4047" s="1084"/>
    </row>
    <row r="4048" ht="14.25" customHeight="1">
      <c r="A4048" s="1085">
        <v>12738.0</v>
      </c>
      <c r="B4048" s="1086" t="s">
        <v>9366</v>
      </c>
      <c r="C4048" s="1087" t="s">
        <v>1788</v>
      </c>
      <c r="D4048" s="1088">
        <v>140.47</v>
      </c>
      <c r="E4048" s="1089" t="s">
        <v>5308</v>
      </c>
      <c r="F4048" s="1081">
        <f t="shared" si="1"/>
        <v>0</v>
      </c>
      <c r="G4048" s="1083">
        <f t="shared" si="2"/>
        <v>140.47</v>
      </c>
      <c r="H4048" s="1084"/>
    </row>
    <row r="4049" ht="14.25" customHeight="1">
      <c r="A4049" s="1085">
        <v>12739.0</v>
      </c>
      <c r="B4049" s="1086" t="s">
        <v>9367</v>
      </c>
      <c r="C4049" s="1087" t="s">
        <v>1788</v>
      </c>
      <c r="D4049" s="1088">
        <v>399.86</v>
      </c>
      <c r="E4049" s="1089" t="s">
        <v>5308</v>
      </c>
      <c r="F4049" s="1081">
        <f t="shared" si="1"/>
        <v>0</v>
      </c>
      <c r="G4049" s="1083">
        <f t="shared" si="2"/>
        <v>399.86</v>
      </c>
      <c r="H4049" s="1084"/>
    </row>
    <row r="4050" ht="14.25" customHeight="1">
      <c r="A4050" s="1085">
        <v>12740.0</v>
      </c>
      <c r="B4050" s="1086" t="s">
        <v>9368</v>
      </c>
      <c r="C4050" s="1087" t="s">
        <v>1788</v>
      </c>
      <c r="D4050" s="1088">
        <v>625.61</v>
      </c>
      <c r="E4050" s="1089" t="s">
        <v>5308</v>
      </c>
      <c r="F4050" s="1081">
        <f t="shared" si="1"/>
        <v>0</v>
      </c>
      <c r="G4050" s="1083">
        <f t="shared" si="2"/>
        <v>625.61</v>
      </c>
      <c r="H4050" s="1084"/>
    </row>
    <row r="4051" ht="14.25" customHeight="1">
      <c r="A4051" s="1085">
        <v>6297.0</v>
      </c>
      <c r="B4051" s="1086" t="s">
        <v>9369</v>
      </c>
      <c r="C4051" s="1087" t="s">
        <v>1788</v>
      </c>
      <c r="D4051" s="1088">
        <v>45.67</v>
      </c>
      <c r="E4051" s="1089" t="s">
        <v>5308</v>
      </c>
      <c r="F4051" s="1081">
        <f t="shared" si="1"/>
        <v>0</v>
      </c>
      <c r="G4051" s="1083">
        <f t="shared" si="2"/>
        <v>45.67</v>
      </c>
      <c r="H4051" s="1084"/>
    </row>
    <row r="4052" ht="14.25" customHeight="1">
      <c r="A4052" s="1085">
        <v>6296.0</v>
      </c>
      <c r="B4052" s="1086" t="s">
        <v>9370</v>
      </c>
      <c r="C4052" s="1087" t="s">
        <v>1788</v>
      </c>
      <c r="D4052" s="1088">
        <v>36.04</v>
      </c>
      <c r="E4052" s="1089" t="s">
        <v>5308</v>
      </c>
      <c r="F4052" s="1081">
        <f t="shared" si="1"/>
        <v>0</v>
      </c>
      <c r="G4052" s="1083">
        <f t="shared" si="2"/>
        <v>36.04</v>
      </c>
      <c r="H4052" s="1084"/>
    </row>
    <row r="4053" ht="14.25" customHeight="1">
      <c r="A4053" s="1085">
        <v>6294.0</v>
      </c>
      <c r="B4053" s="1086" t="s">
        <v>9371</v>
      </c>
      <c r="C4053" s="1087" t="s">
        <v>1788</v>
      </c>
      <c r="D4053" s="1088">
        <v>10.27</v>
      </c>
      <c r="E4053" s="1089" t="s">
        <v>5308</v>
      </c>
      <c r="F4053" s="1081">
        <f t="shared" si="1"/>
        <v>0</v>
      </c>
      <c r="G4053" s="1083">
        <f t="shared" si="2"/>
        <v>10.27</v>
      </c>
      <c r="H4053" s="1084"/>
    </row>
    <row r="4054" ht="14.25" customHeight="1">
      <c r="A4054" s="1085">
        <v>6323.0</v>
      </c>
      <c r="B4054" s="1086" t="s">
        <v>9372</v>
      </c>
      <c r="C4054" s="1087" t="s">
        <v>1788</v>
      </c>
      <c r="D4054" s="1088">
        <v>23.55</v>
      </c>
      <c r="E4054" s="1089" t="s">
        <v>5308</v>
      </c>
      <c r="F4054" s="1081">
        <f t="shared" si="1"/>
        <v>0</v>
      </c>
      <c r="G4054" s="1083">
        <f t="shared" si="2"/>
        <v>23.55</v>
      </c>
      <c r="H4054" s="1084"/>
    </row>
    <row r="4055" ht="14.25" customHeight="1">
      <c r="A4055" s="1085">
        <v>6299.0</v>
      </c>
      <c r="B4055" s="1086" t="s">
        <v>9373</v>
      </c>
      <c r="C4055" s="1087" t="s">
        <v>1788</v>
      </c>
      <c r="D4055" s="1088">
        <v>137.34</v>
      </c>
      <c r="E4055" s="1089" t="s">
        <v>5308</v>
      </c>
      <c r="F4055" s="1081">
        <f t="shared" si="1"/>
        <v>0</v>
      </c>
      <c r="G4055" s="1083">
        <f t="shared" si="2"/>
        <v>137.34</v>
      </c>
      <c r="H4055" s="1084"/>
    </row>
    <row r="4056" ht="14.25" customHeight="1">
      <c r="A4056" s="1085">
        <v>6298.0</v>
      </c>
      <c r="B4056" s="1086" t="s">
        <v>9374</v>
      </c>
      <c r="C4056" s="1087" t="s">
        <v>1788</v>
      </c>
      <c r="D4056" s="1088">
        <v>72.33</v>
      </c>
      <c r="E4056" s="1089" t="s">
        <v>5308</v>
      </c>
      <c r="F4056" s="1081">
        <f t="shared" si="1"/>
        <v>0</v>
      </c>
      <c r="G4056" s="1083">
        <f t="shared" si="2"/>
        <v>72.33</v>
      </c>
      <c r="H4056" s="1084"/>
    </row>
    <row r="4057" ht="14.25" customHeight="1">
      <c r="A4057" s="1085">
        <v>6295.0</v>
      </c>
      <c r="B4057" s="1086" t="s">
        <v>9375</v>
      </c>
      <c r="C4057" s="1087" t="s">
        <v>1788</v>
      </c>
      <c r="D4057" s="1088">
        <v>14.63</v>
      </c>
      <c r="E4057" s="1089" t="s">
        <v>5308</v>
      </c>
      <c r="F4057" s="1081">
        <f t="shared" si="1"/>
        <v>0</v>
      </c>
      <c r="G4057" s="1083">
        <f t="shared" si="2"/>
        <v>14.63</v>
      </c>
      <c r="H4057" s="1084"/>
    </row>
    <row r="4058" ht="14.25" customHeight="1">
      <c r="A4058" s="1085">
        <v>6322.0</v>
      </c>
      <c r="B4058" s="1086" t="s">
        <v>9376</v>
      </c>
      <c r="C4058" s="1087" t="s">
        <v>1788</v>
      </c>
      <c r="D4058" s="1088">
        <v>183.95</v>
      </c>
      <c r="E4058" s="1089" t="s">
        <v>5308</v>
      </c>
      <c r="F4058" s="1081">
        <f t="shared" si="1"/>
        <v>0</v>
      </c>
      <c r="G4058" s="1083">
        <f t="shared" si="2"/>
        <v>183.95</v>
      </c>
      <c r="H4058" s="1084"/>
    </row>
    <row r="4059" ht="14.25" customHeight="1">
      <c r="A4059" s="1085">
        <v>6300.0</v>
      </c>
      <c r="B4059" s="1086" t="s">
        <v>9377</v>
      </c>
      <c r="C4059" s="1087" t="s">
        <v>1788</v>
      </c>
      <c r="D4059" s="1088">
        <v>339.14</v>
      </c>
      <c r="E4059" s="1089" t="s">
        <v>5308</v>
      </c>
      <c r="F4059" s="1081">
        <f t="shared" si="1"/>
        <v>0</v>
      </c>
      <c r="G4059" s="1083">
        <f t="shared" si="2"/>
        <v>339.14</v>
      </c>
      <c r="H4059" s="1084"/>
    </row>
    <row r="4060" ht="14.25" customHeight="1">
      <c r="A4060" s="1085">
        <v>6321.0</v>
      </c>
      <c r="B4060" s="1086" t="s">
        <v>9378</v>
      </c>
      <c r="C4060" s="1087" t="s">
        <v>1788</v>
      </c>
      <c r="D4060" s="1088">
        <v>484.45</v>
      </c>
      <c r="E4060" s="1089" t="s">
        <v>5308</v>
      </c>
      <c r="F4060" s="1081">
        <f t="shared" si="1"/>
        <v>0</v>
      </c>
      <c r="G4060" s="1083">
        <f t="shared" si="2"/>
        <v>484.45</v>
      </c>
      <c r="H4060" s="1084"/>
    </row>
    <row r="4061" ht="14.25" customHeight="1">
      <c r="A4061" s="1085">
        <v>6301.0</v>
      </c>
      <c r="B4061" s="1086" t="s">
        <v>9379</v>
      </c>
      <c r="C4061" s="1087" t="s">
        <v>1788</v>
      </c>
      <c r="D4061" s="1088">
        <v>1135.49</v>
      </c>
      <c r="E4061" s="1089" t="s">
        <v>5308</v>
      </c>
      <c r="F4061" s="1081">
        <f t="shared" si="1"/>
        <v>0</v>
      </c>
      <c r="G4061" s="1083">
        <f t="shared" si="2"/>
        <v>1135.49</v>
      </c>
      <c r="H4061" s="1084"/>
    </row>
    <row r="4062" ht="14.25" customHeight="1">
      <c r="A4062" s="1085">
        <v>7105.0</v>
      </c>
      <c r="B4062" s="1086" t="s">
        <v>9380</v>
      </c>
      <c r="C4062" s="1087" t="s">
        <v>1788</v>
      </c>
      <c r="D4062" s="1088">
        <v>46.81</v>
      </c>
      <c r="E4062" s="1089" t="s">
        <v>5308</v>
      </c>
      <c r="F4062" s="1081">
        <f t="shared" si="1"/>
        <v>0</v>
      </c>
      <c r="G4062" s="1083">
        <f t="shared" si="2"/>
        <v>46.81</v>
      </c>
      <c r="H4062" s="1084"/>
    </row>
    <row r="4063" ht="14.25" customHeight="1">
      <c r="A4063" s="1085">
        <v>20183.0</v>
      </c>
      <c r="B4063" s="1086" t="s">
        <v>9381</v>
      </c>
      <c r="C4063" s="1087" t="s">
        <v>1788</v>
      </c>
      <c r="D4063" s="1088">
        <v>57.67</v>
      </c>
      <c r="E4063" s="1089" t="s">
        <v>5308</v>
      </c>
      <c r="F4063" s="1081">
        <f t="shared" si="1"/>
        <v>0</v>
      </c>
      <c r="G4063" s="1083">
        <f t="shared" si="2"/>
        <v>57.67</v>
      </c>
      <c r="H4063" s="1084"/>
    </row>
    <row r="4064" ht="14.25" customHeight="1">
      <c r="A4064" s="1085">
        <v>38448.0</v>
      </c>
      <c r="B4064" s="1086" t="s">
        <v>9382</v>
      </c>
      <c r="C4064" s="1087" t="s">
        <v>1788</v>
      </c>
      <c r="D4064" s="1088">
        <v>261.71</v>
      </c>
      <c r="E4064" s="1089" t="s">
        <v>5308</v>
      </c>
      <c r="F4064" s="1081">
        <f t="shared" si="1"/>
        <v>0</v>
      </c>
      <c r="G4064" s="1083">
        <f t="shared" si="2"/>
        <v>261.71</v>
      </c>
      <c r="H4064" s="1084"/>
    </row>
    <row r="4065" ht="14.25" customHeight="1">
      <c r="A4065" s="1085">
        <v>20182.0</v>
      </c>
      <c r="B4065" s="1086" t="s">
        <v>9383</v>
      </c>
      <c r="C4065" s="1087" t="s">
        <v>1788</v>
      </c>
      <c r="D4065" s="1088">
        <v>33.53</v>
      </c>
      <c r="E4065" s="1089" t="s">
        <v>5308</v>
      </c>
      <c r="F4065" s="1081">
        <f t="shared" si="1"/>
        <v>0</v>
      </c>
      <c r="G4065" s="1083">
        <f t="shared" si="2"/>
        <v>33.53</v>
      </c>
      <c r="H4065" s="1084"/>
    </row>
    <row r="4066" ht="14.25" customHeight="1">
      <c r="A4066" s="1085">
        <v>7119.0</v>
      </c>
      <c r="B4066" s="1086" t="s">
        <v>9384</v>
      </c>
      <c r="C4066" s="1087" t="s">
        <v>1788</v>
      </c>
      <c r="D4066" s="1088">
        <v>11.81</v>
      </c>
      <c r="E4066" s="1089" t="s">
        <v>5308</v>
      </c>
      <c r="F4066" s="1081">
        <f t="shared" si="1"/>
        <v>0</v>
      </c>
      <c r="G4066" s="1083">
        <f t="shared" si="2"/>
        <v>11.81</v>
      </c>
      <c r="H4066" s="1084"/>
    </row>
    <row r="4067" ht="14.25" customHeight="1">
      <c r="A4067" s="1085">
        <v>7126.0</v>
      </c>
      <c r="B4067" s="1086" t="s">
        <v>9385</v>
      </c>
      <c r="C4067" s="1087" t="s">
        <v>1788</v>
      </c>
      <c r="D4067" s="1088">
        <v>24.1</v>
      </c>
      <c r="E4067" s="1089" t="s">
        <v>5308</v>
      </c>
      <c r="F4067" s="1081">
        <f t="shared" si="1"/>
        <v>0</v>
      </c>
      <c r="G4067" s="1083">
        <f t="shared" si="2"/>
        <v>24.1</v>
      </c>
      <c r="H4067" s="1084"/>
    </row>
    <row r="4068" ht="14.25" customHeight="1">
      <c r="A4068" s="1085">
        <v>7120.0</v>
      </c>
      <c r="B4068" s="1086" t="s">
        <v>9386</v>
      </c>
      <c r="C4068" s="1087" t="s">
        <v>1788</v>
      </c>
      <c r="D4068" s="1088">
        <v>9.06</v>
      </c>
      <c r="E4068" s="1089" t="s">
        <v>5308</v>
      </c>
      <c r="F4068" s="1081">
        <f t="shared" si="1"/>
        <v>0</v>
      </c>
      <c r="G4068" s="1083">
        <f t="shared" si="2"/>
        <v>9.06</v>
      </c>
      <c r="H4068" s="1084"/>
    </row>
    <row r="4069" ht="14.25" customHeight="1">
      <c r="A4069" s="1085">
        <v>6319.0</v>
      </c>
      <c r="B4069" s="1086" t="s">
        <v>9387</v>
      </c>
      <c r="C4069" s="1087" t="s">
        <v>1788</v>
      </c>
      <c r="D4069" s="1088">
        <v>53.65</v>
      </c>
      <c r="E4069" s="1089" t="s">
        <v>5308</v>
      </c>
      <c r="F4069" s="1081">
        <f t="shared" si="1"/>
        <v>0</v>
      </c>
      <c r="G4069" s="1083">
        <f t="shared" si="2"/>
        <v>53.65</v>
      </c>
      <c r="H4069" s="1084"/>
    </row>
    <row r="4070" ht="14.25" customHeight="1">
      <c r="A4070" s="1085">
        <v>6304.0</v>
      </c>
      <c r="B4070" s="1086" t="s">
        <v>9388</v>
      </c>
      <c r="C4070" s="1087" t="s">
        <v>1788</v>
      </c>
      <c r="D4070" s="1088">
        <v>53.65</v>
      </c>
      <c r="E4070" s="1089" t="s">
        <v>5308</v>
      </c>
      <c r="F4070" s="1081">
        <f t="shared" si="1"/>
        <v>0</v>
      </c>
      <c r="G4070" s="1083">
        <f t="shared" si="2"/>
        <v>53.65</v>
      </c>
      <c r="H4070" s="1084"/>
    </row>
    <row r="4071" ht="14.25" customHeight="1">
      <c r="A4071" s="1085">
        <v>21116.0</v>
      </c>
      <c r="B4071" s="1086" t="s">
        <v>9389</v>
      </c>
      <c r="C4071" s="1087" t="s">
        <v>1788</v>
      </c>
      <c r="D4071" s="1088">
        <v>40.62</v>
      </c>
      <c r="E4071" s="1089" t="s">
        <v>5308</v>
      </c>
      <c r="F4071" s="1081">
        <f t="shared" si="1"/>
        <v>0</v>
      </c>
      <c r="G4071" s="1083">
        <f t="shared" si="2"/>
        <v>40.62</v>
      </c>
      <c r="H4071" s="1084"/>
    </row>
    <row r="4072" ht="14.25" customHeight="1">
      <c r="A4072" s="1085">
        <v>6320.0</v>
      </c>
      <c r="B4072" s="1086" t="s">
        <v>9390</v>
      </c>
      <c r="C4072" s="1087" t="s">
        <v>1788</v>
      </c>
      <c r="D4072" s="1088">
        <v>27.63</v>
      </c>
      <c r="E4072" s="1089" t="s">
        <v>5308</v>
      </c>
      <c r="F4072" s="1081">
        <f t="shared" si="1"/>
        <v>0</v>
      </c>
      <c r="G4072" s="1083">
        <f t="shared" si="2"/>
        <v>27.63</v>
      </c>
      <c r="H4072" s="1084"/>
    </row>
    <row r="4073" ht="14.25" customHeight="1">
      <c r="A4073" s="1085">
        <v>6303.0</v>
      </c>
      <c r="B4073" s="1086" t="s">
        <v>9391</v>
      </c>
      <c r="C4073" s="1087" t="s">
        <v>1788</v>
      </c>
      <c r="D4073" s="1088">
        <v>27.63</v>
      </c>
      <c r="E4073" s="1089" t="s">
        <v>5308</v>
      </c>
      <c r="F4073" s="1081">
        <f t="shared" si="1"/>
        <v>0</v>
      </c>
      <c r="G4073" s="1083">
        <f t="shared" si="2"/>
        <v>27.63</v>
      </c>
      <c r="H4073" s="1084"/>
    </row>
    <row r="4074" ht="14.25" customHeight="1">
      <c r="A4074" s="1085">
        <v>6308.0</v>
      </c>
      <c r="B4074" s="1086" t="s">
        <v>9392</v>
      </c>
      <c r="C4074" s="1087" t="s">
        <v>1788</v>
      </c>
      <c r="D4074" s="1088">
        <v>148.45</v>
      </c>
      <c r="E4074" s="1089" t="s">
        <v>5308</v>
      </c>
      <c r="F4074" s="1081">
        <f t="shared" si="1"/>
        <v>0</v>
      </c>
      <c r="G4074" s="1083">
        <f t="shared" si="2"/>
        <v>148.45</v>
      </c>
      <c r="H4074" s="1084"/>
    </row>
    <row r="4075" ht="14.25" customHeight="1">
      <c r="A4075" s="1085">
        <v>6317.0</v>
      </c>
      <c r="B4075" s="1086" t="s">
        <v>9393</v>
      </c>
      <c r="C4075" s="1087" t="s">
        <v>1788</v>
      </c>
      <c r="D4075" s="1088">
        <v>148.45</v>
      </c>
      <c r="E4075" s="1089" t="s">
        <v>5308</v>
      </c>
      <c r="F4075" s="1081">
        <f t="shared" si="1"/>
        <v>0</v>
      </c>
      <c r="G4075" s="1083">
        <f t="shared" si="2"/>
        <v>148.45</v>
      </c>
      <c r="H4075" s="1084"/>
    </row>
    <row r="4076" ht="14.25" customHeight="1">
      <c r="A4076" s="1085">
        <v>6307.0</v>
      </c>
      <c r="B4076" s="1086" t="s">
        <v>9394</v>
      </c>
      <c r="C4076" s="1087" t="s">
        <v>1788</v>
      </c>
      <c r="D4076" s="1088">
        <v>148.45</v>
      </c>
      <c r="E4076" s="1089" t="s">
        <v>5308</v>
      </c>
      <c r="F4076" s="1081">
        <f t="shared" si="1"/>
        <v>0</v>
      </c>
      <c r="G4076" s="1083">
        <f t="shared" si="2"/>
        <v>148.45</v>
      </c>
      <c r="H4076" s="1084"/>
    </row>
    <row r="4077" ht="14.25" customHeight="1">
      <c r="A4077" s="1085">
        <v>6309.0</v>
      </c>
      <c r="B4077" s="1086" t="s">
        <v>9395</v>
      </c>
      <c r="C4077" s="1087" t="s">
        <v>1788</v>
      </c>
      <c r="D4077" s="1088">
        <v>152.76</v>
      </c>
      <c r="E4077" s="1089" t="s">
        <v>5308</v>
      </c>
      <c r="F4077" s="1081">
        <f t="shared" si="1"/>
        <v>0</v>
      </c>
      <c r="G4077" s="1083">
        <f t="shared" si="2"/>
        <v>152.76</v>
      </c>
      <c r="H4077" s="1084"/>
    </row>
    <row r="4078" ht="14.25" customHeight="1">
      <c r="A4078" s="1085">
        <v>6318.0</v>
      </c>
      <c r="B4078" s="1086" t="s">
        <v>9396</v>
      </c>
      <c r="C4078" s="1087" t="s">
        <v>1788</v>
      </c>
      <c r="D4078" s="1088">
        <v>80.08</v>
      </c>
      <c r="E4078" s="1089" t="s">
        <v>5308</v>
      </c>
      <c r="F4078" s="1081">
        <f t="shared" si="1"/>
        <v>0</v>
      </c>
      <c r="G4078" s="1083">
        <f t="shared" si="2"/>
        <v>80.08</v>
      </c>
      <c r="H4078" s="1084"/>
    </row>
    <row r="4079" ht="14.25" customHeight="1">
      <c r="A4079" s="1085">
        <v>6306.0</v>
      </c>
      <c r="B4079" s="1086" t="s">
        <v>9397</v>
      </c>
      <c r="C4079" s="1087" t="s">
        <v>1788</v>
      </c>
      <c r="D4079" s="1088">
        <v>80.08</v>
      </c>
      <c r="E4079" s="1089" t="s">
        <v>5308</v>
      </c>
      <c r="F4079" s="1081">
        <f t="shared" si="1"/>
        <v>0</v>
      </c>
      <c r="G4079" s="1083">
        <f t="shared" si="2"/>
        <v>80.08</v>
      </c>
      <c r="H4079" s="1084"/>
    </row>
    <row r="4080" ht="14.25" customHeight="1">
      <c r="A4080" s="1085">
        <v>6305.0</v>
      </c>
      <c r="B4080" s="1086" t="s">
        <v>9398</v>
      </c>
      <c r="C4080" s="1087" t="s">
        <v>1788</v>
      </c>
      <c r="D4080" s="1088">
        <v>80.08</v>
      </c>
      <c r="E4080" s="1089" t="s">
        <v>5308</v>
      </c>
      <c r="F4080" s="1081">
        <f t="shared" si="1"/>
        <v>0</v>
      </c>
      <c r="G4080" s="1083">
        <f t="shared" si="2"/>
        <v>80.08</v>
      </c>
      <c r="H4080" s="1084"/>
    </row>
    <row r="4081" ht="14.25" customHeight="1">
      <c r="A4081" s="1085">
        <v>6302.0</v>
      </c>
      <c r="B4081" s="1086" t="s">
        <v>9399</v>
      </c>
      <c r="C4081" s="1087" t="s">
        <v>1788</v>
      </c>
      <c r="D4081" s="1088">
        <v>16.98</v>
      </c>
      <c r="E4081" s="1089" t="s">
        <v>5308</v>
      </c>
      <c r="F4081" s="1081">
        <f t="shared" si="1"/>
        <v>0</v>
      </c>
      <c r="G4081" s="1083">
        <f t="shared" si="2"/>
        <v>16.98</v>
      </c>
      <c r="H4081" s="1084"/>
    </row>
    <row r="4082" ht="14.25" customHeight="1">
      <c r="A4082" s="1085">
        <v>6312.0</v>
      </c>
      <c r="B4082" s="1086" t="s">
        <v>9400</v>
      </c>
      <c r="C4082" s="1087" t="s">
        <v>1788</v>
      </c>
      <c r="D4082" s="1088">
        <v>213.53</v>
      </c>
      <c r="E4082" s="1089" t="s">
        <v>5308</v>
      </c>
      <c r="F4082" s="1081">
        <f t="shared" si="1"/>
        <v>0</v>
      </c>
      <c r="G4082" s="1083">
        <f t="shared" si="2"/>
        <v>213.53</v>
      </c>
      <c r="H4082" s="1084"/>
    </row>
    <row r="4083" ht="14.25" customHeight="1">
      <c r="A4083" s="1085">
        <v>6311.0</v>
      </c>
      <c r="B4083" s="1086" t="s">
        <v>9401</v>
      </c>
      <c r="C4083" s="1087" t="s">
        <v>1788</v>
      </c>
      <c r="D4083" s="1088">
        <v>213.53</v>
      </c>
      <c r="E4083" s="1089" t="s">
        <v>5308</v>
      </c>
      <c r="F4083" s="1081">
        <f t="shared" si="1"/>
        <v>0</v>
      </c>
      <c r="G4083" s="1083">
        <f t="shared" si="2"/>
        <v>213.53</v>
      </c>
      <c r="H4083" s="1084"/>
    </row>
    <row r="4084" ht="14.25" customHeight="1">
      <c r="A4084" s="1085">
        <v>6310.0</v>
      </c>
      <c r="B4084" s="1086" t="s">
        <v>9402</v>
      </c>
      <c r="C4084" s="1087" t="s">
        <v>1788</v>
      </c>
      <c r="D4084" s="1088">
        <v>213.53</v>
      </c>
      <c r="E4084" s="1089" t="s">
        <v>5308</v>
      </c>
      <c r="F4084" s="1081">
        <f t="shared" si="1"/>
        <v>0</v>
      </c>
      <c r="G4084" s="1083">
        <f t="shared" si="2"/>
        <v>213.53</v>
      </c>
      <c r="H4084" s="1084"/>
    </row>
    <row r="4085" ht="14.25" customHeight="1">
      <c r="A4085" s="1085">
        <v>6314.0</v>
      </c>
      <c r="B4085" s="1086" t="s">
        <v>9403</v>
      </c>
      <c r="C4085" s="1087" t="s">
        <v>1788</v>
      </c>
      <c r="D4085" s="1088">
        <v>213.53</v>
      </c>
      <c r="E4085" s="1089" t="s">
        <v>5308</v>
      </c>
      <c r="F4085" s="1081">
        <f t="shared" si="1"/>
        <v>0</v>
      </c>
      <c r="G4085" s="1083">
        <f t="shared" si="2"/>
        <v>213.53</v>
      </c>
      <c r="H4085" s="1084"/>
    </row>
    <row r="4086" ht="14.25" customHeight="1">
      <c r="A4086" s="1085">
        <v>6313.0</v>
      </c>
      <c r="B4086" s="1086" t="s">
        <v>9404</v>
      </c>
      <c r="C4086" s="1087" t="s">
        <v>1788</v>
      </c>
      <c r="D4086" s="1088">
        <v>213.53</v>
      </c>
      <c r="E4086" s="1089" t="s">
        <v>5308</v>
      </c>
      <c r="F4086" s="1081">
        <f t="shared" si="1"/>
        <v>0</v>
      </c>
      <c r="G4086" s="1083">
        <f t="shared" si="2"/>
        <v>213.53</v>
      </c>
      <c r="H4086" s="1084"/>
    </row>
    <row r="4087" ht="14.25" customHeight="1">
      <c r="A4087" s="1085">
        <v>6315.0</v>
      </c>
      <c r="B4087" s="1086" t="s">
        <v>9405</v>
      </c>
      <c r="C4087" s="1087" t="s">
        <v>1788</v>
      </c>
      <c r="D4087" s="1088">
        <v>404.31</v>
      </c>
      <c r="E4087" s="1089" t="s">
        <v>5308</v>
      </c>
      <c r="F4087" s="1081">
        <f t="shared" si="1"/>
        <v>0</v>
      </c>
      <c r="G4087" s="1083">
        <f t="shared" si="2"/>
        <v>404.31</v>
      </c>
      <c r="H4087" s="1084"/>
    </row>
    <row r="4088" ht="14.25" customHeight="1">
      <c r="A4088" s="1085">
        <v>6316.0</v>
      </c>
      <c r="B4088" s="1086" t="s">
        <v>9406</v>
      </c>
      <c r="C4088" s="1087" t="s">
        <v>1788</v>
      </c>
      <c r="D4088" s="1088">
        <v>404.31</v>
      </c>
      <c r="E4088" s="1089" t="s">
        <v>5308</v>
      </c>
      <c r="F4088" s="1081">
        <f t="shared" si="1"/>
        <v>0</v>
      </c>
      <c r="G4088" s="1083">
        <f t="shared" si="2"/>
        <v>404.31</v>
      </c>
      <c r="H4088" s="1084"/>
    </row>
    <row r="4089" ht="14.25" customHeight="1">
      <c r="A4089" s="1085">
        <v>39324.0</v>
      </c>
      <c r="B4089" s="1086" t="s">
        <v>9407</v>
      </c>
      <c r="C4089" s="1087" t="s">
        <v>1788</v>
      </c>
      <c r="D4089" s="1088">
        <v>5.16</v>
      </c>
      <c r="E4089" s="1089" t="s">
        <v>5308</v>
      </c>
      <c r="F4089" s="1081">
        <f t="shared" si="1"/>
        <v>0</v>
      </c>
      <c r="G4089" s="1083">
        <f t="shared" si="2"/>
        <v>5.16</v>
      </c>
      <c r="H4089" s="1084"/>
    </row>
    <row r="4090" ht="14.25" customHeight="1">
      <c r="A4090" s="1085">
        <v>39325.0</v>
      </c>
      <c r="B4090" s="1086" t="s">
        <v>9408</v>
      </c>
      <c r="C4090" s="1087" t="s">
        <v>1788</v>
      </c>
      <c r="D4090" s="1088">
        <v>7.78</v>
      </c>
      <c r="E4090" s="1089" t="s">
        <v>5308</v>
      </c>
      <c r="F4090" s="1081">
        <f t="shared" si="1"/>
        <v>0</v>
      </c>
      <c r="G4090" s="1083">
        <f t="shared" si="2"/>
        <v>7.78</v>
      </c>
      <c r="H4090" s="1084"/>
    </row>
    <row r="4091" ht="14.25" customHeight="1">
      <c r="A4091" s="1085">
        <v>39326.0</v>
      </c>
      <c r="B4091" s="1086" t="s">
        <v>9409</v>
      </c>
      <c r="C4091" s="1087" t="s">
        <v>1788</v>
      </c>
      <c r="D4091" s="1088">
        <v>27.91</v>
      </c>
      <c r="E4091" s="1089" t="s">
        <v>5308</v>
      </c>
      <c r="F4091" s="1081">
        <f t="shared" si="1"/>
        <v>0</v>
      </c>
      <c r="G4091" s="1083">
        <f t="shared" si="2"/>
        <v>27.91</v>
      </c>
      <c r="H4091" s="1084"/>
    </row>
    <row r="4092" ht="14.25" customHeight="1">
      <c r="A4092" s="1085">
        <v>39327.0</v>
      </c>
      <c r="B4092" s="1086" t="s">
        <v>9410</v>
      </c>
      <c r="C4092" s="1087" t="s">
        <v>1788</v>
      </c>
      <c r="D4092" s="1088">
        <v>42.11</v>
      </c>
      <c r="E4092" s="1089" t="s">
        <v>5308</v>
      </c>
      <c r="F4092" s="1081">
        <f t="shared" si="1"/>
        <v>0</v>
      </c>
      <c r="G4092" s="1083">
        <f t="shared" si="2"/>
        <v>42.11</v>
      </c>
      <c r="H4092" s="1084"/>
    </row>
    <row r="4093" ht="14.25" customHeight="1">
      <c r="A4093" s="1085">
        <v>11378.0</v>
      </c>
      <c r="B4093" s="1086" t="s">
        <v>9411</v>
      </c>
      <c r="C4093" s="1087" t="s">
        <v>1788</v>
      </c>
      <c r="D4093" s="1088">
        <v>88.91</v>
      </c>
      <c r="E4093" s="1089" t="s">
        <v>5308</v>
      </c>
      <c r="F4093" s="1081">
        <f t="shared" si="1"/>
        <v>0</v>
      </c>
      <c r="G4093" s="1083">
        <f t="shared" si="2"/>
        <v>88.91</v>
      </c>
      <c r="H4093" s="1084"/>
    </row>
    <row r="4094" ht="14.25" customHeight="1">
      <c r="A4094" s="1085">
        <v>11379.0</v>
      </c>
      <c r="B4094" s="1086" t="s">
        <v>9412</v>
      </c>
      <c r="C4094" s="1087" t="s">
        <v>1788</v>
      </c>
      <c r="D4094" s="1088">
        <v>75.13</v>
      </c>
      <c r="E4094" s="1089" t="s">
        <v>5308</v>
      </c>
      <c r="F4094" s="1081">
        <f t="shared" si="1"/>
        <v>0</v>
      </c>
      <c r="G4094" s="1083">
        <f t="shared" si="2"/>
        <v>75.13</v>
      </c>
      <c r="H4094" s="1084"/>
    </row>
    <row r="4095" ht="14.25" customHeight="1">
      <c r="A4095" s="1085">
        <v>11493.0</v>
      </c>
      <c r="B4095" s="1086" t="s">
        <v>9413</v>
      </c>
      <c r="C4095" s="1087" t="s">
        <v>1788</v>
      </c>
      <c r="D4095" s="1088">
        <v>43.33</v>
      </c>
      <c r="E4095" s="1089" t="s">
        <v>5308</v>
      </c>
      <c r="F4095" s="1081">
        <f t="shared" si="1"/>
        <v>0</v>
      </c>
      <c r="G4095" s="1083">
        <f t="shared" si="2"/>
        <v>43.33</v>
      </c>
      <c r="H4095" s="1084"/>
    </row>
    <row r="4096" ht="14.25" customHeight="1">
      <c r="A4096" s="1085">
        <v>7106.0</v>
      </c>
      <c r="B4096" s="1086" t="s">
        <v>9414</v>
      </c>
      <c r="C4096" s="1087" t="s">
        <v>1788</v>
      </c>
      <c r="D4096" s="1088">
        <v>149.14</v>
      </c>
      <c r="E4096" s="1089" t="s">
        <v>5308</v>
      </c>
      <c r="F4096" s="1081">
        <f t="shared" si="1"/>
        <v>0</v>
      </c>
      <c r="G4096" s="1083">
        <f t="shared" si="2"/>
        <v>149.14</v>
      </c>
      <c r="H4096" s="1084"/>
    </row>
    <row r="4097" ht="14.25" customHeight="1">
      <c r="A4097" s="1085">
        <v>7104.0</v>
      </c>
      <c r="B4097" s="1086" t="s">
        <v>9415</v>
      </c>
      <c r="C4097" s="1087" t="s">
        <v>1788</v>
      </c>
      <c r="D4097" s="1088">
        <v>4.02</v>
      </c>
      <c r="E4097" s="1089" t="s">
        <v>5308</v>
      </c>
      <c r="F4097" s="1081">
        <f t="shared" si="1"/>
        <v>0</v>
      </c>
      <c r="G4097" s="1083">
        <f t="shared" si="2"/>
        <v>4.02</v>
      </c>
      <c r="H4097" s="1084"/>
    </row>
    <row r="4098" ht="14.25" customHeight="1">
      <c r="A4098" s="1085">
        <v>7136.0</v>
      </c>
      <c r="B4098" s="1086" t="s">
        <v>9416</v>
      </c>
      <c r="C4098" s="1087" t="s">
        <v>1788</v>
      </c>
      <c r="D4098" s="1088">
        <v>7.0</v>
      </c>
      <c r="E4098" s="1089" t="s">
        <v>5308</v>
      </c>
      <c r="F4098" s="1081">
        <f t="shared" si="1"/>
        <v>0</v>
      </c>
      <c r="G4098" s="1083">
        <f t="shared" si="2"/>
        <v>7</v>
      </c>
      <c r="H4098" s="1084"/>
    </row>
    <row r="4099" ht="14.25" customHeight="1">
      <c r="A4099" s="1085">
        <v>7128.0</v>
      </c>
      <c r="B4099" s="1086" t="s">
        <v>9417</v>
      </c>
      <c r="C4099" s="1087" t="s">
        <v>1788</v>
      </c>
      <c r="D4099" s="1088">
        <v>9.08</v>
      </c>
      <c r="E4099" s="1089" t="s">
        <v>5308</v>
      </c>
      <c r="F4099" s="1081">
        <f t="shared" si="1"/>
        <v>0</v>
      </c>
      <c r="G4099" s="1083">
        <f t="shared" si="2"/>
        <v>9.08</v>
      </c>
      <c r="H4099" s="1084"/>
    </row>
    <row r="4100" ht="14.25" customHeight="1">
      <c r="A4100" s="1085">
        <v>7108.0</v>
      </c>
      <c r="B4100" s="1086" t="s">
        <v>9418</v>
      </c>
      <c r="C4100" s="1087" t="s">
        <v>1788</v>
      </c>
      <c r="D4100" s="1088">
        <v>9.06</v>
      </c>
      <c r="E4100" s="1089" t="s">
        <v>5308</v>
      </c>
      <c r="F4100" s="1081">
        <f t="shared" si="1"/>
        <v>0</v>
      </c>
      <c r="G4100" s="1083">
        <f t="shared" si="2"/>
        <v>9.06</v>
      </c>
      <c r="H4100" s="1084"/>
    </row>
    <row r="4101" ht="14.25" customHeight="1">
      <c r="A4101" s="1085">
        <v>7129.0</v>
      </c>
      <c r="B4101" s="1086" t="s">
        <v>9419</v>
      </c>
      <c r="C4101" s="1087" t="s">
        <v>1788</v>
      </c>
      <c r="D4101" s="1088">
        <v>10.66</v>
      </c>
      <c r="E4101" s="1089" t="s">
        <v>5308</v>
      </c>
      <c r="F4101" s="1081">
        <f t="shared" si="1"/>
        <v>0</v>
      </c>
      <c r="G4101" s="1083">
        <f t="shared" si="2"/>
        <v>10.66</v>
      </c>
      <c r="H4101" s="1084"/>
    </row>
    <row r="4102" ht="14.25" customHeight="1">
      <c r="A4102" s="1085">
        <v>7130.0</v>
      </c>
      <c r="B4102" s="1086" t="s">
        <v>9420</v>
      </c>
      <c r="C4102" s="1087" t="s">
        <v>1788</v>
      </c>
      <c r="D4102" s="1088">
        <v>15.49</v>
      </c>
      <c r="E4102" s="1089" t="s">
        <v>5308</v>
      </c>
      <c r="F4102" s="1081">
        <f t="shared" si="1"/>
        <v>0</v>
      </c>
      <c r="G4102" s="1083">
        <f t="shared" si="2"/>
        <v>15.49</v>
      </c>
      <c r="H4102" s="1084"/>
    </row>
    <row r="4103" ht="14.25" customHeight="1">
      <c r="A4103" s="1085">
        <v>7131.0</v>
      </c>
      <c r="B4103" s="1086" t="s">
        <v>9421</v>
      </c>
      <c r="C4103" s="1087" t="s">
        <v>1788</v>
      </c>
      <c r="D4103" s="1088">
        <v>18.95</v>
      </c>
      <c r="E4103" s="1089" t="s">
        <v>5308</v>
      </c>
      <c r="F4103" s="1081">
        <f t="shared" si="1"/>
        <v>0</v>
      </c>
      <c r="G4103" s="1083">
        <f t="shared" si="2"/>
        <v>18.95</v>
      </c>
      <c r="H4103" s="1084"/>
    </row>
    <row r="4104" ht="14.25" customHeight="1">
      <c r="A4104" s="1085">
        <v>7132.0</v>
      </c>
      <c r="B4104" s="1086" t="s">
        <v>9422</v>
      </c>
      <c r="C4104" s="1087" t="s">
        <v>1788</v>
      </c>
      <c r="D4104" s="1088">
        <v>44.61</v>
      </c>
      <c r="E4104" s="1089" t="s">
        <v>5308</v>
      </c>
      <c r="F4104" s="1081">
        <f t="shared" si="1"/>
        <v>0</v>
      </c>
      <c r="G4104" s="1083">
        <f t="shared" si="2"/>
        <v>44.61</v>
      </c>
      <c r="H4104" s="1084"/>
    </row>
    <row r="4105" ht="14.25" customHeight="1">
      <c r="A4105" s="1085">
        <v>7133.0</v>
      </c>
      <c r="B4105" s="1086" t="s">
        <v>9423</v>
      </c>
      <c r="C4105" s="1087" t="s">
        <v>1788</v>
      </c>
      <c r="D4105" s="1088">
        <v>103.09</v>
      </c>
      <c r="E4105" s="1089" t="s">
        <v>5308</v>
      </c>
      <c r="F4105" s="1081">
        <f t="shared" si="1"/>
        <v>0</v>
      </c>
      <c r="G4105" s="1083">
        <f t="shared" si="2"/>
        <v>103.09</v>
      </c>
      <c r="H4105" s="1084"/>
    </row>
    <row r="4106" ht="14.25" customHeight="1">
      <c r="A4106" s="1085">
        <v>37420.0</v>
      </c>
      <c r="B4106" s="1086" t="s">
        <v>9424</v>
      </c>
      <c r="C4106" s="1087" t="s">
        <v>1788</v>
      </c>
      <c r="D4106" s="1088">
        <v>43.02</v>
      </c>
      <c r="E4106" s="1089" t="s">
        <v>5308</v>
      </c>
      <c r="F4106" s="1081">
        <f t="shared" si="1"/>
        <v>0</v>
      </c>
      <c r="G4106" s="1083">
        <f t="shared" si="2"/>
        <v>43.02</v>
      </c>
      <c r="H4106" s="1084"/>
    </row>
    <row r="4107" ht="14.25" customHeight="1">
      <c r="A4107" s="1085">
        <v>37421.0</v>
      </c>
      <c r="B4107" s="1086" t="s">
        <v>9425</v>
      </c>
      <c r="C4107" s="1087" t="s">
        <v>1788</v>
      </c>
      <c r="D4107" s="1088">
        <v>58.8</v>
      </c>
      <c r="E4107" s="1089" t="s">
        <v>5308</v>
      </c>
      <c r="F4107" s="1081">
        <f t="shared" si="1"/>
        <v>0</v>
      </c>
      <c r="G4107" s="1083">
        <f t="shared" si="2"/>
        <v>58.8</v>
      </c>
      <c r="H4107" s="1084"/>
    </row>
    <row r="4108" ht="14.25" customHeight="1">
      <c r="A4108" s="1085">
        <v>37422.0</v>
      </c>
      <c r="B4108" s="1086" t="s">
        <v>9426</v>
      </c>
      <c r="C4108" s="1087" t="s">
        <v>1788</v>
      </c>
      <c r="D4108" s="1088">
        <v>55.03</v>
      </c>
      <c r="E4108" s="1089" t="s">
        <v>5308</v>
      </c>
      <c r="F4108" s="1081">
        <f t="shared" si="1"/>
        <v>0</v>
      </c>
      <c r="G4108" s="1083">
        <f t="shared" si="2"/>
        <v>55.03</v>
      </c>
      <c r="H4108" s="1084"/>
    </row>
    <row r="4109" ht="14.25" customHeight="1">
      <c r="A4109" s="1085">
        <v>37443.0</v>
      </c>
      <c r="B4109" s="1086" t="s">
        <v>9427</v>
      </c>
      <c r="C4109" s="1087" t="s">
        <v>1788</v>
      </c>
      <c r="D4109" s="1088">
        <v>200.61</v>
      </c>
      <c r="E4109" s="1089" t="s">
        <v>5308</v>
      </c>
      <c r="F4109" s="1081">
        <f t="shared" si="1"/>
        <v>0</v>
      </c>
      <c r="G4109" s="1083">
        <f t="shared" si="2"/>
        <v>200.61</v>
      </c>
      <c r="H4109" s="1084"/>
    </row>
    <row r="4110" ht="14.25" customHeight="1">
      <c r="A4110" s="1085">
        <v>37444.0</v>
      </c>
      <c r="B4110" s="1086" t="s">
        <v>9428</v>
      </c>
      <c r="C4110" s="1087" t="s">
        <v>1788</v>
      </c>
      <c r="D4110" s="1088">
        <v>204.01</v>
      </c>
      <c r="E4110" s="1089" t="s">
        <v>5308</v>
      </c>
      <c r="F4110" s="1081">
        <f t="shared" si="1"/>
        <v>0</v>
      </c>
      <c r="G4110" s="1083">
        <f t="shared" si="2"/>
        <v>204.01</v>
      </c>
      <c r="H4110" s="1084"/>
    </row>
    <row r="4111" ht="14.25" customHeight="1">
      <c r="A4111" s="1085">
        <v>37445.0</v>
      </c>
      <c r="B4111" s="1086" t="s">
        <v>9429</v>
      </c>
      <c r="C4111" s="1087" t="s">
        <v>1788</v>
      </c>
      <c r="D4111" s="1088">
        <v>309.23</v>
      </c>
      <c r="E4111" s="1089" t="s">
        <v>5308</v>
      </c>
      <c r="F4111" s="1081">
        <f t="shared" si="1"/>
        <v>0</v>
      </c>
      <c r="G4111" s="1083">
        <f t="shared" si="2"/>
        <v>309.23</v>
      </c>
      <c r="H4111" s="1084"/>
    </row>
    <row r="4112" ht="14.25" customHeight="1">
      <c r="A4112" s="1085">
        <v>37446.0</v>
      </c>
      <c r="B4112" s="1086" t="s">
        <v>9430</v>
      </c>
      <c r="C4112" s="1087" t="s">
        <v>1788</v>
      </c>
      <c r="D4112" s="1088">
        <v>337.11</v>
      </c>
      <c r="E4112" s="1089" t="s">
        <v>5308</v>
      </c>
      <c r="F4112" s="1081">
        <f t="shared" si="1"/>
        <v>0</v>
      </c>
      <c r="G4112" s="1083">
        <f t="shared" si="2"/>
        <v>337.11</v>
      </c>
      <c r="H4112" s="1084"/>
    </row>
    <row r="4113" ht="14.25" customHeight="1">
      <c r="A4113" s="1085">
        <v>37447.0</v>
      </c>
      <c r="B4113" s="1086" t="s">
        <v>9431</v>
      </c>
      <c r="C4113" s="1087" t="s">
        <v>1788</v>
      </c>
      <c r="D4113" s="1088">
        <v>342.38</v>
      </c>
      <c r="E4113" s="1089" t="s">
        <v>5308</v>
      </c>
      <c r="F4113" s="1081">
        <f t="shared" si="1"/>
        <v>0</v>
      </c>
      <c r="G4113" s="1083">
        <f t="shared" si="2"/>
        <v>342.38</v>
      </c>
      <c r="H4113" s="1084"/>
    </row>
    <row r="4114" ht="14.25" customHeight="1">
      <c r="A4114" s="1085">
        <v>37448.0</v>
      </c>
      <c r="B4114" s="1086" t="s">
        <v>9432</v>
      </c>
      <c r="C4114" s="1087" t="s">
        <v>1788</v>
      </c>
      <c r="D4114" s="1088">
        <v>469.63</v>
      </c>
      <c r="E4114" s="1089" t="s">
        <v>5308</v>
      </c>
      <c r="F4114" s="1081">
        <f t="shared" si="1"/>
        <v>0</v>
      </c>
      <c r="G4114" s="1083">
        <f t="shared" si="2"/>
        <v>469.63</v>
      </c>
      <c r="H4114" s="1084"/>
    </row>
    <row r="4115" ht="14.25" customHeight="1">
      <c r="A4115" s="1085">
        <v>37440.0</v>
      </c>
      <c r="B4115" s="1086" t="s">
        <v>9433</v>
      </c>
      <c r="C4115" s="1087" t="s">
        <v>1788</v>
      </c>
      <c r="D4115" s="1088">
        <v>159.23</v>
      </c>
      <c r="E4115" s="1089" t="s">
        <v>5308</v>
      </c>
      <c r="F4115" s="1081">
        <f t="shared" si="1"/>
        <v>0</v>
      </c>
      <c r="G4115" s="1083">
        <f t="shared" si="2"/>
        <v>159.23</v>
      </c>
      <c r="H4115" s="1084"/>
    </row>
    <row r="4116" ht="14.25" customHeight="1">
      <c r="A4116" s="1085">
        <v>37441.0</v>
      </c>
      <c r="B4116" s="1086" t="s">
        <v>9434</v>
      </c>
      <c r="C4116" s="1087" t="s">
        <v>1788</v>
      </c>
      <c r="D4116" s="1088">
        <v>159.23</v>
      </c>
      <c r="E4116" s="1089" t="s">
        <v>5308</v>
      </c>
      <c r="F4116" s="1081">
        <f t="shared" si="1"/>
        <v>0</v>
      </c>
      <c r="G4116" s="1083">
        <f t="shared" si="2"/>
        <v>159.23</v>
      </c>
      <c r="H4116" s="1084"/>
    </row>
    <row r="4117" ht="14.25" customHeight="1">
      <c r="A4117" s="1085">
        <v>37442.0</v>
      </c>
      <c r="B4117" s="1086" t="s">
        <v>9435</v>
      </c>
      <c r="C4117" s="1087" t="s">
        <v>1788</v>
      </c>
      <c r="D4117" s="1088">
        <v>191.78</v>
      </c>
      <c r="E4117" s="1089" t="s">
        <v>5308</v>
      </c>
      <c r="F4117" s="1081">
        <f t="shared" si="1"/>
        <v>0</v>
      </c>
      <c r="G4117" s="1083">
        <f t="shared" si="2"/>
        <v>191.78</v>
      </c>
      <c r="H4117" s="1084"/>
    </row>
    <row r="4118" ht="14.25" customHeight="1">
      <c r="A4118" s="1085">
        <v>38017.0</v>
      </c>
      <c r="B4118" s="1086" t="s">
        <v>9436</v>
      </c>
      <c r="C4118" s="1087" t="s">
        <v>1788</v>
      </c>
      <c r="D4118" s="1088">
        <v>10.55</v>
      </c>
      <c r="E4118" s="1089" t="s">
        <v>5308</v>
      </c>
      <c r="F4118" s="1081">
        <f t="shared" si="1"/>
        <v>0</v>
      </c>
      <c r="G4118" s="1083">
        <f t="shared" si="2"/>
        <v>10.55</v>
      </c>
      <c r="H4118" s="1084"/>
    </row>
    <row r="4119" ht="14.25" customHeight="1">
      <c r="A4119" s="1085">
        <v>38018.0</v>
      </c>
      <c r="B4119" s="1086" t="s">
        <v>9437</v>
      </c>
      <c r="C4119" s="1087" t="s">
        <v>1788</v>
      </c>
      <c r="D4119" s="1088">
        <v>11.86</v>
      </c>
      <c r="E4119" s="1089" t="s">
        <v>5308</v>
      </c>
      <c r="F4119" s="1081">
        <f t="shared" si="1"/>
        <v>0</v>
      </c>
      <c r="G4119" s="1083">
        <f t="shared" si="2"/>
        <v>11.86</v>
      </c>
      <c r="H4119" s="1084"/>
    </row>
    <row r="4120" ht="14.25" customHeight="1">
      <c r="A4120" s="1085">
        <v>39895.0</v>
      </c>
      <c r="B4120" s="1086" t="s">
        <v>9438</v>
      </c>
      <c r="C4120" s="1087" t="s">
        <v>1788</v>
      </c>
      <c r="D4120" s="1088">
        <v>49.69</v>
      </c>
      <c r="E4120" s="1089" t="s">
        <v>5308</v>
      </c>
      <c r="F4120" s="1081">
        <f t="shared" si="1"/>
        <v>0</v>
      </c>
      <c r="G4120" s="1083">
        <f t="shared" si="2"/>
        <v>49.69</v>
      </c>
      <c r="H4120" s="1084"/>
    </row>
    <row r="4121" ht="14.25" customHeight="1">
      <c r="A4121" s="1085">
        <v>39896.0</v>
      </c>
      <c r="B4121" s="1086" t="s">
        <v>9439</v>
      </c>
      <c r="C4121" s="1087" t="s">
        <v>1788</v>
      </c>
      <c r="D4121" s="1088">
        <v>72.83</v>
      </c>
      <c r="E4121" s="1089" t="s">
        <v>5308</v>
      </c>
      <c r="F4121" s="1081">
        <f t="shared" si="1"/>
        <v>0</v>
      </c>
      <c r="G4121" s="1083">
        <f t="shared" si="2"/>
        <v>72.83</v>
      </c>
      <c r="H4121" s="1084"/>
    </row>
    <row r="4122" ht="14.25" customHeight="1">
      <c r="A4122" s="1085">
        <v>38873.0</v>
      </c>
      <c r="B4122" s="1086" t="s">
        <v>9440</v>
      </c>
      <c r="C4122" s="1087" t="s">
        <v>1788</v>
      </c>
      <c r="D4122" s="1088">
        <v>13.6</v>
      </c>
      <c r="E4122" s="1089" t="s">
        <v>5308</v>
      </c>
      <c r="F4122" s="1081">
        <f t="shared" si="1"/>
        <v>0</v>
      </c>
      <c r="G4122" s="1083">
        <f t="shared" si="2"/>
        <v>13.6</v>
      </c>
      <c r="H4122" s="1084"/>
    </row>
    <row r="4123" ht="14.25" customHeight="1">
      <c r="A4123" s="1085">
        <v>38874.0</v>
      </c>
      <c r="B4123" s="1086" t="s">
        <v>9441</v>
      </c>
      <c r="C4123" s="1087" t="s">
        <v>1788</v>
      </c>
      <c r="D4123" s="1088">
        <v>17.22</v>
      </c>
      <c r="E4123" s="1089" t="s">
        <v>5308</v>
      </c>
      <c r="F4123" s="1081">
        <f t="shared" si="1"/>
        <v>0</v>
      </c>
      <c r="G4123" s="1083">
        <f t="shared" si="2"/>
        <v>17.22</v>
      </c>
      <c r="H4123" s="1084"/>
    </row>
    <row r="4124" ht="14.25" customHeight="1">
      <c r="A4124" s="1085">
        <v>38875.0</v>
      </c>
      <c r="B4124" s="1086" t="s">
        <v>9442</v>
      </c>
      <c r="C4124" s="1087" t="s">
        <v>1788</v>
      </c>
      <c r="D4124" s="1088">
        <v>27.3</v>
      </c>
      <c r="E4124" s="1089" t="s">
        <v>5308</v>
      </c>
      <c r="F4124" s="1081">
        <f t="shared" si="1"/>
        <v>0</v>
      </c>
      <c r="G4124" s="1083">
        <f t="shared" si="2"/>
        <v>27.3</v>
      </c>
      <c r="H4124" s="1084"/>
    </row>
    <row r="4125" ht="14.25" customHeight="1">
      <c r="A4125" s="1085">
        <v>38876.0</v>
      </c>
      <c r="B4125" s="1086" t="s">
        <v>9443</v>
      </c>
      <c r="C4125" s="1087" t="s">
        <v>1788</v>
      </c>
      <c r="D4125" s="1088">
        <v>36.69</v>
      </c>
      <c r="E4125" s="1089" t="s">
        <v>5308</v>
      </c>
      <c r="F4125" s="1081">
        <f t="shared" si="1"/>
        <v>0</v>
      </c>
      <c r="G4125" s="1083">
        <f t="shared" si="2"/>
        <v>36.69</v>
      </c>
      <c r="H4125" s="1084"/>
    </row>
    <row r="4126" ht="14.25" customHeight="1">
      <c r="A4126" s="1085">
        <v>39000.0</v>
      </c>
      <c r="B4126" s="1086" t="s">
        <v>9444</v>
      </c>
      <c r="C4126" s="1087" t="s">
        <v>1788</v>
      </c>
      <c r="D4126" s="1088">
        <v>35.89</v>
      </c>
      <c r="E4126" s="1089" t="s">
        <v>5308</v>
      </c>
      <c r="F4126" s="1081">
        <f t="shared" si="1"/>
        <v>0</v>
      </c>
      <c r="G4126" s="1083">
        <f t="shared" si="2"/>
        <v>35.89</v>
      </c>
      <c r="H4126" s="1084"/>
    </row>
    <row r="4127" ht="14.25" customHeight="1">
      <c r="A4127" s="1085">
        <v>38674.0</v>
      </c>
      <c r="B4127" s="1086" t="s">
        <v>9445</v>
      </c>
      <c r="C4127" s="1087" t="s">
        <v>1788</v>
      </c>
      <c r="D4127" s="1088">
        <v>35.51</v>
      </c>
      <c r="E4127" s="1089" t="s">
        <v>5308</v>
      </c>
      <c r="F4127" s="1081">
        <f t="shared" si="1"/>
        <v>0</v>
      </c>
      <c r="G4127" s="1083">
        <f t="shared" si="2"/>
        <v>35.51</v>
      </c>
      <c r="H4127" s="1084"/>
    </row>
    <row r="4128" ht="14.25" customHeight="1">
      <c r="A4128" s="1085">
        <v>38019.0</v>
      </c>
      <c r="B4128" s="1086" t="s">
        <v>9446</v>
      </c>
      <c r="C4128" s="1087" t="s">
        <v>1788</v>
      </c>
      <c r="D4128" s="1088">
        <v>7.51</v>
      </c>
      <c r="E4128" s="1089" t="s">
        <v>5308</v>
      </c>
      <c r="F4128" s="1081">
        <f t="shared" si="1"/>
        <v>0</v>
      </c>
      <c r="G4128" s="1083">
        <f t="shared" si="2"/>
        <v>7.51</v>
      </c>
      <c r="H4128" s="1084"/>
    </row>
    <row r="4129" ht="14.25" customHeight="1">
      <c r="A4129" s="1085">
        <v>38020.0</v>
      </c>
      <c r="B4129" s="1086" t="s">
        <v>9447</v>
      </c>
      <c r="C4129" s="1087" t="s">
        <v>1788</v>
      </c>
      <c r="D4129" s="1088">
        <v>9.25</v>
      </c>
      <c r="E4129" s="1089" t="s">
        <v>5308</v>
      </c>
      <c r="F4129" s="1081">
        <f t="shared" si="1"/>
        <v>0</v>
      </c>
      <c r="G4129" s="1083">
        <f t="shared" si="2"/>
        <v>9.25</v>
      </c>
      <c r="H4129" s="1084"/>
    </row>
    <row r="4130" ht="14.25" customHeight="1">
      <c r="A4130" s="1085">
        <v>38454.0</v>
      </c>
      <c r="B4130" s="1086" t="s">
        <v>9448</v>
      </c>
      <c r="C4130" s="1087" t="s">
        <v>1788</v>
      </c>
      <c r="D4130" s="1088">
        <v>13.45</v>
      </c>
      <c r="E4130" s="1089" t="s">
        <v>5308</v>
      </c>
      <c r="F4130" s="1081">
        <f t="shared" si="1"/>
        <v>0</v>
      </c>
      <c r="G4130" s="1083">
        <f t="shared" si="2"/>
        <v>13.45</v>
      </c>
      <c r="H4130" s="1084"/>
    </row>
    <row r="4131" ht="14.25" customHeight="1">
      <c r="A4131" s="1085">
        <v>38455.0</v>
      </c>
      <c r="B4131" s="1086" t="s">
        <v>9449</v>
      </c>
      <c r="C4131" s="1087" t="s">
        <v>1788</v>
      </c>
      <c r="D4131" s="1088">
        <v>18.01</v>
      </c>
      <c r="E4131" s="1089" t="s">
        <v>5308</v>
      </c>
      <c r="F4131" s="1081">
        <f t="shared" si="1"/>
        <v>0</v>
      </c>
      <c r="G4131" s="1083">
        <f t="shared" si="2"/>
        <v>18.01</v>
      </c>
      <c r="H4131" s="1084"/>
    </row>
    <row r="4132" ht="14.25" customHeight="1">
      <c r="A4132" s="1085">
        <v>38462.0</v>
      </c>
      <c r="B4132" s="1086" t="s">
        <v>9450</v>
      </c>
      <c r="C4132" s="1087" t="s">
        <v>1788</v>
      </c>
      <c r="D4132" s="1088">
        <v>290.43</v>
      </c>
      <c r="E4132" s="1089" t="s">
        <v>5308</v>
      </c>
      <c r="F4132" s="1081">
        <f t="shared" si="1"/>
        <v>0</v>
      </c>
      <c r="G4132" s="1083">
        <f t="shared" si="2"/>
        <v>290.43</v>
      </c>
      <c r="H4132" s="1084"/>
    </row>
    <row r="4133" ht="14.25" customHeight="1">
      <c r="A4133" s="1085">
        <v>36362.0</v>
      </c>
      <c r="B4133" s="1086" t="s">
        <v>9451</v>
      </c>
      <c r="C4133" s="1087" t="s">
        <v>1788</v>
      </c>
      <c r="D4133" s="1088">
        <v>4.01</v>
      </c>
      <c r="E4133" s="1089" t="s">
        <v>5308</v>
      </c>
      <c r="F4133" s="1081">
        <f t="shared" si="1"/>
        <v>0</v>
      </c>
      <c r="G4133" s="1083">
        <f t="shared" si="2"/>
        <v>4.01</v>
      </c>
      <c r="H4133" s="1084"/>
    </row>
    <row r="4134" ht="14.25" customHeight="1">
      <c r="A4134" s="1085">
        <v>36298.0</v>
      </c>
      <c r="B4134" s="1086" t="s">
        <v>9452</v>
      </c>
      <c r="C4134" s="1087" t="s">
        <v>1788</v>
      </c>
      <c r="D4134" s="1088">
        <v>3.45</v>
      </c>
      <c r="E4134" s="1089" t="s">
        <v>5308</v>
      </c>
      <c r="F4134" s="1081">
        <f t="shared" si="1"/>
        <v>0</v>
      </c>
      <c r="G4134" s="1083">
        <f t="shared" si="2"/>
        <v>3.45</v>
      </c>
      <c r="H4134" s="1084"/>
    </row>
    <row r="4135" ht="14.25" customHeight="1">
      <c r="A4135" s="1085">
        <v>38456.0</v>
      </c>
      <c r="B4135" s="1086" t="s">
        <v>9453</v>
      </c>
      <c r="C4135" s="1087" t="s">
        <v>1788</v>
      </c>
      <c r="D4135" s="1088">
        <v>8.59</v>
      </c>
      <c r="E4135" s="1089" t="s">
        <v>5308</v>
      </c>
      <c r="F4135" s="1081">
        <f t="shared" si="1"/>
        <v>0</v>
      </c>
      <c r="G4135" s="1083">
        <f t="shared" si="2"/>
        <v>8.59</v>
      </c>
      <c r="H4135" s="1084"/>
    </row>
    <row r="4136" ht="14.25" customHeight="1">
      <c r="A4136" s="1085">
        <v>38457.0</v>
      </c>
      <c r="B4136" s="1086" t="s">
        <v>9454</v>
      </c>
      <c r="C4136" s="1087" t="s">
        <v>1788</v>
      </c>
      <c r="D4136" s="1088">
        <v>15.65</v>
      </c>
      <c r="E4136" s="1089" t="s">
        <v>5308</v>
      </c>
      <c r="F4136" s="1081">
        <f t="shared" si="1"/>
        <v>0</v>
      </c>
      <c r="G4136" s="1083">
        <f t="shared" si="2"/>
        <v>15.65</v>
      </c>
      <c r="H4136" s="1084"/>
    </row>
    <row r="4137" ht="14.25" customHeight="1">
      <c r="A4137" s="1085">
        <v>38458.0</v>
      </c>
      <c r="B4137" s="1086" t="s">
        <v>9455</v>
      </c>
      <c r="C4137" s="1087" t="s">
        <v>1788</v>
      </c>
      <c r="D4137" s="1088">
        <v>30.15</v>
      </c>
      <c r="E4137" s="1089" t="s">
        <v>5308</v>
      </c>
      <c r="F4137" s="1081">
        <f t="shared" si="1"/>
        <v>0</v>
      </c>
      <c r="G4137" s="1083">
        <f t="shared" si="2"/>
        <v>30.15</v>
      </c>
      <c r="H4137" s="1084"/>
    </row>
    <row r="4138" ht="14.25" customHeight="1">
      <c r="A4138" s="1085">
        <v>38459.0</v>
      </c>
      <c r="B4138" s="1086" t="s">
        <v>9456</v>
      </c>
      <c r="C4138" s="1087" t="s">
        <v>1788</v>
      </c>
      <c r="D4138" s="1088">
        <v>47.39</v>
      </c>
      <c r="E4138" s="1089" t="s">
        <v>5308</v>
      </c>
      <c r="F4138" s="1081">
        <f t="shared" si="1"/>
        <v>0</v>
      </c>
      <c r="G4138" s="1083">
        <f t="shared" si="2"/>
        <v>47.39</v>
      </c>
      <c r="H4138" s="1084"/>
    </row>
    <row r="4139" ht="14.25" customHeight="1">
      <c r="A4139" s="1085">
        <v>38460.0</v>
      </c>
      <c r="B4139" s="1086" t="s">
        <v>9457</v>
      </c>
      <c r="C4139" s="1087" t="s">
        <v>1788</v>
      </c>
      <c r="D4139" s="1088">
        <v>101.67</v>
      </c>
      <c r="E4139" s="1089" t="s">
        <v>5308</v>
      </c>
      <c r="F4139" s="1081">
        <f t="shared" si="1"/>
        <v>0</v>
      </c>
      <c r="G4139" s="1083">
        <f t="shared" si="2"/>
        <v>101.67</v>
      </c>
      <c r="H4139" s="1084"/>
    </row>
    <row r="4140" ht="14.25" customHeight="1">
      <c r="A4140" s="1085">
        <v>38461.0</v>
      </c>
      <c r="B4140" s="1086" t="s">
        <v>9458</v>
      </c>
      <c r="C4140" s="1087" t="s">
        <v>1788</v>
      </c>
      <c r="D4140" s="1088">
        <v>136.43</v>
      </c>
      <c r="E4140" s="1089" t="s">
        <v>5308</v>
      </c>
      <c r="F4140" s="1081">
        <f t="shared" si="1"/>
        <v>0</v>
      </c>
      <c r="G4140" s="1083">
        <f t="shared" si="2"/>
        <v>136.43</v>
      </c>
      <c r="H4140" s="1084"/>
    </row>
    <row r="4141" ht="14.25" customHeight="1">
      <c r="A4141" s="1085">
        <v>7094.0</v>
      </c>
      <c r="B4141" s="1086" t="s">
        <v>9459</v>
      </c>
      <c r="C4141" s="1087" t="s">
        <v>1788</v>
      </c>
      <c r="D4141" s="1088">
        <v>13.12</v>
      </c>
      <c r="E4141" s="1089" t="s">
        <v>5308</v>
      </c>
      <c r="F4141" s="1081">
        <f t="shared" si="1"/>
        <v>0</v>
      </c>
      <c r="G4141" s="1083">
        <f t="shared" si="2"/>
        <v>13.12</v>
      </c>
      <c r="H4141" s="1084"/>
    </row>
    <row r="4142" ht="14.25" customHeight="1">
      <c r="A4142" s="1085">
        <v>7116.0</v>
      </c>
      <c r="B4142" s="1086" t="s">
        <v>9460</v>
      </c>
      <c r="C4142" s="1087" t="s">
        <v>1788</v>
      </c>
      <c r="D4142" s="1088">
        <v>4.2</v>
      </c>
      <c r="E4142" s="1089" t="s">
        <v>5308</v>
      </c>
      <c r="F4142" s="1081">
        <f t="shared" si="1"/>
        <v>0</v>
      </c>
      <c r="G4142" s="1083">
        <f t="shared" si="2"/>
        <v>4.2</v>
      </c>
      <c r="H4142" s="1084"/>
    </row>
    <row r="4143" ht="14.25" customHeight="1">
      <c r="A4143" s="1085">
        <v>7118.0</v>
      </c>
      <c r="B4143" s="1086" t="s">
        <v>9461</v>
      </c>
      <c r="C4143" s="1087" t="s">
        <v>1788</v>
      </c>
      <c r="D4143" s="1088">
        <v>26.99</v>
      </c>
      <c r="E4143" s="1089" t="s">
        <v>5308</v>
      </c>
      <c r="F4143" s="1081">
        <f t="shared" si="1"/>
        <v>0</v>
      </c>
      <c r="G4143" s="1083">
        <f t="shared" si="2"/>
        <v>26.99</v>
      </c>
      <c r="H4143" s="1084"/>
    </row>
    <row r="4144" ht="14.25" customHeight="1">
      <c r="A4144" s="1085">
        <v>7098.0</v>
      </c>
      <c r="B4144" s="1086" t="s">
        <v>9462</v>
      </c>
      <c r="C4144" s="1087" t="s">
        <v>1788</v>
      </c>
      <c r="D4144" s="1088">
        <v>4.01</v>
      </c>
      <c r="E4144" s="1089" t="s">
        <v>5308</v>
      </c>
      <c r="F4144" s="1081">
        <f t="shared" si="1"/>
        <v>0</v>
      </c>
      <c r="G4144" s="1083">
        <f t="shared" si="2"/>
        <v>4.01</v>
      </c>
      <c r="H4144" s="1084"/>
    </row>
    <row r="4145" ht="14.25" customHeight="1">
      <c r="A4145" s="1085">
        <v>7110.0</v>
      </c>
      <c r="B4145" s="1086" t="s">
        <v>9463</v>
      </c>
      <c r="C4145" s="1087" t="s">
        <v>1788</v>
      </c>
      <c r="D4145" s="1088">
        <v>51.31</v>
      </c>
      <c r="E4145" s="1089" t="s">
        <v>5308</v>
      </c>
      <c r="F4145" s="1081">
        <f t="shared" si="1"/>
        <v>0</v>
      </c>
      <c r="G4145" s="1083">
        <f t="shared" si="2"/>
        <v>51.31</v>
      </c>
      <c r="H4145" s="1084"/>
    </row>
    <row r="4146" ht="14.25" customHeight="1">
      <c r="A4146" s="1085">
        <v>7123.0</v>
      </c>
      <c r="B4146" s="1086" t="s">
        <v>9464</v>
      </c>
      <c r="C4146" s="1087" t="s">
        <v>1788</v>
      </c>
      <c r="D4146" s="1088">
        <v>4.85</v>
      </c>
      <c r="E4146" s="1089" t="s">
        <v>5308</v>
      </c>
      <c r="F4146" s="1081">
        <f t="shared" si="1"/>
        <v>0</v>
      </c>
      <c r="G4146" s="1083">
        <f t="shared" si="2"/>
        <v>4.85</v>
      </c>
      <c r="H4146" s="1084"/>
    </row>
    <row r="4147" ht="14.25" customHeight="1">
      <c r="A4147" s="1085">
        <v>7121.0</v>
      </c>
      <c r="B4147" s="1086" t="s">
        <v>9465</v>
      </c>
      <c r="C4147" s="1087" t="s">
        <v>1788</v>
      </c>
      <c r="D4147" s="1088">
        <v>9.59</v>
      </c>
      <c r="E4147" s="1089" t="s">
        <v>5308</v>
      </c>
      <c r="F4147" s="1081">
        <f t="shared" si="1"/>
        <v>0</v>
      </c>
      <c r="G4147" s="1083">
        <f t="shared" si="2"/>
        <v>9.59</v>
      </c>
      <c r="H4147" s="1084"/>
    </row>
    <row r="4148" ht="14.25" customHeight="1">
      <c r="A4148" s="1085">
        <v>7137.0</v>
      </c>
      <c r="B4148" s="1086" t="s">
        <v>9466</v>
      </c>
      <c r="C4148" s="1087" t="s">
        <v>1788</v>
      </c>
      <c r="D4148" s="1088">
        <v>10.48</v>
      </c>
      <c r="E4148" s="1089" t="s">
        <v>5308</v>
      </c>
      <c r="F4148" s="1081">
        <f t="shared" si="1"/>
        <v>0</v>
      </c>
      <c r="G4148" s="1083">
        <f t="shared" si="2"/>
        <v>10.48</v>
      </c>
      <c r="H4148" s="1084"/>
    </row>
    <row r="4149" ht="14.25" customHeight="1">
      <c r="A4149" s="1085">
        <v>7122.0</v>
      </c>
      <c r="B4149" s="1086" t="s">
        <v>9467</v>
      </c>
      <c r="C4149" s="1087" t="s">
        <v>1788</v>
      </c>
      <c r="D4149" s="1088">
        <v>11.54</v>
      </c>
      <c r="E4149" s="1089" t="s">
        <v>5308</v>
      </c>
      <c r="F4149" s="1081">
        <f t="shared" si="1"/>
        <v>0</v>
      </c>
      <c r="G4149" s="1083">
        <f t="shared" si="2"/>
        <v>11.54</v>
      </c>
      <c r="H4149" s="1084"/>
    </row>
    <row r="4150" ht="14.25" customHeight="1">
      <c r="A4150" s="1085">
        <v>7114.0</v>
      </c>
      <c r="B4150" s="1086" t="s">
        <v>9468</v>
      </c>
      <c r="C4150" s="1087" t="s">
        <v>1788</v>
      </c>
      <c r="D4150" s="1088">
        <v>13.42</v>
      </c>
      <c r="E4150" s="1089" t="s">
        <v>5308</v>
      </c>
      <c r="F4150" s="1081">
        <f t="shared" si="1"/>
        <v>0</v>
      </c>
      <c r="G4150" s="1083">
        <f t="shared" si="2"/>
        <v>13.42</v>
      </c>
      <c r="H4150" s="1084"/>
    </row>
    <row r="4151" ht="14.25" customHeight="1">
      <c r="A4151" s="1085">
        <v>7109.0</v>
      </c>
      <c r="B4151" s="1086" t="s">
        <v>9469</v>
      </c>
      <c r="C4151" s="1087" t="s">
        <v>1788</v>
      </c>
      <c r="D4151" s="1088">
        <v>2.66</v>
      </c>
      <c r="E4151" s="1089" t="s">
        <v>5308</v>
      </c>
      <c r="F4151" s="1081">
        <f t="shared" si="1"/>
        <v>0</v>
      </c>
      <c r="G4151" s="1083">
        <f t="shared" si="2"/>
        <v>2.66</v>
      </c>
      <c r="H4151" s="1084"/>
    </row>
    <row r="4152" ht="14.25" customHeight="1">
      <c r="A4152" s="1085">
        <v>7135.0</v>
      </c>
      <c r="B4152" s="1086" t="s">
        <v>9470</v>
      </c>
      <c r="C4152" s="1087" t="s">
        <v>1788</v>
      </c>
      <c r="D4152" s="1088">
        <v>5.45</v>
      </c>
      <c r="E4152" s="1089" t="s">
        <v>5308</v>
      </c>
      <c r="F4152" s="1081">
        <f t="shared" si="1"/>
        <v>0</v>
      </c>
      <c r="G4152" s="1083">
        <f t="shared" si="2"/>
        <v>5.45</v>
      </c>
      <c r="H4152" s="1084"/>
    </row>
    <row r="4153" ht="14.25" customHeight="1">
      <c r="A4153" s="1085">
        <v>37947.0</v>
      </c>
      <c r="B4153" s="1086" t="s">
        <v>9471</v>
      </c>
      <c r="C4153" s="1087" t="s">
        <v>1788</v>
      </c>
      <c r="D4153" s="1088">
        <v>4.43</v>
      </c>
      <c r="E4153" s="1089" t="s">
        <v>5308</v>
      </c>
      <c r="F4153" s="1081">
        <f t="shared" si="1"/>
        <v>0</v>
      </c>
      <c r="G4153" s="1083">
        <f t="shared" si="2"/>
        <v>4.43</v>
      </c>
      <c r="H4153" s="1084"/>
    </row>
    <row r="4154" ht="14.25" customHeight="1">
      <c r="A4154" s="1085">
        <v>7103.0</v>
      </c>
      <c r="B4154" s="1086" t="s">
        <v>9472</v>
      </c>
      <c r="C4154" s="1087" t="s">
        <v>1788</v>
      </c>
      <c r="D4154" s="1088">
        <v>14.43</v>
      </c>
      <c r="E4154" s="1089" t="s">
        <v>5308</v>
      </c>
      <c r="F4154" s="1081">
        <f t="shared" si="1"/>
        <v>0</v>
      </c>
      <c r="G4154" s="1083">
        <f t="shared" si="2"/>
        <v>14.43</v>
      </c>
      <c r="H4154" s="1084"/>
    </row>
    <row r="4155" ht="14.25" customHeight="1">
      <c r="A4155" s="1085">
        <v>40419.0</v>
      </c>
      <c r="B4155" s="1086" t="s">
        <v>9473</v>
      </c>
      <c r="C4155" s="1087" t="s">
        <v>1788</v>
      </c>
      <c r="D4155" s="1088">
        <v>36.93</v>
      </c>
      <c r="E4155" s="1089" t="s">
        <v>5308</v>
      </c>
      <c r="F4155" s="1081">
        <f t="shared" si="1"/>
        <v>0</v>
      </c>
      <c r="G4155" s="1083">
        <f t="shared" si="2"/>
        <v>36.93</v>
      </c>
      <c r="H4155" s="1084"/>
    </row>
    <row r="4156" ht="14.25" customHeight="1">
      <c r="A4156" s="1085">
        <v>40420.0</v>
      </c>
      <c r="B4156" s="1086" t="s">
        <v>9474</v>
      </c>
      <c r="C4156" s="1087" t="s">
        <v>1788</v>
      </c>
      <c r="D4156" s="1088">
        <v>53.88</v>
      </c>
      <c r="E4156" s="1089" t="s">
        <v>5308</v>
      </c>
      <c r="F4156" s="1081">
        <f t="shared" si="1"/>
        <v>0</v>
      </c>
      <c r="G4156" s="1083">
        <f t="shared" si="2"/>
        <v>53.88</v>
      </c>
      <c r="H4156" s="1084"/>
    </row>
    <row r="4157" ht="14.25" customHeight="1">
      <c r="A4157" s="1085">
        <v>40421.0</v>
      </c>
      <c r="B4157" s="1086" t="s">
        <v>9475</v>
      </c>
      <c r="C4157" s="1087" t="s">
        <v>1788</v>
      </c>
      <c r="D4157" s="1088">
        <v>57.36</v>
      </c>
      <c r="E4157" s="1089" t="s">
        <v>5308</v>
      </c>
      <c r="F4157" s="1081">
        <f t="shared" si="1"/>
        <v>0</v>
      </c>
      <c r="G4157" s="1083">
        <f t="shared" si="2"/>
        <v>57.36</v>
      </c>
      <c r="H4157" s="1084"/>
    </row>
    <row r="4158" ht="14.25" customHeight="1">
      <c r="A4158" s="1085">
        <v>38905.0</v>
      </c>
      <c r="B4158" s="1086" t="s">
        <v>9476</v>
      </c>
      <c r="C4158" s="1087" t="s">
        <v>1788</v>
      </c>
      <c r="D4158" s="1088">
        <v>17.6</v>
      </c>
      <c r="E4158" s="1089" t="s">
        <v>5308</v>
      </c>
      <c r="F4158" s="1081">
        <f t="shared" si="1"/>
        <v>0</v>
      </c>
      <c r="G4158" s="1083">
        <f t="shared" si="2"/>
        <v>17.6</v>
      </c>
      <c r="H4158" s="1084"/>
    </row>
    <row r="4159" ht="14.25" customHeight="1">
      <c r="A4159" s="1085">
        <v>38907.0</v>
      </c>
      <c r="B4159" s="1086" t="s">
        <v>9477</v>
      </c>
      <c r="C4159" s="1087" t="s">
        <v>1788</v>
      </c>
      <c r="D4159" s="1088">
        <v>16.97</v>
      </c>
      <c r="E4159" s="1089" t="s">
        <v>5308</v>
      </c>
      <c r="F4159" s="1081">
        <f t="shared" si="1"/>
        <v>0</v>
      </c>
      <c r="G4159" s="1083">
        <f t="shared" si="2"/>
        <v>16.97</v>
      </c>
      <c r="H4159" s="1084"/>
    </row>
    <row r="4160" ht="14.25" customHeight="1">
      <c r="A4160" s="1085">
        <v>38910.0</v>
      </c>
      <c r="B4160" s="1086" t="s">
        <v>9478</v>
      </c>
      <c r="C4160" s="1087" t="s">
        <v>1788</v>
      </c>
      <c r="D4160" s="1088">
        <v>19.85</v>
      </c>
      <c r="E4160" s="1089" t="s">
        <v>5308</v>
      </c>
      <c r="F4160" s="1081">
        <f t="shared" si="1"/>
        <v>0</v>
      </c>
      <c r="G4160" s="1083">
        <f t="shared" si="2"/>
        <v>19.85</v>
      </c>
      <c r="H4160" s="1084"/>
    </row>
    <row r="4161" ht="14.25" customHeight="1">
      <c r="A4161" s="1085">
        <v>11655.0</v>
      </c>
      <c r="B4161" s="1086" t="s">
        <v>9479</v>
      </c>
      <c r="C4161" s="1087" t="s">
        <v>1788</v>
      </c>
      <c r="D4161" s="1088">
        <v>19.4</v>
      </c>
      <c r="E4161" s="1089" t="s">
        <v>5308</v>
      </c>
      <c r="F4161" s="1081">
        <f t="shared" si="1"/>
        <v>0</v>
      </c>
      <c r="G4161" s="1083">
        <f t="shared" si="2"/>
        <v>19.4</v>
      </c>
      <c r="H4161" s="1084"/>
    </row>
    <row r="4162" ht="14.25" customHeight="1">
      <c r="A4162" s="1085">
        <v>11656.0</v>
      </c>
      <c r="B4162" s="1086" t="s">
        <v>9480</v>
      </c>
      <c r="C4162" s="1087" t="s">
        <v>1788</v>
      </c>
      <c r="D4162" s="1088">
        <v>22.27</v>
      </c>
      <c r="E4162" s="1089" t="s">
        <v>5308</v>
      </c>
      <c r="F4162" s="1081">
        <f t="shared" si="1"/>
        <v>0</v>
      </c>
      <c r="G4162" s="1083">
        <f t="shared" si="2"/>
        <v>22.27</v>
      </c>
      <c r="H4162" s="1084"/>
    </row>
    <row r="4163" ht="14.25" customHeight="1">
      <c r="A4163" s="1085">
        <v>7091.0</v>
      </c>
      <c r="B4163" s="1086" t="s">
        <v>9481</v>
      </c>
      <c r="C4163" s="1087" t="s">
        <v>1788</v>
      </c>
      <c r="D4163" s="1088">
        <v>18.25</v>
      </c>
      <c r="E4163" s="1089" t="s">
        <v>5308</v>
      </c>
      <c r="F4163" s="1081">
        <f t="shared" si="1"/>
        <v>0</v>
      </c>
      <c r="G4163" s="1083">
        <f t="shared" si="2"/>
        <v>18.25</v>
      </c>
      <c r="H4163" s="1084"/>
    </row>
    <row r="4164" ht="14.25" customHeight="1">
      <c r="A4164" s="1085">
        <v>37948.0</v>
      </c>
      <c r="B4164" s="1086" t="s">
        <v>9482</v>
      </c>
      <c r="C4164" s="1087" t="s">
        <v>1788</v>
      </c>
      <c r="D4164" s="1088">
        <v>4.22</v>
      </c>
      <c r="E4164" s="1089" t="s">
        <v>5308</v>
      </c>
      <c r="F4164" s="1081">
        <f t="shared" si="1"/>
        <v>0</v>
      </c>
      <c r="G4164" s="1083">
        <f t="shared" si="2"/>
        <v>4.22</v>
      </c>
      <c r="H4164" s="1084"/>
    </row>
    <row r="4165" ht="14.25" customHeight="1">
      <c r="A4165" s="1085">
        <v>7097.0</v>
      </c>
      <c r="B4165" s="1086" t="s">
        <v>9483</v>
      </c>
      <c r="C4165" s="1087" t="s">
        <v>1788</v>
      </c>
      <c r="D4165" s="1088">
        <v>8.57</v>
      </c>
      <c r="E4165" s="1089" t="s">
        <v>5308</v>
      </c>
      <c r="F4165" s="1081">
        <f t="shared" si="1"/>
        <v>0</v>
      </c>
      <c r="G4165" s="1083">
        <f t="shared" si="2"/>
        <v>8.57</v>
      </c>
      <c r="H4165" s="1084"/>
    </row>
    <row r="4166" ht="14.25" customHeight="1">
      <c r="A4166" s="1085">
        <v>11658.0</v>
      </c>
      <c r="B4166" s="1086" t="s">
        <v>9484</v>
      </c>
      <c r="C4166" s="1087" t="s">
        <v>1788</v>
      </c>
      <c r="D4166" s="1088">
        <v>18.94</v>
      </c>
      <c r="E4166" s="1089" t="s">
        <v>5308</v>
      </c>
      <c r="F4166" s="1081">
        <f t="shared" si="1"/>
        <v>0</v>
      </c>
      <c r="G4166" s="1083">
        <f t="shared" si="2"/>
        <v>18.94</v>
      </c>
      <c r="H4166" s="1084"/>
    </row>
    <row r="4167" ht="14.25" customHeight="1">
      <c r="A4167" s="1085">
        <v>7146.0</v>
      </c>
      <c r="B4167" s="1086" t="s">
        <v>9485</v>
      </c>
      <c r="C4167" s="1087" t="s">
        <v>1788</v>
      </c>
      <c r="D4167" s="1088">
        <v>175.62</v>
      </c>
      <c r="E4167" s="1089" t="s">
        <v>5308</v>
      </c>
      <c r="F4167" s="1081">
        <f t="shared" si="1"/>
        <v>0</v>
      </c>
      <c r="G4167" s="1083">
        <f t="shared" si="2"/>
        <v>175.62</v>
      </c>
      <c r="H4167" s="1084"/>
    </row>
    <row r="4168" ht="14.25" customHeight="1">
      <c r="A4168" s="1085">
        <v>7138.0</v>
      </c>
      <c r="B4168" s="1086" t="s">
        <v>9486</v>
      </c>
      <c r="C4168" s="1087" t="s">
        <v>1788</v>
      </c>
      <c r="D4168" s="1088">
        <v>1.11</v>
      </c>
      <c r="E4168" s="1089" t="s">
        <v>5308</v>
      </c>
      <c r="F4168" s="1081">
        <f t="shared" si="1"/>
        <v>0</v>
      </c>
      <c r="G4168" s="1083">
        <f t="shared" si="2"/>
        <v>1.11</v>
      </c>
      <c r="H4168" s="1084"/>
    </row>
    <row r="4169" ht="14.25" customHeight="1">
      <c r="A4169" s="1085">
        <v>7139.0</v>
      </c>
      <c r="B4169" s="1086" t="s">
        <v>9487</v>
      </c>
      <c r="C4169" s="1087" t="s">
        <v>1788</v>
      </c>
      <c r="D4169" s="1088">
        <v>1.26</v>
      </c>
      <c r="E4169" s="1089" t="s">
        <v>5308</v>
      </c>
      <c r="F4169" s="1081">
        <f t="shared" si="1"/>
        <v>0</v>
      </c>
      <c r="G4169" s="1083">
        <f t="shared" si="2"/>
        <v>1.26</v>
      </c>
      <c r="H4169" s="1084"/>
    </row>
    <row r="4170" ht="14.25" customHeight="1">
      <c r="A4170" s="1085">
        <v>7140.0</v>
      </c>
      <c r="B4170" s="1086" t="s">
        <v>9488</v>
      </c>
      <c r="C4170" s="1087" t="s">
        <v>1788</v>
      </c>
      <c r="D4170" s="1088">
        <v>3.95</v>
      </c>
      <c r="E4170" s="1089" t="s">
        <v>5308</v>
      </c>
      <c r="F4170" s="1081">
        <f t="shared" si="1"/>
        <v>0</v>
      </c>
      <c r="G4170" s="1083">
        <f t="shared" si="2"/>
        <v>3.95</v>
      </c>
      <c r="H4170" s="1084"/>
    </row>
    <row r="4171" ht="14.25" customHeight="1">
      <c r="A4171" s="1085">
        <v>7141.0</v>
      </c>
      <c r="B4171" s="1086" t="s">
        <v>9489</v>
      </c>
      <c r="C4171" s="1087" t="s">
        <v>1788</v>
      </c>
      <c r="D4171" s="1088">
        <v>9.66</v>
      </c>
      <c r="E4171" s="1089" t="s">
        <v>5308</v>
      </c>
      <c r="F4171" s="1081">
        <f t="shared" si="1"/>
        <v>0</v>
      </c>
      <c r="G4171" s="1083">
        <f t="shared" si="2"/>
        <v>9.66</v>
      </c>
      <c r="H4171" s="1084"/>
    </row>
    <row r="4172" ht="14.25" customHeight="1">
      <c r="A4172" s="1085">
        <v>7143.0</v>
      </c>
      <c r="B4172" s="1086" t="s">
        <v>9490</v>
      </c>
      <c r="C4172" s="1087" t="s">
        <v>1788</v>
      </c>
      <c r="D4172" s="1088">
        <v>32.42</v>
      </c>
      <c r="E4172" s="1089" t="s">
        <v>5308</v>
      </c>
      <c r="F4172" s="1081">
        <f t="shared" si="1"/>
        <v>0</v>
      </c>
      <c r="G4172" s="1083">
        <f t="shared" si="2"/>
        <v>32.42</v>
      </c>
      <c r="H4172" s="1084"/>
    </row>
    <row r="4173" ht="14.25" customHeight="1">
      <c r="A4173" s="1085">
        <v>7144.0</v>
      </c>
      <c r="B4173" s="1086" t="s">
        <v>9491</v>
      </c>
      <c r="C4173" s="1087" t="s">
        <v>1788</v>
      </c>
      <c r="D4173" s="1088">
        <v>60.15</v>
      </c>
      <c r="E4173" s="1089" t="s">
        <v>5308</v>
      </c>
      <c r="F4173" s="1081">
        <f t="shared" si="1"/>
        <v>0</v>
      </c>
      <c r="G4173" s="1083">
        <f t="shared" si="2"/>
        <v>60.15</v>
      </c>
      <c r="H4173" s="1084"/>
    </row>
    <row r="4174" ht="14.25" customHeight="1">
      <c r="A4174" s="1085">
        <v>7145.0</v>
      </c>
      <c r="B4174" s="1086" t="s">
        <v>9492</v>
      </c>
      <c r="C4174" s="1087" t="s">
        <v>1788</v>
      </c>
      <c r="D4174" s="1088">
        <v>81.79</v>
      </c>
      <c r="E4174" s="1089" t="s">
        <v>5308</v>
      </c>
      <c r="F4174" s="1081">
        <f t="shared" si="1"/>
        <v>0</v>
      </c>
      <c r="G4174" s="1083">
        <f t="shared" si="2"/>
        <v>81.79</v>
      </c>
      <c r="H4174" s="1084"/>
    </row>
    <row r="4175" ht="14.25" customHeight="1">
      <c r="A4175" s="1085">
        <v>7142.0</v>
      </c>
      <c r="B4175" s="1086" t="s">
        <v>9493</v>
      </c>
      <c r="C4175" s="1087" t="s">
        <v>1788</v>
      </c>
      <c r="D4175" s="1088">
        <v>10.1</v>
      </c>
      <c r="E4175" s="1089" t="s">
        <v>5308</v>
      </c>
      <c r="F4175" s="1081">
        <f t="shared" si="1"/>
        <v>0</v>
      </c>
      <c r="G4175" s="1083">
        <f t="shared" si="2"/>
        <v>10.1</v>
      </c>
      <c r="H4175" s="1084"/>
    </row>
    <row r="4176" ht="14.25" customHeight="1">
      <c r="A4176" s="1085">
        <v>3593.0</v>
      </c>
      <c r="B4176" s="1086" t="s">
        <v>9494</v>
      </c>
      <c r="C4176" s="1087" t="s">
        <v>1788</v>
      </c>
      <c r="D4176" s="1088">
        <v>99.11</v>
      </c>
      <c r="E4176" s="1089" t="s">
        <v>5308</v>
      </c>
      <c r="F4176" s="1081">
        <f t="shared" si="1"/>
        <v>0</v>
      </c>
      <c r="G4176" s="1083">
        <f t="shared" si="2"/>
        <v>99.11</v>
      </c>
      <c r="H4176" s="1084"/>
    </row>
    <row r="4177" ht="14.25" customHeight="1">
      <c r="A4177" s="1085">
        <v>3588.0</v>
      </c>
      <c r="B4177" s="1086" t="s">
        <v>9495</v>
      </c>
      <c r="C4177" s="1087" t="s">
        <v>1788</v>
      </c>
      <c r="D4177" s="1088">
        <v>76.39</v>
      </c>
      <c r="E4177" s="1089" t="s">
        <v>5308</v>
      </c>
      <c r="F4177" s="1081">
        <f t="shared" si="1"/>
        <v>0</v>
      </c>
      <c r="G4177" s="1083">
        <f t="shared" si="2"/>
        <v>76.39</v>
      </c>
      <c r="H4177" s="1084"/>
    </row>
    <row r="4178" ht="14.25" customHeight="1">
      <c r="A4178" s="1085">
        <v>3585.0</v>
      </c>
      <c r="B4178" s="1086" t="s">
        <v>9496</v>
      </c>
      <c r="C4178" s="1087" t="s">
        <v>1788</v>
      </c>
      <c r="D4178" s="1088">
        <v>23.59</v>
      </c>
      <c r="E4178" s="1089" t="s">
        <v>5308</v>
      </c>
      <c r="F4178" s="1081">
        <f t="shared" si="1"/>
        <v>0</v>
      </c>
      <c r="G4178" s="1083">
        <f t="shared" si="2"/>
        <v>23.59</v>
      </c>
      <c r="H4178" s="1084"/>
    </row>
    <row r="4179" ht="14.25" customHeight="1">
      <c r="A4179" s="1085">
        <v>3587.0</v>
      </c>
      <c r="B4179" s="1086" t="s">
        <v>9497</v>
      </c>
      <c r="C4179" s="1087" t="s">
        <v>1788</v>
      </c>
      <c r="D4179" s="1088">
        <v>47.4</v>
      </c>
      <c r="E4179" s="1089" t="s">
        <v>5308</v>
      </c>
      <c r="F4179" s="1081">
        <f t="shared" si="1"/>
        <v>0</v>
      </c>
      <c r="G4179" s="1083">
        <f t="shared" si="2"/>
        <v>47.4</v>
      </c>
      <c r="H4179" s="1084"/>
    </row>
    <row r="4180" ht="14.25" customHeight="1">
      <c r="A4180" s="1085">
        <v>3590.0</v>
      </c>
      <c r="B4180" s="1086" t="s">
        <v>9498</v>
      </c>
      <c r="C4180" s="1087" t="s">
        <v>1788</v>
      </c>
      <c r="D4180" s="1088">
        <v>281.4</v>
      </c>
      <c r="E4180" s="1089" t="s">
        <v>5308</v>
      </c>
      <c r="F4180" s="1081">
        <f t="shared" si="1"/>
        <v>0</v>
      </c>
      <c r="G4180" s="1083">
        <f t="shared" si="2"/>
        <v>281.4</v>
      </c>
      <c r="H4180" s="1084"/>
    </row>
    <row r="4181" ht="14.25" customHeight="1">
      <c r="A4181" s="1085">
        <v>3589.0</v>
      </c>
      <c r="B4181" s="1086" t="s">
        <v>9499</v>
      </c>
      <c r="C4181" s="1087" t="s">
        <v>1788</v>
      </c>
      <c r="D4181" s="1088">
        <v>151.04</v>
      </c>
      <c r="E4181" s="1089" t="s">
        <v>5308</v>
      </c>
      <c r="F4181" s="1081">
        <f t="shared" si="1"/>
        <v>0</v>
      </c>
      <c r="G4181" s="1083">
        <f t="shared" si="2"/>
        <v>151.04</v>
      </c>
      <c r="H4181" s="1084"/>
    </row>
    <row r="4182" ht="14.25" customHeight="1">
      <c r="A4182" s="1085">
        <v>3586.0</v>
      </c>
      <c r="B4182" s="1086" t="s">
        <v>9500</v>
      </c>
      <c r="C4182" s="1087" t="s">
        <v>1788</v>
      </c>
      <c r="D4182" s="1088">
        <v>30.9</v>
      </c>
      <c r="E4182" s="1089" t="s">
        <v>5308</v>
      </c>
      <c r="F4182" s="1081">
        <f t="shared" si="1"/>
        <v>0</v>
      </c>
      <c r="G4182" s="1083">
        <f t="shared" si="2"/>
        <v>30.9</v>
      </c>
      <c r="H4182" s="1084"/>
    </row>
    <row r="4183" ht="14.25" customHeight="1">
      <c r="A4183" s="1085">
        <v>3592.0</v>
      </c>
      <c r="B4183" s="1086" t="s">
        <v>9501</v>
      </c>
      <c r="C4183" s="1087" t="s">
        <v>1788</v>
      </c>
      <c r="D4183" s="1088">
        <v>444.81</v>
      </c>
      <c r="E4183" s="1089" t="s">
        <v>5308</v>
      </c>
      <c r="F4183" s="1081">
        <f t="shared" si="1"/>
        <v>0</v>
      </c>
      <c r="G4183" s="1083">
        <f t="shared" si="2"/>
        <v>444.81</v>
      </c>
      <c r="H4183" s="1084"/>
    </row>
    <row r="4184" ht="14.25" customHeight="1">
      <c r="A4184" s="1085">
        <v>3591.0</v>
      </c>
      <c r="B4184" s="1086" t="s">
        <v>9502</v>
      </c>
      <c r="C4184" s="1087" t="s">
        <v>1788</v>
      </c>
      <c r="D4184" s="1088">
        <v>713.05</v>
      </c>
      <c r="E4184" s="1089" t="s">
        <v>5308</v>
      </c>
      <c r="F4184" s="1081">
        <f t="shared" si="1"/>
        <v>0</v>
      </c>
      <c r="G4184" s="1083">
        <f t="shared" si="2"/>
        <v>713.05</v>
      </c>
      <c r="H4184" s="1084"/>
    </row>
    <row r="4185" ht="14.25" customHeight="1">
      <c r="A4185" s="1085">
        <v>40396.0</v>
      </c>
      <c r="B4185" s="1086" t="s">
        <v>9503</v>
      </c>
      <c r="C4185" s="1087" t="s">
        <v>1788</v>
      </c>
      <c r="D4185" s="1088">
        <v>142.06</v>
      </c>
      <c r="E4185" s="1089" t="s">
        <v>5308</v>
      </c>
      <c r="F4185" s="1081">
        <f t="shared" si="1"/>
        <v>0</v>
      </c>
      <c r="G4185" s="1083">
        <f t="shared" si="2"/>
        <v>142.06</v>
      </c>
      <c r="H4185" s="1084"/>
    </row>
    <row r="4186" ht="14.25" customHeight="1">
      <c r="A4186" s="1085">
        <v>40395.0</v>
      </c>
      <c r="B4186" s="1086" t="s">
        <v>9504</v>
      </c>
      <c r="C4186" s="1087" t="s">
        <v>1788</v>
      </c>
      <c r="D4186" s="1088">
        <v>109.02</v>
      </c>
      <c r="E4186" s="1089" t="s">
        <v>5308</v>
      </c>
      <c r="F4186" s="1081">
        <f t="shared" si="1"/>
        <v>0</v>
      </c>
      <c r="G4186" s="1083">
        <f t="shared" si="2"/>
        <v>109.02</v>
      </c>
      <c r="H4186" s="1084"/>
    </row>
    <row r="4187" ht="14.25" customHeight="1">
      <c r="A4187" s="1085">
        <v>40392.0</v>
      </c>
      <c r="B4187" s="1086" t="s">
        <v>9505</v>
      </c>
      <c r="C4187" s="1087" t="s">
        <v>1788</v>
      </c>
      <c r="D4187" s="1088">
        <v>35.08</v>
      </c>
      <c r="E4187" s="1089" t="s">
        <v>5308</v>
      </c>
      <c r="F4187" s="1081">
        <f t="shared" si="1"/>
        <v>0</v>
      </c>
      <c r="G4187" s="1083">
        <f t="shared" si="2"/>
        <v>35.08</v>
      </c>
      <c r="H4187" s="1084"/>
    </row>
    <row r="4188" ht="14.25" customHeight="1">
      <c r="A4188" s="1085">
        <v>40394.0</v>
      </c>
      <c r="B4188" s="1086" t="s">
        <v>9506</v>
      </c>
      <c r="C4188" s="1087" t="s">
        <v>1788</v>
      </c>
      <c r="D4188" s="1088">
        <v>70.98</v>
      </c>
      <c r="E4188" s="1089" t="s">
        <v>5308</v>
      </c>
      <c r="F4188" s="1081">
        <f t="shared" si="1"/>
        <v>0</v>
      </c>
      <c r="G4188" s="1083">
        <f t="shared" si="2"/>
        <v>70.98</v>
      </c>
      <c r="H4188" s="1084"/>
    </row>
    <row r="4189" ht="14.25" customHeight="1">
      <c r="A4189" s="1085">
        <v>40398.0</v>
      </c>
      <c r="B4189" s="1086" t="s">
        <v>9507</v>
      </c>
      <c r="C4189" s="1087" t="s">
        <v>1788</v>
      </c>
      <c r="D4189" s="1088">
        <v>455.76</v>
      </c>
      <c r="E4189" s="1089" t="s">
        <v>5308</v>
      </c>
      <c r="F4189" s="1081">
        <f t="shared" si="1"/>
        <v>0</v>
      </c>
      <c r="G4189" s="1083">
        <f t="shared" si="2"/>
        <v>455.76</v>
      </c>
      <c r="H4189" s="1084"/>
    </row>
    <row r="4190" ht="14.25" customHeight="1">
      <c r="A4190" s="1085">
        <v>40397.0</v>
      </c>
      <c r="B4190" s="1086" t="s">
        <v>9508</v>
      </c>
      <c r="C4190" s="1087" t="s">
        <v>1788</v>
      </c>
      <c r="D4190" s="1088">
        <v>233.4</v>
      </c>
      <c r="E4190" s="1089" t="s">
        <v>5308</v>
      </c>
      <c r="F4190" s="1081">
        <f t="shared" si="1"/>
        <v>0</v>
      </c>
      <c r="G4190" s="1083">
        <f t="shared" si="2"/>
        <v>233.4</v>
      </c>
      <c r="H4190" s="1084"/>
    </row>
    <row r="4191" ht="14.25" customHeight="1">
      <c r="A4191" s="1085">
        <v>40393.0</v>
      </c>
      <c r="B4191" s="1086" t="s">
        <v>9509</v>
      </c>
      <c r="C4191" s="1087" t="s">
        <v>1788</v>
      </c>
      <c r="D4191" s="1088">
        <v>45.18</v>
      </c>
      <c r="E4191" s="1089" t="s">
        <v>5308</v>
      </c>
      <c r="F4191" s="1081">
        <f t="shared" si="1"/>
        <v>0</v>
      </c>
      <c r="G4191" s="1083">
        <f t="shared" si="2"/>
        <v>45.18</v>
      </c>
      <c r="H4191" s="1084"/>
    </row>
    <row r="4192" ht="14.25" customHeight="1">
      <c r="A4192" s="1085">
        <v>40399.0</v>
      </c>
      <c r="B4192" s="1086" t="s">
        <v>9510</v>
      </c>
      <c r="C4192" s="1087" t="s">
        <v>1788</v>
      </c>
      <c r="D4192" s="1088">
        <v>745.61</v>
      </c>
      <c r="E4192" s="1089" t="s">
        <v>5308</v>
      </c>
      <c r="F4192" s="1081">
        <f t="shared" si="1"/>
        <v>0</v>
      </c>
      <c r="G4192" s="1083">
        <f t="shared" si="2"/>
        <v>745.61</v>
      </c>
      <c r="H4192" s="1084"/>
    </row>
    <row r="4193" ht="14.25" customHeight="1">
      <c r="A4193" s="1085">
        <v>39322.0</v>
      </c>
      <c r="B4193" s="1086" t="s">
        <v>9511</v>
      </c>
      <c r="C4193" s="1087" t="s">
        <v>1788</v>
      </c>
      <c r="D4193" s="1088">
        <v>8.37</v>
      </c>
      <c r="E4193" s="1089" t="s">
        <v>5308</v>
      </c>
      <c r="F4193" s="1081">
        <f t="shared" si="1"/>
        <v>0</v>
      </c>
      <c r="G4193" s="1083">
        <f t="shared" si="2"/>
        <v>8.37</v>
      </c>
      <c r="H4193" s="1084"/>
    </row>
    <row r="4194" ht="14.25" customHeight="1">
      <c r="A4194" s="1085">
        <v>39289.0</v>
      </c>
      <c r="B4194" s="1086" t="s">
        <v>9512</v>
      </c>
      <c r="C4194" s="1087" t="s">
        <v>1788</v>
      </c>
      <c r="D4194" s="1088">
        <v>15.61</v>
      </c>
      <c r="E4194" s="1089" t="s">
        <v>5308</v>
      </c>
      <c r="F4194" s="1081">
        <f t="shared" si="1"/>
        <v>0</v>
      </c>
      <c r="G4194" s="1083">
        <f t="shared" si="2"/>
        <v>15.61</v>
      </c>
      <c r="H4194" s="1084"/>
    </row>
    <row r="4195" ht="14.25" customHeight="1">
      <c r="A4195" s="1085">
        <v>39290.0</v>
      </c>
      <c r="B4195" s="1086" t="s">
        <v>9513</v>
      </c>
      <c r="C4195" s="1087" t="s">
        <v>1788</v>
      </c>
      <c r="D4195" s="1088">
        <v>26.35</v>
      </c>
      <c r="E4195" s="1089" t="s">
        <v>5308</v>
      </c>
      <c r="F4195" s="1081">
        <f t="shared" si="1"/>
        <v>0</v>
      </c>
      <c r="G4195" s="1083">
        <f t="shared" si="2"/>
        <v>26.35</v>
      </c>
      <c r="H4195" s="1084"/>
    </row>
    <row r="4196" ht="14.25" customHeight="1">
      <c r="A4196" s="1085">
        <v>39291.0</v>
      </c>
      <c r="B4196" s="1086" t="s">
        <v>9514</v>
      </c>
      <c r="C4196" s="1087" t="s">
        <v>1788</v>
      </c>
      <c r="D4196" s="1088">
        <v>29.14</v>
      </c>
      <c r="E4196" s="1089" t="s">
        <v>5308</v>
      </c>
      <c r="F4196" s="1081">
        <f t="shared" si="1"/>
        <v>0</v>
      </c>
      <c r="G4196" s="1083">
        <f t="shared" si="2"/>
        <v>29.14</v>
      </c>
      <c r="H4196" s="1084"/>
    </row>
    <row r="4197" ht="14.25" customHeight="1">
      <c r="A4197" s="1085">
        <v>41892.0</v>
      </c>
      <c r="B4197" s="1086" t="s">
        <v>9515</v>
      </c>
      <c r="C4197" s="1087" t="s">
        <v>1788</v>
      </c>
      <c r="D4197" s="1088">
        <v>111.89</v>
      </c>
      <c r="E4197" s="1089" t="s">
        <v>5308</v>
      </c>
      <c r="F4197" s="1081">
        <f t="shared" si="1"/>
        <v>0</v>
      </c>
      <c r="G4197" s="1083">
        <f t="shared" si="2"/>
        <v>111.89</v>
      </c>
      <c r="H4197" s="1084"/>
    </row>
    <row r="4198" ht="14.25" customHeight="1">
      <c r="A4198" s="1085">
        <v>7048.0</v>
      </c>
      <c r="B4198" s="1086" t="s">
        <v>9516</v>
      </c>
      <c r="C4198" s="1087" t="s">
        <v>1788</v>
      </c>
      <c r="D4198" s="1088">
        <v>24.15</v>
      </c>
      <c r="E4198" s="1089" t="s">
        <v>5308</v>
      </c>
      <c r="F4198" s="1081">
        <f t="shared" si="1"/>
        <v>0</v>
      </c>
      <c r="G4198" s="1083">
        <f t="shared" si="2"/>
        <v>24.15</v>
      </c>
      <c r="H4198" s="1084"/>
    </row>
    <row r="4199" ht="14.25" customHeight="1">
      <c r="A4199" s="1085">
        <v>7088.0</v>
      </c>
      <c r="B4199" s="1086" t="s">
        <v>9517</v>
      </c>
      <c r="C4199" s="1087" t="s">
        <v>1788</v>
      </c>
      <c r="D4199" s="1088">
        <v>52.81</v>
      </c>
      <c r="E4199" s="1089" t="s">
        <v>5308</v>
      </c>
      <c r="F4199" s="1081">
        <f t="shared" si="1"/>
        <v>0</v>
      </c>
      <c r="G4199" s="1083">
        <f t="shared" si="2"/>
        <v>52.81</v>
      </c>
      <c r="H4199" s="1084"/>
    </row>
    <row r="4200" ht="14.25" customHeight="1">
      <c r="A4200" s="1085">
        <v>20179.0</v>
      </c>
      <c r="B4200" s="1086" t="s">
        <v>9518</v>
      </c>
      <c r="C4200" s="1087" t="s">
        <v>1788</v>
      </c>
      <c r="D4200" s="1088">
        <v>49.93</v>
      </c>
      <c r="E4200" s="1089" t="s">
        <v>5308</v>
      </c>
      <c r="F4200" s="1081">
        <f t="shared" si="1"/>
        <v>0</v>
      </c>
      <c r="G4200" s="1083">
        <f t="shared" si="2"/>
        <v>49.93</v>
      </c>
      <c r="H4200" s="1084"/>
    </row>
    <row r="4201" ht="14.25" customHeight="1">
      <c r="A4201" s="1085">
        <v>20178.0</v>
      </c>
      <c r="B4201" s="1086" t="s">
        <v>9519</v>
      </c>
      <c r="C4201" s="1087" t="s">
        <v>1788</v>
      </c>
      <c r="D4201" s="1088">
        <v>59.84</v>
      </c>
      <c r="E4201" s="1089" t="s">
        <v>5308</v>
      </c>
      <c r="F4201" s="1081">
        <f t="shared" si="1"/>
        <v>0</v>
      </c>
      <c r="G4201" s="1083">
        <f t="shared" si="2"/>
        <v>59.84</v>
      </c>
      <c r="H4201" s="1084"/>
    </row>
    <row r="4202" ht="14.25" customHeight="1">
      <c r="A4202" s="1085">
        <v>20180.0</v>
      </c>
      <c r="B4202" s="1086" t="s">
        <v>9520</v>
      </c>
      <c r="C4202" s="1087" t="s">
        <v>1788</v>
      </c>
      <c r="D4202" s="1088">
        <v>98.77</v>
      </c>
      <c r="E4202" s="1089" t="s">
        <v>5308</v>
      </c>
      <c r="F4202" s="1081">
        <f t="shared" si="1"/>
        <v>0</v>
      </c>
      <c r="G4202" s="1083">
        <f t="shared" si="2"/>
        <v>98.77</v>
      </c>
      <c r="H4202" s="1084"/>
    </row>
    <row r="4203" ht="14.25" customHeight="1">
      <c r="A4203" s="1085">
        <v>20181.0</v>
      </c>
      <c r="B4203" s="1086" t="s">
        <v>9521</v>
      </c>
      <c r="C4203" s="1087" t="s">
        <v>1788</v>
      </c>
      <c r="D4203" s="1088">
        <v>132.25</v>
      </c>
      <c r="E4203" s="1089" t="s">
        <v>5308</v>
      </c>
      <c r="F4203" s="1081">
        <f t="shared" si="1"/>
        <v>0</v>
      </c>
      <c r="G4203" s="1083">
        <f t="shared" si="2"/>
        <v>132.25</v>
      </c>
      <c r="H4203" s="1084"/>
    </row>
    <row r="4204" ht="14.25" customHeight="1">
      <c r="A4204" s="1085">
        <v>20177.0</v>
      </c>
      <c r="B4204" s="1086" t="s">
        <v>9522</v>
      </c>
      <c r="C4204" s="1087" t="s">
        <v>1788</v>
      </c>
      <c r="D4204" s="1088">
        <v>32.71</v>
      </c>
      <c r="E4204" s="1089" t="s">
        <v>5308</v>
      </c>
      <c r="F4204" s="1081">
        <f t="shared" si="1"/>
        <v>0</v>
      </c>
      <c r="G4204" s="1083">
        <f t="shared" si="2"/>
        <v>32.71</v>
      </c>
      <c r="H4204" s="1084"/>
    </row>
    <row r="4205" ht="14.25" customHeight="1">
      <c r="A4205" s="1085">
        <v>7070.0</v>
      </c>
      <c r="B4205" s="1086" t="s">
        <v>9523</v>
      </c>
      <c r="C4205" s="1087" t="s">
        <v>1788</v>
      </c>
      <c r="D4205" s="1088">
        <v>234.74</v>
      </c>
      <c r="E4205" s="1089" t="s">
        <v>5308</v>
      </c>
      <c r="F4205" s="1081">
        <f t="shared" si="1"/>
        <v>0</v>
      </c>
      <c r="G4205" s="1083">
        <f t="shared" si="2"/>
        <v>234.74</v>
      </c>
      <c r="H4205" s="1084"/>
    </row>
    <row r="4206" ht="14.25" customHeight="1">
      <c r="A4206" s="1085">
        <v>40945.0</v>
      </c>
      <c r="B4206" s="1086" t="s">
        <v>9524</v>
      </c>
      <c r="C4206" s="1087" t="s">
        <v>1470</v>
      </c>
      <c r="D4206" s="1088">
        <v>16.44</v>
      </c>
      <c r="E4206" s="1089" t="s">
        <v>5452</v>
      </c>
      <c r="F4206" s="1081">
        <f t="shared" si="1"/>
        <v>16.44</v>
      </c>
      <c r="G4206" s="1083">
        <f t="shared" si="2"/>
        <v>0</v>
      </c>
      <c r="H4206" s="1084"/>
    </row>
    <row r="4207" ht="14.25" customHeight="1">
      <c r="A4207" s="1085">
        <v>40946.0</v>
      </c>
      <c r="B4207" s="1086" t="s">
        <v>9525</v>
      </c>
      <c r="C4207" s="1087" t="s">
        <v>5454</v>
      </c>
      <c r="D4207" s="1088">
        <v>2878.83</v>
      </c>
      <c r="E4207" s="1089" t="s">
        <v>5452</v>
      </c>
      <c r="F4207" s="1081">
        <f t="shared" si="1"/>
        <v>2878.83</v>
      </c>
      <c r="G4207" s="1083">
        <f t="shared" si="2"/>
        <v>0</v>
      </c>
      <c r="H4207" s="1084"/>
    </row>
    <row r="4208" ht="14.25" customHeight="1">
      <c r="A4208" s="1085">
        <v>7153.0</v>
      </c>
      <c r="B4208" s="1086" t="s">
        <v>9526</v>
      </c>
      <c r="C4208" s="1087" t="s">
        <v>1470</v>
      </c>
      <c r="D4208" s="1088">
        <v>30.45</v>
      </c>
      <c r="E4208" s="1089" t="s">
        <v>5452</v>
      </c>
      <c r="F4208" s="1081">
        <f t="shared" si="1"/>
        <v>30.45</v>
      </c>
      <c r="G4208" s="1083">
        <f t="shared" si="2"/>
        <v>0</v>
      </c>
      <c r="H4208" s="1084"/>
    </row>
    <row r="4209" ht="14.25" customHeight="1">
      <c r="A4209" s="1085">
        <v>41089.0</v>
      </c>
      <c r="B4209" s="1086" t="s">
        <v>9527</v>
      </c>
      <c r="C4209" s="1087" t="s">
        <v>5454</v>
      </c>
      <c r="D4209" s="1088">
        <v>5330.26</v>
      </c>
      <c r="E4209" s="1089" t="s">
        <v>5452</v>
      </c>
      <c r="F4209" s="1081">
        <f t="shared" si="1"/>
        <v>5330.26</v>
      </c>
      <c r="G4209" s="1083">
        <f t="shared" si="2"/>
        <v>0</v>
      </c>
      <c r="H4209" s="1084"/>
    </row>
    <row r="4210" ht="14.25" customHeight="1">
      <c r="A4210" s="1085">
        <v>40943.0</v>
      </c>
      <c r="B4210" s="1086" t="s">
        <v>9528</v>
      </c>
      <c r="C4210" s="1087" t="s">
        <v>1470</v>
      </c>
      <c r="D4210" s="1088">
        <v>27.8</v>
      </c>
      <c r="E4210" s="1089" t="s">
        <v>5452</v>
      </c>
      <c r="F4210" s="1081">
        <f t="shared" si="1"/>
        <v>27.8</v>
      </c>
      <c r="G4210" s="1083">
        <f t="shared" si="2"/>
        <v>0</v>
      </c>
      <c r="H4210" s="1084"/>
    </row>
    <row r="4211" ht="14.25" customHeight="1">
      <c r="A4211" s="1085">
        <v>40944.0</v>
      </c>
      <c r="B4211" s="1086" t="s">
        <v>9529</v>
      </c>
      <c r="C4211" s="1087" t="s">
        <v>5454</v>
      </c>
      <c r="D4211" s="1088">
        <v>4865.28</v>
      </c>
      <c r="E4211" s="1089" t="s">
        <v>5452</v>
      </c>
      <c r="F4211" s="1081">
        <f t="shared" si="1"/>
        <v>4865.28</v>
      </c>
      <c r="G4211" s="1083">
        <f t="shared" si="2"/>
        <v>0</v>
      </c>
      <c r="H4211" s="1084"/>
    </row>
    <row r="4212" ht="14.25" customHeight="1">
      <c r="A4212" s="1085">
        <v>6175.0</v>
      </c>
      <c r="B4212" s="1086" t="s">
        <v>9530</v>
      </c>
      <c r="C4212" s="1087" t="s">
        <v>1470</v>
      </c>
      <c r="D4212" s="1088">
        <v>22.18</v>
      </c>
      <c r="E4212" s="1089" t="s">
        <v>5452</v>
      </c>
      <c r="F4212" s="1081">
        <f t="shared" si="1"/>
        <v>22.18</v>
      </c>
      <c r="G4212" s="1083">
        <f t="shared" si="2"/>
        <v>0</v>
      </c>
      <c r="H4212" s="1084"/>
    </row>
    <row r="4213" ht="14.25" customHeight="1">
      <c r="A4213" s="1085">
        <v>41092.0</v>
      </c>
      <c r="B4213" s="1086" t="s">
        <v>9531</v>
      </c>
      <c r="C4213" s="1087" t="s">
        <v>5454</v>
      </c>
      <c r="D4213" s="1088">
        <v>3882.9</v>
      </c>
      <c r="E4213" s="1089" t="s">
        <v>5452</v>
      </c>
      <c r="F4213" s="1081">
        <f t="shared" si="1"/>
        <v>3882.9</v>
      </c>
      <c r="G4213" s="1083">
        <f t="shared" si="2"/>
        <v>0</v>
      </c>
      <c r="H4213" s="1084"/>
    </row>
    <row r="4214" ht="14.25" customHeight="1">
      <c r="A4214" s="1085">
        <v>37712.0</v>
      </c>
      <c r="B4214" s="1086" t="s">
        <v>9532</v>
      </c>
      <c r="C4214" s="1087" t="s">
        <v>1814</v>
      </c>
      <c r="D4214" s="1088">
        <v>84.77</v>
      </c>
      <c r="E4214" s="1089" t="s">
        <v>5308</v>
      </c>
      <c r="F4214" s="1081">
        <f t="shared" si="1"/>
        <v>0</v>
      </c>
      <c r="G4214" s="1083">
        <f t="shared" si="2"/>
        <v>84.77</v>
      </c>
      <c r="H4214" s="1084"/>
    </row>
    <row r="4215" ht="14.25" customHeight="1">
      <c r="A4215" s="1085">
        <v>34547.0</v>
      </c>
      <c r="B4215" s="1086" t="s">
        <v>9533</v>
      </c>
      <c r="C4215" s="1087" t="s">
        <v>1731</v>
      </c>
      <c r="D4215" s="1088">
        <v>3.79</v>
      </c>
      <c r="E4215" s="1089" t="s">
        <v>5308</v>
      </c>
      <c r="F4215" s="1081">
        <f t="shared" si="1"/>
        <v>0</v>
      </c>
      <c r="G4215" s="1083">
        <f t="shared" si="2"/>
        <v>3.79</v>
      </c>
      <c r="H4215" s="1084"/>
    </row>
    <row r="4216" ht="14.25" customHeight="1">
      <c r="A4216" s="1085">
        <v>34548.0</v>
      </c>
      <c r="B4216" s="1086" t="s">
        <v>9534</v>
      </c>
      <c r="C4216" s="1087" t="s">
        <v>1731</v>
      </c>
      <c r="D4216" s="1088">
        <v>6.22</v>
      </c>
      <c r="E4216" s="1089" t="s">
        <v>5308</v>
      </c>
      <c r="F4216" s="1081">
        <f t="shared" si="1"/>
        <v>0</v>
      </c>
      <c r="G4216" s="1083">
        <f t="shared" si="2"/>
        <v>6.22</v>
      </c>
      <c r="H4216" s="1084"/>
    </row>
    <row r="4217" ht="14.25" customHeight="1">
      <c r="A4217" s="1085">
        <v>34558.0</v>
      </c>
      <c r="B4217" s="1086" t="s">
        <v>9535</v>
      </c>
      <c r="C4217" s="1087" t="s">
        <v>1731</v>
      </c>
      <c r="D4217" s="1088">
        <v>3.08</v>
      </c>
      <c r="E4217" s="1089" t="s">
        <v>5308</v>
      </c>
      <c r="F4217" s="1081">
        <f t="shared" si="1"/>
        <v>0</v>
      </c>
      <c r="G4217" s="1083">
        <f t="shared" si="2"/>
        <v>3.08</v>
      </c>
      <c r="H4217" s="1084"/>
    </row>
    <row r="4218" ht="14.25" customHeight="1">
      <c r="A4218" s="1085">
        <v>34550.0</v>
      </c>
      <c r="B4218" s="1086" t="s">
        <v>9536</v>
      </c>
      <c r="C4218" s="1087" t="s">
        <v>1731</v>
      </c>
      <c r="D4218" s="1088">
        <v>1.64</v>
      </c>
      <c r="E4218" s="1089" t="s">
        <v>5308</v>
      </c>
      <c r="F4218" s="1081">
        <f t="shared" si="1"/>
        <v>0</v>
      </c>
      <c r="G4218" s="1083">
        <f t="shared" si="2"/>
        <v>1.64</v>
      </c>
      <c r="H4218" s="1084"/>
    </row>
    <row r="4219" ht="14.25" customHeight="1">
      <c r="A4219" s="1085">
        <v>34557.0</v>
      </c>
      <c r="B4219" s="1086" t="s">
        <v>9537</v>
      </c>
      <c r="C4219" s="1087" t="s">
        <v>1731</v>
      </c>
      <c r="D4219" s="1088">
        <v>2.4</v>
      </c>
      <c r="E4219" s="1089" t="s">
        <v>5308</v>
      </c>
      <c r="F4219" s="1081">
        <f t="shared" si="1"/>
        <v>0</v>
      </c>
      <c r="G4219" s="1083">
        <f t="shared" si="2"/>
        <v>2.4</v>
      </c>
      <c r="H4219" s="1084"/>
    </row>
    <row r="4220" ht="14.25" customHeight="1">
      <c r="A4220" s="1085">
        <v>37411.0</v>
      </c>
      <c r="B4220" s="1086" t="s">
        <v>9538</v>
      </c>
      <c r="C4220" s="1087" t="s">
        <v>1814</v>
      </c>
      <c r="D4220" s="1088">
        <v>17.57</v>
      </c>
      <c r="E4220" s="1089" t="s">
        <v>5308</v>
      </c>
      <c r="F4220" s="1081">
        <f t="shared" si="1"/>
        <v>0</v>
      </c>
      <c r="G4220" s="1083">
        <f t="shared" si="2"/>
        <v>17.57</v>
      </c>
      <c r="H4220" s="1084"/>
    </row>
    <row r="4221" ht="14.25" customHeight="1">
      <c r="A4221" s="1085">
        <v>39508.0</v>
      </c>
      <c r="B4221" s="1086" t="s">
        <v>9539</v>
      </c>
      <c r="C4221" s="1087" t="s">
        <v>1814</v>
      </c>
      <c r="D4221" s="1088">
        <v>9.87</v>
      </c>
      <c r="E4221" s="1089" t="s">
        <v>5308</v>
      </c>
      <c r="F4221" s="1081">
        <f t="shared" si="1"/>
        <v>0</v>
      </c>
      <c r="G4221" s="1083">
        <f t="shared" si="2"/>
        <v>9.87</v>
      </c>
      <c r="H4221" s="1084"/>
    </row>
    <row r="4222" ht="14.25" customHeight="1">
      <c r="A4222" s="1085">
        <v>39507.0</v>
      </c>
      <c r="B4222" s="1086" t="s">
        <v>9540</v>
      </c>
      <c r="C4222" s="1087" t="s">
        <v>1814</v>
      </c>
      <c r="D4222" s="1088">
        <v>14.72</v>
      </c>
      <c r="E4222" s="1089" t="s">
        <v>5308</v>
      </c>
      <c r="F4222" s="1081">
        <f t="shared" si="1"/>
        <v>0</v>
      </c>
      <c r="G4222" s="1083">
        <f t="shared" si="2"/>
        <v>14.72</v>
      </c>
      <c r="H4222" s="1084"/>
    </row>
    <row r="4223" ht="14.25" customHeight="1">
      <c r="A4223" s="1085">
        <v>7155.0</v>
      </c>
      <c r="B4223" s="1086" t="s">
        <v>9541</v>
      </c>
      <c r="C4223" s="1087" t="s">
        <v>1814</v>
      </c>
      <c r="D4223" s="1088">
        <v>18.9</v>
      </c>
      <c r="E4223" s="1089" t="s">
        <v>5308</v>
      </c>
      <c r="F4223" s="1081">
        <f t="shared" si="1"/>
        <v>0</v>
      </c>
      <c r="G4223" s="1083">
        <f t="shared" si="2"/>
        <v>18.9</v>
      </c>
      <c r="H4223" s="1084"/>
    </row>
    <row r="4224" ht="14.25" customHeight="1">
      <c r="A4224" s="1085">
        <v>42406.0</v>
      </c>
      <c r="B4224" s="1086" t="s">
        <v>9542</v>
      </c>
      <c r="C4224" s="1087" t="s">
        <v>1814</v>
      </c>
      <c r="D4224" s="1088">
        <v>21.67</v>
      </c>
      <c r="E4224" s="1089" t="s">
        <v>5308</v>
      </c>
      <c r="F4224" s="1081">
        <f t="shared" si="1"/>
        <v>0</v>
      </c>
      <c r="G4224" s="1083">
        <f t="shared" si="2"/>
        <v>21.67</v>
      </c>
      <c r="H4224" s="1084"/>
    </row>
    <row r="4225" ht="14.25" customHeight="1">
      <c r="A4225" s="1085">
        <v>7156.0</v>
      </c>
      <c r="B4225" s="1086" t="s">
        <v>9543</v>
      </c>
      <c r="C4225" s="1087" t="s">
        <v>1814</v>
      </c>
      <c r="D4225" s="1088">
        <v>27.12</v>
      </c>
      <c r="E4225" s="1089" t="s">
        <v>5308</v>
      </c>
      <c r="F4225" s="1081">
        <f t="shared" si="1"/>
        <v>0</v>
      </c>
      <c r="G4225" s="1083">
        <f t="shared" si="2"/>
        <v>27.12</v>
      </c>
      <c r="H4225" s="1084"/>
    </row>
    <row r="4226" ht="14.25" customHeight="1">
      <c r="A4226" s="1085">
        <v>43127.0</v>
      </c>
      <c r="B4226" s="1086" t="s">
        <v>9544</v>
      </c>
      <c r="C4226" s="1087" t="s">
        <v>1814</v>
      </c>
      <c r="D4226" s="1088">
        <v>38.81</v>
      </c>
      <c r="E4226" s="1089" t="s">
        <v>5308</v>
      </c>
      <c r="F4226" s="1081">
        <f t="shared" si="1"/>
        <v>0</v>
      </c>
      <c r="G4226" s="1083">
        <f t="shared" si="2"/>
        <v>38.81</v>
      </c>
      <c r="H4226" s="1084"/>
    </row>
    <row r="4227" ht="14.25" customHeight="1">
      <c r="A4227" s="1085">
        <v>10917.0</v>
      </c>
      <c r="B4227" s="1086" t="s">
        <v>9545</v>
      </c>
      <c r="C4227" s="1087" t="s">
        <v>1814</v>
      </c>
      <c r="D4227" s="1088">
        <v>8.19</v>
      </c>
      <c r="E4227" s="1089" t="s">
        <v>5308</v>
      </c>
      <c r="F4227" s="1081">
        <f t="shared" si="1"/>
        <v>0</v>
      </c>
      <c r="G4227" s="1083">
        <f t="shared" si="2"/>
        <v>8.19</v>
      </c>
      <c r="H4227" s="1084"/>
    </row>
    <row r="4228" ht="14.25" customHeight="1">
      <c r="A4228" s="1085">
        <v>21141.0</v>
      </c>
      <c r="B4228" s="1086" t="s">
        <v>9546</v>
      </c>
      <c r="C4228" s="1087" t="s">
        <v>1814</v>
      </c>
      <c r="D4228" s="1088">
        <v>12.68</v>
      </c>
      <c r="E4228" s="1089" t="s">
        <v>5308</v>
      </c>
      <c r="F4228" s="1081">
        <f t="shared" si="1"/>
        <v>0</v>
      </c>
      <c r="G4228" s="1083">
        <f t="shared" si="2"/>
        <v>12.68</v>
      </c>
      <c r="H4228" s="1084"/>
    </row>
    <row r="4229" ht="14.25" customHeight="1">
      <c r="A4229" s="1085">
        <v>39509.0</v>
      </c>
      <c r="B4229" s="1086" t="s">
        <v>9547</v>
      </c>
      <c r="C4229" s="1087" t="s">
        <v>1814</v>
      </c>
      <c r="D4229" s="1088">
        <v>12.2</v>
      </c>
      <c r="E4229" s="1089" t="s">
        <v>5308</v>
      </c>
      <c r="F4229" s="1081">
        <f t="shared" si="1"/>
        <v>0</v>
      </c>
      <c r="G4229" s="1083">
        <f t="shared" si="2"/>
        <v>12.2</v>
      </c>
      <c r="H4229" s="1084"/>
    </row>
    <row r="4230" ht="14.25" customHeight="1">
      <c r="A4230" s="1085">
        <v>44529.0</v>
      </c>
      <c r="B4230" s="1086" t="s">
        <v>9548</v>
      </c>
      <c r="C4230" s="1087" t="s">
        <v>1814</v>
      </c>
      <c r="D4230" s="1088">
        <v>13.47</v>
      </c>
      <c r="E4230" s="1089" t="s">
        <v>5554</v>
      </c>
      <c r="F4230" s="1081">
        <f t="shared" si="1"/>
        <v>0</v>
      </c>
      <c r="G4230" s="1083">
        <f t="shared" si="2"/>
        <v>13.47</v>
      </c>
      <c r="H4230" s="1084"/>
    </row>
    <row r="4231" ht="14.25" customHeight="1">
      <c r="A4231" s="1085">
        <v>7167.0</v>
      </c>
      <c r="B4231" s="1086" t="s">
        <v>9549</v>
      </c>
      <c r="C4231" s="1087" t="s">
        <v>1814</v>
      </c>
      <c r="D4231" s="1088">
        <v>29.34</v>
      </c>
      <c r="E4231" s="1089" t="s">
        <v>5308</v>
      </c>
      <c r="F4231" s="1081">
        <f t="shared" si="1"/>
        <v>0</v>
      </c>
      <c r="G4231" s="1083">
        <f t="shared" si="2"/>
        <v>29.34</v>
      </c>
      <c r="H4231" s="1084"/>
    </row>
    <row r="4232" ht="14.25" customHeight="1">
      <c r="A4232" s="1085">
        <v>10928.0</v>
      </c>
      <c r="B4232" s="1086" t="s">
        <v>9550</v>
      </c>
      <c r="C4232" s="1087" t="s">
        <v>1814</v>
      </c>
      <c r="D4232" s="1088">
        <v>16.86</v>
      </c>
      <c r="E4232" s="1089" t="s">
        <v>5308</v>
      </c>
      <c r="F4232" s="1081">
        <f t="shared" si="1"/>
        <v>0</v>
      </c>
      <c r="G4232" s="1083">
        <f t="shared" si="2"/>
        <v>16.86</v>
      </c>
      <c r="H4232" s="1084"/>
    </row>
    <row r="4233" ht="14.25" customHeight="1">
      <c r="A4233" s="1085">
        <v>10933.0</v>
      </c>
      <c r="B4233" s="1086" t="s">
        <v>9551</v>
      </c>
      <c r="C4233" s="1087" t="s">
        <v>1814</v>
      </c>
      <c r="D4233" s="1088">
        <v>25.43</v>
      </c>
      <c r="E4233" s="1089" t="s">
        <v>5308</v>
      </c>
      <c r="F4233" s="1081">
        <f t="shared" si="1"/>
        <v>0</v>
      </c>
      <c r="G4233" s="1083">
        <f t="shared" si="2"/>
        <v>25.43</v>
      </c>
      <c r="H4233" s="1084"/>
    </row>
    <row r="4234" ht="14.25" customHeight="1">
      <c r="A4234" s="1085">
        <v>7158.0</v>
      </c>
      <c r="B4234" s="1086" t="s">
        <v>9552</v>
      </c>
      <c r="C4234" s="1087" t="s">
        <v>1814</v>
      </c>
      <c r="D4234" s="1088">
        <v>43.13</v>
      </c>
      <c r="E4234" s="1089" t="s">
        <v>5308</v>
      </c>
      <c r="F4234" s="1081">
        <f t="shared" si="1"/>
        <v>0</v>
      </c>
      <c r="G4234" s="1083">
        <f t="shared" si="2"/>
        <v>43.13</v>
      </c>
      <c r="H4234" s="1084"/>
    </row>
    <row r="4235" ht="14.25" customHeight="1">
      <c r="A4235" s="1085">
        <v>10927.0</v>
      </c>
      <c r="B4235" s="1086" t="s">
        <v>9553</v>
      </c>
      <c r="C4235" s="1087" t="s">
        <v>1814</v>
      </c>
      <c r="D4235" s="1088">
        <v>27.58</v>
      </c>
      <c r="E4235" s="1089" t="s">
        <v>5308</v>
      </c>
      <c r="F4235" s="1081">
        <f t="shared" si="1"/>
        <v>0</v>
      </c>
      <c r="G4235" s="1083">
        <f t="shared" si="2"/>
        <v>27.58</v>
      </c>
      <c r="H4235" s="1084"/>
    </row>
    <row r="4236" ht="14.25" customHeight="1">
      <c r="A4236" s="1085">
        <v>7162.0</v>
      </c>
      <c r="B4236" s="1086" t="s">
        <v>9554</v>
      </c>
      <c r="C4236" s="1087" t="s">
        <v>1814</v>
      </c>
      <c r="D4236" s="1088">
        <v>67.49</v>
      </c>
      <c r="E4236" s="1089" t="s">
        <v>5308</v>
      </c>
      <c r="F4236" s="1081">
        <f t="shared" si="1"/>
        <v>0</v>
      </c>
      <c r="G4236" s="1083">
        <f t="shared" si="2"/>
        <v>67.49</v>
      </c>
      <c r="H4236" s="1084"/>
    </row>
    <row r="4237" ht="14.25" customHeight="1">
      <c r="A4237" s="1085">
        <v>10932.0</v>
      </c>
      <c r="B4237" s="1086" t="s">
        <v>9555</v>
      </c>
      <c r="C4237" s="1087" t="s">
        <v>1814</v>
      </c>
      <c r="D4237" s="1088">
        <v>117.39</v>
      </c>
      <c r="E4237" s="1089" t="s">
        <v>5308</v>
      </c>
      <c r="F4237" s="1081">
        <f t="shared" si="1"/>
        <v>0</v>
      </c>
      <c r="G4237" s="1083">
        <f t="shared" si="2"/>
        <v>117.39</v>
      </c>
      <c r="H4237" s="1084"/>
    </row>
    <row r="4238" ht="14.25" customHeight="1">
      <c r="A4238" s="1085">
        <v>10937.0</v>
      </c>
      <c r="B4238" s="1086" t="s">
        <v>9556</v>
      </c>
      <c r="C4238" s="1087" t="s">
        <v>1814</v>
      </c>
      <c r="D4238" s="1088">
        <v>30.17</v>
      </c>
      <c r="E4238" s="1089" t="s">
        <v>5308</v>
      </c>
      <c r="F4238" s="1081">
        <f t="shared" si="1"/>
        <v>0</v>
      </c>
      <c r="G4238" s="1083">
        <f t="shared" si="2"/>
        <v>30.17</v>
      </c>
      <c r="H4238" s="1084"/>
    </row>
    <row r="4239" ht="14.25" customHeight="1">
      <c r="A4239" s="1085">
        <v>10935.0</v>
      </c>
      <c r="B4239" s="1086" t="s">
        <v>9557</v>
      </c>
      <c r="C4239" s="1087" t="s">
        <v>1814</v>
      </c>
      <c r="D4239" s="1088">
        <v>52.33</v>
      </c>
      <c r="E4239" s="1089" t="s">
        <v>5308</v>
      </c>
      <c r="F4239" s="1081">
        <f t="shared" si="1"/>
        <v>0</v>
      </c>
      <c r="G4239" s="1083">
        <f t="shared" si="2"/>
        <v>52.33</v>
      </c>
      <c r="H4239" s="1084"/>
    </row>
    <row r="4240" ht="14.25" customHeight="1">
      <c r="A4240" s="1085">
        <v>10931.0</v>
      </c>
      <c r="B4240" s="1086" t="s">
        <v>9558</v>
      </c>
      <c r="C4240" s="1087" t="s">
        <v>1814</v>
      </c>
      <c r="D4240" s="1088">
        <v>14.72</v>
      </c>
      <c r="E4240" s="1089" t="s">
        <v>5308</v>
      </c>
      <c r="F4240" s="1081">
        <f t="shared" si="1"/>
        <v>0</v>
      </c>
      <c r="G4240" s="1083">
        <f t="shared" si="2"/>
        <v>14.72</v>
      </c>
      <c r="H4240" s="1084"/>
    </row>
    <row r="4241" ht="14.25" customHeight="1">
      <c r="A4241" s="1085">
        <v>7164.0</v>
      </c>
      <c r="B4241" s="1086" t="s">
        <v>9559</v>
      </c>
      <c r="C4241" s="1087" t="s">
        <v>1814</v>
      </c>
      <c r="D4241" s="1088">
        <v>48.71</v>
      </c>
      <c r="E4241" s="1089" t="s">
        <v>5308</v>
      </c>
      <c r="F4241" s="1081">
        <f t="shared" si="1"/>
        <v>0</v>
      </c>
      <c r="G4241" s="1083">
        <f t="shared" si="2"/>
        <v>48.71</v>
      </c>
      <c r="H4241" s="1084"/>
    </row>
    <row r="4242" ht="14.25" customHeight="1">
      <c r="A4242" s="1085">
        <v>36887.0</v>
      </c>
      <c r="B4242" s="1086" t="s">
        <v>9560</v>
      </c>
      <c r="C4242" s="1087" t="s">
        <v>1814</v>
      </c>
      <c r="D4242" s="1088">
        <v>9.06</v>
      </c>
      <c r="E4242" s="1089" t="s">
        <v>5308</v>
      </c>
      <c r="F4242" s="1081">
        <f t="shared" si="1"/>
        <v>0</v>
      </c>
      <c r="G4242" s="1083">
        <f t="shared" si="2"/>
        <v>9.06</v>
      </c>
      <c r="H4242" s="1084"/>
    </row>
    <row r="4243" ht="14.25" customHeight="1">
      <c r="A4243" s="1085">
        <v>34630.0</v>
      </c>
      <c r="B4243" s="1086" t="s">
        <v>9561</v>
      </c>
      <c r="C4243" s="1087" t="s">
        <v>1788</v>
      </c>
      <c r="D4243" s="1088">
        <v>1377.73</v>
      </c>
      <c r="E4243" s="1089" t="s">
        <v>5308</v>
      </c>
      <c r="F4243" s="1081">
        <f t="shared" si="1"/>
        <v>0</v>
      </c>
      <c r="G4243" s="1083">
        <f t="shared" si="2"/>
        <v>1377.73</v>
      </c>
      <c r="H4243" s="1084"/>
    </row>
    <row r="4244" ht="14.25" customHeight="1">
      <c r="A4244" s="1085">
        <v>7161.0</v>
      </c>
      <c r="B4244" s="1086" t="s">
        <v>9562</v>
      </c>
      <c r="C4244" s="1087" t="s">
        <v>1814</v>
      </c>
      <c r="D4244" s="1088">
        <v>6.06</v>
      </c>
      <c r="E4244" s="1089" t="s">
        <v>5308</v>
      </c>
      <c r="F4244" s="1081">
        <f t="shared" si="1"/>
        <v>0</v>
      </c>
      <c r="G4244" s="1083">
        <f t="shared" si="2"/>
        <v>6.06</v>
      </c>
      <c r="H4244" s="1084"/>
    </row>
    <row r="4245" ht="14.25" customHeight="1">
      <c r="A4245" s="1085">
        <v>7170.0</v>
      </c>
      <c r="B4245" s="1086" t="s">
        <v>9563</v>
      </c>
      <c r="C4245" s="1087" t="s">
        <v>1814</v>
      </c>
      <c r="D4245" s="1088">
        <v>2.19</v>
      </c>
      <c r="E4245" s="1089" t="s">
        <v>5308</v>
      </c>
      <c r="F4245" s="1081">
        <f t="shared" si="1"/>
        <v>0</v>
      </c>
      <c r="G4245" s="1083">
        <f t="shared" si="2"/>
        <v>2.19</v>
      </c>
      <c r="H4245" s="1084"/>
    </row>
    <row r="4246" ht="14.25" customHeight="1">
      <c r="A4246" s="1085">
        <v>37524.0</v>
      </c>
      <c r="B4246" s="1086" t="s">
        <v>9564</v>
      </c>
      <c r="C4246" s="1087" t="s">
        <v>1731</v>
      </c>
      <c r="D4246" s="1088">
        <v>2.0</v>
      </c>
      <c r="E4246" s="1089" t="s">
        <v>5308</v>
      </c>
      <c r="F4246" s="1081">
        <f t="shared" si="1"/>
        <v>0</v>
      </c>
      <c r="G4246" s="1083">
        <f t="shared" si="2"/>
        <v>2</v>
      </c>
      <c r="H4246" s="1084"/>
    </row>
    <row r="4247" ht="14.25" customHeight="1">
      <c r="A4247" s="1085">
        <v>37525.0</v>
      </c>
      <c r="B4247" s="1086" t="s">
        <v>9565</v>
      </c>
      <c r="C4247" s="1087" t="s">
        <v>1731</v>
      </c>
      <c r="D4247" s="1088">
        <v>2.73</v>
      </c>
      <c r="E4247" s="1089" t="s">
        <v>5308</v>
      </c>
      <c r="F4247" s="1081">
        <f t="shared" si="1"/>
        <v>0</v>
      </c>
      <c r="G4247" s="1083">
        <f t="shared" si="2"/>
        <v>2.73</v>
      </c>
      <c r="H4247" s="1084"/>
    </row>
    <row r="4248" ht="14.25" customHeight="1">
      <c r="A4248" s="1085">
        <v>36789.0</v>
      </c>
      <c r="B4248" s="1086" t="s">
        <v>9566</v>
      </c>
      <c r="C4248" s="1087" t="s">
        <v>1788</v>
      </c>
      <c r="D4248" s="1088">
        <v>2.16</v>
      </c>
      <c r="E4248" s="1089" t="s">
        <v>5308</v>
      </c>
      <c r="F4248" s="1081">
        <f t="shared" si="1"/>
        <v>0</v>
      </c>
      <c r="G4248" s="1083">
        <f t="shared" si="2"/>
        <v>2.16</v>
      </c>
      <c r="H4248" s="1084"/>
    </row>
    <row r="4249" ht="14.25" customHeight="1">
      <c r="A4249" s="1085">
        <v>7173.0</v>
      </c>
      <c r="B4249" s="1086" t="s">
        <v>9567</v>
      </c>
      <c r="C4249" s="1087" t="s">
        <v>8609</v>
      </c>
      <c r="D4249" s="1088">
        <v>1396.53</v>
      </c>
      <c r="E4249" s="1089" t="s">
        <v>5308</v>
      </c>
      <c r="F4249" s="1081">
        <f t="shared" si="1"/>
        <v>0</v>
      </c>
      <c r="G4249" s="1083">
        <f t="shared" si="2"/>
        <v>1396.53</v>
      </c>
      <c r="H4249" s="1084"/>
    </row>
    <row r="4250" ht="14.25" customHeight="1">
      <c r="A4250" s="1085">
        <v>7175.0</v>
      </c>
      <c r="B4250" s="1086" t="s">
        <v>9568</v>
      </c>
      <c r="C4250" s="1087" t="s">
        <v>1788</v>
      </c>
      <c r="D4250" s="1088">
        <v>1.58</v>
      </c>
      <c r="E4250" s="1089" t="s">
        <v>5308</v>
      </c>
      <c r="F4250" s="1081">
        <f t="shared" si="1"/>
        <v>0</v>
      </c>
      <c r="G4250" s="1083">
        <f t="shared" si="2"/>
        <v>1.58</v>
      </c>
      <c r="H4250" s="1084"/>
    </row>
    <row r="4251" ht="14.25" customHeight="1">
      <c r="A4251" s="1085">
        <v>40741.0</v>
      </c>
      <c r="B4251" s="1086" t="s">
        <v>9569</v>
      </c>
      <c r="C4251" s="1087" t="s">
        <v>1788</v>
      </c>
      <c r="D4251" s="1088">
        <v>2.53</v>
      </c>
      <c r="E4251" s="1089" t="s">
        <v>5308</v>
      </c>
      <c r="F4251" s="1081">
        <f t="shared" si="1"/>
        <v>0</v>
      </c>
      <c r="G4251" s="1083">
        <f t="shared" si="2"/>
        <v>2.53</v>
      </c>
      <c r="H4251" s="1084"/>
    </row>
    <row r="4252" ht="14.25" customHeight="1">
      <c r="A4252" s="1085">
        <v>7184.0</v>
      </c>
      <c r="B4252" s="1086" t="s">
        <v>9570</v>
      </c>
      <c r="C4252" s="1087" t="s">
        <v>1814</v>
      </c>
      <c r="D4252" s="1088">
        <v>59.63</v>
      </c>
      <c r="E4252" s="1089" t="s">
        <v>5308</v>
      </c>
      <c r="F4252" s="1081">
        <f t="shared" si="1"/>
        <v>0</v>
      </c>
      <c r="G4252" s="1083">
        <f t="shared" si="2"/>
        <v>59.63</v>
      </c>
      <c r="H4252" s="1084"/>
    </row>
    <row r="4253" ht="14.25" customHeight="1">
      <c r="A4253" s="1085">
        <v>34458.0</v>
      </c>
      <c r="B4253" s="1086" t="s">
        <v>9571</v>
      </c>
      <c r="C4253" s="1087" t="s">
        <v>1788</v>
      </c>
      <c r="D4253" s="1088">
        <v>153.45</v>
      </c>
      <c r="E4253" s="1089" t="s">
        <v>5308</v>
      </c>
      <c r="F4253" s="1081">
        <f t="shared" si="1"/>
        <v>0</v>
      </c>
      <c r="G4253" s="1083">
        <f t="shared" si="2"/>
        <v>153.45</v>
      </c>
      <c r="H4253" s="1084"/>
    </row>
    <row r="4254" ht="14.25" customHeight="1">
      <c r="A4254" s="1085">
        <v>34464.0</v>
      </c>
      <c r="B4254" s="1086" t="s">
        <v>9572</v>
      </c>
      <c r="C4254" s="1087" t="s">
        <v>1788</v>
      </c>
      <c r="D4254" s="1088">
        <v>228.42</v>
      </c>
      <c r="E4254" s="1089" t="s">
        <v>5308</v>
      </c>
      <c r="F4254" s="1081">
        <f t="shared" si="1"/>
        <v>0</v>
      </c>
      <c r="G4254" s="1083">
        <f t="shared" si="2"/>
        <v>228.42</v>
      </c>
      <c r="H4254" s="1084"/>
    </row>
    <row r="4255" ht="14.25" customHeight="1">
      <c r="A4255" s="1085">
        <v>34468.0</v>
      </c>
      <c r="B4255" s="1086" t="s">
        <v>9573</v>
      </c>
      <c r="C4255" s="1087" t="s">
        <v>1788</v>
      </c>
      <c r="D4255" s="1088">
        <v>287.98</v>
      </c>
      <c r="E4255" s="1089" t="s">
        <v>5308</v>
      </c>
      <c r="F4255" s="1081">
        <f t="shared" si="1"/>
        <v>0</v>
      </c>
      <c r="G4255" s="1083">
        <f t="shared" si="2"/>
        <v>287.98</v>
      </c>
      <c r="H4255" s="1084"/>
    </row>
    <row r="4256" ht="14.25" customHeight="1">
      <c r="A4256" s="1085">
        <v>34473.0</v>
      </c>
      <c r="B4256" s="1086" t="s">
        <v>9574</v>
      </c>
      <c r="C4256" s="1087" t="s">
        <v>1788</v>
      </c>
      <c r="D4256" s="1088">
        <v>174.69</v>
      </c>
      <c r="E4256" s="1089" t="s">
        <v>5308</v>
      </c>
      <c r="F4256" s="1081">
        <f t="shared" si="1"/>
        <v>0</v>
      </c>
      <c r="G4256" s="1083">
        <f t="shared" si="2"/>
        <v>174.69</v>
      </c>
      <c r="H4256" s="1084"/>
    </row>
    <row r="4257" ht="14.25" customHeight="1">
      <c r="A4257" s="1085">
        <v>34480.0</v>
      </c>
      <c r="B4257" s="1086" t="s">
        <v>9575</v>
      </c>
      <c r="C4257" s="1087" t="s">
        <v>1788</v>
      </c>
      <c r="D4257" s="1088">
        <v>322.84</v>
      </c>
      <c r="E4257" s="1089" t="s">
        <v>5308</v>
      </c>
      <c r="F4257" s="1081">
        <f t="shared" si="1"/>
        <v>0</v>
      </c>
      <c r="G4257" s="1083">
        <f t="shared" si="2"/>
        <v>322.84</v>
      </c>
      <c r="H4257" s="1084"/>
    </row>
    <row r="4258" ht="14.25" customHeight="1">
      <c r="A4258" s="1085">
        <v>34486.0</v>
      </c>
      <c r="B4258" s="1086" t="s">
        <v>9576</v>
      </c>
      <c r="C4258" s="1087" t="s">
        <v>1788</v>
      </c>
      <c r="D4258" s="1088">
        <v>382.23</v>
      </c>
      <c r="E4258" s="1089" t="s">
        <v>5308</v>
      </c>
      <c r="F4258" s="1081">
        <f t="shared" si="1"/>
        <v>0</v>
      </c>
      <c r="G4258" s="1083">
        <f t="shared" si="2"/>
        <v>382.23</v>
      </c>
      <c r="H4258" s="1084"/>
    </row>
    <row r="4259" ht="14.25" customHeight="1">
      <c r="A4259" s="1085">
        <v>7190.0</v>
      </c>
      <c r="B4259" s="1086" t="s">
        <v>9577</v>
      </c>
      <c r="C4259" s="1087" t="s">
        <v>1788</v>
      </c>
      <c r="D4259" s="1088">
        <v>12.76</v>
      </c>
      <c r="E4259" s="1089" t="s">
        <v>5308</v>
      </c>
      <c r="F4259" s="1081">
        <f t="shared" si="1"/>
        <v>0</v>
      </c>
      <c r="G4259" s="1083">
        <f t="shared" si="2"/>
        <v>12.76</v>
      </c>
      <c r="H4259" s="1084"/>
    </row>
    <row r="4260" ht="14.25" customHeight="1">
      <c r="A4260" s="1085">
        <v>34417.0</v>
      </c>
      <c r="B4260" s="1086" t="s">
        <v>9578</v>
      </c>
      <c r="C4260" s="1087" t="s">
        <v>1788</v>
      </c>
      <c r="D4260" s="1088">
        <v>20.42</v>
      </c>
      <c r="E4260" s="1089" t="s">
        <v>5308</v>
      </c>
      <c r="F4260" s="1081">
        <f t="shared" si="1"/>
        <v>0</v>
      </c>
      <c r="G4260" s="1083">
        <f t="shared" si="2"/>
        <v>20.42</v>
      </c>
      <c r="H4260" s="1084"/>
    </row>
    <row r="4261" ht="14.25" customHeight="1">
      <c r="A4261" s="1085">
        <v>7213.0</v>
      </c>
      <c r="B4261" s="1086" t="s">
        <v>9579</v>
      </c>
      <c r="C4261" s="1087" t="s">
        <v>1814</v>
      </c>
      <c r="D4261" s="1088">
        <v>18.73</v>
      </c>
      <c r="E4261" s="1089" t="s">
        <v>5308</v>
      </c>
      <c r="F4261" s="1081">
        <f t="shared" si="1"/>
        <v>0</v>
      </c>
      <c r="G4261" s="1083">
        <f t="shared" si="2"/>
        <v>18.73</v>
      </c>
      <c r="H4261" s="1084"/>
    </row>
    <row r="4262" ht="14.25" customHeight="1">
      <c r="A4262" s="1085">
        <v>7195.0</v>
      </c>
      <c r="B4262" s="1086" t="s">
        <v>9580</v>
      </c>
      <c r="C4262" s="1087" t="s">
        <v>1788</v>
      </c>
      <c r="D4262" s="1088">
        <v>54.99</v>
      </c>
      <c r="E4262" s="1089" t="s">
        <v>5308</v>
      </c>
      <c r="F4262" s="1081">
        <f t="shared" si="1"/>
        <v>0</v>
      </c>
      <c r="G4262" s="1083">
        <f t="shared" si="2"/>
        <v>54.99</v>
      </c>
      <c r="H4262" s="1084"/>
    </row>
    <row r="4263" ht="14.25" customHeight="1">
      <c r="A4263" s="1085">
        <v>7186.0</v>
      </c>
      <c r="B4263" s="1086" t="s">
        <v>9581</v>
      </c>
      <c r="C4263" s="1087" t="s">
        <v>1788</v>
      </c>
      <c r="D4263" s="1088">
        <v>59.9</v>
      </c>
      <c r="E4263" s="1089" t="s">
        <v>5308</v>
      </c>
      <c r="F4263" s="1081">
        <f t="shared" si="1"/>
        <v>0</v>
      </c>
      <c r="G4263" s="1083">
        <f t="shared" si="2"/>
        <v>59.9</v>
      </c>
      <c r="H4263" s="1084"/>
    </row>
    <row r="4264" ht="14.25" customHeight="1">
      <c r="A4264" s="1085">
        <v>7194.0</v>
      </c>
      <c r="B4264" s="1086" t="s">
        <v>9582</v>
      </c>
      <c r="C4264" s="1087" t="s">
        <v>1814</v>
      </c>
      <c r="D4264" s="1088">
        <v>27.62</v>
      </c>
      <c r="E4264" s="1089" t="s">
        <v>5308</v>
      </c>
      <c r="F4264" s="1081">
        <f t="shared" si="1"/>
        <v>0</v>
      </c>
      <c r="G4264" s="1083">
        <f t="shared" si="2"/>
        <v>27.62</v>
      </c>
      <c r="H4264" s="1084"/>
    </row>
    <row r="4265" ht="14.25" customHeight="1">
      <c r="A4265" s="1085">
        <v>7197.0</v>
      </c>
      <c r="B4265" s="1086" t="s">
        <v>9583</v>
      </c>
      <c r="C4265" s="1087" t="s">
        <v>1788</v>
      </c>
      <c r="D4265" s="1088">
        <v>116.56</v>
      </c>
      <c r="E4265" s="1089" t="s">
        <v>5308</v>
      </c>
      <c r="F4265" s="1081">
        <f t="shared" si="1"/>
        <v>0</v>
      </c>
      <c r="G4265" s="1083">
        <f t="shared" si="2"/>
        <v>116.56</v>
      </c>
      <c r="H4265" s="1084"/>
    </row>
    <row r="4266" ht="14.25" customHeight="1">
      <c r="A4266" s="1085">
        <v>7192.0</v>
      </c>
      <c r="B4266" s="1086" t="s">
        <v>9584</v>
      </c>
      <c r="C4266" s="1087" t="s">
        <v>1788</v>
      </c>
      <c r="D4266" s="1088">
        <v>104.43</v>
      </c>
      <c r="E4266" s="1089" t="s">
        <v>5308</v>
      </c>
      <c r="F4266" s="1081">
        <f t="shared" si="1"/>
        <v>0</v>
      </c>
      <c r="G4266" s="1083">
        <f t="shared" si="2"/>
        <v>104.43</v>
      </c>
      <c r="H4266" s="1084"/>
    </row>
    <row r="4267" ht="14.25" customHeight="1">
      <c r="A4267" s="1085">
        <v>7193.0</v>
      </c>
      <c r="B4267" s="1086" t="s">
        <v>9585</v>
      </c>
      <c r="C4267" s="1087" t="s">
        <v>1788</v>
      </c>
      <c r="D4267" s="1088">
        <v>117.57</v>
      </c>
      <c r="E4267" s="1089" t="s">
        <v>5308</v>
      </c>
      <c r="F4267" s="1081">
        <f t="shared" si="1"/>
        <v>0</v>
      </c>
      <c r="G4267" s="1083">
        <f t="shared" si="2"/>
        <v>117.57</v>
      </c>
      <c r="H4267" s="1084"/>
    </row>
    <row r="4268" ht="14.25" customHeight="1">
      <c r="A4268" s="1085">
        <v>7189.0</v>
      </c>
      <c r="B4268" s="1086" t="s">
        <v>9586</v>
      </c>
      <c r="C4268" s="1087" t="s">
        <v>1788</v>
      </c>
      <c r="D4268" s="1088">
        <v>136.64</v>
      </c>
      <c r="E4268" s="1089" t="s">
        <v>5308</v>
      </c>
      <c r="F4268" s="1081">
        <f t="shared" si="1"/>
        <v>0</v>
      </c>
      <c r="G4268" s="1083">
        <f t="shared" si="2"/>
        <v>136.64</v>
      </c>
      <c r="H4268" s="1084"/>
    </row>
    <row r="4269" ht="14.25" customHeight="1">
      <c r="A4269" s="1085">
        <v>34402.0</v>
      </c>
      <c r="B4269" s="1086" t="s">
        <v>9587</v>
      </c>
      <c r="C4269" s="1087" t="s">
        <v>1788</v>
      </c>
      <c r="D4269" s="1088">
        <v>192.9</v>
      </c>
      <c r="E4269" s="1089" t="s">
        <v>5308</v>
      </c>
      <c r="F4269" s="1081">
        <f t="shared" si="1"/>
        <v>0</v>
      </c>
      <c r="G4269" s="1083">
        <f t="shared" si="2"/>
        <v>192.9</v>
      </c>
      <c r="H4269" s="1084"/>
    </row>
    <row r="4270" ht="14.25" customHeight="1">
      <c r="A4270" s="1085">
        <v>7245.0</v>
      </c>
      <c r="B4270" s="1086" t="s">
        <v>9588</v>
      </c>
      <c r="C4270" s="1087" t="s">
        <v>1788</v>
      </c>
      <c r="D4270" s="1088">
        <v>31.91</v>
      </c>
      <c r="E4270" s="1089" t="s">
        <v>5308</v>
      </c>
      <c r="F4270" s="1081">
        <f t="shared" si="1"/>
        <v>0</v>
      </c>
      <c r="G4270" s="1083">
        <f t="shared" si="2"/>
        <v>31.91</v>
      </c>
      <c r="H4270" s="1084"/>
    </row>
    <row r="4271" ht="14.25" customHeight="1">
      <c r="A4271" s="1085">
        <v>34425.0</v>
      </c>
      <c r="B4271" s="1086" t="s">
        <v>9589</v>
      </c>
      <c r="C4271" s="1087" t="s">
        <v>1788</v>
      </c>
      <c r="D4271" s="1088">
        <v>123.92</v>
      </c>
      <c r="E4271" s="1089" t="s">
        <v>5308</v>
      </c>
      <c r="F4271" s="1081">
        <f t="shared" si="1"/>
        <v>0</v>
      </c>
      <c r="G4271" s="1083">
        <f t="shared" si="2"/>
        <v>123.92</v>
      </c>
      <c r="H4271" s="1084"/>
    </row>
    <row r="4272" ht="14.25" customHeight="1">
      <c r="A4272" s="1085">
        <v>7223.0</v>
      </c>
      <c r="B4272" s="1086" t="s">
        <v>9590</v>
      </c>
      <c r="C4272" s="1087" t="s">
        <v>1788</v>
      </c>
      <c r="D4272" s="1088">
        <v>138.09</v>
      </c>
      <c r="E4272" s="1089" t="s">
        <v>5308</v>
      </c>
      <c r="F4272" s="1081">
        <f t="shared" si="1"/>
        <v>0</v>
      </c>
      <c r="G4272" s="1083">
        <f t="shared" si="2"/>
        <v>138.09</v>
      </c>
      <c r="H4272" s="1084"/>
    </row>
    <row r="4273" ht="14.25" customHeight="1">
      <c r="A4273" s="1085">
        <v>7234.0</v>
      </c>
      <c r="B4273" s="1086" t="s">
        <v>9591</v>
      </c>
      <c r="C4273" s="1087" t="s">
        <v>1788</v>
      </c>
      <c r="D4273" s="1088">
        <v>208.38</v>
      </c>
      <c r="E4273" s="1089" t="s">
        <v>5308</v>
      </c>
      <c r="F4273" s="1081">
        <f t="shared" si="1"/>
        <v>0</v>
      </c>
      <c r="G4273" s="1083">
        <f t="shared" si="2"/>
        <v>208.38</v>
      </c>
      <c r="H4273" s="1084"/>
    </row>
    <row r="4274" ht="14.25" customHeight="1">
      <c r="A4274" s="1085">
        <v>7224.0</v>
      </c>
      <c r="B4274" s="1086" t="s">
        <v>9592</v>
      </c>
      <c r="C4274" s="1087" t="s">
        <v>1788</v>
      </c>
      <c r="D4274" s="1088">
        <v>253.87</v>
      </c>
      <c r="E4274" s="1089" t="s">
        <v>5308</v>
      </c>
      <c r="F4274" s="1081">
        <f t="shared" si="1"/>
        <v>0</v>
      </c>
      <c r="G4274" s="1083">
        <f t="shared" si="2"/>
        <v>253.87</v>
      </c>
      <c r="H4274" s="1084"/>
    </row>
    <row r="4275" ht="14.25" customHeight="1">
      <c r="A4275" s="1085">
        <v>7225.0</v>
      </c>
      <c r="B4275" s="1086" t="s">
        <v>9593</v>
      </c>
      <c r="C4275" s="1087" t="s">
        <v>1788</v>
      </c>
      <c r="D4275" s="1088">
        <v>272.21</v>
      </c>
      <c r="E4275" s="1089" t="s">
        <v>5308</v>
      </c>
      <c r="F4275" s="1081">
        <f t="shared" si="1"/>
        <v>0</v>
      </c>
      <c r="G4275" s="1083">
        <f t="shared" si="2"/>
        <v>272.21</v>
      </c>
      <c r="H4275" s="1084"/>
    </row>
    <row r="4276" ht="14.25" customHeight="1">
      <c r="A4276" s="1085">
        <v>7226.0</v>
      </c>
      <c r="B4276" s="1086" t="s">
        <v>9594</v>
      </c>
      <c r="C4276" s="1087" t="s">
        <v>1788</v>
      </c>
      <c r="D4276" s="1088">
        <v>290.49</v>
      </c>
      <c r="E4276" s="1089" t="s">
        <v>5308</v>
      </c>
      <c r="F4276" s="1081">
        <f t="shared" si="1"/>
        <v>0</v>
      </c>
      <c r="G4276" s="1083">
        <f t="shared" si="2"/>
        <v>290.49</v>
      </c>
      <c r="H4276" s="1084"/>
    </row>
    <row r="4277" ht="14.25" customHeight="1">
      <c r="A4277" s="1085">
        <v>7227.0</v>
      </c>
      <c r="B4277" s="1086" t="s">
        <v>9595</v>
      </c>
      <c r="C4277" s="1087" t="s">
        <v>1788</v>
      </c>
      <c r="D4277" s="1088">
        <v>330.65</v>
      </c>
      <c r="E4277" s="1089" t="s">
        <v>5308</v>
      </c>
      <c r="F4277" s="1081">
        <f t="shared" si="1"/>
        <v>0</v>
      </c>
      <c r="G4277" s="1083">
        <f t="shared" si="2"/>
        <v>330.65</v>
      </c>
      <c r="H4277" s="1084"/>
    </row>
    <row r="4278" ht="14.25" customHeight="1">
      <c r="A4278" s="1085">
        <v>7212.0</v>
      </c>
      <c r="B4278" s="1086" t="s">
        <v>9596</v>
      </c>
      <c r="C4278" s="1087" t="s">
        <v>1788</v>
      </c>
      <c r="D4278" s="1088">
        <v>363.31</v>
      </c>
      <c r="E4278" s="1089" t="s">
        <v>5308</v>
      </c>
      <c r="F4278" s="1081">
        <f t="shared" si="1"/>
        <v>0</v>
      </c>
      <c r="G4278" s="1083">
        <f t="shared" si="2"/>
        <v>363.31</v>
      </c>
      <c r="H4278" s="1084"/>
    </row>
    <row r="4279" ht="14.25" customHeight="1">
      <c r="A4279" s="1085">
        <v>7229.0</v>
      </c>
      <c r="B4279" s="1086" t="s">
        <v>9597</v>
      </c>
      <c r="C4279" s="1087" t="s">
        <v>1788</v>
      </c>
      <c r="D4279" s="1088">
        <v>230.29</v>
      </c>
      <c r="E4279" s="1089" t="s">
        <v>5308</v>
      </c>
      <c r="F4279" s="1081">
        <f t="shared" si="1"/>
        <v>0</v>
      </c>
      <c r="G4279" s="1083">
        <f t="shared" si="2"/>
        <v>230.29</v>
      </c>
      <c r="H4279" s="1084"/>
    </row>
    <row r="4280" ht="14.25" customHeight="1">
      <c r="A4280" s="1085">
        <v>7230.0</v>
      </c>
      <c r="B4280" s="1086" t="s">
        <v>9598</v>
      </c>
      <c r="C4280" s="1087" t="s">
        <v>1788</v>
      </c>
      <c r="D4280" s="1088">
        <v>383.38</v>
      </c>
      <c r="E4280" s="1089" t="s">
        <v>5308</v>
      </c>
      <c r="F4280" s="1081">
        <f t="shared" si="1"/>
        <v>0</v>
      </c>
      <c r="G4280" s="1083">
        <f t="shared" si="2"/>
        <v>383.38</v>
      </c>
      <c r="H4280" s="1084"/>
    </row>
    <row r="4281" ht="14.25" customHeight="1">
      <c r="A4281" s="1085">
        <v>7231.0</v>
      </c>
      <c r="B4281" s="1086" t="s">
        <v>9599</v>
      </c>
      <c r="C4281" s="1087" t="s">
        <v>1788</v>
      </c>
      <c r="D4281" s="1088">
        <v>543.86</v>
      </c>
      <c r="E4281" s="1089" t="s">
        <v>5308</v>
      </c>
      <c r="F4281" s="1081">
        <f t="shared" si="1"/>
        <v>0</v>
      </c>
      <c r="G4281" s="1083">
        <f t="shared" si="2"/>
        <v>543.86</v>
      </c>
      <c r="H4281" s="1084"/>
    </row>
    <row r="4282" ht="14.25" customHeight="1">
      <c r="A4282" s="1085">
        <v>7220.0</v>
      </c>
      <c r="B4282" s="1086" t="s">
        <v>9600</v>
      </c>
      <c r="C4282" s="1087" t="s">
        <v>1788</v>
      </c>
      <c r="D4282" s="1088">
        <v>671.34</v>
      </c>
      <c r="E4282" s="1089" t="s">
        <v>5308</v>
      </c>
      <c r="F4282" s="1081">
        <f t="shared" si="1"/>
        <v>0</v>
      </c>
      <c r="G4282" s="1083">
        <f t="shared" si="2"/>
        <v>671.34</v>
      </c>
      <c r="H4282" s="1084"/>
    </row>
    <row r="4283" ht="14.25" customHeight="1">
      <c r="A4283" s="1085">
        <v>34447.0</v>
      </c>
      <c r="B4283" s="1086" t="s">
        <v>9601</v>
      </c>
      <c r="C4283" s="1087" t="s">
        <v>1788</v>
      </c>
      <c r="D4283" s="1088">
        <v>750.66</v>
      </c>
      <c r="E4283" s="1089" t="s">
        <v>5308</v>
      </c>
      <c r="F4283" s="1081">
        <f t="shared" si="1"/>
        <v>0</v>
      </c>
      <c r="G4283" s="1083">
        <f t="shared" si="2"/>
        <v>750.66</v>
      </c>
      <c r="H4283" s="1084"/>
    </row>
    <row r="4284" ht="14.25" customHeight="1">
      <c r="A4284" s="1085">
        <v>7233.0</v>
      </c>
      <c r="B4284" s="1086" t="s">
        <v>9602</v>
      </c>
      <c r="C4284" s="1087" t="s">
        <v>1788</v>
      </c>
      <c r="D4284" s="1088">
        <v>861.12</v>
      </c>
      <c r="E4284" s="1089" t="s">
        <v>5308</v>
      </c>
      <c r="F4284" s="1081">
        <f t="shared" si="1"/>
        <v>0</v>
      </c>
      <c r="G4284" s="1083">
        <f t="shared" si="2"/>
        <v>861.12</v>
      </c>
      <c r="H4284" s="1084"/>
    </row>
    <row r="4285" ht="14.25" customHeight="1">
      <c r="A4285" s="1085">
        <v>40740.0</v>
      </c>
      <c r="B4285" s="1086" t="s">
        <v>9603</v>
      </c>
      <c r="C4285" s="1087" t="s">
        <v>1814</v>
      </c>
      <c r="D4285" s="1088">
        <v>182.25</v>
      </c>
      <c r="E4285" s="1089" t="s">
        <v>5308</v>
      </c>
      <c r="F4285" s="1081">
        <f t="shared" si="1"/>
        <v>0</v>
      </c>
      <c r="G4285" s="1083">
        <f t="shared" si="2"/>
        <v>182.25</v>
      </c>
      <c r="H4285" s="1084"/>
    </row>
    <row r="4286" ht="14.25" customHeight="1">
      <c r="A4286" s="1085">
        <v>25007.0</v>
      </c>
      <c r="B4286" s="1086" t="s">
        <v>9604</v>
      </c>
      <c r="C4286" s="1087" t="s">
        <v>1814</v>
      </c>
      <c r="D4286" s="1088">
        <v>52.15</v>
      </c>
      <c r="E4286" s="1089" t="s">
        <v>5308</v>
      </c>
      <c r="F4286" s="1081">
        <f t="shared" si="1"/>
        <v>0</v>
      </c>
      <c r="G4286" s="1083">
        <f t="shared" si="2"/>
        <v>52.15</v>
      </c>
      <c r="H4286" s="1084"/>
    </row>
    <row r="4287" ht="14.25" customHeight="1">
      <c r="A4287" s="1085">
        <v>43071.0</v>
      </c>
      <c r="B4287" s="1086" t="s">
        <v>9605</v>
      </c>
      <c r="C4287" s="1087" t="s">
        <v>1814</v>
      </c>
      <c r="D4287" s="1088">
        <v>205.21</v>
      </c>
      <c r="E4287" s="1089" t="s">
        <v>5308</v>
      </c>
      <c r="F4287" s="1081">
        <f t="shared" si="1"/>
        <v>0</v>
      </c>
      <c r="G4287" s="1083">
        <f t="shared" si="2"/>
        <v>205.21</v>
      </c>
      <c r="H4287" s="1084"/>
    </row>
    <row r="4288" ht="14.25" customHeight="1">
      <c r="A4288" s="1085">
        <v>39520.0</v>
      </c>
      <c r="B4288" s="1086" t="s">
        <v>9606</v>
      </c>
      <c r="C4288" s="1087" t="s">
        <v>1814</v>
      </c>
      <c r="D4288" s="1088">
        <v>167.42</v>
      </c>
      <c r="E4288" s="1089" t="s">
        <v>5308</v>
      </c>
      <c r="F4288" s="1081">
        <f t="shared" si="1"/>
        <v>0</v>
      </c>
      <c r="G4288" s="1083">
        <f t="shared" si="2"/>
        <v>167.42</v>
      </c>
      <c r="H4288" s="1084"/>
    </row>
    <row r="4289" ht="14.25" customHeight="1">
      <c r="A4289" s="1085">
        <v>39521.0</v>
      </c>
      <c r="B4289" s="1086" t="s">
        <v>9607</v>
      </c>
      <c r="C4289" s="1087" t="s">
        <v>1814</v>
      </c>
      <c r="D4289" s="1088">
        <v>172.89</v>
      </c>
      <c r="E4289" s="1089" t="s">
        <v>5308</v>
      </c>
      <c r="F4289" s="1081">
        <f t="shared" si="1"/>
        <v>0</v>
      </c>
      <c r="G4289" s="1083">
        <f t="shared" si="2"/>
        <v>172.89</v>
      </c>
      <c r="H4289" s="1084"/>
    </row>
    <row r="4290" ht="14.25" customHeight="1">
      <c r="A4290" s="1085">
        <v>39522.0</v>
      </c>
      <c r="B4290" s="1086" t="s">
        <v>9608</v>
      </c>
      <c r="C4290" s="1087" t="s">
        <v>1814</v>
      </c>
      <c r="D4290" s="1088">
        <v>178.53</v>
      </c>
      <c r="E4290" s="1089" t="s">
        <v>5308</v>
      </c>
      <c r="F4290" s="1081">
        <f t="shared" si="1"/>
        <v>0</v>
      </c>
      <c r="G4290" s="1083">
        <f t="shared" si="2"/>
        <v>178.53</v>
      </c>
      <c r="H4290" s="1084"/>
    </row>
    <row r="4291" ht="14.25" customHeight="1">
      <c r="A4291" s="1085">
        <v>7243.0</v>
      </c>
      <c r="B4291" s="1086" t="s">
        <v>9609</v>
      </c>
      <c r="C4291" s="1087" t="s">
        <v>1814</v>
      </c>
      <c r="D4291" s="1088">
        <v>54.49</v>
      </c>
      <c r="E4291" s="1089" t="s">
        <v>5308</v>
      </c>
      <c r="F4291" s="1081">
        <f t="shared" si="1"/>
        <v>0</v>
      </c>
      <c r="G4291" s="1083">
        <f t="shared" si="2"/>
        <v>54.49</v>
      </c>
      <c r="H4291" s="1084"/>
    </row>
    <row r="4292" ht="14.25" customHeight="1">
      <c r="A4292" s="1085">
        <v>11067.0</v>
      </c>
      <c r="B4292" s="1086" t="s">
        <v>9610</v>
      </c>
      <c r="C4292" s="1087" t="s">
        <v>1788</v>
      </c>
      <c r="D4292" s="1088">
        <v>345.72</v>
      </c>
      <c r="E4292" s="1089" t="s">
        <v>5308</v>
      </c>
      <c r="F4292" s="1081">
        <f t="shared" si="1"/>
        <v>0</v>
      </c>
      <c r="G4292" s="1083">
        <f t="shared" si="2"/>
        <v>345.72</v>
      </c>
      <c r="H4292" s="1084"/>
    </row>
    <row r="4293" ht="14.25" customHeight="1">
      <c r="A4293" s="1085">
        <v>11068.0</v>
      </c>
      <c r="B4293" s="1086" t="s">
        <v>9611</v>
      </c>
      <c r="C4293" s="1087" t="s">
        <v>1788</v>
      </c>
      <c r="D4293" s="1088">
        <v>436.77</v>
      </c>
      <c r="E4293" s="1089" t="s">
        <v>5308</v>
      </c>
      <c r="F4293" s="1081">
        <f t="shared" si="1"/>
        <v>0</v>
      </c>
      <c r="G4293" s="1083">
        <f t="shared" si="2"/>
        <v>436.77</v>
      </c>
      <c r="H4293" s="1084"/>
    </row>
    <row r="4294" ht="14.25" customHeight="1">
      <c r="A4294" s="1085">
        <v>7246.0</v>
      </c>
      <c r="B4294" s="1086" t="s">
        <v>9612</v>
      </c>
      <c r="C4294" s="1087" t="s">
        <v>1788</v>
      </c>
      <c r="D4294" s="1088">
        <v>35.23</v>
      </c>
      <c r="E4294" s="1089" t="s">
        <v>5308</v>
      </c>
      <c r="F4294" s="1081">
        <f t="shared" si="1"/>
        <v>0</v>
      </c>
      <c r="G4294" s="1083">
        <f t="shared" si="2"/>
        <v>35.23</v>
      </c>
      <c r="H4294" s="1084"/>
    </row>
    <row r="4295" ht="14.25" customHeight="1">
      <c r="A4295" s="1085">
        <v>41097.0</v>
      </c>
      <c r="B4295" s="1086" t="s">
        <v>9613</v>
      </c>
      <c r="C4295" s="1087" t="s">
        <v>5454</v>
      </c>
      <c r="D4295" s="1088">
        <v>3600.2</v>
      </c>
      <c r="E4295" s="1089" t="s">
        <v>5452</v>
      </c>
      <c r="F4295" s="1081">
        <f t="shared" si="1"/>
        <v>3600.2</v>
      </c>
      <c r="G4295" s="1083">
        <f t="shared" si="2"/>
        <v>0</v>
      </c>
      <c r="H4295" s="1084"/>
    </row>
    <row r="4296" ht="14.25" customHeight="1">
      <c r="A4296" s="1085">
        <v>12869.0</v>
      </c>
      <c r="B4296" s="1086" t="s">
        <v>9614</v>
      </c>
      <c r="C4296" s="1087" t="s">
        <v>1470</v>
      </c>
      <c r="D4296" s="1088">
        <v>20.56</v>
      </c>
      <c r="E4296" s="1089" t="s">
        <v>5452</v>
      </c>
      <c r="F4296" s="1081">
        <f t="shared" si="1"/>
        <v>20.56</v>
      </c>
      <c r="G4296" s="1083">
        <f t="shared" si="2"/>
        <v>0</v>
      </c>
      <c r="H4296" s="1084"/>
    </row>
    <row r="4297" ht="14.25" customHeight="1">
      <c r="A4297" s="1085">
        <v>1574.0</v>
      </c>
      <c r="B4297" s="1086" t="s">
        <v>9615</v>
      </c>
      <c r="C4297" s="1087" t="s">
        <v>1788</v>
      </c>
      <c r="D4297" s="1088">
        <v>1.66</v>
      </c>
      <c r="E4297" s="1089" t="s">
        <v>5308</v>
      </c>
      <c r="F4297" s="1081">
        <f t="shared" si="1"/>
        <v>0</v>
      </c>
      <c r="G4297" s="1083">
        <f t="shared" si="2"/>
        <v>1.66</v>
      </c>
      <c r="H4297" s="1084"/>
    </row>
    <row r="4298" ht="14.25" customHeight="1">
      <c r="A4298" s="1085">
        <v>1581.0</v>
      </c>
      <c r="B4298" s="1086" t="s">
        <v>9616</v>
      </c>
      <c r="C4298" s="1087" t="s">
        <v>1788</v>
      </c>
      <c r="D4298" s="1088">
        <v>11.52</v>
      </c>
      <c r="E4298" s="1089" t="s">
        <v>5308</v>
      </c>
      <c r="F4298" s="1081">
        <f t="shared" si="1"/>
        <v>0</v>
      </c>
      <c r="G4298" s="1083">
        <f t="shared" si="2"/>
        <v>11.52</v>
      </c>
      <c r="H4298" s="1084"/>
    </row>
    <row r="4299" ht="14.25" customHeight="1">
      <c r="A4299" s="1085">
        <v>1575.0</v>
      </c>
      <c r="B4299" s="1086" t="s">
        <v>9617</v>
      </c>
      <c r="C4299" s="1087" t="s">
        <v>1788</v>
      </c>
      <c r="D4299" s="1088">
        <v>1.97</v>
      </c>
      <c r="E4299" s="1089" t="s">
        <v>5308</v>
      </c>
      <c r="F4299" s="1081">
        <f t="shared" si="1"/>
        <v>0</v>
      </c>
      <c r="G4299" s="1083">
        <f t="shared" si="2"/>
        <v>1.97</v>
      </c>
      <c r="H4299" s="1084"/>
    </row>
    <row r="4300" ht="14.25" customHeight="1">
      <c r="A4300" s="1085">
        <v>1570.0</v>
      </c>
      <c r="B4300" s="1086" t="s">
        <v>9618</v>
      </c>
      <c r="C4300" s="1087" t="s">
        <v>1788</v>
      </c>
      <c r="D4300" s="1088">
        <v>0.99</v>
      </c>
      <c r="E4300" s="1089" t="s">
        <v>5308</v>
      </c>
      <c r="F4300" s="1081">
        <f t="shared" si="1"/>
        <v>0</v>
      </c>
      <c r="G4300" s="1083">
        <f t="shared" si="2"/>
        <v>0.99</v>
      </c>
      <c r="H4300" s="1084"/>
    </row>
    <row r="4301" ht="14.25" customHeight="1">
      <c r="A4301" s="1085">
        <v>1576.0</v>
      </c>
      <c r="B4301" s="1086" t="s">
        <v>9619</v>
      </c>
      <c r="C4301" s="1087" t="s">
        <v>1788</v>
      </c>
      <c r="D4301" s="1088">
        <v>2.73</v>
      </c>
      <c r="E4301" s="1089" t="s">
        <v>5308</v>
      </c>
      <c r="F4301" s="1081">
        <f t="shared" si="1"/>
        <v>0</v>
      </c>
      <c r="G4301" s="1083">
        <f t="shared" si="2"/>
        <v>2.73</v>
      </c>
      <c r="H4301" s="1084"/>
    </row>
    <row r="4302" ht="14.25" customHeight="1">
      <c r="A4302" s="1085">
        <v>1577.0</v>
      </c>
      <c r="B4302" s="1086" t="s">
        <v>9620</v>
      </c>
      <c r="C4302" s="1087" t="s">
        <v>1788</v>
      </c>
      <c r="D4302" s="1088">
        <v>3.08</v>
      </c>
      <c r="E4302" s="1089" t="s">
        <v>5308</v>
      </c>
      <c r="F4302" s="1081">
        <f t="shared" si="1"/>
        <v>0</v>
      </c>
      <c r="G4302" s="1083">
        <f t="shared" si="2"/>
        <v>3.08</v>
      </c>
      <c r="H4302" s="1084"/>
    </row>
    <row r="4303" ht="14.25" customHeight="1">
      <c r="A4303" s="1085">
        <v>1571.0</v>
      </c>
      <c r="B4303" s="1086" t="s">
        <v>9621</v>
      </c>
      <c r="C4303" s="1087" t="s">
        <v>1788</v>
      </c>
      <c r="D4303" s="1088">
        <v>1.29</v>
      </c>
      <c r="E4303" s="1089" t="s">
        <v>5308</v>
      </c>
      <c r="F4303" s="1081">
        <f t="shared" si="1"/>
        <v>0</v>
      </c>
      <c r="G4303" s="1083">
        <f t="shared" si="2"/>
        <v>1.29</v>
      </c>
      <c r="H4303" s="1084"/>
    </row>
    <row r="4304" ht="14.25" customHeight="1">
      <c r="A4304" s="1085">
        <v>1578.0</v>
      </c>
      <c r="B4304" s="1086" t="s">
        <v>9622</v>
      </c>
      <c r="C4304" s="1087" t="s">
        <v>1788</v>
      </c>
      <c r="D4304" s="1088">
        <v>5.34</v>
      </c>
      <c r="E4304" s="1089" t="s">
        <v>5308</v>
      </c>
      <c r="F4304" s="1081">
        <f t="shared" si="1"/>
        <v>0</v>
      </c>
      <c r="G4304" s="1083">
        <f t="shared" si="2"/>
        <v>5.34</v>
      </c>
      <c r="H4304" s="1084"/>
    </row>
    <row r="4305" ht="14.25" customHeight="1">
      <c r="A4305" s="1085">
        <v>1573.0</v>
      </c>
      <c r="B4305" s="1086" t="s">
        <v>9623</v>
      </c>
      <c r="C4305" s="1087" t="s">
        <v>1788</v>
      </c>
      <c r="D4305" s="1088">
        <v>1.54</v>
      </c>
      <c r="E4305" s="1089" t="s">
        <v>5308</v>
      </c>
      <c r="F4305" s="1081">
        <f t="shared" si="1"/>
        <v>0</v>
      </c>
      <c r="G4305" s="1083">
        <f t="shared" si="2"/>
        <v>1.54</v>
      </c>
      <c r="H4305" s="1084"/>
    </row>
    <row r="4306" ht="14.25" customHeight="1">
      <c r="A4306" s="1085">
        <v>1579.0</v>
      </c>
      <c r="B4306" s="1086" t="s">
        <v>9624</v>
      </c>
      <c r="C4306" s="1087" t="s">
        <v>1788</v>
      </c>
      <c r="D4306" s="1088">
        <v>6.65</v>
      </c>
      <c r="E4306" s="1089" t="s">
        <v>5308</v>
      </c>
      <c r="F4306" s="1081">
        <f t="shared" si="1"/>
        <v>0</v>
      </c>
      <c r="G4306" s="1083">
        <f t="shared" si="2"/>
        <v>6.65</v>
      </c>
      <c r="H4306" s="1084"/>
    </row>
    <row r="4307" ht="14.25" customHeight="1">
      <c r="A4307" s="1085">
        <v>1580.0</v>
      </c>
      <c r="B4307" s="1086" t="s">
        <v>9625</v>
      </c>
      <c r="C4307" s="1087" t="s">
        <v>1788</v>
      </c>
      <c r="D4307" s="1088">
        <v>8.19</v>
      </c>
      <c r="E4307" s="1089" t="s">
        <v>5308</v>
      </c>
      <c r="F4307" s="1081">
        <f t="shared" si="1"/>
        <v>0</v>
      </c>
      <c r="G4307" s="1083">
        <f t="shared" si="2"/>
        <v>8.19</v>
      </c>
      <c r="H4307" s="1084"/>
    </row>
    <row r="4308" ht="14.25" customHeight="1">
      <c r="A4308" s="1085">
        <v>39321.0</v>
      </c>
      <c r="B4308" s="1086" t="s">
        <v>9626</v>
      </c>
      <c r="C4308" s="1087" t="s">
        <v>1788</v>
      </c>
      <c r="D4308" s="1088">
        <v>25.01</v>
      </c>
      <c r="E4308" s="1089" t="s">
        <v>5308</v>
      </c>
      <c r="F4308" s="1081">
        <f t="shared" si="1"/>
        <v>0</v>
      </c>
      <c r="G4308" s="1083">
        <f t="shared" si="2"/>
        <v>25.01</v>
      </c>
      <c r="H4308" s="1084"/>
    </row>
    <row r="4309" ht="14.25" customHeight="1">
      <c r="A4309" s="1085">
        <v>39319.0</v>
      </c>
      <c r="B4309" s="1086" t="s">
        <v>9627</v>
      </c>
      <c r="C4309" s="1087" t="s">
        <v>1788</v>
      </c>
      <c r="D4309" s="1088">
        <v>10.41</v>
      </c>
      <c r="E4309" s="1089" t="s">
        <v>5308</v>
      </c>
      <c r="F4309" s="1081">
        <f t="shared" si="1"/>
        <v>0</v>
      </c>
      <c r="G4309" s="1083">
        <f t="shared" si="2"/>
        <v>10.41</v>
      </c>
      <c r="H4309" s="1084"/>
    </row>
    <row r="4310" ht="14.25" customHeight="1">
      <c r="A4310" s="1085">
        <v>39320.0</v>
      </c>
      <c r="B4310" s="1086" t="s">
        <v>9628</v>
      </c>
      <c r="C4310" s="1087" t="s">
        <v>1788</v>
      </c>
      <c r="D4310" s="1088">
        <v>20.01</v>
      </c>
      <c r="E4310" s="1089" t="s">
        <v>5308</v>
      </c>
      <c r="F4310" s="1081">
        <f t="shared" si="1"/>
        <v>0</v>
      </c>
      <c r="G4310" s="1083">
        <f t="shared" si="2"/>
        <v>20.01</v>
      </c>
      <c r="H4310" s="1084"/>
    </row>
    <row r="4311" ht="14.25" customHeight="1">
      <c r="A4311" s="1085">
        <v>1591.0</v>
      </c>
      <c r="B4311" s="1086" t="s">
        <v>9629</v>
      </c>
      <c r="C4311" s="1087" t="s">
        <v>1788</v>
      </c>
      <c r="D4311" s="1088">
        <v>25.41</v>
      </c>
      <c r="E4311" s="1089" t="s">
        <v>5308</v>
      </c>
      <c r="F4311" s="1081">
        <f t="shared" si="1"/>
        <v>0</v>
      </c>
      <c r="G4311" s="1083">
        <f t="shared" si="2"/>
        <v>25.41</v>
      </c>
      <c r="H4311" s="1084"/>
    </row>
    <row r="4312" ht="14.25" customHeight="1">
      <c r="A4312" s="1085">
        <v>1547.0</v>
      </c>
      <c r="B4312" s="1086" t="s">
        <v>9630</v>
      </c>
      <c r="C4312" s="1087" t="s">
        <v>1788</v>
      </c>
      <c r="D4312" s="1088">
        <v>133.18</v>
      </c>
      <c r="E4312" s="1089" t="s">
        <v>5308</v>
      </c>
      <c r="F4312" s="1081">
        <f t="shared" si="1"/>
        <v>0</v>
      </c>
      <c r="G4312" s="1083">
        <f t="shared" si="2"/>
        <v>133.18</v>
      </c>
      <c r="H4312" s="1084"/>
    </row>
    <row r="4313" ht="14.25" customHeight="1">
      <c r="A4313" s="1085">
        <v>38196.0</v>
      </c>
      <c r="B4313" s="1086" t="s">
        <v>9631</v>
      </c>
      <c r="C4313" s="1087" t="s">
        <v>1788</v>
      </c>
      <c r="D4313" s="1088">
        <v>25.94</v>
      </c>
      <c r="E4313" s="1089" t="s">
        <v>5308</v>
      </c>
      <c r="F4313" s="1081">
        <f t="shared" si="1"/>
        <v>0</v>
      </c>
      <c r="G4313" s="1083">
        <f t="shared" si="2"/>
        <v>25.94</v>
      </c>
      <c r="H4313" s="1084"/>
    </row>
    <row r="4314" ht="14.25" customHeight="1">
      <c r="A4314" s="1085">
        <v>1543.0</v>
      </c>
      <c r="B4314" s="1086" t="s">
        <v>9632</v>
      </c>
      <c r="C4314" s="1087" t="s">
        <v>1788</v>
      </c>
      <c r="D4314" s="1088">
        <v>27.56</v>
      </c>
      <c r="E4314" s="1089" t="s">
        <v>5308</v>
      </c>
      <c r="F4314" s="1081">
        <f t="shared" si="1"/>
        <v>0</v>
      </c>
      <c r="G4314" s="1083">
        <f t="shared" si="2"/>
        <v>27.56</v>
      </c>
      <c r="H4314" s="1084"/>
    </row>
    <row r="4315" ht="14.25" customHeight="1">
      <c r="A4315" s="1085">
        <v>1585.0</v>
      </c>
      <c r="B4315" s="1086" t="s">
        <v>9633</v>
      </c>
      <c r="C4315" s="1087" t="s">
        <v>1788</v>
      </c>
      <c r="D4315" s="1088">
        <v>5.34</v>
      </c>
      <c r="E4315" s="1089" t="s">
        <v>5308</v>
      </c>
      <c r="F4315" s="1081">
        <f t="shared" si="1"/>
        <v>0</v>
      </c>
      <c r="G4315" s="1083">
        <f t="shared" si="2"/>
        <v>5.34</v>
      </c>
      <c r="H4315" s="1084"/>
    </row>
    <row r="4316" ht="14.25" customHeight="1">
      <c r="A4316" s="1085">
        <v>1593.0</v>
      </c>
      <c r="B4316" s="1086" t="s">
        <v>9634</v>
      </c>
      <c r="C4316" s="1087" t="s">
        <v>1788</v>
      </c>
      <c r="D4316" s="1088">
        <v>28.35</v>
      </c>
      <c r="E4316" s="1089" t="s">
        <v>5308</v>
      </c>
      <c r="F4316" s="1081">
        <f t="shared" si="1"/>
        <v>0</v>
      </c>
      <c r="G4316" s="1083">
        <f t="shared" si="2"/>
        <v>28.35</v>
      </c>
      <c r="H4316" s="1084"/>
    </row>
    <row r="4317" ht="14.25" customHeight="1">
      <c r="A4317" s="1085">
        <v>11838.0</v>
      </c>
      <c r="B4317" s="1086" t="s">
        <v>9635</v>
      </c>
      <c r="C4317" s="1087" t="s">
        <v>1788</v>
      </c>
      <c r="D4317" s="1088">
        <v>37.4</v>
      </c>
      <c r="E4317" s="1089" t="s">
        <v>5308</v>
      </c>
      <c r="F4317" s="1081">
        <f t="shared" si="1"/>
        <v>0</v>
      </c>
      <c r="G4317" s="1083">
        <f t="shared" si="2"/>
        <v>37.4</v>
      </c>
      <c r="H4317" s="1084"/>
    </row>
    <row r="4318" ht="14.25" customHeight="1">
      <c r="A4318" s="1085">
        <v>1594.0</v>
      </c>
      <c r="B4318" s="1086" t="s">
        <v>9636</v>
      </c>
      <c r="C4318" s="1087" t="s">
        <v>1788</v>
      </c>
      <c r="D4318" s="1088">
        <v>37.81</v>
      </c>
      <c r="E4318" s="1089" t="s">
        <v>5308</v>
      </c>
      <c r="F4318" s="1081">
        <f t="shared" si="1"/>
        <v>0</v>
      </c>
      <c r="G4318" s="1083">
        <f t="shared" si="2"/>
        <v>37.81</v>
      </c>
      <c r="H4318" s="1084"/>
    </row>
    <row r="4319" ht="14.25" customHeight="1">
      <c r="A4319" s="1085">
        <v>1586.0</v>
      </c>
      <c r="B4319" s="1086" t="s">
        <v>9637</v>
      </c>
      <c r="C4319" s="1087" t="s">
        <v>1788</v>
      </c>
      <c r="D4319" s="1088">
        <v>6.75</v>
      </c>
      <c r="E4319" s="1089" t="s">
        <v>5308</v>
      </c>
      <c r="F4319" s="1081">
        <f t="shared" si="1"/>
        <v>0</v>
      </c>
      <c r="G4319" s="1083">
        <f t="shared" si="2"/>
        <v>6.75</v>
      </c>
      <c r="H4319" s="1084"/>
    </row>
    <row r="4320" ht="14.25" customHeight="1">
      <c r="A4320" s="1085">
        <v>11839.0</v>
      </c>
      <c r="B4320" s="1086" t="s">
        <v>9638</v>
      </c>
      <c r="C4320" s="1087" t="s">
        <v>1788</v>
      </c>
      <c r="D4320" s="1088">
        <v>54.42</v>
      </c>
      <c r="E4320" s="1089" t="s">
        <v>5308</v>
      </c>
      <c r="F4320" s="1081">
        <f t="shared" si="1"/>
        <v>0</v>
      </c>
      <c r="G4320" s="1083">
        <f t="shared" si="2"/>
        <v>54.42</v>
      </c>
      <c r="H4320" s="1084"/>
    </row>
    <row r="4321" ht="14.25" customHeight="1">
      <c r="A4321" s="1085">
        <v>1587.0</v>
      </c>
      <c r="B4321" s="1086" t="s">
        <v>9639</v>
      </c>
      <c r="C4321" s="1087" t="s">
        <v>1788</v>
      </c>
      <c r="D4321" s="1088">
        <v>6.88</v>
      </c>
      <c r="E4321" s="1089" t="s">
        <v>5308</v>
      </c>
      <c r="F4321" s="1081">
        <f t="shared" si="1"/>
        <v>0</v>
      </c>
      <c r="G4321" s="1083">
        <f t="shared" si="2"/>
        <v>6.88</v>
      </c>
      <c r="H4321" s="1084"/>
    </row>
    <row r="4322" ht="14.25" customHeight="1">
      <c r="A4322" s="1085">
        <v>1545.0</v>
      </c>
      <c r="B4322" s="1086" t="s">
        <v>9640</v>
      </c>
      <c r="C4322" s="1087" t="s">
        <v>1788</v>
      </c>
      <c r="D4322" s="1088">
        <v>65.31</v>
      </c>
      <c r="E4322" s="1089" t="s">
        <v>5308</v>
      </c>
      <c r="F4322" s="1081">
        <f t="shared" si="1"/>
        <v>0</v>
      </c>
      <c r="G4322" s="1083">
        <f t="shared" si="2"/>
        <v>65.31</v>
      </c>
      <c r="H4322" s="1084"/>
    </row>
    <row r="4323" ht="14.25" customHeight="1">
      <c r="A4323" s="1085">
        <v>1588.0</v>
      </c>
      <c r="B4323" s="1086" t="s">
        <v>9641</v>
      </c>
      <c r="C4323" s="1087" t="s">
        <v>1788</v>
      </c>
      <c r="D4323" s="1088">
        <v>9.44</v>
      </c>
      <c r="E4323" s="1089" t="s">
        <v>5308</v>
      </c>
      <c r="F4323" s="1081">
        <f t="shared" si="1"/>
        <v>0</v>
      </c>
      <c r="G4323" s="1083">
        <f t="shared" si="2"/>
        <v>9.44</v>
      </c>
      <c r="H4323" s="1084"/>
    </row>
    <row r="4324" ht="14.25" customHeight="1">
      <c r="A4324" s="1085">
        <v>1535.0</v>
      </c>
      <c r="B4324" s="1086" t="s">
        <v>9642</v>
      </c>
      <c r="C4324" s="1087" t="s">
        <v>1788</v>
      </c>
      <c r="D4324" s="1088">
        <v>5.44</v>
      </c>
      <c r="E4324" s="1089" t="s">
        <v>5308</v>
      </c>
      <c r="F4324" s="1081">
        <f t="shared" si="1"/>
        <v>0</v>
      </c>
      <c r="G4324" s="1083">
        <f t="shared" si="2"/>
        <v>5.44</v>
      </c>
      <c r="H4324" s="1084"/>
    </row>
    <row r="4325" ht="14.25" customHeight="1">
      <c r="A4325" s="1085">
        <v>1589.0</v>
      </c>
      <c r="B4325" s="1086" t="s">
        <v>9643</v>
      </c>
      <c r="C4325" s="1087" t="s">
        <v>1788</v>
      </c>
      <c r="D4325" s="1088">
        <v>9.74</v>
      </c>
      <c r="E4325" s="1089" t="s">
        <v>5308</v>
      </c>
      <c r="F4325" s="1081">
        <f t="shared" si="1"/>
        <v>0</v>
      </c>
      <c r="G4325" s="1083">
        <f t="shared" si="2"/>
        <v>9.74</v>
      </c>
      <c r="H4325" s="1084"/>
    </row>
    <row r="4326" ht="14.25" customHeight="1">
      <c r="A4326" s="1085">
        <v>1546.0</v>
      </c>
      <c r="B4326" s="1086" t="s">
        <v>9644</v>
      </c>
      <c r="C4326" s="1087" t="s">
        <v>1788</v>
      </c>
      <c r="D4326" s="1088">
        <v>110.21</v>
      </c>
      <c r="E4326" s="1089" t="s">
        <v>5308</v>
      </c>
      <c r="F4326" s="1081">
        <f t="shared" si="1"/>
        <v>0</v>
      </c>
      <c r="G4326" s="1083">
        <f t="shared" si="2"/>
        <v>110.21</v>
      </c>
      <c r="H4326" s="1084"/>
    </row>
    <row r="4327" ht="14.25" customHeight="1">
      <c r="A4327" s="1085">
        <v>1590.0</v>
      </c>
      <c r="B4327" s="1086" t="s">
        <v>9645</v>
      </c>
      <c r="C4327" s="1087" t="s">
        <v>1788</v>
      </c>
      <c r="D4327" s="1088">
        <v>17.14</v>
      </c>
      <c r="E4327" s="1089" t="s">
        <v>5308</v>
      </c>
      <c r="F4327" s="1081">
        <f t="shared" si="1"/>
        <v>0</v>
      </c>
      <c r="G4327" s="1083">
        <f t="shared" si="2"/>
        <v>17.14</v>
      </c>
      <c r="H4327" s="1084"/>
    </row>
    <row r="4328" ht="14.25" customHeight="1">
      <c r="A4328" s="1085">
        <v>1542.0</v>
      </c>
      <c r="B4328" s="1086" t="s">
        <v>9646</v>
      </c>
      <c r="C4328" s="1087" t="s">
        <v>1788</v>
      </c>
      <c r="D4328" s="1088">
        <v>22.71</v>
      </c>
      <c r="E4328" s="1089" t="s">
        <v>5308</v>
      </c>
      <c r="F4328" s="1081">
        <f t="shared" si="1"/>
        <v>0</v>
      </c>
      <c r="G4328" s="1083">
        <f t="shared" si="2"/>
        <v>22.71</v>
      </c>
      <c r="H4328" s="1084"/>
    </row>
    <row r="4329" ht="14.25" customHeight="1">
      <c r="A4329" s="1085">
        <v>38415.0</v>
      </c>
      <c r="B4329" s="1086" t="s">
        <v>9647</v>
      </c>
      <c r="C4329" s="1087" t="s">
        <v>1788</v>
      </c>
      <c r="D4329" s="1088">
        <v>1086.49</v>
      </c>
      <c r="E4329" s="1089" t="s">
        <v>5482</v>
      </c>
      <c r="F4329" s="1081">
        <f t="shared" si="1"/>
        <v>0</v>
      </c>
      <c r="G4329" s="1083">
        <f t="shared" si="2"/>
        <v>1086.49</v>
      </c>
      <c r="H4329" s="1084"/>
    </row>
    <row r="4330" ht="14.25" customHeight="1">
      <c r="A4330" s="1085">
        <v>38414.0</v>
      </c>
      <c r="B4330" s="1086" t="s">
        <v>9648</v>
      </c>
      <c r="C4330" s="1087" t="s">
        <v>1788</v>
      </c>
      <c r="D4330" s="1088">
        <v>1524.91</v>
      </c>
      <c r="E4330" s="1089" t="s">
        <v>5482</v>
      </c>
      <c r="F4330" s="1081">
        <f t="shared" si="1"/>
        <v>0</v>
      </c>
      <c r="G4330" s="1083">
        <f t="shared" si="2"/>
        <v>1524.91</v>
      </c>
      <c r="H4330" s="1084"/>
    </row>
    <row r="4331" ht="14.25" customHeight="1">
      <c r="A4331" s="1085">
        <v>38128.0</v>
      </c>
      <c r="B4331" s="1086" t="s">
        <v>9649</v>
      </c>
      <c r="C4331" s="1087" t="s">
        <v>3606</v>
      </c>
      <c r="D4331" s="1088">
        <v>0.75</v>
      </c>
      <c r="E4331" s="1089" t="s">
        <v>5308</v>
      </c>
      <c r="F4331" s="1081">
        <f t="shared" si="1"/>
        <v>0</v>
      </c>
      <c r="G4331" s="1083">
        <f t="shared" si="2"/>
        <v>0.75</v>
      </c>
      <c r="H4331" s="1084"/>
    </row>
    <row r="4332" ht="14.25" customHeight="1">
      <c r="A4332" s="1085">
        <v>7253.0</v>
      </c>
      <c r="B4332" s="1086" t="s">
        <v>9650</v>
      </c>
      <c r="C4332" s="1087" t="s">
        <v>2178</v>
      </c>
      <c r="D4332" s="1088">
        <v>160.71</v>
      </c>
      <c r="E4332" s="1089" t="s">
        <v>5308</v>
      </c>
      <c r="F4332" s="1081">
        <f t="shared" si="1"/>
        <v>0</v>
      </c>
      <c r="G4332" s="1083">
        <f t="shared" si="2"/>
        <v>160.71</v>
      </c>
      <c r="H4332" s="1084"/>
    </row>
    <row r="4333" ht="14.25" customHeight="1">
      <c r="A4333" s="1085">
        <v>4806.0</v>
      </c>
      <c r="B4333" s="1086" t="s">
        <v>9651</v>
      </c>
      <c r="C4333" s="1087" t="s">
        <v>1731</v>
      </c>
      <c r="D4333" s="1088">
        <v>17.81</v>
      </c>
      <c r="E4333" s="1089" t="s">
        <v>5308</v>
      </c>
      <c r="F4333" s="1081">
        <f t="shared" si="1"/>
        <v>0</v>
      </c>
      <c r="G4333" s="1083">
        <f t="shared" si="2"/>
        <v>17.81</v>
      </c>
      <c r="H4333" s="1084"/>
    </row>
    <row r="4334" ht="14.25" customHeight="1">
      <c r="A4334" s="1085">
        <v>34401.0</v>
      </c>
      <c r="B4334" s="1086" t="s">
        <v>9652</v>
      </c>
      <c r="C4334" s="1087" t="s">
        <v>1788</v>
      </c>
      <c r="D4334" s="1088">
        <v>1.91</v>
      </c>
      <c r="E4334" s="1089" t="s">
        <v>5308</v>
      </c>
      <c r="F4334" s="1081">
        <f t="shared" si="1"/>
        <v>0</v>
      </c>
      <c r="G4334" s="1083">
        <f t="shared" si="2"/>
        <v>1.91</v>
      </c>
      <c r="H4334" s="1084"/>
    </row>
    <row r="4335" ht="14.25" customHeight="1">
      <c r="A4335" s="1085">
        <v>7260.0</v>
      </c>
      <c r="B4335" s="1086" t="s">
        <v>9653</v>
      </c>
      <c r="C4335" s="1087" t="s">
        <v>1788</v>
      </c>
      <c r="D4335" s="1088">
        <v>1.69</v>
      </c>
      <c r="E4335" s="1089" t="s">
        <v>5308</v>
      </c>
      <c r="F4335" s="1081">
        <f t="shared" si="1"/>
        <v>0</v>
      </c>
      <c r="G4335" s="1083">
        <f t="shared" si="2"/>
        <v>1.69</v>
      </c>
      <c r="H4335" s="1084"/>
    </row>
    <row r="4336" ht="14.25" customHeight="1">
      <c r="A4336" s="1085">
        <v>7256.0</v>
      </c>
      <c r="B4336" s="1086" t="s">
        <v>9654</v>
      </c>
      <c r="C4336" s="1087" t="s">
        <v>1788</v>
      </c>
      <c r="D4336" s="1088">
        <v>1.68</v>
      </c>
      <c r="E4336" s="1089" t="s">
        <v>5308</v>
      </c>
      <c r="F4336" s="1081">
        <f t="shared" si="1"/>
        <v>0</v>
      </c>
      <c r="G4336" s="1083">
        <f t="shared" si="2"/>
        <v>1.68</v>
      </c>
      <c r="H4336" s="1084"/>
    </row>
    <row r="4337" ht="14.25" customHeight="1">
      <c r="A4337" s="1085">
        <v>7258.0</v>
      </c>
      <c r="B4337" s="1086" t="s">
        <v>9655</v>
      </c>
      <c r="C4337" s="1087" t="s">
        <v>1788</v>
      </c>
      <c r="D4337" s="1088">
        <v>0.68</v>
      </c>
      <c r="E4337" s="1089" t="s">
        <v>5308</v>
      </c>
      <c r="F4337" s="1081">
        <f t="shared" si="1"/>
        <v>0</v>
      </c>
      <c r="G4337" s="1083">
        <f t="shared" si="2"/>
        <v>0.68</v>
      </c>
      <c r="H4337" s="1084"/>
    </row>
    <row r="4338" ht="14.25" customHeight="1">
      <c r="A4338" s="1085">
        <v>34400.0</v>
      </c>
      <c r="B4338" s="1086" t="s">
        <v>9656</v>
      </c>
      <c r="C4338" s="1087" t="s">
        <v>1788</v>
      </c>
      <c r="D4338" s="1088">
        <v>2.94</v>
      </c>
      <c r="E4338" s="1089" t="s">
        <v>5308</v>
      </c>
      <c r="F4338" s="1081">
        <f t="shared" si="1"/>
        <v>0</v>
      </c>
      <c r="G4338" s="1083">
        <f t="shared" si="2"/>
        <v>2.94</v>
      </c>
      <c r="H4338" s="1084"/>
    </row>
    <row r="4339" ht="14.25" customHeight="1">
      <c r="A4339" s="1085">
        <v>10617.0</v>
      </c>
      <c r="B4339" s="1086" t="s">
        <v>9657</v>
      </c>
      <c r="C4339" s="1087" t="s">
        <v>1788</v>
      </c>
      <c r="D4339" s="1088">
        <v>5.62</v>
      </c>
      <c r="E4339" s="1089" t="s">
        <v>5308</v>
      </c>
      <c r="F4339" s="1081">
        <f t="shared" si="1"/>
        <v>0</v>
      </c>
      <c r="G4339" s="1083">
        <f t="shared" si="2"/>
        <v>5.62</v>
      </c>
      <c r="H4339" s="1084"/>
    </row>
    <row r="4340" ht="14.25" customHeight="1">
      <c r="A4340" s="1085">
        <v>44261.0</v>
      </c>
      <c r="B4340" s="1086" t="s">
        <v>9658</v>
      </c>
      <c r="C4340" s="1087" t="s">
        <v>1788</v>
      </c>
      <c r="D4340" s="1088">
        <v>166.2</v>
      </c>
      <c r="E4340" s="1089" t="s">
        <v>5308</v>
      </c>
      <c r="F4340" s="1081">
        <f t="shared" si="1"/>
        <v>0</v>
      </c>
      <c r="G4340" s="1083">
        <f t="shared" si="2"/>
        <v>166.2</v>
      </c>
      <c r="H4340" s="1084"/>
    </row>
    <row r="4341" ht="14.25" customHeight="1">
      <c r="A4341" s="1085">
        <v>7274.0</v>
      </c>
      <c r="B4341" s="1086" t="s">
        <v>9659</v>
      </c>
      <c r="C4341" s="1087" t="s">
        <v>1788</v>
      </c>
      <c r="D4341" s="1088">
        <v>80.46</v>
      </c>
      <c r="E4341" s="1089" t="s">
        <v>5308</v>
      </c>
      <c r="F4341" s="1081">
        <f t="shared" si="1"/>
        <v>0</v>
      </c>
      <c r="G4341" s="1083">
        <f t="shared" si="2"/>
        <v>80.46</v>
      </c>
      <c r="H4341" s="1084"/>
    </row>
    <row r="4342" ht="14.25" customHeight="1">
      <c r="A4342" s="1085">
        <v>44326.0</v>
      </c>
      <c r="B4342" s="1086" t="s">
        <v>9660</v>
      </c>
      <c r="C4342" s="1087" t="s">
        <v>1788</v>
      </c>
      <c r="D4342" s="1088">
        <v>1737.81</v>
      </c>
      <c r="E4342" s="1089" t="s">
        <v>5308</v>
      </c>
      <c r="F4342" s="1081">
        <f t="shared" si="1"/>
        <v>0</v>
      </c>
      <c r="G4342" s="1083">
        <f t="shared" si="2"/>
        <v>1737.81</v>
      </c>
      <c r="H4342" s="1084"/>
    </row>
    <row r="4343" ht="14.25" customHeight="1">
      <c r="A4343" s="1085">
        <v>154.0</v>
      </c>
      <c r="B4343" s="1086" t="s">
        <v>9661</v>
      </c>
      <c r="C4343" s="1087" t="s">
        <v>2386</v>
      </c>
      <c r="D4343" s="1088">
        <v>70.87</v>
      </c>
      <c r="E4343" s="1089" t="s">
        <v>5308</v>
      </c>
      <c r="F4343" s="1081">
        <f t="shared" si="1"/>
        <v>0</v>
      </c>
      <c r="G4343" s="1083">
        <f t="shared" si="2"/>
        <v>70.87</v>
      </c>
      <c r="H4343" s="1084"/>
    </row>
    <row r="4344" ht="14.25" customHeight="1">
      <c r="A4344" s="1085">
        <v>38121.0</v>
      </c>
      <c r="B4344" s="1086" t="s">
        <v>9662</v>
      </c>
      <c r="C4344" s="1087" t="s">
        <v>2386</v>
      </c>
      <c r="D4344" s="1088">
        <v>18.72</v>
      </c>
      <c r="E4344" s="1089" t="s">
        <v>5308</v>
      </c>
      <c r="F4344" s="1081">
        <f t="shared" si="1"/>
        <v>0</v>
      </c>
      <c r="G4344" s="1083">
        <f t="shared" si="2"/>
        <v>18.72</v>
      </c>
      <c r="H4344" s="1084"/>
    </row>
    <row r="4345" ht="14.25" customHeight="1">
      <c r="A4345" s="1085">
        <v>43776.0</v>
      </c>
      <c r="B4345" s="1086" t="s">
        <v>9663</v>
      </c>
      <c r="C4345" s="1087" t="s">
        <v>2386</v>
      </c>
      <c r="D4345" s="1088">
        <v>26.28</v>
      </c>
      <c r="E4345" s="1089" t="s">
        <v>5308</v>
      </c>
      <c r="F4345" s="1081">
        <f t="shared" si="1"/>
        <v>0</v>
      </c>
      <c r="G4345" s="1083">
        <f t="shared" si="2"/>
        <v>26.28</v>
      </c>
      <c r="H4345" s="1084"/>
    </row>
    <row r="4346" ht="14.25" customHeight="1">
      <c r="A4346" s="1085">
        <v>7343.0</v>
      </c>
      <c r="B4346" s="1086" t="s">
        <v>9664</v>
      </c>
      <c r="C4346" s="1087" t="s">
        <v>2386</v>
      </c>
      <c r="D4346" s="1088">
        <v>16.56</v>
      </c>
      <c r="E4346" s="1089" t="s">
        <v>5308</v>
      </c>
      <c r="F4346" s="1081">
        <f t="shared" si="1"/>
        <v>0</v>
      </c>
      <c r="G4346" s="1083">
        <f t="shared" si="2"/>
        <v>16.56</v>
      </c>
      <c r="H4346" s="1084"/>
    </row>
    <row r="4347" ht="14.25" customHeight="1">
      <c r="A4347" s="1085">
        <v>7348.0</v>
      </c>
      <c r="B4347" s="1086" t="s">
        <v>9665</v>
      </c>
      <c r="C4347" s="1087" t="s">
        <v>2386</v>
      </c>
      <c r="D4347" s="1088">
        <v>18.48</v>
      </c>
      <c r="E4347" s="1089" t="s">
        <v>5308</v>
      </c>
      <c r="F4347" s="1081">
        <f t="shared" si="1"/>
        <v>0</v>
      </c>
      <c r="G4347" s="1083">
        <f t="shared" si="2"/>
        <v>18.48</v>
      </c>
      <c r="H4347" s="1084"/>
    </row>
    <row r="4348" ht="14.25" customHeight="1">
      <c r="A4348" s="1085">
        <v>7313.0</v>
      </c>
      <c r="B4348" s="1086" t="s">
        <v>9666</v>
      </c>
      <c r="C4348" s="1087" t="s">
        <v>2386</v>
      </c>
      <c r="D4348" s="1088">
        <v>20.87</v>
      </c>
      <c r="E4348" s="1089" t="s">
        <v>5308</v>
      </c>
      <c r="F4348" s="1081">
        <f t="shared" si="1"/>
        <v>0</v>
      </c>
      <c r="G4348" s="1083">
        <f t="shared" si="2"/>
        <v>20.87</v>
      </c>
      <c r="H4348" s="1084"/>
    </row>
    <row r="4349" ht="14.25" customHeight="1">
      <c r="A4349" s="1085">
        <v>7319.0</v>
      </c>
      <c r="B4349" s="1086" t="s">
        <v>9667</v>
      </c>
      <c r="C4349" s="1087" t="s">
        <v>2386</v>
      </c>
      <c r="D4349" s="1088">
        <v>11.94</v>
      </c>
      <c r="E4349" s="1089" t="s">
        <v>5308</v>
      </c>
      <c r="F4349" s="1081">
        <f t="shared" si="1"/>
        <v>0</v>
      </c>
      <c r="G4349" s="1083">
        <f t="shared" si="2"/>
        <v>11.94</v>
      </c>
      <c r="H4349" s="1084"/>
    </row>
    <row r="4350" ht="14.25" customHeight="1">
      <c r="A4350" s="1085">
        <v>7314.0</v>
      </c>
      <c r="B4350" s="1086" t="s">
        <v>9668</v>
      </c>
      <c r="C4350" s="1087" t="s">
        <v>2386</v>
      </c>
      <c r="D4350" s="1088">
        <v>74.14</v>
      </c>
      <c r="E4350" s="1089" t="s">
        <v>5308</v>
      </c>
      <c r="F4350" s="1081">
        <f t="shared" si="1"/>
        <v>0</v>
      </c>
      <c r="G4350" s="1083">
        <f t="shared" si="2"/>
        <v>74.14</v>
      </c>
      <c r="H4350" s="1084"/>
    </row>
    <row r="4351" ht="14.25" customHeight="1">
      <c r="A4351" s="1085">
        <v>7304.0</v>
      </c>
      <c r="B4351" s="1086" t="s">
        <v>9669</v>
      </c>
      <c r="C4351" s="1087" t="s">
        <v>2386</v>
      </c>
      <c r="D4351" s="1088">
        <v>77.88</v>
      </c>
      <c r="E4351" s="1089" t="s">
        <v>5308</v>
      </c>
      <c r="F4351" s="1081">
        <f t="shared" si="1"/>
        <v>0</v>
      </c>
      <c r="G4351" s="1083">
        <f t="shared" si="2"/>
        <v>77.88</v>
      </c>
      <c r="H4351" s="1084"/>
    </row>
    <row r="4352" ht="14.25" customHeight="1">
      <c r="A4352" s="1085">
        <v>43649.0</v>
      </c>
      <c r="B4352" s="1086" t="s">
        <v>9670</v>
      </c>
      <c r="C4352" s="1087" t="s">
        <v>2386</v>
      </c>
      <c r="D4352" s="1088">
        <v>40.28</v>
      </c>
      <c r="E4352" s="1089" t="s">
        <v>5308</v>
      </c>
      <c r="F4352" s="1081">
        <f t="shared" si="1"/>
        <v>0</v>
      </c>
      <c r="G4352" s="1083">
        <f t="shared" si="2"/>
        <v>40.28</v>
      </c>
      <c r="H4352" s="1084"/>
    </row>
    <row r="4353" ht="14.25" customHeight="1">
      <c r="A4353" s="1085">
        <v>43650.0</v>
      </c>
      <c r="B4353" s="1086" t="s">
        <v>9671</v>
      </c>
      <c r="C4353" s="1087" t="s">
        <v>2386</v>
      </c>
      <c r="D4353" s="1088">
        <v>38.06</v>
      </c>
      <c r="E4353" s="1089" t="s">
        <v>5308</v>
      </c>
      <c r="F4353" s="1081">
        <f t="shared" si="1"/>
        <v>0</v>
      </c>
      <c r="G4353" s="1083">
        <f t="shared" si="2"/>
        <v>38.06</v>
      </c>
      <c r="H4353" s="1084"/>
    </row>
    <row r="4354" ht="14.25" customHeight="1">
      <c r="A4354" s="1085">
        <v>7311.0</v>
      </c>
      <c r="B4354" s="1086" t="s">
        <v>9672</v>
      </c>
      <c r="C4354" s="1087" t="s">
        <v>2386</v>
      </c>
      <c r="D4354" s="1088">
        <v>38.99</v>
      </c>
      <c r="E4354" s="1089" t="s">
        <v>5308</v>
      </c>
      <c r="F4354" s="1081">
        <f t="shared" si="1"/>
        <v>0</v>
      </c>
      <c r="G4354" s="1083">
        <f t="shared" si="2"/>
        <v>38.99</v>
      </c>
      <c r="H4354" s="1084"/>
    </row>
    <row r="4355" ht="14.25" customHeight="1">
      <c r="A4355" s="1085">
        <v>7292.0</v>
      </c>
      <c r="B4355" s="1086" t="s">
        <v>9673</v>
      </c>
      <c r="C4355" s="1087" t="s">
        <v>2386</v>
      </c>
      <c r="D4355" s="1088">
        <v>37.75</v>
      </c>
      <c r="E4355" s="1089" t="s">
        <v>5308</v>
      </c>
      <c r="F4355" s="1081">
        <f t="shared" si="1"/>
        <v>0</v>
      </c>
      <c r="G4355" s="1083">
        <f t="shared" si="2"/>
        <v>37.75</v>
      </c>
      <c r="H4355" s="1084"/>
    </row>
    <row r="4356" ht="14.25" customHeight="1">
      <c r="A4356" s="1085">
        <v>7293.0</v>
      </c>
      <c r="B4356" s="1086" t="s">
        <v>9674</v>
      </c>
      <c r="C4356" s="1087" t="s">
        <v>2386</v>
      </c>
      <c r="D4356" s="1088">
        <v>41.76</v>
      </c>
      <c r="E4356" s="1089" t="s">
        <v>5308</v>
      </c>
      <c r="F4356" s="1081">
        <f t="shared" si="1"/>
        <v>0</v>
      </c>
      <c r="G4356" s="1083">
        <f t="shared" si="2"/>
        <v>41.76</v>
      </c>
      <c r="H4356" s="1084"/>
    </row>
    <row r="4357" ht="14.25" customHeight="1">
      <c r="A4357" s="1085">
        <v>7306.0</v>
      </c>
      <c r="B4357" s="1086" t="s">
        <v>9675</v>
      </c>
      <c r="C4357" s="1087" t="s">
        <v>2386</v>
      </c>
      <c r="D4357" s="1088">
        <v>46.09</v>
      </c>
      <c r="E4357" s="1089" t="s">
        <v>5308</v>
      </c>
      <c r="F4357" s="1081">
        <f t="shared" si="1"/>
        <v>0</v>
      </c>
      <c r="G4357" s="1083">
        <f t="shared" si="2"/>
        <v>46.09</v>
      </c>
      <c r="H4357" s="1084"/>
    </row>
    <row r="4358" ht="14.25" customHeight="1">
      <c r="A4358" s="1085">
        <v>7288.0</v>
      </c>
      <c r="B4358" s="1086" t="s">
        <v>9676</v>
      </c>
      <c r="C4358" s="1087" t="s">
        <v>2386</v>
      </c>
      <c r="D4358" s="1088">
        <v>38.27</v>
      </c>
      <c r="E4358" s="1089" t="s">
        <v>5308</v>
      </c>
      <c r="F4358" s="1081">
        <f t="shared" si="1"/>
        <v>0</v>
      </c>
      <c r="G4358" s="1083">
        <f t="shared" si="2"/>
        <v>38.27</v>
      </c>
      <c r="H4358" s="1084"/>
    </row>
    <row r="4359" ht="14.25" customHeight="1">
      <c r="A4359" s="1085">
        <v>43625.0</v>
      </c>
      <c r="B4359" s="1086" t="s">
        <v>9677</v>
      </c>
      <c r="C4359" s="1087" t="s">
        <v>2386</v>
      </c>
      <c r="D4359" s="1088">
        <v>30.9</v>
      </c>
      <c r="E4359" s="1089" t="s">
        <v>5308</v>
      </c>
      <c r="F4359" s="1081">
        <f t="shared" si="1"/>
        <v>0</v>
      </c>
      <c r="G4359" s="1083">
        <f t="shared" si="2"/>
        <v>30.9</v>
      </c>
      <c r="H4359" s="1084"/>
    </row>
    <row r="4360" ht="14.25" customHeight="1">
      <c r="A4360" s="1085">
        <v>43647.0</v>
      </c>
      <c r="B4360" s="1086" t="s">
        <v>9678</v>
      </c>
      <c r="C4360" s="1087" t="s">
        <v>2386</v>
      </c>
      <c r="D4360" s="1088">
        <v>28.07</v>
      </c>
      <c r="E4360" s="1089" t="s">
        <v>5308</v>
      </c>
      <c r="F4360" s="1081">
        <f t="shared" si="1"/>
        <v>0</v>
      </c>
      <c r="G4360" s="1083">
        <f t="shared" si="2"/>
        <v>28.07</v>
      </c>
      <c r="H4360" s="1084"/>
    </row>
    <row r="4361" ht="14.25" customHeight="1">
      <c r="A4361" s="1085">
        <v>43648.0</v>
      </c>
      <c r="B4361" s="1086" t="s">
        <v>9679</v>
      </c>
      <c r="C4361" s="1087" t="s">
        <v>2386</v>
      </c>
      <c r="D4361" s="1088">
        <v>27.08</v>
      </c>
      <c r="E4361" s="1089" t="s">
        <v>5308</v>
      </c>
      <c r="F4361" s="1081">
        <f t="shared" si="1"/>
        <v>0</v>
      </c>
      <c r="G4361" s="1083">
        <f t="shared" si="2"/>
        <v>27.08</v>
      </c>
      <c r="H4361" s="1084"/>
    </row>
    <row r="4362" ht="14.25" customHeight="1">
      <c r="A4362" s="1085">
        <v>35693.0</v>
      </c>
      <c r="B4362" s="1086" t="s">
        <v>9680</v>
      </c>
      <c r="C4362" s="1087" t="s">
        <v>2386</v>
      </c>
      <c r="D4362" s="1088">
        <v>11.49</v>
      </c>
      <c r="E4362" s="1089" t="s">
        <v>5308</v>
      </c>
      <c r="F4362" s="1081">
        <f t="shared" si="1"/>
        <v>0</v>
      </c>
      <c r="G4362" s="1083">
        <f t="shared" si="2"/>
        <v>11.49</v>
      </c>
      <c r="H4362" s="1084"/>
    </row>
    <row r="4363" ht="14.25" customHeight="1">
      <c r="A4363" s="1085">
        <v>7356.0</v>
      </c>
      <c r="B4363" s="1086" t="s">
        <v>9681</v>
      </c>
      <c r="C4363" s="1087" t="s">
        <v>2386</v>
      </c>
      <c r="D4363" s="1088">
        <v>27.55</v>
      </c>
      <c r="E4363" s="1089" t="s">
        <v>5308</v>
      </c>
      <c r="F4363" s="1081">
        <f t="shared" si="1"/>
        <v>0</v>
      </c>
      <c r="G4363" s="1083">
        <f t="shared" si="2"/>
        <v>27.55</v>
      </c>
      <c r="H4363" s="1084"/>
    </row>
    <row r="4364" ht="14.25" customHeight="1">
      <c r="A4364" s="1085">
        <v>35692.0</v>
      </c>
      <c r="B4364" s="1086" t="s">
        <v>9682</v>
      </c>
      <c r="C4364" s="1087" t="s">
        <v>2386</v>
      </c>
      <c r="D4364" s="1088">
        <v>18.03</v>
      </c>
      <c r="E4364" s="1089" t="s">
        <v>5308</v>
      </c>
      <c r="F4364" s="1081">
        <f t="shared" si="1"/>
        <v>0</v>
      </c>
      <c r="G4364" s="1083">
        <f t="shared" si="2"/>
        <v>18.03</v>
      </c>
      <c r="H4364" s="1084"/>
    </row>
    <row r="4365" ht="14.25" customHeight="1">
      <c r="A4365" s="1085">
        <v>43624.0</v>
      </c>
      <c r="B4365" s="1086" t="s">
        <v>9683</v>
      </c>
      <c r="C4365" s="1087" t="s">
        <v>2386</v>
      </c>
      <c r="D4365" s="1088">
        <v>33.58</v>
      </c>
      <c r="E4365" s="1089" t="s">
        <v>5308</v>
      </c>
      <c r="F4365" s="1081">
        <f t="shared" si="1"/>
        <v>0</v>
      </c>
      <c r="G4365" s="1083">
        <f t="shared" si="2"/>
        <v>33.58</v>
      </c>
      <c r="H4365" s="1084"/>
    </row>
    <row r="4366" ht="14.25" customHeight="1">
      <c r="A4366" s="1085">
        <v>7342.0</v>
      </c>
      <c r="B4366" s="1086" t="s">
        <v>9684</v>
      </c>
      <c r="C4366" s="1087" t="s">
        <v>3606</v>
      </c>
      <c r="D4366" s="1088">
        <v>2.29</v>
      </c>
      <c r="E4366" s="1089" t="s">
        <v>5308</v>
      </c>
      <c r="F4366" s="1081">
        <f t="shared" si="1"/>
        <v>0</v>
      </c>
      <c r="G4366" s="1083">
        <f t="shared" si="2"/>
        <v>2.29</v>
      </c>
      <c r="H4366" s="1084"/>
    </row>
    <row r="4367" ht="14.25" customHeight="1">
      <c r="A4367" s="1085">
        <v>7350.0</v>
      </c>
      <c r="B4367" s="1086" t="s">
        <v>9685</v>
      </c>
      <c r="C4367" s="1087" t="s">
        <v>2386</v>
      </c>
      <c r="D4367" s="1088">
        <v>39.77</v>
      </c>
      <c r="E4367" s="1089" t="s">
        <v>5308</v>
      </c>
      <c r="F4367" s="1081">
        <f t="shared" si="1"/>
        <v>0</v>
      </c>
      <c r="G4367" s="1083">
        <f t="shared" si="2"/>
        <v>39.77</v>
      </c>
      <c r="H4367" s="1084"/>
    </row>
    <row r="4368" ht="14.25" customHeight="1">
      <c r="A4368" s="1085">
        <v>39574.0</v>
      </c>
      <c r="B4368" s="1086" t="s">
        <v>9686</v>
      </c>
      <c r="C4368" s="1087" t="s">
        <v>1788</v>
      </c>
      <c r="D4368" s="1088">
        <v>5.54</v>
      </c>
      <c r="E4368" s="1089" t="s">
        <v>5308</v>
      </c>
      <c r="F4368" s="1081">
        <f t="shared" si="1"/>
        <v>0</v>
      </c>
      <c r="G4368" s="1083">
        <f t="shared" si="2"/>
        <v>5.54</v>
      </c>
      <c r="H4368" s="1084"/>
    </row>
    <row r="4369" ht="14.25" customHeight="1">
      <c r="A4369" s="1085">
        <v>11060.0</v>
      </c>
      <c r="B4369" s="1086" t="s">
        <v>9687</v>
      </c>
      <c r="C4369" s="1087" t="s">
        <v>1788</v>
      </c>
      <c r="D4369" s="1088">
        <v>31.03</v>
      </c>
      <c r="E4369" s="1089" t="s">
        <v>5308</v>
      </c>
      <c r="F4369" s="1081">
        <f t="shared" si="1"/>
        <v>0</v>
      </c>
      <c r="G4369" s="1083">
        <f t="shared" si="2"/>
        <v>31.03</v>
      </c>
      <c r="H4369" s="1084"/>
    </row>
    <row r="4370" ht="14.25" customHeight="1">
      <c r="A4370" s="1085">
        <v>37401.0</v>
      </c>
      <c r="B4370" s="1086" t="s">
        <v>9688</v>
      </c>
      <c r="C4370" s="1087" t="s">
        <v>1788</v>
      </c>
      <c r="D4370" s="1088">
        <v>46.74</v>
      </c>
      <c r="E4370" s="1089" t="s">
        <v>5308</v>
      </c>
      <c r="F4370" s="1081">
        <f t="shared" si="1"/>
        <v>0</v>
      </c>
      <c r="G4370" s="1083">
        <f t="shared" si="2"/>
        <v>46.74</v>
      </c>
      <c r="H4370" s="1084"/>
    </row>
    <row r="4371" ht="14.25" customHeight="1">
      <c r="A4371" s="1085">
        <v>7525.0</v>
      </c>
      <c r="B4371" s="1086" t="s">
        <v>9689</v>
      </c>
      <c r="C4371" s="1087" t="s">
        <v>1788</v>
      </c>
      <c r="D4371" s="1088">
        <v>48.74</v>
      </c>
      <c r="E4371" s="1089" t="s">
        <v>5308</v>
      </c>
      <c r="F4371" s="1081">
        <f t="shared" si="1"/>
        <v>0</v>
      </c>
      <c r="G4371" s="1083">
        <f t="shared" si="2"/>
        <v>48.74</v>
      </c>
      <c r="H4371" s="1084"/>
    </row>
    <row r="4372" ht="14.25" customHeight="1">
      <c r="A4372" s="1085">
        <v>7524.0</v>
      </c>
      <c r="B4372" s="1086" t="s">
        <v>9690</v>
      </c>
      <c r="C4372" s="1087" t="s">
        <v>1788</v>
      </c>
      <c r="D4372" s="1088">
        <v>45.93</v>
      </c>
      <c r="E4372" s="1089" t="s">
        <v>5308</v>
      </c>
      <c r="F4372" s="1081">
        <f t="shared" si="1"/>
        <v>0</v>
      </c>
      <c r="G4372" s="1083">
        <f t="shared" si="2"/>
        <v>45.93</v>
      </c>
      <c r="H4372" s="1084"/>
    </row>
    <row r="4373" ht="14.25" customHeight="1">
      <c r="A4373" s="1085">
        <v>38105.0</v>
      </c>
      <c r="B4373" s="1086" t="s">
        <v>9691</v>
      </c>
      <c r="C4373" s="1087" t="s">
        <v>1788</v>
      </c>
      <c r="D4373" s="1088">
        <v>11.8</v>
      </c>
      <c r="E4373" s="1089" t="s">
        <v>5308</v>
      </c>
      <c r="F4373" s="1081">
        <f t="shared" si="1"/>
        <v>0</v>
      </c>
      <c r="G4373" s="1083">
        <f t="shared" si="2"/>
        <v>11.8</v>
      </c>
      <c r="H4373" s="1084"/>
    </row>
    <row r="4374" ht="14.25" customHeight="1">
      <c r="A4374" s="1085">
        <v>38084.0</v>
      </c>
      <c r="B4374" s="1086" t="s">
        <v>9692</v>
      </c>
      <c r="C4374" s="1087" t="s">
        <v>1788</v>
      </c>
      <c r="D4374" s="1088">
        <v>16.76</v>
      </c>
      <c r="E4374" s="1089" t="s">
        <v>5308</v>
      </c>
      <c r="F4374" s="1081">
        <f t="shared" si="1"/>
        <v>0</v>
      </c>
      <c r="G4374" s="1083">
        <f t="shared" si="2"/>
        <v>16.76</v>
      </c>
      <c r="H4374" s="1084"/>
    </row>
    <row r="4375" ht="14.25" customHeight="1">
      <c r="A4375" s="1085">
        <v>38103.0</v>
      </c>
      <c r="B4375" s="1086" t="s">
        <v>9693</v>
      </c>
      <c r="C4375" s="1087" t="s">
        <v>1788</v>
      </c>
      <c r="D4375" s="1088">
        <v>17.71</v>
      </c>
      <c r="E4375" s="1089" t="s">
        <v>5308</v>
      </c>
      <c r="F4375" s="1081">
        <f t="shared" si="1"/>
        <v>0</v>
      </c>
      <c r="G4375" s="1083">
        <f t="shared" si="2"/>
        <v>17.71</v>
      </c>
      <c r="H4375" s="1084"/>
    </row>
    <row r="4376" ht="14.25" customHeight="1">
      <c r="A4376" s="1085">
        <v>38082.0</v>
      </c>
      <c r="B4376" s="1086" t="s">
        <v>9694</v>
      </c>
      <c r="C4376" s="1087" t="s">
        <v>1788</v>
      </c>
      <c r="D4376" s="1088">
        <v>21.82</v>
      </c>
      <c r="E4376" s="1089" t="s">
        <v>5308</v>
      </c>
      <c r="F4376" s="1081">
        <f t="shared" si="1"/>
        <v>0</v>
      </c>
      <c r="G4376" s="1083">
        <f t="shared" si="2"/>
        <v>21.82</v>
      </c>
      <c r="H4376" s="1084"/>
    </row>
    <row r="4377" ht="14.25" customHeight="1">
      <c r="A4377" s="1085">
        <v>38104.0</v>
      </c>
      <c r="B4377" s="1086" t="s">
        <v>9695</v>
      </c>
      <c r="C4377" s="1087" t="s">
        <v>1788</v>
      </c>
      <c r="D4377" s="1088">
        <v>34.68</v>
      </c>
      <c r="E4377" s="1089" t="s">
        <v>5308</v>
      </c>
      <c r="F4377" s="1081">
        <f t="shared" si="1"/>
        <v>0</v>
      </c>
      <c r="G4377" s="1083">
        <f t="shared" si="2"/>
        <v>34.68</v>
      </c>
      <c r="H4377" s="1084"/>
    </row>
    <row r="4378" ht="14.25" customHeight="1">
      <c r="A4378" s="1085">
        <v>38083.0</v>
      </c>
      <c r="B4378" s="1086" t="s">
        <v>9696</v>
      </c>
      <c r="C4378" s="1087" t="s">
        <v>1788</v>
      </c>
      <c r="D4378" s="1088">
        <v>38.51</v>
      </c>
      <c r="E4378" s="1089" t="s">
        <v>5308</v>
      </c>
      <c r="F4378" s="1081">
        <f t="shared" si="1"/>
        <v>0</v>
      </c>
      <c r="G4378" s="1083">
        <f t="shared" si="2"/>
        <v>38.51</v>
      </c>
      <c r="H4378" s="1084"/>
    </row>
    <row r="4379" ht="14.25" customHeight="1">
      <c r="A4379" s="1085">
        <v>38101.0</v>
      </c>
      <c r="B4379" s="1086" t="s">
        <v>9697</v>
      </c>
      <c r="C4379" s="1087" t="s">
        <v>1788</v>
      </c>
      <c r="D4379" s="1088">
        <v>8.42</v>
      </c>
      <c r="E4379" s="1089" t="s">
        <v>5308</v>
      </c>
      <c r="F4379" s="1081">
        <f t="shared" si="1"/>
        <v>0</v>
      </c>
      <c r="G4379" s="1083">
        <f t="shared" si="2"/>
        <v>8.42</v>
      </c>
      <c r="H4379" s="1084"/>
    </row>
    <row r="4380" ht="14.25" customHeight="1">
      <c r="A4380" s="1085">
        <v>7528.0</v>
      </c>
      <c r="B4380" s="1086" t="s">
        <v>9698</v>
      </c>
      <c r="C4380" s="1087" t="s">
        <v>1788</v>
      </c>
      <c r="D4380" s="1088">
        <v>9.9</v>
      </c>
      <c r="E4380" s="1089" t="s">
        <v>5308</v>
      </c>
      <c r="F4380" s="1081">
        <f t="shared" si="1"/>
        <v>0</v>
      </c>
      <c r="G4380" s="1083">
        <f t="shared" si="2"/>
        <v>9.9</v>
      </c>
      <c r="H4380" s="1084"/>
    </row>
    <row r="4381" ht="14.25" customHeight="1">
      <c r="A4381" s="1085">
        <v>12147.0</v>
      </c>
      <c r="B4381" s="1086" t="s">
        <v>9699</v>
      </c>
      <c r="C4381" s="1087" t="s">
        <v>1788</v>
      </c>
      <c r="D4381" s="1088">
        <v>15.09</v>
      </c>
      <c r="E4381" s="1089" t="s">
        <v>5308</v>
      </c>
      <c r="F4381" s="1081">
        <f t="shared" si="1"/>
        <v>0</v>
      </c>
      <c r="G4381" s="1083">
        <f t="shared" si="2"/>
        <v>15.09</v>
      </c>
      <c r="H4381" s="1084"/>
    </row>
    <row r="4382" ht="14.25" customHeight="1">
      <c r="A4382" s="1085">
        <v>38075.0</v>
      </c>
      <c r="B4382" s="1086" t="s">
        <v>9700</v>
      </c>
      <c r="C4382" s="1087" t="s">
        <v>1788</v>
      </c>
      <c r="D4382" s="1088">
        <v>17.15</v>
      </c>
      <c r="E4382" s="1089" t="s">
        <v>5308</v>
      </c>
      <c r="F4382" s="1081">
        <f t="shared" si="1"/>
        <v>0</v>
      </c>
      <c r="G4382" s="1083">
        <f t="shared" si="2"/>
        <v>17.15</v>
      </c>
      <c r="H4382" s="1084"/>
    </row>
    <row r="4383" ht="14.25" customHeight="1">
      <c r="A4383" s="1085">
        <v>38102.0</v>
      </c>
      <c r="B4383" s="1086" t="s">
        <v>9701</v>
      </c>
      <c r="C4383" s="1087" t="s">
        <v>1788</v>
      </c>
      <c r="D4383" s="1088">
        <v>10.78</v>
      </c>
      <c r="E4383" s="1089" t="s">
        <v>5308</v>
      </c>
      <c r="F4383" s="1081">
        <f t="shared" si="1"/>
        <v>0</v>
      </c>
      <c r="G4383" s="1083">
        <f t="shared" si="2"/>
        <v>10.78</v>
      </c>
      <c r="H4383" s="1084"/>
    </row>
    <row r="4384" ht="14.25" customHeight="1">
      <c r="A4384" s="1085">
        <v>38076.0</v>
      </c>
      <c r="B4384" s="1086" t="s">
        <v>9702</v>
      </c>
      <c r="C4384" s="1087" t="s">
        <v>1788</v>
      </c>
      <c r="D4384" s="1088">
        <v>19.22</v>
      </c>
      <c r="E4384" s="1089" t="s">
        <v>5308</v>
      </c>
      <c r="F4384" s="1081">
        <f t="shared" si="1"/>
        <v>0</v>
      </c>
      <c r="G4384" s="1083">
        <f t="shared" si="2"/>
        <v>19.22</v>
      </c>
      <c r="H4384" s="1084"/>
    </row>
    <row r="4385" ht="14.25" customHeight="1">
      <c r="A4385" s="1085">
        <v>7592.0</v>
      </c>
      <c r="B4385" s="1086" t="s">
        <v>9703</v>
      </c>
      <c r="C4385" s="1087" t="s">
        <v>1470</v>
      </c>
      <c r="D4385" s="1088">
        <v>20.82</v>
      </c>
      <c r="E4385" s="1089" t="s">
        <v>5452</v>
      </c>
      <c r="F4385" s="1081">
        <f t="shared" si="1"/>
        <v>20.82</v>
      </c>
      <c r="G4385" s="1083">
        <f t="shared" si="2"/>
        <v>0</v>
      </c>
      <c r="H4385" s="1084"/>
    </row>
    <row r="4386" ht="14.25" customHeight="1">
      <c r="A4386" s="1085">
        <v>40820.0</v>
      </c>
      <c r="B4386" s="1086" t="s">
        <v>9704</v>
      </c>
      <c r="C4386" s="1087" t="s">
        <v>5454</v>
      </c>
      <c r="D4386" s="1088">
        <v>3643.51</v>
      </c>
      <c r="E4386" s="1089" t="s">
        <v>5452</v>
      </c>
      <c r="F4386" s="1081">
        <f t="shared" si="1"/>
        <v>3643.51</v>
      </c>
      <c r="G4386" s="1083">
        <f t="shared" si="2"/>
        <v>0</v>
      </c>
      <c r="H4386" s="1084"/>
    </row>
    <row r="4387" ht="14.25" customHeight="1">
      <c r="A4387" s="1085">
        <v>11826.0</v>
      </c>
      <c r="B4387" s="1086" t="s">
        <v>9705</v>
      </c>
      <c r="C4387" s="1087" t="s">
        <v>1788</v>
      </c>
      <c r="D4387" s="1088">
        <v>56.38</v>
      </c>
      <c r="E4387" s="1089" t="s">
        <v>5308</v>
      </c>
      <c r="F4387" s="1081">
        <f t="shared" si="1"/>
        <v>0</v>
      </c>
      <c r="G4387" s="1083">
        <f t="shared" si="2"/>
        <v>56.38</v>
      </c>
      <c r="H4387" s="1084"/>
    </row>
    <row r="4388" ht="14.25" customHeight="1">
      <c r="A4388" s="1085">
        <v>7606.0</v>
      </c>
      <c r="B4388" s="1086" t="s">
        <v>9706</v>
      </c>
      <c r="C4388" s="1087" t="s">
        <v>1788</v>
      </c>
      <c r="D4388" s="1088">
        <v>67.81</v>
      </c>
      <c r="E4388" s="1089" t="s">
        <v>5308</v>
      </c>
      <c r="F4388" s="1081">
        <f t="shared" si="1"/>
        <v>0</v>
      </c>
      <c r="G4388" s="1083">
        <f t="shared" si="2"/>
        <v>67.81</v>
      </c>
      <c r="H4388" s="1084"/>
    </row>
    <row r="4389" ht="14.25" customHeight="1">
      <c r="A4389" s="1085">
        <v>11763.0</v>
      </c>
      <c r="B4389" s="1086" t="s">
        <v>9707</v>
      </c>
      <c r="C4389" s="1087" t="s">
        <v>1788</v>
      </c>
      <c r="D4389" s="1088">
        <v>148.07</v>
      </c>
      <c r="E4389" s="1089" t="s">
        <v>5308</v>
      </c>
      <c r="F4389" s="1081">
        <f t="shared" si="1"/>
        <v>0</v>
      </c>
      <c r="G4389" s="1083">
        <f t="shared" si="2"/>
        <v>148.07</v>
      </c>
      <c r="H4389" s="1084"/>
    </row>
    <row r="4390" ht="14.25" customHeight="1">
      <c r="A4390" s="1085">
        <v>11764.0</v>
      </c>
      <c r="B4390" s="1086" t="s">
        <v>9708</v>
      </c>
      <c r="C4390" s="1087" t="s">
        <v>1788</v>
      </c>
      <c r="D4390" s="1088">
        <v>121.49</v>
      </c>
      <c r="E4390" s="1089" t="s">
        <v>5308</v>
      </c>
      <c r="F4390" s="1081">
        <f t="shared" si="1"/>
        <v>0</v>
      </c>
      <c r="G4390" s="1083">
        <f t="shared" si="2"/>
        <v>121.49</v>
      </c>
      <c r="H4390" s="1084"/>
    </row>
    <row r="4391" ht="14.25" customHeight="1">
      <c r="A4391" s="1085">
        <v>11829.0</v>
      </c>
      <c r="B4391" s="1086" t="s">
        <v>9709</v>
      </c>
      <c r="C4391" s="1087" t="s">
        <v>1788</v>
      </c>
      <c r="D4391" s="1088">
        <v>29.36</v>
      </c>
      <c r="E4391" s="1089" t="s">
        <v>5308</v>
      </c>
      <c r="F4391" s="1081">
        <f t="shared" si="1"/>
        <v>0</v>
      </c>
      <c r="G4391" s="1083">
        <f t="shared" si="2"/>
        <v>29.36</v>
      </c>
      <c r="H4391" s="1084"/>
    </row>
    <row r="4392" ht="14.25" customHeight="1">
      <c r="A4392" s="1085">
        <v>11830.0</v>
      </c>
      <c r="B4392" s="1086" t="s">
        <v>9710</v>
      </c>
      <c r="C4392" s="1087" t="s">
        <v>1788</v>
      </c>
      <c r="D4392" s="1088">
        <v>31.7</v>
      </c>
      <c r="E4392" s="1089" t="s">
        <v>5308</v>
      </c>
      <c r="F4392" s="1081">
        <f t="shared" si="1"/>
        <v>0</v>
      </c>
      <c r="G4392" s="1083">
        <f t="shared" si="2"/>
        <v>31.7</v>
      </c>
      <c r="H4392" s="1084"/>
    </row>
    <row r="4393" ht="14.25" customHeight="1">
      <c r="A4393" s="1085">
        <v>11825.0</v>
      </c>
      <c r="B4393" s="1086" t="s">
        <v>9711</v>
      </c>
      <c r="C4393" s="1087" t="s">
        <v>1788</v>
      </c>
      <c r="D4393" s="1088">
        <v>71.33</v>
      </c>
      <c r="E4393" s="1089" t="s">
        <v>5308</v>
      </c>
      <c r="F4393" s="1081">
        <f t="shared" si="1"/>
        <v>0</v>
      </c>
      <c r="G4393" s="1083">
        <f t="shared" si="2"/>
        <v>71.33</v>
      </c>
      <c r="H4393" s="1084"/>
    </row>
    <row r="4394" ht="14.25" customHeight="1">
      <c r="A4394" s="1085">
        <v>11767.0</v>
      </c>
      <c r="B4394" s="1086" t="s">
        <v>9712</v>
      </c>
      <c r="C4394" s="1087" t="s">
        <v>1788</v>
      </c>
      <c r="D4394" s="1088">
        <v>189.99</v>
      </c>
      <c r="E4394" s="1089" t="s">
        <v>5308</v>
      </c>
      <c r="F4394" s="1081">
        <f t="shared" si="1"/>
        <v>0</v>
      </c>
      <c r="G4394" s="1083">
        <f t="shared" si="2"/>
        <v>189.99</v>
      </c>
      <c r="H4394" s="1084"/>
    </row>
    <row r="4395" ht="14.25" customHeight="1">
      <c r="A4395" s="1085">
        <v>11766.0</v>
      </c>
      <c r="B4395" s="1086" t="s">
        <v>9713</v>
      </c>
      <c r="C4395" s="1087" t="s">
        <v>1788</v>
      </c>
      <c r="D4395" s="1088">
        <v>44.28</v>
      </c>
      <c r="E4395" s="1089" t="s">
        <v>5308</v>
      </c>
      <c r="F4395" s="1081">
        <f t="shared" si="1"/>
        <v>0</v>
      </c>
      <c r="G4395" s="1083">
        <f t="shared" si="2"/>
        <v>44.28</v>
      </c>
      <c r="H4395" s="1084"/>
    </row>
    <row r="4396" ht="14.25" customHeight="1">
      <c r="A4396" s="1085">
        <v>11765.0</v>
      </c>
      <c r="B4396" s="1086" t="s">
        <v>9714</v>
      </c>
      <c r="C4396" s="1087" t="s">
        <v>1788</v>
      </c>
      <c r="D4396" s="1088">
        <v>80.96</v>
      </c>
      <c r="E4396" s="1089" t="s">
        <v>5308</v>
      </c>
      <c r="F4396" s="1081">
        <f t="shared" si="1"/>
        <v>0</v>
      </c>
      <c r="G4396" s="1083">
        <f t="shared" si="2"/>
        <v>80.96</v>
      </c>
      <c r="H4396" s="1084"/>
    </row>
    <row r="4397" ht="14.25" customHeight="1">
      <c r="A4397" s="1085">
        <v>11824.0</v>
      </c>
      <c r="B4397" s="1086" t="s">
        <v>9715</v>
      </c>
      <c r="C4397" s="1087" t="s">
        <v>1788</v>
      </c>
      <c r="D4397" s="1088">
        <v>52.09</v>
      </c>
      <c r="E4397" s="1089" t="s">
        <v>5308</v>
      </c>
      <c r="F4397" s="1081">
        <f t="shared" si="1"/>
        <v>0</v>
      </c>
      <c r="G4397" s="1083">
        <f t="shared" si="2"/>
        <v>52.09</v>
      </c>
      <c r="H4397" s="1084"/>
    </row>
    <row r="4398" ht="14.25" customHeight="1">
      <c r="A4398" s="1085">
        <v>44045.0</v>
      </c>
      <c r="B4398" s="1086" t="s">
        <v>9716</v>
      </c>
      <c r="C4398" s="1087" t="s">
        <v>1788</v>
      </c>
      <c r="D4398" s="1088">
        <v>274.85</v>
      </c>
      <c r="E4398" s="1089" t="s">
        <v>5308</v>
      </c>
      <c r="F4398" s="1081">
        <f t="shared" si="1"/>
        <v>0</v>
      </c>
      <c r="G4398" s="1083">
        <f t="shared" si="2"/>
        <v>274.85</v>
      </c>
      <c r="H4398" s="1084"/>
    </row>
    <row r="4399" ht="14.25" customHeight="1">
      <c r="A4399" s="1085">
        <v>39702.0</v>
      </c>
      <c r="B4399" s="1086" t="s">
        <v>9717</v>
      </c>
      <c r="C4399" s="1087" t="s">
        <v>1788</v>
      </c>
      <c r="D4399" s="1088">
        <v>1825.42</v>
      </c>
      <c r="E4399" s="1089" t="s">
        <v>5308</v>
      </c>
      <c r="F4399" s="1081">
        <f t="shared" si="1"/>
        <v>0</v>
      </c>
      <c r="G4399" s="1083">
        <f t="shared" si="2"/>
        <v>1825.42</v>
      </c>
      <c r="H4399" s="1084"/>
    </row>
    <row r="4400" ht="14.25" customHeight="1">
      <c r="A4400" s="1085">
        <v>13415.0</v>
      </c>
      <c r="B4400" s="1086" t="s">
        <v>9718</v>
      </c>
      <c r="C4400" s="1087" t="s">
        <v>1788</v>
      </c>
      <c r="D4400" s="1088">
        <v>59.93</v>
      </c>
      <c r="E4400" s="1089" t="s">
        <v>5308</v>
      </c>
      <c r="F4400" s="1081">
        <f t="shared" si="1"/>
        <v>0</v>
      </c>
      <c r="G4400" s="1083">
        <f t="shared" si="2"/>
        <v>59.93</v>
      </c>
      <c r="H4400" s="1084"/>
    </row>
    <row r="4401" ht="14.25" customHeight="1">
      <c r="A4401" s="1085">
        <v>7602.0</v>
      </c>
      <c r="B4401" s="1086" t="s">
        <v>9719</v>
      </c>
      <c r="C4401" s="1087" t="s">
        <v>1788</v>
      </c>
      <c r="D4401" s="1088">
        <v>38.24</v>
      </c>
      <c r="E4401" s="1089" t="s">
        <v>5308</v>
      </c>
      <c r="F4401" s="1081">
        <f t="shared" si="1"/>
        <v>0</v>
      </c>
      <c r="G4401" s="1083">
        <f t="shared" si="2"/>
        <v>38.24</v>
      </c>
      <c r="H4401" s="1084"/>
    </row>
    <row r="4402" ht="14.25" customHeight="1">
      <c r="A4402" s="1085">
        <v>7603.0</v>
      </c>
      <c r="B4402" s="1086" t="s">
        <v>9720</v>
      </c>
      <c r="C4402" s="1087" t="s">
        <v>1788</v>
      </c>
      <c r="D4402" s="1088">
        <v>32.44</v>
      </c>
      <c r="E4402" s="1089" t="s">
        <v>5308</v>
      </c>
      <c r="F4402" s="1081">
        <f t="shared" si="1"/>
        <v>0</v>
      </c>
      <c r="G4402" s="1083">
        <f t="shared" si="2"/>
        <v>32.44</v>
      </c>
      <c r="H4402" s="1084"/>
    </row>
    <row r="4403" ht="14.25" customHeight="1">
      <c r="A4403" s="1085">
        <v>11777.0</v>
      </c>
      <c r="B4403" s="1086" t="s">
        <v>9721</v>
      </c>
      <c r="C4403" s="1087" t="s">
        <v>1788</v>
      </c>
      <c r="D4403" s="1088">
        <v>185.48</v>
      </c>
      <c r="E4403" s="1089" t="s">
        <v>5308</v>
      </c>
      <c r="F4403" s="1081">
        <f t="shared" si="1"/>
        <v>0</v>
      </c>
      <c r="G4403" s="1083">
        <f t="shared" si="2"/>
        <v>185.48</v>
      </c>
      <c r="H4403" s="1084"/>
    </row>
    <row r="4404" ht="14.25" customHeight="1">
      <c r="A4404" s="1085">
        <v>13417.0</v>
      </c>
      <c r="B4404" s="1086" t="s">
        <v>9722</v>
      </c>
      <c r="C4404" s="1087" t="s">
        <v>1788</v>
      </c>
      <c r="D4404" s="1088">
        <v>78.05</v>
      </c>
      <c r="E4404" s="1089" t="s">
        <v>5308</v>
      </c>
      <c r="F4404" s="1081">
        <f t="shared" si="1"/>
        <v>0</v>
      </c>
      <c r="G4404" s="1083">
        <f t="shared" si="2"/>
        <v>78.05</v>
      </c>
      <c r="H4404" s="1084"/>
    </row>
    <row r="4405" ht="14.25" customHeight="1">
      <c r="A4405" s="1085">
        <v>36791.0</v>
      </c>
      <c r="B4405" s="1086" t="s">
        <v>9723</v>
      </c>
      <c r="C4405" s="1087" t="s">
        <v>1788</v>
      </c>
      <c r="D4405" s="1088">
        <v>117.14</v>
      </c>
      <c r="E4405" s="1089" t="s">
        <v>5308</v>
      </c>
      <c r="F4405" s="1081">
        <f t="shared" si="1"/>
        <v>0</v>
      </c>
      <c r="G4405" s="1083">
        <f t="shared" si="2"/>
        <v>117.14</v>
      </c>
      <c r="H4405" s="1084"/>
    </row>
    <row r="4406" ht="14.25" customHeight="1">
      <c r="A4406" s="1085">
        <v>36795.0</v>
      </c>
      <c r="B4406" s="1086" t="s">
        <v>9724</v>
      </c>
      <c r="C4406" s="1087" t="s">
        <v>1788</v>
      </c>
      <c r="D4406" s="1088">
        <v>1481.16</v>
      </c>
      <c r="E4406" s="1089" t="s">
        <v>5308</v>
      </c>
      <c r="F4406" s="1081">
        <f t="shared" si="1"/>
        <v>0</v>
      </c>
      <c r="G4406" s="1083">
        <f t="shared" si="2"/>
        <v>1481.16</v>
      </c>
      <c r="H4406" s="1084"/>
    </row>
    <row r="4407" ht="14.25" customHeight="1">
      <c r="A4407" s="1085">
        <v>36796.0</v>
      </c>
      <c r="B4407" s="1086" t="s">
        <v>9725</v>
      </c>
      <c r="C4407" s="1087" t="s">
        <v>1788</v>
      </c>
      <c r="D4407" s="1088">
        <v>123.08</v>
      </c>
      <c r="E4407" s="1089" t="s">
        <v>5308</v>
      </c>
      <c r="F4407" s="1081">
        <f t="shared" si="1"/>
        <v>0</v>
      </c>
      <c r="G4407" s="1083">
        <f t="shared" si="2"/>
        <v>123.08</v>
      </c>
      <c r="H4407" s="1084"/>
    </row>
    <row r="4408" ht="14.25" customHeight="1">
      <c r="A4408" s="1085">
        <v>36792.0</v>
      </c>
      <c r="B4408" s="1086" t="s">
        <v>9726</v>
      </c>
      <c r="C4408" s="1087" t="s">
        <v>1788</v>
      </c>
      <c r="D4408" s="1088">
        <v>155.91</v>
      </c>
      <c r="E4408" s="1089" t="s">
        <v>5308</v>
      </c>
      <c r="F4408" s="1081">
        <f t="shared" si="1"/>
        <v>0</v>
      </c>
      <c r="G4408" s="1083">
        <f t="shared" si="2"/>
        <v>155.91</v>
      </c>
      <c r="H4408" s="1084"/>
    </row>
    <row r="4409" ht="14.25" customHeight="1">
      <c r="A4409" s="1085">
        <v>11773.0</v>
      </c>
      <c r="B4409" s="1086" t="s">
        <v>9727</v>
      </c>
      <c r="C4409" s="1087" t="s">
        <v>1788</v>
      </c>
      <c r="D4409" s="1088">
        <v>103.79</v>
      </c>
      <c r="E4409" s="1089" t="s">
        <v>5308</v>
      </c>
      <c r="F4409" s="1081">
        <f t="shared" si="1"/>
        <v>0</v>
      </c>
      <c r="G4409" s="1083">
        <f t="shared" si="2"/>
        <v>103.79</v>
      </c>
      <c r="H4409" s="1084"/>
    </row>
    <row r="4410" ht="14.25" customHeight="1">
      <c r="A4410" s="1085">
        <v>11762.0</v>
      </c>
      <c r="B4410" s="1086" t="s">
        <v>9728</v>
      </c>
      <c r="C4410" s="1087" t="s">
        <v>1788</v>
      </c>
      <c r="D4410" s="1088">
        <v>49.23</v>
      </c>
      <c r="E4410" s="1089" t="s">
        <v>5308</v>
      </c>
      <c r="F4410" s="1081">
        <f t="shared" si="1"/>
        <v>0</v>
      </c>
      <c r="G4410" s="1083">
        <f t="shared" si="2"/>
        <v>49.23</v>
      </c>
      <c r="H4410" s="1084"/>
    </row>
    <row r="4411" ht="14.25" customHeight="1">
      <c r="A4411" s="1085">
        <v>7604.0</v>
      </c>
      <c r="B4411" s="1086" t="s">
        <v>9729</v>
      </c>
      <c r="C4411" s="1087" t="s">
        <v>1788</v>
      </c>
      <c r="D4411" s="1088">
        <v>41.68</v>
      </c>
      <c r="E4411" s="1089" t="s">
        <v>5308</v>
      </c>
      <c r="F4411" s="1081">
        <f t="shared" si="1"/>
        <v>0</v>
      </c>
      <c r="G4411" s="1083">
        <f t="shared" si="2"/>
        <v>41.68</v>
      </c>
      <c r="H4411" s="1084"/>
    </row>
    <row r="4412" ht="14.25" customHeight="1">
      <c r="A4412" s="1085">
        <v>13984.0</v>
      </c>
      <c r="B4412" s="1086" t="s">
        <v>9730</v>
      </c>
      <c r="C4412" s="1087" t="s">
        <v>1788</v>
      </c>
      <c r="D4412" s="1088">
        <v>60.58</v>
      </c>
      <c r="E4412" s="1089" t="s">
        <v>5308</v>
      </c>
      <c r="F4412" s="1081">
        <f t="shared" si="1"/>
        <v>0</v>
      </c>
      <c r="G4412" s="1083">
        <f t="shared" si="2"/>
        <v>60.58</v>
      </c>
      <c r="H4412" s="1084"/>
    </row>
    <row r="4413" ht="14.25" customHeight="1">
      <c r="A4413" s="1085">
        <v>11772.0</v>
      </c>
      <c r="B4413" s="1086" t="s">
        <v>9731</v>
      </c>
      <c r="C4413" s="1087" t="s">
        <v>1788</v>
      </c>
      <c r="D4413" s="1088">
        <v>104.11</v>
      </c>
      <c r="E4413" s="1089" t="s">
        <v>5308</v>
      </c>
      <c r="F4413" s="1081">
        <f t="shared" si="1"/>
        <v>0</v>
      </c>
      <c r="G4413" s="1083">
        <f t="shared" si="2"/>
        <v>104.11</v>
      </c>
      <c r="H4413" s="1084"/>
    </row>
    <row r="4414" ht="14.25" customHeight="1">
      <c r="A4414" s="1085">
        <v>13983.0</v>
      </c>
      <c r="B4414" s="1086" t="s">
        <v>9732</v>
      </c>
      <c r="C4414" s="1087" t="s">
        <v>1788</v>
      </c>
      <c r="D4414" s="1088">
        <v>78.85</v>
      </c>
      <c r="E4414" s="1089" t="s">
        <v>5308</v>
      </c>
      <c r="F4414" s="1081">
        <f t="shared" si="1"/>
        <v>0</v>
      </c>
      <c r="G4414" s="1083">
        <f t="shared" si="2"/>
        <v>78.85</v>
      </c>
      <c r="H4414" s="1084"/>
    </row>
    <row r="4415" ht="14.25" customHeight="1">
      <c r="A4415" s="1085">
        <v>13416.0</v>
      </c>
      <c r="B4415" s="1086" t="s">
        <v>9733</v>
      </c>
      <c r="C4415" s="1087" t="s">
        <v>1788</v>
      </c>
      <c r="D4415" s="1088">
        <v>70.03</v>
      </c>
      <c r="E4415" s="1089" t="s">
        <v>5308</v>
      </c>
      <c r="F4415" s="1081">
        <f t="shared" si="1"/>
        <v>0</v>
      </c>
      <c r="G4415" s="1083">
        <f t="shared" si="2"/>
        <v>70.03</v>
      </c>
      <c r="H4415" s="1084"/>
    </row>
    <row r="4416" ht="14.25" customHeight="1">
      <c r="A4416" s="1085">
        <v>40329.0</v>
      </c>
      <c r="B4416" s="1086" t="s">
        <v>9734</v>
      </c>
      <c r="C4416" s="1087" t="s">
        <v>1788</v>
      </c>
      <c r="D4416" s="1088">
        <v>18.4</v>
      </c>
      <c r="E4416" s="1089" t="s">
        <v>5308</v>
      </c>
      <c r="F4416" s="1081">
        <f t="shared" si="1"/>
        <v>0</v>
      </c>
      <c r="G4416" s="1083">
        <f t="shared" si="2"/>
        <v>18.4</v>
      </c>
      <c r="H4416" s="1084"/>
    </row>
    <row r="4417" ht="14.25" customHeight="1">
      <c r="A4417" s="1085">
        <v>11823.0</v>
      </c>
      <c r="B4417" s="1086" t="s">
        <v>9735</v>
      </c>
      <c r="C4417" s="1087" t="s">
        <v>1788</v>
      </c>
      <c r="D4417" s="1088">
        <v>7.75</v>
      </c>
      <c r="E4417" s="1089" t="s">
        <v>5308</v>
      </c>
      <c r="F4417" s="1081">
        <f t="shared" si="1"/>
        <v>0</v>
      </c>
      <c r="G4417" s="1083">
        <f t="shared" si="2"/>
        <v>7.75</v>
      </c>
      <c r="H4417" s="1084"/>
    </row>
    <row r="4418" ht="14.25" customHeight="1">
      <c r="A4418" s="1085">
        <v>11822.0</v>
      </c>
      <c r="B4418" s="1086" t="s">
        <v>9736</v>
      </c>
      <c r="C4418" s="1087" t="s">
        <v>1788</v>
      </c>
      <c r="D4418" s="1088">
        <v>30.17</v>
      </c>
      <c r="E4418" s="1089" t="s">
        <v>5308</v>
      </c>
      <c r="F4418" s="1081">
        <f t="shared" si="1"/>
        <v>0</v>
      </c>
      <c r="G4418" s="1083">
        <f t="shared" si="2"/>
        <v>30.17</v>
      </c>
      <c r="H4418" s="1084"/>
    </row>
    <row r="4419" ht="14.25" customHeight="1">
      <c r="A4419" s="1085">
        <v>11831.0</v>
      </c>
      <c r="B4419" s="1086" t="s">
        <v>9737</v>
      </c>
      <c r="C4419" s="1087" t="s">
        <v>1788</v>
      </c>
      <c r="D4419" s="1088">
        <v>18.15</v>
      </c>
      <c r="E4419" s="1089" t="s">
        <v>5308</v>
      </c>
      <c r="F4419" s="1081">
        <f t="shared" si="1"/>
        <v>0</v>
      </c>
      <c r="G4419" s="1083">
        <f t="shared" si="2"/>
        <v>18.15</v>
      </c>
      <c r="H4419" s="1084"/>
    </row>
    <row r="4420" ht="14.25" customHeight="1">
      <c r="A4420" s="1085">
        <v>7613.0</v>
      </c>
      <c r="B4420" s="1086" t="s">
        <v>9738</v>
      </c>
      <c r="C4420" s="1087" t="s">
        <v>1788</v>
      </c>
      <c r="D4420" s="1088">
        <v>112428.88</v>
      </c>
      <c r="E4420" s="1089" t="s">
        <v>5308</v>
      </c>
      <c r="F4420" s="1081">
        <f t="shared" si="1"/>
        <v>0</v>
      </c>
      <c r="G4420" s="1083">
        <f t="shared" si="2"/>
        <v>112428.88</v>
      </c>
      <c r="H4420" s="1084"/>
    </row>
    <row r="4421" ht="14.25" customHeight="1">
      <c r="A4421" s="1085">
        <v>7619.0</v>
      </c>
      <c r="B4421" s="1086" t="s">
        <v>9739</v>
      </c>
      <c r="C4421" s="1087" t="s">
        <v>1788</v>
      </c>
      <c r="D4421" s="1088">
        <v>17379.1</v>
      </c>
      <c r="E4421" s="1089" t="s">
        <v>5308</v>
      </c>
      <c r="F4421" s="1081">
        <f t="shared" si="1"/>
        <v>0</v>
      </c>
      <c r="G4421" s="1083">
        <f t="shared" si="2"/>
        <v>17379.1</v>
      </c>
      <c r="H4421" s="1084"/>
    </row>
    <row r="4422" ht="14.25" customHeight="1">
      <c r="A4422" s="1085">
        <v>12076.0</v>
      </c>
      <c r="B4422" s="1086" t="s">
        <v>9740</v>
      </c>
      <c r="C4422" s="1087" t="s">
        <v>1788</v>
      </c>
      <c r="D4422" s="1088">
        <v>7972.06</v>
      </c>
      <c r="E4422" s="1089" t="s">
        <v>5308</v>
      </c>
      <c r="F4422" s="1081">
        <f t="shared" si="1"/>
        <v>0</v>
      </c>
      <c r="G4422" s="1083">
        <f t="shared" si="2"/>
        <v>7972.06</v>
      </c>
      <c r="H4422" s="1084"/>
    </row>
    <row r="4423" ht="14.25" customHeight="1">
      <c r="A4423" s="1085">
        <v>7614.0</v>
      </c>
      <c r="B4423" s="1086" t="s">
        <v>9741</v>
      </c>
      <c r="C4423" s="1087" t="s">
        <v>1788</v>
      </c>
      <c r="D4423" s="1088">
        <v>21919.19</v>
      </c>
      <c r="E4423" s="1089" t="s">
        <v>5308</v>
      </c>
      <c r="F4423" s="1081">
        <f t="shared" si="1"/>
        <v>0</v>
      </c>
      <c r="G4423" s="1083">
        <f t="shared" si="2"/>
        <v>21919.19</v>
      </c>
      <c r="H4423" s="1084"/>
    </row>
    <row r="4424" ht="14.25" customHeight="1">
      <c r="A4424" s="1085">
        <v>7618.0</v>
      </c>
      <c r="B4424" s="1086" t="s">
        <v>9742</v>
      </c>
      <c r="C4424" s="1087" t="s">
        <v>1788</v>
      </c>
      <c r="D4424" s="1088">
        <v>142162.41</v>
      </c>
      <c r="E4424" s="1089" t="s">
        <v>5308</v>
      </c>
      <c r="F4424" s="1081">
        <f t="shared" si="1"/>
        <v>0</v>
      </c>
      <c r="G4424" s="1083">
        <f t="shared" si="2"/>
        <v>142162.41</v>
      </c>
      <c r="H4424" s="1084"/>
    </row>
    <row r="4425" ht="14.25" customHeight="1">
      <c r="A4425" s="1085">
        <v>7620.0</v>
      </c>
      <c r="B4425" s="1086" t="s">
        <v>9743</v>
      </c>
      <c r="C4425" s="1087" t="s">
        <v>1788</v>
      </c>
      <c r="D4425" s="1088">
        <v>30749.39</v>
      </c>
      <c r="E4425" s="1089" t="s">
        <v>5308</v>
      </c>
      <c r="F4425" s="1081">
        <f t="shared" si="1"/>
        <v>0</v>
      </c>
      <c r="G4425" s="1083">
        <f t="shared" si="2"/>
        <v>30749.39</v>
      </c>
      <c r="H4425" s="1084"/>
    </row>
    <row r="4426" ht="14.25" customHeight="1">
      <c r="A4426" s="1085">
        <v>7610.0</v>
      </c>
      <c r="B4426" s="1086" t="s">
        <v>9744</v>
      </c>
      <c r="C4426" s="1087" t="s">
        <v>1788</v>
      </c>
      <c r="D4426" s="1088">
        <v>9737.3</v>
      </c>
      <c r="E4426" s="1089" t="s">
        <v>5308</v>
      </c>
      <c r="F4426" s="1081">
        <f t="shared" si="1"/>
        <v>0</v>
      </c>
      <c r="G4426" s="1083">
        <f t="shared" si="2"/>
        <v>9737.3</v>
      </c>
      <c r="H4426" s="1084"/>
    </row>
    <row r="4427" ht="14.25" customHeight="1">
      <c r="A4427" s="1085">
        <v>7615.0</v>
      </c>
      <c r="B4427" s="1086" t="s">
        <v>9745</v>
      </c>
      <c r="C4427" s="1087" t="s">
        <v>1788</v>
      </c>
      <c r="D4427" s="1088">
        <v>35874.29</v>
      </c>
      <c r="E4427" s="1089" t="s">
        <v>5308</v>
      </c>
      <c r="F4427" s="1081">
        <f t="shared" si="1"/>
        <v>0</v>
      </c>
      <c r="G4427" s="1083">
        <f t="shared" si="2"/>
        <v>35874.29</v>
      </c>
      <c r="H4427" s="1084"/>
    </row>
    <row r="4428" ht="14.25" customHeight="1">
      <c r="A4428" s="1085">
        <v>7617.0</v>
      </c>
      <c r="B4428" s="1086" t="s">
        <v>9746</v>
      </c>
      <c r="C4428" s="1087" t="s">
        <v>1788</v>
      </c>
      <c r="D4428" s="1088">
        <v>10876.17</v>
      </c>
      <c r="E4428" s="1089" t="s">
        <v>5308</v>
      </c>
      <c r="F4428" s="1081">
        <f t="shared" si="1"/>
        <v>0</v>
      </c>
      <c r="G4428" s="1083">
        <f t="shared" si="2"/>
        <v>10876.17</v>
      </c>
      <c r="H4428" s="1084"/>
    </row>
    <row r="4429" ht="14.25" customHeight="1">
      <c r="A4429" s="1085">
        <v>7616.0</v>
      </c>
      <c r="B4429" s="1086" t="s">
        <v>9747</v>
      </c>
      <c r="C4429" s="1087" t="s">
        <v>1788</v>
      </c>
      <c r="D4429" s="1088">
        <v>58541.14</v>
      </c>
      <c r="E4429" s="1089" t="s">
        <v>5308</v>
      </c>
      <c r="F4429" s="1081">
        <f t="shared" si="1"/>
        <v>0</v>
      </c>
      <c r="G4429" s="1083">
        <f t="shared" si="2"/>
        <v>58541.14</v>
      </c>
      <c r="H4429" s="1084"/>
    </row>
    <row r="4430" ht="14.25" customHeight="1">
      <c r="A4430" s="1085">
        <v>7611.0</v>
      </c>
      <c r="B4430" s="1086" t="s">
        <v>9748</v>
      </c>
      <c r="C4430" s="1087" t="s">
        <v>1788</v>
      </c>
      <c r="D4430" s="1088">
        <v>14065.0</v>
      </c>
      <c r="E4430" s="1089" t="s">
        <v>5308</v>
      </c>
      <c r="F4430" s="1081">
        <f t="shared" si="1"/>
        <v>0</v>
      </c>
      <c r="G4430" s="1083">
        <f t="shared" si="2"/>
        <v>14065</v>
      </c>
      <c r="H4430" s="1084"/>
    </row>
    <row r="4431" ht="14.25" customHeight="1">
      <c r="A4431" s="1085">
        <v>7612.0</v>
      </c>
      <c r="B4431" s="1086" t="s">
        <v>9749</v>
      </c>
      <c r="C4431" s="1087" t="s">
        <v>1788</v>
      </c>
      <c r="D4431" s="1088">
        <v>80299.19</v>
      </c>
      <c r="E4431" s="1089" t="s">
        <v>5308</v>
      </c>
      <c r="F4431" s="1081">
        <f t="shared" si="1"/>
        <v>0</v>
      </c>
      <c r="G4431" s="1083">
        <f t="shared" si="2"/>
        <v>80299.19</v>
      </c>
      <c r="H4431" s="1084"/>
    </row>
    <row r="4432" ht="14.25" customHeight="1">
      <c r="A4432" s="1085">
        <v>37371.0</v>
      </c>
      <c r="B4432" s="1086" t="s">
        <v>9750</v>
      </c>
      <c r="C4432" s="1087" t="s">
        <v>1470</v>
      </c>
      <c r="D4432" s="1088">
        <v>0.86</v>
      </c>
      <c r="E4432" s="1089" t="s">
        <v>5308</v>
      </c>
      <c r="F4432" s="1081">
        <f t="shared" si="1"/>
        <v>0</v>
      </c>
      <c r="G4432" s="1083">
        <f t="shared" si="2"/>
        <v>0.86</v>
      </c>
      <c r="H4432" s="1084"/>
    </row>
    <row r="4433" ht="14.25" customHeight="1">
      <c r="A4433" s="1085">
        <v>40861.0</v>
      </c>
      <c r="B4433" s="1086" t="s">
        <v>9751</v>
      </c>
      <c r="C4433" s="1087" t="s">
        <v>5454</v>
      </c>
      <c r="D4433" s="1088">
        <v>162.47</v>
      </c>
      <c r="E4433" s="1089" t="s">
        <v>5308</v>
      </c>
      <c r="F4433" s="1081">
        <f t="shared" si="1"/>
        <v>0</v>
      </c>
      <c r="G4433" s="1083">
        <f t="shared" si="2"/>
        <v>162.47</v>
      </c>
      <c r="H4433" s="1084"/>
    </row>
    <row r="4434" ht="14.25" customHeight="1">
      <c r="A4434" s="1085">
        <v>36510.0</v>
      </c>
      <c r="B4434" s="1086" t="s">
        <v>9752</v>
      </c>
      <c r="C4434" s="1087" t="s">
        <v>1788</v>
      </c>
      <c r="D4434" s="1088">
        <v>1105198.73</v>
      </c>
      <c r="E4434" s="1089" t="s">
        <v>5482</v>
      </c>
      <c r="F4434" s="1081">
        <f t="shared" si="1"/>
        <v>0</v>
      </c>
      <c r="G4434" s="1083">
        <f t="shared" si="2"/>
        <v>1105198.73</v>
      </c>
      <c r="H4434" s="1084"/>
    </row>
    <row r="4435" ht="14.25" customHeight="1">
      <c r="A4435" s="1085">
        <v>25020.0</v>
      </c>
      <c r="B4435" s="1086" t="s">
        <v>9753</v>
      </c>
      <c r="C4435" s="1087" t="s">
        <v>1788</v>
      </c>
      <c r="D4435" s="1088">
        <v>4553029.92</v>
      </c>
      <c r="E4435" s="1089" t="s">
        <v>5482</v>
      </c>
      <c r="F4435" s="1081">
        <f t="shared" si="1"/>
        <v>0</v>
      </c>
      <c r="G4435" s="1083">
        <f t="shared" si="2"/>
        <v>4553029.92</v>
      </c>
      <c r="H4435" s="1084"/>
    </row>
    <row r="4436" ht="14.25" customHeight="1">
      <c r="A4436" s="1085">
        <v>7622.0</v>
      </c>
      <c r="B4436" s="1086" t="s">
        <v>9754</v>
      </c>
      <c r="C4436" s="1087" t="s">
        <v>1788</v>
      </c>
      <c r="D4436" s="1088">
        <v>1072204.3</v>
      </c>
      <c r="E4436" s="1089" t="s">
        <v>5482</v>
      </c>
      <c r="F4436" s="1081">
        <f t="shared" si="1"/>
        <v>0</v>
      </c>
      <c r="G4436" s="1083">
        <f t="shared" si="2"/>
        <v>1072204.3</v>
      </c>
      <c r="H4436" s="1084"/>
    </row>
    <row r="4437" ht="14.25" customHeight="1">
      <c r="A4437" s="1085">
        <v>7624.0</v>
      </c>
      <c r="B4437" s="1086" t="s">
        <v>9755</v>
      </c>
      <c r="C4437" s="1087" t="s">
        <v>1788</v>
      </c>
      <c r="D4437" s="1088">
        <v>1390000.0</v>
      </c>
      <c r="E4437" s="1089" t="s">
        <v>5482</v>
      </c>
      <c r="F4437" s="1081">
        <f t="shared" si="1"/>
        <v>0</v>
      </c>
      <c r="G4437" s="1083">
        <f t="shared" si="2"/>
        <v>1390000</v>
      </c>
      <c r="H4437" s="1084"/>
    </row>
    <row r="4438" ht="14.25" customHeight="1">
      <c r="A4438" s="1085">
        <v>7625.0</v>
      </c>
      <c r="B4438" s="1086" t="s">
        <v>9756</v>
      </c>
      <c r="C4438" s="1087" t="s">
        <v>1788</v>
      </c>
      <c r="D4438" s="1088">
        <v>1381498.34</v>
      </c>
      <c r="E4438" s="1089" t="s">
        <v>5482</v>
      </c>
      <c r="F4438" s="1081">
        <f t="shared" si="1"/>
        <v>0</v>
      </c>
      <c r="G4438" s="1083">
        <f t="shared" si="2"/>
        <v>1381498.34</v>
      </c>
      <c r="H4438" s="1084"/>
    </row>
    <row r="4439" ht="14.25" customHeight="1">
      <c r="A4439" s="1085">
        <v>7623.0</v>
      </c>
      <c r="B4439" s="1086" t="s">
        <v>9757</v>
      </c>
      <c r="C4439" s="1087" t="s">
        <v>1788</v>
      </c>
      <c r="D4439" s="1088">
        <v>4553029.92</v>
      </c>
      <c r="E4439" s="1089" t="s">
        <v>5482</v>
      </c>
      <c r="F4439" s="1081">
        <f t="shared" si="1"/>
        <v>0</v>
      </c>
      <c r="G4439" s="1083">
        <f t="shared" si="2"/>
        <v>4553029.92</v>
      </c>
      <c r="H4439" s="1084"/>
    </row>
    <row r="4440" ht="14.25" customHeight="1">
      <c r="A4440" s="1085">
        <v>36508.0</v>
      </c>
      <c r="B4440" s="1086" t="s">
        <v>9758</v>
      </c>
      <c r="C4440" s="1087" t="s">
        <v>1788</v>
      </c>
      <c r="D4440" s="1088">
        <v>2047678.22</v>
      </c>
      <c r="E4440" s="1089" t="s">
        <v>5482</v>
      </c>
      <c r="F4440" s="1081">
        <f t="shared" si="1"/>
        <v>0</v>
      </c>
      <c r="G4440" s="1083">
        <f t="shared" si="2"/>
        <v>2047678.22</v>
      </c>
      <c r="H4440" s="1084"/>
    </row>
    <row r="4441" ht="14.25" customHeight="1">
      <c r="A4441" s="1085">
        <v>36509.0</v>
      </c>
      <c r="B4441" s="1086" t="s">
        <v>9759</v>
      </c>
      <c r="C4441" s="1087" t="s">
        <v>1788</v>
      </c>
      <c r="D4441" s="1088">
        <v>1122201.76</v>
      </c>
      <c r="E4441" s="1089" t="s">
        <v>5482</v>
      </c>
      <c r="F4441" s="1081">
        <f t="shared" si="1"/>
        <v>0</v>
      </c>
      <c r="G4441" s="1083">
        <f t="shared" si="2"/>
        <v>1122201.76</v>
      </c>
      <c r="H4441" s="1084"/>
    </row>
    <row r="4442" ht="14.25" customHeight="1">
      <c r="A4442" s="1085">
        <v>13238.0</v>
      </c>
      <c r="B4442" s="1086" t="s">
        <v>9760</v>
      </c>
      <c r="C4442" s="1087" t="s">
        <v>1788</v>
      </c>
      <c r="D4442" s="1088">
        <v>323831.75</v>
      </c>
      <c r="E4442" s="1089" t="s">
        <v>5482</v>
      </c>
      <c r="F4442" s="1081">
        <f t="shared" si="1"/>
        <v>0</v>
      </c>
      <c r="G4442" s="1083">
        <f t="shared" si="2"/>
        <v>323831.75</v>
      </c>
      <c r="H4442" s="1084"/>
    </row>
    <row r="4443" ht="14.25" customHeight="1">
      <c r="A4443" s="1085">
        <v>36511.0</v>
      </c>
      <c r="B4443" s="1086" t="s">
        <v>9761</v>
      </c>
      <c r="C4443" s="1087" t="s">
        <v>1788</v>
      </c>
      <c r="D4443" s="1088">
        <v>375233.62</v>
      </c>
      <c r="E4443" s="1089" t="s">
        <v>5482</v>
      </c>
      <c r="F4443" s="1081">
        <f t="shared" si="1"/>
        <v>0</v>
      </c>
      <c r="G4443" s="1083">
        <f t="shared" si="2"/>
        <v>375233.62</v>
      </c>
      <c r="H4443" s="1084"/>
    </row>
    <row r="4444" ht="14.25" customHeight="1">
      <c r="A4444" s="1085">
        <v>36515.0</v>
      </c>
      <c r="B4444" s="1086" t="s">
        <v>9762</v>
      </c>
      <c r="C4444" s="1087" t="s">
        <v>1788</v>
      </c>
      <c r="D4444" s="1088">
        <v>110514.0</v>
      </c>
      <c r="E4444" s="1089" t="s">
        <v>5482</v>
      </c>
      <c r="F4444" s="1081">
        <f t="shared" si="1"/>
        <v>0</v>
      </c>
      <c r="G4444" s="1083">
        <f t="shared" si="2"/>
        <v>110514</v>
      </c>
      <c r="H4444" s="1084"/>
    </row>
    <row r="4445" ht="14.25" customHeight="1">
      <c r="A4445" s="1085">
        <v>10598.0</v>
      </c>
      <c r="B4445" s="1086" t="s">
        <v>9763</v>
      </c>
      <c r="C4445" s="1087" t="s">
        <v>1788</v>
      </c>
      <c r="D4445" s="1088">
        <v>179215.16</v>
      </c>
      <c r="E4445" s="1089" t="s">
        <v>5482</v>
      </c>
      <c r="F4445" s="1081">
        <f t="shared" si="1"/>
        <v>0</v>
      </c>
      <c r="G4445" s="1083">
        <f t="shared" si="2"/>
        <v>179215.16</v>
      </c>
      <c r="H4445" s="1084"/>
    </row>
    <row r="4446" ht="14.25" customHeight="1">
      <c r="A4446" s="1085">
        <v>7640.0</v>
      </c>
      <c r="B4446" s="1086" t="s">
        <v>9764</v>
      </c>
      <c r="C4446" s="1087" t="s">
        <v>1788</v>
      </c>
      <c r="D4446" s="1088">
        <v>275000.0</v>
      </c>
      <c r="E4446" s="1089" t="s">
        <v>5482</v>
      </c>
      <c r="F4446" s="1081">
        <f t="shared" si="1"/>
        <v>0</v>
      </c>
      <c r="G4446" s="1083">
        <f t="shared" si="2"/>
        <v>275000</v>
      </c>
      <c r="H4446" s="1084"/>
    </row>
    <row r="4447" ht="14.25" customHeight="1">
      <c r="A4447" s="1085">
        <v>36513.0</v>
      </c>
      <c r="B4447" s="1086" t="s">
        <v>9765</v>
      </c>
      <c r="C4447" s="1087" t="s">
        <v>1788</v>
      </c>
      <c r="D4447" s="1088">
        <v>264912.36</v>
      </c>
      <c r="E4447" s="1089" t="s">
        <v>5482</v>
      </c>
      <c r="F4447" s="1081">
        <f t="shared" si="1"/>
        <v>0</v>
      </c>
      <c r="G4447" s="1083">
        <f t="shared" si="2"/>
        <v>264912.36</v>
      </c>
      <c r="H4447" s="1084"/>
    </row>
    <row r="4448" ht="14.25" customHeight="1">
      <c r="A4448" s="1085">
        <v>36514.0</v>
      </c>
      <c r="B4448" s="1086" t="s">
        <v>9766</v>
      </c>
      <c r="C4448" s="1087" t="s">
        <v>1788</v>
      </c>
      <c r="D4448" s="1088">
        <v>295560.73</v>
      </c>
      <c r="E4448" s="1089" t="s">
        <v>5482</v>
      </c>
      <c r="F4448" s="1081">
        <f t="shared" si="1"/>
        <v>0</v>
      </c>
      <c r="G4448" s="1083">
        <f t="shared" si="2"/>
        <v>295560.73</v>
      </c>
      <c r="H4448" s="1084"/>
    </row>
    <row r="4449" ht="14.25" customHeight="1">
      <c r="A4449" s="1085">
        <v>11572.0</v>
      </c>
      <c r="B4449" s="1086" t="s">
        <v>9767</v>
      </c>
      <c r="C4449" s="1087" t="s">
        <v>1788</v>
      </c>
      <c r="D4449" s="1088">
        <v>31.13</v>
      </c>
      <c r="E4449" s="1089" t="s">
        <v>5308</v>
      </c>
      <c r="F4449" s="1081">
        <f t="shared" si="1"/>
        <v>0</v>
      </c>
      <c r="G4449" s="1083">
        <f t="shared" si="2"/>
        <v>31.13</v>
      </c>
      <c r="H4449" s="1084"/>
    </row>
    <row r="4450" ht="14.25" customHeight="1">
      <c r="A4450" s="1085">
        <v>36149.0</v>
      </c>
      <c r="B4450" s="1086" t="s">
        <v>9768</v>
      </c>
      <c r="C4450" s="1087" t="s">
        <v>1788</v>
      </c>
      <c r="D4450" s="1088">
        <v>176.25</v>
      </c>
      <c r="E4450" s="1089" t="s">
        <v>5308</v>
      </c>
      <c r="F4450" s="1081">
        <f t="shared" si="1"/>
        <v>0</v>
      </c>
      <c r="G4450" s="1083">
        <f t="shared" si="2"/>
        <v>176.25</v>
      </c>
      <c r="H4450" s="1084"/>
    </row>
    <row r="4451" ht="14.25" customHeight="1">
      <c r="A4451" s="1085">
        <v>42407.0</v>
      </c>
      <c r="B4451" s="1086" t="s">
        <v>9769</v>
      </c>
      <c r="C4451" s="1087" t="s">
        <v>1731</v>
      </c>
      <c r="D4451" s="1088">
        <v>6.19</v>
      </c>
      <c r="E4451" s="1089" t="s">
        <v>5308</v>
      </c>
      <c r="F4451" s="1081">
        <f t="shared" si="1"/>
        <v>0</v>
      </c>
      <c r="G4451" s="1083">
        <f t="shared" si="2"/>
        <v>6.19</v>
      </c>
      <c r="H4451" s="1084"/>
    </row>
    <row r="4452" ht="14.25" customHeight="1">
      <c r="A4452" s="1085">
        <v>11581.0</v>
      </c>
      <c r="B4452" s="1086" t="s">
        <v>9770</v>
      </c>
      <c r="C4452" s="1087" t="s">
        <v>1731</v>
      </c>
      <c r="D4452" s="1088">
        <v>20.54</v>
      </c>
      <c r="E4452" s="1089" t="s">
        <v>5308</v>
      </c>
      <c r="F4452" s="1081">
        <f t="shared" si="1"/>
        <v>0</v>
      </c>
      <c r="G4452" s="1083">
        <f t="shared" si="2"/>
        <v>20.54</v>
      </c>
      <c r="H4452" s="1084"/>
    </row>
    <row r="4453" ht="14.25" customHeight="1">
      <c r="A4453" s="1085">
        <v>43605.0</v>
      </c>
      <c r="B4453" s="1086" t="s">
        <v>9771</v>
      </c>
      <c r="C4453" s="1087" t="s">
        <v>1731</v>
      </c>
      <c r="D4453" s="1088">
        <v>42.04</v>
      </c>
      <c r="E4453" s="1089" t="s">
        <v>5308</v>
      </c>
      <c r="F4453" s="1081">
        <f t="shared" si="1"/>
        <v>0</v>
      </c>
      <c r="G4453" s="1083">
        <f t="shared" si="2"/>
        <v>42.04</v>
      </c>
      <c r="H4453" s="1084"/>
    </row>
    <row r="4454" ht="14.25" customHeight="1">
      <c r="A4454" s="1085">
        <v>11580.0</v>
      </c>
      <c r="B4454" s="1086" t="s">
        <v>9772</v>
      </c>
      <c r="C4454" s="1087" t="s">
        <v>1731</v>
      </c>
      <c r="D4454" s="1088">
        <v>8.24</v>
      </c>
      <c r="E4454" s="1089" t="s">
        <v>5308</v>
      </c>
      <c r="F4454" s="1081">
        <f t="shared" si="1"/>
        <v>0</v>
      </c>
      <c r="G4454" s="1083">
        <f t="shared" si="2"/>
        <v>8.24</v>
      </c>
      <c r="H4454" s="1084"/>
    </row>
    <row r="4455" ht="14.25" customHeight="1">
      <c r="A4455" s="1085">
        <v>10743.0</v>
      </c>
      <c r="B4455" s="1086" t="s">
        <v>9773</v>
      </c>
      <c r="C4455" s="1087" t="s">
        <v>1788</v>
      </c>
      <c r="D4455" s="1088">
        <v>624.94</v>
      </c>
      <c r="E4455" s="1089" t="s">
        <v>5482</v>
      </c>
      <c r="F4455" s="1081">
        <f t="shared" si="1"/>
        <v>0</v>
      </c>
      <c r="G4455" s="1083">
        <f t="shared" si="2"/>
        <v>624.94</v>
      </c>
      <c r="H4455" s="1084"/>
    </row>
    <row r="4456" ht="14.25" customHeight="1">
      <c r="A4456" s="1085">
        <v>39848.0</v>
      </c>
      <c r="B4456" s="1086" t="s">
        <v>9774</v>
      </c>
      <c r="C4456" s="1087" t="s">
        <v>1731</v>
      </c>
      <c r="D4456" s="1088">
        <v>1.9</v>
      </c>
      <c r="E4456" s="1089" t="s">
        <v>5308</v>
      </c>
      <c r="F4456" s="1081">
        <f t="shared" si="1"/>
        <v>0</v>
      </c>
      <c r="G4456" s="1083">
        <f t="shared" si="2"/>
        <v>1.9</v>
      </c>
      <c r="H4456" s="1084"/>
    </row>
    <row r="4457" ht="14.25" customHeight="1">
      <c r="A4457" s="1085">
        <v>20999.0</v>
      </c>
      <c r="B4457" s="1086" t="s">
        <v>9775</v>
      </c>
      <c r="C4457" s="1087" t="s">
        <v>1731</v>
      </c>
      <c r="D4457" s="1088">
        <v>15.68</v>
      </c>
      <c r="E4457" s="1089" t="s">
        <v>5308</v>
      </c>
      <c r="F4457" s="1081">
        <f t="shared" si="1"/>
        <v>0</v>
      </c>
      <c r="G4457" s="1083">
        <f t="shared" si="2"/>
        <v>15.68</v>
      </c>
      <c r="H4457" s="1084"/>
    </row>
    <row r="4458" ht="14.25" customHeight="1">
      <c r="A4458" s="1085">
        <v>21001.0</v>
      </c>
      <c r="B4458" s="1086" t="s">
        <v>9776</v>
      </c>
      <c r="C4458" s="1087" t="s">
        <v>1731</v>
      </c>
      <c r="D4458" s="1088">
        <v>29.26</v>
      </c>
      <c r="E4458" s="1089" t="s">
        <v>5308</v>
      </c>
      <c r="F4458" s="1081">
        <f t="shared" si="1"/>
        <v>0</v>
      </c>
      <c r="G4458" s="1083">
        <f t="shared" si="2"/>
        <v>29.26</v>
      </c>
      <c r="H4458" s="1084"/>
    </row>
    <row r="4459" ht="14.25" customHeight="1">
      <c r="A4459" s="1085">
        <v>21003.0</v>
      </c>
      <c r="B4459" s="1086" t="s">
        <v>9777</v>
      </c>
      <c r="C4459" s="1087" t="s">
        <v>1731</v>
      </c>
      <c r="D4459" s="1088">
        <v>48.08</v>
      </c>
      <c r="E4459" s="1089" t="s">
        <v>5308</v>
      </c>
      <c r="F4459" s="1081">
        <f t="shared" si="1"/>
        <v>0</v>
      </c>
      <c r="G4459" s="1083">
        <f t="shared" si="2"/>
        <v>48.08</v>
      </c>
      <c r="H4459" s="1084"/>
    </row>
    <row r="4460" ht="14.25" customHeight="1">
      <c r="A4460" s="1085">
        <v>21006.0</v>
      </c>
      <c r="B4460" s="1086" t="s">
        <v>9778</v>
      </c>
      <c r="C4460" s="1087" t="s">
        <v>1731</v>
      </c>
      <c r="D4460" s="1088">
        <v>102.04</v>
      </c>
      <c r="E4460" s="1089" t="s">
        <v>5308</v>
      </c>
      <c r="F4460" s="1081">
        <f t="shared" si="1"/>
        <v>0</v>
      </c>
      <c r="G4460" s="1083">
        <f t="shared" si="2"/>
        <v>102.04</v>
      </c>
      <c r="H4460" s="1084"/>
    </row>
    <row r="4461" ht="14.25" customHeight="1">
      <c r="A4461" s="1085">
        <v>21019.0</v>
      </c>
      <c r="B4461" s="1086" t="s">
        <v>9779</v>
      </c>
      <c r="C4461" s="1087" t="s">
        <v>1731</v>
      </c>
      <c r="D4461" s="1088">
        <v>35.47</v>
      </c>
      <c r="E4461" s="1089" t="s">
        <v>5308</v>
      </c>
      <c r="F4461" s="1081">
        <f t="shared" si="1"/>
        <v>0</v>
      </c>
      <c r="G4461" s="1083">
        <f t="shared" si="2"/>
        <v>35.47</v>
      </c>
      <c r="H4461" s="1084"/>
    </row>
    <row r="4462" ht="14.25" customHeight="1">
      <c r="A4462" s="1085">
        <v>21021.0</v>
      </c>
      <c r="B4462" s="1086" t="s">
        <v>9780</v>
      </c>
      <c r="C4462" s="1087" t="s">
        <v>1731</v>
      </c>
      <c r="D4462" s="1088">
        <v>56.07</v>
      </c>
      <c r="E4462" s="1089" t="s">
        <v>5308</v>
      </c>
      <c r="F4462" s="1081">
        <f t="shared" si="1"/>
        <v>0</v>
      </c>
      <c r="G4462" s="1083">
        <f t="shared" si="2"/>
        <v>56.07</v>
      </c>
      <c r="H4462" s="1084"/>
    </row>
    <row r="4463" ht="14.25" customHeight="1">
      <c r="A4463" s="1085">
        <v>21024.0</v>
      </c>
      <c r="B4463" s="1086" t="s">
        <v>9781</v>
      </c>
      <c r="C4463" s="1087" t="s">
        <v>1731</v>
      </c>
      <c r="D4463" s="1088">
        <v>120.14</v>
      </c>
      <c r="E4463" s="1089" t="s">
        <v>5308</v>
      </c>
      <c r="F4463" s="1081">
        <f t="shared" si="1"/>
        <v>0</v>
      </c>
      <c r="G4463" s="1083">
        <f t="shared" si="2"/>
        <v>120.14</v>
      </c>
      <c r="H4463" s="1084"/>
    </row>
    <row r="4464" ht="14.25" customHeight="1">
      <c r="A4464" s="1085">
        <v>40624.0</v>
      </c>
      <c r="B4464" s="1086" t="s">
        <v>9782</v>
      </c>
      <c r="C4464" s="1087" t="s">
        <v>1731</v>
      </c>
      <c r="D4464" s="1088">
        <v>97.53</v>
      </c>
      <c r="E4464" s="1089" t="s">
        <v>5308</v>
      </c>
      <c r="F4464" s="1081">
        <f t="shared" si="1"/>
        <v>0</v>
      </c>
      <c r="G4464" s="1083">
        <f t="shared" si="2"/>
        <v>97.53</v>
      </c>
      <c r="H4464" s="1084"/>
    </row>
    <row r="4465" ht="14.25" customHeight="1">
      <c r="A4465" s="1085">
        <v>42575.0</v>
      </c>
      <c r="B4465" s="1086" t="s">
        <v>9783</v>
      </c>
      <c r="C4465" s="1087" t="s">
        <v>1731</v>
      </c>
      <c r="D4465" s="1088">
        <v>89.5</v>
      </c>
      <c r="E4465" s="1089" t="s">
        <v>5308</v>
      </c>
      <c r="F4465" s="1081">
        <f t="shared" si="1"/>
        <v>0</v>
      </c>
      <c r="G4465" s="1083">
        <f t="shared" si="2"/>
        <v>89.5</v>
      </c>
      <c r="H4465" s="1084"/>
    </row>
    <row r="4466" ht="14.25" customHeight="1">
      <c r="A4466" s="1085">
        <v>13127.0</v>
      </c>
      <c r="B4466" s="1086" t="s">
        <v>9784</v>
      </c>
      <c r="C4466" s="1087" t="s">
        <v>1731</v>
      </c>
      <c r="D4466" s="1088">
        <v>43.5</v>
      </c>
      <c r="E4466" s="1089" t="s">
        <v>5308</v>
      </c>
      <c r="F4466" s="1081">
        <f t="shared" si="1"/>
        <v>0</v>
      </c>
      <c r="G4466" s="1083">
        <f t="shared" si="2"/>
        <v>43.5</v>
      </c>
      <c r="H4466" s="1084"/>
    </row>
    <row r="4467" ht="14.25" customHeight="1">
      <c r="A4467" s="1085">
        <v>13137.0</v>
      </c>
      <c r="B4467" s="1086" t="s">
        <v>9785</v>
      </c>
      <c r="C4467" s="1087" t="s">
        <v>1731</v>
      </c>
      <c r="D4467" s="1088">
        <v>57.73</v>
      </c>
      <c r="E4467" s="1089" t="s">
        <v>5308</v>
      </c>
      <c r="F4467" s="1081">
        <f t="shared" si="1"/>
        <v>0</v>
      </c>
      <c r="G4467" s="1083">
        <f t="shared" si="2"/>
        <v>57.73</v>
      </c>
      <c r="H4467" s="1084"/>
    </row>
    <row r="4468" ht="14.25" customHeight="1">
      <c r="A4468" s="1085">
        <v>42574.0</v>
      </c>
      <c r="B4468" s="1086" t="s">
        <v>9786</v>
      </c>
      <c r="C4468" s="1087" t="s">
        <v>1731</v>
      </c>
      <c r="D4468" s="1088">
        <v>66.79</v>
      </c>
      <c r="E4468" s="1089" t="s">
        <v>5308</v>
      </c>
      <c r="F4468" s="1081">
        <f t="shared" si="1"/>
        <v>0</v>
      </c>
      <c r="G4468" s="1083">
        <f t="shared" si="2"/>
        <v>66.79</v>
      </c>
      <c r="H4468" s="1084"/>
    </row>
    <row r="4469" ht="14.25" customHeight="1">
      <c r="A4469" s="1085">
        <v>20989.0</v>
      </c>
      <c r="B4469" s="1086" t="s">
        <v>9787</v>
      </c>
      <c r="C4469" s="1087" t="s">
        <v>1731</v>
      </c>
      <c r="D4469" s="1088">
        <v>2068.1</v>
      </c>
      <c r="E4469" s="1089" t="s">
        <v>5308</v>
      </c>
      <c r="F4469" s="1081">
        <f t="shared" si="1"/>
        <v>0</v>
      </c>
      <c r="G4469" s="1083">
        <f t="shared" si="2"/>
        <v>2068.1</v>
      </c>
      <c r="H4469" s="1084"/>
    </row>
    <row r="4470" ht="14.25" customHeight="1">
      <c r="A4470" s="1085">
        <v>21147.0</v>
      </c>
      <c r="B4470" s="1086" t="s">
        <v>9788</v>
      </c>
      <c r="C4470" s="1087" t="s">
        <v>1731</v>
      </c>
      <c r="D4470" s="1088">
        <v>193.91</v>
      </c>
      <c r="E4470" s="1089" t="s">
        <v>5308</v>
      </c>
      <c r="F4470" s="1081">
        <f t="shared" si="1"/>
        <v>0</v>
      </c>
      <c r="G4470" s="1083">
        <f t="shared" si="2"/>
        <v>193.91</v>
      </c>
      <c r="H4470" s="1084"/>
    </row>
    <row r="4471" ht="14.25" customHeight="1">
      <c r="A4471" s="1085">
        <v>21148.0</v>
      </c>
      <c r="B4471" s="1086" t="s">
        <v>9789</v>
      </c>
      <c r="C4471" s="1087" t="s">
        <v>1731</v>
      </c>
      <c r="D4471" s="1088">
        <v>119.68</v>
      </c>
      <c r="E4471" s="1089" t="s">
        <v>5308</v>
      </c>
      <c r="F4471" s="1081">
        <f t="shared" si="1"/>
        <v>0</v>
      </c>
      <c r="G4471" s="1083">
        <f t="shared" si="2"/>
        <v>119.68</v>
      </c>
      <c r="H4471" s="1084"/>
    </row>
    <row r="4472" ht="14.25" customHeight="1">
      <c r="A4472" s="1085">
        <v>20984.0</v>
      </c>
      <c r="B4472" s="1086" t="s">
        <v>9790</v>
      </c>
      <c r="C4472" s="1087" t="s">
        <v>1731</v>
      </c>
      <c r="D4472" s="1088">
        <v>3968.28</v>
      </c>
      <c r="E4472" s="1089" t="s">
        <v>5308</v>
      </c>
      <c r="F4472" s="1081">
        <f t="shared" si="1"/>
        <v>0</v>
      </c>
      <c r="G4472" s="1083">
        <f t="shared" si="2"/>
        <v>3968.28</v>
      </c>
      <c r="H4472" s="1084"/>
    </row>
    <row r="4473" ht="14.25" customHeight="1">
      <c r="A4473" s="1085">
        <v>13042.0</v>
      </c>
      <c r="B4473" s="1086" t="s">
        <v>9791</v>
      </c>
      <c r="C4473" s="1087" t="s">
        <v>1731</v>
      </c>
      <c r="D4473" s="1088">
        <v>2199.01</v>
      </c>
      <c r="E4473" s="1089" t="s">
        <v>5308</v>
      </c>
      <c r="F4473" s="1081">
        <f t="shared" si="1"/>
        <v>0</v>
      </c>
      <c r="G4473" s="1083">
        <f t="shared" si="2"/>
        <v>2199.01</v>
      </c>
      <c r="H4473" s="1084"/>
    </row>
    <row r="4474" ht="14.25" customHeight="1">
      <c r="A4474" s="1085">
        <v>21150.0</v>
      </c>
      <c r="B4474" s="1086" t="s">
        <v>9792</v>
      </c>
      <c r="C4474" s="1087" t="s">
        <v>1731</v>
      </c>
      <c r="D4474" s="1088">
        <v>59.34</v>
      </c>
      <c r="E4474" s="1089" t="s">
        <v>5308</v>
      </c>
      <c r="F4474" s="1081">
        <f t="shared" si="1"/>
        <v>0</v>
      </c>
      <c r="G4474" s="1083">
        <f t="shared" si="2"/>
        <v>59.34</v>
      </c>
      <c r="H4474" s="1084"/>
    </row>
    <row r="4475" ht="14.25" customHeight="1">
      <c r="A4475" s="1085">
        <v>13141.0</v>
      </c>
      <c r="B4475" s="1086" t="s">
        <v>9793</v>
      </c>
      <c r="C4475" s="1087" t="s">
        <v>1731</v>
      </c>
      <c r="D4475" s="1088">
        <v>74.77</v>
      </c>
      <c r="E4475" s="1089" t="s">
        <v>5308</v>
      </c>
      <c r="F4475" s="1081">
        <f t="shared" si="1"/>
        <v>0</v>
      </c>
      <c r="G4475" s="1083">
        <f t="shared" si="2"/>
        <v>74.77</v>
      </c>
      <c r="H4475" s="1084"/>
    </row>
    <row r="4476" ht="14.25" customHeight="1">
      <c r="A4476" s="1085">
        <v>42576.0</v>
      </c>
      <c r="B4476" s="1086" t="s">
        <v>9794</v>
      </c>
      <c r="C4476" s="1087" t="s">
        <v>1731</v>
      </c>
      <c r="D4476" s="1088">
        <v>244.13</v>
      </c>
      <c r="E4476" s="1089" t="s">
        <v>5308</v>
      </c>
      <c r="F4476" s="1081">
        <f t="shared" si="1"/>
        <v>0</v>
      </c>
      <c r="G4476" s="1083">
        <f t="shared" si="2"/>
        <v>244.13</v>
      </c>
      <c r="H4476" s="1084"/>
    </row>
    <row r="4477" ht="14.25" customHeight="1">
      <c r="A4477" s="1085">
        <v>21151.0</v>
      </c>
      <c r="B4477" s="1086" t="s">
        <v>9795</v>
      </c>
      <c r="C4477" s="1087" t="s">
        <v>1731</v>
      </c>
      <c r="D4477" s="1088">
        <v>355.21</v>
      </c>
      <c r="E4477" s="1089" t="s">
        <v>5308</v>
      </c>
      <c r="F4477" s="1081">
        <f t="shared" si="1"/>
        <v>0</v>
      </c>
      <c r="G4477" s="1083">
        <f t="shared" si="2"/>
        <v>355.21</v>
      </c>
      <c r="H4477" s="1084"/>
    </row>
    <row r="4478" ht="14.25" customHeight="1">
      <c r="A4478" s="1085">
        <v>13142.0</v>
      </c>
      <c r="B4478" s="1086" t="s">
        <v>9796</v>
      </c>
      <c r="C4478" s="1087" t="s">
        <v>1731</v>
      </c>
      <c r="D4478" s="1088">
        <v>507.8</v>
      </c>
      <c r="E4478" s="1089" t="s">
        <v>5308</v>
      </c>
      <c r="F4478" s="1081">
        <f t="shared" si="1"/>
        <v>0</v>
      </c>
      <c r="G4478" s="1083">
        <f t="shared" si="2"/>
        <v>507.8</v>
      </c>
      <c r="H4478" s="1084"/>
    </row>
    <row r="4479" ht="14.25" customHeight="1">
      <c r="A4479" s="1085">
        <v>42577.0</v>
      </c>
      <c r="B4479" s="1086" t="s">
        <v>9797</v>
      </c>
      <c r="C4479" s="1087" t="s">
        <v>1731</v>
      </c>
      <c r="D4479" s="1088">
        <v>557.19</v>
      </c>
      <c r="E4479" s="1089" t="s">
        <v>5308</v>
      </c>
      <c r="F4479" s="1081">
        <f t="shared" si="1"/>
        <v>0</v>
      </c>
      <c r="G4479" s="1083">
        <f t="shared" si="2"/>
        <v>557.19</v>
      </c>
      <c r="H4479" s="1084"/>
    </row>
    <row r="4480" ht="14.25" customHeight="1">
      <c r="A4480" s="1085">
        <v>20994.0</v>
      </c>
      <c r="B4480" s="1086" t="s">
        <v>9798</v>
      </c>
      <c r="C4480" s="1087" t="s">
        <v>1731</v>
      </c>
      <c r="D4480" s="1088">
        <v>957.42</v>
      </c>
      <c r="E4480" s="1089" t="s">
        <v>5308</v>
      </c>
      <c r="F4480" s="1081">
        <f t="shared" si="1"/>
        <v>0</v>
      </c>
      <c r="G4480" s="1083">
        <f t="shared" si="2"/>
        <v>957.42</v>
      </c>
      <c r="H4480" s="1084"/>
    </row>
    <row r="4481" ht="14.25" customHeight="1">
      <c r="A4481" s="1085">
        <v>7672.0</v>
      </c>
      <c r="B4481" s="1086" t="s">
        <v>9799</v>
      </c>
      <c r="C4481" s="1087" t="s">
        <v>1731</v>
      </c>
      <c r="D4481" s="1088">
        <v>627.22</v>
      </c>
      <c r="E4481" s="1089" t="s">
        <v>5308</v>
      </c>
      <c r="F4481" s="1081">
        <f t="shared" si="1"/>
        <v>0</v>
      </c>
      <c r="G4481" s="1083">
        <f t="shared" si="2"/>
        <v>627.22</v>
      </c>
      <c r="H4481" s="1084"/>
    </row>
    <row r="4482" ht="14.25" customHeight="1">
      <c r="A4482" s="1085">
        <v>20995.0</v>
      </c>
      <c r="B4482" s="1086" t="s">
        <v>9800</v>
      </c>
      <c r="C4482" s="1087" t="s">
        <v>1731</v>
      </c>
      <c r="D4482" s="1088">
        <v>1258.23</v>
      </c>
      <c r="E4482" s="1089" t="s">
        <v>5308</v>
      </c>
      <c r="F4482" s="1081">
        <f t="shared" si="1"/>
        <v>0</v>
      </c>
      <c r="G4482" s="1083">
        <f t="shared" si="2"/>
        <v>1258.23</v>
      </c>
      <c r="H4482" s="1084"/>
    </row>
    <row r="4483" ht="14.25" customHeight="1">
      <c r="A4483" s="1085">
        <v>7690.0</v>
      </c>
      <c r="B4483" s="1086" t="s">
        <v>9801</v>
      </c>
      <c r="C4483" s="1087" t="s">
        <v>1731</v>
      </c>
      <c r="D4483" s="1088">
        <v>727.72</v>
      </c>
      <c r="E4483" s="1089" t="s">
        <v>5308</v>
      </c>
      <c r="F4483" s="1081">
        <f t="shared" si="1"/>
        <v>0</v>
      </c>
      <c r="G4483" s="1083">
        <f t="shared" si="2"/>
        <v>727.72</v>
      </c>
      <c r="H4483" s="1084"/>
    </row>
    <row r="4484" ht="14.25" customHeight="1">
      <c r="A4484" s="1085">
        <v>20980.0</v>
      </c>
      <c r="B4484" s="1086" t="s">
        <v>9802</v>
      </c>
      <c r="C4484" s="1087" t="s">
        <v>1731</v>
      </c>
      <c r="D4484" s="1088">
        <v>793.87</v>
      </c>
      <c r="E4484" s="1089" t="s">
        <v>5308</v>
      </c>
      <c r="F4484" s="1081">
        <f t="shared" si="1"/>
        <v>0</v>
      </c>
      <c r="G4484" s="1083">
        <f t="shared" si="2"/>
        <v>793.87</v>
      </c>
      <c r="H4484" s="1084"/>
    </row>
    <row r="4485" ht="14.25" customHeight="1">
      <c r="A4485" s="1085">
        <v>7661.0</v>
      </c>
      <c r="B4485" s="1086" t="s">
        <v>9803</v>
      </c>
      <c r="C4485" s="1087" t="s">
        <v>1731</v>
      </c>
      <c r="D4485" s="1088">
        <v>944.38</v>
      </c>
      <c r="E4485" s="1089" t="s">
        <v>5308</v>
      </c>
      <c r="F4485" s="1081">
        <f t="shared" si="1"/>
        <v>0</v>
      </c>
      <c r="G4485" s="1083">
        <f t="shared" si="2"/>
        <v>944.38</v>
      </c>
      <c r="H4485" s="1084"/>
    </row>
    <row r="4486" ht="14.25" customHeight="1">
      <c r="A4486" s="1085">
        <v>21016.0</v>
      </c>
      <c r="B4486" s="1086" t="s">
        <v>9804</v>
      </c>
      <c r="C4486" s="1087" t="s">
        <v>1731</v>
      </c>
      <c r="D4486" s="1088">
        <v>155.76</v>
      </c>
      <c r="E4486" s="1089" t="s">
        <v>5308</v>
      </c>
      <c r="F4486" s="1081">
        <f t="shared" si="1"/>
        <v>0</v>
      </c>
      <c r="G4486" s="1083">
        <f t="shared" si="2"/>
        <v>155.76</v>
      </c>
      <c r="H4486" s="1084"/>
    </row>
    <row r="4487" ht="14.25" customHeight="1">
      <c r="A4487" s="1085">
        <v>21008.0</v>
      </c>
      <c r="B4487" s="1086" t="s">
        <v>9805</v>
      </c>
      <c r="C4487" s="1087" t="s">
        <v>1731</v>
      </c>
      <c r="D4487" s="1088">
        <v>18.2</v>
      </c>
      <c r="E4487" s="1089" t="s">
        <v>5308</v>
      </c>
      <c r="F4487" s="1081">
        <f t="shared" si="1"/>
        <v>0</v>
      </c>
      <c r="G4487" s="1083">
        <f t="shared" si="2"/>
        <v>18.2</v>
      </c>
      <c r="H4487" s="1084"/>
    </row>
    <row r="4488" ht="14.25" customHeight="1">
      <c r="A4488" s="1085">
        <v>21009.0</v>
      </c>
      <c r="B4488" s="1086" t="s">
        <v>9806</v>
      </c>
      <c r="C4488" s="1087" t="s">
        <v>1731</v>
      </c>
      <c r="D4488" s="1088">
        <v>23.69</v>
      </c>
      <c r="E4488" s="1089" t="s">
        <v>5308</v>
      </c>
      <c r="F4488" s="1081">
        <f t="shared" si="1"/>
        <v>0</v>
      </c>
      <c r="G4488" s="1083">
        <f t="shared" si="2"/>
        <v>23.69</v>
      </c>
      <c r="H4488" s="1084"/>
    </row>
    <row r="4489" ht="14.25" customHeight="1">
      <c r="A4489" s="1085">
        <v>21010.0</v>
      </c>
      <c r="B4489" s="1086" t="s">
        <v>9807</v>
      </c>
      <c r="C4489" s="1087" t="s">
        <v>1731</v>
      </c>
      <c r="D4489" s="1088">
        <v>31.81</v>
      </c>
      <c r="E4489" s="1089" t="s">
        <v>5308</v>
      </c>
      <c r="F4489" s="1081">
        <f t="shared" si="1"/>
        <v>0</v>
      </c>
      <c r="G4489" s="1083">
        <f t="shared" si="2"/>
        <v>31.81</v>
      </c>
      <c r="H4489" s="1084"/>
    </row>
    <row r="4490" ht="14.25" customHeight="1">
      <c r="A4490" s="1085">
        <v>21011.0</v>
      </c>
      <c r="B4490" s="1086" t="s">
        <v>9808</v>
      </c>
      <c r="C4490" s="1087" t="s">
        <v>1731</v>
      </c>
      <c r="D4490" s="1088">
        <v>46.36</v>
      </c>
      <c r="E4490" s="1089" t="s">
        <v>5308</v>
      </c>
      <c r="F4490" s="1081">
        <f t="shared" si="1"/>
        <v>0</v>
      </c>
      <c r="G4490" s="1083">
        <f t="shared" si="2"/>
        <v>46.36</v>
      </c>
      <c r="H4490" s="1084"/>
    </row>
    <row r="4491" ht="14.25" customHeight="1">
      <c r="A4491" s="1085">
        <v>21012.0</v>
      </c>
      <c r="B4491" s="1086" t="s">
        <v>9809</v>
      </c>
      <c r="C4491" s="1087" t="s">
        <v>1731</v>
      </c>
      <c r="D4491" s="1088">
        <v>51.23</v>
      </c>
      <c r="E4491" s="1089" t="s">
        <v>5308</v>
      </c>
      <c r="F4491" s="1081">
        <f t="shared" si="1"/>
        <v>0</v>
      </c>
      <c r="G4491" s="1083">
        <f t="shared" si="2"/>
        <v>51.23</v>
      </c>
      <c r="H4491" s="1084"/>
    </row>
    <row r="4492" ht="14.25" customHeight="1">
      <c r="A4492" s="1085">
        <v>21013.0</v>
      </c>
      <c r="B4492" s="1086" t="s">
        <v>9810</v>
      </c>
      <c r="C4492" s="1087" t="s">
        <v>1731</v>
      </c>
      <c r="D4492" s="1088">
        <v>66.86</v>
      </c>
      <c r="E4492" s="1089" t="s">
        <v>5308</v>
      </c>
      <c r="F4492" s="1081">
        <f t="shared" si="1"/>
        <v>0</v>
      </c>
      <c r="G4492" s="1083">
        <f t="shared" si="2"/>
        <v>66.86</v>
      </c>
      <c r="H4492" s="1084"/>
    </row>
    <row r="4493" ht="14.25" customHeight="1">
      <c r="A4493" s="1085">
        <v>21014.0</v>
      </c>
      <c r="B4493" s="1086" t="s">
        <v>9811</v>
      </c>
      <c r="C4493" s="1087" t="s">
        <v>1731</v>
      </c>
      <c r="D4493" s="1088">
        <v>93.55</v>
      </c>
      <c r="E4493" s="1089" t="s">
        <v>5308</v>
      </c>
      <c r="F4493" s="1081">
        <f t="shared" si="1"/>
        <v>0</v>
      </c>
      <c r="G4493" s="1083">
        <f t="shared" si="2"/>
        <v>93.55</v>
      </c>
      <c r="H4493" s="1084"/>
    </row>
    <row r="4494" ht="14.25" customHeight="1">
      <c r="A4494" s="1085">
        <v>21015.0</v>
      </c>
      <c r="B4494" s="1086" t="s">
        <v>9812</v>
      </c>
      <c r="C4494" s="1087" t="s">
        <v>1731</v>
      </c>
      <c r="D4494" s="1088">
        <v>107.47</v>
      </c>
      <c r="E4494" s="1089" t="s">
        <v>5308</v>
      </c>
      <c r="F4494" s="1081">
        <f t="shared" si="1"/>
        <v>0</v>
      </c>
      <c r="G4494" s="1083">
        <f t="shared" si="2"/>
        <v>107.47</v>
      </c>
      <c r="H4494" s="1084"/>
    </row>
    <row r="4495" ht="14.25" customHeight="1">
      <c r="A4495" s="1085">
        <v>7697.0</v>
      </c>
      <c r="B4495" s="1086" t="s">
        <v>9813</v>
      </c>
      <c r="C4495" s="1087" t="s">
        <v>1731</v>
      </c>
      <c r="D4495" s="1088">
        <v>51.28</v>
      </c>
      <c r="E4495" s="1089" t="s">
        <v>5308</v>
      </c>
      <c r="F4495" s="1081">
        <f t="shared" si="1"/>
        <v>0</v>
      </c>
      <c r="G4495" s="1083">
        <f t="shared" si="2"/>
        <v>51.28</v>
      </c>
      <c r="H4495" s="1084"/>
    </row>
    <row r="4496" ht="14.25" customHeight="1">
      <c r="A4496" s="1085">
        <v>7698.0</v>
      </c>
      <c r="B4496" s="1086" t="s">
        <v>9814</v>
      </c>
      <c r="C4496" s="1087" t="s">
        <v>1731</v>
      </c>
      <c r="D4496" s="1088">
        <v>44.14</v>
      </c>
      <c r="E4496" s="1089" t="s">
        <v>5308</v>
      </c>
      <c r="F4496" s="1081">
        <f t="shared" si="1"/>
        <v>0</v>
      </c>
      <c r="G4496" s="1083">
        <f t="shared" si="2"/>
        <v>44.14</v>
      </c>
      <c r="H4496" s="1084"/>
    </row>
    <row r="4497" ht="14.25" customHeight="1">
      <c r="A4497" s="1085">
        <v>7691.0</v>
      </c>
      <c r="B4497" s="1086" t="s">
        <v>9815</v>
      </c>
      <c r="C4497" s="1087" t="s">
        <v>1731</v>
      </c>
      <c r="D4497" s="1088">
        <v>18.65</v>
      </c>
      <c r="E4497" s="1089" t="s">
        <v>5308</v>
      </c>
      <c r="F4497" s="1081">
        <f t="shared" si="1"/>
        <v>0</v>
      </c>
      <c r="G4497" s="1083">
        <f t="shared" si="2"/>
        <v>18.65</v>
      </c>
      <c r="H4497" s="1084"/>
    </row>
    <row r="4498" ht="14.25" customHeight="1">
      <c r="A4498" s="1085">
        <v>40626.0</v>
      </c>
      <c r="B4498" s="1086" t="s">
        <v>9816</v>
      </c>
      <c r="C4498" s="1087" t="s">
        <v>1731</v>
      </c>
      <c r="D4498" s="1088">
        <v>35.01</v>
      </c>
      <c r="E4498" s="1089" t="s">
        <v>5308</v>
      </c>
      <c r="F4498" s="1081">
        <f t="shared" si="1"/>
        <v>0</v>
      </c>
      <c r="G4498" s="1083">
        <f t="shared" si="2"/>
        <v>35.01</v>
      </c>
      <c r="H4498" s="1084"/>
    </row>
    <row r="4499" ht="14.25" customHeight="1">
      <c r="A4499" s="1085">
        <v>7701.0</v>
      </c>
      <c r="B4499" s="1086" t="s">
        <v>9817</v>
      </c>
      <c r="C4499" s="1087" t="s">
        <v>1731</v>
      </c>
      <c r="D4499" s="1088">
        <v>91.78</v>
      </c>
      <c r="E4499" s="1089" t="s">
        <v>5308</v>
      </c>
      <c r="F4499" s="1081">
        <f t="shared" si="1"/>
        <v>0</v>
      </c>
      <c r="G4499" s="1083">
        <f t="shared" si="2"/>
        <v>91.78</v>
      </c>
      <c r="H4499" s="1084"/>
    </row>
    <row r="4500" ht="14.25" customHeight="1">
      <c r="A4500" s="1085">
        <v>7696.0</v>
      </c>
      <c r="B4500" s="1086" t="s">
        <v>9818</v>
      </c>
      <c r="C4500" s="1087" t="s">
        <v>1731</v>
      </c>
      <c r="D4500" s="1088">
        <v>73.95</v>
      </c>
      <c r="E4500" s="1089" t="s">
        <v>5308</v>
      </c>
      <c r="F4500" s="1081">
        <f t="shared" si="1"/>
        <v>0</v>
      </c>
      <c r="G4500" s="1083">
        <f t="shared" si="2"/>
        <v>73.95</v>
      </c>
      <c r="H4500" s="1084"/>
    </row>
    <row r="4501" ht="14.25" customHeight="1">
      <c r="A4501" s="1085">
        <v>7700.0</v>
      </c>
      <c r="B4501" s="1086" t="s">
        <v>9819</v>
      </c>
      <c r="C4501" s="1087" t="s">
        <v>1731</v>
      </c>
      <c r="D4501" s="1088">
        <v>23.59</v>
      </c>
      <c r="E4501" s="1089" t="s">
        <v>5308</v>
      </c>
      <c r="F4501" s="1081">
        <f t="shared" si="1"/>
        <v>0</v>
      </c>
      <c r="G4501" s="1083">
        <f t="shared" si="2"/>
        <v>23.59</v>
      </c>
      <c r="H4501" s="1084"/>
    </row>
    <row r="4502" ht="14.25" customHeight="1">
      <c r="A4502" s="1085">
        <v>7694.0</v>
      </c>
      <c r="B4502" s="1086" t="s">
        <v>9820</v>
      </c>
      <c r="C4502" s="1087" t="s">
        <v>1731</v>
      </c>
      <c r="D4502" s="1088">
        <v>123.5</v>
      </c>
      <c r="E4502" s="1089" t="s">
        <v>5308</v>
      </c>
      <c r="F4502" s="1081">
        <f t="shared" si="1"/>
        <v>0</v>
      </c>
      <c r="G4502" s="1083">
        <f t="shared" si="2"/>
        <v>123.5</v>
      </c>
      <c r="H4502" s="1084"/>
    </row>
    <row r="4503" ht="14.25" customHeight="1">
      <c r="A4503" s="1085">
        <v>7693.0</v>
      </c>
      <c r="B4503" s="1086" t="s">
        <v>9821</v>
      </c>
      <c r="C4503" s="1087" t="s">
        <v>1731</v>
      </c>
      <c r="D4503" s="1088">
        <v>170.09</v>
      </c>
      <c r="E4503" s="1089" t="s">
        <v>5308</v>
      </c>
      <c r="F4503" s="1081">
        <f t="shared" si="1"/>
        <v>0</v>
      </c>
      <c r="G4503" s="1083">
        <f t="shared" si="2"/>
        <v>170.09</v>
      </c>
      <c r="H4503" s="1084"/>
    </row>
    <row r="4504" ht="14.25" customHeight="1">
      <c r="A4504" s="1085">
        <v>7692.0</v>
      </c>
      <c r="B4504" s="1086" t="s">
        <v>9822</v>
      </c>
      <c r="C4504" s="1087" t="s">
        <v>1731</v>
      </c>
      <c r="D4504" s="1088">
        <v>254.65</v>
      </c>
      <c r="E4504" s="1089" t="s">
        <v>5308</v>
      </c>
      <c r="F4504" s="1081">
        <f t="shared" si="1"/>
        <v>0</v>
      </c>
      <c r="G4504" s="1083">
        <f t="shared" si="2"/>
        <v>254.65</v>
      </c>
      <c r="H4504" s="1084"/>
    </row>
    <row r="4505" ht="14.25" customHeight="1">
      <c r="A4505" s="1085">
        <v>7695.0</v>
      </c>
      <c r="B4505" s="1086" t="s">
        <v>9823</v>
      </c>
      <c r="C4505" s="1087" t="s">
        <v>1731</v>
      </c>
      <c r="D4505" s="1088">
        <v>276.18</v>
      </c>
      <c r="E4505" s="1089" t="s">
        <v>5308</v>
      </c>
      <c r="F4505" s="1081">
        <f t="shared" si="1"/>
        <v>0</v>
      </c>
      <c r="G4505" s="1083">
        <f t="shared" si="2"/>
        <v>276.18</v>
      </c>
      <c r="H4505" s="1084"/>
    </row>
    <row r="4506" ht="14.25" customHeight="1">
      <c r="A4506" s="1085">
        <v>13356.0</v>
      </c>
      <c r="B4506" s="1086" t="s">
        <v>9824</v>
      </c>
      <c r="C4506" s="1087" t="s">
        <v>1731</v>
      </c>
      <c r="D4506" s="1088">
        <v>20.02</v>
      </c>
      <c r="E4506" s="1089" t="s">
        <v>5308</v>
      </c>
      <c r="F4506" s="1081">
        <f t="shared" si="1"/>
        <v>0</v>
      </c>
      <c r="G4506" s="1083">
        <f t="shared" si="2"/>
        <v>20.02</v>
      </c>
      <c r="H4506" s="1084"/>
    </row>
    <row r="4507" ht="14.25" customHeight="1">
      <c r="A4507" s="1085">
        <v>36365.0</v>
      </c>
      <c r="B4507" s="1086" t="s">
        <v>9825</v>
      </c>
      <c r="C4507" s="1087" t="s">
        <v>1731</v>
      </c>
      <c r="D4507" s="1088">
        <v>45.78</v>
      </c>
      <c r="E4507" s="1089" t="s">
        <v>5308</v>
      </c>
      <c r="F4507" s="1081">
        <f t="shared" si="1"/>
        <v>0</v>
      </c>
      <c r="G4507" s="1083">
        <f t="shared" si="2"/>
        <v>45.78</v>
      </c>
      <c r="H4507" s="1084"/>
    </row>
    <row r="4508" ht="14.25" customHeight="1">
      <c r="A4508" s="1085">
        <v>41930.0</v>
      </c>
      <c r="B4508" s="1086" t="s">
        <v>9826</v>
      </c>
      <c r="C4508" s="1087" t="s">
        <v>1731</v>
      </c>
      <c r="D4508" s="1088">
        <v>152.49</v>
      </c>
      <c r="E4508" s="1089" t="s">
        <v>5308</v>
      </c>
      <c r="F4508" s="1081">
        <f t="shared" si="1"/>
        <v>0</v>
      </c>
      <c r="G4508" s="1083">
        <f t="shared" si="2"/>
        <v>152.49</v>
      </c>
      <c r="H4508" s="1084"/>
    </row>
    <row r="4509" ht="14.25" customHeight="1">
      <c r="A4509" s="1085">
        <v>41931.0</v>
      </c>
      <c r="B4509" s="1086" t="s">
        <v>9827</v>
      </c>
      <c r="C4509" s="1087" t="s">
        <v>1731</v>
      </c>
      <c r="D4509" s="1088">
        <v>238.84</v>
      </c>
      <c r="E4509" s="1089" t="s">
        <v>5308</v>
      </c>
      <c r="F4509" s="1081">
        <f t="shared" si="1"/>
        <v>0</v>
      </c>
      <c r="G4509" s="1083">
        <f t="shared" si="2"/>
        <v>238.84</v>
      </c>
      <c r="H4509" s="1084"/>
    </row>
    <row r="4510" ht="14.25" customHeight="1">
      <c r="A4510" s="1085">
        <v>41932.0</v>
      </c>
      <c r="B4510" s="1086" t="s">
        <v>9828</v>
      </c>
      <c r="C4510" s="1087" t="s">
        <v>1731</v>
      </c>
      <c r="D4510" s="1088">
        <v>367.62</v>
      </c>
      <c r="E4510" s="1089" t="s">
        <v>5308</v>
      </c>
      <c r="F4510" s="1081">
        <f t="shared" si="1"/>
        <v>0</v>
      </c>
      <c r="G4510" s="1083">
        <f t="shared" si="2"/>
        <v>367.62</v>
      </c>
      <c r="H4510" s="1084"/>
    </row>
    <row r="4511" ht="14.25" customHeight="1">
      <c r="A4511" s="1085">
        <v>41933.0</v>
      </c>
      <c r="B4511" s="1086" t="s">
        <v>9829</v>
      </c>
      <c r="C4511" s="1087" t="s">
        <v>1731</v>
      </c>
      <c r="D4511" s="1088">
        <v>519.53</v>
      </c>
      <c r="E4511" s="1089" t="s">
        <v>5308</v>
      </c>
      <c r="F4511" s="1081">
        <f t="shared" si="1"/>
        <v>0</v>
      </c>
      <c r="G4511" s="1083">
        <f t="shared" si="2"/>
        <v>519.53</v>
      </c>
      <c r="H4511" s="1084"/>
    </row>
    <row r="4512" ht="14.25" customHeight="1">
      <c r="A4512" s="1085">
        <v>41934.0</v>
      </c>
      <c r="B4512" s="1086" t="s">
        <v>9830</v>
      </c>
      <c r="C4512" s="1087" t="s">
        <v>1731</v>
      </c>
      <c r="D4512" s="1088">
        <v>605.05</v>
      </c>
      <c r="E4512" s="1089" t="s">
        <v>5308</v>
      </c>
      <c r="F4512" s="1081">
        <f t="shared" si="1"/>
        <v>0</v>
      </c>
      <c r="G4512" s="1083">
        <f t="shared" si="2"/>
        <v>605.05</v>
      </c>
      <c r="H4512" s="1084"/>
    </row>
    <row r="4513" ht="14.25" customHeight="1">
      <c r="A4513" s="1085">
        <v>41936.0</v>
      </c>
      <c r="B4513" s="1086" t="s">
        <v>9831</v>
      </c>
      <c r="C4513" s="1087" t="s">
        <v>1731</v>
      </c>
      <c r="D4513" s="1088">
        <v>89.79</v>
      </c>
      <c r="E4513" s="1089" t="s">
        <v>5308</v>
      </c>
      <c r="F4513" s="1081">
        <f t="shared" si="1"/>
        <v>0</v>
      </c>
      <c r="G4513" s="1083">
        <f t="shared" si="2"/>
        <v>89.79</v>
      </c>
      <c r="H4513" s="1084"/>
    </row>
    <row r="4514" ht="14.25" customHeight="1">
      <c r="A4514" s="1085">
        <v>44812.0</v>
      </c>
      <c r="B4514" s="1086" t="s">
        <v>9832</v>
      </c>
      <c r="C4514" s="1087" t="s">
        <v>1731</v>
      </c>
      <c r="D4514" s="1088">
        <v>414.85</v>
      </c>
      <c r="E4514" s="1089" t="s">
        <v>5554</v>
      </c>
      <c r="F4514" s="1081">
        <f t="shared" si="1"/>
        <v>0</v>
      </c>
      <c r="G4514" s="1083">
        <f t="shared" si="2"/>
        <v>414.85</v>
      </c>
      <c r="H4514" s="1084"/>
    </row>
    <row r="4515" ht="14.25" customHeight="1">
      <c r="A4515" s="1085">
        <v>41785.0</v>
      </c>
      <c r="B4515" s="1086" t="s">
        <v>9833</v>
      </c>
      <c r="C4515" s="1087" t="s">
        <v>1731</v>
      </c>
      <c r="D4515" s="1088">
        <v>1537.41</v>
      </c>
      <c r="E4515" s="1089" t="s">
        <v>5308</v>
      </c>
      <c r="F4515" s="1081">
        <f t="shared" si="1"/>
        <v>0</v>
      </c>
      <c r="G4515" s="1083">
        <f t="shared" si="2"/>
        <v>1537.41</v>
      </c>
      <c r="H4515" s="1084"/>
    </row>
    <row r="4516" ht="14.25" customHeight="1">
      <c r="A4516" s="1085">
        <v>41781.0</v>
      </c>
      <c r="B4516" s="1086" t="s">
        <v>9834</v>
      </c>
      <c r="C4516" s="1087" t="s">
        <v>1731</v>
      </c>
      <c r="D4516" s="1088">
        <v>277.6</v>
      </c>
      <c r="E4516" s="1089" t="s">
        <v>5308</v>
      </c>
      <c r="F4516" s="1081">
        <f t="shared" si="1"/>
        <v>0</v>
      </c>
      <c r="G4516" s="1083">
        <f t="shared" si="2"/>
        <v>277.6</v>
      </c>
      <c r="H4516" s="1084"/>
    </row>
    <row r="4517" ht="14.25" customHeight="1">
      <c r="A4517" s="1085">
        <v>41783.0</v>
      </c>
      <c r="B4517" s="1086" t="s">
        <v>9835</v>
      </c>
      <c r="C4517" s="1087" t="s">
        <v>1731</v>
      </c>
      <c r="D4517" s="1088">
        <v>998.01</v>
      </c>
      <c r="E4517" s="1089" t="s">
        <v>5308</v>
      </c>
      <c r="F4517" s="1081">
        <f t="shared" si="1"/>
        <v>0</v>
      </c>
      <c r="G4517" s="1083">
        <f t="shared" si="2"/>
        <v>998.01</v>
      </c>
      <c r="H4517" s="1084"/>
    </row>
    <row r="4518" ht="14.25" customHeight="1">
      <c r="A4518" s="1085">
        <v>41786.0</v>
      </c>
      <c r="B4518" s="1086" t="s">
        <v>9836</v>
      </c>
      <c r="C4518" s="1087" t="s">
        <v>1731</v>
      </c>
      <c r="D4518" s="1088">
        <v>2124.79</v>
      </c>
      <c r="E4518" s="1089" t="s">
        <v>5308</v>
      </c>
      <c r="F4518" s="1081">
        <f t="shared" si="1"/>
        <v>0</v>
      </c>
      <c r="G4518" s="1083">
        <f t="shared" si="2"/>
        <v>2124.79</v>
      </c>
      <c r="H4518" s="1084"/>
    </row>
    <row r="4519" ht="14.25" customHeight="1">
      <c r="A4519" s="1085">
        <v>41779.0</v>
      </c>
      <c r="B4519" s="1086" t="s">
        <v>9837</v>
      </c>
      <c r="C4519" s="1087" t="s">
        <v>1731</v>
      </c>
      <c r="D4519" s="1088">
        <v>109.33</v>
      </c>
      <c r="E4519" s="1089" t="s">
        <v>5308</v>
      </c>
      <c r="F4519" s="1081">
        <f t="shared" si="1"/>
        <v>0</v>
      </c>
      <c r="G4519" s="1083">
        <f t="shared" si="2"/>
        <v>109.33</v>
      </c>
      <c r="H4519" s="1084"/>
    </row>
    <row r="4520" ht="14.25" customHeight="1">
      <c r="A4520" s="1085">
        <v>41780.0</v>
      </c>
      <c r="B4520" s="1086" t="s">
        <v>9838</v>
      </c>
      <c r="C4520" s="1087" t="s">
        <v>1731</v>
      </c>
      <c r="D4520" s="1088">
        <v>171.28</v>
      </c>
      <c r="E4520" s="1089" t="s">
        <v>5308</v>
      </c>
      <c r="F4520" s="1081">
        <f t="shared" si="1"/>
        <v>0</v>
      </c>
      <c r="G4520" s="1083">
        <f t="shared" si="2"/>
        <v>171.28</v>
      </c>
      <c r="H4520" s="1084"/>
    </row>
    <row r="4521" ht="14.25" customHeight="1">
      <c r="A4521" s="1085">
        <v>41782.0</v>
      </c>
      <c r="B4521" s="1086" t="s">
        <v>9839</v>
      </c>
      <c r="C4521" s="1087" t="s">
        <v>1731</v>
      </c>
      <c r="D4521" s="1088">
        <v>613.58</v>
      </c>
      <c r="E4521" s="1089" t="s">
        <v>5308</v>
      </c>
      <c r="F4521" s="1081">
        <f t="shared" si="1"/>
        <v>0</v>
      </c>
      <c r="G4521" s="1083">
        <f t="shared" si="2"/>
        <v>613.58</v>
      </c>
      <c r="H4521" s="1084"/>
    </row>
    <row r="4522" ht="14.25" customHeight="1">
      <c r="A4522" s="1085">
        <v>38130.0</v>
      </c>
      <c r="B4522" s="1086" t="s">
        <v>9840</v>
      </c>
      <c r="C4522" s="1087" t="s">
        <v>1731</v>
      </c>
      <c r="D4522" s="1088">
        <v>43.01</v>
      </c>
      <c r="E4522" s="1089" t="s">
        <v>5308</v>
      </c>
      <c r="F4522" s="1081">
        <f t="shared" si="1"/>
        <v>0</v>
      </c>
      <c r="G4522" s="1083">
        <f t="shared" si="2"/>
        <v>43.01</v>
      </c>
      <c r="H4522" s="1084"/>
    </row>
    <row r="4523" ht="14.25" customHeight="1">
      <c r="A4523" s="1085">
        <v>44260.0</v>
      </c>
      <c r="B4523" s="1086" t="s">
        <v>9841</v>
      </c>
      <c r="C4523" s="1087" t="s">
        <v>1731</v>
      </c>
      <c r="D4523" s="1088">
        <v>407.1</v>
      </c>
      <c r="E4523" s="1089" t="s">
        <v>5308</v>
      </c>
      <c r="F4523" s="1081">
        <f t="shared" si="1"/>
        <v>0</v>
      </c>
      <c r="G4523" s="1083">
        <f t="shared" si="2"/>
        <v>407.1</v>
      </c>
      <c r="H4523" s="1084"/>
    </row>
    <row r="4524" ht="14.25" customHeight="1">
      <c r="A4524" s="1085">
        <v>21123.0</v>
      </c>
      <c r="B4524" s="1086" t="s">
        <v>9842</v>
      </c>
      <c r="C4524" s="1087" t="s">
        <v>1731</v>
      </c>
      <c r="D4524" s="1088">
        <v>11.97</v>
      </c>
      <c r="E4524" s="1089" t="s">
        <v>5308</v>
      </c>
      <c r="F4524" s="1081">
        <f t="shared" si="1"/>
        <v>0</v>
      </c>
      <c r="G4524" s="1083">
        <f t="shared" si="2"/>
        <v>11.97</v>
      </c>
      <c r="H4524" s="1084"/>
    </row>
    <row r="4525" ht="14.25" customHeight="1">
      <c r="A4525" s="1085">
        <v>21124.0</v>
      </c>
      <c r="B4525" s="1086" t="s">
        <v>9843</v>
      </c>
      <c r="C4525" s="1087" t="s">
        <v>1731</v>
      </c>
      <c r="D4525" s="1088">
        <v>19.12</v>
      </c>
      <c r="E4525" s="1089" t="s">
        <v>5308</v>
      </c>
      <c r="F4525" s="1081">
        <f t="shared" si="1"/>
        <v>0</v>
      </c>
      <c r="G4525" s="1083">
        <f t="shared" si="2"/>
        <v>19.12</v>
      </c>
      <c r="H4525" s="1084"/>
    </row>
    <row r="4526" ht="14.25" customHeight="1">
      <c r="A4526" s="1085">
        <v>21125.0</v>
      </c>
      <c r="B4526" s="1086" t="s">
        <v>9844</v>
      </c>
      <c r="C4526" s="1087" t="s">
        <v>1731</v>
      </c>
      <c r="D4526" s="1088">
        <v>32.93</v>
      </c>
      <c r="E4526" s="1089" t="s">
        <v>5308</v>
      </c>
      <c r="F4526" s="1081">
        <f t="shared" si="1"/>
        <v>0</v>
      </c>
      <c r="G4526" s="1083">
        <f t="shared" si="2"/>
        <v>32.93</v>
      </c>
      <c r="H4526" s="1084"/>
    </row>
    <row r="4527" ht="14.25" customHeight="1">
      <c r="A4527" s="1085">
        <v>38028.0</v>
      </c>
      <c r="B4527" s="1086" t="s">
        <v>9845</v>
      </c>
      <c r="C4527" s="1087" t="s">
        <v>1731</v>
      </c>
      <c r="D4527" s="1088">
        <v>57.58</v>
      </c>
      <c r="E4527" s="1089" t="s">
        <v>5308</v>
      </c>
      <c r="F4527" s="1081">
        <f t="shared" si="1"/>
        <v>0</v>
      </c>
      <c r="G4527" s="1083">
        <f t="shared" si="2"/>
        <v>57.58</v>
      </c>
      <c r="H4527" s="1084"/>
    </row>
    <row r="4528" ht="14.25" customHeight="1">
      <c r="A4528" s="1085">
        <v>38029.0</v>
      </c>
      <c r="B4528" s="1086" t="s">
        <v>9846</v>
      </c>
      <c r="C4528" s="1087" t="s">
        <v>1731</v>
      </c>
      <c r="D4528" s="1088">
        <v>84.28</v>
      </c>
      <c r="E4528" s="1089" t="s">
        <v>5308</v>
      </c>
      <c r="F4528" s="1081">
        <f t="shared" si="1"/>
        <v>0</v>
      </c>
      <c r="G4528" s="1083">
        <f t="shared" si="2"/>
        <v>84.28</v>
      </c>
      <c r="H4528" s="1084"/>
    </row>
    <row r="4529" ht="14.25" customHeight="1">
      <c r="A4529" s="1085">
        <v>38030.0</v>
      </c>
      <c r="B4529" s="1086" t="s">
        <v>9847</v>
      </c>
      <c r="C4529" s="1087" t="s">
        <v>1731</v>
      </c>
      <c r="D4529" s="1088">
        <v>136.28</v>
      </c>
      <c r="E4529" s="1089" t="s">
        <v>5308</v>
      </c>
      <c r="F4529" s="1081">
        <f t="shared" si="1"/>
        <v>0</v>
      </c>
      <c r="G4529" s="1083">
        <f t="shared" si="2"/>
        <v>136.28</v>
      </c>
      <c r="H4529" s="1084"/>
    </row>
    <row r="4530" ht="14.25" customHeight="1">
      <c r="A4530" s="1085">
        <v>38031.0</v>
      </c>
      <c r="B4530" s="1086" t="s">
        <v>9848</v>
      </c>
      <c r="C4530" s="1087" t="s">
        <v>1731</v>
      </c>
      <c r="D4530" s="1088">
        <v>213.91</v>
      </c>
      <c r="E4530" s="1089" t="s">
        <v>5308</v>
      </c>
      <c r="F4530" s="1081">
        <f t="shared" si="1"/>
        <v>0</v>
      </c>
      <c r="G4530" s="1083">
        <f t="shared" si="2"/>
        <v>213.91</v>
      </c>
      <c r="H4530" s="1084"/>
    </row>
    <row r="4531" ht="14.25" customHeight="1">
      <c r="A4531" s="1085">
        <v>39735.0</v>
      </c>
      <c r="B4531" s="1086" t="s">
        <v>9849</v>
      </c>
      <c r="C4531" s="1087" t="s">
        <v>1731</v>
      </c>
      <c r="D4531" s="1088">
        <v>77.96</v>
      </c>
      <c r="E4531" s="1089" t="s">
        <v>5308</v>
      </c>
      <c r="F4531" s="1081">
        <f t="shared" si="1"/>
        <v>0</v>
      </c>
      <c r="G4531" s="1083">
        <f t="shared" si="2"/>
        <v>77.96</v>
      </c>
      <c r="H4531" s="1084"/>
    </row>
    <row r="4532" ht="14.25" customHeight="1">
      <c r="A4532" s="1085">
        <v>39734.0</v>
      </c>
      <c r="B4532" s="1086" t="s">
        <v>9850</v>
      </c>
      <c r="C4532" s="1087" t="s">
        <v>1731</v>
      </c>
      <c r="D4532" s="1088">
        <v>92.47</v>
      </c>
      <c r="E4532" s="1089" t="s">
        <v>5308</v>
      </c>
      <c r="F4532" s="1081">
        <f t="shared" si="1"/>
        <v>0</v>
      </c>
      <c r="G4532" s="1083">
        <f t="shared" si="2"/>
        <v>92.47</v>
      </c>
      <c r="H4532" s="1084"/>
    </row>
    <row r="4533" ht="14.25" customHeight="1">
      <c r="A4533" s="1085">
        <v>39736.0</v>
      </c>
      <c r="B4533" s="1086" t="s">
        <v>9851</v>
      </c>
      <c r="C4533" s="1087" t="s">
        <v>1731</v>
      </c>
      <c r="D4533" s="1088">
        <v>105.53</v>
      </c>
      <c r="E4533" s="1089" t="s">
        <v>5308</v>
      </c>
      <c r="F4533" s="1081">
        <f t="shared" si="1"/>
        <v>0</v>
      </c>
      <c r="G4533" s="1083">
        <f t="shared" si="2"/>
        <v>105.53</v>
      </c>
      <c r="H4533" s="1084"/>
    </row>
    <row r="4534" ht="14.25" customHeight="1">
      <c r="A4534" s="1085">
        <v>39737.0</v>
      </c>
      <c r="B4534" s="1086" t="s">
        <v>9852</v>
      </c>
      <c r="C4534" s="1087" t="s">
        <v>1731</v>
      </c>
      <c r="D4534" s="1088">
        <v>14.19</v>
      </c>
      <c r="E4534" s="1089" t="s">
        <v>5308</v>
      </c>
      <c r="F4534" s="1081">
        <f t="shared" si="1"/>
        <v>0</v>
      </c>
      <c r="G4534" s="1083">
        <f t="shared" si="2"/>
        <v>14.19</v>
      </c>
      <c r="H4534" s="1084"/>
    </row>
    <row r="4535" ht="14.25" customHeight="1">
      <c r="A4535" s="1085">
        <v>39738.0</v>
      </c>
      <c r="B4535" s="1086" t="s">
        <v>9853</v>
      </c>
      <c r="C4535" s="1087" t="s">
        <v>1731</v>
      </c>
      <c r="D4535" s="1088">
        <v>5.13</v>
      </c>
      <c r="E4535" s="1089" t="s">
        <v>5308</v>
      </c>
      <c r="F4535" s="1081">
        <f t="shared" si="1"/>
        <v>0</v>
      </c>
      <c r="G4535" s="1083">
        <f t="shared" si="2"/>
        <v>5.13</v>
      </c>
      <c r="H4535" s="1084"/>
    </row>
    <row r="4536" ht="14.25" customHeight="1">
      <c r="A4536" s="1085">
        <v>39739.0</v>
      </c>
      <c r="B4536" s="1086" t="s">
        <v>9854</v>
      </c>
      <c r="C4536" s="1087" t="s">
        <v>1731</v>
      </c>
      <c r="D4536" s="1088">
        <v>72.98</v>
      </c>
      <c r="E4536" s="1089" t="s">
        <v>5308</v>
      </c>
      <c r="F4536" s="1081">
        <f t="shared" si="1"/>
        <v>0</v>
      </c>
      <c r="G4536" s="1083">
        <f t="shared" si="2"/>
        <v>72.98</v>
      </c>
      <c r="H4536" s="1084"/>
    </row>
    <row r="4537" ht="14.25" customHeight="1">
      <c r="A4537" s="1085">
        <v>39733.0</v>
      </c>
      <c r="B4537" s="1086" t="s">
        <v>9855</v>
      </c>
      <c r="C4537" s="1087" t="s">
        <v>1731</v>
      </c>
      <c r="D4537" s="1088">
        <v>126.29</v>
      </c>
      <c r="E4537" s="1089" t="s">
        <v>5308</v>
      </c>
      <c r="F4537" s="1081">
        <f t="shared" si="1"/>
        <v>0</v>
      </c>
      <c r="G4537" s="1083">
        <f t="shared" si="2"/>
        <v>126.29</v>
      </c>
      <c r="H4537" s="1084"/>
    </row>
    <row r="4538" ht="14.25" customHeight="1">
      <c r="A4538" s="1085">
        <v>39854.0</v>
      </c>
      <c r="B4538" s="1086" t="s">
        <v>9856</v>
      </c>
      <c r="C4538" s="1087" t="s">
        <v>1731</v>
      </c>
      <c r="D4538" s="1088">
        <v>128.08</v>
      </c>
      <c r="E4538" s="1089" t="s">
        <v>5308</v>
      </c>
      <c r="F4538" s="1081">
        <f t="shared" si="1"/>
        <v>0</v>
      </c>
      <c r="G4538" s="1083">
        <f t="shared" si="2"/>
        <v>128.08</v>
      </c>
      <c r="H4538" s="1084"/>
    </row>
    <row r="4539" ht="14.25" customHeight="1">
      <c r="A4539" s="1085">
        <v>39740.0</v>
      </c>
      <c r="B4539" s="1086" t="s">
        <v>9857</v>
      </c>
      <c r="C4539" s="1087" t="s">
        <v>1731</v>
      </c>
      <c r="D4539" s="1088">
        <v>70.08</v>
      </c>
      <c r="E4539" s="1089" t="s">
        <v>5308</v>
      </c>
      <c r="F4539" s="1081">
        <f t="shared" si="1"/>
        <v>0</v>
      </c>
      <c r="G4539" s="1083">
        <f t="shared" si="2"/>
        <v>70.08</v>
      </c>
      <c r="H4539" s="1084"/>
    </row>
    <row r="4540" ht="14.25" customHeight="1">
      <c r="A4540" s="1085">
        <v>39741.0</v>
      </c>
      <c r="B4540" s="1086" t="s">
        <v>9858</v>
      </c>
      <c r="C4540" s="1087" t="s">
        <v>1731</v>
      </c>
      <c r="D4540" s="1088">
        <v>12.91</v>
      </c>
      <c r="E4540" s="1089" t="s">
        <v>5308</v>
      </c>
      <c r="F4540" s="1081">
        <f t="shared" si="1"/>
        <v>0</v>
      </c>
      <c r="G4540" s="1083">
        <f t="shared" si="2"/>
        <v>12.91</v>
      </c>
      <c r="H4540" s="1084"/>
    </row>
    <row r="4541" ht="14.25" customHeight="1">
      <c r="A4541" s="1085">
        <v>39853.0</v>
      </c>
      <c r="B4541" s="1086" t="s">
        <v>9859</v>
      </c>
      <c r="C4541" s="1087" t="s">
        <v>1731</v>
      </c>
      <c r="D4541" s="1088">
        <v>16.96</v>
      </c>
      <c r="E4541" s="1089" t="s">
        <v>5308</v>
      </c>
      <c r="F4541" s="1081">
        <f t="shared" si="1"/>
        <v>0</v>
      </c>
      <c r="G4541" s="1083">
        <f t="shared" si="2"/>
        <v>16.96</v>
      </c>
      <c r="H4541" s="1084"/>
    </row>
    <row r="4542" ht="14.25" customHeight="1">
      <c r="A4542" s="1085">
        <v>39742.0</v>
      </c>
      <c r="B4542" s="1086" t="s">
        <v>9860</v>
      </c>
      <c r="C4542" s="1087" t="s">
        <v>1731</v>
      </c>
      <c r="D4542" s="1088">
        <v>56.33</v>
      </c>
      <c r="E4542" s="1089" t="s">
        <v>5308</v>
      </c>
      <c r="F4542" s="1081">
        <f t="shared" si="1"/>
        <v>0</v>
      </c>
      <c r="G4542" s="1083">
        <f t="shared" si="2"/>
        <v>56.33</v>
      </c>
      <c r="H4542" s="1084"/>
    </row>
    <row r="4543" ht="14.25" customHeight="1">
      <c r="A4543" s="1085">
        <v>39749.0</v>
      </c>
      <c r="B4543" s="1086" t="s">
        <v>9861</v>
      </c>
      <c r="C4543" s="1087" t="s">
        <v>1731</v>
      </c>
      <c r="D4543" s="1088">
        <v>96.02</v>
      </c>
      <c r="E4543" s="1089" t="s">
        <v>5308</v>
      </c>
      <c r="F4543" s="1081">
        <f t="shared" si="1"/>
        <v>0</v>
      </c>
      <c r="G4543" s="1083">
        <f t="shared" si="2"/>
        <v>96.02</v>
      </c>
      <c r="H4543" s="1084"/>
    </row>
    <row r="4544" ht="14.25" customHeight="1">
      <c r="A4544" s="1085">
        <v>39751.0</v>
      </c>
      <c r="B4544" s="1086" t="s">
        <v>9862</v>
      </c>
      <c r="C4544" s="1087" t="s">
        <v>1731</v>
      </c>
      <c r="D4544" s="1088">
        <v>174.48</v>
      </c>
      <c r="E4544" s="1089" t="s">
        <v>5308</v>
      </c>
      <c r="F4544" s="1081">
        <f t="shared" si="1"/>
        <v>0</v>
      </c>
      <c r="G4544" s="1083">
        <f t="shared" si="2"/>
        <v>174.48</v>
      </c>
      <c r="H4544" s="1084"/>
    </row>
    <row r="4545" ht="14.25" customHeight="1">
      <c r="A4545" s="1085">
        <v>39750.0</v>
      </c>
      <c r="B4545" s="1086" t="s">
        <v>9863</v>
      </c>
      <c r="C4545" s="1087" t="s">
        <v>1731</v>
      </c>
      <c r="D4545" s="1088">
        <v>145.02</v>
      </c>
      <c r="E4545" s="1089" t="s">
        <v>5308</v>
      </c>
      <c r="F4545" s="1081">
        <f t="shared" si="1"/>
        <v>0</v>
      </c>
      <c r="G4545" s="1083">
        <f t="shared" si="2"/>
        <v>145.02</v>
      </c>
      <c r="H4545" s="1084"/>
    </row>
    <row r="4546" ht="14.25" customHeight="1">
      <c r="A4546" s="1085">
        <v>39747.0</v>
      </c>
      <c r="B4546" s="1086" t="s">
        <v>9864</v>
      </c>
      <c r="C4546" s="1087" t="s">
        <v>1731</v>
      </c>
      <c r="D4546" s="1088">
        <v>46.65</v>
      </c>
      <c r="E4546" s="1089" t="s">
        <v>5308</v>
      </c>
      <c r="F4546" s="1081">
        <f t="shared" si="1"/>
        <v>0</v>
      </c>
      <c r="G4546" s="1083">
        <f t="shared" si="2"/>
        <v>46.65</v>
      </c>
      <c r="H4546" s="1084"/>
    </row>
    <row r="4547" ht="14.25" customHeight="1">
      <c r="A4547" s="1085">
        <v>39753.0</v>
      </c>
      <c r="B4547" s="1086" t="s">
        <v>9865</v>
      </c>
      <c r="C4547" s="1087" t="s">
        <v>1731</v>
      </c>
      <c r="D4547" s="1088">
        <v>321.18</v>
      </c>
      <c r="E4547" s="1089" t="s">
        <v>5308</v>
      </c>
      <c r="F4547" s="1081">
        <f t="shared" si="1"/>
        <v>0</v>
      </c>
      <c r="G4547" s="1083">
        <f t="shared" si="2"/>
        <v>321.18</v>
      </c>
      <c r="H4547" s="1084"/>
    </row>
    <row r="4548" ht="14.25" customHeight="1">
      <c r="A4548" s="1085">
        <v>39754.0</v>
      </c>
      <c r="B4548" s="1086" t="s">
        <v>9866</v>
      </c>
      <c r="C4548" s="1087" t="s">
        <v>1731</v>
      </c>
      <c r="D4548" s="1088">
        <v>473.18</v>
      </c>
      <c r="E4548" s="1089" t="s">
        <v>5308</v>
      </c>
      <c r="F4548" s="1081">
        <f t="shared" si="1"/>
        <v>0</v>
      </c>
      <c r="G4548" s="1083">
        <f t="shared" si="2"/>
        <v>473.18</v>
      </c>
      <c r="H4548" s="1084"/>
    </row>
    <row r="4549" ht="14.25" customHeight="1">
      <c r="A4549" s="1085">
        <v>39748.0</v>
      </c>
      <c r="B4549" s="1086" t="s">
        <v>9867</v>
      </c>
      <c r="C4549" s="1087" t="s">
        <v>1731</v>
      </c>
      <c r="D4549" s="1088">
        <v>75.48</v>
      </c>
      <c r="E4549" s="1089" t="s">
        <v>5308</v>
      </c>
      <c r="F4549" s="1081">
        <f t="shared" si="1"/>
        <v>0</v>
      </c>
      <c r="G4549" s="1083">
        <f t="shared" si="2"/>
        <v>75.48</v>
      </c>
      <c r="H4549" s="1084"/>
    </row>
    <row r="4550" ht="14.25" customHeight="1">
      <c r="A4550" s="1085">
        <v>39755.0</v>
      </c>
      <c r="B4550" s="1086" t="s">
        <v>9868</v>
      </c>
      <c r="C4550" s="1087" t="s">
        <v>1731</v>
      </c>
      <c r="D4550" s="1088">
        <v>717.46</v>
      </c>
      <c r="E4550" s="1089" t="s">
        <v>5308</v>
      </c>
      <c r="F4550" s="1081">
        <f t="shared" si="1"/>
        <v>0</v>
      </c>
      <c r="G4550" s="1083">
        <f t="shared" si="2"/>
        <v>717.46</v>
      </c>
      <c r="H4550" s="1084"/>
    </row>
    <row r="4551" ht="14.25" customHeight="1">
      <c r="A4551" s="1085">
        <v>12742.0</v>
      </c>
      <c r="B4551" s="1086" t="s">
        <v>9869</v>
      </c>
      <c r="C4551" s="1087" t="s">
        <v>1731</v>
      </c>
      <c r="D4551" s="1088">
        <v>568.1</v>
      </c>
      <c r="E4551" s="1089" t="s">
        <v>5308</v>
      </c>
      <c r="F4551" s="1081">
        <f t="shared" si="1"/>
        <v>0</v>
      </c>
      <c r="G4551" s="1083">
        <f t="shared" si="2"/>
        <v>568.1</v>
      </c>
      <c r="H4551" s="1084"/>
    </row>
    <row r="4552" ht="14.25" customHeight="1">
      <c r="A4552" s="1085">
        <v>12713.0</v>
      </c>
      <c r="B4552" s="1086" t="s">
        <v>9870</v>
      </c>
      <c r="C4552" s="1087" t="s">
        <v>1731</v>
      </c>
      <c r="D4552" s="1088">
        <v>30.13</v>
      </c>
      <c r="E4552" s="1089" t="s">
        <v>5308</v>
      </c>
      <c r="F4552" s="1081">
        <f t="shared" si="1"/>
        <v>0</v>
      </c>
      <c r="G4552" s="1083">
        <f t="shared" si="2"/>
        <v>30.13</v>
      </c>
      <c r="H4552" s="1084"/>
    </row>
    <row r="4553" ht="14.25" customHeight="1">
      <c r="A4553" s="1085">
        <v>12743.0</v>
      </c>
      <c r="B4553" s="1086" t="s">
        <v>9871</v>
      </c>
      <c r="C4553" s="1087" t="s">
        <v>1731</v>
      </c>
      <c r="D4553" s="1088">
        <v>51.83</v>
      </c>
      <c r="E4553" s="1089" t="s">
        <v>5308</v>
      </c>
      <c r="F4553" s="1081">
        <f t="shared" si="1"/>
        <v>0</v>
      </c>
      <c r="G4553" s="1083">
        <f t="shared" si="2"/>
        <v>51.83</v>
      </c>
      <c r="H4553" s="1084"/>
    </row>
    <row r="4554" ht="14.25" customHeight="1">
      <c r="A4554" s="1085">
        <v>12744.0</v>
      </c>
      <c r="B4554" s="1086" t="s">
        <v>9872</v>
      </c>
      <c r="C4554" s="1087" t="s">
        <v>1731</v>
      </c>
      <c r="D4554" s="1088">
        <v>65.78</v>
      </c>
      <c r="E4554" s="1089" t="s">
        <v>5308</v>
      </c>
      <c r="F4554" s="1081">
        <f t="shared" si="1"/>
        <v>0</v>
      </c>
      <c r="G4554" s="1083">
        <f t="shared" si="2"/>
        <v>65.78</v>
      </c>
      <c r="H4554" s="1084"/>
    </row>
    <row r="4555" ht="14.25" customHeight="1">
      <c r="A4555" s="1085">
        <v>12745.0</v>
      </c>
      <c r="B4555" s="1086" t="s">
        <v>9873</v>
      </c>
      <c r="C4555" s="1087" t="s">
        <v>1731</v>
      </c>
      <c r="D4555" s="1088">
        <v>95.53</v>
      </c>
      <c r="E4555" s="1089" t="s">
        <v>5308</v>
      </c>
      <c r="F4555" s="1081">
        <f t="shared" si="1"/>
        <v>0</v>
      </c>
      <c r="G4555" s="1083">
        <f t="shared" si="2"/>
        <v>95.53</v>
      </c>
      <c r="H4555" s="1084"/>
    </row>
    <row r="4556" ht="14.25" customHeight="1">
      <c r="A4556" s="1085">
        <v>12746.0</v>
      </c>
      <c r="B4556" s="1086" t="s">
        <v>9874</v>
      </c>
      <c r="C4556" s="1087" t="s">
        <v>1731</v>
      </c>
      <c r="D4556" s="1088">
        <v>128.99</v>
      </c>
      <c r="E4556" s="1089" t="s">
        <v>5308</v>
      </c>
      <c r="F4556" s="1081">
        <f t="shared" si="1"/>
        <v>0</v>
      </c>
      <c r="G4556" s="1083">
        <f t="shared" si="2"/>
        <v>128.99</v>
      </c>
      <c r="H4556" s="1084"/>
    </row>
    <row r="4557" ht="14.25" customHeight="1">
      <c r="A4557" s="1085">
        <v>12747.0</v>
      </c>
      <c r="B4557" s="1086" t="s">
        <v>9875</v>
      </c>
      <c r="C4557" s="1087" t="s">
        <v>1731</v>
      </c>
      <c r="D4557" s="1088">
        <v>187.07</v>
      </c>
      <c r="E4557" s="1089" t="s">
        <v>5308</v>
      </c>
      <c r="F4557" s="1081">
        <f t="shared" si="1"/>
        <v>0</v>
      </c>
      <c r="G4557" s="1083">
        <f t="shared" si="2"/>
        <v>187.07</v>
      </c>
      <c r="H4557" s="1084"/>
    </row>
    <row r="4558" ht="14.25" customHeight="1">
      <c r="A4558" s="1085">
        <v>12748.0</v>
      </c>
      <c r="B4558" s="1086" t="s">
        <v>9876</v>
      </c>
      <c r="C4558" s="1087" t="s">
        <v>1731</v>
      </c>
      <c r="D4558" s="1088">
        <v>263.55</v>
      </c>
      <c r="E4558" s="1089" t="s">
        <v>5308</v>
      </c>
      <c r="F4558" s="1081">
        <f t="shared" si="1"/>
        <v>0</v>
      </c>
      <c r="G4558" s="1083">
        <f t="shared" si="2"/>
        <v>263.55</v>
      </c>
      <c r="H4558" s="1084"/>
    </row>
    <row r="4559" ht="14.25" customHeight="1">
      <c r="A4559" s="1085">
        <v>12749.0</v>
      </c>
      <c r="B4559" s="1086" t="s">
        <v>9877</v>
      </c>
      <c r="C4559" s="1087" t="s">
        <v>1731</v>
      </c>
      <c r="D4559" s="1088">
        <v>385.27</v>
      </c>
      <c r="E4559" s="1089" t="s">
        <v>5308</v>
      </c>
      <c r="F4559" s="1081">
        <f t="shared" si="1"/>
        <v>0</v>
      </c>
      <c r="G4559" s="1083">
        <f t="shared" si="2"/>
        <v>385.27</v>
      </c>
      <c r="H4559" s="1084"/>
    </row>
    <row r="4560" ht="14.25" customHeight="1">
      <c r="A4560" s="1085">
        <v>39726.0</v>
      </c>
      <c r="B4560" s="1086" t="s">
        <v>9878</v>
      </c>
      <c r="C4560" s="1087" t="s">
        <v>1731</v>
      </c>
      <c r="D4560" s="1088">
        <v>126.54</v>
      </c>
      <c r="E4560" s="1089" t="s">
        <v>5308</v>
      </c>
      <c r="F4560" s="1081">
        <f t="shared" si="1"/>
        <v>0</v>
      </c>
      <c r="G4560" s="1083">
        <f t="shared" si="2"/>
        <v>126.54</v>
      </c>
      <c r="H4560" s="1084"/>
    </row>
    <row r="4561" ht="14.25" customHeight="1">
      <c r="A4561" s="1085">
        <v>39728.0</v>
      </c>
      <c r="B4561" s="1086" t="s">
        <v>9879</v>
      </c>
      <c r="C4561" s="1087" t="s">
        <v>1731</v>
      </c>
      <c r="D4561" s="1088">
        <v>222.4</v>
      </c>
      <c r="E4561" s="1089" t="s">
        <v>5308</v>
      </c>
      <c r="F4561" s="1081">
        <f t="shared" si="1"/>
        <v>0</v>
      </c>
      <c r="G4561" s="1083">
        <f t="shared" si="2"/>
        <v>222.4</v>
      </c>
      <c r="H4561" s="1084"/>
    </row>
    <row r="4562" ht="14.25" customHeight="1">
      <c r="A4562" s="1085">
        <v>39727.0</v>
      </c>
      <c r="B4562" s="1086" t="s">
        <v>9880</v>
      </c>
      <c r="C4562" s="1087" t="s">
        <v>1731</v>
      </c>
      <c r="D4562" s="1088">
        <v>183.03</v>
      </c>
      <c r="E4562" s="1089" t="s">
        <v>5308</v>
      </c>
      <c r="F4562" s="1081">
        <f t="shared" si="1"/>
        <v>0</v>
      </c>
      <c r="G4562" s="1083">
        <f t="shared" si="2"/>
        <v>183.03</v>
      </c>
      <c r="H4562" s="1084"/>
    </row>
    <row r="4563" ht="14.25" customHeight="1">
      <c r="A4563" s="1085">
        <v>39724.0</v>
      </c>
      <c r="B4563" s="1086" t="s">
        <v>9881</v>
      </c>
      <c r="C4563" s="1087" t="s">
        <v>1731</v>
      </c>
      <c r="D4563" s="1088">
        <v>56.04</v>
      </c>
      <c r="E4563" s="1089" t="s">
        <v>5308</v>
      </c>
      <c r="F4563" s="1081">
        <f t="shared" si="1"/>
        <v>0</v>
      </c>
      <c r="G4563" s="1083">
        <f t="shared" si="2"/>
        <v>56.04</v>
      </c>
      <c r="H4563" s="1084"/>
    </row>
    <row r="4564" ht="14.25" customHeight="1">
      <c r="A4564" s="1085">
        <v>39729.0</v>
      </c>
      <c r="B4564" s="1086" t="s">
        <v>9882</v>
      </c>
      <c r="C4564" s="1087" t="s">
        <v>1731</v>
      </c>
      <c r="D4564" s="1088">
        <v>307.99</v>
      </c>
      <c r="E4564" s="1089" t="s">
        <v>5308</v>
      </c>
      <c r="F4564" s="1081">
        <f t="shared" si="1"/>
        <v>0</v>
      </c>
      <c r="G4564" s="1083">
        <f t="shared" si="2"/>
        <v>307.99</v>
      </c>
      <c r="H4564" s="1084"/>
    </row>
    <row r="4565" ht="14.25" customHeight="1">
      <c r="A4565" s="1085">
        <v>39730.0</v>
      </c>
      <c r="B4565" s="1086" t="s">
        <v>9883</v>
      </c>
      <c r="C4565" s="1087" t="s">
        <v>1731</v>
      </c>
      <c r="D4565" s="1088">
        <v>399.6</v>
      </c>
      <c r="E4565" s="1089" t="s">
        <v>5308</v>
      </c>
      <c r="F4565" s="1081">
        <f t="shared" si="1"/>
        <v>0</v>
      </c>
      <c r="G4565" s="1083">
        <f t="shared" si="2"/>
        <v>399.6</v>
      </c>
      <c r="H4565" s="1084"/>
    </row>
    <row r="4566" ht="14.25" customHeight="1">
      <c r="A4566" s="1085">
        <v>39731.0</v>
      </c>
      <c r="B4566" s="1086" t="s">
        <v>9884</v>
      </c>
      <c r="C4566" s="1087" t="s">
        <v>1731</v>
      </c>
      <c r="D4566" s="1088">
        <v>591.84</v>
      </c>
      <c r="E4566" s="1089" t="s">
        <v>5308</v>
      </c>
      <c r="F4566" s="1081">
        <f t="shared" si="1"/>
        <v>0</v>
      </c>
      <c r="G4566" s="1083">
        <f t="shared" si="2"/>
        <v>591.84</v>
      </c>
      <c r="H4566" s="1084"/>
    </row>
    <row r="4567" ht="14.25" customHeight="1">
      <c r="A4567" s="1085">
        <v>39725.0</v>
      </c>
      <c r="B4567" s="1086" t="s">
        <v>9885</v>
      </c>
      <c r="C4567" s="1087" t="s">
        <v>1731</v>
      </c>
      <c r="D4567" s="1088">
        <v>91.33</v>
      </c>
      <c r="E4567" s="1089" t="s">
        <v>5308</v>
      </c>
      <c r="F4567" s="1081">
        <f t="shared" si="1"/>
        <v>0</v>
      </c>
      <c r="G4567" s="1083">
        <f t="shared" si="2"/>
        <v>91.33</v>
      </c>
      <c r="H4567" s="1084"/>
    </row>
    <row r="4568" ht="14.25" customHeight="1">
      <c r="A4568" s="1085">
        <v>39732.0</v>
      </c>
      <c r="B4568" s="1086" t="s">
        <v>9886</v>
      </c>
      <c r="C4568" s="1087" t="s">
        <v>1731</v>
      </c>
      <c r="D4568" s="1088">
        <v>871.16</v>
      </c>
      <c r="E4568" s="1089" t="s">
        <v>5308</v>
      </c>
      <c r="F4568" s="1081">
        <f t="shared" si="1"/>
        <v>0</v>
      </c>
      <c r="G4568" s="1083">
        <f t="shared" si="2"/>
        <v>871.16</v>
      </c>
      <c r="H4568" s="1084"/>
    </row>
    <row r="4569" ht="14.25" customHeight="1">
      <c r="A4569" s="1085">
        <v>39660.0</v>
      </c>
      <c r="B4569" s="1086" t="s">
        <v>9887</v>
      </c>
      <c r="C4569" s="1087" t="s">
        <v>1731</v>
      </c>
      <c r="D4569" s="1088">
        <v>39.7</v>
      </c>
      <c r="E4569" s="1089" t="s">
        <v>5308</v>
      </c>
      <c r="F4569" s="1081">
        <f t="shared" si="1"/>
        <v>0</v>
      </c>
      <c r="G4569" s="1083">
        <f t="shared" si="2"/>
        <v>39.7</v>
      </c>
      <c r="H4569" s="1084"/>
    </row>
    <row r="4570" ht="14.25" customHeight="1">
      <c r="A4570" s="1085">
        <v>39662.0</v>
      </c>
      <c r="B4570" s="1086" t="s">
        <v>9888</v>
      </c>
      <c r="C4570" s="1087" t="s">
        <v>1731</v>
      </c>
      <c r="D4570" s="1088">
        <v>19.02</v>
      </c>
      <c r="E4570" s="1089" t="s">
        <v>5308</v>
      </c>
      <c r="F4570" s="1081">
        <f t="shared" si="1"/>
        <v>0</v>
      </c>
      <c r="G4570" s="1083">
        <f t="shared" si="2"/>
        <v>19.02</v>
      </c>
      <c r="H4570" s="1084"/>
    </row>
    <row r="4571" ht="14.25" customHeight="1">
      <c r="A4571" s="1085">
        <v>39661.0</v>
      </c>
      <c r="B4571" s="1086" t="s">
        <v>9889</v>
      </c>
      <c r="C4571" s="1087" t="s">
        <v>1731</v>
      </c>
      <c r="D4571" s="1088">
        <v>12.97</v>
      </c>
      <c r="E4571" s="1089" t="s">
        <v>5308</v>
      </c>
      <c r="F4571" s="1081">
        <f t="shared" si="1"/>
        <v>0</v>
      </c>
      <c r="G4571" s="1083">
        <f t="shared" si="2"/>
        <v>12.97</v>
      </c>
      <c r="H4571" s="1084"/>
    </row>
    <row r="4572" ht="14.25" customHeight="1">
      <c r="A4572" s="1085">
        <v>39666.0</v>
      </c>
      <c r="B4572" s="1086" t="s">
        <v>9890</v>
      </c>
      <c r="C4572" s="1087" t="s">
        <v>1731</v>
      </c>
      <c r="D4572" s="1088">
        <v>59.72</v>
      </c>
      <c r="E4572" s="1089" t="s">
        <v>5308</v>
      </c>
      <c r="F4572" s="1081">
        <f t="shared" si="1"/>
        <v>0</v>
      </c>
      <c r="G4572" s="1083">
        <f t="shared" si="2"/>
        <v>59.72</v>
      </c>
      <c r="H4572" s="1084"/>
    </row>
    <row r="4573" ht="14.25" customHeight="1">
      <c r="A4573" s="1085">
        <v>39664.0</v>
      </c>
      <c r="B4573" s="1086" t="s">
        <v>9891</v>
      </c>
      <c r="C4573" s="1087" t="s">
        <v>1731</v>
      </c>
      <c r="D4573" s="1088">
        <v>29.27</v>
      </c>
      <c r="E4573" s="1089" t="s">
        <v>5308</v>
      </c>
      <c r="F4573" s="1081">
        <f t="shared" si="1"/>
        <v>0</v>
      </c>
      <c r="G4573" s="1083">
        <f t="shared" si="2"/>
        <v>29.27</v>
      </c>
      <c r="H4573" s="1084"/>
    </row>
    <row r="4574" ht="14.25" customHeight="1">
      <c r="A4574" s="1085">
        <v>39663.0</v>
      </c>
      <c r="B4574" s="1086" t="s">
        <v>9892</v>
      </c>
      <c r="C4574" s="1087" t="s">
        <v>1731</v>
      </c>
      <c r="D4574" s="1088">
        <v>23.4</v>
      </c>
      <c r="E4574" s="1089" t="s">
        <v>5308</v>
      </c>
      <c r="F4574" s="1081">
        <f t="shared" si="1"/>
        <v>0</v>
      </c>
      <c r="G4574" s="1083">
        <f t="shared" si="2"/>
        <v>23.4</v>
      </c>
      <c r="H4574" s="1084"/>
    </row>
    <row r="4575" ht="14.25" customHeight="1">
      <c r="A4575" s="1085">
        <v>39665.0</v>
      </c>
      <c r="B4575" s="1086" t="s">
        <v>9893</v>
      </c>
      <c r="C4575" s="1087" t="s">
        <v>1731</v>
      </c>
      <c r="D4575" s="1088">
        <v>49.38</v>
      </c>
      <c r="E4575" s="1089" t="s">
        <v>5308</v>
      </c>
      <c r="F4575" s="1081">
        <f t="shared" si="1"/>
        <v>0</v>
      </c>
      <c r="G4575" s="1083">
        <f t="shared" si="2"/>
        <v>49.38</v>
      </c>
      <c r="H4575" s="1084"/>
    </row>
    <row r="4576" ht="14.25" customHeight="1">
      <c r="A4576" s="1085">
        <v>39752.0</v>
      </c>
      <c r="B4576" s="1086" t="s">
        <v>9894</v>
      </c>
      <c r="C4576" s="1087" t="s">
        <v>1731</v>
      </c>
      <c r="D4576" s="1088">
        <v>248.27</v>
      </c>
      <c r="E4576" s="1089" t="s">
        <v>5308</v>
      </c>
      <c r="F4576" s="1081">
        <f t="shared" si="1"/>
        <v>0</v>
      </c>
      <c r="G4576" s="1083">
        <f t="shared" si="2"/>
        <v>248.27</v>
      </c>
      <c r="H4576" s="1084"/>
    </row>
    <row r="4577" ht="14.25" customHeight="1">
      <c r="A4577" s="1085">
        <v>7725.0</v>
      </c>
      <c r="B4577" s="1086" t="s">
        <v>9895</v>
      </c>
      <c r="C4577" s="1087" t="s">
        <v>1731</v>
      </c>
      <c r="D4577" s="1088">
        <v>160.0</v>
      </c>
      <c r="E4577" s="1089" t="s">
        <v>5308</v>
      </c>
      <c r="F4577" s="1081">
        <f t="shared" si="1"/>
        <v>0</v>
      </c>
      <c r="G4577" s="1083">
        <f t="shared" si="2"/>
        <v>160</v>
      </c>
      <c r="H4577" s="1084"/>
    </row>
    <row r="4578" ht="14.25" customHeight="1">
      <c r="A4578" s="1085">
        <v>7753.0</v>
      </c>
      <c r="B4578" s="1086" t="s">
        <v>9896</v>
      </c>
      <c r="C4578" s="1087" t="s">
        <v>1731</v>
      </c>
      <c r="D4578" s="1088">
        <v>311.93</v>
      </c>
      <c r="E4578" s="1089" t="s">
        <v>5308</v>
      </c>
      <c r="F4578" s="1081">
        <f t="shared" si="1"/>
        <v>0</v>
      </c>
      <c r="G4578" s="1083">
        <f t="shared" si="2"/>
        <v>311.93</v>
      </c>
      <c r="H4578" s="1084"/>
    </row>
    <row r="4579" ht="14.25" customHeight="1">
      <c r="A4579" s="1085">
        <v>13256.0</v>
      </c>
      <c r="B4579" s="1086" t="s">
        <v>9897</v>
      </c>
      <c r="C4579" s="1087" t="s">
        <v>1731</v>
      </c>
      <c r="D4579" s="1088">
        <v>436.97</v>
      </c>
      <c r="E4579" s="1089" t="s">
        <v>5308</v>
      </c>
      <c r="F4579" s="1081">
        <f t="shared" si="1"/>
        <v>0</v>
      </c>
      <c r="G4579" s="1083">
        <f t="shared" si="2"/>
        <v>436.97</v>
      </c>
      <c r="H4579" s="1084"/>
    </row>
    <row r="4580" ht="14.25" customHeight="1">
      <c r="A4580" s="1085">
        <v>7757.0</v>
      </c>
      <c r="B4580" s="1086" t="s">
        <v>9898</v>
      </c>
      <c r="C4580" s="1087" t="s">
        <v>1731</v>
      </c>
      <c r="D4580" s="1088">
        <v>465.88</v>
      </c>
      <c r="E4580" s="1089" t="s">
        <v>5308</v>
      </c>
      <c r="F4580" s="1081">
        <f t="shared" si="1"/>
        <v>0</v>
      </c>
      <c r="G4580" s="1083">
        <f t="shared" si="2"/>
        <v>465.88</v>
      </c>
      <c r="H4580" s="1084"/>
    </row>
    <row r="4581" ht="14.25" customHeight="1">
      <c r="A4581" s="1085">
        <v>7758.0</v>
      </c>
      <c r="B4581" s="1086" t="s">
        <v>9899</v>
      </c>
      <c r="C4581" s="1087" t="s">
        <v>1731</v>
      </c>
      <c r="D4581" s="1088">
        <v>674.95</v>
      </c>
      <c r="E4581" s="1089" t="s">
        <v>5308</v>
      </c>
      <c r="F4581" s="1081">
        <f t="shared" si="1"/>
        <v>0</v>
      </c>
      <c r="G4581" s="1083">
        <f t="shared" si="2"/>
        <v>674.95</v>
      </c>
      <c r="H4581" s="1084"/>
    </row>
    <row r="4582" ht="14.25" customHeight="1">
      <c r="A4582" s="1085">
        <v>7759.0</v>
      </c>
      <c r="B4582" s="1086" t="s">
        <v>9900</v>
      </c>
      <c r="C4582" s="1087" t="s">
        <v>1731</v>
      </c>
      <c r="D4582" s="1088">
        <v>1870.3</v>
      </c>
      <c r="E4582" s="1089" t="s">
        <v>5308</v>
      </c>
      <c r="F4582" s="1081">
        <f t="shared" si="1"/>
        <v>0</v>
      </c>
      <c r="G4582" s="1083">
        <f t="shared" si="2"/>
        <v>1870.3</v>
      </c>
      <c r="H4582" s="1084"/>
    </row>
    <row r="4583" ht="14.25" customHeight="1">
      <c r="A4583" s="1085">
        <v>40334.0</v>
      </c>
      <c r="B4583" s="1086" t="s">
        <v>9901</v>
      </c>
      <c r="C4583" s="1087" t="s">
        <v>1731</v>
      </c>
      <c r="D4583" s="1088">
        <v>73.27</v>
      </c>
      <c r="E4583" s="1089" t="s">
        <v>5308</v>
      </c>
      <c r="F4583" s="1081">
        <f t="shared" si="1"/>
        <v>0</v>
      </c>
      <c r="G4583" s="1083">
        <f t="shared" si="2"/>
        <v>73.27</v>
      </c>
      <c r="H4583" s="1084"/>
    </row>
    <row r="4584" ht="14.25" customHeight="1">
      <c r="A4584" s="1085">
        <v>7745.0</v>
      </c>
      <c r="B4584" s="1086" t="s">
        <v>9902</v>
      </c>
      <c r="C4584" s="1087" t="s">
        <v>1731</v>
      </c>
      <c r="D4584" s="1088">
        <v>82.68</v>
      </c>
      <c r="E4584" s="1089" t="s">
        <v>5308</v>
      </c>
      <c r="F4584" s="1081">
        <f t="shared" si="1"/>
        <v>0</v>
      </c>
      <c r="G4584" s="1083">
        <f t="shared" si="2"/>
        <v>82.68</v>
      </c>
      <c r="H4584" s="1084"/>
    </row>
    <row r="4585" ht="14.25" customHeight="1">
      <c r="A4585" s="1085">
        <v>7714.0</v>
      </c>
      <c r="B4585" s="1086" t="s">
        <v>9903</v>
      </c>
      <c r="C4585" s="1087" t="s">
        <v>1731</v>
      </c>
      <c r="D4585" s="1088">
        <v>98.82</v>
      </c>
      <c r="E4585" s="1089" t="s">
        <v>5308</v>
      </c>
      <c r="F4585" s="1081">
        <f t="shared" si="1"/>
        <v>0</v>
      </c>
      <c r="G4585" s="1083">
        <f t="shared" si="2"/>
        <v>98.82</v>
      </c>
      <c r="H4585" s="1084"/>
    </row>
    <row r="4586" ht="14.25" customHeight="1">
      <c r="A4586" s="1085">
        <v>7742.0</v>
      </c>
      <c r="B4586" s="1086" t="s">
        <v>9904</v>
      </c>
      <c r="C4586" s="1087" t="s">
        <v>1731</v>
      </c>
      <c r="D4586" s="1088">
        <v>218.08</v>
      </c>
      <c r="E4586" s="1089" t="s">
        <v>5308</v>
      </c>
      <c r="F4586" s="1081">
        <f t="shared" si="1"/>
        <v>0</v>
      </c>
      <c r="G4586" s="1083">
        <f t="shared" si="2"/>
        <v>218.08</v>
      </c>
      <c r="H4586" s="1084"/>
    </row>
    <row r="4587" ht="14.25" customHeight="1">
      <c r="A4587" s="1085">
        <v>7750.0</v>
      </c>
      <c r="B4587" s="1086" t="s">
        <v>9905</v>
      </c>
      <c r="C4587" s="1087" t="s">
        <v>1731</v>
      </c>
      <c r="D4587" s="1088">
        <v>266.21</v>
      </c>
      <c r="E4587" s="1089" t="s">
        <v>5308</v>
      </c>
      <c r="F4587" s="1081">
        <f t="shared" si="1"/>
        <v>0</v>
      </c>
      <c r="G4587" s="1083">
        <f t="shared" si="2"/>
        <v>266.21</v>
      </c>
      <c r="H4587" s="1084"/>
    </row>
    <row r="4588" ht="14.25" customHeight="1">
      <c r="A4588" s="1085">
        <v>7756.0</v>
      </c>
      <c r="B4588" s="1086" t="s">
        <v>9906</v>
      </c>
      <c r="C4588" s="1087" t="s">
        <v>1731</v>
      </c>
      <c r="D4588" s="1088">
        <v>305.88</v>
      </c>
      <c r="E4588" s="1089" t="s">
        <v>5308</v>
      </c>
      <c r="F4588" s="1081">
        <f t="shared" si="1"/>
        <v>0</v>
      </c>
      <c r="G4588" s="1083">
        <f t="shared" si="2"/>
        <v>305.88</v>
      </c>
      <c r="H4588" s="1084"/>
    </row>
    <row r="4589" ht="14.25" customHeight="1">
      <c r="A4589" s="1085">
        <v>7765.0</v>
      </c>
      <c r="B4589" s="1086" t="s">
        <v>9907</v>
      </c>
      <c r="C4589" s="1087" t="s">
        <v>1731</v>
      </c>
      <c r="D4589" s="1088">
        <v>342.85</v>
      </c>
      <c r="E4589" s="1089" t="s">
        <v>5308</v>
      </c>
      <c r="F4589" s="1081">
        <f t="shared" si="1"/>
        <v>0</v>
      </c>
      <c r="G4589" s="1083">
        <f t="shared" si="2"/>
        <v>342.85</v>
      </c>
      <c r="H4589" s="1084"/>
    </row>
    <row r="4590" ht="14.25" customHeight="1">
      <c r="A4590" s="1085">
        <v>12569.0</v>
      </c>
      <c r="B4590" s="1086" t="s">
        <v>9908</v>
      </c>
      <c r="C4590" s="1087" t="s">
        <v>1731</v>
      </c>
      <c r="D4590" s="1088">
        <v>473.27</v>
      </c>
      <c r="E4590" s="1089" t="s">
        <v>5308</v>
      </c>
      <c r="F4590" s="1081">
        <f t="shared" si="1"/>
        <v>0</v>
      </c>
      <c r="G4590" s="1083">
        <f t="shared" si="2"/>
        <v>473.27</v>
      </c>
      <c r="H4590" s="1084"/>
    </row>
    <row r="4591" ht="14.25" customHeight="1">
      <c r="A4591" s="1085">
        <v>7766.0</v>
      </c>
      <c r="B4591" s="1086" t="s">
        <v>9909</v>
      </c>
      <c r="C4591" s="1087" t="s">
        <v>1731</v>
      </c>
      <c r="D4591" s="1088">
        <v>502.85</v>
      </c>
      <c r="E4591" s="1089" t="s">
        <v>5308</v>
      </c>
      <c r="F4591" s="1081">
        <f t="shared" si="1"/>
        <v>0</v>
      </c>
      <c r="G4591" s="1083">
        <f t="shared" si="2"/>
        <v>502.85</v>
      </c>
      <c r="H4591" s="1084"/>
    </row>
    <row r="4592" ht="14.25" customHeight="1">
      <c r="A4592" s="1085">
        <v>7767.0</v>
      </c>
      <c r="B4592" s="1086" t="s">
        <v>9910</v>
      </c>
      <c r="C4592" s="1087" t="s">
        <v>1731</v>
      </c>
      <c r="D4592" s="1088">
        <v>722.01</v>
      </c>
      <c r="E4592" s="1089" t="s">
        <v>5308</v>
      </c>
      <c r="F4592" s="1081">
        <f t="shared" si="1"/>
        <v>0</v>
      </c>
      <c r="G4592" s="1083">
        <f t="shared" si="2"/>
        <v>722.01</v>
      </c>
      <c r="H4592" s="1084"/>
    </row>
    <row r="4593" ht="14.25" customHeight="1">
      <c r="A4593" s="1085">
        <v>7727.0</v>
      </c>
      <c r="B4593" s="1086" t="s">
        <v>9911</v>
      </c>
      <c r="C4593" s="1087" t="s">
        <v>1731</v>
      </c>
      <c r="D4593" s="1088">
        <v>2097.47</v>
      </c>
      <c r="E4593" s="1089" t="s">
        <v>5308</v>
      </c>
      <c r="F4593" s="1081">
        <f t="shared" si="1"/>
        <v>0</v>
      </c>
      <c r="G4593" s="1083">
        <f t="shared" si="2"/>
        <v>2097.47</v>
      </c>
      <c r="H4593" s="1084"/>
    </row>
    <row r="4594" ht="14.25" customHeight="1">
      <c r="A4594" s="1085">
        <v>7760.0</v>
      </c>
      <c r="B4594" s="1086" t="s">
        <v>9912</v>
      </c>
      <c r="C4594" s="1087" t="s">
        <v>1731</v>
      </c>
      <c r="D4594" s="1088">
        <v>83.36</v>
      </c>
      <c r="E4594" s="1089" t="s">
        <v>5308</v>
      </c>
      <c r="F4594" s="1081">
        <f t="shared" si="1"/>
        <v>0</v>
      </c>
      <c r="G4594" s="1083">
        <f t="shared" si="2"/>
        <v>83.36</v>
      </c>
      <c r="H4594" s="1084"/>
    </row>
    <row r="4595" ht="14.25" customHeight="1">
      <c r="A4595" s="1085">
        <v>7761.0</v>
      </c>
      <c r="B4595" s="1086" t="s">
        <v>9913</v>
      </c>
      <c r="C4595" s="1087" t="s">
        <v>1731</v>
      </c>
      <c r="D4595" s="1088">
        <v>87.39</v>
      </c>
      <c r="E4595" s="1089" t="s">
        <v>5308</v>
      </c>
      <c r="F4595" s="1081">
        <f t="shared" si="1"/>
        <v>0</v>
      </c>
      <c r="G4595" s="1083">
        <f t="shared" si="2"/>
        <v>87.39</v>
      </c>
      <c r="H4595" s="1084"/>
    </row>
    <row r="4596" ht="14.25" customHeight="1">
      <c r="A4596" s="1085">
        <v>7752.0</v>
      </c>
      <c r="B4596" s="1086" t="s">
        <v>9914</v>
      </c>
      <c r="C4596" s="1087" t="s">
        <v>1731</v>
      </c>
      <c r="D4596" s="1088">
        <v>106.21</v>
      </c>
      <c r="E4596" s="1089" t="s">
        <v>5308</v>
      </c>
      <c r="F4596" s="1081">
        <f t="shared" si="1"/>
        <v>0</v>
      </c>
      <c r="G4596" s="1083">
        <f t="shared" si="2"/>
        <v>106.21</v>
      </c>
      <c r="H4596" s="1084"/>
    </row>
    <row r="4597" ht="14.25" customHeight="1">
      <c r="A4597" s="1085">
        <v>7762.0</v>
      </c>
      <c r="B4597" s="1086" t="s">
        <v>9915</v>
      </c>
      <c r="C4597" s="1087" t="s">
        <v>1731</v>
      </c>
      <c r="D4597" s="1088">
        <v>138.82</v>
      </c>
      <c r="E4597" s="1089" t="s">
        <v>5308</v>
      </c>
      <c r="F4597" s="1081">
        <f t="shared" si="1"/>
        <v>0</v>
      </c>
      <c r="G4597" s="1083">
        <f t="shared" si="2"/>
        <v>138.82</v>
      </c>
      <c r="H4597" s="1084"/>
    </row>
    <row r="4598" ht="14.25" customHeight="1">
      <c r="A4598" s="1085">
        <v>7722.0</v>
      </c>
      <c r="B4598" s="1086" t="s">
        <v>9916</v>
      </c>
      <c r="C4598" s="1087" t="s">
        <v>1731</v>
      </c>
      <c r="D4598" s="1088">
        <v>212.43</v>
      </c>
      <c r="E4598" s="1089" t="s">
        <v>5308</v>
      </c>
      <c r="F4598" s="1081">
        <f t="shared" si="1"/>
        <v>0</v>
      </c>
      <c r="G4598" s="1083">
        <f t="shared" si="2"/>
        <v>212.43</v>
      </c>
      <c r="H4598" s="1084"/>
    </row>
    <row r="4599" ht="14.25" customHeight="1">
      <c r="A4599" s="1085">
        <v>7763.0</v>
      </c>
      <c r="B4599" s="1086" t="s">
        <v>9917</v>
      </c>
      <c r="C4599" s="1087" t="s">
        <v>1731</v>
      </c>
      <c r="D4599" s="1088">
        <v>258.82</v>
      </c>
      <c r="E4599" s="1089" t="s">
        <v>5308</v>
      </c>
      <c r="F4599" s="1081">
        <f t="shared" si="1"/>
        <v>0</v>
      </c>
      <c r="G4599" s="1083">
        <f t="shared" si="2"/>
        <v>258.82</v>
      </c>
      <c r="H4599" s="1084"/>
    </row>
    <row r="4600" ht="14.25" customHeight="1">
      <c r="A4600" s="1085">
        <v>7764.0</v>
      </c>
      <c r="B4600" s="1086" t="s">
        <v>9918</v>
      </c>
      <c r="C4600" s="1087" t="s">
        <v>1731</v>
      </c>
      <c r="D4600" s="1088">
        <v>309.24</v>
      </c>
      <c r="E4600" s="1089" t="s">
        <v>5308</v>
      </c>
      <c r="F4600" s="1081">
        <f t="shared" si="1"/>
        <v>0</v>
      </c>
      <c r="G4600" s="1083">
        <f t="shared" si="2"/>
        <v>309.24</v>
      </c>
      <c r="H4600" s="1084"/>
    </row>
    <row r="4601" ht="14.25" customHeight="1">
      <c r="A4601" s="1085">
        <v>12572.0</v>
      </c>
      <c r="B4601" s="1086" t="s">
        <v>9919</v>
      </c>
      <c r="C4601" s="1087" t="s">
        <v>1731</v>
      </c>
      <c r="D4601" s="1088">
        <v>436.97</v>
      </c>
      <c r="E4601" s="1089" t="s">
        <v>5308</v>
      </c>
      <c r="F4601" s="1081">
        <f t="shared" si="1"/>
        <v>0</v>
      </c>
      <c r="G4601" s="1083">
        <f t="shared" si="2"/>
        <v>436.97</v>
      </c>
      <c r="H4601" s="1084"/>
    </row>
    <row r="4602" ht="14.25" customHeight="1">
      <c r="A4602" s="1085">
        <v>12573.0</v>
      </c>
      <c r="B4602" s="1086" t="s">
        <v>9920</v>
      </c>
      <c r="C4602" s="1087" t="s">
        <v>1731</v>
      </c>
      <c r="D4602" s="1088">
        <v>574.78</v>
      </c>
      <c r="E4602" s="1089" t="s">
        <v>5308</v>
      </c>
      <c r="F4602" s="1081">
        <f t="shared" si="1"/>
        <v>0</v>
      </c>
      <c r="G4602" s="1083">
        <f t="shared" si="2"/>
        <v>574.78</v>
      </c>
      <c r="H4602" s="1084"/>
    </row>
    <row r="4603" ht="14.25" customHeight="1">
      <c r="A4603" s="1085">
        <v>12574.0</v>
      </c>
      <c r="B4603" s="1086" t="s">
        <v>9921</v>
      </c>
      <c r="C4603" s="1087" t="s">
        <v>1731</v>
      </c>
      <c r="D4603" s="1088">
        <v>694.99</v>
      </c>
      <c r="E4603" s="1089" t="s">
        <v>5308</v>
      </c>
      <c r="F4603" s="1081">
        <f t="shared" si="1"/>
        <v>0</v>
      </c>
      <c r="G4603" s="1083">
        <f t="shared" si="2"/>
        <v>694.99</v>
      </c>
      <c r="H4603" s="1084"/>
    </row>
    <row r="4604" ht="14.25" customHeight="1">
      <c r="A4604" s="1085">
        <v>12575.0</v>
      </c>
      <c r="B4604" s="1086" t="s">
        <v>9922</v>
      </c>
      <c r="C4604" s="1087" t="s">
        <v>1731</v>
      </c>
      <c r="D4604" s="1088">
        <v>1055.46</v>
      </c>
      <c r="E4604" s="1089" t="s">
        <v>5308</v>
      </c>
      <c r="F4604" s="1081">
        <f t="shared" si="1"/>
        <v>0</v>
      </c>
      <c r="G4604" s="1083">
        <f t="shared" si="2"/>
        <v>1055.46</v>
      </c>
      <c r="H4604" s="1084"/>
    </row>
    <row r="4605" ht="14.25" customHeight="1">
      <c r="A4605" s="1085">
        <v>12576.0</v>
      </c>
      <c r="B4605" s="1086" t="s">
        <v>9923</v>
      </c>
      <c r="C4605" s="1087" t="s">
        <v>1731</v>
      </c>
      <c r="D4605" s="1088">
        <v>127.73</v>
      </c>
      <c r="E4605" s="1089" t="s">
        <v>5308</v>
      </c>
      <c r="F4605" s="1081">
        <f t="shared" si="1"/>
        <v>0</v>
      </c>
      <c r="G4605" s="1083">
        <f t="shared" si="2"/>
        <v>127.73</v>
      </c>
      <c r="H4605" s="1084"/>
    </row>
    <row r="4606" ht="14.25" customHeight="1">
      <c r="A4606" s="1085">
        <v>12577.0</v>
      </c>
      <c r="B4606" s="1086" t="s">
        <v>9924</v>
      </c>
      <c r="C4606" s="1087" t="s">
        <v>1731</v>
      </c>
      <c r="D4606" s="1088">
        <v>172.1</v>
      </c>
      <c r="E4606" s="1089" t="s">
        <v>5308</v>
      </c>
      <c r="F4606" s="1081">
        <f t="shared" si="1"/>
        <v>0</v>
      </c>
      <c r="G4606" s="1083">
        <f t="shared" si="2"/>
        <v>172.1</v>
      </c>
      <c r="H4606" s="1084"/>
    </row>
    <row r="4607" ht="14.25" customHeight="1">
      <c r="A4607" s="1085">
        <v>12578.0</v>
      </c>
      <c r="B4607" s="1086" t="s">
        <v>9925</v>
      </c>
      <c r="C4607" s="1087" t="s">
        <v>1731</v>
      </c>
      <c r="D4607" s="1088">
        <v>208.4</v>
      </c>
      <c r="E4607" s="1089" t="s">
        <v>5308</v>
      </c>
      <c r="F4607" s="1081">
        <f t="shared" si="1"/>
        <v>0</v>
      </c>
      <c r="G4607" s="1083">
        <f t="shared" si="2"/>
        <v>208.4</v>
      </c>
      <c r="H4607" s="1084"/>
    </row>
    <row r="4608" ht="14.25" customHeight="1">
      <c r="A4608" s="1085">
        <v>12579.0</v>
      </c>
      <c r="B4608" s="1086" t="s">
        <v>9926</v>
      </c>
      <c r="C4608" s="1087" t="s">
        <v>1731</v>
      </c>
      <c r="D4608" s="1088">
        <v>358.99</v>
      </c>
      <c r="E4608" s="1089" t="s">
        <v>5308</v>
      </c>
      <c r="F4608" s="1081">
        <f t="shared" si="1"/>
        <v>0</v>
      </c>
      <c r="G4608" s="1083">
        <f t="shared" si="2"/>
        <v>358.99</v>
      </c>
      <c r="H4608" s="1084"/>
    </row>
    <row r="4609" ht="14.25" customHeight="1">
      <c r="A4609" s="1085">
        <v>12580.0</v>
      </c>
      <c r="B4609" s="1086" t="s">
        <v>9927</v>
      </c>
      <c r="C4609" s="1087" t="s">
        <v>1731</v>
      </c>
      <c r="D4609" s="1088">
        <v>374.05</v>
      </c>
      <c r="E4609" s="1089" t="s">
        <v>5308</v>
      </c>
      <c r="F4609" s="1081">
        <f t="shared" si="1"/>
        <v>0</v>
      </c>
      <c r="G4609" s="1083">
        <f t="shared" si="2"/>
        <v>374.05</v>
      </c>
      <c r="H4609" s="1084"/>
    </row>
    <row r="4610" ht="14.25" customHeight="1">
      <c r="A4610" s="1085">
        <v>12581.0</v>
      </c>
      <c r="B4610" s="1086" t="s">
        <v>9928</v>
      </c>
      <c r="C4610" s="1087" t="s">
        <v>1731</v>
      </c>
      <c r="D4610" s="1088">
        <v>400.67</v>
      </c>
      <c r="E4610" s="1089" t="s">
        <v>5308</v>
      </c>
      <c r="F4610" s="1081">
        <f t="shared" si="1"/>
        <v>0</v>
      </c>
      <c r="G4610" s="1083">
        <f t="shared" si="2"/>
        <v>400.67</v>
      </c>
      <c r="H4610" s="1084"/>
    </row>
    <row r="4611" ht="14.25" customHeight="1">
      <c r="A4611" s="1085">
        <v>7720.0</v>
      </c>
      <c r="B4611" s="1086" t="s">
        <v>9929</v>
      </c>
      <c r="C4611" s="1087" t="s">
        <v>1731</v>
      </c>
      <c r="D4611" s="1088">
        <v>626.55</v>
      </c>
      <c r="E4611" s="1089" t="s">
        <v>5308</v>
      </c>
      <c r="F4611" s="1081">
        <f t="shared" si="1"/>
        <v>0</v>
      </c>
      <c r="G4611" s="1083">
        <f t="shared" si="2"/>
        <v>626.55</v>
      </c>
      <c r="H4611" s="1084"/>
    </row>
    <row r="4612" ht="14.25" customHeight="1">
      <c r="A4612" s="1085">
        <v>40335.0</v>
      </c>
      <c r="B4612" s="1086" t="s">
        <v>9930</v>
      </c>
      <c r="C4612" s="1087" t="s">
        <v>1731</v>
      </c>
      <c r="D4612" s="1088">
        <v>131.09</v>
      </c>
      <c r="E4612" s="1089" t="s">
        <v>5308</v>
      </c>
      <c r="F4612" s="1081">
        <f t="shared" si="1"/>
        <v>0</v>
      </c>
      <c r="G4612" s="1083">
        <f t="shared" si="2"/>
        <v>131.09</v>
      </c>
      <c r="H4612" s="1084"/>
    </row>
    <row r="4613" ht="14.25" customHeight="1">
      <c r="A4613" s="1085">
        <v>7740.0</v>
      </c>
      <c r="B4613" s="1086" t="s">
        <v>9931</v>
      </c>
      <c r="C4613" s="1087" t="s">
        <v>1731</v>
      </c>
      <c r="D4613" s="1088">
        <v>134.45</v>
      </c>
      <c r="E4613" s="1089" t="s">
        <v>5308</v>
      </c>
      <c r="F4613" s="1081">
        <f t="shared" si="1"/>
        <v>0</v>
      </c>
      <c r="G4613" s="1083">
        <f t="shared" si="2"/>
        <v>134.45</v>
      </c>
      <c r="H4613" s="1084"/>
    </row>
    <row r="4614" ht="14.25" customHeight="1">
      <c r="A4614" s="1085">
        <v>7741.0</v>
      </c>
      <c r="B4614" s="1086" t="s">
        <v>9932</v>
      </c>
      <c r="C4614" s="1087" t="s">
        <v>1731</v>
      </c>
      <c r="D4614" s="1088">
        <v>248.73</v>
      </c>
      <c r="E4614" s="1089" t="s">
        <v>5308</v>
      </c>
      <c r="F4614" s="1081">
        <f t="shared" si="1"/>
        <v>0</v>
      </c>
      <c r="G4614" s="1083">
        <f t="shared" si="2"/>
        <v>248.73</v>
      </c>
      <c r="H4614" s="1084"/>
    </row>
    <row r="4615" ht="14.25" customHeight="1">
      <c r="A4615" s="1085">
        <v>7774.0</v>
      </c>
      <c r="B4615" s="1086" t="s">
        <v>9933</v>
      </c>
      <c r="C4615" s="1087" t="s">
        <v>1731</v>
      </c>
      <c r="D4615" s="1088">
        <v>305.21</v>
      </c>
      <c r="E4615" s="1089" t="s">
        <v>5308</v>
      </c>
      <c r="F4615" s="1081">
        <f t="shared" si="1"/>
        <v>0</v>
      </c>
      <c r="G4615" s="1083">
        <f t="shared" si="2"/>
        <v>305.21</v>
      </c>
      <c r="H4615" s="1084"/>
    </row>
    <row r="4616" ht="14.25" customHeight="1">
      <c r="A4616" s="1085">
        <v>7744.0</v>
      </c>
      <c r="B4616" s="1086" t="s">
        <v>9934</v>
      </c>
      <c r="C4616" s="1087" t="s">
        <v>1731</v>
      </c>
      <c r="D4616" s="1088">
        <v>398.65</v>
      </c>
      <c r="E4616" s="1089" t="s">
        <v>5308</v>
      </c>
      <c r="F4616" s="1081">
        <f t="shared" si="1"/>
        <v>0</v>
      </c>
      <c r="G4616" s="1083">
        <f t="shared" si="2"/>
        <v>398.65</v>
      </c>
      <c r="H4616" s="1084"/>
    </row>
    <row r="4617" ht="14.25" customHeight="1">
      <c r="A4617" s="1085">
        <v>7773.0</v>
      </c>
      <c r="B4617" s="1086" t="s">
        <v>9935</v>
      </c>
      <c r="C4617" s="1087" t="s">
        <v>1731</v>
      </c>
      <c r="D4617" s="1088">
        <v>407.46</v>
      </c>
      <c r="E4617" s="1089" t="s">
        <v>5308</v>
      </c>
      <c r="F4617" s="1081">
        <f t="shared" si="1"/>
        <v>0</v>
      </c>
      <c r="G4617" s="1083">
        <f t="shared" si="2"/>
        <v>407.46</v>
      </c>
      <c r="H4617" s="1084"/>
    </row>
    <row r="4618" ht="14.25" customHeight="1">
      <c r="A4618" s="1085">
        <v>7754.0</v>
      </c>
      <c r="B4618" s="1086" t="s">
        <v>9936</v>
      </c>
      <c r="C4618" s="1087" t="s">
        <v>1731</v>
      </c>
      <c r="D4618" s="1088">
        <v>617.81</v>
      </c>
      <c r="E4618" s="1089" t="s">
        <v>5308</v>
      </c>
      <c r="F4618" s="1081">
        <f t="shared" si="1"/>
        <v>0</v>
      </c>
      <c r="G4618" s="1083">
        <f t="shared" si="2"/>
        <v>617.81</v>
      </c>
      <c r="H4618" s="1084"/>
    </row>
    <row r="4619" ht="14.25" customHeight="1">
      <c r="A4619" s="1085">
        <v>7735.0</v>
      </c>
      <c r="B4619" s="1086" t="s">
        <v>9937</v>
      </c>
      <c r="C4619" s="1087" t="s">
        <v>1731</v>
      </c>
      <c r="D4619" s="1088">
        <v>800.0</v>
      </c>
      <c r="E4619" s="1089" t="s">
        <v>5308</v>
      </c>
      <c r="F4619" s="1081">
        <f t="shared" si="1"/>
        <v>0</v>
      </c>
      <c r="G4619" s="1083">
        <f t="shared" si="2"/>
        <v>800</v>
      </c>
      <c r="H4619" s="1084"/>
    </row>
    <row r="4620" ht="14.25" customHeight="1">
      <c r="A4620" s="1085">
        <v>7755.0</v>
      </c>
      <c r="B4620" s="1086" t="s">
        <v>9938</v>
      </c>
      <c r="C4620" s="1087" t="s">
        <v>1731</v>
      </c>
      <c r="D4620" s="1088">
        <v>158.65</v>
      </c>
      <c r="E4620" s="1089" t="s">
        <v>5308</v>
      </c>
      <c r="F4620" s="1081">
        <f t="shared" si="1"/>
        <v>0</v>
      </c>
      <c r="G4620" s="1083">
        <f t="shared" si="2"/>
        <v>158.65</v>
      </c>
      <c r="H4620" s="1084"/>
    </row>
    <row r="4621" ht="14.25" customHeight="1">
      <c r="A4621" s="1085">
        <v>7776.0</v>
      </c>
      <c r="B4621" s="1086" t="s">
        <v>9939</v>
      </c>
      <c r="C4621" s="1087" t="s">
        <v>1731</v>
      </c>
      <c r="D4621" s="1088">
        <v>330.75</v>
      </c>
      <c r="E4621" s="1089" t="s">
        <v>5308</v>
      </c>
      <c r="F4621" s="1081">
        <f t="shared" si="1"/>
        <v>0</v>
      </c>
      <c r="G4621" s="1083">
        <f t="shared" si="2"/>
        <v>330.75</v>
      </c>
      <c r="H4621" s="1084"/>
    </row>
    <row r="4622" ht="14.25" customHeight="1">
      <c r="A4622" s="1085">
        <v>7743.0</v>
      </c>
      <c r="B4622" s="1086" t="s">
        <v>9940</v>
      </c>
      <c r="C4622" s="1087" t="s">
        <v>1731</v>
      </c>
      <c r="D4622" s="1088">
        <v>350.25</v>
      </c>
      <c r="E4622" s="1089" t="s">
        <v>5308</v>
      </c>
      <c r="F4622" s="1081">
        <f t="shared" si="1"/>
        <v>0</v>
      </c>
      <c r="G4622" s="1083">
        <f t="shared" si="2"/>
        <v>350.25</v>
      </c>
      <c r="H4622" s="1084"/>
    </row>
    <row r="4623" ht="14.25" customHeight="1">
      <c r="A4623" s="1085">
        <v>7733.0</v>
      </c>
      <c r="B4623" s="1086" t="s">
        <v>9941</v>
      </c>
      <c r="C4623" s="1087" t="s">
        <v>1731</v>
      </c>
      <c r="D4623" s="1088">
        <v>457.14</v>
      </c>
      <c r="E4623" s="1089" t="s">
        <v>5308</v>
      </c>
      <c r="F4623" s="1081">
        <f t="shared" si="1"/>
        <v>0</v>
      </c>
      <c r="G4623" s="1083">
        <f t="shared" si="2"/>
        <v>457.14</v>
      </c>
      <c r="H4623" s="1084"/>
    </row>
    <row r="4624" ht="14.25" customHeight="1">
      <c r="A4624" s="1085">
        <v>7775.0</v>
      </c>
      <c r="B4624" s="1086" t="s">
        <v>9942</v>
      </c>
      <c r="C4624" s="1087" t="s">
        <v>1731</v>
      </c>
      <c r="D4624" s="1088">
        <v>500.84</v>
      </c>
      <c r="E4624" s="1089" t="s">
        <v>5308</v>
      </c>
      <c r="F4624" s="1081">
        <f t="shared" si="1"/>
        <v>0</v>
      </c>
      <c r="G4624" s="1083">
        <f t="shared" si="2"/>
        <v>500.84</v>
      </c>
      <c r="H4624" s="1084"/>
    </row>
    <row r="4625" ht="14.25" customHeight="1">
      <c r="A4625" s="1085">
        <v>7734.0</v>
      </c>
      <c r="B4625" s="1086" t="s">
        <v>9943</v>
      </c>
      <c r="C4625" s="1087" t="s">
        <v>1731</v>
      </c>
      <c r="D4625" s="1088">
        <v>709.24</v>
      </c>
      <c r="E4625" s="1089" t="s">
        <v>5308</v>
      </c>
      <c r="F4625" s="1081">
        <f t="shared" si="1"/>
        <v>0</v>
      </c>
      <c r="G4625" s="1083">
        <f t="shared" si="2"/>
        <v>709.24</v>
      </c>
      <c r="H4625" s="1084"/>
    </row>
    <row r="4626" ht="14.25" customHeight="1">
      <c r="A4626" s="1085">
        <v>37449.0</v>
      </c>
      <c r="B4626" s="1086" t="s">
        <v>9944</v>
      </c>
      <c r="C4626" s="1087" t="s">
        <v>1731</v>
      </c>
      <c r="D4626" s="1088">
        <v>16.94</v>
      </c>
      <c r="E4626" s="1089" t="s">
        <v>5308</v>
      </c>
      <c r="F4626" s="1081">
        <f t="shared" si="1"/>
        <v>0</v>
      </c>
      <c r="G4626" s="1083">
        <f t="shared" si="2"/>
        <v>16.94</v>
      </c>
      <c r="H4626" s="1084"/>
    </row>
    <row r="4627" ht="14.25" customHeight="1">
      <c r="A4627" s="1085">
        <v>37450.0</v>
      </c>
      <c r="B4627" s="1086" t="s">
        <v>9945</v>
      </c>
      <c r="C4627" s="1087" t="s">
        <v>1731</v>
      </c>
      <c r="D4627" s="1088">
        <v>23.72</v>
      </c>
      <c r="E4627" s="1089" t="s">
        <v>5308</v>
      </c>
      <c r="F4627" s="1081">
        <f t="shared" si="1"/>
        <v>0</v>
      </c>
      <c r="G4627" s="1083">
        <f t="shared" si="2"/>
        <v>23.72</v>
      </c>
      <c r="H4627" s="1084"/>
    </row>
    <row r="4628" ht="14.25" customHeight="1">
      <c r="A4628" s="1085">
        <v>37451.0</v>
      </c>
      <c r="B4628" s="1086" t="s">
        <v>9946</v>
      </c>
      <c r="C4628" s="1087" t="s">
        <v>1731</v>
      </c>
      <c r="D4628" s="1088">
        <v>33.12</v>
      </c>
      <c r="E4628" s="1089" t="s">
        <v>5308</v>
      </c>
      <c r="F4628" s="1081">
        <f t="shared" si="1"/>
        <v>0</v>
      </c>
      <c r="G4628" s="1083">
        <f t="shared" si="2"/>
        <v>33.12</v>
      </c>
      <c r="H4628" s="1084"/>
    </row>
    <row r="4629" ht="14.25" customHeight="1">
      <c r="A4629" s="1085">
        <v>37452.0</v>
      </c>
      <c r="B4629" s="1086" t="s">
        <v>9947</v>
      </c>
      <c r="C4629" s="1087" t="s">
        <v>1731</v>
      </c>
      <c r="D4629" s="1088">
        <v>48.14</v>
      </c>
      <c r="E4629" s="1089" t="s">
        <v>5308</v>
      </c>
      <c r="F4629" s="1081">
        <f t="shared" si="1"/>
        <v>0</v>
      </c>
      <c r="G4629" s="1083">
        <f t="shared" si="2"/>
        <v>48.14</v>
      </c>
      <c r="H4629" s="1084"/>
    </row>
    <row r="4630" ht="14.25" customHeight="1">
      <c r="A4630" s="1085">
        <v>37453.0</v>
      </c>
      <c r="B4630" s="1086" t="s">
        <v>9948</v>
      </c>
      <c r="C4630" s="1087" t="s">
        <v>1731</v>
      </c>
      <c r="D4630" s="1088">
        <v>55.44</v>
      </c>
      <c r="E4630" s="1089" t="s">
        <v>5308</v>
      </c>
      <c r="F4630" s="1081">
        <f t="shared" si="1"/>
        <v>0</v>
      </c>
      <c r="G4630" s="1083">
        <f t="shared" si="2"/>
        <v>55.44</v>
      </c>
      <c r="H4630" s="1084"/>
    </row>
    <row r="4631" ht="14.25" customHeight="1">
      <c r="A4631" s="1085">
        <v>7778.0</v>
      </c>
      <c r="B4631" s="1086" t="s">
        <v>9949</v>
      </c>
      <c r="C4631" s="1087" t="s">
        <v>1731</v>
      </c>
      <c r="D4631" s="1088">
        <v>20.79</v>
      </c>
      <c r="E4631" s="1089" t="s">
        <v>5308</v>
      </c>
      <c r="F4631" s="1081">
        <f t="shared" si="1"/>
        <v>0</v>
      </c>
      <c r="G4631" s="1083">
        <f t="shared" si="2"/>
        <v>20.79</v>
      </c>
      <c r="H4631" s="1084"/>
    </row>
    <row r="4632" ht="14.25" customHeight="1">
      <c r="A4632" s="1085">
        <v>7796.0</v>
      </c>
      <c r="B4632" s="1086" t="s">
        <v>9950</v>
      </c>
      <c r="C4632" s="1087" t="s">
        <v>1731</v>
      </c>
      <c r="D4632" s="1088">
        <v>28.5</v>
      </c>
      <c r="E4632" s="1089" t="s">
        <v>5308</v>
      </c>
      <c r="F4632" s="1081">
        <f t="shared" si="1"/>
        <v>0</v>
      </c>
      <c r="G4632" s="1083">
        <f t="shared" si="2"/>
        <v>28.5</v>
      </c>
      <c r="H4632" s="1084"/>
    </row>
    <row r="4633" ht="14.25" customHeight="1">
      <c r="A4633" s="1085">
        <v>7781.0</v>
      </c>
      <c r="B4633" s="1086" t="s">
        <v>9951</v>
      </c>
      <c r="C4633" s="1087" t="s">
        <v>1731</v>
      </c>
      <c r="D4633" s="1088">
        <v>33.68</v>
      </c>
      <c r="E4633" s="1089" t="s">
        <v>5308</v>
      </c>
      <c r="F4633" s="1081">
        <f t="shared" si="1"/>
        <v>0</v>
      </c>
      <c r="G4633" s="1083">
        <f t="shared" si="2"/>
        <v>33.68</v>
      </c>
      <c r="H4633" s="1084"/>
    </row>
    <row r="4634" ht="14.25" customHeight="1">
      <c r="A4634" s="1085">
        <v>7795.0</v>
      </c>
      <c r="B4634" s="1086" t="s">
        <v>9952</v>
      </c>
      <c r="C4634" s="1087" t="s">
        <v>1731</v>
      </c>
      <c r="D4634" s="1088">
        <v>50.12</v>
      </c>
      <c r="E4634" s="1089" t="s">
        <v>5308</v>
      </c>
      <c r="F4634" s="1081">
        <f t="shared" si="1"/>
        <v>0</v>
      </c>
      <c r="G4634" s="1083">
        <f t="shared" si="2"/>
        <v>50.12</v>
      </c>
      <c r="H4634" s="1084"/>
    </row>
    <row r="4635" ht="14.25" customHeight="1">
      <c r="A4635" s="1085">
        <v>7791.0</v>
      </c>
      <c r="B4635" s="1086" t="s">
        <v>9953</v>
      </c>
      <c r="C4635" s="1087" t="s">
        <v>1731</v>
      </c>
      <c r="D4635" s="1088">
        <v>60.0</v>
      </c>
      <c r="E4635" s="1089" t="s">
        <v>5308</v>
      </c>
      <c r="F4635" s="1081">
        <f t="shared" si="1"/>
        <v>0</v>
      </c>
      <c r="G4635" s="1083">
        <f t="shared" si="2"/>
        <v>60</v>
      </c>
      <c r="H4635" s="1084"/>
    </row>
    <row r="4636" ht="14.25" customHeight="1">
      <c r="A4636" s="1085">
        <v>7783.0</v>
      </c>
      <c r="B4636" s="1086" t="s">
        <v>9954</v>
      </c>
      <c r="C4636" s="1087" t="s">
        <v>1731</v>
      </c>
      <c r="D4636" s="1088">
        <v>21.26</v>
      </c>
      <c r="E4636" s="1089" t="s">
        <v>5308</v>
      </c>
      <c r="F4636" s="1081">
        <f t="shared" si="1"/>
        <v>0</v>
      </c>
      <c r="G4636" s="1083">
        <f t="shared" si="2"/>
        <v>21.26</v>
      </c>
      <c r="H4636" s="1084"/>
    </row>
    <row r="4637" ht="14.25" customHeight="1">
      <c r="A4637" s="1085">
        <v>7790.0</v>
      </c>
      <c r="B4637" s="1086" t="s">
        <v>9955</v>
      </c>
      <c r="C4637" s="1087" t="s">
        <v>1731</v>
      </c>
      <c r="D4637" s="1088">
        <v>33.5</v>
      </c>
      <c r="E4637" s="1089" t="s">
        <v>5308</v>
      </c>
      <c r="F4637" s="1081">
        <f t="shared" si="1"/>
        <v>0</v>
      </c>
      <c r="G4637" s="1083">
        <f t="shared" si="2"/>
        <v>33.5</v>
      </c>
      <c r="H4637" s="1084"/>
    </row>
    <row r="4638" ht="14.25" customHeight="1">
      <c r="A4638" s="1085">
        <v>7785.0</v>
      </c>
      <c r="B4638" s="1086" t="s">
        <v>9956</v>
      </c>
      <c r="C4638" s="1087" t="s">
        <v>1731</v>
      </c>
      <c r="D4638" s="1088">
        <v>36.97</v>
      </c>
      <c r="E4638" s="1089" t="s">
        <v>5308</v>
      </c>
      <c r="F4638" s="1081">
        <f t="shared" si="1"/>
        <v>0</v>
      </c>
      <c r="G4638" s="1083">
        <f t="shared" si="2"/>
        <v>36.97</v>
      </c>
      <c r="H4638" s="1084"/>
    </row>
    <row r="4639" ht="14.25" customHeight="1">
      <c r="A4639" s="1085">
        <v>7792.0</v>
      </c>
      <c r="B4639" s="1086" t="s">
        <v>9957</v>
      </c>
      <c r="C4639" s="1087" t="s">
        <v>1731</v>
      </c>
      <c r="D4639" s="1088">
        <v>52.43</v>
      </c>
      <c r="E4639" s="1089" t="s">
        <v>5308</v>
      </c>
      <c r="F4639" s="1081">
        <f t="shared" si="1"/>
        <v>0</v>
      </c>
      <c r="G4639" s="1083">
        <f t="shared" si="2"/>
        <v>52.43</v>
      </c>
      <c r="H4639" s="1084"/>
    </row>
    <row r="4640" ht="14.25" customHeight="1">
      <c r="A4640" s="1085">
        <v>7793.0</v>
      </c>
      <c r="B4640" s="1086" t="s">
        <v>9958</v>
      </c>
      <c r="C4640" s="1087" t="s">
        <v>1731</v>
      </c>
      <c r="D4640" s="1088">
        <v>61.92</v>
      </c>
      <c r="E4640" s="1089" t="s">
        <v>5308</v>
      </c>
      <c r="F4640" s="1081">
        <f t="shared" si="1"/>
        <v>0</v>
      </c>
      <c r="G4640" s="1083">
        <f t="shared" si="2"/>
        <v>61.92</v>
      </c>
      <c r="H4640" s="1084"/>
    </row>
    <row r="4641" ht="14.25" customHeight="1">
      <c r="A4641" s="1085">
        <v>13159.0</v>
      </c>
      <c r="B4641" s="1086" t="s">
        <v>9959</v>
      </c>
      <c r="C4641" s="1087" t="s">
        <v>1731</v>
      </c>
      <c r="D4641" s="1088">
        <v>53.91</v>
      </c>
      <c r="E4641" s="1089" t="s">
        <v>5308</v>
      </c>
      <c r="F4641" s="1081">
        <f t="shared" si="1"/>
        <v>0</v>
      </c>
      <c r="G4641" s="1083">
        <f t="shared" si="2"/>
        <v>53.91</v>
      </c>
      <c r="H4641" s="1084"/>
    </row>
    <row r="4642" ht="14.25" customHeight="1">
      <c r="A4642" s="1085">
        <v>13168.0</v>
      </c>
      <c r="B4642" s="1086" t="s">
        <v>9960</v>
      </c>
      <c r="C4642" s="1087" t="s">
        <v>1731</v>
      </c>
      <c r="D4642" s="1088">
        <v>65.47</v>
      </c>
      <c r="E4642" s="1089" t="s">
        <v>5308</v>
      </c>
      <c r="F4642" s="1081">
        <f t="shared" si="1"/>
        <v>0</v>
      </c>
      <c r="G4642" s="1083">
        <f t="shared" si="2"/>
        <v>65.47</v>
      </c>
      <c r="H4642" s="1084"/>
    </row>
    <row r="4643" ht="14.25" customHeight="1">
      <c r="A4643" s="1085">
        <v>13173.0</v>
      </c>
      <c r="B4643" s="1086" t="s">
        <v>9961</v>
      </c>
      <c r="C4643" s="1087" t="s">
        <v>1731</v>
      </c>
      <c r="D4643" s="1088">
        <v>88.58</v>
      </c>
      <c r="E4643" s="1089" t="s">
        <v>5308</v>
      </c>
      <c r="F4643" s="1081">
        <f t="shared" si="1"/>
        <v>0</v>
      </c>
      <c r="G4643" s="1083">
        <f t="shared" si="2"/>
        <v>88.58</v>
      </c>
      <c r="H4643" s="1084"/>
    </row>
    <row r="4644" ht="14.25" customHeight="1">
      <c r="A4644" s="1085">
        <v>12583.0</v>
      </c>
      <c r="B4644" s="1086" t="s">
        <v>9962</v>
      </c>
      <c r="C4644" s="1087" t="s">
        <v>1731</v>
      </c>
      <c r="D4644" s="1088">
        <v>17.71</v>
      </c>
      <c r="E4644" s="1089" t="s">
        <v>5308</v>
      </c>
      <c r="F4644" s="1081">
        <f t="shared" si="1"/>
        <v>0</v>
      </c>
      <c r="G4644" s="1083">
        <f t="shared" si="2"/>
        <v>17.71</v>
      </c>
      <c r="H4644" s="1084"/>
    </row>
    <row r="4645" ht="14.25" customHeight="1">
      <c r="A4645" s="1085">
        <v>12584.0</v>
      </c>
      <c r="B4645" s="1086" t="s">
        <v>9963</v>
      </c>
      <c r="C4645" s="1087" t="s">
        <v>1731</v>
      </c>
      <c r="D4645" s="1088">
        <v>23.1</v>
      </c>
      <c r="E4645" s="1089" t="s">
        <v>5308</v>
      </c>
      <c r="F4645" s="1081">
        <f t="shared" si="1"/>
        <v>0</v>
      </c>
      <c r="G4645" s="1083">
        <f t="shared" si="2"/>
        <v>23.1</v>
      </c>
      <c r="H4645" s="1084"/>
    </row>
    <row r="4646" ht="14.25" customHeight="1">
      <c r="A4646" s="1085">
        <v>12613.0</v>
      </c>
      <c r="B4646" s="1086" t="s">
        <v>9964</v>
      </c>
      <c r="C4646" s="1087" t="s">
        <v>1788</v>
      </c>
      <c r="D4646" s="1088">
        <v>19.61</v>
      </c>
      <c r="E4646" s="1089" t="s">
        <v>5308</v>
      </c>
      <c r="F4646" s="1081">
        <f t="shared" si="1"/>
        <v>0</v>
      </c>
      <c r="G4646" s="1083">
        <f t="shared" si="2"/>
        <v>19.61</v>
      </c>
      <c r="H4646" s="1084"/>
    </row>
    <row r="4647" ht="14.25" customHeight="1">
      <c r="A4647" s="1085">
        <v>1031.0</v>
      </c>
      <c r="B4647" s="1086" t="s">
        <v>9965</v>
      </c>
      <c r="C4647" s="1087" t="s">
        <v>1788</v>
      </c>
      <c r="D4647" s="1088">
        <v>14.95</v>
      </c>
      <c r="E4647" s="1089" t="s">
        <v>5308</v>
      </c>
      <c r="F4647" s="1081">
        <f t="shared" si="1"/>
        <v>0</v>
      </c>
      <c r="G4647" s="1083">
        <f t="shared" si="2"/>
        <v>14.95</v>
      </c>
      <c r="H4647" s="1084"/>
    </row>
    <row r="4648" ht="14.25" customHeight="1">
      <c r="A4648" s="1085">
        <v>39707.0</v>
      </c>
      <c r="B4648" s="1086" t="s">
        <v>9966</v>
      </c>
      <c r="C4648" s="1087" t="s">
        <v>1731</v>
      </c>
      <c r="D4648" s="1088">
        <v>6.23</v>
      </c>
      <c r="E4648" s="1089" t="s">
        <v>5308</v>
      </c>
      <c r="F4648" s="1081">
        <f t="shared" si="1"/>
        <v>0</v>
      </c>
      <c r="G4648" s="1083">
        <f t="shared" si="2"/>
        <v>6.23</v>
      </c>
      <c r="H4648" s="1084"/>
    </row>
    <row r="4649" ht="14.25" customHeight="1">
      <c r="A4649" s="1085">
        <v>39708.0</v>
      </c>
      <c r="B4649" s="1086" t="s">
        <v>9967</v>
      </c>
      <c r="C4649" s="1087" t="s">
        <v>1731</v>
      </c>
      <c r="D4649" s="1088">
        <v>6.04</v>
      </c>
      <c r="E4649" s="1089" t="s">
        <v>5308</v>
      </c>
      <c r="F4649" s="1081">
        <f t="shared" si="1"/>
        <v>0</v>
      </c>
      <c r="G4649" s="1083">
        <f t="shared" si="2"/>
        <v>6.04</v>
      </c>
      <c r="H4649" s="1084"/>
    </row>
    <row r="4650" ht="14.25" customHeight="1">
      <c r="A4650" s="1085">
        <v>39710.0</v>
      </c>
      <c r="B4650" s="1086" t="s">
        <v>9968</v>
      </c>
      <c r="C4650" s="1087" t="s">
        <v>1731</v>
      </c>
      <c r="D4650" s="1088">
        <v>4.25</v>
      </c>
      <c r="E4650" s="1089" t="s">
        <v>5308</v>
      </c>
      <c r="F4650" s="1081">
        <f t="shared" si="1"/>
        <v>0</v>
      </c>
      <c r="G4650" s="1083">
        <f t="shared" si="2"/>
        <v>4.25</v>
      </c>
      <c r="H4650" s="1084"/>
    </row>
    <row r="4651" ht="14.25" customHeight="1">
      <c r="A4651" s="1085">
        <v>39709.0</v>
      </c>
      <c r="B4651" s="1086" t="s">
        <v>9969</v>
      </c>
      <c r="C4651" s="1087" t="s">
        <v>1731</v>
      </c>
      <c r="D4651" s="1088">
        <v>5.89</v>
      </c>
      <c r="E4651" s="1089" t="s">
        <v>5308</v>
      </c>
      <c r="F4651" s="1081">
        <f t="shared" si="1"/>
        <v>0</v>
      </c>
      <c r="G4651" s="1083">
        <f t="shared" si="2"/>
        <v>5.89</v>
      </c>
      <c r="H4651" s="1084"/>
    </row>
    <row r="4652" ht="14.25" customHeight="1">
      <c r="A4652" s="1085">
        <v>39711.0</v>
      </c>
      <c r="B4652" s="1086" t="s">
        <v>9970</v>
      </c>
      <c r="C4652" s="1087" t="s">
        <v>1731</v>
      </c>
      <c r="D4652" s="1088">
        <v>6.62</v>
      </c>
      <c r="E4652" s="1089" t="s">
        <v>5308</v>
      </c>
      <c r="F4652" s="1081">
        <f t="shared" si="1"/>
        <v>0</v>
      </c>
      <c r="G4652" s="1083">
        <f t="shared" si="2"/>
        <v>6.62</v>
      </c>
      <c r="H4652" s="1084"/>
    </row>
    <row r="4653" ht="14.25" customHeight="1">
      <c r="A4653" s="1085">
        <v>39712.0</v>
      </c>
      <c r="B4653" s="1086" t="s">
        <v>9971</v>
      </c>
      <c r="C4653" s="1087" t="s">
        <v>1731</v>
      </c>
      <c r="D4653" s="1088">
        <v>2.32</v>
      </c>
      <c r="E4653" s="1089" t="s">
        <v>5308</v>
      </c>
      <c r="F4653" s="1081">
        <f t="shared" si="1"/>
        <v>0</v>
      </c>
      <c r="G4653" s="1083">
        <f t="shared" si="2"/>
        <v>2.32</v>
      </c>
      <c r="H4653" s="1084"/>
    </row>
    <row r="4654" ht="14.25" customHeight="1">
      <c r="A4654" s="1085">
        <v>39713.0</v>
      </c>
      <c r="B4654" s="1086" t="s">
        <v>9972</v>
      </c>
      <c r="C4654" s="1087" t="s">
        <v>1731</v>
      </c>
      <c r="D4654" s="1088">
        <v>1.83</v>
      </c>
      <c r="E4654" s="1089" t="s">
        <v>5308</v>
      </c>
      <c r="F4654" s="1081">
        <f t="shared" si="1"/>
        <v>0</v>
      </c>
      <c r="G4654" s="1083">
        <f t="shared" si="2"/>
        <v>1.83</v>
      </c>
      <c r="H4654" s="1084"/>
    </row>
    <row r="4655" ht="14.25" customHeight="1">
      <c r="A4655" s="1085">
        <v>39714.0</v>
      </c>
      <c r="B4655" s="1086" t="s">
        <v>9973</v>
      </c>
      <c r="C4655" s="1087" t="s">
        <v>1731</v>
      </c>
      <c r="D4655" s="1088">
        <v>4.2</v>
      </c>
      <c r="E4655" s="1089" t="s">
        <v>5308</v>
      </c>
      <c r="F4655" s="1081">
        <f t="shared" si="1"/>
        <v>0</v>
      </c>
      <c r="G4655" s="1083">
        <f t="shared" si="2"/>
        <v>4.2</v>
      </c>
      <c r="H4655" s="1084"/>
    </row>
    <row r="4656" ht="14.25" customHeight="1">
      <c r="A4656" s="1085">
        <v>39715.0</v>
      </c>
      <c r="B4656" s="1086" t="s">
        <v>9974</v>
      </c>
      <c r="C4656" s="1087" t="s">
        <v>1731</v>
      </c>
      <c r="D4656" s="1088">
        <v>2.99</v>
      </c>
      <c r="E4656" s="1089" t="s">
        <v>5308</v>
      </c>
      <c r="F4656" s="1081">
        <f t="shared" si="1"/>
        <v>0</v>
      </c>
      <c r="G4656" s="1083">
        <f t="shared" si="2"/>
        <v>2.99</v>
      </c>
      <c r="H4656" s="1084"/>
    </row>
    <row r="4657" ht="14.25" customHeight="1">
      <c r="A4657" s="1085">
        <v>39716.0</v>
      </c>
      <c r="B4657" s="1086" t="s">
        <v>9975</v>
      </c>
      <c r="C4657" s="1087" t="s">
        <v>1731</v>
      </c>
      <c r="D4657" s="1088">
        <v>2.27</v>
      </c>
      <c r="E4657" s="1089" t="s">
        <v>5308</v>
      </c>
      <c r="F4657" s="1081">
        <f t="shared" si="1"/>
        <v>0</v>
      </c>
      <c r="G4657" s="1083">
        <f t="shared" si="2"/>
        <v>2.27</v>
      </c>
      <c r="H4657" s="1084"/>
    </row>
    <row r="4658" ht="14.25" customHeight="1">
      <c r="A4658" s="1085">
        <v>39718.0</v>
      </c>
      <c r="B4658" s="1086" t="s">
        <v>9976</v>
      </c>
      <c r="C4658" s="1087" t="s">
        <v>1731</v>
      </c>
      <c r="D4658" s="1088">
        <v>3.86</v>
      </c>
      <c r="E4658" s="1089" t="s">
        <v>5308</v>
      </c>
      <c r="F4658" s="1081">
        <f t="shared" si="1"/>
        <v>0</v>
      </c>
      <c r="G4658" s="1083">
        <f t="shared" si="2"/>
        <v>3.86</v>
      </c>
      <c r="H4658" s="1084"/>
    </row>
    <row r="4659" ht="14.25" customHeight="1">
      <c r="A4659" s="1085">
        <v>9813.0</v>
      </c>
      <c r="B4659" s="1086" t="s">
        <v>9977</v>
      </c>
      <c r="C4659" s="1087" t="s">
        <v>1731</v>
      </c>
      <c r="D4659" s="1088">
        <v>5.45</v>
      </c>
      <c r="E4659" s="1089" t="s">
        <v>5308</v>
      </c>
      <c r="F4659" s="1081">
        <f t="shared" si="1"/>
        <v>0</v>
      </c>
      <c r="G4659" s="1083">
        <f t="shared" si="2"/>
        <v>5.45</v>
      </c>
      <c r="H4659" s="1084"/>
    </row>
    <row r="4660" ht="14.25" customHeight="1">
      <c r="A4660" s="1085">
        <v>9815.0</v>
      </c>
      <c r="B4660" s="1086" t="s">
        <v>9978</v>
      </c>
      <c r="C4660" s="1087" t="s">
        <v>1731</v>
      </c>
      <c r="D4660" s="1088">
        <v>10.76</v>
      </c>
      <c r="E4660" s="1089" t="s">
        <v>5308</v>
      </c>
      <c r="F4660" s="1081">
        <f t="shared" si="1"/>
        <v>0</v>
      </c>
      <c r="G4660" s="1083">
        <f t="shared" si="2"/>
        <v>10.76</v>
      </c>
      <c r="H4660" s="1084"/>
    </row>
    <row r="4661" ht="14.25" customHeight="1">
      <c r="A4661" s="1085">
        <v>44543.0</v>
      </c>
      <c r="B4661" s="1086" t="s">
        <v>9979</v>
      </c>
      <c r="C4661" s="1087" t="s">
        <v>1731</v>
      </c>
      <c r="D4661" s="1088">
        <v>5355.53</v>
      </c>
      <c r="E4661" s="1089" t="s">
        <v>5308</v>
      </c>
      <c r="F4661" s="1081">
        <f t="shared" si="1"/>
        <v>0</v>
      </c>
      <c r="G4661" s="1083">
        <f t="shared" si="2"/>
        <v>5355.53</v>
      </c>
      <c r="H4661" s="1084"/>
    </row>
    <row r="4662" ht="14.25" customHeight="1">
      <c r="A4662" s="1085">
        <v>44526.0</v>
      </c>
      <c r="B4662" s="1086" t="s">
        <v>9980</v>
      </c>
      <c r="C4662" s="1087" t="s">
        <v>1731</v>
      </c>
      <c r="D4662" s="1088">
        <v>131.26</v>
      </c>
      <c r="E4662" s="1089" t="s">
        <v>5308</v>
      </c>
      <c r="F4662" s="1081">
        <f t="shared" si="1"/>
        <v>0</v>
      </c>
      <c r="G4662" s="1083">
        <f t="shared" si="2"/>
        <v>131.26</v>
      </c>
      <c r="H4662" s="1084"/>
    </row>
    <row r="4663" ht="14.25" customHeight="1">
      <c r="A4663" s="1085">
        <v>44518.0</v>
      </c>
      <c r="B4663" s="1086" t="s">
        <v>9981</v>
      </c>
      <c r="C4663" s="1087" t="s">
        <v>1731</v>
      </c>
      <c r="D4663" s="1088">
        <v>3942.79</v>
      </c>
      <c r="E4663" s="1089" t="s">
        <v>5308</v>
      </c>
      <c r="F4663" s="1081">
        <f t="shared" si="1"/>
        <v>0</v>
      </c>
      <c r="G4663" s="1083">
        <f t="shared" si="2"/>
        <v>3942.79</v>
      </c>
      <c r="H4663" s="1084"/>
    </row>
    <row r="4664" ht="14.25" customHeight="1">
      <c r="A4664" s="1085">
        <v>44544.0</v>
      </c>
      <c r="B4664" s="1086" t="s">
        <v>9982</v>
      </c>
      <c r="C4664" s="1087" t="s">
        <v>1731</v>
      </c>
      <c r="D4664" s="1088">
        <v>1916.82</v>
      </c>
      <c r="E4664" s="1089" t="s">
        <v>5308</v>
      </c>
      <c r="F4664" s="1081">
        <f t="shared" si="1"/>
        <v>0</v>
      </c>
      <c r="G4664" s="1083">
        <f t="shared" si="2"/>
        <v>1916.82</v>
      </c>
      <c r="H4664" s="1084"/>
    </row>
    <row r="4665" ht="14.25" customHeight="1">
      <c r="A4665" s="1085">
        <v>44545.0</v>
      </c>
      <c r="B4665" s="1086" t="s">
        <v>9983</v>
      </c>
      <c r="C4665" s="1087" t="s">
        <v>1731</v>
      </c>
      <c r="D4665" s="1088">
        <v>281.74</v>
      </c>
      <c r="E4665" s="1089" t="s">
        <v>5308</v>
      </c>
      <c r="F4665" s="1081">
        <f t="shared" si="1"/>
        <v>0</v>
      </c>
      <c r="G4665" s="1083">
        <f t="shared" si="2"/>
        <v>281.74</v>
      </c>
      <c r="H4665" s="1084"/>
    </row>
    <row r="4666" ht="14.25" customHeight="1">
      <c r="A4666" s="1085">
        <v>44546.0</v>
      </c>
      <c r="B4666" s="1086" t="s">
        <v>9984</v>
      </c>
      <c r="C4666" s="1087" t="s">
        <v>1731</v>
      </c>
      <c r="D4666" s="1088">
        <v>1258.28</v>
      </c>
      <c r="E4666" s="1089" t="s">
        <v>5308</v>
      </c>
      <c r="F4666" s="1081">
        <f t="shared" si="1"/>
        <v>0</v>
      </c>
      <c r="G4666" s="1083">
        <f t="shared" si="2"/>
        <v>1258.28</v>
      </c>
      <c r="H4666" s="1084"/>
    </row>
    <row r="4667" ht="14.25" customHeight="1">
      <c r="A4667" s="1085">
        <v>44525.0</v>
      </c>
      <c r="B4667" s="1086" t="s">
        <v>9985</v>
      </c>
      <c r="C4667" s="1087" t="s">
        <v>1731</v>
      </c>
      <c r="D4667" s="1088">
        <v>4857.43</v>
      </c>
      <c r="E4667" s="1089" t="s">
        <v>5308</v>
      </c>
      <c r="F4667" s="1081">
        <f t="shared" si="1"/>
        <v>0</v>
      </c>
      <c r="G4667" s="1083">
        <f t="shared" si="2"/>
        <v>4857.43</v>
      </c>
      <c r="H4667" s="1084"/>
    </row>
    <row r="4668" ht="14.25" customHeight="1">
      <c r="A4668" s="1085">
        <v>44547.0</v>
      </c>
      <c r="B4668" s="1086" t="s">
        <v>9986</v>
      </c>
      <c r="C4668" s="1087" t="s">
        <v>1731</v>
      </c>
      <c r="D4668" s="1088">
        <v>439.2</v>
      </c>
      <c r="E4668" s="1089" t="s">
        <v>5308</v>
      </c>
      <c r="F4668" s="1081">
        <f t="shared" si="1"/>
        <v>0</v>
      </c>
      <c r="G4668" s="1083">
        <f t="shared" si="2"/>
        <v>439.2</v>
      </c>
      <c r="H4668" s="1084"/>
    </row>
    <row r="4669" ht="14.25" customHeight="1">
      <c r="A4669" s="1085">
        <v>44519.0</v>
      </c>
      <c r="B4669" s="1086" t="s">
        <v>9987</v>
      </c>
      <c r="C4669" s="1087" t="s">
        <v>1731</v>
      </c>
      <c r="D4669" s="1088">
        <v>1076.16</v>
      </c>
      <c r="E4669" s="1089" t="s">
        <v>5308</v>
      </c>
      <c r="F4669" s="1081">
        <f t="shared" si="1"/>
        <v>0</v>
      </c>
      <c r="G4669" s="1083">
        <f t="shared" si="2"/>
        <v>1076.16</v>
      </c>
      <c r="H4669" s="1084"/>
    </row>
    <row r="4670" ht="14.25" customHeight="1">
      <c r="A4670" s="1085">
        <v>44520.0</v>
      </c>
      <c r="B4670" s="1086" t="s">
        <v>9988</v>
      </c>
      <c r="C4670" s="1087" t="s">
        <v>1731</v>
      </c>
      <c r="D4670" s="1088">
        <v>1733.31</v>
      </c>
      <c r="E4670" s="1089" t="s">
        <v>5308</v>
      </c>
      <c r="F4670" s="1081">
        <f t="shared" si="1"/>
        <v>0</v>
      </c>
      <c r="G4670" s="1083">
        <f t="shared" si="2"/>
        <v>1733.31</v>
      </c>
      <c r="H4670" s="1084"/>
    </row>
    <row r="4671" ht="14.25" customHeight="1">
      <c r="A4671" s="1085">
        <v>44521.0</v>
      </c>
      <c r="B4671" s="1086" t="s">
        <v>9989</v>
      </c>
      <c r="C4671" s="1087" t="s">
        <v>1731</v>
      </c>
      <c r="D4671" s="1088">
        <v>27.96</v>
      </c>
      <c r="E4671" s="1089" t="s">
        <v>5308</v>
      </c>
      <c r="F4671" s="1081">
        <f t="shared" si="1"/>
        <v>0</v>
      </c>
      <c r="G4671" s="1083">
        <f t="shared" si="2"/>
        <v>27.96</v>
      </c>
      <c r="H4671" s="1084"/>
    </row>
    <row r="4672" ht="14.25" customHeight="1">
      <c r="A4672" s="1085">
        <v>44522.0</v>
      </c>
      <c r="B4672" s="1086" t="s">
        <v>9990</v>
      </c>
      <c r="C4672" s="1087" t="s">
        <v>1731</v>
      </c>
      <c r="D4672" s="1088">
        <v>3043.05</v>
      </c>
      <c r="E4672" s="1089" t="s">
        <v>5308</v>
      </c>
      <c r="F4672" s="1081">
        <f t="shared" si="1"/>
        <v>0</v>
      </c>
      <c r="G4672" s="1083">
        <f t="shared" si="2"/>
        <v>3043.05</v>
      </c>
      <c r="H4672" s="1084"/>
    </row>
    <row r="4673" ht="14.25" customHeight="1">
      <c r="A4673" s="1085">
        <v>44523.0</v>
      </c>
      <c r="B4673" s="1086" t="s">
        <v>9991</v>
      </c>
      <c r="C4673" s="1087" t="s">
        <v>1731</v>
      </c>
      <c r="D4673" s="1088">
        <v>4525.87</v>
      </c>
      <c r="E4673" s="1089" t="s">
        <v>5308</v>
      </c>
      <c r="F4673" s="1081">
        <f t="shared" si="1"/>
        <v>0</v>
      </c>
      <c r="G4673" s="1083">
        <f t="shared" si="2"/>
        <v>4525.87</v>
      </c>
      <c r="H4673" s="1084"/>
    </row>
    <row r="4674" ht="14.25" customHeight="1">
      <c r="A4674" s="1085">
        <v>44527.0</v>
      </c>
      <c r="B4674" s="1086" t="s">
        <v>9992</v>
      </c>
      <c r="C4674" s="1087" t="s">
        <v>1731</v>
      </c>
      <c r="D4674" s="1088">
        <v>2269.61</v>
      </c>
      <c r="E4674" s="1089" t="s">
        <v>5308</v>
      </c>
      <c r="F4674" s="1081">
        <f t="shared" si="1"/>
        <v>0</v>
      </c>
      <c r="G4674" s="1083">
        <f t="shared" si="2"/>
        <v>2269.61</v>
      </c>
      <c r="H4674" s="1084"/>
    </row>
    <row r="4675" ht="14.25" customHeight="1">
      <c r="A4675" s="1085">
        <v>44524.0</v>
      </c>
      <c r="B4675" s="1086" t="s">
        <v>9993</v>
      </c>
      <c r="C4675" s="1087" t="s">
        <v>1731</v>
      </c>
      <c r="D4675" s="1088">
        <v>62.53</v>
      </c>
      <c r="E4675" s="1089" t="s">
        <v>5308</v>
      </c>
      <c r="F4675" s="1081">
        <f t="shared" si="1"/>
        <v>0</v>
      </c>
      <c r="G4675" s="1083">
        <f t="shared" si="2"/>
        <v>62.53</v>
      </c>
      <c r="H4675" s="1084"/>
    </row>
    <row r="4676" ht="14.25" customHeight="1">
      <c r="A4676" s="1085">
        <v>44542.0</v>
      </c>
      <c r="B4676" s="1086" t="s">
        <v>9994</v>
      </c>
      <c r="C4676" s="1087" t="s">
        <v>1731</v>
      </c>
      <c r="D4676" s="1088">
        <v>2961.08</v>
      </c>
      <c r="E4676" s="1089" t="s">
        <v>5308</v>
      </c>
      <c r="F4676" s="1081">
        <f t="shared" si="1"/>
        <v>0</v>
      </c>
      <c r="G4676" s="1083">
        <f t="shared" si="2"/>
        <v>2961.08</v>
      </c>
      <c r="H4676" s="1084"/>
    </row>
    <row r="4677" ht="14.25" customHeight="1">
      <c r="A4677" s="1085">
        <v>9877.0</v>
      </c>
      <c r="B4677" s="1086" t="s">
        <v>9995</v>
      </c>
      <c r="C4677" s="1087" t="s">
        <v>1731</v>
      </c>
      <c r="D4677" s="1088">
        <v>141.06</v>
      </c>
      <c r="E4677" s="1089" t="s">
        <v>5308</v>
      </c>
      <c r="F4677" s="1081">
        <f t="shared" si="1"/>
        <v>0</v>
      </c>
      <c r="G4677" s="1083">
        <f t="shared" si="2"/>
        <v>141.06</v>
      </c>
      <c r="H4677" s="1084"/>
    </row>
    <row r="4678" ht="14.25" customHeight="1">
      <c r="A4678" s="1085">
        <v>9878.0</v>
      </c>
      <c r="B4678" s="1086" t="s">
        <v>9996</v>
      </c>
      <c r="C4678" s="1087" t="s">
        <v>1731</v>
      </c>
      <c r="D4678" s="1088">
        <v>173.65</v>
      </c>
      <c r="E4678" s="1089" t="s">
        <v>5308</v>
      </c>
      <c r="F4678" s="1081">
        <f t="shared" si="1"/>
        <v>0</v>
      </c>
      <c r="G4678" s="1083">
        <f t="shared" si="2"/>
        <v>173.65</v>
      </c>
      <c r="H4678" s="1084"/>
    </row>
    <row r="4679" ht="14.25" customHeight="1">
      <c r="A4679" s="1085">
        <v>41986.0</v>
      </c>
      <c r="B4679" s="1086" t="s">
        <v>9997</v>
      </c>
      <c r="C4679" s="1087" t="s">
        <v>1731</v>
      </c>
      <c r="D4679" s="1088">
        <v>3742.96</v>
      </c>
      <c r="E4679" s="1089" t="s">
        <v>5308</v>
      </c>
      <c r="F4679" s="1081">
        <f t="shared" si="1"/>
        <v>0</v>
      </c>
      <c r="G4679" s="1083">
        <f t="shared" si="2"/>
        <v>3742.96</v>
      </c>
      <c r="H4679" s="1084"/>
    </row>
    <row r="4680" ht="14.25" customHeight="1">
      <c r="A4680" s="1085">
        <v>43422.0</v>
      </c>
      <c r="B4680" s="1086" t="s">
        <v>9998</v>
      </c>
      <c r="C4680" s="1087" t="s">
        <v>1731</v>
      </c>
      <c r="D4680" s="1088">
        <v>4590.37</v>
      </c>
      <c r="E4680" s="1089" t="s">
        <v>5308</v>
      </c>
      <c r="F4680" s="1081">
        <f t="shared" si="1"/>
        <v>0</v>
      </c>
      <c r="G4680" s="1083">
        <f t="shared" si="2"/>
        <v>4590.37</v>
      </c>
      <c r="H4680" s="1084"/>
    </row>
    <row r="4681" ht="14.25" customHeight="1">
      <c r="A4681" s="1085">
        <v>41987.0</v>
      </c>
      <c r="B4681" s="1086" t="s">
        <v>9999</v>
      </c>
      <c r="C4681" s="1087" t="s">
        <v>1731</v>
      </c>
      <c r="D4681" s="1088">
        <v>5320.62</v>
      </c>
      <c r="E4681" s="1089" t="s">
        <v>5308</v>
      </c>
      <c r="F4681" s="1081">
        <f t="shared" si="1"/>
        <v>0</v>
      </c>
      <c r="G4681" s="1083">
        <f t="shared" si="2"/>
        <v>5320.62</v>
      </c>
      <c r="H4681" s="1084"/>
    </row>
    <row r="4682" ht="14.25" customHeight="1">
      <c r="A4682" s="1085">
        <v>41988.0</v>
      </c>
      <c r="B4682" s="1086" t="s">
        <v>10000</v>
      </c>
      <c r="C4682" s="1087" t="s">
        <v>1731</v>
      </c>
      <c r="D4682" s="1088">
        <v>7027.78</v>
      </c>
      <c r="E4682" s="1089" t="s">
        <v>5308</v>
      </c>
      <c r="F4682" s="1081">
        <f t="shared" si="1"/>
        <v>0</v>
      </c>
      <c r="G4682" s="1083">
        <f t="shared" si="2"/>
        <v>7027.78</v>
      </c>
      <c r="H4682" s="1084"/>
    </row>
    <row r="4683" ht="14.25" customHeight="1">
      <c r="A4683" s="1085">
        <v>41697.0</v>
      </c>
      <c r="B4683" s="1086" t="s">
        <v>10001</v>
      </c>
      <c r="C4683" s="1087" t="s">
        <v>1731</v>
      </c>
      <c r="D4683" s="1088">
        <v>1245.65</v>
      </c>
      <c r="E4683" s="1089" t="s">
        <v>5308</v>
      </c>
      <c r="F4683" s="1081">
        <f t="shared" si="1"/>
        <v>0</v>
      </c>
      <c r="G4683" s="1083">
        <f t="shared" si="2"/>
        <v>1245.65</v>
      </c>
      <c r="H4683" s="1084"/>
    </row>
    <row r="4684" ht="14.25" customHeight="1">
      <c r="A4684" s="1085">
        <v>41985.0</v>
      </c>
      <c r="B4684" s="1086" t="s">
        <v>10002</v>
      </c>
      <c r="C4684" s="1087" t="s">
        <v>1731</v>
      </c>
      <c r="D4684" s="1088">
        <v>1734.86</v>
      </c>
      <c r="E4684" s="1089" t="s">
        <v>5308</v>
      </c>
      <c r="F4684" s="1081">
        <f t="shared" si="1"/>
        <v>0</v>
      </c>
      <c r="G4684" s="1083">
        <f t="shared" si="2"/>
        <v>1734.86</v>
      </c>
      <c r="H4684" s="1084"/>
    </row>
    <row r="4685" ht="14.25" customHeight="1">
      <c r="A4685" s="1085">
        <v>41699.0</v>
      </c>
      <c r="B4685" s="1086" t="s">
        <v>10003</v>
      </c>
      <c r="C4685" s="1087" t="s">
        <v>1731</v>
      </c>
      <c r="D4685" s="1088">
        <v>2470.35</v>
      </c>
      <c r="E4685" s="1089" t="s">
        <v>5308</v>
      </c>
      <c r="F4685" s="1081">
        <f t="shared" si="1"/>
        <v>0</v>
      </c>
      <c r="G4685" s="1083">
        <f t="shared" si="2"/>
        <v>2470.35</v>
      </c>
      <c r="H4685" s="1084"/>
    </row>
    <row r="4686" ht="14.25" customHeight="1">
      <c r="A4686" s="1085">
        <v>38053.0</v>
      </c>
      <c r="B4686" s="1086" t="s">
        <v>10004</v>
      </c>
      <c r="C4686" s="1087" t="s">
        <v>1731</v>
      </c>
      <c r="D4686" s="1088">
        <v>24.64</v>
      </c>
      <c r="E4686" s="1089" t="s">
        <v>5308</v>
      </c>
      <c r="F4686" s="1081">
        <f t="shared" si="1"/>
        <v>0</v>
      </c>
      <c r="G4686" s="1083">
        <f t="shared" si="2"/>
        <v>24.64</v>
      </c>
      <c r="H4686" s="1084"/>
    </row>
    <row r="4687" ht="14.25" customHeight="1">
      <c r="A4687" s="1085">
        <v>38054.0</v>
      </c>
      <c r="B4687" s="1086" t="s">
        <v>10005</v>
      </c>
      <c r="C4687" s="1087" t="s">
        <v>1731</v>
      </c>
      <c r="D4687" s="1088">
        <v>42.35</v>
      </c>
      <c r="E4687" s="1089" t="s">
        <v>5308</v>
      </c>
      <c r="F4687" s="1081">
        <f t="shared" si="1"/>
        <v>0</v>
      </c>
      <c r="G4687" s="1083">
        <f t="shared" si="2"/>
        <v>42.35</v>
      </c>
      <c r="H4687" s="1084"/>
    </row>
    <row r="4688" ht="14.25" customHeight="1">
      <c r="A4688" s="1085">
        <v>38052.0</v>
      </c>
      <c r="B4688" s="1086" t="s">
        <v>10006</v>
      </c>
      <c r="C4688" s="1087" t="s">
        <v>1731</v>
      </c>
      <c r="D4688" s="1088">
        <v>11.93</v>
      </c>
      <c r="E4688" s="1089" t="s">
        <v>5308</v>
      </c>
      <c r="F4688" s="1081">
        <f t="shared" si="1"/>
        <v>0</v>
      </c>
      <c r="G4688" s="1083">
        <f t="shared" si="2"/>
        <v>11.93</v>
      </c>
      <c r="H4688" s="1084"/>
    </row>
    <row r="4689" ht="14.25" customHeight="1">
      <c r="A4689" s="1085">
        <v>38051.0</v>
      </c>
      <c r="B4689" s="1086" t="s">
        <v>10007</v>
      </c>
      <c r="C4689" s="1087" t="s">
        <v>1731</v>
      </c>
      <c r="D4689" s="1088">
        <v>7.44</v>
      </c>
      <c r="E4689" s="1089" t="s">
        <v>5308</v>
      </c>
      <c r="F4689" s="1081">
        <f t="shared" si="1"/>
        <v>0</v>
      </c>
      <c r="G4689" s="1083">
        <f t="shared" si="2"/>
        <v>7.44</v>
      </c>
      <c r="H4689" s="1084"/>
    </row>
    <row r="4690" ht="14.25" customHeight="1">
      <c r="A4690" s="1085">
        <v>38787.0</v>
      </c>
      <c r="B4690" s="1086" t="s">
        <v>10008</v>
      </c>
      <c r="C4690" s="1087" t="s">
        <v>1731</v>
      </c>
      <c r="D4690" s="1088">
        <v>5.61</v>
      </c>
      <c r="E4690" s="1089" t="s">
        <v>5308</v>
      </c>
      <c r="F4690" s="1081">
        <f t="shared" si="1"/>
        <v>0</v>
      </c>
      <c r="G4690" s="1083">
        <f t="shared" si="2"/>
        <v>5.61</v>
      </c>
      <c r="H4690" s="1084"/>
    </row>
    <row r="4691" ht="14.25" customHeight="1">
      <c r="A4691" s="1085">
        <v>38825.0</v>
      </c>
      <c r="B4691" s="1086" t="s">
        <v>10009</v>
      </c>
      <c r="C4691" s="1087" t="s">
        <v>1731</v>
      </c>
      <c r="D4691" s="1088">
        <v>7.25</v>
      </c>
      <c r="E4691" s="1089" t="s">
        <v>5308</v>
      </c>
      <c r="F4691" s="1081">
        <f t="shared" si="1"/>
        <v>0</v>
      </c>
      <c r="G4691" s="1083">
        <f t="shared" si="2"/>
        <v>7.25</v>
      </c>
      <c r="H4691" s="1084"/>
    </row>
    <row r="4692" ht="14.25" customHeight="1">
      <c r="A4692" s="1085">
        <v>38826.0</v>
      </c>
      <c r="B4692" s="1086" t="s">
        <v>10010</v>
      </c>
      <c r="C4692" s="1087" t="s">
        <v>1731</v>
      </c>
      <c r="D4692" s="1088">
        <v>10.31</v>
      </c>
      <c r="E4692" s="1089" t="s">
        <v>5308</v>
      </c>
      <c r="F4692" s="1081">
        <f t="shared" si="1"/>
        <v>0</v>
      </c>
      <c r="G4692" s="1083">
        <f t="shared" si="2"/>
        <v>10.31</v>
      </c>
      <c r="H4692" s="1084"/>
    </row>
    <row r="4693" ht="14.25" customHeight="1">
      <c r="A4693" s="1085">
        <v>38827.0</v>
      </c>
      <c r="B4693" s="1086" t="s">
        <v>10011</v>
      </c>
      <c r="C4693" s="1087" t="s">
        <v>1731</v>
      </c>
      <c r="D4693" s="1088">
        <v>16.86</v>
      </c>
      <c r="E4693" s="1089" t="s">
        <v>5308</v>
      </c>
      <c r="F4693" s="1081">
        <f t="shared" si="1"/>
        <v>0</v>
      </c>
      <c r="G4693" s="1083">
        <f t="shared" si="2"/>
        <v>16.86</v>
      </c>
      <c r="H4693" s="1084"/>
    </row>
    <row r="4694" ht="14.25" customHeight="1">
      <c r="A4694" s="1085">
        <v>38830.0</v>
      </c>
      <c r="B4694" s="1086" t="s">
        <v>10012</v>
      </c>
      <c r="C4694" s="1087" t="s">
        <v>1731</v>
      </c>
      <c r="D4694" s="1088">
        <v>24.5</v>
      </c>
      <c r="E4694" s="1089" t="s">
        <v>5308</v>
      </c>
      <c r="F4694" s="1081">
        <f t="shared" si="1"/>
        <v>0</v>
      </c>
      <c r="G4694" s="1083">
        <f t="shared" si="2"/>
        <v>24.5</v>
      </c>
      <c r="H4694" s="1084"/>
    </row>
    <row r="4695" ht="14.25" customHeight="1">
      <c r="A4695" s="1085">
        <v>38828.0</v>
      </c>
      <c r="B4695" s="1086" t="s">
        <v>10013</v>
      </c>
      <c r="C4695" s="1087" t="s">
        <v>1731</v>
      </c>
      <c r="D4695" s="1088">
        <v>10.8</v>
      </c>
      <c r="E4695" s="1089" t="s">
        <v>5308</v>
      </c>
      <c r="F4695" s="1081">
        <f t="shared" si="1"/>
        <v>0</v>
      </c>
      <c r="G4695" s="1083">
        <f t="shared" si="2"/>
        <v>10.8</v>
      </c>
      <c r="H4695" s="1084"/>
    </row>
    <row r="4696" ht="14.25" customHeight="1">
      <c r="A4696" s="1085">
        <v>38829.0</v>
      </c>
      <c r="B4696" s="1086" t="s">
        <v>10014</v>
      </c>
      <c r="C4696" s="1087" t="s">
        <v>1731</v>
      </c>
      <c r="D4696" s="1088">
        <v>17.7</v>
      </c>
      <c r="E4696" s="1089" t="s">
        <v>5308</v>
      </c>
      <c r="F4696" s="1081">
        <f t="shared" si="1"/>
        <v>0</v>
      </c>
      <c r="G4696" s="1083">
        <f t="shared" si="2"/>
        <v>17.7</v>
      </c>
      <c r="H4696" s="1084"/>
    </row>
    <row r="4697" ht="14.25" customHeight="1">
      <c r="A4697" s="1085">
        <v>38831.0</v>
      </c>
      <c r="B4697" s="1086" t="s">
        <v>10015</v>
      </c>
      <c r="C4697" s="1087" t="s">
        <v>1731</v>
      </c>
      <c r="D4697" s="1088">
        <v>34.17</v>
      </c>
      <c r="E4697" s="1089" t="s">
        <v>5308</v>
      </c>
      <c r="F4697" s="1081">
        <f t="shared" si="1"/>
        <v>0</v>
      </c>
      <c r="G4697" s="1083">
        <f t="shared" si="2"/>
        <v>34.17</v>
      </c>
      <c r="H4697" s="1084"/>
    </row>
    <row r="4698" ht="14.25" customHeight="1">
      <c r="A4698" s="1085">
        <v>36274.0</v>
      </c>
      <c r="B4698" s="1086" t="s">
        <v>10016</v>
      </c>
      <c r="C4698" s="1087" t="s">
        <v>1731</v>
      </c>
      <c r="D4698" s="1088">
        <v>10.77</v>
      </c>
      <c r="E4698" s="1089" t="s">
        <v>5308</v>
      </c>
      <c r="F4698" s="1081">
        <f t="shared" si="1"/>
        <v>0</v>
      </c>
      <c r="G4698" s="1083">
        <f t="shared" si="2"/>
        <v>10.77</v>
      </c>
      <c r="H4698" s="1084"/>
    </row>
    <row r="4699" ht="14.25" customHeight="1">
      <c r="A4699" s="1085">
        <v>36278.0</v>
      </c>
      <c r="B4699" s="1086" t="s">
        <v>10017</v>
      </c>
      <c r="C4699" s="1087" t="s">
        <v>1731</v>
      </c>
      <c r="D4699" s="1088">
        <v>14.6</v>
      </c>
      <c r="E4699" s="1089" t="s">
        <v>5308</v>
      </c>
      <c r="F4699" s="1081">
        <f t="shared" si="1"/>
        <v>0</v>
      </c>
      <c r="G4699" s="1083">
        <f t="shared" si="2"/>
        <v>14.6</v>
      </c>
      <c r="H4699" s="1084"/>
    </row>
    <row r="4700" ht="14.25" customHeight="1">
      <c r="A4700" s="1085">
        <v>38977.0</v>
      </c>
      <c r="B4700" s="1086" t="s">
        <v>10018</v>
      </c>
      <c r="C4700" s="1087" t="s">
        <v>1731</v>
      </c>
      <c r="D4700" s="1088">
        <v>142.88</v>
      </c>
      <c r="E4700" s="1089" t="s">
        <v>5308</v>
      </c>
      <c r="F4700" s="1081">
        <f t="shared" si="1"/>
        <v>0</v>
      </c>
      <c r="G4700" s="1083">
        <f t="shared" si="2"/>
        <v>142.88</v>
      </c>
      <c r="H4700" s="1084"/>
    </row>
    <row r="4701" ht="14.25" customHeight="1">
      <c r="A4701" s="1085">
        <v>38971.0</v>
      </c>
      <c r="B4701" s="1086" t="s">
        <v>10019</v>
      </c>
      <c r="C4701" s="1087" t="s">
        <v>1731</v>
      </c>
      <c r="D4701" s="1088">
        <v>11.99</v>
      </c>
      <c r="E4701" s="1089" t="s">
        <v>5308</v>
      </c>
      <c r="F4701" s="1081">
        <f t="shared" si="1"/>
        <v>0</v>
      </c>
      <c r="G4701" s="1083">
        <f t="shared" si="2"/>
        <v>11.99</v>
      </c>
      <c r="H4701" s="1084"/>
    </row>
    <row r="4702" ht="14.25" customHeight="1">
      <c r="A4702" s="1085">
        <v>38972.0</v>
      </c>
      <c r="B4702" s="1086" t="s">
        <v>10020</v>
      </c>
      <c r="C4702" s="1087" t="s">
        <v>1731</v>
      </c>
      <c r="D4702" s="1088">
        <v>16.17</v>
      </c>
      <c r="E4702" s="1089" t="s">
        <v>5308</v>
      </c>
      <c r="F4702" s="1081">
        <f t="shared" si="1"/>
        <v>0</v>
      </c>
      <c r="G4702" s="1083">
        <f t="shared" si="2"/>
        <v>16.17</v>
      </c>
      <c r="H4702" s="1084"/>
    </row>
    <row r="4703" ht="14.25" customHeight="1">
      <c r="A4703" s="1085">
        <v>38973.0</v>
      </c>
      <c r="B4703" s="1086" t="s">
        <v>10021</v>
      </c>
      <c r="C4703" s="1087" t="s">
        <v>1731</v>
      </c>
      <c r="D4703" s="1088">
        <v>26.71</v>
      </c>
      <c r="E4703" s="1089" t="s">
        <v>5308</v>
      </c>
      <c r="F4703" s="1081">
        <f t="shared" si="1"/>
        <v>0</v>
      </c>
      <c r="G4703" s="1083">
        <f t="shared" si="2"/>
        <v>26.71</v>
      </c>
      <c r="H4703" s="1084"/>
    </row>
    <row r="4704" ht="14.25" customHeight="1">
      <c r="A4704" s="1085">
        <v>38974.0</v>
      </c>
      <c r="B4704" s="1086" t="s">
        <v>10022</v>
      </c>
      <c r="C4704" s="1087" t="s">
        <v>1731</v>
      </c>
      <c r="D4704" s="1088">
        <v>43.38</v>
      </c>
      <c r="E4704" s="1089" t="s">
        <v>5308</v>
      </c>
      <c r="F4704" s="1081">
        <f t="shared" si="1"/>
        <v>0</v>
      </c>
      <c r="G4704" s="1083">
        <f t="shared" si="2"/>
        <v>43.38</v>
      </c>
      <c r="H4704" s="1084"/>
    </row>
    <row r="4705" ht="14.25" customHeight="1">
      <c r="A4705" s="1085">
        <v>38975.0</v>
      </c>
      <c r="B4705" s="1086" t="s">
        <v>10023</v>
      </c>
      <c r="C4705" s="1087" t="s">
        <v>1731</v>
      </c>
      <c r="D4705" s="1088">
        <v>55.63</v>
      </c>
      <c r="E4705" s="1089" t="s">
        <v>5308</v>
      </c>
      <c r="F4705" s="1081">
        <f t="shared" si="1"/>
        <v>0</v>
      </c>
      <c r="G4705" s="1083">
        <f t="shared" si="2"/>
        <v>55.63</v>
      </c>
      <c r="H4705" s="1084"/>
    </row>
    <row r="4706" ht="14.25" customHeight="1">
      <c r="A4706" s="1085">
        <v>38976.0</v>
      </c>
      <c r="B4706" s="1086" t="s">
        <v>10024</v>
      </c>
      <c r="C4706" s="1087" t="s">
        <v>1731</v>
      </c>
      <c r="D4706" s="1088">
        <v>95.63</v>
      </c>
      <c r="E4706" s="1089" t="s">
        <v>5308</v>
      </c>
      <c r="F4706" s="1081">
        <f t="shared" si="1"/>
        <v>0</v>
      </c>
      <c r="G4706" s="1083">
        <f t="shared" si="2"/>
        <v>95.63</v>
      </c>
      <c r="H4706" s="1084"/>
    </row>
    <row r="4707" ht="14.25" customHeight="1">
      <c r="A4707" s="1085">
        <v>44176.0</v>
      </c>
      <c r="B4707" s="1086" t="s">
        <v>10025</v>
      </c>
      <c r="C4707" s="1087" t="s">
        <v>1731</v>
      </c>
      <c r="D4707" s="1088">
        <v>21.98</v>
      </c>
      <c r="E4707" s="1089" t="s">
        <v>5308</v>
      </c>
      <c r="F4707" s="1081">
        <f t="shared" si="1"/>
        <v>0</v>
      </c>
      <c r="G4707" s="1083">
        <f t="shared" si="2"/>
        <v>21.98</v>
      </c>
      <c r="H4707" s="1084"/>
    </row>
    <row r="4708" ht="14.25" customHeight="1">
      <c r="A4708" s="1085">
        <v>38986.0</v>
      </c>
      <c r="B4708" s="1086" t="s">
        <v>10026</v>
      </c>
      <c r="C4708" s="1087" t="s">
        <v>1731</v>
      </c>
      <c r="D4708" s="1088">
        <v>288.67</v>
      </c>
      <c r="E4708" s="1089" t="s">
        <v>5308</v>
      </c>
      <c r="F4708" s="1081">
        <f t="shared" si="1"/>
        <v>0</v>
      </c>
      <c r="G4708" s="1083">
        <f t="shared" si="2"/>
        <v>288.67</v>
      </c>
      <c r="H4708" s="1084"/>
    </row>
    <row r="4709" ht="14.25" customHeight="1">
      <c r="A4709" s="1085">
        <v>38978.0</v>
      </c>
      <c r="B4709" s="1086" t="s">
        <v>10027</v>
      </c>
      <c r="C4709" s="1087" t="s">
        <v>1731</v>
      </c>
      <c r="D4709" s="1088">
        <v>11.84</v>
      </c>
      <c r="E4709" s="1089" t="s">
        <v>5308</v>
      </c>
      <c r="F4709" s="1081">
        <f t="shared" si="1"/>
        <v>0</v>
      </c>
      <c r="G4709" s="1083">
        <f t="shared" si="2"/>
        <v>11.84</v>
      </c>
      <c r="H4709" s="1084"/>
    </row>
    <row r="4710" ht="14.25" customHeight="1">
      <c r="A4710" s="1085">
        <v>38979.0</v>
      </c>
      <c r="B4710" s="1086" t="s">
        <v>10028</v>
      </c>
      <c r="C4710" s="1087" t="s">
        <v>1731</v>
      </c>
      <c r="D4710" s="1088">
        <v>16.37</v>
      </c>
      <c r="E4710" s="1089" t="s">
        <v>5308</v>
      </c>
      <c r="F4710" s="1081">
        <f t="shared" si="1"/>
        <v>0</v>
      </c>
      <c r="G4710" s="1083">
        <f t="shared" si="2"/>
        <v>16.37</v>
      </c>
      <c r="H4710" s="1084"/>
    </row>
    <row r="4711" ht="14.25" customHeight="1">
      <c r="A4711" s="1085">
        <v>38980.0</v>
      </c>
      <c r="B4711" s="1086" t="s">
        <v>10029</v>
      </c>
      <c r="C4711" s="1087" t="s">
        <v>1731</v>
      </c>
      <c r="D4711" s="1088">
        <v>21.91</v>
      </c>
      <c r="E4711" s="1089" t="s">
        <v>5308</v>
      </c>
      <c r="F4711" s="1081">
        <f t="shared" si="1"/>
        <v>0</v>
      </c>
      <c r="G4711" s="1083">
        <f t="shared" si="2"/>
        <v>21.91</v>
      </c>
      <c r="H4711" s="1084"/>
    </row>
    <row r="4712" ht="14.25" customHeight="1">
      <c r="A4712" s="1085">
        <v>38981.0</v>
      </c>
      <c r="B4712" s="1086" t="s">
        <v>10030</v>
      </c>
      <c r="C4712" s="1087" t="s">
        <v>1731</v>
      </c>
      <c r="D4712" s="1088">
        <v>31.61</v>
      </c>
      <c r="E4712" s="1089" t="s">
        <v>5308</v>
      </c>
      <c r="F4712" s="1081">
        <f t="shared" si="1"/>
        <v>0</v>
      </c>
      <c r="G4712" s="1083">
        <f t="shared" si="2"/>
        <v>31.61</v>
      </c>
      <c r="H4712" s="1084"/>
    </row>
    <row r="4713" ht="14.25" customHeight="1">
      <c r="A4713" s="1085">
        <v>38982.0</v>
      </c>
      <c r="B4713" s="1086" t="s">
        <v>10031</v>
      </c>
      <c r="C4713" s="1087" t="s">
        <v>1731</v>
      </c>
      <c r="D4713" s="1088">
        <v>49.95</v>
      </c>
      <c r="E4713" s="1089" t="s">
        <v>5308</v>
      </c>
      <c r="F4713" s="1081">
        <f t="shared" si="1"/>
        <v>0</v>
      </c>
      <c r="G4713" s="1083">
        <f t="shared" si="2"/>
        <v>49.95</v>
      </c>
      <c r="H4713" s="1084"/>
    </row>
    <row r="4714" ht="14.25" customHeight="1">
      <c r="A4714" s="1085">
        <v>38983.0</v>
      </c>
      <c r="B4714" s="1086" t="s">
        <v>10032</v>
      </c>
      <c r="C4714" s="1087" t="s">
        <v>1731</v>
      </c>
      <c r="D4714" s="1088">
        <v>87.9</v>
      </c>
      <c r="E4714" s="1089" t="s">
        <v>5308</v>
      </c>
      <c r="F4714" s="1081">
        <f t="shared" si="1"/>
        <v>0</v>
      </c>
      <c r="G4714" s="1083">
        <f t="shared" si="2"/>
        <v>87.9</v>
      </c>
      <c r="H4714" s="1084"/>
    </row>
    <row r="4715" ht="14.25" customHeight="1">
      <c r="A4715" s="1085">
        <v>38984.0</v>
      </c>
      <c r="B4715" s="1086" t="s">
        <v>10033</v>
      </c>
      <c r="C4715" s="1087" t="s">
        <v>1731</v>
      </c>
      <c r="D4715" s="1088">
        <v>120.83</v>
      </c>
      <c r="E4715" s="1089" t="s">
        <v>5308</v>
      </c>
      <c r="F4715" s="1081">
        <f t="shared" si="1"/>
        <v>0</v>
      </c>
      <c r="G4715" s="1083">
        <f t="shared" si="2"/>
        <v>120.83</v>
      </c>
      <c r="H4715" s="1084"/>
    </row>
    <row r="4716" ht="14.25" customHeight="1">
      <c r="A4716" s="1085">
        <v>38985.0</v>
      </c>
      <c r="B4716" s="1086" t="s">
        <v>10034</v>
      </c>
      <c r="C4716" s="1087" t="s">
        <v>1731</v>
      </c>
      <c r="D4716" s="1088">
        <v>207.74</v>
      </c>
      <c r="E4716" s="1089" t="s">
        <v>5308</v>
      </c>
      <c r="F4716" s="1081">
        <f t="shared" si="1"/>
        <v>0</v>
      </c>
      <c r="G4716" s="1083">
        <f t="shared" si="2"/>
        <v>207.74</v>
      </c>
      <c r="H4716" s="1084"/>
    </row>
    <row r="4717" ht="14.25" customHeight="1">
      <c r="A4717" s="1085">
        <v>9836.0</v>
      </c>
      <c r="B4717" s="1086" t="s">
        <v>10035</v>
      </c>
      <c r="C4717" s="1087" t="s">
        <v>1731</v>
      </c>
      <c r="D4717" s="1088">
        <v>17.0</v>
      </c>
      <c r="E4717" s="1089" t="s">
        <v>5308</v>
      </c>
      <c r="F4717" s="1081">
        <f t="shared" si="1"/>
        <v>0</v>
      </c>
      <c r="G4717" s="1083">
        <f t="shared" si="2"/>
        <v>17</v>
      </c>
      <c r="H4717" s="1084"/>
    </row>
    <row r="4718" ht="14.25" customHeight="1">
      <c r="A4718" s="1085">
        <v>20065.0</v>
      </c>
      <c r="B4718" s="1086" t="s">
        <v>10036</v>
      </c>
      <c r="C4718" s="1087" t="s">
        <v>1731</v>
      </c>
      <c r="D4718" s="1088">
        <v>44.44</v>
      </c>
      <c r="E4718" s="1089" t="s">
        <v>5308</v>
      </c>
      <c r="F4718" s="1081">
        <f t="shared" si="1"/>
        <v>0</v>
      </c>
      <c r="G4718" s="1083">
        <f t="shared" si="2"/>
        <v>44.44</v>
      </c>
      <c r="H4718" s="1084"/>
    </row>
    <row r="4719" ht="14.25" customHeight="1">
      <c r="A4719" s="1085">
        <v>9835.0</v>
      </c>
      <c r="B4719" s="1086" t="s">
        <v>10037</v>
      </c>
      <c r="C4719" s="1087" t="s">
        <v>1731</v>
      </c>
      <c r="D4719" s="1088">
        <v>7.43</v>
      </c>
      <c r="E4719" s="1089" t="s">
        <v>5308</v>
      </c>
      <c r="F4719" s="1081">
        <f t="shared" si="1"/>
        <v>0</v>
      </c>
      <c r="G4719" s="1083">
        <f t="shared" si="2"/>
        <v>7.43</v>
      </c>
      <c r="H4719" s="1084"/>
    </row>
    <row r="4720" ht="14.25" customHeight="1">
      <c r="A4720" s="1085">
        <v>38032.0</v>
      </c>
      <c r="B4720" s="1086" t="s">
        <v>10038</v>
      </c>
      <c r="C4720" s="1087" t="s">
        <v>1731</v>
      </c>
      <c r="D4720" s="1088">
        <v>67.17</v>
      </c>
      <c r="E4720" s="1089" t="s">
        <v>5308</v>
      </c>
      <c r="F4720" s="1081">
        <f t="shared" si="1"/>
        <v>0</v>
      </c>
      <c r="G4720" s="1083">
        <f t="shared" si="2"/>
        <v>67.17</v>
      </c>
      <c r="H4720" s="1084"/>
    </row>
    <row r="4721" ht="14.25" customHeight="1">
      <c r="A4721" s="1085">
        <v>38033.0</v>
      </c>
      <c r="B4721" s="1086" t="s">
        <v>10039</v>
      </c>
      <c r="C4721" s="1087" t="s">
        <v>1731</v>
      </c>
      <c r="D4721" s="1088">
        <v>114.19</v>
      </c>
      <c r="E4721" s="1089" t="s">
        <v>5308</v>
      </c>
      <c r="F4721" s="1081">
        <f t="shared" si="1"/>
        <v>0</v>
      </c>
      <c r="G4721" s="1083">
        <f t="shared" si="2"/>
        <v>114.19</v>
      </c>
      <c r="H4721" s="1084"/>
    </row>
    <row r="4722" ht="14.25" customHeight="1">
      <c r="A4722" s="1085">
        <v>38034.0</v>
      </c>
      <c r="B4722" s="1086" t="s">
        <v>10040</v>
      </c>
      <c r="C4722" s="1087" t="s">
        <v>1731</v>
      </c>
      <c r="D4722" s="1088">
        <v>178.87</v>
      </c>
      <c r="E4722" s="1089" t="s">
        <v>5308</v>
      </c>
      <c r="F4722" s="1081">
        <f t="shared" si="1"/>
        <v>0</v>
      </c>
      <c r="G4722" s="1083">
        <f t="shared" si="2"/>
        <v>178.87</v>
      </c>
      <c r="H4722" s="1084"/>
    </row>
    <row r="4723" ht="14.25" customHeight="1">
      <c r="A4723" s="1085">
        <v>38035.0</v>
      </c>
      <c r="B4723" s="1086" t="s">
        <v>10041</v>
      </c>
      <c r="C4723" s="1087" t="s">
        <v>1731</v>
      </c>
      <c r="D4723" s="1088">
        <v>263.15</v>
      </c>
      <c r="E4723" s="1089" t="s">
        <v>5308</v>
      </c>
      <c r="F4723" s="1081">
        <f t="shared" si="1"/>
        <v>0</v>
      </c>
      <c r="G4723" s="1083">
        <f t="shared" si="2"/>
        <v>263.15</v>
      </c>
      <c r="H4723" s="1084"/>
    </row>
    <row r="4724" ht="14.25" customHeight="1">
      <c r="A4724" s="1085">
        <v>38036.0</v>
      </c>
      <c r="B4724" s="1086" t="s">
        <v>10042</v>
      </c>
      <c r="C4724" s="1087" t="s">
        <v>1731</v>
      </c>
      <c r="D4724" s="1088">
        <v>354.49</v>
      </c>
      <c r="E4724" s="1089" t="s">
        <v>5308</v>
      </c>
      <c r="F4724" s="1081">
        <f t="shared" si="1"/>
        <v>0</v>
      </c>
      <c r="G4724" s="1083">
        <f t="shared" si="2"/>
        <v>354.49</v>
      </c>
      <c r="H4724" s="1084"/>
    </row>
    <row r="4725" ht="14.25" customHeight="1">
      <c r="A4725" s="1085">
        <v>38037.0</v>
      </c>
      <c r="B4725" s="1086" t="s">
        <v>10043</v>
      </c>
      <c r="C4725" s="1087" t="s">
        <v>1731</v>
      </c>
      <c r="D4725" s="1088">
        <v>468.24</v>
      </c>
      <c r="E4725" s="1089" t="s">
        <v>5308</v>
      </c>
      <c r="F4725" s="1081">
        <f t="shared" si="1"/>
        <v>0</v>
      </c>
      <c r="G4725" s="1083">
        <f t="shared" si="2"/>
        <v>468.24</v>
      </c>
      <c r="H4725" s="1084"/>
    </row>
    <row r="4726" ht="14.25" customHeight="1">
      <c r="A4726" s="1085">
        <v>9850.0</v>
      </c>
      <c r="B4726" s="1086" t="s">
        <v>10044</v>
      </c>
      <c r="C4726" s="1087" t="s">
        <v>1731</v>
      </c>
      <c r="D4726" s="1088">
        <v>147.5</v>
      </c>
      <c r="E4726" s="1089" t="s">
        <v>5308</v>
      </c>
      <c r="F4726" s="1081">
        <f t="shared" si="1"/>
        <v>0</v>
      </c>
      <c r="G4726" s="1083">
        <f t="shared" si="2"/>
        <v>147.5</v>
      </c>
      <c r="H4726" s="1084"/>
    </row>
    <row r="4727" ht="14.25" customHeight="1">
      <c r="A4727" s="1085">
        <v>9853.0</v>
      </c>
      <c r="B4727" s="1086" t="s">
        <v>10045</v>
      </c>
      <c r="C4727" s="1087" t="s">
        <v>1731</v>
      </c>
      <c r="D4727" s="1088">
        <v>262.3</v>
      </c>
      <c r="E4727" s="1089" t="s">
        <v>5308</v>
      </c>
      <c r="F4727" s="1081">
        <f t="shared" si="1"/>
        <v>0</v>
      </c>
      <c r="G4727" s="1083">
        <f t="shared" si="2"/>
        <v>262.3</v>
      </c>
      <c r="H4727" s="1084"/>
    </row>
    <row r="4728" ht="14.25" customHeight="1">
      <c r="A4728" s="1085">
        <v>9854.0</v>
      </c>
      <c r="B4728" s="1086" t="s">
        <v>10046</v>
      </c>
      <c r="C4728" s="1087" t="s">
        <v>1731</v>
      </c>
      <c r="D4728" s="1088">
        <v>114.93</v>
      </c>
      <c r="E4728" s="1089" t="s">
        <v>5308</v>
      </c>
      <c r="F4728" s="1081">
        <f t="shared" si="1"/>
        <v>0</v>
      </c>
      <c r="G4728" s="1083">
        <f t="shared" si="2"/>
        <v>114.93</v>
      </c>
      <c r="H4728" s="1084"/>
    </row>
    <row r="4729" ht="14.25" customHeight="1">
      <c r="A4729" s="1085">
        <v>9851.0</v>
      </c>
      <c r="B4729" s="1086" t="s">
        <v>10047</v>
      </c>
      <c r="C4729" s="1087" t="s">
        <v>1731</v>
      </c>
      <c r="D4729" s="1088">
        <v>199.28</v>
      </c>
      <c r="E4729" s="1089" t="s">
        <v>5308</v>
      </c>
      <c r="F4729" s="1081">
        <f t="shared" si="1"/>
        <v>0</v>
      </c>
      <c r="G4729" s="1083">
        <f t="shared" si="2"/>
        <v>199.28</v>
      </c>
      <c r="H4729" s="1084"/>
    </row>
    <row r="4730" ht="14.25" customHeight="1">
      <c r="A4730" s="1085">
        <v>9855.0</v>
      </c>
      <c r="B4730" s="1086" t="s">
        <v>10048</v>
      </c>
      <c r="C4730" s="1087" t="s">
        <v>1731</v>
      </c>
      <c r="D4730" s="1088">
        <v>333.32</v>
      </c>
      <c r="E4730" s="1089" t="s">
        <v>5308</v>
      </c>
      <c r="F4730" s="1081">
        <f t="shared" si="1"/>
        <v>0</v>
      </c>
      <c r="G4730" s="1083">
        <f t="shared" si="2"/>
        <v>333.32</v>
      </c>
      <c r="H4730" s="1084"/>
    </row>
    <row r="4731" ht="14.25" customHeight="1">
      <c r="A4731" s="1085">
        <v>9825.0</v>
      </c>
      <c r="B4731" s="1086" t="s">
        <v>10049</v>
      </c>
      <c r="C4731" s="1087" t="s">
        <v>1731</v>
      </c>
      <c r="D4731" s="1088">
        <v>45.34</v>
      </c>
      <c r="E4731" s="1089" t="s">
        <v>5308</v>
      </c>
      <c r="F4731" s="1081">
        <f t="shared" si="1"/>
        <v>0</v>
      </c>
      <c r="G4731" s="1083">
        <f t="shared" si="2"/>
        <v>45.34</v>
      </c>
      <c r="H4731" s="1084"/>
    </row>
    <row r="4732" ht="14.25" customHeight="1">
      <c r="A4732" s="1085">
        <v>9828.0</v>
      </c>
      <c r="B4732" s="1086" t="s">
        <v>10050</v>
      </c>
      <c r="C4732" s="1087" t="s">
        <v>1731</v>
      </c>
      <c r="D4732" s="1088">
        <v>122.03</v>
      </c>
      <c r="E4732" s="1089" t="s">
        <v>5308</v>
      </c>
      <c r="F4732" s="1081">
        <f t="shared" si="1"/>
        <v>0</v>
      </c>
      <c r="G4732" s="1083">
        <f t="shared" si="2"/>
        <v>122.03</v>
      </c>
      <c r="H4732" s="1084"/>
    </row>
    <row r="4733" ht="14.25" customHeight="1">
      <c r="A4733" s="1085">
        <v>9829.0</v>
      </c>
      <c r="B4733" s="1086" t="s">
        <v>10051</v>
      </c>
      <c r="C4733" s="1087" t="s">
        <v>1731</v>
      </c>
      <c r="D4733" s="1088">
        <v>206.8</v>
      </c>
      <c r="E4733" s="1089" t="s">
        <v>5308</v>
      </c>
      <c r="F4733" s="1081">
        <f t="shared" si="1"/>
        <v>0</v>
      </c>
      <c r="G4733" s="1083">
        <f t="shared" si="2"/>
        <v>206.8</v>
      </c>
      <c r="H4733" s="1084"/>
    </row>
    <row r="4734" ht="14.25" customHeight="1">
      <c r="A4734" s="1085">
        <v>9826.0</v>
      </c>
      <c r="B4734" s="1086" t="s">
        <v>10052</v>
      </c>
      <c r="C4734" s="1087" t="s">
        <v>1731</v>
      </c>
      <c r="D4734" s="1088">
        <v>314.83</v>
      </c>
      <c r="E4734" s="1089" t="s">
        <v>5308</v>
      </c>
      <c r="F4734" s="1081">
        <f t="shared" si="1"/>
        <v>0</v>
      </c>
      <c r="G4734" s="1083">
        <f t="shared" si="2"/>
        <v>314.83</v>
      </c>
      <c r="H4734" s="1084"/>
    </row>
    <row r="4735" ht="14.25" customHeight="1">
      <c r="A4735" s="1085">
        <v>9827.0</v>
      </c>
      <c r="B4735" s="1086" t="s">
        <v>10053</v>
      </c>
      <c r="C4735" s="1087" t="s">
        <v>1731</v>
      </c>
      <c r="D4735" s="1088">
        <v>447.06</v>
      </c>
      <c r="E4735" s="1089" t="s">
        <v>5308</v>
      </c>
      <c r="F4735" s="1081">
        <f t="shared" si="1"/>
        <v>0</v>
      </c>
      <c r="G4735" s="1083">
        <f t="shared" si="2"/>
        <v>447.06</v>
      </c>
      <c r="H4735" s="1084"/>
    </row>
    <row r="4736" ht="14.25" customHeight="1">
      <c r="A4736" s="1085">
        <v>36374.0</v>
      </c>
      <c r="B4736" s="1086" t="s">
        <v>10054</v>
      </c>
      <c r="C4736" s="1087" t="s">
        <v>1731</v>
      </c>
      <c r="D4736" s="1088">
        <v>54.34</v>
      </c>
      <c r="E4736" s="1089" t="s">
        <v>5308</v>
      </c>
      <c r="F4736" s="1081">
        <f t="shared" si="1"/>
        <v>0</v>
      </c>
      <c r="G4736" s="1083">
        <f t="shared" si="2"/>
        <v>54.34</v>
      </c>
      <c r="H4736" s="1084"/>
    </row>
    <row r="4737" ht="14.25" customHeight="1">
      <c r="A4737" s="1085">
        <v>36084.0</v>
      </c>
      <c r="B4737" s="1086" t="s">
        <v>10055</v>
      </c>
      <c r="C4737" s="1087" t="s">
        <v>1731</v>
      </c>
      <c r="D4737" s="1088">
        <v>16.1</v>
      </c>
      <c r="E4737" s="1089" t="s">
        <v>5308</v>
      </c>
      <c r="F4737" s="1081">
        <f t="shared" si="1"/>
        <v>0</v>
      </c>
      <c r="G4737" s="1083">
        <f t="shared" si="2"/>
        <v>16.1</v>
      </c>
      <c r="H4737" s="1084"/>
    </row>
    <row r="4738" ht="14.25" customHeight="1">
      <c r="A4738" s="1085">
        <v>36373.0</v>
      </c>
      <c r="B4738" s="1086" t="s">
        <v>10056</v>
      </c>
      <c r="C4738" s="1087" t="s">
        <v>1731</v>
      </c>
      <c r="D4738" s="1088">
        <v>33.43</v>
      </c>
      <c r="E4738" s="1089" t="s">
        <v>5308</v>
      </c>
      <c r="F4738" s="1081">
        <f t="shared" si="1"/>
        <v>0</v>
      </c>
      <c r="G4738" s="1083">
        <f t="shared" si="2"/>
        <v>33.43</v>
      </c>
      <c r="H4738" s="1084"/>
    </row>
    <row r="4739" ht="14.25" customHeight="1">
      <c r="A4739" s="1085">
        <v>36377.0</v>
      </c>
      <c r="B4739" s="1086" t="s">
        <v>10057</v>
      </c>
      <c r="C4739" s="1087" t="s">
        <v>1731</v>
      </c>
      <c r="D4739" s="1088">
        <v>65.19</v>
      </c>
      <c r="E4739" s="1089" t="s">
        <v>5308</v>
      </c>
      <c r="F4739" s="1081">
        <f t="shared" si="1"/>
        <v>0</v>
      </c>
      <c r="G4739" s="1083">
        <f t="shared" si="2"/>
        <v>65.19</v>
      </c>
      <c r="H4739" s="1084"/>
    </row>
    <row r="4740" ht="14.25" customHeight="1">
      <c r="A4740" s="1085">
        <v>36375.0</v>
      </c>
      <c r="B4740" s="1086" t="s">
        <v>10058</v>
      </c>
      <c r="C4740" s="1087" t="s">
        <v>1731</v>
      </c>
      <c r="D4740" s="1088">
        <v>19.87</v>
      </c>
      <c r="E4740" s="1089" t="s">
        <v>5308</v>
      </c>
      <c r="F4740" s="1081">
        <f t="shared" si="1"/>
        <v>0</v>
      </c>
      <c r="G4740" s="1083">
        <f t="shared" si="2"/>
        <v>19.87</v>
      </c>
      <c r="H4740" s="1084"/>
    </row>
    <row r="4741" ht="14.25" customHeight="1">
      <c r="A4741" s="1085">
        <v>36376.0</v>
      </c>
      <c r="B4741" s="1086" t="s">
        <v>10059</v>
      </c>
      <c r="C4741" s="1087" t="s">
        <v>1731</v>
      </c>
      <c r="D4741" s="1088">
        <v>39.02</v>
      </c>
      <c r="E4741" s="1089" t="s">
        <v>5308</v>
      </c>
      <c r="F4741" s="1081">
        <f t="shared" si="1"/>
        <v>0</v>
      </c>
      <c r="G4741" s="1083">
        <f t="shared" si="2"/>
        <v>39.02</v>
      </c>
      <c r="H4741" s="1084"/>
    </row>
    <row r="4742" ht="14.25" customHeight="1">
      <c r="A4742" s="1085">
        <v>36380.0</v>
      </c>
      <c r="B4742" s="1086" t="s">
        <v>10060</v>
      </c>
      <c r="C4742" s="1087" t="s">
        <v>1731</v>
      </c>
      <c r="D4742" s="1088">
        <v>81.51</v>
      </c>
      <c r="E4742" s="1089" t="s">
        <v>5308</v>
      </c>
      <c r="F4742" s="1081">
        <f t="shared" si="1"/>
        <v>0</v>
      </c>
      <c r="G4742" s="1083">
        <f t="shared" si="2"/>
        <v>81.51</v>
      </c>
      <c r="H4742" s="1084"/>
    </row>
    <row r="4743" ht="14.25" customHeight="1">
      <c r="A4743" s="1085">
        <v>36378.0</v>
      </c>
      <c r="B4743" s="1086" t="s">
        <v>10061</v>
      </c>
      <c r="C4743" s="1087" t="s">
        <v>1731</v>
      </c>
      <c r="D4743" s="1088">
        <v>24.42</v>
      </c>
      <c r="E4743" s="1089" t="s">
        <v>5308</v>
      </c>
      <c r="F4743" s="1081">
        <f t="shared" si="1"/>
        <v>0</v>
      </c>
      <c r="G4743" s="1083">
        <f t="shared" si="2"/>
        <v>24.42</v>
      </c>
      <c r="H4743" s="1084"/>
    </row>
    <row r="4744" ht="14.25" customHeight="1">
      <c r="A4744" s="1085">
        <v>36379.0</v>
      </c>
      <c r="B4744" s="1086" t="s">
        <v>10062</v>
      </c>
      <c r="C4744" s="1087" t="s">
        <v>1731</v>
      </c>
      <c r="D4744" s="1088">
        <v>49.24</v>
      </c>
      <c r="E4744" s="1089" t="s">
        <v>5308</v>
      </c>
      <c r="F4744" s="1081">
        <f t="shared" si="1"/>
        <v>0</v>
      </c>
      <c r="G4744" s="1083">
        <f t="shared" si="2"/>
        <v>49.24</v>
      </c>
      <c r="H4744" s="1084"/>
    </row>
    <row r="4745" ht="14.25" customHeight="1">
      <c r="A4745" s="1085">
        <v>9859.0</v>
      </c>
      <c r="B4745" s="1086" t="s">
        <v>10063</v>
      </c>
      <c r="C4745" s="1087" t="s">
        <v>1731</v>
      </c>
      <c r="D4745" s="1088">
        <v>10.65</v>
      </c>
      <c r="E4745" s="1089" t="s">
        <v>5308</v>
      </c>
      <c r="F4745" s="1081">
        <f t="shared" si="1"/>
        <v>0</v>
      </c>
      <c r="G4745" s="1083">
        <f t="shared" si="2"/>
        <v>10.65</v>
      </c>
      <c r="H4745" s="1084"/>
    </row>
    <row r="4746" ht="14.25" customHeight="1">
      <c r="A4746" s="1085">
        <v>9838.0</v>
      </c>
      <c r="B4746" s="1086" t="s">
        <v>10064</v>
      </c>
      <c r="C4746" s="1087" t="s">
        <v>1731</v>
      </c>
      <c r="D4746" s="1088">
        <v>12.26</v>
      </c>
      <c r="E4746" s="1089" t="s">
        <v>5308</v>
      </c>
      <c r="F4746" s="1081">
        <f t="shared" si="1"/>
        <v>0</v>
      </c>
      <c r="G4746" s="1083">
        <f t="shared" si="2"/>
        <v>12.26</v>
      </c>
      <c r="H4746" s="1084"/>
    </row>
    <row r="4747" ht="14.25" customHeight="1">
      <c r="A4747" s="1085">
        <v>9837.0</v>
      </c>
      <c r="B4747" s="1086" t="s">
        <v>10065</v>
      </c>
      <c r="C4747" s="1087" t="s">
        <v>1731</v>
      </c>
      <c r="D4747" s="1088">
        <v>16.09</v>
      </c>
      <c r="E4747" s="1089" t="s">
        <v>5308</v>
      </c>
      <c r="F4747" s="1081">
        <f t="shared" si="1"/>
        <v>0</v>
      </c>
      <c r="G4747" s="1083">
        <f t="shared" si="2"/>
        <v>16.09</v>
      </c>
      <c r="H4747" s="1084"/>
    </row>
    <row r="4748" ht="14.25" customHeight="1">
      <c r="A4748" s="1085">
        <v>44315.0</v>
      </c>
      <c r="B4748" s="1086" t="s">
        <v>10066</v>
      </c>
      <c r="C4748" s="1087" t="s">
        <v>1731</v>
      </c>
      <c r="D4748" s="1088">
        <v>66.56</v>
      </c>
      <c r="E4748" s="1089" t="s">
        <v>5308</v>
      </c>
      <c r="F4748" s="1081">
        <f t="shared" si="1"/>
        <v>0</v>
      </c>
      <c r="G4748" s="1083">
        <f t="shared" si="2"/>
        <v>66.56</v>
      </c>
      <c r="H4748" s="1084"/>
    </row>
    <row r="4749" ht="14.25" customHeight="1">
      <c r="A4749" s="1085">
        <v>9863.0</v>
      </c>
      <c r="B4749" s="1086" t="s">
        <v>10067</v>
      </c>
      <c r="C4749" s="1087" t="s">
        <v>1731</v>
      </c>
      <c r="D4749" s="1088">
        <v>64.35</v>
      </c>
      <c r="E4749" s="1089" t="s">
        <v>5308</v>
      </c>
      <c r="F4749" s="1081">
        <f t="shared" si="1"/>
        <v>0</v>
      </c>
      <c r="G4749" s="1083">
        <f t="shared" si="2"/>
        <v>64.35</v>
      </c>
      <c r="H4749" s="1084"/>
    </row>
    <row r="4750" ht="14.25" customHeight="1">
      <c r="A4750" s="1085">
        <v>9860.0</v>
      </c>
      <c r="B4750" s="1086" t="s">
        <v>10068</v>
      </c>
      <c r="C4750" s="1087" t="s">
        <v>1731</v>
      </c>
      <c r="D4750" s="1088">
        <v>46.97</v>
      </c>
      <c r="E4750" s="1089" t="s">
        <v>5308</v>
      </c>
      <c r="F4750" s="1081">
        <f t="shared" si="1"/>
        <v>0</v>
      </c>
      <c r="G4750" s="1083">
        <f t="shared" si="2"/>
        <v>46.97</v>
      </c>
      <c r="H4750" s="1084"/>
    </row>
    <row r="4751" ht="14.25" customHeight="1">
      <c r="A4751" s="1085">
        <v>9862.0</v>
      </c>
      <c r="B4751" s="1086" t="s">
        <v>10069</v>
      </c>
      <c r="C4751" s="1087" t="s">
        <v>1731</v>
      </c>
      <c r="D4751" s="1088">
        <v>32.82</v>
      </c>
      <c r="E4751" s="1089" t="s">
        <v>5308</v>
      </c>
      <c r="F4751" s="1081">
        <f t="shared" si="1"/>
        <v>0</v>
      </c>
      <c r="G4751" s="1083">
        <f t="shared" si="2"/>
        <v>32.82</v>
      </c>
      <c r="H4751" s="1084"/>
    </row>
    <row r="4752" ht="14.25" customHeight="1">
      <c r="A4752" s="1085">
        <v>9861.0</v>
      </c>
      <c r="B4752" s="1086" t="s">
        <v>10070</v>
      </c>
      <c r="C4752" s="1087" t="s">
        <v>1731</v>
      </c>
      <c r="D4752" s="1088">
        <v>25.78</v>
      </c>
      <c r="E4752" s="1089" t="s">
        <v>5308</v>
      </c>
      <c r="F4752" s="1081">
        <f t="shared" si="1"/>
        <v>0</v>
      </c>
      <c r="G4752" s="1083">
        <f t="shared" si="2"/>
        <v>25.78</v>
      </c>
      <c r="H4752" s="1084"/>
    </row>
    <row r="4753" ht="14.25" customHeight="1">
      <c r="A4753" s="1085">
        <v>9856.0</v>
      </c>
      <c r="B4753" s="1086" t="s">
        <v>10071</v>
      </c>
      <c r="C4753" s="1087" t="s">
        <v>1731</v>
      </c>
      <c r="D4753" s="1088">
        <v>8.31</v>
      </c>
      <c r="E4753" s="1089" t="s">
        <v>5308</v>
      </c>
      <c r="F4753" s="1081">
        <f t="shared" si="1"/>
        <v>0</v>
      </c>
      <c r="G4753" s="1083">
        <f t="shared" si="2"/>
        <v>8.31</v>
      </c>
      <c r="H4753" s="1084"/>
    </row>
    <row r="4754" ht="14.25" customHeight="1">
      <c r="A4754" s="1085">
        <v>9866.0</v>
      </c>
      <c r="B4754" s="1086" t="s">
        <v>10072</v>
      </c>
      <c r="C4754" s="1087" t="s">
        <v>1731</v>
      </c>
      <c r="D4754" s="1088">
        <v>22.24</v>
      </c>
      <c r="E4754" s="1089" t="s">
        <v>5308</v>
      </c>
      <c r="F4754" s="1081">
        <f t="shared" si="1"/>
        <v>0</v>
      </c>
      <c r="G4754" s="1083">
        <f t="shared" si="2"/>
        <v>22.24</v>
      </c>
      <c r="H4754" s="1084"/>
    </row>
    <row r="4755" ht="14.25" customHeight="1">
      <c r="A4755" s="1085">
        <v>9841.0</v>
      </c>
      <c r="B4755" s="1086" t="s">
        <v>10073</v>
      </c>
      <c r="C4755" s="1087" t="s">
        <v>1731</v>
      </c>
      <c r="D4755" s="1088">
        <v>32.01</v>
      </c>
      <c r="E4755" s="1089" t="s">
        <v>5308</v>
      </c>
      <c r="F4755" s="1081">
        <f t="shared" si="1"/>
        <v>0</v>
      </c>
      <c r="G4755" s="1083">
        <f t="shared" si="2"/>
        <v>32.01</v>
      </c>
      <c r="H4755" s="1084"/>
    </row>
    <row r="4756" ht="14.25" customHeight="1">
      <c r="A4756" s="1085">
        <v>9840.0</v>
      </c>
      <c r="B4756" s="1086" t="s">
        <v>10074</v>
      </c>
      <c r="C4756" s="1087" t="s">
        <v>1731</v>
      </c>
      <c r="D4756" s="1088">
        <v>67.62</v>
      </c>
      <c r="E4756" s="1089" t="s">
        <v>5308</v>
      </c>
      <c r="F4756" s="1081">
        <f t="shared" si="1"/>
        <v>0</v>
      </c>
      <c r="G4756" s="1083">
        <f t="shared" si="2"/>
        <v>67.62</v>
      </c>
      <c r="H4756" s="1084"/>
    </row>
    <row r="4757" ht="14.25" customHeight="1">
      <c r="A4757" s="1085">
        <v>20067.0</v>
      </c>
      <c r="B4757" s="1086" t="s">
        <v>10075</v>
      </c>
      <c r="C4757" s="1087" t="s">
        <v>1731</v>
      </c>
      <c r="D4757" s="1088">
        <v>10.38</v>
      </c>
      <c r="E4757" s="1089" t="s">
        <v>5308</v>
      </c>
      <c r="F4757" s="1081">
        <f t="shared" si="1"/>
        <v>0</v>
      </c>
      <c r="G4757" s="1083">
        <f t="shared" si="2"/>
        <v>10.38</v>
      </c>
      <c r="H4757" s="1084"/>
    </row>
    <row r="4758" ht="14.25" customHeight="1">
      <c r="A4758" s="1085">
        <v>20068.0</v>
      </c>
      <c r="B4758" s="1086" t="s">
        <v>10076</v>
      </c>
      <c r="C4758" s="1087" t="s">
        <v>1731</v>
      </c>
      <c r="D4758" s="1088">
        <v>14.62</v>
      </c>
      <c r="E4758" s="1089" t="s">
        <v>5308</v>
      </c>
      <c r="F4758" s="1081">
        <f t="shared" si="1"/>
        <v>0</v>
      </c>
      <c r="G4758" s="1083">
        <f t="shared" si="2"/>
        <v>14.62</v>
      </c>
      <c r="H4758" s="1084"/>
    </row>
    <row r="4759" ht="14.25" customHeight="1">
      <c r="A4759" s="1085">
        <v>9839.0</v>
      </c>
      <c r="B4759" s="1086" t="s">
        <v>10077</v>
      </c>
      <c r="C4759" s="1087" t="s">
        <v>1731</v>
      </c>
      <c r="D4759" s="1088">
        <v>26.52</v>
      </c>
      <c r="E4759" s="1089" t="s">
        <v>5308</v>
      </c>
      <c r="F4759" s="1081">
        <f t="shared" si="1"/>
        <v>0</v>
      </c>
      <c r="G4759" s="1083">
        <f t="shared" si="2"/>
        <v>26.52</v>
      </c>
      <c r="H4759" s="1084"/>
    </row>
    <row r="4760" ht="14.25" customHeight="1">
      <c r="A4760" s="1085">
        <v>9870.0</v>
      </c>
      <c r="B4760" s="1086" t="s">
        <v>10078</v>
      </c>
      <c r="C4760" s="1087" t="s">
        <v>1731</v>
      </c>
      <c r="D4760" s="1088">
        <v>95.96</v>
      </c>
      <c r="E4760" s="1089" t="s">
        <v>5308</v>
      </c>
      <c r="F4760" s="1081">
        <f t="shared" si="1"/>
        <v>0</v>
      </c>
      <c r="G4760" s="1083">
        <f t="shared" si="2"/>
        <v>95.96</v>
      </c>
      <c r="H4760" s="1084"/>
    </row>
    <row r="4761" ht="14.25" customHeight="1">
      <c r="A4761" s="1085">
        <v>9867.0</v>
      </c>
      <c r="B4761" s="1086" t="s">
        <v>10079</v>
      </c>
      <c r="C4761" s="1087" t="s">
        <v>1731</v>
      </c>
      <c r="D4761" s="1088">
        <v>3.85</v>
      </c>
      <c r="E4761" s="1089" t="s">
        <v>5308</v>
      </c>
      <c r="F4761" s="1081">
        <f t="shared" si="1"/>
        <v>0</v>
      </c>
      <c r="G4761" s="1083">
        <f t="shared" si="2"/>
        <v>3.85</v>
      </c>
      <c r="H4761" s="1084"/>
    </row>
    <row r="4762" ht="14.25" customHeight="1">
      <c r="A4762" s="1085">
        <v>9868.0</v>
      </c>
      <c r="B4762" s="1086" t="s">
        <v>10080</v>
      </c>
      <c r="C4762" s="1087" t="s">
        <v>1731</v>
      </c>
      <c r="D4762" s="1088">
        <v>4.35</v>
      </c>
      <c r="E4762" s="1089" t="s">
        <v>5308</v>
      </c>
      <c r="F4762" s="1081">
        <f t="shared" si="1"/>
        <v>0</v>
      </c>
      <c r="G4762" s="1083">
        <f t="shared" si="2"/>
        <v>4.35</v>
      </c>
      <c r="H4762" s="1084"/>
    </row>
    <row r="4763" ht="14.25" customHeight="1">
      <c r="A4763" s="1085">
        <v>9869.0</v>
      </c>
      <c r="B4763" s="1086" t="s">
        <v>10081</v>
      </c>
      <c r="C4763" s="1087" t="s">
        <v>1731</v>
      </c>
      <c r="D4763" s="1088">
        <v>9.39</v>
      </c>
      <c r="E4763" s="1089" t="s">
        <v>5308</v>
      </c>
      <c r="F4763" s="1081">
        <f t="shared" si="1"/>
        <v>0</v>
      </c>
      <c r="G4763" s="1083">
        <f t="shared" si="2"/>
        <v>9.39</v>
      </c>
      <c r="H4763" s="1084"/>
    </row>
    <row r="4764" ht="14.25" customHeight="1">
      <c r="A4764" s="1085">
        <v>9874.0</v>
      </c>
      <c r="B4764" s="1086" t="s">
        <v>10082</v>
      </c>
      <c r="C4764" s="1087" t="s">
        <v>1731</v>
      </c>
      <c r="D4764" s="1088">
        <v>14.74</v>
      </c>
      <c r="E4764" s="1089" t="s">
        <v>5308</v>
      </c>
      <c r="F4764" s="1081">
        <f t="shared" si="1"/>
        <v>0</v>
      </c>
      <c r="G4764" s="1083">
        <f t="shared" si="2"/>
        <v>14.74</v>
      </c>
      <c r="H4764" s="1084"/>
    </row>
    <row r="4765" ht="14.25" customHeight="1">
      <c r="A4765" s="1085">
        <v>9875.0</v>
      </c>
      <c r="B4765" s="1086" t="s">
        <v>10083</v>
      </c>
      <c r="C4765" s="1087" t="s">
        <v>1731</v>
      </c>
      <c r="D4765" s="1088">
        <v>16.17</v>
      </c>
      <c r="E4765" s="1089" t="s">
        <v>5308</v>
      </c>
      <c r="F4765" s="1081">
        <f t="shared" si="1"/>
        <v>0</v>
      </c>
      <c r="G4765" s="1083">
        <f t="shared" si="2"/>
        <v>16.17</v>
      </c>
      <c r="H4765" s="1084"/>
    </row>
    <row r="4766" ht="14.25" customHeight="1">
      <c r="A4766" s="1085">
        <v>9873.0</v>
      </c>
      <c r="B4766" s="1086" t="s">
        <v>10084</v>
      </c>
      <c r="C4766" s="1087" t="s">
        <v>1731</v>
      </c>
      <c r="D4766" s="1088">
        <v>26.6</v>
      </c>
      <c r="E4766" s="1089" t="s">
        <v>5308</v>
      </c>
      <c r="F4766" s="1081">
        <f t="shared" si="1"/>
        <v>0</v>
      </c>
      <c r="G4766" s="1083">
        <f t="shared" si="2"/>
        <v>26.6</v>
      </c>
      <c r="H4766" s="1084"/>
    </row>
    <row r="4767" ht="14.25" customHeight="1">
      <c r="A4767" s="1085">
        <v>9871.0</v>
      </c>
      <c r="B4767" s="1086" t="s">
        <v>10085</v>
      </c>
      <c r="C4767" s="1087" t="s">
        <v>1731</v>
      </c>
      <c r="D4767" s="1088">
        <v>44.08</v>
      </c>
      <c r="E4767" s="1089" t="s">
        <v>5308</v>
      </c>
      <c r="F4767" s="1081">
        <f t="shared" si="1"/>
        <v>0</v>
      </c>
      <c r="G4767" s="1083">
        <f t="shared" si="2"/>
        <v>44.08</v>
      </c>
      <c r="H4767" s="1084"/>
    </row>
    <row r="4768" ht="14.25" customHeight="1">
      <c r="A4768" s="1085">
        <v>9872.0</v>
      </c>
      <c r="B4768" s="1086" t="s">
        <v>10086</v>
      </c>
      <c r="C4768" s="1087" t="s">
        <v>1731</v>
      </c>
      <c r="D4768" s="1088">
        <v>61.32</v>
      </c>
      <c r="E4768" s="1089" t="s">
        <v>5308</v>
      </c>
      <c r="F4768" s="1081">
        <f t="shared" si="1"/>
        <v>0</v>
      </c>
      <c r="G4768" s="1083">
        <f t="shared" si="2"/>
        <v>61.32</v>
      </c>
      <c r="H4768" s="1084"/>
    </row>
    <row r="4769" ht="14.25" customHeight="1">
      <c r="A4769" s="1085">
        <v>7667.0</v>
      </c>
      <c r="B4769" s="1086" t="s">
        <v>10087</v>
      </c>
      <c r="C4769" s="1087" t="s">
        <v>1731</v>
      </c>
      <c r="D4769" s="1088">
        <v>3532.64</v>
      </c>
      <c r="E4769" s="1089" t="s">
        <v>5308</v>
      </c>
      <c r="F4769" s="1081">
        <f t="shared" si="1"/>
        <v>0</v>
      </c>
      <c r="G4769" s="1083">
        <f t="shared" si="2"/>
        <v>3532.64</v>
      </c>
      <c r="H4769" s="1084"/>
    </row>
    <row r="4770" ht="14.25" customHeight="1">
      <c r="A4770" s="1085">
        <v>7660.0</v>
      </c>
      <c r="B4770" s="1086" t="s">
        <v>10088</v>
      </c>
      <c r="C4770" s="1087" t="s">
        <v>1731</v>
      </c>
      <c r="D4770" s="1088">
        <v>4503.27</v>
      </c>
      <c r="E4770" s="1089" t="s">
        <v>5308</v>
      </c>
      <c r="F4770" s="1081">
        <f t="shared" si="1"/>
        <v>0</v>
      </c>
      <c r="G4770" s="1083">
        <f t="shared" si="2"/>
        <v>4503.27</v>
      </c>
      <c r="H4770" s="1084"/>
    </row>
    <row r="4771" ht="14.25" customHeight="1">
      <c r="A4771" s="1085">
        <v>7676.0</v>
      </c>
      <c r="B4771" s="1086" t="s">
        <v>10089</v>
      </c>
      <c r="C4771" s="1087" t="s">
        <v>1731</v>
      </c>
      <c r="D4771" s="1088">
        <v>4554.74</v>
      </c>
      <c r="E4771" s="1089" t="s">
        <v>5308</v>
      </c>
      <c r="F4771" s="1081">
        <f t="shared" si="1"/>
        <v>0</v>
      </c>
      <c r="G4771" s="1083">
        <f t="shared" si="2"/>
        <v>4554.74</v>
      </c>
      <c r="H4771" s="1084"/>
    </row>
    <row r="4772" ht="14.25" customHeight="1">
      <c r="A4772" s="1085">
        <v>12426.0</v>
      </c>
      <c r="B4772" s="1086" t="s">
        <v>10090</v>
      </c>
      <c r="C4772" s="1087" t="s">
        <v>1788</v>
      </c>
      <c r="D4772" s="1088">
        <v>49.52</v>
      </c>
      <c r="E4772" s="1089" t="s">
        <v>5308</v>
      </c>
      <c r="F4772" s="1081">
        <f t="shared" si="1"/>
        <v>0</v>
      </c>
      <c r="G4772" s="1083">
        <f t="shared" si="2"/>
        <v>49.52</v>
      </c>
      <c r="H4772" s="1084"/>
    </row>
    <row r="4773" ht="14.25" customHeight="1">
      <c r="A4773" s="1085">
        <v>12425.0</v>
      </c>
      <c r="B4773" s="1086" t="s">
        <v>10091</v>
      </c>
      <c r="C4773" s="1087" t="s">
        <v>1788</v>
      </c>
      <c r="D4773" s="1088">
        <v>68.03</v>
      </c>
      <c r="E4773" s="1089" t="s">
        <v>5308</v>
      </c>
      <c r="F4773" s="1081">
        <f t="shared" si="1"/>
        <v>0</v>
      </c>
      <c r="G4773" s="1083">
        <f t="shared" si="2"/>
        <v>68.03</v>
      </c>
      <c r="H4773" s="1084"/>
    </row>
    <row r="4774" ht="14.25" customHeight="1">
      <c r="A4774" s="1085">
        <v>12427.0</v>
      </c>
      <c r="B4774" s="1086" t="s">
        <v>10092</v>
      </c>
      <c r="C4774" s="1087" t="s">
        <v>1788</v>
      </c>
      <c r="D4774" s="1088">
        <v>282.38</v>
      </c>
      <c r="E4774" s="1089" t="s">
        <v>5308</v>
      </c>
      <c r="F4774" s="1081">
        <f t="shared" si="1"/>
        <v>0</v>
      </c>
      <c r="G4774" s="1083">
        <f t="shared" si="2"/>
        <v>282.38</v>
      </c>
      <c r="H4774" s="1084"/>
    </row>
    <row r="4775" ht="14.25" customHeight="1">
      <c r="A4775" s="1085">
        <v>12428.0</v>
      </c>
      <c r="B4775" s="1086" t="s">
        <v>10093</v>
      </c>
      <c r="C4775" s="1087" t="s">
        <v>1788</v>
      </c>
      <c r="D4775" s="1088">
        <v>181.25</v>
      </c>
      <c r="E4775" s="1089" t="s">
        <v>5308</v>
      </c>
      <c r="F4775" s="1081">
        <f t="shared" si="1"/>
        <v>0</v>
      </c>
      <c r="G4775" s="1083">
        <f t="shared" si="2"/>
        <v>181.25</v>
      </c>
      <c r="H4775" s="1084"/>
    </row>
    <row r="4776" ht="14.25" customHeight="1">
      <c r="A4776" s="1085">
        <v>12430.0</v>
      </c>
      <c r="B4776" s="1086" t="s">
        <v>10094</v>
      </c>
      <c r="C4776" s="1087" t="s">
        <v>1788</v>
      </c>
      <c r="D4776" s="1088">
        <v>60.71</v>
      </c>
      <c r="E4776" s="1089" t="s">
        <v>5308</v>
      </c>
      <c r="F4776" s="1081">
        <f t="shared" si="1"/>
        <v>0</v>
      </c>
      <c r="G4776" s="1083">
        <f t="shared" si="2"/>
        <v>60.71</v>
      </c>
      <c r="H4776" s="1084"/>
    </row>
    <row r="4777" ht="14.25" customHeight="1">
      <c r="A4777" s="1085">
        <v>12429.0</v>
      </c>
      <c r="B4777" s="1086" t="s">
        <v>10095</v>
      </c>
      <c r="C4777" s="1087" t="s">
        <v>1788</v>
      </c>
      <c r="D4777" s="1088">
        <v>456.62</v>
      </c>
      <c r="E4777" s="1089" t="s">
        <v>5308</v>
      </c>
      <c r="F4777" s="1081">
        <f t="shared" si="1"/>
        <v>0</v>
      </c>
      <c r="G4777" s="1083">
        <f t="shared" si="2"/>
        <v>456.62</v>
      </c>
      <c r="H4777" s="1084"/>
    </row>
    <row r="4778" ht="14.25" customHeight="1">
      <c r="A4778" s="1085">
        <v>12431.0</v>
      </c>
      <c r="B4778" s="1086" t="s">
        <v>10096</v>
      </c>
      <c r="C4778" s="1087" t="s">
        <v>1788</v>
      </c>
      <c r="D4778" s="1088">
        <v>777.08</v>
      </c>
      <c r="E4778" s="1089" t="s">
        <v>5308</v>
      </c>
      <c r="F4778" s="1081">
        <f t="shared" si="1"/>
        <v>0</v>
      </c>
      <c r="G4778" s="1083">
        <f t="shared" si="2"/>
        <v>777.08</v>
      </c>
      <c r="H4778" s="1084"/>
    </row>
    <row r="4779" ht="14.25" customHeight="1">
      <c r="A4779" s="1085">
        <v>12432.0</v>
      </c>
      <c r="B4779" s="1086" t="s">
        <v>10097</v>
      </c>
      <c r="C4779" s="1087" t="s">
        <v>1788</v>
      </c>
      <c r="D4779" s="1088">
        <v>159.82</v>
      </c>
      <c r="E4779" s="1089" t="s">
        <v>5308</v>
      </c>
      <c r="F4779" s="1081">
        <f t="shared" si="1"/>
        <v>0</v>
      </c>
      <c r="G4779" s="1083">
        <f t="shared" si="2"/>
        <v>159.82</v>
      </c>
      <c r="H4779" s="1084"/>
    </row>
    <row r="4780" ht="14.25" customHeight="1">
      <c r="A4780" s="1085">
        <v>12434.0</v>
      </c>
      <c r="B4780" s="1086" t="s">
        <v>10098</v>
      </c>
      <c r="C4780" s="1087" t="s">
        <v>1788</v>
      </c>
      <c r="D4780" s="1088">
        <v>52.08</v>
      </c>
      <c r="E4780" s="1089" t="s">
        <v>5308</v>
      </c>
      <c r="F4780" s="1081">
        <f t="shared" si="1"/>
        <v>0</v>
      </c>
      <c r="G4780" s="1083">
        <f t="shared" si="2"/>
        <v>52.08</v>
      </c>
      <c r="H4780" s="1084"/>
    </row>
    <row r="4781" ht="14.25" customHeight="1">
      <c r="A4781" s="1085">
        <v>12433.0</v>
      </c>
      <c r="B4781" s="1086" t="s">
        <v>10099</v>
      </c>
      <c r="C4781" s="1087" t="s">
        <v>1788</v>
      </c>
      <c r="D4781" s="1088">
        <v>101.74</v>
      </c>
      <c r="E4781" s="1089" t="s">
        <v>5308</v>
      </c>
      <c r="F4781" s="1081">
        <f t="shared" si="1"/>
        <v>0</v>
      </c>
      <c r="G4781" s="1083">
        <f t="shared" si="2"/>
        <v>101.74</v>
      </c>
      <c r="H4781" s="1084"/>
    </row>
    <row r="4782" ht="14.25" customHeight="1">
      <c r="A4782" s="1085">
        <v>12435.0</v>
      </c>
      <c r="B4782" s="1086" t="s">
        <v>10100</v>
      </c>
      <c r="C4782" s="1087" t="s">
        <v>1788</v>
      </c>
      <c r="D4782" s="1088">
        <v>314.87</v>
      </c>
      <c r="E4782" s="1089" t="s">
        <v>5308</v>
      </c>
      <c r="F4782" s="1081">
        <f t="shared" si="1"/>
        <v>0</v>
      </c>
      <c r="G4782" s="1083">
        <f t="shared" si="2"/>
        <v>314.87</v>
      </c>
      <c r="H4782" s="1084"/>
    </row>
    <row r="4783" ht="14.25" customHeight="1">
      <c r="A4783" s="1085">
        <v>12437.0</v>
      </c>
      <c r="B4783" s="1086" t="s">
        <v>10101</v>
      </c>
      <c r="C4783" s="1087" t="s">
        <v>1788</v>
      </c>
      <c r="D4783" s="1088">
        <v>254.3</v>
      </c>
      <c r="E4783" s="1089" t="s">
        <v>5308</v>
      </c>
      <c r="F4783" s="1081">
        <f t="shared" si="1"/>
        <v>0</v>
      </c>
      <c r="G4783" s="1083">
        <f t="shared" si="2"/>
        <v>254.3</v>
      </c>
      <c r="H4783" s="1084"/>
    </row>
    <row r="4784" ht="14.25" customHeight="1">
      <c r="A4784" s="1085">
        <v>12439.0</v>
      </c>
      <c r="B4784" s="1086" t="s">
        <v>10102</v>
      </c>
      <c r="C4784" s="1087" t="s">
        <v>1788</v>
      </c>
      <c r="D4784" s="1088">
        <v>81.62</v>
      </c>
      <c r="E4784" s="1089" t="s">
        <v>5308</v>
      </c>
      <c r="F4784" s="1081">
        <f t="shared" si="1"/>
        <v>0</v>
      </c>
      <c r="G4784" s="1083">
        <f t="shared" si="2"/>
        <v>81.62</v>
      </c>
      <c r="H4784" s="1084"/>
    </row>
    <row r="4785" ht="14.25" customHeight="1">
      <c r="A4785" s="1085">
        <v>12438.0</v>
      </c>
      <c r="B4785" s="1086" t="s">
        <v>10103</v>
      </c>
      <c r="C4785" s="1087" t="s">
        <v>1788</v>
      </c>
      <c r="D4785" s="1088">
        <v>460.2</v>
      </c>
      <c r="E4785" s="1089" t="s">
        <v>5308</v>
      </c>
      <c r="F4785" s="1081">
        <f t="shared" si="1"/>
        <v>0</v>
      </c>
      <c r="G4785" s="1083">
        <f t="shared" si="2"/>
        <v>460.2</v>
      </c>
      <c r="H4785" s="1084"/>
    </row>
    <row r="4786" ht="14.25" customHeight="1">
      <c r="A4786" s="1085">
        <v>12436.0</v>
      </c>
      <c r="B4786" s="1086" t="s">
        <v>10104</v>
      </c>
      <c r="C4786" s="1087" t="s">
        <v>1788</v>
      </c>
      <c r="D4786" s="1088">
        <v>581.33</v>
      </c>
      <c r="E4786" s="1089" t="s">
        <v>5308</v>
      </c>
      <c r="F4786" s="1081">
        <f t="shared" si="1"/>
        <v>0</v>
      </c>
      <c r="G4786" s="1083">
        <f t="shared" si="2"/>
        <v>581.33</v>
      </c>
      <c r="H4786" s="1084"/>
    </row>
    <row r="4787" ht="14.25" customHeight="1">
      <c r="A4787" s="1085">
        <v>36357.0</v>
      </c>
      <c r="B4787" s="1086" t="s">
        <v>10105</v>
      </c>
      <c r="C4787" s="1087" t="s">
        <v>1788</v>
      </c>
      <c r="D4787" s="1088">
        <v>159.42</v>
      </c>
      <c r="E4787" s="1089" t="s">
        <v>5308</v>
      </c>
      <c r="F4787" s="1081">
        <f t="shared" si="1"/>
        <v>0</v>
      </c>
      <c r="G4787" s="1083">
        <f t="shared" si="2"/>
        <v>159.42</v>
      </c>
      <c r="H4787" s="1084"/>
    </row>
    <row r="4788" ht="14.25" customHeight="1">
      <c r="A4788" s="1085">
        <v>12424.0</v>
      </c>
      <c r="B4788" s="1086" t="s">
        <v>10106</v>
      </c>
      <c r="C4788" s="1087" t="s">
        <v>1788</v>
      </c>
      <c r="D4788" s="1088">
        <v>104.75</v>
      </c>
      <c r="E4788" s="1089" t="s">
        <v>5308</v>
      </c>
      <c r="F4788" s="1081">
        <f t="shared" si="1"/>
        <v>0</v>
      </c>
      <c r="G4788" s="1083">
        <f t="shared" si="2"/>
        <v>104.75</v>
      </c>
      <c r="H4788" s="1084"/>
    </row>
    <row r="4789" ht="14.25" customHeight="1">
      <c r="A4789" s="1085">
        <v>12440.0</v>
      </c>
      <c r="B4789" s="1086" t="s">
        <v>10107</v>
      </c>
      <c r="C4789" s="1087" t="s">
        <v>1788</v>
      </c>
      <c r="D4789" s="1088">
        <v>101.25</v>
      </c>
      <c r="E4789" s="1089" t="s">
        <v>5308</v>
      </c>
      <c r="F4789" s="1081">
        <f t="shared" si="1"/>
        <v>0</v>
      </c>
      <c r="G4789" s="1083">
        <f t="shared" si="2"/>
        <v>101.25</v>
      </c>
      <c r="H4789" s="1084"/>
    </row>
    <row r="4790" ht="14.25" customHeight="1">
      <c r="A4790" s="1085">
        <v>9884.0</v>
      </c>
      <c r="B4790" s="1086" t="s">
        <v>10108</v>
      </c>
      <c r="C4790" s="1087" t="s">
        <v>1788</v>
      </c>
      <c r="D4790" s="1088">
        <v>75.52</v>
      </c>
      <c r="E4790" s="1089" t="s">
        <v>5308</v>
      </c>
      <c r="F4790" s="1081">
        <f t="shared" si="1"/>
        <v>0</v>
      </c>
      <c r="G4790" s="1083">
        <f t="shared" si="2"/>
        <v>75.52</v>
      </c>
      <c r="H4790" s="1084"/>
    </row>
    <row r="4791" ht="14.25" customHeight="1">
      <c r="A4791" s="1085">
        <v>9888.0</v>
      </c>
      <c r="B4791" s="1086" t="s">
        <v>10109</v>
      </c>
      <c r="C4791" s="1087" t="s">
        <v>1788</v>
      </c>
      <c r="D4791" s="1088">
        <v>60.68</v>
      </c>
      <c r="E4791" s="1089" t="s">
        <v>5308</v>
      </c>
      <c r="F4791" s="1081">
        <f t="shared" si="1"/>
        <v>0</v>
      </c>
      <c r="G4791" s="1083">
        <f t="shared" si="2"/>
        <v>60.68</v>
      </c>
      <c r="H4791" s="1084"/>
    </row>
    <row r="4792" ht="14.25" customHeight="1">
      <c r="A4792" s="1085">
        <v>9883.0</v>
      </c>
      <c r="B4792" s="1086" t="s">
        <v>10110</v>
      </c>
      <c r="C4792" s="1087" t="s">
        <v>1788</v>
      </c>
      <c r="D4792" s="1088">
        <v>26.48</v>
      </c>
      <c r="E4792" s="1089" t="s">
        <v>5308</v>
      </c>
      <c r="F4792" s="1081">
        <f t="shared" si="1"/>
        <v>0</v>
      </c>
      <c r="G4792" s="1083">
        <f t="shared" si="2"/>
        <v>26.48</v>
      </c>
      <c r="H4792" s="1084"/>
    </row>
    <row r="4793" ht="14.25" customHeight="1">
      <c r="A4793" s="1085">
        <v>9886.0</v>
      </c>
      <c r="B4793" s="1086" t="s">
        <v>10111</v>
      </c>
      <c r="C4793" s="1087" t="s">
        <v>1788</v>
      </c>
      <c r="D4793" s="1088">
        <v>36.27</v>
      </c>
      <c r="E4793" s="1089" t="s">
        <v>5308</v>
      </c>
      <c r="F4793" s="1081">
        <f t="shared" si="1"/>
        <v>0</v>
      </c>
      <c r="G4793" s="1083">
        <f t="shared" si="2"/>
        <v>36.27</v>
      </c>
      <c r="H4793" s="1084"/>
    </row>
    <row r="4794" ht="14.25" customHeight="1">
      <c r="A4794" s="1085">
        <v>9889.0</v>
      </c>
      <c r="B4794" s="1086" t="s">
        <v>10112</v>
      </c>
      <c r="C4794" s="1087" t="s">
        <v>1788</v>
      </c>
      <c r="D4794" s="1088">
        <v>183.74</v>
      </c>
      <c r="E4794" s="1089" t="s">
        <v>5308</v>
      </c>
      <c r="F4794" s="1081">
        <f t="shared" si="1"/>
        <v>0</v>
      </c>
      <c r="G4794" s="1083">
        <f t="shared" si="2"/>
        <v>183.74</v>
      </c>
      <c r="H4794" s="1084"/>
    </row>
    <row r="4795" ht="14.25" customHeight="1">
      <c r="A4795" s="1085">
        <v>9887.0</v>
      </c>
      <c r="B4795" s="1086" t="s">
        <v>10113</v>
      </c>
      <c r="C4795" s="1087" t="s">
        <v>1788</v>
      </c>
      <c r="D4795" s="1088">
        <v>111.06</v>
      </c>
      <c r="E4795" s="1089" t="s">
        <v>5308</v>
      </c>
      <c r="F4795" s="1081">
        <f t="shared" si="1"/>
        <v>0</v>
      </c>
      <c r="G4795" s="1083">
        <f t="shared" si="2"/>
        <v>111.06</v>
      </c>
      <c r="H4795" s="1084"/>
    </row>
    <row r="4796" ht="14.25" customHeight="1">
      <c r="A4796" s="1085">
        <v>9885.0</v>
      </c>
      <c r="B4796" s="1086" t="s">
        <v>10114</v>
      </c>
      <c r="C4796" s="1087" t="s">
        <v>1788</v>
      </c>
      <c r="D4796" s="1088">
        <v>35.06</v>
      </c>
      <c r="E4796" s="1089" t="s">
        <v>5308</v>
      </c>
      <c r="F4796" s="1081">
        <f t="shared" si="1"/>
        <v>0</v>
      </c>
      <c r="G4796" s="1083">
        <f t="shared" si="2"/>
        <v>35.06</v>
      </c>
      <c r="H4796" s="1084"/>
    </row>
    <row r="4797" ht="14.25" customHeight="1">
      <c r="A4797" s="1085">
        <v>9890.0</v>
      </c>
      <c r="B4797" s="1086" t="s">
        <v>10115</v>
      </c>
      <c r="C4797" s="1087" t="s">
        <v>1788</v>
      </c>
      <c r="D4797" s="1088">
        <v>284.66</v>
      </c>
      <c r="E4797" s="1089" t="s">
        <v>5308</v>
      </c>
      <c r="F4797" s="1081">
        <f t="shared" si="1"/>
        <v>0</v>
      </c>
      <c r="G4797" s="1083">
        <f t="shared" si="2"/>
        <v>284.66</v>
      </c>
      <c r="H4797" s="1084"/>
    </row>
    <row r="4798" ht="14.25" customHeight="1">
      <c r="A4798" s="1085">
        <v>9891.0</v>
      </c>
      <c r="B4798" s="1086" t="s">
        <v>10116</v>
      </c>
      <c r="C4798" s="1087" t="s">
        <v>1788</v>
      </c>
      <c r="D4798" s="1088">
        <v>399.62</v>
      </c>
      <c r="E4798" s="1089" t="s">
        <v>5308</v>
      </c>
      <c r="F4798" s="1081">
        <f t="shared" si="1"/>
        <v>0</v>
      </c>
      <c r="G4798" s="1083">
        <f t="shared" si="2"/>
        <v>399.62</v>
      </c>
      <c r="H4798" s="1084"/>
    </row>
    <row r="4799" ht="14.25" customHeight="1">
      <c r="A4799" s="1085">
        <v>36313.0</v>
      </c>
      <c r="B4799" s="1086" t="s">
        <v>10117</v>
      </c>
      <c r="C4799" s="1087" t="s">
        <v>1788</v>
      </c>
      <c r="D4799" s="1088">
        <v>16.68</v>
      </c>
      <c r="E4799" s="1089" t="s">
        <v>5308</v>
      </c>
      <c r="F4799" s="1081">
        <f t="shared" si="1"/>
        <v>0</v>
      </c>
      <c r="G4799" s="1083">
        <f t="shared" si="2"/>
        <v>16.68</v>
      </c>
      <c r="H4799" s="1084"/>
    </row>
    <row r="4800" ht="14.25" customHeight="1">
      <c r="A4800" s="1085">
        <v>36316.0</v>
      </c>
      <c r="B4800" s="1086" t="s">
        <v>10118</v>
      </c>
      <c r="C4800" s="1087" t="s">
        <v>1788</v>
      </c>
      <c r="D4800" s="1088">
        <v>25.98</v>
      </c>
      <c r="E4800" s="1089" t="s">
        <v>5308</v>
      </c>
      <c r="F4800" s="1081">
        <f t="shared" si="1"/>
        <v>0</v>
      </c>
      <c r="G4800" s="1083">
        <f t="shared" si="2"/>
        <v>25.98</v>
      </c>
      <c r="H4800" s="1084"/>
    </row>
    <row r="4801" ht="14.25" customHeight="1">
      <c r="A4801" s="1085">
        <v>64.0</v>
      </c>
      <c r="B4801" s="1086" t="s">
        <v>10119</v>
      </c>
      <c r="C4801" s="1087" t="s">
        <v>1788</v>
      </c>
      <c r="D4801" s="1088">
        <v>5.11</v>
      </c>
      <c r="E4801" s="1089" t="s">
        <v>5308</v>
      </c>
      <c r="F4801" s="1081">
        <f t="shared" si="1"/>
        <v>0</v>
      </c>
      <c r="G4801" s="1083">
        <f t="shared" si="2"/>
        <v>5.11</v>
      </c>
      <c r="H4801" s="1084"/>
    </row>
    <row r="4802" ht="14.25" customHeight="1">
      <c r="A4802" s="1085">
        <v>37423.0</v>
      </c>
      <c r="B4802" s="1086" t="s">
        <v>10120</v>
      </c>
      <c r="C4802" s="1087" t="s">
        <v>1788</v>
      </c>
      <c r="D4802" s="1088">
        <v>12.63</v>
      </c>
      <c r="E4802" s="1089" t="s">
        <v>5308</v>
      </c>
      <c r="F4802" s="1081">
        <f t="shared" si="1"/>
        <v>0</v>
      </c>
      <c r="G4802" s="1083">
        <f t="shared" si="2"/>
        <v>12.63</v>
      </c>
      <c r="H4802" s="1084"/>
    </row>
    <row r="4803" ht="14.25" customHeight="1">
      <c r="A4803" s="1085">
        <v>9892.0</v>
      </c>
      <c r="B4803" s="1086" t="s">
        <v>10121</v>
      </c>
      <c r="C4803" s="1087" t="s">
        <v>1788</v>
      </c>
      <c r="D4803" s="1088">
        <v>7.06</v>
      </c>
      <c r="E4803" s="1089" t="s">
        <v>5308</v>
      </c>
      <c r="F4803" s="1081">
        <f t="shared" si="1"/>
        <v>0</v>
      </c>
      <c r="G4803" s="1083">
        <f t="shared" si="2"/>
        <v>7.06</v>
      </c>
      <c r="H4803" s="1084"/>
    </row>
    <row r="4804" ht="14.25" customHeight="1">
      <c r="A4804" s="1085">
        <v>9901.0</v>
      </c>
      <c r="B4804" s="1086" t="s">
        <v>10122</v>
      </c>
      <c r="C4804" s="1087" t="s">
        <v>1788</v>
      </c>
      <c r="D4804" s="1088">
        <v>34.16</v>
      </c>
      <c r="E4804" s="1089" t="s">
        <v>5308</v>
      </c>
      <c r="F4804" s="1081">
        <f t="shared" si="1"/>
        <v>0</v>
      </c>
      <c r="G4804" s="1083">
        <f t="shared" si="2"/>
        <v>34.16</v>
      </c>
      <c r="H4804" s="1084"/>
    </row>
    <row r="4805" ht="14.25" customHeight="1">
      <c r="A4805" s="1085">
        <v>9900.0</v>
      </c>
      <c r="B4805" s="1086" t="s">
        <v>10123</v>
      </c>
      <c r="C4805" s="1087" t="s">
        <v>1788</v>
      </c>
      <c r="D4805" s="1088">
        <v>19.79</v>
      </c>
      <c r="E4805" s="1089" t="s">
        <v>5308</v>
      </c>
      <c r="F4805" s="1081">
        <f t="shared" si="1"/>
        <v>0</v>
      </c>
      <c r="G4805" s="1083">
        <f t="shared" si="2"/>
        <v>19.79</v>
      </c>
      <c r="H4805" s="1084"/>
    </row>
    <row r="4806" ht="14.25" customHeight="1">
      <c r="A4806" s="1085">
        <v>9899.0</v>
      </c>
      <c r="B4806" s="1086" t="s">
        <v>10124</v>
      </c>
      <c r="C4806" s="1087" t="s">
        <v>1788</v>
      </c>
      <c r="D4806" s="1088">
        <v>8.87</v>
      </c>
      <c r="E4806" s="1089" t="s">
        <v>5308</v>
      </c>
      <c r="F4806" s="1081">
        <f t="shared" si="1"/>
        <v>0</v>
      </c>
      <c r="G4806" s="1083">
        <f t="shared" si="2"/>
        <v>8.87</v>
      </c>
      <c r="H4806" s="1084"/>
    </row>
    <row r="4807" ht="14.25" customHeight="1">
      <c r="A4807" s="1085">
        <v>9908.0</v>
      </c>
      <c r="B4807" s="1086" t="s">
        <v>10125</v>
      </c>
      <c r="C4807" s="1087" t="s">
        <v>1788</v>
      </c>
      <c r="D4807" s="1088">
        <v>398.96</v>
      </c>
      <c r="E4807" s="1089" t="s">
        <v>5308</v>
      </c>
      <c r="F4807" s="1081">
        <f t="shared" si="1"/>
        <v>0</v>
      </c>
      <c r="G4807" s="1083">
        <f t="shared" si="2"/>
        <v>398.96</v>
      </c>
      <c r="H4807" s="1084"/>
    </row>
    <row r="4808" ht="14.25" customHeight="1">
      <c r="A4808" s="1085">
        <v>9905.0</v>
      </c>
      <c r="B4808" s="1086" t="s">
        <v>10126</v>
      </c>
      <c r="C4808" s="1087" t="s">
        <v>1788</v>
      </c>
      <c r="D4808" s="1088">
        <v>6.94</v>
      </c>
      <c r="E4808" s="1089" t="s">
        <v>5308</v>
      </c>
      <c r="F4808" s="1081">
        <f t="shared" si="1"/>
        <v>0</v>
      </c>
      <c r="G4808" s="1083">
        <f t="shared" si="2"/>
        <v>6.94</v>
      </c>
      <c r="H4808" s="1084"/>
    </row>
    <row r="4809" ht="14.25" customHeight="1">
      <c r="A4809" s="1085">
        <v>9906.0</v>
      </c>
      <c r="B4809" s="1086" t="s">
        <v>10127</v>
      </c>
      <c r="C4809" s="1087" t="s">
        <v>1788</v>
      </c>
      <c r="D4809" s="1088">
        <v>8.37</v>
      </c>
      <c r="E4809" s="1089" t="s">
        <v>5308</v>
      </c>
      <c r="F4809" s="1081">
        <f t="shared" si="1"/>
        <v>0</v>
      </c>
      <c r="G4809" s="1083">
        <f t="shared" si="2"/>
        <v>8.37</v>
      </c>
      <c r="H4809" s="1084"/>
    </row>
    <row r="4810" ht="14.25" customHeight="1">
      <c r="A4810" s="1085">
        <v>9895.0</v>
      </c>
      <c r="B4810" s="1086" t="s">
        <v>10128</v>
      </c>
      <c r="C4810" s="1087" t="s">
        <v>1788</v>
      </c>
      <c r="D4810" s="1088">
        <v>14.09</v>
      </c>
      <c r="E4810" s="1089" t="s">
        <v>5308</v>
      </c>
      <c r="F4810" s="1081">
        <f t="shared" si="1"/>
        <v>0</v>
      </c>
      <c r="G4810" s="1083">
        <f t="shared" si="2"/>
        <v>14.09</v>
      </c>
      <c r="H4810" s="1084"/>
    </row>
    <row r="4811" ht="14.25" customHeight="1">
      <c r="A4811" s="1085">
        <v>9894.0</v>
      </c>
      <c r="B4811" s="1086" t="s">
        <v>10129</v>
      </c>
      <c r="C4811" s="1087" t="s">
        <v>1788</v>
      </c>
      <c r="D4811" s="1088">
        <v>27.11</v>
      </c>
      <c r="E4811" s="1089" t="s">
        <v>5308</v>
      </c>
      <c r="F4811" s="1081">
        <f t="shared" si="1"/>
        <v>0</v>
      </c>
      <c r="G4811" s="1083">
        <f t="shared" si="2"/>
        <v>27.11</v>
      </c>
      <c r="H4811" s="1084"/>
    </row>
    <row r="4812" ht="14.25" customHeight="1">
      <c r="A4812" s="1085">
        <v>9897.0</v>
      </c>
      <c r="B4812" s="1086" t="s">
        <v>10130</v>
      </c>
      <c r="C4812" s="1087" t="s">
        <v>1788</v>
      </c>
      <c r="D4812" s="1088">
        <v>28.94</v>
      </c>
      <c r="E4812" s="1089" t="s">
        <v>5308</v>
      </c>
      <c r="F4812" s="1081">
        <f t="shared" si="1"/>
        <v>0</v>
      </c>
      <c r="G4812" s="1083">
        <f t="shared" si="2"/>
        <v>28.94</v>
      </c>
      <c r="H4812" s="1084"/>
    </row>
    <row r="4813" ht="14.25" customHeight="1">
      <c r="A4813" s="1085">
        <v>9910.0</v>
      </c>
      <c r="B4813" s="1086" t="s">
        <v>10131</v>
      </c>
      <c r="C4813" s="1087" t="s">
        <v>1788</v>
      </c>
      <c r="D4813" s="1088">
        <v>75.31</v>
      </c>
      <c r="E4813" s="1089" t="s">
        <v>5308</v>
      </c>
      <c r="F4813" s="1081">
        <f t="shared" si="1"/>
        <v>0</v>
      </c>
      <c r="G4813" s="1083">
        <f t="shared" si="2"/>
        <v>75.31</v>
      </c>
      <c r="H4813" s="1084"/>
    </row>
    <row r="4814" ht="14.25" customHeight="1">
      <c r="A4814" s="1085">
        <v>9909.0</v>
      </c>
      <c r="B4814" s="1086" t="s">
        <v>10132</v>
      </c>
      <c r="C4814" s="1087" t="s">
        <v>1788</v>
      </c>
      <c r="D4814" s="1088">
        <v>153.37</v>
      </c>
      <c r="E4814" s="1089" t="s">
        <v>5308</v>
      </c>
      <c r="F4814" s="1081">
        <f t="shared" si="1"/>
        <v>0</v>
      </c>
      <c r="G4814" s="1083">
        <f t="shared" si="2"/>
        <v>153.37</v>
      </c>
      <c r="H4814" s="1084"/>
    </row>
    <row r="4815" ht="14.25" customHeight="1">
      <c r="A4815" s="1085">
        <v>9907.0</v>
      </c>
      <c r="B4815" s="1086" t="s">
        <v>10133</v>
      </c>
      <c r="C4815" s="1087" t="s">
        <v>1788</v>
      </c>
      <c r="D4815" s="1088">
        <v>181.08</v>
      </c>
      <c r="E4815" s="1089" t="s">
        <v>5308</v>
      </c>
      <c r="F4815" s="1081">
        <f t="shared" si="1"/>
        <v>0</v>
      </c>
      <c r="G4815" s="1083">
        <f t="shared" si="2"/>
        <v>181.08</v>
      </c>
      <c r="H4815" s="1084"/>
    </row>
    <row r="4816" ht="14.25" customHeight="1">
      <c r="A4816" s="1085">
        <v>20973.0</v>
      </c>
      <c r="B4816" s="1086" t="s">
        <v>10134</v>
      </c>
      <c r="C4816" s="1087" t="s">
        <v>1788</v>
      </c>
      <c r="D4816" s="1088">
        <v>156.16</v>
      </c>
      <c r="E4816" s="1089" t="s">
        <v>5308</v>
      </c>
      <c r="F4816" s="1081">
        <f t="shared" si="1"/>
        <v>0</v>
      </c>
      <c r="G4816" s="1083">
        <f t="shared" si="2"/>
        <v>156.16</v>
      </c>
      <c r="H4816" s="1084"/>
    </row>
    <row r="4817" ht="14.25" customHeight="1">
      <c r="A4817" s="1085">
        <v>20974.0</v>
      </c>
      <c r="B4817" s="1086" t="s">
        <v>10135</v>
      </c>
      <c r="C4817" s="1087" t="s">
        <v>1788</v>
      </c>
      <c r="D4817" s="1088">
        <v>223.42</v>
      </c>
      <c r="E4817" s="1089" t="s">
        <v>5308</v>
      </c>
      <c r="F4817" s="1081">
        <f t="shared" si="1"/>
        <v>0</v>
      </c>
      <c r="G4817" s="1083">
        <f t="shared" si="2"/>
        <v>223.42</v>
      </c>
      <c r="H4817" s="1084"/>
    </row>
    <row r="4818" ht="14.25" customHeight="1">
      <c r="A4818" s="1085">
        <v>37989.0</v>
      </c>
      <c r="B4818" s="1086" t="s">
        <v>10136</v>
      </c>
      <c r="C4818" s="1087" t="s">
        <v>1788</v>
      </c>
      <c r="D4818" s="1088">
        <v>14.99</v>
      </c>
      <c r="E4818" s="1089" t="s">
        <v>5308</v>
      </c>
      <c r="F4818" s="1081">
        <f t="shared" si="1"/>
        <v>0</v>
      </c>
      <c r="G4818" s="1083">
        <f t="shared" si="2"/>
        <v>14.99</v>
      </c>
      <c r="H4818" s="1084"/>
    </row>
    <row r="4819" ht="14.25" customHeight="1">
      <c r="A4819" s="1085">
        <v>37990.0</v>
      </c>
      <c r="B4819" s="1086" t="s">
        <v>10137</v>
      </c>
      <c r="C4819" s="1087" t="s">
        <v>1788</v>
      </c>
      <c r="D4819" s="1088">
        <v>16.53</v>
      </c>
      <c r="E4819" s="1089" t="s">
        <v>5308</v>
      </c>
      <c r="F4819" s="1081">
        <f t="shared" si="1"/>
        <v>0</v>
      </c>
      <c r="G4819" s="1083">
        <f t="shared" si="2"/>
        <v>16.53</v>
      </c>
      <c r="H4819" s="1084"/>
    </row>
    <row r="4820" ht="14.25" customHeight="1">
      <c r="A4820" s="1085">
        <v>37991.0</v>
      </c>
      <c r="B4820" s="1086" t="s">
        <v>10138</v>
      </c>
      <c r="C4820" s="1087" t="s">
        <v>1788</v>
      </c>
      <c r="D4820" s="1088">
        <v>22.01</v>
      </c>
      <c r="E4820" s="1089" t="s">
        <v>5308</v>
      </c>
      <c r="F4820" s="1081">
        <f t="shared" si="1"/>
        <v>0</v>
      </c>
      <c r="G4820" s="1083">
        <f t="shared" si="2"/>
        <v>22.01</v>
      </c>
      <c r="H4820" s="1084"/>
    </row>
    <row r="4821" ht="14.25" customHeight="1">
      <c r="A4821" s="1085">
        <v>37992.0</v>
      </c>
      <c r="B4821" s="1086" t="s">
        <v>10139</v>
      </c>
      <c r="C4821" s="1087" t="s">
        <v>1788</v>
      </c>
      <c r="D4821" s="1088">
        <v>34.15</v>
      </c>
      <c r="E4821" s="1089" t="s">
        <v>5308</v>
      </c>
      <c r="F4821" s="1081">
        <f t="shared" si="1"/>
        <v>0</v>
      </c>
      <c r="G4821" s="1083">
        <f t="shared" si="2"/>
        <v>34.15</v>
      </c>
      <c r="H4821" s="1084"/>
    </row>
    <row r="4822" ht="14.25" customHeight="1">
      <c r="A4822" s="1085">
        <v>37993.0</v>
      </c>
      <c r="B4822" s="1086" t="s">
        <v>10140</v>
      </c>
      <c r="C4822" s="1087" t="s">
        <v>1788</v>
      </c>
      <c r="D4822" s="1088">
        <v>51.81</v>
      </c>
      <c r="E4822" s="1089" t="s">
        <v>5308</v>
      </c>
      <c r="F4822" s="1081">
        <f t="shared" si="1"/>
        <v>0</v>
      </c>
      <c r="G4822" s="1083">
        <f t="shared" si="2"/>
        <v>51.81</v>
      </c>
      <c r="H4822" s="1084"/>
    </row>
    <row r="4823" ht="14.25" customHeight="1">
      <c r="A4823" s="1085">
        <v>37994.0</v>
      </c>
      <c r="B4823" s="1086" t="s">
        <v>10141</v>
      </c>
      <c r="C4823" s="1087" t="s">
        <v>1788</v>
      </c>
      <c r="D4823" s="1088">
        <v>123.37</v>
      </c>
      <c r="E4823" s="1089" t="s">
        <v>5308</v>
      </c>
      <c r="F4823" s="1081">
        <f t="shared" si="1"/>
        <v>0</v>
      </c>
      <c r="G4823" s="1083">
        <f t="shared" si="2"/>
        <v>123.37</v>
      </c>
      <c r="H4823" s="1084"/>
    </row>
    <row r="4824" ht="14.25" customHeight="1">
      <c r="A4824" s="1085">
        <v>37995.0</v>
      </c>
      <c r="B4824" s="1086" t="s">
        <v>10142</v>
      </c>
      <c r="C4824" s="1087" t="s">
        <v>1788</v>
      </c>
      <c r="D4824" s="1088">
        <v>160.81</v>
      </c>
      <c r="E4824" s="1089" t="s">
        <v>5308</v>
      </c>
      <c r="F4824" s="1081">
        <f t="shared" si="1"/>
        <v>0</v>
      </c>
      <c r="G4824" s="1083">
        <f t="shared" si="2"/>
        <v>160.81</v>
      </c>
      <c r="H4824" s="1084"/>
    </row>
    <row r="4825" ht="14.25" customHeight="1">
      <c r="A4825" s="1085">
        <v>37996.0</v>
      </c>
      <c r="B4825" s="1086" t="s">
        <v>10143</v>
      </c>
      <c r="C4825" s="1087" t="s">
        <v>1788</v>
      </c>
      <c r="D4825" s="1088">
        <v>244.87</v>
      </c>
      <c r="E4825" s="1089" t="s">
        <v>5308</v>
      </c>
      <c r="F4825" s="1081">
        <f t="shared" si="1"/>
        <v>0</v>
      </c>
      <c r="G4825" s="1083">
        <f t="shared" si="2"/>
        <v>244.87</v>
      </c>
      <c r="H4825" s="1084"/>
    </row>
    <row r="4826" ht="14.25" customHeight="1">
      <c r="A4826" s="1085">
        <v>13883.0</v>
      </c>
      <c r="B4826" s="1086" t="s">
        <v>10144</v>
      </c>
      <c r="C4826" s="1087" t="s">
        <v>1788</v>
      </c>
      <c r="D4826" s="1088">
        <v>148012.78</v>
      </c>
      <c r="E4826" s="1089" t="s">
        <v>5482</v>
      </c>
      <c r="F4826" s="1081">
        <f t="shared" si="1"/>
        <v>0</v>
      </c>
      <c r="G4826" s="1083">
        <f t="shared" si="2"/>
        <v>148012.78</v>
      </c>
      <c r="H4826" s="1084"/>
    </row>
    <row r="4827" ht="14.25" customHeight="1">
      <c r="A4827" s="1085">
        <v>38604.0</v>
      </c>
      <c r="B4827" s="1086" t="s">
        <v>10145</v>
      </c>
      <c r="C4827" s="1087" t="s">
        <v>1788</v>
      </c>
      <c r="D4827" s="1088">
        <v>184347.95</v>
      </c>
      <c r="E4827" s="1089" t="s">
        <v>5482</v>
      </c>
      <c r="F4827" s="1081">
        <f t="shared" si="1"/>
        <v>0</v>
      </c>
      <c r="G4827" s="1083">
        <f t="shared" si="2"/>
        <v>184347.95</v>
      </c>
      <c r="H4827" s="1084"/>
    </row>
    <row r="4828" ht="14.25" customHeight="1">
      <c r="A4828" s="1085">
        <v>10601.0</v>
      </c>
      <c r="B4828" s="1086" t="s">
        <v>10146</v>
      </c>
      <c r="C4828" s="1087" t="s">
        <v>1788</v>
      </c>
      <c r="D4828" s="1088">
        <v>3585935.44</v>
      </c>
      <c r="E4828" s="1089" t="s">
        <v>5482</v>
      </c>
      <c r="F4828" s="1081">
        <f t="shared" si="1"/>
        <v>0</v>
      </c>
      <c r="G4828" s="1083">
        <f t="shared" si="2"/>
        <v>3585935.44</v>
      </c>
      <c r="H4828" s="1084"/>
    </row>
    <row r="4829" ht="14.25" customHeight="1">
      <c r="A4829" s="1085">
        <v>44469.0</v>
      </c>
      <c r="B4829" s="1086" t="s">
        <v>10147</v>
      </c>
      <c r="C4829" s="1087" t="s">
        <v>1788</v>
      </c>
      <c r="D4829" s="1088">
        <v>9441641.47</v>
      </c>
      <c r="E4829" s="1089" t="s">
        <v>5554</v>
      </c>
      <c r="F4829" s="1081">
        <f t="shared" si="1"/>
        <v>0</v>
      </c>
      <c r="G4829" s="1083">
        <f t="shared" si="2"/>
        <v>9441641.47</v>
      </c>
      <c r="H4829" s="1084"/>
    </row>
    <row r="4830" ht="14.25" customHeight="1">
      <c r="A4830" s="1085">
        <v>13894.0</v>
      </c>
      <c r="B4830" s="1086" t="s">
        <v>10148</v>
      </c>
      <c r="C4830" s="1087" t="s">
        <v>1788</v>
      </c>
      <c r="D4830" s="1088">
        <v>399604.75</v>
      </c>
      <c r="E4830" s="1089" t="s">
        <v>5482</v>
      </c>
      <c r="F4830" s="1081">
        <f t="shared" si="1"/>
        <v>0</v>
      </c>
      <c r="G4830" s="1083">
        <f t="shared" si="2"/>
        <v>399604.75</v>
      </c>
      <c r="H4830" s="1084"/>
    </row>
    <row r="4831" ht="14.25" customHeight="1">
      <c r="A4831" s="1085">
        <v>13895.0</v>
      </c>
      <c r="B4831" s="1086" t="s">
        <v>10149</v>
      </c>
      <c r="C4831" s="1087" t="s">
        <v>1788</v>
      </c>
      <c r="D4831" s="1088">
        <v>537335.18</v>
      </c>
      <c r="E4831" s="1089" t="s">
        <v>5482</v>
      </c>
      <c r="F4831" s="1081">
        <f t="shared" si="1"/>
        <v>0</v>
      </c>
      <c r="G4831" s="1083">
        <f t="shared" si="2"/>
        <v>537335.18</v>
      </c>
      <c r="H4831" s="1084"/>
    </row>
    <row r="4832" ht="14.25" customHeight="1">
      <c r="A4832" s="1085">
        <v>13892.0</v>
      </c>
      <c r="B4832" s="1086" t="s">
        <v>10150</v>
      </c>
      <c r="C4832" s="1087" t="s">
        <v>1788</v>
      </c>
      <c r="D4832" s="1088">
        <v>658491.12</v>
      </c>
      <c r="E4832" s="1089" t="s">
        <v>5482</v>
      </c>
      <c r="F4832" s="1081">
        <f t="shared" si="1"/>
        <v>0</v>
      </c>
      <c r="G4832" s="1083">
        <f t="shared" si="2"/>
        <v>658491.12</v>
      </c>
      <c r="H4832" s="1084"/>
    </row>
    <row r="4833" ht="14.25" customHeight="1">
      <c r="A4833" s="1085">
        <v>9914.0</v>
      </c>
      <c r="B4833" s="1086" t="s">
        <v>10151</v>
      </c>
      <c r="C4833" s="1087" t="s">
        <v>1788</v>
      </c>
      <c r="D4833" s="1088">
        <v>712400.0</v>
      </c>
      <c r="E4833" s="1089" t="s">
        <v>5482</v>
      </c>
      <c r="F4833" s="1081">
        <f t="shared" si="1"/>
        <v>0</v>
      </c>
      <c r="G4833" s="1083">
        <f t="shared" si="2"/>
        <v>712400</v>
      </c>
      <c r="H4833" s="1084"/>
    </row>
    <row r="4834" ht="14.25" customHeight="1">
      <c r="A4834" s="1085">
        <v>36485.0</v>
      </c>
      <c r="B4834" s="1086" t="s">
        <v>10152</v>
      </c>
      <c r="C4834" s="1087" t="s">
        <v>1788</v>
      </c>
      <c r="D4834" s="1088">
        <v>665336.65</v>
      </c>
      <c r="E4834" s="1089" t="s">
        <v>5482</v>
      </c>
      <c r="F4834" s="1081">
        <f t="shared" si="1"/>
        <v>0</v>
      </c>
      <c r="G4834" s="1083">
        <f t="shared" si="2"/>
        <v>665336.65</v>
      </c>
      <c r="H4834" s="1084"/>
    </row>
    <row r="4835" ht="14.25" customHeight="1">
      <c r="A4835" s="1085">
        <v>9912.0</v>
      </c>
      <c r="B4835" s="1086" t="s">
        <v>10153</v>
      </c>
      <c r="C4835" s="1087" t="s">
        <v>1788</v>
      </c>
      <c r="D4835" s="1088">
        <v>2919355.5</v>
      </c>
      <c r="E4835" s="1089" t="s">
        <v>5482</v>
      </c>
      <c r="F4835" s="1081">
        <f t="shared" si="1"/>
        <v>0</v>
      </c>
      <c r="G4835" s="1083">
        <f t="shared" si="2"/>
        <v>2919355.5</v>
      </c>
      <c r="H4835" s="1084"/>
    </row>
    <row r="4836" ht="14.25" customHeight="1">
      <c r="A4836" s="1085">
        <v>9921.0</v>
      </c>
      <c r="B4836" s="1086" t="s">
        <v>10154</v>
      </c>
      <c r="C4836" s="1087" t="s">
        <v>1788</v>
      </c>
      <c r="D4836" s="1088">
        <v>1505941.65</v>
      </c>
      <c r="E4836" s="1089" t="s">
        <v>5482</v>
      </c>
      <c r="F4836" s="1081">
        <f t="shared" si="1"/>
        <v>0</v>
      </c>
      <c r="G4836" s="1083">
        <f t="shared" si="2"/>
        <v>1505941.65</v>
      </c>
      <c r="H4836" s="1084"/>
    </row>
    <row r="4837" ht="14.25" customHeight="1">
      <c r="A4837" s="1085">
        <v>21112.0</v>
      </c>
      <c r="B4837" s="1086" t="s">
        <v>10155</v>
      </c>
      <c r="C4837" s="1087" t="s">
        <v>1788</v>
      </c>
      <c r="D4837" s="1088">
        <v>229.7</v>
      </c>
      <c r="E4837" s="1089" t="s">
        <v>5308</v>
      </c>
      <c r="F4837" s="1081">
        <f t="shared" si="1"/>
        <v>0</v>
      </c>
      <c r="G4837" s="1083">
        <f t="shared" si="2"/>
        <v>229.7</v>
      </c>
      <c r="H4837" s="1084"/>
    </row>
    <row r="4838" ht="14.25" customHeight="1">
      <c r="A4838" s="1085">
        <v>10228.0</v>
      </c>
      <c r="B4838" s="1086" t="s">
        <v>10156</v>
      </c>
      <c r="C4838" s="1087" t="s">
        <v>1788</v>
      </c>
      <c r="D4838" s="1088">
        <v>266.85</v>
      </c>
      <c r="E4838" s="1089" t="s">
        <v>5308</v>
      </c>
      <c r="F4838" s="1081">
        <f t="shared" si="1"/>
        <v>0</v>
      </c>
      <c r="G4838" s="1083">
        <f t="shared" si="2"/>
        <v>266.85</v>
      </c>
      <c r="H4838" s="1084"/>
    </row>
    <row r="4839" ht="14.25" customHeight="1">
      <c r="A4839" s="1085">
        <v>11781.0</v>
      </c>
      <c r="B4839" s="1086" t="s">
        <v>10157</v>
      </c>
      <c r="C4839" s="1087" t="s">
        <v>1788</v>
      </c>
      <c r="D4839" s="1088">
        <v>216.18</v>
      </c>
      <c r="E4839" s="1089" t="s">
        <v>5308</v>
      </c>
      <c r="F4839" s="1081">
        <f t="shared" si="1"/>
        <v>0</v>
      </c>
      <c r="G4839" s="1083">
        <f t="shared" si="2"/>
        <v>216.18</v>
      </c>
      <c r="H4839" s="1084"/>
    </row>
    <row r="4840" ht="14.25" customHeight="1">
      <c r="A4840" s="1085">
        <v>37588.0</v>
      </c>
      <c r="B4840" s="1086" t="s">
        <v>10158</v>
      </c>
      <c r="C4840" s="1087" t="s">
        <v>1788</v>
      </c>
      <c r="D4840" s="1088">
        <v>85.72</v>
      </c>
      <c r="E4840" s="1089" t="s">
        <v>5308</v>
      </c>
      <c r="F4840" s="1081">
        <f t="shared" si="1"/>
        <v>0</v>
      </c>
      <c r="G4840" s="1083">
        <f t="shared" si="2"/>
        <v>85.72</v>
      </c>
      <c r="H4840" s="1084"/>
    </row>
    <row r="4841" ht="14.25" customHeight="1">
      <c r="A4841" s="1085">
        <v>11746.0</v>
      </c>
      <c r="B4841" s="1086" t="s">
        <v>10159</v>
      </c>
      <c r="C4841" s="1087" t="s">
        <v>1788</v>
      </c>
      <c r="D4841" s="1088">
        <v>85.28</v>
      </c>
      <c r="E4841" s="1089" t="s">
        <v>5308</v>
      </c>
      <c r="F4841" s="1081">
        <f t="shared" si="1"/>
        <v>0</v>
      </c>
      <c r="G4841" s="1083">
        <f t="shared" si="2"/>
        <v>85.28</v>
      </c>
      <c r="H4841" s="1084"/>
    </row>
    <row r="4842" ht="14.25" customHeight="1">
      <c r="A4842" s="1085">
        <v>11751.0</v>
      </c>
      <c r="B4842" s="1086" t="s">
        <v>10160</v>
      </c>
      <c r="C4842" s="1087" t="s">
        <v>1788</v>
      </c>
      <c r="D4842" s="1088">
        <v>153.17</v>
      </c>
      <c r="E4842" s="1089" t="s">
        <v>5308</v>
      </c>
      <c r="F4842" s="1081">
        <f t="shared" si="1"/>
        <v>0</v>
      </c>
      <c r="G4842" s="1083">
        <f t="shared" si="2"/>
        <v>153.17</v>
      </c>
      <c r="H4842" s="1084"/>
    </row>
    <row r="4843" ht="14.25" customHeight="1">
      <c r="A4843" s="1085">
        <v>11750.0</v>
      </c>
      <c r="B4843" s="1086" t="s">
        <v>10161</v>
      </c>
      <c r="C4843" s="1087" t="s">
        <v>1788</v>
      </c>
      <c r="D4843" s="1088">
        <v>127.11</v>
      </c>
      <c r="E4843" s="1089" t="s">
        <v>5308</v>
      </c>
      <c r="F4843" s="1081">
        <f t="shared" si="1"/>
        <v>0</v>
      </c>
      <c r="G4843" s="1083">
        <f t="shared" si="2"/>
        <v>127.11</v>
      </c>
      <c r="H4843" s="1084"/>
    </row>
    <row r="4844" ht="14.25" customHeight="1">
      <c r="A4844" s="1085">
        <v>11748.0</v>
      </c>
      <c r="B4844" s="1086" t="s">
        <v>10162</v>
      </c>
      <c r="C4844" s="1087" t="s">
        <v>1788</v>
      </c>
      <c r="D4844" s="1088">
        <v>54.73</v>
      </c>
      <c r="E4844" s="1089" t="s">
        <v>5308</v>
      </c>
      <c r="F4844" s="1081">
        <f t="shared" si="1"/>
        <v>0</v>
      </c>
      <c r="G4844" s="1083">
        <f t="shared" si="2"/>
        <v>54.73</v>
      </c>
      <c r="H4844" s="1084"/>
    </row>
    <row r="4845" ht="14.25" customHeight="1">
      <c r="A4845" s="1085">
        <v>11747.0</v>
      </c>
      <c r="B4845" s="1086" t="s">
        <v>10163</v>
      </c>
      <c r="C4845" s="1087" t="s">
        <v>1788</v>
      </c>
      <c r="D4845" s="1088">
        <v>236.19</v>
      </c>
      <c r="E4845" s="1089" t="s">
        <v>5308</v>
      </c>
      <c r="F4845" s="1081">
        <f t="shared" si="1"/>
        <v>0</v>
      </c>
      <c r="G4845" s="1083">
        <f t="shared" si="2"/>
        <v>236.19</v>
      </c>
      <c r="H4845" s="1084"/>
    </row>
    <row r="4846" ht="14.25" customHeight="1">
      <c r="A4846" s="1085">
        <v>11749.0</v>
      </c>
      <c r="B4846" s="1086" t="s">
        <v>10164</v>
      </c>
      <c r="C4846" s="1087" t="s">
        <v>1788</v>
      </c>
      <c r="D4846" s="1088">
        <v>63.17</v>
      </c>
      <c r="E4846" s="1089" t="s">
        <v>5308</v>
      </c>
      <c r="F4846" s="1081">
        <f t="shared" si="1"/>
        <v>0</v>
      </c>
      <c r="G4846" s="1083">
        <f t="shared" si="2"/>
        <v>63.17</v>
      </c>
      <c r="H4846" s="1084"/>
    </row>
    <row r="4847" ht="14.25" customHeight="1">
      <c r="A4847" s="1085">
        <v>10236.0</v>
      </c>
      <c r="B4847" s="1086" t="s">
        <v>10165</v>
      </c>
      <c r="C4847" s="1087" t="s">
        <v>1788</v>
      </c>
      <c r="D4847" s="1088">
        <v>132.34</v>
      </c>
      <c r="E4847" s="1089" t="s">
        <v>5308</v>
      </c>
      <c r="F4847" s="1081">
        <f t="shared" si="1"/>
        <v>0</v>
      </c>
      <c r="G4847" s="1083">
        <f t="shared" si="2"/>
        <v>132.34</v>
      </c>
      <c r="H4847" s="1084"/>
    </row>
    <row r="4848" ht="14.25" customHeight="1">
      <c r="A4848" s="1085">
        <v>10233.0</v>
      </c>
      <c r="B4848" s="1086" t="s">
        <v>10166</v>
      </c>
      <c r="C4848" s="1087" t="s">
        <v>1788</v>
      </c>
      <c r="D4848" s="1088">
        <v>124.01</v>
      </c>
      <c r="E4848" s="1089" t="s">
        <v>5308</v>
      </c>
      <c r="F4848" s="1081">
        <f t="shared" si="1"/>
        <v>0</v>
      </c>
      <c r="G4848" s="1083">
        <f t="shared" si="2"/>
        <v>124.01</v>
      </c>
      <c r="H4848" s="1084"/>
    </row>
    <row r="4849" ht="14.25" customHeight="1">
      <c r="A4849" s="1085">
        <v>10234.0</v>
      </c>
      <c r="B4849" s="1086" t="s">
        <v>10167</v>
      </c>
      <c r="C4849" s="1087" t="s">
        <v>1788</v>
      </c>
      <c r="D4849" s="1088">
        <v>78.12</v>
      </c>
      <c r="E4849" s="1089" t="s">
        <v>5308</v>
      </c>
      <c r="F4849" s="1081">
        <f t="shared" si="1"/>
        <v>0</v>
      </c>
      <c r="G4849" s="1083">
        <f t="shared" si="2"/>
        <v>78.12</v>
      </c>
      <c r="H4849" s="1084"/>
    </row>
    <row r="4850" ht="14.25" customHeight="1">
      <c r="A4850" s="1085">
        <v>10231.0</v>
      </c>
      <c r="B4850" s="1086" t="s">
        <v>10168</v>
      </c>
      <c r="C4850" s="1087" t="s">
        <v>1788</v>
      </c>
      <c r="D4850" s="1088">
        <v>358.24</v>
      </c>
      <c r="E4850" s="1089" t="s">
        <v>5308</v>
      </c>
      <c r="F4850" s="1081">
        <f t="shared" si="1"/>
        <v>0</v>
      </c>
      <c r="G4850" s="1083">
        <f t="shared" si="2"/>
        <v>358.24</v>
      </c>
      <c r="H4850" s="1084"/>
    </row>
    <row r="4851" ht="14.25" customHeight="1">
      <c r="A4851" s="1085">
        <v>10232.0</v>
      </c>
      <c r="B4851" s="1086" t="s">
        <v>10169</v>
      </c>
      <c r="C4851" s="1087" t="s">
        <v>1788</v>
      </c>
      <c r="D4851" s="1088">
        <v>200.46</v>
      </c>
      <c r="E4851" s="1089" t="s">
        <v>5308</v>
      </c>
      <c r="F4851" s="1081">
        <f t="shared" si="1"/>
        <v>0</v>
      </c>
      <c r="G4851" s="1083">
        <f t="shared" si="2"/>
        <v>200.46</v>
      </c>
      <c r="H4851" s="1084"/>
    </row>
    <row r="4852" ht="14.25" customHeight="1">
      <c r="A4852" s="1085">
        <v>10229.0</v>
      </c>
      <c r="B4852" s="1086" t="s">
        <v>10170</v>
      </c>
      <c r="C4852" s="1087" t="s">
        <v>1788</v>
      </c>
      <c r="D4852" s="1088">
        <v>70.65</v>
      </c>
      <c r="E4852" s="1089" t="s">
        <v>5308</v>
      </c>
      <c r="F4852" s="1081">
        <f t="shared" si="1"/>
        <v>0</v>
      </c>
      <c r="G4852" s="1083">
        <f t="shared" si="2"/>
        <v>70.65</v>
      </c>
      <c r="H4852" s="1084"/>
    </row>
    <row r="4853" ht="14.25" customHeight="1">
      <c r="A4853" s="1085">
        <v>10235.0</v>
      </c>
      <c r="B4853" s="1086" t="s">
        <v>10171</v>
      </c>
      <c r="C4853" s="1087" t="s">
        <v>1788</v>
      </c>
      <c r="D4853" s="1088">
        <v>491.1</v>
      </c>
      <c r="E4853" s="1089" t="s">
        <v>5308</v>
      </c>
      <c r="F4853" s="1081">
        <f t="shared" si="1"/>
        <v>0</v>
      </c>
      <c r="G4853" s="1083">
        <f t="shared" si="2"/>
        <v>491.1</v>
      </c>
      <c r="H4853" s="1084"/>
    </row>
    <row r="4854" ht="14.25" customHeight="1">
      <c r="A4854" s="1085">
        <v>10230.0</v>
      </c>
      <c r="B4854" s="1086" t="s">
        <v>10172</v>
      </c>
      <c r="C4854" s="1087" t="s">
        <v>1788</v>
      </c>
      <c r="D4854" s="1088">
        <v>864.29</v>
      </c>
      <c r="E4854" s="1089" t="s">
        <v>5308</v>
      </c>
      <c r="F4854" s="1081">
        <f t="shared" si="1"/>
        <v>0</v>
      </c>
      <c r="G4854" s="1083">
        <f t="shared" si="2"/>
        <v>864.29</v>
      </c>
      <c r="H4854" s="1084"/>
    </row>
    <row r="4855" ht="14.25" customHeight="1">
      <c r="A4855" s="1085">
        <v>10409.0</v>
      </c>
      <c r="B4855" s="1086" t="s">
        <v>10173</v>
      </c>
      <c r="C4855" s="1087" t="s">
        <v>1788</v>
      </c>
      <c r="D4855" s="1088">
        <v>256.77</v>
      </c>
      <c r="E4855" s="1089" t="s">
        <v>5308</v>
      </c>
      <c r="F4855" s="1081">
        <f t="shared" si="1"/>
        <v>0</v>
      </c>
      <c r="G4855" s="1083">
        <f t="shared" si="2"/>
        <v>256.77</v>
      </c>
      <c r="H4855" s="1084"/>
    </row>
    <row r="4856" ht="14.25" customHeight="1">
      <c r="A4856" s="1085">
        <v>10411.0</v>
      </c>
      <c r="B4856" s="1086" t="s">
        <v>10174</v>
      </c>
      <c r="C4856" s="1087" t="s">
        <v>1788</v>
      </c>
      <c r="D4856" s="1088">
        <v>229.76</v>
      </c>
      <c r="E4856" s="1089" t="s">
        <v>5308</v>
      </c>
      <c r="F4856" s="1081">
        <f t="shared" si="1"/>
        <v>0</v>
      </c>
      <c r="G4856" s="1083">
        <f t="shared" si="2"/>
        <v>229.76</v>
      </c>
      <c r="H4856" s="1084"/>
    </row>
    <row r="4857" ht="14.25" customHeight="1">
      <c r="A4857" s="1085">
        <v>10404.0</v>
      </c>
      <c r="B4857" s="1086" t="s">
        <v>10175</v>
      </c>
      <c r="C4857" s="1087" t="s">
        <v>1788</v>
      </c>
      <c r="D4857" s="1088">
        <v>93.18</v>
      </c>
      <c r="E4857" s="1089" t="s">
        <v>5308</v>
      </c>
      <c r="F4857" s="1081">
        <f t="shared" si="1"/>
        <v>0</v>
      </c>
      <c r="G4857" s="1083">
        <f t="shared" si="2"/>
        <v>93.18</v>
      </c>
      <c r="H4857" s="1084"/>
    </row>
    <row r="4858" ht="14.25" customHeight="1">
      <c r="A4858" s="1085">
        <v>10410.0</v>
      </c>
      <c r="B4858" s="1086" t="s">
        <v>10176</v>
      </c>
      <c r="C4858" s="1087" t="s">
        <v>1788</v>
      </c>
      <c r="D4858" s="1088">
        <v>153.48</v>
      </c>
      <c r="E4858" s="1089" t="s">
        <v>5308</v>
      </c>
      <c r="F4858" s="1081">
        <f t="shared" si="1"/>
        <v>0</v>
      </c>
      <c r="G4858" s="1083">
        <f t="shared" si="2"/>
        <v>153.48</v>
      </c>
      <c r="H4858" s="1084"/>
    </row>
    <row r="4859" ht="14.25" customHeight="1">
      <c r="A4859" s="1085">
        <v>10405.0</v>
      </c>
      <c r="B4859" s="1086" t="s">
        <v>10177</v>
      </c>
      <c r="C4859" s="1087" t="s">
        <v>1788</v>
      </c>
      <c r="D4859" s="1088">
        <v>514.44</v>
      </c>
      <c r="E4859" s="1089" t="s">
        <v>5308</v>
      </c>
      <c r="F4859" s="1081">
        <f t="shared" si="1"/>
        <v>0</v>
      </c>
      <c r="G4859" s="1083">
        <f t="shared" si="2"/>
        <v>514.44</v>
      </c>
      <c r="H4859" s="1084"/>
    </row>
    <row r="4860" ht="14.25" customHeight="1">
      <c r="A4860" s="1085">
        <v>10408.0</v>
      </c>
      <c r="B4860" s="1086" t="s">
        <v>10178</v>
      </c>
      <c r="C4860" s="1087" t="s">
        <v>1788</v>
      </c>
      <c r="D4860" s="1088">
        <v>359.74</v>
      </c>
      <c r="E4860" s="1089" t="s">
        <v>5308</v>
      </c>
      <c r="F4860" s="1081">
        <f t="shared" si="1"/>
        <v>0</v>
      </c>
      <c r="G4860" s="1083">
        <f t="shared" si="2"/>
        <v>359.74</v>
      </c>
      <c r="H4860" s="1084"/>
    </row>
    <row r="4861" ht="14.25" customHeight="1">
      <c r="A4861" s="1085">
        <v>10412.0</v>
      </c>
      <c r="B4861" s="1086" t="s">
        <v>10179</v>
      </c>
      <c r="C4861" s="1087" t="s">
        <v>1788</v>
      </c>
      <c r="D4861" s="1088">
        <v>112.92</v>
      </c>
      <c r="E4861" s="1089" t="s">
        <v>5308</v>
      </c>
      <c r="F4861" s="1081">
        <f t="shared" si="1"/>
        <v>0</v>
      </c>
      <c r="G4861" s="1083">
        <f t="shared" si="2"/>
        <v>112.92</v>
      </c>
      <c r="H4861" s="1084"/>
    </row>
    <row r="4862" ht="14.25" customHeight="1">
      <c r="A4862" s="1085">
        <v>10406.0</v>
      </c>
      <c r="B4862" s="1086" t="s">
        <v>10180</v>
      </c>
      <c r="C4862" s="1087" t="s">
        <v>1788</v>
      </c>
      <c r="D4862" s="1088">
        <v>710.55</v>
      </c>
      <c r="E4862" s="1089" t="s">
        <v>5308</v>
      </c>
      <c r="F4862" s="1081">
        <f t="shared" si="1"/>
        <v>0</v>
      </c>
      <c r="G4862" s="1083">
        <f t="shared" si="2"/>
        <v>710.55</v>
      </c>
      <c r="H4862" s="1084"/>
    </row>
    <row r="4863" ht="14.25" customHeight="1">
      <c r="A4863" s="1085">
        <v>10407.0</v>
      </c>
      <c r="B4863" s="1086" t="s">
        <v>10181</v>
      </c>
      <c r="C4863" s="1087" t="s">
        <v>1788</v>
      </c>
      <c r="D4863" s="1088">
        <v>1102.07</v>
      </c>
      <c r="E4863" s="1089" t="s">
        <v>5308</v>
      </c>
      <c r="F4863" s="1081">
        <f t="shared" si="1"/>
        <v>0</v>
      </c>
      <c r="G4863" s="1083">
        <f t="shared" si="2"/>
        <v>1102.07</v>
      </c>
      <c r="H4863" s="1084"/>
    </row>
    <row r="4864" ht="14.25" customHeight="1">
      <c r="A4864" s="1085">
        <v>10416.0</v>
      </c>
      <c r="B4864" s="1086" t="s">
        <v>10182</v>
      </c>
      <c r="C4864" s="1087" t="s">
        <v>1788</v>
      </c>
      <c r="D4864" s="1088">
        <v>136.7</v>
      </c>
      <c r="E4864" s="1089" t="s">
        <v>5308</v>
      </c>
      <c r="F4864" s="1081">
        <f t="shared" si="1"/>
        <v>0</v>
      </c>
      <c r="G4864" s="1083">
        <f t="shared" si="2"/>
        <v>136.7</v>
      </c>
      <c r="H4864" s="1084"/>
    </row>
    <row r="4865" ht="14.25" customHeight="1">
      <c r="A4865" s="1085">
        <v>10419.0</v>
      </c>
      <c r="B4865" s="1086" t="s">
        <v>10183</v>
      </c>
      <c r="C4865" s="1087" t="s">
        <v>1788</v>
      </c>
      <c r="D4865" s="1088">
        <v>118.65</v>
      </c>
      <c r="E4865" s="1089" t="s">
        <v>5308</v>
      </c>
      <c r="F4865" s="1081">
        <f t="shared" si="1"/>
        <v>0</v>
      </c>
      <c r="G4865" s="1083">
        <f t="shared" si="2"/>
        <v>118.65</v>
      </c>
      <c r="H4865" s="1084"/>
    </row>
    <row r="4866" ht="14.25" customHeight="1">
      <c r="A4866" s="1085">
        <v>21092.0</v>
      </c>
      <c r="B4866" s="1086" t="s">
        <v>10184</v>
      </c>
      <c r="C4866" s="1087" t="s">
        <v>1788</v>
      </c>
      <c r="D4866" s="1088">
        <v>67.83</v>
      </c>
      <c r="E4866" s="1089" t="s">
        <v>5308</v>
      </c>
      <c r="F4866" s="1081">
        <f t="shared" si="1"/>
        <v>0</v>
      </c>
      <c r="G4866" s="1083">
        <f t="shared" si="2"/>
        <v>67.83</v>
      </c>
      <c r="H4866" s="1084"/>
    </row>
    <row r="4867" ht="14.25" customHeight="1">
      <c r="A4867" s="1085">
        <v>10418.0</v>
      </c>
      <c r="B4867" s="1086" t="s">
        <v>10185</v>
      </c>
      <c r="C4867" s="1087" t="s">
        <v>1788</v>
      </c>
      <c r="D4867" s="1088">
        <v>79.09</v>
      </c>
      <c r="E4867" s="1089" t="s">
        <v>5308</v>
      </c>
      <c r="F4867" s="1081">
        <f t="shared" si="1"/>
        <v>0</v>
      </c>
      <c r="G4867" s="1083">
        <f t="shared" si="2"/>
        <v>79.09</v>
      </c>
      <c r="H4867" s="1084"/>
    </row>
    <row r="4868" ht="14.25" customHeight="1">
      <c r="A4868" s="1085">
        <v>12657.0</v>
      </c>
      <c r="B4868" s="1086" t="s">
        <v>10186</v>
      </c>
      <c r="C4868" s="1087" t="s">
        <v>1788</v>
      </c>
      <c r="D4868" s="1088">
        <v>319.16</v>
      </c>
      <c r="E4868" s="1089" t="s">
        <v>5308</v>
      </c>
      <c r="F4868" s="1081">
        <f t="shared" si="1"/>
        <v>0</v>
      </c>
      <c r="G4868" s="1083">
        <f t="shared" si="2"/>
        <v>319.16</v>
      </c>
      <c r="H4868" s="1084"/>
    </row>
    <row r="4869" ht="14.25" customHeight="1">
      <c r="A4869" s="1085">
        <v>10417.0</v>
      </c>
      <c r="B4869" s="1086" t="s">
        <v>10187</v>
      </c>
      <c r="C4869" s="1087" t="s">
        <v>1788</v>
      </c>
      <c r="D4869" s="1088">
        <v>199.17</v>
      </c>
      <c r="E4869" s="1089" t="s">
        <v>5308</v>
      </c>
      <c r="F4869" s="1081">
        <f t="shared" si="1"/>
        <v>0</v>
      </c>
      <c r="G4869" s="1083">
        <f t="shared" si="2"/>
        <v>199.17</v>
      </c>
      <c r="H4869" s="1084"/>
    </row>
    <row r="4870" ht="14.25" customHeight="1">
      <c r="A4870" s="1085">
        <v>10413.0</v>
      </c>
      <c r="B4870" s="1086" t="s">
        <v>10188</v>
      </c>
      <c r="C4870" s="1087" t="s">
        <v>1788</v>
      </c>
      <c r="D4870" s="1088">
        <v>72.39</v>
      </c>
      <c r="E4870" s="1089" t="s">
        <v>5308</v>
      </c>
      <c r="F4870" s="1081">
        <f t="shared" si="1"/>
        <v>0</v>
      </c>
      <c r="G4870" s="1083">
        <f t="shared" si="2"/>
        <v>72.39</v>
      </c>
      <c r="H4870" s="1084"/>
    </row>
    <row r="4871" ht="14.25" customHeight="1">
      <c r="A4871" s="1085">
        <v>10414.0</v>
      </c>
      <c r="B4871" s="1086" t="s">
        <v>10189</v>
      </c>
      <c r="C4871" s="1087" t="s">
        <v>1788</v>
      </c>
      <c r="D4871" s="1088">
        <v>435.84</v>
      </c>
      <c r="E4871" s="1089" t="s">
        <v>5308</v>
      </c>
      <c r="F4871" s="1081">
        <f t="shared" si="1"/>
        <v>0</v>
      </c>
      <c r="G4871" s="1083">
        <f t="shared" si="2"/>
        <v>435.84</v>
      </c>
      <c r="H4871" s="1084"/>
    </row>
    <row r="4872" ht="14.25" customHeight="1">
      <c r="A4872" s="1085">
        <v>10415.0</v>
      </c>
      <c r="B4872" s="1086" t="s">
        <v>10190</v>
      </c>
      <c r="C4872" s="1087" t="s">
        <v>1788</v>
      </c>
      <c r="D4872" s="1088">
        <v>756.42</v>
      </c>
      <c r="E4872" s="1089" t="s">
        <v>5308</v>
      </c>
      <c r="F4872" s="1081">
        <f t="shared" si="1"/>
        <v>0</v>
      </c>
      <c r="G4872" s="1083">
        <f t="shared" si="2"/>
        <v>756.42</v>
      </c>
      <c r="H4872" s="1084"/>
    </row>
    <row r="4873" ht="14.25" customHeight="1">
      <c r="A4873" s="1085">
        <v>38643.0</v>
      </c>
      <c r="B4873" s="1086" t="s">
        <v>10191</v>
      </c>
      <c r="C4873" s="1087" t="s">
        <v>1788</v>
      </c>
      <c r="D4873" s="1088">
        <v>68.12</v>
      </c>
      <c r="E4873" s="1089" t="s">
        <v>5308</v>
      </c>
      <c r="F4873" s="1081">
        <f t="shared" si="1"/>
        <v>0</v>
      </c>
      <c r="G4873" s="1083">
        <f t="shared" si="2"/>
        <v>68.12</v>
      </c>
      <c r="H4873" s="1084"/>
    </row>
    <row r="4874" ht="14.25" customHeight="1">
      <c r="A4874" s="1085">
        <v>6157.0</v>
      </c>
      <c r="B4874" s="1086" t="s">
        <v>10192</v>
      </c>
      <c r="C4874" s="1087" t="s">
        <v>1788</v>
      </c>
      <c r="D4874" s="1088">
        <v>93.06</v>
      </c>
      <c r="E4874" s="1089" t="s">
        <v>5308</v>
      </c>
      <c r="F4874" s="1081">
        <f t="shared" si="1"/>
        <v>0</v>
      </c>
      <c r="G4874" s="1083">
        <f t="shared" si="2"/>
        <v>93.06</v>
      </c>
      <c r="H4874" s="1084"/>
    </row>
    <row r="4875" ht="14.25" customHeight="1">
      <c r="A4875" s="1085">
        <v>6158.0</v>
      </c>
      <c r="B4875" s="1086" t="s">
        <v>10193</v>
      </c>
      <c r="C4875" s="1087" t="s">
        <v>1788</v>
      </c>
      <c r="D4875" s="1088">
        <v>8.11</v>
      </c>
      <c r="E4875" s="1089" t="s">
        <v>5308</v>
      </c>
      <c r="F4875" s="1081">
        <f t="shared" si="1"/>
        <v>0</v>
      </c>
      <c r="G4875" s="1083">
        <f t="shared" si="2"/>
        <v>8.11</v>
      </c>
      <c r="H4875" s="1084"/>
    </row>
    <row r="4876" ht="14.25" customHeight="1">
      <c r="A4876" s="1085">
        <v>6153.0</v>
      </c>
      <c r="B4876" s="1086" t="s">
        <v>10194</v>
      </c>
      <c r="C4876" s="1087" t="s">
        <v>1788</v>
      </c>
      <c r="D4876" s="1088">
        <v>5.58</v>
      </c>
      <c r="E4876" s="1089" t="s">
        <v>5308</v>
      </c>
      <c r="F4876" s="1081">
        <f t="shared" si="1"/>
        <v>0</v>
      </c>
      <c r="G4876" s="1083">
        <f t="shared" si="2"/>
        <v>5.58</v>
      </c>
      <c r="H4876" s="1084"/>
    </row>
    <row r="4877" ht="14.25" customHeight="1">
      <c r="A4877" s="1085">
        <v>6156.0</v>
      </c>
      <c r="B4877" s="1086" t="s">
        <v>10195</v>
      </c>
      <c r="C4877" s="1087" t="s">
        <v>1788</v>
      </c>
      <c r="D4877" s="1088">
        <v>6.95</v>
      </c>
      <c r="E4877" s="1089" t="s">
        <v>5308</v>
      </c>
      <c r="F4877" s="1081">
        <f t="shared" si="1"/>
        <v>0</v>
      </c>
      <c r="G4877" s="1083">
        <f t="shared" si="2"/>
        <v>6.95</v>
      </c>
      <c r="H4877" s="1084"/>
    </row>
    <row r="4878" ht="14.25" customHeight="1">
      <c r="A4878" s="1085">
        <v>6154.0</v>
      </c>
      <c r="B4878" s="1086" t="s">
        <v>10196</v>
      </c>
      <c r="C4878" s="1087" t="s">
        <v>1788</v>
      </c>
      <c r="D4878" s="1088">
        <v>9.92</v>
      </c>
      <c r="E4878" s="1089" t="s">
        <v>5308</v>
      </c>
      <c r="F4878" s="1081">
        <f t="shared" si="1"/>
        <v>0</v>
      </c>
      <c r="G4878" s="1083">
        <f t="shared" si="2"/>
        <v>9.92</v>
      </c>
      <c r="H4878" s="1084"/>
    </row>
    <row r="4879" ht="14.25" customHeight="1">
      <c r="A4879" s="1085">
        <v>6155.0</v>
      </c>
      <c r="B4879" s="1086" t="s">
        <v>10197</v>
      </c>
      <c r="C4879" s="1087" t="s">
        <v>1788</v>
      </c>
      <c r="D4879" s="1088">
        <v>22.83</v>
      </c>
      <c r="E4879" s="1089" t="s">
        <v>5308</v>
      </c>
      <c r="F4879" s="1081">
        <f t="shared" si="1"/>
        <v>0</v>
      </c>
      <c r="G4879" s="1083">
        <f t="shared" si="2"/>
        <v>22.83</v>
      </c>
      <c r="H4879" s="1084"/>
    </row>
    <row r="4880" ht="14.25" customHeight="1">
      <c r="A4880" s="1085">
        <v>43595.0</v>
      </c>
      <c r="B4880" s="1086" t="s">
        <v>10198</v>
      </c>
      <c r="C4880" s="1087" t="s">
        <v>1788</v>
      </c>
      <c r="D4880" s="1088">
        <v>18.61</v>
      </c>
      <c r="E4880" s="1089" t="s">
        <v>5308</v>
      </c>
      <c r="F4880" s="1081">
        <f t="shared" si="1"/>
        <v>0</v>
      </c>
      <c r="G4880" s="1083">
        <f t="shared" si="2"/>
        <v>18.61</v>
      </c>
      <c r="H4880" s="1084"/>
    </row>
    <row r="4881" ht="14.25" customHeight="1">
      <c r="A4881" s="1085">
        <v>43596.0</v>
      </c>
      <c r="B4881" s="1086" t="s">
        <v>10199</v>
      </c>
      <c r="C4881" s="1087" t="s">
        <v>1788</v>
      </c>
      <c r="D4881" s="1088">
        <v>21.51</v>
      </c>
      <c r="E4881" s="1089" t="s">
        <v>5308</v>
      </c>
      <c r="F4881" s="1081">
        <f t="shared" si="1"/>
        <v>0</v>
      </c>
      <c r="G4881" s="1083">
        <f t="shared" si="2"/>
        <v>21.51</v>
      </c>
      <c r="H4881" s="1084"/>
    </row>
    <row r="4882" ht="14.25" customHeight="1">
      <c r="A4882" s="1085">
        <v>38108.0</v>
      </c>
      <c r="B4882" s="1086" t="s">
        <v>10200</v>
      </c>
      <c r="C4882" s="1087" t="s">
        <v>1788</v>
      </c>
      <c r="D4882" s="1088">
        <v>51.56</v>
      </c>
      <c r="E4882" s="1089" t="s">
        <v>5308</v>
      </c>
      <c r="F4882" s="1081">
        <f t="shared" si="1"/>
        <v>0</v>
      </c>
      <c r="G4882" s="1083">
        <f t="shared" si="2"/>
        <v>51.56</v>
      </c>
      <c r="H4882" s="1084"/>
    </row>
    <row r="4883" ht="14.25" customHeight="1">
      <c r="A4883" s="1085">
        <v>38087.0</v>
      </c>
      <c r="B4883" s="1086" t="s">
        <v>10201</v>
      </c>
      <c r="C4883" s="1087" t="s">
        <v>1788</v>
      </c>
      <c r="D4883" s="1088">
        <v>66.31</v>
      </c>
      <c r="E4883" s="1089" t="s">
        <v>5308</v>
      </c>
      <c r="F4883" s="1081">
        <f t="shared" si="1"/>
        <v>0</v>
      </c>
      <c r="G4883" s="1083">
        <f t="shared" si="2"/>
        <v>66.31</v>
      </c>
      <c r="H4883" s="1084"/>
    </row>
    <row r="4884" ht="14.25" customHeight="1">
      <c r="A4884" s="1085">
        <v>38109.0</v>
      </c>
      <c r="B4884" s="1086" t="s">
        <v>10202</v>
      </c>
      <c r="C4884" s="1087" t="s">
        <v>1788</v>
      </c>
      <c r="D4884" s="1088">
        <v>82.4</v>
      </c>
      <c r="E4884" s="1089" t="s">
        <v>5308</v>
      </c>
      <c r="F4884" s="1081">
        <f t="shared" si="1"/>
        <v>0</v>
      </c>
      <c r="G4884" s="1083">
        <f t="shared" si="2"/>
        <v>82.4</v>
      </c>
      <c r="H4884" s="1084"/>
    </row>
    <row r="4885" ht="14.25" customHeight="1">
      <c r="A4885" s="1085">
        <v>38088.0</v>
      </c>
      <c r="B4885" s="1086" t="s">
        <v>10203</v>
      </c>
      <c r="C4885" s="1087" t="s">
        <v>1788</v>
      </c>
      <c r="D4885" s="1088">
        <v>86.64</v>
      </c>
      <c r="E4885" s="1089" t="s">
        <v>5308</v>
      </c>
      <c r="F4885" s="1081">
        <f t="shared" si="1"/>
        <v>0</v>
      </c>
      <c r="G4885" s="1083">
        <f t="shared" si="2"/>
        <v>86.64</v>
      </c>
      <c r="H4885" s="1084"/>
    </row>
    <row r="4886" ht="14.25" customHeight="1">
      <c r="A4886" s="1085">
        <v>38110.0</v>
      </c>
      <c r="B4886" s="1086" t="s">
        <v>10204</v>
      </c>
      <c r="C4886" s="1087" t="s">
        <v>1788</v>
      </c>
      <c r="D4886" s="1088">
        <v>31.7</v>
      </c>
      <c r="E4886" s="1089" t="s">
        <v>5308</v>
      </c>
      <c r="F4886" s="1081">
        <f t="shared" si="1"/>
        <v>0</v>
      </c>
      <c r="G4886" s="1083">
        <f t="shared" si="2"/>
        <v>31.7</v>
      </c>
      <c r="H4886" s="1084"/>
    </row>
    <row r="4887" ht="14.25" customHeight="1">
      <c r="A4887" s="1085">
        <v>38089.0</v>
      </c>
      <c r="B4887" s="1086" t="s">
        <v>10205</v>
      </c>
      <c r="C4887" s="1087" t="s">
        <v>1788</v>
      </c>
      <c r="D4887" s="1088">
        <v>55.23</v>
      </c>
      <c r="E4887" s="1089" t="s">
        <v>5308</v>
      </c>
      <c r="F4887" s="1081">
        <f t="shared" si="1"/>
        <v>0</v>
      </c>
      <c r="G4887" s="1083">
        <f t="shared" si="2"/>
        <v>55.23</v>
      </c>
      <c r="H4887" s="1084"/>
    </row>
    <row r="4888" ht="14.25" customHeight="1">
      <c r="A4888" s="1085">
        <v>38111.0</v>
      </c>
      <c r="B4888" s="1086" t="s">
        <v>10206</v>
      </c>
      <c r="C4888" s="1087" t="s">
        <v>1788</v>
      </c>
      <c r="D4888" s="1088">
        <v>35.45</v>
      </c>
      <c r="E4888" s="1089" t="s">
        <v>5308</v>
      </c>
      <c r="F4888" s="1081">
        <f t="shared" si="1"/>
        <v>0</v>
      </c>
      <c r="G4888" s="1083">
        <f t="shared" si="2"/>
        <v>35.45</v>
      </c>
      <c r="H4888" s="1084"/>
    </row>
    <row r="4889" ht="14.25" customHeight="1">
      <c r="A4889" s="1085">
        <v>38090.0</v>
      </c>
      <c r="B4889" s="1086" t="s">
        <v>10207</v>
      </c>
      <c r="C4889" s="1087" t="s">
        <v>1788</v>
      </c>
      <c r="D4889" s="1088">
        <v>57.09</v>
      </c>
      <c r="E4889" s="1089" t="s">
        <v>5308</v>
      </c>
      <c r="F4889" s="1081">
        <f t="shared" si="1"/>
        <v>0</v>
      </c>
      <c r="G4889" s="1083">
        <f t="shared" si="2"/>
        <v>57.09</v>
      </c>
      <c r="H4889" s="1084"/>
    </row>
    <row r="4890" ht="14.25" customHeight="1">
      <c r="A4890" s="1085">
        <v>13726.0</v>
      </c>
      <c r="B4890" s="1086" t="s">
        <v>10208</v>
      </c>
      <c r="C4890" s="1087" t="s">
        <v>1788</v>
      </c>
      <c r="D4890" s="1088">
        <v>75982.54</v>
      </c>
      <c r="E4890" s="1089" t="s">
        <v>5482</v>
      </c>
      <c r="F4890" s="1081">
        <f t="shared" si="1"/>
        <v>0</v>
      </c>
      <c r="G4890" s="1083">
        <f t="shared" si="2"/>
        <v>75982.54</v>
      </c>
      <c r="H4890" s="1084"/>
    </row>
    <row r="4891" ht="14.25" customHeight="1">
      <c r="A4891" s="1085">
        <v>38400.0</v>
      </c>
      <c r="B4891" s="1086" t="s">
        <v>10209</v>
      </c>
      <c r="C4891" s="1087" t="s">
        <v>1788</v>
      </c>
      <c r="D4891" s="1088">
        <v>20.12</v>
      </c>
      <c r="E4891" s="1089" t="s">
        <v>5308</v>
      </c>
      <c r="F4891" s="1081">
        <f t="shared" si="1"/>
        <v>0</v>
      </c>
      <c r="G4891" s="1083">
        <f t="shared" si="2"/>
        <v>20.12</v>
      </c>
      <c r="H4891" s="1084"/>
    </row>
    <row r="4892" ht="14.25" customHeight="1">
      <c r="A4892" s="1085">
        <v>12627.0</v>
      </c>
      <c r="B4892" s="1086" t="s">
        <v>10210</v>
      </c>
      <c r="C4892" s="1087" t="s">
        <v>1788</v>
      </c>
      <c r="D4892" s="1088">
        <v>1.46</v>
      </c>
      <c r="E4892" s="1089" t="s">
        <v>5308</v>
      </c>
      <c r="F4892" s="1081">
        <f t="shared" si="1"/>
        <v>0</v>
      </c>
      <c r="G4892" s="1083">
        <f t="shared" si="2"/>
        <v>1.46</v>
      </c>
      <c r="H4892" s="1084"/>
    </row>
    <row r="4893" ht="14.25" customHeight="1">
      <c r="A4893" s="1085">
        <v>39996.0</v>
      </c>
      <c r="B4893" s="1086" t="s">
        <v>10211</v>
      </c>
      <c r="C4893" s="1087" t="s">
        <v>1731</v>
      </c>
      <c r="D4893" s="1088">
        <v>4.16</v>
      </c>
      <c r="E4893" s="1089" t="s">
        <v>5308</v>
      </c>
      <c r="F4893" s="1081">
        <f t="shared" si="1"/>
        <v>0</v>
      </c>
      <c r="G4893" s="1083">
        <f t="shared" si="2"/>
        <v>4.16</v>
      </c>
      <c r="H4893" s="1084"/>
    </row>
    <row r="4894" ht="14.25" customHeight="1">
      <c r="A4894" s="1085">
        <v>10478.0</v>
      </c>
      <c r="B4894" s="1086" t="s">
        <v>10212</v>
      </c>
      <c r="C4894" s="1087" t="s">
        <v>2386</v>
      </c>
      <c r="D4894" s="1088">
        <v>36.39</v>
      </c>
      <c r="E4894" s="1089" t="s">
        <v>5308</v>
      </c>
      <c r="F4894" s="1081">
        <f t="shared" si="1"/>
        <v>0</v>
      </c>
      <c r="G4894" s="1083">
        <f t="shared" si="2"/>
        <v>36.39</v>
      </c>
      <c r="H4894" s="1084"/>
    </row>
    <row r="4895" ht="14.25" customHeight="1">
      <c r="A4895" s="1085">
        <v>10481.0</v>
      </c>
      <c r="B4895" s="1086" t="s">
        <v>10213</v>
      </c>
      <c r="C4895" s="1087" t="s">
        <v>2386</v>
      </c>
      <c r="D4895" s="1088">
        <v>32.36</v>
      </c>
      <c r="E4895" s="1089" t="s">
        <v>5308</v>
      </c>
      <c r="F4895" s="1081">
        <f t="shared" si="1"/>
        <v>0</v>
      </c>
      <c r="G4895" s="1083">
        <f t="shared" si="2"/>
        <v>32.36</v>
      </c>
      <c r="H4895" s="1084"/>
    </row>
    <row r="4896" ht="14.25" customHeight="1">
      <c r="A4896" s="1085">
        <v>10475.0</v>
      </c>
      <c r="B4896" s="1086" t="s">
        <v>10214</v>
      </c>
      <c r="C4896" s="1087" t="s">
        <v>2386</v>
      </c>
      <c r="D4896" s="1088">
        <v>31.31</v>
      </c>
      <c r="E4896" s="1089" t="s">
        <v>5308</v>
      </c>
      <c r="F4896" s="1081">
        <f t="shared" si="1"/>
        <v>0</v>
      </c>
      <c r="G4896" s="1083">
        <f t="shared" si="2"/>
        <v>31.31</v>
      </c>
      <c r="H4896" s="1084"/>
    </row>
    <row r="4897" ht="14.25" customHeight="1">
      <c r="A4897" s="1085">
        <v>4030.0</v>
      </c>
      <c r="B4897" s="1086" t="s">
        <v>10215</v>
      </c>
      <c r="C4897" s="1087" t="s">
        <v>1814</v>
      </c>
      <c r="D4897" s="1088">
        <v>7.51</v>
      </c>
      <c r="E4897" s="1089" t="s">
        <v>5308</v>
      </c>
      <c r="F4897" s="1081">
        <f t="shared" si="1"/>
        <v>0</v>
      </c>
      <c r="G4897" s="1083">
        <f t="shared" si="2"/>
        <v>7.51</v>
      </c>
      <c r="H4897" s="1084"/>
    </row>
    <row r="4898" ht="14.25" customHeight="1">
      <c r="A4898" s="1085">
        <v>4031.0</v>
      </c>
      <c r="B4898" s="1086" t="s">
        <v>10216</v>
      </c>
      <c r="C4898" s="1087" t="s">
        <v>1814</v>
      </c>
      <c r="D4898" s="1088">
        <v>35.29</v>
      </c>
      <c r="E4898" s="1089" t="s">
        <v>5308</v>
      </c>
      <c r="F4898" s="1081">
        <f t="shared" si="1"/>
        <v>0</v>
      </c>
      <c r="G4898" s="1083">
        <f t="shared" si="2"/>
        <v>35.29</v>
      </c>
      <c r="H4898" s="1084"/>
    </row>
    <row r="4899" ht="14.25" customHeight="1">
      <c r="A4899" s="1085">
        <v>39399.0</v>
      </c>
      <c r="B4899" s="1086" t="s">
        <v>10217</v>
      </c>
      <c r="C4899" s="1087" t="s">
        <v>1788</v>
      </c>
      <c r="D4899" s="1088">
        <v>1486.74</v>
      </c>
      <c r="E4899" s="1089" t="s">
        <v>5482</v>
      </c>
      <c r="F4899" s="1081">
        <f t="shared" si="1"/>
        <v>0</v>
      </c>
      <c r="G4899" s="1083">
        <f t="shared" si="2"/>
        <v>1486.74</v>
      </c>
      <c r="H4899" s="1084"/>
    </row>
    <row r="4900" ht="14.25" customHeight="1">
      <c r="A4900" s="1085">
        <v>39400.0</v>
      </c>
      <c r="B4900" s="1086" t="s">
        <v>10218</v>
      </c>
      <c r="C4900" s="1087" t="s">
        <v>1788</v>
      </c>
      <c r="D4900" s="1088">
        <v>1616.02</v>
      </c>
      <c r="E4900" s="1089" t="s">
        <v>5482</v>
      </c>
      <c r="F4900" s="1081">
        <f t="shared" si="1"/>
        <v>0</v>
      </c>
      <c r="G4900" s="1083">
        <f t="shared" si="2"/>
        <v>1616.02</v>
      </c>
      <c r="H4900" s="1084"/>
    </row>
    <row r="4901" ht="14.25" customHeight="1">
      <c r="A4901" s="1085">
        <v>39401.0</v>
      </c>
      <c r="B4901" s="1086" t="s">
        <v>10219</v>
      </c>
      <c r="C4901" s="1087" t="s">
        <v>1788</v>
      </c>
      <c r="D4901" s="1088">
        <v>1812.78</v>
      </c>
      <c r="E4901" s="1089" t="s">
        <v>5482</v>
      </c>
      <c r="F4901" s="1081">
        <f t="shared" si="1"/>
        <v>0</v>
      </c>
      <c r="G4901" s="1083">
        <f t="shared" si="2"/>
        <v>1812.78</v>
      </c>
      <c r="H4901" s="1084"/>
    </row>
    <row r="4902" ht="14.25" customHeight="1">
      <c r="A4902" s="1085">
        <v>11652.0</v>
      </c>
      <c r="B4902" s="1086" t="s">
        <v>10220</v>
      </c>
      <c r="C4902" s="1087" t="s">
        <v>1788</v>
      </c>
      <c r="D4902" s="1088">
        <v>3900.0</v>
      </c>
      <c r="E4902" s="1089" t="s">
        <v>5482</v>
      </c>
      <c r="F4902" s="1081">
        <f t="shared" si="1"/>
        <v>0</v>
      </c>
      <c r="G4902" s="1083">
        <f t="shared" si="2"/>
        <v>3900</v>
      </c>
      <c r="H4902" s="1084"/>
    </row>
    <row r="4903" ht="14.25" customHeight="1">
      <c r="A4903" s="1085">
        <v>13896.0</v>
      </c>
      <c r="B4903" s="1086" t="s">
        <v>10221</v>
      </c>
      <c r="C4903" s="1087" t="s">
        <v>1788</v>
      </c>
      <c r="D4903" s="1088">
        <v>3498.64</v>
      </c>
      <c r="E4903" s="1089" t="s">
        <v>5482</v>
      </c>
      <c r="F4903" s="1081">
        <f t="shared" si="1"/>
        <v>0</v>
      </c>
      <c r="G4903" s="1083">
        <f t="shared" si="2"/>
        <v>3498.64</v>
      </c>
      <c r="H4903" s="1084"/>
    </row>
    <row r="4904" ht="14.25" customHeight="1">
      <c r="A4904" s="1085">
        <v>13475.0</v>
      </c>
      <c r="B4904" s="1086" t="s">
        <v>10222</v>
      </c>
      <c r="C4904" s="1087" t="s">
        <v>1788</v>
      </c>
      <c r="D4904" s="1088">
        <v>4261.76</v>
      </c>
      <c r="E4904" s="1089" t="s">
        <v>5482</v>
      </c>
      <c r="F4904" s="1081">
        <f t="shared" si="1"/>
        <v>0</v>
      </c>
      <c r="G4904" s="1083">
        <f t="shared" si="2"/>
        <v>4261.76</v>
      </c>
      <c r="H4904" s="1084"/>
    </row>
    <row r="4905" ht="14.25" customHeight="1">
      <c r="A4905" s="1085">
        <v>44491.0</v>
      </c>
      <c r="B4905" s="1086" t="s">
        <v>10223</v>
      </c>
      <c r="C4905" s="1087" t="s">
        <v>1788</v>
      </c>
      <c r="D4905" s="1088">
        <v>4527009.44</v>
      </c>
      <c r="E4905" s="1089" t="s">
        <v>5554</v>
      </c>
      <c r="F4905" s="1081">
        <f t="shared" si="1"/>
        <v>0</v>
      </c>
      <c r="G4905" s="1083">
        <f t="shared" si="2"/>
        <v>4527009.44</v>
      </c>
      <c r="H4905" s="1084"/>
    </row>
    <row r="4906" ht="14.25" customHeight="1">
      <c r="A4906" s="1085">
        <v>44470.0</v>
      </c>
      <c r="B4906" s="1086" t="s">
        <v>10224</v>
      </c>
      <c r="C4906" s="1087" t="s">
        <v>1788</v>
      </c>
      <c r="D4906" s="1088">
        <v>1905818.43</v>
      </c>
      <c r="E4906" s="1089" t="s">
        <v>5554</v>
      </c>
      <c r="F4906" s="1081">
        <f t="shared" si="1"/>
        <v>0</v>
      </c>
      <c r="G4906" s="1083">
        <f t="shared" si="2"/>
        <v>1905818.43</v>
      </c>
      <c r="H4906" s="1084"/>
    </row>
    <row r="4907" ht="14.25" customHeight="1">
      <c r="A4907" s="1085">
        <v>13476.0</v>
      </c>
      <c r="B4907" s="1086" t="s">
        <v>10225</v>
      </c>
      <c r="C4907" s="1087" t="s">
        <v>1788</v>
      </c>
      <c r="D4907" s="1088">
        <v>1919628.84</v>
      </c>
      <c r="E4907" s="1089" t="s">
        <v>5482</v>
      </c>
      <c r="F4907" s="1081">
        <f t="shared" si="1"/>
        <v>0</v>
      </c>
      <c r="G4907" s="1083">
        <f t="shared" si="2"/>
        <v>1919628.84</v>
      </c>
      <c r="H4907" s="1084"/>
    </row>
    <row r="4908" ht="14.25" customHeight="1">
      <c r="A4908" s="1085">
        <v>10488.0</v>
      </c>
      <c r="B4908" s="1086" t="s">
        <v>10226</v>
      </c>
      <c r="C4908" s="1087" t="s">
        <v>1788</v>
      </c>
      <c r="D4908" s="1088">
        <v>2325651.0</v>
      </c>
      <c r="E4908" s="1089" t="s">
        <v>5482</v>
      </c>
      <c r="F4908" s="1081">
        <f t="shared" si="1"/>
        <v>0</v>
      </c>
      <c r="G4908" s="1083">
        <f t="shared" si="2"/>
        <v>2325651</v>
      </c>
      <c r="H4908" s="1084"/>
    </row>
    <row r="4909" ht="14.25" customHeight="1">
      <c r="A4909" s="1085">
        <v>13606.0</v>
      </c>
      <c r="B4909" s="1086" t="s">
        <v>10227</v>
      </c>
      <c r="C4909" s="1087" t="s">
        <v>1788</v>
      </c>
      <c r="D4909" s="1088">
        <v>2060493.52</v>
      </c>
      <c r="E4909" s="1089" t="s">
        <v>5482</v>
      </c>
      <c r="F4909" s="1081">
        <f t="shared" si="1"/>
        <v>0</v>
      </c>
      <c r="G4909" s="1083">
        <f t="shared" si="2"/>
        <v>2060493.52</v>
      </c>
      <c r="H4909" s="1084"/>
    </row>
    <row r="4910" ht="14.25" customHeight="1">
      <c r="A4910" s="1085">
        <v>10489.0</v>
      </c>
      <c r="B4910" s="1086" t="s">
        <v>10228</v>
      </c>
      <c r="C4910" s="1087" t="s">
        <v>1470</v>
      </c>
      <c r="D4910" s="1088">
        <v>21.12</v>
      </c>
      <c r="E4910" s="1089" t="s">
        <v>5452</v>
      </c>
      <c r="F4910" s="1081">
        <f t="shared" si="1"/>
        <v>21.12</v>
      </c>
      <c r="G4910" s="1083">
        <f t="shared" si="2"/>
        <v>0</v>
      </c>
      <c r="H4910" s="1084"/>
    </row>
    <row r="4911" ht="14.25" customHeight="1">
      <c r="A4911" s="1085">
        <v>41073.0</v>
      </c>
      <c r="B4911" s="1086" t="s">
        <v>10229</v>
      </c>
      <c r="C4911" s="1087" t="s">
        <v>5454</v>
      </c>
      <c r="D4911" s="1088">
        <v>3698.9</v>
      </c>
      <c r="E4911" s="1089" t="s">
        <v>5452</v>
      </c>
      <c r="F4911" s="1081">
        <f t="shared" si="1"/>
        <v>3698.9</v>
      </c>
      <c r="G4911" s="1083">
        <f t="shared" si="2"/>
        <v>0</v>
      </c>
      <c r="H4911" s="1084"/>
    </row>
    <row r="4912" ht="14.25" customHeight="1">
      <c r="A4912" s="1085">
        <v>34391.0</v>
      </c>
      <c r="B4912" s="1086" t="s">
        <v>10230</v>
      </c>
      <c r="C4912" s="1087" t="s">
        <v>1814</v>
      </c>
      <c r="D4912" s="1088">
        <v>658.28</v>
      </c>
      <c r="E4912" s="1089" t="s">
        <v>5308</v>
      </c>
      <c r="F4912" s="1081">
        <f t="shared" si="1"/>
        <v>0</v>
      </c>
      <c r="G4912" s="1083">
        <f t="shared" si="2"/>
        <v>658.28</v>
      </c>
      <c r="H4912" s="1084"/>
    </row>
    <row r="4913" ht="14.25" customHeight="1">
      <c r="A4913" s="1085">
        <v>10496.0</v>
      </c>
      <c r="B4913" s="1086" t="s">
        <v>10231</v>
      </c>
      <c r="C4913" s="1087" t="s">
        <v>1814</v>
      </c>
      <c r="D4913" s="1088">
        <v>572.91</v>
      </c>
      <c r="E4913" s="1089" t="s">
        <v>5308</v>
      </c>
      <c r="F4913" s="1081">
        <f t="shared" si="1"/>
        <v>0</v>
      </c>
      <c r="G4913" s="1083">
        <f t="shared" si="2"/>
        <v>572.91</v>
      </c>
      <c r="H4913" s="1084"/>
    </row>
    <row r="4914" ht="14.25" customHeight="1">
      <c r="A4914" s="1085">
        <v>10497.0</v>
      </c>
      <c r="B4914" s="1086" t="s">
        <v>10232</v>
      </c>
      <c r="C4914" s="1087" t="s">
        <v>1814</v>
      </c>
      <c r="D4914" s="1088">
        <v>1489.58</v>
      </c>
      <c r="E4914" s="1089" t="s">
        <v>5308</v>
      </c>
      <c r="F4914" s="1081">
        <f t="shared" si="1"/>
        <v>0</v>
      </c>
      <c r="G4914" s="1083">
        <f t="shared" si="2"/>
        <v>1489.58</v>
      </c>
      <c r="H4914" s="1084"/>
    </row>
    <row r="4915" ht="14.25" customHeight="1">
      <c r="A4915" s="1085">
        <v>10504.0</v>
      </c>
      <c r="B4915" s="1086" t="s">
        <v>10233</v>
      </c>
      <c r="C4915" s="1087" t="s">
        <v>1814</v>
      </c>
      <c r="D4915" s="1088">
        <v>1741.66</v>
      </c>
      <c r="E4915" s="1089" t="s">
        <v>5308</v>
      </c>
      <c r="F4915" s="1081">
        <f t="shared" si="1"/>
        <v>0</v>
      </c>
      <c r="G4915" s="1083">
        <f t="shared" si="2"/>
        <v>1741.66</v>
      </c>
      <c r="H4915" s="1084"/>
    </row>
    <row r="4916" ht="14.25" customHeight="1">
      <c r="A4916" s="1085">
        <v>34390.0</v>
      </c>
      <c r="B4916" s="1086" t="s">
        <v>10234</v>
      </c>
      <c r="C4916" s="1087" t="s">
        <v>1814</v>
      </c>
      <c r="D4916" s="1088">
        <v>513.33</v>
      </c>
      <c r="E4916" s="1089" t="s">
        <v>5308</v>
      </c>
      <c r="F4916" s="1081">
        <f t="shared" si="1"/>
        <v>0</v>
      </c>
      <c r="G4916" s="1083">
        <f t="shared" si="2"/>
        <v>513.33</v>
      </c>
      <c r="H4916" s="1084"/>
    </row>
    <row r="4917" ht="14.25" customHeight="1">
      <c r="A4917" s="1085">
        <v>34389.0</v>
      </c>
      <c r="B4917" s="1086" t="s">
        <v>10235</v>
      </c>
      <c r="C4917" s="1087" t="s">
        <v>1814</v>
      </c>
      <c r="D4917" s="1088">
        <v>160.41</v>
      </c>
      <c r="E4917" s="1089" t="s">
        <v>5308</v>
      </c>
      <c r="F4917" s="1081">
        <f t="shared" si="1"/>
        <v>0</v>
      </c>
      <c r="G4917" s="1083">
        <f t="shared" si="2"/>
        <v>160.41</v>
      </c>
      <c r="H4917" s="1084"/>
    </row>
    <row r="4918" ht="14.25" customHeight="1">
      <c r="A4918" s="1085">
        <v>34388.0</v>
      </c>
      <c r="B4918" s="1086" t="s">
        <v>10236</v>
      </c>
      <c r="C4918" s="1087" t="s">
        <v>1814</v>
      </c>
      <c r="D4918" s="1088">
        <v>227.99</v>
      </c>
      <c r="E4918" s="1089" t="s">
        <v>5308</v>
      </c>
      <c r="F4918" s="1081">
        <f t="shared" si="1"/>
        <v>0</v>
      </c>
      <c r="G4918" s="1083">
        <f t="shared" si="2"/>
        <v>227.99</v>
      </c>
      <c r="H4918" s="1084"/>
    </row>
    <row r="4919" ht="14.25" customHeight="1">
      <c r="A4919" s="1085">
        <v>34387.0</v>
      </c>
      <c r="B4919" s="1086" t="s">
        <v>10237</v>
      </c>
      <c r="C4919" s="1087" t="s">
        <v>1814</v>
      </c>
      <c r="D4919" s="1088">
        <v>370.1</v>
      </c>
      <c r="E4919" s="1089" t="s">
        <v>5308</v>
      </c>
      <c r="F4919" s="1081">
        <f t="shared" si="1"/>
        <v>0</v>
      </c>
      <c r="G4919" s="1083">
        <f t="shared" si="2"/>
        <v>370.1</v>
      </c>
      <c r="H4919" s="1084"/>
    </row>
    <row r="4920" ht="14.25" customHeight="1">
      <c r="A4920" s="1085">
        <v>11188.0</v>
      </c>
      <c r="B4920" s="1086" t="s">
        <v>10238</v>
      </c>
      <c r="C4920" s="1087" t="s">
        <v>1814</v>
      </c>
      <c r="D4920" s="1088">
        <v>183.33</v>
      </c>
      <c r="E4920" s="1089" t="s">
        <v>5308</v>
      </c>
      <c r="F4920" s="1081">
        <f t="shared" si="1"/>
        <v>0</v>
      </c>
      <c r="G4920" s="1083">
        <f t="shared" si="2"/>
        <v>183.33</v>
      </c>
      <c r="H4920" s="1084"/>
    </row>
    <row r="4921" ht="14.25" customHeight="1">
      <c r="A4921" s="1085">
        <v>11189.0</v>
      </c>
      <c r="B4921" s="1086" t="s">
        <v>10239</v>
      </c>
      <c r="C4921" s="1087" t="s">
        <v>1814</v>
      </c>
      <c r="D4921" s="1088">
        <v>275.0</v>
      </c>
      <c r="E4921" s="1089" t="s">
        <v>5308</v>
      </c>
      <c r="F4921" s="1081">
        <f t="shared" si="1"/>
        <v>0</v>
      </c>
      <c r="G4921" s="1083">
        <f t="shared" si="2"/>
        <v>275</v>
      </c>
      <c r="H4921" s="1084"/>
    </row>
    <row r="4922" ht="14.25" customHeight="1">
      <c r="A4922" s="1085">
        <v>21107.0</v>
      </c>
      <c r="B4922" s="1086" t="s">
        <v>10240</v>
      </c>
      <c r="C4922" s="1087" t="s">
        <v>1814</v>
      </c>
      <c r="D4922" s="1088">
        <v>197.9</v>
      </c>
      <c r="E4922" s="1089" t="s">
        <v>5308</v>
      </c>
      <c r="F4922" s="1081">
        <f t="shared" si="1"/>
        <v>0</v>
      </c>
      <c r="G4922" s="1083">
        <f t="shared" si="2"/>
        <v>197.9</v>
      </c>
      <c r="H4922" s="1084"/>
    </row>
    <row r="4923" ht="14.25" customHeight="1">
      <c r="A4923" s="1085">
        <v>34386.0</v>
      </c>
      <c r="B4923" s="1086" t="s">
        <v>10241</v>
      </c>
      <c r="C4923" s="1087" t="s">
        <v>1814</v>
      </c>
      <c r="D4923" s="1088">
        <v>343.75</v>
      </c>
      <c r="E4923" s="1089" t="s">
        <v>5308</v>
      </c>
      <c r="F4923" s="1081">
        <f t="shared" si="1"/>
        <v>0</v>
      </c>
      <c r="G4923" s="1083">
        <f t="shared" si="2"/>
        <v>343.75</v>
      </c>
      <c r="H4923" s="1084"/>
    </row>
    <row r="4924" ht="14.25" customHeight="1">
      <c r="A4924" s="1085">
        <v>10490.0</v>
      </c>
      <c r="B4924" s="1086" t="s">
        <v>10242</v>
      </c>
      <c r="C4924" s="1087" t="s">
        <v>1814</v>
      </c>
      <c r="D4924" s="1088">
        <v>120.31</v>
      </c>
      <c r="E4924" s="1089" t="s">
        <v>5308</v>
      </c>
      <c r="F4924" s="1081">
        <f t="shared" si="1"/>
        <v>0</v>
      </c>
      <c r="G4924" s="1083">
        <f t="shared" si="2"/>
        <v>120.31</v>
      </c>
      <c r="H4924" s="1084"/>
    </row>
    <row r="4925" ht="14.25" customHeight="1">
      <c r="A4925" s="1085">
        <v>10492.0</v>
      </c>
      <c r="B4925" s="1086" t="s">
        <v>10243</v>
      </c>
      <c r="C4925" s="1087" t="s">
        <v>1814</v>
      </c>
      <c r="D4925" s="1088">
        <v>137.5</v>
      </c>
      <c r="E4925" s="1089" t="s">
        <v>5308</v>
      </c>
      <c r="F4925" s="1081">
        <f t="shared" si="1"/>
        <v>0</v>
      </c>
      <c r="G4925" s="1083">
        <f t="shared" si="2"/>
        <v>137.5</v>
      </c>
      <c r="H4925" s="1084"/>
    </row>
    <row r="4926" ht="14.25" customHeight="1">
      <c r="A4926" s="1085">
        <v>10493.0</v>
      </c>
      <c r="B4926" s="1086" t="s">
        <v>10244</v>
      </c>
      <c r="C4926" s="1087" t="s">
        <v>1814</v>
      </c>
      <c r="D4926" s="1088">
        <v>160.41</v>
      </c>
      <c r="E4926" s="1089" t="s">
        <v>5308</v>
      </c>
      <c r="F4926" s="1081">
        <f t="shared" si="1"/>
        <v>0</v>
      </c>
      <c r="G4926" s="1083">
        <f t="shared" si="2"/>
        <v>160.41</v>
      </c>
      <c r="H4926" s="1084"/>
    </row>
    <row r="4927" ht="14.25" customHeight="1">
      <c r="A4927" s="1085">
        <v>10491.0</v>
      </c>
      <c r="B4927" s="1086" t="s">
        <v>10245</v>
      </c>
      <c r="C4927" s="1087" t="s">
        <v>1814</v>
      </c>
      <c r="D4927" s="1088">
        <v>194.79</v>
      </c>
      <c r="E4927" s="1089" t="s">
        <v>5308</v>
      </c>
      <c r="F4927" s="1081">
        <f t="shared" si="1"/>
        <v>0</v>
      </c>
      <c r="G4927" s="1083">
        <f t="shared" si="2"/>
        <v>194.79</v>
      </c>
      <c r="H4927" s="1084"/>
    </row>
    <row r="4928" ht="14.25" customHeight="1">
      <c r="A4928" s="1085">
        <v>34385.0</v>
      </c>
      <c r="B4928" s="1086" t="s">
        <v>10246</v>
      </c>
      <c r="C4928" s="1087" t="s">
        <v>1814</v>
      </c>
      <c r="D4928" s="1088">
        <v>284.16</v>
      </c>
      <c r="E4928" s="1089" t="s">
        <v>5308</v>
      </c>
      <c r="F4928" s="1081">
        <f t="shared" si="1"/>
        <v>0</v>
      </c>
      <c r="G4928" s="1083">
        <f t="shared" si="2"/>
        <v>284.16</v>
      </c>
      <c r="H4928" s="1084"/>
    </row>
    <row r="4929" ht="14.25" customHeight="1">
      <c r="A4929" s="1085">
        <v>10499.0</v>
      </c>
      <c r="B4929" s="1086" t="s">
        <v>10247</v>
      </c>
      <c r="C4929" s="1087" t="s">
        <v>1814</v>
      </c>
      <c r="D4929" s="1088">
        <v>114.58</v>
      </c>
      <c r="E4929" s="1089" t="s">
        <v>5308</v>
      </c>
      <c r="F4929" s="1081">
        <f t="shared" si="1"/>
        <v>0</v>
      </c>
      <c r="G4929" s="1083">
        <f t="shared" si="2"/>
        <v>114.58</v>
      </c>
      <c r="H4929" s="1084"/>
    </row>
    <row r="4930" ht="14.25" customHeight="1">
      <c r="A4930" s="1085">
        <v>34384.0</v>
      </c>
      <c r="B4930" s="1086" t="s">
        <v>10248</v>
      </c>
      <c r="C4930" s="1087" t="s">
        <v>1814</v>
      </c>
      <c r="D4930" s="1088">
        <v>343.75</v>
      </c>
      <c r="E4930" s="1089" t="s">
        <v>5308</v>
      </c>
      <c r="F4930" s="1081">
        <f t="shared" si="1"/>
        <v>0</v>
      </c>
      <c r="G4930" s="1083">
        <f t="shared" si="2"/>
        <v>343.75</v>
      </c>
      <c r="H4930" s="1084"/>
    </row>
    <row r="4931" ht="14.25" customHeight="1">
      <c r="A4931" s="1085">
        <v>11185.0</v>
      </c>
      <c r="B4931" s="1086" t="s">
        <v>10249</v>
      </c>
      <c r="C4931" s="1087" t="s">
        <v>1814</v>
      </c>
      <c r="D4931" s="1088">
        <v>355.2</v>
      </c>
      <c r="E4931" s="1089" t="s">
        <v>5308</v>
      </c>
      <c r="F4931" s="1081">
        <f t="shared" si="1"/>
        <v>0</v>
      </c>
      <c r="G4931" s="1083">
        <f t="shared" si="2"/>
        <v>355.2</v>
      </c>
      <c r="H4931" s="1084"/>
    </row>
    <row r="4932" ht="14.25" customHeight="1">
      <c r="A4932" s="1085">
        <v>10507.0</v>
      </c>
      <c r="B4932" s="1086" t="s">
        <v>10250</v>
      </c>
      <c r="C4932" s="1087" t="s">
        <v>1814</v>
      </c>
      <c r="D4932" s="1088">
        <v>406.8</v>
      </c>
      <c r="E4932" s="1089" t="s">
        <v>5308</v>
      </c>
      <c r="F4932" s="1081">
        <f t="shared" si="1"/>
        <v>0</v>
      </c>
      <c r="G4932" s="1083">
        <f t="shared" si="2"/>
        <v>406.8</v>
      </c>
      <c r="H4932" s="1084"/>
    </row>
    <row r="4933" ht="14.25" customHeight="1">
      <c r="A4933" s="1085">
        <v>10505.0</v>
      </c>
      <c r="B4933" s="1086" t="s">
        <v>10251</v>
      </c>
      <c r="C4933" s="1087" t="s">
        <v>1814</v>
      </c>
      <c r="D4933" s="1088">
        <v>240.04</v>
      </c>
      <c r="E4933" s="1089" t="s">
        <v>5308</v>
      </c>
      <c r="F4933" s="1081">
        <f t="shared" si="1"/>
        <v>0</v>
      </c>
      <c r="G4933" s="1083">
        <f t="shared" si="2"/>
        <v>240.04</v>
      </c>
      <c r="H4933" s="1084"/>
    </row>
    <row r="4934" ht="14.25" customHeight="1">
      <c r="A4934" s="1085">
        <v>10506.0</v>
      </c>
      <c r="B4934" s="1086" t="s">
        <v>10252</v>
      </c>
      <c r="C4934" s="1087" t="s">
        <v>1814</v>
      </c>
      <c r="D4934" s="1088">
        <v>313.35</v>
      </c>
      <c r="E4934" s="1089" t="s">
        <v>5308</v>
      </c>
      <c r="F4934" s="1081">
        <f t="shared" si="1"/>
        <v>0</v>
      </c>
      <c r="G4934" s="1083">
        <f t="shared" si="2"/>
        <v>313.35</v>
      </c>
      <c r="H4934" s="1084"/>
    </row>
    <row r="4935" ht="14.25" customHeight="1">
      <c r="A4935" s="1085">
        <v>5031.0</v>
      </c>
      <c r="B4935" s="1086" t="s">
        <v>10253</v>
      </c>
      <c r="C4935" s="1087" t="s">
        <v>1814</v>
      </c>
      <c r="D4935" s="1088">
        <v>440.0</v>
      </c>
      <c r="E4935" s="1089" t="s">
        <v>5308</v>
      </c>
      <c r="F4935" s="1081">
        <f t="shared" si="1"/>
        <v>0</v>
      </c>
      <c r="G4935" s="1083">
        <f t="shared" si="2"/>
        <v>440</v>
      </c>
      <c r="H4935" s="1084"/>
    </row>
    <row r="4936" ht="14.25" customHeight="1">
      <c r="A4936" s="1085">
        <v>10502.0</v>
      </c>
      <c r="B4936" s="1086" t="s">
        <v>10254</v>
      </c>
      <c r="C4936" s="1087" t="s">
        <v>1814</v>
      </c>
      <c r="D4936" s="1088">
        <v>512.7</v>
      </c>
      <c r="E4936" s="1089" t="s">
        <v>5308</v>
      </c>
      <c r="F4936" s="1081">
        <f t="shared" si="1"/>
        <v>0</v>
      </c>
      <c r="G4936" s="1083">
        <f t="shared" si="2"/>
        <v>512.7</v>
      </c>
      <c r="H4936" s="1084"/>
    </row>
    <row r="4937" ht="14.25" customHeight="1">
      <c r="A4937" s="1085">
        <v>10501.0</v>
      </c>
      <c r="B4937" s="1086" t="s">
        <v>10255</v>
      </c>
      <c r="C4937" s="1087" t="s">
        <v>1814</v>
      </c>
      <c r="D4937" s="1088">
        <v>289.66</v>
      </c>
      <c r="E4937" s="1089" t="s">
        <v>5308</v>
      </c>
      <c r="F4937" s="1081">
        <f t="shared" si="1"/>
        <v>0</v>
      </c>
      <c r="G4937" s="1083">
        <f t="shared" si="2"/>
        <v>289.66</v>
      </c>
      <c r="H4937" s="1084"/>
    </row>
    <row r="4938" ht="14.25" customHeight="1">
      <c r="A4938" s="1085">
        <v>10503.0</v>
      </c>
      <c r="B4938" s="1086" t="s">
        <v>10256</v>
      </c>
      <c r="C4938" s="1087" t="s">
        <v>1814</v>
      </c>
      <c r="D4938" s="1088">
        <v>391.33</v>
      </c>
      <c r="E4938" s="1089" t="s">
        <v>5308</v>
      </c>
      <c r="F4938" s="1081">
        <f t="shared" si="1"/>
        <v>0</v>
      </c>
      <c r="G4938" s="1083">
        <f t="shared" si="2"/>
        <v>391.33</v>
      </c>
      <c r="H4938" s="1084"/>
    </row>
    <row r="4939" ht="14.25" customHeight="1">
      <c r="A4939" s="1085">
        <v>4500.0</v>
      </c>
      <c r="B4939" s="1086" t="s">
        <v>10257</v>
      </c>
      <c r="C4939" s="1087" t="s">
        <v>1731</v>
      </c>
      <c r="D4939" s="1088">
        <v>13.38</v>
      </c>
      <c r="E4939" s="1089" t="s">
        <v>5308</v>
      </c>
      <c r="F4939" s="1081">
        <f t="shared" si="1"/>
        <v>0</v>
      </c>
      <c r="G4939" s="1083">
        <f t="shared" si="2"/>
        <v>13.38</v>
      </c>
      <c r="H4939" s="1084"/>
    </row>
    <row r="4940" ht="14.25" customHeight="1">
      <c r="A4940" s="1085">
        <v>4448.0</v>
      </c>
      <c r="B4940" s="1086" t="s">
        <v>10258</v>
      </c>
      <c r="C4940" s="1087" t="s">
        <v>1731</v>
      </c>
      <c r="D4940" s="1088">
        <v>18.38</v>
      </c>
      <c r="E4940" s="1089" t="s">
        <v>5308</v>
      </c>
      <c r="F4940" s="1081">
        <f t="shared" si="1"/>
        <v>0</v>
      </c>
      <c r="G4940" s="1083">
        <f t="shared" si="2"/>
        <v>18.38</v>
      </c>
      <c r="H4940" s="1084"/>
    </row>
    <row r="4941" ht="14.25" customHeight="1">
      <c r="A4941" s="1085">
        <v>20213.0</v>
      </c>
      <c r="B4941" s="1086" t="s">
        <v>10259</v>
      </c>
      <c r="C4941" s="1087" t="s">
        <v>1731</v>
      </c>
      <c r="D4941" s="1088">
        <v>35.56</v>
      </c>
      <c r="E4941" s="1089" t="s">
        <v>5308</v>
      </c>
      <c r="F4941" s="1081">
        <f t="shared" si="1"/>
        <v>0</v>
      </c>
      <c r="G4941" s="1083">
        <f t="shared" si="2"/>
        <v>35.56</v>
      </c>
      <c r="H4941" s="1084"/>
    </row>
    <row r="4942" ht="14.25" customHeight="1">
      <c r="A4942" s="1085">
        <v>20211.0</v>
      </c>
      <c r="B4942" s="1086" t="s">
        <v>10260</v>
      </c>
      <c r="C4942" s="1087" t="s">
        <v>1731</v>
      </c>
      <c r="D4942" s="1088">
        <v>47.08</v>
      </c>
      <c r="E4942" s="1089" t="s">
        <v>5308</v>
      </c>
      <c r="F4942" s="1081">
        <f t="shared" si="1"/>
        <v>0</v>
      </c>
      <c r="G4942" s="1083">
        <f t="shared" si="2"/>
        <v>47.08</v>
      </c>
      <c r="H4942" s="1084"/>
    </row>
    <row r="4943" ht="14.25" customHeight="1">
      <c r="A4943" s="1085">
        <v>40270.0</v>
      </c>
      <c r="B4943" s="1086" t="s">
        <v>10261</v>
      </c>
      <c r="C4943" s="1087" t="s">
        <v>1731</v>
      </c>
      <c r="D4943" s="1088">
        <v>126.05</v>
      </c>
      <c r="E4943" s="1089" t="s">
        <v>5308</v>
      </c>
      <c r="F4943" s="1081">
        <f t="shared" si="1"/>
        <v>0</v>
      </c>
      <c r="G4943" s="1083">
        <f t="shared" si="2"/>
        <v>126.05</v>
      </c>
      <c r="H4943" s="1084"/>
    </row>
    <row r="4944" ht="14.25" customHeight="1">
      <c r="A4944" s="1090">
        <v>4425.0</v>
      </c>
      <c r="B4944" s="1086" t="s">
        <v>10262</v>
      </c>
      <c r="C4944" s="1087" t="s">
        <v>1731</v>
      </c>
      <c r="D4944" s="1088">
        <v>38.92</v>
      </c>
      <c r="E4944" s="1089" t="s">
        <v>5308</v>
      </c>
      <c r="F4944" s="1081">
        <f t="shared" si="1"/>
        <v>0</v>
      </c>
      <c r="G4944" s="1083">
        <f t="shared" si="2"/>
        <v>38.92</v>
      </c>
      <c r="H4944" s="1084"/>
    </row>
    <row r="4945" ht="14.25" customHeight="1">
      <c r="A4945" s="1091">
        <v>4472.0</v>
      </c>
      <c r="B4945" s="1092" t="s">
        <v>10263</v>
      </c>
      <c r="C4945" s="1093" t="s">
        <v>1731</v>
      </c>
      <c r="D4945" s="1094">
        <v>48.62</v>
      </c>
      <c r="E4945" s="1089" t="s">
        <v>5308</v>
      </c>
      <c r="F4945" s="1081">
        <f t="shared" si="1"/>
        <v>0</v>
      </c>
      <c r="G4945" s="1083">
        <f t="shared" si="2"/>
        <v>48.62</v>
      </c>
      <c r="H4945" s="1095"/>
    </row>
    <row r="4946" ht="14.25" customHeight="1">
      <c r="A4946" s="1091">
        <v>35272.0</v>
      </c>
      <c r="B4946" s="1092" t="s">
        <v>10264</v>
      </c>
      <c r="C4946" s="1093" t="s">
        <v>1731</v>
      </c>
      <c r="D4946" s="1094">
        <v>70.28</v>
      </c>
      <c r="E4946" s="1089" t="s">
        <v>5308</v>
      </c>
      <c r="F4946" s="1081">
        <f t="shared" si="1"/>
        <v>0</v>
      </c>
      <c r="G4946" s="1083">
        <f t="shared" si="2"/>
        <v>70.28</v>
      </c>
      <c r="H4946" s="1095"/>
    </row>
    <row r="4947" ht="14.25" customHeight="1">
      <c r="A4947" s="1091">
        <v>4481.0</v>
      </c>
      <c r="B4947" s="1092" t="s">
        <v>10265</v>
      </c>
      <c r="C4947" s="1093" t="s">
        <v>1731</v>
      </c>
      <c r="D4947" s="1094">
        <v>75.23</v>
      </c>
      <c r="E4947" s="1089" t="s">
        <v>5308</v>
      </c>
      <c r="F4947" s="1081">
        <f t="shared" si="1"/>
        <v>0</v>
      </c>
      <c r="G4947" s="1083">
        <f t="shared" si="2"/>
        <v>75.23</v>
      </c>
      <c r="H4947" s="1095"/>
    </row>
    <row r="4948" ht="14.25" customHeight="1">
      <c r="A4948" s="1091">
        <v>34345.0</v>
      </c>
      <c r="B4948" s="1092" t="s">
        <v>10266</v>
      </c>
      <c r="C4948" s="1093" t="s">
        <v>1470</v>
      </c>
      <c r="D4948" s="1094">
        <v>15.02</v>
      </c>
      <c r="E4948" s="1089" t="s">
        <v>5452</v>
      </c>
      <c r="F4948" s="1081">
        <f t="shared" si="1"/>
        <v>15.02</v>
      </c>
      <c r="G4948" s="1083">
        <f t="shared" si="2"/>
        <v>0</v>
      </c>
      <c r="H4948" s="1095"/>
    </row>
    <row r="4949" ht="14.25" customHeight="1">
      <c r="A4949" s="1091">
        <v>41096.0</v>
      </c>
      <c r="B4949" s="1092" t="s">
        <v>10267</v>
      </c>
      <c r="C4949" s="1093" t="s">
        <v>5454</v>
      </c>
      <c r="D4949" s="1094">
        <v>2630.3</v>
      </c>
      <c r="E4949" s="1089" t="s">
        <v>5452</v>
      </c>
      <c r="F4949" s="1081">
        <f t="shared" si="1"/>
        <v>2630.3</v>
      </c>
      <c r="G4949" s="1083">
        <f t="shared" si="2"/>
        <v>0</v>
      </c>
      <c r="H4949" s="1095"/>
    </row>
    <row r="4950" ht="14.25" customHeight="1">
      <c r="A4950" s="1091">
        <v>41776.0</v>
      </c>
      <c r="B4950" s="1092" t="s">
        <v>10268</v>
      </c>
      <c r="C4950" s="1093" t="s">
        <v>1470</v>
      </c>
      <c r="D4950" s="1094">
        <v>20.14</v>
      </c>
      <c r="E4950" s="1089" t="s">
        <v>5452</v>
      </c>
      <c r="F4950" s="1081">
        <f t="shared" si="1"/>
        <v>20.14</v>
      </c>
      <c r="G4950" s="1083">
        <f t="shared" si="2"/>
        <v>0</v>
      </c>
      <c r="H4950" s="1095"/>
    </row>
    <row r="4951" ht="14.25" customHeight="1">
      <c r="A4951" s="1096"/>
      <c r="B4951" s="1097"/>
      <c r="C4951" s="1098"/>
      <c r="D4951" s="1099"/>
      <c r="E4951" s="1100"/>
      <c r="F4951" s="1101"/>
      <c r="G4951" s="1102"/>
      <c r="H4951" s="1095"/>
    </row>
    <row r="4952" ht="14.25" customHeight="1">
      <c r="A4952" s="1096" t="s">
        <v>10269</v>
      </c>
      <c r="B4952" s="1097"/>
      <c r="C4952" s="1098"/>
      <c r="D4952" s="1099"/>
      <c r="E4952" s="1100"/>
      <c r="F4952" s="1101"/>
      <c r="G4952" s="1102"/>
      <c r="H4952" s="1095"/>
    </row>
  </sheetData>
  <mergeCells count="1">
    <mergeCell ref="G1:H2"/>
  </mergeCells>
  <conditionalFormatting sqref="A8:A4944">
    <cfRule type="notContainsBlanks" dxfId="7" priority="1">
      <formula>LEN(TRIM(A8))&gt;0</formula>
    </cfRule>
  </conditionalFormatting>
  <hyperlinks>
    <hyperlink display="SUMÁRIO" location="'QUADRO RESUMO'!B16:D17" ref="G1"/>
  </hyperlinks>
  <printOptions/>
  <pageMargins bottom="0.787401575" footer="0.0" header="0.0" left="0.511811024" right="0.511811024" top="0.7874015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pageSetUpPr/>
  </sheetPr>
  <sheetViews>
    <sheetView showGridLines="0" workbookViewId="0">
      <pane ySplit="5.0" topLeftCell="A6" activePane="bottomLeft" state="frozen"/>
      <selection activeCell="B7" sqref="B7" pane="bottomLeft"/>
    </sheetView>
  </sheetViews>
  <sheetFormatPr customHeight="1" defaultColWidth="14.43" defaultRowHeight="15.0"/>
  <cols>
    <col customWidth="1" min="1" max="1" width="13.71"/>
    <col customWidth="1" min="2" max="2" width="76.29"/>
    <col customWidth="1" min="3" max="3" width="10.0"/>
    <col customWidth="1" min="4" max="4" width="10.57"/>
    <col customWidth="1" min="5" max="5" width="13.0"/>
    <col customWidth="1" min="6" max="7" width="11.14"/>
    <col customWidth="1" min="8" max="8" width="10.71"/>
    <col customWidth="1" min="9" max="11" width="12.43"/>
  </cols>
  <sheetData>
    <row r="1" ht="15.0" customHeight="1">
      <c r="A1" s="1103" t="s">
        <v>10270</v>
      </c>
      <c r="B1" s="1103"/>
      <c r="C1" s="1103"/>
      <c r="D1" s="1103"/>
      <c r="E1" s="1103"/>
      <c r="F1" s="1103"/>
      <c r="G1" s="1103"/>
      <c r="H1" s="1103"/>
      <c r="I1" s="1103"/>
      <c r="J1" s="1071" t="s">
        <v>29</v>
      </c>
      <c r="K1" s="494"/>
    </row>
    <row r="2">
      <c r="A2" s="1103" t="s">
        <v>10271</v>
      </c>
      <c r="B2" s="1104"/>
      <c r="C2" s="1104"/>
      <c r="D2" s="1104"/>
      <c r="E2" s="1104"/>
      <c r="F2" s="1104"/>
      <c r="G2" s="1104"/>
      <c r="H2" s="1104"/>
      <c r="I2" s="1104"/>
      <c r="J2" s="36"/>
      <c r="K2" s="36"/>
    </row>
    <row r="3" ht="15.0" customHeight="1">
      <c r="A3" s="1103" t="s">
        <v>10272</v>
      </c>
      <c r="B3" s="1104"/>
      <c r="C3" s="1104"/>
      <c r="D3" s="1104"/>
      <c r="E3" s="1104"/>
      <c r="F3" s="1104"/>
      <c r="G3" s="1104"/>
      <c r="H3" s="1104"/>
      <c r="I3" s="1104"/>
      <c r="J3" s="1104"/>
      <c r="K3" s="1104"/>
    </row>
    <row r="4">
      <c r="A4" s="1103" t="s">
        <v>10273</v>
      </c>
      <c r="B4" s="1104"/>
      <c r="C4" s="1104"/>
      <c r="D4" s="1104"/>
      <c r="E4" s="1104"/>
      <c r="F4" s="1104"/>
      <c r="G4" s="1104"/>
      <c r="H4" s="1104"/>
      <c r="I4" s="1104"/>
      <c r="J4" s="1104"/>
      <c r="K4" s="1104"/>
    </row>
    <row r="5">
      <c r="A5" s="1105" t="s">
        <v>10274</v>
      </c>
      <c r="B5" s="1106" t="s">
        <v>10275</v>
      </c>
      <c r="C5" s="1105" t="s">
        <v>2060</v>
      </c>
      <c r="D5" s="1107" t="s">
        <v>10276</v>
      </c>
      <c r="E5" s="1107" t="s">
        <v>10277</v>
      </c>
      <c r="F5" s="1105" t="s">
        <v>10278</v>
      </c>
      <c r="G5" s="1105" t="s">
        <v>10279</v>
      </c>
      <c r="H5" s="1105" t="s">
        <v>10280</v>
      </c>
      <c r="I5" s="1105" t="s">
        <v>10281</v>
      </c>
      <c r="J5" s="1105" t="s">
        <v>10282</v>
      </c>
      <c r="K5" s="1108"/>
    </row>
    <row r="6">
      <c r="A6" s="1109"/>
      <c r="B6" s="1110"/>
      <c r="C6" s="1111"/>
      <c r="D6" s="1112"/>
      <c r="E6" s="1112"/>
      <c r="F6" s="1113"/>
      <c r="G6" s="1113"/>
      <c r="H6" s="1114"/>
      <c r="I6" s="1113"/>
      <c r="J6" s="1113"/>
      <c r="K6" s="1115"/>
    </row>
    <row r="7">
      <c r="A7" s="1116">
        <v>97141.0</v>
      </c>
      <c r="B7" s="1117" t="s">
        <v>10283</v>
      </c>
      <c r="C7" s="1118" t="s">
        <v>1731</v>
      </c>
      <c r="D7" s="1119">
        <v>9.19</v>
      </c>
      <c r="E7" s="1120">
        <v>5.12</v>
      </c>
      <c r="F7" s="1121">
        <f t="shared" ref="F7:F7527" si="1">SUM(G7:J7)</f>
        <v>4.07</v>
      </c>
      <c r="G7" s="1122">
        <v>2.13</v>
      </c>
      <c r="H7" s="1123">
        <v>1.94</v>
      </c>
      <c r="I7" s="1123">
        <v>0.0</v>
      </c>
      <c r="J7" s="1123">
        <v>0.0</v>
      </c>
      <c r="K7" s="1124"/>
    </row>
    <row r="8">
      <c r="A8" s="1119">
        <v>97142.0</v>
      </c>
      <c r="B8" s="1125" t="s">
        <v>10284</v>
      </c>
      <c r="C8" s="1126" t="s">
        <v>1731</v>
      </c>
      <c r="D8" s="1119">
        <v>10.26</v>
      </c>
      <c r="E8" s="1120">
        <v>5.79</v>
      </c>
      <c r="F8" s="1121">
        <f t="shared" si="1"/>
        <v>4.48</v>
      </c>
      <c r="G8" s="1120">
        <v>2.39</v>
      </c>
      <c r="H8" s="1127">
        <v>2.09</v>
      </c>
      <c r="I8" s="1127">
        <v>0.0</v>
      </c>
      <c r="J8" s="1127">
        <v>0.0</v>
      </c>
      <c r="K8" s="1124"/>
    </row>
    <row r="9">
      <c r="A9" s="1119">
        <v>97143.0</v>
      </c>
      <c r="B9" s="1125" t="s">
        <v>10285</v>
      </c>
      <c r="C9" s="1126" t="s">
        <v>1731</v>
      </c>
      <c r="D9" s="1119">
        <v>12.97</v>
      </c>
      <c r="E9" s="1120">
        <v>7.46</v>
      </c>
      <c r="F9" s="1121">
        <f t="shared" si="1"/>
        <v>5.52</v>
      </c>
      <c r="G9" s="1120">
        <v>3.09</v>
      </c>
      <c r="H9" s="1127">
        <v>2.43</v>
      </c>
      <c r="I9" s="1127">
        <v>0.0</v>
      </c>
      <c r="J9" s="1127">
        <v>0.0</v>
      </c>
      <c r="K9" s="1124"/>
    </row>
    <row r="10">
      <c r="A10" s="1119">
        <v>97144.0</v>
      </c>
      <c r="B10" s="1125" t="s">
        <v>10286</v>
      </c>
      <c r="C10" s="1126" t="s">
        <v>1731</v>
      </c>
      <c r="D10" s="1119">
        <v>15.65</v>
      </c>
      <c r="E10" s="1120">
        <v>9.11</v>
      </c>
      <c r="F10" s="1121">
        <f t="shared" si="1"/>
        <v>6.54</v>
      </c>
      <c r="G10" s="1120">
        <v>3.79</v>
      </c>
      <c r="H10" s="1127">
        <v>2.75</v>
      </c>
      <c r="I10" s="1127">
        <v>0.0</v>
      </c>
      <c r="J10" s="1127">
        <v>0.0</v>
      </c>
      <c r="K10" s="1124"/>
    </row>
    <row r="11">
      <c r="A11" s="1119">
        <v>97145.0</v>
      </c>
      <c r="B11" s="1125" t="s">
        <v>10287</v>
      </c>
      <c r="C11" s="1126" t="s">
        <v>1731</v>
      </c>
      <c r="D11" s="1119">
        <v>18.37</v>
      </c>
      <c r="E11" s="1120">
        <v>10.77</v>
      </c>
      <c r="F11" s="1121">
        <f t="shared" si="1"/>
        <v>7.6</v>
      </c>
      <c r="G11" s="1120">
        <v>4.5</v>
      </c>
      <c r="H11" s="1127">
        <v>3.1</v>
      </c>
      <c r="I11" s="1127">
        <v>0.0</v>
      </c>
      <c r="J11" s="1127">
        <v>0.0</v>
      </c>
      <c r="K11" s="1124"/>
    </row>
    <row r="12">
      <c r="A12" s="1119">
        <v>97146.0</v>
      </c>
      <c r="B12" s="1125" t="s">
        <v>10288</v>
      </c>
      <c r="C12" s="1126" t="s">
        <v>1731</v>
      </c>
      <c r="D12" s="1119">
        <v>21.08</v>
      </c>
      <c r="E12" s="1120">
        <v>12.45</v>
      </c>
      <c r="F12" s="1121">
        <f t="shared" si="1"/>
        <v>8.64</v>
      </c>
      <c r="G12" s="1120">
        <v>5.21</v>
      </c>
      <c r="H12" s="1127">
        <v>3.43</v>
      </c>
      <c r="I12" s="1127">
        <v>0.0</v>
      </c>
      <c r="J12" s="1127">
        <v>0.0</v>
      </c>
      <c r="K12" s="1124"/>
    </row>
    <row r="13">
      <c r="A13" s="1119">
        <v>97147.0</v>
      </c>
      <c r="B13" s="1125" t="s">
        <v>10289</v>
      </c>
      <c r="C13" s="1126" t="s">
        <v>1731</v>
      </c>
      <c r="D13" s="1119">
        <v>23.81</v>
      </c>
      <c r="E13" s="1120">
        <v>14.11</v>
      </c>
      <c r="F13" s="1121">
        <f t="shared" si="1"/>
        <v>9.7</v>
      </c>
      <c r="G13" s="1120">
        <v>5.91</v>
      </c>
      <c r="H13" s="1127">
        <v>3.79</v>
      </c>
      <c r="I13" s="1127">
        <v>0.0</v>
      </c>
      <c r="J13" s="1127">
        <v>0.0</v>
      </c>
      <c r="K13" s="1124"/>
    </row>
    <row r="14">
      <c r="A14" s="1119">
        <v>97148.0</v>
      </c>
      <c r="B14" s="1125" t="s">
        <v>10290</v>
      </c>
      <c r="C14" s="1126" t="s">
        <v>1731</v>
      </c>
      <c r="D14" s="1119">
        <v>26.52</v>
      </c>
      <c r="E14" s="1120">
        <v>15.77</v>
      </c>
      <c r="F14" s="1121">
        <f t="shared" si="1"/>
        <v>10.76</v>
      </c>
      <c r="G14" s="1120">
        <v>6.63</v>
      </c>
      <c r="H14" s="1127">
        <v>4.13</v>
      </c>
      <c r="I14" s="1127">
        <v>0.0</v>
      </c>
      <c r="J14" s="1127">
        <v>0.0</v>
      </c>
      <c r="K14" s="1124"/>
    </row>
    <row r="15">
      <c r="A15" s="1119">
        <v>97149.0</v>
      </c>
      <c r="B15" s="1125" t="s">
        <v>10291</v>
      </c>
      <c r="C15" s="1126" t="s">
        <v>1731</v>
      </c>
      <c r="D15" s="1119">
        <v>29.27</v>
      </c>
      <c r="E15" s="1120">
        <v>17.44</v>
      </c>
      <c r="F15" s="1121">
        <f t="shared" si="1"/>
        <v>11.84</v>
      </c>
      <c r="G15" s="1120">
        <v>7.35</v>
      </c>
      <c r="H15" s="1127">
        <v>4.49</v>
      </c>
      <c r="I15" s="1127">
        <v>0.0</v>
      </c>
      <c r="J15" s="1127">
        <v>0.0</v>
      </c>
      <c r="K15" s="1124"/>
    </row>
    <row r="16">
      <c r="A16" s="1119">
        <v>97150.0</v>
      </c>
      <c r="B16" s="1125" t="s">
        <v>10292</v>
      </c>
      <c r="C16" s="1126" t="s">
        <v>1731</v>
      </c>
      <c r="D16" s="1119">
        <v>36.71</v>
      </c>
      <c r="E16" s="1120">
        <v>19.08</v>
      </c>
      <c r="F16" s="1121">
        <f t="shared" si="1"/>
        <v>17.64</v>
      </c>
      <c r="G16" s="1120">
        <v>8.32</v>
      </c>
      <c r="H16" s="1127">
        <v>9.32</v>
      </c>
      <c r="I16" s="1127">
        <v>0.0</v>
      </c>
      <c r="J16" s="1127">
        <v>0.0</v>
      </c>
      <c r="K16" s="1124"/>
    </row>
    <row r="17">
      <c r="A17" s="1119">
        <v>97151.0</v>
      </c>
      <c r="B17" s="1125" t="s">
        <v>10293</v>
      </c>
      <c r="C17" s="1126" t="s">
        <v>1731</v>
      </c>
      <c r="D17" s="1119">
        <v>42.85</v>
      </c>
      <c r="E17" s="1120">
        <v>22.39</v>
      </c>
      <c r="F17" s="1121">
        <f t="shared" si="1"/>
        <v>20.47</v>
      </c>
      <c r="G17" s="1120">
        <v>9.84</v>
      </c>
      <c r="H17" s="1127">
        <v>10.63</v>
      </c>
      <c r="I17" s="1127">
        <v>0.0</v>
      </c>
      <c r="J17" s="1127">
        <v>0.0</v>
      </c>
      <c r="K17" s="1124"/>
    </row>
    <row r="18">
      <c r="A18" s="1119">
        <v>97152.0</v>
      </c>
      <c r="B18" s="1125" t="s">
        <v>10294</v>
      </c>
      <c r="C18" s="1126" t="s">
        <v>1731</v>
      </c>
      <c r="D18" s="1119">
        <v>48.74</v>
      </c>
      <c r="E18" s="1120">
        <v>25.71</v>
      </c>
      <c r="F18" s="1121">
        <f t="shared" si="1"/>
        <v>23.02</v>
      </c>
      <c r="G18" s="1120">
        <v>11.07</v>
      </c>
      <c r="H18" s="1127">
        <v>11.95</v>
      </c>
      <c r="I18" s="1127">
        <v>0.0</v>
      </c>
      <c r="J18" s="1127">
        <v>0.0</v>
      </c>
      <c r="K18" s="1124"/>
    </row>
    <row r="19">
      <c r="A19" s="1119">
        <v>97153.0</v>
      </c>
      <c r="B19" s="1125" t="s">
        <v>10295</v>
      </c>
      <c r="C19" s="1126" t="s">
        <v>1731</v>
      </c>
      <c r="D19" s="1119">
        <v>54.78</v>
      </c>
      <c r="E19" s="1120">
        <v>29.05</v>
      </c>
      <c r="F19" s="1121">
        <f t="shared" si="1"/>
        <v>25.73</v>
      </c>
      <c r="G19" s="1120">
        <v>12.47</v>
      </c>
      <c r="H19" s="1127">
        <v>13.26</v>
      </c>
      <c r="I19" s="1127">
        <v>0.0</v>
      </c>
      <c r="J19" s="1127">
        <v>0.0</v>
      </c>
      <c r="K19" s="1124"/>
    </row>
    <row r="20" ht="15.75" customHeight="1">
      <c r="A20" s="1119">
        <v>97154.0</v>
      </c>
      <c r="B20" s="1125" t="s">
        <v>10296</v>
      </c>
      <c r="C20" s="1126" t="s">
        <v>1731</v>
      </c>
      <c r="D20" s="1119">
        <v>60.86</v>
      </c>
      <c r="E20" s="1120">
        <v>32.36</v>
      </c>
      <c r="F20" s="1121">
        <f t="shared" si="1"/>
        <v>28.51</v>
      </c>
      <c r="G20" s="1120">
        <v>13.92</v>
      </c>
      <c r="H20" s="1127">
        <v>14.59</v>
      </c>
      <c r="I20" s="1127">
        <v>0.0</v>
      </c>
      <c r="J20" s="1127">
        <v>0.0</v>
      </c>
      <c r="K20" s="1124"/>
    </row>
    <row r="21" ht="15.75" customHeight="1">
      <c r="A21" s="1119">
        <v>97155.0</v>
      </c>
      <c r="B21" s="1125" t="s">
        <v>10297</v>
      </c>
      <c r="C21" s="1126" t="s">
        <v>1731</v>
      </c>
      <c r="D21" s="1119">
        <v>66.94</v>
      </c>
      <c r="E21" s="1120">
        <v>35.7</v>
      </c>
      <c r="F21" s="1121">
        <f t="shared" si="1"/>
        <v>31.26</v>
      </c>
      <c r="G21" s="1120">
        <v>15.36</v>
      </c>
      <c r="H21" s="1127">
        <v>15.9</v>
      </c>
      <c r="I21" s="1127">
        <v>0.0</v>
      </c>
      <c r="J21" s="1127">
        <v>0.0</v>
      </c>
      <c r="K21" s="1124"/>
    </row>
    <row r="22" ht="15.75" customHeight="1">
      <c r="A22" s="1119">
        <v>97156.0</v>
      </c>
      <c r="B22" s="1125" t="s">
        <v>10298</v>
      </c>
      <c r="C22" s="1126" t="s">
        <v>1731</v>
      </c>
      <c r="D22" s="1119">
        <v>79.56</v>
      </c>
      <c r="E22" s="1120">
        <v>42.32</v>
      </c>
      <c r="F22" s="1121">
        <f t="shared" si="1"/>
        <v>37.24</v>
      </c>
      <c r="G22" s="1120">
        <v>18.7</v>
      </c>
      <c r="H22" s="1127">
        <v>18.54</v>
      </c>
      <c r="I22" s="1127">
        <v>0.0</v>
      </c>
      <c r="J22" s="1127">
        <v>0.0</v>
      </c>
      <c r="K22" s="1124"/>
    </row>
    <row r="23" ht="15.75" customHeight="1">
      <c r="A23" s="1119">
        <v>97157.0</v>
      </c>
      <c r="B23" s="1125" t="s">
        <v>10299</v>
      </c>
      <c r="C23" s="1126" t="s">
        <v>1731</v>
      </c>
      <c r="D23" s="1119">
        <v>5.52</v>
      </c>
      <c r="E23" s="1120">
        <v>2.98</v>
      </c>
      <c r="F23" s="1121">
        <f t="shared" si="1"/>
        <v>2.56</v>
      </c>
      <c r="G23" s="1120">
        <v>1.43</v>
      </c>
      <c r="H23" s="1127">
        <v>1.13</v>
      </c>
      <c r="I23" s="1127">
        <v>0.0</v>
      </c>
      <c r="J23" s="1127">
        <v>0.0</v>
      </c>
      <c r="K23" s="1124"/>
    </row>
    <row r="24" ht="15.75" customHeight="1">
      <c r="A24" s="1119">
        <v>97158.0</v>
      </c>
      <c r="B24" s="1125" t="s">
        <v>10300</v>
      </c>
      <c r="C24" s="1126" t="s">
        <v>1731</v>
      </c>
      <c r="D24" s="1119">
        <v>6.18</v>
      </c>
      <c r="E24" s="1120">
        <v>3.38</v>
      </c>
      <c r="F24" s="1121">
        <f t="shared" si="1"/>
        <v>2.82</v>
      </c>
      <c r="G24" s="1120">
        <v>1.61</v>
      </c>
      <c r="H24" s="1127">
        <v>1.21</v>
      </c>
      <c r="I24" s="1127">
        <v>0.0</v>
      </c>
      <c r="J24" s="1127">
        <v>0.0</v>
      </c>
      <c r="K24" s="1124"/>
    </row>
    <row r="25" ht="15.75" customHeight="1">
      <c r="A25" s="1119">
        <v>97159.0</v>
      </c>
      <c r="B25" s="1125" t="s">
        <v>10301</v>
      </c>
      <c r="C25" s="1126" t="s">
        <v>1731</v>
      </c>
      <c r="D25" s="1119">
        <v>7.83</v>
      </c>
      <c r="E25" s="1120">
        <v>4.35</v>
      </c>
      <c r="F25" s="1121">
        <f t="shared" si="1"/>
        <v>3.49</v>
      </c>
      <c r="G25" s="1120">
        <v>2.08</v>
      </c>
      <c r="H25" s="1127">
        <v>1.41</v>
      </c>
      <c r="I25" s="1127">
        <v>0.0</v>
      </c>
      <c r="J25" s="1127">
        <v>0.0</v>
      </c>
      <c r="K25" s="1124"/>
    </row>
    <row r="26" ht="15.75" customHeight="1">
      <c r="A26" s="1119">
        <v>97160.0</v>
      </c>
      <c r="B26" s="1125" t="s">
        <v>10302</v>
      </c>
      <c r="C26" s="1126" t="s">
        <v>1731</v>
      </c>
      <c r="D26" s="1119">
        <v>9.45</v>
      </c>
      <c r="E26" s="1120">
        <v>5.29</v>
      </c>
      <c r="F26" s="1121">
        <f t="shared" si="1"/>
        <v>4.16</v>
      </c>
      <c r="G26" s="1120">
        <v>2.56</v>
      </c>
      <c r="H26" s="1127">
        <v>1.6</v>
      </c>
      <c r="I26" s="1127">
        <v>0.0</v>
      </c>
      <c r="J26" s="1127">
        <v>0.0</v>
      </c>
      <c r="K26" s="1124"/>
    </row>
    <row r="27" ht="15.75" customHeight="1">
      <c r="A27" s="1119">
        <v>97161.0</v>
      </c>
      <c r="B27" s="1125" t="s">
        <v>10303</v>
      </c>
      <c r="C27" s="1126" t="s">
        <v>1731</v>
      </c>
      <c r="D27" s="1119">
        <v>11.11</v>
      </c>
      <c r="E27" s="1120">
        <v>6.31</v>
      </c>
      <c r="F27" s="1121">
        <f t="shared" si="1"/>
        <v>4.8</v>
      </c>
      <c r="G27" s="1120">
        <v>3.0</v>
      </c>
      <c r="H27" s="1127">
        <v>1.8</v>
      </c>
      <c r="I27" s="1127">
        <v>0.0</v>
      </c>
      <c r="J27" s="1127">
        <v>0.0</v>
      </c>
      <c r="K27" s="1124"/>
    </row>
    <row r="28" ht="15.75" customHeight="1">
      <c r="A28" s="1119">
        <v>97162.0</v>
      </c>
      <c r="B28" s="1125" t="s">
        <v>10304</v>
      </c>
      <c r="C28" s="1126" t="s">
        <v>1731</v>
      </c>
      <c r="D28" s="1119">
        <v>12.76</v>
      </c>
      <c r="E28" s="1120">
        <v>7.29</v>
      </c>
      <c r="F28" s="1121">
        <f t="shared" si="1"/>
        <v>5.47</v>
      </c>
      <c r="G28" s="1120">
        <v>3.48</v>
      </c>
      <c r="H28" s="1127">
        <v>1.99</v>
      </c>
      <c r="I28" s="1127">
        <v>0.0</v>
      </c>
      <c r="J28" s="1127">
        <v>0.0</v>
      </c>
      <c r="K28" s="1124"/>
    </row>
    <row r="29" ht="15.75" customHeight="1">
      <c r="A29" s="1119">
        <v>97163.0</v>
      </c>
      <c r="B29" s="1125" t="s">
        <v>10305</v>
      </c>
      <c r="C29" s="1126" t="s">
        <v>1731</v>
      </c>
      <c r="D29" s="1119">
        <v>14.43</v>
      </c>
      <c r="E29" s="1120">
        <v>8.26</v>
      </c>
      <c r="F29" s="1121">
        <f t="shared" si="1"/>
        <v>6.17</v>
      </c>
      <c r="G29" s="1120">
        <v>3.98</v>
      </c>
      <c r="H29" s="1127">
        <v>2.19</v>
      </c>
      <c r="I29" s="1127">
        <v>0.0</v>
      </c>
      <c r="J29" s="1127">
        <v>0.0</v>
      </c>
      <c r="K29" s="1124"/>
    </row>
    <row r="30" ht="15.75" customHeight="1">
      <c r="A30" s="1119">
        <v>97164.0</v>
      </c>
      <c r="B30" s="1125" t="s">
        <v>10306</v>
      </c>
      <c r="C30" s="1126" t="s">
        <v>1731</v>
      </c>
      <c r="D30" s="1119">
        <v>16.09</v>
      </c>
      <c r="E30" s="1120">
        <v>9.26</v>
      </c>
      <c r="F30" s="1121">
        <f t="shared" si="1"/>
        <v>6.83</v>
      </c>
      <c r="G30" s="1120">
        <v>4.44</v>
      </c>
      <c r="H30" s="1127">
        <v>2.39</v>
      </c>
      <c r="I30" s="1127">
        <v>0.0</v>
      </c>
      <c r="J30" s="1127">
        <v>0.0</v>
      </c>
      <c r="K30" s="1124"/>
    </row>
    <row r="31" ht="15.75" customHeight="1">
      <c r="A31" s="1119">
        <v>97165.0</v>
      </c>
      <c r="B31" s="1125" t="s">
        <v>10307</v>
      </c>
      <c r="C31" s="1126" t="s">
        <v>1731</v>
      </c>
      <c r="D31" s="1119">
        <v>17.77</v>
      </c>
      <c r="E31" s="1120">
        <v>10.23</v>
      </c>
      <c r="F31" s="1121">
        <f t="shared" si="1"/>
        <v>7.54</v>
      </c>
      <c r="G31" s="1120">
        <v>4.94</v>
      </c>
      <c r="H31" s="1127">
        <v>2.6</v>
      </c>
      <c r="I31" s="1127">
        <v>0.0</v>
      </c>
      <c r="J31" s="1127">
        <v>0.0</v>
      </c>
      <c r="K31" s="1124"/>
    </row>
    <row r="32" ht="15.75" customHeight="1">
      <c r="A32" s="1119">
        <v>97166.0</v>
      </c>
      <c r="B32" s="1125" t="s">
        <v>10308</v>
      </c>
      <c r="C32" s="1126" t="s">
        <v>1731</v>
      </c>
      <c r="D32" s="1119">
        <v>22.28</v>
      </c>
      <c r="E32" s="1120">
        <v>11.18</v>
      </c>
      <c r="F32" s="1121">
        <f t="shared" si="1"/>
        <v>11.1</v>
      </c>
      <c r="G32" s="1120">
        <v>5.69</v>
      </c>
      <c r="H32" s="1127">
        <v>5.41</v>
      </c>
      <c r="I32" s="1127">
        <v>0.0</v>
      </c>
      <c r="J32" s="1127">
        <v>0.0</v>
      </c>
      <c r="K32" s="1124"/>
    </row>
    <row r="33" ht="15.75" customHeight="1">
      <c r="A33" s="1119">
        <v>97167.0</v>
      </c>
      <c r="B33" s="1125" t="s">
        <v>10309</v>
      </c>
      <c r="C33" s="1126" t="s">
        <v>1731</v>
      </c>
      <c r="D33" s="1119">
        <v>26.04</v>
      </c>
      <c r="E33" s="1120">
        <v>13.14</v>
      </c>
      <c r="F33" s="1121">
        <f t="shared" si="1"/>
        <v>12.9</v>
      </c>
      <c r="G33" s="1120">
        <v>6.71</v>
      </c>
      <c r="H33" s="1127">
        <v>6.19</v>
      </c>
      <c r="I33" s="1127">
        <v>0.0</v>
      </c>
      <c r="J33" s="1127">
        <v>0.0</v>
      </c>
      <c r="K33" s="1124"/>
    </row>
    <row r="34" ht="15.75" customHeight="1">
      <c r="A34" s="1119">
        <v>97168.0</v>
      </c>
      <c r="B34" s="1125" t="s">
        <v>10310</v>
      </c>
      <c r="C34" s="1126" t="s">
        <v>1731</v>
      </c>
      <c r="D34" s="1119">
        <v>29.54</v>
      </c>
      <c r="E34" s="1120">
        <v>15.11</v>
      </c>
      <c r="F34" s="1121">
        <f t="shared" si="1"/>
        <v>14.43</v>
      </c>
      <c r="G34" s="1120">
        <v>7.47</v>
      </c>
      <c r="H34" s="1127">
        <v>6.96</v>
      </c>
      <c r="I34" s="1127">
        <v>0.0</v>
      </c>
      <c r="J34" s="1127">
        <v>0.0</v>
      </c>
      <c r="K34" s="1124"/>
    </row>
    <row r="35" ht="15.75" customHeight="1">
      <c r="A35" s="1119">
        <v>97169.0</v>
      </c>
      <c r="B35" s="1125" t="s">
        <v>10311</v>
      </c>
      <c r="C35" s="1126" t="s">
        <v>1731</v>
      </c>
      <c r="D35" s="1119">
        <v>33.2</v>
      </c>
      <c r="E35" s="1120">
        <v>17.06</v>
      </c>
      <c r="F35" s="1121">
        <f t="shared" si="1"/>
        <v>16.15</v>
      </c>
      <c r="G35" s="1120">
        <v>8.44</v>
      </c>
      <c r="H35" s="1127">
        <v>7.71</v>
      </c>
      <c r="I35" s="1127">
        <v>0.0</v>
      </c>
      <c r="J35" s="1127">
        <v>0.0</v>
      </c>
      <c r="K35" s="1124"/>
    </row>
    <row r="36" ht="15.75" customHeight="1">
      <c r="A36" s="1119">
        <v>97170.0</v>
      </c>
      <c r="B36" s="1125" t="s">
        <v>10312</v>
      </c>
      <c r="C36" s="1126" t="s">
        <v>1731</v>
      </c>
      <c r="D36" s="1119">
        <v>36.9</v>
      </c>
      <c r="E36" s="1120">
        <v>19.03</v>
      </c>
      <c r="F36" s="1121">
        <f t="shared" si="1"/>
        <v>17.88</v>
      </c>
      <c r="G36" s="1120">
        <v>9.39</v>
      </c>
      <c r="H36" s="1127">
        <v>8.49</v>
      </c>
      <c r="I36" s="1127">
        <v>0.0</v>
      </c>
      <c r="J36" s="1127">
        <v>0.0</v>
      </c>
      <c r="K36" s="1124"/>
    </row>
    <row r="37" ht="15.75" customHeight="1">
      <c r="A37" s="1119">
        <v>97171.0</v>
      </c>
      <c r="B37" s="1125" t="s">
        <v>10313</v>
      </c>
      <c r="C37" s="1126" t="s">
        <v>1731</v>
      </c>
      <c r="D37" s="1119">
        <v>40.62</v>
      </c>
      <c r="E37" s="1120">
        <v>21.0</v>
      </c>
      <c r="F37" s="1121">
        <f t="shared" si="1"/>
        <v>19.63</v>
      </c>
      <c r="G37" s="1120">
        <v>10.37</v>
      </c>
      <c r="H37" s="1127">
        <v>9.26</v>
      </c>
      <c r="I37" s="1127">
        <v>0.0</v>
      </c>
      <c r="J37" s="1127">
        <v>0.0</v>
      </c>
      <c r="K37" s="1124"/>
    </row>
    <row r="38" ht="15.75" customHeight="1">
      <c r="A38" s="1119">
        <v>97172.0</v>
      </c>
      <c r="B38" s="1125" t="s">
        <v>10314</v>
      </c>
      <c r="C38" s="1126" t="s">
        <v>1731</v>
      </c>
      <c r="D38" s="1119">
        <v>48.47</v>
      </c>
      <c r="E38" s="1120">
        <v>24.9</v>
      </c>
      <c r="F38" s="1121">
        <f t="shared" si="1"/>
        <v>23.57</v>
      </c>
      <c r="G38" s="1120">
        <v>12.78</v>
      </c>
      <c r="H38" s="1127">
        <v>10.79</v>
      </c>
      <c r="I38" s="1127">
        <v>0.0</v>
      </c>
      <c r="J38" s="1127">
        <v>0.0</v>
      </c>
      <c r="K38" s="1124"/>
    </row>
    <row r="39" ht="15.75" customHeight="1">
      <c r="A39" s="1119">
        <v>97173.0</v>
      </c>
      <c r="B39" s="1125" t="s">
        <v>10315</v>
      </c>
      <c r="C39" s="1126" t="s">
        <v>1731</v>
      </c>
      <c r="D39" s="1119">
        <v>41.14</v>
      </c>
      <c r="E39" s="1120">
        <v>19.5</v>
      </c>
      <c r="F39" s="1121">
        <f t="shared" si="1"/>
        <v>21.65</v>
      </c>
      <c r="G39" s="1120">
        <v>13.69</v>
      </c>
      <c r="H39" s="1127">
        <v>7.96</v>
      </c>
      <c r="I39" s="1127">
        <v>0.0</v>
      </c>
      <c r="J39" s="1127">
        <v>0.0</v>
      </c>
      <c r="K39" s="1124"/>
    </row>
    <row r="40" ht="15.75" customHeight="1">
      <c r="A40" s="1119">
        <v>97174.0</v>
      </c>
      <c r="B40" s="1125" t="s">
        <v>10316</v>
      </c>
      <c r="C40" s="1126" t="s">
        <v>1731</v>
      </c>
      <c r="D40" s="1119">
        <v>47.58</v>
      </c>
      <c r="E40" s="1120">
        <v>22.43</v>
      </c>
      <c r="F40" s="1121">
        <f t="shared" si="1"/>
        <v>25.17</v>
      </c>
      <c r="G40" s="1120">
        <v>15.88</v>
      </c>
      <c r="H40" s="1127">
        <v>9.29</v>
      </c>
      <c r="I40" s="1127">
        <v>0.0</v>
      </c>
      <c r="J40" s="1127">
        <v>0.0</v>
      </c>
      <c r="K40" s="1124"/>
    </row>
    <row r="41" ht="15.75" customHeight="1">
      <c r="A41" s="1119">
        <v>97175.0</v>
      </c>
      <c r="B41" s="1125" t="s">
        <v>10317</v>
      </c>
      <c r="C41" s="1126" t="s">
        <v>1731</v>
      </c>
      <c r="D41" s="1119">
        <v>54.04</v>
      </c>
      <c r="E41" s="1120">
        <v>25.38</v>
      </c>
      <c r="F41" s="1121">
        <f t="shared" si="1"/>
        <v>28.66</v>
      </c>
      <c r="G41" s="1120">
        <v>18.06</v>
      </c>
      <c r="H41" s="1127">
        <v>10.6</v>
      </c>
      <c r="I41" s="1127">
        <v>0.0</v>
      </c>
      <c r="J41" s="1127">
        <v>0.0</v>
      </c>
      <c r="K41" s="1124"/>
    </row>
    <row r="42" ht="15.75" customHeight="1">
      <c r="A42" s="1119">
        <v>97176.0</v>
      </c>
      <c r="B42" s="1125" t="s">
        <v>10318</v>
      </c>
      <c r="C42" s="1126" t="s">
        <v>1731</v>
      </c>
      <c r="D42" s="1119">
        <v>60.47</v>
      </c>
      <c r="E42" s="1120">
        <v>28.31</v>
      </c>
      <c r="F42" s="1121">
        <f t="shared" si="1"/>
        <v>32.18</v>
      </c>
      <c r="G42" s="1120">
        <v>20.25</v>
      </c>
      <c r="H42" s="1127">
        <v>11.93</v>
      </c>
      <c r="I42" s="1127">
        <v>0.0</v>
      </c>
      <c r="J42" s="1127">
        <v>0.0</v>
      </c>
      <c r="K42" s="1124"/>
    </row>
    <row r="43" ht="15.75" customHeight="1">
      <c r="A43" s="1119">
        <v>97177.0</v>
      </c>
      <c r="B43" s="1125" t="s">
        <v>10319</v>
      </c>
      <c r="C43" s="1126" t="s">
        <v>1731</v>
      </c>
      <c r="D43" s="1119">
        <v>73.37</v>
      </c>
      <c r="E43" s="1120">
        <v>34.19</v>
      </c>
      <c r="F43" s="1121">
        <f t="shared" si="1"/>
        <v>39.21</v>
      </c>
      <c r="G43" s="1120">
        <v>24.65</v>
      </c>
      <c r="H43" s="1127">
        <v>14.56</v>
      </c>
      <c r="I43" s="1127">
        <v>0.0</v>
      </c>
      <c r="J43" s="1127">
        <v>0.0</v>
      </c>
      <c r="K43" s="1124"/>
    </row>
    <row r="44" ht="15.75" customHeight="1">
      <c r="A44" s="1119">
        <v>97178.0</v>
      </c>
      <c r="B44" s="1125" t="s">
        <v>10320</v>
      </c>
      <c r="C44" s="1126" t="s">
        <v>1731</v>
      </c>
      <c r="D44" s="1119">
        <v>86.27</v>
      </c>
      <c r="E44" s="1120">
        <v>40.09</v>
      </c>
      <c r="F44" s="1121">
        <f t="shared" si="1"/>
        <v>46.18</v>
      </c>
      <c r="G44" s="1120">
        <v>28.98</v>
      </c>
      <c r="H44" s="1127">
        <v>17.2</v>
      </c>
      <c r="I44" s="1127">
        <v>0.0</v>
      </c>
      <c r="J44" s="1127">
        <v>0.0</v>
      </c>
      <c r="K44" s="1124"/>
    </row>
    <row r="45" ht="15.75" customHeight="1">
      <c r="A45" s="1119">
        <v>97179.0</v>
      </c>
      <c r="B45" s="1125" t="s">
        <v>10321</v>
      </c>
      <c r="C45" s="1126" t="s">
        <v>1731</v>
      </c>
      <c r="D45" s="1119">
        <v>99.16</v>
      </c>
      <c r="E45" s="1120">
        <v>45.95</v>
      </c>
      <c r="F45" s="1121">
        <f t="shared" si="1"/>
        <v>53.23</v>
      </c>
      <c r="G45" s="1120">
        <v>33.38</v>
      </c>
      <c r="H45" s="1127">
        <v>19.85</v>
      </c>
      <c r="I45" s="1127">
        <v>0.0</v>
      </c>
      <c r="J45" s="1127">
        <v>0.0</v>
      </c>
      <c r="K45" s="1124"/>
    </row>
    <row r="46" ht="15.75" customHeight="1">
      <c r="A46" s="1119">
        <v>97180.0</v>
      </c>
      <c r="B46" s="1125" t="s">
        <v>10322</v>
      </c>
      <c r="C46" s="1126" t="s">
        <v>1731</v>
      </c>
      <c r="D46" s="1119">
        <v>112.06</v>
      </c>
      <c r="E46" s="1120">
        <v>51.83</v>
      </c>
      <c r="F46" s="1121">
        <f t="shared" si="1"/>
        <v>60.22</v>
      </c>
      <c r="G46" s="1120">
        <v>37.74</v>
      </c>
      <c r="H46" s="1127">
        <v>22.48</v>
      </c>
      <c r="I46" s="1127">
        <v>0.0</v>
      </c>
      <c r="J46" s="1127">
        <v>0.0</v>
      </c>
      <c r="K46" s="1124"/>
    </row>
    <row r="47" ht="15.75" customHeight="1">
      <c r="A47" s="1119">
        <v>97181.0</v>
      </c>
      <c r="B47" s="1125" t="s">
        <v>10323</v>
      </c>
      <c r="C47" s="1126" t="s">
        <v>1731</v>
      </c>
      <c r="D47" s="1119">
        <v>129.06</v>
      </c>
      <c r="E47" s="1120">
        <v>57.71</v>
      </c>
      <c r="F47" s="1121">
        <f t="shared" si="1"/>
        <v>71.36</v>
      </c>
      <c r="G47" s="1120">
        <v>43.41</v>
      </c>
      <c r="H47" s="1127">
        <v>27.95</v>
      </c>
      <c r="I47" s="1127">
        <v>0.0</v>
      </c>
      <c r="J47" s="1127">
        <v>0.0</v>
      </c>
      <c r="K47" s="1124"/>
    </row>
    <row r="48" ht="15.75" customHeight="1">
      <c r="A48" s="1119">
        <v>97182.0</v>
      </c>
      <c r="B48" s="1125" t="s">
        <v>10324</v>
      </c>
      <c r="C48" s="1126" t="s">
        <v>1731</v>
      </c>
      <c r="D48" s="1119">
        <v>142.39</v>
      </c>
      <c r="E48" s="1120">
        <v>63.61</v>
      </c>
      <c r="F48" s="1121">
        <f t="shared" si="1"/>
        <v>78.8</v>
      </c>
      <c r="G48" s="1120">
        <v>47.9</v>
      </c>
      <c r="H48" s="1127">
        <v>30.9</v>
      </c>
      <c r="I48" s="1127">
        <v>0.0</v>
      </c>
      <c r="J48" s="1127">
        <v>0.0</v>
      </c>
      <c r="K48" s="1124"/>
    </row>
    <row r="49" ht="15.75" customHeight="1">
      <c r="A49" s="1119">
        <v>97183.0</v>
      </c>
      <c r="B49" s="1125" t="s">
        <v>10325</v>
      </c>
      <c r="C49" s="1126" t="s">
        <v>1731</v>
      </c>
      <c r="D49" s="1119">
        <v>33.55</v>
      </c>
      <c r="E49" s="1120">
        <v>16.26</v>
      </c>
      <c r="F49" s="1121">
        <f t="shared" si="1"/>
        <v>17.3</v>
      </c>
      <c r="G49" s="1120">
        <v>12.67</v>
      </c>
      <c r="H49" s="1127">
        <v>4.63</v>
      </c>
      <c r="I49" s="1127">
        <v>0.0</v>
      </c>
      <c r="J49" s="1127">
        <v>0.0</v>
      </c>
      <c r="K49" s="1124"/>
    </row>
    <row r="50" ht="15.75" customHeight="1">
      <c r="A50" s="1119">
        <v>97184.0</v>
      </c>
      <c r="B50" s="1125" t="s">
        <v>10326</v>
      </c>
      <c r="C50" s="1126" t="s">
        <v>1731</v>
      </c>
      <c r="D50" s="1119">
        <v>38.9</v>
      </c>
      <c r="E50" s="1120">
        <v>18.76</v>
      </c>
      <c r="F50" s="1121">
        <f t="shared" si="1"/>
        <v>20.14</v>
      </c>
      <c r="G50" s="1120">
        <v>14.74</v>
      </c>
      <c r="H50" s="1127">
        <v>5.4</v>
      </c>
      <c r="I50" s="1127">
        <v>0.0</v>
      </c>
      <c r="J50" s="1127">
        <v>0.0</v>
      </c>
      <c r="K50" s="1124"/>
    </row>
    <row r="51" ht="15.75" customHeight="1">
      <c r="A51" s="1119">
        <v>97185.0</v>
      </c>
      <c r="B51" s="1125" t="s">
        <v>10327</v>
      </c>
      <c r="C51" s="1126" t="s">
        <v>1731</v>
      </c>
      <c r="D51" s="1119">
        <v>44.24</v>
      </c>
      <c r="E51" s="1120">
        <v>21.3</v>
      </c>
      <c r="F51" s="1121">
        <f t="shared" si="1"/>
        <v>22.95</v>
      </c>
      <c r="G51" s="1120">
        <v>16.78</v>
      </c>
      <c r="H51" s="1127">
        <v>6.17</v>
      </c>
      <c r="I51" s="1127">
        <v>0.0</v>
      </c>
      <c r="J51" s="1127">
        <v>0.0</v>
      </c>
      <c r="K51" s="1124"/>
    </row>
    <row r="52" ht="15.75" customHeight="1">
      <c r="A52" s="1119">
        <v>97186.0</v>
      </c>
      <c r="B52" s="1125" t="s">
        <v>10328</v>
      </c>
      <c r="C52" s="1126" t="s">
        <v>1731</v>
      </c>
      <c r="D52" s="1119">
        <v>49.59</v>
      </c>
      <c r="E52" s="1120">
        <v>23.83</v>
      </c>
      <c r="F52" s="1121">
        <f t="shared" si="1"/>
        <v>25.78</v>
      </c>
      <c r="G52" s="1120">
        <v>18.84</v>
      </c>
      <c r="H52" s="1127">
        <v>6.94</v>
      </c>
      <c r="I52" s="1127">
        <v>0.0</v>
      </c>
      <c r="J52" s="1127">
        <v>0.0</v>
      </c>
      <c r="K52" s="1124"/>
    </row>
    <row r="53" ht="15.75" customHeight="1">
      <c r="A53" s="1119">
        <v>97187.0</v>
      </c>
      <c r="B53" s="1125" t="s">
        <v>10329</v>
      </c>
      <c r="C53" s="1126" t="s">
        <v>1731</v>
      </c>
      <c r="D53" s="1119">
        <v>60.28</v>
      </c>
      <c r="E53" s="1120">
        <v>28.85</v>
      </c>
      <c r="F53" s="1121">
        <f t="shared" si="1"/>
        <v>31.46</v>
      </c>
      <c r="G53" s="1120">
        <v>22.98</v>
      </c>
      <c r="H53" s="1127">
        <v>8.48</v>
      </c>
      <c r="I53" s="1127">
        <v>0.0</v>
      </c>
      <c r="J53" s="1127">
        <v>0.0</v>
      </c>
      <c r="K53" s="1124"/>
    </row>
    <row r="54" ht="15.75" customHeight="1">
      <c r="A54" s="1119">
        <v>97188.0</v>
      </c>
      <c r="B54" s="1125" t="s">
        <v>10330</v>
      </c>
      <c r="C54" s="1126" t="s">
        <v>1731</v>
      </c>
      <c r="D54" s="1119">
        <v>70.99</v>
      </c>
      <c r="E54" s="1120">
        <v>33.91</v>
      </c>
      <c r="F54" s="1121">
        <f t="shared" si="1"/>
        <v>37.09</v>
      </c>
      <c r="G54" s="1120">
        <v>27.09</v>
      </c>
      <c r="H54" s="1127">
        <v>10.0</v>
      </c>
      <c r="I54" s="1127">
        <v>0.0</v>
      </c>
      <c r="J54" s="1127">
        <v>0.0</v>
      </c>
      <c r="K54" s="1124"/>
    </row>
    <row r="55" ht="15.75" customHeight="1">
      <c r="A55" s="1119">
        <v>97189.0</v>
      </c>
      <c r="B55" s="1125" t="s">
        <v>10331</v>
      </c>
      <c r="C55" s="1126" t="s">
        <v>1731</v>
      </c>
      <c r="D55" s="1119">
        <v>81.66</v>
      </c>
      <c r="E55" s="1120">
        <v>38.92</v>
      </c>
      <c r="F55" s="1121">
        <f t="shared" si="1"/>
        <v>42.75</v>
      </c>
      <c r="G55" s="1120">
        <v>31.21</v>
      </c>
      <c r="H55" s="1127">
        <v>11.54</v>
      </c>
      <c r="I55" s="1127">
        <v>0.0</v>
      </c>
      <c r="J55" s="1127">
        <v>0.0</v>
      </c>
      <c r="K55" s="1124"/>
    </row>
    <row r="56" ht="15.75" customHeight="1">
      <c r="A56" s="1119">
        <v>97190.0</v>
      </c>
      <c r="B56" s="1125" t="s">
        <v>10332</v>
      </c>
      <c r="C56" s="1126" t="s">
        <v>1731</v>
      </c>
      <c r="D56" s="1119">
        <v>92.36</v>
      </c>
      <c r="E56" s="1120">
        <v>43.97</v>
      </c>
      <c r="F56" s="1121">
        <f t="shared" si="1"/>
        <v>48.39</v>
      </c>
      <c r="G56" s="1120">
        <v>35.31</v>
      </c>
      <c r="H56" s="1127">
        <v>13.08</v>
      </c>
      <c r="I56" s="1127">
        <v>0.0</v>
      </c>
      <c r="J56" s="1127">
        <v>0.0</v>
      </c>
      <c r="K56" s="1124"/>
    </row>
    <row r="57" ht="15.75" customHeight="1">
      <c r="A57" s="1119">
        <v>97191.0</v>
      </c>
      <c r="B57" s="1125" t="s">
        <v>10333</v>
      </c>
      <c r="C57" s="1126" t="s">
        <v>1731</v>
      </c>
      <c r="D57" s="1119">
        <v>105.99</v>
      </c>
      <c r="E57" s="1120">
        <v>49.02</v>
      </c>
      <c r="F57" s="1121">
        <f t="shared" si="1"/>
        <v>56.98</v>
      </c>
      <c r="G57" s="1120">
        <v>40.72</v>
      </c>
      <c r="H57" s="1127">
        <v>16.26</v>
      </c>
      <c r="I57" s="1127">
        <v>0.0</v>
      </c>
      <c r="J57" s="1127">
        <v>0.0</v>
      </c>
      <c r="K57" s="1124"/>
    </row>
    <row r="58" ht="15.75" customHeight="1">
      <c r="A58" s="1119">
        <v>97192.0</v>
      </c>
      <c r="B58" s="1125" t="s">
        <v>10334</v>
      </c>
      <c r="C58" s="1126" t="s">
        <v>1731</v>
      </c>
      <c r="D58" s="1119">
        <v>116.98</v>
      </c>
      <c r="E58" s="1120">
        <v>54.04</v>
      </c>
      <c r="F58" s="1121">
        <f t="shared" si="1"/>
        <v>62.95</v>
      </c>
      <c r="G58" s="1120">
        <v>44.99</v>
      </c>
      <c r="H58" s="1127">
        <v>17.96</v>
      </c>
      <c r="I58" s="1127">
        <v>0.0</v>
      </c>
      <c r="J58" s="1127">
        <v>0.0</v>
      </c>
      <c r="K58" s="1124"/>
    </row>
    <row r="59" ht="15.75" customHeight="1">
      <c r="A59" s="1119">
        <v>90694.0</v>
      </c>
      <c r="B59" s="1125" t="s">
        <v>10335</v>
      </c>
      <c r="C59" s="1126" t="s">
        <v>1731</v>
      </c>
      <c r="D59" s="1119">
        <v>52.45</v>
      </c>
      <c r="E59" s="1120">
        <v>3.0</v>
      </c>
      <c r="F59" s="1121">
        <f t="shared" si="1"/>
        <v>49.45</v>
      </c>
      <c r="G59" s="1120">
        <v>49.45</v>
      </c>
      <c r="H59" s="1127">
        <v>0.0</v>
      </c>
      <c r="I59" s="1127">
        <v>0.0</v>
      </c>
      <c r="J59" s="1127">
        <v>0.0</v>
      </c>
      <c r="K59" s="1124"/>
    </row>
    <row r="60" ht="15.75" customHeight="1">
      <c r="A60" s="1119">
        <v>90695.0</v>
      </c>
      <c r="B60" s="1125" t="s">
        <v>10336</v>
      </c>
      <c r="C60" s="1126" t="s">
        <v>1731</v>
      </c>
      <c r="D60" s="1119">
        <v>99.54</v>
      </c>
      <c r="E60" s="1120">
        <v>3.57</v>
      </c>
      <c r="F60" s="1121">
        <f t="shared" si="1"/>
        <v>95.98</v>
      </c>
      <c r="G60" s="1120">
        <v>95.98</v>
      </c>
      <c r="H60" s="1127">
        <v>0.0</v>
      </c>
      <c r="I60" s="1127">
        <v>0.0</v>
      </c>
      <c r="J60" s="1127">
        <v>0.0</v>
      </c>
      <c r="K60" s="1124"/>
    </row>
    <row r="61" ht="15.75" customHeight="1">
      <c r="A61" s="1119">
        <v>90696.0</v>
      </c>
      <c r="B61" s="1125" t="s">
        <v>10337</v>
      </c>
      <c r="C61" s="1126" t="s">
        <v>1731</v>
      </c>
      <c r="D61" s="1119">
        <v>166.19</v>
      </c>
      <c r="E61" s="1120">
        <v>4.1</v>
      </c>
      <c r="F61" s="1121">
        <f t="shared" si="1"/>
        <v>162.09</v>
      </c>
      <c r="G61" s="1120">
        <v>162.09</v>
      </c>
      <c r="H61" s="1127">
        <v>0.0</v>
      </c>
      <c r="I61" s="1127">
        <v>0.0</v>
      </c>
      <c r="J61" s="1127">
        <v>0.0</v>
      </c>
      <c r="K61" s="1124"/>
    </row>
    <row r="62" ht="15.75" customHeight="1">
      <c r="A62" s="1119">
        <v>90697.0</v>
      </c>
      <c r="B62" s="1125" t="s">
        <v>10338</v>
      </c>
      <c r="C62" s="1126" t="s">
        <v>1731</v>
      </c>
      <c r="D62" s="1119">
        <v>257.73</v>
      </c>
      <c r="E62" s="1120">
        <v>4.66</v>
      </c>
      <c r="F62" s="1121">
        <f t="shared" si="1"/>
        <v>253.06</v>
      </c>
      <c r="G62" s="1120">
        <v>253.06</v>
      </c>
      <c r="H62" s="1127">
        <v>0.0</v>
      </c>
      <c r="I62" s="1127">
        <v>0.0</v>
      </c>
      <c r="J62" s="1127">
        <v>0.0</v>
      </c>
      <c r="K62" s="1124"/>
    </row>
    <row r="63" ht="15.75" customHeight="1">
      <c r="A63" s="1119">
        <v>90698.0</v>
      </c>
      <c r="B63" s="1125" t="s">
        <v>10339</v>
      </c>
      <c r="C63" s="1126" t="s">
        <v>1731</v>
      </c>
      <c r="D63" s="1119">
        <v>393.83</v>
      </c>
      <c r="E63" s="1120">
        <v>5.22</v>
      </c>
      <c r="F63" s="1121">
        <f t="shared" si="1"/>
        <v>388.62</v>
      </c>
      <c r="G63" s="1120">
        <v>388.62</v>
      </c>
      <c r="H63" s="1127">
        <v>0.0</v>
      </c>
      <c r="I63" s="1127">
        <v>0.0</v>
      </c>
      <c r="J63" s="1127">
        <v>0.0</v>
      </c>
      <c r="K63" s="1124"/>
    </row>
    <row r="64" ht="15.75" customHeight="1">
      <c r="A64" s="1119">
        <v>90699.0</v>
      </c>
      <c r="B64" s="1125" t="s">
        <v>10340</v>
      </c>
      <c r="C64" s="1126" t="s">
        <v>1731</v>
      </c>
      <c r="D64" s="1119">
        <v>554.21</v>
      </c>
      <c r="E64" s="1120">
        <v>5.77</v>
      </c>
      <c r="F64" s="1121">
        <f t="shared" si="1"/>
        <v>548.43</v>
      </c>
      <c r="G64" s="1120">
        <v>548.43</v>
      </c>
      <c r="H64" s="1127">
        <v>0.0</v>
      </c>
      <c r="I64" s="1127">
        <v>0.0</v>
      </c>
      <c r="J64" s="1127">
        <v>0.0</v>
      </c>
      <c r="K64" s="1124"/>
    </row>
    <row r="65" ht="15.75" customHeight="1">
      <c r="A65" s="1119">
        <v>90700.0</v>
      </c>
      <c r="B65" s="1125" t="s">
        <v>10341</v>
      </c>
      <c r="C65" s="1126" t="s">
        <v>1731</v>
      </c>
      <c r="D65" s="1119">
        <v>645.73</v>
      </c>
      <c r="E65" s="1120">
        <v>4.6</v>
      </c>
      <c r="F65" s="1121">
        <f t="shared" si="1"/>
        <v>641.11</v>
      </c>
      <c r="G65" s="1120">
        <v>638.96</v>
      </c>
      <c r="H65" s="1127">
        <v>2.15</v>
      </c>
      <c r="I65" s="1127">
        <v>0.0</v>
      </c>
      <c r="J65" s="1127">
        <v>0.0</v>
      </c>
      <c r="K65" s="1124"/>
    </row>
    <row r="66" ht="15.75" customHeight="1">
      <c r="A66" s="1119">
        <v>90701.0</v>
      </c>
      <c r="B66" s="1125" t="s">
        <v>10342</v>
      </c>
      <c r="C66" s="1126" t="s">
        <v>1731</v>
      </c>
      <c r="D66" s="1119">
        <v>77.87</v>
      </c>
      <c r="E66" s="1120">
        <v>3.96</v>
      </c>
      <c r="F66" s="1121">
        <f t="shared" si="1"/>
        <v>73.91</v>
      </c>
      <c r="G66" s="1120">
        <v>73.91</v>
      </c>
      <c r="H66" s="1127">
        <v>0.0</v>
      </c>
      <c r="I66" s="1127">
        <v>0.0</v>
      </c>
      <c r="J66" s="1127">
        <v>0.0</v>
      </c>
      <c r="K66" s="1124"/>
    </row>
    <row r="67" ht="15.75" customHeight="1">
      <c r="A67" s="1119">
        <v>90702.0</v>
      </c>
      <c r="B67" s="1125" t="s">
        <v>10343</v>
      </c>
      <c r="C67" s="1126" t="s">
        <v>1731</v>
      </c>
      <c r="D67" s="1119">
        <v>128.86</v>
      </c>
      <c r="E67" s="1120">
        <v>4.52</v>
      </c>
      <c r="F67" s="1121">
        <f t="shared" si="1"/>
        <v>124.34</v>
      </c>
      <c r="G67" s="1120">
        <v>124.34</v>
      </c>
      <c r="H67" s="1127">
        <v>0.0</v>
      </c>
      <c r="I67" s="1127">
        <v>0.0</v>
      </c>
      <c r="J67" s="1127">
        <v>0.0</v>
      </c>
      <c r="K67" s="1124"/>
    </row>
    <row r="68" ht="15.75" customHeight="1">
      <c r="A68" s="1119">
        <v>90703.0</v>
      </c>
      <c r="B68" s="1125" t="s">
        <v>10344</v>
      </c>
      <c r="C68" s="1126" t="s">
        <v>1731</v>
      </c>
      <c r="D68" s="1119">
        <v>201.16</v>
      </c>
      <c r="E68" s="1120">
        <v>5.07</v>
      </c>
      <c r="F68" s="1121">
        <f t="shared" si="1"/>
        <v>196.08</v>
      </c>
      <c r="G68" s="1120">
        <v>196.08</v>
      </c>
      <c r="H68" s="1127">
        <v>0.0</v>
      </c>
      <c r="I68" s="1127">
        <v>0.0</v>
      </c>
      <c r="J68" s="1127">
        <v>0.0</v>
      </c>
      <c r="K68" s="1124"/>
    </row>
    <row r="69" ht="15.75" customHeight="1">
      <c r="A69" s="1119">
        <v>90704.0</v>
      </c>
      <c r="B69" s="1125" t="s">
        <v>10345</v>
      </c>
      <c r="C69" s="1126" t="s">
        <v>1731</v>
      </c>
      <c r="D69" s="1119">
        <v>297.72</v>
      </c>
      <c r="E69" s="1120">
        <v>5.63</v>
      </c>
      <c r="F69" s="1121">
        <f t="shared" si="1"/>
        <v>292.08</v>
      </c>
      <c r="G69" s="1120">
        <v>292.08</v>
      </c>
      <c r="H69" s="1127">
        <v>0.0</v>
      </c>
      <c r="I69" s="1127">
        <v>0.0</v>
      </c>
      <c r="J69" s="1127">
        <v>0.0</v>
      </c>
      <c r="K69" s="1124"/>
    </row>
    <row r="70" ht="15.75" customHeight="1">
      <c r="A70" s="1119">
        <v>90705.0</v>
      </c>
      <c r="B70" s="1125" t="s">
        <v>10346</v>
      </c>
      <c r="C70" s="1126" t="s">
        <v>1731</v>
      </c>
      <c r="D70" s="1119">
        <v>390.95</v>
      </c>
      <c r="E70" s="1120">
        <v>6.19</v>
      </c>
      <c r="F70" s="1121">
        <f t="shared" si="1"/>
        <v>384.76</v>
      </c>
      <c r="G70" s="1120">
        <v>384.76</v>
      </c>
      <c r="H70" s="1127">
        <v>0.0</v>
      </c>
      <c r="I70" s="1127">
        <v>0.0</v>
      </c>
      <c r="J70" s="1127">
        <v>0.0</v>
      </c>
      <c r="K70" s="1124"/>
    </row>
    <row r="71" ht="15.75" customHeight="1">
      <c r="A71" s="1119">
        <v>90706.0</v>
      </c>
      <c r="B71" s="1125" t="s">
        <v>10347</v>
      </c>
      <c r="C71" s="1126" t="s">
        <v>1731</v>
      </c>
      <c r="D71" s="1119">
        <v>516.34</v>
      </c>
      <c r="E71" s="1120">
        <v>5.15</v>
      </c>
      <c r="F71" s="1121">
        <f t="shared" si="1"/>
        <v>511.2</v>
      </c>
      <c r="G71" s="1120">
        <v>508.8</v>
      </c>
      <c r="H71" s="1127">
        <v>2.4</v>
      </c>
      <c r="I71" s="1127">
        <v>0.0</v>
      </c>
      <c r="J71" s="1127">
        <v>0.0</v>
      </c>
      <c r="K71" s="1124"/>
    </row>
    <row r="72" ht="15.75" customHeight="1">
      <c r="A72" s="1119">
        <v>90708.0</v>
      </c>
      <c r="B72" s="1125" t="s">
        <v>10348</v>
      </c>
      <c r="C72" s="1126" t="s">
        <v>1731</v>
      </c>
      <c r="D72" s="1119">
        <v>663.82</v>
      </c>
      <c r="E72" s="1120">
        <v>6.89</v>
      </c>
      <c r="F72" s="1121">
        <f t="shared" si="1"/>
        <v>656.93</v>
      </c>
      <c r="G72" s="1120">
        <v>650.66</v>
      </c>
      <c r="H72" s="1127">
        <v>6.27</v>
      </c>
      <c r="I72" s="1127">
        <v>0.0</v>
      </c>
      <c r="J72" s="1127">
        <v>0.0</v>
      </c>
      <c r="K72" s="1124"/>
    </row>
    <row r="73" ht="15.75" customHeight="1">
      <c r="A73" s="1119">
        <v>90724.0</v>
      </c>
      <c r="B73" s="1125" t="s">
        <v>10349</v>
      </c>
      <c r="C73" s="1126" t="s">
        <v>1788</v>
      </c>
      <c r="D73" s="1119">
        <v>28.89</v>
      </c>
      <c r="E73" s="1120">
        <v>20.73</v>
      </c>
      <c r="F73" s="1121">
        <f t="shared" si="1"/>
        <v>8.17</v>
      </c>
      <c r="G73" s="1120">
        <v>8.17</v>
      </c>
      <c r="H73" s="1127">
        <v>0.0</v>
      </c>
      <c r="I73" s="1127">
        <v>0.0</v>
      </c>
      <c r="J73" s="1127">
        <v>0.0</v>
      </c>
      <c r="K73" s="1124"/>
    </row>
    <row r="74" ht="15.75" customHeight="1">
      <c r="A74" s="1119">
        <v>90725.0</v>
      </c>
      <c r="B74" s="1125" t="s">
        <v>10350</v>
      </c>
      <c r="C74" s="1126" t="s">
        <v>1788</v>
      </c>
      <c r="D74" s="1119">
        <v>35.52</v>
      </c>
      <c r="E74" s="1120">
        <v>25.35</v>
      </c>
      <c r="F74" s="1121">
        <f t="shared" si="1"/>
        <v>10.18</v>
      </c>
      <c r="G74" s="1120">
        <v>10.18</v>
      </c>
      <c r="H74" s="1127">
        <v>0.0</v>
      </c>
      <c r="I74" s="1127">
        <v>0.0</v>
      </c>
      <c r="J74" s="1127">
        <v>0.0</v>
      </c>
      <c r="K74" s="1124"/>
    </row>
    <row r="75" ht="15.75" customHeight="1">
      <c r="A75" s="1119">
        <v>90726.0</v>
      </c>
      <c r="B75" s="1125" t="s">
        <v>10351</v>
      </c>
      <c r="C75" s="1126" t="s">
        <v>1788</v>
      </c>
      <c r="D75" s="1119">
        <v>42.22</v>
      </c>
      <c r="E75" s="1120">
        <v>30.0</v>
      </c>
      <c r="F75" s="1121">
        <f t="shared" si="1"/>
        <v>12.23</v>
      </c>
      <c r="G75" s="1120">
        <v>12.23</v>
      </c>
      <c r="H75" s="1127">
        <v>0.0</v>
      </c>
      <c r="I75" s="1127">
        <v>0.0</v>
      </c>
      <c r="J75" s="1127">
        <v>0.0</v>
      </c>
      <c r="K75" s="1124"/>
    </row>
    <row r="76" ht="15.75" customHeight="1">
      <c r="A76" s="1119">
        <v>90727.0</v>
      </c>
      <c r="B76" s="1125" t="s">
        <v>10352</v>
      </c>
      <c r="C76" s="1126" t="s">
        <v>1788</v>
      </c>
      <c r="D76" s="1119">
        <v>48.85</v>
      </c>
      <c r="E76" s="1120">
        <v>34.65</v>
      </c>
      <c r="F76" s="1121">
        <f t="shared" si="1"/>
        <v>14.2</v>
      </c>
      <c r="G76" s="1120">
        <v>14.2</v>
      </c>
      <c r="H76" s="1127">
        <v>0.0</v>
      </c>
      <c r="I76" s="1127">
        <v>0.0</v>
      </c>
      <c r="J76" s="1127">
        <v>0.0</v>
      </c>
      <c r="K76" s="1124"/>
    </row>
    <row r="77" ht="15.75" customHeight="1">
      <c r="A77" s="1119">
        <v>90728.0</v>
      </c>
      <c r="B77" s="1125" t="s">
        <v>10353</v>
      </c>
      <c r="C77" s="1126" t="s">
        <v>1788</v>
      </c>
      <c r="D77" s="1119">
        <v>55.49</v>
      </c>
      <c r="E77" s="1120">
        <v>39.28</v>
      </c>
      <c r="F77" s="1121">
        <f t="shared" si="1"/>
        <v>16.21</v>
      </c>
      <c r="G77" s="1120">
        <v>16.21</v>
      </c>
      <c r="H77" s="1127">
        <v>0.0</v>
      </c>
      <c r="I77" s="1127">
        <v>0.0</v>
      </c>
      <c r="J77" s="1127">
        <v>0.0</v>
      </c>
      <c r="K77" s="1124"/>
    </row>
    <row r="78" ht="15.75" customHeight="1">
      <c r="A78" s="1119">
        <v>90729.0</v>
      </c>
      <c r="B78" s="1125" t="s">
        <v>10354</v>
      </c>
      <c r="C78" s="1126" t="s">
        <v>1788</v>
      </c>
      <c r="D78" s="1119">
        <v>62.12</v>
      </c>
      <c r="E78" s="1120">
        <v>43.9</v>
      </c>
      <c r="F78" s="1121">
        <f t="shared" si="1"/>
        <v>18.21</v>
      </c>
      <c r="G78" s="1120">
        <v>18.21</v>
      </c>
      <c r="H78" s="1127">
        <v>0.0</v>
      </c>
      <c r="I78" s="1127">
        <v>0.0</v>
      </c>
      <c r="J78" s="1127">
        <v>0.0</v>
      </c>
      <c r="K78" s="1124"/>
    </row>
    <row r="79" ht="15.75" customHeight="1">
      <c r="A79" s="1119">
        <v>90730.0</v>
      </c>
      <c r="B79" s="1125" t="s">
        <v>10355</v>
      </c>
      <c r="C79" s="1126" t="s">
        <v>1788</v>
      </c>
      <c r="D79" s="1119">
        <v>68.74</v>
      </c>
      <c r="E79" s="1120">
        <v>48.54</v>
      </c>
      <c r="F79" s="1121">
        <f t="shared" si="1"/>
        <v>20.21</v>
      </c>
      <c r="G79" s="1120">
        <v>20.21</v>
      </c>
      <c r="H79" s="1127">
        <v>0.0</v>
      </c>
      <c r="I79" s="1127">
        <v>0.0</v>
      </c>
      <c r="J79" s="1127">
        <v>0.0</v>
      </c>
      <c r="K79" s="1124"/>
    </row>
    <row r="80" ht="15.75" customHeight="1">
      <c r="A80" s="1119">
        <v>90731.0</v>
      </c>
      <c r="B80" s="1125" t="s">
        <v>10356</v>
      </c>
      <c r="C80" s="1126" t="s">
        <v>1788</v>
      </c>
      <c r="D80" s="1119">
        <v>75.37</v>
      </c>
      <c r="E80" s="1120">
        <v>53.19</v>
      </c>
      <c r="F80" s="1121">
        <f t="shared" si="1"/>
        <v>22.19</v>
      </c>
      <c r="G80" s="1120">
        <v>22.19</v>
      </c>
      <c r="H80" s="1127">
        <v>0.0</v>
      </c>
      <c r="I80" s="1127">
        <v>0.0</v>
      </c>
      <c r="J80" s="1127">
        <v>0.0</v>
      </c>
      <c r="K80" s="1124"/>
    </row>
    <row r="81" ht="15.75" customHeight="1">
      <c r="A81" s="1119">
        <v>90732.0</v>
      </c>
      <c r="B81" s="1125" t="s">
        <v>10357</v>
      </c>
      <c r="C81" s="1126" t="s">
        <v>1788</v>
      </c>
      <c r="D81" s="1119">
        <v>95.26</v>
      </c>
      <c r="E81" s="1120">
        <v>67.11</v>
      </c>
      <c r="F81" s="1121">
        <f t="shared" si="1"/>
        <v>28.15</v>
      </c>
      <c r="G81" s="1120">
        <v>28.15</v>
      </c>
      <c r="H81" s="1127">
        <v>0.0</v>
      </c>
      <c r="I81" s="1127">
        <v>0.0</v>
      </c>
      <c r="J81" s="1127">
        <v>0.0</v>
      </c>
      <c r="K81" s="1124"/>
    </row>
    <row r="82" ht="15.75" customHeight="1">
      <c r="A82" s="1119">
        <v>90733.0</v>
      </c>
      <c r="B82" s="1125" t="s">
        <v>10358</v>
      </c>
      <c r="C82" s="1126" t="s">
        <v>1731</v>
      </c>
      <c r="D82" s="1119">
        <v>4.1</v>
      </c>
      <c r="E82" s="1120">
        <v>3.06</v>
      </c>
      <c r="F82" s="1121">
        <f t="shared" si="1"/>
        <v>1.04</v>
      </c>
      <c r="G82" s="1120">
        <v>1.04</v>
      </c>
      <c r="H82" s="1127">
        <v>0.0</v>
      </c>
      <c r="I82" s="1127">
        <v>0.0</v>
      </c>
      <c r="J82" s="1127">
        <v>0.0</v>
      </c>
      <c r="K82" s="1124"/>
    </row>
    <row r="83" ht="15.75" customHeight="1">
      <c r="A83" s="1119">
        <v>90734.0</v>
      </c>
      <c r="B83" s="1125" t="s">
        <v>10359</v>
      </c>
      <c r="C83" s="1126" t="s">
        <v>1731</v>
      </c>
      <c r="D83" s="1119">
        <v>4.85</v>
      </c>
      <c r="E83" s="1120">
        <v>3.61</v>
      </c>
      <c r="F83" s="1121">
        <f t="shared" si="1"/>
        <v>1.24</v>
      </c>
      <c r="G83" s="1120">
        <v>1.24</v>
      </c>
      <c r="H83" s="1127">
        <v>0.0</v>
      </c>
      <c r="I83" s="1127">
        <v>0.0</v>
      </c>
      <c r="J83" s="1127">
        <v>0.0</v>
      </c>
      <c r="K83" s="1124"/>
    </row>
    <row r="84" ht="15.75" customHeight="1">
      <c r="A84" s="1119">
        <v>90735.0</v>
      </c>
      <c r="B84" s="1125" t="s">
        <v>10360</v>
      </c>
      <c r="C84" s="1126" t="s">
        <v>1731</v>
      </c>
      <c r="D84" s="1119">
        <v>5.6</v>
      </c>
      <c r="E84" s="1120">
        <v>4.16</v>
      </c>
      <c r="F84" s="1121">
        <f t="shared" si="1"/>
        <v>1.44</v>
      </c>
      <c r="G84" s="1120">
        <v>1.44</v>
      </c>
      <c r="H84" s="1127">
        <v>0.0</v>
      </c>
      <c r="I84" s="1127">
        <v>0.0</v>
      </c>
      <c r="J84" s="1127">
        <v>0.0</v>
      </c>
      <c r="K84" s="1124"/>
    </row>
    <row r="85" ht="15.75" customHeight="1">
      <c r="A85" s="1119">
        <v>90736.0</v>
      </c>
      <c r="B85" s="1125" t="s">
        <v>10361</v>
      </c>
      <c r="C85" s="1126" t="s">
        <v>1731</v>
      </c>
      <c r="D85" s="1119">
        <v>6.36</v>
      </c>
      <c r="E85" s="1120">
        <v>4.72</v>
      </c>
      <c r="F85" s="1121">
        <f t="shared" si="1"/>
        <v>1.64</v>
      </c>
      <c r="G85" s="1120">
        <v>1.64</v>
      </c>
      <c r="H85" s="1127">
        <v>0.0</v>
      </c>
      <c r="I85" s="1127">
        <v>0.0</v>
      </c>
      <c r="J85" s="1127">
        <v>0.0</v>
      </c>
      <c r="K85" s="1124"/>
    </row>
    <row r="86" ht="15.75" customHeight="1">
      <c r="A86" s="1119">
        <v>90737.0</v>
      </c>
      <c r="B86" s="1125" t="s">
        <v>10362</v>
      </c>
      <c r="C86" s="1126" t="s">
        <v>1731</v>
      </c>
      <c r="D86" s="1119">
        <v>7.11</v>
      </c>
      <c r="E86" s="1120">
        <v>5.28</v>
      </c>
      <c r="F86" s="1121">
        <f t="shared" si="1"/>
        <v>1.83</v>
      </c>
      <c r="G86" s="1120">
        <v>1.83</v>
      </c>
      <c r="H86" s="1127">
        <v>0.0</v>
      </c>
      <c r="I86" s="1127">
        <v>0.0</v>
      </c>
      <c r="J86" s="1127">
        <v>0.0</v>
      </c>
      <c r="K86" s="1124"/>
    </row>
    <row r="87" ht="15.75" customHeight="1">
      <c r="A87" s="1119">
        <v>90738.0</v>
      </c>
      <c r="B87" s="1125" t="s">
        <v>10363</v>
      </c>
      <c r="C87" s="1126" t="s">
        <v>1731</v>
      </c>
      <c r="D87" s="1119">
        <v>7.87</v>
      </c>
      <c r="E87" s="1120">
        <v>5.83</v>
      </c>
      <c r="F87" s="1121">
        <f t="shared" si="1"/>
        <v>2.04</v>
      </c>
      <c r="G87" s="1120">
        <v>2.04</v>
      </c>
      <c r="H87" s="1127">
        <v>0.0</v>
      </c>
      <c r="I87" s="1127">
        <v>0.0</v>
      </c>
      <c r="J87" s="1127">
        <v>0.0</v>
      </c>
      <c r="K87" s="1124"/>
    </row>
    <row r="88" ht="15.75" customHeight="1">
      <c r="A88" s="1119">
        <v>90739.0</v>
      </c>
      <c r="B88" s="1125" t="s">
        <v>10364</v>
      </c>
      <c r="C88" s="1126" t="s">
        <v>1731</v>
      </c>
      <c r="D88" s="1119">
        <v>9.48</v>
      </c>
      <c r="E88" s="1120">
        <v>4.7</v>
      </c>
      <c r="F88" s="1121">
        <f t="shared" si="1"/>
        <v>4.78</v>
      </c>
      <c r="G88" s="1120">
        <v>2.6</v>
      </c>
      <c r="H88" s="1127">
        <v>2.18</v>
      </c>
      <c r="I88" s="1127">
        <v>0.0</v>
      </c>
      <c r="J88" s="1127">
        <v>0.0</v>
      </c>
      <c r="K88" s="1124"/>
    </row>
    <row r="89" ht="15.75" customHeight="1">
      <c r="A89" s="1119">
        <v>90740.0</v>
      </c>
      <c r="B89" s="1125" t="s">
        <v>10365</v>
      </c>
      <c r="C89" s="1126" t="s">
        <v>1731</v>
      </c>
      <c r="D89" s="1119">
        <v>5.4</v>
      </c>
      <c r="E89" s="1120">
        <v>4.02</v>
      </c>
      <c r="F89" s="1121">
        <f t="shared" si="1"/>
        <v>1.39</v>
      </c>
      <c r="G89" s="1120">
        <v>1.39</v>
      </c>
      <c r="H89" s="1127">
        <v>0.0</v>
      </c>
      <c r="I89" s="1127">
        <v>0.0</v>
      </c>
      <c r="J89" s="1127">
        <v>0.0</v>
      </c>
      <c r="K89" s="1124"/>
    </row>
    <row r="90" ht="15.75" customHeight="1">
      <c r="A90" s="1119">
        <v>90741.0</v>
      </c>
      <c r="B90" s="1125" t="s">
        <v>10366</v>
      </c>
      <c r="C90" s="1126" t="s">
        <v>1731</v>
      </c>
      <c r="D90" s="1119">
        <v>6.16</v>
      </c>
      <c r="E90" s="1120">
        <v>4.59</v>
      </c>
      <c r="F90" s="1121">
        <f t="shared" si="1"/>
        <v>1.57</v>
      </c>
      <c r="G90" s="1120">
        <v>1.57</v>
      </c>
      <c r="H90" s="1127">
        <v>0.0</v>
      </c>
      <c r="I90" s="1127">
        <v>0.0</v>
      </c>
      <c r="J90" s="1127">
        <v>0.0</v>
      </c>
      <c r="K90" s="1124"/>
    </row>
    <row r="91" ht="15.75" customHeight="1">
      <c r="A91" s="1119">
        <v>90742.0</v>
      </c>
      <c r="B91" s="1125" t="s">
        <v>10367</v>
      </c>
      <c r="C91" s="1126" t="s">
        <v>1731</v>
      </c>
      <c r="D91" s="1119">
        <v>6.92</v>
      </c>
      <c r="E91" s="1120">
        <v>5.14</v>
      </c>
      <c r="F91" s="1121">
        <f t="shared" si="1"/>
        <v>1.78</v>
      </c>
      <c r="G91" s="1120">
        <v>1.78</v>
      </c>
      <c r="H91" s="1127">
        <v>0.0</v>
      </c>
      <c r="I91" s="1127">
        <v>0.0</v>
      </c>
      <c r="J91" s="1127">
        <v>0.0</v>
      </c>
      <c r="K91" s="1124"/>
    </row>
    <row r="92" ht="15.75" customHeight="1">
      <c r="A92" s="1119">
        <v>90743.0</v>
      </c>
      <c r="B92" s="1125" t="s">
        <v>10368</v>
      </c>
      <c r="C92" s="1126" t="s">
        <v>1731</v>
      </c>
      <c r="D92" s="1119">
        <v>7.67</v>
      </c>
      <c r="E92" s="1120">
        <v>5.68</v>
      </c>
      <c r="F92" s="1121">
        <f t="shared" si="1"/>
        <v>1.99</v>
      </c>
      <c r="G92" s="1120">
        <v>1.99</v>
      </c>
      <c r="H92" s="1127">
        <v>0.0</v>
      </c>
      <c r="I92" s="1127">
        <v>0.0</v>
      </c>
      <c r="J92" s="1127">
        <v>0.0</v>
      </c>
      <c r="K92" s="1124"/>
    </row>
    <row r="93" ht="15.75" customHeight="1">
      <c r="A93" s="1119">
        <v>90744.0</v>
      </c>
      <c r="B93" s="1125" t="s">
        <v>10369</v>
      </c>
      <c r="C93" s="1126" t="s">
        <v>1731</v>
      </c>
      <c r="D93" s="1119">
        <v>8.43</v>
      </c>
      <c r="E93" s="1120">
        <v>6.24</v>
      </c>
      <c r="F93" s="1121">
        <f t="shared" si="1"/>
        <v>2.19</v>
      </c>
      <c r="G93" s="1120">
        <v>2.19</v>
      </c>
      <c r="H93" s="1127">
        <v>0.0</v>
      </c>
      <c r="I93" s="1127">
        <v>0.0</v>
      </c>
      <c r="J93" s="1127">
        <v>0.0</v>
      </c>
      <c r="K93" s="1124"/>
    </row>
    <row r="94" ht="15.75" customHeight="1">
      <c r="A94" s="1119">
        <v>90745.0</v>
      </c>
      <c r="B94" s="1125" t="s">
        <v>10370</v>
      </c>
      <c r="C94" s="1126" t="s">
        <v>1731</v>
      </c>
      <c r="D94" s="1119">
        <v>10.58</v>
      </c>
      <c r="E94" s="1120">
        <v>5.25</v>
      </c>
      <c r="F94" s="1121">
        <f t="shared" si="1"/>
        <v>5.34</v>
      </c>
      <c r="G94" s="1120">
        <v>2.9</v>
      </c>
      <c r="H94" s="1127">
        <v>2.44</v>
      </c>
      <c r="I94" s="1127">
        <v>0.0</v>
      </c>
      <c r="J94" s="1127">
        <v>0.0</v>
      </c>
      <c r="K94" s="1124"/>
    </row>
    <row r="95" ht="15.75" customHeight="1">
      <c r="A95" s="1119">
        <v>90746.0</v>
      </c>
      <c r="B95" s="1125" t="s">
        <v>10371</v>
      </c>
      <c r="C95" s="1126" t="s">
        <v>1731</v>
      </c>
      <c r="D95" s="1119">
        <v>4.42</v>
      </c>
      <c r="E95" s="1120">
        <v>3.29</v>
      </c>
      <c r="F95" s="1121">
        <f t="shared" si="1"/>
        <v>1.13</v>
      </c>
      <c r="G95" s="1120">
        <v>1.13</v>
      </c>
      <c r="H95" s="1127">
        <v>0.0</v>
      </c>
      <c r="I95" s="1127">
        <v>0.0</v>
      </c>
      <c r="J95" s="1127">
        <v>0.0</v>
      </c>
      <c r="K95" s="1124"/>
    </row>
    <row r="96" ht="15.75" customHeight="1">
      <c r="A96" s="1119">
        <v>90747.0</v>
      </c>
      <c r="B96" s="1125" t="s">
        <v>10372</v>
      </c>
      <c r="C96" s="1126" t="s">
        <v>1731</v>
      </c>
      <c r="D96" s="1119">
        <v>17.58</v>
      </c>
      <c r="E96" s="1120">
        <v>6.96</v>
      </c>
      <c r="F96" s="1121">
        <f t="shared" si="1"/>
        <v>10.64</v>
      </c>
      <c r="G96" s="1120">
        <v>4.3</v>
      </c>
      <c r="H96" s="1127">
        <v>6.34</v>
      </c>
      <c r="I96" s="1127">
        <v>0.0</v>
      </c>
      <c r="J96" s="1127">
        <v>0.0</v>
      </c>
      <c r="K96" s="1124"/>
    </row>
    <row r="97" ht="15.75" customHeight="1">
      <c r="A97" s="1119">
        <v>94869.0</v>
      </c>
      <c r="B97" s="1125" t="s">
        <v>10373</v>
      </c>
      <c r="C97" s="1126" t="s">
        <v>1731</v>
      </c>
      <c r="D97" s="1119">
        <v>116.96</v>
      </c>
      <c r="E97" s="1120">
        <v>0.78</v>
      </c>
      <c r="F97" s="1121">
        <f t="shared" si="1"/>
        <v>116.18</v>
      </c>
      <c r="G97" s="1120">
        <v>116.18</v>
      </c>
      <c r="H97" s="1127">
        <v>0.0</v>
      </c>
      <c r="I97" s="1127">
        <v>0.0</v>
      </c>
      <c r="J97" s="1127">
        <v>0.0</v>
      </c>
      <c r="K97" s="1124"/>
    </row>
    <row r="98" ht="15.75" customHeight="1">
      <c r="A98" s="1119">
        <v>94870.0</v>
      </c>
      <c r="B98" s="1125" t="s">
        <v>10374</v>
      </c>
      <c r="C98" s="1126" t="s">
        <v>1731</v>
      </c>
      <c r="D98" s="1119">
        <v>2.17</v>
      </c>
      <c r="E98" s="1120">
        <v>0.8</v>
      </c>
      <c r="F98" s="1121">
        <f t="shared" si="1"/>
        <v>1.37</v>
      </c>
      <c r="G98" s="1120">
        <v>1.37</v>
      </c>
      <c r="H98" s="1127">
        <v>0.0</v>
      </c>
      <c r="I98" s="1127">
        <v>0.0</v>
      </c>
      <c r="J98" s="1127">
        <v>0.0</v>
      </c>
      <c r="K98" s="1124"/>
    </row>
    <row r="99" ht="15.75" customHeight="1">
      <c r="A99" s="1119">
        <v>94871.0</v>
      </c>
      <c r="B99" s="1125" t="s">
        <v>10375</v>
      </c>
      <c r="C99" s="1126" t="s">
        <v>1731</v>
      </c>
      <c r="D99" s="1119">
        <v>182.93</v>
      </c>
      <c r="E99" s="1120">
        <v>1.38</v>
      </c>
      <c r="F99" s="1121">
        <f t="shared" si="1"/>
        <v>181.54</v>
      </c>
      <c r="G99" s="1120">
        <v>181.54</v>
      </c>
      <c r="H99" s="1127">
        <v>0.0</v>
      </c>
      <c r="I99" s="1127">
        <v>0.0</v>
      </c>
      <c r="J99" s="1127">
        <v>0.0</v>
      </c>
      <c r="K99" s="1124"/>
    </row>
    <row r="100" ht="15.75" customHeight="1">
      <c r="A100" s="1119">
        <v>94872.0</v>
      </c>
      <c r="B100" s="1125" t="s">
        <v>10376</v>
      </c>
      <c r="C100" s="1126" t="s">
        <v>1731</v>
      </c>
      <c r="D100" s="1119">
        <v>3.09</v>
      </c>
      <c r="E100" s="1120">
        <v>1.4</v>
      </c>
      <c r="F100" s="1121">
        <f t="shared" si="1"/>
        <v>1.69</v>
      </c>
      <c r="G100" s="1120">
        <v>1.69</v>
      </c>
      <c r="H100" s="1127">
        <v>0.0</v>
      </c>
      <c r="I100" s="1127">
        <v>0.0</v>
      </c>
      <c r="J100" s="1127">
        <v>0.0</v>
      </c>
      <c r="K100" s="1124"/>
    </row>
    <row r="101" ht="15.75" customHeight="1">
      <c r="A101" s="1119">
        <v>94875.0</v>
      </c>
      <c r="B101" s="1125" t="s">
        <v>10377</v>
      </c>
      <c r="C101" s="1126" t="s">
        <v>1731</v>
      </c>
      <c r="D101" s="1128">
        <v>1077.54</v>
      </c>
      <c r="E101" s="1120">
        <v>10.45</v>
      </c>
      <c r="F101" s="1121">
        <f t="shared" si="1"/>
        <v>1067.09</v>
      </c>
      <c r="G101" s="1120">
        <v>1057.61</v>
      </c>
      <c r="H101" s="1127">
        <v>9.48</v>
      </c>
      <c r="I101" s="1127">
        <v>0.0</v>
      </c>
      <c r="J101" s="1127">
        <v>0.0</v>
      </c>
      <c r="K101" s="1124"/>
    </row>
    <row r="102" ht="15.75" customHeight="1">
      <c r="A102" s="1119">
        <v>94876.0</v>
      </c>
      <c r="B102" s="1125" t="s">
        <v>10378</v>
      </c>
      <c r="C102" s="1126" t="s">
        <v>1731</v>
      </c>
      <c r="D102" s="1119">
        <v>29.63</v>
      </c>
      <c r="E102" s="1120">
        <v>10.52</v>
      </c>
      <c r="F102" s="1121">
        <f t="shared" si="1"/>
        <v>19.14</v>
      </c>
      <c r="G102" s="1120">
        <v>9.61</v>
      </c>
      <c r="H102" s="1127">
        <v>9.53</v>
      </c>
      <c r="I102" s="1127">
        <v>0.0</v>
      </c>
      <c r="J102" s="1127">
        <v>0.0</v>
      </c>
      <c r="K102" s="1124"/>
    </row>
    <row r="103" ht="15.75" customHeight="1">
      <c r="A103" s="1119">
        <v>94878.0</v>
      </c>
      <c r="B103" s="1125" t="s">
        <v>10379</v>
      </c>
      <c r="C103" s="1126" t="s">
        <v>1731</v>
      </c>
      <c r="D103" s="1119">
        <v>34.26</v>
      </c>
      <c r="E103" s="1120">
        <v>12.35</v>
      </c>
      <c r="F103" s="1121">
        <f t="shared" si="1"/>
        <v>21.94</v>
      </c>
      <c r="G103" s="1120">
        <v>10.74</v>
      </c>
      <c r="H103" s="1127">
        <v>11.2</v>
      </c>
      <c r="I103" s="1127">
        <v>0.0</v>
      </c>
      <c r="J103" s="1127">
        <v>0.0</v>
      </c>
      <c r="K103" s="1124"/>
    </row>
    <row r="104" ht="15.75" customHeight="1">
      <c r="A104" s="1119">
        <v>94879.0</v>
      </c>
      <c r="B104" s="1125" t="s">
        <v>10380</v>
      </c>
      <c r="C104" s="1126" t="s">
        <v>1731</v>
      </c>
      <c r="D104" s="1128">
        <v>1658.54</v>
      </c>
      <c r="E104" s="1120">
        <v>15.03</v>
      </c>
      <c r="F104" s="1121">
        <f t="shared" si="1"/>
        <v>1643.49</v>
      </c>
      <c r="G104" s="1120">
        <v>1629.86</v>
      </c>
      <c r="H104" s="1127">
        <v>13.63</v>
      </c>
      <c r="I104" s="1127">
        <v>0.0</v>
      </c>
      <c r="J104" s="1127">
        <v>0.0</v>
      </c>
      <c r="K104" s="1124"/>
    </row>
    <row r="105" ht="15.75" customHeight="1">
      <c r="A105" s="1119">
        <v>94880.0</v>
      </c>
      <c r="B105" s="1125" t="s">
        <v>10381</v>
      </c>
      <c r="C105" s="1126" t="s">
        <v>1731</v>
      </c>
      <c r="D105" s="1119">
        <v>44.26</v>
      </c>
      <c r="E105" s="1120">
        <v>15.08</v>
      </c>
      <c r="F105" s="1121">
        <f t="shared" si="1"/>
        <v>29.17</v>
      </c>
      <c r="G105" s="1120">
        <v>15.5</v>
      </c>
      <c r="H105" s="1127">
        <v>13.67</v>
      </c>
      <c r="I105" s="1127">
        <v>0.0</v>
      </c>
      <c r="J105" s="1127">
        <v>0.0</v>
      </c>
      <c r="K105" s="1124"/>
    </row>
    <row r="106" ht="15.75" customHeight="1">
      <c r="A106" s="1119">
        <v>94881.0</v>
      </c>
      <c r="B106" s="1125" t="s">
        <v>10382</v>
      </c>
      <c r="C106" s="1126" t="s">
        <v>1731</v>
      </c>
      <c r="D106" s="1128">
        <v>2282.4</v>
      </c>
      <c r="E106" s="1120">
        <v>17.85</v>
      </c>
      <c r="F106" s="1121">
        <f t="shared" si="1"/>
        <v>2264.59</v>
      </c>
      <c r="G106" s="1120">
        <v>2248.42</v>
      </c>
      <c r="H106" s="1127">
        <v>16.17</v>
      </c>
      <c r="I106" s="1127">
        <v>0.0</v>
      </c>
      <c r="J106" s="1127">
        <v>0.0</v>
      </c>
      <c r="K106" s="1124"/>
    </row>
    <row r="107" ht="15.75" customHeight="1">
      <c r="A107" s="1119">
        <v>94882.0</v>
      </c>
      <c r="B107" s="1125" t="s">
        <v>10383</v>
      </c>
      <c r="C107" s="1126" t="s">
        <v>1731</v>
      </c>
      <c r="D107" s="1119">
        <v>51.38</v>
      </c>
      <c r="E107" s="1120">
        <v>17.91</v>
      </c>
      <c r="F107" s="1121">
        <f t="shared" si="1"/>
        <v>33.52</v>
      </c>
      <c r="G107" s="1120">
        <v>17.29</v>
      </c>
      <c r="H107" s="1127">
        <v>16.23</v>
      </c>
      <c r="I107" s="1127">
        <v>0.0</v>
      </c>
      <c r="J107" s="1127">
        <v>0.0</v>
      </c>
      <c r="K107" s="1124"/>
    </row>
    <row r="108" ht="15.75" customHeight="1">
      <c r="A108" s="1119">
        <v>94884.0</v>
      </c>
      <c r="B108" s="1125" t="s">
        <v>10384</v>
      </c>
      <c r="C108" s="1126" t="s">
        <v>1731</v>
      </c>
      <c r="D108" s="1119">
        <v>65.84</v>
      </c>
      <c r="E108" s="1120">
        <v>23.6</v>
      </c>
      <c r="F108" s="1121">
        <f t="shared" si="1"/>
        <v>42.27</v>
      </c>
      <c r="G108" s="1120">
        <v>20.89</v>
      </c>
      <c r="H108" s="1127">
        <v>21.38</v>
      </c>
      <c r="I108" s="1127">
        <v>0.0</v>
      </c>
      <c r="J108" s="1127">
        <v>0.0</v>
      </c>
      <c r="K108" s="1124"/>
    </row>
    <row r="109" ht="15.75" customHeight="1">
      <c r="A109" s="1119">
        <v>97121.0</v>
      </c>
      <c r="B109" s="1125" t="s">
        <v>10385</v>
      </c>
      <c r="C109" s="1126" t="s">
        <v>1731</v>
      </c>
      <c r="D109" s="1119">
        <v>2.44</v>
      </c>
      <c r="E109" s="1120">
        <v>1.74</v>
      </c>
      <c r="F109" s="1121">
        <f t="shared" si="1"/>
        <v>0.69</v>
      </c>
      <c r="G109" s="1120">
        <v>0.69</v>
      </c>
      <c r="H109" s="1127">
        <v>0.0</v>
      </c>
      <c r="I109" s="1127">
        <v>0.0</v>
      </c>
      <c r="J109" s="1127">
        <v>0.0</v>
      </c>
      <c r="K109" s="1124"/>
    </row>
    <row r="110" ht="15.75" customHeight="1">
      <c r="A110" s="1119">
        <v>97122.0</v>
      </c>
      <c r="B110" s="1125" t="s">
        <v>10386</v>
      </c>
      <c r="C110" s="1126" t="s">
        <v>1731</v>
      </c>
      <c r="D110" s="1119">
        <v>3.37</v>
      </c>
      <c r="E110" s="1120">
        <v>2.35</v>
      </c>
      <c r="F110" s="1121">
        <f t="shared" si="1"/>
        <v>1.02</v>
      </c>
      <c r="G110" s="1120">
        <v>1.02</v>
      </c>
      <c r="H110" s="1127">
        <v>0.0</v>
      </c>
      <c r="I110" s="1127">
        <v>0.0</v>
      </c>
      <c r="J110" s="1127">
        <v>0.0</v>
      </c>
      <c r="K110" s="1124"/>
    </row>
    <row r="111" ht="15.75" customHeight="1">
      <c r="A111" s="1119">
        <v>97123.0</v>
      </c>
      <c r="B111" s="1125" t="s">
        <v>10387</v>
      </c>
      <c r="C111" s="1126" t="s">
        <v>1731</v>
      </c>
      <c r="D111" s="1119">
        <v>4.28</v>
      </c>
      <c r="E111" s="1120">
        <v>2.98</v>
      </c>
      <c r="F111" s="1121">
        <f t="shared" si="1"/>
        <v>1.3</v>
      </c>
      <c r="G111" s="1120">
        <v>1.3</v>
      </c>
      <c r="H111" s="1127">
        <v>0.0</v>
      </c>
      <c r="I111" s="1127">
        <v>0.0</v>
      </c>
      <c r="J111" s="1127">
        <v>0.0</v>
      </c>
      <c r="K111" s="1124"/>
    </row>
    <row r="112" ht="15.75" customHeight="1">
      <c r="A112" s="1119">
        <v>97124.0</v>
      </c>
      <c r="B112" s="1125" t="s">
        <v>10388</v>
      </c>
      <c r="C112" s="1126" t="s">
        <v>1731</v>
      </c>
      <c r="D112" s="1119">
        <v>1.07</v>
      </c>
      <c r="E112" s="1120">
        <v>0.72</v>
      </c>
      <c r="F112" s="1121">
        <f t="shared" si="1"/>
        <v>0.35</v>
      </c>
      <c r="G112" s="1120">
        <v>0.35</v>
      </c>
      <c r="H112" s="1127">
        <v>0.0</v>
      </c>
      <c r="I112" s="1127">
        <v>0.0</v>
      </c>
      <c r="J112" s="1127">
        <v>0.0</v>
      </c>
      <c r="K112" s="1124"/>
    </row>
    <row r="113" ht="15.75" customHeight="1">
      <c r="A113" s="1119">
        <v>97125.0</v>
      </c>
      <c r="B113" s="1125" t="s">
        <v>10389</v>
      </c>
      <c r="C113" s="1126" t="s">
        <v>1731</v>
      </c>
      <c r="D113" s="1119">
        <v>1.51</v>
      </c>
      <c r="E113" s="1120">
        <v>0.98</v>
      </c>
      <c r="F113" s="1121">
        <f t="shared" si="1"/>
        <v>0.53</v>
      </c>
      <c r="G113" s="1120">
        <v>0.53</v>
      </c>
      <c r="H113" s="1127">
        <v>0.0</v>
      </c>
      <c r="I113" s="1127">
        <v>0.0</v>
      </c>
      <c r="J113" s="1127">
        <v>0.0</v>
      </c>
      <c r="K113" s="1124"/>
    </row>
    <row r="114" ht="15.75" customHeight="1">
      <c r="A114" s="1119">
        <v>97126.0</v>
      </c>
      <c r="B114" s="1125" t="s">
        <v>10390</v>
      </c>
      <c r="C114" s="1126" t="s">
        <v>1731</v>
      </c>
      <c r="D114" s="1119">
        <v>1.92</v>
      </c>
      <c r="E114" s="1120">
        <v>1.26</v>
      </c>
      <c r="F114" s="1121">
        <f t="shared" si="1"/>
        <v>0.68</v>
      </c>
      <c r="G114" s="1120">
        <v>0.68</v>
      </c>
      <c r="H114" s="1127">
        <v>0.0</v>
      </c>
      <c r="I114" s="1127">
        <v>0.0</v>
      </c>
      <c r="J114" s="1127">
        <v>0.0</v>
      </c>
      <c r="K114" s="1124"/>
    </row>
    <row r="115" ht="15.75" customHeight="1">
      <c r="A115" s="1119">
        <v>102264.0</v>
      </c>
      <c r="B115" s="1125" t="s">
        <v>10391</v>
      </c>
      <c r="C115" s="1126" t="s">
        <v>1731</v>
      </c>
      <c r="D115" s="1119">
        <v>22.72</v>
      </c>
      <c r="E115" s="1120">
        <v>3.0</v>
      </c>
      <c r="F115" s="1121">
        <f t="shared" si="1"/>
        <v>19.73</v>
      </c>
      <c r="G115" s="1120">
        <v>19.73</v>
      </c>
      <c r="H115" s="1127">
        <v>0.0</v>
      </c>
      <c r="I115" s="1127">
        <v>0.0</v>
      </c>
      <c r="J115" s="1127">
        <v>0.0</v>
      </c>
      <c r="K115" s="1124"/>
    </row>
    <row r="116" ht="15.75" customHeight="1">
      <c r="A116" s="1119">
        <v>102265.0</v>
      </c>
      <c r="B116" s="1125" t="s">
        <v>10392</v>
      </c>
      <c r="C116" s="1126" t="s">
        <v>1788</v>
      </c>
      <c r="D116" s="1119">
        <v>121.79</v>
      </c>
      <c r="E116" s="1120">
        <v>85.67</v>
      </c>
      <c r="F116" s="1121">
        <f t="shared" si="1"/>
        <v>36.12</v>
      </c>
      <c r="G116" s="1120">
        <v>36.12</v>
      </c>
      <c r="H116" s="1127">
        <v>0.0</v>
      </c>
      <c r="I116" s="1127">
        <v>0.0</v>
      </c>
      <c r="J116" s="1127">
        <v>0.0</v>
      </c>
      <c r="K116" s="1124"/>
    </row>
    <row r="117" ht="15.75" customHeight="1">
      <c r="A117" s="1119">
        <v>102266.0</v>
      </c>
      <c r="B117" s="1125" t="s">
        <v>10393</v>
      </c>
      <c r="C117" s="1126" t="s">
        <v>1788</v>
      </c>
      <c r="D117" s="1119">
        <v>135.04</v>
      </c>
      <c r="E117" s="1120">
        <v>94.92</v>
      </c>
      <c r="F117" s="1121">
        <f t="shared" si="1"/>
        <v>40.12</v>
      </c>
      <c r="G117" s="1120">
        <v>40.12</v>
      </c>
      <c r="H117" s="1127">
        <v>0.0</v>
      </c>
      <c r="I117" s="1127">
        <v>0.0</v>
      </c>
      <c r="J117" s="1127">
        <v>0.0</v>
      </c>
      <c r="K117" s="1124"/>
    </row>
    <row r="118" ht="15.75" customHeight="1">
      <c r="A118" s="1119">
        <v>102267.0</v>
      </c>
      <c r="B118" s="1125" t="s">
        <v>10394</v>
      </c>
      <c r="C118" s="1126" t="s">
        <v>1788</v>
      </c>
      <c r="D118" s="1119">
        <v>154.99</v>
      </c>
      <c r="E118" s="1120">
        <v>108.86</v>
      </c>
      <c r="F118" s="1121">
        <f t="shared" si="1"/>
        <v>46.13</v>
      </c>
      <c r="G118" s="1120">
        <v>46.13</v>
      </c>
      <c r="H118" s="1127">
        <v>0.0</v>
      </c>
      <c r="I118" s="1127">
        <v>0.0</v>
      </c>
      <c r="J118" s="1127">
        <v>0.0</v>
      </c>
      <c r="K118" s="1124"/>
    </row>
    <row r="119" ht="15.75" customHeight="1">
      <c r="A119" s="1119">
        <v>102268.0</v>
      </c>
      <c r="B119" s="1125" t="s">
        <v>10395</v>
      </c>
      <c r="C119" s="1126" t="s">
        <v>1788</v>
      </c>
      <c r="D119" s="1119">
        <v>174.88</v>
      </c>
      <c r="E119" s="1120">
        <v>122.79</v>
      </c>
      <c r="F119" s="1121">
        <f t="shared" si="1"/>
        <v>52.1</v>
      </c>
      <c r="G119" s="1120">
        <v>52.1</v>
      </c>
      <c r="H119" s="1127">
        <v>0.0</v>
      </c>
      <c r="I119" s="1127">
        <v>0.0</v>
      </c>
      <c r="J119" s="1127">
        <v>0.0</v>
      </c>
      <c r="K119" s="1124"/>
    </row>
    <row r="120" ht="15.75" customHeight="1">
      <c r="A120" s="1119">
        <v>102269.0</v>
      </c>
      <c r="B120" s="1125" t="s">
        <v>10396</v>
      </c>
      <c r="C120" s="1126" t="s">
        <v>1788</v>
      </c>
      <c r="D120" s="1119">
        <v>214.67</v>
      </c>
      <c r="E120" s="1120">
        <v>150.6</v>
      </c>
      <c r="F120" s="1121">
        <f t="shared" si="1"/>
        <v>64.07</v>
      </c>
      <c r="G120" s="1120">
        <v>64.07</v>
      </c>
      <c r="H120" s="1127">
        <v>0.0</v>
      </c>
      <c r="I120" s="1127">
        <v>0.0</v>
      </c>
      <c r="J120" s="1127">
        <v>0.0</v>
      </c>
      <c r="K120" s="1124"/>
    </row>
    <row r="121" ht="15.75" customHeight="1">
      <c r="A121" s="1119">
        <v>92833.0</v>
      </c>
      <c r="B121" s="1125" t="s">
        <v>10397</v>
      </c>
      <c r="C121" s="1126" t="s">
        <v>1731</v>
      </c>
      <c r="D121" s="1119">
        <v>154.59</v>
      </c>
      <c r="E121" s="1120">
        <v>4.52</v>
      </c>
      <c r="F121" s="1121">
        <f t="shared" si="1"/>
        <v>150.09</v>
      </c>
      <c r="G121" s="1120">
        <v>147.09</v>
      </c>
      <c r="H121" s="1127">
        <v>3.0</v>
      </c>
      <c r="I121" s="1127">
        <v>0.0</v>
      </c>
      <c r="J121" s="1127">
        <v>0.0</v>
      </c>
      <c r="K121" s="1124"/>
    </row>
    <row r="122" ht="15.75" customHeight="1">
      <c r="A122" s="1119">
        <v>92834.0</v>
      </c>
      <c r="B122" s="1125" t="s">
        <v>10398</v>
      </c>
      <c r="C122" s="1126" t="s">
        <v>1731</v>
      </c>
      <c r="D122" s="1119">
        <v>9.83</v>
      </c>
      <c r="E122" s="1120">
        <v>4.59</v>
      </c>
      <c r="F122" s="1121">
        <f t="shared" si="1"/>
        <v>5.25</v>
      </c>
      <c r="G122" s="1120">
        <v>2.21</v>
      </c>
      <c r="H122" s="1127">
        <v>3.04</v>
      </c>
      <c r="I122" s="1127">
        <v>0.0</v>
      </c>
      <c r="J122" s="1127">
        <v>0.0</v>
      </c>
      <c r="K122" s="1124"/>
    </row>
    <row r="123" ht="15.75" customHeight="1">
      <c r="A123" s="1119">
        <v>92835.0</v>
      </c>
      <c r="B123" s="1125" t="s">
        <v>10399</v>
      </c>
      <c r="C123" s="1126" t="s">
        <v>1731</v>
      </c>
      <c r="D123" s="1119">
        <v>162.64</v>
      </c>
      <c r="E123" s="1120">
        <v>5.75</v>
      </c>
      <c r="F123" s="1121">
        <f t="shared" si="1"/>
        <v>156.9</v>
      </c>
      <c r="G123" s="1120">
        <v>153.06</v>
      </c>
      <c r="H123" s="1127">
        <v>3.84</v>
      </c>
      <c r="I123" s="1127">
        <v>0.0</v>
      </c>
      <c r="J123" s="1127">
        <v>0.0</v>
      </c>
      <c r="K123" s="1124"/>
    </row>
    <row r="124" ht="15.75" customHeight="1">
      <c r="A124" s="1119">
        <v>92836.0</v>
      </c>
      <c r="B124" s="1125" t="s">
        <v>10400</v>
      </c>
      <c r="C124" s="1126" t="s">
        <v>1731</v>
      </c>
      <c r="D124" s="1119">
        <v>12.53</v>
      </c>
      <c r="E124" s="1120">
        <v>5.82</v>
      </c>
      <c r="F124" s="1121">
        <f t="shared" si="1"/>
        <v>6.71</v>
      </c>
      <c r="G124" s="1120">
        <v>2.83</v>
      </c>
      <c r="H124" s="1127">
        <v>3.88</v>
      </c>
      <c r="I124" s="1127">
        <v>0.0</v>
      </c>
      <c r="J124" s="1127">
        <v>0.0</v>
      </c>
      <c r="K124" s="1124"/>
    </row>
    <row r="125" ht="15.75" customHeight="1">
      <c r="A125" s="1119">
        <v>92837.0</v>
      </c>
      <c r="B125" s="1125" t="s">
        <v>10401</v>
      </c>
      <c r="C125" s="1126" t="s">
        <v>1731</v>
      </c>
      <c r="D125" s="1119">
        <v>285.12</v>
      </c>
      <c r="E125" s="1120">
        <v>6.97</v>
      </c>
      <c r="F125" s="1121">
        <f t="shared" si="1"/>
        <v>278.17</v>
      </c>
      <c r="G125" s="1120">
        <v>273.59</v>
      </c>
      <c r="H125" s="1127">
        <v>4.58</v>
      </c>
      <c r="I125" s="1127">
        <v>0.0</v>
      </c>
      <c r="J125" s="1127">
        <v>0.0</v>
      </c>
      <c r="K125" s="1124"/>
    </row>
    <row r="126" ht="15.75" customHeight="1">
      <c r="A126" s="1119">
        <v>92838.0</v>
      </c>
      <c r="B126" s="1125" t="s">
        <v>10402</v>
      </c>
      <c r="C126" s="1126" t="s">
        <v>1731</v>
      </c>
      <c r="D126" s="1119">
        <v>15.06</v>
      </c>
      <c r="E126" s="1120">
        <v>7.05</v>
      </c>
      <c r="F126" s="1121">
        <f t="shared" si="1"/>
        <v>8.03</v>
      </c>
      <c r="G126" s="1120">
        <v>3.41</v>
      </c>
      <c r="H126" s="1127">
        <v>4.62</v>
      </c>
      <c r="I126" s="1127">
        <v>0.0</v>
      </c>
      <c r="J126" s="1127">
        <v>0.0</v>
      </c>
      <c r="K126" s="1124"/>
    </row>
    <row r="127" ht="15.75" customHeight="1">
      <c r="A127" s="1119">
        <v>92839.0</v>
      </c>
      <c r="B127" s="1125" t="s">
        <v>10403</v>
      </c>
      <c r="C127" s="1126" t="s">
        <v>1731</v>
      </c>
      <c r="D127" s="1119">
        <v>348.64</v>
      </c>
      <c r="E127" s="1120">
        <v>8.2</v>
      </c>
      <c r="F127" s="1121">
        <f t="shared" si="1"/>
        <v>340.44</v>
      </c>
      <c r="G127" s="1120">
        <v>334.98</v>
      </c>
      <c r="H127" s="1127">
        <v>5.46</v>
      </c>
      <c r="I127" s="1127">
        <v>0.0</v>
      </c>
      <c r="J127" s="1127">
        <v>0.0</v>
      </c>
      <c r="K127" s="1124"/>
    </row>
    <row r="128" ht="15.75" customHeight="1">
      <c r="A128" s="1119">
        <v>92840.0</v>
      </c>
      <c r="B128" s="1125" t="s">
        <v>10404</v>
      </c>
      <c r="C128" s="1126" t="s">
        <v>1731</v>
      </c>
      <c r="D128" s="1119">
        <v>17.83</v>
      </c>
      <c r="E128" s="1120">
        <v>8.27</v>
      </c>
      <c r="F128" s="1121">
        <f t="shared" si="1"/>
        <v>9.56</v>
      </c>
      <c r="G128" s="1120">
        <v>4.06</v>
      </c>
      <c r="H128" s="1127">
        <v>5.5</v>
      </c>
      <c r="I128" s="1127">
        <v>0.0</v>
      </c>
      <c r="J128" s="1127">
        <v>0.0</v>
      </c>
      <c r="K128" s="1124"/>
    </row>
    <row r="129" ht="15.75" customHeight="1">
      <c r="A129" s="1119">
        <v>92841.0</v>
      </c>
      <c r="B129" s="1125" t="s">
        <v>10405</v>
      </c>
      <c r="C129" s="1126" t="s">
        <v>1731</v>
      </c>
      <c r="D129" s="1119">
        <v>453.42</v>
      </c>
      <c r="E129" s="1120">
        <v>9.43</v>
      </c>
      <c r="F129" s="1121">
        <f t="shared" si="1"/>
        <v>443.99</v>
      </c>
      <c r="G129" s="1120">
        <v>437.79</v>
      </c>
      <c r="H129" s="1127">
        <v>6.2</v>
      </c>
      <c r="I129" s="1127">
        <v>0.0</v>
      </c>
      <c r="J129" s="1127">
        <v>0.0</v>
      </c>
      <c r="K129" s="1124"/>
    </row>
    <row r="130" ht="15.75" customHeight="1">
      <c r="A130" s="1119">
        <v>92842.0</v>
      </c>
      <c r="B130" s="1125" t="s">
        <v>10406</v>
      </c>
      <c r="C130" s="1126" t="s">
        <v>1731</v>
      </c>
      <c r="D130" s="1119">
        <v>20.39</v>
      </c>
      <c r="E130" s="1120">
        <v>9.51</v>
      </c>
      <c r="F130" s="1121">
        <f t="shared" si="1"/>
        <v>10.9</v>
      </c>
      <c r="G130" s="1120">
        <v>4.66</v>
      </c>
      <c r="H130" s="1127">
        <v>6.24</v>
      </c>
      <c r="I130" s="1127">
        <v>0.0</v>
      </c>
      <c r="J130" s="1127">
        <v>0.0</v>
      </c>
      <c r="K130" s="1124"/>
    </row>
    <row r="131" ht="15.75" customHeight="1">
      <c r="A131" s="1119">
        <v>92843.0</v>
      </c>
      <c r="B131" s="1125" t="s">
        <v>10407</v>
      </c>
      <c r="C131" s="1126" t="s">
        <v>1731</v>
      </c>
      <c r="D131" s="1119">
        <v>470.47</v>
      </c>
      <c r="E131" s="1120">
        <v>10.65</v>
      </c>
      <c r="F131" s="1121">
        <f t="shared" si="1"/>
        <v>459.79</v>
      </c>
      <c r="G131" s="1120">
        <v>452.69</v>
      </c>
      <c r="H131" s="1127">
        <v>7.1</v>
      </c>
      <c r="I131" s="1127">
        <v>0.0</v>
      </c>
      <c r="J131" s="1127">
        <v>0.0</v>
      </c>
      <c r="K131" s="1124"/>
    </row>
    <row r="132" ht="15.75" customHeight="1">
      <c r="A132" s="1119">
        <v>92844.0</v>
      </c>
      <c r="B132" s="1125" t="s">
        <v>10408</v>
      </c>
      <c r="C132" s="1126" t="s">
        <v>1731</v>
      </c>
      <c r="D132" s="1119">
        <v>23.15</v>
      </c>
      <c r="E132" s="1120">
        <v>10.74</v>
      </c>
      <c r="F132" s="1121">
        <f t="shared" si="1"/>
        <v>12.41</v>
      </c>
      <c r="G132" s="1120">
        <v>5.27</v>
      </c>
      <c r="H132" s="1127">
        <v>7.14</v>
      </c>
      <c r="I132" s="1127">
        <v>0.0</v>
      </c>
      <c r="J132" s="1127">
        <v>0.0</v>
      </c>
      <c r="K132" s="1124"/>
    </row>
    <row r="133" ht="15.75" customHeight="1">
      <c r="A133" s="1119">
        <v>92845.0</v>
      </c>
      <c r="B133" s="1125" t="s">
        <v>10409</v>
      </c>
      <c r="C133" s="1126" t="s">
        <v>1731</v>
      </c>
      <c r="D133" s="1119">
        <v>694.07</v>
      </c>
      <c r="E133" s="1120">
        <v>11.89</v>
      </c>
      <c r="F133" s="1121">
        <f t="shared" si="1"/>
        <v>682.2</v>
      </c>
      <c r="G133" s="1120">
        <v>674.38</v>
      </c>
      <c r="H133" s="1127">
        <v>7.82</v>
      </c>
      <c r="I133" s="1127">
        <v>0.0</v>
      </c>
      <c r="J133" s="1127">
        <v>0.0</v>
      </c>
      <c r="K133" s="1124"/>
    </row>
    <row r="134" ht="15.75" customHeight="1">
      <c r="A134" s="1119">
        <v>92846.0</v>
      </c>
      <c r="B134" s="1125" t="s">
        <v>10410</v>
      </c>
      <c r="C134" s="1126" t="s">
        <v>1731</v>
      </c>
      <c r="D134" s="1119">
        <v>25.67</v>
      </c>
      <c r="E134" s="1120">
        <v>11.96</v>
      </c>
      <c r="F134" s="1121">
        <f t="shared" si="1"/>
        <v>13.72</v>
      </c>
      <c r="G134" s="1120">
        <v>5.85</v>
      </c>
      <c r="H134" s="1127">
        <v>7.87</v>
      </c>
      <c r="I134" s="1127">
        <v>0.0</v>
      </c>
      <c r="J134" s="1127">
        <v>0.0</v>
      </c>
      <c r="K134" s="1124"/>
    </row>
    <row r="135" ht="15.75" customHeight="1">
      <c r="A135" s="1119">
        <v>92847.0</v>
      </c>
      <c r="B135" s="1125" t="s">
        <v>10411</v>
      </c>
      <c r="C135" s="1126" t="s">
        <v>1731</v>
      </c>
      <c r="D135" s="1119">
        <v>714.1</v>
      </c>
      <c r="E135" s="1120">
        <v>13.16</v>
      </c>
      <c r="F135" s="1121">
        <f t="shared" si="1"/>
        <v>700.95</v>
      </c>
      <c r="G135" s="1120">
        <v>692.23</v>
      </c>
      <c r="H135" s="1127">
        <v>8.72</v>
      </c>
      <c r="I135" s="1127">
        <v>0.0</v>
      </c>
      <c r="J135" s="1127">
        <v>0.0</v>
      </c>
      <c r="K135" s="1124"/>
    </row>
    <row r="136" ht="15.75" customHeight="1">
      <c r="A136" s="1119">
        <v>92848.0</v>
      </c>
      <c r="B136" s="1125" t="s">
        <v>10412</v>
      </c>
      <c r="C136" s="1126" t="s">
        <v>1731</v>
      </c>
      <c r="D136" s="1119">
        <v>28.48</v>
      </c>
      <c r="E136" s="1120">
        <v>13.23</v>
      </c>
      <c r="F136" s="1121">
        <f t="shared" si="1"/>
        <v>15.27</v>
      </c>
      <c r="G136" s="1120">
        <v>6.51</v>
      </c>
      <c r="H136" s="1127">
        <v>8.76</v>
      </c>
      <c r="I136" s="1127">
        <v>0.0</v>
      </c>
      <c r="J136" s="1127">
        <v>0.0</v>
      </c>
      <c r="K136" s="1124"/>
    </row>
    <row r="137" ht="15.75" customHeight="1">
      <c r="A137" s="1119">
        <v>92849.0</v>
      </c>
      <c r="B137" s="1125" t="s">
        <v>10413</v>
      </c>
      <c r="C137" s="1126" t="s">
        <v>1731</v>
      </c>
      <c r="D137" s="1119">
        <v>163.34</v>
      </c>
      <c r="E137" s="1120">
        <v>8.54</v>
      </c>
      <c r="F137" s="1121">
        <f t="shared" si="1"/>
        <v>154.78</v>
      </c>
      <c r="G137" s="1120">
        <v>149.09</v>
      </c>
      <c r="H137" s="1127">
        <v>5.69</v>
      </c>
      <c r="I137" s="1127">
        <v>0.0</v>
      </c>
      <c r="J137" s="1127">
        <v>0.0</v>
      </c>
      <c r="K137" s="1124"/>
    </row>
    <row r="138" ht="15.75" customHeight="1">
      <c r="A138" s="1119">
        <v>92850.0</v>
      </c>
      <c r="B138" s="1125" t="s">
        <v>10414</v>
      </c>
      <c r="C138" s="1126" t="s">
        <v>1731</v>
      </c>
      <c r="D138" s="1119">
        <v>18.58</v>
      </c>
      <c r="E138" s="1120">
        <v>8.63</v>
      </c>
      <c r="F138" s="1121">
        <f t="shared" si="1"/>
        <v>9.94</v>
      </c>
      <c r="G138" s="1120">
        <v>4.2</v>
      </c>
      <c r="H138" s="1127">
        <v>5.74</v>
      </c>
      <c r="I138" s="1127">
        <v>0.0</v>
      </c>
      <c r="J138" s="1127">
        <v>0.0</v>
      </c>
      <c r="K138" s="1124"/>
    </row>
    <row r="139" ht="15.75" customHeight="1">
      <c r="A139" s="1119">
        <v>92851.0</v>
      </c>
      <c r="B139" s="1125" t="s">
        <v>10415</v>
      </c>
      <c r="C139" s="1126" t="s">
        <v>1731</v>
      </c>
      <c r="D139" s="1119">
        <v>173.59</v>
      </c>
      <c r="E139" s="1120">
        <v>10.85</v>
      </c>
      <c r="F139" s="1121">
        <f t="shared" si="1"/>
        <v>162.72</v>
      </c>
      <c r="G139" s="1120">
        <v>155.57</v>
      </c>
      <c r="H139" s="1127">
        <v>7.15</v>
      </c>
      <c r="I139" s="1127">
        <v>0.0</v>
      </c>
      <c r="J139" s="1127">
        <v>0.0</v>
      </c>
      <c r="K139" s="1124"/>
    </row>
    <row r="140" ht="15.75" customHeight="1">
      <c r="A140" s="1119">
        <v>92852.0</v>
      </c>
      <c r="B140" s="1125" t="s">
        <v>10416</v>
      </c>
      <c r="C140" s="1126" t="s">
        <v>1731</v>
      </c>
      <c r="D140" s="1119">
        <v>23.48</v>
      </c>
      <c r="E140" s="1120">
        <v>10.93</v>
      </c>
      <c r="F140" s="1121">
        <f t="shared" si="1"/>
        <v>12.53</v>
      </c>
      <c r="G140" s="1120">
        <v>5.34</v>
      </c>
      <c r="H140" s="1127">
        <v>7.19</v>
      </c>
      <c r="I140" s="1127">
        <v>0.0</v>
      </c>
      <c r="J140" s="1127">
        <v>0.0</v>
      </c>
      <c r="K140" s="1124"/>
    </row>
    <row r="141" ht="15.75" customHeight="1">
      <c r="A141" s="1119">
        <v>92853.0</v>
      </c>
      <c r="B141" s="1125" t="s">
        <v>10417</v>
      </c>
      <c r="C141" s="1126" t="s">
        <v>1731</v>
      </c>
      <c r="D141" s="1119">
        <v>298.65</v>
      </c>
      <c r="E141" s="1120">
        <v>13.23</v>
      </c>
      <c r="F141" s="1121">
        <f t="shared" si="1"/>
        <v>285.42</v>
      </c>
      <c r="G141" s="1120">
        <v>276.7</v>
      </c>
      <c r="H141" s="1127">
        <v>8.72</v>
      </c>
      <c r="I141" s="1127">
        <v>0.0</v>
      </c>
      <c r="J141" s="1127">
        <v>0.0</v>
      </c>
      <c r="K141" s="1124"/>
    </row>
    <row r="142" ht="15.75" customHeight="1">
      <c r="A142" s="1119">
        <v>92854.0</v>
      </c>
      <c r="B142" s="1125" t="s">
        <v>10418</v>
      </c>
      <c r="C142" s="1126" t="s">
        <v>1731</v>
      </c>
      <c r="D142" s="1119">
        <v>28.59</v>
      </c>
      <c r="E142" s="1120">
        <v>13.3</v>
      </c>
      <c r="F142" s="1121">
        <f t="shared" si="1"/>
        <v>15.29</v>
      </c>
      <c r="G142" s="1120">
        <v>6.53</v>
      </c>
      <c r="H142" s="1127">
        <v>8.76</v>
      </c>
      <c r="I142" s="1127">
        <v>0.0</v>
      </c>
      <c r="J142" s="1127">
        <v>0.0</v>
      </c>
      <c r="K142" s="1124"/>
    </row>
    <row r="143" ht="15.75" customHeight="1">
      <c r="A143" s="1119">
        <v>92855.0</v>
      </c>
      <c r="B143" s="1125" t="s">
        <v>10419</v>
      </c>
      <c r="C143" s="1126" t="s">
        <v>1731</v>
      </c>
      <c r="D143" s="1119">
        <v>364.5</v>
      </c>
      <c r="E143" s="1120">
        <v>15.56</v>
      </c>
      <c r="F143" s="1121">
        <f t="shared" si="1"/>
        <v>348.92</v>
      </c>
      <c r="G143" s="1120">
        <v>338.64</v>
      </c>
      <c r="H143" s="1127">
        <v>10.28</v>
      </c>
      <c r="I143" s="1127">
        <v>0.0</v>
      </c>
      <c r="J143" s="1127">
        <v>0.0</v>
      </c>
      <c r="K143" s="1124"/>
    </row>
    <row r="144" ht="15.75" customHeight="1">
      <c r="A144" s="1119">
        <v>92856.0</v>
      </c>
      <c r="B144" s="1125" t="s">
        <v>10420</v>
      </c>
      <c r="C144" s="1126" t="s">
        <v>1731</v>
      </c>
      <c r="D144" s="1119">
        <v>33.69</v>
      </c>
      <c r="E144" s="1120">
        <v>15.65</v>
      </c>
      <c r="F144" s="1121">
        <f t="shared" si="1"/>
        <v>18.03</v>
      </c>
      <c r="G144" s="1120">
        <v>7.7</v>
      </c>
      <c r="H144" s="1127">
        <v>10.33</v>
      </c>
      <c r="I144" s="1127">
        <v>0.0</v>
      </c>
      <c r="J144" s="1127">
        <v>0.0</v>
      </c>
      <c r="K144" s="1124"/>
    </row>
    <row r="145" ht="15.75" customHeight="1">
      <c r="A145" s="1119">
        <v>92857.0</v>
      </c>
      <c r="B145" s="1125" t="s">
        <v>10421</v>
      </c>
      <c r="C145" s="1126" t="s">
        <v>1731</v>
      </c>
      <c r="D145" s="1119">
        <v>471.6</v>
      </c>
      <c r="E145" s="1120">
        <v>17.88</v>
      </c>
      <c r="F145" s="1121">
        <f t="shared" si="1"/>
        <v>453.71</v>
      </c>
      <c r="G145" s="1120">
        <v>441.96</v>
      </c>
      <c r="H145" s="1127">
        <v>11.75</v>
      </c>
      <c r="I145" s="1127">
        <v>0.0</v>
      </c>
      <c r="J145" s="1127">
        <v>0.0</v>
      </c>
      <c r="K145" s="1124"/>
    </row>
    <row r="146" ht="15.75" customHeight="1">
      <c r="A146" s="1119">
        <v>92858.0</v>
      </c>
      <c r="B146" s="1125" t="s">
        <v>10422</v>
      </c>
      <c r="C146" s="1126" t="s">
        <v>1731</v>
      </c>
      <c r="D146" s="1119">
        <v>38.57</v>
      </c>
      <c r="E146" s="1120">
        <v>17.97</v>
      </c>
      <c r="F146" s="1121">
        <f t="shared" si="1"/>
        <v>20.6</v>
      </c>
      <c r="G146" s="1120">
        <v>8.81</v>
      </c>
      <c r="H146" s="1127">
        <v>11.79</v>
      </c>
      <c r="I146" s="1127">
        <v>0.0</v>
      </c>
      <c r="J146" s="1127">
        <v>0.0</v>
      </c>
      <c r="K146" s="1124"/>
    </row>
    <row r="147" ht="15.75" customHeight="1">
      <c r="A147" s="1119">
        <v>92859.0</v>
      </c>
      <c r="B147" s="1125" t="s">
        <v>10423</v>
      </c>
      <c r="C147" s="1126" t="s">
        <v>1731</v>
      </c>
      <c r="D147" s="1119">
        <v>491.1</v>
      </c>
      <c r="E147" s="1120">
        <v>20.26</v>
      </c>
      <c r="F147" s="1121">
        <f t="shared" si="1"/>
        <v>470.83</v>
      </c>
      <c r="G147" s="1120">
        <v>457.46</v>
      </c>
      <c r="H147" s="1127">
        <v>13.37</v>
      </c>
      <c r="I147" s="1127">
        <v>0.0</v>
      </c>
      <c r="J147" s="1127">
        <v>0.0</v>
      </c>
      <c r="K147" s="1124"/>
    </row>
    <row r="148" ht="15.75" customHeight="1">
      <c r="A148" s="1119">
        <v>92860.0</v>
      </c>
      <c r="B148" s="1125" t="s">
        <v>10424</v>
      </c>
      <c r="C148" s="1126" t="s">
        <v>1731</v>
      </c>
      <c r="D148" s="1119">
        <v>43.78</v>
      </c>
      <c r="E148" s="1120">
        <v>20.35</v>
      </c>
      <c r="F148" s="1121">
        <f t="shared" si="1"/>
        <v>23.43</v>
      </c>
      <c r="G148" s="1120">
        <v>10.01</v>
      </c>
      <c r="H148" s="1127">
        <v>13.42</v>
      </c>
      <c r="I148" s="1127">
        <v>0.0</v>
      </c>
      <c r="J148" s="1127">
        <v>0.0</v>
      </c>
      <c r="K148" s="1124"/>
    </row>
    <row r="149" ht="15.75" customHeight="1">
      <c r="A149" s="1119">
        <v>92861.0</v>
      </c>
      <c r="B149" s="1125" t="s">
        <v>10425</v>
      </c>
      <c r="C149" s="1126" t="s">
        <v>1731</v>
      </c>
      <c r="D149" s="1119">
        <v>717.26</v>
      </c>
      <c r="E149" s="1120">
        <v>22.59</v>
      </c>
      <c r="F149" s="1121">
        <f t="shared" si="1"/>
        <v>694.66</v>
      </c>
      <c r="G149" s="1120">
        <v>679.72</v>
      </c>
      <c r="H149" s="1127">
        <v>14.94</v>
      </c>
      <c r="I149" s="1127">
        <v>0.0</v>
      </c>
      <c r="J149" s="1127">
        <v>0.0</v>
      </c>
      <c r="K149" s="1124"/>
    </row>
    <row r="150" ht="15.75" customHeight="1">
      <c r="A150" s="1119">
        <v>92862.0</v>
      </c>
      <c r="B150" s="1125" t="s">
        <v>10426</v>
      </c>
      <c r="C150" s="1126" t="s">
        <v>1731</v>
      </c>
      <c r="D150" s="1119">
        <v>48.86</v>
      </c>
      <c r="E150" s="1120">
        <v>22.68</v>
      </c>
      <c r="F150" s="1121">
        <f t="shared" si="1"/>
        <v>26.18</v>
      </c>
      <c r="G150" s="1120">
        <v>11.2</v>
      </c>
      <c r="H150" s="1127">
        <v>14.98</v>
      </c>
      <c r="I150" s="1127">
        <v>0.0</v>
      </c>
      <c r="J150" s="1127">
        <v>0.0</v>
      </c>
      <c r="K150" s="1124"/>
    </row>
    <row r="151" ht="15.75" customHeight="1">
      <c r="A151" s="1119">
        <v>92863.0</v>
      </c>
      <c r="B151" s="1125" t="s">
        <v>10427</v>
      </c>
      <c r="C151" s="1126" t="s">
        <v>1731</v>
      </c>
      <c r="D151" s="1119">
        <v>739.59</v>
      </c>
      <c r="E151" s="1120">
        <v>24.94</v>
      </c>
      <c r="F151" s="1121">
        <f t="shared" si="1"/>
        <v>714.64</v>
      </c>
      <c r="G151" s="1120">
        <v>698.13</v>
      </c>
      <c r="H151" s="1127">
        <v>16.51</v>
      </c>
      <c r="I151" s="1127">
        <v>0.0</v>
      </c>
      <c r="J151" s="1127">
        <v>0.0</v>
      </c>
      <c r="K151" s="1124"/>
    </row>
    <row r="152" ht="15.75" customHeight="1">
      <c r="A152" s="1119">
        <v>92864.0</v>
      </c>
      <c r="B152" s="1125" t="s">
        <v>10428</v>
      </c>
      <c r="C152" s="1126" t="s">
        <v>1731</v>
      </c>
      <c r="D152" s="1119">
        <v>53.97</v>
      </c>
      <c r="E152" s="1120">
        <v>25.03</v>
      </c>
      <c r="F152" s="1121">
        <f t="shared" si="1"/>
        <v>28.94</v>
      </c>
      <c r="G152" s="1120">
        <v>12.38</v>
      </c>
      <c r="H152" s="1127">
        <v>16.56</v>
      </c>
      <c r="I152" s="1127">
        <v>0.0</v>
      </c>
      <c r="J152" s="1127">
        <v>0.0</v>
      </c>
      <c r="K152" s="1124"/>
    </row>
    <row r="153" ht="15.75" customHeight="1">
      <c r="A153" s="1119">
        <v>92210.0</v>
      </c>
      <c r="B153" s="1125" t="s">
        <v>10429</v>
      </c>
      <c r="C153" s="1126" t="s">
        <v>1731</v>
      </c>
      <c r="D153" s="1119">
        <v>141.91</v>
      </c>
      <c r="E153" s="1120">
        <v>25.92</v>
      </c>
      <c r="F153" s="1121">
        <f t="shared" si="1"/>
        <v>115.97</v>
      </c>
      <c r="G153" s="1120">
        <v>98.99</v>
      </c>
      <c r="H153" s="1127">
        <v>16.98</v>
      </c>
      <c r="I153" s="1127">
        <v>0.0</v>
      </c>
      <c r="J153" s="1127">
        <v>0.0</v>
      </c>
      <c r="K153" s="1124"/>
    </row>
    <row r="154" ht="15.75" customHeight="1">
      <c r="A154" s="1119">
        <v>92211.0</v>
      </c>
      <c r="B154" s="1125" t="s">
        <v>10430</v>
      </c>
      <c r="C154" s="1126" t="s">
        <v>1731</v>
      </c>
      <c r="D154" s="1119">
        <v>170.85</v>
      </c>
      <c r="E154" s="1120">
        <v>31.51</v>
      </c>
      <c r="F154" s="1121">
        <f t="shared" si="1"/>
        <v>139.32</v>
      </c>
      <c r="G154" s="1120">
        <v>118.82</v>
      </c>
      <c r="H154" s="1127">
        <v>20.5</v>
      </c>
      <c r="I154" s="1127">
        <v>0.0</v>
      </c>
      <c r="J154" s="1127">
        <v>0.0</v>
      </c>
      <c r="K154" s="1124"/>
    </row>
    <row r="155" ht="15.75" customHeight="1">
      <c r="A155" s="1119">
        <v>92212.0</v>
      </c>
      <c r="B155" s="1125" t="s">
        <v>10431</v>
      </c>
      <c r="C155" s="1126" t="s">
        <v>1731</v>
      </c>
      <c r="D155" s="1119">
        <v>247.02</v>
      </c>
      <c r="E155" s="1120">
        <v>37.26</v>
      </c>
      <c r="F155" s="1121">
        <f t="shared" si="1"/>
        <v>209.78</v>
      </c>
      <c r="G155" s="1120">
        <v>185.64</v>
      </c>
      <c r="H155" s="1127">
        <v>24.14</v>
      </c>
      <c r="I155" s="1127">
        <v>0.0</v>
      </c>
      <c r="J155" s="1127">
        <v>0.0</v>
      </c>
      <c r="K155" s="1124"/>
    </row>
    <row r="156" ht="15.75" customHeight="1">
      <c r="A156" s="1119">
        <v>92213.0</v>
      </c>
      <c r="B156" s="1125" t="s">
        <v>10432</v>
      </c>
      <c r="C156" s="1126" t="s">
        <v>1731</v>
      </c>
      <c r="D156" s="1119">
        <v>319.86</v>
      </c>
      <c r="E156" s="1120">
        <v>43.0</v>
      </c>
      <c r="F156" s="1121">
        <f t="shared" si="1"/>
        <v>276.84</v>
      </c>
      <c r="G156" s="1120">
        <v>249.17</v>
      </c>
      <c r="H156" s="1127">
        <v>27.67</v>
      </c>
      <c r="I156" s="1127">
        <v>0.0</v>
      </c>
      <c r="J156" s="1127">
        <v>0.0</v>
      </c>
      <c r="K156" s="1124"/>
    </row>
    <row r="157" ht="15.75" customHeight="1">
      <c r="A157" s="1119">
        <v>92214.0</v>
      </c>
      <c r="B157" s="1125" t="s">
        <v>10433</v>
      </c>
      <c r="C157" s="1126" t="s">
        <v>1731</v>
      </c>
      <c r="D157" s="1119">
        <v>384.59</v>
      </c>
      <c r="E157" s="1120">
        <v>49.19</v>
      </c>
      <c r="F157" s="1121">
        <f t="shared" si="1"/>
        <v>335.38</v>
      </c>
      <c r="G157" s="1120">
        <v>304.08</v>
      </c>
      <c r="H157" s="1127">
        <v>31.3</v>
      </c>
      <c r="I157" s="1127">
        <v>0.0</v>
      </c>
      <c r="J157" s="1127">
        <v>0.0</v>
      </c>
      <c r="K157" s="1124"/>
    </row>
    <row r="158" ht="15.75" customHeight="1">
      <c r="A158" s="1119">
        <v>92215.0</v>
      </c>
      <c r="B158" s="1125" t="s">
        <v>10434</v>
      </c>
      <c r="C158" s="1126" t="s">
        <v>1731</v>
      </c>
      <c r="D158" s="1119">
        <v>441.32</v>
      </c>
      <c r="E158" s="1120">
        <v>55.55</v>
      </c>
      <c r="F158" s="1121">
        <f t="shared" si="1"/>
        <v>385.77</v>
      </c>
      <c r="G158" s="1120">
        <v>350.81</v>
      </c>
      <c r="H158" s="1127">
        <v>34.96</v>
      </c>
      <c r="I158" s="1127">
        <v>0.0</v>
      </c>
      <c r="J158" s="1127">
        <v>0.0</v>
      </c>
      <c r="K158" s="1124"/>
    </row>
    <row r="159" ht="15.75" customHeight="1">
      <c r="A159" s="1119">
        <v>92216.0</v>
      </c>
      <c r="B159" s="1125" t="s">
        <v>10435</v>
      </c>
      <c r="C159" s="1126" t="s">
        <v>1731</v>
      </c>
      <c r="D159" s="1119">
        <v>465.79</v>
      </c>
      <c r="E159" s="1120">
        <v>62.44</v>
      </c>
      <c r="F159" s="1121">
        <f t="shared" si="1"/>
        <v>403.37</v>
      </c>
      <c r="G159" s="1120">
        <v>364.94</v>
      </c>
      <c r="H159" s="1127">
        <v>38.43</v>
      </c>
      <c r="I159" s="1127">
        <v>0.0</v>
      </c>
      <c r="J159" s="1127">
        <v>0.0</v>
      </c>
      <c r="K159" s="1124"/>
    </row>
    <row r="160" ht="15.75" customHeight="1">
      <c r="A160" s="1119">
        <v>92219.0</v>
      </c>
      <c r="B160" s="1125" t="s">
        <v>10436</v>
      </c>
      <c r="C160" s="1126" t="s">
        <v>1731</v>
      </c>
      <c r="D160" s="1119">
        <v>152.85</v>
      </c>
      <c r="E160" s="1120">
        <v>31.05</v>
      </c>
      <c r="F160" s="1121">
        <f t="shared" si="1"/>
        <v>121.79</v>
      </c>
      <c r="G160" s="1120">
        <v>101.52</v>
      </c>
      <c r="H160" s="1127">
        <v>20.27</v>
      </c>
      <c r="I160" s="1127">
        <v>0.0</v>
      </c>
      <c r="J160" s="1127">
        <v>0.0</v>
      </c>
      <c r="K160" s="1124"/>
    </row>
    <row r="161" ht="15.75" customHeight="1">
      <c r="A161" s="1119">
        <v>92220.0</v>
      </c>
      <c r="B161" s="1125" t="s">
        <v>10437</v>
      </c>
      <c r="C161" s="1126" t="s">
        <v>1731</v>
      </c>
      <c r="D161" s="1119">
        <v>184.37</v>
      </c>
      <c r="E161" s="1120">
        <v>37.77</v>
      </c>
      <c r="F161" s="1121">
        <f t="shared" si="1"/>
        <v>146.6</v>
      </c>
      <c r="G161" s="1120">
        <v>121.95</v>
      </c>
      <c r="H161" s="1127">
        <v>24.65</v>
      </c>
      <c r="I161" s="1127">
        <v>0.0</v>
      </c>
      <c r="J161" s="1127">
        <v>0.0</v>
      </c>
      <c r="K161" s="1124"/>
    </row>
    <row r="162" ht="15.75" customHeight="1">
      <c r="A162" s="1119">
        <v>92221.0</v>
      </c>
      <c r="B162" s="1125" t="s">
        <v>10438</v>
      </c>
      <c r="C162" s="1126" t="s">
        <v>1731</v>
      </c>
      <c r="D162" s="1119">
        <v>262.88</v>
      </c>
      <c r="E162" s="1120">
        <v>44.62</v>
      </c>
      <c r="F162" s="1121">
        <f t="shared" si="1"/>
        <v>218.26</v>
      </c>
      <c r="G162" s="1120">
        <v>189.29</v>
      </c>
      <c r="H162" s="1127">
        <v>28.97</v>
      </c>
      <c r="I162" s="1127">
        <v>0.0</v>
      </c>
      <c r="J162" s="1127">
        <v>0.0</v>
      </c>
      <c r="K162" s="1124"/>
    </row>
    <row r="163" ht="15.75" customHeight="1">
      <c r="A163" s="1119">
        <v>92222.0</v>
      </c>
      <c r="B163" s="1125" t="s">
        <v>10439</v>
      </c>
      <c r="C163" s="1126" t="s">
        <v>1731</v>
      </c>
      <c r="D163" s="1119">
        <v>338.25</v>
      </c>
      <c r="E163" s="1120">
        <v>51.5</v>
      </c>
      <c r="F163" s="1121">
        <f t="shared" si="1"/>
        <v>286.78</v>
      </c>
      <c r="G163" s="1120">
        <v>253.45</v>
      </c>
      <c r="H163" s="1127">
        <v>33.33</v>
      </c>
      <c r="I163" s="1127">
        <v>0.0</v>
      </c>
      <c r="J163" s="1127">
        <v>0.0</v>
      </c>
      <c r="K163" s="1124"/>
    </row>
    <row r="164" ht="15.75" customHeight="1">
      <c r="A164" s="1119">
        <v>92223.0</v>
      </c>
      <c r="B164" s="1125" t="s">
        <v>10440</v>
      </c>
      <c r="C164" s="1126" t="s">
        <v>1731</v>
      </c>
      <c r="D164" s="1119">
        <v>405.2</v>
      </c>
      <c r="E164" s="1120">
        <v>58.78</v>
      </c>
      <c r="F164" s="1121">
        <f t="shared" si="1"/>
        <v>346.41</v>
      </c>
      <c r="G164" s="1120">
        <v>308.82</v>
      </c>
      <c r="H164" s="1127">
        <v>37.59</v>
      </c>
      <c r="I164" s="1127">
        <v>0.0</v>
      </c>
      <c r="J164" s="1127">
        <v>0.0</v>
      </c>
      <c r="K164" s="1124"/>
    </row>
    <row r="165" ht="15.75" customHeight="1">
      <c r="A165" s="1119">
        <v>92224.0</v>
      </c>
      <c r="B165" s="1125" t="s">
        <v>10441</v>
      </c>
      <c r="C165" s="1126" t="s">
        <v>1731</v>
      </c>
      <c r="D165" s="1119">
        <v>464.21</v>
      </c>
      <c r="E165" s="1120">
        <v>66.21</v>
      </c>
      <c r="F165" s="1121">
        <f t="shared" si="1"/>
        <v>398.02</v>
      </c>
      <c r="G165" s="1120">
        <v>356.12</v>
      </c>
      <c r="H165" s="1127">
        <v>41.9</v>
      </c>
      <c r="I165" s="1127">
        <v>0.0</v>
      </c>
      <c r="J165" s="1127">
        <v>0.0</v>
      </c>
      <c r="K165" s="1124"/>
    </row>
    <row r="166" ht="15.75" customHeight="1">
      <c r="A166" s="1119">
        <v>92226.0</v>
      </c>
      <c r="B166" s="1125" t="s">
        <v>10442</v>
      </c>
      <c r="C166" s="1126" t="s">
        <v>1731</v>
      </c>
      <c r="D166" s="1119">
        <v>491.39</v>
      </c>
      <c r="E166" s="1120">
        <v>74.3</v>
      </c>
      <c r="F166" s="1121">
        <f t="shared" si="1"/>
        <v>417.08</v>
      </c>
      <c r="G166" s="1120">
        <v>370.8</v>
      </c>
      <c r="H166" s="1127">
        <v>46.28</v>
      </c>
      <c r="I166" s="1127">
        <v>0.0</v>
      </c>
      <c r="J166" s="1127">
        <v>0.0</v>
      </c>
      <c r="K166" s="1124"/>
    </row>
    <row r="167" ht="15.75" customHeight="1">
      <c r="A167" s="1119">
        <v>92808.0</v>
      </c>
      <c r="B167" s="1125" t="s">
        <v>10443</v>
      </c>
      <c r="C167" s="1126" t="s">
        <v>1731</v>
      </c>
      <c r="D167" s="1119">
        <v>44.27</v>
      </c>
      <c r="E167" s="1120">
        <v>20.42</v>
      </c>
      <c r="F167" s="1121">
        <f t="shared" si="1"/>
        <v>23.84</v>
      </c>
      <c r="G167" s="1120">
        <v>10.47</v>
      </c>
      <c r="H167" s="1127">
        <v>13.37</v>
      </c>
      <c r="I167" s="1127">
        <v>0.0</v>
      </c>
      <c r="J167" s="1127">
        <v>0.0</v>
      </c>
      <c r="K167" s="1124"/>
    </row>
    <row r="168" ht="15.75" customHeight="1">
      <c r="A168" s="1119">
        <v>92809.0</v>
      </c>
      <c r="B168" s="1125" t="s">
        <v>10444</v>
      </c>
      <c r="C168" s="1126" t="s">
        <v>1731</v>
      </c>
      <c r="D168" s="1119">
        <v>56.75</v>
      </c>
      <c r="E168" s="1120">
        <v>26.0</v>
      </c>
      <c r="F168" s="1121">
        <f t="shared" si="1"/>
        <v>30.75</v>
      </c>
      <c r="G168" s="1120">
        <v>13.74</v>
      </c>
      <c r="H168" s="1127">
        <v>17.01</v>
      </c>
      <c r="I168" s="1127">
        <v>0.0</v>
      </c>
      <c r="J168" s="1127">
        <v>0.0</v>
      </c>
      <c r="K168" s="1124"/>
    </row>
    <row r="169" ht="15.75" customHeight="1">
      <c r="A169" s="1119">
        <v>92810.0</v>
      </c>
      <c r="B169" s="1125" t="s">
        <v>10445</v>
      </c>
      <c r="C169" s="1126" t="s">
        <v>1731</v>
      </c>
      <c r="D169" s="1119">
        <v>69.07</v>
      </c>
      <c r="E169" s="1120">
        <v>31.58</v>
      </c>
      <c r="F169" s="1121">
        <f t="shared" si="1"/>
        <v>37.48</v>
      </c>
      <c r="G169" s="1120">
        <v>16.94</v>
      </c>
      <c r="H169" s="1127">
        <v>20.54</v>
      </c>
      <c r="I169" s="1127">
        <v>0.0</v>
      </c>
      <c r="J169" s="1127">
        <v>0.0</v>
      </c>
      <c r="K169" s="1124"/>
    </row>
    <row r="170" ht="15.75" customHeight="1">
      <c r="A170" s="1119">
        <v>92811.0</v>
      </c>
      <c r="B170" s="1125" t="s">
        <v>10446</v>
      </c>
      <c r="C170" s="1126" t="s">
        <v>1731</v>
      </c>
      <c r="D170" s="1119">
        <v>82.22</v>
      </c>
      <c r="E170" s="1120">
        <v>37.33</v>
      </c>
      <c r="F170" s="1121">
        <f t="shared" si="1"/>
        <v>44.91</v>
      </c>
      <c r="G170" s="1120">
        <v>20.72</v>
      </c>
      <c r="H170" s="1127">
        <v>24.19</v>
      </c>
      <c r="I170" s="1127">
        <v>0.0</v>
      </c>
      <c r="J170" s="1127">
        <v>0.0</v>
      </c>
      <c r="K170" s="1124"/>
    </row>
    <row r="171" ht="15.75" customHeight="1">
      <c r="A171" s="1119">
        <v>92812.0</v>
      </c>
      <c r="B171" s="1125" t="s">
        <v>10447</v>
      </c>
      <c r="C171" s="1126" t="s">
        <v>1731</v>
      </c>
      <c r="D171" s="1119">
        <v>95.24</v>
      </c>
      <c r="E171" s="1120">
        <v>43.11</v>
      </c>
      <c r="F171" s="1121">
        <f t="shared" si="1"/>
        <v>52.13</v>
      </c>
      <c r="G171" s="1120">
        <v>24.41</v>
      </c>
      <c r="H171" s="1127">
        <v>27.72</v>
      </c>
      <c r="I171" s="1127">
        <v>0.0</v>
      </c>
      <c r="J171" s="1127">
        <v>0.0</v>
      </c>
      <c r="K171" s="1124"/>
    </row>
    <row r="172" ht="15.75" customHeight="1">
      <c r="A172" s="1119">
        <v>92813.0</v>
      </c>
      <c r="B172" s="1125" t="s">
        <v>10448</v>
      </c>
      <c r="C172" s="1126" t="s">
        <v>1731</v>
      </c>
      <c r="D172" s="1119">
        <v>110.4</v>
      </c>
      <c r="E172" s="1120">
        <v>49.28</v>
      </c>
      <c r="F172" s="1121">
        <f t="shared" si="1"/>
        <v>61.12</v>
      </c>
      <c r="G172" s="1120">
        <v>29.77</v>
      </c>
      <c r="H172" s="1127">
        <v>31.35</v>
      </c>
      <c r="I172" s="1127">
        <v>0.0</v>
      </c>
      <c r="J172" s="1127">
        <v>0.0</v>
      </c>
      <c r="K172" s="1124"/>
    </row>
    <row r="173" ht="15.75" customHeight="1">
      <c r="A173" s="1119">
        <v>92814.0</v>
      </c>
      <c r="B173" s="1125" t="s">
        <v>10449</v>
      </c>
      <c r="C173" s="1126" t="s">
        <v>1731</v>
      </c>
      <c r="D173" s="1119">
        <v>126.27</v>
      </c>
      <c r="E173" s="1120">
        <v>55.62</v>
      </c>
      <c r="F173" s="1121">
        <f t="shared" si="1"/>
        <v>70.65</v>
      </c>
      <c r="G173" s="1120">
        <v>35.65</v>
      </c>
      <c r="H173" s="1127">
        <v>35.0</v>
      </c>
      <c r="I173" s="1127">
        <v>0.0</v>
      </c>
      <c r="J173" s="1127">
        <v>0.0</v>
      </c>
      <c r="K173" s="1124"/>
    </row>
    <row r="174" ht="15.75" customHeight="1">
      <c r="A174" s="1119">
        <v>92815.0</v>
      </c>
      <c r="B174" s="1125" t="s">
        <v>10450</v>
      </c>
      <c r="C174" s="1126" t="s">
        <v>1731</v>
      </c>
      <c r="D174" s="1119">
        <v>144.51</v>
      </c>
      <c r="E174" s="1120">
        <v>62.51</v>
      </c>
      <c r="F174" s="1121">
        <f t="shared" si="1"/>
        <v>82.02</v>
      </c>
      <c r="G174" s="1120">
        <v>43.54</v>
      </c>
      <c r="H174" s="1127">
        <v>38.48</v>
      </c>
      <c r="I174" s="1127">
        <v>0.0</v>
      </c>
      <c r="J174" s="1127">
        <v>0.0</v>
      </c>
      <c r="K174" s="1124"/>
    </row>
    <row r="175" ht="15.75" customHeight="1">
      <c r="A175" s="1119">
        <v>92816.0</v>
      </c>
      <c r="B175" s="1125" t="s">
        <v>10451</v>
      </c>
      <c r="C175" s="1126" t="s">
        <v>1731</v>
      </c>
      <c r="D175" s="1119">
        <v>660.69</v>
      </c>
      <c r="E175" s="1120">
        <v>78.15</v>
      </c>
      <c r="F175" s="1121">
        <f t="shared" si="1"/>
        <v>582.54</v>
      </c>
      <c r="G175" s="1120">
        <v>534.45</v>
      </c>
      <c r="H175" s="1127">
        <v>48.09</v>
      </c>
      <c r="I175" s="1127">
        <v>0.0</v>
      </c>
      <c r="J175" s="1127">
        <v>0.0</v>
      </c>
      <c r="K175" s="1124"/>
    </row>
    <row r="176" ht="15.75" customHeight="1">
      <c r="A176" s="1119">
        <v>92817.0</v>
      </c>
      <c r="B176" s="1125" t="s">
        <v>10452</v>
      </c>
      <c r="C176" s="1126" t="s">
        <v>1731</v>
      </c>
      <c r="D176" s="1119">
        <v>180.84</v>
      </c>
      <c r="E176" s="1120">
        <v>78.23</v>
      </c>
      <c r="F176" s="1121">
        <f t="shared" si="1"/>
        <v>102.61</v>
      </c>
      <c r="G176" s="1120">
        <v>54.48</v>
      </c>
      <c r="H176" s="1127">
        <v>48.13</v>
      </c>
      <c r="I176" s="1127">
        <v>0.0</v>
      </c>
      <c r="J176" s="1127">
        <v>0.0</v>
      </c>
      <c r="K176" s="1124"/>
    </row>
    <row r="177" ht="15.75" customHeight="1">
      <c r="A177" s="1119">
        <v>92818.0</v>
      </c>
      <c r="B177" s="1125" t="s">
        <v>10453</v>
      </c>
      <c r="C177" s="1126" t="s">
        <v>1731</v>
      </c>
      <c r="D177" s="1119">
        <v>938.61</v>
      </c>
      <c r="E177" s="1120">
        <v>105.18</v>
      </c>
      <c r="F177" s="1121">
        <f t="shared" si="1"/>
        <v>833.44</v>
      </c>
      <c r="G177" s="1120">
        <v>768.73</v>
      </c>
      <c r="H177" s="1127">
        <v>64.71</v>
      </c>
      <c r="I177" s="1127">
        <v>0.0</v>
      </c>
      <c r="J177" s="1127">
        <v>0.0</v>
      </c>
      <c r="K177" s="1124"/>
    </row>
    <row r="178" ht="15.75" customHeight="1">
      <c r="A178" s="1119">
        <v>92819.0</v>
      </c>
      <c r="B178" s="1125" t="s">
        <v>10454</v>
      </c>
      <c r="C178" s="1126" t="s">
        <v>1731</v>
      </c>
      <c r="D178" s="1119">
        <v>243.42</v>
      </c>
      <c r="E178" s="1120">
        <v>105.27</v>
      </c>
      <c r="F178" s="1121">
        <f t="shared" si="1"/>
        <v>138.16</v>
      </c>
      <c r="G178" s="1120">
        <v>73.4</v>
      </c>
      <c r="H178" s="1127">
        <v>64.76</v>
      </c>
      <c r="I178" s="1127">
        <v>0.0</v>
      </c>
      <c r="J178" s="1127">
        <v>0.0</v>
      </c>
      <c r="K178" s="1124"/>
    </row>
    <row r="179" ht="15.75" customHeight="1">
      <c r="A179" s="1119">
        <v>92820.0</v>
      </c>
      <c r="B179" s="1125" t="s">
        <v>10455</v>
      </c>
      <c r="C179" s="1126" t="s">
        <v>1731</v>
      </c>
      <c r="D179" s="1119">
        <v>52.8</v>
      </c>
      <c r="E179" s="1120">
        <v>24.41</v>
      </c>
      <c r="F179" s="1121">
        <f t="shared" si="1"/>
        <v>28.41</v>
      </c>
      <c r="G179" s="1120">
        <v>12.45</v>
      </c>
      <c r="H179" s="1127">
        <v>15.96</v>
      </c>
      <c r="I179" s="1127">
        <v>0.0</v>
      </c>
      <c r="J179" s="1127">
        <v>0.0</v>
      </c>
      <c r="K179" s="1124"/>
    </row>
    <row r="180" ht="15.75" customHeight="1">
      <c r="A180" s="1119">
        <v>92821.0</v>
      </c>
      <c r="B180" s="1125" t="s">
        <v>10456</v>
      </c>
      <c r="C180" s="1126" t="s">
        <v>1731</v>
      </c>
      <c r="D180" s="1119">
        <v>67.69</v>
      </c>
      <c r="E180" s="1120">
        <v>31.11</v>
      </c>
      <c r="F180" s="1121">
        <f t="shared" si="1"/>
        <v>36.57</v>
      </c>
      <c r="G180" s="1120">
        <v>16.26</v>
      </c>
      <c r="H180" s="1127">
        <v>20.31</v>
      </c>
      <c r="I180" s="1127">
        <v>0.0</v>
      </c>
      <c r="J180" s="1127">
        <v>0.0</v>
      </c>
      <c r="K180" s="1124"/>
    </row>
    <row r="181" ht="15.75" customHeight="1">
      <c r="A181" s="1119">
        <v>92822.0</v>
      </c>
      <c r="B181" s="1125" t="s">
        <v>10457</v>
      </c>
      <c r="C181" s="1126" t="s">
        <v>1731</v>
      </c>
      <c r="D181" s="1119">
        <v>82.59</v>
      </c>
      <c r="E181" s="1120">
        <v>37.84</v>
      </c>
      <c r="F181" s="1121">
        <f t="shared" si="1"/>
        <v>44.76</v>
      </c>
      <c r="G181" s="1120">
        <v>20.07</v>
      </c>
      <c r="H181" s="1127">
        <v>24.69</v>
      </c>
      <c r="I181" s="1127">
        <v>0.0</v>
      </c>
      <c r="J181" s="1127">
        <v>0.0</v>
      </c>
      <c r="K181" s="1124"/>
    </row>
    <row r="182" ht="15.75" customHeight="1">
      <c r="A182" s="1119">
        <v>92824.0</v>
      </c>
      <c r="B182" s="1125" t="s">
        <v>10458</v>
      </c>
      <c r="C182" s="1126" t="s">
        <v>1731</v>
      </c>
      <c r="D182" s="1119">
        <v>98.08</v>
      </c>
      <c r="E182" s="1120">
        <v>44.7</v>
      </c>
      <c r="F182" s="1121">
        <f t="shared" si="1"/>
        <v>53.38</v>
      </c>
      <c r="G182" s="1120">
        <v>24.37</v>
      </c>
      <c r="H182" s="1127">
        <v>29.01</v>
      </c>
      <c r="I182" s="1127">
        <v>0.0</v>
      </c>
      <c r="J182" s="1127">
        <v>0.0</v>
      </c>
      <c r="K182" s="1124"/>
    </row>
    <row r="183" ht="15.75" customHeight="1">
      <c r="A183" s="1119">
        <v>92825.0</v>
      </c>
      <c r="B183" s="1125" t="s">
        <v>10459</v>
      </c>
      <c r="C183" s="1126" t="s">
        <v>1731</v>
      </c>
      <c r="D183" s="1119">
        <v>113.63</v>
      </c>
      <c r="E183" s="1120">
        <v>51.57</v>
      </c>
      <c r="F183" s="1121">
        <f t="shared" si="1"/>
        <v>62.07</v>
      </c>
      <c r="G183" s="1120">
        <v>28.7</v>
      </c>
      <c r="H183" s="1127">
        <v>33.37</v>
      </c>
      <c r="I183" s="1127">
        <v>0.0</v>
      </c>
      <c r="J183" s="1127">
        <v>0.0</v>
      </c>
      <c r="K183" s="1124"/>
    </row>
    <row r="184" ht="15.75" customHeight="1">
      <c r="A184" s="1119">
        <v>92826.0</v>
      </c>
      <c r="B184" s="1125" t="s">
        <v>10460</v>
      </c>
      <c r="C184" s="1126" t="s">
        <v>1731</v>
      </c>
      <c r="D184" s="1119">
        <v>131.01</v>
      </c>
      <c r="E184" s="1120">
        <v>58.85</v>
      </c>
      <c r="F184" s="1121">
        <f t="shared" si="1"/>
        <v>72.15</v>
      </c>
      <c r="G184" s="1120">
        <v>34.52</v>
      </c>
      <c r="H184" s="1127">
        <v>37.63</v>
      </c>
      <c r="I184" s="1127">
        <v>0.0</v>
      </c>
      <c r="J184" s="1127">
        <v>0.0</v>
      </c>
      <c r="K184" s="1124"/>
    </row>
    <row r="185" ht="15.75" customHeight="1">
      <c r="A185" s="1119">
        <v>92827.0</v>
      </c>
      <c r="B185" s="1125" t="s">
        <v>10461</v>
      </c>
      <c r="C185" s="1126" t="s">
        <v>1731</v>
      </c>
      <c r="D185" s="1119">
        <v>149.16</v>
      </c>
      <c r="E185" s="1120">
        <v>66.3</v>
      </c>
      <c r="F185" s="1121">
        <f t="shared" si="1"/>
        <v>82.88</v>
      </c>
      <c r="G185" s="1120">
        <v>40.94</v>
      </c>
      <c r="H185" s="1127">
        <v>41.94</v>
      </c>
      <c r="I185" s="1127">
        <v>0.0</v>
      </c>
      <c r="J185" s="1127">
        <v>0.0</v>
      </c>
      <c r="K185" s="1124"/>
    </row>
    <row r="186" ht="15.75" customHeight="1">
      <c r="A186" s="1119">
        <v>92828.0</v>
      </c>
      <c r="B186" s="1125" t="s">
        <v>10462</v>
      </c>
      <c r="C186" s="1126" t="s">
        <v>1731</v>
      </c>
      <c r="D186" s="1119">
        <v>170.11</v>
      </c>
      <c r="E186" s="1120">
        <v>74.39</v>
      </c>
      <c r="F186" s="1121">
        <f t="shared" si="1"/>
        <v>95.72</v>
      </c>
      <c r="G186" s="1120">
        <v>49.4</v>
      </c>
      <c r="H186" s="1127">
        <v>46.32</v>
      </c>
      <c r="I186" s="1127">
        <v>0.0</v>
      </c>
      <c r="J186" s="1127">
        <v>0.0</v>
      </c>
      <c r="K186" s="1124"/>
    </row>
    <row r="187" ht="15.75" customHeight="1">
      <c r="A187" s="1119">
        <v>92829.0</v>
      </c>
      <c r="B187" s="1125" t="s">
        <v>10463</v>
      </c>
      <c r="C187" s="1126" t="s">
        <v>1731</v>
      </c>
      <c r="D187" s="1119">
        <v>690.87</v>
      </c>
      <c r="E187" s="1120">
        <v>92.16</v>
      </c>
      <c r="F187" s="1121">
        <f t="shared" si="1"/>
        <v>598.7</v>
      </c>
      <c r="G187" s="1120">
        <v>541.29</v>
      </c>
      <c r="H187" s="1127">
        <v>57.41</v>
      </c>
      <c r="I187" s="1127">
        <v>0.0</v>
      </c>
      <c r="J187" s="1127">
        <v>0.0</v>
      </c>
      <c r="K187" s="1124"/>
    </row>
    <row r="188" ht="15.75" customHeight="1">
      <c r="A188" s="1119">
        <v>92830.0</v>
      </c>
      <c r="B188" s="1125" t="s">
        <v>10464</v>
      </c>
      <c r="C188" s="1126" t="s">
        <v>1731</v>
      </c>
      <c r="D188" s="1119">
        <v>211.02</v>
      </c>
      <c r="E188" s="1120">
        <v>92.23</v>
      </c>
      <c r="F188" s="1121">
        <f t="shared" si="1"/>
        <v>118.78</v>
      </c>
      <c r="G188" s="1120">
        <v>61.34</v>
      </c>
      <c r="H188" s="1127">
        <v>57.44</v>
      </c>
      <c r="I188" s="1127">
        <v>0.0</v>
      </c>
      <c r="J188" s="1127">
        <v>0.0</v>
      </c>
      <c r="K188" s="1124"/>
    </row>
    <row r="189" ht="15.75" customHeight="1">
      <c r="A189" s="1119">
        <v>92831.0</v>
      </c>
      <c r="B189" s="1125" t="s">
        <v>10465</v>
      </c>
      <c r="C189" s="1126" t="s">
        <v>1731</v>
      </c>
      <c r="D189" s="1119">
        <v>975.71</v>
      </c>
      <c r="E189" s="1120">
        <v>122.51</v>
      </c>
      <c r="F189" s="1121">
        <f t="shared" si="1"/>
        <v>853.19</v>
      </c>
      <c r="G189" s="1120">
        <v>776.89</v>
      </c>
      <c r="H189" s="1127">
        <v>76.3</v>
      </c>
      <c r="I189" s="1127">
        <v>0.0</v>
      </c>
      <c r="J189" s="1127">
        <v>0.0</v>
      </c>
      <c r="K189" s="1124"/>
    </row>
    <row r="190" ht="15.75" customHeight="1">
      <c r="A190" s="1119">
        <v>92832.0</v>
      </c>
      <c r="B190" s="1125" t="s">
        <v>10466</v>
      </c>
      <c r="C190" s="1126" t="s">
        <v>1731</v>
      </c>
      <c r="D190" s="1119">
        <v>280.52</v>
      </c>
      <c r="E190" s="1120">
        <v>122.6</v>
      </c>
      <c r="F190" s="1121">
        <f t="shared" si="1"/>
        <v>157.93</v>
      </c>
      <c r="G190" s="1120">
        <v>81.58</v>
      </c>
      <c r="H190" s="1127">
        <v>76.35</v>
      </c>
      <c r="I190" s="1127">
        <v>0.0</v>
      </c>
      <c r="J190" s="1127">
        <v>0.0</v>
      </c>
      <c r="K190" s="1124"/>
    </row>
    <row r="191" ht="15.75" customHeight="1">
      <c r="A191" s="1119">
        <v>95565.0</v>
      </c>
      <c r="B191" s="1125" t="s">
        <v>10467</v>
      </c>
      <c r="C191" s="1126" t="s">
        <v>1731</v>
      </c>
      <c r="D191" s="1119">
        <v>119.73</v>
      </c>
      <c r="E191" s="1120">
        <v>20.33</v>
      </c>
      <c r="F191" s="1121">
        <f t="shared" si="1"/>
        <v>99.37</v>
      </c>
      <c r="G191" s="1120">
        <v>86.04</v>
      </c>
      <c r="H191" s="1127">
        <v>13.33</v>
      </c>
      <c r="I191" s="1127">
        <v>0.0</v>
      </c>
      <c r="J191" s="1127">
        <v>0.0</v>
      </c>
      <c r="K191" s="1124"/>
    </row>
    <row r="192" ht="15.75" customHeight="1">
      <c r="A192" s="1119">
        <v>95566.0</v>
      </c>
      <c r="B192" s="1125" t="s">
        <v>10468</v>
      </c>
      <c r="C192" s="1126" t="s">
        <v>1731</v>
      </c>
      <c r="D192" s="1119">
        <v>128.26</v>
      </c>
      <c r="E192" s="1120">
        <v>24.35</v>
      </c>
      <c r="F192" s="1121">
        <f t="shared" si="1"/>
        <v>103.93</v>
      </c>
      <c r="G192" s="1120">
        <v>88.01</v>
      </c>
      <c r="H192" s="1127">
        <v>15.92</v>
      </c>
      <c r="I192" s="1127">
        <v>0.0</v>
      </c>
      <c r="J192" s="1127">
        <v>0.0</v>
      </c>
      <c r="K192" s="1124"/>
    </row>
    <row r="193" ht="15.75" customHeight="1">
      <c r="A193" s="1119">
        <v>95567.0</v>
      </c>
      <c r="B193" s="1125" t="s">
        <v>10469</v>
      </c>
      <c r="C193" s="1126" t="s">
        <v>1731</v>
      </c>
      <c r="D193" s="1119">
        <v>73.62</v>
      </c>
      <c r="E193" s="1120">
        <v>20.36</v>
      </c>
      <c r="F193" s="1121">
        <f t="shared" si="1"/>
        <v>53.24</v>
      </c>
      <c r="G193" s="1120">
        <v>39.9</v>
      </c>
      <c r="H193" s="1127">
        <v>13.34</v>
      </c>
      <c r="I193" s="1127">
        <v>0.0</v>
      </c>
      <c r="J193" s="1127">
        <v>0.0</v>
      </c>
      <c r="K193" s="1124"/>
    </row>
    <row r="194" ht="15.75" customHeight="1">
      <c r="A194" s="1119">
        <v>95568.0</v>
      </c>
      <c r="B194" s="1125" t="s">
        <v>10470</v>
      </c>
      <c r="C194" s="1126" t="s">
        <v>1731</v>
      </c>
      <c r="D194" s="1119">
        <v>91.44</v>
      </c>
      <c r="E194" s="1120">
        <v>25.94</v>
      </c>
      <c r="F194" s="1121">
        <f t="shared" si="1"/>
        <v>65.48</v>
      </c>
      <c r="G194" s="1120">
        <v>48.49</v>
      </c>
      <c r="H194" s="1127">
        <v>16.99</v>
      </c>
      <c r="I194" s="1127">
        <v>0.0</v>
      </c>
      <c r="J194" s="1127">
        <v>0.0</v>
      </c>
      <c r="K194" s="1124"/>
    </row>
    <row r="195" ht="15.75" customHeight="1">
      <c r="A195" s="1119">
        <v>95569.0</v>
      </c>
      <c r="B195" s="1125" t="s">
        <v>10471</v>
      </c>
      <c r="C195" s="1126" t="s">
        <v>1731</v>
      </c>
      <c r="D195" s="1119">
        <v>120.69</v>
      </c>
      <c r="E195" s="1120">
        <v>31.53</v>
      </c>
      <c r="F195" s="1121">
        <f t="shared" si="1"/>
        <v>89.15</v>
      </c>
      <c r="G195" s="1120">
        <v>68.64</v>
      </c>
      <c r="H195" s="1127">
        <v>20.51</v>
      </c>
      <c r="I195" s="1127">
        <v>0.0</v>
      </c>
      <c r="J195" s="1127">
        <v>0.0</v>
      </c>
      <c r="K195" s="1124"/>
    </row>
    <row r="196" ht="15.75" customHeight="1">
      <c r="A196" s="1119">
        <v>95570.0</v>
      </c>
      <c r="B196" s="1125" t="s">
        <v>10472</v>
      </c>
      <c r="C196" s="1126" t="s">
        <v>1731</v>
      </c>
      <c r="D196" s="1119">
        <v>82.15</v>
      </c>
      <c r="E196" s="1120">
        <v>24.37</v>
      </c>
      <c r="F196" s="1121">
        <f t="shared" si="1"/>
        <v>57.8</v>
      </c>
      <c r="G196" s="1120">
        <v>41.86</v>
      </c>
      <c r="H196" s="1127">
        <v>15.94</v>
      </c>
      <c r="I196" s="1127">
        <v>0.0</v>
      </c>
      <c r="J196" s="1127">
        <v>0.0</v>
      </c>
      <c r="K196" s="1124"/>
    </row>
    <row r="197" ht="15.75" customHeight="1">
      <c r="A197" s="1119">
        <v>95571.0</v>
      </c>
      <c r="B197" s="1125" t="s">
        <v>10473</v>
      </c>
      <c r="C197" s="1126" t="s">
        <v>1731</v>
      </c>
      <c r="D197" s="1119">
        <v>102.38</v>
      </c>
      <c r="E197" s="1120">
        <v>31.07</v>
      </c>
      <c r="F197" s="1121">
        <f t="shared" si="1"/>
        <v>71.3</v>
      </c>
      <c r="G197" s="1120">
        <v>51.02</v>
      </c>
      <c r="H197" s="1127">
        <v>20.28</v>
      </c>
      <c r="I197" s="1127">
        <v>0.0</v>
      </c>
      <c r="J197" s="1127">
        <v>0.0</v>
      </c>
      <c r="K197" s="1124"/>
    </row>
    <row r="198" ht="15.75" customHeight="1">
      <c r="A198" s="1119">
        <v>95572.0</v>
      </c>
      <c r="B198" s="1125" t="s">
        <v>10474</v>
      </c>
      <c r="C198" s="1126" t="s">
        <v>1731</v>
      </c>
      <c r="D198" s="1119">
        <v>134.21</v>
      </c>
      <c r="E198" s="1120">
        <v>37.78</v>
      </c>
      <c r="F198" s="1121">
        <f t="shared" si="1"/>
        <v>96.43</v>
      </c>
      <c r="G198" s="1120">
        <v>71.77</v>
      </c>
      <c r="H198" s="1127">
        <v>24.66</v>
      </c>
      <c r="I198" s="1127">
        <v>0.0</v>
      </c>
      <c r="J198" s="1127">
        <v>0.0</v>
      </c>
      <c r="K198" s="1124"/>
    </row>
    <row r="199" ht="15.75" customHeight="1">
      <c r="A199" s="1119">
        <v>97127.0</v>
      </c>
      <c r="B199" s="1125" t="s">
        <v>10475</v>
      </c>
      <c r="C199" s="1126" t="s">
        <v>1731</v>
      </c>
      <c r="D199" s="1119">
        <v>6.13</v>
      </c>
      <c r="E199" s="1120">
        <v>4.23</v>
      </c>
      <c r="F199" s="1121">
        <f t="shared" si="1"/>
        <v>1.9</v>
      </c>
      <c r="G199" s="1120">
        <v>1.9</v>
      </c>
      <c r="H199" s="1127">
        <v>0.0</v>
      </c>
      <c r="I199" s="1127">
        <v>0.0</v>
      </c>
      <c r="J199" s="1127">
        <v>0.0</v>
      </c>
      <c r="K199" s="1124"/>
    </row>
    <row r="200" ht="15.75" customHeight="1">
      <c r="A200" s="1119">
        <v>97128.0</v>
      </c>
      <c r="B200" s="1125" t="s">
        <v>10476</v>
      </c>
      <c r="C200" s="1126" t="s">
        <v>1731</v>
      </c>
      <c r="D200" s="1119">
        <v>11.55</v>
      </c>
      <c r="E200" s="1120">
        <v>6.78</v>
      </c>
      <c r="F200" s="1121">
        <f t="shared" si="1"/>
        <v>4.77</v>
      </c>
      <c r="G200" s="1120">
        <v>3.1</v>
      </c>
      <c r="H200" s="1127">
        <v>1.67</v>
      </c>
      <c r="I200" s="1127">
        <v>0.0</v>
      </c>
      <c r="J200" s="1127">
        <v>0.0</v>
      </c>
      <c r="K200" s="1124"/>
    </row>
    <row r="201" ht="15.75" customHeight="1">
      <c r="A201" s="1119">
        <v>97129.0</v>
      </c>
      <c r="B201" s="1125" t="s">
        <v>10477</v>
      </c>
      <c r="C201" s="1126" t="s">
        <v>1731</v>
      </c>
      <c r="D201" s="1119">
        <v>14.21</v>
      </c>
      <c r="E201" s="1120">
        <v>8.28</v>
      </c>
      <c r="F201" s="1121">
        <f t="shared" si="1"/>
        <v>5.94</v>
      </c>
      <c r="G201" s="1120">
        <v>3.86</v>
      </c>
      <c r="H201" s="1127">
        <v>2.08</v>
      </c>
      <c r="I201" s="1127">
        <v>0.0</v>
      </c>
      <c r="J201" s="1127">
        <v>0.0</v>
      </c>
      <c r="K201" s="1124"/>
    </row>
    <row r="202" ht="15.75" customHeight="1">
      <c r="A202" s="1119">
        <v>97130.0</v>
      </c>
      <c r="B202" s="1125" t="s">
        <v>10478</v>
      </c>
      <c r="C202" s="1126" t="s">
        <v>1731</v>
      </c>
      <c r="D202" s="1119">
        <v>16.86</v>
      </c>
      <c r="E202" s="1120">
        <v>9.82</v>
      </c>
      <c r="F202" s="1121">
        <f t="shared" si="1"/>
        <v>7.04</v>
      </c>
      <c r="G202" s="1120">
        <v>4.58</v>
      </c>
      <c r="H202" s="1127">
        <v>2.46</v>
      </c>
      <c r="I202" s="1127">
        <v>0.0</v>
      </c>
      <c r="J202" s="1127">
        <v>0.0</v>
      </c>
      <c r="K202" s="1124"/>
    </row>
    <row r="203" ht="15.75" customHeight="1">
      <c r="A203" s="1119">
        <v>97131.0</v>
      </c>
      <c r="B203" s="1125" t="s">
        <v>10479</v>
      </c>
      <c r="C203" s="1126" t="s">
        <v>1731</v>
      </c>
      <c r="D203" s="1119">
        <v>19.5</v>
      </c>
      <c r="E203" s="1120">
        <v>11.37</v>
      </c>
      <c r="F203" s="1121">
        <f t="shared" si="1"/>
        <v>8.13</v>
      </c>
      <c r="G203" s="1120">
        <v>5.29</v>
      </c>
      <c r="H203" s="1127">
        <v>2.84</v>
      </c>
      <c r="I203" s="1127">
        <v>0.0</v>
      </c>
      <c r="J203" s="1127">
        <v>0.0</v>
      </c>
      <c r="K203" s="1124"/>
    </row>
    <row r="204" ht="15.75" customHeight="1">
      <c r="A204" s="1119">
        <v>97132.0</v>
      </c>
      <c r="B204" s="1125" t="s">
        <v>10480</v>
      </c>
      <c r="C204" s="1126" t="s">
        <v>1731</v>
      </c>
      <c r="D204" s="1119">
        <v>22.13</v>
      </c>
      <c r="E204" s="1120">
        <v>12.88</v>
      </c>
      <c r="F204" s="1121">
        <f t="shared" si="1"/>
        <v>9.26</v>
      </c>
      <c r="G204" s="1120">
        <v>6.04</v>
      </c>
      <c r="H204" s="1127">
        <v>3.22</v>
      </c>
      <c r="I204" s="1127">
        <v>0.0</v>
      </c>
      <c r="J204" s="1127">
        <v>0.0</v>
      </c>
      <c r="K204" s="1124"/>
    </row>
    <row r="205" ht="15.75" customHeight="1">
      <c r="A205" s="1119">
        <v>97133.0</v>
      </c>
      <c r="B205" s="1125" t="s">
        <v>10481</v>
      </c>
      <c r="C205" s="1126" t="s">
        <v>1731</v>
      </c>
      <c r="D205" s="1119">
        <v>27.45</v>
      </c>
      <c r="E205" s="1120">
        <v>15.95</v>
      </c>
      <c r="F205" s="1121">
        <f t="shared" si="1"/>
        <v>11.5</v>
      </c>
      <c r="G205" s="1120">
        <v>7.5</v>
      </c>
      <c r="H205" s="1127">
        <v>4.0</v>
      </c>
      <c r="I205" s="1127">
        <v>0.0</v>
      </c>
      <c r="J205" s="1127">
        <v>0.0</v>
      </c>
      <c r="K205" s="1124"/>
    </row>
    <row r="206" ht="15.75" customHeight="1">
      <c r="A206" s="1119">
        <v>97134.0</v>
      </c>
      <c r="B206" s="1125" t="s">
        <v>10482</v>
      </c>
      <c r="C206" s="1126" t="s">
        <v>1731</v>
      </c>
      <c r="D206" s="1119">
        <v>2.78</v>
      </c>
      <c r="E206" s="1120">
        <v>1.77</v>
      </c>
      <c r="F206" s="1121">
        <f t="shared" si="1"/>
        <v>1.01</v>
      </c>
      <c r="G206" s="1120">
        <v>1.01</v>
      </c>
      <c r="H206" s="1127">
        <v>0.0</v>
      </c>
      <c r="I206" s="1127">
        <v>0.0</v>
      </c>
      <c r="J206" s="1127">
        <v>0.0</v>
      </c>
      <c r="K206" s="1124"/>
    </row>
    <row r="207" ht="15.75" customHeight="1">
      <c r="A207" s="1119">
        <v>97135.0</v>
      </c>
      <c r="B207" s="1125" t="s">
        <v>10483</v>
      </c>
      <c r="C207" s="1126" t="s">
        <v>1731</v>
      </c>
      <c r="D207" s="1119">
        <v>5.71</v>
      </c>
      <c r="E207" s="1120">
        <v>2.93</v>
      </c>
      <c r="F207" s="1121">
        <f t="shared" si="1"/>
        <v>2.78</v>
      </c>
      <c r="G207" s="1120">
        <v>1.81</v>
      </c>
      <c r="H207" s="1127">
        <v>0.97</v>
      </c>
      <c r="I207" s="1127">
        <v>0.0</v>
      </c>
      <c r="J207" s="1127">
        <v>0.0</v>
      </c>
      <c r="K207" s="1124"/>
    </row>
    <row r="208" ht="15.75" customHeight="1">
      <c r="A208" s="1119">
        <v>97136.0</v>
      </c>
      <c r="B208" s="1125" t="s">
        <v>10484</v>
      </c>
      <c r="C208" s="1126" t="s">
        <v>1731</v>
      </c>
      <c r="D208" s="1119">
        <v>7.03</v>
      </c>
      <c r="E208" s="1120">
        <v>3.6</v>
      </c>
      <c r="F208" s="1121">
        <f t="shared" si="1"/>
        <v>3.44</v>
      </c>
      <c r="G208" s="1120">
        <v>2.24</v>
      </c>
      <c r="H208" s="1127">
        <v>1.2</v>
      </c>
      <c r="I208" s="1127">
        <v>0.0</v>
      </c>
      <c r="J208" s="1127">
        <v>0.0</v>
      </c>
      <c r="K208" s="1124"/>
    </row>
    <row r="209" ht="15.75" customHeight="1">
      <c r="A209" s="1119">
        <v>97137.0</v>
      </c>
      <c r="B209" s="1125" t="s">
        <v>10485</v>
      </c>
      <c r="C209" s="1126" t="s">
        <v>1731</v>
      </c>
      <c r="D209" s="1119">
        <v>8.34</v>
      </c>
      <c r="E209" s="1120">
        <v>4.23</v>
      </c>
      <c r="F209" s="1121">
        <f t="shared" si="1"/>
        <v>4.12</v>
      </c>
      <c r="G209" s="1120">
        <v>2.68</v>
      </c>
      <c r="H209" s="1127">
        <v>1.44</v>
      </c>
      <c r="I209" s="1127">
        <v>0.0</v>
      </c>
      <c r="J209" s="1127">
        <v>0.0</v>
      </c>
      <c r="K209" s="1124"/>
    </row>
    <row r="210" ht="15.75" customHeight="1">
      <c r="A210" s="1119">
        <v>97138.0</v>
      </c>
      <c r="B210" s="1125" t="s">
        <v>10486</v>
      </c>
      <c r="C210" s="1126" t="s">
        <v>1731</v>
      </c>
      <c r="D210" s="1119">
        <v>9.65</v>
      </c>
      <c r="E210" s="1120">
        <v>4.91</v>
      </c>
      <c r="F210" s="1121">
        <f t="shared" si="1"/>
        <v>4.74</v>
      </c>
      <c r="G210" s="1120">
        <v>3.09</v>
      </c>
      <c r="H210" s="1127">
        <v>1.65</v>
      </c>
      <c r="I210" s="1127">
        <v>0.0</v>
      </c>
      <c r="J210" s="1127">
        <v>0.0</v>
      </c>
      <c r="K210" s="1124"/>
    </row>
    <row r="211" ht="15.75" customHeight="1">
      <c r="A211" s="1119">
        <v>97139.0</v>
      </c>
      <c r="B211" s="1125" t="s">
        <v>10487</v>
      </c>
      <c r="C211" s="1126" t="s">
        <v>1731</v>
      </c>
      <c r="D211" s="1119">
        <v>10.96</v>
      </c>
      <c r="E211" s="1120">
        <v>5.57</v>
      </c>
      <c r="F211" s="1121">
        <f t="shared" si="1"/>
        <v>5.39</v>
      </c>
      <c r="G211" s="1120">
        <v>3.52</v>
      </c>
      <c r="H211" s="1127">
        <v>1.87</v>
      </c>
      <c r="I211" s="1127">
        <v>0.0</v>
      </c>
      <c r="J211" s="1127">
        <v>0.0</v>
      </c>
      <c r="K211" s="1124"/>
    </row>
    <row r="212" ht="15.75" customHeight="1">
      <c r="A212" s="1119">
        <v>97140.0</v>
      </c>
      <c r="B212" s="1125" t="s">
        <v>10488</v>
      </c>
      <c r="C212" s="1126" t="s">
        <v>1731</v>
      </c>
      <c r="D212" s="1119">
        <v>13.59</v>
      </c>
      <c r="E212" s="1120">
        <v>6.9</v>
      </c>
      <c r="F212" s="1121">
        <f t="shared" si="1"/>
        <v>6.71</v>
      </c>
      <c r="G212" s="1120">
        <v>4.38</v>
      </c>
      <c r="H212" s="1127">
        <v>2.33</v>
      </c>
      <c r="I212" s="1127">
        <v>0.0</v>
      </c>
      <c r="J212" s="1127">
        <v>0.0</v>
      </c>
      <c r="K212" s="1124"/>
    </row>
    <row r="213" ht="15.75" customHeight="1">
      <c r="A213" s="1119">
        <v>103089.0</v>
      </c>
      <c r="B213" s="1125" t="s">
        <v>10489</v>
      </c>
      <c r="C213" s="1126" t="s">
        <v>1731</v>
      </c>
      <c r="D213" s="1119">
        <v>11.63</v>
      </c>
      <c r="E213" s="1120">
        <v>5.28</v>
      </c>
      <c r="F213" s="1121">
        <f t="shared" si="1"/>
        <v>6.36</v>
      </c>
      <c r="G213" s="1120">
        <v>3.58</v>
      </c>
      <c r="H213" s="1127">
        <v>2.78</v>
      </c>
      <c r="I213" s="1127">
        <v>0.0</v>
      </c>
      <c r="J213" s="1127">
        <v>0.0</v>
      </c>
      <c r="K213" s="1124"/>
    </row>
    <row r="214" ht="15.75" customHeight="1">
      <c r="A214" s="1119">
        <v>103090.0</v>
      </c>
      <c r="B214" s="1125" t="s">
        <v>10490</v>
      </c>
      <c r="C214" s="1126" t="s">
        <v>1731</v>
      </c>
      <c r="D214" s="1119">
        <v>13.94</v>
      </c>
      <c r="E214" s="1120">
        <v>6.39</v>
      </c>
      <c r="F214" s="1121">
        <f t="shared" si="1"/>
        <v>7.55</v>
      </c>
      <c r="G214" s="1120">
        <v>4.28</v>
      </c>
      <c r="H214" s="1127">
        <v>3.27</v>
      </c>
      <c r="I214" s="1127">
        <v>0.0</v>
      </c>
      <c r="J214" s="1127">
        <v>0.0</v>
      </c>
      <c r="K214" s="1124"/>
    </row>
    <row r="215" ht="15.75" customHeight="1">
      <c r="A215" s="1119">
        <v>103091.0</v>
      </c>
      <c r="B215" s="1125" t="s">
        <v>10491</v>
      </c>
      <c r="C215" s="1126" t="s">
        <v>1731</v>
      </c>
      <c r="D215" s="1119">
        <v>19.68</v>
      </c>
      <c r="E215" s="1120">
        <v>9.16</v>
      </c>
      <c r="F215" s="1121">
        <f t="shared" si="1"/>
        <v>10.52</v>
      </c>
      <c r="G215" s="1120">
        <v>6.01</v>
      </c>
      <c r="H215" s="1127">
        <v>4.51</v>
      </c>
      <c r="I215" s="1127">
        <v>0.0</v>
      </c>
      <c r="J215" s="1127">
        <v>0.0</v>
      </c>
      <c r="K215" s="1124"/>
    </row>
    <row r="216" ht="15.75" customHeight="1">
      <c r="A216" s="1119">
        <v>103092.0</v>
      </c>
      <c r="B216" s="1125" t="s">
        <v>10492</v>
      </c>
      <c r="C216" s="1126" t="s">
        <v>1731</v>
      </c>
      <c r="D216" s="1119">
        <v>25.43</v>
      </c>
      <c r="E216" s="1120">
        <v>11.95</v>
      </c>
      <c r="F216" s="1121">
        <f t="shared" si="1"/>
        <v>13.48</v>
      </c>
      <c r="G216" s="1120">
        <v>7.74</v>
      </c>
      <c r="H216" s="1127">
        <v>5.74</v>
      </c>
      <c r="I216" s="1127">
        <v>0.0</v>
      </c>
      <c r="J216" s="1127">
        <v>0.0</v>
      </c>
      <c r="K216" s="1124"/>
    </row>
    <row r="217" ht="15.75" customHeight="1">
      <c r="A217" s="1119">
        <v>103093.0</v>
      </c>
      <c r="B217" s="1125" t="s">
        <v>10493</v>
      </c>
      <c r="C217" s="1126" t="s">
        <v>1731</v>
      </c>
      <c r="D217" s="1119">
        <v>38.89</v>
      </c>
      <c r="E217" s="1120">
        <v>18.28</v>
      </c>
      <c r="F217" s="1121">
        <f t="shared" si="1"/>
        <v>20.63</v>
      </c>
      <c r="G217" s="1120">
        <v>11.86</v>
      </c>
      <c r="H217" s="1127">
        <v>8.77</v>
      </c>
      <c r="I217" s="1127">
        <v>0.0</v>
      </c>
      <c r="J217" s="1127">
        <v>0.0</v>
      </c>
      <c r="K217" s="1124"/>
    </row>
    <row r="218" ht="15.75" customHeight="1">
      <c r="A218" s="1119">
        <v>103094.0</v>
      </c>
      <c r="B218" s="1125" t="s">
        <v>10494</v>
      </c>
      <c r="C218" s="1126" t="s">
        <v>1731</v>
      </c>
      <c r="D218" s="1119">
        <v>44.66</v>
      </c>
      <c r="E218" s="1120">
        <v>21.04</v>
      </c>
      <c r="F218" s="1121">
        <f t="shared" si="1"/>
        <v>23.62</v>
      </c>
      <c r="G218" s="1120">
        <v>13.6</v>
      </c>
      <c r="H218" s="1127">
        <v>10.02</v>
      </c>
      <c r="I218" s="1127">
        <v>0.0</v>
      </c>
      <c r="J218" s="1127">
        <v>0.0</v>
      </c>
      <c r="K218" s="1124"/>
    </row>
    <row r="219" ht="15.75" customHeight="1">
      <c r="A219" s="1119">
        <v>103095.0</v>
      </c>
      <c r="B219" s="1125" t="s">
        <v>10495</v>
      </c>
      <c r="C219" s="1126" t="s">
        <v>1731</v>
      </c>
      <c r="D219" s="1119">
        <v>58.09</v>
      </c>
      <c r="E219" s="1120">
        <v>27.36</v>
      </c>
      <c r="F219" s="1121">
        <f t="shared" si="1"/>
        <v>30.74</v>
      </c>
      <c r="G219" s="1120">
        <v>17.73</v>
      </c>
      <c r="H219" s="1127">
        <v>13.01</v>
      </c>
      <c r="I219" s="1127">
        <v>0.0</v>
      </c>
      <c r="J219" s="1127">
        <v>0.0</v>
      </c>
      <c r="K219" s="1124"/>
    </row>
    <row r="220" ht="15.75" customHeight="1">
      <c r="A220" s="1119">
        <v>103096.0</v>
      </c>
      <c r="B220" s="1125" t="s">
        <v>10496</v>
      </c>
      <c r="C220" s="1126" t="s">
        <v>1731</v>
      </c>
      <c r="D220" s="1119">
        <v>63.86</v>
      </c>
      <c r="E220" s="1120">
        <v>30.15</v>
      </c>
      <c r="F220" s="1121">
        <f t="shared" si="1"/>
        <v>33.71</v>
      </c>
      <c r="G220" s="1120">
        <v>19.44</v>
      </c>
      <c r="H220" s="1127">
        <v>14.27</v>
      </c>
      <c r="I220" s="1127">
        <v>0.0</v>
      </c>
      <c r="J220" s="1127">
        <v>0.0</v>
      </c>
      <c r="K220" s="1124"/>
    </row>
    <row r="221" ht="15.75" customHeight="1">
      <c r="A221" s="1119">
        <v>103097.0</v>
      </c>
      <c r="B221" s="1125" t="s">
        <v>10497</v>
      </c>
      <c r="C221" s="1126" t="s">
        <v>1731</v>
      </c>
      <c r="D221" s="1119">
        <v>77.31</v>
      </c>
      <c r="E221" s="1120">
        <v>36.49</v>
      </c>
      <c r="F221" s="1121">
        <f t="shared" si="1"/>
        <v>40.84</v>
      </c>
      <c r="G221" s="1120">
        <v>23.57</v>
      </c>
      <c r="H221" s="1127">
        <v>17.27</v>
      </c>
      <c r="I221" s="1127">
        <v>0.0</v>
      </c>
      <c r="J221" s="1127">
        <v>0.0</v>
      </c>
      <c r="K221" s="1124"/>
    </row>
    <row r="222" ht="15.75" customHeight="1">
      <c r="A222" s="1119">
        <v>103098.0</v>
      </c>
      <c r="B222" s="1125" t="s">
        <v>10498</v>
      </c>
      <c r="C222" s="1126" t="s">
        <v>1731</v>
      </c>
      <c r="D222" s="1119">
        <v>83.07</v>
      </c>
      <c r="E222" s="1120">
        <v>39.27</v>
      </c>
      <c r="F222" s="1121">
        <f t="shared" si="1"/>
        <v>43.82</v>
      </c>
      <c r="G222" s="1120">
        <v>25.32</v>
      </c>
      <c r="H222" s="1127">
        <v>18.5</v>
      </c>
      <c r="I222" s="1127">
        <v>0.0</v>
      </c>
      <c r="J222" s="1127">
        <v>0.0</v>
      </c>
      <c r="K222" s="1124"/>
    </row>
    <row r="223" ht="15.75" customHeight="1">
      <c r="A223" s="1119">
        <v>103099.0</v>
      </c>
      <c r="B223" s="1125" t="s">
        <v>10499</v>
      </c>
      <c r="C223" s="1126" t="s">
        <v>1731</v>
      </c>
      <c r="D223" s="1119">
        <v>94.57</v>
      </c>
      <c r="E223" s="1120">
        <v>44.83</v>
      </c>
      <c r="F223" s="1121">
        <f t="shared" si="1"/>
        <v>49.76</v>
      </c>
      <c r="G223" s="1120">
        <v>28.78</v>
      </c>
      <c r="H223" s="1127">
        <v>20.98</v>
      </c>
      <c r="I223" s="1127">
        <v>0.0</v>
      </c>
      <c r="J223" s="1127">
        <v>0.0</v>
      </c>
      <c r="K223" s="1124"/>
    </row>
    <row r="224" ht="15.75" customHeight="1">
      <c r="A224" s="1119">
        <v>103100.0</v>
      </c>
      <c r="B224" s="1125" t="s">
        <v>10500</v>
      </c>
      <c r="C224" s="1126" t="s">
        <v>1731</v>
      </c>
      <c r="D224" s="1119">
        <v>100.99</v>
      </c>
      <c r="E224" s="1120">
        <v>48.04</v>
      </c>
      <c r="F224" s="1121">
        <f t="shared" si="1"/>
        <v>52.95</v>
      </c>
      <c r="G224" s="1120">
        <v>30.69</v>
      </c>
      <c r="H224" s="1127">
        <v>22.26</v>
      </c>
      <c r="I224" s="1127">
        <v>0.0</v>
      </c>
      <c r="J224" s="1127">
        <v>0.0</v>
      </c>
      <c r="K224" s="1124"/>
    </row>
    <row r="225" ht="15.75" customHeight="1">
      <c r="A225" s="1119">
        <v>103101.0</v>
      </c>
      <c r="B225" s="1125" t="s">
        <v>10501</v>
      </c>
      <c r="C225" s="1126" t="s">
        <v>1731</v>
      </c>
      <c r="D225" s="1119">
        <v>111.29</v>
      </c>
      <c r="E225" s="1120">
        <v>53.04</v>
      </c>
      <c r="F225" s="1121">
        <f t="shared" si="1"/>
        <v>58.25</v>
      </c>
      <c r="G225" s="1120">
        <v>33.82</v>
      </c>
      <c r="H225" s="1127">
        <v>24.43</v>
      </c>
      <c r="I225" s="1127">
        <v>0.0</v>
      </c>
      <c r="J225" s="1127">
        <v>0.0</v>
      </c>
      <c r="K225" s="1124"/>
    </row>
    <row r="226" ht="15.75" customHeight="1">
      <c r="A226" s="1119">
        <v>103102.0</v>
      </c>
      <c r="B226" s="1125" t="s">
        <v>10502</v>
      </c>
      <c r="C226" s="1126" t="s">
        <v>1731</v>
      </c>
      <c r="D226" s="1119">
        <v>128.16</v>
      </c>
      <c r="E226" s="1120">
        <v>61.06</v>
      </c>
      <c r="F226" s="1121">
        <f t="shared" si="1"/>
        <v>67.11</v>
      </c>
      <c r="G226" s="1120">
        <v>38.95</v>
      </c>
      <c r="H226" s="1127">
        <v>28.16</v>
      </c>
      <c r="I226" s="1127">
        <v>0.0</v>
      </c>
      <c r="J226" s="1127">
        <v>0.0</v>
      </c>
      <c r="K226" s="1124"/>
    </row>
    <row r="227" ht="15.75" customHeight="1">
      <c r="A227" s="1119">
        <v>103103.0</v>
      </c>
      <c r="B227" s="1125" t="s">
        <v>10503</v>
      </c>
      <c r="C227" s="1126" t="s">
        <v>1731</v>
      </c>
      <c r="D227" s="1119">
        <v>138.44</v>
      </c>
      <c r="E227" s="1120">
        <v>66.07</v>
      </c>
      <c r="F227" s="1121">
        <f t="shared" si="1"/>
        <v>72.4</v>
      </c>
      <c r="G227" s="1120">
        <v>42.06</v>
      </c>
      <c r="H227" s="1127">
        <v>30.34</v>
      </c>
      <c r="I227" s="1127">
        <v>0.0</v>
      </c>
      <c r="J227" s="1127">
        <v>0.0</v>
      </c>
      <c r="K227" s="1124"/>
    </row>
    <row r="228" ht="15.75" customHeight="1">
      <c r="A228" s="1119">
        <v>103104.0</v>
      </c>
      <c r="B228" s="1125" t="s">
        <v>10504</v>
      </c>
      <c r="C228" s="1126" t="s">
        <v>1731</v>
      </c>
      <c r="D228" s="1119">
        <v>165.62</v>
      </c>
      <c r="E228" s="1120">
        <v>79.11</v>
      </c>
      <c r="F228" s="1121">
        <f t="shared" si="1"/>
        <v>86.51</v>
      </c>
      <c r="G228" s="1120">
        <v>50.28</v>
      </c>
      <c r="H228" s="1127">
        <v>36.23</v>
      </c>
      <c r="I228" s="1127">
        <v>0.0</v>
      </c>
      <c r="J228" s="1127">
        <v>0.0</v>
      </c>
      <c r="K228" s="1124"/>
    </row>
    <row r="229" ht="15.75" customHeight="1">
      <c r="A229" s="1119">
        <v>103105.0</v>
      </c>
      <c r="B229" s="1125" t="s">
        <v>10505</v>
      </c>
      <c r="C229" s="1126" t="s">
        <v>1788</v>
      </c>
      <c r="D229" s="1119">
        <v>47.41</v>
      </c>
      <c r="E229" s="1120">
        <v>17.86</v>
      </c>
      <c r="F229" s="1121">
        <f t="shared" si="1"/>
        <v>29.58</v>
      </c>
      <c r="G229" s="1120">
        <v>15.54</v>
      </c>
      <c r="H229" s="1127">
        <v>14.04</v>
      </c>
      <c r="I229" s="1127">
        <v>0.0</v>
      </c>
      <c r="J229" s="1127">
        <v>0.0</v>
      </c>
      <c r="K229" s="1124"/>
    </row>
    <row r="230" ht="15.75" customHeight="1">
      <c r="A230" s="1119">
        <v>103106.0</v>
      </c>
      <c r="B230" s="1125" t="s">
        <v>10506</v>
      </c>
      <c r="C230" s="1126" t="s">
        <v>1788</v>
      </c>
      <c r="D230" s="1119">
        <v>56.94</v>
      </c>
      <c r="E230" s="1120">
        <v>22.23</v>
      </c>
      <c r="F230" s="1121">
        <f t="shared" si="1"/>
        <v>34.71</v>
      </c>
      <c r="G230" s="1120">
        <v>18.44</v>
      </c>
      <c r="H230" s="1127">
        <v>16.27</v>
      </c>
      <c r="I230" s="1127">
        <v>0.0</v>
      </c>
      <c r="J230" s="1127">
        <v>0.0</v>
      </c>
      <c r="K230" s="1124"/>
    </row>
    <row r="231" ht="15.75" customHeight="1">
      <c r="A231" s="1119">
        <v>103107.0</v>
      </c>
      <c r="B231" s="1125" t="s">
        <v>10507</v>
      </c>
      <c r="C231" s="1126" t="s">
        <v>1788</v>
      </c>
      <c r="D231" s="1119">
        <v>80.74</v>
      </c>
      <c r="E231" s="1120">
        <v>33.2</v>
      </c>
      <c r="F231" s="1121">
        <f t="shared" si="1"/>
        <v>47.56</v>
      </c>
      <c r="G231" s="1120">
        <v>25.8</v>
      </c>
      <c r="H231" s="1127">
        <v>21.76</v>
      </c>
      <c r="I231" s="1127">
        <v>0.0</v>
      </c>
      <c r="J231" s="1127">
        <v>0.0</v>
      </c>
      <c r="K231" s="1124"/>
    </row>
    <row r="232" ht="15.75" customHeight="1">
      <c r="A232" s="1119">
        <v>103108.0</v>
      </c>
      <c r="B232" s="1125" t="s">
        <v>10508</v>
      </c>
      <c r="C232" s="1126" t="s">
        <v>1788</v>
      </c>
      <c r="D232" s="1119">
        <v>104.54</v>
      </c>
      <c r="E232" s="1120">
        <v>44.14</v>
      </c>
      <c r="F232" s="1121">
        <f t="shared" si="1"/>
        <v>60.41</v>
      </c>
      <c r="G232" s="1120">
        <v>33.12</v>
      </c>
      <c r="H232" s="1127">
        <v>27.29</v>
      </c>
      <c r="I232" s="1127">
        <v>0.0</v>
      </c>
      <c r="J232" s="1127">
        <v>0.0</v>
      </c>
      <c r="K232" s="1124"/>
    </row>
    <row r="233" ht="15.75" customHeight="1">
      <c r="A233" s="1119">
        <v>103109.0</v>
      </c>
      <c r="B233" s="1125" t="s">
        <v>10509</v>
      </c>
      <c r="C233" s="1126" t="s">
        <v>1788</v>
      </c>
      <c r="D233" s="1119">
        <v>173.06</v>
      </c>
      <c r="E233" s="1120">
        <v>75.65</v>
      </c>
      <c r="F233" s="1121">
        <f t="shared" si="1"/>
        <v>97.43</v>
      </c>
      <c r="G233" s="1120">
        <v>54.23</v>
      </c>
      <c r="H233" s="1127">
        <v>43.2</v>
      </c>
      <c r="I233" s="1127">
        <v>0.0</v>
      </c>
      <c r="J233" s="1127">
        <v>0.0</v>
      </c>
      <c r="K233" s="1124"/>
    </row>
    <row r="234" ht="15.75" customHeight="1">
      <c r="A234" s="1119">
        <v>103110.0</v>
      </c>
      <c r="B234" s="1125" t="s">
        <v>10510</v>
      </c>
      <c r="C234" s="1126" t="s">
        <v>1788</v>
      </c>
      <c r="D234" s="1119">
        <v>196.86</v>
      </c>
      <c r="E234" s="1120">
        <v>86.57</v>
      </c>
      <c r="F234" s="1121">
        <f t="shared" si="1"/>
        <v>110.29</v>
      </c>
      <c r="G234" s="1120">
        <v>61.56</v>
      </c>
      <c r="H234" s="1127">
        <v>48.73</v>
      </c>
      <c r="I234" s="1127">
        <v>0.0</v>
      </c>
      <c r="J234" s="1127">
        <v>0.0</v>
      </c>
      <c r="K234" s="1124"/>
    </row>
    <row r="235" ht="15.75" customHeight="1">
      <c r="A235" s="1119">
        <v>103111.0</v>
      </c>
      <c r="B235" s="1125" t="s">
        <v>10511</v>
      </c>
      <c r="C235" s="1126" t="s">
        <v>1788</v>
      </c>
      <c r="D235" s="1119">
        <v>265.38</v>
      </c>
      <c r="E235" s="1120">
        <v>118.09</v>
      </c>
      <c r="F235" s="1121">
        <f t="shared" si="1"/>
        <v>147.31</v>
      </c>
      <c r="G235" s="1120">
        <v>82.64</v>
      </c>
      <c r="H235" s="1127">
        <v>64.67</v>
      </c>
      <c r="I235" s="1127">
        <v>0.0</v>
      </c>
      <c r="J235" s="1127">
        <v>0.0</v>
      </c>
      <c r="K235" s="1124"/>
    </row>
    <row r="236" ht="15.75" customHeight="1">
      <c r="A236" s="1119">
        <v>103112.0</v>
      </c>
      <c r="B236" s="1125" t="s">
        <v>10512</v>
      </c>
      <c r="C236" s="1126" t="s">
        <v>1788</v>
      </c>
      <c r="D236" s="1119">
        <v>289.18</v>
      </c>
      <c r="E236" s="1120">
        <v>129.0</v>
      </c>
      <c r="F236" s="1121">
        <f t="shared" si="1"/>
        <v>160.19</v>
      </c>
      <c r="G236" s="1120">
        <v>90.02</v>
      </c>
      <c r="H236" s="1127">
        <v>70.17</v>
      </c>
      <c r="I236" s="1127">
        <v>0.0</v>
      </c>
      <c r="J236" s="1127">
        <v>0.0</v>
      </c>
      <c r="K236" s="1124"/>
    </row>
    <row r="237" ht="15.75" customHeight="1">
      <c r="A237" s="1119">
        <v>103113.0</v>
      </c>
      <c r="B237" s="1125" t="s">
        <v>10513</v>
      </c>
      <c r="C237" s="1126" t="s">
        <v>1788</v>
      </c>
      <c r="D237" s="1119">
        <v>357.68</v>
      </c>
      <c r="E237" s="1120">
        <v>160.5</v>
      </c>
      <c r="F237" s="1121">
        <f t="shared" si="1"/>
        <v>197.2</v>
      </c>
      <c r="G237" s="1120">
        <v>111.09</v>
      </c>
      <c r="H237" s="1127">
        <v>86.11</v>
      </c>
      <c r="I237" s="1127">
        <v>0.0</v>
      </c>
      <c r="J237" s="1127">
        <v>0.0</v>
      </c>
      <c r="K237" s="1124"/>
    </row>
    <row r="238" ht="15.75" customHeight="1">
      <c r="A238" s="1119">
        <v>103114.0</v>
      </c>
      <c r="B238" s="1125" t="s">
        <v>10514</v>
      </c>
      <c r="C238" s="1126" t="s">
        <v>1788</v>
      </c>
      <c r="D238" s="1119">
        <v>381.5</v>
      </c>
      <c r="E238" s="1120">
        <v>171.43</v>
      </c>
      <c r="F238" s="1121">
        <f t="shared" si="1"/>
        <v>210.07</v>
      </c>
      <c r="G238" s="1120">
        <v>118.45</v>
      </c>
      <c r="H238" s="1127">
        <v>91.62</v>
      </c>
      <c r="I238" s="1127">
        <v>0.0</v>
      </c>
      <c r="J238" s="1127">
        <v>0.0</v>
      </c>
      <c r="K238" s="1124"/>
    </row>
    <row r="239" ht="15.75" customHeight="1">
      <c r="A239" s="1119">
        <v>103115.0</v>
      </c>
      <c r="B239" s="1125" t="s">
        <v>10515</v>
      </c>
      <c r="C239" s="1126" t="s">
        <v>1788</v>
      </c>
      <c r="D239" s="1119">
        <v>429.08</v>
      </c>
      <c r="E239" s="1120">
        <v>193.31</v>
      </c>
      <c r="F239" s="1121">
        <f t="shared" si="1"/>
        <v>235.77</v>
      </c>
      <c r="G239" s="1120">
        <v>133.1</v>
      </c>
      <c r="H239" s="1127">
        <v>102.67</v>
      </c>
      <c r="I239" s="1127">
        <v>0.0</v>
      </c>
      <c r="J239" s="1127">
        <v>0.0</v>
      </c>
      <c r="K239" s="1124"/>
    </row>
    <row r="240" ht="15.75" customHeight="1">
      <c r="A240" s="1119">
        <v>103116.0</v>
      </c>
      <c r="B240" s="1125" t="s">
        <v>10516</v>
      </c>
      <c r="C240" s="1126" t="s">
        <v>1788</v>
      </c>
      <c r="D240" s="1119">
        <v>521.4</v>
      </c>
      <c r="E240" s="1120">
        <v>235.74</v>
      </c>
      <c r="F240" s="1121">
        <f t="shared" si="1"/>
        <v>285.68</v>
      </c>
      <c r="G240" s="1120">
        <v>161.56</v>
      </c>
      <c r="H240" s="1127">
        <v>124.12</v>
      </c>
      <c r="I240" s="1127">
        <v>0.0</v>
      </c>
      <c r="J240" s="1127">
        <v>0.0</v>
      </c>
      <c r="K240" s="1124"/>
    </row>
    <row r="241" ht="15.75" customHeight="1">
      <c r="A241" s="1119">
        <v>103117.0</v>
      </c>
      <c r="B241" s="1125" t="s">
        <v>10517</v>
      </c>
      <c r="C241" s="1126" t="s">
        <v>1788</v>
      </c>
      <c r="D241" s="1119">
        <v>569.01</v>
      </c>
      <c r="E241" s="1120">
        <v>257.62</v>
      </c>
      <c r="F241" s="1121">
        <f t="shared" si="1"/>
        <v>311.38</v>
      </c>
      <c r="G241" s="1120">
        <v>176.2</v>
      </c>
      <c r="H241" s="1127">
        <v>135.18</v>
      </c>
      <c r="I241" s="1127">
        <v>0.0</v>
      </c>
      <c r="J241" s="1127">
        <v>0.0</v>
      </c>
      <c r="K241" s="1124"/>
    </row>
    <row r="242" ht="15.75" customHeight="1">
      <c r="A242" s="1119">
        <v>103118.0</v>
      </c>
      <c r="B242" s="1125" t="s">
        <v>10518</v>
      </c>
      <c r="C242" s="1126" t="s">
        <v>1788</v>
      </c>
      <c r="D242" s="1119">
        <v>661.33</v>
      </c>
      <c r="E242" s="1120">
        <v>300.07</v>
      </c>
      <c r="F242" s="1121">
        <f t="shared" si="1"/>
        <v>361.26</v>
      </c>
      <c r="G242" s="1120">
        <v>204.66</v>
      </c>
      <c r="H242" s="1127">
        <v>156.6</v>
      </c>
      <c r="I242" s="1127">
        <v>0.0</v>
      </c>
      <c r="J242" s="1127">
        <v>0.0</v>
      </c>
      <c r="K242" s="1124"/>
    </row>
    <row r="243" ht="15.75" customHeight="1">
      <c r="A243" s="1119">
        <v>103119.0</v>
      </c>
      <c r="B243" s="1125" t="s">
        <v>10519</v>
      </c>
      <c r="C243" s="1126" t="s">
        <v>1788</v>
      </c>
      <c r="D243" s="1119">
        <v>708.93</v>
      </c>
      <c r="E243" s="1120">
        <v>321.94</v>
      </c>
      <c r="F243" s="1121">
        <f t="shared" si="1"/>
        <v>387</v>
      </c>
      <c r="G243" s="1120">
        <v>219.34</v>
      </c>
      <c r="H243" s="1127">
        <v>167.66</v>
      </c>
      <c r="I243" s="1127">
        <v>0.0</v>
      </c>
      <c r="J243" s="1127">
        <v>0.0</v>
      </c>
      <c r="K243" s="1124"/>
    </row>
    <row r="244" ht="15.75" customHeight="1">
      <c r="A244" s="1119">
        <v>103120.0</v>
      </c>
      <c r="B244" s="1125" t="s">
        <v>10520</v>
      </c>
      <c r="C244" s="1126" t="s">
        <v>1788</v>
      </c>
      <c r="D244" s="1119">
        <v>848.84</v>
      </c>
      <c r="E244" s="1120">
        <v>386.25</v>
      </c>
      <c r="F244" s="1121">
        <f t="shared" si="1"/>
        <v>462.61</v>
      </c>
      <c r="G244" s="1120">
        <v>262.48</v>
      </c>
      <c r="H244" s="1127">
        <v>200.13</v>
      </c>
      <c r="I244" s="1127">
        <v>0.0</v>
      </c>
      <c r="J244" s="1127">
        <v>0.0</v>
      </c>
      <c r="K244" s="1124"/>
    </row>
    <row r="245" ht="15.75" customHeight="1">
      <c r="A245" s="1119">
        <v>103121.0</v>
      </c>
      <c r="B245" s="1125" t="s">
        <v>10521</v>
      </c>
      <c r="C245" s="1126" t="s">
        <v>1788</v>
      </c>
      <c r="D245" s="1119">
        <v>62.84</v>
      </c>
      <c r="E245" s="1120">
        <v>24.96</v>
      </c>
      <c r="F245" s="1121">
        <f t="shared" si="1"/>
        <v>37.88</v>
      </c>
      <c r="G245" s="1120">
        <v>20.26</v>
      </c>
      <c r="H245" s="1127">
        <v>17.62</v>
      </c>
      <c r="I245" s="1127">
        <v>0.0</v>
      </c>
      <c r="J245" s="1127">
        <v>0.0</v>
      </c>
      <c r="K245" s="1124"/>
    </row>
    <row r="246" ht="15.75" customHeight="1">
      <c r="A246" s="1119">
        <v>103122.0</v>
      </c>
      <c r="B246" s="1125" t="s">
        <v>10522</v>
      </c>
      <c r="C246" s="1126" t="s">
        <v>1788</v>
      </c>
      <c r="D246" s="1119">
        <v>77.12</v>
      </c>
      <c r="E246" s="1120">
        <v>31.52</v>
      </c>
      <c r="F246" s="1121">
        <f t="shared" si="1"/>
        <v>45.6</v>
      </c>
      <c r="G246" s="1120">
        <v>24.65</v>
      </c>
      <c r="H246" s="1127">
        <v>20.95</v>
      </c>
      <c r="I246" s="1127">
        <v>0.0</v>
      </c>
      <c r="J246" s="1127">
        <v>0.0</v>
      </c>
      <c r="K246" s="1124"/>
    </row>
    <row r="247" ht="15.75" customHeight="1">
      <c r="A247" s="1119">
        <v>103123.0</v>
      </c>
      <c r="B247" s="1125" t="s">
        <v>10523</v>
      </c>
      <c r="C247" s="1126" t="s">
        <v>1788</v>
      </c>
      <c r="D247" s="1119">
        <v>112.82</v>
      </c>
      <c r="E247" s="1120">
        <v>47.94</v>
      </c>
      <c r="F247" s="1121">
        <f t="shared" si="1"/>
        <v>64.88</v>
      </c>
      <c r="G247" s="1120">
        <v>35.66</v>
      </c>
      <c r="H247" s="1127">
        <v>29.22</v>
      </c>
      <c r="I247" s="1127">
        <v>0.0</v>
      </c>
      <c r="J247" s="1127">
        <v>0.0</v>
      </c>
      <c r="K247" s="1124"/>
    </row>
    <row r="248" ht="15.75" customHeight="1">
      <c r="A248" s="1119">
        <v>103124.0</v>
      </c>
      <c r="B248" s="1125" t="s">
        <v>10524</v>
      </c>
      <c r="C248" s="1126" t="s">
        <v>1788</v>
      </c>
      <c r="D248" s="1119">
        <v>148.51</v>
      </c>
      <c r="E248" s="1120">
        <v>64.36</v>
      </c>
      <c r="F248" s="1121">
        <f t="shared" si="1"/>
        <v>84.16</v>
      </c>
      <c r="G248" s="1120">
        <v>46.67</v>
      </c>
      <c r="H248" s="1127">
        <v>37.49</v>
      </c>
      <c r="I248" s="1127">
        <v>0.0</v>
      </c>
      <c r="J248" s="1127">
        <v>0.0</v>
      </c>
      <c r="K248" s="1124"/>
    </row>
    <row r="249" ht="15.75" customHeight="1">
      <c r="A249" s="1119">
        <v>103125.0</v>
      </c>
      <c r="B249" s="1125" t="s">
        <v>10525</v>
      </c>
      <c r="C249" s="1126" t="s">
        <v>1788</v>
      </c>
      <c r="D249" s="1119">
        <v>251.3</v>
      </c>
      <c r="E249" s="1120">
        <v>111.6</v>
      </c>
      <c r="F249" s="1121">
        <f t="shared" si="1"/>
        <v>139.72</v>
      </c>
      <c r="G249" s="1120">
        <v>78.34</v>
      </c>
      <c r="H249" s="1127">
        <v>61.38</v>
      </c>
      <c r="I249" s="1127">
        <v>0.0</v>
      </c>
      <c r="J249" s="1127">
        <v>0.0</v>
      </c>
      <c r="K249" s="1124"/>
    </row>
    <row r="250" ht="15.75" customHeight="1">
      <c r="A250" s="1119">
        <v>103126.0</v>
      </c>
      <c r="B250" s="1125" t="s">
        <v>10526</v>
      </c>
      <c r="C250" s="1126" t="s">
        <v>1788</v>
      </c>
      <c r="D250" s="1119">
        <v>286.98</v>
      </c>
      <c r="E250" s="1120">
        <v>128.0</v>
      </c>
      <c r="F250" s="1121">
        <f t="shared" si="1"/>
        <v>158.98</v>
      </c>
      <c r="G250" s="1120">
        <v>89.3</v>
      </c>
      <c r="H250" s="1127">
        <v>69.68</v>
      </c>
      <c r="I250" s="1127">
        <v>0.0</v>
      </c>
      <c r="J250" s="1127">
        <v>0.0</v>
      </c>
      <c r="K250" s="1124"/>
    </row>
    <row r="251" ht="15.75" customHeight="1">
      <c r="A251" s="1119">
        <v>103127.0</v>
      </c>
      <c r="B251" s="1125" t="s">
        <v>10527</v>
      </c>
      <c r="C251" s="1126" t="s">
        <v>1788</v>
      </c>
      <c r="D251" s="1119">
        <v>389.77</v>
      </c>
      <c r="E251" s="1120">
        <v>175.25</v>
      </c>
      <c r="F251" s="1121">
        <f t="shared" si="1"/>
        <v>214.53</v>
      </c>
      <c r="G251" s="1120">
        <v>121.01</v>
      </c>
      <c r="H251" s="1127">
        <v>93.52</v>
      </c>
      <c r="I251" s="1127">
        <v>0.0</v>
      </c>
      <c r="J251" s="1127">
        <v>0.0</v>
      </c>
      <c r="K251" s="1124"/>
    </row>
    <row r="252" ht="15.75" customHeight="1">
      <c r="A252" s="1119">
        <v>103128.0</v>
      </c>
      <c r="B252" s="1125" t="s">
        <v>10528</v>
      </c>
      <c r="C252" s="1126" t="s">
        <v>1788</v>
      </c>
      <c r="D252" s="1119">
        <v>425.46</v>
      </c>
      <c r="E252" s="1120">
        <v>191.65</v>
      </c>
      <c r="F252" s="1121">
        <f t="shared" si="1"/>
        <v>233.81</v>
      </c>
      <c r="G252" s="1120">
        <v>131.98</v>
      </c>
      <c r="H252" s="1127">
        <v>101.83</v>
      </c>
      <c r="I252" s="1127">
        <v>0.0</v>
      </c>
      <c r="J252" s="1127">
        <v>0.0</v>
      </c>
      <c r="K252" s="1124"/>
    </row>
    <row r="253" ht="15.75" customHeight="1">
      <c r="A253" s="1119">
        <v>103129.0</v>
      </c>
      <c r="B253" s="1125" t="s">
        <v>10529</v>
      </c>
      <c r="C253" s="1126" t="s">
        <v>1788</v>
      </c>
      <c r="D253" s="1119">
        <v>528.26</v>
      </c>
      <c r="E253" s="1120">
        <v>238.9</v>
      </c>
      <c r="F253" s="1121">
        <f t="shared" si="1"/>
        <v>289.35</v>
      </c>
      <c r="G253" s="1120">
        <v>163.67</v>
      </c>
      <c r="H253" s="1127">
        <v>125.68</v>
      </c>
      <c r="I253" s="1127">
        <v>0.0</v>
      </c>
      <c r="J253" s="1127">
        <v>0.0</v>
      </c>
      <c r="K253" s="1124"/>
    </row>
    <row r="254" ht="15.75" customHeight="1">
      <c r="A254" s="1119">
        <v>103130.0</v>
      </c>
      <c r="B254" s="1125" t="s">
        <v>10530</v>
      </c>
      <c r="C254" s="1126" t="s">
        <v>1788</v>
      </c>
      <c r="D254" s="1119">
        <v>563.93</v>
      </c>
      <c r="E254" s="1120">
        <v>255.31</v>
      </c>
      <c r="F254" s="1121">
        <f t="shared" si="1"/>
        <v>308.64</v>
      </c>
      <c r="G254" s="1120">
        <v>174.66</v>
      </c>
      <c r="H254" s="1127">
        <v>133.98</v>
      </c>
      <c r="I254" s="1127">
        <v>0.0</v>
      </c>
      <c r="J254" s="1127">
        <v>0.0</v>
      </c>
      <c r="K254" s="1124"/>
    </row>
    <row r="255" ht="15.75" customHeight="1">
      <c r="A255" s="1119">
        <v>103131.0</v>
      </c>
      <c r="B255" s="1125" t="s">
        <v>10531</v>
      </c>
      <c r="C255" s="1126" t="s">
        <v>1788</v>
      </c>
      <c r="D255" s="1119">
        <v>635.34</v>
      </c>
      <c r="E255" s="1120">
        <v>288.11</v>
      </c>
      <c r="F255" s="1121">
        <f t="shared" si="1"/>
        <v>347.23</v>
      </c>
      <c r="G255" s="1120">
        <v>196.67</v>
      </c>
      <c r="H255" s="1127">
        <v>150.56</v>
      </c>
      <c r="I255" s="1127">
        <v>0.0</v>
      </c>
      <c r="J255" s="1127">
        <v>0.0</v>
      </c>
      <c r="K255" s="1124"/>
    </row>
    <row r="256" ht="15.75" customHeight="1">
      <c r="A256" s="1119">
        <v>103132.0</v>
      </c>
      <c r="B256" s="1125" t="s">
        <v>10532</v>
      </c>
      <c r="C256" s="1126" t="s">
        <v>1788</v>
      </c>
      <c r="D256" s="1119">
        <v>773.82</v>
      </c>
      <c r="E256" s="1120">
        <v>351.76</v>
      </c>
      <c r="F256" s="1121">
        <f t="shared" si="1"/>
        <v>422.05</v>
      </c>
      <c r="G256" s="1120">
        <v>239.34</v>
      </c>
      <c r="H256" s="1127">
        <v>182.71</v>
      </c>
      <c r="I256" s="1127">
        <v>0.0</v>
      </c>
      <c r="J256" s="1127">
        <v>0.0</v>
      </c>
      <c r="K256" s="1124"/>
    </row>
    <row r="257" ht="15.75" customHeight="1">
      <c r="A257" s="1119">
        <v>103133.0</v>
      </c>
      <c r="B257" s="1125" t="s">
        <v>10533</v>
      </c>
      <c r="C257" s="1126" t="s">
        <v>1788</v>
      </c>
      <c r="D257" s="1119">
        <v>845.21</v>
      </c>
      <c r="E257" s="1120">
        <v>384.56</v>
      </c>
      <c r="F257" s="1121">
        <f t="shared" si="1"/>
        <v>460.64</v>
      </c>
      <c r="G257" s="1120">
        <v>261.34</v>
      </c>
      <c r="H257" s="1127">
        <v>199.3</v>
      </c>
      <c r="I257" s="1127">
        <v>0.0</v>
      </c>
      <c r="J257" s="1127">
        <v>0.0</v>
      </c>
      <c r="K257" s="1124"/>
    </row>
    <row r="258" ht="15.75" customHeight="1">
      <c r="A258" s="1119">
        <v>103134.0</v>
      </c>
      <c r="B258" s="1125" t="s">
        <v>10534</v>
      </c>
      <c r="C258" s="1126" t="s">
        <v>1788</v>
      </c>
      <c r="D258" s="1119">
        <v>983.68</v>
      </c>
      <c r="E258" s="1120">
        <v>448.24</v>
      </c>
      <c r="F258" s="1121">
        <f t="shared" si="1"/>
        <v>535.46</v>
      </c>
      <c r="G258" s="1120">
        <v>303.98</v>
      </c>
      <c r="H258" s="1127">
        <v>231.48</v>
      </c>
      <c r="I258" s="1127">
        <v>0.0</v>
      </c>
      <c r="J258" s="1127">
        <v>0.0</v>
      </c>
      <c r="K258" s="1124"/>
    </row>
    <row r="259" ht="15.75" customHeight="1">
      <c r="A259" s="1119">
        <v>103135.0</v>
      </c>
      <c r="B259" s="1125" t="s">
        <v>10535</v>
      </c>
      <c r="C259" s="1126" t="s">
        <v>1788</v>
      </c>
      <c r="D259" s="1128">
        <v>1055.08</v>
      </c>
      <c r="E259" s="1120">
        <v>481.05</v>
      </c>
      <c r="F259" s="1121">
        <f t="shared" si="1"/>
        <v>574.06</v>
      </c>
      <c r="G259" s="1120">
        <v>326.02</v>
      </c>
      <c r="H259" s="1127">
        <v>248.04</v>
      </c>
      <c r="I259" s="1127">
        <v>0.0</v>
      </c>
      <c r="J259" s="1127">
        <v>0.0</v>
      </c>
      <c r="K259" s="1124"/>
    </row>
    <row r="260" ht="15.75" customHeight="1">
      <c r="A260" s="1119">
        <v>103136.0</v>
      </c>
      <c r="B260" s="1125" t="s">
        <v>10536</v>
      </c>
      <c r="C260" s="1126" t="s">
        <v>1788</v>
      </c>
      <c r="D260" s="1128">
        <v>1264.96</v>
      </c>
      <c r="E260" s="1120">
        <v>577.49</v>
      </c>
      <c r="F260" s="1121">
        <f t="shared" si="1"/>
        <v>687.48</v>
      </c>
      <c r="G260" s="1120">
        <v>390.69</v>
      </c>
      <c r="H260" s="1127">
        <v>296.79</v>
      </c>
      <c r="I260" s="1127">
        <v>0.0</v>
      </c>
      <c r="J260" s="1127">
        <v>0.0</v>
      </c>
      <c r="K260" s="1124"/>
    </row>
    <row r="261" ht="15.75" customHeight="1">
      <c r="A261" s="1119">
        <v>103137.0</v>
      </c>
      <c r="B261" s="1125" t="s">
        <v>10537</v>
      </c>
      <c r="C261" s="1126" t="s">
        <v>1788</v>
      </c>
      <c r="D261" s="1119">
        <v>32.03</v>
      </c>
      <c r="E261" s="1120">
        <v>10.79</v>
      </c>
      <c r="F261" s="1121">
        <f t="shared" si="1"/>
        <v>21.25</v>
      </c>
      <c r="G261" s="1120">
        <v>10.77</v>
      </c>
      <c r="H261" s="1127">
        <v>10.48</v>
      </c>
      <c r="I261" s="1127">
        <v>0.0</v>
      </c>
      <c r="J261" s="1127">
        <v>0.0</v>
      </c>
      <c r="K261" s="1124"/>
    </row>
    <row r="262" ht="15.75" customHeight="1">
      <c r="A262" s="1119">
        <v>103138.0</v>
      </c>
      <c r="B262" s="1125" t="s">
        <v>10538</v>
      </c>
      <c r="C262" s="1126" t="s">
        <v>1788</v>
      </c>
      <c r="D262" s="1119">
        <v>36.77</v>
      </c>
      <c r="E262" s="1120">
        <v>12.97</v>
      </c>
      <c r="F262" s="1121">
        <f t="shared" si="1"/>
        <v>23.84</v>
      </c>
      <c r="G262" s="1120">
        <v>12.28</v>
      </c>
      <c r="H262" s="1127">
        <v>11.56</v>
      </c>
      <c r="I262" s="1127">
        <v>0.0</v>
      </c>
      <c r="J262" s="1127">
        <v>0.0</v>
      </c>
      <c r="K262" s="1124"/>
    </row>
    <row r="263" ht="15.75" customHeight="1">
      <c r="A263" s="1119">
        <v>103139.0</v>
      </c>
      <c r="B263" s="1125" t="s">
        <v>10539</v>
      </c>
      <c r="C263" s="1126" t="s">
        <v>1788</v>
      </c>
      <c r="D263" s="1119">
        <v>48.69</v>
      </c>
      <c r="E263" s="1120">
        <v>18.43</v>
      </c>
      <c r="F263" s="1121">
        <f t="shared" si="1"/>
        <v>30.28</v>
      </c>
      <c r="G263" s="1120">
        <v>15.93</v>
      </c>
      <c r="H263" s="1127">
        <v>14.35</v>
      </c>
      <c r="I263" s="1127">
        <v>0.0</v>
      </c>
      <c r="J263" s="1127">
        <v>0.0</v>
      </c>
      <c r="K263" s="1124"/>
    </row>
    <row r="264" ht="15.75" customHeight="1">
      <c r="A264" s="1119">
        <v>103140.0</v>
      </c>
      <c r="B264" s="1125" t="s">
        <v>10540</v>
      </c>
      <c r="C264" s="1126" t="s">
        <v>1788</v>
      </c>
      <c r="D264" s="1119">
        <v>60.58</v>
      </c>
      <c r="E264" s="1120">
        <v>23.94</v>
      </c>
      <c r="F264" s="1121">
        <f t="shared" si="1"/>
        <v>36.64</v>
      </c>
      <c r="G264" s="1120">
        <v>19.56</v>
      </c>
      <c r="H264" s="1127">
        <v>17.08</v>
      </c>
      <c r="I264" s="1127">
        <v>0.0</v>
      </c>
      <c r="J264" s="1127">
        <v>0.0</v>
      </c>
      <c r="K264" s="1124"/>
    </row>
    <row r="265" ht="15.75" customHeight="1">
      <c r="A265" s="1119">
        <v>103141.0</v>
      </c>
      <c r="B265" s="1125" t="s">
        <v>10541</v>
      </c>
      <c r="C265" s="1126" t="s">
        <v>1788</v>
      </c>
      <c r="D265" s="1119">
        <v>94.85</v>
      </c>
      <c r="E265" s="1120">
        <v>39.69</v>
      </c>
      <c r="F265" s="1121">
        <f t="shared" si="1"/>
        <v>55.18</v>
      </c>
      <c r="G265" s="1120">
        <v>30.12</v>
      </c>
      <c r="H265" s="1127">
        <v>25.06</v>
      </c>
      <c r="I265" s="1127">
        <v>0.0</v>
      </c>
      <c r="J265" s="1127">
        <v>0.0</v>
      </c>
      <c r="K265" s="1124"/>
    </row>
    <row r="266" ht="15.75" customHeight="1">
      <c r="A266" s="1119">
        <v>103142.0</v>
      </c>
      <c r="B266" s="1125" t="s">
        <v>10542</v>
      </c>
      <c r="C266" s="1126" t="s">
        <v>1788</v>
      </c>
      <c r="D266" s="1119">
        <v>106.74</v>
      </c>
      <c r="E266" s="1120">
        <v>45.16</v>
      </c>
      <c r="F266" s="1121">
        <f t="shared" si="1"/>
        <v>61.6</v>
      </c>
      <c r="G266" s="1120">
        <v>33.79</v>
      </c>
      <c r="H266" s="1127">
        <v>27.81</v>
      </c>
      <c r="I266" s="1127">
        <v>0.0</v>
      </c>
      <c r="J266" s="1127">
        <v>0.0</v>
      </c>
      <c r="K266" s="1124"/>
    </row>
    <row r="267" ht="15.75" customHeight="1">
      <c r="A267" s="1119">
        <v>103143.0</v>
      </c>
      <c r="B267" s="1125" t="s">
        <v>10543</v>
      </c>
      <c r="C267" s="1126" t="s">
        <v>1788</v>
      </c>
      <c r="D267" s="1119">
        <v>141.01</v>
      </c>
      <c r="E267" s="1120">
        <v>60.9</v>
      </c>
      <c r="F267" s="1121">
        <f t="shared" si="1"/>
        <v>80.12</v>
      </c>
      <c r="G267" s="1120">
        <v>44.35</v>
      </c>
      <c r="H267" s="1127">
        <v>35.77</v>
      </c>
      <c r="I267" s="1127">
        <v>0.0</v>
      </c>
      <c r="J267" s="1127">
        <v>0.0</v>
      </c>
      <c r="K267" s="1124"/>
    </row>
    <row r="268" ht="15.75" customHeight="1">
      <c r="A268" s="1119">
        <v>103144.0</v>
      </c>
      <c r="B268" s="1125" t="s">
        <v>10544</v>
      </c>
      <c r="C268" s="1126" t="s">
        <v>1788</v>
      </c>
      <c r="D268" s="1119">
        <v>152.89</v>
      </c>
      <c r="E268" s="1120">
        <v>66.36</v>
      </c>
      <c r="F268" s="1121">
        <f t="shared" si="1"/>
        <v>86.54</v>
      </c>
      <c r="G268" s="1120">
        <v>48.01</v>
      </c>
      <c r="H268" s="1127">
        <v>38.53</v>
      </c>
      <c r="I268" s="1127">
        <v>0.0</v>
      </c>
      <c r="J268" s="1127">
        <v>0.0</v>
      </c>
      <c r="K268" s="1124"/>
    </row>
    <row r="269" ht="15.75" customHeight="1">
      <c r="A269" s="1119">
        <v>103145.0</v>
      </c>
      <c r="B269" s="1125" t="s">
        <v>10545</v>
      </c>
      <c r="C269" s="1126" t="s">
        <v>1788</v>
      </c>
      <c r="D269" s="1119">
        <v>187.16</v>
      </c>
      <c r="E269" s="1120">
        <v>82.11</v>
      </c>
      <c r="F269" s="1121">
        <f t="shared" si="1"/>
        <v>105.06</v>
      </c>
      <c r="G269" s="1120">
        <v>58.58</v>
      </c>
      <c r="H269" s="1127">
        <v>46.48</v>
      </c>
      <c r="I269" s="1127">
        <v>0.0</v>
      </c>
      <c r="J269" s="1127">
        <v>0.0</v>
      </c>
      <c r="K269" s="1124"/>
    </row>
    <row r="270" ht="15.75" customHeight="1">
      <c r="A270" s="1119">
        <v>103146.0</v>
      </c>
      <c r="B270" s="1125" t="s">
        <v>10546</v>
      </c>
      <c r="C270" s="1126" t="s">
        <v>1788</v>
      </c>
      <c r="D270" s="1119">
        <v>199.04</v>
      </c>
      <c r="E270" s="1120">
        <v>87.58</v>
      </c>
      <c r="F270" s="1121">
        <f t="shared" si="1"/>
        <v>111.48</v>
      </c>
      <c r="G270" s="1120">
        <v>62.25</v>
      </c>
      <c r="H270" s="1127">
        <v>49.23</v>
      </c>
      <c r="I270" s="1127">
        <v>0.0</v>
      </c>
      <c r="J270" s="1127">
        <v>0.0</v>
      </c>
      <c r="K270" s="1124"/>
    </row>
    <row r="271" ht="15.75" customHeight="1">
      <c r="A271" s="1119">
        <v>103147.0</v>
      </c>
      <c r="B271" s="1125" t="s">
        <v>10547</v>
      </c>
      <c r="C271" s="1126" t="s">
        <v>1788</v>
      </c>
      <c r="D271" s="1119">
        <v>222.86</v>
      </c>
      <c r="E271" s="1120">
        <v>98.52</v>
      </c>
      <c r="F271" s="1121">
        <f t="shared" si="1"/>
        <v>124.34</v>
      </c>
      <c r="G271" s="1120">
        <v>69.56</v>
      </c>
      <c r="H271" s="1127">
        <v>54.78</v>
      </c>
      <c r="I271" s="1127">
        <v>0.0</v>
      </c>
      <c r="J271" s="1127">
        <v>0.0</v>
      </c>
      <c r="K271" s="1124"/>
    </row>
    <row r="272" ht="15.75" customHeight="1">
      <c r="A272" s="1119">
        <v>103148.0</v>
      </c>
      <c r="B272" s="1125" t="s">
        <v>10548</v>
      </c>
      <c r="C272" s="1126" t="s">
        <v>1788</v>
      </c>
      <c r="D272" s="1119">
        <v>269.02</v>
      </c>
      <c r="E272" s="1120">
        <v>119.75</v>
      </c>
      <c r="F272" s="1121">
        <f t="shared" si="1"/>
        <v>149.27</v>
      </c>
      <c r="G272" s="1120">
        <v>83.79</v>
      </c>
      <c r="H272" s="1127">
        <v>65.48</v>
      </c>
      <c r="I272" s="1127">
        <v>0.0</v>
      </c>
      <c r="J272" s="1127">
        <v>0.0</v>
      </c>
      <c r="K272" s="1124"/>
    </row>
    <row r="273" ht="15.75" customHeight="1">
      <c r="A273" s="1119">
        <v>103149.0</v>
      </c>
      <c r="B273" s="1125" t="s">
        <v>10549</v>
      </c>
      <c r="C273" s="1126" t="s">
        <v>1788</v>
      </c>
      <c r="D273" s="1119">
        <v>292.8</v>
      </c>
      <c r="E273" s="1120">
        <v>130.67</v>
      </c>
      <c r="F273" s="1121">
        <f t="shared" si="1"/>
        <v>162.14</v>
      </c>
      <c r="G273" s="1120">
        <v>91.12</v>
      </c>
      <c r="H273" s="1127">
        <v>71.02</v>
      </c>
      <c r="I273" s="1127">
        <v>0.0</v>
      </c>
      <c r="J273" s="1127">
        <v>0.0</v>
      </c>
      <c r="K273" s="1124"/>
    </row>
    <row r="274" ht="15.75" customHeight="1">
      <c r="A274" s="1119">
        <v>103150.0</v>
      </c>
      <c r="B274" s="1125" t="s">
        <v>10550</v>
      </c>
      <c r="C274" s="1126" t="s">
        <v>1788</v>
      </c>
      <c r="D274" s="1119">
        <v>338.93</v>
      </c>
      <c r="E274" s="1120">
        <v>151.89</v>
      </c>
      <c r="F274" s="1121">
        <f t="shared" si="1"/>
        <v>187.04</v>
      </c>
      <c r="G274" s="1120">
        <v>105.34</v>
      </c>
      <c r="H274" s="1127">
        <v>81.7</v>
      </c>
      <c r="I274" s="1127">
        <v>0.0</v>
      </c>
      <c r="J274" s="1127">
        <v>0.0</v>
      </c>
      <c r="K274" s="1124"/>
    </row>
    <row r="275" ht="15.75" customHeight="1">
      <c r="A275" s="1119">
        <v>103151.0</v>
      </c>
      <c r="B275" s="1125" t="s">
        <v>10551</v>
      </c>
      <c r="C275" s="1126" t="s">
        <v>1788</v>
      </c>
      <c r="D275" s="1119">
        <v>362.77</v>
      </c>
      <c r="E275" s="1120">
        <v>162.84</v>
      </c>
      <c r="F275" s="1121">
        <f t="shared" si="1"/>
        <v>199.94</v>
      </c>
      <c r="G275" s="1120">
        <v>112.68</v>
      </c>
      <c r="H275" s="1127">
        <v>87.26</v>
      </c>
      <c r="I275" s="1127">
        <v>0.0</v>
      </c>
      <c r="J275" s="1127">
        <v>0.0</v>
      </c>
      <c r="K275" s="1124"/>
    </row>
    <row r="276" ht="15.75" customHeight="1">
      <c r="A276" s="1119">
        <v>103152.0</v>
      </c>
      <c r="B276" s="1125" t="s">
        <v>10552</v>
      </c>
      <c r="C276" s="1126" t="s">
        <v>1788</v>
      </c>
      <c r="D276" s="1119">
        <v>432.73</v>
      </c>
      <c r="E276" s="1120">
        <v>194.98</v>
      </c>
      <c r="F276" s="1121">
        <f t="shared" si="1"/>
        <v>237.77</v>
      </c>
      <c r="G276" s="1120">
        <v>134.26</v>
      </c>
      <c r="H276" s="1127">
        <v>103.51</v>
      </c>
      <c r="I276" s="1127">
        <v>0.0</v>
      </c>
      <c r="J276" s="1127">
        <v>0.0</v>
      </c>
      <c r="K276" s="1124"/>
    </row>
    <row r="277" ht="15.75" customHeight="1">
      <c r="A277" s="1119">
        <v>103372.0</v>
      </c>
      <c r="B277" s="1125" t="s">
        <v>10553</v>
      </c>
      <c r="C277" s="1126" t="s">
        <v>1731</v>
      </c>
      <c r="D277" s="1119">
        <v>5.71</v>
      </c>
      <c r="E277" s="1120">
        <v>0.18</v>
      </c>
      <c r="F277" s="1121">
        <f t="shared" si="1"/>
        <v>5.53</v>
      </c>
      <c r="G277" s="1120">
        <v>5.53</v>
      </c>
      <c r="H277" s="1127">
        <v>0.0</v>
      </c>
      <c r="I277" s="1127">
        <v>0.0</v>
      </c>
      <c r="J277" s="1127">
        <v>0.0</v>
      </c>
      <c r="K277" s="1124"/>
    </row>
    <row r="278" ht="15.75" customHeight="1">
      <c r="A278" s="1119">
        <v>103373.0</v>
      </c>
      <c r="B278" s="1125" t="s">
        <v>10554</v>
      </c>
      <c r="C278" s="1126" t="s">
        <v>1731</v>
      </c>
      <c r="D278" s="1119">
        <v>11.18</v>
      </c>
      <c r="E278" s="1120">
        <v>0.3</v>
      </c>
      <c r="F278" s="1121">
        <f t="shared" si="1"/>
        <v>10.89</v>
      </c>
      <c r="G278" s="1120">
        <v>10.89</v>
      </c>
      <c r="H278" s="1127">
        <v>0.0</v>
      </c>
      <c r="I278" s="1127">
        <v>0.0</v>
      </c>
      <c r="J278" s="1127">
        <v>0.0</v>
      </c>
      <c r="K278" s="1124"/>
    </row>
    <row r="279" ht="15.75" customHeight="1">
      <c r="A279" s="1119">
        <v>103376.0</v>
      </c>
      <c r="B279" s="1125" t="s">
        <v>10555</v>
      </c>
      <c r="C279" s="1126" t="s">
        <v>1731</v>
      </c>
      <c r="D279" s="1119">
        <v>132.73</v>
      </c>
      <c r="E279" s="1120">
        <v>1.05</v>
      </c>
      <c r="F279" s="1121">
        <f t="shared" si="1"/>
        <v>131.68</v>
      </c>
      <c r="G279" s="1120">
        <v>131.68</v>
      </c>
      <c r="H279" s="1127">
        <v>0.0</v>
      </c>
      <c r="I279" s="1127">
        <v>0.0</v>
      </c>
      <c r="J279" s="1127">
        <v>0.0</v>
      </c>
      <c r="K279" s="1124"/>
    </row>
    <row r="280" ht="15.75" customHeight="1">
      <c r="A280" s="1119">
        <v>103377.0</v>
      </c>
      <c r="B280" s="1125" t="s">
        <v>10556</v>
      </c>
      <c r="C280" s="1126" t="s">
        <v>1731</v>
      </c>
      <c r="D280" s="1119">
        <v>283.88</v>
      </c>
      <c r="E280" s="1120">
        <v>1.53</v>
      </c>
      <c r="F280" s="1121">
        <f t="shared" si="1"/>
        <v>282.35</v>
      </c>
      <c r="G280" s="1120">
        <v>282.35</v>
      </c>
      <c r="H280" s="1127">
        <v>0.0</v>
      </c>
      <c r="I280" s="1127">
        <v>0.0</v>
      </c>
      <c r="J280" s="1127">
        <v>0.0</v>
      </c>
      <c r="K280" s="1124"/>
    </row>
    <row r="281" ht="15.75" customHeight="1">
      <c r="A281" s="1119">
        <v>103379.0</v>
      </c>
      <c r="B281" s="1125" t="s">
        <v>10557</v>
      </c>
      <c r="C281" s="1126" t="s">
        <v>1731</v>
      </c>
      <c r="D281" s="1119">
        <v>441.88</v>
      </c>
      <c r="E281" s="1120">
        <v>1.93</v>
      </c>
      <c r="F281" s="1121">
        <f t="shared" si="1"/>
        <v>439.95</v>
      </c>
      <c r="G281" s="1120">
        <v>439.95</v>
      </c>
      <c r="H281" s="1127">
        <v>0.0</v>
      </c>
      <c r="I281" s="1127">
        <v>0.0</v>
      </c>
      <c r="J281" s="1127">
        <v>0.0</v>
      </c>
      <c r="K281" s="1124"/>
    </row>
    <row r="282" ht="15.75" customHeight="1">
      <c r="A282" s="1119">
        <v>103383.0</v>
      </c>
      <c r="B282" s="1125" t="s">
        <v>10558</v>
      </c>
      <c r="C282" s="1126" t="s">
        <v>1731</v>
      </c>
      <c r="D282" s="1128">
        <v>1082.03</v>
      </c>
      <c r="E282" s="1120">
        <v>1.87</v>
      </c>
      <c r="F282" s="1121">
        <f t="shared" si="1"/>
        <v>1080.15</v>
      </c>
      <c r="G282" s="1120">
        <v>1078.11</v>
      </c>
      <c r="H282" s="1127">
        <v>2.04</v>
      </c>
      <c r="I282" s="1127">
        <v>0.0</v>
      </c>
      <c r="J282" s="1127">
        <v>0.0</v>
      </c>
      <c r="K282" s="1124"/>
    </row>
    <row r="283" ht="15.75" customHeight="1">
      <c r="A283" s="1119">
        <v>103385.0</v>
      </c>
      <c r="B283" s="1125" t="s">
        <v>10559</v>
      </c>
      <c r="C283" s="1126" t="s">
        <v>1731</v>
      </c>
      <c r="D283" s="1128">
        <v>1744.58</v>
      </c>
      <c r="E283" s="1120">
        <v>3.61</v>
      </c>
      <c r="F283" s="1121">
        <f t="shared" si="1"/>
        <v>1740.94</v>
      </c>
      <c r="G283" s="1120">
        <v>1736.97</v>
      </c>
      <c r="H283" s="1127">
        <v>3.97</v>
      </c>
      <c r="I283" s="1127">
        <v>0.0</v>
      </c>
      <c r="J283" s="1127">
        <v>0.0</v>
      </c>
      <c r="K283" s="1124"/>
    </row>
    <row r="284" ht="15.75" customHeight="1">
      <c r="A284" s="1119">
        <v>103387.0</v>
      </c>
      <c r="B284" s="1125" t="s">
        <v>10560</v>
      </c>
      <c r="C284" s="1126" t="s">
        <v>1731</v>
      </c>
      <c r="D284" s="1128">
        <v>3060.65</v>
      </c>
      <c r="E284" s="1120">
        <v>5.68</v>
      </c>
      <c r="F284" s="1121">
        <f t="shared" si="1"/>
        <v>3054.98</v>
      </c>
      <c r="G284" s="1120">
        <v>3048.77</v>
      </c>
      <c r="H284" s="1127">
        <v>6.21</v>
      </c>
      <c r="I284" s="1127">
        <v>0.0</v>
      </c>
      <c r="J284" s="1127">
        <v>0.0</v>
      </c>
      <c r="K284" s="1124"/>
    </row>
    <row r="285" ht="15.75" customHeight="1">
      <c r="A285" s="1119">
        <v>103389.0</v>
      </c>
      <c r="B285" s="1125" t="s">
        <v>10561</v>
      </c>
      <c r="C285" s="1126" t="s">
        <v>1731</v>
      </c>
      <c r="D285" s="1128">
        <v>4551.71</v>
      </c>
      <c r="E285" s="1120">
        <v>8.37</v>
      </c>
      <c r="F285" s="1121">
        <f t="shared" si="1"/>
        <v>4543.37</v>
      </c>
      <c r="G285" s="1120">
        <v>4534.21</v>
      </c>
      <c r="H285" s="1127">
        <v>9.16</v>
      </c>
      <c r="I285" s="1127">
        <v>0.0</v>
      </c>
      <c r="J285" s="1127">
        <v>0.0</v>
      </c>
      <c r="K285" s="1124"/>
    </row>
    <row r="286" ht="15.75" customHeight="1">
      <c r="A286" s="1119">
        <v>103391.0</v>
      </c>
      <c r="B286" s="1125" t="s">
        <v>10562</v>
      </c>
      <c r="C286" s="1126" t="s">
        <v>1731</v>
      </c>
      <c r="D286" s="1128">
        <v>2997.71</v>
      </c>
      <c r="E286" s="1120">
        <v>11.86</v>
      </c>
      <c r="F286" s="1121">
        <f t="shared" si="1"/>
        <v>2985.86</v>
      </c>
      <c r="G286" s="1120">
        <v>2972.88</v>
      </c>
      <c r="H286" s="1127">
        <v>12.98</v>
      </c>
      <c r="I286" s="1127">
        <v>0.0</v>
      </c>
      <c r="J286" s="1127">
        <v>0.0</v>
      </c>
      <c r="K286" s="1124"/>
    </row>
    <row r="287" ht="15.75" customHeight="1">
      <c r="A287" s="1119">
        <v>103392.0</v>
      </c>
      <c r="B287" s="1125" t="s">
        <v>10563</v>
      </c>
      <c r="C287" s="1126" t="s">
        <v>1731</v>
      </c>
      <c r="D287" s="1128">
        <v>4900.4</v>
      </c>
      <c r="E287" s="1120">
        <v>13.92</v>
      </c>
      <c r="F287" s="1121">
        <f t="shared" si="1"/>
        <v>4886.48</v>
      </c>
      <c r="G287" s="1120">
        <v>4871.24</v>
      </c>
      <c r="H287" s="1127">
        <v>15.24</v>
      </c>
      <c r="I287" s="1127">
        <v>0.0</v>
      </c>
      <c r="J287" s="1127">
        <v>0.0</v>
      </c>
      <c r="K287" s="1124"/>
    </row>
    <row r="288" ht="15.75" customHeight="1">
      <c r="A288" s="1119">
        <v>103393.0</v>
      </c>
      <c r="B288" s="1125" t="s">
        <v>10564</v>
      </c>
      <c r="C288" s="1126" t="s">
        <v>1731</v>
      </c>
      <c r="D288" s="1128">
        <v>5404.85</v>
      </c>
      <c r="E288" s="1120">
        <v>15.99</v>
      </c>
      <c r="F288" s="1121">
        <f t="shared" si="1"/>
        <v>5388.86</v>
      </c>
      <c r="G288" s="1120">
        <v>5371.33</v>
      </c>
      <c r="H288" s="1127">
        <v>17.53</v>
      </c>
      <c r="I288" s="1127">
        <v>0.0</v>
      </c>
      <c r="J288" s="1127">
        <v>0.0</v>
      </c>
      <c r="K288" s="1124"/>
    </row>
    <row r="289" ht="15.75" customHeight="1">
      <c r="A289" s="1119">
        <v>103394.0</v>
      </c>
      <c r="B289" s="1125" t="s">
        <v>10565</v>
      </c>
      <c r="C289" s="1126" t="s">
        <v>1731</v>
      </c>
      <c r="D289" s="1128">
        <v>4004.79</v>
      </c>
      <c r="E289" s="1120">
        <v>20.09</v>
      </c>
      <c r="F289" s="1121">
        <f t="shared" si="1"/>
        <v>3984.7</v>
      </c>
      <c r="G289" s="1120">
        <v>3962.68</v>
      </c>
      <c r="H289" s="1127">
        <v>22.02</v>
      </c>
      <c r="I289" s="1127">
        <v>0.0</v>
      </c>
      <c r="J289" s="1127">
        <v>0.0</v>
      </c>
      <c r="K289" s="1124"/>
    </row>
    <row r="290" ht="15.75" customHeight="1">
      <c r="A290" s="1119">
        <v>103395.0</v>
      </c>
      <c r="B290" s="1125" t="s">
        <v>10566</v>
      </c>
      <c r="C290" s="1126" t="s">
        <v>1731</v>
      </c>
      <c r="D290" s="1128">
        <v>1991.51</v>
      </c>
      <c r="E290" s="1120">
        <v>24.21</v>
      </c>
      <c r="F290" s="1121">
        <f t="shared" si="1"/>
        <v>1967.27</v>
      </c>
      <c r="G290" s="1120">
        <v>1940.71</v>
      </c>
      <c r="H290" s="1127">
        <v>26.56</v>
      </c>
      <c r="I290" s="1127">
        <v>0.0</v>
      </c>
      <c r="J290" s="1127">
        <v>0.0</v>
      </c>
      <c r="K290" s="1124"/>
    </row>
    <row r="291" ht="15.75" customHeight="1">
      <c r="A291" s="1119">
        <v>103396.0</v>
      </c>
      <c r="B291" s="1125" t="s">
        <v>10567</v>
      </c>
      <c r="C291" s="1126" t="s">
        <v>1731</v>
      </c>
      <c r="D291" s="1128">
        <v>1345.65</v>
      </c>
      <c r="E291" s="1120">
        <v>28.34</v>
      </c>
      <c r="F291" s="1121">
        <f t="shared" si="1"/>
        <v>1317.3</v>
      </c>
      <c r="G291" s="1120">
        <v>1286.19</v>
      </c>
      <c r="H291" s="1127">
        <v>31.11</v>
      </c>
      <c r="I291" s="1127">
        <v>0.0</v>
      </c>
      <c r="J291" s="1127">
        <v>0.0</v>
      </c>
      <c r="K291" s="1124"/>
    </row>
    <row r="292" ht="15.75" customHeight="1">
      <c r="A292" s="1119">
        <v>103397.0</v>
      </c>
      <c r="B292" s="1125" t="s">
        <v>10568</v>
      </c>
      <c r="C292" s="1126" t="s">
        <v>1788</v>
      </c>
      <c r="D292" s="1119">
        <v>4.59</v>
      </c>
      <c r="E292" s="1120">
        <v>3.37</v>
      </c>
      <c r="F292" s="1121">
        <f t="shared" si="1"/>
        <v>1.22</v>
      </c>
      <c r="G292" s="1120">
        <v>1.22</v>
      </c>
      <c r="H292" s="1127">
        <v>0.0</v>
      </c>
      <c r="I292" s="1127">
        <v>0.0</v>
      </c>
      <c r="J292" s="1127">
        <v>0.0</v>
      </c>
      <c r="K292" s="1124"/>
    </row>
    <row r="293" ht="15.75" customHeight="1">
      <c r="A293" s="1119">
        <v>103398.0</v>
      </c>
      <c r="B293" s="1125" t="s">
        <v>10569</v>
      </c>
      <c r="C293" s="1126" t="s">
        <v>1788</v>
      </c>
      <c r="D293" s="1119">
        <v>7.35</v>
      </c>
      <c r="E293" s="1120">
        <v>5.35</v>
      </c>
      <c r="F293" s="1121">
        <f t="shared" si="1"/>
        <v>2.01</v>
      </c>
      <c r="G293" s="1120">
        <v>2.01</v>
      </c>
      <c r="H293" s="1127">
        <v>0.0</v>
      </c>
      <c r="I293" s="1127">
        <v>0.0</v>
      </c>
      <c r="J293" s="1127">
        <v>0.0</v>
      </c>
      <c r="K293" s="1124"/>
    </row>
    <row r="294" ht="15.75" customHeight="1">
      <c r="A294" s="1119">
        <v>103399.0</v>
      </c>
      <c r="B294" s="1125" t="s">
        <v>10570</v>
      </c>
      <c r="C294" s="1126" t="s">
        <v>1788</v>
      </c>
      <c r="D294" s="1119">
        <v>14.46</v>
      </c>
      <c r="E294" s="1120">
        <v>10.5</v>
      </c>
      <c r="F294" s="1121">
        <f t="shared" si="1"/>
        <v>3.97</v>
      </c>
      <c r="G294" s="1120">
        <v>3.97</v>
      </c>
      <c r="H294" s="1127">
        <v>0.0</v>
      </c>
      <c r="I294" s="1127">
        <v>0.0</v>
      </c>
      <c r="J294" s="1127">
        <v>0.0</v>
      </c>
      <c r="K294" s="1124"/>
    </row>
    <row r="295" ht="15.75" customHeight="1">
      <c r="A295" s="1119">
        <v>103400.0</v>
      </c>
      <c r="B295" s="1125" t="s">
        <v>10571</v>
      </c>
      <c r="C295" s="1126" t="s">
        <v>1788</v>
      </c>
      <c r="D295" s="1119">
        <v>20.67</v>
      </c>
      <c r="E295" s="1120">
        <v>14.98</v>
      </c>
      <c r="F295" s="1121">
        <f t="shared" si="1"/>
        <v>5.69</v>
      </c>
      <c r="G295" s="1120">
        <v>5.69</v>
      </c>
      <c r="H295" s="1127">
        <v>0.0</v>
      </c>
      <c r="I295" s="1127">
        <v>0.0</v>
      </c>
      <c r="J295" s="1127">
        <v>0.0</v>
      </c>
      <c r="K295" s="1124"/>
    </row>
    <row r="296" ht="15.75" customHeight="1">
      <c r="A296" s="1119">
        <v>103401.0</v>
      </c>
      <c r="B296" s="1125" t="s">
        <v>10572</v>
      </c>
      <c r="C296" s="1126" t="s">
        <v>1788</v>
      </c>
      <c r="D296" s="1119">
        <v>25.27</v>
      </c>
      <c r="E296" s="1120">
        <v>18.29</v>
      </c>
      <c r="F296" s="1121">
        <f t="shared" si="1"/>
        <v>6.98</v>
      </c>
      <c r="G296" s="1120">
        <v>6.98</v>
      </c>
      <c r="H296" s="1127">
        <v>0.0</v>
      </c>
      <c r="I296" s="1127">
        <v>0.0</v>
      </c>
      <c r="J296" s="1127">
        <v>0.0</v>
      </c>
      <c r="K296" s="1124"/>
    </row>
    <row r="297" ht="15.75" customHeight="1">
      <c r="A297" s="1119">
        <v>103402.0</v>
      </c>
      <c r="B297" s="1125" t="s">
        <v>10573</v>
      </c>
      <c r="C297" s="1126" t="s">
        <v>1788</v>
      </c>
      <c r="D297" s="1119">
        <v>36.75</v>
      </c>
      <c r="E297" s="1120">
        <v>26.59</v>
      </c>
      <c r="F297" s="1121">
        <f t="shared" si="1"/>
        <v>10.16</v>
      </c>
      <c r="G297" s="1120">
        <v>10.16</v>
      </c>
      <c r="H297" s="1127">
        <v>0.0</v>
      </c>
      <c r="I297" s="1127">
        <v>0.0</v>
      </c>
      <c r="J297" s="1127">
        <v>0.0</v>
      </c>
      <c r="K297" s="1124"/>
    </row>
    <row r="298" ht="15.75" customHeight="1">
      <c r="A298" s="1119">
        <v>103403.0</v>
      </c>
      <c r="B298" s="1125" t="s">
        <v>10574</v>
      </c>
      <c r="C298" s="1126" t="s">
        <v>1788</v>
      </c>
      <c r="D298" s="1119">
        <v>41.35</v>
      </c>
      <c r="E298" s="1120">
        <v>29.92</v>
      </c>
      <c r="F298" s="1121">
        <f t="shared" si="1"/>
        <v>11.43</v>
      </c>
      <c r="G298" s="1120">
        <v>11.43</v>
      </c>
      <c r="H298" s="1127">
        <v>0.0</v>
      </c>
      <c r="I298" s="1127">
        <v>0.0</v>
      </c>
      <c r="J298" s="1127">
        <v>0.0</v>
      </c>
      <c r="K298" s="1124"/>
    </row>
    <row r="299" ht="15.75" customHeight="1">
      <c r="A299" s="1119">
        <v>103404.0</v>
      </c>
      <c r="B299" s="1125" t="s">
        <v>10575</v>
      </c>
      <c r="C299" s="1126" t="s">
        <v>1788</v>
      </c>
      <c r="D299" s="1119">
        <v>45.94</v>
      </c>
      <c r="E299" s="1120">
        <v>33.23</v>
      </c>
      <c r="F299" s="1121">
        <f t="shared" si="1"/>
        <v>12.72</v>
      </c>
      <c r="G299" s="1120">
        <v>12.72</v>
      </c>
      <c r="H299" s="1127">
        <v>0.0</v>
      </c>
      <c r="I299" s="1127">
        <v>0.0</v>
      </c>
      <c r="J299" s="1127">
        <v>0.0</v>
      </c>
      <c r="K299" s="1124"/>
    </row>
    <row r="300" ht="15.75" customHeight="1">
      <c r="A300" s="1119">
        <v>103405.0</v>
      </c>
      <c r="B300" s="1125" t="s">
        <v>10576</v>
      </c>
      <c r="C300" s="1126" t="s">
        <v>1788</v>
      </c>
      <c r="D300" s="1119">
        <v>51.69</v>
      </c>
      <c r="E300" s="1120">
        <v>37.38</v>
      </c>
      <c r="F300" s="1121">
        <f t="shared" si="1"/>
        <v>14.31</v>
      </c>
      <c r="G300" s="1120">
        <v>14.31</v>
      </c>
      <c r="H300" s="1127">
        <v>0.0</v>
      </c>
      <c r="I300" s="1127">
        <v>0.0</v>
      </c>
      <c r="J300" s="1127">
        <v>0.0</v>
      </c>
      <c r="K300" s="1124"/>
    </row>
    <row r="301" ht="15.75" customHeight="1">
      <c r="A301" s="1119">
        <v>103406.0</v>
      </c>
      <c r="B301" s="1125" t="s">
        <v>10577</v>
      </c>
      <c r="C301" s="1126" t="s">
        <v>1788</v>
      </c>
      <c r="D301" s="1119">
        <v>57.43</v>
      </c>
      <c r="E301" s="1120">
        <v>41.51</v>
      </c>
      <c r="F301" s="1121">
        <f t="shared" si="1"/>
        <v>15.92</v>
      </c>
      <c r="G301" s="1120">
        <v>15.92</v>
      </c>
      <c r="H301" s="1127">
        <v>0.0</v>
      </c>
      <c r="I301" s="1127">
        <v>0.0</v>
      </c>
      <c r="J301" s="1127">
        <v>0.0</v>
      </c>
      <c r="K301" s="1124"/>
    </row>
    <row r="302" ht="15.75" customHeight="1">
      <c r="A302" s="1119">
        <v>103407.0</v>
      </c>
      <c r="B302" s="1125" t="s">
        <v>10578</v>
      </c>
      <c r="C302" s="1126" t="s">
        <v>1788</v>
      </c>
      <c r="D302" s="1119">
        <v>64.32</v>
      </c>
      <c r="E302" s="1120">
        <v>46.5</v>
      </c>
      <c r="F302" s="1121">
        <f t="shared" si="1"/>
        <v>17.82</v>
      </c>
      <c r="G302" s="1120">
        <v>17.82</v>
      </c>
      <c r="H302" s="1127">
        <v>0.0</v>
      </c>
      <c r="I302" s="1127">
        <v>0.0</v>
      </c>
      <c r="J302" s="1127">
        <v>0.0</v>
      </c>
      <c r="K302" s="1124"/>
    </row>
    <row r="303" ht="15.75" customHeight="1">
      <c r="A303" s="1119">
        <v>103408.0</v>
      </c>
      <c r="B303" s="1125" t="s">
        <v>10579</v>
      </c>
      <c r="C303" s="1126" t="s">
        <v>1788</v>
      </c>
      <c r="D303" s="1119">
        <v>72.37</v>
      </c>
      <c r="E303" s="1120">
        <v>52.32</v>
      </c>
      <c r="F303" s="1121">
        <f t="shared" si="1"/>
        <v>20.05</v>
      </c>
      <c r="G303" s="1120">
        <v>20.05</v>
      </c>
      <c r="H303" s="1127">
        <v>0.0</v>
      </c>
      <c r="I303" s="1127">
        <v>0.0</v>
      </c>
      <c r="J303" s="1127">
        <v>0.0</v>
      </c>
      <c r="K303" s="1124"/>
    </row>
    <row r="304" ht="15.75" customHeight="1">
      <c r="A304" s="1119">
        <v>103409.0</v>
      </c>
      <c r="B304" s="1125" t="s">
        <v>10580</v>
      </c>
      <c r="C304" s="1126" t="s">
        <v>1788</v>
      </c>
      <c r="D304" s="1119">
        <v>81.55</v>
      </c>
      <c r="E304" s="1120">
        <v>58.95</v>
      </c>
      <c r="F304" s="1121">
        <f t="shared" si="1"/>
        <v>22.6</v>
      </c>
      <c r="G304" s="1120">
        <v>22.6</v>
      </c>
      <c r="H304" s="1127">
        <v>0.0</v>
      </c>
      <c r="I304" s="1127">
        <v>0.0</v>
      </c>
      <c r="J304" s="1127">
        <v>0.0</v>
      </c>
      <c r="K304" s="1124"/>
    </row>
    <row r="305" ht="15.75" customHeight="1">
      <c r="A305" s="1119">
        <v>103410.0</v>
      </c>
      <c r="B305" s="1125" t="s">
        <v>10581</v>
      </c>
      <c r="C305" s="1126" t="s">
        <v>1788</v>
      </c>
      <c r="D305" s="1119">
        <v>91.9</v>
      </c>
      <c r="E305" s="1120">
        <v>66.43</v>
      </c>
      <c r="F305" s="1121">
        <f t="shared" si="1"/>
        <v>25.48</v>
      </c>
      <c r="G305" s="1120">
        <v>25.48</v>
      </c>
      <c r="H305" s="1127">
        <v>0.0</v>
      </c>
      <c r="I305" s="1127">
        <v>0.0</v>
      </c>
      <c r="J305" s="1127">
        <v>0.0</v>
      </c>
      <c r="K305" s="1124"/>
    </row>
    <row r="306" ht="15.75" customHeight="1">
      <c r="A306" s="1119">
        <v>103411.0</v>
      </c>
      <c r="B306" s="1125" t="s">
        <v>10582</v>
      </c>
      <c r="C306" s="1126" t="s">
        <v>1788</v>
      </c>
      <c r="D306" s="1119">
        <v>9.18</v>
      </c>
      <c r="E306" s="1120">
        <v>6.68</v>
      </c>
      <c r="F306" s="1121">
        <f t="shared" si="1"/>
        <v>2.5</v>
      </c>
      <c r="G306" s="1120">
        <v>2.5</v>
      </c>
      <c r="H306" s="1127">
        <v>0.0</v>
      </c>
      <c r="I306" s="1127">
        <v>0.0</v>
      </c>
      <c r="J306" s="1127">
        <v>0.0</v>
      </c>
      <c r="K306" s="1124"/>
    </row>
    <row r="307" ht="15.75" customHeight="1">
      <c r="A307" s="1119">
        <v>103412.0</v>
      </c>
      <c r="B307" s="1125" t="s">
        <v>10583</v>
      </c>
      <c r="C307" s="1126" t="s">
        <v>1788</v>
      </c>
      <c r="D307" s="1119">
        <v>14.7</v>
      </c>
      <c r="E307" s="1120">
        <v>10.65</v>
      </c>
      <c r="F307" s="1121">
        <f t="shared" si="1"/>
        <v>4.05</v>
      </c>
      <c r="G307" s="1120">
        <v>4.05</v>
      </c>
      <c r="H307" s="1127">
        <v>0.0</v>
      </c>
      <c r="I307" s="1127">
        <v>0.0</v>
      </c>
      <c r="J307" s="1127">
        <v>0.0</v>
      </c>
      <c r="K307" s="1124"/>
    </row>
    <row r="308" ht="15.75" customHeight="1">
      <c r="A308" s="1119">
        <v>103413.0</v>
      </c>
      <c r="B308" s="1125" t="s">
        <v>10584</v>
      </c>
      <c r="C308" s="1126" t="s">
        <v>1788</v>
      </c>
      <c r="D308" s="1119">
        <v>28.94</v>
      </c>
      <c r="E308" s="1120">
        <v>20.96</v>
      </c>
      <c r="F308" s="1121">
        <f t="shared" si="1"/>
        <v>7.98</v>
      </c>
      <c r="G308" s="1120">
        <v>7.98</v>
      </c>
      <c r="H308" s="1127">
        <v>0.0</v>
      </c>
      <c r="I308" s="1127">
        <v>0.0</v>
      </c>
      <c r="J308" s="1127">
        <v>0.0</v>
      </c>
      <c r="K308" s="1124"/>
    </row>
    <row r="309" ht="15.75" customHeight="1">
      <c r="A309" s="1119">
        <v>103414.0</v>
      </c>
      <c r="B309" s="1125" t="s">
        <v>10585</v>
      </c>
      <c r="C309" s="1126" t="s">
        <v>1788</v>
      </c>
      <c r="D309" s="1119">
        <v>41.35</v>
      </c>
      <c r="E309" s="1120">
        <v>29.92</v>
      </c>
      <c r="F309" s="1121">
        <f t="shared" si="1"/>
        <v>11.43</v>
      </c>
      <c r="G309" s="1120">
        <v>11.43</v>
      </c>
      <c r="H309" s="1127">
        <v>0.0</v>
      </c>
      <c r="I309" s="1127">
        <v>0.0</v>
      </c>
      <c r="J309" s="1127">
        <v>0.0</v>
      </c>
      <c r="K309" s="1124"/>
    </row>
    <row r="310" ht="15.75" customHeight="1">
      <c r="A310" s="1119">
        <v>103415.0</v>
      </c>
      <c r="B310" s="1125" t="s">
        <v>10586</v>
      </c>
      <c r="C310" s="1126" t="s">
        <v>1788</v>
      </c>
      <c r="D310" s="1119">
        <v>50.54</v>
      </c>
      <c r="E310" s="1120">
        <v>36.56</v>
      </c>
      <c r="F310" s="1121">
        <f t="shared" si="1"/>
        <v>13.98</v>
      </c>
      <c r="G310" s="1120">
        <v>13.98</v>
      </c>
      <c r="H310" s="1127">
        <v>0.0</v>
      </c>
      <c r="I310" s="1127">
        <v>0.0</v>
      </c>
      <c r="J310" s="1127">
        <v>0.0</v>
      </c>
      <c r="K310" s="1124"/>
    </row>
    <row r="311" ht="15.75" customHeight="1">
      <c r="A311" s="1119">
        <v>103416.0</v>
      </c>
      <c r="B311" s="1125" t="s">
        <v>10587</v>
      </c>
      <c r="C311" s="1126" t="s">
        <v>1788</v>
      </c>
      <c r="D311" s="1119">
        <v>73.52</v>
      </c>
      <c r="E311" s="1120">
        <v>53.16</v>
      </c>
      <c r="F311" s="1121">
        <f t="shared" si="1"/>
        <v>20.36</v>
      </c>
      <c r="G311" s="1120">
        <v>20.36</v>
      </c>
      <c r="H311" s="1127">
        <v>0.0</v>
      </c>
      <c r="I311" s="1127">
        <v>0.0</v>
      </c>
      <c r="J311" s="1127">
        <v>0.0</v>
      </c>
      <c r="K311" s="1124"/>
    </row>
    <row r="312" ht="15.75" customHeight="1">
      <c r="A312" s="1119">
        <v>103417.0</v>
      </c>
      <c r="B312" s="1125" t="s">
        <v>10588</v>
      </c>
      <c r="C312" s="1126" t="s">
        <v>1788</v>
      </c>
      <c r="D312" s="1119">
        <v>82.71</v>
      </c>
      <c r="E312" s="1120">
        <v>59.8</v>
      </c>
      <c r="F312" s="1121">
        <f t="shared" si="1"/>
        <v>22.91</v>
      </c>
      <c r="G312" s="1120">
        <v>22.91</v>
      </c>
      <c r="H312" s="1127">
        <v>0.0</v>
      </c>
      <c r="I312" s="1127">
        <v>0.0</v>
      </c>
      <c r="J312" s="1127">
        <v>0.0</v>
      </c>
      <c r="K312" s="1124"/>
    </row>
    <row r="313" ht="15.75" customHeight="1">
      <c r="A313" s="1119">
        <v>103418.0</v>
      </c>
      <c r="B313" s="1125" t="s">
        <v>10589</v>
      </c>
      <c r="C313" s="1126" t="s">
        <v>1788</v>
      </c>
      <c r="D313" s="1119">
        <v>91.9</v>
      </c>
      <c r="E313" s="1120">
        <v>66.43</v>
      </c>
      <c r="F313" s="1121">
        <f t="shared" si="1"/>
        <v>25.48</v>
      </c>
      <c r="G313" s="1120">
        <v>25.48</v>
      </c>
      <c r="H313" s="1127">
        <v>0.0</v>
      </c>
      <c r="I313" s="1127">
        <v>0.0</v>
      </c>
      <c r="J313" s="1127">
        <v>0.0</v>
      </c>
      <c r="K313" s="1124"/>
    </row>
    <row r="314" ht="15.75" customHeight="1">
      <c r="A314" s="1119">
        <v>103419.0</v>
      </c>
      <c r="B314" s="1125" t="s">
        <v>10590</v>
      </c>
      <c r="C314" s="1126" t="s">
        <v>1788</v>
      </c>
      <c r="D314" s="1119">
        <v>103.38</v>
      </c>
      <c r="E314" s="1120">
        <v>74.72</v>
      </c>
      <c r="F314" s="1121">
        <f t="shared" si="1"/>
        <v>28.66</v>
      </c>
      <c r="G314" s="1120">
        <v>28.66</v>
      </c>
      <c r="H314" s="1127">
        <v>0.0</v>
      </c>
      <c r="I314" s="1127">
        <v>0.0</v>
      </c>
      <c r="J314" s="1127">
        <v>0.0</v>
      </c>
      <c r="K314" s="1124"/>
    </row>
    <row r="315" ht="15.75" customHeight="1">
      <c r="A315" s="1119">
        <v>103420.0</v>
      </c>
      <c r="B315" s="1125" t="s">
        <v>10591</v>
      </c>
      <c r="C315" s="1126" t="s">
        <v>1788</v>
      </c>
      <c r="D315" s="1119">
        <v>114.87</v>
      </c>
      <c r="E315" s="1120">
        <v>83.01</v>
      </c>
      <c r="F315" s="1121">
        <f t="shared" si="1"/>
        <v>31.86</v>
      </c>
      <c r="G315" s="1120">
        <v>31.86</v>
      </c>
      <c r="H315" s="1127">
        <v>0.0</v>
      </c>
      <c r="I315" s="1127">
        <v>0.0</v>
      </c>
      <c r="J315" s="1127">
        <v>0.0</v>
      </c>
      <c r="K315" s="1124"/>
    </row>
    <row r="316" ht="15.75" customHeight="1">
      <c r="A316" s="1119">
        <v>103421.0</v>
      </c>
      <c r="B316" s="1125" t="s">
        <v>10592</v>
      </c>
      <c r="C316" s="1126" t="s">
        <v>1788</v>
      </c>
      <c r="D316" s="1119">
        <v>128.66</v>
      </c>
      <c r="E316" s="1120">
        <v>92.99</v>
      </c>
      <c r="F316" s="1121">
        <f t="shared" si="1"/>
        <v>35.68</v>
      </c>
      <c r="G316" s="1120">
        <v>35.68</v>
      </c>
      <c r="H316" s="1127">
        <v>0.0</v>
      </c>
      <c r="I316" s="1127">
        <v>0.0</v>
      </c>
      <c r="J316" s="1127">
        <v>0.0</v>
      </c>
      <c r="K316" s="1124"/>
    </row>
    <row r="317" ht="15.75" customHeight="1">
      <c r="A317" s="1119">
        <v>103422.0</v>
      </c>
      <c r="B317" s="1125" t="s">
        <v>10593</v>
      </c>
      <c r="C317" s="1126" t="s">
        <v>1788</v>
      </c>
      <c r="D317" s="1119">
        <v>144.74</v>
      </c>
      <c r="E317" s="1120">
        <v>104.61</v>
      </c>
      <c r="F317" s="1121">
        <f t="shared" si="1"/>
        <v>40.13</v>
      </c>
      <c r="G317" s="1120">
        <v>40.13</v>
      </c>
      <c r="H317" s="1127">
        <v>0.0</v>
      </c>
      <c r="I317" s="1127">
        <v>0.0</v>
      </c>
      <c r="J317" s="1127">
        <v>0.0</v>
      </c>
      <c r="K317" s="1124"/>
    </row>
    <row r="318" ht="15.75" customHeight="1">
      <c r="A318" s="1119">
        <v>103423.0</v>
      </c>
      <c r="B318" s="1125" t="s">
        <v>10594</v>
      </c>
      <c r="C318" s="1126" t="s">
        <v>1788</v>
      </c>
      <c r="D318" s="1119">
        <v>163.12</v>
      </c>
      <c r="E318" s="1120">
        <v>117.89</v>
      </c>
      <c r="F318" s="1121">
        <f t="shared" si="1"/>
        <v>45.24</v>
      </c>
      <c r="G318" s="1120">
        <v>45.24</v>
      </c>
      <c r="H318" s="1127">
        <v>0.0</v>
      </c>
      <c r="I318" s="1127">
        <v>0.0</v>
      </c>
      <c r="J318" s="1127">
        <v>0.0</v>
      </c>
      <c r="K318" s="1124"/>
    </row>
    <row r="319" ht="15.75" customHeight="1">
      <c r="A319" s="1119">
        <v>103424.0</v>
      </c>
      <c r="B319" s="1125" t="s">
        <v>10595</v>
      </c>
      <c r="C319" s="1126" t="s">
        <v>1788</v>
      </c>
      <c r="D319" s="1119">
        <v>183.8</v>
      </c>
      <c r="E319" s="1120">
        <v>132.82</v>
      </c>
      <c r="F319" s="1121">
        <f t="shared" si="1"/>
        <v>50.99</v>
      </c>
      <c r="G319" s="1120">
        <v>50.99</v>
      </c>
      <c r="H319" s="1127">
        <v>0.0</v>
      </c>
      <c r="I319" s="1127">
        <v>0.0</v>
      </c>
      <c r="J319" s="1127">
        <v>0.0</v>
      </c>
      <c r="K319" s="1124"/>
    </row>
    <row r="320" ht="15.75" customHeight="1">
      <c r="A320" s="1119">
        <v>103425.0</v>
      </c>
      <c r="B320" s="1125" t="s">
        <v>10596</v>
      </c>
      <c r="C320" s="1126" t="s">
        <v>1788</v>
      </c>
      <c r="D320" s="1119">
        <v>16.94</v>
      </c>
      <c r="E320" s="1120">
        <v>3.3</v>
      </c>
      <c r="F320" s="1121">
        <f t="shared" si="1"/>
        <v>13.63</v>
      </c>
      <c r="G320" s="1120">
        <v>13.63</v>
      </c>
      <c r="H320" s="1127">
        <v>0.0</v>
      </c>
      <c r="I320" s="1127">
        <v>0.0</v>
      </c>
      <c r="J320" s="1127">
        <v>0.0</v>
      </c>
      <c r="K320" s="1124"/>
    </row>
    <row r="321" ht="15.75" customHeight="1">
      <c r="A321" s="1119">
        <v>103426.0</v>
      </c>
      <c r="B321" s="1125" t="s">
        <v>10597</v>
      </c>
      <c r="C321" s="1126" t="s">
        <v>1788</v>
      </c>
      <c r="D321" s="1119">
        <v>20.66</v>
      </c>
      <c r="E321" s="1120">
        <v>5.31</v>
      </c>
      <c r="F321" s="1121">
        <f t="shared" si="1"/>
        <v>15.36</v>
      </c>
      <c r="G321" s="1120">
        <v>15.36</v>
      </c>
      <c r="H321" s="1127">
        <v>0.0</v>
      </c>
      <c r="I321" s="1127">
        <v>0.0</v>
      </c>
      <c r="J321" s="1127">
        <v>0.0</v>
      </c>
      <c r="K321" s="1124"/>
    </row>
    <row r="322" ht="15.75" customHeight="1">
      <c r="A322" s="1119">
        <v>103427.0</v>
      </c>
      <c r="B322" s="1125" t="s">
        <v>10598</v>
      </c>
      <c r="C322" s="1126" t="s">
        <v>1788</v>
      </c>
      <c r="D322" s="1119">
        <v>41.34</v>
      </c>
      <c r="E322" s="1120">
        <v>10.46</v>
      </c>
      <c r="F322" s="1121">
        <f t="shared" si="1"/>
        <v>30.9</v>
      </c>
      <c r="G322" s="1120">
        <v>30.9</v>
      </c>
      <c r="H322" s="1127">
        <v>0.0</v>
      </c>
      <c r="I322" s="1127">
        <v>0.0</v>
      </c>
      <c r="J322" s="1127">
        <v>0.0</v>
      </c>
      <c r="K322" s="1124"/>
    </row>
    <row r="323" ht="15.75" customHeight="1">
      <c r="A323" s="1119">
        <v>103428.0</v>
      </c>
      <c r="B323" s="1125" t="s">
        <v>10599</v>
      </c>
      <c r="C323" s="1126" t="s">
        <v>1788</v>
      </c>
      <c r="D323" s="1119">
        <v>266.89</v>
      </c>
      <c r="E323" s="1120">
        <v>33.17</v>
      </c>
      <c r="F323" s="1121">
        <f t="shared" si="1"/>
        <v>233.72</v>
      </c>
      <c r="G323" s="1120">
        <v>233.72</v>
      </c>
      <c r="H323" s="1127">
        <v>0.0</v>
      </c>
      <c r="I323" s="1127">
        <v>0.0</v>
      </c>
      <c r="J323" s="1127">
        <v>0.0</v>
      </c>
      <c r="K323" s="1124"/>
    </row>
    <row r="324" ht="15.75" customHeight="1">
      <c r="A324" s="1119">
        <v>103429.0</v>
      </c>
      <c r="B324" s="1125" t="s">
        <v>10600</v>
      </c>
      <c r="C324" s="1126" t="s">
        <v>1788</v>
      </c>
      <c r="D324" s="1128">
        <v>2886.03</v>
      </c>
      <c r="E324" s="1120">
        <v>66.38</v>
      </c>
      <c r="F324" s="1121">
        <f t="shared" si="1"/>
        <v>2819.66</v>
      </c>
      <c r="G324" s="1120">
        <v>2819.66</v>
      </c>
      <c r="H324" s="1127">
        <v>0.0</v>
      </c>
      <c r="I324" s="1127">
        <v>0.0</v>
      </c>
      <c r="J324" s="1127">
        <v>0.0</v>
      </c>
      <c r="K324" s="1124"/>
    </row>
    <row r="325" ht="15.75" customHeight="1">
      <c r="A325" s="1119">
        <v>103430.0</v>
      </c>
      <c r="B325" s="1125" t="s">
        <v>10601</v>
      </c>
      <c r="C325" s="1126" t="s">
        <v>1788</v>
      </c>
      <c r="D325" s="1119">
        <v>35.95</v>
      </c>
      <c r="E325" s="1120">
        <v>5.3</v>
      </c>
      <c r="F325" s="1121">
        <f t="shared" si="1"/>
        <v>30.66</v>
      </c>
      <c r="G325" s="1120">
        <v>30.66</v>
      </c>
      <c r="H325" s="1127">
        <v>0.0</v>
      </c>
      <c r="I325" s="1127">
        <v>0.0</v>
      </c>
      <c r="J325" s="1127">
        <v>0.0</v>
      </c>
      <c r="K325" s="1124"/>
    </row>
    <row r="326" ht="15.75" customHeight="1">
      <c r="A326" s="1119">
        <v>103431.0</v>
      </c>
      <c r="B326" s="1125" t="s">
        <v>10602</v>
      </c>
      <c r="C326" s="1126" t="s">
        <v>1788</v>
      </c>
      <c r="D326" s="1119">
        <v>63.28</v>
      </c>
      <c r="E326" s="1120">
        <v>10.45</v>
      </c>
      <c r="F326" s="1121">
        <f t="shared" si="1"/>
        <v>52.84</v>
      </c>
      <c r="G326" s="1120">
        <v>52.84</v>
      </c>
      <c r="H326" s="1127">
        <v>0.0</v>
      </c>
      <c r="I326" s="1127">
        <v>0.0</v>
      </c>
      <c r="J326" s="1127">
        <v>0.0</v>
      </c>
      <c r="K326" s="1124"/>
    </row>
    <row r="327" ht="15.75" customHeight="1">
      <c r="A327" s="1119">
        <v>103432.0</v>
      </c>
      <c r="B327" s="1125" t="s">
        <v>10603</v>
      </c>
      <c r="C327" s="1126" t="s">
        <v>1788</v>
      </c>
      <c r="D327" s="1128">
        <v>1637.26</v>
      </c>
      <c r="E327" s="1120">
        <v>33.17</v>
      </c>
      <c r="F327" s="1121">
        <f t="shared" si="1"/>
        <v>1604.09</v>
      </c>
      <c r="G327" s="1120">
        <v>1604.09</v>
      </c>
      <c r="H327" s="1127">
        <v>0.0</v>
      </c>
      <c r="I327" s="1127">
        <v>0.0</v>
      </c>
      <c r="J327" s="1127">
        <v>0.0</v>
      </c>
      <c r="K327" s="1124"/>
    </row>
    <row r="328" ht="15.75" customHeight="1">
      <c r="A328" s="1119">
        <v>103433.0</v>
      </c>
      <c r="B328" s="1125" t="s">
        <v>10604</v>
      </c>
      <c r="C328" s="1126" t="s">
        <v>1788</v>
      </c>
      <c r="D328" s="1119">
        <v>35.09</v>
      </c>
      <c r="E328" s="1120">
        <v>3.29</v>
      </c>
      <c r="F328" s="1121">
        <f t="shared" si="1"/>
        <v>31.79</v>
      </c>
      <c r="G328" s="1120">
        <v>31.79</v>
      </c>
      <c r="H328" s="1127">
        <v>0.0</v>
      </c>
      <c r="I328" s="1127">
        <v>0.0</v>
      </c>
      <c r="J328" s="1127">
        <v>0.0</v>
      </c>
      <c r="K328" s="1124"/>
    </row>
    <row r="329" ht="15.75" customHeight="1">
      <c r="A329" s="1119">
        <v>103434.0</v>
      </c>
      <c r="B329" s="1125" t="s">
        <v>10605</v>
      </c>
      <c r="C329" s="1126" t="s">
        <v>1788</v>
      </c>
      <c r="D329" s="1119">
        <v>48.73</v>
      </c>
      <c r="E329" s="1120">
        <v>5.3</v>
      </c>
      <c r="F329" s="1121">
        <f t="shared" si="1"/>
        <v>43.44</v>
      </c>
      <c r="G329" s="1120">
        <v>43.44</v>
      </c>
      <c r="H329" s="1127">
        <v>0.0</v>
      </c>
      <c r="I329" s="1127">
        <v>0.0</v>
      </c>
      <c r="J329" s="1127">
        <v>0.0</v>
      </c>
      <c r="K329" s="1124"/>
    </row>
    <row r="330" ht="15.75" customHeight="1">
      <c r="A330" s="1119">
        <v>103435.0</v>
      </c>
      <c r="B330" s="1125" t="s">
        <v>10606</v>
      </c>
      <c r="C330" s="1126" t="s">
        <v>1788</v>
      </c>
      <c r="D330" s="1119">
        <v>90.78</v>
      </c>
      <c r="E330" s="1120">
        <v>10.45</v>
      </c>
      <c r="F330" s="1121">
        <f t="shared" si="1"/>
        <v>80.35</v>
      </c>
      <c r="G330" s="1120">
        <v>80.35</v>
      </c>
      <c r="H330" s="1127">
        <v>0.0</v>
      </c>
      <c r="I330" s="1127">
        <v>0.0</v>
      </c>
      <c r="J330" s="1127">
        <v>0.0</v>
      </c>
      <c r="K330" s="1124"/>
    </row>
    <row r="331" ht="15.75" customHeight="1">
      <c r="A331" s="1119">
        <v>103436.0</v>
      </c>
      <c r="B331" s="1125" t="s">
        <v>10607</v>
      </c>
      <c r="C331" s="1126" t="s">
        <v>1788</v>
      </c>
      <c r="D331" s="1128">
        <v>2315.38</v>
      </c>
      <c r="E331" s="1120">
        <v>33.17</v>
      </c>
      <c r="F331" s="1121">
        <f t="shared" si="1"/>
        <v>2282.21</v>
      </c>
      <c r="G331" s="1120">
        <v>2282.21</v>
      </c>
      <c r="H331" s="1127">
        <v>0.0</v>
      </c>
      <c r="I331" s="1127">
        <v>0.0</v>
      </c>
      <c r="J331" s="1127">
        <v>0.0</v>
      </c>
      <c r="K331" s="1124"/>
    </row>
    <row r="332" ht="15.75" customHeight="1">
      <c r="A332" s="1119">
        <v>103437.0</v>
      </c>
      <c r="B332" s="1125" t="s">
        <v>10608</v>
      </c>
      <c r="C332" s="1126" t="s">
        <v>1788</v>
      </c>
      <c r="D332" s="1119">
        <v>188.17</v>
      </c>
      <c r="E332" s="1120">
        <v>20.89</v>
      </c>
      <c r="F332" s="1121">
        <f t="shared" si="1"/>
        <v>167.26</v>
      </c>
      <c r="G332" s="1120">
        <v>167.26</v>
      </c>
      <c r="H332" s="1127">
        <v>0.0</v>
      </c>
      <c r="I332" s="1127">
        <v>0.0</v>
      </c>
      <c r="J332" s="1127">
        <v>0.0</v>
      </c>
      <c r="K332" s="1124"/>
    </row>
    <row r="333" ht="15.75" customHeight="1">
      <c r="A333" s="1119">
        <v>103438.0</v>
      </c>
      <c r="B333" s="1125" t="s">
        <v>10609</v>
      </c>
      <c r="C333" s="1126" t="s">
        <v>1788</v>
      </c>
      <c r="D333" s="1119">
        <v>188.17</v>
      </c>
      <c r="E333" s="1120">
        <v>20.89</v>
      </c>
      <c r="F333" s="1121">
        <f t="shared" si="1"/>
        <v>167.26</v>
      </c>
      <c r="G333" s="1120">
        <v>167.26</v>
      </c>
      <c r="H333" s="1127">
        <v>0.0</v>
      </c>
      <c r="I333" s="1127">
        <v>0.0</v>
      </c>
      <c r="J333" s="1127">
        <v>0.0</v>
      </c>
      <c r="K333" s="1124"/>
    </row>
    <row r="334" ht="15.75" customHeight="1">
      <c r="A334" s="1119">
        <v>103439.0</v>
      </c>
      <c r="B334" s="1125" t="s">
        <v>10610</v>
      </c>
      <c r="C334" s="1126" t="s">
        <v>1788</v>
      </c>
      <c r="D334" s="1119">
        <v>220.72</v>
      </c>
      <c r="E334" s="1120">
        <v>20.89</v>
      </c>
      <c r="F334" s="1121">
        <f t="shared" si="1"/>
        <v>199.81</v>
      </c>
      <c r="G334" s="1120">
        <v>199.81</v>
      </c>
      <c r="H334" s="1127">
        <v>0.0</v>
      </c>
      <c r="I334" s="1127">
        <v>0.0</v>
      </c>
      <c r="J334" s="1127">
        <v>0.0</v>
      </c>
      <c r="K334" s="1124"/>
    </row>
    <row r="335" ht="15.75" customHeight="1">
      <c r="A335" s="1119">
        <v>103440.0</v>
      </c>
      <c r="B335" s="1125" t="s">
        <v>10611</v>
      </c>
      <c r="C335" s="1126" t="s">
        <v>1788</v>
      </c>
      <c r="D335" s="1119">
        <v>429.01</v>
      </c>
      <c r="E335" s="1120">
        <v>66.38</v>
      </c>
      <c r="F335" s="1121">
        <f t="shared" si="1"/>
        <v>362.64</v>
      </c>
      <c r="G335" s="1120">
        <v>362.64</v>
      </c>
      <c r="H335" s="1127">
        <v>0.0</v>
      </c>
      <c r="I335" s="1127">
        <v>0.0</v>
      </c>
      <c r="J335" s="1127">
        <v>0.0</v>
      </c>
      <c r="K335" s="1124"/>
    </row>
    <row r="336" ht="15.75" customHeight="1">
      <c r="A336" s="1119">
        <v>103441.0</v>
      </c>
      <c r="B336" s="1125" t="s">
        <v>10612</v>
      </c>
      <c r="C336" s="1126" t="s">
        <v>1788</v>
      </c>
      <c r="D336" s="1119">
        <v>434.28</v>
      </c>
      <c r="E336" s="1120">
        <v>66.38</v>
      </c>
      <c r="F336" s="1121">
        <f t="shared" si="1"/>
        <v>367.91</v>
      </c>
      <c r="G336" s="1120">
        <v>367.91</v>
      </c>
      <c r="H336" s="1127">
        <v>0.0</v>
      </c>
      <c r="I336" s="1127">
        <v>0.0</v>
      </c>
      <c r="J336" s="1127">
        <v>0.0</v>
      </c>
      <c r="K336" s="1124"/>
    </row>
    <row r="337" ht="15.75" customHeight="1">
      <c r="A337" s="1119">
        <v>103442.0</v>
      </c>
      <c r="B337" s="1125" t="s">
        <v>10613</v>
      </c>
      <c r="C337" s="1126" t="s">
        <v>1788</v>
      </c>
      <c r="D337" s="1119">
        <v>561.53</v>
      </c>
      <c r="E337" s="1120">
        <v>66.38</v>
      </c>
      <c r="F337" s="1121">
        <f t="shared" si="1"/>
        <v>495.16</v>
      </c>
      <c r="G337" s="1120">
        <v>495.16</v>
      </c>
      <c r="H337" s="1127">
        <v>0.0</v>
      </c>
      <c r="I337" s="1127">
        <v>0.0</v>
      </c>
      <c r="J337" s="1127">
        <v>0.0</v>
      </c>
      <c r="K337" s="1124"/>
    </row>
    <row r="338" ht="15.75" customHeight="1">
      <c r="A338" s="1119">
        <v>93206.0</v>
      </c>
      <c r="B338" s="1125" t="s">
        <v>10614</v>
      </c>
      <c r="C338" s="1126" t="s">
        <v>1814</v>
      </c>
      <c r="D338" s="1128">
        <v>1257.12</v>
      </c>
      <c r="E338" s="1120">
        <v>412.23</v>
      </c>
      <c r="F338" s="1121">
        <f t="shared" si="1"/>
        <v>845.28</v>
      </c>
      <c r="G338" s="1120">
        <v>845.01</v>
      </c>
      <c r="H338" s="1127">
        <v>0.17</v>
      </c>
      <c r="I338" s="1127">
        <v>0.0</v>
      </c>
      <c r="J338" s="1127">
        <v>0.1</v>
      </c>
      <c r="K338" s="1124"/>
    </row>
    <row r="339" ht="15.75" customHeight="1">
      <c r="A339" s="1119">
        <v>93207.0</v>
      </c>
      <c r="B339" s="1125" t="s">
        <v>10615</v>
      </c>
      <c r="C339" s="1126" t="s">
        <v>1814</v>
      </c>
      <c r="D339" s="1128">
        <v>1287.15</v>
      </c>
      <c r="E339" s="1120">
        <v>243.97</v>
      </c>
      <c r="F339" s="1121">
        <f t="shared" si="1"/>
        <v>1043.27</v>
      </c>
      <c r="G339" s="1120">
        <v>1043.03</v>
      </c>
      <c r="H339" s="1127">
        <v>0.16</v>
      </c>
      <c r="I339" s="1127">
        <v>0.0</v>
      </c>
      <c r="J339" s="1127">
        <v>0.08</v>
      </c>
      <c r="K339" s="1124"/>
    </row>
    <row r="340" ht="15.75" customHeight="1">
      <c r="A340" s="1119">
        <v>93208.0</v>
      </c>
      <c r="B340" s="1125" t="s">
        <v>10616</v>
      </c>
      <c r="C340" s="1126" t="s">
        <v>1814</v>
      </c>
      <c r="D340" s="1128">
        <v>1103.1</v>
      </c>
      <c r="E340" s="1120">
        <v>177.19</v>
      </c>
      <c r="F340" s="1121">
        <f t="shared" si="1"/>
        <v>926.07</v>
      </c>
      <c r="G340" s="1120">
        <v>925.82</v>
      </c>
      <c r="H340" s="1127">
        <v>0.17</v>
      </c>
      <c r="I340" s="1127">
        <v>0.0</v>
      </c>
      <c r="J340" s="1127">
        <v>0.08</v>
      </c>
      <c r="K340" s="1124"/>
    </row>
    <row r="341" ht="15.75" customHeight="1">
      <c r="A341" s="1119">
        <v>93209.0</v>
      </c>
      <c r="B341" s="1125" t="s">
        <v>10617</v>
      </c>
      <c r="C341" s="1126" t="s">
        <v>1814</v>
      </c>
      <c r="D341" s="1128">
        <v>1089.47</v>
      </c>
      <c r="E341" s="1120">
        <v>308.65</v>
      </c>
      <c r="F341" s="1121">
        <f t="shared" si="1"/>
        <v>781.18</v>
      </c>
      <c r="G341" s="1120">
        <v>780.89</v>
      </c>
      <c r="H341" s="1127">
        <v>0.19</v>
      </c>
      <c r="I341" s="1127">
        <v>0.0</v>
      </c>
      <c r="J341" s="1127">
        <v>0.1</v>
      </c>
      <c r="K341" s="1124"/>
    </row>
    <row r="342" ht="15.75" customHeight="1">
      <c r="A342" s="1119">
        <v>93210.0</v>
      </c>
      <c r="B342" s="1125" t="s">
        <v>10618</v>
      </c>
      <c r="C342" s="1126" t="s">
        <v>1814</v>
      </c>
      <c r="D342" s="1119">
        <v>697.14</v>
      </c>
      <c r="E342" s="1120">
        <v>152.05</v>
      </c>
      <c r="F342" s="1121">
        <f t="shared" si="1"/>
        <v>545.3</v>
      </c>
      <c r="G342" s="1120">
        <v>545.0</v>
      </c>
      <c r="H342" s="1127">
        <v>0.22</v>
      </c>
      <c r="I342" s="1127">
        <v>0.0</v>
      </c>
      <c r="J342" s="1127">
        <v>0.08</v>
      </c>
      <c r="K342" s="1124"/>
    </row>
    <row r="343" ht="15.75" customHeight="1">
      <c r="A343" s="1119">
        <v>93211.0</v>
      </c>
      <c r="B343" s="1125" t="s">
        <v>10619</v>
      </c>
      <c r="C343" s="1126" t="s">
        <v>1814</v>
      </c>
      <c r="D343" s="1119">
        <v>680.07</v>
      </c>
      <c r="E343" s="1120">
        <v>187.79</v>
      </c>
      <c r="F343" s="1121">
        <f t="shared" si="1"/>
        <v>492.46</v>
      </c>
      <c r="G343" s="1120">
        <v>492.17</v>
      </c>
      <c r="H343" s="1127">
        <v>0.2</v>
      </c>
      <c r="I343" s="1127">
        <v>0.0</v>
      </c>
      <c r="J343" s="1127">
        <v>0.09</v>
      </c>
      <c r="K343" s="1124"/>
    </row>
    <row r="344" ht="15.75" customHeight="1">
      <c r="A344" s="1119">
        <v>93212.0</v>
      </c>
      <c r="B344" s="1125" t="s">
        <v>10620</v>
      </c>
      <c r="C344" s="1126" t="s">
        <v>1814</v>
      </c>
      <c r="D344" s="1128">
        <v>1156.51</v>
      </c>
      <c r="E344" s="1120">
        <v>250.88</v>
      </c>
      <c r="F344" s="1121">
        <f t="shared" si="1"/>
        <v>905.87</v>
      </c>
      <c r="G344" s="1120">
        <v>905.59</v>
      </c>
      <c r="H344" s="1127">
        <v>0.19</v>
      </c>
      <c r="I344" s="1127">
        <v>0.0</v>
      </c>
      <c r="J344" s="1127">
        <v>0.09</v>
      </c>
      <c r="K344" s="1124"/>
    </row>
    <row r="345" ht="15.75" customHeight="1">
      <c r="A345" s="1119">
        <v>93213.0</v>
      </c>
      <c r="B345" s="1125" t="s">
        <v>10621</v>
      </c>
      <c r="C345" s="1126" t="s">
        <v>1814</v>
      </c>
      <c r="D345" s="1128">
        <v>1133.39</v>
      </c>
      <c r="E345" s="1120">
        <v>333.59</v>
      </c>
      <c r="F345" s="1121">
        <f t="shared" si="1"/>
        <v>800.23</v>
      </c>
      <c r="G345" s="1120">
        <v>800.01</v>
      </c>
      <c r="H345" s="1127">
        <v>0.14</v>
      </c>
      <c r="I345" s="1127">
        <v>0.0</v>
      </c>
      <c r="J345" s="1127">
        <v>0.08</v>
      </c>
      <c r="K345" s="1124"/>
    </row>
    <row r="346" ht="15.75" customHeight="1">
      <c r="A346" s="1119">
        <v>93214.0</v>
      </c>
      <c r="B346" s="1125" t="s">
        <v>10622</v>
      </c>
      <c r="C346" s="1126" t="s">
        <v>1788</v>
      </c>
      <c r="D346" s="1128">
        <v>7668.81</v>
      </c>
      <c r="E346" s="1120">
        <v>406.28</v>
      </c>
      <c r="F346" s="1121">
        <f t="shared" si="1"/>
        <v>7262.69</v>
      </c>
      <c r="G346" s="1120">
        <v>7262.52</v>
      </c>
      <c r="H346" s="1127">
        <v>0.06</v>
      </c>
      <c r="I346" s="1127">
        <v>0.0</v>
      </c>
      <c r="J346" s="1127">
        <v>0.11</v>
      </c>
      <c r="K346" s="1124"/>
    </row>
    <row r="347" ht="15.75" customHeight="1">
      <c r="A347" s="1119">
        <v>93243.0</v>
      </c>
      <c r="B347" s="1125" t="s">
        <v>10623</v>
      </c>
      <c r="C347" s="1126" t="s">
        <v>1788</v>
      </c>
      <c r="D347" s="1128">
        <v>11821.62</v>
      </c>
      <c r="E347" s="1120">
        <v>535.68</v>
      </c>
      <c r="F347" s="1121">
        <f t="shared" si="1"/>
        <v>11286.11</v>
      </c>
      <c r="G347" s="1120">
        <v>11285.95</v>
      </c>
      <c r="H347" s="1127">
        <v>0.06</v>
      </c>
      <c r="I347" s="1127">
        <v>0.0</v>
      </c>
      <c r="J347" s="1127">
        <v>0.1</v>
      </c>
      <c r="K347" s="1124"/>
    </row>
    <row r="348" ht="15.75" customHeight="1">
      <c r="A348" s="1119">
        <v>93582.0</v>
      </c>
      <c r="B348" s="1125" t="s">
        <v>10624</v>
      </c>
      <c r="C348" s="1126" t="s">
        <v>1814</v>
      </c>
      <c r="D348" s="1119">
        <v>313.66</v>
      </c>
      <c r="E348" s="1120">
        <v>61.42</v>
      </c>
      <c r="F348" s="1121">
        <f t="shared" si="1"/>
        <v>252.31</v>
      </c>
      <c r="G348" s="1120">
        <v>252.1</v>
      </c>
      <c r="H348" s="1127">
        <v>0.14</v>
      </c>
      <c r="I348" s="1127">
        <v>0.0</v>
      </c>
      <c r="J348" s="1127">
        <v>0.07</v>
      </c>
      <c r="K348" s="1124"/>
    </row>
    <row r="349" ht="15.75" customHeight="1">
      <c r="A349" s="1119">
        <v>93583.0</v>
      </c>
      <c r="B349" s="1125" t="s">
        <v>10625</v>
      </c>
      <c r="C349" s="1126" t="s">
        <v>1814</v>
      </c>
      <c r="D349" s="1119">
        <v>499.37</v>
      </c>
      <c r="E349" s="1120">
        <v>102.33</v>
      </c>
      <c r="F349" s="1121">
        <f t="shared" si="1"/>
        <v>397.13</v>
      </c>
      <c r="G349" s="1120">
        <v>396.78</v>
      </c>
      <c r="H349" s="1127">
        <v>0.24</v>
      </c>
      <c r="I349" s="1127">
        <v>0.0</v>
      </c>
      <c r="J349" s="1127">
        <v>0.11</v>
      </c>
      <c r="K349" s="1124"/>
    </row>
    <row r="350" ht="15.75" customHeight="1">
      <c r="A350" s="1119">
        <v>93584.0</v>
      </c>
      <c r="B350" s="1125" t="s">
        <v>10626</v>
      </c>
      <c r="C350" s="1126" t="s">
        <v>1814</v>
      </c>
      <c r="D350" s="1128">
        <v>1103.0</v>
      </c>
      <c r="E350" s="1120">
        <v>191.42</v>
      </c>
      <c r="F350" s="1121">
        <f t="shared" si="1"/>
        <v>911.71</v>
      </c>
      <c r="G350" s="1120">
        <v>911.43</v>
      </c>
      <c r="H350" s="1127">
        <v>0.19</v>
      </c>
      <c r="I350" s="1127">
        <v>0.0</v>
      </c>
      <c r="J350" s="1127">
        <v>0.09</v>
      </c>
      <c r="K350" s="1124"/>
    </row>
    <row r="351" ht="15.75" customHeight="1">
      <c r="A351" s="1119">
        <v>93585.0</v>
      </c>
      <c r="B351" s="1125" t="s">
        <v>10627</v>
      </c>
      <c r="C351" s="1126" t="s">
        <v>1814</v>
      </c>
      <c r="D351" s="1128">
        <v>1332.13</v>
      </c>
      <c r="E351" s="1120">
        <v>229.0</v>
      </c>
      <c r="F351" s="1121">
        <f t="shared" si="1"/>
        <v>1103.21</v>
      </c>
      <c r="G351" s="1120">
        <v>1103.04</v>
      </c>
      <c r="H351" s="1127">
        <v>0.11</v>
      </c>
      <c r="I351" s="1127">
        <v>0.0</v>
      </c>
      <c r="J351" s="1127">
        <v>0.06</v>
      </c>
      <c r="K351" s="1124"/>
    </row>
    <row r="352" ht="15.75" customHeight="1">
      <c r="A352" s="1119">
        <v>98441.0</v>
      </c>
      <c r="B352" s="1125" t="s">
        <v>10628</v>
      </c>
      <c r="C352" s="1126" t="s">
        <v>1814</v>
      </c>
      <c r="D352" s="1119">
        <v>179.08</v>
      </c>
      <c r="E352" s="1120">
        <v>24.37</v>
      </c>
      <c r="F352" s="1121">
        <f t="shared" si="1"/>
        <v>154.73</v>
      </c>
      <c r="G352" s="1120">
        <v>154.73</v>
      </c>
      <c r="H352" s="1127">
        <v>0.0</v>
      </c>
      <c r="I352" s="1127">
        <v>0.0</v>
      </c>
      <c r="J352" s="1127">
        <v>0.0</v>
      </c>
      <c r="K352" s="1124"/>
    </row>
    <row r="353" ht="15.75" customHeight="1">
      <c r="A353" s="1119">
        <v>98442.0</v>
      </c>
      <c r="B353" s="1125" t="s">
        <v>10629</v>
      </c>
      <c r="C353" s="1126" t="s">
        <v>1814</v>
      </c>
      <c r="D353" s="1119">
        <v>183.06</v>
      </c>
      <c r="E353" s="1120">
        <v>27.34</v>
      </c>
      <c r="F353" s="1121">
        <f t="shared" si="1"/>
        <v>155.74</v>
      </c>
      <c r="G353" s="1120">
        <v>155.74</v>
      </c>
      <c r="H353" s="1127">
        <v>0.0</v>
      </c>
      <c r="I353" s="1127">
        <v>0.0</v>
      </c>
      <c r="J353" s="1127">
        <v>0.0</v>
      </c>
      <c r="K353" s="1124"/>
    </row>
    <row r="354" ht="15.75" customHeight="1">
      <c r="A354" s="1119">
        <v>98443.0</v>
      </c>
      <c r="B354" s="1125" t="s">
        <v>10630</v>
      </c>
      <c r="C354" s="1126" t="s">
        <v>1814</v>
      </c>
      <c r="D354" s="1119">
        <v>155.35</v>
      </c>
      <c r="E354" s="1120">
        <v>13.12</v>
      </c>
      <c r="F354" s="1121">
        <f t="shared" si="1"/>
        <v>142.23</v>
      </c>
      <c r="G354" s="1120">
        <v>142.23</v>
      </c>
      <c r="H354" s="1127">
        <v>0.0</v>
      </c>
      <c r="I354" s="1127">
        <v>0.0</v>
      </c>
      <c r="J354" s="1127">
        <v>0.0</v>
      </c>
      <c r="K354" s="1124"/>
    </row>
    <row r="355" ht="15.75" customHeight="1">
      <c r="A355" s="1119">
        <v>98444.0</v>
      </c>
      <c r="B355" s="1125" t="s">
        <v>10631</v>
      </c>
      <c r="C355" s="1126" t="s">
        <v>1814</v>
      </c>
      <c r="D355" s="1119">
        <v>158.18</v>
      </c>
      <c r="E355" s="1120">
        <v>15.24</v>
      </c>
      <c r="F355" s="1121">
        <f t="shared" si="1"/>
        <v>142.97</v>
      </c>
      <c r="G355" s="1120">
        <v>142.97</v>
      </c>
      <c r="H355" s="1127">
        <v>0.0</v>
      </c>
      <c r="I355" s="1127">
        <v>0.0</v>
      </c>
      <c r="J355" s="1127">
        <v>0.0</v>
      </c>
      <c r="K355" s="1124"/>
    </row>
    <row r="356" ht="15.75" customHeight="1">
      <c r="A356" s="1119">
        <v>98445.0</v>
      </c>
      <c r="B356" s="1125" t="s">
        <v>10632</v>
      </c>
      <c r="C356" s="1126" t="s">
        <v>1814</v>
      </c>
      <c r="D356" s="1119">
        <v>219.44</v>
      </c>
      <c r="E356" s="1120">
        <v>35.36</v>
      </c>
      <c r="F356" s="1121">
        <f t="shared" si="1"/>
        <v>184.09</v>
      </c>
      <c r="G356" s="1120">
        <v>184.08</v>
      </c>
      <c r="H356" s="1127">
        <v>0.0</v>
      </c>
      <c r="I356" s="1127">
        <v>0.0</v>
      </c>
      <c r="J356" s="1127">
        <v>0.01</v>
      </c>
      <c r="K356" s="1124"/>
    </row>
    <row r="357" ht="15.75" customHeight="1">
      <c r="A357" s="1119">
        <v>98446.0</v>
      </c>
      <c r="B357" s="1125" t="s">
        <v>10633</v>
      </c>
      <c r="C357" s="1126" t="s">
        <v>1814</v>
      </c>
      <c r="D357" s="1119">
        <v>285.99</v>
      </c>
      <c r="E357" s="1120">
        <v>57.99</v>
      </c>
      <c r="F357" s="1121">
        <f t="shared" si="1"/>
        <v>228</v>
      </c>
      <c r="G357" s="1120">
        <v>227.99</v>
      </c>
      <c r="H357" s="1127">
        <v>0.0</v>
      </c>
      <c r="I357" s="1127">
        <v>0.0</v>
      </c>
      <c r="J357" s="1127">
        <v>0.01</v>
      </c>
      <c r="K357" s="1124"/>
    </row>
    <row r="358" ht="15.75" customHeight="1">
      <c r="A358" s="1119">
        <v>98447.0</v>
      </c>
      <c r="B358" s="1125" t="s">
        <v>10634</v>
      </c>
      <c r="C358" s="1126" t="s">
        <v>1814</v>
      </c>
      <c r="D358" s="1119">
        <v>186.28</v>
      </c>
      <c r="E358" s="1120">
        <v>20.1</v>
      </c>
      <c r="F358" s="1121">
        <f t="shared" si="1"/>
        <v>166.18</v>
      </c>
      <c r="G358" s="1120">
        <v>166.17</v>
      </c>
      <c r="H358" s="1127">
        <v>0.0</v>
      </c>
      <c r="I358" s="1127">
        <v>0.0</v>
      </c>
      <c r="J358" s="1127">
        <v>0.01</v>
      </c>
      <c r="K358" s="1124"/>
    </row>
    <row r="359" ht="15.75" customHeight="1">
      <c r="A359" s="1119">
        <v>98448.0</v>
      </c>
      <c r="B359" s="1125" t="s">
        <v>10635</v>
      </c>
      <c r="C359" s="1126" t="s">
        <v>1814</v>
      </c>
      <c r="D359" s="1119">
        <v>238.32</v>
      </c>
      <c r="E359" s="1120">
        <v>36.16</v>
      </c>
      <c r="F359" s="1121">
        <f t="shared" si="1"/>
        <v>202.17</v>
      </c>
      <c r="G359" s="1120">
        <v>202.16</v>
      </c>
      <c r="H359" s="1127">
        <v>0.0</v>
      </c>
      <c r="I359" s="1127">
        <v>0.0</v>
      </c>
      <c r="J359" s="1127">
        <v>0.01</v>
      </c>
      <c r="K359" s="1124"/>
    </row>
    <row r="360" ht="15.75" customHeight="1">
      <c r="A360" s="1119">
        <v>98449.0</v>
      </c>
      <c r="B360" s="1125" t="s">
        <v>10636</v>
      </c>
      <c r="C360" s="1126" t="s">
        <v>1814</v>
      </c>
      <c r="D360" s="1119">
        <v>214.58</v>
      </c>
      <c r="E360" s="1120">
        <v>28.73</v>
      </c>
      <c r="F360" s="1121">
        <f t="shared" si="1"/>
        <v>185.87</v>
      </c>
      <c r="G360" s="1120">
        <v>185.87</v>
      </c>
      <c r="H360" s="1127">
        <v>0.0</v>
      </c>
      <c r="I360" s="1127">
        <v>0.0</v>
      </c>
      <c r="J360" s="1127">
        <v>0.0</v>
      </c>
      <c r="K360" s="1124"/>
    </row>
    <row r="361" ht="15.75" customHeight="1">
      <c r="A361" s="1119">
        <v>98450.0</v>
      </c>
      <c r="B361" s="1125" t="s">
        <v>10637</v>
      </c>
      <c r="C361" s="1126" t="s">
        <v>1814</v>
      </c>
      <c r="D361" s="1119">
        <v>220.38</v>
      </c>
      <c r="E361" s="1120">
        <v>33.08</v>
      </c>
      <c r="F361" s="1121">
        <f t="shared" si="1"/>
        <v>187.33</v>
      </c>
      <c r="G361" s="1120">
        <v>187.33</v>
      </c>
      <c r="H361" s="1127">
        <v>0.0</v>
      </c>
      <c r="I361" s="1127">
        <v>0.0</v>
      </c>
      <c r="J361" s="1127">
        <v>0.0</v>
      </c>
      <c r="K361" s="1124"/>
    </row>
    <row r="362" ht="15.75" customHeight="1">
      <c r="A362" s="1119">
        <v>98451.0</v>
      </c>
      <c r="B362" s="1125" t="s">
        <v>10638</v>
      </c>
      <c r="C362" s="1126" t="s">
        <v>1814</v>
      </c>
      <c r="D362" s="1119">
        <v>187.43</v>
      </c>
      <c r="E362" s="1120">
        <v>14.92</v>
      </c>
      <c r="F362" s="1121">
        <f t="shared" si="1"/>
        <v>172.51</v>
      </c>
      <c r="G362" s="1120">
        <v>172.51</v>
      </c>
      <c r="H362" s="1127">
        <v>0.0</v>
      </c>
      <c r="I362" s="1127">
        <v>0.0</v>
      </c>
      <c r="J362" s="1127">
        <v>0.0</v>
      </c>
      <c r="K362" s="1124"/>
    </row>
    <row r="363" ht="15.75" customHeight="1">
      <c r="A363" s="1119">
        <v>98452.0</v>
      </c>
      <c r="B363" s="1125" t="s">
        <v>10639</v>
      </c>
      <c r="C363" s="1126" t="s">
        <v>1814</v>
      </c>
      <c r="D363" s="1119">
        <v>190.93</v>
      </c>
      <c r="E363" s="1120">
        <v>17.54</v>
      </c>
      <c r="F363" s="1121">
        <f t="shared" si="1"/>
        <v>173.39</v>
      </c>
      <c r="G363" s="1120">
        <v>173.39</v>
      </c>
      <c r="H363" s="1127">
        <v>0.0</v>
      </c>
      <c r="I363" s="1127">
        <v>0.0</v>
      </c>
      <c r="J363" s="1127">
        <v>0.0</v>
      </c>
      <c r="K363" s="1124"/>
    </row>
    <row r="364" ht="15.75" customHeight="1">
      <c r="A364" s="1119">
        <v>98453.0</v>
      </c>
      <c r="B364" s="1125" t="s">
        <v>10640</v>
      </c>
      <c r="C364" s="1126" t="s">
        <v>1814</v>
      </c>
      <c r="D364" s="1119">
        <v>261.68</v>
      </c>
      <c r="E364" s="1120">
        <v>44.67</v>
      </c>
      <c r="F364" s="1121">
        <f t="shared" si="1"/>
        <v>217.02</v>
      </c>
      <c r="G364" s="1120">
        <v>217.01</v>
      </c>
      <c r="H364" s="1127">
        <v>0.0</v>
      </c>
      <c r="I364" s="1127">
        <v>0.0</v>
      </c>
      <c r="J364" s="1127">
        <v>0.01</v>
      </c>
      <c r="K364" s="1124"/>
    </row>
    <row r="365" ht="15.75" customHeight="1">
      <c r="A365" s="1119">
        <v>98454.0</v>
      </c>
      <c r="B365" s="1125" t="s">
        <v>10641</v>
      </c>
      <c r="C365" s="1126" t="s">
        <v>1814</v>
      </c>
      <c r="D365" s="1119">
        <v>344.74</v>
      </c>
      <c r="E365" s="1120">
        <v>79.49</v>
      </c>
      <c r="F365" s="1121">
        <f t="shared" si="1"/>
        <v>265.25</v>
      </c>
      <c r="G365" s="1120">
        <v>265.24</v>
      </c>
      <c r="H365" s="1127">
        <v>0.0</v>
      </c>
      <c r="I365" s="1127">
        <v>0.0</v>
      </c>
      <c r="J365" s="1127">
        <v>0.01</v>
      </c>
      <c r="K365" s="1124"/>
    </row>
    <row r="366" ht="15.75" customHeight="1">
      <c r="A366" s="1119">
        <v>98455.0</v>
      </c>
      <c r="B366" s="1125" t="s">
        <v>10642</v>
      </c>
      <c r="C366" s="1126" t="s">
        <v>1814</v>
      </c>
      <c r="D366" s="1119">
        <v>225.1</v>
      </c>
      <c r="E366" s="1120">
        <v>26.83</v>
      </c>
      <c r="F366" s="1121">
        <f t="shared" si="1"/>
        <v>198.28</v>
      </c>
      <c r="G366" s="1120">
        <v>198.27</v>
      </c>
      <c r="H366" s="1127">
        <v>0.0</v>
      </c>
      <c r="I366" s="1127">
        <v>0.0</v>
      </c>
      <c r="J366" s="1127">
        <v>0.01</v>
      </c>
      <c r="K366" s="1124"/>
    </row>
    <row r="367" ht="15.75" customHeight="1">
      <c r="A367" s="1119">
        <v>98456.0</v>
      </c>
      <c r="B367" s="1125" t="s">
        <v>10643</v>
      </c>
      <c r="C367" s="1126" t="s">
        <v>1814</v>
      </c>
      <c r="D367" s="1119">
        <v>292.5</v>
      </c>
      <c r="E367" s="1120">
        <v>54.24</v>
      </c>
      <c r="F367" s="1121">
        <f t="shared" si="1"/>
        <v>238.27</v>
      </c>
      <c r="G367" s="1120">
        <v>238.26</v>
      </c>
      <c r="H367" s="1127">
        <v>0.0</v>
      </c>
      <c r="I367" s="1127">
        <v>0.0</v>
      </c>
      <c r="J367" s="1127">
        <v>0.01</v>
      </c>
      <c r="K367" s="1124"/>
    </row>
    <row r="368" ht="15.75" customHeight="1">
      <c r="A368" s="1119">
        <v>98458.0</v>
      </c>
      <c r="B368" s="1125" t="s">
        <v>10644</v>
      </c>
      <c r="C368" s="1126" t="s">
        <v>1814</v>
      </c>
      <c r="D368" s="1119">
        <v>172.4</v>
      </c>
      <c r="E368" s="1120">
        <v>19.51</v>
      </c>
      <c r="F368" s="1121">
        <f t="shared" si="1"/>
        <v>152.88</v>
      </c>
      <c r="G368" s="1120">
        <v>152.88</v>
      </c>
      <c r="H368" s="1127">
        <v>0.0</v>
      </c>
      <c r="I368" s="1127">
        <v>0.0</v>
      </c>
      <c r="J368" s="1127">
        <v>0.0</v>
      </c>
      <c r="K368" s="1124"/>
    </row>
    <row r="369" ht="15.75" customHeight="1">
      <c r="A369" s="1119">
        <v>98459.0</v>
      </c>
      <c r="B369" s="1125" t="s">
        <v>10645</v>
      </c>
      <c r="C369" s="1126" t="s">
        <v>1814</v>
      </c>
      <c r="D369" s="1119">
        <v>143.97</v>
      </c>
      <c r="E369" s="1120">
        <v>18.15</v>
      </c>
      <c r="F369" s="1121">
        <f t="shared" si="1"/>
        <v>125.8</v>
      </c>
      <c r="G369" s="1120">
        <v>125.8</v>
      </c>
      <c r="H369" s="1127">
        <v>0.0</v>
      </c>
      <c r="I369" s="1127">
        <v>0.0</v>
      </c>
      <c r="J369" s="1127">
        <v>0.0</v>
      </c>
      <c r="K369" s="1124"/>
    </row>
    <row r="370" ht="15.75" customHeight="1">
      <c r="A370" s="1119">
        <v>98460.0</v>
      </c>
      <c r="B370" s="1125" t="s">
        <v>10646</v>
      </c>
      <c r="C370" s="1126" t="s">
        <v>1814</v>
      </c>
      <c r="D370" s="1119">
        <v>200.07</v>
      </c>
      <c r="E370" s="1120">
        <v>8.38</v>
      </c>
      <c r="F370" s="1121">
        <f t="shared" si="1"/>
        <v>191.69</v>
      </c>
      <c r="G370" s="1120">
        <v>191.68</v>
      </c>
      <c r="H370" s="1127">
        <v>0.0</v>
      </c>
      <c r="I370" s="1127">
        <v>0.0</v>
      </c>
      <c r="J370" s="1127">
        <v>0.01</v>
      </c>
      <c r="K370" s="1124"/>
    </row>
    <row r="371" ht="15.75" customHeight="1">
      <c r="A371" s="1119">
        <v>98461.0</v>
      </c>
      <c r="B371" s="1125" t="s">
        <v>10647</v>
      </c>
      <c r="C371" s="1126" t="s">
        <v>1788</v>
      </c>
      <c r="D371" s="1128">
        <v>6782.75</v>
      </c>
      <c r="E371" s="1120">
        <v>238.45</v>
      </c>
      <c r="F371" s="1121">
        <f t="shared" si="1"/>
        <v>6544.29</v>
      </c>
      <c r="G371" s="1120">
        <v>6544.12</v>
      </c>
      <c r="H371" s="1127">
        <v>0.06</v>
      </c>
      <c r="I371" s="1127">
        <v>0.0</v>
      </c>
      <c r="J371" s="1127">
        <v>0.11</v>
      </c>
      <c r="K371" s="1124"/>
    </row>
    <row r="372" ht="15.75" customHeight="1">
      <c r="A372" s="1119">
        <v>98462.0</v>
      </c>
      <c r="B372" s="1125" t="s">
        <v>10648</v>
      </c>
      <c r="C372" s="1126" t="s">
        <v>1788</v>
      </c>
      <c r="D372" s="1128">
        <v>10156.79</v>
      </c>
      <c r="E372" s="1120">
        <v>362.11</v>
      </c>
      <c r="F372" s="1121">
        <f t="shared" si="1"/>
        <v>9794.67</v>
      </c>
      <c r="G372" s="1120">
        <v>9794.51</v>
      </c>
      <c r="H372" s="1127">
        <v>0.06</v>
      </c>
      <c r="I372" s="1127">
        <v>0.0</v>
      </c>
      <c r="J372" s="1127">
        <v>0.1</v>
      </c>
      <c r="K372" s="1124"/>
    </row>
    <row r="373" ht="15.75" customHeight="1">
      <c r="A373" s="1119">
        <v>5631.0</v>
      </c>
      <c r="B373" s="1125" t="s">
        <v>10649</v>
      </c>
      <c r="C373" s="1126" t="s">
        <v>10650</v>
      </c>
      <c r="D373" s="1119">
        <v>195.7</v>
      </c>
      <c r="E373" s="1120">
        <v>25.12</v>
      </c>
      <c r="F373" s="1121">
        <f t="shared" si="1"/>
        <v>170.58</v>
      </c>
      <c r="G373" s="1120">
        <v>55.69</v>
      </c>
      <c r="H373" s="1127">
        <v>114.89</v>
      </c>
      <c r="I373" s="1127">
        <v>0.0</v>
      </c>
      <c r="J373" s="1127">
        <v>0.0</v>
      </c>
      <c r="K373" s="1124"/>
    </row>
    <row r="374" ht="15.75" customHeight="1">
      <c r="A374" s="1119">
        <v>5678.0</v>
      </c>
      <c r="B374" s="1125" t="s">
        <v>10651</v>
      </c>
      <c r="C374" s="1126" t="s">
        <v>10650</v>
      </c>
      <c r="D374" s="1119">
        <v>130.16</v>
      </c>
      <c r="E374" s="1120">
        <v>25.12</v>
      </c>
      <c r="F374" s="1121">
        <f t="shared" si="1"/>
        <v>105.04</v>
      </c>
      <c r="G374" s="1120">
        <v>45.5</v>
      </c>
      <c r="H374" s="1127">
        <v>59.54</v>
      </c>
      <c r="I374" s="1127">
        <v>0.0</v>
      </c>
      <c r="J374" s="1127">
        <v>0.0</v>
      </c>
      <c r="K374" s="1124"/>
    </row>
    <row r="375" ht="15.75" customHeight="1">
      <c r="A375" s="1119">
        <v>5680.0</v>
      </c>
      <c r="B375" s="1125" t="s">
        <v>10652</v>
      </c>
      <c r="C375" s="1126" t="s">
        <v>10650</v>
      </c>
      <c r="D375" s="1119">
        <v>119.62</v>
      </c>
      <c r="E375" s="1120">
        <v>25.12</v>
      </c>
      <c r="F375" s="1121">
        <f t="shared" si="1"/>
        <v>94.5</v>
      </c>
      <c r="G375" s="1120">
        <v>41.54</v>
      </c>
      <c r="H375" s="1127">
        <v>52.96</v>
      </c>
      <c r="I375" s="1127">
        <v>0.0</v>
      </c>
      <c r="J375" s="1127">
        <v>0.0</v>
      </c>
      <c r="K375" s="1124"/>
    </row>
    <row r="376" ht="15.75" customHeight="1">
      <c r="A376" s="1119">
        <v>5684.0</v>
      </c>
      <c r="B376" s="1125" t="s">
        <v>10653</v>
      </c>
      <c r="C376" s="1126" t="s">
        <v>10650</v>
      </c>
      <c r="D376" s="1119">
        <v>146.02</v>
      </c>
      <c r="E376" s="1120">
        <v>20.9</v>
      </c>
      <c r="F376" s="1121">
        <f t="shared" si="1"/>
        <v>125.12</v>
      </c>
      <c r="G376" s="1120">
        <v>50.14</v>
      </c>
      <c r="H376" s="1127">
        <v>74.98</v>
      </c>
      <c r="I376" s="1127">
        <v>0.0</v>
      </c>
      <c r="J376" s="1127">
        <v>0.0</v>
      </c>
      <c r="K376" s="1124"/>
    </row>
    <row r="377" ht="15.75" customHeight="1">
      <c r="A377" s="1119">
        <v>5689.0</v>
      </c>
      <c r="B377" s="1125" t="s">
        <v>10654</v>
      </c>
      <c r="C377" s="1126" t="s">
        <v>10650</v>
      </c>
      <c r="D377" s="1119">
        <v>6.74</v>
      </c>
      <c r="E377" s="1120">
        <v>0.0</v>
      </c>
      <c r="F377" s="1121">
        <f t="shared" si="1"/>
        <v>6.74</v>
      </c>
      <c r="G377" s="1120">
        <v>0.0</v>
      </c>
      <c r="H377" s="1127">
        <v>6.74</v>
      </c>
      <c r="I377" s="1127">
        <v>0.0</v>
      </c>
      <c r="J377" s="1127">
        <v>0.0</v>
      </c>
      <c r="K377" s="1124"/>
    </row>
    <row r="378" ht="15.75" customHeight="1">
      <c r="A378" s="1119">
        <v>5795.0</v>
      </c>
      <c r="B378" s="1125" t="s">
        <v>10655</v>
      </c>
      <c r="C378" s="1126" t="s">
        <v>10650</v>
      </c>
      <c r="D378" s="1119">
        <v>29.44</v>
      </c>
      <c r="E378" s="1120">
        <v>19.8</v>
      </c>
      <c r="F378" s="1121">
        <f t="shared" si="1"/>
        <v>9.64</v>
      </c>
      <c r="G378" s="1120">
        <v>6.69</v>
      </c>
      <c r="H378" s="1127">
        <v>2.95</v>
      </c>
      <c r="I378" s="1127">
        <v>0.0</v>
      </c>
      <c r="J378" s="1127">
        <v>0.0</v>
      </c>
      <c r="K378" s="1124"/>
    </row>
    <row r="379" ht="15.75" customHeight="1">
      <c r="A379" s="1119">
        <v>5811.0</v>
      </c>
      <c r="B379" s="1125" t="s">
        <v>10656</v>
      </c>
      <c r="C379" s="1126" t="s">
        <v>10650</v>
      </c>
      <c r="D379" s="1119">
        <v>183.93</v>
      </c>
      <c r="E379" s="1120">
        <v>25.8</v>
      </c>
      <c r="F379" s="1121">
        <f t="shared" si="1"/>
        <v>158.13</v>
      </c>
      <c r="G379" s="1120">
        <v>83.72</v>
      </c>
      <c r="H379" s="1127">
        <v>74.41</v>
      </c>
      <c r="I379" s="1127">
        <v>0.0</v>
      </c>
      <c r="J379" s="1127">
        <v>0.0</v>
      </c>
      <c r="K379" s="1124"/>
    </row>
    <row r="380" ht="15.75" customHeight="1">
      <c r="A380" s="1119">
        <v>5823.0</v>
      </c>
      <c r="B380" s="1125" t="s">
        <v>10657</v>
      </c>
      <c r="C380" s="1126" t="s">
        <v>10650</v>
      </c>
      <c r="D380" s="1119">
        <v>216.27</v>
      </c>
      <c r="E380" s="1120">
        <v>90.26</v>
      </c>
      <c r="F380" s="1121">
        <f t="shared" si="1"/>
        <v>126.01</v>
      </c>
      <c r="G380" s="1120">
        <v>37.49</v>
      </c>
      <c r="H380" s="1127">
        <v>73.29</v>
      </c>
      <c r="I380" s="1127">
        <v>0.0</v>
      </c>
      <c r="J380" s="1127">
        <v>15.23</v>
      </c>
      <c r="K380" s="1124"/>
    </row>
    <row r="381" ht="15.75" customHeight="1">
      <c r="A381" s="1119">
        <v>5824.0</v>
      </c>
      <c r="B381" s="1125" t="s">
        <v>10658</v>
      </c>
      <c r="C381" s="1126" t="s">
        <v>10650</v>
      </c>
      <c r="D381" s="1119">
        <v>190.93</v>
      </c>
      <c r="E381" s="1120">
        <v>24.84</v>
      </c>
      <c r="F381" s="1121">
        <f t="shared" si="1"/>
        <v>166.09</v>
      </c>
      <c r="G381" s="1120">
        <v>95.27</v>
      </c>
      <c r="H381" s="1127">
        <v>70.82</v>
      </c>
      <c r="I381" s="1127">
        <v>0.0</v>
      </c>
      <c r="J381" s="1127">
        <v>0.0</v>
      </c>
      <c r="K381" s="1124"/>
    </row>
    <row r="382" ht="15.75" customHeight="1">
      <c r="A382" s="1119">
        <v>5835.0</v>
      </c>
      <c r="B382" s="1125" t="s">
        <v>10659</v>
      </c>
      <c r="C382" s="1126" t="s">
        <v>10650</v>
      </c>
      <c r="D382" s="1119">
        <v>357.66</v>
      </c>
      <c r="E382" s="1120">
        <v>23.98</v>
      </c>
      <c r="F382" s="1121">
        <f t="shared" si="1"/>
        <v>333.68</v>
      </c>
      <c r="G382" s="1120">
        <v>74.39</v>
      </c>
      <c r="H382" s="1127">
        <v>259.29</v>
      </c>
      <c r="I382" s="1127">
        <v>0.0</v>
      </c>
      <c r="J382" s="1127">
        <v>0.0</v>
      </c>
      <c r="K382" s="1124"/>
    </row>
    <row r="383" ht="15.75" customHeight="1">
      <c r="A383" s="1119">
        <v>5839.0</v>
      </c>
      <c r="B383" s="1125" t="s">
        <v>10660</v>
      </c>
      <c r="C383" s="1126" t="s">
        <v>10650</v>
      </c>
      <c r="D383" s="1119">
        <v>10.13</v>
      </c>
      <c r="E383" s="1120">
        <v>0.0</v>
      </c>
      <c r="F383" s="1121">
        <f t="shared" si="1"/>
        <v>10.13</v>
      </c>
      <c r="G383" s="1120">
        <v>0.0</v>
      </c>
      <c r="H383" s="1127">
        <v>10.13</v>
      </c>
      <c r="I383" s="1127">
        <v>0.0</v>
      </c>
      <c r="J383" s="1127">
        <v>0.0</v>
      </c>
      <c r="K383" s="1124"/>
    </row>
    <row r="384" ht="15.75" customHeight="1">
      <c r="A384" s="1119">
        <v>5843.0</v>
      </c>
      <c r="B384" s="1125" t="s">
        <v>10661</v>
      </c>
      <c r="C384" s="1126" t="s">
        <v>10650</v>
      </c>
      <c r="D384" s="1119">
        <v>151.32</v>
      </c>
      <c r="E384" s="1120">
        <v>26.48</v>
      </c>
      <c r="F384" s="1121">
        <f t="shared" si="1"/>
        <v>124.84</v>
      </c>
      <c r="G384" s="1120">
        <v>80.21</v>
      </c>
      <c r="H384" s="1127">
        <v>44.63</v>
      </c>
      <c r="I384" s="1127">
        <v>0.0</v>
      </c>
      <c r="J384" s="1127">
        <v>0.0</v>
      </c>
      <c r="K384" s="1124"/>
    </row>
    <row r="385" ht="15.75" customHeight="1">
      <c r="A385" s="1119">
        <v>5847.0</v>
      </c>
      <c r="B385" s="1125" t="s">
        <v>10662</v>
      </c>
      <c r="C385" s="1126" t="s">
        <v>10650</v>
      </c>
      <c r="D385" s="1119">
        <v>243.41</v>
      </c>
      <c r="E385" s="1120">
        <v>26.48</v>
      </c>
      <c r="F385" s="1121">
        <f t="shared" si="1"/>
        <v>216.93</v>
      </c>
      <c r="G385" s="1120">
        <v>87.49</v>
      </c>
      <c r="H385" s="1127">
        <v>129.44</v>
      </c>
      <c r="I385" s="1127">
        <v>0.0</v>
      </c>
      <c r="J385" s="1127">
        <v>0.0</v>
      </c>
      <c r="K385" s="1124"/>
    </row>
    <row r="386" ht="15.75" customHeight="1">
      <c r="A386" s="1119">
        <v>5851.0</v>
      </c>
      <c r="B386" s="1125" t="s">
        <v>10663</v>
      </c>
      <c r="C386" s="1126" t="s">
        <v>10650</v>
      </c>
      <c r="D386" s="1119">
        <v>234.69</v>
      </c>
      <c r="E386" s="1120">
        <v>26.48</v>
      </c>
      <c r="F386" s="1121">
        <f t="shared" si="1"/>
        <v>208.21</v>
      </c>
      <c r="G386" s="1120">
        <v>77.98</v>
      </c>
      <c r="H386" s="1127">
        <v>130.23</v>
      </c>
      <c r="I386" s="1127">
        <v>0.0</v>
      </c>
      <c r="J386" s="1127">
        <v>0.0</v>
      </c>
      <c r="K386" s="1124"/>
    </row>
    <row r="387" ht="15.75" customHeight="1">
      <c r="A387" s="1119">
        <v>5855.0</v>
      </c>
      <c r="B387" s="1125" t="s">
        <v>10664</v>
      </c>
      <c r="C387" s="1126" t="s">
        <v>10650</v>
      </c>
      <c r="D387" s="1119">
        <v>624.66</v>
      </c>
      <c r="E387" s="1120">
        <v>26.48</v>
      </c>
      <c r="F387" s="1121">
        <f t="shared" si="1"/>
        <v>598.18</v>
      </c>
      <c r="G387" s="1120">
        <v>171.58</v>
      </c>
      <c r="H387" s="1127">
        <v>426.6</v>
      </c>
      <c r="I387" s="1127">
        <v>0.0</v>
      </c>
      <c r="J387" s="1127">
        <v>0.0</v>
      </c>
      <c r="K387" s="1124"/>
    </row>
    <row r="388" ht="15.75" customHeight="1">
      <c r="A388" s="1119">
        <v>5863.0</v>
      </c>
      <c r="B388" s="1125" t="s">
        <v>10665</v>
      </c>
      <c r="C388" s="1126" t="s">
        <v>10650</v>
      </c>
      <c r="D388" s="1119">
        <v>22.63</v>
      </c>
      <c r="E388" s="1120">
        <v>0.0</v>
      </c>
      <c r="F388" s="1121">
        <f t="shared" si="1"/>
        <v>22.63</v>
      </c>
      <c r="G388" s="1120">
        <v>0.0</v>
      </c>
      <c r="H388" s="1127">
        <v>22.63</v>
      </c>
      <c r="I388" s="1127">
        <v>0.0</v>
      </c>
      <c r="J388" s="1127">
        <v>0.0</v>
      </c>
      <c r="K388" s="1124"/>
    </row>
    <row r="389" ht="15.75" customHeight="1">
      <c r="A389" s="1119">
        <v>5867.0</v>
      </c>
      <c r="B389" s="1125" t="s">
        <v>10666</v>
      </c>
      <c r="C389" s="1126" t="s">
        <v>10650</v>
      </c>
      <c r="D389" s="1119">
        <v>150.73</v>
      </c>
      <c r="E389" s="1120">
        <v>20.9</v>
      </c>
      <c r="F389" s="1121">
        <f t="shared" si="1"/>
        <v>129.83</v>
      </c>
      <c r="G389" s="1120">
        <v>37.76</v>
      </c>
      <c r="H389" s="1127">
        <v>92.07</v>
      </c>
      <c r="I389" s="1127">
        <v>0.0</v>
      </c>
      <c r="J389" s="1127">
        <v>0.0</v>
      </c>
      <c r="K389" s="1124"/>
    </row>
    <row r="390" ht="15.75" customHeight="1">
      <c r="A390" s="1119">
        <v>5875.0</v>
      </c>
      <c r="B390" s="1125" t="s">
        <v>10667</v>
      </c>
      <c r="C390" s="1126" t="s">
        <v>10650</v>
      </c>
      <c r="D390" s="1119">
        <v>121.0</v>
      </c>
      <c r="E390" s="1120">
        <v>25.12</v>
      </c>
      <c r="F390" s="1121">
        <f t="shared" si="1"/>
        <v>95.88</v>
      </c>
      <c r="G390" s="1120">
        <v>38.44</v>
      </c>
      <c r="H390" s="1127">
        <v>57.44</v>
      </c>
      <c r="I390" s="1127">
        <v>0.0</v>
      </c>
      <c r="J390" s="1127">
        <v>0.0</v>
      </c>
      <c r="K390" s="1124"/>
    </row>
    <row r="391" ht="15.75" customHeight="1">
      <c r="A391" s="1119">
        <v>5879.0</v>
      </c>
      <c r="B391" s="1125" t="s">
        <v>10668</v>
      </c>
      <c r="C391" s="1126" t="s">
        <v>10650</v>
      </c>
      <c r="D391" s="1119">
        <v>139.15</v>
      </c>
      <c r="E391" s="1120">
        <v>20.9</v>
      </c>
      <c r="F391" s="1121">
        <f t="shared" si="1"/>
        <v>118.25</v>
      </c>
      <c r="G391" s="1120">
        <v>15.79</v>
      </c>
      <c r="H391" s="1127">
        <v>102.46</v>
      </c>
      <c r="I391" s="1127">
        <v>0.0</v>
      </c>
      <c r="J391" s="1127">
        <v>0.0</v>
      </c>
      <c r="K391" s="1124"/>
    </row>
    <row r="392" ht="15.75" customHeight="1">
      <c r="A392" s="1119">
        <v>5882.0</v>
      </c>
      <c r="B392" s="1125" t="s">
        <v>10669</v>
      </c>
      <c r="C392" s="1126" t="s">
        <v>10650</v>
      </c>
      <c r="D392" s="1119">
        <v>116.48</v>
      </c>
      <c r="E392" s="1120">
        <v>17.42</v>
      </c>
      <c r="F392" s="1121">
        <f t="shared" si="1"/>
        <v>99.06</v>
      </c>
      <c r="G392" s="1120">
        <v>28.67</v>
      </c>
      <c r="H392" s="1127">
        <v>70.39</v>
      </c>
      <c r="I392" s="1127">
        <v>0.0</v>
      </c>
      <c r="J392" s="1127">
        <v>0.0</v>
      </c>
      <c r="K392" s="1124"/>
    </row>
    <row r="393" ht="15.75" customHeight="1">
      <c r="A393" s="1119">
        <v>5890.0</v>
      </c>
      <c r="B393" s="1125" t="s">
        <v>10670</v>
      </c>
      <c r="C393" s="1126" t="s">
        <v>10650</v>
      </c>
      <c r="D393" s="1119">
        <v>178.01</v>
      </c>
      <c r="E393" s="1120">
        <v>24.84</v>
      </c>
      <c r="F393" s="1121">
        <f t="shared" si="1"/>
        <v>153.17</v>
      </c>
      <c r="G393" s="1120">
        <v>93.41</v>
      </c>
      <c r="H393" s="1127">
        <v>59.76</v>
      </c>
      <c r="I393" s="1127">
        <v>0.0</v>
      </c>
      <c r="J393" s="1127">
        <v>0.0</v>
      </c>
      <c r="K393" s="1124"/>
    </row>
    <row r="394" ht="15.75" customHeight="1">
      <c r="A394" s="1119">
        <v>5894.0</v>
      </c>
      <c r="B394" s="1125" t="s">
        <v>10671</v>
      </c>
      <c r="C394" s="1126" t="s">
        <v>10650</v>
      </c>
      <c r="D394" s="1119">
        <v>185.73</v>
      </c>
      <c r="E394" s="1120">
        <v>24.84</v>
      </c>
      <c r="F394" s="1121">
        <f t="shared" si="1"/>
        <v>160.89</v>
      </c>
      <c r="G394" s="1120">
        <v>95.27</v>
      </c>
      <c r="H394" s="1127">
        <v>65.62</v>
      </c>
      <c r="I394" s="1127">
        <v>0.0</v>
      </c>
      <c r="J394" s="1127">
        <v>0.0</v>
      </c>
      <c r="K394" s="1124"/>
    </row>
    <row r="395" ht="15.75" customHeight="1">
      <c r="A395" s="1119">
        <v>5901.0</v>
      </c>
      <c r="B395" s="1125" t="s">
        <v>10672</v>
      </c>
      <c r="C395" s="1126" t="s">
        <v>10650</v>
      </c>
      <c r="D395" s="1119">
        <v>273.2</v>
      </c>
      <c r="E395" s="1120">
        <v>24.84</v>
      </c>
      <c r="F395" s="1121">
        <f t="shared" si="1"/>
        <v>248.36</v>
      </c>
      <c r="G395" s="1120">
        <v>153.01</v>
      </c>
      <c r="H395" s="1127">
        <v>95.35</v>
      </c>
      <c r="I395" s="1127">
        <v>0.0</v>
      </c>
      <c r="J395" s="1127">
        <v>0.0</v>
      </c>
      <c r="K395" s="1124"/>
    </row>
    <row r="396" ht="15.75" customHeight="1">
      <c r="A396" s="1119">
        <v>5909.0</v>
      </c>
      <c r="B396" s="1125" t="s">
        <v>10673</v>
      </c>
      <c r="C396" s="1126" t="s">
        <v>10650</v>
      </c>
      <c r="D396" s="1119">
        <v>37.08</v>
      </c>
      <c r="E396" s="1120">
        <v>17.42</v>
      </c>
      <c r="F396" s="1121">
        <f t="shared" si="1"/>
        <v>19.66</v>
      </c>
      <c r="G396" s="1120">
        <v>10.4</v>
      </c>
      <c r="H396" s="1127">
        <v>9.26</v>
      </c>
      <c r="I396" s="1127">
        <v>0.0</v>
      </c>
      <c r="J396" s="1127">
        <v>0.0</v>
      </c>
      <c r="K396" s="1124"/>
    </row>
    <row r="397" ht="15.75" customHeight="1">
      <c r="A397" s="1119">
        <v>5921.0</v>
      </c>
      <c r="B397" s="1125" t="s">
        <v>10674</v>
      </c>
      <c r="C397" s="1126" t="s">
        <v>10650</v>
      </c>
      <c r="D397" s="1119">
        <v>5.28</v>
      </c>
      <c r="E397" s="1120">
        <v>0.0</v>
      </c>
      <c r="F397" s="1121">
        <f t="shared" si="1"/>
        <v>5.28</v>
      </c>
      <c r="G397" s="1120">
        <v>0.0</v>
      </c>
      <c r="H397" s="1127">
        <v>5.28</v>
      </c>
      <c r="I397" s="1127">
        <v>0.0</v>
      </c>
      <c r="J397" s="1127">
        <v>0.0</v>
      </c>
      <c r="K397" s="1124"/>
    </row>
    <row r="398" ht="15.75" customHeight="1">
      <c r="A398" s="1119">
        <v>5928.0</v>
      </c>
      <c r="B398" s="1125" t="s">
        <v>10675</v>
      </c>
      <c r="C398" s="1126" t="s">
        <v>10650</v>
      </c>
      <c r="D398" s="1119">
        <v>239.86</v>
      </c>
      <c r="E398" s="1120">
        <v>28.18</v>
      </c>
      <c r="F398" s="1121">
        <f t="shared" si="1"/>
        <v>211.68</v>
      </c>
      <c r="G398" s="1120">
        <v>126.94</v>
      </c>
      <c r="H398" s="1127">
        <v>84.74</v>
      </c>
      <c r="I398" s="1127">
        <v>0.0</v>
      </c>
      <c r="J398" s="1127">
        <v>0.0</v>
      </c>
      <c r="K398" s="1124"/>
    </row>
    <row r="399" ht="15.75" customHeight="1">
      <c r="A399" s="1119">
        <v>5932.0</v>
      </c>
      <c r="B399" s="1125" t="s">
        <v>10676</v>
      </c>
      <c r="C399" s="1126" t="s">
        <v>10650</v>
      </c>
      <c r="D399" s="1119">
        <v>254.95</v>
      </c>
      <c r="E399" s="1120">
        <v>28.51</v>
      </c>
      <c r="F399" s="1121">
        <f t="shared" si="1"/>
        <v>226.44</v>
      </c>
      <c r="G399" s="1120">
        <v>70.34</v>
      </c>
      <c r="H399" s="1127">
        <v>156.1</v>
      </c>
      <c r="I399" s="1127">
        <v>0.0</v>
      </c>
      <c r="J399" s="1127">
        <v>0.0</v>
      </c>
      <c r="K399" s="1124"/>
    </row>
    <row r="400" ht="15.75" customHeight="1">
      <c r="A400" s="1119">
        <v>5940.0</v>
      </c>
      <c r="B400" s="1125" t="s">
        <v>10677</v>
      </c>
      <c r="C400" s="1126" t="s">
        <v>10650</v>
      </c>
      <c r="D400" s="1119">
        <v>197.04</v>
      </c>
      <c r="E400" s="1120">
        <v>23.57</v>
      </c>
      <c r="F400" s="1121">
        <f t="shared" si="1"/>
        <v>173.47</v>
      </c>
      <c r="G400" s="1120">
        <v>41.45</v>
      </c>
      <c r="H400" s="1127">
        <v>132.02</v>
      </c>
      <c r="I400" s="1127">
        <v>0.0</v>
      </c>
      <c r="J400" s="1127">
        <v>0.0</v>
      </c>
      <c r="K400" s="1124"/>
    </row>
    <row r="401" ht="15.75" customHeight="1">
      <c r="A401" s="1119">
        <v>5944.0</v>
      </c>
      <c r="B401" s="1125" t="s">
        <v>10678</v>
      </c>
      <c r="C401" s="1126" t="s">
        <v>10650</v>
      </c>
      <c r="D401" s="1119">
        <v>233.26</v>
      </c>
      <c r="E401" s="1120">
        <v>23.57</v>
      </c>
      <c r="F401" s="1121">
        <f t="shared" si="1"/>
        <v>209.69</v>
      </c>
      <c r="G401" s="1120">
        <v>60.19</v>
      </c>
      <c r="H401" s="1127">
        <v>149.5</v>
      </c>
      <c r="I401" s="1127">
        <v>0.0</v>
      </c>
      <c r="J401" s="1127">
        <v>0.0</v>
      </c>
      <c r="K401" s="1124"/>
    </row>
    <row r="402" ht="15.75" customHeight="1">
      <c r="A402" s="1119">
        <v>5953.0</v>
      </c>
      <c r="B402" s="1125" t="s">
        <v>10679</v>
      </c>
      <c r="C402" s="1126" t="s">
        <v>10650</v>
      </c>
      <c r="D402" s="1119">
        <v>46.73</v>
      </c>
      <c r="E402" s="1120">
        <v>0.0</v>
      </c>
      <c r="F402" s="1121">
        <f t="shared" si="1"/>
        <v>46.73</v>
      </c>
      <c r="G402" s="1120">
        <v>35.85</v>
      </c>
      <c r="H402" s="1127">
        <v>10.88</v>
      </c>
      <c r="I402" s="1127">
        <v>0.0</v>
      </c>
      <c r="J402" s="1127">
        <v>0.0</v>
      </c>
      <c r="K402" s="1124"/>
    </row>
    <row r="403" ht="15.75" customHeight="1">
      <c r="A403" s="1119">
        <v>6259.0</v>
      </c>
      <c r="B403" s="1125" t="s">
        <v>10680</v>
      </c>
      <c r="C403" s="1126" t="s">
        <v>10650</v>
      </c>
      <c r="D403" s="1119">
        <v>220.14</v>
      </c>
      <c r="E403" s="1120">
        <v>24.84</v>
      </c>
      <c r="F403" s="1121">
        <f t="shared" si="1"/>
        <v>195.3</v>
      </c>
      <c r="G403" s="1120">
        <v>126.94</v>
      </c>
      <c r="H403" s="1127">
        <v>68.36</v>
      </c>
      <c r="I403" s="1127">
        <v>0.0</v>
      </c>
      <c r="J403" s="1127">
        <v>0.0</v>
      </c>
      <c r="K403" s="1124"/>
    </row>
    <row r="404" ht="15.75" customHeight="1">
      <c r="A404" s="1119">
        <v>6879.0</v>
      </c>
      <c r="B404" s="1125" t="s">
        <v>10681</v>
      </c>
      <c r="C404" s="1126" t="s">
        <v>10650</v>
      </c>
      <c r="D404" s="1119">
        <v>193.78</v>
      </c>
      <c r="E404" s="1120">
        <v>20.9</v>
      </c>
      <c r="F404" s="1121">
        <f t="shared" si="1"/>
        <v>172.88</v>
      </c>
      <c r="G404" s="1120">
        <v>55.69</v>
      </c>
      <c r="H404" s="1127">
        <v>117.19</v>
      </c>
      <c r="I404" s="1127">
        <v>0.0</v>
      </c>
      <c r="J404" s="1127">
        <v>0.0</v>
      </c>
      <c r="K404" s="1124"/>
    </row>
    <row r="405" ht="15.75" customHeight="1">
      <c r="A405" s="1119">
        <v>7030.0</v>
      </c>
      <c r="B405" s="1125" t="s">
        <v>10682</v>
      </c>
      <c r="C405" s="1126" t="s">
        <v>10650</v>
      </c>
      <c r="D405" s="1119">
        <v>207.66</v>
      </c>
      <c r="E405" s="1120">
        <v>0.0</v>
      </c>
      <c r="F405" s="1121">
        <f t="shared" si="1"/>
        <v>207.66</v>
      </c>
      <c r="G405" s="1120">
        <v>195.02</v>
      </c>
      <c r="H405" s="1127">
        <v>12.64</v>
      </c>
      <c r="I405" s="1127">
        <v>0.0</v>
      </c>
      <c r="J405" s="1127">
        <v>0.0</v>
      </c>
      <c r="K405" s="1124"/>
    </row>
    <row r="406" ht="15.75" customHeight="1">
      <c r="A406" s="1119">
        <v>7042.0</v>
      </c>
      <c r="B406" s="1125" t="s">
        <v>10683</v>
      </c>
      <c r="C406" s="1126" t="s">
        <v>10650</v>
      </c>
      <c r="D406" s="1119">
        <v>23.47</v>
      </c>
      <c r="E406" s="1120">
        <v>0.0</v>
      </c>
      <c r="F406" s="1121">
        <f t="shared" si="1"/>
        <v>23.47</v>
      </c>
      <c r="G406" s="1120">
        <v>22.85</v>
      </c>
      <c r="H406" s="1127">
        <v>0.62</v>
      </c>
      <c r="I406" s="1127">
        <v>0.0</v>
      </c>
      <c r="J406" s="1127">
        <v>0.0</v>
      </c>
      <c r="K406" s="1124"/>
    </row>
    <row r="407" ht="15.75" customHeight="1">
      <c r="A407" s="1119">
        <v>7049.0</v>
      </c>
      <c r="B407" s="1125" t="s">
        <v>10684</v>
      </c>
      <c r="C407" s="1126" t="s">
        <v>10650</v>
      </c>
      <c r="D407" s="1119">
        <v>199.41</v>
      </c>
      <c r="E407" s="1120">
        <v>20.9</v>
      </c>
      <c r="F407" s="1121">
        <f t="shared" si="1"/>
        <v>178.51</v>
      </c>
      <c r="G407" s="1120">
        <v>74.57</v>
      </c>
      <c r="H407" s="1127">
        <v>103.94</v>
      </c>
      <c r="I407" s="1127">
        <v>0.0</v>
      </c>
      <c r="J407" s="1127">
        <v>0.0</v>
      </c>
      <c r="K407" s="1124"/>
    </row>
    <row r="408" ht="15.75" customHeight="1">
      <c r="A408" s="1119">
        <v>67826.0</v>
      </c>
      <c r="B408" s="1125" t="s">
        <v>10685</v>
      </c>
      <c r="C408" s="1126" t="s">
        <v>10650</v>
      </c>
      <c r="D408" s="1119">
        <v>171.41</v>
      </c>
      <c r="E408" s="1120">
        <v>25.8</v>
      </c>
      <c r="F408" s="1121">
        <f t="shared" si="1"/>
        <v>145.61</v>
      </c>
      <c r="G408" s="1120">
        <v>68.66</v>
      </c>
      <c r="H408" s="1127">
        <v>76.95</v>
      </c>
      <c r="I408" s="1127">
        <v>0.0</v>
      </c>
      <c r="J408" s="1127">
        <v>0.0</v>
      </c>
      <c r="K408" s="1124"/>
    </row>
    <row r="409" ht="15.75" customHeight="1">
      <c r="A409" s="1119">
        <v>73417.0</v>
      </c>
      <c r="B409" s="1125" t="s">
        <v>10686</v>
      </c>
      <c r="C409" s="1126" t="s">
        <v>10650</v>
      </c>
      <c r="D409" s="1119">
        <v>146.1</v>
      </c>
      <c r="E409" s="1120">
        <v>0.0</v>
      </c>
      <c r="F409" s="1121">
        <f t="shared" si="1"/>
        <v>146.1</v>
      </c>
      <c r="G409" s="1120">
        <v>135.45</v>
      </c>
      <c r="H409" s="1127">
        <v>10.65</v>
      </c>
      <c r="I409" s="1127">
        <v>0.0</v>
      </c>
      <c r="J409" s="1127">
        <v>0.0</v>
      </c>
      <c r="K409" s="1124"/>
    </row>
    <row r="410" ht="15.75" customHeight="1">
      <c r="A410" s="1119">
        <v>73436.0</v>
      </c>
      <c r="B410" s="1125" t="s">
        <v>10687</v>
      </c>
      <c r="C410" s="1126" t="s">
        <v>10650</v>
      </c>
      <c r="D410" s="1119">
        <v>204.18</v>
      </c>
      <c r="E410" s="1120">
        <v>62.7</v>
      </c>
      <c r="F410" s="1121">
        <f t="shared" si="1"/>
        <v>141.48</v>
      </c>
      <c r="G410" s="1120">
        <v>63.52</v>
      </c>
      <c r="H410" s="1127">
        <v>77.96</v>
      </c>
      <c r="I410" s="1127">
        <v>0.0</v>
      </c>
      <c r="J410" s="1127">
        <v>0.0</v>
      </c>
      <c r="K410" s="1124"/>
    </row>
    <row r="411" ht="15.75" customHeight="1">
      <c r="A411" s="1119">
        <v>73467.0</v>
      </c>
      <c r="B411" s="1125" t="s">
        <v>10688</v>
      </c>
      <c r="C411" s="1126" t="s">
        <v>10650</v>
      </c>
      <c r="D411" s="1119">
        <v>213.84</v>
      </c>
      <c r="E411" s="1120">
        <v>24.84</v>
      </c>
      <c r="F411" s="1121">
        <f t="shared" si="1"/>
        <v>189</v>
      </c>
      <c r="G411" s="1120">
        <v>124.39</v>
      </c>
      <c r="H411" s="1127">
        <v>64.61</v>
      </c>
      <c r="I411" s="1127">
        <v>0.0</v>
      </c>
      <c r="J411" s="1127">
        <v>0.0</v>
      </c>
      <c r="K411" s="1124"/>
    </row>
    <row r="412" ht="15.75" customHeight="1">
      <c r="A412" s="1119">
        <v>73536.0</v>
      </c>
      <c r="B412" s="1125" t="s">
        <v>10689</v>
      </c>
      <c r="C412" s="1126" t="s">
        <v>10650</v>
      </c>
      <c r="D412" s="1119">
        <v>19.86</v>
      </c>
      <c r="E412" s="1120">
        <v>0.0</v>
      </c>
      <c r="F412" s="1121">
        <f t="shared" si="1"/>
        <v>19.86</v>
      </c>
      <c r="G412" s="1120">
        <v>19.36</v>
      </c>
      <c r="H412" s="1127">
        <v>0.5</v>
      </c>
      <c r="I412" s="1127">
        <v>0.0</v>
      </c>
      <c r="J412" s="1127">
        <v>0.0</v>
      </c>
      <c r="K412" s="1124"/>
    </row>
    <row r="413" ht="15.75" customHeight="1">
      <c r="A413" s="1119">
        <v>83362.0</v>
      </c>
      <c r="B413" s="1125" t="s">
        <v>10690</v>
      </c>
      <c r="C413" s="1126" t="s">
        <v>10650</v>
      </c>
      <c r="D413" s="1119">
        <v>238.96</v>
      </c>
      <c r="E413" s="1120">
        <v>24.84</v>
      </c>
      <c r="F413" s="1121">
        <f t="shared" si="1"/>
        <v>214.12</v>
      </c>
      <c r="G413" s="1120">
        <v>130.76</v>
      </c>
      <c r="H413" s="1127">
        <v>83.36</v>
      </c>
      <c r="I413" s="1127">
        <v>0.0</v>
      </c>
      <c r="J413" s="1127">
        <v>0.0</v>
      </c>
      <c r="K413" s="1124"/>
    </row>
    <row r="414" ht="15.75" customHeight="1">
      <c r="A414" s="1119">
        <v>83765.0</v>
      </c>
      <c r="B414" s="1125" t="s">
        <v>10691</v>
      </c>
      <c r="C414" s="1126" t="s">
        <v>10650</v>
      </c>
      <c r="D414" s="1119">
        <v>87.54</v>
      </c>
      <c r="E414" s="1120">
        <v>25.12</v>
      </c>
      <c r="F414" s="1121">
        <f t="shared" si="1"/>
        <v>62.42</v>
      </c>
      <c r="G414" s="1120">
        <v>46.88</v>
      </c>
      <c r="H414" s="1127">
        <v>15.54</v>
      </c>
      <c r="I414" s="1127">
        <v>0.0</v>
      </c>
      <c r="J414" s="1127">
        <v>0.0</v>
      </c>
      <c r="K414" s="1124"/>
    </row>
    <row r="415" ht="15.75" customHeight="1">
      <c r="A415" s="1119">
        <v>87445.0</v>
      </c>
      <c r="B415" s="1125" t="s">
        <v>10692</v>
      </c>
      <c r="C415" s="1126" t="s">
        <v>10650</v>
      </c>
      <c r="D415" s="1119">
        <v>4.19</v>
      </c>
      <c r="E415" s="1120">
        <v>0.0</v>
      </c>
      <c r="F415" s="1121">
        <f t="shared" si="1"/>
        <v>4.19</v>
      </c>
      <c r="G415" s="1120">
        <v>3.22</v>
      </c>
      <c r="H415" s="1127">
        <v>0.97</v>
      </c>
      <c r="I415" s="1127">
        <v>0.0</v>
      </c>
      <c r="J415" s="1127">
        <v>0.0</v>
      </c>
      <c r="K415" s="1124"/>
    </row>
    <row r="416" ht="15.75" customHeight="1">
      <c r="A416" s="1119">
        <v>88386.0</v>
      </c>
      <c r="B416" s="1125" t="s">
        <v>10693</v>
      </c>
      <c r="C416" s="1126" t="s">
        <v>10650</v>
      </c>
      <c r="D416" s="1119">
        <v>3.76</v>
      </c>
      <c r="E416" s="1120">
        <v>0.0</v>
      </c>
      <c r="F416" s="1121">
        <f t="shared" si="1"/>
        <v>3.76</v>
      </c>
      <c r="G416" s="1120">
        <v>0.0</v>
      </c>
      <c r="H416" s="1127">
        <v>1.76</v>
      </c>
      <c r="I416" s="1127">
        <v>0.0</v>
      </c>
      <c r="J416" s="1127">
        <v>2.0</v>
      </c>
      <c r="K416" s="1124"/>
    </row>
    <row r="417" ht="15.75" customHeight="1">
      <c r="A417" s="1119">
        <v>88393.0</v>
      </c>
      <c r="B417" s="1125" t="s">
        <v>10694</v>
      </c>
      <c r="C417" s="1126" t="s">
        <v>10650</v>
      </c>
      <c r="D417" s="1119">
        <v>5.1</v>
      </c>
      <c r="E417" s="1120">
        <v>0.0</v>
      </c>
      <c r="F417" s="1121">
        <f t="shared" si="1"/>
        <v>5.1</v>
      </c>
      <c r="G417" s="1120">
        <v>0.0</v>
      </c>
      <c r="H417" s="1127">
        <v>2.1</v>
      </c>
      <c r="I417" s="1127">
        <v>0.0</v>
      </c>
      <c r="J417" s="1127">
        <v>3.0</v>
      </c>
      <c r="K417" s="1124"/>
    </row>
    <row r="418" ht="15.75" customHeight="1">
      <c r="A418" s="1119">
        <v>88399.0</v>
      </c>
      <c r="B418" s="1125" t="s">
        <v>10695</v>
      </c>
      <c r="C418" s="1126" t="s">
        <v>10650</v>
      </c>
      <c r="D418" s="1119">
        <v>2.85</v>
      </c>
      <c r="E418" s="1120">
        <v>0.0</v>
      </c>
      <c r="F418" s="1121">
        <f t="shared" si="1"/>
        <v>2.85</v>
      </c>
      <c r="G418" s="1120">
        <v>0.0</v>
      </c>
      <c r="H418" s="1127">
        <v>1.65</v>
      </c>
      <c r="I418" s="1127">
        <v>0.0</v>
      </c>
      <c r="J418" s="1127">
        <v>1.2</v>
      </c>
      <c r="K418" s="1124"/>
    </row>
    <row r="419" ht="15.75" customHeight="1">
      <c r="A419" s="1119">
        <v>88418.0</v>
      </c>
      <c r="B419" s="1125" t="s">
        <v>10696</v>
      </c>
      <c r="C419" s="1126" t="s">
        <v>10650</v>
      </c>
      <c r="D419" s="1119">
        <v>12.49</v>
      </c>
      <c r="E419" s="1120">
        <v>0.0</v>
      </c>
      <c r="F419" s="1121">
        <f t="shared" si="1"/>
        <v>12.49</v>
      </c>
      <c r="G419" s="1120">
        <v>0.0</v>
      </c>
      <c r="H419" s="1127">
        <v>11.82</v>
      </c>
      <c r="I419" s="1127">
        <v>0.0</v>
      </c>
      <c r="J419" s="1127">
        <v>0.67</v>
      </c>
      <c r="K419" s="1124"/>
    </row>
    <row r="420" ht="15.75" customHeight="1">
      <c r="A420" s="1119">
        <v>88433.0</v>
      </c>
      <c r="B420" s="1125" t="s">
        <v>10697</v>
      </c>
      <c r="C420" s="1126" t="s">
        <v>10650</v>
      </c>
      <c r="D420" s="1119">
        <v>16.33</v>
      </c>
      <c r="E420" s="1120">
        <v>0.0</v>
      </c>
      <c r="F420" s="1121">
        <f t="shared" si="1"/>
        <v>16.33</v>
      </c>
      <c r="G420" s="1120">
        <v>0.0</v>
      </c>
      <c r="H420" s="1127">
        <v>15.66</v>
      </c>
      <c r="I420" s="1127">
        <v>0.0</v>
      </c>
      <c r="J420" s="1127">
        <v>0.67</v>
      </c>
      <c r="K420" s="1124"/>
    </row>
    <row r="421" ht="15.75" customHeight="1">
      <c r="A421" s="1119">
        <v>88830.0</v>
      </c>
      <c r="B421" s="1125" t="s">
        <v>10698</v>
      </c>
      <c r="C421" s="1126" t="s">
        <v>10650</v>
      </c>
      <c r="D421" s="1119">
        <v>1.45</v>
      </c>
      <c r="E421" s="1120">
        <v>0.0</v>
      </c>
      <c r="F421" s="1121">
        <f t="shared" si="1"/>
        <v>1.45</v>
      </c>
      <c r="G421" s="1120">
        <v>0.0</v>
      </c>
      <c r="H421" s="1127">
        <v>0.65</v>
      </c>
      <c r="I421" s="1127">
        <v>0.0</v>
      </c>
      <c r="J421" s="1127">
        <v>0.8</v>
      </c>
      <c r="K421" s="1124"/>
    </row>
    <row r="422" ht="15.75" customHeight="1">
      <c r="A422" s="1119">
        <v>88843.0</v>
      </c>
      <c r="B422" s="1125" t="s">
        <v>10699</v>
      </c>
      <c r="C422" s="1126" t="s">
        <v>10650</v>
      </c>
      <c r="D422" s="1119">
        <v>197.73</v>
      </c>
      <c r="E422" s="1120">
        <v>26.48</v>
      </c>
      <c r="F422" s="1121">
        <f t="shared" si="1"/>
        <v>171.25</v>
      </c>
      <c r="G422" s="1120">
        <v>171.25</v>
      </c>
      <c r="H422" s="1127">
        <v>0.0</v>
      </c>
      <c r="I422" s="1127">
        <v>0.0</v>
      </c>
      <c r="J422" s="1127">
        <v>0.0</v>
      </c>
      <c r="K422" s="1124"/>
    </row>
    <row r="423" ht="15.75" customHeight="1">
      <c r="A423" s="1119">
        <v>88907.0</v>
      </c>
      <c r="B423" s="1125" t="s">
        <v>10700</v>
      </c>
      <c r="C423" s="1126" t="s">
        <v>10650</v>
      </c>
      <c r="D423" s="1119">
        <v>228.0</v>
      </c>
      <c r="E423" s="1120">
        <v>25.12</v>
      </c>
      <c r="F423" s="1121">
        <f t="shared" si="1"/>
        <v>202.88</v>
      </c>
      <c r="G423" s="1120">
        <v>75.07</v>
      </c>
      <c r="H423" s="1127">
        <v>127.81</v>
      </c>
      <c r="I423" s="1127">
        <v>0.0</v>
      </c>
      <c r="J423" s="1127">
        <v>0.0</v>
      </c>
      <c r="K423" s="1124"/>
    </row>
    <row r="424" ht="15.75" customHeight="1">
      <c r="A424" s="1119">
        <v>89021.0</v>
      </c>
      <c r="B424" s="1125" t="s">
        <v>10701</v>
      </c>
      <c r="C424" s="1126" t="s">
        <v>10650</v>
      </c>
      <c r="D424" s="1119">
        <v>2.12</v>
      </c>
      <c r="E424" s="1120">
        <v>0.0</v>
      </c>
      <c r="F424" s="1121">
        <f t="shared" si="1"/>
        <v>2.12</v>
      </c>
      <c r="G424" s="1120">
        <v>0.0</v>
      </c>
      <c r="H424" s="1127">
        <v>0.9</v>
      </c>
      <c r="I424" s="1127">
        <v>0.0</v>
      </c>
      <c r="J424" s="1127">
        <v>1.22</v>
      </c>
      <c r="K424" s="1124"/>
    </row>
    <row r="425" ht="15.75" customHeight="1">
      <c r="A425" s="1119">
        <v>89028.0</v>
      </c>
      <c r="B425" s="1125" t="s">
        <v>10702</v>
      </c>
      <c r="C425" s="1126" t="s">
        <v>10650</v>
      </c>
      <c r="D425" s="1119">
        <v>140.28</v>
      </c>
      <c r="E425" s="1120">
        <v>0.0</v>
      </c>
      <c r="F425" s="1121">
        <f t="shared" si="1"/>
        <v>140.28</v>
      </c>
      <c r="G425" s="1120">
        <v>130.01</v>
      </c>
      <c r="H425" s="1127">
        <v>10.27</v>
      </c>
      <c r="I425" s="1127">
        <v>0.0</v>
      </c>
      <c r="J425" s="1127">
        <v>0.0</v>
      </c>
      <c r="K425" s="1124"/>
    </row>
    <row r="426" ht="15.75" customHeight="1">
      <c r="A426" s="1119">
        <v>89032.0</v>
      </c>
      <c r="B426" s="1125" t="s">
        <v>10703</v>
      </c>
      <c r="C426" s="1126" t="s">
        <v>10650</v>
      </c>
      <c r="D426" s="1119">
        <v>181.12</v>
      </c>
      <c r="E426" s="1120">
        <v>26.48</v>
      </c>
      <c r="F426" s="1121">
        <f t="shared" si="1"/>
        <v>154.64</v>
      </c>
      <c r="G426" s="1120">
        <v>54.19</v>
      </c>
      <c r="H426" s="1127">
        <v>100.45</v>
      </c>
      <c r="I426" s="1127">
        <v>0.0</v>
      </c>
      <c r="J426" s="1127">
        <v>0.0</v>
      </c>
      <c r="K426" s="1124"/>
    </row>
    <row r="427" ht="15.75" customHeight="1">
      <c r="A427" s="1119">
        <v>89035.0</v>
      </c>
      <c r="B427" s="1125" t="s">
        <v>10704</v>
      </c>
      <c r="C427" s="1126" t="s">
        <v>10650</v>
      </c>
      <c r="D427" s="1119">
        <v>117.11</v>
      </c>
      <c r="E427" s="1120">
        <v>26.48</v>
      </c>
      <c r="F427" s="1121">
        <f t="shared" si="1"/>
        <v>90.63</v>
      </c>
      <c r="G427" s="1120">
        <v>57.92</v>
      </c>
      <c r="H427" s="1127">
        <v>32.71</v>
      </c>
      <c r="I427" s="1127">
        <v>0.0</v>
      </c>
      <c r="J427" s="1127">
        <v>0.0</v>
      </c>
      <c r="K427" s="1124"/>
    </row>
    <row r="428" ht="15.75" customHeight="1">
      <c r="A428" s="1119">
        <v>89225.0</v>
      </c>
      <c r="B428" s="1125" t="s">
        <v>10705</v>
      </c>
      <c r="C428" s="1126" t="s">
        <v>10650</v>
      </c>
      <c r="D428" s="1119">
        <v>4.31</v>
      </c>
      <c r="E428" s="1120">
        <v>0.0</v>
      </c>
      <c r="F428" s="1121">
        <f t="shared" si="1"/>
        <v>4.31</v>
      </c>
      <c r="G428" s="1120">
        <v>0.0</v>
      </c>
      <c r="H428" s="1127">
        <v>2.71</v>
      </c>
      <c r="I428" s="1127">
        <v>0.0</v>
      </c>
      <c r="J428" s="1127">
        <v>1.6</v>
      </c>
      <c r="K428" s="1124"/>
    </row>
    <row r="429" ht="15.75" customHeight="1">
      <c r="A429" s="1119">
        <v>89234.0</v>
      </c>
      <c r="B429" s="1125" t="s">
        <v>10706</v>
      </c>
      <c r="C429" s="1126" t="s">
        <v>10650</v>
      </c>
      <c r="D429" s="1119">
        <v>539.52</v>
      </c>
      <c r="E429" s="1120">
        <v>23.98</v>
      </c>
      <c r="F429" s="1121">
        <f t="shared" si="1"/>
        <v>515.54</v>
      </c>
      <c r="G429" s="1120">
        <v>133.77</v>
      </c>
      <c r="H429" s="1127">
        <v>381.77</v>
      </c>
      <c r="I429" s="1127">
        <v>0.0</v>
      </c>
      <c r="J429" s="1127">
        <v>0.0</v>
      </c>
      <c r="K429" s="1124"/>
    </row>
    <row r="430" ht="15.75" customHeight="1">
      <c r="A430" s="1119">
        <v>89242.0</v>
      </c>
      <c r="B430" s="1125" t="s">
        <v>10707</v>
      </c>
      <c r="C430" s="1126" t="s">
        <v>10650</v>
      </c>
      <c r="D430" s="1128">
        <v>1258.56</v>
      </c>
      <c r="E430" s="1120">
        <v>23.98</v>
      </c>
      <c r="F430" s="1121">
        <f t="shared" si="1"/>
        <v>1234.58</v>
      </c>
      <c r="G430" s="1120">
        <v>342.75</v>
      </c>
      <c r="H430" s="1127">
        <v>891.83</v>
      </c>
      <c r="I430" s="1127">
        <v>0.0</v>
      </c>
      <c r="J430" s="1127">
        <v>0.0</v>
      </c>
      <c r="K430" s="1124"/>
    </row>
    <row r="431" ht="15.75" customHeight="1">
      <c r="A431" s="1119">
        <v>89250.0</v>
      </c>
      <c r="B431" s="1125" t="s">
        <v>10708</v>
      </c>
      <c r="C431" s="1126" t="s">
        <v>10650</v>
      </c>
      <c r="D431" s="1128">
        <v>1092.07</v>
      </c>
      <c r="E431" s="1120">
        <v>23.98</v>
      </c>
      <c r="F431" s="1121">
        <f t="shared" si="1"/>
        <v>1068.09</v>
      </c>
      <c r="G431" s="1120">
        <v>293.15</v>
      </c>
      <c r="H431" s="1127">
        <v>774.94</v>
      </c>
      <c r="I431" s="1127">
        <v>0.0</v>
      </c>
      <c r="J431" s="1127">
        <v>0.0</v>
      </c>
      <c r="K431" s="1124"/>
    </row>
    <row r="432" ht="15.75" customHeight="1">
      <c r="A432" s="1119">
        <v>89257.0</v>
      </c>
      <c r="B432" s="1125" t="s">
        <v>10709</v>
      </c>
      <c r="C432" s="1126" t="s">
        <v>10650</v>
      </c>
      <c r="D432" s="1119">
        <v>307.63</v>
      </c>
      <c r="E432" s="1120">
        <v>23.98</v>
      </c>
      <c r="F432" s="1121">
        <f t="shared" si="1"/>
        <v>283.65</v>
      </c>
      <c r="G432" s="1120">
        <v>71.16</v>
      </c>
      <c r="H432" s="1127">
        <v>212.49</v>
      </c>
      <c r="I432" s="1127">
        <v>0.0</v>
      </c>
      <c r="J432" s="1127">
        <v>0.0</v>
      </c>
      <c r="K432" s="1124"/>
    </row>
    <row r="433" ht="15.75" customHeight="1">
      <c r="A433" s="1119">
        <v>89272.0</v>
      </c>
      <c r="B433" s="1125" t="s">
        <v>10710</v>
      </c>
      <c r="C433" s="1126" t="s">
        <v>10650</v>
      </c>
      <c r="D433" s="1119">
        <v>233.35</v>
      </c>
      <c r="E433" s="1120">
        <v>57.16</v>
      </c>
      <c r="F433" s="1121">
        <f t="shared" si="1"/>
        <v>176.19</v>
      </c>
      <c r="G433" s="1120">
        <v>28.75</v>
      </c>
      <c r="H433" s="1127">
        <v>147.44</v>
      </c>
      <c r="I433" s="1127">
        <v>0.0</v>
      </c>
      <c r="J433" s="1127">
        <v>0.0</v>
      </c>
      <c r="K433" s="1124"/>
    </row>
    <row r="434" ht="15.75" customHeight="1">
      <c r="A434" s="1119">
        <v>89278.0</v>
      </c>
      <c r="B434" s="1125" t="s">
        <v>10711</v>
      </c>
      <c r="C434" s="1126" t="s">
        <v>10650</v>
      </c>
      <c r="D434" s="1119">
        <v>9.97</v>
      </c>
      <c r="E434" s="1120">
        <v>0.0</v>
      </c>
      <c r="F434" s="1121">
        <f t="shared" si="1"/>
        <v>9.97</v>
      </c>
      <c r="G434" s="1120">
        <v>6.44</v>
      </c>
      <c r="H434" s="1127">
        <v>3.53</v>
      </c>
      <c r="I434" s="1127">
        <v>0.0</v>
      </c>
      <c r="J434" s="1127">
        <v>0.0</v>
      </c>
      <c r="K434" s="1124"/>
    </row>
    <row r="435" ht="15.75" customHeight="1">
      <c r="A435" s="1119">
        <v>89843.0</v>
      </c>
      <c r="B435" s="1125" t="s">
        <v>10712</v>
      </c>
      <c r="C435" s="1126" t="s">
        <v>10650</v>
      </c>
      <c r="D435" s="1119">
        <v>189.45</v>
      </c>
      <c r="E435" s="1120">
        <v>44.86</v>
      </c>
      <c r="F435" s="1121">
        <f t="shared" si="1"/>
        <v>144.59</v>
      </c>
      <c r="G435" s="1120">
        <v>83.99</v>
      </c>
      <c r="H435" s="1127">
        <v>60.6</v>
      </c>
      <c r="I435" s="1127">
        <v>0.0</v>
      </c>
      <c r="J435" s="1127">
        <v>0.0</v>
      </c>
      <c r="K435" s="1124"/>
    </row>
    <row r="436" ht="15.75" customHeight="1">
      <c r="A436" s="1119">
        <v>89876.0</v>
      </c>
      <c r="B436" s="1125" t="s">
        <v>10713</v>
      </c>
      <c r="C436" s="1126" t="s">
        <v>10650</v>
      </c>
      <c r="D436" s="1119">
        <v>293.51</v>
      </c>
      <c r="E436" s="1120">
        <v>25.8</v>
      </c>
      <c r="F436" s="1121">
        <f t="shared" si="1"/>
        <v>267.71</v>
      </c>
      <c r="G436" s="1120">
        <v>140.77</v>
      </c>
      <c r="H436" s="1127">
        <v>126.94</v>
      </c>
      <c r="I436" s="1127">
        <v>0.0</v>
      </c>
      <c r="J436" s="1127">
        <v>0.0</v>
      </c>
      <c r="K436" s="1124"/>
    </row>
    <row r="437" ht="15.75" customHeight="1">
      <c r="A437" s="1119">
        <v>89883.0</v>
      </c>
      <c r="B437" s="1125" t="s">
        <v>10714</v>
      </c>
      <c r="C437" s="1126" t="s">
        <v>10650</v>
      </c>
      <c r="D437" s="1119">
        <v>322.97</v>
      </c>
      <c r="E437" s="1120">
        <v>25.8</v>
      </c>
      <c r="F437" s="1121">
        <f t="shared" si="1"/>
        <v>297.17</v>
      </c>
      <c r="G437" s="1120">
        <v>161.39</v>
      </c>
      <c r="H437" s="1127">
        <v>135.78</v>
      </c>
      <c r="I437" s="1127">
        <v>0.0</v>
      </c>
      <c r="J437" s="1127">
        <v>0.0</v>
      </c>
      <c r="K437" s="1124"/>
    </row>
    <row r="438" ht="15.75" customHeight="1">
      <c r="A438" s="1119">
        <v>90586.0</v>
      </c>
      <c r="B438" s="1125" t="s">
        <v>10715</v>
      </c>
      <c r="C438" s="1126" t="s">
        <v>10650</v>
      </c>
      <c r="D438" s="1119">
        <v>1.16</v>
      </c>
      <c r="E438" s="1120">
        <v>0.0</v>
      </c>
      <c r="F438" s="1121">
        <f t="shared" si="1"/>
        <v>1.16</v>
      </c>
      <c r="G438" s="1120">
        <v>0.0</v>
      </c>
      <c r="H438" s="1127">
        <v>0.83</v>
      </c>
      <c r="I438" s="1127">
        <v>0.0</v>
      </c>
      <c r="J438" s="1127">
        <v>0.33</v>
      </c>
      <c r="K438" s="1124"/>
    </row>
    <row r="439" ht="15.75" customHeight="1">
      <c r="A439" s="1119">
        <v>90625.0</v>
      </c>
      <c r="B439" s="1125" t="s">
        <v>10716</v>
      </c>
      <c r="C439" s="1126" t="s">
        <v>10650</v>
      </c>
      <c r="D439" s="1119">
        <v>5.93</v>
      </c>
      <c r="E439" s="1120">
        <v>0.0</v>
      </c>
      <c r="F439" s="1121">
        <f t="shared" si="1"/>
        <v>5.93</v>
      </c>
      <c r="G439" s="1120">
        <v>0.0</v>
      </c>
      <c r="H439" s="1127">
        <v>3.93</v>
      </c>
      <c r="I439" s="1127">
        <v>0.0</v>
      </c>
      <c r="J439" s="1127">
        <v>2.0</v>
      </c>
      <c r="K439" s="1124"/>
    </row>
    <row r="440" ht="15.75" customHeight="1">
      <c r="A440" s="1119">
        <v>90631.0</v>
      </c>
      <c r="B440" s="1125" t="s">
        <v>10717</v>
      </c>
      <c r="C440" s="1126" t="s">
        <v>10650</v>
      </c>
      <c r="D440" s="1119">
        <v>149.41</v>
      </c>
      <c r="E440" s="1120">
        <v>24.7</v>
      </c>
      <c r="F440" s="1121">
        <f t="shared" si="1"/>
        <v>124.71</v>
      </c>
      <c r="G440" s="1120">
        <v>6.69</v>
      </c>
      <c r="H440" s="1127">
        <v>117.07</v>
      </c>
      <c r="I440" s="1127">
        <v>0.0</v>
      </c>
      <c r="J440" s="1127">
        <v>0.95</v>
      </c>
      <c r="K440" s="1124"/>
    </row>
    <row r="441" ht="15.75" customHeight="1">
      <c r="A441" s="1119">
        <v>90637.0</v>
      </c>
      <c r="B441" s="1125" t="s">
        <v>10718</v>
      </c>
      <c r="C441" s="1126" t="s">
        <v>10650</v>
      </c>
      <c r="D441" s="1119">
        <v>12.49</v>
      </c>
      <c r="E441" s="1120">
        <v>0.0</v>
      </c>
      <c r="F441" s="1121">
        <f t="shared" si="1"/>
        <v>12.49</v>
      </c>
      <c r="G441" s="1120">
        <v>0.0</v>
      </c>
      <c r="H441" s="1127">
        <v>8.49</v>
      </c>
      <c r="I441" s="1127">
        <v>0.0</v>
      </c>
      <c r="J441" s="1127">
        <v>4.0</v>
      </c>
      <c r="K441" s="1124"/>
    </row>
    <row r="442" ht="15.75" customHeight="1">
      <c r="A442" s="1119">
        <v>90643.0</v>
      </c>
      <c r="B442" s="1125" t="s">
        <v>10719</v>
      </c>
      <c r="C442" s="1126" t="s">
        <v>10650</v>
      </c>
      <c r="D442" s="1119">
        <v>22.23</v>
      </c>
      <c r="E442" s="1120">
        <v>0.0</v>
      </c>
      <c r="F442" s="1121">
        <f t="shared" si="1"/>
        <v>22.23</v>
      </c>
      <c r="G442" s="1120">
        <v>9.55</v>
      </c>
      <c r="H442" s="1127">
        <v>12.68</v>
      </c>
      <c r="I442" s="1127">
        <v>0.0</v>
      </c>
      <c r="J442" s="1127">
        <v>0.0</v>
      </c>
      <c r="K442" s="1124"/>
    </row>
    <row r="443" ht="15.75" customHeight="1">
      <c r="A443" s="1119">
        <v>90650.0</v>
      </c>
      <c r="B443" s="1125" t="s">
        <v>10720</v>
      </c>
      <c r="C443" s="1126" t="s">
        <v>10650</v>
      </c>
      <c r="D443" s="1119">
        <v>7.98</v>
      </c>
      <c r="E443" s="1120">
        <v>0.0</v>
      </c>
      <c r="F443" s="1121">
        <f t="shared" si="1"/>
        <v>7.98</v>
      </c>
      <c r="G443" s="1120">
        <v>0.0</v>
      </c>
      <c r="H443" s="1127">
        <v>1.8</v>
      </c>
      <c r="I443" s="1127">
        <v>0.0</v>
      </c>
      <c r="J443" s="1127">
        <v>6.18</v>
      </c>
      <c r="K443" s="1124"/>
    </row>
    <row r="444" ht="15.75" customHeight="1">
      <c r="A444" s="1119">
        <v>90656.0</v>
      </c>
      <c r="B444" s="1125" t="s">
        <v>10721</v>
      </c>
      <c r="C444" s="1126" t="s">
        <v>10650</v>
      </c>
      <c r="D444" s="1119">
        <v>12.31</v>
      </c>
      <c r="E444" s="1120">
        <v>0.0</v>
      </c>
      <c r="F444" s="1121">
        <f t="shared" si="1"/>
        <v>12.31</v>
      </c>
      <c r="G444" s="1120">
        <v>0.0</v>
      </c>
      <c r="H444" s="1127">
        <v>8.25</v>
      </c>
      <c r="I444" s="1127">
        <v>0.0</v>
      </c>
      <c r="J444" s="1127">
        <v>4.06</v>
      </c>
      <c r="K444" s="1124"/>
    </row>
    <row r="445" ht="15.75" customHeight="1">
      <c r="A445" s="1119">
        <v>90662.0</v>
      </c>
      <c r="B445" s="1125" t="s">
        <v>10722</v>
      </c>
      <c r="C445" s="1126" t="s">
        <v>10650</v>
      </c>
      <c r="D445" s="1119">
        <v>12.89</v>
      </c>
      <c r="E445" s="1120">
        <v>0.0</v>
      </c>
      <c r="F445" s="1121">
        <f t="shared" si="1"/>
        <v>12.89</v>
      </c>
      <c r="G445" s="1120">
        <v>0.0</v>
      </c>
      <c r="H445" s="1127">
        <v>8.83</v>
      </c>
      <c r="I445" s="1127">
        <v>0.0</v>
      </c>
      <c r="J445" s="1127">
        <v>4.06</v>
      </c>
      <c r="K445" s="1124"/>
    </row>
    <row r="446" ht="15.75" customHeight="1">
      <c r="A446" s="1119">
        <v>90668.0</v>
      </c>
      <c r="B446" s="1125" t="s">
        <v>10723</v>
      </c>
      <c r="C446" s="1126" t="s">
        <v>10650</v>
      </c>
      <c r="D446" s="1119">
        <v>26.67</v>
      </c>
      <c r="E446" s="1120">
        <v>0.0</v>
      </c>
      <c r="F446" s="1121">
        <f t="shared" si="1"/>
        <v>26.67</v>
      </c>
      <c r="G446" s="1120">
        <v>11.38</v>
      </c>
      <c r="H446" s="1127">
        <v>15.29</v>
      </c>
      <c r="I446" s="1127">
        <v>0.0</v>
      </c>
      <c r="J446" s="1127">
        <v>0.0</v>
      </c>
      <c r="K446" s="1124"/>
    </row>
    <row r="447" ht="15.75" customHeight="1">
      <c r="A447" s="1119">
        <v>90674.0</v>
      </c>
      <c r="B447" s="1125" t="s">
        <v>10724</v>
      </c>
      <c r="C447" s="1126" t="s">
        <v>10650</v>
      </c>
      <c r="D447" s="1119">
        <v>660.05</v>
      </c>
      <c r="E447" s="1120">
        <v>24.7</v>
      </c>
      <c r="F447" s="1121">
        <f t="shared" si="1"/>
        <v>635.35</v>
      </c>
      <c r="G447" s="1120">
        <v>97.64</v>
      </c>
      <c r="H447" s="1127">
        <v>537.71</v>
      </c>
      <c r="I447" s="1127">
        <v>0.0</v>
      </c>
      <c r="J447" s="1127">
        <v>0.0</v>
      </c>
      <c r="K447" s="1124"/>
    </row>
    <row r="448" ht="15.75" customHeight="1">
      <c r="A448" s="1119">
        <v>90680.0</v>
      </c>
      <c r="B448" s="1125" t="s">
        <v>10725</v>
      </c>
      <c r="C448" s="1126" t="s">
        <v>10650</v>
      </c>
      <c r="D448" s="1119">
        <v>393.44</v>
      </c>
      <c r="E448" s="1120">
        <v>24.7</v>
      </c>
      <c r="F448" s="1121">
        <f t="shared" si="1"/>
        <v>368.74</v>
      </c>
      <c r="G448" s="1120">
        <v>76.44</v>
      </c>
      <c r="H448" s="1127">
        <v>292.3</v>
      </c>
      <c r="I448" s="1127">
        <v>0.0</v>
      </c>
      <c r="J448" s="1127">
        <v>0.0</v>
      </c>
      <c r="K448" s="1124"/>
    </row>
    <row r="449" ht="15.75" customHeight="1">
      <c r="A449" s="1119">
        <v>90686.0</v>
      </c>
      <c r="B449" s="1125" t="s">
        <v>10726</v>
      </c>
      <c r="C449" s="1126" t="s">
        <v>10650</v>
      </c>
      <c r="D449" s="1119">
        <v>146.33</v>
      </c>
      <c r="E449" s="1120">
        <v>23.57</v>
      </c>
      <c r="F449" s="1121">
        <f t="shared" si="1"/>
        <v>122.76</v>
      </c>
      <c r="G449" s="1120">
        <v>49.96</v>
      </c>
      <c r="H449" s="1127">
        <v>72.8</v>
      </c>
      <c r="I449" s="1127">
        <v>0.0</v>
      </c>
      <c r="J449" s="1127">
        <v>0.0</v>
      </c>
      <c r="K449" s="1124"/>
    </row>
    <row r="450" ht="15.75" customHeight="1">
      <c r="A450" s="1119">
        <v>90692.0</v>
      </c>
      <c r="B450" s="1125" t="s">
        <v>10727</v>
      </c>
      <c r="C450" s="1126" t="s">
        <v>10650</v>
      </c>
      <c r="D450" s="1119">
        <v>112.28</v>
      </c>
      <c r="E450" s="1120">
        <v>23.57</v>
      </c>
      <c r="F450" s="1121">
        <f t="shared" si="1"/>
        <v>88.71</v>
      </c>
      <c r="G450" s="1120">
        <v>36.99</v>
      </c>
      <c r="H450" s="1127">
        <v>51.72</v>
      </c>
      <c r="I450" s="1127">
        <v>0.0</v>
      </c>
      <c r="J450" s="1127">
        <v>0.0</v>
      </c>
      <c r="K450" s="1124"/>
    </row>
    <row r="451" ht="15.75" customHeight="1">
      <c r="A451" s="1119">
        <v>90964.0</v>
      </c>
      <c r="B451" s="1125" t="s">
        <v>10728</v>
      </c>
      <c r="C451" s="1126" t="s">
        <v>10650</v>
      </c>
      <c r="D451" s="1119">
        <v>25.9</v>
      </c>
      <c r="E451" s="1120">
        <v>0.0</v>
      </c>
      <c r="F451" s="1121">
        <f t="shared" si="1"/>
        <v>25.9</v>
      </c>
      <c r="G451" s="1120">
        <v>11.37</v>
      </c>
      <c r="H451" s="1127">
        <v>14.53</v>
      </c>
      <c r="I451" s="1127">
        <v>0.0</v>
      </c>
      <c r="J451" s="1127">
        <v>0.0</v>
      </c>
      <c r="K451" s="1124"/>
    </row>
    <row r="452" ht="15.75" customHeight="1">
      <c r="A452" s="1119">
        <v>90972.0</v>
      </c>
      <c r="B452" s="1125" t="s">
        <v>10729</v>
      </c>
      <c r="C452" s="1126" t="s">
        <v>10650</v>
      </c>
      <c r="D452" s="1119">
        <v>60.66</v>
      </c>
      <c r="E452" s="1120">
        <v>0.0</v>
      </c>
      <c r="F452" s="1121">
        <f t="shared" si="1"/>
        <v>60.66</v>
      </c>
      <c r="G452" s="1120">
        <v>46.09</v>
      </c>
      <c r="H452" s="1127">
        <v>14.57</v>
      </c>
      <c r="I452" s="1127">
        <v>0.0</v>
      </c>
      <c r="J452" s="1127">
        <v>0.0</v>
      </c>
      <c r="K452" s="1124"/>
    </row>
    <row r="453" ht="15.75" customHeight="1">
      <c r="A453" s="1119">
        <v>90979.0</v>
      </c>
      <c r="B453" s="1125" t="s">
        <v>10730</v>
      </c>
      <c r="C453" s="1126" t="s">
        <v>10650</v>
      </c>
      <c r="D453" s="1119">
        <v>156.59</v>
      </c>
      <c r="E453" s="1120">
        <v>0.0</v>
      </c>
      <c r="F453" s="1121">
        <f t="shared" si="1"/>
        <v>156.59</v>
      </c>
      <c r="G453" s="1120">
        <v>119.57</v>
      </c>
      <c r="H453" s="1127">
        <v>37.02</v>
      </c>
      <c r="I453" s="1127">
        <v>0.0</v>
      </c>
      <c r="J453" s="1127">
        <v>0.0</v>
      </c>
      <c r="K453" s="1124"/>
    </row>
    <row r="454" ht="15.75" customHeight="1">
      <c r="A454" s="1119">
        <v>90991.0</v>
      </c>
      <c r="B454" s="1125" t="s">
        <v>10731</v>
      </c>
      <c r="C454" s="1126" t="s">
        <v>10650</v>
      </c>
      <c r="D454" s="1119">
        <v>189.96</v>
      </c>
      <c r="E454" s="1120">
        <v>25.12</v>
      </c>
      <c r="F454" s="1121">
        <f t="shared" si="1"/>
        <v>164.84</v>
      </c>
      <c r="G454" s="1120">
        <v>55.23</v>
      </c>
      <c r="H454" s="1127">
        <v>109.61</v>
      </c>
      <c r="I454" s="1127">
        <v>0.0</v>
      </c>
      <c r="J454" s="1127">
        <v>0.0</v>
      </c>
      <c r="K454" s="1124"/>
    </row>
    <row r="455" ht="15.75" customHeight="1">
      <c r="A455" s="1119">
        <v>90999.0</v>
      </c>
      <c r="B455" s="1125" t="s">
        <v>10732</v>
      </c>
      <c r="C455" s="1126" t="s">
        <v>10650</v>
      </c>
      <c r="D455" s="1119">
        <v>79.88</v>
      </c>
      <c r="E455" s="1120">
        <v>0.0</v>
      </c>
      <c r="F455" s="1121">
        <f t="shared" si="1"/>
        <v>79.88</v>
      </c>
      <c r="G455" s="1120">
        <v>62.6</v>
      </c>
      <c r="H455" s="1127">
        <v>17.28</v>
      </c>
      <c r="I455" s="1127">
        <v>0.0</v>
      </c>
      <c r="J455" s="1127">
        <v>0.0</v>
      </c>
      <c r="K455" s="1124"/>
    </row>
    <row r="456" ht="15.75" customHeight="1">
      <c r="A456" s="1119">
        <v>91031.0</v>
      </c>
      <c r="B456" s="1125" t="s">
        <v>10733</v>
      </c>
      <c r="C456" s="1126" t="s">
        <v>10650</v>
      </c>
      <c r="D456" s="1119">
        <v>226.38</v>
      </c>
      <c r="E456" s="1120">
        <v>24.84</v>
      </c>
      <c r="F456" s="1121">
        <f t="shared" si="1"/>
        <v>201.54</v>
      </c>
      <c r="G456" s="1120">
        <v>118.25</v>
      </c>
      <c r="H456" s="1127">
        <v>83.29</v>
      </c>
      <c r="I456" s="1127">
        <v>0.0</v>
      </c>
      <c r="J456" s="1127">
        <v>0.0</v>
      </c>
      <c r="K456" s="1124"/>
    </row>
    <row r="457" ht="15.75" customHeight="1">
      <c r="A457" s="1119">
        <v>91277.0</v>
      </c>
      <c r="B457" s="1125" t="s">
        <v>10734</v>
      </c>
      <c r="C457" s="1126" t="s">
        <v>10650</v>
      </c>
      <c r="D457" s="1119">
        <v>9.18</v>
      </c>
      <c r="E457" s="1120">
        <v>0.0</v>
      </c>
      <c r="F457" s="1121">
        <f t="shared" si="1"/>
        <v>9.18</v>
      </c>
      <c r="G457" s="1120">
        <v>8.1</v>
      </c>
      <c r="H457" s="1127">
        <v>1.08</v>
      </c>
      <c r="I457" s="1127">
        <v>0.0</v>
      </c>
      <c r="J457" s="1127">
        <v>0.0</v>
      </c>
      <c r="K457" s="1124"/>
    </row>
    <row r="458" ht="15.75" customHeight="1">
      <c r="A458" s="1119">
        <v>91283.0</v>
      </c>
      <c r="B458" s="1125" t="s">
        <v>10735</v>
      </c>
      <c r="C458" s="1126" t="s">
        <v>10650</v>
      </c>
      <c r="D458" s="1119">
        <v>10.28</v>
      </c>
      <c r="E458" s="1120">
        <v>0.0</v>
      </c>
      <c r="F458" s="1121">
        <f t="shared" si="1"/>
        <v>10.28</v>
      </c>
      <c r="G458" s="1120">
        <v>8.16</v>
      </c>
      <c r="H458" s="1127">
        <v>2.12</v>
      </c>
      <c r="I458" s="1127">
        <v>0.0</v>
      </c>
      <c r="J458" s="1127">
        <v>0.0</v>
      </c>
      <c r="K458" s="1124"/>
    </row>
    <row r="459" ht="15.75" customHeight="1">
      <c r="A459" s="1119">
        <v>91386.0</v>
      </c>
      <c r="B459" s="1125" t="s">
        <v>10736</v>
      </c>
      <c r="C459" s="1126" t="s">
        <v>10650</v>
      </c>
      <c r="D459" s="1119">
        <v>238.15</v>
      </c>
      <c r="E459" s="1120">
        <v>25.8</v>
      </c>
      <c r="F459" s="1121">
        <f t="shared" si="1"/>
        <v>212.35</v>
      </c>
      <c r="G459" s="1120">
        <v>114.52</v>
      </c>
      <c r="H459" s="1127">
        <v>97.83</v>
      </c>
      <c r="I459" s="1127">
        <v>0.0</v>
      </c>
      <c r="J459" s="1127">
        <v>0.0</v>
      </c>
      <c r="K459" s="1124"/>
    </row>
    <row r="460" ht="15.75" customHeight="1">
      <c r="A460" s="1119">
        <v>91533.0</v>
      </c>
      <c r="B460" s="1125" t="s">
        <v>10737</v>
      </c>
      <c r="C460" s="1126" t="s">
        <v>10650</v>
      </c>
      <c r="D460" s="1119">
        <v>38.78</v>
      </c>
      <c r="E460" s="1120">
        <v>24.7</v>
      </c>
      <c r="F460" s="1121">
        <f t="shared" si="1"/>
        <v>14.08</v>
      </c>
      <c r="G460" s="1120">
        <v>12.48</v>
      </c>
      <c r="H460" s="1127">
        <v>1.6</v>
      </c>
      <c r="I460" s="1127">
        <v>0.0</v>
      </c>
      <c r="J460" s="1127">
        <v>0.0</v>
      </c>
      <c r="K460" s="1124"/>
    </row>
    <row r="461" ht="15.75" customHeight="1">
      <c r="A461" s="1119">
        <v>91634.0</v>
      </c>
      <c r="B461" s="1125" t="s">
        <v>10738</v>
      </c>
      <c r="C461" s="1126" t="s">
        <v>10650</v>
      </c>
      <c r="D461" s="1119">
        <v>204.38</v>
      </c>
      <c r="E461" s="1120">
        <v>28.18</v>
      </c>
      <c r="F461" s="1121">
        <f t="shared" si="1"/>
        <v>176.2</v>
      </c>
      <c r="G461" s="1120">
        <v>108.47</v>
      </c>
      <c r="H461" s="1127">
        <v>67.73</v>
      </c>
      <c r="I461" s="1127">
        <v>0.0</v>
      </c>
      <c r="J461" s="1127">
        <v>0.0</v>
      </c>
      <c r="K461" s="1124"/>
    </row>
    <row r="462" ht="15.75" customHeight="1">
      <c r="A462" s="1119">
        <v>91645.0</v>
      </c>
      <c r="B462" s="1125" t="s">
        <v>10739</v>
      </c>
      <c r="C462" s="1126" t="s">
        <v>10650</v>
      </c>
      <c r="D462" s="1119">
        <v>396.1</v>
      </c>
      <c r="E462" s="1120">
        <v>30.88</v>
      </c>
      <c r="F462" s="1121">
        <f t="shared" si="1"/>
        <v>365.22</v>
      </c>
      <c r="G462" s="1120">
        <v>235.73</v>
      </c>
      <c r="H462" s="1127">
        <v>129.49</v>
      </c>
      <c r="I462" s="1127">
        <v>0.0</v>
      </c>
      <c r="J462" s="1127">
        <v>0.0</v>
      </c>
      <c r="K462" s="1124"/>
    </row>
    <row r="463" ht="15.75" customHeight="1">
      <c r="A463" s="1119">
        <v>91692.0</v>
      </c>
      <c r="B463" s="1125" t="s">
        <v>10740</v>
      </c>
      <c r="C463" s="1126" t="s">
        <v>10650</v>
      </c>
      <c r="D463" s="1119">
        <v>32.44</v>
      </c>
      <c r="E463" s="1120">
        <v>24.7</v>
      </c>
      <c r="F463" s="1121">
        <f t="shared" si="1"/>
        <v>7.74</v>
      </c>
      <c r="G463" s="1120">
        <v>6.69</v>
      </c>
      <c r="H463" s="1127">
        <v>0.18</v>
      </c>
      <c r="I463" s="1127">
        <v>0.0</v>
      </c>
      <c r="J463" s="1127">
        <v>0.87</v>
      </c>
      <c r="K463" s="1124"/>
    </row>
    <row r="464" ht="15.75" customHeight="1">
      <c r="A464" s="1119">
        <v>92043.0</v>
      </c>
      <c r="B464" s="1125" t="s">
        <v>10741</v>
      </c>
      <c r="C464" s="1126" t="s">
        <v>10650</v>
      </c>
      <c r="D464" s="1119">
        <v>12.54</v>
      </c>
      <c r="E464" s="1120">
        <v>0.0</v>
      </c>
      <c r="F464" s="1121">
        <f t="shared" si="1"/>
        <v>12.54</v>
      </c>
      <c r="G464" s="1120">
        <v>0.0</v>
      </c>
      <c r="H464" s="1127">
        <v>12.54</v>
      </c>
      <c r="I464" s="1127">
        <v>0.0</v>
      </c>
      <c r="J464" s="1127">
        <v>0.0</v>
      </c>
      <c r="K464" s="1124"/>
    </row>
    <row r="465" ht="15.75" customHeight="1">
      <c r="A465" s="1119">
        <v>92106.0</v>
      </c>
      <c r="B465" s="1125" t="s">
        <v>10742</v>
      </c>
      <c r="C465" s="1126" t="s">
        <v>10650</v>
      </c>
      <c r="D465" s="1119">
        <v>286.82</v>
      </c>
      <c r="E465" s="1120">
        <v>24.84</v>
      </c>
      <c r="F465" s="1121">
        <f t="shared" si="1"/>
        <v>261.98</v>
      </c>
      <c r="G465" s="1120">
        <v>140.77</v>
      </c>
      <c r="H465" s="1127">
        <v>121.21</v>
      </c>
      <c r="I465" s="1127">
        <v>0.0</v>
      </c>
      <c r="J465" s="1127">
        <v>0.0</v>
      </c>
      <c r="K465" s="1124"/>
    </row>
    <row r="466" ht="15.75" customHeight="1">
      <c r="A466" s="1119">
        <v>92112.0</v>
      </c>
      <c r="B466" s="1125" t="s">
        <v>10743</v>
      </c>
      <c r="C466" s="1126" t="s">
        <v>10650</v>
      </c>
      <c r="D466" s="1119">
        <v>2.9</v>
      </c>
      <c r="E466" s="1120">
        <v>0.0</v>
      </c>
      <c r="F466" s="1121">
        <f t="shared" si="1"/>
        <v>2.9</v>
      </c>
      <c r="G466" s="1120">
        <v>0.0</v>
      </c>
      <c r="H466" s="1127">
        <v>2.1</v>
      </c>
      <c r="I466" s="1127">
        <v>0.0</v>
      </c>
      <c r="J466" s="1127">
        <v>0.8</v>
      </c>
      <c r="K466" s="1124"/>
    </row>
    <row r="467" ht="15.75" customHeight="1">
      <c r="A467" s="1119">
        <v>92118.0</v>
      </c>
      <c r="B467" s="1125" t="s">
        <v>10744</v>
      </c>
      <c r="C467" s="1126" t="s">
        <v>10650</v>
      </c>
      <c r="D467" s="1119">
        <v>0.4</v>
      </c>
      <c r="E467" s="1120">
        <v>0.0</v>
      </c>
      <c r="F467" s="1121">
        <f t="shared" si="1"/>
        <v>0.4</v>
      </c>
      <c r="G467" s="1120">
        <v>0.0</v>
      </c>
      <c r="H467" s="1127">
        <v>0.4</v>
      </c>
      <c r="I467" s="1127">
        <v>0.0</v>
      </c>
      <c r="J467" s="1127">
        <v>0.0</v>
      </c>
      <c r="K467" s="1124"/>
    </row>
    <row r="468" ht="15.75" customHeight="1">
      <c r="A468" s="1119">
        <v>92138.0</v>
      </c>
      <c r="B468" s="1125" t="s">
        <v>10745</v>
      </c>
      <c r="C468" s="1126" t="s">
        <v>10650</v>
      </c>
      <c r="D468" s="1119">
        <v>89.25</v>
      </c>
      <c r="E468" s="1120">
        <v>22.04</v>
      </c>
      <c r="F468" s="1121">
        <f t="shared" si="1"/>
        <v>67.21</v>
      </c>
      <c r="G468" s="1120">
        <v>33.48</v>
      </c>
      <c r="H468" s="1127">
        <v>33.73</v>
      </c>
      <c r="I468" s="1127">
        <v>0.0</v>
      </c>
      <c r="J468" s="1127">
        <v>0.0</v>
      </c>
      <c r="K468" s="1124"/>
    </row>
    <row r="469" ht="15.75" customHeight="1">
      <c r="A469" s="1119">
        <v>92145.0</v>
      </c>
      <c r="B469" s="1125" t="s">
        <v>10746</v>
      </c>
      <c r="C469" s="1126" t="s">
        <v>10650</v>
      </c>
      <c r="D469" s="1119">
        <v>78.75</v>
      </c>
      <c r="E469" s="1120">
        <v>22.04</v>
      </c>
      <c r="F469" s="1121">
        <f t="shared" si="1"/>
        <v>56.71</v>
      </c>
      <c r="G469" s="1120">
        <v>44.35</v>
      </c>
      <c r="H469" s="1127">
        <v>12.36</v>
      </c>
      <c r="I469" s="1127">
        <v>0.0</v>
      </c>
      <c r="J469" s="1127">
        <v>0.0</v>
      </c>
      <c r="K469" s="1124"/>
    </row>
    <row r="470" ht="15.75" customHeight="1">
      <c r="A470" s="1119">
        <v>92242.0</v>
      </c>
      <c r="B470" s="1125" t="s">
        <v>10747</v>
      </c>
      <c r="C470" s="1126" t="s">
        <v>10650</v>
      </c>
      <c r="D470" s="1119">
        <v>341.66</v>
      </c>
      <c r="E470" s="1120">
        <v>30.88</v>
      </c>
      <c r="F470" s="1121">
        <f t="shared" si="1"/>
        <v>310.78</v>
      </c>
      <c r="G470" s="1120">
        <v>216.67</v>
      </c>
      <c r="H470" s="1127">
        <v>94.11</v>
      </c>
      <c r="I470" s="1127">
        <v>0.0</v>
      </c>
      <c r="J470" s="1127">
        <v>0.0</v>
      </c>
      <c r="K470" s="1124"/>
    </row>
    <row r="471" ht="15.75" customHeight="1">
      <c r="A471" s="1119">
        <v>92716.0</v>
      </c>
      <c r="B471" s="1125" t="s">
        <v>10748</v>
      </c>
      <c r="C471" s="1126" t="s">
        <v>10650</v>
      </c>
      <c r="D471" s="1119">
        <v>88.49</v>
      </c>
      <c r="E471" s="1120">
        <v>0.0</v>
      </c>
      <c r="F471" s="1121">
        <f t="shared" si="1"/>
        <v>88.49</v>
      </c>
      <c r="G471" s="1120">
        <v>88.07</v>
      </c>
      <c r="H471" s="1127">
        <v>0.42</v>
      </c>
      <c r="I471" s="1127">
        <v>0.0</v>
      </c>
      <c r="J471" s="1127">
        <v>0.0</v>
      </c>
      <c r="K471" s="1124"/>
    </row>
    <row r="472" ht="15.75" customHeight="1">
      <c r="A472" s="1119">
        <v>92960.0</v>
      </c>
      <c r="B472" s="1125" t="s">
        <v>10749</v>
      </c>
      <c r="C472" s="1126" t="s">
        <v>10650</v>
      </c>
      <c r="D472" s="1119">
        <v>16.7</v>
      </c>
      <c r="E472" s="1120">
        <v>0.0</v>
      </c>
      <c r="F472" s="1121">
        <f t="shared" si="1"/>
        <v>16.7</v>
      </c>
      <c r="G472" s="1120">
        <v>7.05</v>
      </c>
      <c r="H472" s="1127">
        <v>9.65</v>
      </c>
      <c r="I472" s="1127">
        <v>0.0</v>
      </c>
      <c r="J472" s="1127">
        <v>0.0</v>
      </c>
      <c r="K472" s="1124"/>
    </row>
    <row r="473" ht="15.75" customHeight="1">
      <c r="A473" s="1119">
        <v>92966.0</v>
      </c>
      <c r="B473" s="1125" t="s">
        <v>10750</v>
      </c>
      <c r="C473" s="1126" t="s">
        <v>10650</v>
      </c>
      <c r="D473" s="1119">
        <v>29.52</v>
      </c>
      <c r="E473" s="1120">
        <v>19.8</v>
      </c>
      <c r="F473" s="1121">
        <f t="shared" si="1"/>
        <v>9.72</v>
      </c>
      <c r="G473" s="1120">
        <v>6.69</v>
      </c>
      <c r="H473" s="1127">
        <v>3.03</v>
      </c>
      <c r="I473" s="1127">
        <v>0.0</v>
      </c>
      <c r="J473" s="1127">
        <v>0.0</v>
      </c>
      <c r="K473" s="1124"/>
    </row>
    <row r="474" ht="15.75" customHeight="1">
      <c r="A474" s="1119">
        <v>93224.0</v>
      </c>
      <c r="B474" s="1125" t="s">
        <v>10751</v>
      </c>
      <c r="C474" s="1126" t="s">
        <v>10650</v>
      </c>
      <c r="D474" s="1119">
        <v>986.32</v>
      </c>
      <c r="E474" s="1120">
        <v>24.7</v>
      </c>
      <c r="F474" s="1121">
        <f t="shared" si="1"/>
        <v>961.62</v>
      </c>
      <c r="G474" s="1120">
        <v>125.49</v>
      </c>
      <c r="H474" s="1127">
        <v>836.13</v>
      </c>
      <c r="I474" s="1127">
        <v>0.0</v>
      </c>
      <c r="J474" s="1127">
        <v>0.0</v>
      </c>
      <c r="K474" s="1124"/>
    </row>
    <row r="475" ht="15.75" customHeight="1">
      <c r="A475" s="1119">
        <v>93233.0</v>
      </c>
      <c r="B475" s="1125" t="s">
        <v>10752</v>
      </c>
      <c r="C475" s="1126" t="s">
        <v>10650</v>
      </c>
      <c r="D475" s="1119">
        <v>5.22</v>
      </c>
      <c r="E475" s="1120">
        <v>0.0</v>
      </c>
      <c r="F475" s="1121">
        <f t="shared" si="1"/>
        <v>5.22</v>
      </c>
      <c r="G475" s="1120">
        <v>4.33</v>
      </c>
      <c r="H475" s="1127">
        <v>0.89</v>
      </c>
      <c r="I475" s="1127">
        <v>0.0</v>
      </c>
      <c r="J475" s="1127">
        <v>0.0</v>
      </c>
      <c r="K475" s="1124"/>
    </row>
    <row r="476" ht="15.75" customHeight="1">
      <c r="A476" s="1119">
        <v>93272.0</v>
      </c>
      <c r="B476" s="1125" t="s">
        <v>10753</v>
      </c>
      <c r="C476" s="1126" t="s">
        <v>10650</v>
      </c>
      <c r="D476" s="1119">
        <v>134.58</v>
      </c>
      <c r="E476" s="1120">
        <v>57.16</v>
      </c>
      <c r="F476" s="1121">
        <f t="shared" si="1"/>
        <v>77.42</v>
      </c>
      <c r="G476" s="1120">
        <v>6.69</v>
      </c>
      <c r="H476" s="1127">
        <v>64.75</v>
      </c>
      <c r="I476" s="1127">
        <v>0.0</v>
      </c>
      <c r="J476" s="1127">
        <v>5.98</v>
      </c>
      <c r="K476" s="1124"/>
    </row>
    <row r="477" ht="15.75" customHeight="1">
      <c r="A477" s="1119">
        <v>93281.0</v>
      </c>
      <c r="B477" s="1125" t="s">
        <v>10754</v>
      </c>
      <c r="C477" s="1126" t="s">
        <v>10650</v>
      </c>
      <c r="D477" s="1119">
        <v>30.96</v>
      </c>
      <c r="E477" s="1120">
        <v>23.17</v>
      </c>
      <c r="F477" s="1121">
        <f t="shared" si="1"/>
        <v>7.79</v>
      </c>
      <c r="G477" s="1120">
        <v>6.69</v>
      </c>
      <c r="H477" s="1127">
        <v>0.61</v>
      </c>
      <c r="I477" s="1127">
        <v>0.0</v>
      </c>
      <c r="J477" s="1127">
        <v>0.49</v>
      </c>
      <c r="K477" s="1124"/>
    </row>
    <row r="478" ht="15.75" customHeight="1">
      <c r="A478" s="1119">
        <v>93287.0</v>
      </c>
      <c r="B478" s="1125" t="s">
        <v>10755</v>
      </c>
      <c r="C478" s="1126" t="s">
        <v>10650</v>
      </c>
      <c r="D478" s="1119">
        <v>355.73</v>
      </c>
      <c r="E478" s="1120">
        <v>57.16</v>
      </c>
      <c r="F478" s="1121">
        <f t="shared" si="1"/>
        <v>298.57</v>
      </c>
      <c r="G478" s="1120">
        <v>6.69</v>
      </c>
      <c r="H478" s="1127">
        <v>283.56</v>
      </c>
      <c r="I478" s="1127">
        <v>0.0</v>
      </c>
      <c r="J478" s="1127">
        <v>8.32</v>
      </c>
      <c r="K478" s="1124"/>
    </row>
    <row r="479" ht="15.75" customHeight="1">
      <c r="A479" s="1119">
        <v>93402.0</v>
      </c>
      <c r="B479" s="1125" t="s">
        <v>10756</v>
      </c>
      <c r="C479" s="1126" t="s">
        <v>10650</v>
      </c>
      <c r="D479" s="1119">
        <v>234.32</v>
      </c>
      <c r="E479" s="1120">
        <v>28.18</v>
      </c>
      <c r="F479" s="1121">
        <f t="shared" si="1"/>
        <v>206.14</v>
      </c>
      <c r="G479" s="1120">
        <v>126.94</v>
      </c>
      <c r="H479" s="1127">
        <v>79.2</v>
      </c>
      <c r="I479" s="1127">
        <v>0.0</v>
      </c>
      <c r="J479" s="1127">
        <v>0.0</v>
      </c>
      <c r="K479" s="1124"/>
    </row>
    <row r="480" ht="15.75" customHeight="1">
      <c r="A480" s="1119">
        <v>93408.0</v>
      </c>
      <c r="B480" s="1125" t="s">
        <v>10757</v>
      </c>
      <c r="C480" s="1126" t="s">
        <v>10650</v>
      </c>
      <c r="D480" s="1119">
        <v>80.84</v>
      </c>
      <c r="E480" s="1120">
        <v>22.48</v>
      </c>
      <c r="F480" s="1121">
        <f t="shared" si="1"/>
        <v>58.36</v>
      </c>
      <c r="G480" s="1120">
        <v>42.55</v>
      </c>
      <c r="H480" s="1127">
        <v>15.81</v>
      </c>
      <c r="I480" s="1127">
        <v>0.0</v>
      </c>
      <c r="J480" s="1127">
        <v>0.0</v>
      </c>
      <c r="K480" s="1124"/>
    </row>
    <row r="481" ht="15.75" customHeight="1">
      <c r="A481" s="1119">
        <v>93415.0</v>
      </c>
      <c r="B481" s="1125" t="s">
        <v>10758</v>
      </c>
      <c r="C481" s="1126" t="s">
        <v>10650</v>
      </c>
      <c r="D481" s="1119">
        <v>14.56</v>
      </c>
      <c r="E481" s="1120">
        <v>0.0</v>
      </c>
      <c r="F481" s="1121">
        <f t="shared" si="1"/>
        <v>14.56</v>
      </c>
      <c r="G481" s="1120">
        <v>14.01</v>
      </c>
      <c r="H481" s="1127">
        <v>0.55</v>
      </c>
      <c r="I481" s="1127">
        <v>0.0</v>
      </c>
      <c r="J481" s="1127">
        <v>0.0</v>
      </c>
      <c r="K481" s="1124"/>
    </row>
    <row r="482" ht="15.75" customHeight="1">
      <c r="A482" s="1119">
        <v>93421.0</v>
      </c>
      <c r="B482" s="1125" t="s">
        <v>10759</v>
      </c>
      <c r="C482" s="1126" t="s">
        <v>10650</v>
      </c>
      <c r="D482" s="1119">
        <v>58.33</v>
      </c>
      <c r="E482" s="1120">
        <v>0.0</v>
      </c>
      <c r="F482" s="1121">
        <f t="shared" si="1"/>
        <v>58.33</v>
      </c>
      <c r="G482" s="1120">
        <v>51.0</v>
      </c>
      <c r="H482" s="1127">
        <v>7.33</v>
      </c>
      <c r="I482" s="1127">
        <v>0.0</v>
      </c>
      <c r="J482" s="1127">
        <v>0.0</v>
      </c>
      <c r="K482" s="1124"/>
    </row>
    <row r="483" ht="15.75" customHeight="1">
      <c r="A483" s="1119">
        <v>93427.0</v>
      </c>
      <c r="B483" s="1125" t="s">
        <v>10760</v>
      </c>
      <c r="C483" s="1126" t="s">
        <v>10650</v>
      </c>
      <c r="D483" s="1119">
        <v>132.27</v>
      </c>
      <c r="E483" s="1120">
        <v>0.0</v>
      </c>
      <c r="F483" s="1121">
        <f t="shared" si="1"/>
        <v>132.27</v>
      </c>
      <c r="G483" s="1120">
        <v>121.89</v>
      </c>
      <c r="H483" s="1127">
        <v>10.38</v>
      </c>
      <c r="I483" s="1127">
        <v>0.0</v>
      </c>
      <c r="J483" s="1127">
        <v>0.0</v>
      </c>
      <c r="K483" s="1124"/>
    </row>
    <row r="484" ht="15.75" customHeight="1">
      <c r="A484" s="1119">
        <v>93433.0</v>
      </c>
      <c r="B484" s="1125" t="s">
        <v>10761</v>
      </c>
      <c r="C484" s="1126" t="s">
        <v>10650</v>
      </c>
      <c r="D484" s="1128">
        <v>2116.06</v>
      </c>
      <c r="E484" s="1120">
        <v>90.26</v>
      </c>
      <c r="F484" s="1121">
        <f t="shared" si="1"/>
        <v>2025.8</v>
      </c>
      <c r="G484" s="1120">
        <v>1675.49</v>
      </c>
      <c r="H484" s="1127">
        <v>350.31</v>
      </c>
      <c r="I484" s="1127">
        <v>0.0</v>
      </c>
      <c r="J484" s="1127">
        <v>0.0</v>
      </c>
      <c r="K484" s="1124"/>
    </row>
    <row r="485" ht="15.75" customHeight="1">
      <c r="A485" s="1119">
        <v>93439.0</v>
      </c>
      <c r="B485" s="1125" t="s">
        <v>10762</v>
      </c>
      <c r="C485" s="1126" t="s">
        <v>10650</v>
      </c>
      <c r="D485" s="1119">
        <v>233.41</v>
      </c>
      <c r="E485" s="1120">
        <v>90.26</v>
      </c>
      <c r="F485" s="1121">
        <f t="shared" si="1"/>
        <v>143.15</v>
      </c>
      <c r="G485" s="1120">
        <v>122.89</v>
      </c>
      <c r="H485" s="1127">
        <v>20.26</v>
      </c>
      <c r="I485" s="1127">
        <v>0.0</v>
      </c>
      <c r="J485" s="1127">
        <v>0.0</v>
      </c>
      <c r="K485" s="1124"/>
    </row>
    <row r="486" ht="15.75" customHeight="1">
      <c r="A486" s="1119">
        <v>95121.0</v>
      </c>
      <c r="B486" s="1125" t="s">
        <v>10763</v>
      </c>
      <c r="C486" s="1126" t="s">
        <v>10650</v>
      </c>
      <c r="D486" s="1119">
        <v>323.5</v>
      </c>
      <c r="E486" s="1120">
        <v>90.26</v>
      </c>
      <c r="F486" s="1121">
        <f t="shared" si="1"/>
        <v>233.24</v>
      </c>
      <c r="G486" s="1120">
        <v>37.49</v>
      </c>
      <c r="H486" s="1127">
        <v>154.95</v>
      </c>
      <c r="I486" s="1127">
        <v>0.0</v>
      </c>
      <c r="J486" s="1127">
        <v>40.8</v>
      </c>
      <c r="K486" s="1124"/>
    </row>
    <row r="487" ht="15.75" customHeight="1">
      <c r="A487" s="1119">
        <v>95127.0</v>
      </c>
      <c r="B487" s="1125" t="s">
        <v>10764</v>
      </c>
      <c r="C487" s="1126" t="s">
        <v>10650</v>
      </c>
      <c r="D487" s="1119">
        <v>183.6</v>
      </c>
      <c r="E487" s="1120">
        <v>24.7</v>
      </c>
      <c r="F487" s="1121">
        <f t="shared" si="1"/>
        <v>158.9</v>
      </c>
      <c r="G487" s="1120">
        <v>118.66</v>
      </c>
      <c r="H487" s="1127">
        <v>40.24</v>
      </c>
      <c r="I487" s="1127">
        <v>0.0</v>
      </c>
      <c r="J487" s="1127">
        <v>0.0</v>
      </c>
      <c r="K487" s="1124"/>
    </row>
    <row r="488" ht="15.75" customHeight="1">
      <c r="A488" s="1119">
        <v>95133.0</v>
      </c>
      <c r="B488" s="1125" t="s">
        <v>10765</v>
      </c>
      <c r="C488" s="1126" t="s">
        <v>10650</v>
      </c>
      <c r="D488" s="1119">
        <v>167.21</v>
      </c>
      <c r="E488" s="1120">
        <v>22.84</v>
      </c>
      <c r="F488" s="1121">
        <f t="shared" si="1"/>
        <v>144.37</v>
      </c>
      <c r="G488" s="1120">
        <v>31.21</v>
      </c>
      <c r="H488" s="1127">
        <v>113.16</v>
      </c>
      <c r="I488" s="1127">
        <v>0.0</v>
      </c>
      <c r="J488" s="1127">
        <v>0.0</v>
      </c>
      <c r="K488" s="1124"/>
    </row>
    <row r="489" ht="15.75" customHeight="1">
      <c r="A489" s="1119">
        <v>95139.0</v>
      </c>
      <c r="B489" s="1125" t="s">
        <v>10766</v>
      </c>
      <c r="C489" s="1126" t="s">
        <v>10650</v>
      </c>
      <c r="D489" s="1119">
        <v>0.06</v>
      </c>
      <c r="E489" s="1120">
        <v>0.0</v>
      </c>
      <c r="F489" s="1121">
        <f t="shared" si="1"/>
        <v>0.06</v>
      </c>
      <c r="G489" s="1120">
        <v>0.0</v>
      </c>
      <c r="H489" s="1127">
        <v>0.06</v>
      </c>
      <c r="I489" s="1127">
        <v>0.0</v>
      </c>
      <c r="J489" s="1127">
        <v>0.0</v>
      </c>
      <c r="K489" s="1124"/>
    </row>
    <row r="490" ht="15.75" customHeight="1">
      <c r="A490" s="1119">
        <v>95212.0</v>
      </c>
      <c r="B490" s="1125" t="s">
        <v>10767</v>
      </c>
      <c r="C490" s="1126" t="s">
        <v>10650</v>
      </c>
      <c r="D490" s="1119">
        <v>143.18</v>
      </c>
      <c r="E490" s="1120">
        <v>57.16</v>
      </c>
      <c r="F490" s="1121">
        <f t="shared" si="1"/>
        <v>86.02</v>
      </c>
      <c r="G490" s="1120">
        <v>6.69</v>
      </c>
      <c r="H490" s="1127">
        <v>73.35</v>
      </c>
      <c r="I490" s="1127">
        <v>0.0</v>
      </c>
      <c r="J490" s="1127">
        <v>5.98</v>
      </c>
      <c r="K490" s="1124"/>
    </row>
    <row r="491" ht="15.75" customHeight="1">
      <c r="A491" s="1119">
        <v>95258.0</v>
      </c>
      <c r="B491" s="1125" t="s">
        <v>10768</v>
      </c>
      <c r="C491" s="1126" t="s">
        <v>10650</v>
      </c>
      <c r="D491" s="1119">
        <v>29.11</v>
      </c>
      <c r="E491" s="1120">
        <v>19.8</v>
      </c>
      <c r="F491" s="1121">
        <f t="shared" si="1"/>
        <v>9.31</v>
      </c>
      <c r="G491" s="1120">
        <v>6.69</v>
      </c>
      <c r="H491" s="1127">
        <v>2.62</v>
      </c>
      <c r="I491" s="1127">
        <v>0.0</v>
      </c>
      <c r="J491" s="1127">
        <v>0.0</v>
      </c>
      <c r="K491" s="1124"/>
    </row>
    <row r="492" ht="15.75" customHeight="1">
      <c r="A492" s="1119">
        <v>95264.0</v>
      </c>
      <c r="B492" s="1125" t="s">
        <v>10769</v>
      </c>
      <c r="C492" s="1126" t="s">
        <v>10650</v>
      </c>
      <c r="D492" s="1119">
        <v>6.2</v>
      </c>
      <c r="E492" s="1120">
        <v>0.0</v>
      </c>
      <c r="F492" s="1121">
        <f t="shared" si="1"/>
        <v>6.2</v>
      </c>
      <c r="G492" s="1120">
        <v>4.39</v>
      </c>
      <c r="H492" s="1127">
        <v>1.81</v>
      </c>
      <c r="I492" s="1127">
        <v>0.0</v>
      </c>
      <c r="J492" s="1127">
        <v>0.0</v>
      </c>
      <c r="K492" s="1124"/>
    </row>
    <row r="493" ht="15.75" customHeight="1">
      <c r="A493" s="1119">
        <v>95270.0</v>
      </c>
      <c r="B493" s="1125" t="s">
        <v>10770</v>
      </c>
      <c r="C493" s="1126" t="s">
        <v>10650</v>
      </c>
      <c r="D493" s="1119">
        <v>9.12</v>
      </c>
      <c r="E493" s="1120">
        <v>0.0</v>
      </c>
      <c r="F493" s="1121">
        <f t="shared" si="1"/>
        <v>9.12</v>
      </c>
      <c r="G493" s="1120">
        <v>8.1</v>
      </c>
      <c r="H493" s="1127">
        <v>1.02</v>
      </c>
      <c r="I493" s="1127">
        <v>0.0</v>
      </c>
      <c r="J493" s="1127">
        <v>0.0</v>
      </c>
      <c r="K493" s="1124"/>
    </row>
    <row r="494" ht="15.75" customHeight="1">
      <c r="A494" s="1119">
        <v>95276.0</v>
      </c>
      <c r="B494" s="1125" t="s">
        <v>10771</v>
      </c>
      <c r="C494" s="1126" t="s">
        <v>10650</v>
      </c>
      <c r="D494" s="1119">
        <v>2.51</v>
      </c>
      <c r="E494" s="1120">
        <v>0.0</v>
      </c>
      <c r="F494" s="1121">
        <f t="shared" si="1"/>
        <v>2.51</v>
      </c>
      <c r="G494" s="1120">
        <v>0.0</v>
      </c>
      <c r="H494" s="1127">
        <v>0.89</v>
      </c>
      <c r="I494" s="1127">
        <v>0.0</v>
      </c>
      <c r="J494" s="1127">
        <v>1.62</v>
      </c>
      <c r="K494" s="1124"/>
    </row>
    <row r="495" ht="15.75" customHeight="1">
      <c r="A495" s="1119">
        <v>95282.0</v>
      </c>
      <c r="B495" s="1125" t="s">
        <v>10772</v>
      </c>
      <c r="C495" s="1126" t="s">
        <v>10650</v>
      </c>
      <c r="D495" s="1119">
        <v>9.3</v>
      </c>
      <c r="E495" s="1120">
        <v>0.0</v>
      </c>
      <c r="F495" s="1121">
        <f t="shared" si="1"/>
        <v>9.3</v>
      </c>
      <c r="G495" s="1120">
        <v>8.08</v>
      </c>
      <c r="H495" s="1127">
        <v>1.22</v>
      </c>
      <c r="I495" s="1127">
        <v>0.0</v>
      </c>
      <c r="J495" s="1127">
        <v>0.0</v>
      </c>
      <c r="K495" s="1124"/>
    </row>
    <row r="496" ht="15.75" customHeight="1">
      <c r="A496" s="1119">
        <v>95620.0</v>
      </c>
      <c r="B496" s="1125" t="s">
        <v>10773</v>
      </c>
      <c r="C496" s="1126" t="s">
        <v>10650</v>
      </c>
      <c r="D496" s="1119">
        <v>28.63</v>
      </c>
      <c r="E496" s="1120">
        <v>19.8</v>
      </c>
      <c r="F496" s="1121">
        <f t="shared" si="1"/>
        <v>8.83</v>
      </c>
      <c r="G496" s="1120">
        <v>6.69</v>
      </c>
      <c r="H496" s="1127">
        <v>2.14</v>
      </c>
      <c r="I496" s="1127">
        <v>0.0</v>
      </c>
      <c r="J496" s="1127">
        <v>0.0</v>
      </c>
      <c r="K496" s="1124"/>
    </row>
    <row r="497" ht="15.75" customHeight="1">
      <c r="A497" s="1119">
        <v>95631.0</v>
      </c>
      <c r="B497" s="1125" t="s">
        <v>10774</v>
      </c>
      <c r="C497" s="1126" t="s">
        <v>10650</v>
      </c>
      <c r="D497" s="1119">
        <v>207.64</v>
      </c>
      <c r="E497" s="1120">
        <v>20.9</v>
      </c>
      <c r="F497" s="1121">
        <f t="shared" si="1"/>
        <v>186.74</v>
      </c>
      <c r="G497" s="1120">
        <v>74.57</v>
      </c>
      <c r="H497" s="1127">
        <v>112.17</v>
      </c>
      <c r="I497" s="1127">
        <v>0.0</v>
      </c>
      <c r="J497" s="1127">
        <v>0.0</v>
      </c>
      <c r="K497" s="1124"/>
    </row>
    <row r="498" ht="15.75" customHeight="1">
      <c r="A498" s="1119">
        <v>95702.0</v>
      </c>
      <c r="B498" s="1125" t="s">
        <v>10775</v>
      </c>
      <c r="C498" s="1126" t="s">
        <v>10650</v>
      </c>
      <c r="D498" s="1119">
        <v>42.12</v>
      </c>
      <c r="E498" s="1120">
        <v>24.7</v>
      </c>
      <c r="F498" s="1121">
        <f t="shared" si="1"/>
        <v>17.42</v>
      </c>
      <c r="G498" s="1120">
        <v>6.69</v>
      </c>
      <c r="H498" s="1127">
        <v>8.73</v>
      </c>
      <c r="I498" s="1127">
        <v>0.0</v>
      </c>
      <c r="J498" s="1127">
        <v>2.0</v>
      </c>
      <c r="K498" s="1124"/>
    </row>
    <row r="499" ht="15.75" customHeight="1">
      <c r="A499" s="1119">
        <v>95708.0</v>
      </c>
      <c r="B499" s="1125" t="s">
        <v>10776</v>
      </c>
      <c r="C499" s="1126" t="s">
        <v>10650</v>
      </c>
      <c r="D499" s="1119">
        <v>146.21</v>
      </c>
      <c r="E499" s="1120">
        <v>24.7</v>
      </c>
      <c r="F499" s="1121">
        <f t="shared" si="1"/>
        <v>121.51</v>
      </c>
      <c r="G499" s="1120">
        <v>6.69</v>
      </c>
      <c r="H499" s="1127">
        <v>112.2</v>
      </c>
      <c r="I499" s="1127">
        <v>0.0</v>
      </c>
      <c r="J499" s="1127">
        <v>2.62</v>
      </c>
      <c r="K499" s="1124"/>
    </row>
    <row r="500" ht="15.75" customHeight="1">
      <c r="A500" s="1119">
        <v>95714.0</v>
      </c>
      <c r="B500" s="1125" t="s">
        <v>10777</v>
      </c>
      <c r="C500" s="1126" t="s">
        <v>10650</v>
      </c>
      <c r="D500" s="1119">
        <v>234.89</v>
      </c>
      <c r="E500" s="1120">
        <v>25.12</v>
      </c>
      <c r="F500" s="1121">
        <f t="shared" si="1"/>
        <v>209.77</v>
      </c>
      <c r="G500" s="1120">
        <v>75.07</v>
      </c>
      <c r="H500" s="1127">
        <v>134.7</v>
      </c>
      <c r="I500" s="1127">
        <v>0.0</v>
      </c>
      <c r="J500" s="1127">
        <v>0.0</v>
      </c>
      <c r="K500" s="1124"/>
    </row>
    <row r="501" ht="15.75" customHeight="1">
      <c r="A501" s="1119">
        <v>95720.0</v>
      </c>
      <c r="B501" s="1125" t="s">
        <v>10778</v>
      </c>
      <c r="C501" s="1126" t="s">
        <v>10650</v>
      </c>
      <c r="D501" s="1119">
        <v>229.87</v>
      </c>
      <c r="E501" s="1120">
        <v>25.12</v>
      </c>
      <c r="F501" s="1121">
        <f t="shared" si="1"/>
        <v>204.75</v>
      </c>
      <c r="G501" s="1120">
        <v>75.07</v>
      </c>
      <c r="H501" s="1127">
        <v>129.68</v>
      </c>
      <c r="I501" s="1127">
        <v>0.0</v>
      </c>
      <c r="J501" s="1127">
        <v>0.0</v>
      </c>
      <c r="K501" s="1124"/>
    </row>
    <row r="502" ht="15.75" customHeight="1">
      <c r="A502" s="1119">
        <v>95872.0</v>
      </c>
      <c r="B502" s="1125" t="s">
        <v>10779</v>
      </c>
      <c r="C502" s="1126" t="s">
        <v>10650</v>
      </c>
      <c r="D502" s="1119">
        <v>224.26</v>
      </c>
      <c r="E502" s="1120">
        <v>0.0</v>
      </c>
      <c r="F502" s="1121">
        <f t="shared" si="1"/>
        <v>224.26</v>
      </c>
      <c r="G502" s="1120">
        <v>207.66</v>
      </c>
      <c r="H502" s="1127">
        <v>16.6</v>
      </c>
      <c r="I502" s="1127">
        <v>0.0</v>
      </c>
      <c r="J502" s="1127">
        <v>0.0</v>
      </c>
      <c r="K502" s="1124"/>
    </row>
    <row r="503" ht="15.75" customHeight="1">
      <c r="A503" s="1119">
        <v>96013.0</v>
      </c>
      <c r="B503" s="1125" t="s">
        <v>10780</v>
      </c>
      <c r="C503" s="1126" t="s">
        <v>10650</v>
      </c>
      <c r="D503" s="1119">
        <v>160.34</v>
      </c>
      <c r="E503" s="1120">
        <v>26.48</v>
      </c>
      <c r="F503" s="1121">
        <f t="shared" si="1"/>
        <v>133.86</v>
      </c>
      <c r="G503" s="1120">
        <v>80.21</v>
      </c>
      <c r="H503" s="1127">
        <v>53.65</v>
      </c>
      <c r="I503" s="1127">
        <v>0.0</v>
      </c>
      <c r="J503" s="1127">
        <v>0.0</v>
      </c>
      <c r="K503" s="1124"/>
    </row>
    <row r="504" ht="15.75" customHeight="1">
      <c r="A504" s="1119">
        <v>96020.0</v>
      </c>
      <c r="B504" s="1125" t="s">
        <v>10781</v>
      </c>
      <c r="C504" s="1126" t="s">
        <v>10650</v>
      </c>
      <c r="D504" s="1119">
        <v>159.84</v>
      </c>
      <c r="E504" s="1120">
        <v>26.48</v>
      </c>
      <c r="F504" s="1121">
        <f t="shared" si="1"/>
        <v>133.36</v>
      </c>
      <c r="G504" s="1120">
        <v>80.21</v>
      </c>
      <c r="H504" s="1127">
        <v>53.15</v>
      </c>
      <c r="I504" s="1127">
        <v>0.0</v>
      </c>
      <c r="J504" s="1127">
        <v>0.0</v>
      </c>
      <c r="K504" s="1124"/>
    </row>
    <row r="505" ht="15.75" customHeight="1">
      <c r="A505" s="1119">
        <v>96028.0</v>
      </c>
      <c r="B505" s="1125" t="s">
        <v>10782</v>
      </c>
      <c r="C505" s="1126" t="s">
        <v>10650</v>
      </c>
      <c r="D505" s="1119">
        <v>125.63</v>
      </c>
      <c r="E505" s="1120">
        <v>26.48</v>
      </c>
      <c r="F505" s="1121">
        <f t="shared" si="1"/>
        <v>99.15</v>
      </c>
      <c r="G505" s="1120">
        <v>57.92</v>
      </c>
      <c r="H505" s="1127">
        <v>41.23</v>
      </c>
      <c r="I505" s="1127">
        <v>0.0</v>
      </c>
      <c r="J505" s="1127">
        <v>0.0</v>
      </c>
      <c r="K505" s="1124"/>
    </row>
    <row r="506" ht="15.75" customHeight="1">
      <c r="A506" s="1119">
        <v>96035.0</v>
      </c>
      <c r="B506" s="1125" t="s">
        <v>10783</v>
      </c>
      <c r="C506" s="1126" t="s">
        <v>10650</v>
      </c>
      <c r="D506" s="1119">
        <v>247.9</v>
      </c>
      <c r="E506" s="1120">
        <v>25.8</v>
      </c>
      <c r="F506" s="1121">
        <f t="shared" si="1"/>
        <v>222.1</v>
      </c>
      <c r="G506" s="1120">
        <v>114.52</v>
      </c>
      <c r="H506" s="1127">
        <v>107.58</v>
      </c>
      <c r="I506" s="1127">
        <v>0.0</v>
      </c>
      <c r="J506" s="1127">
        <v>0.0</v>
      </c>
      <c r="K506" s="1124"/>
    </row>
    <row r="507" ht="15.75" customHeight="1">
      <c r="A507" s="1119">
        <v>96157.0</v>
      </c>
      <c r="B507" s="1125" t="s">
        <v>10784</v>
      </c>
      <c r="C507" s="1126" t="s">
        <v>10650</v>
      </c>
      <c r="D507" s="1119">
        <v>126.13</v>
      </c>
      <c r="E507" s="1120">
        <v>26.48</v>
      </c>
      <c r="F507" s="1121">
        <f t="shared" si="1"/>
        <v>99.65</v>
      </c>
      <c r="G507" s="1120">
        <v>57.92</v>
      </c>
      <c r="H507" s="1127">
        <v>41.73</v>
      </c>
      <c r="I507" s="1127">
        <v>0.0</v>
      </c>
      <c r="J507" s="1127">
        <v>0.0</v>
      </c>
      <c r="K507" s="1124"/>
    </row>
    <row r="508" ht="15.75" customHeight="1">
      <c r="A508" s="1119">
        <v>96158.0</v>
      </c>
      <c r="B508" s="1125" t="s">
        <v>10785</v>
      </c>
      <c r="C508" s="1126" t="s">
        <v>10650</v>
      </c>
      <c r="D508" s="1119">
        <v>126.55</v>
      </c>
      <c r="E508" s="1120">
        <v>23.57</v>
      </c>
      <c r="F508" s="1121">
        <f t="shared" si="1"/>
        <v>102.98</v>
      </c>
      <c r="G508" s="1120">
        <v>36.99</v>
      </c>
      <c r="H508" s="1127">
        <v>65.99</v>
      </c>
      <c r="I508" s="1127">
        <v>0.0</v>
      </c>
      <c r="J508" s="1127">
        <v>0.0</v>
      </c>
      <c r="K508" s="1124"/>
    </row>
    <row r="509" ht="15.75" customHeight="1">
      <c r="A509" s="1119">
        <v>96245.0</v>
      </c>
      <c r="B509" s="1125" t="s">
        <v>10786</v>
      </c>
      <c r="C509" s="1126" t="s">
        <v>10650</v>
      </c>
      <c r="D509" s="1119">
        <v>100.81</v>
      </c>
      <c r="E509" s="1120">
        <v>25.12</v>
      </c>
      <c r="F509" s="1121">
        <f t="shared" si="1"/>
        <v>75.69</v>
      </c>
      <c r="G509" s="1120">
        <v>19.93</v>
      </c>
      <c r="H509" s="1127">
        <v>55.76</v>
      </c>
      <c r="I509" s="1127">
        <v>0.0</v>
      </c>
      <c r="J509" s="1127">
        <v>0.0</v>
      </c>
      <c r="K509" s="1124"/>
    </row>
    <row r="510" ht="15.75" customHeight="1">
      <c r="A510" s="1119">
        <v>96463.0</v>
      </c>
      <c r="B510" s="1125" t="s">
        <v>10787</v>
      </c>
      <c r="C510" s="1126" t="s">
        <v>10650</v>
      </c>
      <c r="D510" s="1119">
        <v>200.53</v>
      </c>
      <c r="E510" s="1120">
        <v>20.9</v>
      </c>
      <c r="F510" s="1121">
        <f t="shared" si="1"/>
        <v>179.63</v>
      </c>
      <c r="G510" s="1120">
        <v>55.23</v>
      </c>
      <c r="H510" s="1127">
        <v>124.4</v>
      </c>
      <c r="I510" s="1127">
        <v>0.0</v>
      </c>
      <c r="J510" s="1127">
        <v>0.0</v>
      </c>
      <c r="K510" s="1124"/>
    </row>
    <row r="511" ht="15.75" customHeight="1">
      <c r="A511" s="1119">
        <v>98764.0</v>
      </c>
      <c r="B511" s="1125" t="s">
        <v>10788</v>
      </c>
      <c r="C511" s="1126" t="s">
        <v>10650</v>
      </c>
      <c r="D511" s="1119">
        <v>3.09</v>
      </c>
      <c r="E511" s="1120">
        <v>0.0</v>
      </c>
      <c r="F511" s="1121">
        <f t="shared" si="1"/>
        <v>3.09</v>
      </c>
      <c r="G511" s="1120">
        <v>0.0</v>
      </c>
      <c r="H511" s="1127">
        <v>0.16</v>
      </c>
      <c r="I511" s="1127">
        <v>0.0</v>
      </c>
      <c r="J511" s="1127">
        <v>2.93</v>
      </c>
      <c r="K511" s="1124"/>
    </row>
    <row r="512" ht="15.75" customHeight="1">
      <c r="A512" s="1119">
        <v>99833.0</v>
      </c>
      <c r="B512" s="1125" t="s">
        <v>10789</v>
      </c>
      <c r="C512" s="1126" t="s">
        <v>10650</v>
      </c>
      <c r="D512" s="1119">
        <v>1.5</v>
      </c>
      <c r="E512" s="1120">
        <v>0.0</v>
      </c>
      <c r="F512" s="1121">
        <f t="shared" si="1"/>
        <v>1.5</v>
      </c>
      <c r="G512" s="1120">
        <v>0.0</v>
      </c>
      <c r="H512" s="1127">
        <v>0.3</v>
      </c>
      <c r="I512" s="1127">
        <v>0.0</v>
      </c>
      <c r="J512" s="1127">
        <v>1.2</v>
      </c>
      <c r="K512" s="1124"/>
    </row>
    <row r="513" ht="15.75" customHeight="1">
      <c r="A513" s="1119">
        <v>100641.0</v>
      </c>
      <c r="B513" s="1125" t="s">
        <v>10790</v>
      </c>
      <c r="C513" s="1126" t="s">
        <v>10650</v>
      </c>
      <c r="D513" s="1128">
        <v>3747.19</v>
      </c>
      <c r="E513" s="1120">
        <v>20.58</v>
      </c>
      <c r="F513" s="1121">
        <f t="shared" si="1"/>
        <v>3726.61</v>
      </c>
      <c r="G513" s="1120">
        <v>3282.69</v>
      </c>
      <c r="H513" s="1127">
        <v>443.92</v>
      </c>
      <c r="I513" s="1127">
        <v>0.0</v>
      </c>
      <c r="J513" s="1127">
        <v>0.0</v>
      </c>
      <c r="K513" s="1124"/>
    </row>
    <row r="514" ht="15.75" customHeight="1">
      <c r="A514" s="1119">
        <v>100647.0</v>
      </c>
      <c r="B514" s="1125" t="s">
        <v>10791</v>
      </c>
      <c r="C514" s="1126" t="s">
        <v>10650</v>
      </c>
      <c r="D514" s="1128">
        <v>5174.99</v>
      </c>
      <c r="E514" s="1120">
        <v>20.58</v>
      </c>
      <c r="F514" s="1121">
        <f t="shared" si="1"/>
        <v>5154.41</v>
      </c>
      <c r="G514" s="1120">
        <v>4101.69</v>
      </c>
      <c r="H514" s="1127">
        <v>1052.72</v>
      </c>
      <c r="I514" s="1127">
        <v>0.0</v>
      </c>
      <c r="J514" s="1127">
        <v>0.0</v>
      </c>
      <c r="K514" s="1124"/>
    </row>
    <row r="515" ht="15.75" customHeight="1">
      <c r="A515" s="1119">
        <v>102275.0</v>
      </c>
      <c r="B515" s="1125" t="s">
        <v>10792</v>
      </c>
      <c r="C515" s="1126" t="s">
        <v>10650</v>
      </c>
      <c r="D515" s="1119">
        <v>28.85</v>
      </c>
      <c r="E515" s="1120">
        <v>19.8</v>
      </c>
      <c r="F515" s="1121">
        <f t="shared" si="1"/>
        <v>9.05</v>
      </c>
      <c r="G515" s="1120">
        <v>6.69</v>
      </c>
      <c r="H515" s="1127">
        <v>1.28</v>
      </c>
      <c r="I515" s="1127">
        <v>0.0</v>
      </c>
      <c r="J515" s="1127">
        <v>1.08</v>
      </c>
      <c r="K515" s="1124"/>
    </row>
    <row r="516" ht="15.75" customHeight="1">
      <c r="A516" s="1119">
        <v>104091.0</v>
      </c>
      <c r="B516" s="1125" t="s">
        <v>10793</v>
      </c>
      <c r="C516" s="1126" t="s">
        <v>10650</v>
      </c>
      <c r="D516" s="1119">
        <v>0.65</v>
      </c>
      <c r="E516" s="1120">
        <v>0.0</v>
      </c>
      <c r="F516" s="1121">
        <f t="shared" si="1"/>
        <v>0.65</v>
      </c>
      <c r="G516" s="1120">
        <v>0.0</v>
      </c>
      <c r="H516" s="1127">
        <v>0.22</v>
      </c>
      <c r="I516" s="1127">
        <v>0.0</v>
      </c>
      <c r="J516" s="1127">
        <v>0.43</v>
      </c>
      <c r="K516" s="1124"/>
    </row>
    <row r="517" ht="15.75" customHeight="1">
      <c r="A517" s="1119">
        <v>104097.0</v>
      </c>
      <c r="B517" s="1125" t="s">
        <v>10794</v>
      </c>
      <c r="C517" s="1126" t="s">
        <v>10650</v>
      </c>
      <c r="D517" s="1119">
        <v>0.92</v>
      </c>
      <c r="E517" s="1120">
        <v>0.0</v>
      </c>
      <c r="F517" s="1121">
        <f t="shared" si="1"/>
        <v>0.92</v>
      </c>
      <c r="G517" s="1120">
        <v>0.0</v>
      </c>
      <c r="H517" s="1127">
        <v>0.32</v>
      </c>
      <c r="I517" s="1127">
        <v>0.0</v>
      </c>
      <c r="J517" s="1127">
        <v>0.6</v>
      </c>
      <c r="K517" s="1124"/>
    </row>
    <row r="518" ht="15.75" customHeight="1">
      <c r="A518" s="1119">
        <v>5632.0</v>
      </c>
      <c r="B518" s="1125" t="s">
        <v>10795</v>
      </c>
      <c r="C518" s="1126" t="s">
        <v>10796</v>
      </c>
      <c r="D518" s="1119">
        <v>86.5</v>
      </c>
      <c r="E518" s="1120">
        <v>25.12</v>
      </c>
      <c r="F518" s="1121">
        <f t="shared" si="1"/>
        <v>61.38</v>
      </c>
      <c r="G518" s="1120">
        <v>6.69</v>
      </c>
      <c r="H518" s="1127">
        <v>54.69</v>
      </c>
      <c r="I518" s="1127">
        <v>0.0</v>
      </c>
      <c r="J518" s="1127">
        <v>0.0</v>
      </c>
      <c r="K518" s="1124"/>
    </row>
    <row r="519" ht="15.75" customHeight="1">
      <c r="A519" s="1119">
        <v>5679.0</v>
      </c>
      <c r="B519" s="1125" t="s">
        <v>10797</v>
      </c>
      <c r="C519" s="1126" t="s">
        <v>10796</v>
      </c>
      <c r="D519" s="1119">
        <v>60.15</v>
      </c>
      <c r="E519" s="1120">
        <v>25.12</v>
      </c>
      <c r="F519" s="1121">
        <f t="shared" si="1"/>
        <v>35.03</v>
      </c>
      <c r="G519" s="1120">
        <v>6.69</v>
      </c>
      <c r="H519" s="1127">
        <v>28.34</v>
      </c>
      <c r="I519" s="1127">
        <v>0.0</v>
      </c>
      <c r="J519" s="1127">
        <v>0.0</v>
      </c>
      <c r="K519" s="1124"/>
    </row>
    <row r="520" ht="15.75" customHeight="1">
      <c r="A520" s="1119">
        <v>5681.0</v>
      </c>
      <c r="B520" s="1125" t="s">
        <v>10798</v>
      </c>
      <c r="C520" s="1126" t="s">
        <v>10796</v>
      </c>
      <c r="D520" s="1119">
        <v>57.02</v>
      </c>
      <c r="E520" s="1120">
        <v>25.12</v>
      </c>
      <c r="F520" s="1121">
        <f t="shared" si="1"/>
        <v>31.9</v>
      </c>
      <c r="G520" s="1120">
        <v>6.69</v>
      </c>
      <c r="H520" s="1127">
        <v>25.21</v>
      </c>
      <c r="I520" s="1127">
        <v>0.0</v>
      </c>
      <c r="J520" s="1127">
        <v>0.0</v>
      </c>
      <c r="K520" s="1124"/>
    </row>
    <row r="521" ht="15.75" customHeight="1">
      <c r="A521" s="1119">
        <v>5685.0</v>
      </c>
      <c r="B521" s="1125" t="s">
        <v>10799</v>
      </c>
      <c r="C521" s="1126" t="s">
        <v>10796</v>
      </c>
      <c r="D521" s="1119">
        <v>63.31</v>
      </c>
      <c r="E521" s="1120">
        <v>20.9</v>
      </c>
      <c r="F521" s="1121">
        <f t="shared" si="1"/>
        <v>42.41</v>
      </c>
      <c r="G521" s="1120">
        <v>6.69</v>
      </c>
      <c r="H521" s="1127">
        <v>35.72</v>
      </c>
      <c r="I521" s="1127">
        <v>0.0</v>
      </c>
      <c r="J521" s="1127">
        <v>0.0</v>
      </c>
      <c r="K521" s="1124"/>
    </row>
    <row r="522" ht="15.75" customHeight="1">
      <c r="A522" s="1119">
        <v>5690.0</v>
      </c>
      <c r="B522" s="1125" t="s">
        <v>10800</v>
      </c>
      <c r="C522" s="1126" t="s">
        <v>10796</v>
      </c>
      <c r="D522" s="1119">
        <v>4.19</v>
      </c>
      <c r="E522" s="1120">
        <v>0.0</v>
      </c>
      <c r="F522" s="1121">
        <f t="shared" si="1"/>
        <v>4.19</v>
      </c>
      <c r="G522" s="1120">
        <v>0.0</v>
      </c>
      <c r="H522" s="1127">
        <v>4.19</v>
      </c>
      <c r="I522" s="1127">
        <v>0.0</v>
      </c>
      <c r="J522" s="1127">
        <v>0.0</v>
      </c>
      <c r="K522" s="1124"/>
    </row>
    <row r="523" ht="15.75" customHeight="1">
      <c r="A523" s="1119">
        <v>5806.0</v>
      </c>
      <c r="B523" s="1125" t="s">
        <v>10801</v>
      </c>
      <c r="C523" s="1126" t="s">
        <v>10796</v>
      </c>
      <c r="D523" s="1119">
        <v>0.25</v>
      </c>
      <c r="E523" s="1120">
        <v>0.0</v>
      </c>
      <c r="F523" s="1121">
        <f t="shared" si="1"/>
        <v>0.25</v>
      </c>
      <c r="G523" s="1120">
        <v>0.0</v>
      </c>
      <c r="H523" s="1127">
        <v>0.25</v>
      </c>
      <c r="I523" s="1127">
        <v>0.0</v>
      </c>
      <c r="J523" s="1127">
        <v>0.0</v>
      </c>
      <c r="K523" s="1124"/>
    </row>
    <row r="524" ht="15.75" customHeight="1">
      <c r="A524" s="1119">
        <v>5826.0</v>
      </c>
      <c r="B524" s="1125" t="s">
        <v>10802</v>
      </c>
      <c r="C524" s="1126" t="s">
        <v>10796</v>
      </c>
      <c r="D524" s="1119">
        <v>61.88</v>
      </c>
      <c r="E524" s="1120">
        <v>24.84</v>
      </c>
      <c r="F524" s="1121">
        <f t="shared" si="1"/>
        <v>37.04</v>
      </c>
      <c r="G524" s="1120">
        <v>6.69</v>
      </c>
      <c r="H524" s="1127">
        <v>30.35</v>
      </c>
      <c r="I524" s="1127">
        <v>0.0</v>
      </c>
      <c r="J524" s="1127">
        <v>0.0</v>
      </c>
      <c r="K524" s="1124"/>
    </row>
    <row r="525" ht="15.75" customHeight="1">
      <c r="A525" s="1119">
        <v>5829.0</v>
      </c>
      <c r="B525" s="1125" t="s">
        <v>10803</v>
      </c>
      <c r="C525" s="1126" t="s">
        <v>10796</v>
      </c>
      <c r="D525" s="1119">
        <v>165.42</v>
      </c>
      <c r="E525" s="1120">
        <v>90.26</v>
      </c>
      <c r="F525" s="1121">
        <f t="shared" si="1"/>
        <v>75.16</v>
      </c>
      <c r="G525" s="1120">
        <v>37.49</v>
      </c>
      <c r="H525" s="1127">
        <v>37.67</v>
      </c>
      <c r="I525" s="1127">
        <v>0.0</v>
      </c>
      <c r="J525" s="1127">
        <v>0.0</v>
      </c>
      <c r="K525" s="1124"/>
    </row>
    <row r="526" ht="15.75" customHeight="1">
      <c r="A526" s="1119">
        <v>5837.0</v>
      </c>
      <c r="B526" s="1125" t="s">
        <v>10804</v>
      </c>
      <c r="C526" s="1126" t="s">
        <v>10796</v>
      </c>
      <c r="D526" s="1119">
        <v>140.43</v>
      </c>
      <c r="E526" s="1120">
        <v>23.98</v>
      </c>
      <c r="F526" s="1121">
        <f t="shared" si="1"/>
        <v>116.45</v>
      </c>
      <c r="G526" s="1120">
        <v>6.69</v>
      </c>
      <c r="H526" s="1127">
        <v>109.76</v>
      </c>
      <c r="I526" s="1127">
        <v>0.0</v>
      </c>
      <c r="J526" s="1127">
        <v>0.0</v>
      </c>
      <c r="K526" s="1124"/>
    </row>
    <row r="527" ht="15.75" customHeight="1">
      <c r="A527" s="1119">
        <v>5841.0</v>
      </c>
      <c r="B527" s="1125" t="s">
        <v>10805</v>
      </c>
      <c r="C527" s="1126" t="s">
        <v>10796</v>
      </c>
      <c r="D527" s="1119">
        <v>4.82</v>
      </c>
      <c r="E527" s="1120">
        <v>0.0</v>
      </c>
      <c r="F527" s="1121">
        <f t="shared" si="1"/>
        <v>4.82</v>
      </c>
      <c r="G527" s="1120">
        <v>0.0</v>
      </c>
      <c r="H527" s="1127">
        <v>4.82</v>
      </c>
      <c r="I527" s="1127">
        <v>0.0</v>
      </c>
      <c r="J527" s="1127">
        <v>0.0</v>
      </c>
      <c r="K527" s="1124"/>
    </row>
    <row r="528" ht="15.75" customHeight="1">
      <c r="A528" s="1119">
        <v>5845.0</v>
      </c>
      <c r="B528" s="1125" t="s">
        <v>10806</v>
      </c>
      <c r="C528" s="1126" t="s">
        <v>10796</v>
      </c>
      <c r="D528" s="1119">
        <v>55.93</v>
      </c>
      <c r="E528" s="1120">
        <v>26.48</v>
      </c>
      <c r="F528" s="1121">
        <f t="shared" si="1"/>
        <v>29.45</v>
      </c>
      <c r="G528" s="1120">
        <v>6.69</v>
      </c>
      <c r="H528" s="1127">
        <v>22.76</v>
      </c>
      <c r="I528" s="1127">
        <v>0.0</v>
      </c>
      <c r="J528" s="1127">
        <v>0.0</v>
      </c>
      <c r="K528" s="1124"/>
    </row>
    <row r="529" ht="15.75" customHeight="1">
      <c r="A529" s="1119">
        <v>5849.0</v>
      </c>
      <c r="B529" s="1125" t="s">
        <v>10807</v>
      </c>
      <c r="C529" s="1126" t="s">
        <v>10796</v>
      </c>
      <c r="D529" s="1119">
        <v>85.8</v>
      </c>
      <c r="E529" s="1120">
        <v>26.48</v>
      </c>
      <c r="F529" s="1121">
        <f t="shared" si="1"/>
        <v>59.32</v>
      </c>
      <c r="G529" s="1120">
        <v>6.69</v>
      </c>
      <c r="H529" s="1127">
        <v>52.63</v>
      </c>
      <c r="I529" s="1127">
        <v>0.0</v>
      </c>
      <c r="J529" s="1127">
        <v>0.0</v>
      </c>
      <c r="K529" s="1124"/>
    </row>
    <row r="530" ht="15.75" customHeight="1">
      <c r="A530" s="1119">
        <v>5853.0</v>
      </c>
      <c r="B530" s="1125" t="s">
        <v>10808</v>
      </c>
      <c r="C530" s="1126" t="s">
        <v>10796</v>
      </c>
      <c r="D530" s="1119">
        <v>86.12</v>
      </c>
      <c r="E530" s="1120">
        <v>26.48</v>
      </c>
      <c r="F530" s="1121">
        <f t="shared" si="1"/>
        <v>59.64</v>
      </c>
      <c r="G530" s="1120">
        <v>6.69</v>
      </c>
      <c r="H530" s="1127">
        <v>52.95</v>
      </c>
      <c r="I530" s="1127">
        <v>0.0</v>
      </c>
      <c r="J530" s="1127">
        <v>0.0</v>
      </c>
      <c r="K530" s="1124"/>
    </row>
    <row r="531" ht="15.75" customHeight="1">
      <c r="A531" s="1119">
        <v>5857.0</v>
      </c>
      <c r="B531" s="1125" t="s">
        <v>10809</v>
      </c>
      <c r="C531" s="1126" t="s">
        <v>10796</v>
      </c>
      <c r="D531" s="1119">
        <v>206.63</v>
      </c>
      <c r="E531" s="1120">
        <v>26.48</v>
      </c>
      <c r="F531" s="1121">
        <f t="shared" si="1"/>
        <v>180.15</v>
      </c>
      <c r="G531" s="1120">
        <v>6.69</v>
      </c>
      <c r="H531" s="1127">
        <v>173.46</v>
      </c>
      <c r="I531" s="1127">
        <v>0.0</v>
      </c>
      <c r="J531" s="1127">
        <v>0.0</v>
      </c>
      <c r="K531" s="1124"/>
    </row>
    <row r="532" ht="15.75" customHeight="1">
      <c r="A532" s="1119">
        <v>5865.0</v>
      </c>
      <c r="B532" s="1125" t="s">
        <v>10810</v>
      </c>
      <c r="C532" s="1126" t="s">
        <v>10796</v>
      </c>
      <c r="D532" s="1119">
        <v>10.78</v>
      </c>
      <c r="E532" s="1120">
        <v>0.0</v>
      </c>
      <c r="F532" s="1121">
        <f t="shared" si="1"/>
        <v>10.78</v>
      </c>
      <c r="G532" s="1120">
        <v>0.0</v>
      </c>
      <c r="H532" s="1127">
        <v>10.78</v>
      </c>
      <c r="I532" s="1127">
        <v>0.0</v>
      </c>
      <c r="J532" s="1127">
        <v>0.0</v>
      </c>
      <c r="K532" s="1124"/>
    </row>
    <row r="533" ht="15.75" customHeight="1">
      <c r="A533" s="1119">
        <v>5869.0</v>
      </c>
      <c r="B533" s="1125" t="s">
        <v>10811</v>
      </c>
      <c r="C533" s="1126" t="s">
        <v>10796</v>
      </c>
      <c r="D533" s="1119">
        <v>71.45</v>
      </c>
      <c r="E533" s="1120">
        <v>20.9</v>
      </c>
      <c r="F533" s="1121">
        <f t="shared" si="1"/>
        <v>50.55</v>
      </c>
      <c r="G533" s="1120">
        <v>6.69</v>
      </c>
      <c r="H533" s="1127">
        <v>43.86</v>
      </c>
      <c r="I533" s="1127">
        <v>0.0</v>
      </c>
      <c r="J533" s="1127">
        <v>0.0</v>
      </c>
      <c r="K533" s="1124"/>
    </row>
    <row r="534" ht="15.75" customHeight="1">
      <c r="A534" s="1119">
        <v>5877.0</v>
      </c>
      <c r="B534" s="1125" t="s">
        <v>10812</v>
      </c>
      <c r="C534" s="1126" t="s">
        <v>10796</v>
      </c>
      <c r="D534" s="1119">
        <v>59.15</v>
      </c>
      <c r="E534" s="1120">
        <v>25.12</v>
      </c>
      <c r="F534" s="1121">
        <f t="shared" si="1"/>
        <v>34.03</v>
      </c>
      <c r="G534" s="1120">
        <v>6.69</v>
      </c>
      <c r="H534" s="1127">
        <v>27.34</v>
      </c>
      <c r="I534" s="1127">
        <v>0.0</v>
      </c>
      <c r="J534" s="1127">
        <v>0.0</v>
      </c>
      <c r="K534" s="1124"/>
    </row>
    <row r="535" ht="15.75" customHeight="1">
      <c r="A535" s="1119">
        <v>5881.0</v>
      </c>
      <c r="B535" s="1125" t="s">
        <v>10813</v>
      </c>
      <c r="C535" s="1126" t="s">
        <v>10796</v>
      </c>
      <c r="D535" s="1119">
        <v>76.41</v>
      </c>
      <c r="E535" s="1120">
        <v>20.9</v>
      </c>
      <c r="F535" s="1121">
        <f t="shared" si="1"/>
        <v>55.51</v>
      </c>
      <c r="G535" s="1120">
        <v>6.69</v>
      </c>
      <c r="H535" s="1127">
        <v>48.82</v>
      </c>
      <c r="I535" s="1127">
        <v>0.0</v>
      </c>
      <c r="J535" s="1127">
        <v>0.0</v>
      </c>
      <c r="K535" s="1124"/>
    </row>
    <row r="536" ht="15.75" customHeight="1">
      <c r="A536" s="1119">
        <v>5884.0</v>
      </c>
      <c r="B536" s="1125" t="s">
        <v>10814</v>
      </c>
      <c r="C536" s="1126" t="s">
        <v>10796</v>
      </c>
      <c r="D536" s="1119">
        <v>52.73</v>
      </c>
      <c r="E536" s="1120">
        <v>17.42</v>
      </c>
      <c r="F536" s="1121">
        <f t="shared" si="1"/>
        <v>35.31</v>
      </c>
      <c r="G536" s="1120">
        <v>7.7</v>
      </c>
      <c r="H536" s="1127">
        <v>27.61</v>
      </c>
      <c r="I536" s="1127">
        <v>0.0</v>
      </c>
      <c r="J536" s="1127">
        <v>0.0</v>
      </c>
      <c r="K536" s="1124"/>
    </row>
    <row r="537" ht="15.75" customHeight="1">
      <c r="A537" s="1119">
        <v>5892.0</v>
      </c>
      <c r="B537" s="1125" t="s">
        <v>10815</v>
      </c>
      <c r="C537" s="1126" t="s">
        <v>10796</v>
      </c>
      <c r="D537" s="1119">
        <v>56.82</v>
      </c>
      <c r="E537" s="1120">
        <v>24.84</v>
      </c>
      <c r="F537" s="1121">
        <f t="shared" si="1"/>
        <v>31.98</v>
      </c>
      <c r="G537" s="1120">
        <v>6.69</v>
      </c>
      <c r="H537" s="1127">
        <v>25.29</v>
      </c>
      <c r="I537" s="1127">
        <v>0.0</v>
      </c>
      <c r="J537" s="1127">
        <v>0.0</v>
      </c>
      <c r="K537" s="1124"/>
    </row>
    <row r="538" ht="15.75" customHeight="1">
      <c r="A538" s="1119">
        <v>5896.0</v>
      </c>
      <c r="B538" s="1125" t="s">
        <v>10816</v>
      </c>
      <c r="C538" s="1126" t="s">
        <v>10796</v>
      </c>
      <c r="D538" s="1119">
        <v>59.3</v>
      </c>
      <c r="E538" s="1120">
        <v>24.84</v>
      </c>
      <c r="F538" s="1121">
        <f t="shared" si="1"/>
        <v>34.46</v>
      </c>
      <c r="G538" s="1120">
        <v>6.69</v>
      </c>
      <c r="H538" s="1127">
        <v>27.77</v>
      </c>
      <c r="I538" s="1127">
        <v>0.0</v>
      </c>
      <c r="J538" s="1127">
        <v>0.0</v>
      </c>
      <c r="K538" s="1124"/>
    </row>
    <row r="539" ht="15.75" customHeight="1">
      <c r="A539" s="1119">
        <v>5903.0</v>
      </c>
      <c r="B539" s="1125" t="s">
        <v>10817</v>
      </c>
      <c r="C539" s="1126" t="s">
        <v>10796</v>
      </c>
      <c r="D539" s="1119">
        <v>72.82</v>
      </c>
      <c r="E539" s="1120">
        <v>24.84</v>
      </c>
      <c r="F539" s="1121">
        <f t="shared" si="1"/>
        <v>47.98</v>
      </c>
      <c r="G539" s="1120">
        <v>6.69</v>
      </c>
      <c r="H539" s="1127">
        <v>41.29</v>
      </c>
      <c r="I539" s="1127">
        <v>0.0</v>
      </c>
      <c r="J539" s="1127">
        <v>0.0</v>
      </c>
      <c r="K539" s="1124"/>
    </row>
    <row r="540" ht="15.75" customHeight="1">
      <c r="A540" s="1119">
        <v>5911.0</v>
      </c>
      <c r="B540" s="1125" t="s">
        <v>10818</v>
      </c>
      <c r="C540" s="1126" t="s">
        <v>10796</v>
      </c>
      <c r="D540" s="1119">
        <v>29.74</v>
      </c>
      <c r="E540" s="1120">
        <v>17.42</v>
      </c>
      <c r="F540" s="1121">
        <f t="shared" si="1"/>
        <v>12.32</v>
      </c>
      <c r="G540" s="1120">
        <v>7.7</v>
      </c>
      <c r="H540" s="1127">
        <v>4.62</v>
      </c>
      <c r="I540" s="1127">
        <v>0.0</v>
      </c>
      <c r="J540" s="1127">
        <v>0.0</v>
      </c>
      <c r="K540" s="1124"/>
    </row>
    <row r="541" ht="15.75" customHeight="1">
      <c r="A541" s="1119">
        <v>5923.0</v>
      </c>
      <c r="B541" s="1125" t="s">
        <v>10819</v>
      </c>
      <c r="C541" s="1126" t="s">
        <v>10796</v>
      </c>
      <c r="D541" s="1119">
        <v>3.28</v>
      </c>
      <c r="E541" s="1120">
        <v>0.0</v>
      </c>
      <c r="F541" s="1121">
        <f t="shared" si="1"/>
        <v>3.28</v>
      </c>
      <c r="G541" s="1120">
        <v>0.0</v>
      </c>
      <c r="H541" s="1127">
        <v>3.28</v>
      </c>
      <c r="I541" s="1127">
        <v>0.0</v>
      </c>
      <c r="J541" s="1127">
        <v>0.0</v>
      </c>
      <c r="K541" s="1124"/>
    </row>
    <row r="542" ht="15.75" customHeight="1">
      <c r="A542" s="1119">
        <v>5930.0</v>
      </c>
      <c r="B542" s="1125" t="s">
        <v>10820</v>
      </c>
      <c r="C542" s="1126" t="s">
        <v>10796</v>
      </c>
      <c r="D542" s="1119">
        <v>72.14</v>
      </c>
      <c r="E542" s="1120">
        <v>28.18</v>
      </c>
      <c r="F542" s="1121">
        <f t="shared" si="1"/>
        <v>43.96</v>
      </c>
      <c r="G542" s="1120">
        <v>6.69</v>
      </c>
      <c r="H542" s="1127">
        <v>37.27</v>
      </c>
      <c r="I542" s="1127">
        <v>0.0</v>
      </c>
      <c r="J542" s="1127">
        <v>0.0</v>
      </c>
      <c r="K542" s="1124"/>
    </row>
    <row r="543" ht="15.75" customHeight="1">
      <c r="A543" s="1119">
        <v>5934.0</v>
      </c>
      <c r="B543" s="1125" t="s">
        <v>10821</v>
      </c>
      <c r="C543" s="1126" t="s">
        <v>10796</v>
      </c>
      <c r="D543" s="1119">
        <v>101.28</v>
      </c>
      <c r="E543" s="1120">
        <v>28.51</v>
      </c>
      <c r="F543" s="1121">
        <f t="shared" si="1"/>
        <v>72.77</v>
      </c>
      <c r="G543" s="1120">
        <v>6.69</v>
      </c>
      <c r="H543" s="1127">
        <v>66.08</v>
      </c>
      <c r="I543" s="1127">
        <v>0.0</v>
      </c>
      <c r="J543" s="1127">
        <v>0.0</v>
      </c>
      <c r="K543" s="1124"/>
    </row>
    <row r="544" ht="15.75" customHeight="1">
      <c r="A544" s="1119">
        <v>5942.0</v>
      </c>
      <c r="B544" s="1125" t="s">
        <v>10822</v>
      </c>
      <c r="C544" s="1126" t="s">
        <v>10796</v>
      </c>
      <c r="D544" s="1119">
        <v>81.58</v>
      </c>
      <c r="E544" s="1120">
        <v>23.57</v>
      </c>
      <c r="F544" s="1121">
        <f t="shared" si="1"/>
        <v>58.01</v>
      </c>
      <c r="G544" s="1120">
        <v>6.69</v>
      </c>
      <c r="H544" s="1127">
        <v>51.32</v>
      </c>
      <c r="I544" s="1127">
        <v>0.0</v>
      </c>
      <c r="J544" s="1127">
        <v>0.0</v>
      </c>
      <c r="K544" s="1124"/>
    </row>
    <row r="545" ht="15.75" customHeight="1">
      <c r="A545" s="1119">
        <v>5946.0</v>
      </c>
      <c r="B545" s="1125" t="s">
        <v>10823</v>
      </c>
      <c r="C545" s="1126" t="s">
        <v>10796</v>
      </c>
      <c r="D545" s="1119">
        <v>101.43</v>
      </c>
      <c r="E545" s="1120">
        <v>23.57</v>
      </c>
      <c r="F545" s="1121">
        <f t="shared" si="1"/>
        <v>77.86</v>
      </c>
      <c r="G545" s="1120">
        <v>6.69</v>
      </c>
      <c r="H545" s="1127">
        <v>71.17</v>
      </c>
      <c r="I545" s="1127">
        <v>0.0</v>
      </c>
      <c r="J545" s="1127">
        <v>0.0</v>
      </c>
      <c r="K545" s="1124"/>
    </row>
    <row r="546" ht="15.75" customHeight="1">
      <c r="A546" s="1119">
        <v>5952.0</v>
      </c>
      <c r="B546" s="1125" t="s">
        <v>10824</v>
      </c>
      <c r="C546" s="1126" t="s">
        <v>10796</v>
      </c>
      <c r="D546" s="1119">
        <v>27.88</v>
      </c>
      <c r="E546" s="1120">
        <v>19.8</v>
      </c>
      <c r="F546" s="1121">
        <f t="shared" si="1"/>
        <v>8.08</v>
      </c>
      <c r="G546" s="1120">
        <v>6.69</v>
      </c>
      <c r="H546" s="1127">
        <v>1.39</v>
      </c>
      <c r="I546" s="1127">
        <v>0.0</v>
      </c>
      <c r="J546" s="1127">
        <v>0.0</v>
      </c>
      <c r="K546" s="1124"/>
    </row>
    <row r="547" ht="15.75" customHeight="1">
      <c r="A547" s="1119">
        <v>5954.0</v>
      </c>
      <c r="B547" s="1125" t="s">
        <v>10825</v>
      </c>
      <c r="C547" s="1126" t="s">
        <v>10796</v>
      </c>
      <c r="D547" s="1119">
        <v>5.18</v>
      </c>
      <c r="E547" s="1120">
        <v>0.0</v>
      </c>
      <c r="F547" s="1121">
        <f t="shared" si="1"/>
        <v>5.18</v>
      </c>
      <c r="G547" s="1120">
        <v>0.0</v>
      </c>
      <c r="H547" s="1127">
        <v>5.18</v>
      </c>
      <c r="I547" s="1127">
        <v>0.0</v>
      </c>
      <c r="J547" s="1127">
        <v>0.0</v>
      </c>
      <c r="K547" s="1124"/>
    </row>
    <row r="548" ht="15.75" customHeight="1">
      <c r="A548" s="1119">
        <v>5961.0</v>
      </c>
      <c r="B548" s="1125" t="s">
        <v>10826</v>
      </c>
      <c r="C548" s="1126" t="s">
        <v>10796</v>
      </c>
      <c r="D548" s="1119">
        <v>64.42</v>
      </c>
      <c r="E548" s="1120">
        <v>25.8</v>
      </c>
      <c r="F548" s="1121">
        <f t="shared" si="1"/>
        <v>38.62</v>
      </c>
      <c r="G548" s="1120">
        <v>6.69</v>
      </c>
      <c r="H548" s="1127">
        <v>31.93</v>
      </c>
      <c r="I548" s="1127">
        <v>0.0</v>
      </c>
      <c r="J548" s="1127">
        <v>0.0</v>
      </c>
      <c r="K548" s="1124"/>
    </row>
    <row r="549" ht="15.75" customHeight="1">
      <c r="A549" s="1119">
        <v>6260.0</v>
      </c>
      <c r="B549" s="1125" t="s">
        <v>10827</v>
      </c>
      <c r="C549" s="1126" t="s">
        <v>10796</v>
      </c>
      <c r="D549" s="1119">
        <v>61.24</v>
      </c>
      <c r="E549" s="1120">
        <v>24.84</v>
      </c>
      <c r="F549" s="1121">
        <f t="shared" si="1"/>
        <v>36.4</v>
      </c>
      <c r="G549" s="1120">
        <v>6.69</v>
      </c>
      <c r="H549" s="1127">
        <v>29.71</v>
      </c>
      <c r="I549" s="1127">
        <v>0.0</v>
      </c>
      <c r="J549" s="1127">
        <v>0.0</v>
      </c>
      <c r="K549" s="1124"/>
    </row>
    <row r="550" ht="15.75" customHeight="1">
      <c r="A550" s="1119">
        <v>6880.0</v>
      </c>
      <c r="B550" s="1125" t="s">
        <v>10828</v>
      </c>
      <c r="C550" s="1126" t="s">
        <v>10796</v>
      </c>
      <c r="D550" s="1119">
        <v>83.42</v>
      </c>
      <c r="E550" s="1120">
        <v>20.9</v>
      </c>
      <c r="F550" s="1121">
        <f t="shared" si="1"/>
        <v>62.52</v>
      </c>
      <c r="G550" s="1120">
        <v>6.69</v>
      </c>
      <c r="H550" s="1127">
        <v>55.83</v>
      </c>
      <c r="I550" s="1127">
        <v>0.0</v>
      </c>
      <c r="J550" s="1127">
        <v>0.0</v>
      </c>
      <c r="K550" s="1124"/>
    </row>
    <row r="551" ht="15.75" customHeight="1">
      <c r="A551" s="1119">
        <v>7031.0</v>
      </c>
      <c r="B551" s="1125" t="s">
        <v>10829</v>
      </c>
      <c r="C551" s="1126" t="s">
        <v>10796</v>
      </c>
      <c r="D551" s="1119">
        <v>6.32</v>
      </c>
      <c r="E551" s="1120">
        <v>0.0</v>
      </c>
      <c r="F551" s="1121">
        <f t="shared" si="1"/>
        <v>6.32</v>
      </c>
      <c r="G551" s="1120">
        <v>0.0</v>
      </c>
      <c r="H551" s="1127">
        <v>6.32</v>
      </c>
      <c r="I551" s="1127">
        <v>0.0</v>
      </c>
      <c r="J551" s="1127">
        <v>0.0</v>
      </c>
      <c r="K551" s="1124"/>
    </row>
    <row r="552" ht="15.75" customHeight="1">
      <c r="A552" s="1119">
        <v>7043.0</v>
      </c>
      <c r="B552" s="1125" t="s">
        <v>10830</v>
      </c>
      <c r="C552" s="1126" t="s">
        <v>10796</v>
      </c>
      <c r="D552" s="1119">
        <v>0.31</v>
      </c>
      <c r="E552" s="1120">
        <v>0.0</v>
      </c>
      <c r="F552" s="1121">
        <f t="shared" si="1"/>
        <v>0.31</v>
      </c>
      <c r="G552" s="1120">
        <v>0.0</v>
      </c>
      <c r="H552" s="1127">
        <v>0.31</v>
      </c>
      <c r="I552" s="1127">
        <v>0.0</v>
      </c>
      <c r="J552" s="1127">
        <v>0.0</v>
      </c>
      <c r="K552" s="1124"/>
    </row>
    <row r="553" ht="15.75" customHeight="1">
      <c r="A553" s="1119">
        <v>7050.0</v>
      </c>
      <c r="B553" s="1125" t="s">
        <v>10831</v>
      </c>
      <c r="C553" s="1126" t="s">
        <v>10796</v>
      </c>
      <c r="D553" s="1119">
        <v>77.11</v>
      </c>
      <c r="E553" s="1120">
        <v>20.9</v>
      </c>
      <c r="F553" s="1121">
        <f t="shared" si="1"/>
        <v>56.21</v>
      </c>
      <c r="G553" s="1120">
        <v>6.69</v>
      </c>
      <c r="H553" s="1127">
        <v>49.52</v>
      </c>
      <c r="I553" s="1127">
        <v>0.0</v>
      </c>
      <c r="J553" s="1127">
        <v>0.0</v>
      </c>
      <c r="K553" s="1124"/>
    </row>
    <row r="554" ht="15.75" customHeight="1">
      <c r="A554" s="1119">
        <v>67827.0</v>
      </c>
      <c r="B554" s="1125" t="s">
        <v>10832</v>
      </c>
      <c r="C554" s="1126" t="s">
        <v>10796</v>
      </c>
      <c r="D554" s="1119">
        <v>65.51</v>
      </c>
      <c r="E554" s="1120">
        <v>25.8</v>
      </c>
      <c r="F554" s="1121">
        <f t="shared" si="1"/>
        <v>39.71</v>
      </c>
      <c r="G554" s="1120">
        <v>6.69</v>
      </c>
      <c r="H554" s="1127">
        <v>33.02</v>
      </c>
      <c r="I554" s="1127">
        <v>0.0</v>
      </c>
      <c r="J554" s="1127">
        <v>0.0</v>
      </c>
      <c r="K554" s="1124"/>
    </row>
    <row r="555" ht="15.75" customHeight="1">
      <c r="A555" s="1119">
        <v>73395.0</v>
      </c>
      <c r="B555" s="1125" t="s">
        <v>10833</v>
      </c>
      <c r="C555" s="1126" t="s">
        <v>10796</v>
      </c>
      <c r="D555" s="1119">
        <v>6.64</v>
      </c>
      <c r="E555" s="1120">
        <v>0.0</v>
      </c>
      <c r="F555" s="1121">
        <f t="shared" si="1"/>
        <v>6.64</v>
      </c>
      <c r="G555" s="1120">
        <v>0.0</v>
      </c>
      <c r="H555" s="1127">
        <v>6.64</v>
      </c>
      <c r="I555" s="1127">
        <v>0.0</v>
      </c>
      <c r="J555" s="1127">
        <v>0.0</v>
      </c>
      <c r="K555" s="1124"/>
    </row>
    <row r="556" ht="15.75" customHeight="1">
      <c r="A556" s="1119">
        <v>83766.0</v>
      </c>
      <c r="B556" s="1125" t="s">
        <v>10834</v>
      </c>
      <c r="C556" s="1126" t="s">
        <v>10796</v>
      </c>
      <c r="D556" s="1119">
        <v>42.68</v>
      </c>
      <c r="E556" s="1120">
        <v>25.12</v>
      </c>
      <c r="F556" s="1121">
        <f t="shared" si="1"/>
        <v>17.56</v>
      </c>
      <c r="G556" s="1120">
        <v>8.71</v>
      </c>
      <c r="H556" s="1127">
        <v>8.85</v>
      </c>
      <c r="I556" s="1127">
        <v>0.0</v>
      </c>
      <c r="J556" s="1127">
        <v>0.0</v>
      </c>
      <c r="K556" s="1124"/>
    </row>
    <row r="557" ht="15.75" customHeight="1">
      <c r="A557" s="1119">
        <v>84013.0</v>
      </c>
      <c r="B557" s="1125" t="s">
        <v>10835</v>
      </c>
      <c r="C557" s="1126" t="s">
        <v>10796</v>
      </c>
      <c r="D557" s="1119">
        <v>83.99</v>
      </c>
      <c r="E557" s="1120">
        <v>25.12</v>
      </c>
      <c r="F557" s="1121">
        <f t="shared" si="1"/>
        <v>58.87</v>
      </c>
      <c r="G557" s="1120">
        <v>6.69</v>
      </c>
      <c r="H557" s="1127">
        <v>52.18</v>
      </c>
      <c r="I557" s="1127">
        <v>0.0</v>
      </c>
      <c r="J557" s="1127">
        <v>0.0</v>
      </c>
      <c r="K557" s="1124"/>
    </row>
    <row r="558" ht="15.75" customHeight="1">
      <c r="A558" s="1119">
        <v>87446.0</v>
      </c>
      <c r="B558" s="1125" t="s">
        <v>10836</v>
      </c>
      <c r="C558" s="1126" t="s">
        <v>10796</v>
      </c>
      <c r="D558" s="1119">
        <v>0.45</v>
      </c>
      <c r="E558" s="1120">
        <v>0.0</v>
      </c>
      <c r="F558" s="1121">
        <f t="shared" si="1"/>
        <v>0.45</v>
      </c>
      <c r="G558" s="1120">
        <v>0.0</v>
      </c>
      <c r="H558" s="1127">
        <v>0.45</v>
      </c>
      <c r="I558" s="1127">
        <v>0.0</v>
      </c>
      <c r="J558" s="1127">
        <v>0.0</v>
      </c>
      <c r="K558" s="1124"/>
    </row>
    <row r="559" ht="15.75" customHeight="1">
      <c r="A559" s="1119">
        <v>88392.0</v>
      </c>
      <c r="B559" s="1125" t="s">
        <v>10837</v>
      </c>
      <c r="C559" s="1126" t="s">
        <v>10796</v>
      </c>
      <c r="D559" s="1119">
        <v>0.88</v>
      </c>
      <c r="E559" s="1120">
        <v>0.0</v>
      </c>
      <c r="F559" s="1121">
        <f t="shared" si="1"/>
        <v>0.88</v>
      </c>
      <c r="G559" s="1120">
        <v>0.0</v>
      </c>
      <c r="H559" s="1127">
        <v>0.88</v>
      </c>
      <c r="I559" s="1127">
        <v>0.0</v>
      </c>
      <c r="J559" s="1127">
        <v>0.0</v>
      </c>
      <c r="K559" s="1124"/>
    </row>
    <row r="560" ht="15.75" customHeight="1">
      <c r="A560" s="1119">
        <v>88398.0</v>
      </c>
      <c r="B560" s="1125" t="s">
        <v>10838</v>
      </c>
      <c r="C560" s="1126" t="s">
        <v>10796</v>
      </c>
      <c r="D560" s="1119">
        <v>1.05</v>
      </c>
      <c r="E560" s="1120">
        <v>0.0</v>
      </c>
      <c r="F560" s="1121">
        <f t="shared" si="1"/>
        <v>1.05</v>
      </c>
      <c r="G560" s="1120">
        <v>0.0</v>
      </c>
      <c r="H560" s="1127">
        <v>1.05</v>
      </c>
      <c r="I560" s="1127">
        <v>0.0</v>
      </c>
      <c r="J560" s="1127">
        <v>0.0</v>
      </c>
      <c r="K560" s="1124"/>
    </row>
    <row r="561" ht="15.75" customHeight="1">
      <c r="A561" s="1119">
        <v>88404.0</v>
      </c>
      <c r="B561" s="1125" t="s">
        <v>10839</v>
      </c>
      <c r="C561" s="1126" t="s">
        <v>10796</v>
      </c>
      <c r="D561" s="1119">
        <v>0.82</v>
      </c>
      <c r="E561" s="1120">
        <v>0.0</v>
      </c>
      <c r="F561" s="1121">
        <f t="shared" si="1"/>
        <v>0.82</v>
      </c>
      <c r="G561" s="1120">
        <v>0.0</v>
      </c>
      <c r="H561" s="1127">
        <v>0.82</v>
      </c>
      <c r="I561" s="1127">
        <v>0.0</v>
      </c>
      <c r="J561" s="1127">
        <v>0.0</v>
      </c>
      <c r="K561" s="1124"/>
    </row>
    <row r="562" ht="15.75" customHeight="1">
      <c r="A562" s="1119">
        <v>88430.0</v>
      </c>
      <c r="B562" s="1125" t="s">
        <v>10840</v>
      </c>
      <c r="C562" s="1126" t="s">
        <v>10796</v>
      </c>
      <c r="D562" s="1119">
        <v>5.58</v>
      </c>
      <c r="E562" s="1120">
        <v>0.0</v>
      </c>
      <c r="F562" s="1121">
        <f t="shared" si="1"/>
        <v>5.58</v>
      </c>
      <c r="G562" s="1120">
        <v>0.0</v>
      </c>
      <c r="H562" s="1127">
        <v>5.58</v>
      </c>
      <c r="I562" s="1127">
        <v>0.0</v>
      </c>
      <c r="J562" s="1127">
        <v>0.0</v>
      </c>
      <c r="K562" s="1124"/>
    </row>
    <row r="563" ht="15.75" customHeight="1">
      <c r="A563" s="1119">
        <v>88438.0</v>
      </c>
      <c r="B563" s="1125" t="s">
        <v>10841</v>
      </c>
      <c r="C563" s="1126" t="s">
        <v>10796</v>
      </c>
      <c r="D563" s="1119">
        <v>7.39</v>
      </c>
      <c r="E563" s="1120">
        <v>0.0</v>
      </c>
      <c r="F563" s="1121">
        <f t="shared" si="1"/>
        <v>7.39</v>
      </c>
      <c r="G563" s="1120">
        <v>0.0</v>
      </c>
      <c r="H563" s="1127">
        <v>7.39</v>
      </c>
      <c r="I563" s="1127">
        <v>0.0</v>
      </c>
      <c r="J563" s="1127">
        <v>0.0</v>
      </c>
      <c r="K563" s="1124"/>
    </row>
    <row r="564" ht="15.75" customHeight="1">
      <c r="A564" s="1119">
        <v>88831.0</v>
      </c>
      <c r="B564" s="1125" t="s">
        <v>10842</v>
      </c>
      <c r="C564" s="1126" t="s">
        <v>10796</v>
      </c>
      <c r="D564" s="1119">
        <v>0.32</v>
      </c>
      <c r="E564" s="1120">
        <v>0.0</v>
      </c>
      <c r="F564" s="1121">
        <f t="shared" si="1"/>
        <v>0.32</v>
      </c>
      <c r="G564" s="1120">
        <v>0.0</v>
      </c>
      <c r="H564" s="1127">
        <v>0.32</v>
      </c>
      <c r="I564" s="1127">
        <v>0.0</v>
      </c>
      <c r="J564" s="1127">
        <v>0.0</v>
      </c>
      <c r="K564" s="1124"/>
    </row>
    <row r="565" ht="15.75" customHeight="1">
      <c r="A565" s="1119">
        <v>88844.0</v>
      </c>
      <c r="B565" s="1125" t="s">
        <v>10843</v>
      </c>
      <c r="C565" s="1126" t="s">
        <v>10796</v>
      </c>
      <c r="D565" s="1119">
        <v>75.92</v>
      </c>
      <c r="E565" s="1120">
        <v>26.48</v>
      </c>
      <c r="F565" s="1121">
        <f t="shared" si="1"/>
        <v>49.44</v>
      </c>
      <c r="G565" s="1120">
        <v>49.44</v>
      </c>
      <c r="H565" s="1127">
        <v>0.0</v>
      </c>
      <c r="I565" s="1127">
        <v>0.0</v>
      </c>
      <c r="J565" s="1127">
        <v>0.0</v>
      </c>
      <c r="K565" s="1124"/>
    </row>
    <row r="566" ht="15.75" customHeight="1">
      <c r="A566" s="1119">
        <v>88908.0</v>
      </c>
      <c r="B566" s="1125" t="s">
        <v>10844</v>
      </c>
      <c r="C566" s="1126" t="s">
        <v>10796</v>
      </c>
      <c r="D566" s="1119">
        <v>92.65</v>
      </c>
      <c r="E566" s="1120">
        <v>25.12</v>
      </c>
      <c r="F566" s="1121">
        <f t="shared" si="1"/>
        <v>67.53</v>
      </c>
      <c r="G566" s="1120">
        <v>6.69</v>
      </c>
      <c r="H566" s="1127">
        <v>60.84</v>
      </c>
      <c r="I566" s="1127">
        <v>0.0</v>
      </c>
      <c r="J566" s="1127">
        <v>0.0</v>
      </c>
      <c r="K566" s="1124"/>
    </row>
    <row r="567" ht="15.75" customHeight="1">
      <c r="A567" s="1119">
        <v>89022.0</v>
      </c>
      <c r="B567" s="1125" t="s">
        <v>10845</v>
      </c>
      <c r="C567" s="1126" t="s">
        <v>10796</v>
      </c>
      <c r="D567" s="1119">
        <v>0.45</v>
      </c>
      <c r="E567" s="1120">
        <v>0.0</v>
      </c>
      <c r="F567" s="1121">
        <f t="shared" si="1"/>
        <v>0.45</v>
      </c>
      <c r="G567" s="1120">
        <v>0.0</v>
      </c>
      <c r="H567" s="1127">
        <v>0.45</v>
      </c>
      <c r="I567" s="1127">
        <v>0.0</v>
      </c>
      <c r="J567" s="1127">
        <v>0.0</v>
      </c>
      <c r="K567" s="1124"/>
    </row>
    <row r="568" ht="15.75" customHeight="1">
      <c r="A568" s="1119">
        <v>89027.0</v>
      </c>
      <c r="B568" s="1125" t="s">
        <v>10846</v>
      </c>
      <c r="C568" s="1126" t="s">
        <v>10796</v>
      </c>
      <c r="D568" s="1119">
        <v>5.13</v>
      </c>
      <c r="E568" s="1120">
        <v>0.0</v>
      </c>
      <c r="F568" s="1121">
        <f t="shared" si="1"/>
        <v>5.13</v>
      </c>
      <c r="G568" s="1120">
        <v>0.0</v>
      </c>
      <c r="H568" s="1127">
        <v>5.13</v>
      </c>
      <c r="I568" s="1127">
        <v>0.0</v>
      </c>
      <c r="J568" s="1127">
        <v>0.0</v>
      </c>
      <c r="K568" s="1124"/>
    </row>
    <row r="569" ht="15.75" customHeight="1">
      <c r="A569" s="1119">
        <v>89031.0</v>
      </c>
      <c r="B569" s="1125" t="s">
        <v>10847</v>
      </c>
      <c r="C569" s="1126" t="s">
        <v>10796</v>
      </c>
      <c r="D569" s="1119">
        <v>74.01</v>
      </c>
      <c r="E569" s="1120">
        <v>26.48</v>
      </c>
      <c r="F569" s="1121">
        <f t="shared" si="1"/>
        <v>47.53</v>
      </c>
      <c r="G569" s="1120">
        <v>6.69</v>
      </c>
      <c r="H569" s="1127">
        <v>40.84</v>
      </c>
      <c r="I569" s="1127">
        <v>0.0</v>
      </c>
      <c r="J569" s="1127">
        <v>0.0</v>
      </c>
      <c r="K569" s="1124"/>
    </row>
    <row r="570" ht="15.75" customHeight="1">
      <c r="A570" s="1119">
        <v>89036.0</v>
      </c>
      <c r="B570" s="1125" t="s">
        <v>10848</v>
      </c>
      <c r="C570" s="1126" t="s">
        <v>10796</v>
      </c>
      <c r="D570" s="1119">
        <v>49.85</v>
      </c>
      <c r="E570" s="1120">
        <v>26.48</v>
      </c>
      <c r="F570" s="1121">
        <f t="shared" si="1"/>
        <v>23.37</v>
      </c>
      <c r="G570" s="1120">
        <v>6.69</v>
      </c>
      <c r="H570" s="1127">
        <v>16.68</v>
      </c>
      <c r="I570" s="1127">
        <v>0.0</v>
      </c>
      <c r="J570" s="1127">
        <v>0.0</v>
      </c>
      <c r="K570" s="1124"/>
    </row>
    <row r="571" ht="15.75" customHeight="1">
      <c r="A571" s="1119">
        <v>89218.0</v>
      </c>
      <c r="B571" s="1125" t="s">
        <v>10849</v>
      </c>
      <c r="C571" s="1126" t="s">
        <v>10796</v>
      </c>
      <c r="D571" s="1119">
        <v>91.7</v>
      </c>
      <c r="E571" s="1120">
        <v>44.86</v>
      </c>
      <c r="F571" s="1121">
        <f t="shared" si="1"/>
        <v>46.84</v>
      </c>
      <c r="G571" s="1120">
        <v>13.38</v>
      </c>
      <c r="H571" s="1127">
        <v>33.46</v>
      </c>
      <c r="I571" s="1127">
        <v>0.0</v>
      </c>
      <c r="J571" s="1127">
        <v>0.0</v>
      </c>
      <c r="K571" s="1124"/>
    </row>
    <row r="572" ht="15.75" customHeight="1">
      <c r="A572" s="1119">
        <v>89226.0</v>
      </c>
      <c r="B572" s="1125" t="s">
        <v>10850</v>
      </c>
      <c r="C572" s="1126" t="s">
        <v>10796</v>
      </c>
      <c r="D572" s="1119">
        <v>1.35</v>
      </c>
      <c r="E572" s="1120">
        <v>0.0</v>
      </c>
      <c r="F572" s="1121">
        <f t="shared" si="1"/>
        <v>1.35</v>
      </c>
      <c r="G572" s="1120">
        <v>0.0</v>
      </c>
      <c r="H572" s="1127">
        <v>1.35</v>
      </c>
      <c r="I572" s="1127">
        <v>0.0</v>
      </c>
      <c r="J572" s="1127">
        <v>0.0</v>
      </c>
      <c r="K572" s="1124"/>
    </row>
    <row r="573" ht="15.75" customHeight="1">
      <c r="A573" s="1119">
        <v>89235.0</v>
      </c>
      <c r="B573" s="1125" t="s">
        <v>10851</v>
      </c>
      <c r="C573" s="1126" t="s">
        <v>10796</v>
      </c>
      <c r="D573" s="1119">
        <v>180.99</v>
      </c>
      <c r="E573" s="1120">
        <v>23.98</v>
      </c>
      <c r="F573" s="1121">
        <f t="shared" si="1"/>
        <v>157.01</v>
      </c>
      <c r="G573" s="1120">
        <v>6.69</v>
      </c>
      <c r="H573" s="1127">
        <v>150.32</v>
      </c>
      <c r="I573" s="1127">
        <v>0.0</v>
      </c>
      <c r="J573" s="1127">
        <v>0.0</v>
      </c>
      <c r="K573" s="1124"/>
    </row>
    <row r="574" ht="15.75" customHeight="1">
      <c r="A574" s="1119">
        <v>89243.0</v>
      </c>
      <c r="B574" s="1125" t="s">
        <v>10852</v>
      </c>
      <c r="C574" s="1126" t="s">
        <v>10796</v>
      </c>
      <c r="D574" s="1119">
        <v>381.82</v>
      </c>
      <c r="E574" s="1120">
        <v>23.98</v>
      </c>
      <c r="F574" s="1121">
        <f t="shared" si="1"/>
        <v>357.84</v>
      </c>
      <c r="G574" s="1120">
        <v>6.69</v>
      </c>
      <c r="H574" s="1127">
        <v>351.15</v>
      </c>
      <c r="I574" s="1127">
        <v>0.0</v>
      </c>
      <c r="J574" s="1127">
        <v>0.0</v>
      </c>
      <c r="K574" s="1124"/>
    </row>
    <row r="575" ht="15.75" customHeight="1">
      <c r="A575" s="1119">
        <v>89251.0</v>
      </c>
      <c r="B575" s="1125" t="s">
        <v>10853</v>
      </c>
      <c r="C575" s="1126" t="s">
        <v>10796</v>
      </c>
      <c r="D575" s="1119">
        <v>335.79</v>
      </c>
      <c r="E575" s="1120">
        <v>23.98</v>
      </c>
      <c r="F575" s="1121">
        <f t="shared" si="1"/>
        <v>311.81</v>
      </c>
      <c r="G575" s="1120">
        <v>6.69</v>
      </c>
      <c r="H575" s="1127">
        <v>305.12</v>
      </c>
      <c r="I575" s="1127">
        <v>0.0</v>
      </c>
      <c r="J575" s="1127">
        <v>0.0</v>
      </c>
      <c r="K575" s="1124"/>
    </row>
    <row r="576" ht="15.75" customHeight="1">
      <c r="A576" s="1119">
        <v>89258.0</v>
      </c>
      <c r="B576" s="1125" t="s">
        <v>10854</v>
      </c>
      <c r="C576" s="1126" t="s">
        <v>10796</v>
      </c>
      <c r="D576" s="1119">
        <v>120.62</v>
      </c>
      <c r="E576" s="1120">
        <v>23.98</v>
      </c>
      <c r="F576" s="1121">
        <f t="shared" si="1"/>
        <v>96.64</v>
      </c>
      <c r="G576" s="1120">
        <v>6.69</v>
      </c>
      <c r="H576" s="1127">
        <v>89.95</v>
      </c>
      <c r="I576" s="1127">
        <v>0.0</v>
      </c>
      <c r="J576" s="1127">
        <v>0.0</v>
      </c>
      <c r="K576" s="1124"/>
    </row>
    <row r="577" ht="15.75" customHeight="1">
      <c r="A577" s="1119">
        <v>89273.0</v>
      </c>
      <c r="B577" s="1125" t="s">
        <v>10855</v>
      </c>
      <c r="C577" s="1126" t="s">
        <v>10796</v>
      </c>
      <c r="D577" s="1119">
        <v>130.39</v>
      </c>
      <c r="E577" s="1120">
        <v>57.16</v>
      </c>
      <c r="F577" s="1121">
        <f t="shared" si="1"/>
        <v>73.23</v>
      </c>
      <c r="G577" s="1120">
        <v>6.69</v>
      </c>
      <c r="H577" s="1127">
        <v>66.54</v>
      </c>
      <c r="I577" s="1127">
        <v>0.0</v>
      </c>
      <c r="J577" s="1127">
        <v>0.0</v>
      </c>
      <c r="K577" s="1124"/>
    </row>
    <row r="578" ht="15.75" customHeight="1">
      <c r="A578" s="1119">
        <v>89279.0</v>
      </c>
      <c r="B578" s="1125" t="s">
        <v>10856</v>
      </c>
      <c r="C578" s="1126" t="s">
        <v>10796</v>
      </c>
      <c r="D578" s="1119">
        <v>1.64</v>
      </c>
      <c r="E578" s="1120">
        <v>0.0</v>
      </c>
      <c r="F578" s="1121">
        <f t="shared" si="1"/>
        <v>1.64</v>
      </c>
      <c r="G578" s="1120">
        <v>0.0</v>
      </c>
      <c r="H578" s="1127">
        <v>1.64</v>
      </c>
      <c r="I578" s="1127">
        <v>0.0</v>
      </c>
      <c r="J578" s="1127">
        <v>0.0</v>
      </c>
      <c r="K578" s="1124"/>
    </row>
    <row r="579" ht="15.75" customHeight="1">
      <c r="A579" s="1119">
        <v>89877.0</v>
      </c>
      <c r="B579" s="1125" t="s">
        <v>10857</v>
      </c>
      <c r="C579" s="1126" t="s">
        <v>10796</v>
      </c>
      <c r="D579" s="1119">
        <v>88.03</v>
      </c>
      <c r="E579" s="1120">
        <v>25.8</v>
      </c>
      <c r="F579" s="1121">
        <f t="shared" si="1"/>
        <v>62.23</v>
      </c>
      <c r="G579" s="1120">
        <v>6.69</v>
      </c>
      <c r="H579" s="1127">
        <v>55.54</v>
      </c>
      <c r="I579" s="1127">
        <v>0.0</v>
      </c>
      <c r="J579" s="1127">
        <v>0.0</v>
      </c>
      <c r="K579" s="1124"/>
    </row>
    <row r="580" ht="15.75" customHeight="1">
      <c r="A580" s="1119">
        <v>89884.0</v>
      </c>
      <c r="B580" s="1125" t="s">
        <v>10858</v>
      </c>
      <c r="C580" s="1126" t="s">
        <v>10796</v>
      </c>
      <c r="D580" s="1119">
        <v>92.09</v>
      </c>
      <c r="E580" s="1120">
        <v>25.8</v>
      </c>
      <c r="F580" s="1121">
        <f t="shared" si="1"/>
        <v>66.29</v>
      </c>
      <c r="G580" s="1120">
        <v>6.69</v>
      </c>
      <c r="H580" s="1127">
        <v>59.6</v>
      </c>
      <c r="I580" s="1127">
        <v>0.0</v>
      </c>
      <c r="J580" s="1127">
        <v>0.0</v>
      </c>
      <c r="K580" s="1124"/>
    </row>
    <row r="581" ht="15.75" customHeight="1">
      <c r="A581" s="1119">
        <v>90587.0</v>
      </c>
      <c r="B581" s="1125" t="s">
        <v>10859</v>
      </c>
      <c r="C581" s="1126" t="s">
        <v>10796</v>
      </c>
      <c r="D581" s="1119">
        <v>0.49</v>
      </c>
      <c r="E581" s="1120">
        <v>0.0</v>
      </c>
      <c r="F581" s="1121">
        <f t="shared" si="1"/>
        <v>0.49</v>
      </c>
      <c r="G581" s="1120">
        <v>0.0</v>
      </c>
      <c r="H581" s="1127">
        <v>0.49</v>
      </c>
      <c r="I581" s="1127">
        <v>0.0</v>
      </c>
      <c r="J581" s="1127">
        <v>0.0</v>
      </c>
      <c r="K581" s="1124"/>
    </row>
    <row r="582" ht="15.75" customHeight="1">
      <c r="A582" s="1119">
        <v>90626.0</v>
      </c>
      <c r="B582" s="1125" t="s">
        <v>10860</v>
      </c>
      <c r="C582" s="1126" t="s">
        <v>10796</v>
      </c>
      <c r="D582" s="1119">
        <v>1.85</v>
      </c>
      <c r="E582" s="1120">
        <v>0.0</v>
      </c>
      <c r="F582" s="1121">
        <f t="shared" si="1"/>
        <v>1.85</v>
      </c>
      <c r="G582" s="1120">
        <v>0.0</v>
      </c>
      <c r="H582" s="1127">
        <v>1.85</v>
      </c>
      <c r="I582" s="1127">
        <v>0.0</v>
      </c>
      <c r="J582" s="1127">
        <v>0.0</v>
      </c>
      <c r="K582" s="1124"/>
    </row>
    <row r="583" ht="15.75" customHeight="1">
      <c r="A583" s="1119">
        <v>90632.0</v>
      </c>
      <c r="B583" s="1125" t="s">
        <v>10861</v>
      </c>
      <c r="C583" s="1126" t="s">
        <v>10796</v>
      </c>
      <c r="D583" s="1119">
        <v>87.12</v>
      </c>
      <c r="E583" s="1120">
        <v>24.7</v>
      </c>
      <c r="F583" s="1121">
        <f t="shared" si="1"/>
        <v>62.42</v>
      </c>
      <c r="G583" s="1120">
        <v>6.69</v>
      </c>
      <c r="H583" s="1127">
        <v>55.73</v>
      </c>
      <c r="I583" s="1127">
        <v>0.0</v>
      </c>
      <c r="J583" s="1127">
        <v>0.0</v>
      </c>
      <c r="K583" s="1124"/>
    </row>
    <row r="584" ht="15.75" customHeight="1">
      <c r="A584" s="1119">
        <v>90638.0</v>
      </c>
      <c r="B584" s="1125" t="s">
        <v>10862</v>
      </c>
      <c r="C584" s="1126" t="s">
        <v>10796</v>
      </c>
      <c r="D584" s="1119">
        <v>4.29</v>
      </c>
      <c r="E584" s="1120">
        <v>0.0</v>
      </c>
      <c r="F584" s="1121">
        <f t="shared" si="1"/>
        <v>4.29</v>
      </c>
      <c r="G584" s="1120">
        <v>0.0</v>
      </c>
      <c r="H584" s="1127">
        <v>4.29</v>
      </c>
      <c r="I584" s="1127">
        <v>0.0</v>
      </c>
      <c r="J584" s="1127">
        <v>0.0</v>
      </c>
      <c r="K584" s="1124"/>
    </row>
    <row r="585" ht="15.75" customHeight="1">
      <c r="A585" s="1119">
        <v>90644.0</v>
      </c>
      <c r="B585" s="1125" t="s">
        <v>10863</v>
      </c>
      <c r="C585" s="1126" t="s">
        <v>10796</v>
      </c>
      <c r="D585" s="1119">
        <v>6.41</v>
      </c>
      <c r="E585" s="1120">
        <v>0.0</v>
      </c>
      <c r="F585" s="1121">
        <f t="shared" si="1"/>
        <v>6.41</v>
      </c>
      <c r="G585" s="1120">
        <v>0.0</v>
      </c>
      <c r="H585" s="1127">
        <v>6.41</v>
      </c>
      <c r="I585" s="1127">
        <v>0.0</v>
      </c>
      <c r="J585" s="1127">
        <v>0.0</v>
      </c>
      <c r="K585" s="1124"/>
    </row>
    <row r="586" ht="15.75" customHeight="1">
      <c r="A586" s="1119">
        <v>90651.0</v>
      </c>
      <c r="B586" s="1125" t="s">
        <v>10864</v>
      </c>
      <c r="C586" s="1126" t="s">
        <v>10796</v>
      </c>
      <c r="D586" s="1119">
        <v>0.91</v>
      </c>
      <c r="E586" s="1120">
        <v>0.0</v>
      </c>
      <c r="F586" s="1121">
        <f t="shared" si="1"/>
        <v>0.91</v>
      </c>
      <c r="G586" s="1120">
        <v>0.0</v>
      </c>
      <c r="H586" s="1127">
        <v>0.91</v>
      </c>
      <c r="I586" s="1127">
        <v>0.0</v>
      </c>
      <c r="J586" s="1127">
        <v>0.0</v>
      </c>
      <c r="K586" s="1124"/>
    </row>
    <row r="587" ht="15.75" customHeight="1">
      <c r="A587" s="1119">
        <v>90657.0</v>
      </c>
      <c r="B587" s="1125" t="s">
        <v>10865</v>
      </c>
      <c r="C587" s="1126" t="s">
        <v>10796</v>
      </c>
      <c r="D587" s="1119">
        <v>4.17</v>
      </c>
      <c r="E587" s="1120">
        <v>0.0</v>
      </c>
      <c r="F587" s="1121">
        <f t="shared" si="1"/>
        <v>4.17</v>
      </c>
      <c r="G587" s="1120">
        <v>0.0</v>
      </c>
      <c r="H587" s="1127">
        <v>4.17</v>
      </c>
      <c r="I587" s="1127">
        <v>0.0</v>
      </c>
      <c r="J587" s="1127">
        <v>0.0</v>
      </c>
      <c r="K587" s="1124"/>
    </row>
    <row r="588" ht="15.75" customHeight="1">
      <c r="A588" s="1119">
        <v>90663.0</v>
      </c>
      <c r="B588" s="1125" t="s">
        <v>10866</v>
      </c>
      <c r="C588" s="1126" t="s">
        <v>10796</v>
      </c>
      <c r="D588" s="1119">
        <v>4.46</v>
      </c>
      <c r="E588" s="1120">
        <v>0.0</v>
      </c>
      <c r="F588" s="1121">
        <f t="shared" si="1"/>
        <v>4.46</v>
      </c>
      <c r="G588" s="1120">
        <v>0.0</v>
      </c>
      <c r="H588" s="1127">
        <v>4.46</v>
      </c>
      <c r="I588" s="1127">
        <v>0.0</v>
      </c>
      <c r="J588" s="1127">
        <v>0.0</v>
      </c>
      <c r="K588" s="1124"/>
    </row>
    <row r="589" ht="15.75" customHeight="1">
      <c r="A589" s="1119">
        <v>90669.0</v>
      </c>
      <c r="B589" s="1125" t="s">
        <v>10867</v>
      </c>
      <c r="C589" s="1126" t="s">
        <v>10796</v>
      </c>
      <c r="D589" s="1119">
        <v>7.26</v>
      </c>
      <c r="E589" s="1120">
        <v>0.0</v>
      </c>
      <c r="F589" s="1121">
        <f t="shared" si="1"/>
        <v>7.26</v>
      </c>
      <c r="G589" s="1120">
        <v>0.0</v>
      </c>
      <c r="H589" s="1127">
        <v>7.26</v>
      </c>
      <c r="I589" s="1127">
        <v>0.0</v>
      </c>
      <c r="J589" s="1127">
        <v>0.0</v>
      </c>
      <c r="K589" s="1124"/>
    </row>
    <row r="590" ht="15.75" customHeight="1">
      <c r="A590" s="1119">
        <v>90675.0</v>
      </c>
      <c r="B590" s="1125" t="s">
        <v>10868</v>
      </c>
      <c r="C590" s="1126" t="s">
        <v>10796</v>
      </c>
      <c r="D590" s="1119">
        <v>287.58</v>
      </c>
      <c r="E590" s="1120">
        <v>24.7</v>
      </c>
      <c r="F590" s="1121">
        <f t="shared" si="1"/>
        <v>262.88</v>
      </c>
      <c r="G590" s="1120">
        <v>6.69</v>
      </c>
      <c r="H590" s="1127">
        <v>256.19</v>
      </c>
      <c r="I590" s="1127">
        <v>0.0</v>
      </c>
      <c r="J590" s="1127">
        <v>0.0</v>
      </c>
      <c r="K590" s="1124"/>
    </row>
    <row r="591" ht="15.75" customHeight="1">
      <c r="A591" s="1119">
        <v>90681.0</v>
      </c>
      <c r="B591" s="1125" t="s">
        <v>10869</v>
      </c>
      <c r="C591" s="1126" t="s">
        <v>10796</v>
      </c>
      <c r="D591" s="1119">
        <v>171.36</v>
      </c>
      <c r="E591" s="1120">
        <v>24.7</v>
      </c>
      <c r="F591" s="1121">
        <f t="shared" si="1"/>
        <v>146.66</v>
      </c>
      <c r="G591" s="1120">
        <v>6.69</v>
      </c>
      <c r="H591" s="1127">
        <v>139.97</v>
      </c>
      <c r="I591" s="1127">
        <v>0.0</v>
      </c>
      <c r="J591" s="1127">
        <v>0.0</v>
      </c>
      <c r="K591" s="1124"/>
    </row>
    <row r="592" ht="15.75" customHeight="1">
      <c r="A592" s="1119">
        <v>90687.0</v>
      </c>
      <c r="B592" s="1125" t="s">
        <v>10870</v>
      </c>
      <c r="C592" s="1126" t="s">
        <v>10796</v>
      </c>
      <c r="D592" s="1119">
        <v>66.66</v>
      </c>
      <c r="E592" s="1120">
        <v>23.57</v>
      </c>
      <c r="F592" s="1121">
        <f t="shared" si="1"/>
        <v>43.09</v>
      </c>
      <c r="G592" s="1120">
        <v>6.69</v>
      </c>
      <c r="H592" s="1127">
        <v>36.4</v>
      </c>
      <c r="I592" s="1127">
        <v>0.0</v>
      </c>
      <c r="J592" s="1127">
        <v>0.0</v>
      </c>
      <c r="K592" s="1124"/>
    </row>
    <row r="593" ht="15.75" customHeight="1">
      <c r="A593" s="1119">
        <v>90693.0</v>
      </c>
      <c r="B593" s="1125" t="s">
        <v>10871</v>
      </c>
      <c r="C593" s="1126" t="s">
        <v>10796</v>
      </c>
      <c r="D593" s="1119">
        <v>54.48</v>
      </c>
      <c r="E593" s="1120">
        <v>23.57</v>
      </c>
      <c r="F593" s="1121">
        <f t="shared" si="1"/>
        <v>30.91</v>
      </c>
      <c r="G593" s="1120">
        <v>6.69</v>
      </c>
      <c r="H593" s="1127">
        <v>24.22</v>
      </c>
      <c r="I593" s="1127">
        <v>0.0</v>
      </c>
      <c r="J593" s="1127">
        <v>0.0</v>
      </c>
      <c r="K593" s="1124"/>
    </row>
    <row r="594" ht="15.75" customHeight="1">
      <c r="A594" s="1119">
        <v>90965.0</v>
      </c>
      <c r="B594" s="1125" t="s">
        <v>10872</v>
      </c>
      <c r="C594" s="1126" t="s">
        <v>10796</v>
      </c>
      <c r="D594" s="1119">
        <v>6.92</v>
      </c>
      <c r="E594" s="1120">
        <v>0.0</v>
      </c>
      <c r="F594" s="1121">
        <f t="shared" si="1"/>
        <v>6.92</v>
      </c>
      <c r="G594" s="1120">
        <v>0.0</v>
      </c>
      <c r="H594" s="1127">
        <v>6.92</v>
      </c>
      <c r="I594" s="1127">
        <v>0.0</v>
      </c>
      <c r="J594" s="1127">
        <v>0.0</v>
      </c>
      <c r="K594" s="1124"/>
    </row>
    <row r="595" ht="15.75" customHeight="1">
      <c r="A595" s="1119">
        <v>90973.0</v>
      </c>
      <c r="B595" s="1125" t="s">
        <v>10873</v>
      </c>
      <c r="C595" s="1126" t="s">
        <v>10796</v>
      </c>
      <c r="D595" s="1119">
        <v>6.94</v>
      </c>
      <c r="E595" s="1120">
        <v>0.0</v>
      </c>
      <c r="F595" s="1121">
        <f t="shared" si="1"/>
        <v>6.94</v>
      </c>
      <c r="G595" s="1120">
        <v>0.0</v>
      </c>
      <c r="H595" s="1127">
        <v>6.94</v>
      </c>
      <c r="I595" s="1127">
        <v>0.0</v>
      </c>
      <c r="J595" s="1127">
        <v>0.0</v>
      </c>
      <c r="K595" s="1124"/>
    </row>
    <row r="596" ht="15.75" customHeight="1">
      <c r="A596" s="1119">
        <v>90982.0</v>
      </c>
      <c r="B596" s="1125" t="s">
        <v>10874</v>
      </c>
      <c r="C596" s="1126" t="s">
        <v>10796</v>
      </c>
      <c r="D596" s="1119">
        <v>17.64</v>
      </c>
      <c r="E596" s="1120">
        <v>0.0</v>
      </c>
      <c r="F596" s="1121">
        <f t="shared" si="1"/>
        <v>17.64</v>
      </c>
      <c r="G596" s="1120">
        <v>0.0</v>
      </c>
      <c r="H596" s="1127">
        <v>17.64</v>
      </c>
      <c r="I596" s="1127">
        <v>0.0</v>
      </c>
      <c r="J596" s="1127">
        <v>0.0</v>
      </c>
      <c r="K596" s="1124"/>
    </row>
    <row r="597" ht="15.75" customHeight="1">
      <c r="A597" s="1119">
        <v>91001.0</v>
      </c>
      <c r="B597" s="1125" t="s">
        <v>10875</v>
      </c>
      <c r="C597" s="1126" t="s">
        <v>10796</v>
      </c>
      <c r="D597" s="1119">
        <v>8.23</v>
      </c>
      <c r="E597" s="1120">
        <v>0.0</v>
      </c>
      <c r="F597" s="1121">
        <f t="shared" si="1"/>
        <v>8.23</v>
      </c>
      <c r="G597" s="1120">
        <v>0.0</v>
      </c>
      <c r="H597" s="1127">
        <v>8.23</v>
      </c>
      <c r="I597" s="1127">
        <v>0.0</v>
      </c>
      <c r="J597" s="1127">
        <v>0.0</v>
      </c>
      <c r="K597" s="1124"/>
    </row>
    <row r="598" ht="15.75" customHeight="1">
      <c r="A598" s="1119">
        <v>91032.0</v>
      </c>
      <c r="B598" s="1125" t="s">
        <v>10876</v>
      </c>
      <c r="C598" s="1126" t="s">
        <v>10796</v>
      </c>
      <c r="D598" s="1119">
        <v>67.13</v>
      </c>
      <c r="E598" s="1120">
        <v>24.84</v>
      </c>
      <c r="F598" s="1121">
        <f t="shared" si="1"/>
        <v>42.29</v>
      </c>
      <c r="G598" s="1120">
        <v>6.69</v>
      </c>
      <c r="H598" s="1127">
        <v>35.6</v>
      </c>
      <c r="I598" s="1127">
        <v>0.0</v>
      </c>
      <c r="J598" s="1127">
        <v>0.0</v>
      </c>
      <c r="K598" s="1124"/>
    </row>
    <row r="599" ht="15.75" customHeight="1">
      <c r="A599" s="1119">
        <v>91278.0</v>
      </c>
      <c r="B599" s="1125" t="s">
        <v>10877</v>
      </c>
      <c r="C599" s="1126" t="s">
        <v>10796</v>
      </c>
      <c r="D599" s="1119">
        <v>0.51</v>
      </c>
      <c r="E599" s="1120">
        <v>0.0</v>
      </c>
      <c r="F599" s="1121">
        <f t="shared" si="1"/>
        <v>0.51</v>
      </c>
      <c r="G599" s="1120">
        <v>0.0</v>
      </c>
      <c r="H599" s="1127">
        <v>0.51</v>
      </c>
      <c r="I599" s="1127">
        <v>0.0</v>
      </c>
      <c r="J599" s="1127">
        <v>0.0</v>
      </c>
      <c r="K599" s="1124"/>
    </row>
    <row r="600" ht="15.75" customHeight="1">
      <c r="A600" s="1119">
        <v>91285.0</v>
      </c>
      <c r="B600" s="1125" t="s">
        <v>10878</v>
      </c>
      <c r="C600" s="1126" t="s">
        <v>10796</v>
      </c>
      <c r="D600" s="1119">
        <v>1.0</v>
      </c>
      <c r="E600" s="1120">
        <v>0.0</v>
      </c>
      <c r="F600" s="1121">
        <f t="shared" si="1"/>
        <v>1</v>
      </c>
      <c r="G600" s="1120">
        <v>0.0</v>
      </c>
      <c r="H600" s="1127">
        <v>1.0</v>
      </c>
      <c r="I600" s="1127">
        <v>0.0</v>
      </c>
      <c r="J600" s="1127">
        <v>0.0</v>
      </c>
      <c r="K600" s="1124"/>
    </row>
    <row r="601" ht="15.75" customHeight="1">
      <c r="A601" s="1119">
        <v>91387.0</v>
      </c>
      <c r="B601" s="1125" t="s">
        <v>10879</v>
      </c>
      <c r="C601" s="1126" t="s">
        <v>10796</v>
      </c>
      <c r="D601" s="1119">
        <v>74.51</v>
      </c>
      <c r="E601" s="1120">
        <v>25.8</v>
      </c>
      <c r="F601" s="1121">
        <f t="shared" si="1"/>
        <v>48.71</v>
      </c>
      <c r="G601" s="1120">
        <v>6.69</v>
      </c>
      <c r="H601" s="1127">
        <v>42.02</v>
      </c>
      <c r="I601" s="1127">
        <v>0.0</v>
      </c>
      <c r="J601" s="1127">
        <v>0.0</v>
      </c>
      <c r="K601" s="1124"/>
    </row>
    <row r="602" ht="15.75" customHeight="1">
      <c r="A602" s="1119">
        <v>91395.0</v>
      </c>
      <c r="B602" s="1125" t="s">
        <v>10880</v>
      </c>
      <c r="C602" s="1126" t="s">
        <v>10796</v>
      </c>
      <c r="D602" s="1119">
        <v>59.22</v>
      </c>
      <c r="E602" s="1120">
        <v>24.84</v>
      </c>
      <c r="F602" s="1121">
        <f t="shared" si="1"/>
        <v>34.38</v>
      </c>
      <c r="G602" s="1120">
        <v>6.69</v>
      </c>
      <c r="H602" s="1127">
        <v>27.69</v>
      </c>
      <c r="I602" s="1127">
        <v>0.0</v>
      </c>
      <c r="J602" s="1127">
        <v>0.0</v>
      </c>
      <c r="K602" s="1124"/>
    </row>
    <row r="603" ht="15.75" customHeight="1">
      <c r="A603" s="1119">
        <v>91486.0</v>
      </c>
      <c r="B603" s="1125" t="s">
        <v>10881</v>
      </c>
      <c r="C603" s="1126" t="s">
        <v>10796</v>
      </c>
      <c r="D603" s="1119">
        <v>70.63</v>
      </c>
      <c r="E603" s="1120">
        <v>24.84</v>
      </c>
      <c r="F603" s="1121">
        <f t="shared" si="1"/>
        <v>45.79</v>
      </c>
      <c r="G603" s="1120">
        <v>6.69</v>
      </c>
      <c r="H603" s="1127">
        <v>39.1</v>
      </c>
      <c r="I603" s="1127">
        <v>0.0</v>
      </c>
      <c r="J603" s="1127">
        <v>0.0</v>
      </c>
      <c r="K603" s="1124"/>
    </row>
    <row r="604" ht="15.75" customHeight="1">
      <c r="A604" s="1119">
        <v>91534.0</v>
      </c>
      <c r="B604" s="1125" t="s">
        <v>10882</v>
      </c>
      <c r="C604" s="1126" t="s">
        <v>10796</v>
      </c>
      <c r="D604" s="1119">
        <v>32.15</v>
      </c>
      <c r="E604" s="1120">
        <v>24.7</v>
      </c>
      <c r="F604" s="1121">
        <f t="shared" si="1"/>
        <v>7.45</v>
      </c>
      <c r="G604" s="1120">
        <v>6.69</v>
      </c>
      <c r="H604" s="1127">
        <v>0.76</v>
      </c>
      <c r="I604" s="1127">
        <v>0.0</v>
      </c>
      <c r="J604" s="1127">
        <v>0.0</v>
      </c>
      <c r="K604" s="1124"/>
    </row>
    <row r="605" ht="15.75" customHeight="1">
      <c r="A605" s="1119">
        <v>91635.0</v>
      </c>
      <c r="B605" s="1125" t="s">
        <v>10883</v>
      </c>
      <c r="C605" s="1126" t="s">
        <v>10796</v>
      </c>
      <c r="D605" s="1119">
        <v>64.53</v>
      </c>
      <c r="E605" s="1120">
        <v>28.18</v>
      </c>
      <c r="F605" s="1121">
        <f t="shared" si="1"/>
        <v>36.35</v>
      </c>
      <c r="G605" s="1120">
        <v>6.69</v>
      </c>
      <c r="H605" s="1127">
        <v>29.66</v>
      </c>
      <c r="I605" s="1127">
        <v>0.0</v>
      </c>
      <c r="J605" s="1127">
        <v>0.0</v>
      </c>
      <c r="K605" s="1124"/>
    </row>
    <row r="606" ht="15.75" customHeight="1">
      <c r="A606" s="1119">
        <v>91646.0</v>
      </c>
      <c r="B606" s="1125" t="s">
        <v>10884</v>
      </c>
      <c r="C606" s="1126" t="s">
        <v>10796</v>
      </c>
      <c r="D606" s="1119">
        <v>93.54</v>
      </c>
      <c r="E606" s="1120">
        <v>30.88</v>
      </c>
      <c r="F606" s="1121">
        <f t="shared" si="1"/>
        <v>62.66</v>
      </c>
      <c r="G606" s="1120">
        <v>6.69</v>
      </c>
      <c r="H606" s="1127">
        <v>55.97</v>
      </c>
      <c r="I606" s="1127">
        <v>0.0</v>
      </c>
      <c r="J606" s="1127">
        <v>0.0</v>
      </c>
      <c r="K606" s="1124"/>
    </row>
    <row r="607" ht="15.75" customHeight="1">
      <c r="A607" s="1119">
        <v>91693.0</v>
      </c>
      <c r="B607" s="1125" t="s">
        <v>10885</v>
      </c>
      <c r="C607" s="1126" t="s">
        <v>10796</v>
      </c>
      <c r="D607" s="1119">
        <v>31.5</v>
      </c>
      <c r="E607" s="1120">
        <v>24.7</v>
      </c>
      <c r="F607" s="1121">
        <f t="shared" si="1"/>
        <v>6.8</v>
      </c>
      <c r="G607" s="1120">
        <v>6.69</v>
      </c>
      <c r="H607" s="1127">
        <v>0.11</v>
      </c>
      <c r="I607" s="1127">
        <v>0.0</v>
      </c>
      <c r="J607" s="1127">
        <v>0.0</v>
      </c>
      <c r="K607" s="1124"/>
    </row>
    <row r="608" ht="15.75" customHeight="1">
      <c r="A608" s="1119">
        <v>92044.0</v>
      </c>
      <c r="B608" s="1125" t="s">
        <v>10886</v>
      </c>
      <c r="C608" s="1126" t="s">
        <v>10796</v>
      </c>
      <c r="D608" s="1119">
        <v>7.15</v>
      </c>
      <c r="E608" s="1120">
        <v>0.0</v>
      </c>
      <c r="F608" s="1121">
        <f t="shared" si="1"/>
        <v>7.15</v>
      </c>
      <c r="G608" s="1120">
        <v>0.0</v>
      </c>
      <c r="H608" s="1127">
        <v>7.15</v>
      </c>
      <c r="I608" s="1127">
        <v>0.0</v>
      </c>
      <c r="J608" s="1127">
        <v>0.0</v>
      </c>
      <c r="K608" s="1124"/>
    </row>
    <row r="609" ht="15.75" customHeight="1">
      <c r="A609" s="1119">
        <v>92107.0</v>
      </c>
      <c r="B609" s="1125" t="s">
        <v>10887</v>
      </c>
      <c r="C609" s="1126" t="s">
        <v>10796</v>
      </c>
      <c r="D609" s="1119">
        <v>88.54</v>
      </c>
      <c r="E609" s="1120">
        <v>24.84</v>
      </c>
      <c r="F609" s="1121">
        <f t="shared" si="1"/>
        <v>63.7</v>
      </c>
      <c r="G609" s="1120">
        <v>6.69</v>
      </c>
      <c r="H609" s="1127">
        <v>57.01</v>
      </c>
      <c r="I609" s="1127">
        <v>0.0</v>
      </c>
      <c r="J609" s="1127">
        <v>0.0</v>
      </c>
      <c r="K609" s="1124"/>
    </row>
    <row r="610" ht="15.75" customHeight="1">
      <c r="A610" s="1119">
        <v>92113.0</v>
      </c>
      <c r="B610" s="1125" t="s">
        <v>10888</v>
      </c>
      <c r="C610" s="1126" t="s">
        <v>10796</v>
      </c>
      <c r="D610" s="1119">
        <v>0.98</v>
      </c>
      <c r="E610" s="1120">
        <v>0.0</v>
      </c>
      <c r="F610" s="1121">
        <f t="shared" si="1"/>
        <v>0.98</v>
      </c>
      <c r="G610" s="1120">
        <v>0.0</v>
      </c>
      <c r="H610" s="1127">
        <v>0.98</v>
      </c>
      <c r="I610" s="1127">
        <v>0.0</v>
      </c>
      <c r="J610" s="1127">
        <v>0.0</v>
      </c>
      <c r="K610" s="1124"/>
    </row>
    <row r="611" ht="15.75" customHeight="1">
      <c r="A611" s="1119">
        <v>92119.0</v>
      </c>
      <c r="B611" s="1125" t="s">
        <v>10889</v>
      </c>
      <c r="C611" s="1126" t="s">
        <v>10796</v>
      </c>
      <c r="D611" s="1119">
        <v>0.25</v>
      </c>
      <c r="E611" s="1120">
        <v>0.0</v>
      </c>
      <c r="F611" s="1121">
        <f t="shared" si="1"/>
        <v>0.25</v>
      </c>
      <c r="G611" s="1120">
        <v>0.0</v>
      </c>
      <c r="H611" s="1127">
        <v>0.25</v>
      </c>
      <c r="I611" s="1127">
        <v>0.0</v>
      </c>
      <c r="J611" s="1127">
        <v>0.0</v>
      </c>
      <c r="K611" s="1124"/>
    </row>
    <row r="612" ht="15.75" customHeight="1">
      <c r="A612" s="1119">
        <v>92139.0</v>
      </c>
      <c r="B612" s="1125" t="s">
        <v>10890</v>
      </c>
      <c r="C612" s="1126" t="s">
        <v>10796</v>
      </c>
      <c r="D612" s="1119">
        <v>45.81</v>
      </c>
      <c r="E612" s="1120">
        <v>22.04</v>
      </c>
      <c r="F612" s="1121">
        <f t="shared" si="1"/>
        <v>23.77</v>
      </c>
      <c r="G612" s="1120">
        <v>6.69</v>
      </c>
      <c r="H612" s="1127">
        <v>17.08</v>
      </c>
      <c r="I612" s="1127">
        <v>0.0</v>
      </c>
      <c r="J612" s="1127">
        <v>0.0</v>
      </c>
      <c r="K612" s="1124"/>
    </row>
    <row r="613" ht="15.75" customHeight="1">
      <c r="A613" s="1119">
        <v>92146.0</v>
      </c>
      <c r="B613" s="1125" t="s">
        <v>10891</v>
      </c>
      <c r="C613" s="1126" t="s">
        <v>10796</v>
      </c>
      <c r="D613" s="1119">
        <v>34.99</v>
      </c>
      <c r="E613" s="1120">
        <v>22.04</v>
      </c>
      <c r="F613" s="1121">
        <f t="shared" si="1"/>
        <v>12.95</v>
      </c>
      <c r="G613" s="1120">
        <v>6.69</v>
      </c>
      <c r="H613" s="1127">
        <v>6.26</v>
      </c>
      <c r="I613" s="1127">
        <v>0.0</v>
      </c>
      <c r="J613" s="1127">
        <v>0.0</v>
      </c>
      <c r="K613" s="1124"/>
    </row>
    <row r="614" ht="15.75" customHeight="1">
      <c r="A614" s="1119">
        <v>92243.0</v>
      </c>
      <c r="B614" s="1125" t="s">
        <v>10892</v>
      </c>
      <c r="C614" s="1126" t="s">
        <v>10796</v>
      </c>
      <c r="D614" s="1119">
        <v>78.33</v>
      </c>
      <c r="E614" s="1120">
        <v>30.88</v>
      </c>
      <c r="F614" s="1121">
        <f t="shared" si="1"/>
        <v>47.45</v>
      </c>
      <c r="G614" s="1120">
        <v>6.69</v>
      </c>
      <c r="H614" s="1127">
        <v>40.76</v>
      </c>
      <c r="I614" s="1127">
        <v>0.0</v>
      </c>
      <c r="J614" s="1127">
        <v>0.0</v>
      </c>
      <c r="K614" s="1124"/>
    </row>
    <row r="615" ht="15.75" customHeight="1">
      <c r="A615" s="1119">
        <v>92717.0</v>
      </c>
      <c r="B615" s="1125" t="s">
        <v>10893</v>
      </c>
      <c r="C615" s="1126" t="s">
        <v>10796</v>
      </c>
      <c r="D615" s="1119">
        <v>0.19</v>
      </c>
      <c r="E615" s="1120">
        <v>0.0</v>
      </c>
      <c r="F615" s="1121">
        <f t="shared" si="1"/>
        <v>0.19</v>
      </c>
      <c r="G615" s="1120">
        <v>0.0</v>
      </c>
      <c r="H615" s="1127">
        <v>0.19</v>
      </c>
      <c r="I615" s="1127">
        <v>0.0</v>
      </c>
      <c r="J615" s="1127">
        <v>0.0</v>
      </c>
      <c r="K615" s="1124"/>
    </row>
    <row r="616" ht="15.75" customHeight="1">
      <c r="A616" s="1119">
        <v>92961.0</v>
      </c>
      <c r="B616" s="1125" t="s">
        <v>10894</v>
      </c>
      <c r="C616" s="1126" t="s">
        <v>10796</v>
      </c>
      <c r="D616" s="1119">
        <v>4.88</v>
      </c>
      <c r="E616" s="1120">
        <v>0.0</v>
      </c>
      <c r="F616" s="1121">
        <f t="shared" si="1"/>
        <v>4.88</v>
      </c>
      <c r="G616" s="1120">
        <v>0.0</v>
      </c>
      <c r="H616" s="1127">
        <v>4.88</v>
      </c>
      <c r="I616" s="1127">
        <v>0.0</v>
      </c>
      <c r="J616" s="1127">
        <v>0.0</v>
      </c>
      <c r="K616" s="1124"/>
    </row>
    <row r="617" ht="15.75" customHeight="1">
      <c r="A617" s="1119">
        <v>92967.0</v>
      </c>
      <c r="B617" s="1125" t="s">
        <v>10895</v>
      </c>
      <c r="C617" s="1126" t="s">
        <v>10796</v>
      </c>
      <c r="D617" s="1119">
        <v>27.92</v>
      </c>
      <c r="E617" s="1120">
        <v>19.8</v>
      </c>
      <c r="F617" s="1121">
        <f t="shared" si="1"/>
        <v>8.12</v>
      </c>
      <c r="G617" s="1120">
        <v>6.69</v>
      </c>
      <c r="H617" s="1127">
        <v>1.43</v>
      </c>
      <c r="I617" s="1127">
        <v>0.0</v>
      </c>
      <c r="J617" s="1127">
        <v>0.0</v>
      </c>
      <c r="K617" s="1124"/>
    </row>
    <row r="618" ht="15.75" customHeight="1">
      <c r="A618" s="1119">
        <v>93225.0</v>
      </c>
      <c r="B618" s="1125" t="s">
        <v>10896</v>
      </c>
      <c r="C618" s="1126" t="s">
        <v>10796</v>
      </c>
      <c r="D618" s="1119">
        <v>429.76</v>
      </c>
      <c r="E618" s="1120">
        <v>24.7</v>
      </c>
      <c r="F618" s="1121">
        <f t="shared" si="1"/>
        <v>405.06</v>
      </c>
      <c r="G618" s="1120">
        <v>6.69</v>
      </c>
      <c r="H618" s="1127">
        <v>398.37</v>
      </c>
      <c r="I618" s="1127">
        <v>0.0</v>
      </c>
      <c r="J618" s="1127">
        <v>0.0</v>
      </c>
      <c r="K618" s="1124"/>
    </row>
    <row r="619" ht="15.75" customHeight="1">
      <c r="A619" s="1119">
        <v>93234.0</v>
      </c>
      <c r="B619" s="1125" t="s">
        <v>10897</v>
      </c>
      <c r="C619" s="1126" t="s">
        <v>10796</v>
      </c>
      <c r="D619" s="1119">
        <v>0.42</v>
      </c>
      <c r="E619" s="1120">
        <v>0.0</v>
      </c>
      <c r="F619" s="1121">
        <f t="shared" si="1"/>
        <v>0.42</v>
      </c>
      <c r="G619" s="1120">
        <v>0.0</v>
      </c>
      <c r="H619" s="1127">
        <v>0.42</v>
      </c>
      <c r="I619" s="1127">
        <v>0.0</v>
      </c>
      <c r="J619" s="1127">
        <v>0.0</v>
      </c>
      <c r="K619" s="1124"/>
    </row>
    <row r="620" ht="15.75" customHeight="1">
      <c r="A620" s="1119">
        <v>93244.0</v>
      </c>
      <c r="B620" s="1125" t="s">
        <v>10898</v>
      </c>
      <c r="C620" s="1126" t="s">
        <v>10796</v>
      </c>
      <c r="D620" s="1119">
        <v>64.73</v>
      </c>
      <c r="E620" s="1120">
        <v>20.9</v>
      </c>
      <c r="F620" s="1121">
        <f t="shared" si="1"/>
        <v>43.83</v>
      </c>
      <c r="G620" s="1120">
        <v>6.69</v>
      </c>
      <c r="H620" s="1127">
        <v>37.14</v>
      </c>
      <c r="I620" s="1127">
        <v>0.0</v>
      </c>
      <c r="J620" s="1127">
        <v>0.0</v>
      </c>
      <c r="K620" s="1124"/>
    </row>
    <row r="621" ht="15.75" customHeight="1">
      <c r="A621" s="1119">
        <v>93274.0</v>
      </c>
      <c r="B621" s="1125" t="s">
        <v>10899</v>
      </c>
      <c r="C621" s="1126" t="s">
        <v>10796</v>
      </c>
      <c r="D621" s="1119">
        <v>99.82</v>
      </c>
      <c r="E621" s="1120">
        <v>57.16</v>
      </c>
      <c r="F621" s="1121">
        <f t="shared" si="1"/>
        <v>42.66</v>
      </c>
      <c r="G621" s="1120">
        <v>6.69</v>
      </c>
      <c r="H621" s="1127">
        <v>35.97</v>
      </c>
      <c r="I621" s="1127">
        <v>0.0</v>
      </c>
      <c r="J621" s="1127">
        <v>0.0</v>
      </c>
      <c r="K621" s="1124"/>
    </row>
    <row r="622" ht="15.75" customHeight="1">
      <c r="A622" s="1119">
        <v>93282.0</v>
      </c>
      <c r="B622" s="1125" t="s">
        <v>10900</v>
      </c>
      <c r="C622" s="1126" t="s">
        <v>10796</v>
      </c>
      <c r="D622" s="1119">
        <v>30.19</v>
      </c>
      <c r="E622" s="1120">
        <v>23.17</v>
      </c>
      <c r="F622" s="1121">
        <f t="shared" si="1"/>
        <v>7.02</v>
      </c>
      <c r="G622" s="1120">
        <v>6.69</v>
      </c>
      <c r="H622" s="1127">
        <v>0.33</v>
      </c>
      <c r="I622" s="1127">
        <v>0.0</v>
      </c>
      <c r="J622" s="1127">
        <v>0.0</v>
      </c>
      <c r="K622" s="1124"/>
    </row>
    <row r="623" ht="15.75" customHeight="1">
      <c r="A623" s="1119">
        <v>93288.0</v>
      </c>
      <c r="B623" s="1125" t="s">
        <v>10901</v>
      </c>
      <c r="C623" s="1126" t="s">
        <v>10796</v>
      </c>
      <c r="D623" s="1119">
        <v>191.84</v>
      </c>
      <c r="E623" s="1120">
        <v>57.16</v>
      </c>
      <c r="F623" s="1121">
        <f t="shared" si="1"/>
        <v>134.68</v>
      </c>
      <c r="G623" s="1120">
        <v>6.69</v>
      </c>
      <c r="H623" s="1127">
        <v>127.99</v>
      </c>
      <c r="I623" s="1127">
        <v>0.0</v>
      </c>
      <c r="J623" s="1127">
        <v>0.0</v>
      </c>
      <c r="K623" s="1124"/>
    </row>
    <row r="624" ht="15.75" customHeight="1">
      <c r="A624" s="1119">
        <v>93403.0</v>
      </c>
      <c r="B624" s="1125" t="s">
        <v>10902</v>
      </c>
      <c r="C624" s="1126" t="s">
        <v>10796</v>
      </c>
      <c r="D624" s="1119">
        <v>69.39</v>
      </c>
      <c r="E624" s="1120">
        <v>28.18</v>
      </c>
      <c r="F624" s="1121">
        <f t="shared" si="1"/>
        <v>41.21</v>
      </c>
      <c r="G624" s="1120">
        <v>6.69</v>
      </c>
      <c r="H624" s="1127">
        <v>34.52</v>
      </c>
      <c r="I624" s="1127">
        <v>0.0</v>
      </c>
      <c r="J624" s="1127">
        <v>0.0</v>
      </c>
      <c r="K624" s="1124"/>
    </row>
    <row r="625" ht="15.75" customHeight="1">
      <c r="A625" s="1119">
        <v>93409.0</v>
      </c>
      <c r="B625" s="1125" t="s">
        <v>10903</v>
      </c>
      <c r="C625" s="1126" t="s">
        <v>10796</v>
      </c>
      <c r="D625" s="1119">
        <v>36.64</v>
      </c>
      <c r="E625" s="1120">
        <v>22.48</v>
      </c>
      <c r="F625" s="1121">
        <f t="shared" si="1"/>
        <v>14.16</v>
      </c>
      <c r="G625" s="1120">
        <v>6.69</v>
      </c>
      <c r="H625" s="1127">
        <v>7.47</v>
      </c>
      <c r="I625" s="1127">
        <v>0.0</v>
      </c>
      <c r="J625" s="1127">
        <v>0.0</v>
      </c>
      <c r="K625" s="1124"/>
    </row>
    <row r="626" ht="15.75" customHeight="1">
      <c r="A626" s="1119">
        <v>93416.0</v>
      </c>
      <c r="B626" s="1125" t="s">
        <v>10904</v>
      </c>
      <c r="C626" s="1126" t="s">
        <v>10796</v>
      </c>
      <c r="D626" s="1119">
        <v>0.31</v>
      </c>
      <c r="E626" s="1120">
        <v>0.0</v>
      </c>
      <c r="F626" s="1121">
        <f t="shared" si="1"/>
        <v>0.31</v>
      </c>
      <c r="G626" s="1120">
        <v>0.0</v>
      </c>
      <c r="H626" s="1127">
        <v>0.31</v>
      </c>
      <c r="I626" s="1127">
        <v>0.0</v>
      </c>
      <c r="J626" s="1127">
        <v>0.0</v>
      </c>
      <c r="K626" s="1124"/>
    </row>
    <row r="627" ht="15.75" customHeight="1">
      <c r="A627" s="1119">
        <v>93422.0</v>
      </c>
      <c r="B627" s="1125" t="s">
        <v>10905</v>
      </c>
      <c r="C627" s="1126" t="s">
        <v>10796</v>
      </c>
      <c r="D627" s="1119">
        <v>4.17</v>
      </c>
      <c r="E627" s="1120">
        <v>0.0</v>
      </c>
      <c r="F627" s="1121">
        <f t="shared" si="1"/>
        <v>4.17</v>
      </c>
      <c r="G627" s="1120">
        <v>0.0</v>
      </c>
      <c r="H627" s="1127">
        <v>4.17</v>
      </c>
      <c r="I627" s="1127">
        <v>0.0</v>
      </c>
      <c r="J627" s="1127">
        <v>0.0</v>
      </c>
      <c r="K627" s="1124"/>
    </row>
    <row r="628" ht="15.75" customHeight="1">
      <c r="A628" s="1119">
        <v>93428.0</v>
      </c>
      <c r="B628" s="1125" t="s">
        <v>10906</v>
      </c>
      <c r="C628" s="1126" t="s">
        <v>10796</v>
      </c>
      <c r="D628" s="1119">
        <v>5.91</v>
      </c>
      <c r="E628" s="1120">
        <v>0.0</v>
      </c>
      <c r="F628" s="1121">
        <f t="shared" si="1"/>
        <v>5.91</v>
      </c>
      <c r="G628" s="1120">
        <v>0.0</v>
      </c>
      <c r="H628" s="1127">
        <v>5.91</v>
      </c>
      <c r="I628" s="1127">
        <v>0.0</v>
      </c>
      <c r="J628" s="1127">
        <v>0.0</v>
      </c>
      <c r="K628" s="1124"/>
    </row>
    <row r="629" ht="15.75" customHeight="1">
      <c r="A629" s="1119">
        <v>93434.0</v>
      </c>
      <c r="B629" s="1125" t="s">
        <v>10907</v>
      </c>
      <c r="C629" s="1126" t="s">
        <v>10796</v>
      </c>
      <c r="D629" s="1119">
        <v>302.9</v>
      </c>
      <c r="E629" s="1120">
        <v>90.26</v>
      </c>
      <c r="F629" s="1121">
        <f t="shared" si="1"/>
        <v>212.64</v>
      </c>
      <c r="G629" s="1120">
        <v>37.49</v>
      </c>
      <c r="H629" s="1127">
        <v>175.15</v>
      </c>
      <c r="I629" s="1127">
        <v>0.0</v>
      </c>
      <c r="J629" s="1127">
        <v>0.0</v>
      </c>
      <c r="K629" s="1124"/>
    </row>
    <row r="630" ht="15.75" customHeight="1">
      <c r="A630" s="1119">
        <v>93440.0</v>
      </c>
      <c r="B630" s="1125" t="s">
        <v>10908</v>
      </c>
      <c r="C630" s="1126" t="s">
        <v>10796</v>
      </c>
      <c r="D630" s="1119">
        <v>138.8</v>
      </c>
      <c r="E630" s="1120">
        <v>90.26</v>
      </c>
      <c r="F630" s="1121">
        <f t="shared" si="1"/>
        <v>48.54</v>
      </c>
      <c r="G630" s="1120">
        <v>37.49</v>
      </c>
      <c r="H630" s="1127">
        <v>11.05</v>
      </c>
      <c r="I630" s="1127">
        <v>0.0</v>
      </c>
      <c r="J630" s="1127">
        <v>0.0</v>
      </c>
      <c r="K630" s="1124"/>
    </row>
    <row r="631" ht="15.75" customHeight="1">
      <c r="A631" s="1119">
        <v>95122.0</v>
      </c>
      <c r="B631" s="1125" t="s">
        <v>10909</v>
      </c>
      <c r="C631" s="1126" t="s">
        <v>10796</v>
      </c>
      <c r="D631" s="1119">
        <v>207.41</v>
      </c>
      <c r="E631" s="1120">
        <v>90.26</v>
      </c>
      <c r="F631" s="1121">
        <f t="shared" si="1"/>
        <v>117.15</v>
      </c>
      <c r="G631" s="1120">
        <v>37.49</v>
      </c>
      <c r="H631" s="1127">
        <v>79.66</v>
      </c>
      <c r="I631" s="1127">
        <v>0.0</v>
      </c>
      <c r="J631" s="1127">
        <v>0.0</v>
      </c>
      <c r="K631" s="1124"/>
    </row>
    <row r="632" ht="15.75" customHeight="1">
      <c r="A632" s="1119">
        <v>95128.0</v>
      </c>
      <c r="B632" s="1125" t="s">
        <v>10910</v>
      </c>
      <c r="C632" s="1126" t="s">
        <v>10796</v>
      </c>
      <c r="D632" s="1119">
        <v>52.07</v>
      </c>
      <c r="E632" s="1120">
        <v>24.7</v>
      </c>
      <c r="F632" s="1121">
        <f t="shared" si="1"/>
        <v>27.37</v>
      </c>
      <c r="G632" s="1120">
        <v>6.69</v>
      </c>
      <c r="H632" s="1127">
        <v>20.68</v>
      </c>
      <c r="I632" s="1127">
        <v>0.0</v>
      </c>
      <c r="J632" s="1127">
        <v>0.0</v>
      </c>
      <c r="K632" s="1124"/>
    </row>
    <row r="633" ht="15.75" customHeight="1">
      <c r="A633" s="1119">
        <v>95140.0</v>
      </c>
      <c r="B633" s="1125" t="s">
        <v>10911</v>
      </c>
      <c r="C633" s="1126" t="s">
        <v>10796</v>
      </c>
      <c r="D633" s="1119">
        <v>0.04</v>
      </c>
      <c r="E633" s="1120">
        <v>0.0</v>
      </c>
      <c r="F633" s="1121">
        <f t="shared" si="1"/>
        <v>0.04</v>
      </c>
      <c r="G633" s="1120">
        <v>0.0</v>
      </c>
      <c r="H633" s="1127">
        <v>0.04</v>
      </c>
      <c r="I633" s="1127">
        <v>0.0</v>
      </c>
      <c r="J633" s="1127">
        <v>0.0</v>
      </c>
      <c r="K633" s="1124"/>
    </row>
    <row r="634" ht="15.75" customHeight="1">
      <c r="A634" s="1119">
        <v>95213.0</v>
      </c>
      <c r="B634" s="1125" t="s">
        <v>10912</v>
      </c>
      <c r="C634" s="1126" t="s">
        <v>10796</v>
      </c>
      <c r="D634" s="1119">
        <v>104.6</v>
      </c>
      <c r="E634" s="1120">
        <v>57.16</v>
      </c>
      <c r="F634" s="1121">
        <f t="shared" si="1"/>
        <v>47.44</v>
      </c>
      <c r="G634" s="1120">
        <v>6.69</v>
      </c>
      <c r="H634" s="1127">
        <v>40.75</v>
      </c>
      <c r="I634" s="1127">
        <v>0.0</v>
      </c>
      <c r="J634" s="1127">
        <v>0.0</v>
      </c>
      <c r="K634" s="1124"/>
    </row>
    <row r="635" ht="15.75" customHeight="1">
      <c r="A635" s="1119">
        <v>95259.0</v>
      </c>
      <c r="B635" s="1125" t="s">
        <v>10913</v>
      </c>
      <c r="C635" s="1126" t="s">
        <v>10796</v>
      </c>
      <c r="D635" s="1119">
        <v>27.73</v>
      </c>
      <c r="E635" s="1120">
        <v>19.8</v>
      </c>
      <c r="F635" s="1121">
        <f t="shared" si="1"/>
        <v>7.93</v>
      </c>
      <c r="G635" s="1120">
        <v>6.69</v>
      </c>
      <c r="H635" s="1127">
        <v>1.24</v>
      </c>
      <c r="I635" s="1127">
        <v>0.0</v>
      </c>
      <c r="J635" s="1127">
        <v>0.0</v>
      </c>
      <c r="K635" s="1124"/>
    </row>
    <row r="636" ht="15.75" customHeight="1">
      <c r="A636" s="1119">
        <v>95265.0</v>
      </c>
      <c r="B636" s="1125" t="s">
        <v>10914</v>
      </c>
      <c r="C636" s="1126" t="s">
        <v>10796</v>
      </c>
      <c r="D636" s="1119">
        <v>0.66</v>
      </c>
      <c r="E636" s="1120">
        <v>0.0</v>
      </c>
      <c r="F636" s="1121">
        <f t="shared" si="1"/>
        <v>0.66</v>
      </c>
      <c r="G636" s="1120">
        <v>0.0</v>
      </c>
      <c r="H636" s="1127">
        <v>0.66</v>
      </c>
      <c r="I636" s="1127">
        <v>0.0</v>
      </c>
      <c r="J636" s="1127">
        <v>0.0</v>
      </c>
      <c r="K636" s="1124"/>
    </row>
    <row r="637" ht="15.75" customHeight="1">
      <c r="A637" s="1119">
        <v>95271.0</v>
      </c>
      <c r="B637" s="1125" t="s">
        <v>10915</v>
      </c>
      <c r="C637" s="1126" t="s">
        <v>10796</v>
      </c>
      <c r="D637" s="1119">
        <v>0.54</v>
      </c>
      <c r="E637" s="1120">
        <v>0.0</v>
      </c>
      <c r="F637" s="1121">
        <f t="shared" si="1"/>
        <v>0.54</v>
      </c>
      <c r="G637" s="1120">
        <v>0.0</v>
      </c>
      <c r="H637" s="1127">
        <v>0.54</v>
      </c>
      <c r="I637" s="1127">
        <v>0.0</v>
      </c>
      <c r="J637" s="1127">
        <v>0.0</v>
      </c>
      <c r="K637" s="1124"/>
    </row>
    <row r="638" ht="15.75" customHeight="1">
      <c r="A638" s="1119">
        <v>95277.0</v>
      </c>
      <c r="B638" s="1125" t="s">
        <v>10916</v>
      </c>
      <c r="C638" s="1126" t="s">
        <v>10796</v>
      </c>
      <c r="D638" s="1119">
        <v>0.52</v>
      </c>
      <c r="E638" s="1120">
        <v>0.0</v>
      </c>
      <c r="F638" s="1121">
        <f t="shared" si="1"/>
        <v>0.52</v>
      </c>
      <c r="G638" s="1120">
        <v>0.0</v>
      </c>
      <c r="H638" s="1127">
        <v>0.52</v>
      </c>
      <c r="I638" s="1127">
        <v>0.0</v>
      </c>
      <c r="J638" s="1127">
        <v>0.0</v>
      </c>
      <c r="K638" s="1124"/>
    </row>
    <row r="639" ht="15.75" customHeight="1">
      <c r="A639" s="1119">
        <v>95283.0</v>
      </c>
      <c r="B639" s="1125" t="s">
        <v>10917</v>
      </c>
      <c r="C639" s="1126" t="s">
        <v>10796</v>
      </c>
      <c r="D639" s="1119">
        <v>0.65</v>
      </c>
      <c r="E639" s="1120">
        <v>0.0</v>
      </c>
      <c r="F639" s="1121">
        <f t="shared" si="1"/>
        <v>0.65</v>
      </c>
      <c r="G639" s="1120">
        <v>0.0</v>
      </c>
      <c r="H639" s="1127">
        <v>0.65</v>
      </c>
      <c r="I639" s="1127">
        <v>0.0</v>
      </c>
      <c r="J639" s="1127">
        <v>0.0</v>
      </c>
      <c r="K639" s="1124"/>
    </row>
    <row r="640" ht="15.75" customHeight="1">
      <c r="A640" s="1119">
        <v>95621.0</v>
      </c>
      <c r="B640" s="1125" t="s">
        <v>10918</v>
      </c>
      <c r="C640" s="1126" t="s">
        <v>10796</v>
      </c>
      <c r="D640" s="1119">
        <v>27.5</v>
      </c>
      <c r="E640" s="1120">
        <v>19.8</v>
      </c>
      <c r="F640" s="1121">
        <f t="shared" si="1"/>
        <v>7.7</v>
      </c>
      <c r="G640" s="1120">
        <v>6.69</v>
      </c>
      <c r="H640" s="1127">
        <v>1.01</v>
      </c>
      <c r="I640" s="1127">
        <v>0.0</v>
      </c>
      <c r="J640" s="1127">
        <v>0.0</v>
      </c>
      <c r="K640" s="1124"/>
    </row>
    <row r="641" ht="15.75" customHeight="1">
      <c r="A641" s="1119">
        <v>95632.0</v>
      </c>
      <c r="B641" s="1125" t="s">
        <v>10919</v>
      </c>
      <c r="C641" s="1126" t="s">
        <v>10796</v>
      </c>
      <c r="D641" s="1119">
        <v>81.03</v>
      </c>
      <c r="E641" s="1120">
        <v>20.9</v>
      </c>
      <c r="F641" s="1121">
        <f t="shared" si="1"/>
        <v>60.13</v>
      </c>
      <c r="G641" s="1120">
        <v>6.69</v>
      </c>
      <c r="H641" s="1127">
        <v>53.44</v>
      </c>
      <c r="I641" s="1127">
        <v>0.0</v>
      </c>
      <c r="J641" s="1127">
        <v>0.0</v>
      </c>
      <c r="K641" s="1124"/>
    </row>
    <row r="642" ht="15.75" customHeight="1">
      <c r="A642" s="1119">
        <v>95703.0</v>
      </c>
      <c r="B642" s="1125" t="s">
        <v>10920</v>
      </c>
      <c r="C642" s="1126" t="s">
        <v>10796</v>
      </c>
      <c r="D642" s="1119">
        <v>35.51</v>
      </c>
      <c r="E642" s="1120">
        <v>24.7</v>
      </c>
      <c r="F642" s="1121">
        <f t="shared" si="1"/>
        <v>10.81</v>
      </c>
      <c r="G642" s="1120">
        <v>6.69</v>
      </c>
      <c r="H642" s="1127">
        <v>4.12</v>
      </c>
      <c r="I642" s="1127">
        <v>0.0</v>
      </c>
      <c r="J642" s="1127">
        <v>0.0</v>
      </c>
      <c r="K642" s="1124"/>
    </row>
    <row r="643" ht="15.75" customHeight="1">
      <c r="A643" s="1119">
        <v>95709.0</v>
      </c>
      <c r="B643" s="1125" t="s">
        <v>10921</v>
      </c>
      <c r="C643" s="1126" t="s">
        <v>10796</v>
      </c>
      <c r="D643" s="1119">
        <v>84.8</v>
      </c>
      <c r="E643" s="1120">
        <v>24.7</v>
      </c>
      <c r="F643" s="1121">
        <f t="shared" si="1"/>
        <v>60.1</v>
      </c>
      <c r="G643" s="1120">
        <v>6.69</v>
      </c>
      <c r="H643" s="1127">
        <v>53.41</v>
      </c>
      <c r="I643" s="1127">
        <v>0.0</v>
      </c>
      <c r="J643" s="1127">
        <v>0.0</v>
      </c>
      <c r="K643" s="1124"/>
    </row>
    <row r="644" ht="15.75" customHeight="1">
      <c r="A644" s="1119">
        <v>95715.0</v>
      </c>
      <c r="B644" s="1125" t="s">
        <v>10922</v>
      </c>
      <c r="C644" s="1126" t="s">
        <v>10796</v>
      </c>
      <c r="D644" s="1119">
        <v>95.93</v>
      </c>
      <c r="E644" s="1120">
        <v>25.12</v>
      </c>
      <c r="F644" s="1121">
        <f t="shared" si="1"/>
        <v>70.81</v>
      </c>
      <c r="G644" s="1120">
        <v>6.69</v>
      </c>
      <c r="H644" s="1127">
        <v>64.12</v>
      </c>
      <c r="I644" s="1127">
        <v>0.0</v>
      </c>
      <c r="J644" s="1127">
        <v>0.0</v>
      </c>
      <c r="K644" s="1124"/>
    </row>
    <row r="645" ht="15.75" customHeight="1">
      <c r="A645" s="1119">
        <v>95721.0</v>
      </c>
      <c r="B645" s="1125" t="s">
        <v>10923</v>
      </c>
      <c r="C645" s="1126" t="s">
        <v>10796</v>
      </c>
      <c r="D645" s="1119">
        <v>93.54</v>
      </c>
      <c r="E645" s="1120">
        <v>25.12</v>
      </c>
      <c r="F645" s="1121">
        <f t="shared" si="1"/>
        <v>68.42</v>
      </c>
      <c r="G645" s="1120">
        <v>6.69</v>
      </c>
      <c r="H645" s="1127">
        <v>61.73</v>
      </c>
      <c r="I645" s="1127">
        <v>0.0</v>
      </c>
      <c r="J645" s="1127">
        <v>0.0</v>
      </c>
      <c r="K645" s="1124"/>
    </row>
    <row r="646" ht="15.75" customHeight="1">
      <c r="A646" s="1119">
        <v>95873.0</v>
      </c>
      <c r="B646" s="1125" t="s">
        <v>10924</v>
      </c>
      <c r="C646" s="1126" t="s">
        <v>10796</v>
      </c>
      <c r="D646" s="1119">
        <v>9.45</v>
      </c>
      <c r="E646" s="1120">
        <v>0.0</v>
      </c>
      <c r="F646" s="1121">
        <f t="shared" si="1"/>
        <v>9.45</v>
      </c>
      <c r="G646" s="1120">
        <v>0.0</v>
      </c>
      <c r="H646" s="1127">
        <v>9.45</v>
      </c>
      <c r="I646" s="1127">
        <v>0.0</v>
      </c>
      <c r="J646" s="1127">
        <v>0.0</v>
      </c>
      <c r="K646" s="1124"/>
    </row>
    <row r="647" ht="15.75" customHeight="1">
      <c r="A647" s="1119">
        <v>96014.0</v>
      </c>
      <c r="B647" s="1125" t="s">
        <v>10925</v>
      </c>
      <c r="C647" s="1126" t="s">
        <v>10796</v>
      </c>
      <c r="D647" s="1119">
        <v>60.53</v>
      </c>
      <c r="E647" s="1120">
        <v>26.48</v>
      </c>
      <c r="F647" s="1121">
        <f t="shared" si="1"/>
        <v>34.05</v>
      </c>
      <c r="G647" s="1120">
        <v>6.69</v>
      </c>
      <c r="H647" s="1127">
        <v>27.36</v>
      </c>
      <c r="I647" s="1127">
        <v>0.0</v>
      </c>
      <c r="J647" s="1127">
        <v>0.0</v>
      </c>
      <c r="K647" s="1124"/>
    </row>
    <row r="648" ht="15.75" customHeight="1">
      <c r="A648" s="1119">
        <v>96021.0</v>
      </c>
      <c r="B648" s="1125" t="s">
        <v>10926</v>
      </c>
      <c r="C648" s="1126" t="s">
        <v>10796</v>
      </c>
      <c r="D648" s="1119">
        <v>60.28</v>
      </c>
      <c r="E648" s="1120">
        <v>26.48</v>
      </c>
      <c r="F648" s="1121">
        <f t="shared" si="1"/>
        <v>33.8</v>
      </c>
      <c r="G648" s="1120">
        <v>6.69</v>
      </c>
      <c r="H648" s="1127">
        <v>27.11</v>
      </c>
      <c r="I648" s="1127">
        <v>0.0</v>
      </c>
      <c r="J648" s="1127">
        <v>0.0</v>
      </c>
      <c r="K648" s="1124"/>
    </row>
    <row r="649" ht="15.75" customHeight="1">
      <c r="A649" s="1119">
        <v>96029.0</v>
      </c>
      <c r="B649" s="1125" t="s">
        <v>10927</v>
      </c>
      <c r="C649" s="1126" t="s">
        <v>10796</v>
      </c>
      <c r="D649" s="1119">
        <v>54.2</v>
      </c>
      <c r="E649" s="1120">
        <v>26.48</v>
      </c>
      <c r="F649" s="1121">
        <f t="shared" si="1"/>
        <v>27.72</v>
      </c>
      <c r="G649" s="1120">
        <v>6.69</v>
      </c>
      <c r="H649" s="1127">
        <v>21.03</v>
      </c>
      <c r="I649" s="1127">
        <v>0.0</v>
      </c>
      <c r="J649" s="1127">
        <v>0.0</v>
      </c>
      <c r="K649" s="1124"/>
    </row>
    <row r="650" ht="15.75" customHeight="1">
      <c r="A650" s="1119">
        <v>96036.0</v>
      </c>
      <c r="B650" s="1125" t="s">
        <v>10928</v>
      </c>
      <c r="C650" s="1126" t="s">
        <v>10796</v>
      </c>
      <c r="D650" s="1119">
        <v>79.77</v>
      </c>
      <c r="E650" s="1120">
        <v>25.8</v>
      </c>
      <c r="F650" s="1121">
        <f t="shared" si="1"/>
        <v>53.97</v>
      </c>
      <c r="G650" s="1120">
        <v>6.69</v>
      </c>
      <c r="H650" s="1127">
        <v>47.28</v>
      </c>
      <c r="I650" s="1127">
        <v>0.0</v>
      </c>
      <c r="J650" s="1127">
        <v>0.0</v>
      </c>
      <c r="K650" s="1124"/>
    </row>
    <row r="651" ht="15.75" customHeight="1">
      <c r="A651" s="1119">
        <v>96155.0</v>
      </c>
      <c r="B651" s="1125" t="s">
        <v>10929</v>
      </c>
      <c r="C651" s="1126" t="s">
        <v>10796</v>
      </c>
      <c r="D651" s="1119">
        <v>54.45</v>
      </c>
      <c r="E651" s="1120">
        <v>26.48</v>
      </c>
      <c r="F651" s="1121">
        <f t="shared" si="1"/>
        <v>27.97</v>
      </c>
      <c r="G651" s="1120">
        <v>6.69</v>
      </c>
      <c r="H651" s="1127">
        <v>21.28</v>
      </c>
      <c r="I651" s="1127">
        <v>0.0</v>
      </c>
      <c r="J651" s="1127">
        <v>0.0</v>
      </c>
      <c r="K651" s="1124"/>
    </row>
    <row r="652" ht="15.75" customHeight="1">
      <c r="A652" s="1119">
        <v>96156.0</v>
      </c>
      <c r="B652" s="1125" t="s">
        <v>10930</v>
      </c>
      <c r="C652" s="1126" t="s">
        <v>10796</v>
      </c>
      <c r="D652" s="1119">
        <v>61.16</v>
      </c>
      <c r="E652" s="1120">
        <v>23.57</v>
      </c>
      <c r="F652" s="1121">
        <f t="shared" si="1"/>
        <v>37.59</v>
      </c>
      <c r="G652" s="1120">
        <v>6.69</v>
      </c>
      <c r="H652" s="1127">
        <v>30.9</v>
      </c>
      <c r="I652" s="1127">
        <v>0.0</v>
      </c>
      <c r="J652" s="1127">
        <v>0.0</v>
      </c>
      <c r="K652" s="1124"/>
    </row>
    <row r="653" ht="15.75" customHeight="1">
      <c r="A653" s="1119">
        <v>96159.0</v>
      </c>
      <c r="B653" s="1125" t="s">
        <v>10931</v>
      </c>
      <c r="C653" s="1126" t="s">
        <v>10796</v>
      </c>
      <c r="D653" s="1119">
        <v>86.31</v>
      </c>
      <c r="E653" s="1120">
        <v>22.84</v>
      </c>
      <c r="F653" s="1121">
        <f t="shared" si="1"/>
        <v>63.47</v>
      </c>
      <c r="G653" s="1120">
        <v>6.69</v>
      </c>
      <c r="H653" s="1127">
        <v>56.78</v>
      </c>
      <c r="I653" s="1127">
        <v>0.0</v>
      </c>
      <c r="J653" s="1127">
        <v>0.0</v>
      </c>
      <c r="K653" s="1124"/>
    </row>
    <row r="654" ht="15.75" customHeight="1">
      <c r="A654" s="1119">
        <v>96246.0</v>
      </c>
      <c r="B654" s="1125" t="s">
        <v>10932</v>
      </c>
      <c r="C654" s="1126" t="s">
        <v>10796</v>
      </c>
      <c r="D654" s="1119">
        <v>58.35</v>
      </c>
      <c r="E654" s="1120">
        <v>25.12</v>
      </c>
      <c r="F654" s="1121">
        <f t="shared" si="1"/>
        <v>33.23</v>
      </c>
      <c r="G654" s="1120">
        <v>6.69</v>
      </c>
      <c r="H654" s="1127">
        <v>26.54</v>
      </c>
      <c r="I654" s="1127">
        <v>0.0</v>
      </c>
      <c r="J654" s="1127">
        <v>0.0</v>
      </c>
      <c r="K654" s="1124"/>
    </row>
    <row r="655" ht="15.75" customHeight="1">
      <c r="A655" s="1119">
        <v>96464.0</v>
      </c>
      <c r="B655" s="1125" t="s">
        <v>10933</v>
      </c>
      <c r="C655" s="1126" t="s">
        <v>10796</v>
      </c>
      <c r="D655" s="1119">
        <v>86.86</v>
      </c>
      <c r="E655" s="1120">
        <v>20.9</v>
      </c>
      <c r="F655" s="1121">
        <f t="shared" si="1"/>
        <v>65.96</v>
      </c>
      <c r="G655" s="1120">
        <v>6.69</v>
      </c>
      <c r="H655" s="1127">
        <v>59.27</v>
      </c>
      <c r="I655" s="1127">
        <v>0.0</v>
      </c>
      <c r="J655" s="1127">
        <v>0.0</v>
      </c>
      <c r="K655" s="1124"/>
    </row>
    <row r="656" ht="15.75" customHeight="1">
      <c r="A656" s="1119">
        <v>98765.0</v>
      </c>
      <c r="B656" s="1125" t="s">
        <v>10934</v>
      </c>
      <c r="C656" s="1126" t="s">
        <v>10796</v>
      </c>
      <c r="D656" s="1119">
        <v>0.08</v>
      </c>
      <c r="E656" s="1120">
        <v>0.0</v>
      </c>
      <c r="F656" s="1121">
        <f t="shared" si="1"/>
        <v>0.08</v>
      </c>
      <c r="G656" s="1120">
        <v>0.0</v>
      </c>
      <c r="H656" s="1127">
        <v>0.08</v>
      </c>
      <c r="I656" s="1127">
        <v>0.0</v>
      </c>
      <c r="J656" s="1127">
        <v>0.0</v>
      </c>
      <c r="K656" s="1124"/>
    </row>
    <row r="657" ht="15.75" customHeight="1">
      <c r="A657" s="1119">
        <v>99834.0</v>
      </c>
      <c r="B657" s="1125" t="s">
        <v>10935</v>
      </c>
      <c r="C657" s="1126" t="s">
        <v>10796</v>
      </c>
      <c r="D657" s="1119">
        <v>0.18</v>
      </c>
      <c r="E657" s="1120">
        <v>0.0</v>
      </c>
      <c r="F657" s="1121">
        <f t="shared" si="1"/>
        <v>0.18</v>
      </c>
      <c r="G657" s="1120">
        <v>0.0</v>
      </c>
      <c r="H657" s="1127">
        <v>0.18</v>
      </c>
      <c r="I657" s="1127">
        <v>0.0</v>
      </c>
      <c r="J657" s="1127">
        <v>0.0</v>
      </c>
      <c r="K657" s="1124"/>
    </row>
    <row r="658" ht="15.75" customHeight="1">
      <c r="A658" s="1119">
        <v>100642.0</v>
      </c>
      <c r="B658" s="1125" t="s">
        <v>10936</v>
      </c>
      <c r="C658" s="1126" t="s">
        <v>10796</v>
      </c>
      <c r="D658" s="1119">
        <v>240.62</v>
      </c>
      <c r="E658" s="1120">
        <v>20.58</v>
      </c>
      <c r="F658" s="1121">
        <f t="shared" si="1"/>
        <v>220.04</v>
      </c>
      <c r="G658" s="1120">
        <v>6.69</v>
      </c>
      <c r="H658" s="1127">
        <v>213.35</v>
      </c>
      <c r="I658" s="1127">
        <v>0.0</v>
      </c>
      <c r="J658" s="1127">
        <v>0.0</v>
      </c>
      <c r="K658" s="1124"/>
    </row>
    <row r="659" ht="15.75" customHeight="1">
      <c r="A659" s="1119">
        <v>100648.0</v>
      </c>
      <c r="B659" s="1125" t="s">
        <v>10937</v>
      </c>
      <c r="C659" s="1126" t="s">
        <v>10796</v>
      </c>
      <c r="D659" s="1119">
        <v>472.9</v>
      </c>
      <c r="E659" s="1120">
        <v>20.58</v>
      </c>
      <c r="F659" s="1121">
        <f t="shared" si="1"/>
        <v>452.32</v>
      </c>
      <c r="G659" s="1120">
        <v>6.69</v>
      </c>
      <c r="H659" s="1127">
        <v>445.63</v>
      </c>
      <c r="I659" s="1127">
        <v>0.0</v>
      </c>
      <c r="J659" s="1127">
        <v>0.0</v>
      </c>
      <c r="K659" s="1124"/>
    </row>
    <row r="660" ht="15.75" customHeight="1">
      <c r="A660" s="1119">
        <v>102274.0</v>
      </c>
      <c r="B660" s="1125" t="s">
        <v>10938</v>
      </c>
      <c r="C660" s="1126" t="s">
        <v>10796</v>
      </c>
      <c r="D660" s="1119">
        <v>27.09</v>
      </c>
      <c r="E660" s="1120">
        <v>19.8</v>
      </c>
      <c r="F660" s="1121">
        <f t="shared" si="1"/>
        <v>7.29</v>
      </c>
      <c r="G660" s="1120">
        <v>6.69</v>
      </c>
      <c r="H660" s="1127">
        <v>0.6</v>
      </c>
      <c r="I660" s="1127">
        <v>0.0</v>
      </c>
      <c r="J660" s="1127">
        <v>0.0</v>
      </c>
      <c r="K660" s="1124"/>
    </row>
    <row r="661" ht="15.75" customHeight="1">
      <c r="A661" s="1119">
        <v>104092.0</v>
      </c>
      <c r="B661" s="1125" t="s">
        <v>10939</v>
      </c>
      <c r="C661" s="1126" t="s">
        <v>10796</v>
      </c>
      <c r="D661" s="1119">
        <v>0.14</v>
      </c>
      <c r="E661" s="1120">
        <v>0.0</v>
      </c>
      <c r="F661" s="1121">
        <f t="shared" si="1"/>
        <v>0.14</v>
      </c>
      <c r="G661" s="1120">
        <v>0.0</v>
      </c>
      <c r="H661" s="1127">
        <v>0.14</v>
      </c>
      <c r="I661" s="1127">
        <v>0.0</v>
      </c>
      <c r="J661" s="1127">
        <v>0.0</v>
      </c>
      <c r="K661" s="1124"/>
    </row>
    <row r="662" ht="15.75" customHeight="1">
      <c r="A662" s="1119">
        <v>104098.0</v>
      </c>
      <c r="B662" s="1125" t="s">
        <v>10940</v>
      </c>
      <c r="C662" s="1126" t="s">
        <v>10796</v>
      </c>
      <c r="D662" s="1119">
        <v>0.2</v>
      </c>
      <c r="E662" s="1120">
        <v>0.0</v>
      </c>
      <c r="F662" s="1121">
        <f t="shared" si="1"/>
        <v>0.2</v>
      </c>
      <c r="G662" s="1120">
        <v>0.0</v>
      </c>
      <c r="H662" s="1127">
        <v>0.2</v>
      </c>
      <c r="I662" s="1127">
        <v>0.0</v>
      </c>
      <c r="J662" s="1127">
        <v>0.0</v>
      </c>
      <c r="K662" s="1124"/>
    </row>
    <row r="663" ht="15.75" customHeight="1">
      <c r="A663" s="1119">
        <v>5089.0</v>
      </c>
      <c r="B663" s="1125" t="s">
        <v>10941</v>
      </c>
      <c r="C663" s="1126" t="s">
        <v>1470</v>
      </c>
      <c r="D663" s="1119">
        <v>40.82</v>
      </c>
      <c r="E663" s="1120">
        <v>0.0</v>
      </c>
      <c r="F663" s="1121">
        <f t="shared" si="1"/>
        <v>40.82</v>
      </c>
      <c r="G663" s="1120">
        <v>0.0</v>
      </c>
      <c r="H663" s="1127">
        <v>40.82</v>
      </c>
      <c r="I663" s="1127">
        <v>0.0</v>
      </c>
      <c r="J663" s="1127">
        <v>0.0</v>
      </c>
      <c r="K663" s="1124"/>
    </row>
    <row r="664" ht="15.75" customHeight="1">
      <c r="A664" s="1119">
        <v>5627.0</v>
      </c>
      <c r="B664" s="1125" t="s">
        <v>10942</v>
      </c>
      <c r="C664" s="1126" t="s">
        <v>1470</v>
      </c>
      <c r="D664" s="1119">
        <v>48.16</v>
      </c>
      <c r="E664" s="1120">
        <v>0.0</v>
      </c>
      <c r="F664" s="1121">
        <f t="shared" si="1"/>
        <v>48.16</v>
      </c>
      <c r="G664" s="1120">
        <v>0.0</v>
      </c>
      <c r="H664" s="1127">
        <v>48.16</v>
      </c>
      <c r="I664" s="1127">
        <v>0.0</v>
      </c>
      <c r="J664" s="1127">
        <v>0.0</v>
      </c>
      <c r="K664" s="1124"/>
    </row>
    <row r="665" ht="15.75" customHeight="1">
      <c r="A665" s="1119">
        <v>5628.0</v>
      </c>
      <c r="B665" s="1125" t="s">
        <v>10943</v>
      </c>
      <c r="C665" s="1126" t="s">
        <v>1470</v>
      </c>
      <c r="D665" s="1119">
        <v>6.53</v>
      </c>
      <c r="E665" s="1120">
        <v>0.0</v>
      </c>
      <c r="F665" s="1121">
        <f t="shared" si="1"/>
        <v>6.53</v>
      </c>
      <c r="G665" s="1120">
        <v>0.0</v>
      </c>
      <c r="H665" s="1127">
        <v>6.53</v>
      </c>
      <c r="I665" s="1127">
        <v>0.0</v>
      </c>
      <c r="J665" s="1127">
        <v>0.0</v>
      </c>
      <c r="K665" s="1124"/>
    </row>
    <row r="666" ht="15.75" customHeight="1">
      <c r="A666" s="1119">
        <v>5629.0</v>
      </c>
      <c r="B666" s="1125" t="s">
        <v>10944</v>
      </c>
      <c r="C666" s="1126" t="s">
        <v>1470</v>
      </c>
      <c r="D666" s="1119">
        <v>60.2</v>
      </c>
      <c r="E666" s="1120">
        <v>0.0</v>
      </c>
      <c r="F666" s="1121">
        <f t="shared" si="1"/>
        <v>60.2</v>
      </c>
      <c r="G666" s="1120">
        <v>0.0</v>
      </c>
      <c r="H666" s="1127">
        <v>60.2</v>
      </c>
      <c r="I666" s="1127">
        <v>0.0</v>
      </c>
      <c r="J666" s="1127">
        <v>0.0</v>
      </c>
      <c r="K666" s="1124"/>
    </row>
    <row r="667" ht="15.75" customHeight="1">
      <c r="A667" s="1119">
        <v>5630.0</v>
      </c>
      <c r="B667" s="1125" t="s">
        <v>10945</v>
      </c>
      <c r="C667" s="1126" t="s">
        <v>1470</v>
      </c>
      <c r="D667" s="1119">
        <v>49.0</v>
      </c>
      <c r="E667" s="1120">
        <v>0.0</v>
      </c>
      <c r="F667" s="1121">
        <f t="shared" si="1"/>
        <v>49</v>
      </c>
      <c r="G667" s="1120">
        <v>49.0</v>
      </c>
      <c r="H667" s="1127">
        <v>0.0</v>
      </c>
      <c r="I667" s="1127">
        <v>0.0</v>
      </c>
      <c r="J667" s="1127">
        <v>0.0</v>
      </c>
      <c r="K667" s="1124"/>
    </row>
    <row r="668" ht="15.75" customHeight="1">
      <c r="A668" s="1119">
        <v>5658.0</v>
      </c>
      <c r="B668" s="1125" t="s">
        <v>10946</v>
      </c>
      <c r="C668" s="1126" t="s">
        <v>1470</v>
      </c>
      <c r="D668" s="1119">
        <v>2.55</v>
      </c>
      <c r="E668" s="1120">
        <v>0.0</v>
      </c>
      <c r="F668" s="1121">
        <f t="shared" si="1"/>
        <v>2.55</v>
      </c>
      <c r="G668" s="1120">
        <v>0.0</v>
      </c>
      <c r="H668" s="1127">
        <v>2.55</v>
      </c>
      <c r="I668" s="1127">
        <v>0.0</v>
      </c>
      <c r="J668" s="1127">
        <v>0.0</v>
      </c>
      <c r="K668" s="1124"/>
    </row>
    <row r="669" ht="15.75" customHeight="1">
      <c r="A669" s="1119">
        <v>5664.0</v>
      </c>
      <c r="B669" s="1125" t="s">
        <v>10947</v>
      </c>
      <c r="C669" s="1126" t="s">
        <v>1470</v>
      </c>
      <c r="D669" s="1119">
        <v>31.2</v>
      </c>
      <c r="E669" s="1120">
        <v>0.0</v>
      </c>
      <c r="F669" s="1121">
        <f t="shared" si="1"/>
        <v>31.2</v>
      </c>
      <c r="G669" s="1120">
        <v>0.0</v>
      </c>
      <c r="H669" s="1127">
        <v>31.2</v>
      </c>
      <c r="I669" s="1127">
        <v>0.0</v>
      </c>
      <c r="J669" s="1127">
        <v>0.0</v>
      </c>
      <c r="K669" s="1124"/>
    </row>
    <row r="670" ht="15.75" customHeight="1">
      <c r="A670" s="1119">
        <v>5667.0</v>
      </c>
      <c r="B670" s="1125" t="s">
        <v>10948</v>
      </c>
      <c r="C670" s="1126" t="s">
        <v>1470</v>
      </c>
      <c r="D670" s="1119">
        <v>27.75</v>
      </c>
      <c r="E670" s="1120">
        <v>0.0</v>
      </c>
      <c r="F670" s="1121">
        <f t="shared" si="1"/>
        <v>27.75</v>
      </c>
      <c r="G670" s="1120">
        <v>0.0</v>
      </c>
      <c r="H670" s="1127">
        <v>27.75</v>
      </c>
      <c r="I670" s="1127">
        <v>0.0</v>
      </c>
      <c r="J670" s="1127">
        <v>0.0</v>
      </c>
      <c r="K670" s="1124"/>
    </row>
    <row r="671" ht="15.75" customHeight="1">
      <c r="A671" s="1119">
        <v>5668.0</v>
      </c>
      <c r="B671" s="1125" t="s">
        <v>10949</v>
      </c>
      <c r="C671" s="1126" t="s">
        <v>1470</v>
      </c>
      <c r="D671" s="1119">
        <v>34.85</v>
      </c>
      <c r="E671" s="1120">
        <v>0.0</v>
      </c>
      <c r="F671" s="1121">
        <f t="shared" si="1"/>
        <v>34.85</v>
      </c>
      <c r="G671" s="1120">
        <v>34.85</v>
      </c>
      <c r="H671" s="1127">
        <v>0.0</v>
      </c>
      <c r="I671" s="1127">
        <v>0.0</v>
      </c>
      <c r="J671" s="1127">
        <v>0.0</v>
      </c>
      <c r="K671" s="1124"/>
    </row>
    <row r="672" ht="15.75" customHeight="1">
      <c r="A672" s="1119">
        <v>5674.0</v>
      </c>
      <c r="B672" s="1125" t="s">
        <v>10950</v>
      </c>
      <c r="C672" s="1126" t="s">
        <v>1470</v>
      </c>
      <c r="D672" s="1119">
        <v>39.26</v>
      </c>
      <c r="E672" s="1120">
        <v>0.0</v>
      </c>
      <c r="F672" s="1121">
        <f t="shared" si="1"/>
        <v>39.26</v>
      </c>
      <c r="G672" s="1120">
        <v>0.0</v>
      </c>
      <c r="H672" s="1127">
        <v>39.26</v>
      </c>
      <c r="I672" s="1127">
        <v>0.0</v>
      </c>
      <c r="J672" s="1127">
        <v>0.0</v>
      </c>
      <c r="K672" s="1124"/>
    </row>
    <row r="673" ht="15.75" customHeight="1">
      <c r="A673" s="1119">
        <v>5692.0</v>
      </c>
      <c r="B673" s="1125" t="s">
        <v>10951</v>
      </c>
      <c r="C673" s="1126" t="s">
        <v>1470</v>
      </c>
      <c r="D673" s="1119">
        <v>0.25</v>
      </c>
      <c r="E673" s="1120">
        <v>0.0</v>
      </c>
      <c r="F673" s="1121">
        <f t="shared" si="1"/>
        <v>0.25</v>
      </c>
      <c r="G673" s="1120">
        <v>0.0</v>
      </c>
      <c r="H673" s="1127">
        <v>0.25</v>
      </c>
      <c r="I673" s="1127">
        <v>0.0</v>
      </c>
      <c r="J673" s="1127">
        <v>0.0</v>
      </c>
      <c r="K673" s="1124"/>
    </row>
    <row r="674" ht="15.75" customHeight="1">
      <c r="A674" s="1119">
        <v>5693.0</v>
      </c>
      <c r="B674" s="1125" t="s">
        <v>10952</v>
      </c>
      <c r="C674" s="1126" t="s">
        <v>1470</v>
      </c>
      <c r="D674" s="1119">
        <v>19.36</v>
      </c>
      <c r="E674" s="1120">
        <v>0.0</v>
      </c>
      <c r="F674" s="1121">
        <f t="shared" si="1"/>
        <v>19.36</v>
      </c>
      <c r="G674" s="1120">
        <v>19.36</v>
      </c>
      <c r="H674" s="1127">
        <v>0.0</v>
      </c>
      <c r="I674" s="1127">
        <v>0.0</v>
      </c>
      <c r="J674" s="1127">
        <v>0.0</v>
      </c>
      <c r="K674" s="1124"/>
    </row>
    <row r="675" ht="15.75" customHeight="1">
      <c r="A675" s="1119">
        <v>5695.0</v>
      </c>
      <c r="B675" s="1125" t="s">
        <v>10953</v>
      </c>
      <c r="C675" s="1126" t="s">
        <v>1470</v>
      </c>
      <c r="D675" s="1119">
        <v>42.48</v>
      </c>
      <c r="E675" s="1120">
        <v>0.0</v>
      </c>
      <c r="F675" s="1121">
        <f t="shared" si="1"/>
        <v>42.48</v>
      </c>
      <c r="G675" s="1120">
        <v>0.0</v>
      </c>
      <c r="H675" s="1127">
        <v>42.48</v>
      </c>
      <c r="I675" s="1127">
        <v>0.0</v>
      </c>
      <c r="J675" s="1127">
        <v>0.0</v>
      </c>
      <c r="K675" s="1124"/>
    </row>
    <row r="676" ht="15.75" customHeight="1">
      <c r="A676" s="1119">
        <v>5703.0</v>
      </c>
      <c r="B676" s="1125" t="s">
        <v>10954</v>
      </c>
      <c r="C676" s="1126" t="s">
        <v>1470</v>
      </c>
      <c r="D676" s="1119">
        <v>15.23</v>
      </c>
      <c r="E676" s="1120">
        <v>0.0</v>
      </c>
      <c r="F676" s="1121">
        <f t="shared" si="1"/>
        <v>15.23</v>
      </c>
      <c r="G676" s="1120">
        <v>0.0</v>
      </c>
      <c r="H676" s="1127">
        <v>0.0</v>
      </c>
      <c r="I676" s="1127">
        <v>0.0</v>
      </c>
      <c r="J676" s="1127">
        <v>15.23</v>
      </c>
      <c r="K676" s="1124"/>
    </row>
    <row r="677" ht="15.75" customHeight="1">
      <c r="A677" s="1119">
        <v>5705.0</v>
      </c>
      <c r="B677" s="1125" t="s">
        <v>10955</v>
      </c>
      <c r="C677" s="1126" t="s">
        <v>1470</v>
      </c>
      <c r="D677" s="1119">
        <v>40.47</v>
      </c>
      <c r="E677" s="1120">
        <v>0.0</v>
      </c>
      <c r="F677" s="1121">
        <f t="shared" si="1"/>
        <v>40.47</v>
      </c>
      <c r="G677" s="1120">
        <v>0.0</v>
      </c>
      <c r="H677" s="1127">
        <v>40.47</v>
      </c>
      <c r="I677" s="1127">
        <v>0.0</v>
      </c>
      <c r="J677" s="1127">
        <v>0.0</v>
      </c>
      <c r="K677" s="1124"/>
    </row>
    <row r="678" ht="15.75" customHeight="1">
      <c r="A678" s="1119">
        <v>5707.0</v>
      </c>
      <c r="B678" s="1125" t="s">
        <v>10956</v>
      </c>
      <c r="C678" s="1126" t="s">
        <v>1470</v>
      </c>
      <c r="D678" s="1119">
        <v>75.29</v>
      </c>
      <c r="E678" s="1120">
        <v>0.0</v>
      </c>
      <c r="F678" s="1121">
        <f t="shared" si="1"/>
        <v>75.29</v>
      </c>
      <c r="G678" s="1120">
        <v>0.0</v>
      </c>
      <c r="H678" s="1127">
        <v>75.29</v>
      </c>
      <c r="I678" s="1127">
        <v>0.0</v>
      </c>
      <c r="J678" s="1127">
        <v>0.0</v>
      </c>
      <c r="K678" s="1124"/>
    </row>
    <row r="679" ht="15.75" customHeight="1">
      <c r="A679" s="1119">
        <v>5710.0</v>
      </c>
      <c r="B679" s="1125" t="s">
        <v>10957</v>
      </c>
      <c r="C679" s="1126" t="s">
        <v>1470</v>
      </c>
      <c r="D679" s="1119">
        <v>149.53</v>
      </c>
      <c r="E679" s="1120">
        <v>0.0</v>
      </c>
      <c r="F679" s="1121">
        <f t="shared" si="1"/>
        <v>149.53</v>
      </c>
      <c r="G679" s="1120">
        <v>0.0</v>
      </c>
      <c r="H679" s="1127">
        <v>149.53</v>
      </c>
      <c r="I679" s="1127">
        <v>0.0</v>
      </c>
      <c r="J679" s="1127">
        <v>0.0</v>
      </c>
      <c r="K679" s="1124"/>
    </row>
    <row r="680" ht="15.75" customHeight="1">
      <c r="A680" s="1119">
        <v>5711.0</v>
      </c>
      <c r="B680" s="1125" t="s">
        <v>10958</v>
      </c>
      <c r="C680" s="1126" t="s">
        <v>1470</v>
      </c>
      <c r="D680" s="1119">
        <v>67.7</v>
      </c>
      <c r="E680" s="1120">
        <v>0.0</v>
      </c>
      <c r="F680" s="1121">
        <f t="shared" si="1"/>
        <v>67.7</v>
      </c>
      <c r="G680" s="1120">
        <v>67.7</v>
      </c>
      <c r="H680" s="1127">
        <v>0.0</v>
      </c>
      <c r="I680" s="1127">
        <v>0.0</v>
      </c>
      <c r="J680" s="1127">
        <v>0.0</v>
      </c>
      <c r="K680" s="1124"/>
    </row>
    <row r="681" ht="15.75" customHeight="1">
      <c r="A681" s="1119">
        <v>5714.0</v>
      </c>
      <c r="B681" s="1125" t="s">
        <v>10959</v>
      </c>
      <c r="C681" s="1126" t="s">
        <v>1470</v>
      </c>
      <c r="D681" s="1119">
        <v>16.03</v>
      </c>
      <c r="E681" s="1120">
        <v>0.0</v>
      </c>
      <c r="F681" s="1121">
        <f t="shared" si="1"/>
        <v>16.03</v>
      </c>
      <c r="G681" s="1120">
        <v>0.0</v>
      </c>
      <c r="H681" s="1127">
        <v>16.03</v>
      </c>
      <c r="I681" s="1127">
        <v>0.0</v>
      </c>
      <c r="J681" s="1127">
        <v>0.0</v>
      </c>
      <c r="K681" s="1124"/>
    </row>
    <row r="682" ht="15.75" customHeight="1">
      <c r="A682" s="1119">
        <v>5715.0</v>
      </c>
      <c r="B682" s="1125" t="s">
        <v>10960</v>
      </c>
      <c r="C682" s="1126" t="s">
        <v>1470</v>
      </c>
      <c r="D682" s="1119">
        <v>51.23</v>
      </c>
      <c r="E682" s="1120">
        <v>0.0</v>
      </c>
      <c r="F682" s="1121">
        <f t="shared" si="1"/>
        <v>51.23</v>
      </c>
      <c r="G682" s="1120">
        <v>51.23</v>
      </c>
      <c r="H682" s="1127">
        <v>0.0</v>
      </c>
      <c r="I682" s="1127">
        <v>0.0</v>
      </c>
      <c r="J682" s="1127">
        <v>0.0</v>
      </c>
      <c r="K682" s="1124"/>
    </row>
    <row r="683" ht="15.75" customHeight="1">
      <c r="A683" s="1119">
        <v>5718.0</v>
      </c>
      <c r="B683" s="1125" t="s">
        <v>10961</v>
      </c>
      <c r="C683" s="1126" t="s">
        <v>1470</v>
      </c>
      <c r="D683" s="1119">
        <v>80.8</v>
      </c>
      <c r="E683" s="1120">
        <v>0.0</v>
      </c>
      <c r="F683" s="1121">
        <f t="shared" si="1"/>
        <v>80.8</v>
      </c>
      <c r="G683" s="1120">
        <v>80.8</v>
      </c>
      <c r="H683" s="1127">
        <v>0.0</v>
      </c>
      <c r="I683" s="1127">
        <v>0.0</v>
      </c>
      <c r="J683" s="1127">
        <v>0.0</v>
      </c>
      <c r="K683" s="1124"/>
    </row>
    <row r="684" ht="15.75" customHeight="1">
      <c r="A684" s="1119">
        <v>5721.0</v>
      </c>
      <c r="B684" s="1125" t="s">
        <v>10962</v>
      </c>
      <c r="C684" s="1126" t="s">
        <v>1470</v>
      </c>
      <c r="D684" s="1119">
        <v>71.29</v>
      </c>
      <c r="E684" s="1120">
        <v>0.0</v>
      </c>
      <c r="F684" s="1121">
        <f t="shared" si="1"/>
        <v>71.29</v>
      </c>
      <c r="G684" s="1120">
        <v>71.29</v>
      </c>
      <c r="H684" s="1127">
        <v>0.0</v>
      </c>
      <c r="I684" s="1127">
        <v>0.0</v>
      </c>
      <c r="J684" s="1127">
        <v>0.0</v>
      </c>
      <c r="K684" s="1124"/>
    </row>
    <row r="685" ht="15.75" customHeight="1">
      <c r="A685" s="1119">
        <v>5722.0</v>
      </c>
      <c r="B685" s="1125" t="s">
        <v>10963</v>
      </c>
      <c r="C685" s="1126" t="s">
        <v>1470</v>
      </c>
      <c r="D685" s="1119">
        <v>164.89</v>
      </c>
      <c r="E685" s="1120">
        <v>0.0</v>
      </c>
      <c r="F685" s="1121">
        <f t="shared" si="1"/>
        <v>164.89</v>
      </c>
      <c r="G685" s="1120">
        <v>164.89</v>
      </c>
      <c r="H685" s="1127">
        <v>0.0</v>
      </c>
      <c r="I685" s="1127">
        <v>0.0</v>
      </c>
      <c r="J685" s="1127">
        <v>0.0</v>
      </c>
      <c r="K685" s="1124"/>
    </row>
    <row r="686" ht="15.75" customHeight="1">
      <c r="A686" s="1119">
        <v>5724.0</v>
      </c>
      <c r="B686" s="1125" t="s">
        <v>10964</v>
      </c>
      <c r="C686" s="1126" t="s">
        <v>1470</v>
      </c>
      <c r="D686" s="1119">
        <v>59.61</v>
      </c>
      <c r="E686" s="1120">
        <v>0.0</v>
      </c>
      <c r="F686" s="1121">
        <f t="shared" si="1"/>
        <v>59.61</v>
      </c>
      <c r="G686" s="1120">
        <v>0.0</v>
      </c>
      <c r="H686" s="1127">
        <v>59.61</v>
      </c>
      <c r="I686" s="1127">
        <v>0.0</v>
      </c>
      <c r="J686" s="1127">
        <v>0.0</v>
      </c>
      <c r="K686" s="1124"/>
    </row>
    <row r="687" ht="15.75" customHeight="1">
      <c r="A687" s="1119">
        <v>5727.0</v>
      </c>
      <c r="B687" s="1125" t="s">
        <v>10965</v>
      </c>
      <c r="C687" s="1126" t="s">
        <v>1470</v>
      </c>
      <c r="D687" s="1119">
        <v>11.85</v>
      </c>
      <c r="E687" s="1120">
        <v>0.0</v>
      </c>
      <c r="F687" s="1121">
        <f t="shared" si="1"/>
        <v>11.85</v>
      </c>
      <c r="G687" s="1120">
        <v>0.0</v>
      </c>
      <c r="H687" s="1127">
        <v>11.85</v>
      </c>
      <c r="I687" s="1127">
        <v>0.0</v>
      </c>
      <c r="J687" s="1127">
        <v>0.0</v>
      </c>
      <c r="K687" s="1124"/>
    </row>
    <row r="688" ht="15.75" customHeight="1">
      <c r="A688" s="1119">
        <v>5729.0</v>
      </c>
      <c r="B688" s="1125" t="s">
        <v>10966</v>
      </c>
      <c r="C688" s="1126" t="s">
        <v>1470</v>
      </c>
      <c r="D688" s="1119">
        <v>48.21</v>
      </c>
      <c r="E688" s="1120">
        <v>0.0</v>
      </c>
      <c r="F688" s="1121">
        <f t="shared" si="1"/>
        <v>48.21</v>
      </c>
      <c r="G688" s="1120">
        <v>0.0</v>
      </c>
      <c r="H688" s="1127">
        <v>48.21</v>
      </c>
      <c r="I688" s="1127">
        <v>0.0</v>
      </c>
      <c r="J688" s="1127">
        <v>0.0</v>
      </c>
      <c r="K688" s="1124"/>
    </row>
    <row r="689" ht="15.75" customHeight="1">
      <c r="A689" s="1119">
        <v>5730.0</v>
      </c>
      <c r="B689" s="1125" t="s">
        <v>10967</v>
      </c>
      <c r="C689" s="1126" t="s">
        <v>1470</v>
      </c>
      <c r="D689" s="1119">
        <v>31.07</v>
      </c>
      <c r="E689" s="1120">
        <v>0.0</v>
      </c>
      <c r="F689" s="1121">
        <f t="shared" si="1"/>
        <v>31.07</v>
      </c>
      <c r="G689" s="1120">
        <v>31.07</v>
      </c>
      <c r="H689" s="1127">
        <v>0.0</v>
      </c>
      <c r="I689" s="1127">
        <v>0.0</v>
      </c>
      <c r="J689" s="1127">
        <v>0.0</v>
      </c>
      <c r="K689" s="1124"/>
    </row>
    <row r="690" ht="15.75" customHeight="1">
      <c r="A690" s="1119">
        <v>5735.0</v>
      </c>
      <c r="B690" s="1125" t="s">
        <v>10968</v>
      </c>
      <c r="C690" s="1126" t="s">
        <v>1470</v>
      </c>
      <c r="D690" s="1119">
        <v>30.1</v>
      </c>
      <c r="E690" s="1120">
        <v>0.0</v>
      </c>
      <c r="F690" s="1121">
        <f t="shared" si="1"/>
        <v>30.1</v>
      </c>
      <c r="G690" s="1120">
        <v>0.0</v>
      </c>
      <c r="H690" s="1127">
        <v>30.1</v>
      </c>
      <c r="I690" s="1127">
        <v>0.0</v>
      </c>
      <c r="J690" s="1127">
        <v>0.0</v>
      </c>
      <c r="K690" s="1124"/>
    </row>
    <row r="691" ht="15.75" customHeight="1">
      <c r="A691" s="1119">
        <v>5736.0</v>
      </c>
      <c r="B691" s="1125" t="s">
        <v>10969</v>
      </c>
      <c r="C691" s="1126" t="s">
        <v>1470</v>
      </c>
      <c r="D691" s="1119">
        <v>31.75</v>
      </c>
      <c r="E691" s="1120">
        <v>0.0</v>
      </c>
      <c r="F691" s="1121">
        <f t="shared" si="1"/>
        <v>31.75</v>
      </c>
      <c r="G691" s="1120">
        <v>31.75</v>
      </c>
      <c r="H691" s="1127">
        <v>0.0</v>
      </c>
      <c r="I691" s="1127">
        <v>0.0</v>
      </c>
      <c r="J691" s="1127">
        <v>0.0</v>
      </c>
      <c r="K691" s="1124"/>
    </row>
    <row r="692" ht="15.75" customHeight="1">
      <c r="A692" s="1119">
        <v>5738.0</v>
      </c>
      <c r="B692" s="1125" t="s">
        <v>10970</v>
      </c>
      <c r="C692" s="1126" t="s">
        <v>1470</v>
      </c>
      <c r="D692" s="1119">
        <v>42.87</v>
      </c>
      <c r="E692" s="1120">
        <v>0.0</v>
      </c>
      <c r="F692" s="1121">
        <f t="shared" si="1"/>
        <v>42.87</v>
      </c>
      <c r="G692" s="1120">
        <v>0.0</v>
      </c>
      <c r="H692" s="1127">
        <v>42.87</v>
      </c>
      <c r="I692" s="1127">
        <v>0.0</v>
      </c>
      <c r="J692" s="1127">
        <v>0.0</v>
      </c>
      <c r="K692" s="1124"/>
    </row>
    <row r="693" ht="15.75" customHeight="1">
      <c r="A693" s="1119">
        <v>5739.0</v>
      </c>
      <c r="B693" s="1125" t="s">
        <v>10971</v>
      </c>
      <c r="C693" s="1126" t="s">
        <v>1470</v>
      </c>
      <c r="D693" s="1119">
        <v>53.64</v>
      </c>
      <c r="E693" s="1120">
        <v>0.0</v>
      </c>
      <c r="F693" s="1121">
        <f t="shared" si="1"/>
        <v>53.64</v>
      </c>
      <c r="G693" s="1120">
        <v>0.0</v>
      </c>
      <c r="H693" s="1127">
        <v>53.64</v>
      </c>
      <c r="I693" s="1127">
        <v>0.0</v>
      </c>
      <c r="J693" s="1127">
        <v>0.0</v>
      </c>
      <c r="K693" s="1124"/>
    </row>
    <row r="694" ht="15.75" customHeight="1">
      <c r="A694" s="1119">
        <v>5741.0</v>
      </c>
      <c r="B694" s="1125" t="s">
        <v>10972</v>
      </c>
      <c r="C694" s="1126" t="s">
        <v>1470</v>
      </c>
      <c r="D694" s="1119">
        <v>42.78</v>
      </c>
      <c r="E694" s="1120">
        <v>0.0</v>
      </c>
      <c r="F694" s="1121">
        <f t="shared" si="1"/>
        <v>42.78</v>
      </c>
      <c r="G694" s="1120">
        <v>0.0</v>
      </c>
      <c r="H694" s="1127">
        <v>42.78</v>
      </c>
      <c r="I694" s="1127">
        <v>0.0</v>
      </c>
      <c r="J694" s="1127">
        <v>0.0</v>
      </c>
      <c r="K694" s="1124"/>
    </row>
    <row r="695" ht="15.75" customHeight="1">
      <c r="A695" s="1119">
        <v>5742.0</v>
      </c>
      <c r="B695" s="1125" t="s">
        <v>10973</v>
      </c>
      <c r="C695" s="1126" t="s">
        <v>1470</v>
      </c>
      <c r="D695" s="1119">
        <v>20.97</v>
      </c>
      <c r="E695" s="1120">
        <v>0.0</v>
      </c>
      <c r="F695" s="1121">
        <f t="shared" si="1"/>
        <v>20.97</v>
      </c>
      <c r="G695" s="1120">
        <v>20.97</v>
      </c>
      <c r="H695" s="1127">
        <v>0.0</v>
      </c>
      <c r="I695" s="1127">
        <v>0.0</v>
      </c>
      <c r="J695" s="1127">
        <v>0.0</v>
      </c>
      <c r="K695" s="1124"/>
    </row>
    <row r="696" ht="15.75" customHeight="1">
      <c r="A696" s="1119">
        <v>5747.0</v>
      </c>
      <c r="B696" s="1125" t="s">
        <v>10974</v>
      </c>
      <c r="C696" s="1126" t="s">
        <v>1470</v>
      </c>
      <c r="D696" s="1119">
        <v>120.25</v>
      </c>
      <c r="E696" s="1120">
        <v>0.0</v>
      </c>
      <c r="F696" s="1121">
        <f t="shared" si="1"/>
        <v>120.25</v>
      </c>
      <c r="G696" s="1120">
        <v>120.25</v>
      </c>
      <c r="H696" s="1127">
        <v>0.0</v>
      </c>
      <c r="I696" s="1127">
        <v>0.0</v>
      </c>
      <c r="J696" s="1127">
        <v>0.0</v>
      </c>
      <c r="K696" s="1124"/>
    </row>
    <row r="697" ht="15.75" customHeight="1">
      <c r="A697" s="1119">
        <v>5751.0</v>
      </c>
      <c r="B697" s="1125" t="s">
        <v>10975</v>
      </c>
      <c r="C697" s="1126" t="s">
        <v>1470</v>
      </c>
      <c r="D697" s="1119">
        <v>34.47</v>
      </c>
      <c r="E697" s="1120">
        <v>0.0</v>
      </c>
      <c r="F697" s="1121">
        <f t="shared" si="1"/>
        <v>34.47</v>
      </c>
      <c r="G697" s="1120">
        <v>0.0</v>
      </c>
      <c r="H697" s="1127">
        <v>34.47</v>
      </c>
      <c r="I697" s="1127">
        <v>0.0</v>
      </c>
      <c r="J697" s="1127">
        <v>0.0</v>
      </c>
      <c r="K697" s="1124"/>
    </row>
    <row r="698" ht="15.75" customHeight="1">
      <c r="A698" s="1119">
        <v>5754.0</v>
      </c>
      <c r="B698" s="1125" t="s">
        <v>10976</v>
      </c>
      <c r="C698" s="1126" t="s">
        <v>1470</v>
      </c>
      <c r="D698" s="1119">
        <v>37.85</v>
      </c>
      <c r="E698" s="1120">
        <v>0.0</v>
      </c>
      <c r="F698" s="1121">
        <f t="shared" si="1"/>
        <v>37.85</v>
      </c>
      <c r="G698" s="1120">
        <v>0.0</v>
      </c>
      <c r="H698" s="1127">
        <v>37.85</v>
      </c>
      <c r="I698" s="1127">
        <v>0.0</v>
      </c>
      <c r="J698" s="1127">
        <v>0.0</v>
      </c>
      <c r="K698" s="1124"/>
    </row>
    <row r="699" ht="15.75" customHeight="1">
      <c r="A699" s="1119">
        <v>5763.0</v>
      </c>
      <c r="B699" s="1125" t="s">
        <v>10977</v>
      </c>
      <c r="C699" s="1126" t="s">
        <v>1470</v>
      </c>
      <c r="D699" s="1119">
        <v>54.06</v>
      </c>
      <c r="E699" s="1120">
        <v>0.0</v>
      </c>
      <c r="F699" s="1121">
        <f t="shared" si="1"/>
        <v>54.06</v>
      </c>
      <c r="G699" s="1120">
        <v>0.0</v>
      </c>
      <c r="H699" s="1127">
        <v>54.06</v>
      </c>
      <c r="I699" s="1127">
        <v>0.0</v>
      </c>
      <c r="J699" s="1127">
        <v>0.0</v>
      </c>
      <c r="K699" s="1124"/>
    </row>
    <row r="700" ht="15.75" customHeight="1">
      <c r="A700" s="1119">
        <v>5765.0</v>
      </c>
      <c r="B700" s="1125" t="s">
        <v>10978</v>
      </c>
      <c r="C700" s="1126" t="s">
        <v>1470</v>
      </c>
      <c r="D700" s="1119">
        <v>4.64</v>
      </c>
      <c r="E700" s="1120">
        <v>0.0</v>
      </c>
      <c r="F700" s="1121">
        <f t="shared" si="1"/>
        <v>4.64</v>
      </c>
      <c r="G700" s="1120">
        <v>0.0</v>
      </c>
      <c r="H700" s="1127">
        <v>4.64</v>
      </c>
      <c r="I700" s="1127">
        <v>0.0</v>
      </c>
      <c r="J700" s="1127">
        <v>0.0</v>
      </c>
      <c r="K700" s="1124"/>
    </row>
    <row r="701" ht="15.75" customHeight="1">
      <c r="A701" s="1119">
        <v>5766.0</v>
      </c>
      <c r="B701" s="1125" t="s">
        <v>10979</v>
      </c>
      <c r="C701" s="1126" t="s">
        <v>1470</v>
      </c>
      <c r="D701" s="1119">
        <v>2.7</v>
      </c>
      <c r="E701" s="1120">
        <v>0.0</v>
      </c>
      <c r="F701" s="1121">
        <f t="shared" si="1"/>
        <v>2.7</v>
      </c>
      <c r="G701" s="1120">
        <v>2.7</v>
      </c>
      <c r="H701" s="1127">
        <v>0.0</v>
      </c>
      <c r="I701" s="1127">
        <v>0.0</v>
      </c>
      <c r="J701" s="1127">
        <v>0.0</v>
      </c>
      <c r="K701" s="1124"/>
    </row>
    <row r="702" ht="15.75" customHeight="1">
      <c r="A702" s="1119">
        <v>5779.0</v>
      </c>
      <c r="B702" s="1125" t="s">
        <v>10980</v>
      </c>
      <c r="C702" s="1126" t="s">
        <v>1470</v>
      </c>
      <c r="D702" s="1119">
        <v>90.02</v>
      </c>
      <c r="E702" s="1120">
        <v>0.0</v>
      </c>
      <c r="F702" s="1121">
        <f t="shared" si="1"/>
        <v>90.02</v>
      </c>
      <c r="G702" s="1120">
        <v>0.0</v>
      </c>
      <c r="H702" s="1127">
        <v>90.02</v>
      </c>
      <c r="I702" s="1127">
        <v>0.0</v>
      </c>
      <c r="J702" s="1127">
        <v>0.0</v>
      </c>
      <c r="K702" s="1124"/>
    </row>
    <row r="703" ht="15.75" customHeight="1">
      <c r="A703" s="1119">
        <v>5787.0</v>
      </c>
      <c r="B703" s="1125" t="s">
        <v>10981</v>
      </c>
      <c r="C703" s="1126" t="s">
        <v>1470</v>
      </c>
      <c r="D703" s="1119">
        <v>53.5</v>
      </c>
      <c r="E703" s="1120">
        <v>0.0</v>
      </c>
      <c r="F703" s="1121">
        <f t="shared" si="1"/>
        <v>53.5</v>
      </c>
      <c r="G703" s="1120">
        <v>53.5</v>
      </c>
      <c r="H703" s="1127">
        <v>0.0</v>
      </c>
      <c r="I703" s="1127">
        <v>0.0</v>
      </c>
      <c r="J703" s="1127">
        <v>0.0</v>
      </c>
      <c r="K703" s="1124"/>
    </row>
    <row r="704" ht="15.75" customHeight="1">
      <c r="A704" s="1119">
        <v>5797.0</v>
      </c>
      <c r="B704" s="1125" t="s">
        <v>10982</v>
      </c>
      <c r="C704" s="1126" t="s">
        <v>1470</v>
      </c>
      <c r="D704" s="1119">
        <v>5.7</v>
      </c>
      <c r="E704" s="1120">
        <v>0.0</v>
      </c>
      <c r="F704" s="1121">
        <f t="shared" si="1"/>
        <v>5.7</v>
      </c>
      <c r="G704" s="1120">
        <v>0.0</v>
      </c>
      <c r="H704" s="1127">
        <v>5.7</v>
      </c>
      <c r="I704" s="1127">
        <v>0.0</v>
      </c>
      <c r="J704" s="1127">
        <v>0.0</v>
      </c>
      <c r="K704" s="1124"/>
    </row>
    <row r="705" ht="15.75" customHeight="1">
      <c r="A705" s="1119">
        <v>5800.0</v>
      </c>
      <c r="B705" s="1125" t="s">
        <v>10983</v>
      </c>
      <c r="C705" s="1126" t="s">
        <v>1470</v>
      </c>
      <c r="D705" s="1119">
        <v>0.45</v>
      </c>
      <c r="E705" s="1120">
        <v>0.0</v>
      </c>
      <c r="F705" s="1121">
        <f t="shared" si="1"/>
        <v>0.45</v>
      </c>
      <c r="G705" s="1120">
        <v>0.0</v>
      </c>
      <c r="H705" s="1127">
        <v>0.45</v>
      </c>
      <c r="I705" s="1127">
        <v>0.0</v>
      </c>
      <c r="J705" s="1127">
        <v>0.0</v>
      </c>
      <c r="K705" s="1124"/>
    </row>
    <row r="706" ht="15.75" customHeight="1">
      <c r="A706" s="1119">
        <v>7032.0</v>
      </c>
      <c r="B706" s="1125" t="s">
        <v>10984</v>
      </c>
      <c r="C706" s="1126" t="s">
        <v>1470</v>
      </c>
      <c r="D706" s="1119">
        <v>4.74</v>
      </c>
      <c r="E706" s="1120">
        <v>0.0</v>
      </c>
      <c r="F706" s="1121">
        <f t="shared" si="1"/>
        <v>4.74</v>
      </c>
      <c r="G706" s="1120">
        <v>0.0</v>
      </c>
      <c r="H706" s="1127">
        <v>4.74</v>
      </c>
      <c r="I706" s="1127">
        <v>0.0</v>
      </c>
      <c r="J706" s="1127">
        <v>0.0</v>
      </c>
      <c r="K706" s="1124"/>
    </row>
    <row r="707" ht="15.75" customHeight="1">
      <c r="A707" s="1119">
        <v>7033.0</v>
      </c>
      <c r="B707" s="1125" t="s">
        <v>10985</v>
      </c>
      <c r="C707" s="1126" t="s">
        <v>1470</v>
      </c>
      <c r="D707" s="1119">
        <v>1.58</v>
      </c>
      <c r="E707" s="1120">
        <v>0.0</v>
      </c>
      <c r="F707" s="1121">
        <f t="shared" si="1"/>
        <v>1.58</v>
      </c>
      <c r="G707" s="1120">
        <v>0.0</v>
      </c>
      <c r="H707" s="1127">
        <v>1.58</v>
      </c>
      <c r="I707" s="1127">
        <v>0.0</v>
      </c>
      <c r="J707" s="1127">
        <v>0.0</v>
      </c>
      <c r="K707" s="1124"/>
    </row>
    <row r="708" ht="15.75" customHeight="1">
      <c r="A708" s="1119">
        <v>7034.0</v>
      </c>
      <c r="B708" s="1125" t="s">
        <v>10986</v>
      </c>
      <c r="C708" s="1126" t="s">
        <v>1470</v>
      </c>
      <c r="D708" s="1119">
        <v>6.32</v>
      </c>
      <c r="E708" s="1120">
        <v>0.0</v>
      </c>
      <c r="F708" s="1121">
        <f t="shared" si="1"/>
        <v>6.32</v>
      </c>
      <c r="G708" s="1120">
        <v>0.0</v>
      </c>
      <c r="H708" s="1127">
        <v>6.32</v>
      </c>
      <c r="I708" s="1127">
        <v>0.0</v>
      </c>
      <c r="J708" s="1127">
        <v>0.0</v>
      </c>
      <c r="K708" s="1124"/>
    </row>
    <row r="709" ht="15.75" customHeight="1">
      <c r="A709" s="1119">
        <v>7035.0</v>
      </c>
      <c r="B709" s="1125" t="s">
        <v>10987</v>
      </c>
      <c r="C709" s="1126" t="s">
        <v>1470</v>
      </c>
      <c r="D709" s="1119">
        <v>195.02</v>
      </c>
      <c r="E709" s="1120">
        <v>0.0</v>
      </c>
      <c r="F709" s="1121">
        <f t="shared" si="1"/>
        <v>195.02</v>
      </c>
      <c r="G709" s="1120">
        <v>195.02</v>
      </c>
      <c r="H709" s="1127">
        <v>0.0</v>
      </c>
      <c r="I709" s="1127">
        <v>0.0</v>
      </c>
      <c r="J709" s="1127">
        <v>0.0</v>
      </c>
      <c r="K709" s="1124"/>
    </row>
    <row r="710" ht="15.75" customHeight="1">
      <c r="A710" s="1119">
        <v>7038.0</v>
      </c>
      <c r="B710" s="1125" t="s">
        <v>10988</v>
      </c>
      <c r="C710" s="1126" t="s">
        <v>1470</v>
      </c>
      <c r="D710" s="1119">
        <v>49.03</v>
      </c>
      <c r="E710" s="1120">
        <v>0.0</v>
      </c>
      <c r="F710" s="1121">
        <f t="shared" si="1"/>
        <v>49.03</v>
      </c>
      <c r="G710" s="1120">
        <v>0.0</v>
      </c>
      <c r="H710" s="1127">
        <v>49.03</v>
      </c>
      <c r="I710" s="1127">
        <v>0.0</v>
      </c>
      <c r="J710" s="1127">
        <v>0.0</v>
      </c>
      <c r="K710" s="1124"/>
    </row>
    <row r="711" ht="15.75" customHeight="1">
      <c r="A711" s="1119">
        <v>7039.0</v>
      </c>
      <c r="B711" s="1125" t="s">
        <v>10989</v>
      </c>
      <c r="C711" s="1126" t="s">
        <v>1470</v>
      </c>
      <c r="D711" s="1119">
        <v>6.8</v>
      </c>
      <c r="E711" s="1120">
        <v>0.0</v>
      </c>
      <c r="F711" s="1121">
        <f t="shared" si="1"/>
        <v>6.8</v>
      </c>
      <c r="G711" s="1120">
        <v>0.0</v>
      </c>
      <c r="H711" s="1127">
        <v>6.8</v>
      </c>
      <c r="I711" s="1127">
        <v>0.0</v>
      </c>
      <c r="J711" s="1127">
        <v>0.0</v>
      </c>
      <c r="K711" s="1124"/>
    </row>
    <row r="712" ht="15.75" customHeight="1">
      <c r="A712" s="1119">
        <v>7040.0</v>
      </c>
      <c r="B712" s="1125" t="s">
        <v>10990</v>
      </c>
      <c r="C712" s="1126" t="s">
        <v>1470</v>
      </c>
      <c r="D712" s="1119">
        <v>61.36</v>
      </c>
      <c r="E712" s="1120">
        <v>0.0</v>
      </c>
      <c r="F712" s="1121">
        <f t="shared" si="1"/>
        <v>61.36</v>
      </c>
      <c r="G712" s="1120">
        <v>0.0</v>
      </c>
      <c r="H712" s="1127">
        <v>61.36</v>
      </c>
      <c r="I712" s="1127">
        <v>0.0</v>
      </c>
      <c r="J712" s="1127">
        <v>0.0</v>
      </c>
      <c r="K712" s="1124"/>
    </row>
    <row r="713" ht="15.75" customHeight="1">
      <c r="A713" s="1119">
        <v>7044.0</v>
      </c>
      <c r="B713" s="1125" t="s">
        <v>10991</v>
      </c>
      <c r="C713" s="1126" t="s">
        <v>1470</v>
      </c>
      <c r="D713" s="1119">
        <v>0.28</v>
      </c>
      <c r="E713" s="1120">
        <v>0.0</v>
      </c>
      <c r="F713" s="1121">
        <f t="shared" si="1"/>
        <v>0.28</v>
      </c>
      <c r="G713" s="1120">
        <v>0.0</v>
      </c>
      <c r="H713" s="1127">
        <v>0.28</v>
      </c>
      <c r="I713" s="1127">
        <v>0.0</v>
      </c>
      <c r="J713" s="1127">
        <v>0.0</v>
      </c>
      <c r="K713" s="1124"/>
    </row>
    <row r="714" ht="15.75" customHeight="1">
      <c r="A714" s="1119">
        <v>7045.0</v>
      </c>
      <c r="B714" s="1125" t="s">
        <v>10992</v>
      </c>
      <c r="C714" s="1126" t="s">
        <v>1470</v>
      </c>
      <c r="D714" s="1119">
        <v>0.03</v>
      </c>
      <c r="E714" s="1120">
        <v>0.0</v>
      </c>
      <c r="F714" s="1121">
        <f t="shared" si="1"/>
        <v>0.03</v>
      </c>
      <c r="G714" s="1120">
        <v>0.0</v>
      </c>
      <c r="H714" s="1127">
        <v>0.03</v>
      </c>
      <c r="I714" s="1127">
        <v>0.0</v>
      </c>
      <c r="J714" s="1127">
        <v>0.0</v>
      </c>
      <c r="K714" s="1124"/>
    </row>
    <row r="715" ht="15.75" customHeight="1">
      <c r="A715" s="1119">
        <v>7046.0</v>
      </c>
      <c r="B715" s="1125" t="s">
        <v>10993</v>
      </c>
      <c r="C715" s="1126" t="s">
        <v>1470</v>
      </c>
      <c r="D715" s="1119">
        <v>0.31</v>
      </c>
      <c r="E715" s="1120">
        <v>0.0</v>
      </c>
      <c r="F715" s="1121">
        <f t="shared" si="1"/>
        <v>0.31</v>
      </c>
      <c r="G715" s="1120">
        <v>0.0</v>
      </c>
      <c r="H715" s="1127">
        <v>0.31</v>
      </c>
      <c r="I715" s="1127">
        <v>0.0</v>
      </c>
      <c r="J715" s="1127">
        <v>0.0</v>
      </c>
      <c r="K715" s="1124"/>
    </row>
    <row r="716" ht="15.75" customHeight="1">
      <c r="A716" s="1119">
        <v>7047.0</v>
      </c>
      <c r="B716" s="1125" t="s">
        <v>10994</v>
      </c>
      <c r="C716" s="1126" t="s">
        <v>1470</v>
      </c>
      <c r="D716" s="1119">
        <v>22.85</v>
      </c>
      <c r="E716" s="1120">
        <v>0.0</v>
      </c>
      <c r="F716" s="1121">
        <f t="shared" si="1"/>
        <v>22.85</v>
      </c>
      <c r="G716" s="1120">
        <v>22.85</v>
      </c>
      <c r="H716" s="1127">
        <v>0.0</v>
      </c>
      <c r="I716" s="1127">
        <v>0.0</v>
      </c>
      <c r="J716" s="1127">
        <v>0.0</v>
      </c>
      <c r="K716" s="1124"/>
    </row>
    <row r="717" ht="15.75" customHeight="1">
      <c r="A717" s="1119">
        <v>7051.0</v>
      </c>
      <c r="B717" s="1125" t="s">
        <v>10995</v>
      </c>
      <c r="C717" s="1126" t="s">
        <v>1470</v>
      </c>
      <c r="D717" s="1119">
        <v>43.49</v>
      </c>
      <c r="E717" s="1120">
        <v>0.0</v>
      </c>
      <c r="F717" s="1121">
        <f t="shared" si="1"/>
        <v>43.49</v>
      </c>
      <c r="G717" s="1120">
        <v>0.0</v>
      </c>
      <c r="H717" s="1127">
        <v>43.49</v>
      </c>
      <c r="I717" s="1127">
        <v>0.0</v>
      </c>
      <c r="J717" s="1127">
        <v>0.0</v>
      </c>
      <c r="K717" s="1124"/>
    </row>
    <row r="718" ht="15.75" customHeight="1">
      <c r="A718" s="1119">
        <v>7052.0</v>
      </c>
      <c r="B718" s="1125" t="s">
        <v>10996</v>
      </c>
      <c r="C718" s="1126" t="s">
        <v>1470</v>
      </c>
      <c r="D718" s="1119">
        <v>6.03</v>
      </c>
      <c r="E718" s="1120">
        <v>0.0</v>
      </c>
      <c r="F718" s="1121">
        <f t="shared" si="1"/>
        <v>6.03</v>
      </c>
      <c r="G718" s="1120">
        <v>0.0</v>
      </c>
      <c r="H718" s="1127">
        <v>6.03</v>
      </c>
      <c r="I718" s="1127">
        <v>0.0</v>
      </c>
      <c r="J718" s="1127">
        <v>0.0</v>
      </c>
      <c r="K718" s="1124"/>
    </row>
    <row r="719" ht="15.75" customHeight="1">
      <c r="A719" s="1119">
        <v>7053.0</v>
      </c>
      <c r="B719" s="1125" t="s">
        <v>10997</v>
      </c>
      <c r="C719" s="1126" t="s">
        <v>1470</v>
      </c>
      <c r="D719" s="1119">
        <v>54.42</v>
      </c>
      <c r="E719" s="1120">
        <v>0.0</v>
      </c>
      <c r="F719" s="1121">
        <f t="shared" si="1"/>
        <v>54.42</v>
      </c>
      <c r="G719" s="1120">
        <v>0.0</v>
      </c>
      <c r="H719" s="1127">
        <v>54.42</v>
      </c>
      <c r="I719" s="1127">
        <v>0.0</v>
      </c>
      <c r="J719" s="1127">
        <v>0.0</v>
      </c>
      <c r="K719" s="1124"/>
    </row>
    <row r="720" ht="15.75" customHeight="1">
      <c r="A720" s="1119">
        <v>7054.0</v>
      </c>
      <c r="B720" s="1125" t="s">
        <v>10998</v>
      </c>
      <c r="C720" s="1126" t="s">
        <v>1470</v>
      </c>
      <c r="D720" s="1119">
        <v>67.88</v>
      </c>
      <c r="E720" s="1120">
        <v>0.0</v>
      </c>
      <c r="F720" s="1121">
        <f t="shared" si="1"/>
        <v>67.88</v>
      </c>
      <c r="G720" s="1120">
        <v>67.88</v>
      </c>
      <c r="H720" s="1127">
        <v>0.0</v>
      </c>
      <c r="I720" s="1127">
        <v>0.0</v>
      </c>
      <c r="J720" s="1127">
        <v>0.0</v>
      </c>
      <c r="K720" s="1124"/>
    </row>
    <row r="721" ht="15.75" customHeight="1">
      <c r="A721" s="1119">
        <v>7058.0</v>
      </c>
      <c r="B721" s="1125" t="s">
        <v>10999</v>
      </c>
      <c r="C721" s="1126" t="s">
        <v>1470</v>
      </c>
      <c r="D721" s="1119">
        <v>24.49</v>
      </c>
      <c r="E721" s="1120">
        <v>0.0</v>
      </c>
      <c r="F721" s="1121">
        <f t="shared" si="1"/>
        <v>24.49</v>
      </c>
      <c r="G721" s="1120">
        <v>0.0</v>
      </c>
      <c r="H721" s="1127">
        <v>24.49</v>
      </c>
      <c r="I721" s="1127">
        <v>0.0</v>
      </c>
      <c r="J721" s="1127">
        <v>0.0</v>
      </c>
      <c r="K721" s="1124"/>
    </row>
    <row r="722" ht="15.75" customHeight="1">
      <c r="A722" s="1119">
        <v>7059.0</v>
      </c>
      <c r="B722" s="1125" t="s">
        <v>11000</v>
      </c>
      <c r="C722" s="1126" t="s">
        <v>1470</v>
      </c>
      <c r="D722" s="1119">
        <v>4.76</v>
      </c>
      <c r="E722" s="1120">
        <v>0.0</v>
      </c>
      <c r="F722" s="1121">
        <f t="shared" si="1"/>
        <v>4.76</v>
      </c>
      <c r="G722" s="1120">
        <v>0.0</v>
      </c>
      <c r="H722" s="1127">
        <v>4.76</v>
      </c>
      <c r="I722" s="1127">
        <v>0.0</v>
      </c>
      <c r="J722" s="1127">
        <v>0.0</v>
      </c>
      <c r="K722" s="1124"/>
    </row>
    <row r="723" ht="15.75" customHeight="1">
      <c r="A723" s="1119">
        <v>7060.0</v>
      </c>
      <c r="B723" s="1125" t="s">
        <v>11001</v>
      </c>
      <c r="C723" s="1126" t="s">
        <v>1470</v>
      </c>
      <c r="D723" s="1119">
        <v>43.93</v>
      </c>
      <c r="E723" s="1120">
        <v>0.0</v>
      </c>
      <c r="F723" s="1121">
        <f t="shared" si="1"/>
        <v>43.93</v>
      </c>
      <c r="G723" s="1120">
        <v>0.0</v>
      </c>
      <c r="H723" s="1127">
        <v>43.93</v>
      </c>
      <c r="I723" s="1127">
        <v>0.0</v>
      </c>
      <c r="J723" s="1127">
        <v>0.0</v>
      </c>
      <c r="K723" s="1124"/>
    </row>
    <row r="724" ht="15.75" customHeight="1">
      <c r="A724" s="1119">
        <v>7061.0</v>
      </c>
      <c r="B724" s="1125" t="s">
        <v>11002</v>
      </c>
      <c r="C724" s="1126" t="s">
        <v>1470</v>
      </c>
      <c r="D724" s="1119">
        <v>61.97</v>
      </c>
      <c r="E724" s="1120">
        <v>0.0</v>
      </c>
      <c r="F724" s="1121">
        <f t="shared" si="1"/>
        <v>61.97</v>
      </c>
      <c r="G724" s="1120">
        <v>61.97</v>
      </c>
      <c r="H724" s="1127">
        <v>0.0</v>
      </c>
      <c r="I724" s="1127">
        <v>0.0</v>
      </c>
      <c r="J724" s="1127">
        <v>0.0</v>
      </c>
      <c r="K724" s="1124"/>
    </row>
    <row r="725" ht="15.75" customHeight="1">
      <c r="A725" s="1119">
        <v>7063.0</v>
      </c>
      <c r="B725" s="1125" t="s">
        <v>11003</v>
      </c>
      <c r="C725" s="1126" t="s">
        <v>1470</v>
      </c>
      <c r="D725" s="1119">
        <v>19.99</v>
      </c>
      <c r="E725" s="1120">
        <v>0.0</v>
      </c>
      <c r="F725" s="1121">
        <f t="shared" si="1"/>
        <v>19.99</v>
      </c>
      <c r="G725" s="1120">
        <v>0.0</v>
      </c>
      <c r="H725" s="1127">
        <v>19.99</v>
      </c>
      <c r="I725" s="1127">
        <v>0.0</v>
      </c>
      <c r="J725" s="1127">
        <v>0.0</v>
      </c>
      <c r="K725" s="1124"/>
    </row>
    <row r="726" ht="15.75" customHeight="1">
      <c r="A726" s="1119">
        <v>7064.0</v>
      </c>
      <c r="B726" s="1125" t="s">
        <v>11004</v>
      </c>
      <c r="C726" s="1126" t="s">
        <v>1470</v>
      </c>
      <c r="D726" s="1119">
        <v>2.77</v>
      </c>
      <c r="E726" s="1120">
        <v>0.0</v>
      </c>
      <c r="F726" s="1121">
        <f t="shared" si="1"/>
        <v>2.77</v>
      </c>
      <c r="G726" s="1120">
        <v>0.0</v>
      </c>
      <c r="H726" s="1127">
        <v>2.77</v>
      </c>
      <c r="I726" s="1127">
        <v>0.0</v>
      </c>
      <c r="J726" s="1127">
        <v>0.0</v>
      </c>
      <c r="K726" s="1124"/>
    </row>
    <row r="727" ht="15.75" customHeight="1">
      <c r="A727" s="1119">
        <v>7065.0</v>
      </c>
      <c r="B727" s="1125" t="s">
        <v>11005</v>
      </c>
      <c r="C727" s="1126" t="s">
        <v>1470</v>
      </c>
      <c r="D727" s="1119">
        <v>21.87</v>
      </c>
      <c r="E727" s="1120">
        <v>0.0</v>
      </c>
      <c r="F727" s="1121">
        <f t="shared" si="1"/>
        <v>21.87</v>
      </c>
      <c r="G727" s="1120">
        <v>0.0</v>
      </c>
      <c r="H727" s="1127">
        <v>21.87</v>
      </c>
      <c r="I727" s="1127">
        <v>0.0</v>
      </c>
      <c r="J727" s="1127">
        <v>0.0</v>
      </c>
      <c r="K727" s="1124"/>
    </row>
    <row r="728" ht="15.75" customHeight="1">
      <c r="A728" s="1119">
        <v>7066.0</v>
      </c>
      <c r="B728" s="1125" t="s">
        <v>11006</v>
      </c>
      <c r="C728" s="1126" t="s">
        <v>1470</v>
      </c>
      <c r="D728" s="1119">
        <v>73.52</v>
      </c>
      <c r="E728" s="1120">
        <v>0.0</v>
      </c>
      <c r="F728" s="1121">
        <f t="shared" si="1"/>
        <v>73.52</v>
      </c>
      <c r="G728" s="1120">
        <v>73.52</v>
      </c>
      <c r="H728" s="1127">
        <v>0.0</v>
      </c>
      <c r="I728" s="1127">
        <v>0.0</v>
      </c>
      <c r="J728" s="1127">
        <v>0.0</v>
      </c>
      <c r="K728" s="1124"/>
    </row>
    <row r="729" ht="15.75" customHeight="1">
      <c r="A729" s="1119">
        <v>53786.0</v>
      </c>
      <c r="B729" s="1125" t="s">
        <v>11007</v>
      </c>
      <c r="C729" s="1126" t="s">
        <v>1470</v>
      </c>
      <c r="D729" s="1119">
        <v>38.81</v>
      </c>
      <c r="E729" s="1120">
        <v>0.0</v>
      </c>
      <c r="F729" s="1121">
        <f t="shared" si="1"/>
        <v>38.81</v>
      </c>
      <c r="G729" s="1120">
        <v>38.81</v>
      </c>
      <c r="H729" s="1127">
        <v>0.0</v>
      </c>
      <c r="I729" s="1127">
        <v>0.0</v>
      </c>
      <c r="J729" s="1127">
        <v>0.0</v>
      </c>
      <c r="K729" s="1124"/>
    </row>
    <row r="730" ht="15.75" customHeight="1">
      <c r="A730" s="1119">
        <v>53788.0</v>
      </c>
      <c r="B730" s="1125" t="s">
        <v>11008</v>
      </c>
      <c r="C730" s="1126" t="s">
        <v>1470</v>
      </c>
      <c r="D730" s="1119">
        <v>43.45</v>
      </c>
      <c r="E730" s="1120">
        <v>0.0</v>
      </c>
      <c r="F730" s="1121">
        <f t="shared" si="1"/>
        <v>43.45</v>
      </c>
      <c r="G730" s="1120">
        <v>43.45</v>
      </c>
      <c r="H730" s="1127">
        <v>0.0</v>
      </c>
      <c r="I730" s="1127">
        <v>0.0</v>
      </c>
      <c r="J730" s="1127">
        <v>0.0</v>
      </c>
      <c r="K730" s="1124"/>
    </row>
    <row r="731" ht="15.75" customHeight="1">
      <c r="A731" s="1119">
        <v>53792.0</v>
      </c>
      <c r="B731" s="1125" t="s">
        <v>11009</v>
      </c>
      <c r="C731" s="1126" t="s">
        <v>1470</v>
      </c>
      <c r="D731" s="1119">
        <v>77.03</v>
      </c>
      <c r="E731" s="1120">
        <v>0.0</v>
      </c>
      <c r="F731" s="1121">
        <f t="shared" si="1"/>
        <v>77.03</v>
      </c>
      <c r="G731" s="1120">
        <v>77.03</v>
      </c>
      <c r="H731" s="1127">
        <v>0.0</v>
      </c>
      <c r="I731" s="1127">
        <v>0.0</v>
      </c>
      <c r="J731" s="1127">
        <v>0.0</v>
      </c>
      <c r="K731" s="1124"/>
    </row>
    <row r="732" ht="15.75" customHeight="1">
      <c r="A732" s="1119">
        <v>53794.0</v>
      </c>
      <c r="B732" s="1125" t="s">
        <v>11010</v>
      </c>
      <c r="C732" s="1126" t="s">
        <v>1470</v>
      </c>
      <c r="D732" s="1119">
        <v>35.62</v>
      </c>
      <c r="E732" s="1120">
        <v>0.0</v>
      </c>
      <c r="F732" s="1121">
        <f t="shared" si="1"/>
        <v>35.62</v>
      </c>
      <c r="G732" s="1120">
        <v>0.0</v>
      </c>
      <c r="H732" s="1127">
        <v>35.62</v>
      </c>
      <c r="I732" s="1127">
        <v>0.0</v>
      </c>
      <c r="J732" s="1127">
        <v>0.0</v>
      </c>
      <c r="K732" s="1124"/>
    </row>
    <row r="733" ht="15.75" customHeight="1">
      <c r="A733" s="1119">
        <v>53797.0</v>
      </c>
      <c r="B733" s="1125" t="s">
        <v>11011</v>
      </c>
      <c r="C733" s="1126" t="s">
        <v>1470</v>
      </c>
      <c r="D733" s="1119">
        <v>88.58</v>
      </c>
      <c r="E733" s="1120">
        <v>0.0</v>
      </c>
      <c r="F733" s="1121">
        <f t="shared" si="1"/>
        <v>88.58</v>
      </c>
      <c r="G733" s="1120">
        <v>88.58</v>
      </c>
      <c r="H733" s="1127">
        <v>0.0</v>
      </c>
      <c r="I733" s="1127">
        <v>0.0</v>
      </c>
      <c r="J733" s="1127">
        <v>0.0</v>
      </c>
      <c r="K733" s="1124"/>
    </row>
    <row r="734" ht="15.75" customHeight="1">
      <c r="A734" s="1119">
        <v>53804.0</v>
      </c>
      <c r="B734" s="1125" t="s">
        <v>11012</v>
      </c>
      <c r="C734" s="1126" t="s">
        <v>1470</v>
      </c>
      <c r="D734" s="1119">
        <v>5.31</v>
      </c>
      <c r="E734" s="1120">
        <v>0.0</v>
      </c>
      <c r="F734" s="1121">
        <f t="shared" si="1"/>
        <v>5.31</v>
      </c>
      <c r="G734" s="1120">
        <v>0.0</v>
      </c>
      <c r="H734" s="1127">
        <v>5.31</v>
      </c>
      <c r="I734" s="1127">
        <v>0.0</v>
      </c>
      <c r="J734" s="1127">
        <v>0.0</v>
      </c>
      <c r="K734" s="1124"/>
    </row>
    <row r="735" ht="15.75" customHeight="1">
      <c r="A735" s="1119">
        <v>53806.0</v>
      </c>
      <c r="B735" s="1125" t="s">
        <v>11013</v>
      </c>
      <c r="C735" s="1126" t="s">
        <v>1470</v>
      </c>
      <c r="D735" s="1119">
        <v>76.81</v>
      </c>
      <c r="E735" s="1120">
        <v>0.0</v>
      </c>
      <c r="F735" s="1121">
        <f t="shared" si="1"/>
        <v>76.81</v>
      </c>
      <c r="G735" s="1120">
        <v>0.0</v>
      </c>
      <c r="H735" s="1127">
        <v>76.81</v>
      </c>
      <c r="I735" s="1127">
        <v>0.0</v>
      </c>
      <c r="J735" s="1127">
        <v>0.0</v>
      </c>
      <c r="K735" s="1124"/>
    </row>
    <row r="736" ht="15.75" customHeight="1">
      <c r="A736" s="1119">
        <v>53810.0</v>
      </c>
      <c r="B736" s="1125" t="s">
        <v>11014</v>
      </c>
      <c r="C736" s="1126" t="s">
        <v>1470</v>
      </c>
      <c r="D736" s="1119">
        <v>77.28</v>
      </c>
      <c r="E736" s="1120">
        <v>0.0</v>
      </c>
      <c r="F736" s="1121">
        <f t="shared" si="1"/>
        <v>77.28</v>
      </c>
      <c r="G736" s="1120">
        <v>0.0</v>
      </c>
      <c r="H736" s="1127">
        <v>77.28</v>
      </c>
      <c r="I736" s="1127">
        <v>0.0</v>
      </c>
      <c r="J736" s="1127">
        <v>0.0</v>
      </c>
      <c r="K736" s="1124"/>
    </row>
    <row r="737" ht="15.75" customHeight="1">
      <c r="A737" s="1119">
        <v>53814.0</v>
      </c>
      <c r="B737" s="1125" t="s">
        <v>11015</v>
      </c>
      <c r="C737" s="1126" t="s">
        <v>1470</v>
      </c>
      <c r="D737" s="1119">
        <v>253.14</v>
      </c>
      <c r="E737" s="1120">
        <v>0.0</v>
      </c>
      <c r="F737" s="1121">
        <f t="shared" si="1"/>
        <v>253.14</v>
      </c>
      <c r="G737" s="1120">
        <v>0.0</v>
      </c>
      <c r="H737" s="1127">
        <v>253.14</v>
      </c>
      <c r="I737" s="1127">
        <v>0.0</v>
      </c>
      <c r="J737" s="1127">
        <v>0.0</v>
      </c>
      <c r="K737" s="1124"/>
    </row>
    <row r="738" ht="15.75" customHeight="1">
      <c r="A738" s="1119">
        <v>53817.0</v>
      </c>
      <c r="B738" s="1125" t="s">
        <v>11016</v>
      </c>
      <c r="C738" s="1126" t="s">
        <v>1470</v>
      </c>
      <c r="D738" s="1119">
        <v>47.5</v>
      </c>
      <c r="E738" s="1120">
        <v>0.0</v>
      </c>
      <c r="F738" s="1121">
        <f t="shared" si="1"/>
        <v>47.5</v>
      </c>
      <c r="G738" s="1120">
        <v>47.5</v>
      </c>
      <c r="H738" s="1127">
        <v>0.0</v>
      </c>
      <c r="I738" s="1127">
        <v>0.0</v>
      </c>
      <c r="J738" s="1127">
        <v>0.0</v>
      </c>
      <c r="K738" s="1124"/>
    </row>
    <row r="739" ht="15.75" customHeight="1">
      <c r="A739" s="1119">
        <v>53818.0</v>
      </c>
      <c r="B739" s="1125" t="s">
        <v>11017</v>
      </c>
      <c r="C739" s="1126" t="s">
        <v>1470</v>
      </c>
      <c r="D739" s="1119">
        <v>9.47</v>
      </c>
      <c r="E739" s="1120">
        <v>0.0</v>
      </c>
      <c r="F739" s="1121">
        <f t="shared" si="1"/>
        <v>9.47</v>
      </c>
      <c r="G739" s="1120">
        <v>0.0</v>
      </c>
      <c r="H739" s="1127">
        <v>9.47</v>
      </c>
      <c r="I739" s="1127">
        <v>0.0</v>
      </c>
      <c r="J739" s="1127">
        <v>0.0</v>
      </c>
      <c r="K739" s="1124"/>
    </row>
    <row r="740" ht="15.75" customHeight="1">
      <c r="A740" s="1119">
        <v>53827.0</v>
      </c>
      <c r="B740" s="1125" t="s">
        <v>11018</v>
      </c>
      <c r="C740" s="1126" t="s">
        <v>1470</v>
      </c>
      <c r="D740" s="1119">
        <v>86.72</v>
      </c>
      <c r="E740" s="1120">
        <v>0.0</v>
      </c>
      <c r="F740" s="1121">
        <f t="shared" si="1"/>
        <v>86.72</v>
      </c>
      <c r="G740" s="1120">
        <v>86.72</v>
      </c>
      <c r="H740" s="1127">
        <v>0.0</v>
      </c>
      <c r="I740" s="1127">
        <v>0.0</v>
      </c>
      <c r="J740" s="1127">
        <v>0.0</v>
      </c>
      <c r="K740" s="1124"/>
    </row>
    <row r="741" ht="15.75" customHeight="1">
      <c r="A741" s="1119">
        <v>53829.0</v>
      </c>
      <c r="B741" s="1125" t="s">
        <v>11019</v>
      </c>
      <c r="C741" s="1126" t="s">
        <v>1470</v>
      </c>
      <c r="D741" s="1119">
        <v>88.58</v>
      </c>
      <c r="E741" s="1120">
        <v>0.0</v>
      </c>
      <c r="F741" s="1121">
        <f t="shared" si="1"/>
        <v>88.58</v>
      </c>
      <c r="G741" s="1120">
        <v>88.58</v>
      </c>
      <c r="H741" s="1127">
        <v>0.0</v>
      </c>
      <c r="I741" s="1127">
        <v>0.0</v>
      </c>
      <c r="J741" s="1127">
        <v>0.0</v>
      </c>
      <c r="K741" s="1124"/>
    </row>
    <row r="742" ht="15.75" customHeight="1">
      <c r="A742" s="1119">
        <v>53831.0</v>
      </c>
      <c r="B742" s="1125" t="s">
        <v>11020</v>
      </c>
      <c r="C742" s="1126" t="s">
        <v>1470</v>
      </c>
      <c r="D742" s="1119">
        <v>146.32</v>
      </c>
      <c r="E742" s="1120">
        <v>0.0</v>
      </c>
      <c r="F742" s="1121">
        <f t="shared" si="1"/>
        <v>146.32</v>
      </c>
      <c r="G742" s="1120">
        <v>146.32</v>
      </c>
      <c r="H742" s="1127">
        <v>0.0</v>
      </c>
      <c r="I742" s="1127">
        <v>0.0</v>
      </c>
      <c r="J742" s="1127">
        <v>0.0</v>
      </c>
      <c r="K742" s="1124"/>
    </row>
    <row r="743" ht="15.75" customHeight="1">
      <c r="A743" s="1119">
        <v>53840.0</v>
      </c>
      <c r="B743" s="1125" t="s">
        <v>11021</v>
      </c>
      <c r="C743" s="1126" t="s">
        <v>1470</v>
      </c>
      <c r="D743" s="1119">
        <v>2.88</v>
      </c>
      <c r="E743" s="1120">
        <v>0.0</v>
      </c>
      <c r="F743" s="1121">
        <f t="shared" si="1"/>
        <v>2.88</v>
      </c>
      <c r="G743" s="1120">
        <v>0.0</v>
      </c>
      <c r="H743" s="1127">
        <v>2.88</v>
      </c>
      <c r="I743" s="1127">
        <v>0.0</v>
      </c>
      <c r="J743" s="1127">
        <v>0.0</v>
      </c>
      <c r="K743" s="1124"/>
    </row>
    <row r="744" ht="15.75" customHeight="1">
      <c r="A744" s="1119">
        <v>53841.0</v>
      </c>
      <c r="B744" s="1125" t="s">
        <v>11022</v>
      </c>
      <c r="C744" s="1126" t="s">
        <v>1470</v>
      </c>
      <c r="D744" s="1119">
        <v>2.0</v>
      </c>
      <c r="E744" s="1120">
        <v>0.0</v>
      </c>
      <c r="F744" s="1121">
        <f t="shared" si="1"/>
        <v>2</v>
      </c>
      <c r="G744" s="1120">
        <v>0.0</v>
      </c>
      <c r="H744" s="1127">
        <v>2.0</v>
      </c>
      <c r="I744" s="1127">
        <v>0.0</v>
      </c>
      <c r="J744" s="1127">
        <v>0.0</v>
      </c>
      <c r="K744" s="1124"/>
    </row>
    <row r="745" ht="15.75" customHeight="1">
      <c r="A745" s="1119">
        <v>53849.0</v>
      </c>
      <c r="B745" s="1125" t="s">
        <v>11023</v>
      </c>
      <c r="C745" s="1126" t="s">
        <v>1470</v>
      </c>
      <c r="D745" s="1119">
        <v>63.65</v>
      </c>
      <c r="E745" s="1120">
        <v>0.0</v>
      </c>
      <c r="F745" s="1121">
        <f t="shared" si="1"/>
        <v>63.65</v>
      </c>
      <c r="G745" s="1120">
        <v>63.65</v>
      </c>
      <c r="H745" s="1127">
        <v>0.0</v>
      </c>
      <c r="I745" s="1127">
        <v>0.0</v>
      </c>
      <c r="J745" s="1127">
        <v>0.0</v>
      </c>
      <c r="K745" s="1124"/>
    </row>
    <row r="746" ht="15.75" customHeight="1">
      <c r="A746" s="1119">
        <v>53857.0</v>
      </c>
      <c r="B746" s="1125" t="s">
        <v>11024</v>
      </c>
      <c r="C746" s="1126" t="s">
        <v>1470</v>
      </c>
      <c r="D746" s="1119">
        <v>80.7</v>
      </c>
      <c r="E746" s="1120">
        <v>0.0</v>
      </c>
      <c r="F746" s="1121">
        <f t="shared" si="1"/>
        <v>80.7</v>
      </c>
      <c r="G746" s="1120">
        <v>0.0</v>
      </c>
      <c r="H746" s="1127">
        <v>80.7</v>
      </c>
      <c r="I746" s="1127">
        <v>0.0</v>
      </c>
      <c r="J746" s="1127">
        <v>0.0</v>
      </c>
      <c r="K746" s="1124"/>
    </row>
    <row r="747" ht="15.75" customHeight="1">
      <c r="A747" s="1119">
        <v>53858.0</v>
      </c>
      <c r="B747" s="1125" t="s">
        <v>11025</v>
      </c>
      <c r="C747" s="1126" t="s">
        <v>1470</v>
      </c>
      <c r="D747" s="1119">
        <v>34.76</v>
      </c>
      <c r="E747" s="1120">
        <v>0.0</v>
      </c>
      <c r="F747" s="1121">
        <f t="shared" si="1"/>
        <v>34.76</v>
      </c>
      <c r="G747" s="1120">
        <v>34.76</v>
      </c>
      <c r="H747" s="1127">
        <v>0.0</v>
      </c>
      <c r="I747" s="1127">
        <v>0.0</v>
      </c>
      <c r="J747" s="1127">
        <v>0.0</v>
      </c>
      <c r="K747" s="1124"/>
    </row>
    <row r="748" ht="15.75" customHeight="1">
      <c r="A748" s="1119">
        <v>53861.0</v>
      </c>
      <c r="B748" s="1125" t="s">
        <v>11026</v>
      </c>
      <c r="C748" s="1126" t="s">
        <v>1470</v>
      </c>
      <c r="D748" s="1119">
        <v>78.33</v>
      </c>
      <c r="E748" s="1120">
        <v>0.0</v>
      </c>
      <c r="F748" s="1121">
        <f t="shared" si="1"/>
        <v>78.33</v>
      </c>
      <c r="G748" s="1120">
        <v>0.0</v>
      </c>
      <c r="H748" s="1127">
        <v>78.33</v>
      </c>
      <c r="I748" s="1127">
        <v>0.0</v>
      </c>
      <c r="J748" s="1127">
        <v>0.0</v>
      </c>
      <c r="K748" s="1124"/>
    </row>
    <row r="749" ht="15.75" customHeight="1">
      <c r="A749" s="1119">
        <v>53863.0</v>
      </c>
      <c r="B749" s="1125" t="s">
        <v>11027</v>
      </c>
      <c r="C749" s="1126" t="s">
        <v>1470</v>
      </c>
      <c r="D749" s="1119">
        <v>1.56</v>
      </c>
      <c r="E749" s="1120">
        <v>0.0</v>
      </c>
      <c r="F749" s="1121">
        <f t="shared" si="1"/>
        <v>1.56</v>
      </c>
      <c r="G749" s="1120">
        <v>0.0</v>
      </c>
      <c r="H749" s="1127">
        <v>1.56</v>
      </c>
      <c r="I749" s="1127">
        <v>0.0</v>
      </c>
      <c r="J749" s="1127">
        <v>0.0</v>
      </c>
      <c r="K749" s="1124"/>
    </row>
    <row r="750" ht="15.75" customHeight="1">
      <c r="A750" s="1119">
        <v>53865.0</v>
      </c>
      <c r="B750" s="1125" t="s">
        <v>11028</v>
      </c>
      <c r="C750" s="1126" t="s">
        <v>1470</v>
      </c>
      <c r="D750" s="1119">
        <v>35.85</v>
      </c>
      <c r="E750" s="1120">
        <v>0.0</v>
      </c>
      <c r="F750" s="1121">
        <f t="shared" si="1"/>
        <v>35.85</v>
      </c>
      <c r="G750" s="1120">
        <v>35.85</v>
      </c>
      <c r="H750" s="1127">
        <v>0.0</v>
      </c>
      <c r="I750" s="1127">
        <v>0.0</v>
      </c>
      <c r="J750" s="1127">
        <v>0.0</v>
      </c>
      <c r="K750" s="1124"/>
    </row>
    <row r="751" ht="15.75" customHeight="1">
      <c r="A751" s="1119">
        <v>53866.0</v>
      </c>
      <c r="B751" s="1125" t="s">
        <v>11029</v>
      </c>
      <c r="C751" s="1126" t="s">
        <v>1470</v>
      </c>
      <c r="D751" s="1119">
        <v>1.22</v>
      </c>
      <c r="E751" s="1120">
        <v>0.0</v>
      </c>
      <c r="F751" s="1121">
        <f t="shared" si="1"/>
        <v>1.22</v>
      </c>
      <c r="G751" s="1120">
        <v>0.0</v>
      </c>
      <c r="H751" s="1127">
        <v>0.0</v>
      </c>
      <c r="I751" s="1127">
        <v>0.0</v>
      </c>
      <c r="J751" s="1127">
        <v>1.22</v>
      </c>
      <c r="K751" s="1124"/>
    </row>
    <row r="752" ht="15.75" customHeight="1">
      <c r="A752" s="1119">
        <v>53882.0</v>
      </c>
      <c r="B752" s="1125" t="s">
        <v>11030</v>
      </c>
      <c r="C752" s="1126" t="s">
        <v>1470</v>
      </c>
      <c r="D752" s="1119">
        <v>38.65</v>
      </c>
      <c r="E752" s="1120">
        <v>0.0</v>
      </c>
      <c r="F752" s="1121">
        <f t="shared" si="1"/>
        <v>38.65</v>
      </c>
      <c r="G752" s="1120">
        <v>0.0</v>
      </c>
      <c r="H752" s="1127">
        <v>38.65</v>
      </c>
      <c r="I752" s="1127">
        <v>0.0</v>
      </c>
      <c r="J752" s="1127">
        <v>0.0</v>
      </c>
      <c r="K752" s="1124"/>
    </row>
    <row r="753" ht="15.75" customHeight="1">
      <c r="A753" s="1119">
        <v>55263.0</v>
      </c>
      <c r="B753" s="1125" t="s">
        <v>11031</v>
      </c>
      <c r="C753" s="1126" t="s">
        <v>1470</v>
      </c>
      <c r="D753" s="1119">
        <v>49.0</v>
      </c>
      <c r="E753" s="1120">
        <v>0.0</v>
      </c>
      <c r="F753" s="1121">
        <f t="shared" si="1"/>
        <v>49</v>
      </c>
      <c r="G753" s="1120">
        <v>49.0</v>
      </c>
      <c r="H753" s="1127">
        <v>0.0</v>
      </c>
      <c r="I753" s="1127">
        <v>0.0</v>
      </c>
      <c r="J753" s="1127">
        <v>0.0</v>
      </c>
      <c r="K753" s="1124"/>
    </row>
    <row r="754" ht="15.75" customHeight="1">
      <c r="A754" s="1119">
        <v>73303.0</v>
      </c>
      <c r="B754" s="1125" t="s">
        <v>11032</v>
      </c>
      <c r="C754" s="1126" t="s">
        <v>1470</v>
      </c>
      <c r="D754" s="1119">
        <v>5.63</v>
      </c>
      <c r="E754" s="1120">
        <v>0.0</v>
      </c>
      <c r="F754" s="1121">
        <f t="shared" si="1"/>
        <v>5.63</v>
      </c>
      <c r="G754" s="1120">
        <v>0.0</v>
      </c>
      <c r="H754" s="1127">
        <v>5.63</v>
      </c>
      <c r="I754" s="1127">
        <v>0.0</v>
      </c>
      <c r="J754" s="1127">
        <v>0.0</v>
      </c>
      <c r="K754" s="1124"/>
    </row>
    <row r="755" ht="15.75" customHeight="1">
      <c r="A755" s="1119">
        <v>73307.0</v>
      </c>
      <c r="B755" s="1125" t="s">
        <v>11033</v>
      </c>
      <c r="C755" s="1126" t="s">
        <v>1470</v>
      </c>
      <c r="D755" s="1119">
        <v>5.02</v>
      </c>
      <c r="E755" s="1120">
        <v>0.0</v>
      </c>
      <c r="F755" s="1121">
        <f t="shared" si="1"/>
        <v>5.02</v>
      </c>
      <c r="G755" s="1120">
        <v>0.0</v>
      </c>
      <c r="H755" s="1127">
        <v>5.02</v>
      </c>
      <c r="I755" s="1127">
        <v>0.0</v>
      </c>
      <c r="J755" s="1127">
        <v>0.0</v>
      </c>
      <c r="K755" s="1124"/>
    </row>
    <row r="756" ht="15.75" customHeight="1">
      <c r="A756" s="1119">
        <v>73309.0</v>
      </c>
      <c r="B756" s="1125" t="s">
        <v>11034</v>
      </c>
      <c r="C756" s="1126" t="s">
        <v>1470</v>
      </c>
      <c r="D756" s="1119">
        <v>32.62</v>
      </c>
      <c r="E756" s="1120">
        <v>0.0</v>
      </c>
      <c r="F756" s="1121">
        <f t="shared" si="1"/>
        <v>32.62</v>
      </c>
      <c r="G756" s="1120">
        <v>0.0</v>
      </c>
      <c r="H756" s="1127">
        <v>32.62</v>
      </c>
      <c r="I756" s="1127">
        <v>0.0</v>
      </c>
      <c r="J756" s="1127">
        <v>0.0</v>
      </c>
      <c r="K756" s="1124"/>
    </row>
    <row r="757" ht="15.75" customHeight="1">
      <c r="A757" s="1119">
        <v>73311.0</v>
      </c>
      <c r="B757" s="1125" t="s">
        <v>11035</v>
      </c>
      <c r="C757" s="1126" t="s">
        <v>1470</v>
      </c>
      <c r="D757" s="1119">
        <v>135.45</v>
      </c>
      <c r="E757" s="1120">
        <v>0.0</v>
      </c>
      <c r="F757" s="1121">
        <f t="shared" si="1"/>
        <v>135.45</v>
      </c>
      <c r="G757" s="1120">
        <v>135.45</v>
      </c>
      <c r="H757" s="1127">
        <v>0.0</v>
      </c>
      <c r="I757" s="1127">
        <v>0.0</v>
      </c>
      <c r="J757" s="1127">
        <v>0.0</v>
      </c>
      <c r="K757" s="1124"/>
    </row>
    <row r="758" ht="15.75" customHeight="1">
      <c r="A758" s="1119">
        <v>73313.0</v>
      </c>
      <c r="B758" s="1125" t="s">
        <v>11036</v>
      </c>
      <c r="C758" s="1126" t="s">
        <v>1470</v>
      </c>
      <c r="D758" s="1119">
        <v>4.52</v>
      </c>
      <c r="E758" s="1120">
        <v>0.0</v>
      </c>
      <c r="F758" s="1121">
        <f t="shared" si="1"/>
        <v>4.52</v>
      </c>
      <c r="G758" s="1120">
        <v>0.0</v>
      </c>
      <c r="H758" s="1127">
        <v>4.52</v>
      </c>
      <c r="I758" s="1127">
        <v>0.0</v>
      </c>
      <c r="J758" s="1127">
        <v>0.0</v>
      </c>
      <c r="K758" s="1124"/>
    </row>
    <row r="759" ht="15.75" customHeight="1">
      <c r="A759" s="1119">
        <v>73315.0</v>
      </c>
      <c r="B759" s="1125" t="s">
        <v>11037</v>
      </c>
      <c r="C759" s="1126" t="s">
        <v>1470</v>
      </c>
      <c r="D759" s="1119">
        <v>43.45</v>
      </c>
      <c r="E759" s="1120">
        <v>0.0</v>
      </c>
      <c r="F759" s="1121">
        <f t="shared" si="1"/>
        <v>43.45</v>
      </c>
      <c r="G759" s="1120">
        <v>43.45</v>
      </c>
      <c r="H759" s="1127">
        <v>0.0</v>
      </c>
      <c r="I759" s="1127">
        <v>0.0</v>
      </c>
      <c r="J759" s="1127">
        <v>0.0</v>
      </c>
      <c r="K759" s="1124"/>
    </row>
    <row r="760" ht="15.75" customHeight="1">
      <c r="A760" s="1119">
        <v>73335.0</v>
      </c>
      <c r="B760" s="1125" t="s">
        <v>11038</v>
      </c>
      <c r="C760" s="1126" t="s">
        <v>1470</v>
      </c>
      <c r="D760" s="1119">
        <v>36.92</v>
      </c>
      <c r="E760" s="1120">
        <v>0.0</v>
      </c>
      <c r="F760" s="1121">
        <f t="shared" si="1"/>
        <v>36.92</v>
      </c>
      <c r="G760" s="1120">
        <v>0.0</v>
      </c>
      <c r="H760" s="1127">
        <v>36.92</v>
      </c>
      <c r="I760" s="1127">
        <v>0.0</v>
      </c>
      <c r="J760" s="1127">
        <v>0.0</v>
      </c>
      <c r="K760" s="1124"/>
    </row>
    <row r="761" ht="15.75" customHeight="1">
      <c r="A761" s="1119">
        <v>73340.0</v>
      </c>
      <c r="B761" s="1125" t="s">
        <v>11039</v>
      </c>
      <c r="C761" s="1126" t="s">
        <v>1470</v>
      </c>
      <c r="D761" s="1119">
        <v>117.7</v>
      </c>
      <c r="E761" s="1120">
        <v>0.0</v>
      </c>
      <c r="F761" s="1121">
        <f t="shared" si="1"/>
        <v>117.7</v>
      </c>
      <c r="G761" s="1120">
        <v>117.7</v>
      </c>
      <c r="H761" s="1127">
        <v>0.0</v>
      </c>
      <c r="I761" s="1127">
        <v>0.0</v>
      </c>
      <c r="J761" s="1127">
        <v>0.0</v>
      </c>
      <c r="K761" s="1124"/>
    </row>
    <row r="762" ht="15.75" customHeight="1">
      <c r="A762" s="1119">
        <v>83361.0</v>
      </c>
      <c r="B762" s="1125" t="s">
        <v>11040</v>
      </c>
      <c r="C762" s="1126" t="s">
        <v>1470</v>
      </c>
      <c r="D762" s="1119">
        <v>44.26</v>
      </c>
      <c r="E762" s="1120">
        <v>0.0</v>
      </c>
      <c r="F762" s="1121">
        <f t="shared" si="1"/>
        <v>44.26</v>
      </c>
      <c r="G762" s="1120">
        <v>0.0</v>
      </c>
      <c r="H762" s="1127">
        <v>44.26</v>
      </c>
      <c r="I762" s="1127">
        <v>0.0</v>
      </c>
      <c r="J762" s="1127">
        <v>0.0</v>
      </c>
      <c r="K762" s="1124"/>
    </row>
    <row r="763" ht="15.75" customHeight="1">
      <c r="A763" s="1119">
        <v>83761.0</v>
      </c>
      <c r="B763" s="1125" t="s">
        <v>11041</v>
      </c>
      <c r="C763" s="1126" t="s">
        <v>1470</v>
      </c>
      <c r="D763" s="1119">
        <v>7.5</v>
      </c>
      <c r="E763" s="1120">
        <v>0.0</v>
      </c>
      <c r="F763" s="1121">
        <f t="shared" si="1"/>
        <v>7.5</v>
      </c>
      <c r="G763" s="1120">
        <v>0.0</v>
      </c>
      <c r="H763" s="1127">
        <v>7.5</v>
      </c>
      <c r="I763" s="1127">
        <v>0.0</v>
      </c>
      <c r="J763" s="1127">
        <v>0.0</v>
      </c>
      <c r="K763" s="1124"/>
    </row>
    <row r="764" ht="15.75" customHeight="1">
      <c r="A764" s="1119">
        <v>83762.0</v>
      </c>
      <c r="B764" s="1125" t="s">
        <v>11042</v>
      </c>
      <c r="C764" s="1126" t="s">
        <v>1470</v>
      </c>
      <c r="D764" s="1119">
        <v>6.69</v>
      </c>
      <c r="E764" s="1120">
        <v>0.0</v>
      </c>
      <c r="F764" s="1121">
        <f t="shared" si="1"/>
        <v>6.69</v>
      </c>
      <c r="G764" s="1120">
        <v>0.0</v>
      </c>
      <c r="H764" s="1127">
        <v>6.69</v>
      </c>
      <c r="I764" s="1127">
        <v>0.0</v>
      </c>
      <c r="J764" s="1127">
        <v>0.0</v>
      </c>
      <c r="K764" s="1124"/>
    </row>
    <row r="765" ht="15.75" customHeight="1">
      <c r="A765" s="1119">
        <v>83763.0</v>
      </c>
      <c r="B765" s="1125" t="s">
        <v>11043</v>
      </c>
      <c r="C765" s="1126" t="s">
        <v>1470</v>
      </c>
      <c r="D765" s="1119">
        <v>38.17</v>
      </c>
      <c r="E765" s="1120">
        <v>0.0</v>
      </c>
      <c r="F765" s="1121">
        <f t="shared" si="1"/>
        <v>38.17</v>
      </c>
      <c r="G765" s="1120">
        <v>38.17</v>
      </c>
      <c r="H765" s="1127">
        <v>0.0</v>
      </c>
      <c r="I765" s="1127">
        <v>0.0</v>
      </c>
      <c r="J765" s="1127">
        <v>0.0</v>
      </c>
      <c r="K765" s="1124"/>
    </row>
    <row r="766" ht="15.75" customHeight="1">
      <c r="A766" s="1119">
        <v>83764.0</v>
      </c>
      <c r="B766" s="1125" t="s">
        <v>11044</v>
      </c>
      <c r="C766" s="1126" t="s">
        <v>1470</v>
      </c>
      <c r="D766" s="1119">
        <v>1.35</v>
      </c>
      <c r="E766" s="1120">
        <v>0.0</v>
      </c>
      <c r="F766" s="1121">
        <f t="shared" si="1"/>
        <v>1.35</v>
      </c>
      <c r="G766" s="1120">
        <v>0.0</v>
      </c>
      <c r="H766" s="1127">
        <v>1.35</v>
      </c>
      <c r="I766" s="1127">
        <v>0.0</v>
      </c>
      <c r="J766" s="1127">
        <v>0.0</v>
      </c>
      <c r="K766" s="1124"/>
    </row>
    <row r="767" ht="15.75" customHeight="1">
      <c r="A767" s="1119">
        <v>87026.0</v>
      </c>
      <c r="B767" s="1125" t="s">
        <v>11045</v>
      </c>
      <c r="C767" s="1126" t="s">
        <v>1470</v>
      </c>
      <c r="D767" s="1119">
        <v>0.4</v>
      </c>
      <c r="E767" s="1120">
        <v>0.0</v>
      </c>
      <c r="F767" s="1121">
        <f t="shared" si="1"/>
        <v>0.4</v>
      </c>
      <c r="G767" s="1120">
        <v>0.0</v>
      </c>
      <c r="H767" s="1127">
        <v>0.4</v>
      </c>
      <c r="I767" s="1127">
        <v>0.0</v>
      </c>
      <c r="J767" s="1127">
        <v>0.0</v>
      </c>
      <c r="K767" s="1124"/>
    </row>
    <row r="768" ht="15.75" customHeight="1">
      <c r="A768" s="1119">
        <v>87441.0</v>
      </c>
      <c r="B768" s="1125" t="s">
        <v>11046</v>
      </c>
      <c r="C768" s="1126" t="s">
        <v>1470</v>
      </c>
      <c r="D768" s="1119">
        <v>0.39</v>
      </c>
      <c r="E768" s="1120">
        <v>0.0</v>
      </c>
      <c r="F768" s="1121">
        <f t="shared" si="1"/>
        <v>0.39</v>
      </c>
      <c r="G768" s="1120">
        <v>0.0</v>
      </c>
      <c r="H768" s="1127">
        <v>0.39</v>
      </c>
      <c r="I768" s="1127">
        <v>0.0</v>
      </c>
      <c r="J768" s="1127">
        <v>0.0</v>
      </c>
      <c r="K768" s="1124"/>
    </row>
    <row r="769" ht="15.75" customHeight="1">
      <c r="A769" s="1119">
        <v>87442.0</v>
      </c>
      <c r="B769" s="1125" t="s">
        <v>11047</v>
      </c>
      <c r="C769" s="1126" t="s">
        <v>1470</v>
      </c>
      <c r="D769" s="1119">
        <v>0.06</v>
      </c>
      <c r="E769" s="1120">
        <v>0.0</v>
      </c>
      <c r="F769" s="1121">
        <f t="shared" si="1"/>
        <v>0.06</v>
      </c>
      <c r="G769" s="1120">
        <v>0.0</v>
      </c>
      <c r="H769" s="1127">
        <v>0.06</v>
      </c>
      <c r="I769" s="1127">
        <v>0.0</v>
      </c>
      <c r="J769" s="1127">
        <v>0.0</v>
      </c>
      <c r="K769" s="1124"/>
    </row>
    <row r="770" ht="15.75" customHeight="1">
      <c r="A770" s="1119">
        <v>87443.0</v>
      </c>
      <c r="B770" s="1125" t="s">
        <v>11048</v>
      </c>
      <c r="C770" s="1126" t="s">
        <v>1470</v>
      </c>
      <c r="D770" s="1119">
        <v>0.52</v>
      </c>
      <c r="E770" s="1120">
        <v>0.0</v>
      </c>
      <c r="F770" s="1121">
        <f t="shared" si="1"/>
        <v>0.52</v>
      </c>
      <c r="G770" s="1120">
        <v>0.0</v>
      </c>
      <c r="H770" s="1127">
        <v>0.52</v>
      </c>
      <c r="I770" s="1127">
        <v>0.0</v>
      </c>
      <c r="J770" s="1127">
        <v>0.0</v>
      </c>
      <c r="K770" s="1124"/>
    </row>
    <row r="771" ht="15.75" customHeight="1">
      <c r="A771" s="1119">
        <v>87444.0</v>
      </c>
      <c r="B771" s="1125" t="s">
        <v>11049</v>
      </c>
      <c r="C771" s="1126" t="s">
        <v>1470</v>
      </c>
      <c r="D771" s="1119">
        <v>3.22</v>
      </c>
      <c r="E771" s="1120">
        <v>0.0</v>
      </c>
      <c r="F771" s="1121">
        <f t="shared" si="1"/>
        <v>3.22</v>
      </c>
      <c r="G771" s="1120">
        <v>3.22</v>
      </c>
      <c r="H771" s="1127">
        <v>0.0</v>
      </c>
      <c r="I771" s="1127">
        <v>0.0</v>
      </c>
      <c r="J771" s="1127">
        <v>0.0</v>
      </c>
      <c r="K771" s="1124"/>
    </row>
    <row r="772" ht="15.75" customHeight="1">
      <c r="A772" s="1119">
        <v>88387.0</v>
      </c>
      <c r="B772" s="1125" t="s">
        <v>11050</v>
      </c>
      <c r="C772" s="1126" t="s">
        <v>1470</v>
      </c>
      <c r="D772" s="1119">
        <v>0.76</v>
      </c>
      <c r="E772" s="1120">
        <v>0.0</v>
      </c>
      <c r="F772" s="1121">
        <f t="shared" si="1"/>
        <v>0.76</v>
      </c>
      <c r="G772" s="1120">
        <v>0.0</v>
      </c>
      <c r="H772" s="1127">
        <v>0.76</v>
      </c>
      <c r="I772" s="1127">
        <v>0.0</v>
      </c>
      <c r="J772" s="1127">
        <v>0.0</v>
      </c>
      <c r="K772" s="1124"/>
    </row>
    <row r="773" ht="15.75" customHeight="1">
      <c r="A773" s="1119">
        <v>88389.0</v>
      </c>
      <c r="B773" s="1125" t="s">
        <v>11051</v>
      </c>
      <c r="C773" s="1126" t="s">
        <v>1470</v>
      </c>
      <c r="D773" s="1119">
        <v>0.12</v>
      </c>
      <c r="E773" s="1120">
        <v>0.0</v>
      </c>
      <c r="F773" s="1121">
        <f t="shared" si="1"/>
        <v>0.12</v>
      </c>
      <c r="G773" s="1120">
        <v>0.0</v>
      </c>
      <c r="H773" s="1127">
        <v>0.12</v>
      </c>
      <c r="I773" s="1127">
        <v>0.0</v>
      </c>
      <c r="J773" s="1127">
        <v>0.0</v>
      </c>
      <c r="K773" s="1124"/>
    </row>
    <row r="774" ht="15.75" customHeight="1">
      <c r="A774" s="1119">
        <v>88390.0</v>
      </c>
      <c r="B774" s="1125" t="s">
        <v>11052</v>
      </c>
      <c r="C774" s="1126" t="s">
        <v>1470</v>
      </c>
      <c r="D774" s="1119">
        <v>0.88</v>
      </c>
      <c r="E774" s="1120">
        <v>0.0</v>
      </c>
      <c r="F774" s="1121">
        <f t="shared" si="1"/>
        <v>0.88</v>
      </c>
      <c r="G774" s="1120">
        <v>0.0</v>
      </c>
      <c r="H774" s="1127">
        <v>0.88</v>
      </c>
      <c r="I774" s="1127">
        <v>0.0</v>
      </c>
      <c r="J774" s="1127">
        <v>0.0</v>
      </c>
      <c r="K774" s="1124"/>
    </row>
    <row r="775" ht="15.75" customHeight="1">
      <c r="A775" s="1119">
        <v>88391.0</v>
      </c>
      <c r="B775" s="1125" t="s">
        <v>11053</v>
      </c>
      <c r="C775" s="1126" t="s">
        <v>1470</v>
      </c>
      <c r="D775" s="1119">
        <v>2.0</v>
      </c>
      <c r="E775" s="1120">
        <v>0.0</v>
      </c>
      <c r="F775" s="1121">
        <f t="shared" si="1"/>
        <v>2</v>
      </c>
      <c r="G775" s="1120">
        <v>0.0</v>
      </c>
      <c r="H775" s="1127">
        <v>0.0</v>
      </c>
      <c r="I775" s="1127">
        <v>0.0</v>
      </c>
      <c r="J775" s="1127">
        <v>2.0</v>
      </c>
      <c r="K775" s="1124"/>
    </row>
    <row r="776" ht="15.75" customHeight="1">
      <c r="A776" s="1119">
        <v>88394.0</v>
      </c>
      <c r="B776" s="1125" t="s">
        <v>11054</v>
      </c>
      <c r="C776" s="1126" t="s">
        <v>1470</v>
      </c>
      <c r="D776" s="1119">
        <v>0.9</v>
      </c>
      <c r="E776" s="1120">
        <v>0.0</v>
      </c>
      <c r="F776" s="1121">
        <f t="shared" si="1"/>
        <v>0.9</v>
      </c>
      <c r="G776" s="1120">
        <v>0.0</v>
      </c>
      <c r="H776" s="1127">
        <v>0.9</v>
      </c>
      <c r="I776" s="1127">
        <v>0.0</v>
      </c>
      <c r="J776" s="1127">
        <v>0.0</v>
      </c>
      <c r="K776" s="1124"/>
    </row>
    <row r="777" ht="15.75" customHeight="1">
      <c r="A777" s="1119">
        <v>88395.0</v>
      </c>
      <c r="B777" s="1125" t="s">
        <v>11055</v>
      </c>
      <c r="C777" s="1126" t="s">
        <v>1470</v>
      </c>
      <c r="D777" s="1119">
        <v>0.15</v>
      </c>
      <c r="E777" s="1120">
        <v>0.0</v>
      </c>
      <c r="F777" s="1121">
        <f t="shared" si="1"/>
        <v>0.15</v>
      </c>
      <c r="G777" s="1120">
        <v>0.0</v>
      </c>
      <c r="H777" s="1127">
        <v>0.15</v>
      </c>
      <c r="I777" s="1127">
        <v>0.0</v>
      </c>
      <c r="J777" s="1127">
        <v>0.0</v>
      </c>
      <c r="K777" s="1124"/>
    </row>
    <row r="778" ht="15.75" customHeight="1">
      <c r="A778" s="1119">
        <v>88396.0</v>
      </c>
      <c r="B778" s="1125" t="s">
        <v>11056</v>
      </c>
      <c r="C778" s="1126" t="s">
        <v>1470</v>
      </c>
      <c r="D778" s="1119">
        <v>1.05</v>
      </c>
      <c r="E778" s="1120">
        <v>0.0</v>
      </c>
      <c r="F778" s="1121">
        <f t="shared" si="1"/>
        <v>1.05</v>
      </c>
      <c r="G778" s="1120">
        <v>0.0</v>
      </c>
      <c r="H778" s="1127">
        <v>1.05</v>
      </c>
      <c r="I778" s="1127">
        <v>0.0</v>
      </c>
      <c r="J778" s="1127">
        <v>0.0</v>
      </c>
      <c r="K778" s="1124"/>
    </row>
    <row r="779" ht="15.75" customHeight="1">
      <c r="A779" s="1119">
        <v>88397.0</v>
      </c>
      <c r="B779" s="1125" t="s">
        <v>11057</v>
      </c>
      <c r="C779" s="1126" t="s">
        <v>1470</v>
      </c>
      <c r="D779" s="1119">
        <v>3.0</v>
      </c>
      <c r="E779" s="1120">
        <v>0.0</v>
      </c>
      <c r="F779" s="1121">
        <f t="shared" si="1"/>
        <v>3</v>
      </c>
      <c r="G779" s="1120">
        <v>0.0</v>
      </c>
      <c r="H779" s="1127">
        <v>0.0</v>
      </c>
      <c r="I779" s="1127">
        <v>0.0</v>
      </c>
      <c r="J779" s="1127">
        <v>3.0</v>
      </c>
      <c r="K779" s="1124"/>
    </row>
    <row r="780" ht="15.75" customHeight="1">
      <c r="A780" s="1119">
        <v>88400.0</v>
      </c>
      <c r="B780" s="1125" t="s">
        <v>11058</v>
      </c>
      <c r="C780" s="1126" t="s">
        <v>1470</v>
      </c>
      <c r="D780" s="1119">
        <v>0.71</v>
      </c>
      <c r="E780" s="1120">
        <v>0.0</v>
      </c>
      <c r="F780" s="1121">
        <f t="shared" si="1"/>
        <v>0.71</v>
      </c>
      <c r="G780" s="1120">
        <v>0.0</v>
      </c>
      <c r="H780" s="1127">
        <v>0.71</v>
      </c>
      <c r="I780" s="1127">
        <v>0.0</v>
      </c>
      <c r="J780" s="1127">
        <v>0.0</v>
      </c>
      <c r="K780" s="1124"/>
    </row>
    <row r="781" ht="15.75" customHeight="1">
      <c r="A781" s="1119">
        <v>88401.0</v>
      </c>
      <c r="B781" s="1125" t="s">
        <v>11059</v>
      </c>
      <c r="C781" s="1126" t="s">
        <v>1470</v>
      </c>
      <c r="D781" s="1119">
        <v>0.11</v>
      </c>
      <c r="E781" s="1120">
        <v>0.0</v>
      </c>
      <c r="F781" s="1121">
        <f t="shared" si="1"/>
        <v>0.11</v>
      </c>
      <c r="G781" s="1120">
        <v>0.0</v>
      </c>
      <c r="H781" s="1127">
        <v>0.11</v>
      </c>
      <c r="I781" s="1127">
        <v>0.0</v>
      </c>
      <c r="J781" s="1127">
        <v>0.0</v>
      </c>
      <c r="K781" s="1124"/>
    </row>
    <row r="782" ht="15.75" customHeight="1">
      <c r="A782" s="1119">
        <v>88402.0</v>
      </c>
      <c r="B782" s="1125" t="s">
        <v>11060</v>
      </c>
      <c r="C782" s="1126" t="s">
        <v>1470</v>
      </c>
      <c r="D782" s="1119">
        <v>0.83</v>
      </c>
      <c r="E782" s="1120">
        <v>0.0</v>
      </c>
      <c r="F782" s="1121">
        <f t="shared" si="1"/>
        <v>0.83</v>
      </c>
      <c r="G782" s="1120">
        <v>0.0</v>
      </c>
      <c r="H782" s="1127">
        <v>0.83</v>
      </c>
      <c r="I782" s="1127">
        <v>0.0</v>
      </c>
      <c r="J782" s="1127">
        <v>0.0</v>
      </c>
      <c r="K782" s="1124"/>
    </row>
    <row r="783" ht="15.75" customHeight="1">
      <c r="A783" s="1119">
        <v>88403.0</v>
      </c>
      <c r="B783" s="1125" t="s">
        <v>11061</v>
      </c>
      <c r="C783" s="1126" t="s">
        <v>1470</v>
      </c>
      <c r="D783" s="1119">
        <v>1.2</v>
      </c>
      <c r="E783" s="1120">
        <v>0.0</v>
      </c>
      <c r="F783" s="1121">
        <f t="shared" si="1"/>
        <v>1.2</v>
      </c>
      <c r="G783" s="1120">
        <v>0.0</v>
      </c>
      <c r="H783" s="1127">
        <v>0.0</v>
      </c>
      <c r="I783" s="1127">
        <v>0.0</v>
      </c>
      <c r="J783" s="1127">
        <v>1.2</v>
      </c>
      <c r="K783" s="1124"/>
    </row>
    <row r="784" ht="15.75" customHeight="1">
      <c r="A784" s="1119">
        <v>88419.0</v>
      </c>
      <c r="B784" s="1125" t="s">
        <v>11062</v>
      </c>
      <c r="C784" s="1126" t="s">
        <v>1470</v>
      </c>
      <c r="D784" s="1119">
        <v>4.99</v>
      </c>
      <c r="E784" s="1120">
        <v>0.0</v>
      </c>
      <c r="F784" s="1121">
        <f t="shared" si="1"/>
        <v>4.99</v>
      </c>
      <c r="G784" s="1120">
        <v>0.0</v>
      </c>
      <c r="H784" s="1127">
        <v>4.99</v>
      </c>
      <c r="I784" s="1127">
        <v>0.0</v>
      </c>
      <c r="J784" s="1127">
        <v>0.0</v>
      </c>
      <c r="K784" s="1124"/>
    </row>
    <row r="785" ht="15.75" customHeight="1">
      <c r="A785" s="1119">
        <v>88422.0</v>
      </c>
      <c r="B785" s="1125" t="s">
        <v>11063</v>
      </c>
      <c r="C785" s="1126" t="s">
        <v>1470</v>
      </c>
      <c r="D785" s="1119">
        <v>0.59</v>
      </c>
      <c r="E785" s="1120">
        <v>0.0</v>
      </c>
      <c r="F785" s="1121">
        <f t="shared" si="1"/>
        <v>0.59</v>
      </c>
      <c r="G785" s="1120">
        <v>0.0</v>
      </c>
      <c r="H785" s="1127">
        <v>0.59</v>
      </c>
      <c r="I785" s="1127">
        <v>0.0</v>
      </c>
      <c r="J785" s="1127">
        <v>0.0</v>
      </c>
      <c r="K785" s="1124"/>
    </row>
    <row r="786" ht="15.75" customHeight="1">
      <c r="A786" s="1119">
        <v>88425.0</v>
      </c>
      <c r="B786" s="1125" t="s">
        <v>11064</v>
      </c>
      <c r="C786" s="1126" t="s">
        <v>1470</v>
      </c>
      <c r="D786" s="1119">
        <v>6.24</v>
      </c>
      <c r="E786" s="1120">
        <v>0.0</v>
      </c>
      <c r="F786" s="1121">
        <f t="shared" si="1"/>
        <v>6.24</v>
      </c>
      <c r="G786" s="1120">
        <v>0.0</v>
      </c>
      <c r="H786" s="1127">
        <v>6.24</v>
      </c>
      <c r="I786" s="1127">
        <v>0.0</v>
      </c>
      <c r="J786" s="1127">
        <v>0.0</v>
      </c>
      <c r="K786" s="1124"/>
    </row>
    <row r="787" ht="15.75" customHeight="1">
      <c r="A787" s="1119">
        <v>88427.0</v>
      </c>
      <c r="B787" s="1125" t="s">
        <v>11065</v>
      </c>
      <c r="C787" s="1126" t="s">
        <v>1470</v>
      </c>
      <c r="D787" s="1119">
        <v>0.67</v>
      </c>
      <c r="E787" s="1120">
        <v>0.0</v>
      </c>
      <c r="F787" s="1121">
        <f t="shared" si="1"/>
        <v>0.67</v>
      </c>
      <c r="G787" s="1120">
        <v>0.0</v>
      </c>
      <c r="H787" s="1127">
        <v>0.0</v>
      </c>
      <c r="I787" s="1127">
        <v>0.0</v>
      </c>
      <c r="J787" s="1127">
        <v>0.67</v>
      </c>
      <c r="K787" s="1124"/>
    </row>
    <row r="788" ht="15.75" customHeight="1">
      <c r="A788" s="1119">
        <v>88434.0</v>
      </c>
      <c r="B788" s="1125" t="s">
        <v>11066</v>
      </c>
      <c r="C788" s="1126" t="s">
        <v>1470</v>
      </c>
      <c r="D788" s="1119">
        <v>6.61</v>
      </c>
      <c r="E788" s="1120">
        <v>0.0</v>
      </c>
      <c r="F788" s="1121">
        <f t="shared" si="1"/>
        <v>6.61</v>
      </c>
      <c r="G788" s="1120">
        <v>0.0</v>
      </c>
      <c r="H788" s="1127">
        <v>6.61</v>
      </c>
      <c r="I788" s="1127">
        <v>0.0</v>
      </c>
      <c r="J788" s="1127">
        <v>0.0</v>
      </c>
      <c r="K788" s="1124"/>
    </row>
    <row r="789" ht="15.75" customHeight="1">
      <c r="A789" s="1119">
        <v>88435.0</v>
      </c>
      <c r="B789" s="1125" t="s">
        <v>11067</v>
      </c>
      <c r="C789" s="1126" t="s">
        <v>1470</v>
      </c>
      <c r="D789" s="1119">
        <v>0.78</v>
      </c>
      <c r="E789" s="1120">
        <v>0.0</v>
      </c>
      <c r="F789" s="1121">
        <f t="shared" si="1"/>
        <v>0.78</v>
      </c>
      <c r="G789" s="1120">
        <v>0.0</v>
      </c>
      <c r="H789" s="1127">
        <v>0.78</v>
      </c>
      <c r="I789" s="1127">
        <v>0.0</v>
      </c>
      <c r="J789" s="1127">
        <v>0.0</v>
      </c>
      <c r="K789" s="1124"/>
    </row>
    <row r="790" ht="15.75" customHeight="1">
      <c r="A790" s="1119">
        <v>88436.0</v>
      </c>
      <c r="B790" s="1125" t="s">
        <v>11068</v>
      </c>
      <c r="C790" s="1126" t="s">
        <v>1470</v>
      </c>
      <c r="D790" s="1119">
        <v>8.27</v>
      </c>
      <c r="E790" s="1120">
        <v>0.0</v>
      </c>
      <c r="F790" s="1121">
        <f t="shared" si="1"/>
        <v>8.27</v>
      </c>
      <c r="G790" s="1120">
        <v>0.0</v>
      </c>
      <c r="H790" s="1127">
        <v>8.27</v>
      </c>
      <c r="I790" s="1127">
        <v>0.0</v>
      </c>
      <c r="J790" s="1127">
        <v>0.0</v>
      </c>
      <c r="K790" s="1124"/>
    </row>
    <row r="791" ht="15.75" customHeight="1">
      <c r="A791" s="1119">
        <v>88437.0</v>
      </c>
      <c r="B791" s="1125" t="s">
        <v>11069</v>
      </c>
      <c r="C791" s="1126" t="s">
        <v>1470</v>
      </c>
      <c r="D791" s="1119">
        <v>0.67</v>
      </c>
      <c r="E791" s="1120">
        <v>0.0</v>
      </c>
      <c r="F791" s="1121">
        <f t="shared" si="1"/>
        <v>0.67</v>
      </c>
      <c r="G791" s="1120">
        <v>0.0</v>
      </c>
      <c r="H791" s="1127">
        <v>0.0</v>
      </c>
      <c r="I791" s="1127">
        <v>0.0</v>
      </c>
      <c r="J791" s="1127">
        <v>0.67</v>
      </c>
      <c r="K791" s="1124"/>
    </row>
    <row r="792" ht="15.75" customHeight="1">
      <c r="A792" s="1119">
        <v>88569.0</v>
      </c>
      <c r="B792" s="1125" t="s">
        <v>11070</v>
      </c>
      <c r="C792" s="1126" t="s">
        <v>1470</v>
      </c>
      <c r="D792" s="1119">
        <v>3.96</v>
      </c>
      <c r="E792" s="1120">
        <v>0.0</v>
      </c>
      <c r="F792" s="1121">
        <f t="shared" si="1"/>
        <v>3.96</v>
      </c>
      <c r="G792" s="1120">
        <v>0.0</v>
      </c>
      <c r="H792" s="1127">
        <v>3.96</v>
      </c>
      <c r="I792" s="1127">
        <v>0.0</v>
      </c>
      <c r="J792" s="1127">
        <v>0.0</v>
      </c>
      <c r="K792" s="1124"/>
    </row>
    <row r="793" ht="15.75" customHeight="1">
      <c r="A793" s="1119">
        <v>88570.0</v>
      </c>
      <c r="B793" s="1125" t="s">
        <v>11071</v>
      </c>
      <c r="C793" s="1126" t="s">
        <v>1470</v>
      </c>
      <c r="D793" s="1119">
        <v>0.66</v>
      </c>
      <c r="E793" s="1120">
        <v>0.0</v>
      </c>
      <c r="F793" s="1121">
        <f t="shared" si="1"/>
        <v>0.66</v>
      </c>
      <c r="G793" s="1120">
        <v>0.0</v>
      </c>
      <c r="H793" s="1127">
        <v>0.66</v>
      </c>
      <c r="I793" s="1127">
        <v>0.0</v>
      </c>
      <c r="J793" s="1127">
        <v>0.0</v>
      </c>
      <c r="K793" s="1124"/>
    </row>
    <row r="794" ht="15.75" customHeight="1">
      <c r="A794" s="1119">
        <v>88826.0</v>
      </c>
      <c r="B794" s="1125" t="s">
        <v>11072</v>
      </c>
      <c r="C794" s="1126" t="s">
        <v>1470</v>
      </c>
      <c r="D794" s="1119">
        <v>0.28</v>
      </c>
      <c r="E794" s="1120">
        <v>0.0</v>
      </c>
      <c r="F794" s="1121">
        <f t="shared" si="1"/>
        <v>0.28</v>
      </c>
      <c r="G794" s="1120">
        <v>0.0</v>
      </c>
      <c r="H794" s="1127">
        <v>0.28</v>
      </c>
      <c r="I794" s="1127">
        <v>0.0</v>
      </c>
      <c r="J794" s="1127">
        <v>0.0</v>
      </c>
      <c r="K794" s="1124"/>
    </row>
    <row r="795" ht="15.75" customHeight="1">
      <c r="A795" s="1119">
        <v>88827.0</v>
      </c>
      <c r="B795" s="1125" t="s">
        <v>11073</v>
      </c>
      <c r="C795" s="1126" t="s">
        <v>1470</v>
      </c>
      <c r="D795" s="1119">
        <v>0.04</v>
      </c>
      <c r="E795" s="1120">
        <v>0.0</v>
      </c>
      <c r="F795" s="1121">
        <f t="shared" si="1"/>
        <v>0.04</v>
      </c>
      <c r="G795" s="1120">
        <v>0.0</v>
      </c>
      <c r="H795" s="1127">
        <v>0.04</v>
      </c>
      <c r="I795" s="1127">
        <v>0.0</v>
      </c>
      <c r="J795" s="1127">
        <v>0.0</v>
      </c>
      <c r="K795" s="1124"/>
    </row>
    <row r="796" ht="15.75" customHeight="1">
      <c r="A796" s="1119">
        <v>88828.0</v>
      </c>
      <c r="B796" s="1125" t="s">
        <v>11074</v>
      </c>
      <c r="C796" s="1126" t="s">
        <v>1470</v>
      </c>
      <c r="D796" s="1119">
        <v>0.33</v>
      </c>
      <c r="E796" s="1120">
        <v>0.0</v>
      </c>
      <c r="F796" s="1121">
        <f t="shared" si="1"/>
        <v>0.33</v>
      </c>
      <c r="G796" s="1120">
        <v>0.0</v>
      </c>
      <c r="H796" s="1127">
        <v>0.33</v>
      </c>
      <c r="I796" s="1127">
        <v>0.0</v>
      </c>
      <c r="J796" s="1127">
        <v>0.0</v>
      </c>
      <c r="K796" s="1124"/>
    </row>
    <row r="797" ht="15.75" customHeight="1">
      <c r="A797" s="1119">
        <v>88829.0</v>
      </c>
      <c r="B797" s="1125" t="s">
        <v>11075</v>
      </c>
      <c r="C797" s="1126" t="s">
        <v>1470</v>
      </c>
      <c r="D797" s="1119">
        <v>0.8</v>
      </c>
      <c r="E797" s="1120">
        <v>0.0</v>
      </c>
      <c r="F797" s="1121">
        <f t="shared" si="1"/>
        <v>0.8</v>
      </c>
      <c r="G797" s="1120">
        <v>0.0</v>
      </c>
      <c r="H797" s="1127">
        <v>0.0</v>
      </c>
      <c r="I797" s="1127">
        <v>0.0</v>
      </c>
      <c r="J797" s="1127">
        <v>0.8</v>
      </c>
      <c r="K797" s="1124"/>
    </row>
    <row r="798" ht="15.75" customHeight="1">
      <c r="A798" s="1119">
        <v>88832.0</v>
      </c>
      <c r="B798" s="1125" t="s">
        <v>11076</v>
      </c>
      <c r="C798" s="1126" t="s">
        <v>1470</v>
      </c>
      <c r="D798" s="1119">
        <v>45.95</v>
      </c>
      <c r="E798" s="1120">
        <v>0.0</v>
      </c>
      <c r="F798" s="1121">
        <f t="shared" si="1"/>
        <v>45.95</v>
      </c>
      <c r="G798" s="1120">
        <v>0.0</v>
      </c>
      <c r="H798" s="1127">
        <v>45.95</v>
      </c>
      <c r="I798" s="1127">
        <v>0.0</v>
      </c>
      <c r="J798" s="1127">
        <v>0.0</v>
      </c>
      <c r="K798" s="1124"/>
    </row>
    <row r="799" ht="15.75" customHeight="1">
      <c r="A799" s="1119">
        <v>88834.0</v>
      </c>
      <c r="B799" s="1125" t="s">
        <v>11077</v>
      </c>
      <c r="C799" s="1126" t="s">
        <v>1470</v>
      </c>
      <c r="D799" s="1119">
        <v>6.23</v>
      </c>
      <c r="E799" s="1120">
        <v>0.0</v>
      </c>
      <c r="F799" s="1121">
        <f t="shared" si="1"/>
        <v>6.23</v>
      </c>
      <c r="G799" s="1120">
        <v>0.0</v>
      </c>
      <c r="H799" s="1127">
        <v>6.23</v>
      </c>
      <c r="I799" s="1127">
        <v>0.0</v>
      </c>
      <c r="J799" s="1127">
        <v>0.0</v>
      </c>
      <c r="K799" s="1124"/>
    </row>
    <row r="800" ht="15.75" customHeight="1">
      <c r="A800" s="1119">
        <v>88835.0</v>
      </c>
      <c r="B800" s="1125" t="s">
        <v>11078</v>
      </c>
      <c r="C800" s="1126" t="s">
        <v>1470</v>
      </c>
      <c r="D800" s="1119">
        <v>57.43</v>
      </c>
      <c r="E800" s="1120">
        <v>0.0</v>
      </c>
      <c r="F800" s="1121">
        <f t="shared" si="1"/>
        <v>57.43</v>
      </c>
      <c r="G800" s="1120">
        <v>0.0</v>
      </c>
      <c r="H800" s="1127">
        <v>57.43</v>
      </c>
      <c r="I800" s="1127">
        <v>0.0</v>
      </c>
      <c r="J800" s="1127">
        <v>0.0</v>
      </c>
      <c r="K800" s="1124"/>
    </row>
    <row r="801" ht="15.75" customHeight="1">
      <c r="A801" s="1119">
        <v>88836.0</v>
      </c>
      <c r="B801" s="1125" t="s">
        <v>11079</v>
      </c>
      <c r="C801" s="1126" t="s">
        <v>1470</v>
      </c>
      <c r="D801" s="1119">
        <v>48.54</v>
      </c>
      <c r="E801" s="1120">
        <v>0.0</v>
      </c>
      <c r="F801" s="1121">
        <f t="shared" si="1"/>
        <v>48.54</v>
      </c>
      <c r="G801" s="1120">
        <v>48.54</v>
      </c>
      <c r="H801" s="1127">
        <v>0.0</v>
      </c>
      <c r="I801" s="1127">
        <v>0.0</v>
      </c>
      <c r="J801" s="1127">
        <v>0.0</v>
      </c>
      <c r="K801" s="1124"/>
    </row>
    <row r="802" ht="15.75" customHeight="1">
      <c r="A802" s="1119">
        <v>88839.0</v>
      </c>
      <c r="B802" s="1125" t="s">
        <v>11080</v>
      </c>
      <c r="C802" s="1126" t="s">
        <v>1470</v>
      </c>
      <c r="D802" s="1119">
        <v>34.9</v>
      </c>
      <c r="E802" s="1120">
        <v>0.0</v>
      </c>
      <c r="F802" s="1121">
        <f t="shared" si="1"/>
        <v>34.9</v>
      </c>
      <c r="G802" s="1120">
        <v>34.9</v>
      </c>
      <c r="H802" s="1127">
        <v>0.0</v>
      </c>
      <c r="I802" s="1127">
        <v>0.0</v>
      </c>
      <c r="J802" s="1127">
        <v>0.0</v>
      </c>
      <c r="K802" s="1124"/>
    </row>
    <row r="803" ht="15.75" customHeight="1">
      <c r="A803" s="1119">
        <v>88840.0</v>
      </c>
      <c r="B803" s="1125" t="s">
        <v>11081</v>
      </c>
      <c r="C803" s="1126" t="s">
        <v>1470</v>
      </c>
      <c r="D803" s="1119">
        <v>7.85</v>
      </c>
      <c r="E803" s="1120">
        <v>0.0</v>
      </c>
      <c r="F803" s="1121">
        <f t="shared" si="1"/>
        <v>7.85</v>
      </c>
      <c r="G803" s="1120">
        <v>7.85</v>
      </c>
      <c r="H803" s="1127">
        <v>0.0</v>
      </c>
      <c r="I803" s="1127">
        <v>0.0</v>
      </c>
      <c r="J803" s="1127">
        <v>0.0</v>
      </c>
      <c r="K803" s="1124"/>
    </row>
    <row r="804" ht="15.75" customHeight="1">
      <c r="A804" s="1119">
        <v>88841.0</v>
      </c>
      <c r="B804" s="1125" t="s">
        <v>11082</v>
      </c>
      <c r="C804" s="1126" t="s">
        <v>1470</v>
      </c>
      <c r="D804" s="1119">
        <v>62.39</v>
      </c>
      <c r="E804" s="1120">
        <v>0.0</v>
      </c>
      <c r="F804" s="1121">
        <f t="shared" si="1"/>
        <v>62.39</v>
      </c>
      <c r="G804" s="1120">
        <v>62.39</v>
      </c>
      <c r="H804" s="1127">
        <v>0.0</v>
      </c>
      <c r="I804" s="1127">
        <v>0.0</v>
      </c>
      <c r="J804" s="1127">
        <v>0.0</v>
      </c>
      <c r="K804" s="1124"/>
    </row>
    <row r="805" ht="15.75" customHeight="1">
      <c r="A805" s="1119">
        <v>88842.0</v>
      </c>
      <c r="B805" s="1125" t="s">
        <v>11083</v>
      </c>
      <c r="C805" s="1126" t="s">
        <v>1470</v>
      </c>
      <c r="D805" s="1119">
        <v>59.42</v>
      </c>
      <c r="E805" s="1120">
        <v>0.0</v>
      </c>
      <c r="F805" s="1121">
        <f t="shared" si="1"/>
        <v>59.42</v>
      </c>
      <c r="G805" s="1120">
        <v>59.42</v>
      </c>
      <c r="H805" s="1127">
        <v>0.0</v>
      </c>
      <c r="I805" s="1127">
        <v>0.0</v>
      </c>
      <c r="J805" s="1127">
        <v>0.0</v>
      </c>
      <c r="K805" s="1124"/>
    </row>
    <row r="806" ht="15.75" customHeight="1">
      <c r="A806" s="1119">
        <v>88847.0</v>
      </c>
      <c r="B806" s="1125" t="s">
        <v>11084</v>
      </c>
      <c r="C806" s="1126" t="s">
        <v>1470</v>
      </c>
      <c r="D806" s="1119">
        <v>22.82</v>
      </c>
      <c r="E806" s="1120">
        <v>0.0</v>
      </c>
      <c r="F806" s="1121">
        <f t="shared" si="1"/>
        <v>22.82</v>
      </c>
      <c r="G806" s="1120">
        <v>0.0</v>
      </c>
      <c r="H806" s="1127">
        <v>22.82</v>
      </c>
      <c r="I806" s="1127">
        <v>0.0</v>
      </c>
      <c r="J806" s="1127">
        <v>0.0</v>
      </c>
      <c r="K806" s="1124"/>
    </row>
    <row r="807" ht="15.75" customHeight="1">
      <c r="A807" s="1119">
        <v>88848.0</v>
      </c>
      <c r="B807" s="1125" t="s">
        <v>11085</v>
      </c>
      <c r="C807" s="1126" t="s">
        <v>1470</v>
      </c>
      <c r="D807" s="1119">
        <v>4.79</v>
      </c>
      <c r="E807" s="1120">
        <v>0.0</v>
      </c>
      <c r="F807" s="1121">
        <f t="shared" si="1"/>
        <v>4.79</v>
      </c>
      <c r="G807" s="1120">
        <v>0.0</v>
      </c>
      <c r="H807" s="1127">
        <v>4.79</v>
      </c>
      <c r="I807" s="1127">
        <v>0.0</v>
      </c>
      <c r="J807" s="1127">
        <v>0.0</v>
      </c>
      <c r="K807" s="1124"/>
    </row>
    <row r="808" ht="15.75" customHeight="1">
      <c r="A808" s="1119">
        <v>88853.0</v>
      </c>
      <c r="B808" s="1125" t="s">
        <v>11086</v>
      </c>
      <c r="C808" s="1126" t="s">
        <v>1470</v>
      </c>
      <c r="D808" s="1119">
        <v>0.23</v>
      </c>
      <c r="E808" s="1120">
        <v>0.0</v>
      </c>
      <c r="F808" s="1121">
        <f t="shared" si="1"/>
        <v>0.23</v>
      </c>
      <c r="G808" s="1120">
        <v>0.0</v>
      </c>
      <c r="H808" s="1127">
        <v>0.23</v>
      </c>
      <c r="I808" s="1127">
        <v>0.0</v>
      </c>
      <c r="J808" s="1127">
        <v>0.0</v>
      </c>
      <c r="K808" s="1124"/>
    </row>
    <row r="809" ht="15.75" customHeight="1">
      <c r="A809" s="1119">
        <v>88854.0</v>
      </c>
      <c r="B809" s="1125" t="s">
        <v>11087</v>
      </c>
      <c r="C809" s="1126" t="s">
        <v>1470</v>
      </c>
      <c r="D809" s="1119">
        <v>0.02</v>
      </c>
      <c r="E809" s="1120">
        <v>0.0</v>
      </c>
      <c r="F809" s="1121">
        <f t="shared" si="1"/>
        <v>0.02</v>
      </c>
      <c r="G809" s="1120">
        <v>0.0</v>
      </c>
      <c r="H809" s="1127">
        <v>0.02</v>
      </c>
      <c r="I809" s="1127">
        <v>0.0</v>
      </c>
      <c r="J809" s="1127">
        <v>0.0</v>
      </c>
      <c r="K809" s="1124"/>
    </row>
    <row r="810" ht="15.75" customHeight="1">
      <c r="A810" s="1119">
        <v>88855.0</v>
      </c>
      <c r="B810" s="1125" t="s">
        <v>11088</v>
      </c>
      <c r="C810" s="1126" t="s">
        <v>1470</v>
      </c>
      <c r="D810" s="1119">
        <v>3.68</v>
      </c>
      <c r="E810" s="1120">
        <v>0.0</v>
      </c>
      <c r="F810" s="1121">
        <f t="shared" si="1"/>
        <v>3.68</v>
      </c>
      <c r="G810" s="1120">
        <v>0.0</v>
      </c>
      <c r="H810" s="1127">
        <v>3.68</v>
      </c>
      <c r="I810" s="1127">
        <v>0.0</v>
      </c>
      <c r="J810" s="1127">
        <v>0.0</v>
      </c>
      <c r="K810" s="1124"/>
    </row>
    <row r="811" ht="15.75" customHeight="1">
      <c r="A811" s="1119">
        <v>88856.0</v>
      </c>
      <c r="B811" s="1125" t="s">
        <v>11089</v>
      </c>
      <c r="C811" s="1126" t="s">
        <v>1470</v>
      </c>
      <c r="D811" s="1119">
        <v>0.51</v>
      </c>
      <c r="E811" s="1120">
        <v>0.0</v>
      </c>
      <c r="F811" s="1121">
        <f t="shared" si="1"/>
        <v>0.51</v>
      </c>
      <c r="G811" s="1120">
        <v>0.0</v>
      </c>
      <c r="H811" s="1127">
        <v>0.51</v>
      </c>
      <c r="I811" s="1127">
        <v>0.0</v>
      </c>
      <c r="J811" s="1127">
        <v>0.0</v>
      </c>
      <c r="K811" s="1124"/>
    </row>
    <row r="812" ht="15.75" customHeight="1">
      <c r="A812" s="1119">
        <v>88857.0</v>
      </c>
      <c r="B812" s="1125" t="s">
        <v>11090</v>
      </c>
      <c r="C812" s="1126" t="s">
        <v>1470</v>
      </c>
      <c r="D812" s="1119">
        <v>24.96</v>
      </c>
      <c r="E812" s="1120">
        <v>0.0</v>
      </c>
      <c r="F812" s="1121">
        <f t="shared" si="1"/>
        <v>24.96</v>
      </c>
      <c r="G812" s="1120">
        <v>0.0</v>
      </c>
      <c r="H812" s="1127">
        <v>24.96</v>
      </c>
      <c r="I812" s="1127">
        <v>0.0</v>
      </c>
      <c r="J812" s="1127">
        <v>0.0</v>
      </c>
      <c r="K812" s="1124"/>
    </row>
    <row r="813" ht="15.75" customHeight="1">
      <c r="A813" s="1119">
        <v>88858.0</v>
      </c>
      <c r="B813" s="1125" t="s">
        <v>11091</v>
      </c>
      <c r="C813" s="1126" t="s">
        <v>1470</v>
      </c>
      <c r="D813" s="1119">
        <v>3.38</v>
      </c>
      <c r="E813" s="1120">
        <v>0.0</v>
      </c>
      <c r="F813" s="1121">
        <f t="shared" si="1"/>
        <v>3.38</v>
      </c>
      <c r="G813" s="1120">
        <v>0.0</v>
      </c>
      <c r="H813" s="1127">
        <v>3.38</v>
      </c>
      <c r="I813" s="1127">
        <v>0.0</v>
      </c>
      <c r="J813" s="1127">
        <v>0.0</v>
      </c>
      <c r="K813" s="1124"/>
    </row>
    <row r="814" ht="15.75" customHeight="1">
      <c r="A814" s="1119">
        <v>88859.0</v>
      </c>
      <c r="B814" s="1125" t="s">
        <v>11092</v>
      </c>
      <c r="C814" s="1126" t="s">
        <v>1470</v>
      </c>
      <c r="D814" s="1119">
        <v>22.2</v>
      </c>
      <c r="E814" s="1120">
        <v>0.0</v>
      </c>
      <c r="F814" s="1121">
        <f t="shared" si="1"/>
        <v>22.2</v>
      </c>
      <c r="G814" s="1120">
        <v>0.0</v>
      </c>
      <c r="H814" s="1127">
        <v>22.2</v>
      </c>
      <c r="I814" s="1127">
        <v>0.0</v>
      </c>
      <c r="J814" s="1127">
        <v>0.0</v>
      </c>
      <c r="K814" s="1124"/>
    </row>
    <row r="815" ht="15.75" customHeight="1">
      <c r="A815" s="1119">
        <v>88860.0</v>
      </c>
      <c r="B815" s="1125" t="s">
        <v>11093</v>
      </c>
      <c r="C815" s="1126" t="s">
        <v>1470</v>
      </c>
      <c r="D815" s="1119">
        <v>3.01</v>
      </c>
      <c r="E815" s="1120">
        <v>0.0</v>
      </c>
      <c r="F815" s="1121">
        <f t="shared" si="1"/>
        <v>3.01</v>
      </c>
      <c r="G815" s="1120">
        <v>0.0</v>
      </c>
      <c r="H815" s="1127">
        <v>3.01</v>
      </c>
      <c r="I815" s="1127">
        <v>0.0</v>
      </c>
      <c r="J815" s="1127">
        <v>0.0</v>
      </c>
      <c r="K815" s="1124"/>
    </row>
    <row r="816" ht="15.75" customHeight="1">
      <c r="A816" s="1119">
        <v>88900.0</v>
      </c>
      <c r="B816" s="1125" t="s">
        <v>11094</v>
      </c>
      <c r="C816" s="1126" t="s">
        <v>1470</v>
      </c>
      <c r="D816" s="1119">
        <v>53.57</v>
      </c>
      <c r="E816" s="1120">
        <v>0.0</v>
      </c>
      <c r="F816" s="1121">
        <f t="shared" si="1"/>
        <v>53.57</v>
      </c>
      <c r="G816" s="1120">
        <v>0.0</v>
      </c>
      <c r="H816" s="1127">
        <v>53.57</v>
      </c>
      <c r="I816" s="1127">
        <v>0.0</v>
      </c>
      <c r="J816" s="1127">
        <v>0.0</v>
      </c>
      <c r="K816" s="1124"/>
    </row>
    <row r="817" ht="15.75" customHeight="1">
      <c r="A817" s="1119">
        <v>88902.0</v>
      </c>
      <c r="B817" s="1125" t="s">
        <v>11095</v>
      </c>
      <c r="C817" s="1126" t="s">
        <v>1470</v>
      </c>
      <c r="D817" s="1119">
        <v>7.27</v>
      </c>
      <c r="E817" s="1120">
        <v>0.0</v>
      </c>
      <c r="F817" s="1121">
        <f t="shared" si="1"/>
        <v>7.27</v>
      </c>
      <c r="G817" s="1120">
        <v>0.0</v>
      </c>
      <c r="H817" s="1127">
        <v>7.27</v>
      </c>
      <c r="I817" s="1127">
        <v>0.0</v>
      </c>
      <c r="J817" s="1127">
        <v>0.0</v>
      </c>
      <c r="K817" s="1124"/>
    </row>
    <row r="818" ht="15.75" customHeight="1">
      <c r="A818" s="1119">
        <v>88903.0</v>
      </c>
      <c r="B818" s="1125" t="s">
        <v>11096</v>
      </c>
      <c r="C818" s="1126" t="s">
        <v>1470</v>
      </c>
      <c r="D818" s="1119">
        <v>66.97</v>
      </c>
      <c r="E818" s="1120">
        <v>0.0</v>
      </c>
      <c r="F818" s="1121">
        <f t="shared" si="1"/>
        <v>66.97</v>
      </c>
      <c r="G818" s="1120">
        <v>0.0</v>
      </c>
      <c r="H818" s="1127">
        <v>66.97</v>
      </c>
      <c r="I818" s="1127">
        <v>0.0</v>
      </c>
      <c r="J818" s="1127">
        <v>0.0</v>
      </c>
      <c r="K818" s="1124"/>
    </row>
    <row r="819" ht="15.75" customHeight="1">
      <c r="A819" s="1119">
        <v>88904.0</v>
      </c>
      <c r="B819" s="1125" t="s">
        <v>11097</v>
      </c>
      <c r="C819" s="1126" t="s">
        <v>1470</v>
      </c>
      <c r="D819" s="1119">
        <v>68.38</v>
      </c>
      <c r="E819" s="1120">
        <v>0.0</v>
      </c>
      <c r="F819" s="1121">
        <f t="shared" si="1"/>
        <v>68.38</v>
      </c>
      <c r="G819" s="1120">
        <v>68.38</v>
      </c>
      <c r="H819" s="1127">
        <v>0.0</v>
      </c>
      <c r="I819" s="1127">
        <v>0.0</v>
      </c>
      <c r="J819" s="1127">
        <v>0.0</v>
      </c>
      <c r="K819" s="1124"/>
    </row>
    <row r="820" ht="15.75" customHeight="1">
      <c r="A820" s="1119">
        <v>89009.0</v>
      </c>
      <c r="B820" s="1125" t="s">
        <v>11098</v>
      </c>
      <c r="C820" s="1126" t="s">
        <v>1470</v>
      </c>
      <c r="D820" s="1119">
        <v>43.22</v>
      </c>
      <c r="E820" s="1120">
        <v>0.0</v>
      </c>
      <c r="F820" s="1121">
        <f t="shared" si="1"/>
        <v>43.22</v>
      </c>
      <c r="G820" s="1120">
        <v>0.0</v>
      </c>
      <c r="H820" s="1127">
        <v>43.22</v>
      </c>
      <c r="I820" s="1127">
        <v>0.0</v>
      </c>
      <c r="J820" s="1127">
        <v>0.0</v>
      </c>
      <c r="K820" s="1124"/>
    </row>
    <row r="821" ht="15.75" customHeight="1">
      <c r="A821" s="1119">
        <v>89010.0</v>
      </c>
      <c r="B821" s="1125" t="s">
        <v>11099</v>
      </c>
      <c r="C821" s="1126" t="s">
        <v>1470</v>
      </c>
      <c r="D821" s="1119">
        <v>9.73</v>
      </c>
      <c r="E821" s="1120">
        <v>0.0</v>
      </c>
      <c r="F821" s="1121">
        <f t="shared" si="1"/>
        <v>9.73</v>
      </c>
      <c r="G821" s="1120">
        <v>0.0</v>
      </c>
      <c r="H821" s="1127">
        <v>9.73</v>
      </c>
      <c r="I821" s="1127">
        <v>0.0</v>
      </c>
      <c r="J821" s="1127">
        <v>0.0</v>
      </c>
      <c r="K821" s="1124"/>
    </row>
    <row r="822" ht="15.75" customHeight="1">
      <c r="A822" s="1119">
        <v>89011.0</v>
      </c>
      <c r="B822" s="1125" t="s">
        <v>11100</v>
      </c>
      <c r="C822" s="1126" t="s">
        <v>1470</v>
      </c>
      <c r="D822" s="1119">
        <v>24.08</v>
      </c>
      <c r="E822" s="1120">
        <v>0.0</v>
      </c>
      <c r="F822" s="1121">
        <f t="shared" si="1"/>
        <v>24.08</v>
      </c>
      <c r="G822" s="1120">
        <v>0.0</v>
      </c>
      <c r="H822" s="1127">
        <v>24.08</v>
      </c>
      <c r="I822" s="1127">
        <v>0.0</v>
      </c>
      <c r="J822" s="1127">
        <v>0.0</v>
      </c>
      <c r="K822" s="1124"/>
    </row>
    <row r="823" ht="15.75" customHeight="1">
      <c r="A823" s="1119">
        <v>89012.0</v>
      </c>
      <c r="B823" s="1125" t="s">
        <v>11101</v>
      </c>
      <c r="C823" s="1126" t="s">
        <v>1470</v>
      </c>
      <c r="D823" s="1119">
        <v>3.26</v>
      </c>
      <c r="E823" s="1120">
        <v>0.0</v>
      </c>
      <c r="F823" s="1121">
        <f t="shared" si="1"/>
        <v>3.26</v>
      </c>
      <c r="G823" s="1120">
        <v>0.0</v>
      </c>
      <c r="H823" s="1127">
        <v>3.26</v>
      </c>
      <c r="I823" s="1127">
        <v>0.0</v>
      </c>
      <c r="J823" s="1127">
        <v>0.0</v>
      </c>
      <c r="K823" s="1124"/>
    </row>
    <row r="824" ht="15.75" customHeight="1">
      <c r="A824" s="1119">
        <v>89013.0</v>
      </c>
      <c r="B824" s="1125" t="s">
        <v>11102</v>
      </c>
      <c r="C824" s="1126" t="s">
        <v>1470</v>
      </c>
      <c r="D824" s="1119">
        <v>141.59</v>
      </c>
      <c r="E824" s="1120">
        <v>0.0</v>
      </c>
      <c r="F824" s="1121">
        <f t="shared" si="1"/>
        <v>141.59</v>
      </c>
      <c r="G824" s="1120">
        <v>0.0</v>
      </c>
      <c r="H824" s="1127">
        <v>141.59</v>
      </c>
      <c r="I824" s="1127">
        <v>0.0</v>
      </c>
      <c r="J824" s="1127">
        <v>0.0</v>
      </c>
      <c r="K824" s="1124"/>
    </row>
    <row r="825" ht="15.75" customHeight="1">
      <c r="A825" s="1119">
        <v>89014.0</v>
      </c>
      <c r="B825" s="1125" t="s">
        <v>11103</v>
      </c>
      <c r="C825" s="1126" t="s">
        <v>1470</v>
      </c>
      <c r="D825" s="1119">
        <v>31.87</v>
      </c>
      <c r="E825" s="1120">
        <v>0.0</v>
      </c>
      <c r="F825" s="1121">
        <f t="shared" si="1"/>
        <v>31.87</v>
      </c>
      <c r="G825" s="1120">
        <v>0.0</v>
      </c>
      <c r="H825" s="1127">
        <v>31.87</v>
      </c>
      <c r="I825" s="1127">
        <v>0.0</v>
      </c>
      <c r="J825" s="1127">
        <v>0.0</v>
      </c>
      <c r="K825" s="1124"/>
    </row>
    <row r="826" ht="15.75" customHeight="1">
      <c r="A826" s="1119">
        <v>89015.0</v>
      </c>
      <c r="B826" s="1125" t="s">
        <v>11104</v>
      </c>
      <c r="C826" s="1126" t="s">
        <v>1470</v>
      </c>
      <c r="D826" s="1119">
        <v>4.25</v>
      </c>
      <c r="E826" s="1120">
        <v>0.0</v>
      </c>
      <c r="F826" s="1121">
        <f t="shared" si="1"/>
        <v>4.25</v>
      </c>
      <c r="G826" s="1120">
        <v>0.0</v>
      </c>
      <c r="H826" s="1127">
        <v>4.25</v>
      </c>
      <c r="I826" s="1127">
        <v>0.0</v>
      </c>
      <c r="J826" s="1127">
        <v>0.0</v>
      </c>
      <c r="K826" s="1124"/>
    </row>
    <row r="827" ht="15.75" customHeight="1">
      <c r="A827" s="1119">
        <v>89016.0</v>
      </c>
      <c r="B827" s="1125" t="s">
        <v>11105</v>
      </c>
      <c r="C827" s="1126" t="s">
        <v>1470</v>
      </c>
      <c r="D827" s="1119">
        <v>0.57</v>
      </c>
      <c r="E827" s="1120">
        <v>0.0</v>
      </c>
      <c r="F827" s="1121">
        <f t="shared" si="1"/>
        <v>0.57</v>
      </c>
      <c r="G827" s="1120">
        <v>0.0</v>
      </c>
      <c r="H827" s="1127">
        <v>0.57</v>
      </c>
      <c r="I827" s="1127">
        <v>0.0</v>
      </c>
      <c r="J827" s="1127">
        <v>0.0</v>
      </c>
      <c r="K827" s="1124"/>
    </row>
    <row r="828" ht="15.75" customHeight="1">
      <c r="A828" s="1119">
        <v>89017.0</v>
      </c>
      <c r="B828" s="1125" t="s">
        <v>11106</v>
      </c>
      <c r="C828" s="1126" t="s">
        <v>1470</v>
      </c>
      <c r="D828" s="1119">
        <v>42.96</v>
      </c>
      <c r="E828" s="1120">
        <v>0.0</v>
      </c>
      <c r="F828" s="1121">
        <f t="shared" si="1"/>
        <v>42.96</v>
      </c>
      <c r="G828" s="1120">
        <v>0.0</v>
      </c>
      <c r="H828" s="1127">
        <v>42.96</v>
      </c>
      <c r="I828" s="1127">
        <v>0.0</v>
      </c>
      <c r="J828" s="1127">
        <v>0.0</v>
      </c>
      <c r="K828" s="1124"/>
    </row>
    <row r="829" ht="15.75" customHeight="1">
      <c r="A829" s="1119">
        <v>89018.0</v>
      </c>
      <c r="B829" s="1125" t="s">
        <v>11107</v>
      </c>
      <c r="C829" s="1126" t="s">
        <v>1470</v>
      </c>
      <c r="D829" s="1119">
        <v>9.67</v>
      </c>
      <c r="E829" s="1120">
        <v>0.0</v>
      </c>
      <c r="F829" s="1121">
        <f t="shared" si="1"/>
        <v>9.67</v>
      </c>
      <c r="G829" s="1120">
        <v>0.0</v>
      </c>
      <c r="H829" s="1127">
        <v>9.67</v>
      </c>
      <c r="I829" s="1127">
        <v>0.0</v>
      </c>
      <c r="J829" s="1127">
        <v>0.0</v>
      </c>
      <c r="K829" s="1124"/>
    </row>
    <row r="830" ht="15.75" customHeight="1">
      <c r="A830" s="1119">
        <v>89019.0</v>
      </c>
      <c r="B830" s="1125" t="s">
        <v>11108</v>
      </c>
      <c r="C830" s="1126" t="s">
        <v>1470</v>
      </c>
      <c r="D830" s="1119">
        <v>0.41</v>
      </c>
      <c r="E830" s="1120">
        <v>0.0</v>
      </c>
      <c r="F830" s="1121">
        <f t="shared" si="1"/>
        <v>0.41</v>
      </c>
      <c r="G830" s="1120">
        <v>0.0</v>
      </c>
      <c r="H830" s="1127">
        <v>0.41</v>
      </c>
      <c r="I830" s="1127">
        <v>0.0</v>
      </c>
      <c r="J830" s="1127">
        <v>0.0</v>
      </c>
      <c r="K830" s="1124"/>
    </row>
    <row r="831" ht="15.75" customHeight="1">
      <c r="A831" s="1119">
        <v>89020.0</v>
      </c>
      <c r="B831" s="1125" t="s">
        <v>11109</v>
      </c>
      <c r="C831" s="1126" t="s">
        <v>1470</v>
      </c>
      <c r="D831" s="1119">
        <v>0.04</v>
      </c>
      <c r="E831" s="1120">
        <v>0.0</v>
      </c>
      <c r="F831" s="1121">
        <f t="shared" si="1"/>
        <v>0.04</v>
      </c>
      <c r="G831" s="1120">
        <v>0.0</v>
      </c>
      <c r="H831" s="1127">
        <v>0.04</v>
      </c>
      <c r="I831" s="1127">
        <v>0.0</v>
      </c>
      <c r="J831" s="1127">
        <v>0.0</v>
      </c>
      <c r="K831" s="1124"/>
    </row>
    <row r="832" ht="15.75" customHeight="1">
      <c r="A832" s="1119">
        <v>89023.0</v>
      </c>
      <c r="B832" s="1125" t="s">
        <v>11110</v>
      </c>
      <c r="C832" s="1126" t="s">
        <v>1470</v>
      </c>
      <c r="D832" s="1119">
        <v>3.85</v>
      </c>
      <c r="E832" s="1120">
        <v>0.0</v>
      </c>
      <c r="F832" s="1121">
        <f t="shared" si="1"/>
        <v>3.85</v>
      </c>
      <c r="G832" s="1120">
        <v>0.0</v>
      </c>
      <c r="H832" s="1127">
        <v>3.85</v>
      </c>
      <c r="I832" s="1127">
        <v>0.0</v>
      </c>
      <c r="J832" s="1127">
        <v>0.0</v>
      </c>
      <c r="K832" s="1124"/>
    </row>
    <row r="833" ht="15.75" customHeight="1">
      <c r="A833" s="1119">
        <v>89024.0</v>
      </c>
      <c r="B833" s="1125" t="s">
        <v>11111</v>
      </c>
      <c r="C833" s="1126" t="s">
        <v>1470</v>
      </c>
      <c r="D833" s="1119">
        <v>1.28</v>
      </c>
      <c r="E833" s="1120">
        <v>0.0</v>
      </c>
      <c r="F833" s="1121">
        <f t="shared" si="1"/>
        <v>1.28</v>
      </c>
      <c r="G833" s="1120">
        <v>0.0</v>
      </c>
      <c r="H833" s="1127">
        <v>1.28</v>
      </c>
      <c r="I833" s="1127">
        <v>0.0</v>
      </c>
      <c r="J833" s="1127">
        <v>0.0</v>
      </c>
      <c r="K833" s="1124"/>
    </row>
    <row r="834" ht="15.75" customHeight="1">
      <c r="A834" s="1119">
        <v>89025.0</v>
      </c>
      <c r="B834" s="1125" t="s">
        <v>11112</v>
      </c>
      <c r="C834" s="1126" t="s">
        <v>1470</v>
      </c>
      <c r="D834" s="1119">
        <v>5.14</v>
      </c>
      <c r="E834" s="1120">
        <v>0.0</v>
      </c>
      <c r="F834" s="1121">
        <f t="shared" si="1"/>
        <v>5.14</v>
      </c>
      <c r="G834" s="1120">
        <v>0.0</v>
      </c>
      <c r="H834" s="1127">
        <v>5.14</v>
      </c>
      <c r="I834" s="1127">
        <v>0.0</v>
      </c>
      <c r="J834" s="1127">
        <v>0.0</v>
      </c>
      <c r="K834" s="1124"/>
    </row>
    <row r="835" ht="15.75" customHeight="1">
      <c r="A835" s="1119">
        <v>89026.0</v>
      </c>
      <c r="B835" s="1125" t="s">
        <v>11113</v>
      </c>
      <c r="C835" s="1126" t="s">
        <v>1470</v>
      </c>
      <c r="D835" s="1119">
        <v>130.01</v>
      </c>
      <c r="E835" s="1120">
        <v>0.0</v>
      </c>
      <c r="F835" s="1121">
        <f t="shared" si="1"/>
        <v>130.01</v>
      </c>
      <c r="G835" s="1120">
        <v>130.01</v>
      </c>
      <c r="H835" s="1127">
        <v>0.0</v>
      </c>
      <c r="I835" s="1127">
        <v>0.0</v>
      </c>
      <c r="J835" s="1127">
        <v>0.0</v>
      </c>
      <c r="K835" s="1124"/>
    </row>
    <row r="836" ht="15.75" customHeight="1">
      <c r="A836" s="1119">
        <v>89029.0</v>
      </c>
      <c r="B836" s="1125" t="s">
        <v>11114</v>
      </c>
      <c r="C836" s="1126" t="s">
        <v>1470</v>
      </c>
      <c r="D836" s="1119">
        <v>33.34</v>
      </c>
      <c r="E836" s="1120">
        <v>0.0</v>
      </c>
      <c r="F836" s="1121">
        <f t="shared" si="1"/>
        <v>33.34</v>
      </c>
      <c r="G836" s="1120">
        <v>0.0</v>
      </c>
      <c r="H836" s="1127">
        <v>33.34</v>
      </c>
      <c r="I836" s="1127">
        <v>0.0</v>
      </c>
      <c r="J836" s="1127">
        <v>0.0</v>
      </c>
      <c r="K836" s="1124"/>
    </row>
    <row r="837" ht="15.75" customHeight="1">
      <c r="A837" s="1119">
        <v>89030.0</v>
      </c>
      <c r="B837" s="1125" t="s">
        <v>11115</v>
      </c>
      <c r="C837" s="1126" t="s">
        <v>1470</v>
      </c>
      <c r="D837" s="1119">
        <v>7.5</v>
      </c>
      <c r="E837" s="1120">
        <v>0.0</v>
      </c>
      <c r="F837" s="1121">
        <f t="shared" si="1"/>
        <v>7.5</v>
      </c>
      <c r="G837" s="1120">
        <v>0.0</v>
      </c>
      <c r="H837" s="1127">
        <v>7.5</v>
      </c>
      <c r="I837" s="1127">
        <v>0.0</v>
      </c>
      <c r="J837" s="1127">
        <v>0.0</v>
      </c>
      <c r="K837" s="1124"/>
    </row>
    <row r="838" ht="15.75" customHeight="1">
      <c r="A838" s="1119">
        <v>89033.0</v>
      </c>
      <c r="B838" s="1125" t="s">
        <v>11116</v>
      </c>
      <c r="C838" s="1126" t="s">
        <v>1470</v>
      </c>
      <c r="D838" s="1119">
        <v>14.65</v>
      </c>
      <c r="E838" s="1120">
        <v>0.0</v>
      </c>
      <c r="F838" s="1121">
        <f t="shared" si="1"/>
        <v>14.65</v>
      </c>
      <c r="G838" s="1120">
        <v>0.0</v>
      </c>
      <c r="H838" s="1127">
        <v>14.65</v>
      </c>
      <c r="I838" s="1127">
        <v>0.0</v>
      </c>
      <c r="J838" s="1127">
        <v>0.0</v>
      </c>
      <c r="K838" s="1124"/>
    </row>
    <row r="839" ht="15.75" customHeight="1">
      <c r="A839" s="1119">
        <v>89034.0</v>
      </c>
      <c r="B839" s="1125" t="s">
        <v>11117</v>
      </c>
      <c r="C839" s="1126" t="s">
        <v>1470</v>
      </c>
      <c r="D839" s="1119">
        <v>2.03</v>
      </c>
      <c r="E839" s="1120">
        <v>0.0</v>
      </c>
      <c r="F839" s="1121">
        <f t="shared" si="1"/>
        <v>2.03</v>
      </c>
      <c r="G839" s="1120">
        <v>0.0</v>
      </c>
      <c r="H839" s="1127">
        <v>2.03</v>
      </c>
      <c r="I839" s="1127">
        <v>0.0</v>
      </c>
      <c r="J839" s="1127">
        <v>0.0</v>
      </c>
      <c r="K839" s="1124"/>
    </row>
    <row r="840" ht="15.75" customHeight="1">
      <c r="A840" s="1119">
        <v>89128.0</v>
      </c>
      <c r="B840" s="1125" t="s">
        <v>11118</v>
      </c>
      <c r="C840" s="1126" t="s">
        <v>1470</v>
      </c>
      <c r="D840" s="1119">
        <v>45.19</v>
      </c>
      <c r="E840" s="1120">
        <v>0.0</v>
      </c>
      <c r="F840" s="1121">
        <f t="shared" si="1"/>
        <v>45.19</v>
      </c>
      <c r="G840" s="1120">
        <v>0.0</v>
      </c>
      <c r="H840" s="1127">
        <v>45.19</v>
      </c>
      <c r="I840" s="1127">
        <v>0.0</v>
      </c>
      <c r="J840" s="1127">
        <v>0.0</v>
      </c>
      <c r="K840" s="1124"/>
    </row>
    <row r="841" ht="15.75" customHeight="1">
      <c r="A841" s="1119">
        <v>89129.0</v>
      </c>
      <c r="B841" s="1125" t="s">
        <v>11119</v>
      </c>
      <c r="C841" s="1126" t="s">
        <v>1470</v>
      </c>
      <c r="D841" s="1119">
        <v>6.13</v>
      </c>
      <c r="E841" s="1120">
        <v>0.0</v>
      </c>
      <c r="F841" s="1121">
        <f t="shared" si="1"/>
        <v>6.13</v>
      </c>
      <c r="G841" s="1120">
        <v>0.0</v>
      </c>
      <c r="H841" s="1127">
        <v>6.13</v>
      </c>
      <c r="I841" s="1127">
        <v>0.0</v>
      </c>
      <c r="J841" s="1127">
        <v>0.0</v>
      </c>
      <c r="K841" s="1124"/>
    </row>
    <row r="842" ht="15.75" customHeight="1">
      <c r="A842" s="1119">
        <v>89130.0</v>
      </c>
      <c r="B842" s="1125" t="s">
        <v>11120</v>
      </c>
      <c r="C842" s="1126" t="s">
        <v>1470</v>
      </c>
      <c r="D842" s="1119">
        <v>62.67</v>
      </c>
      <c r="E842" s="1120">
        <v>0.0</v>
      </c>
      <c r="F842" s="1121">
        <f t="shared" si="1"/>
        <v>62.67</v>
      </c>
      <c r="G842" s="1120">
        <v>0.0</v>
      </c>
      <c r="H842" s="1127">
        <v>62.67</v>
      </c>
      <c r="I842" s="1127">
        <v>0.0</v>
      </c>
      <c r="J842" s="1127">
        <v>0.0</v>
      </c>
      <c r="K842" s="1124"/>
    </row>
    <row r="843" ht="15.75" customHeight="1">
      <c r="A843" s="1119">
        <v>89131.0</v>
      </c>
      <c r="B843" s="1125" t="s">
        <v>11121</v>
      </c>
      <c r="C843" s="1126" t="s">
        <v>1470</v>
      </c>
      <c r="D843" s="1119">
        <v>8.5</v>
      </c>
      <c r="E843" s="1120">
        <v>0.0</v>
      </c>
      <c r="F843" s="1121">
        <f t="shared" si="1"/>
        <v>8.5</v>
      </c>
      <c r="G843" s="1120">
        <v>0.0</v>
      </c>
      <c r="H843" s="1127">
        <v>8.5</v>
      </c>
      <c r="I843" s="1127">
        <v>0.0</v>
      </c>
      <c r="J843" s="1127">
        <v>0.0</v>
      </c>
      <c r="K843" s="1124"/>
    </row>
    <row r="844" ht="15.75" customHeight="1">
      <c r="A844" s="1119">
        <v>89210.0</v>
      </c>
      <c r="B844" s="1125" t="s">
        <v>11122</v>
      </c>
      <c r="C844" s="1126" t="s">
        <v>1470</v>
      </c>
      <c r="D844" s="1119">
        <v>31.37</v>
      </c>
      <c r="E844" s="1120">
        <v>0.0</v>
      </c>
      <c r="F844" s="1121">
        <f t="shared" si="1"/>
        <v>31.37</v>
      </c>
      <c r="G844" s="1120">
        <v>0.0</v>
      </c>
      <c r="H844" s="1127">
        <v>31.37</v>
      </c>
      <c r="I844" s="1127">
        <v>0.0</v>
      </c>
      <c r="J844" s="1127">
        <v>0.0</v>
      </c>
      <c r="K844" s="1124"/>
    </row>
    <row r="845" ht="15.75" customHeight="1">
      <c r="A845" s="1119">
        <v>89211.0</v>
      </c>
      <c r="B845" s="1125" t="s">
        <v>11123</v>
      </c>
      <c r="C845" s="1126" t="s">
        <v>1470</v>
      </c>
      <c r="D845" s="1119">
        <v>4.35</v>
      </c>
      <c r="E845" s="1120">
        <v>0.0</v>
      </c>
      <c r="F845" s="1121">
        <f t="shared" si="1"/>
        <v>4.35</v>
      </c>
      <c r="G845" s="1120">
        <v>0.0</v>
      </c>
      <c r="H845" s="1127">
        <v>4.35</v>
      </c>
      <c r="I845" s="1127">
        <v>0.0</v>
      </c>
      <c r="J845" s="1127">
        <v>0.0</v>
      </c>
      <c r="K845" s="1124"/>
    </row>
    <row r="846" ht="15.75" customHeight="1">
      <c r="A846" s="1119">
        <v>89212.0</v>
      </c>
      <c r="B846" s="1125" t="s">
        <v>11124</v>
      </c>
      <c r="C846" s="1126" t="s">
        <v>1470</v>
      </c>
      <c r="D846" s="1119">
        <v>28.91</v>
      </c>
      <c r="E846" s="1120">
        <v>0.0</v>
      </c>
      <c r="F846" s="1121">
        <f t="shared" si="1"/>
        <v>28.91</v>
      </c>
      <c r="G846" s="1120">
        <v>0.0</v>
      </c>
      <c r="H846" s="1127">
        <v>28.91</v>
      </c>
      <c r="I846" s="1127">
        <v>0.0</v>
      </c>
      <c r="J846" s="1127">
        <v>0.0</v>
      </c>
      <c r="K846" s="1124"/>
    </row>
    <row r="847" ht="15.75" customHeight="1">
      <c r="A847" s="1119">
        <v>89213.0</v>
      </c>
      <c r="B847" s="1125" t="s">
        <v>11125</v>
      </c>
      <c r="C847" s="1126" t="s">
        <v>1470</v>
      </c>
      <c r="D847" s="1119">
        <v>4.55</v>
      </c>
      <c r="E847" s="1120">
        <v>0.0</v>
      </c>
      <c r="F847" s="1121">
        <f t="shared" si="1"/>
        <v>4.55</v>
      </c>
      <c r="G847" s="1120">
        <v>0.0</v>
      </c>
      <c r="H847" s="1127">
        <v>4.55</v>
      </c>
      <c r="I847" s="1127">
        <v>0.0</v>
      </c>
      <c r="J847" s="1127">
        <v>0.0</v>
      </c>
      <c r="K847" s="1124"/>
    </row>
    <row r="848" ht="15.75" customHeight="1">
      <c r="A848" s="1119">
        <v>89214.0</v>
      </c>
      <c r="B848" s="1125" t="s">
        <v>11126</v>
      </c>
      <c r="C848" s="1126" t="s">
        <v>1470</v>
      </c>
      <c r="D848" s="1119">
        <v>27.14</v>
      </c>
      <c r="E848" s="1120">
        <v>0.0</v>
      </c>
      <c r="F848" s="1121">
        <f t="shared" si="1"/>
        <v>27.14</v>
      </c>
      <c r="G848" s="1120">
        <v>0.0</v>
      </c>
      <c r="H848" s="1127">
        <v>27.14</v>
      </c>
      <c r="I848" s="1127">
        <v>0.0</v>
      </c>
      <c r="J848" s="1127">
        <v>0.0</v>
      </c>
      <c r="K848" s="1124"/>
    </row>
    <row r="849" ht="15.75" customHeight="1">
      <c r="A849" s="1119">
        <v>89215.0</v>
      </c>
      <c r="B849" s="1125" t="s">
        <v>11127</v>
      </c>
      <c r="C849" s="1126" t="s">
        <v>1470</v>
      </c>
      <c r="D849" s="1119">
        <v>70.61</v>
      </c>
      <c r="E849" s="1120">
        <v>0.0</v>
      </c>
      <c r="F849" s="1121">
        <f t="shared" si="1"/>
        <v>70.61</v>
      </c>
      <c r="G849" s="1120">
        <v>70.61</v>
      </c>
      <c r="H849" s="1127">
        <v>0.0</v>
      </c>
      <c r="I849" s="1127">
        <v>0.0</v>
      </c>
      <c r="J849" s="1127">
        <v>0.0</v>
      </c>
      <c r="K849" s="1124"/>
    </row>
    <row r="850" ht="15.75" customHeight="1">
      <c r="A850" s="1119">
        <v>89221.0</v>
      </c>
      <c r="B850" s="1125" t="s">
        <v>11128</v>
      </c>
      <c r="C850" s="1126" t="s">
        <v>1470</v>
      </c>
      <c r="D850" s="1119">
        <v>1.16</v>
      </c>
      <c r="E850" s="1120">
        <v>0.0</v>
      </c>
      <c r="F850" s="1121">
        <f t="shared" si="1"/>
        <v>1.16</v>
      </c>
      <c r="G850" s="1120">
        <v>0.0</v>
      </c>
      <c r="H850" s="1127">
        <v>1.16</v>
      </c>
      <c r="I850" s="1127">
        <v>0.0</v>
      </c>
      <c r="J850" s="1127">
        <v>0.0</v>
      </c>
      <c r="K850" s="1124"/>
    </row>
    <row r="851" ht="15.75" customHeight="1">
      <c r="A851" s="1119">
        <v>89222.0</v>
      </c>
      <c r="B851" s="1125" t="s">
        <v>11129</v>
      </c>
      <c r="C851" s="1126" t="s">
        <v>1470</v>
      </c>
      <c r="D851" s="1119">
        <v>0.19</v>
      </c>
      <c r="E851" s="1120">
        <v>0.0</v>
      </c>
      <c r="F851" s="1121">
        <f t="shared" si="1"/>
        <v>0.19</v>
      </c>
      <c r="G851" s="1120">
        <v>0.0</v>
      </c>
      <c r="H851" s="1127">
        <v>0.19</v>
      </c>
      <c r="I851" s="1127">
        <v>0.0</v>
      </c>
      <c r="J851" s="1127">
        <v>0.0</v>
      </c>
      <c r="K851" s="1124"/>
    </row>
    <row r="852" ht="15.75" customHeight="1">
      <c r="A852" s="1119">
        <v>89223.0</v>
      </c>
      <c r="B852" s="1125" t="s">
        <v>11130</v>
      </c>
      <c r="C852" s="1126" t="s">
        <v>1470</v>
      </c>
      <c r="D852" s="1119">
        <v>1.36</v>
      </c>
      <c r="E852" s="1120">
        <v>0.0</v>
      </c>
      <c r="F852" s="1121">
        <f t="shared" si="1"/>
        <v>1.36</v>
      </c>
      <c r="G852" s="1120">
        <v>0.0</v>
      </c>
      <c r="H852" s="1127">
        <v>1.36</v>
      </c>
      <c r="I852" s="1127">
        <v>0.0</v>
      </c>
      <c r="J852" s="1127">
        <v>0.0</v>
      </c>
      <c r="K852" s="1124"/>
    </row>
    <row r="853" ht="15.75" customHeight="1">
      <c r="A853" s="1119">
        <v>89224.0</v>
      </c>
      <c r="B853" s="1125" t="s">
        <v>11131</v>
      </c>
      <c r="C853" s="1126" t="s">
        <v>1470</v>
      </c>
      <c r="D853" s="1119">
        <v>1.6</v>
      </c>
      <c r="E853" s="1120">
        <v>0.0</v>
      </c>
      <c r="F853" s="1121">
        <f t="shared" si="1"/>
        <v>1.6</v>
      </c>
      <c r="G853" s="1120">
        <v>0.0</v>
      </c>
      <c r="H853" s="1127">
        <v>0.0</v>
      </c>
      <c r="I853" s="1127">
        <v>0.0</v>
      </c>
      <c r="J853" s="1127">
        <v>1.6</v>
      </c>
      <c r="K853" s="1124"/>
    </row>
    <row r="854" ht="15.75" customHeight="1">
      <c r="A854" s="1119">
        <v>89228.0</v>
      </c>
      <c r="B854" s="1125" t="s">
        <v>11132</v>
      </c>
      <c r="C854" s="1126" t="s">
        <v>1470</v>
      </c>
      <c r="D854" s="1119">
        <v>56.0</v>
      </c>
      <c r="E854" s="1120">
        <v>0.0</v>
      </c>
      <c r="F854" s="1121">
        <f t="shared" si="1"/>
        <v>56</v>
      </c>
      <c r="G854" s="1120">
        <v>0.0</v>
      </c>
      <c r="H854" s="1127">
        <v>56.0</v>
      </c>
      <c r="I854" s="1127">
        <v>0.0</v>
      </c>
      <c r="J854" s="1127">
        <v>0.0</v>
      </c>
      <c r="K854" s="1124"/>
    </row>
    <row r="855" ht="15.75" customHeight="1">
      <c r="A855" s="1119">
        <v>89229.0</v>
      </c>
      <c r="B855" s="1125" t="s">
        <v>11133</v>
      </c>
      <c r="C855" s="1126" t="s">
        <v>1470</v>
      </c>
      <c r="D855" s="1119">
        <v>10.08</v>
      </c>
      <c r="E855" s="1120">
        <v>0.0</v>
      </c>
      <c r="F855" s="1121">
        <f t="shared" si="1"/>
        <v>10.08</v>
      </c>
      <c r="G855" s="1120">
        <v>0.0</v>
      </c>
      <c r="H855" s="1127">
        <v>10.08</v>
      </c>
      <c r="I855" s="1127">
        <v>0.0</v>
      </c>
      <c r="J855" s="1127">
        <v>0.0</v>
      </c>
      <c r="K855" s="1124"/>
    </row>
    <row r="856" ht="15.75" customHeight="1">
      <c r="A856" s="1119">
        <v>89230.0</v>
      </c>
      <c r="B856" s="1125" t="s">
        <v>11134</v>
      </c>
      <c r="C856" s="1126" t="s">
        <v>1470</v>
      </c>
      <c r="D856" s="1119">
        <v>129.76</v>
      </c>
      <c r="E856" s="1120">
        <v>0.0</v>
      </c>
      <c r="F856" s="1121">
        <f t="shared" si="1"/>
        <v>129.76</v>
      </c>
      <c r="G856" s="1120">
        <v>0.0</v>
      </c>
      <c r="H856" s="1127">
        <v>129.76</v>
      </c>
      <c r="I856" s="1127">
        <v>0.0</v>
      </c>
      <c r="J856" s="1127">
        <v>0.0</v>
      </c>
      <c r="K856" s="1124"/>
    </row>
    <row r="857" ht="15.75" customHeight="1">
      <c r="A857" s="1119">
        <v>89231.0</v>
      </c>
      <c r="B857" s="1125" t="s">
        <v>11135</v>
      </c>
      <c r="C857" s="1126" t="s">
        <v>1470</v>
      </c>
      <c r="D857" s="1119">
        <v>20.56</v>
      </c>
      <c r="E857" s="1120">
        <v>0.0</v>
      </c>
      <c r="F857" s="1121">
        <f t="shared" si="1"/>
        <v>20.56</v>
      </c>
      <c r="G857" s="1120">
        <v>0.0</v>
      </c>
      <c r="H857" s="1127">
        <v>20.56</v>
      </c>
      <c r="I857" s="1127">
        <v>0.0</v>
      </c>
      <c r="J857" s="1127">
        <v>0.0</v>
      </c>
      <c r="K857" s="1124"/>
    </row>
    <row r="858" ht="15.75" customHeight="1">
      <c r="A858" s="1119">
        <v>89232.0</v>
      </c>
      <c r="B858" s="1125" t="s">
        <v>11136</v>
      </c>
      <c r="C858" s="1126" t="s">
        <v>1470</v>
      </c>
      <c r="D858" s="1119">
        <v>231.45</v>
      </c>
      <c r="E858" s="1120">
        <v>0.0</v>
      </c>
      <c r="F858" s="1121">
        <f t="shared" si="1"/>
        <v>231.45</v>
      </c>
      <c r="G858" s="1120">
        <v>0.0</v>
      </c>
      <c r="H858" s="1127">
        <v>231.45</v>
      </c>
      <c r="I858" s="1127">
        <v>0.0</v>
      </c>
      <c r="J858" s="1127">
        <v>0.0</v>
      </c>
      <c r="K858" s="1124"/>
    </row>
    <row r="859" ht="15.75" customHeight="1">
      <c r="A859" s="1119">
        <v>89233.0</v>
      </c>
      <c r="B859" s="1125" t="s">
        <v>11137</v>
      </c>
      <c r="C859" s="1126" t="s">
        <v>1470</v>
      </c>
      <c r="D859" s="1119">
        <v>127.08</v>
      </c>
      <c r="E859" s="1120">
        <v>0.0</v>
      </c>
      <c r="F859" s="1121">
        <f t="shared" si="1"/>
        <v>127.08</v>
      </c>
      <c r="G859" s="1120">
        <v>127.08</v>
      </c>
      <c r="H859" s="1127">
        <v>0.0</v>
      </c>
      <c r="I859" s="1127">
        <v>0.0</v>
      </c>
      <c r="J859" s="1127">
        <v>0.0</v>
      </c>
      <c r="K859" s="1124"/>
    </row>
    <row r="860" ht="15.75" customHeight="1">
      <c r="A860" s="1119">
        <v>89236.0</v>
      </c>
      <c r="B860" s="1125" t="s">
        <v>11138</v>
      </c>
      <c r="C860" s="1126" t="s">
        <v>1470</v>
      </c>
      <c r="D860" s="1119">
        <v>303.12</v>
      </c>
      <c r="E860" s="1120">
        <v>0.0</v>
      </c>
      <c r="F860" s="1121">
        <f t="shared" si="1"/>
        <v>303.12</v>
      </c>
      <c r="G860" s="1120">
        <v>0.0</v>
      </c>
      <c r="H860" s="1127">
        <v>303.12</v>
      </c>
      <c r="I860" s="1127">
        <v>0.0</v>
      </c>
      <c r="J860" s="1127">
        <v>0.0</v>
      </c>
      <c r="K860" s="1124"/>
    </row>
    <row r="861" ht="15.75" customHeight="1">
      <c r="A861" s="1119">
        <v>89237.0</v>
      </c>
      <c r="B861" s="1125" t="s">
        <v>11139</v>
      </c>
      <c r="C861" s="1126" t="s">
        <v>1470</v>
      </c>
      <c r="D861" s="1119">
        <v>48.03</v>
      </c>
      <c r="E861" s="1120">
        <v>0.0</v>
      </c>
      <c r="F861" s="1121">
        <f t="shared" si="1"/>
        <v>48.03</v>
      </c>
      <c r="G861" s="1120">
        <v>0.0</v>
      </c>
      <c r="H861" s="1127">
        <v>48.03</v>
      </c>
      <c r="I861" s="1127">
        <v>0.0</v>
      </c>
      <c r="J861" s="1127">
        <v>0.0</v>
      </c>
      <c r="K861" s="1124"/>
    </row>
    <row r="862" ht="15.75" customHeight="1">
      <c r="A862" s="1119">
        <v>89238.0</v>
      </c>
      <c r="B862" s="1125" t="s">
        <v>11140</v>
      </c>
      <c r="C862" s="1126" t="s">
        <v>1470</v>
      </c>
      <c r="D862" s="1119">
        <v>540.68</v>
      </c>
      <c r="E862" s="1120">
        <v>0.0</v>
      </c>
      <c r="F862" s="1121">
        <f t="shared" si="1"/>
        <v>540.68</v>
      </c>
      <c r="G862" s="1120">
        <v>0.0</v>
      </c>
      <c r="H862" s="1127">
        <v>540.68</v>
      </c>
      <c r="I862" s="1127">
        <v>0.0</v>
      </c>
      <c r="J862" s="1127">
        <v>0.0</v>
      </c>
      <c r="K862" s="1124"/>
    </row>
    <row r="863" ht="15.75" customHeight="1">
      <c r="A863" s="1119">
        <v>89239.0</v>
      </c>
      <c r="B863" s="1125" t="s">
        <v>11141</v>
      </c>
      <c r="C863" s="1126" t="s">
        <v>1470</v>
      </c>
      <c r="D863" s="1119">
        <v>336.06</v>
      </c>
      <c r="E863" s="1120">
        <v>0.0</v>
      </c>
      <c r="F863" s="1121">
        <f t="shared" si="1"/>
        <v>336.06</v>
      </c>
      <c r="G863" s="1120">
        <v>336.06</v>
      </c>
      <c r="H863" s="1127">
        <v>0.0</v>
      </c>
      <c r="I863" s="1127">
        <v>0.0</v>
      </c>
      <c r="J863" s="1127">
        <v>0.0</v>
      </c>
      <c r="K863" s="1124"/>
    </row>
    <row r="864" ht="15.75" customHeight="1">
      <c r="A864" s="1119">
        <v>89240.0</v>
      </c>
      <c r="B864" s="1125" t="s">
        <v>11142</v>
      </c>
      <c r="C864" s="1126" t="s">
        <v>1470</v>
      </c>
      <c r="D864" s="1119">
        <v>93.02</v>
      </c>
      <c r="E864" s="1120">
        <v>0.0</v>
      </c>
      <c r="F864" s="1121">
        <f t="shared" si="1"/>
        <v>93.02</v>
      </c>
      <c r="G864" s="1120">
        <v>0.0</v>
      </c>
      <c r="H864" s="1127">
        <v>93.02</v>
      </c>
      <c r="I864" s="1127">
        <v>0.0</v>
      </c>
      <c r="J864" s="1127">
        <v>0.0</v>
      </c>
      <c r="K864" s="1124"/>
    </row>
    <row r="865" ht="15.75" customHeight="1">
      <c r="A865" s="1119">
        <v>89241.0</v>
      </c>
      <c r="B865" s="1125" t="s">
        <v>11143</v>
      </c>
      <c r="C865" s="1126" t="s">
        <v>1470</v>
      </c>
      <c r="D865" s="1119">
        <v>16.74</v>
      </c>
      <c r="E865" s="1120">
        <v>0.0</v>
      </c>
      <c r="F865" s="1121">
        <f t="shared" si="1"/>
        <v>16.74</v>
      </c>
      <c r="G865" s="1120">
        <v>0.0</v>
      </c>
      <c r="H865" s="1127">
        <v>16.74</v>
      </c>
      <c r="I865" s="1127">
        <v>0.0</v>
      </c>
      <c r="J865" s="1127">
        <v>0.0</v>
      </c>
      <c r="K865" s="1124"/>
    </row>
    <row r="866" ht="15.75" customHeight="1">
      <c r="A866" s="1119">
        <v>89246.0</v>
      </c>
      <c r="B866" s="1125" t="s">
        <v>11144</v>
      </c>
      <c r="C866" s="1126" t="s">
        <v>1470</v>
      </c>
      <c r="D866" s="1119">
        <v>263.39</v>
      </c>
      <c r="E866" s="1120">
        <v>0.0</v>
      </c>
      <c r="F866" s="1121">
        <f t="shared" si="1"/>
        <v>263.39</v>
      </c>
      <c r="G866" s="1120">
        <v>0.0</v>
      </c>
      <c r="H866" s="1127">
        <v>263.39</v>
      </c>
      <c r="I866" s="1127">
        <v>0.0</v>
      </c>
      <c r="J866" s="1127">
        <v>0.0</v>
      </c>
      <c r="K866" s="1124"/>
    </row>
    <row r="867" ht="15.75" customHeight="1">
      <c r="A867" s="1119">
        <v>89247.0</v>
      </c>
      <c r="B867" s="1125" t="s">
        <v>11145</v>
      </c>
      <c r="C867" s="1126" t="s">
        <v>1470</v>
      </c>
      <c r="D867" s="1119">
        <v>41.73</v>
      </c>
      <c r="E867" s="1120">
        <v>0.0</v>
      </c>
      <c r="F867" s="1121">
        <f t="shared" si="1"/>
        <v>41.73</v>
      </c>
      <c r="G867" s="1120">
        <v>0.0</v>
      </c>
      <c r="H867" s="1127">
        <v>41.73</v>
      </c>
      <c r="I867" s="1127">
        <v>0.0</v>
      </c>
      <c r="J867" s="1127">
        <v>0.0</v>
      </c>
      <c r="K867" s="1124"/>
    </row>
    <row r="868" ht="15.75" customHeight="1">
      <c r="A868" s="1119">
        <v>89248.0</v>
      </c>
      <c r="B868" s="1125" t="s">
        <v>11146</v>
      </c>
      <c r="C868" s="1126" t="s">
        <v>1470</v>
      </c>
      <c r="D868" s="1119">
        <v>469.82</v>
      </c>
      <c r="E868" s="1120">
        <v>0.0</v>
      </c>
      <c r="F868" s="1121">
        <f t="shared" si="1"/>
        <v>469.82</v>
      </c>
      <c r="G868" s="1120">
        <v>0.0</v>
      </c>
      <c r="H868" s="1127">
        <v>469.82</v>
      </c>
      <c r="I868" s="1127">
        <v>0.0</v>
      </c>
      <c r="J868" s="1127">
        <v>0.0</v>
      </c>
      <c r="K868" s="1124"/>
    </row>
    <row r="869" ht="15.75" customHeight="1">
      <c r="A869" s="1119">
        <v>89249.0</v>
      </c>
      <c r="B869" s="1125" t="s">
        <v>11147</v>
      </c>
      <c r="C869" s="1126" t="s">
        <v>1470</v>
      </c>
      <c r="D869" s="1119">
        <v>286.46</v>
      </c>
      <c r="E869" s="1120">
        <v>0.0</v>
      </c>
      <c r="F869" s="1121">
        <f t="shared" si="1"/>
        <v>286.46</v>
      </c>
      <c r="G869" s="1120">
        <v>286.46</v>
      </c>
      <c r="H869" s="1127">
        <v>0.0</v>
      </c>
      <c r="I869" s="1127">
        <v>0.0</v>
      </c>
      <c r="J869" s="1127">
        <v>0.0</v>
      </c>
      <c r="K869" s="1124"/>
    </row>
    <row r="870" ht="15.75" customHeight="1">
      <c r="A870" s="1119">
        <v>89253.0</v>
      </c>
      <c r="B870" s="1125" t="s">
        <v>11148</v>
      </c>
      <c r="C870" s="1126" t="s">
        <v>1470</v>
      </c>
      <c r="D870" s="1119">
        <v>76.23</v>
      </c>
      <c r="E870" s="1120">
        <v>0.0</v>
      </c>
      <c r="F870" s="1121">
        <f t="shared" si="1"/>
        <v>76.23</v>
      </c>
      <c r="G870" s="1120">
        <v>0.0</v>
      </c>
      <c r="H870" s="1127">
        <v>76.23</v>
      </c>
      <c r="I870" s="1127">
        <v>0.0</v>
      </c>
      <c r="J870" s="1127">
        <v>0.0</v>
      </c>
      <c r="K870" s="1124"/>
    </row>
    <row r="871" ht="15.75" customHeight="1">
      <c r="A871" s="1119">
        <v>89254.0</v>
      </c>
      <c r="B871" s="1125" t="s">
        <v>11149</v>
      </c>
      <c r="C871" s="1126" t="s">
        <v>1470</v>
      </c>
      <c r="D871" s="1119">
        <v>13.72</v>
      </c>
      <c r="E871" s="1120">
        <v>0.0</v>
      </c>
      <c r="F871" s="1121">
        <f t="shared" si="1"/>
        <v>13.72</v>
      </c>
      <c r="G871" s="1120">
        <v>0.0</v>
      </c>
      <c r="H871" s="1127">
        <v>13.72</v>
      </c>
      <c r="I871" s="1127">
        <v>0.0</v>
      </c>
      <c r="J871" s="1127">
        <v>0.0</v>
      </c>
      <c r="K871" s="1124"/>
    </row>
    <row r="872" ht="15.75" customHeight="1">
      <c r="A872" s="1119">
        <v>89255.0</v>
      </c>
      <c r="B872" s="1125" t="s">
        <v>11150</v>
      </c>
      <c r="C872" s="1126" t="s">
        <v>1470</v>
      </c>
      <c r="D872" s="1119">
        <v>122.54</v>
      </c>
      <c r="E872" s="1120">
        <v>0.0</v>
      </c>
      <c r="F872" s="1121">
        <f t="shared" si="1"/>
        <v>122.54</v>
      </c>
      <c r="G872" s="1120">
        <v>0.0</v>
      </c>
      <c r="H872" s="1127">
        <v>122.54</v>
      </c>
      <c r="I872" s="1127">
        <v>0.0</v>
      </c>
      <c r="J872" s="1127">
        <v>0.0</v>
      </c>
      <c r="K872" s="1124"/>
    </row>
    <row r="873" ht="15.75" customHeight="1">
      <c r="A873" s="1119">
        <v>89256.0</v>
      </c>
      <c r="B873" s="1125" t="s">
        <v>11151</v>
      </c>
      <c r="C873" s="1126" t="s">
        <v>1470</v>
      </c>
      <c r="D873" s="1119">
        <v>64.47</v>
      </c>
      <c r="E873" s="1120">
        <v>0.0</v>
      </c>
      <c r="F873" s="1121">
        <f t="shared" si="1"/>
        <v>64.47</v>
      </c>
      <c r="G873" s="1120">
        <v>64.47</v>
      </c>
      <c r="H873" s="1127">
        <v>0.0</v>
      </c>
      <c r="I873" s="1127">
        <v>0.0</v>
      </c>
      <c r="J873" s="1127">
        <v>0.0</v>
      </c>
      <c r="K873" s="1124"/>
    </row>
    <row r="874" ht="15.75" customHeight="1">
      <c r="A874" s="1119">
        <v>89259.0</v>
      </c>
      <c r="B874" s="1125" t="s">
        <v>11152</v>
      </c>
      <c r="C874" s="1126" t="s">
        <v>1470</v>
      </c>
      <c r="D874" s="1119">
        <v>27.88</v>
      </c>
      <c r="E874" s="1120">
        <v>0.0</v>
      </c>
      <c r="F874" s="1121">
        <f t="shared" si="1"/>
        <v>27.88</v>
      </c>
      <c r="G874" s="1120">
        <v>0.0</v>
      </c>
      <c r="H874" s="1127">
        <v>27.88</v>
      </c>
      <c r="I874" s="1127">
        <v>0.0</v>
      </c>
      <c r="J874" s="1127">
        <v>0.0</v>
      </c>
      <c r="K874" s="1124"/>
    </row>
    <row r="875" ht="15.75" customHeight="1">
      <c r="A875" s="1119">
        <v>89260.0</v>
      </c>
      <c r="B875" s="1125" t="s">
        <v>11153</v>
      </c>
      <c r="C875" s="1126" t="s">
        <v>1470</v>
      </c>
      <c r="D875" s="1119">
        <v>5.24</v>
      </c>
      <c r="E875" s="1120">
        <v>0.0</v>
      </c>
      <c r="F875" s="1121">
        <f t="shared" si="1"/>
        <v>5.24</v>
      </c>
      <c r="G875" s="1120">
        <v>0.0</v>
      </c>
      <c r="H875" s="1127">
        <v>5.24</v>
      </c>
      <c r="I875" s="1127">
        <v>0.0</v>
      </c>
      <c r="J875" s="1127">
        <v>0.0</v>
      </c>
      <c r="K875" s="1124"/>
    </row>
    <row r="876" ht="15.75" customHeight="1">
      <c r="A876" s="1119">
        <v>89262.0</v>
      </c>
      <c r="B876" s="1125" t="s">
        <v>11154</v>
      </c>
      <c r="C876" s="1126" t="s">
        <v>1470</v>
      </c>
      <c r="D876" s="1119">
        <v>47.47</v>
      </c>
      <c r="E876" s="1120">
        <v>0.0</v>
      </c>
      <c r="F876" s="1121">
        <f t="shared" si="1"/>
        <v>47.47</v>
      </c>
      <c r="G876" s="1120">
        <v>0.0</v>
      </c>
      <c r="H876" s="1127">
        <v>47.47</v>
      </c>
      <c r="I876" s="1127">
        <v>0.0</v>
      </c>
      <c r="J876" s="1127">
        <v>0.0</v>
      </c>
      <c r="K876" s="1124"/>
    </row>
    <row r="877" ht="15.75" customHeight="1">
      <c r="A877" s="1119">
        <v>89264.0</v>
      </c>
      <c r="B877" s="1125" t="s">
        <v>11155</v>
      </c>
      <c r="C877" s="1126" t="s">
        <v>1470</v>
      </c>
      <c r="D877" s="1119">
        <v>22.28</v>
      </c>
      <c r="E877" s="1120">
        <v>0.0</v>
      </c>
      <c r="F877" s="1121">
        <f t="shared" si="1"/>
        <v>22.28</v>
      </c>
      <c r="G877" s="1120">
        <v>0.0</v>
      </c>
      <c r="H877" s="1127">
        <v>22.28</v>
      </c>
      <c r="I877" s="1127">
        <v>0.0</v>
      </c>
      <c r="J877" s="1127">
        <v>0.0</v>
      </c>
      <c r="K877" s="1124"/>
    </row>
    <row r="878" ht="15.75" customHeight="1">
      <c r="A878" s="1119">
        <v>89265.0</v>
      </c>
      <c r="B878" s="1125" t="s">
        <v>11156</v>
      </c>
      <c r="C878" s="1126" t="s">
        <v>1470</v>
      </c>
      <c r="D878" s="1119">
        <v>4.5</v>
      </c>
      <c r="E878" s="1120">
        <v>0.0</v>
      </c>
      <c r="F878" s="1121">
        <f t="shared" si="1"/>
        <v>4.5</v>
      </c>
      <c r="G878" s="1120">
        <v>0.0</v>
      </c>
      <c r="H878" s="1127">
        <v>4.5</v>
      </c>
      <c r="I878" s="1127">
        <v>0.0</v>
      </c>
      <c r="J878" s="1127">
        <v>0.0</v>
      </c>
      <c r="K878" s="1124"/>
    </row>
    <row r="879" ht="15.75" customHeight="1">
      <c r="A879" s="1119">
        <v>89266.0</v>
      </c>
      <c r="B879" s="1125" t="s">
        <v>11157</v>
      </c>
      <c r="C879" s="1126" t="s">
        <v>1470</v>
      </c>
      <c r="D879" s="1119">
        <v>3.57</v>
      </c>
      <c r="E879" s="1120">
        <v>0.0</v>
      </c>
      <c r="F879" s="1121">
        <f t="shared" si="1"/>
        <v>3.57</v>
      </c>
      <c r="G879" s="1120">
        <v>0.0</v>
      </c>
      <c r="H879" s="1127">
        <v>3.57</v>
      </c>
      <c r="I879" s="1127">
        <v>0.0</v>
      </c>
      <c r="J879" s="1127">
        <v>0.0</v>
      </c>
      <c r="K879" s="1124"/>
    </row>
    <row r="880" ht="15.75" customHeight="1">
      <c r="A880" s="1119">
        <v>89267.0</v>
      </c>
      <c r="B880" s="1125" t="s">
        <v>11158</v>
      </c>
      <c r="C880" s="1126" t="s">
        <v>1470</v>
      </c>
      <c r="D880" s="1119">
        <v>50.32</v>
      </c>
      <c r="E880" s="1120">
        <v>0.0</v>
      </c>
      <c r="F880" s="1121">
        <f t="shared" si="1"/>
        <v>50.32</v>
      </c>
      <c r="G880" s="1120">
        <v>0.0</v>
      </c>
      <c r="H880" s="1127">
        <v>50.32</v>
      </c>
      <c r="I880" s="1127">
        <v>0.0</v>
      </c>
      <c r="J880" s="1127">
        <v>0.0</v>
      </c>
      <c r="K880" s="1124"/>
    </row>
    <row r="881" ht="15.75" customHeight="1">
      <c r="A881" s="1119">
        <v>89268.0</v>
      </c>
      <c r="B881" s="1125" t="s">
        <v>11159</v>
      </c>
      <c r="C881" s="1126" t="s">
        <v>1470</v>
      </c>
      <c r="D881" s="1119">
        <v>9.05</v>
      </c>
      <c r="E881" s="1120">
        <v>0.0</v>
      </c>
      <c r="F881" s="1121">
        <f t="shared" si="1"/>
        <v>9.05</v>
      </c>
      <c r="G881" s="1120">
        <v>0.0</v>
      </c>
      <c r="H881" s="1127">
        <v>9.05</v>
      </c>
      <c r="I881" s="1127">
        <v>0.0</v>
      </c>
      <c r="J881" s="1127">
        <v>0.0</v>
      </c>
      <c r="K881" s="1124"/>
    </row>
    <row r="882" ht="15.75" customHeight="1">
      <c r="A882" s="1119">
        <v>89269.0</v>
      </c>
      <c r="B882" s="1125" t="s">
        <v>11160</v>
      </c>
      <c r="C882" s="1126" t="s">
        <v>1470</v>
      </c>
      <c r="D882" s="1119">
        <v>7.17</v>
      </c>
      <c r="E882" s="1120">
        <v>0.0</v>
      </c>
      <c r="F882" s="1121">
        <f t="shared" si="1"/>
        <v>7.17</v>
      </c>
      <c r="G882" s="1120">
        <v>0.0</v>
      </c>
      <c r="H882" s="1127">
        <v>7.17</v>
      </c>
      <c r="I882" s="1127">
        <v>0.0</v>
      </c>
      <c r="J882" s="1127">
        <v>0.0</v>
      </c>
      <c r="K882" s="1124"/>
    </row>
    <row r="883" ht="15.75" customHeight="1">
      <c r="A883" s="1119">
        <v>89270.0</v>
      </c>
      <c r="B883" s="1125" t="s">
        <v>11161</v>
      </c>
      <c r="C883" s="1126" t="s">
        <v>1470</v>
      </c>
      <c r="D883" s="1119">
        <v>80.9</v>
      </c>
      <c r="E883" s="1120">
        <v>0.0</v>
      </c>
      <c r="F883" s="1121">
        <f t="shared" si="1"/>
        <v>80.9</v>
      </c>
      <c r="G883" s="1120">
        <v>0.0</v>
      </c>
      <c r="H883" s="1127">
        <v>80.9</v>
      </c>
      <c r="I883" s="1127">
        <v>0.0</v>
      </c>
      <c r="J883" s="1127">
        <v>0.0</v>
      </c>
      <c r="K883" s="1124"/>
    </row>
    <row r="884" ht="15.75" customHeight="1">
      <c r="A884" s="1119">
        <v>89271.0</v>
      </c>
      <c r="B884" s="1125" t="s">
        <v>11162</v>
      </c>
      <c r="C884" s="1126" t="s">
        <v>1470</v>
      </c>
      <c r="D884" s="1119">
        <v>22.06</v>
      </c>
      <c r="E884" s="1120">
        <v>0.0</v>
      </c>
      <c r="F884" s="1121">
        <f t="shared" si="1"/>
        <v>22.06</v>
      </c>
      <c r="G884" s="1120">
        <v>22.06</v>
      </c>
      <c r="H884" s="1127">
        <v>0.0</v>
      </c>
      <c r="I884" s="1127">
        <v>0.0</v>
      </c>
      <c r="J884" s="1127">
        <v>0.0</v>
      </c>
      <c r="K884" s="1124"/>
    </row>
    <row r="885" ht="15.75" customHeight="1">
      <c r="A885" s="1119">
        <v>89274.0</v>
      </c>
      <c r="B885" s="1125" t="s">
        <v>11163</v>
      </c>
      <c r="C885" s="1126" t="s">
        <v>1470</v>
      </c>
      <c r="D885" s="1119">
        <v>1.41</v>
      </c>
      <c r="E885" s="1120">
        <v>0.0</v>
      </c>
      <c r="F885" s="1121">
        <f t="shared" si="1"/>
        <v>1.41</v>
      </c>
      <c r="G885" s="1120">
        <v>0.0</v>
      </c>
      <c r="H885" s="1127">
        <v>1.41</v>
      </c>
      <c r="I885" s="1127">
        <v>0.0</v>
      </c>
      <c r="J885" s="1127">
        <v>0.0</v>
      </c>
      <c r="K885" s="1124"/>
    </row>
    <row r="886" ht="15.75" customHeight="1">
      <c r="A886" s="1119">
        <v>89275.0</v>
      </c>
      <c r="B886" s="1125" t="s">
        <v>11164</v>
      </c>
      <c r="C886" s="1126" t="s">
        <v>1470</v>
      </c>
      <c r="D886" s="1119">
        <v>0.23</v>
      </c>
      <c r="E886" s="1120">
        <v>0.0</v>
      </c>
      <c r="F886" s="1121">
        <f t="shared" si="1"/>
        <v>0.23</v>
      </c>
      <c r="G886" s="1120">
        <v>0.0</v>
      </c>
      <c r="H886" s="1127">
        <v>0.23</v>
      </c>
      <c r="I886" s="1127">
        <v>0.0</v>
      </c>
      <c r="J886" s="1127">
        <v>0.0</v>
      </c>
      <c r="K886" s="1124"/>
    </row>
    <row r="887" ht="15.75" customHeight="1">
      <c r="A887" s="1119">
        <v>89276.0</v>
      </c>
      <c r="B887" s="1125" t="s">
        <v>11165</v>
      </c>
      <c r="C887" s="1126" t="s">
        <v>1470</v>
      </c>
      <c r="D887" s="1119">
        <v>1.89</v>
      </c>
      <c r="E887" s="1120">
        <v>0.0</v>
      </c>
      <c r="F887" s="1121">
        <f t="shared" si="1"/>
        <v>1.89</v>
      </c>
      <c r="G887" s="1120">
        <v>0.0</v>
      </c>
      <c r="H887" s="1127">
        <v>1.89</v>
      </c>
      <c r="I887" s="1127">
        <v>0.0</v>
      </c>
      <c r="J887" s="1127">
        <v>0.0</v>
      </c>
      <c r="K887" s="1124"/>
    </row>
    <row r="888" ht="15.75" customHeight="1">
      <c r="A888" s="1119">
        <v>89277.0</v>
      </c>
      <c r="B888" s="1125" t="s">
        <v>11166</v>
      </c>
      <c r="C888" s="1126" t="s">
        <v>1470</v>
      </c>
      <c r="D888" s="1119">
        <v>6.44</v>
      </c>
      <c r="E888" s="1120">
        <v>0.0</v>
      </c>
      <c r="F888" s="1121">
        <f t="shared" si="1"/>
        <v>6.44</v>
      </c>
      <c r="G888" s="1120">
        <v>6.44</v>
      </c>
      <c r="H888" s="1127">
        <v>0.0</v>
      </c>
      <c r="I888" s="1127">
        <v>0.0</v>
      </c>
      <c r="J888" s="1127">
        <v>0.0</v>
      </c>
      <c r="K888" s="1124"/>
    </row>
    <row r="889" ht="15.75" customHeight="1">
      <c r="A889" s="1119">
        <v>89280.0</v>
      </c>
      <c r="B889" s="1125" t="s">
        <v>11167</v>
      </c>
      <c r="C889" s="1126" t="s">
        <v>1470</v>
      </c>
      <c r="D889" s="1119">
        <v>38.52</v>
      </c>
      <c r="E889" s="1120">
        <v>0.0</v>
      </c>
      <c r="F889" s="1121">
        <f t="shared" si="1"/>
        <v>38.52</v>
      </c>
      <c r="G889" s="1120">
        <v>0.0</v>
      </c>
      <c r="H889" s="1127">
        <v>38.52</v>
      </c>
      <c r="I889" s="1127">
        <v>0.0</v>
      </c>
      <c r="J889" s="1127">
        <v>0.0</v>
      </c>
      <c r="K889" s="1124"/>
    </row>
    <row r="890" ht="15.75" customHeight="1">
      <c r="A890" s="1119">
        <v>89281.0</v>
      </c>
      <c r="B890" s="1125" t="s">
        <v>11168</v>
      </c>
      <c r="C890" s="1126" t="s">
        <v>1470</v>
      </c>
      <c r="D890" s="1119">
        <v>5.34</v>
      </c>
      <c r="E890" s="1120">
        <v>0.0</v>
      </c>
      <c r="F890" s="1121">
        <f t="shared" si="1"/>
        <v>5.34</v>
      </c>
      <c r="G890" s="1120">
        <v>0.0</v>
      </c>
      <c r="H890" s="1127">
        <v>5.34</v>
      </c>
      <c r="I890" s="1127">
        <v>0.0</v>
      </c>
      <c r="J890" s="1127">
        <v>0.0</v>
      </c>
      <c r="K890" s="1124"/>
    </row>
    <row r="891" ht="15.75" customHeight="1">
      <c r="A891" s="1119">
        <v>89870.0</v>
      </c>
      <c r="B891" s="1125" t="s">
        <v>11169</v>
      </c>
      <c r="C891" s="1126" t="s">
        <v>1470</v>
      </c>
      <c r="D891" s="1119">
        <v>42.27</v>
      </c>
      <c r="E891" s="1120">
        <v>0.0</v>
      </c>
      <c r="F891" s="1121">
        <f t="shared" si="1"/>
        <v>42.27</v>
      </c>
      <c r="G891" s="1120">
        <v>0.0</v>
      </c>
      <c r="H891" s="1127">
        <v>42.27</v>
      </c>
      <c r="I891" s="1127">
        <v>0.0</v>
      </c>
      <c r="J891" s="1127">
        <v>0.0</v>
      </c>
      <c r="K891" s="1124"/>
    </row>
    <row r="892" ht="15.75" customHeight="1">
      <c r="A892" s="1119">
        <v>89871.0</v>
      </c>
      <c r="B892" s="1125" t="s">
        <v>11170</v>
      </c>
      <c r="C892" s="1126" t="s">
        <v>1470</v>
      </c>
      <c r="D892" s="1119">
        <v>7.4</v>
      </c>
      <c r="E892" s="1120">
        <v>0.0</v>
      </c>
      <c r="F892" s="1121">
        <f t="shared" si="1"/>
        <v>7.4</v>
      </c>
      <c r="G892" s="1120">
        <v>0.0</v>
      </c>
      <c r="H892" s="1127">
        <v>7.4</v>
      </c>
      <c r="I892" s="1127">
        <v>0.0</v>
      </c>
      <c r="J892" s="1127">
        <v>0.0</v>
      </c>
      <c r="K892" s="1124"/>
    </row>
    <row r="893" ht="15.75" customHeight="1">
      <c r="A893" s="1119">
        <v>89872.0</v>
      </c>
      <c r="B893" s="1125" t="s">
        <v>11171</v>
      </c>
      <c r="C893" s="1126" t="s">
        <v>1470</v>
      </c>
      <c r="D893" s="1119">
        <v>5.87</v>
      </c>
      <c r="E893" s="1120">
        <v>0.0</v>
      </c>
      <c r="F893" s="1121">
        <f t="shared" si="1"/>
        <v>5.87</v>
      </c>
      <c r="G893" s="1120">
        <v>0.0</v>
      </c>
      <c r="H893" s="1127">
        <v>5.87</v>
      </c>
      <c r="I893" s="1127">
        <v>0.0</v>
      </c>
      <c r="J893" s="1127">
        <v>0.0</v>
      </c>
      <c r="K893" s="1124"/>
    </row>
    <row r="894" ht="15.75" customHeight="1">
      <c r="A894" s="1119">
        <v>89873.0</v>
      </c>
      <c r="B894" s="1125" t="s">
        <v>11172</v>
      </c>
      <c r="C894" s="1126" t="s">
        <v>1470</v>
      </c>
      <c r="D894" s="1119">
        <v>71.4</v>
      </c>
      <c r="E894" s="1120">
        <v>0.0</v>
      </c>
      <c r="F894" s="1121">
        <f t="shared" si="1"/>
        <v>71.4</v>
      </c>
      <c r="G894" s="1120">
        <v>0.0</v>
      </c>
      <c r="H894" s="1127">
        <v>71.4</v>
      </c>
      <c r="I894" s="1127">
        <v>0.0</v>
      </c>
      <c r="J894" s="1127">
        <v>0.0</v>
      </c>
      <c r="K894" s="1124"/>
    </row>
    <row r="895" ht="15.75" customHeight="1">
      <c r="A895" s="1119">
        <v>89874.0</v>
      </c>
      <c r="B895" s="1125" t="s">
        <v>11173</v>
      </c>
      <c r="C895" s="1126" t="s">
        <v>1470</v>
      </c>
      <c r="D895" s="1119">
        <v>134.08</v>
      </c>
      <c r="E895" s="1120">
        <v>0.0</v>
      </c>
      <c r="F895" s="1121">
        <f t="shared" si="1"/>
        <v>134.08</v>
      </c>
      <c r="G895" s="1120">
        <v>134.08</v>
      </c>
      <c r="H895" s="1127">
        <v>0.0</v>
      </c>
      <c r="I895" s="1127">
        <v>0.0</v>
      </c>
      <c r="J895" s="1127">
        <v>0.0</v>
      </c>
      <c r="K895" s="1124"/>
    </row>
    <row r="896" ht="15.75" customHeight="1">
      <c r="A896" s="1119">
        <v>89878.0</v>
      </c>
      <c r="B896" s="1125" t="s">
        <v>11174</v>
      </c>
      <c r="C896" s="1126" t="s">
        <v>1470</v>
      </c>
      <c r="D896" s="1119">
        <v>45.56</v>
      </c>
      <c r="E896" s="1120">
        <v>0.0</v>
      </c>
      <c r="F896" s="1121">
        <f t="shared" si="1"/>
        <v>45.56</v>
      </c>
      <c r="G896" s="1120">
        <v>0.0</v>
      </c>
      <c r="H896" s="1127">
        <v>45.56</v>
      </c>
      <c r="I896" s="1127">
        <v>0.0</v>
      </c>
      <c r="J896" s="1127">
        <v>0.0</v>
      </c>
      <c r="K896" s="1124"/>
    </row>
    <row r="897" ht="15.75" customHeight="1">
      <c r="A897" s="1119">
        <v>89879.0</v>
      </c>
      <c r="B897" s="1125" t="s">
        <v>11175</v>
      </c>
      <c r="C897" s="1126" t="s">
        <v>1470</v>
      </c>
      <c r="D897" s="1119">
        <v>7.83</v>
      </c>
      <c r="E897" s="1120">
        <v>0.0</v>
      </c>
      <c r="F897" s="1121">
        <f t="shared" si="1"/>
        <v>7.83</v>
      </c>
      <c r="G897" s="1120">
        <v>0.0</v>
      </c>
      <c r="H897" s="1127">
        <v>7.83</v>
      </c>
      <c r="I897" s="1127">
        <v>0.0</v>
      </c>
      <c r="J897" s="1127">
        <v>0.0</v>
      </c>
      <c r="K897" s="1124"/>
    </row>
    <row r="898" ht="15.75" customHeight="1">
      <c r="A898" s="1119">
        <v>89880.0</v>
      </c>
      <c r="B898" s="1125" t="s">
        <v>11176</v>
      </c>
      <c r="C898" s="1126" t="s">
        <v>1470</v>
      </c>
      <c r="D898" s="1119">
        <v>6.21</v>
      </c>
      <c r="E898" s="1120">
        <v>0.0</v>
      </c>
      <c r="F898" s="1121">
        <f t="shared" si="1"/>
        <v>6.21</v>
      </c>
      <c r="G898" s="1120">
        <v>0.0</v>
      </c>
      <c r="H898" s="1127">
        <v>6.21</v>
      </c>
      <c r="I898" s="1127">
        <v>0.0</v>
      </c>
      <c r="J898" s="1127">
        <v>0.0</v>
      </c>
      <c r="K898" s="1124"/>
    </row>
    <row r="899" ht="15.75" customHeight="1">
      <c r="A899" s="1119">
        <v>89881.0</v>
      </c>
      <c r="B899" s="1125" t="s">
        <v>11177</v>
      </c>
      <c r="C899" s="1126" t="s">
        <v>1470</v>
      </c>
      <c r="D899" s="1119">
        <v>76.18</v>
      </c>
      <c r="E899" s="1120">
        <v>0.0</v>
      </c>
      <c r="F899" s="1121">
        <f t="shared" si="1"/>
        <v>76.18</v>
      </c>
      <c r="G899" s="1120">
        <v>0.0</v>
      </c>
      <c r="H899" s="1127">
        <v>76.18</v>
      </c>
      <c r="I899" s="1127">
        <v>0.0</v>
      </c>
      <c r="J899" s="1127">
        <v>0.0</v>
      </c>
      <c r="K899" s="1124"/>
    </row>
    <row r="900" ht="15.75" customHeight="1">
      <c r="A900" s="1119">
        <v>89882.0</v>
      </c>
      <c r="B900" s="1125" t="s">
        <v>11178</v>
      </c>
      <c r="C900" s="1126" t="s">
        <v>1470</v>
      </c>
      <c r="D900" s="1119">
        <v>154.7</v>
      </c>
      <c r="E900" s="1120">
        <v>0.0</v>
      </c>
      <c r="F900" s="1121">
        <f t="shared" si="1"/>
        <v>154.7</v>
      </c>
      <c r="G900" s="1120">
        <v>154.7</v>
      </c>
      <c r="H900" s="1127">
        <v>0.0</v>
      </c>
      <c r="I900" s="1127">
        <v>0.0</v>
      </c>
      <c r="J900" s="1127">
        <v>0.0</v>
      </c>
      <c r="K900" s="1124"/>
    </row>
    <row r="901" ht="15.75" customHeight="1">
      <c r="A901" s="1119">
        <v>90582.0</v>
      </c>
      <c r="B901" s="1125" t="s">
        <v>11179</v>
      </c>
      <c r="C901" s="1126" t="s">
        <v>1470</v>
      </c>
      <c r="D901" s="1119">
        <v>0.44</v>
      </c>
      <c r="E901" s="1120">
        <v>0.0</v>
      </c>
      <c r="F901" s="1121">
        <f t="shared" si="1"/>
        <v>0.44</v>
      </c>
      <c r="G901" s="1120">
        <v>0.0</v>
      </c>
      <c r="H901" s="1127">
        <v>0.44</v>
      </c>
      <c r="I901" s="1127">
        <v>0.0</v>
      </c>
      <c r="J901" s="1127">
        <v>0.0</v>
      </c>
      <c r="K901" s="1124"/>
    </row>
    <row r="902" ht="15.75" customHeight="1">
      <c r="A902" s="1119">
        <v>90583.0</v>
      </c>
      <c r="B902" s="1125" t="s">
        <v>11180</v>
      </c>
      <c r="C902" s="1126" t="s">
        <v>1470</v>
      </c>
      <c r="D902" s="1119">
        <v>0.05</v>
      </c>
      <c r="E902" s="1120">
        <v>0.0</v>
      </c>
      <c r="F902" s="1121">
        <f t="shared" si="1"/>
        <v>0.05</v>
      </c>
      <c r="G902" s="1120">
        <v>0.0</v>
      </c>
      <c r="H902" s="1127">
        <v>0.05</v>
      </c>
      <c r="I902" s="1127">
        <v>0.0</v>
      </c>
      <c r="J902" s="1127">
        <v>0.0</v>
      </c>
      <c r="K902" s="1124"/>
    </row>
    <row r="903" ht="15.75" customHeight="1">
      <c r="A903" s="1119">
        <v>90584.0</v>
      </c>
      <c r="B903" s="1125" t="s">
        <v>11181</v>
      </c>
      <c r="C903" s="1126" t="s">
        <v>1470</v>
      </c>
      <c r="D903" s="1119">
        <v>0.34</v>
      </c>
      <c r="E903" s="1120">
        <v>0.0</v>
      </c>
      <c r="F903" s="1121">
        <f t="shared" si="1"/>
        <v>0.34</v>
      </c>
      <c r="G903" s="1120">
        <v>0.0</v>
      </c>
      <c r="H903" s="1127">
        <v>0.34</v>
      </c>
      <c r="I903" s="1127">
        <v>0.0</v>
      </c>
      <c r="J903" s="1127">
        <v>0.0</v>
      </c>
      <c r="K903" s="1124"/>
    </row>
    <row r="904" ht="15.75" customHeight="1">
      <c r="A904" s="1119">
        <v>90585.0</v>
      </c>
      <c r="B904" s="1125" t="s">
        <v>11182</v>
      </c>
      <c r="C904" s="1126" t="s">
        <v>1470</v>
      </c>
      <c r="D904" s="1119">
        <v>0.33</v>
      </c>
      <c r="E904" s="1120">
        <v>0.0</v>
      </c>
      <c r="F904" s="1121">
        <f t="shared" si="1"/>
        <v>0.33</v>
      </c>
      <c r="G904" s="1120">
        <v>0.0</v>
      </c>
      <c r="H904" s="1127">
        <v>0.0</v>
      </c>
      <c r="I904" s="1127">
        <v>0.0</v>
      </c>
      <c r="J904" s="1127">
        <v>0.33</v>
      </c>
      <c r="K904" s="1124"/>
    </row>
    <row r="905" ht="15.75" customHeight="1">
      <c r="A905" s="1119">
        <v>90621.0</v>
      </c>
      <c r="B905" s="1125" t="s">
        <v>11183</v>
      </c>
      <c r="C905" s="1126" t="s">
        <v>1470</v>
      </c>
      <c r="D905" s="1119">
        <v>1.66</v>
      </c>
      <c r="E905" s="1120">
        <v>0.0</v>
      </c>
      <c r="F905" s="1121">
        <f t="shared" si="1"/>
        <v>1.66</v>
      </c>
      <c r="G905" s="1120">
        <v>0.0</v>
      </c>
      <c r="H905" s="1127">
        <v>1.66</v>
      </c>
      <c r="I905" s="1127">
        <v>0.0</v>
      </c>
      <c r="J905" s="1127">
        <v>0.0</v>
      </c>
      <c r="K905" s="1124"/>
    </row>
    <row r="906" ht="15.75" customHeight="1">
      <c r="A906" s="1119">
        <v>90622.0</v>
      </c>
      <c r="B906" s="1125" t="s">
        <v>11184</v>
      </c>
      <c r="C906" s="1126" t="s">
        <v>1470</v>
      </c>
      <c r="D906" s="1119">
        <v>0.19</v>
      </c>
      <c r="E906" s="1120">
        <v>0.0</v>
      </c>
      <c r="F906" s="1121">
        <f t="shared" si="1"/>
        <v>0.19</v>
      </c>
      <c r="G906" s="1120">
        <v>0.0</v>
      </c>
      <c r="H906" s="1127">
        <v>0.19</v>
      </c>
      <c r="I906" s="1127">
        <v>0.0</v>
      </c>
      <c r="J906" s="1127">
        <v>0.0</v>
      </c>
      <c r="K906" s="1124"/>
    </row>
    <row r="907" ht="15.75" customHeight="1">
      <c r="A907" s="1119">
        <v>90623.0</v>
      </c>
      <c r="B907" s="1125" t="s">
        <v>11185</v>
      </c>
      <c r="C907" s="1126" t="s">
        <v>1470</v>
      </c>
      <c r="D907" s="1119">
        <v>2.08</v>
      </c>
      <c r="E907" s="1120">
        <v>0.0</v>
      </c>
      <c r="F907" s="1121">
        <f t="shared" si="1"/>
        <v>2.08</v>
      </c>
      <c r="G907" s="1120">
        <v>0.0</v>
      </c>
      <c r="H907" s="1127">
        <v>2.08</v>
      </c>
      <c r="I907" s="1127">
        <v>0.0</v>
      </c>
      <c r="J907" s="1127">
        <v>0.0</v>
      </c>
      <c r="K907" s="1124"/>
    </row>
    <row r="908" ht="15.75" customHeight="1">
      <c r="A908" s="1119">
        <v>90624.0</v>
      </c>
      <c r="B908" s="1125" t="s">
        <v>11186</v>
      </c>
      <c r="C908" s="1126" t="s">
        <v>1470</v>
      </c>
      <c r="D908" s="1119">
        <v>2.0</v>
      </c>
      <c r="E908" s="1120">
        <v>0.0</v>
      </c>
      <c r="F908" s="1121">
        <f t="shared" si="1"/>
        <v>2</v>
      </c>
      <c r="G908" s="1120">
        <v>0.0</v>
      </c>
      <c r="H908" s="1127">
        <v>0.0</v>
      </c>
      <c r="I908" s="1127">
        <v>0.0</v>
      </c>
      <c r="J908" s="1127">
        <v>2.0</v>
      </c>
      <c r="K908" s="1124"/>
    </row>
    <row r="909" ht="15.75" customHeight="1">
      <c r="A909" s="1119">
        <v>90627.0</v>
      </c>
      <c r="B909" s="1125" t="s">
        <v>11187</v>
      </c>
      <c r="C909" s="1126" t="s">
        <v>1470</v>
      </c>
      <c r="D909" s="1119">
        <v>49.02</v>
      </c>
      <c r="E909" s="1120">
        <v>0.0</v>
      </c>
      <c r="F909" s="1121">
        <f t="shared" si="1"/>
        <v>49.02</v>
      </c>
      <c r="G909" s="1120">
        <v>0.0</v>
      </c>
      <c r="H909" s="1127">
        <v>49.02</v>
      </c>
      <c r="I909" s="1127">
        <v>0.0</v>
      </c>
      <c r="J909" s="1127">
        <v>0.0</v>
      </c>
      <c r="K909" s="1124"/>
    </row>
    <row r="910" ht="15.75" customHeight="1">
      <c r="A910" s="1119">
        <v>90628.0</v>
      </c>
      <c r="B910" s="1125" t="s">
        <v>11188</v>
      </c>
      <c r="C910" s="1126" t="s">
        <v>1470</v>
      </c>
      <c r="D910" s="1119">
        <v>6.71</v>
      </c>
      <c r="E910" s="1120">
        <v>0.0</v>
      </c>
      <c r="F910" s="1121">
        <f t="shared" si="1"/>
        <v>6.71</v>
      </c>
      <c r="G910" s="1120">
        <v>0.0</v>
      </c>
      <c r="H910" s="1127">
        <v>6.71</v>
      </c>
      <c r="I910" s="1127">
        <v>0.0</v>
      </c>
      <c r="J910" s="1127">
        <v>0.0</v>
      </c>
      <c r="K910" s="1124"/>
    </row>
    <row r="911" ht="15.75" customHeight="1">
      <c r="A911" s="1119">
        <v>90629.0</v>
      </c>
      <c r="B911" s="1125" t="s">
        <v>11189</v>
      </c>
      <c r="C911" s="1126" t="s">
        <v>1470</v>
      </c>
      <c r="D911" s="1119">
        <v>61.34</v>
      </c>
      <c r="E911" s="1120">
        <v>0.0</v>
      </c>
      <c r="F911" s="1121">
        <f t="shared" si="1"/>
        <v>61.34</v>
      </c>
      <c r="G911" s="1120">
        <v>0.0</v>
      </c>
      <c r="H911" s="1127">
        <v>61.34</v>
      </c>
      <c r="I911" s="1127">
        <v>0.0</v>
      </c>
      <c r="J911" s="1127">
        <v>0.0</v>
      </c>
      <c r="K911" s="1124"/>
    </row>
    <row r="912" ht="15.75" customHeight="1">
      <c r="A912" s="1119">
        <v>90630.0</v>
      </c>
      <c r="B912" s="1125" t="s">
        <v>11190</v>
      </c>
      <c r="C912" s="1126" t="s">
        <v>1470</v>
      </c>
      <c r="D912" s="1119">
        <v>0.95</v>
      </c>
      <c r="E912" s="1120">
        <v>0.0</v>
      </c>
      <c r="F912" s="1121">
        <f t="shared" si="1"/>
        <v>0.95</v>
      </c>
      <c r="G912" s="1120">
        <v>0.0</v>
      </c>
      <c r="H912" s="1127">
        <v>0.0</v>
      </c>
      <c r="I912" s="1127">
        <v>0.0</v>
      </c>
      <c r="J912" s="1127">
        <v>0.95</v>
      </c>
      <c r="K912" s="1124"/>
    </row>
    <row r="913" ht="15.75" customHeight="1">
      <c r="A913" s="1119">
        <v>90633.0</v>
      </c>
      <c r="B913" s="1125" t="s">
        <v>11191</v>
      </c>
      <c r="C913" s="1126" t="s">
        <v>1470</v>
      </c>
      <c r="D913" s="1119">
        <v>3.84</v>
      </c>
      <c r="E913" s="1120">
        <v>0.0</v>
      </c>
      <c r="F913" s="1121">
        <f t="shared" si="1"/>
        <v>3.84</v>
      </c>
      <c r="G913" s="1120">
        <v>0.0</v>
      </c>
      <c r="H913" s="1127">
        <v>3.84</v>
      </c>
      <c r="I913" s="1127">
        <v>0.0</v>
      </c>
      <c r="J913" s="1127">
        <v>0.0</v>
      </c>
      <c r="K913" s="1124"/>
    </row>
    <row r="914" ht="15.75" customHeight="1">
      <c r="A914" s="1119">
        <v>90634.0</v>
      </c>
      <c r="B914" s="1125" t="s">
        <v>11192</v>
      </c>
      <c r="C914" s="1126" t="s">
        <v>1470</v>
      </c>
      <c r="D914" s="1119">
        <v>0.45</v>
      </c>
      <c r="E914" s="1120">
        <v>0.0</v>
      </c>
      <c r="F914" s="1121">
        <f t="shared" si="1"/>
        <v>0.45</v>
      </c>
      <c r="G914" s="1120">
        <v>0.0</v>
      </c>
      <c r="H914" s="1127">
        <v>0.45</v>
      </c>
      <c r="I914" s="1127">
        <v>0.0</v>
      </c>
      <c r="J914" s="1127">
        <v>0.0</v>
      </c>
      <c r="K914" s="1124"/>
    </row>
    <row r="915" ht="15.75" customHeight="1">
      <c r="A915" s="1119">
        <v>90635.0</v>
      </c>
      <c r="B915" s="1125" t="s">
        <v>11193</v>
      </c>
      <c r="C915" s="1126" t="s">
        <v>1470</v>
      </c>
      <c r="D915" s="1119">
        <v>4.2</v>
      </c>
      <c r="E915" s="1120">
        <v>0.0</v>
      </c>
      <c r="F915" s="1121">
        <f t="shared" si="1"/>
        <v>4.2</v>
      </c>
      <c r="G915" s="1120">
        <v>0.0</v>
      </c>
      <c r="H915" s="1127">
        <v>4.2</v>
      </c>
      <c r="I915" s="1127">
        <v>0.0</v>
      </c>
      <c r="J915" s="1127">
        <v>0.0</v>
      </c>
      <c r="K915" s="1124"/>
    </row>
    <row r="916" ht="15.75" customHeight="1">
      <c r="A916" s="1119">
        <v>90636.0</v>
      </c>
      <c r="B916" s="1125" t="s">
        <v>11194</v>
      </c>
      <c r="C916" s="1126" t="s">
        <v>1470</v>
      </c>
      <c r="D916" s="1119">
        <v>4.0</v>
      </c>
      <c r="E916" s="1120">
        <v>0.0</v>
      </c>
      <c r="F916" s="1121">
        <f t="shared" si="1"/>
        <v>4</v>
      </c>
      <c r="G916" s="1120">
        <v>0.0</v>
      </c>
      <c r="H916" s="1127">
        <v>0.0</v>
      </c>
      <c r="I916" s="1127">
        <v>0.0</v>
      </c>
      <c r="J916" s="1127">
        <v>4.0</v>
      </c>
      <c r="K916" s="1124"/>
    </row>
    <row r="917" ht="15.75" customHeight="1">
      <c r="A917" s="1119">
        <v>90639.0</v>
      </c>
      <c r="B917" s="1125" t="s">
        <v>11195</v>
      </c>
      <c r="C917" s="1126" t="s">
        <v>1470</v>
      </c>
      <c r="D917" s="1119">
        <v>5.73</v>
      </c>
      <c r="E917" s="1120">
        <v>0.0</v>
      </c>
      <c r="F917" s="1121">
        <f t="shared" si="1"/>
        <v>5.73</v>
      </c>
      <c r="G917" s="1120">
        <v>0.0</v>
      </c>
      <c r="H917" s="1127">
        <v>5.73</v>
      </c>
      <c r="I917" s="1127">
        <v>0.0</v>
      </c>
      <c r="J917" s="1127">
        <v>0.0</v>
      </c>
      <c r="K917" s="1124"/>
    </row>
    <row r="918" ht="15.75" customHeight="1">
      <c r="A918" s="1119">
        <v>90640.0</v>
      </c>
      <c r="B918" s="1125" t="s">
        <v>11196</v>
      </c>
      <c r="C918" s="1126" t="s">
        <v>1470</v>
      </c>
      <c r="D918" s="1119">
        <v>0.68</v>
      </c>
      <c r="E918" s="1120">
        <v>0.0</v>
      </c>
      <c r="F918" s="1121">
        <f t="shared" si="1"/>
        <v>0.68</v>
      </c>
      <c r="G918" s="1120">
        <v>0.0</v>
      </c>
      <c r="H918" s="1127">
        <v>0.68</v>
      </c>
      <c r="I918" s="1127">
        <v>0.0</v>
      </c>
      <c r="J918" s="1127">
        <v>0.0</v>
      </c>
      <c r="K918" s="1124"/>
    </row>
    <row r="919" ht="15.75" customHeight="1">
      <c r="A919" s="1119">
        <v>90641.0</v>
      </c>
      <c r="B919" s="1125" t="s">
        <v>11197</v>
      </c>
      <c r="C919" s="1126" t="s">
        <v>1470</v>
      </c>
      <c r="D919" s="1119">
        <v>6.27</v>
      </c>
      <c r="E919" s="1120">
        <v>0.0</v>
      </c>
      <c r="F919" s="1121">
        <f t="shared" si="1"/>
        <v>6.27</v>
      </c>
      <c r="G919" s="1120">
        <v>0.0</v>
      </c>
      <c r="H919" s="1127">
        <v>6.27</v>
      </c>
      <c r="I919" s="1127">
        <v>0.0</v>
      </c>
      <c r="J919" s="1127">
        <v>0.0</v>
      </c>
      <c r="K919" s="1124"/>
    </row>
    <row r="920" ht="15.75" customHeight="1">
      <c r="A920" s="1119">
        <v>90642.0</v>
      </c>
      <c r="B920" s="1125" t="s">
        <v>11198</v>
      </c>
      <c r="C920" s="1126" t="s">
        <v>1470</v>
      </c>
      <c r="D920" s="1119">
        <v>9.55</v>
      </c>
      <c r="E920" s="1120">
        <v>0.0</v>
      </c>
      <c r="F920" s="1121">
        <f t="shared" si="1"/>
        <v>9.55</v>
      </c>
      <c r="G920" s="1120">
        <v>9.55</v>
      </c>
      <c r="H920" s="1127">
        <v>0.0</v>
      </c>
      <c r="I920" s="1127">
        <v>0.0</v>
      </c>
      <c r="J920" s="1127">
        <v>0.0</v>
      </c>
      <c r="K920" s="1124"/>
    </row>
    <row r="921" ht="15.75" customHeight="1">
      <c r="A921" s="1119">
        <v>90646.0</v>
      </c>
      <c r="B921" s="1125" t="s">
        <v>11199</v>
      </c>
      <c r="C921" s="1126" t="s">
        <v>1470</v>
      </c>
      <c r="D921" s="1119">
        <v>0.82</v>
      </c>
      <c r="E921" s="1120">
        <v>0.0</v>
      </c>
      <c r="F921" s="1121">
        <f t="shared" si="1"/>
        <v>0.82</v>
      </c>
      <c r="G921" s="1120">
        <v>0.0</v>
      </c>
      <c r="H921" s="1127">
        <v>0.82</v>
      </c>
      <c r="I921" s="1127">
        <v>0.0</v>
      </c>
      <c r="J921" s="1127">
        <v>0.0</v>
      </c>
      <c r="K921" s="1124"/>
    </row>
    <row r="922" ht="15.75" customHeight="1">
      <c r="A922" s="1119">
        <v>90647.0</v>
      </c>
      <c r="B922" s="1125" t="s">
        <v>11200</v>
      </c>
      <c r="C922" s="1126" t="s">
        <v>1470</v>
      </c>
      <c r="D922" s="1119">
        <v>0.09</v>
      </c>
      <c r="E922" s="1120">
        <v>0.0</v>
      </c>
      <c r="F922" s="1121">
        <f t="shared" si="1"/>
        <v>0.09</v>
      </c>
      <c r="G922" s="1120">
        <v>0.0</v>
      </c>
      <c r="H922" s="1127">
        <v>0.09</v>
      </c>
      <c r="I922" s="1127">
        <v>0.0</v>
      </c>
      <c r="J922" s="1127">
        <v>0.0</v>
      </c>
      <c r="K922" s="1124"/>
    </row>
    <row r="923" ht="15.75" customHeight="1">
      <c r="A923" s="1119">
        <v>90648.0</v>
      </c>
      <c r="B923" s="1125" t="s">
        <v>11201</v>
      </c>
      <c r="C923" s="1126" t="s">
        <v>1470</v>
      </c>
      <c r="D923" s="1119">
        <v>0.89</v>
      </c>
      <c r="E923" s="1120">
        <v>0.0</v>
      </c>
      <c r="F923" s="1121">
        <f t="shared" si="1"/>
        <v>0.89</v>
      </c>
      <c r="G923" s="1120">
        <v>0.0</v>
      </c>
      <c r="H923" s="1127">
        <v>0.89</v>
      </c>
      <c r="I923" s="1127">
        <v>0.0</v>
      </c>
      <c r="J923" s="1127">
        <v>0.0</v>
      </c>
      <c r="K923" s="1124"/>
    </row>
    <row r="924" ht="15.75" customHeight="1">
      <c r="A924" s="1119">
        <v>90649.0</v>
      </c>
      <c r="B924" s="1125" t="s">
        <v>11202</v>
      </c>
      <c r="C924" s="1126" t="s">
        <v>1470</v>
      </c>
      <c r="D924" s="1119">
        <v>6.18</v>
      </c>
      <c r="E924" s="1120">
        <v>0.0</v>
      </c>
      <c r="F924" s="1121">
        <f t="shared" si="1"/>
        <v>6.18</v>
      </c>
      <c r="G924" s="1120">
        <v>0.0</v>
      </c>
      <c r="H924" s="1127">
        <v>0.0</v>
      </c>
      <c r="I924" s="1127">
        <v>0.0</v>
      </c>
      <c r="J924" s="1127">
        <v>6.18</v>
      </c>
      <c r="K924" s="1124"/>
    </row>
    <row r="925" ht="15.75" customHeight="1">
      <c r="A925" s="1119">
        <v>90652.0</v>
      </c>
      <c r="B925" s="1125" t="s">
        <v>11203</v>
      </c>
      <c r="C925" s="1126" t="s">
        <v>1470</v>
      </c>
      <c r="D925" s="1119">
        <v>3.73</v>
      </c>
      <c r="E925" s="1120">
        <v>0.0</v>
      </c>
      <c r="F925" s="1121">
        <f t="shared" si="1"/>
        <v>3.73</v>
      </c>
      <c r="G925" s="1120">
        <v>0.0</v>
      </c>
      <c r="H925" s="1127">
        <v>3.73</v>
      </c>
      <c r="I925" s="1127">
        <v>0.0</v>
      </c>
      <c r="J925" s="1127">
        <v>0.0</v>
      </c>
      <c r="K925" s="1124"/>
    </row>
    <row r="926" ht="15.75" customHeight="1">
      <c r="A926" s="1119">
        <v>90653.0</v>
      </c>
      <c r="B926" s="1125" t="s">
        <v>11204</v>
      </c>
      <c r="C926" s="1126" t="s">
        <v>1470</v>
      </c>
      <c r="D926" s="1119">
        <v>0.44</v>
      </c>
      <c r="E926" s="1120">
        <v>0.0</v>
      </c>
      <c r="F926" s="1121">
        <f t="shared" si="1"/>
        <v>0.44</v>
      </c>
      <c r="G926" s="1120">
        <v>0.0</v>
      </c>
      <c r="H926" s="1127">
        <v>0.44</v>
      </c>
      <c r="I926" s="1127">
        <v>0.0</v>
      </c>
      <c r="J926" s="1127">
        <v>0.0</v>
      </c>
      <c r="K926" s="1124"/>
    </row>
    <row r="927" ht="15.75" customHeight="1">
      <c r="A927" s="1119">
        <v>90654.0</v>
      </c>
      <c r="B927" s="1125" t="s">
        <v>11205</v>
      </c>
      <c r="C927" s="1126" t="s">
        <v>1470</v>
      </c>
      <c r="D927" s="1119">
        <v>4.08</v>
      </c>
      <c r="E927" s="1120">
        <v>0.0</v>
      </c>
      <c r="F927" s="1121">
        <f t="shared" si="1"/>
        <v>4.08</v>
      </c>
      <c r="G927" s="1120">
        <v>0.0</v>
      </c>
      <c r="H927" s="1127">
        <v>4.08</v>
      </c>
      <c r="I927" s="1127">
        <v>0.0</v>
      </c>
      <c r="J927" s="1127">
        <v>0.0</v>
      </c>
      <c r="K927" s="1124"/>
    </row>
    <row r="928" ht="15.75" customHeight="1">
      <c r="A928" s="1119">
        <v>90655.0</v>
      </c>
      <c r="B928" s="1125" t="s">
        <v>11206</v>
      </c>
      <c r="C928" s="1126" t="s">
        <v>1470</v>
      </c>
      <c r="D928" s="1119">
        <v>4.06</v>
      </c>
      <c r="E928" s="1120">
        <v>0.0</v>
      </c>
      <c r="F928" s="1121">
        <f t="shared" si="1"/>
        <v>4.06</v>
      </c>
      <c r="G928" s="1120">
        <v>0.0</v>
      </c>
      <c r="H928" s="1127">
        <v>0.0</v>
      </c>
      <c r="I928" s="1127">
        <v>0.0</v>
      </c>
      <c r="J928" s="1127">
        <v>4.06</v>
      </c>
      <c r="K928" s="1124"/>
    </row>
    <row r="929" ht="15.75" customHeight="1">
      <c r="A929" s="1119">
        <v>90658.0</v>
      </c>
      <c r="B929" s="1125" t="s">
        <v>11207</v>
      </c>
      <c r="C929" s="1126" t="s">
        <v>1470</v>
      </c>
      <c r="D929" s="1119">
        <v>3.99</v>
      </c>
      <c r="E929" s="1120">
        <v>0.0</v>
      </c>
      <c r="F929" s="1121">
        <f t="shared" si="1"/>
        <v>3.99</v>
      </c>
      <c r="G929" s="1120">
        <v>0.0</v>
      </c>
      <c r="H929" s="1127">
        <v>3.99</v>
      </c>
      <c r="I929" s="1127">
        <v>0.0</v>
      </c>
      <c r="J929" s="1127">
        <v>0.0</v>
      </c>
      <c r="K929" s="1124"/>
    </row>
    <row r="930" ht="15.75" customHeight="1">
      <c r="A930" s="1119">
        <v>90659.0</v>
      </c>
      <c r="B930" s="1125" t="s">
        <v>11208</v>
      </c>
      <c r="C930" s="1126" t="s">
        <v>1470</v>
      </c>
      <c r="D930" s="1119">
        <v>0.47</v>
      </c>
      <c r="E930" s="1120">
        <v>0.0</v>
      </c>
      <c r="F930" s="1121">
        <f t="shared" si="1"/>
        <v>0.47</v>
      </c>
      <c r="G930" s="1120">
        <v>0.0</v>
      </c>
      <c r="H930" s="1127">
        <v>0.47</v>
      </c>
      <c r="I930" s="1127">
        <v>0.0</v>
      </c>
      <c r="J930" s="1127">
        <v>0.0</v>
      </c>
      <c r="K930" s="1124"/>
    </row>
    <row r="931" ht="15.75" customHeight="1">
      <c r="A931" s="1119">
        <v>90660.0</v>
      </c>
      <c r="B931" s="1125" t="s">
        <v>11209</v>
      </c>
      <c r="C931" s="1126" t="s">
        <v>1470</v>
      </c>
      <c r="D931" s="1119">
        <v>4.37</v>
      </c>
      <c r="E931" s="1120">
        <v>0.0</v>
      </c>
      <c r="F931" s="1121">
        <f t="shared" si="1"/>
        <v>4.37</v>
      </c>
      <c r="G931" s="1120">
        <v>0.0</v>
      </c>
      <c r="H931" s="1127">
        <v>4.37</v>
      </c>
      <c r="I931" s="1127">
        <v>0.0</v>
      </c>
      <c r="J931" s="1127">
        <v>0.0</v>
      </c>
      <c r="K931" s="1124"/>
    </row>
    <row r="932" ht="15.75" customHeight="1">
      <c r="A932" s="1119">
        <v>90661.0</v>
      </c>
      <c r="B932" s="1125" t="s">
        <v>11210</v>
      </c>
      <c r="C932" s="1126" t="s">
        <v>1470</v>
      </c>
      <c r="D932" s="1119">
        <v>4.06</v>
      </c>
      <c r="E932" s="1120">
        <v>0.0</v>
      </c>
      <c r="F932" s="1121">
        <f t="shared" si="1"/>
        <v>4.06</v>
      </c>
      <c r="G932" s="1120">
        <v>0.0</v>
      </c>
      <c r="H932" s="1127">
        <v>0.0</v>
      </c>
      <c r="I932" s="1127">
        <v>0.0</v>
      </c>
      <c r="J932" s="1127">
        <v>4.06</v>
      </c>
      <c r="K932" s="1124"/>
    </row>
    <row r="933" ht="15.75" customHeight="1">
      <c r="A933" s="1119">
        <v>90664.0</v>
      </c>
      <c r="B933" s="1125" t="s">
        <v>11211</v>
      </c>
      <c r="C933" s="1126" t="s">
        <v>1470</v>
      </c>
      <c r="D933" s="1119">
        <v>6.12</v>
      </c>
      <c r="E933" s="1120">
        <v>0.0</v>
      </c>
      <c r="F933" s="1121">
        <f t="shared" si="1"/>
        <v>6.12</v>
      </c>
      <c r="G933" s="1120">
        <v>0.0</v>
      </c>
      <c r="H933" s="1127">
        <v>6.12</v>
      </c>
      <c r="I933" s="1127">
        <v>0.0</v>
      </c>
      <c r="J933" s="1127">
        <v>0.0</v>
      </c>
      <c r="K933" s="1124"/>
    </row>
    <row r="934" ht="15.75" customHeight="1">
      <c r="A934" s="1119">
        <v>90665.0</v>
      </c>
      <c r="B934" s="1125" t="s">
        <v>11212</v>
      </c>
      <c r="C934" s="1126" t="s">
        <v>1470</v>
      </c>
      <c r="D934" s="1119">
        <v>1.14</v>
      </c>
      <c r="E934" s="1120">
        <v>0.0</v>
      </c>
      <c r="F934" s="1121">
        <f t="shared" si="1"/>
        <v>1.14</v>
      </c>
      <c r="G934" s="1120">
        <v>0.0</v>
      </c>
      <c r="H934" s="1127">
        <v>1.14</v>
      </c>
      <c r="I934" s="1127">
        <v>0.0</v>
      </c>
      <c r="J934" s="1127">
        <v>0.0</v>
      </c>
      <c r="K934" s="1124"/>
    </row>
    <row r="935" ht="15.75" customHeight="1">
      <c r="A935" s="1119">
        <v>90666.0</v>
      </c>
      <c r="B935" s="1125" t="s">
        <v>11213</v>
      </c>
      <c r="C935" s="1126" t="s">
        <v>1470</v>
      </c>
      <c r="D935" s="1119">
        <v>8.03</v>
      </c>
      <c r="E935" s="1120">
        <v>0.0</v>
      </c>
      <c r="F935" s="1121">
        <f t="shared" si="1"/>
        <v>8.03</v>
      </c>
      <c r="G935" s="1120">
        <v>0.0</v>
      </c>
      <c r="H935" s="1127">
        <v>8.03</v>
      </c>
      <c r="I935" s="1127">
        <v>0.0</v>
      </c>
      <c r="J935" s="1127">
        <v>0.0</v>
      </c>
      <c r="K935" s="1124"/>
    </row>
    <row r="936" ht="15.75" customHeight="1">
      <c r="A936" s="1119">
        <v>90667.0</v>
      </c>
      <c r="B936" s="1125" t="s">
        <v>11214</v>
      </c>
      <c r="C936" s="1126" t="s">
        <v>1470</v>
      </c>
      <c r="D936" s="1119">
        <v>11.38</v>
      </c>
      <c r="E936" s="1120">
        <v>0.0</v>
      </c>
      <c r="F936" s="1121">
        <f t="shared" si="1"/>
        <v>11.38</v>
      </c>
      <c r="G936" s="1120">
        <v>11.38</v>
      </c>
      <c r="H936" s="1127">
        <v>0.0</v>
      </c>
      <c r="I936" s="1127">
        <v>0.0</v>
      </c>
      <c r="J936" s="1127">
        <v>0.0</v>
      </c>
      <c r="K936" s="1124"/>
    </row>
    <row r="937" ht="15.75" customHeight="1">
      <c r="A937" s="1119">
        <v>90670.0</v>
      </c>
      <c r="B937" s="1125" t="s">
        <v>11215</v>
      </c>
      <c r="C937" s="1126" t="s">
        <v>1470</v>
      </c>
      <c r="D937" s="1119">
        <v>224.96</v>
      </c>
      <c r="E937" s="1120">
        <v>0.0</v>
      </c>
      <c r="F937" s="1121">
        <f t="shared" si="1"/>
        <v>224.96</v>
      </c>
      <c r="G937" s="1120">
        <v>0.0</v>
      </c>
      <c r="H937" s="1127">
        <v>224.96</v>
      </c>
      <c r="I937" s="1127">
        <v>0.0</v>
      </c>
      <c r="J937" s="1127">
        <v>0.0</v>
      </c>
      <c r="K937" s="1124"/>
    </row>
    <row r="938" ht="15.75" customHeight="1">
      <c r="A938" s="1119">
        <v>90671.0</v>
      </c>
      <c r="B938" s="1125" t="s">
        <v>11216</v>
      </c>
      <c r="C938" s="1126" t="s">
        <v>1470</v>
      </c>
      <c r="D938" s="1119">
        <v>31.23</v>
      </c>
      <c r="E938" s="1120">
        <v>0.0</v>
      </c>
      <c r="F938" s="1121">
        <f t="shared" si="1"/>
        <v>31.23</v>
      </c>
      <c r="G938" s="1120">
        <v>0.0</v>
      </c>
      <c r="H938" s="1127">
        <v>31.23</v>
      </c>
      <c r="I938" s="1127">
        <v>0.0</v>
      </c>
      <c r="J938" s="1127">
        <v>0.0</v>
      </c>
      <c r="K938" s="1124"/>
    </row>
    <row r="939" ht="15.75" customHeight="1">
      <c r="A939" s="1119">
        <v>90672.0</v>
      </c>
      <c r="B939" s="1125" t="s">
        <v>11217</v>
      </c>
      <c r="C939" s="1126" t="s">
        <v>1470</v>
      </c>
      <c r="D939" s="1119">
        <v>281.52</v>
      </c>
      <c r="E939" s="1120">
        <v>0.0</v>
      </c>
      <c r="F939" s="1121">
        <f t="shared" si="1"/>
        <v>281.52</v>
      </c>
      <c r="G939" s="1120">
        <v>0.0</v>
      </c>
      <c r="H939" s="1127">
        <v>281.52</v>
      </c>
      <c r="I939" s="1127">
        <v>0.0</v>
      </c>
      <c r="J939" s="1127">
        <v>0.0</v>
      </c>
      <c r="K939" s="1124"/>
    </row>
    <row r="940" ht="15.75" customHeight="1">
      <c r="A940" s="1119">
        <v>90673.0</v>
      </c>
      <c r="B940" s="1125" t="s">
        <v>11218</v>
      </c>
      <c r="C940" s="1126" t="s">
        <v>1470</v>
      </c>
      <c r="D940" s="1119">
        <v>90.95</v>
      </c>
      <c r="E940" s="1120">
        <v>0.0</v>
      </c>
      <c r="F940" s="1121">
        <f t="shared" si="1"/>
        <v>90.95</v>
      </c>
      <c r="G940" s="1120">
        <v>90.95</v>
      </c>
      <c r="H940" s="1127">
        <v>0.0</v>
      </c>
      <c r="I940" s="1127">
        <v>0.0</v>
      </c>
      <c r="J940" s="1127">
        <v>0.0</v>
      </c>
      <c r="K940" s="1124"/>
    </row>
    <row r="941" ht="15.75" customHeight="1">
      <c r="A941" s="1119">
        <v>90676.0</v>
      </c>
      <c r="B941" s="1125" t="s">
        <v>11219</v>
      </c>
      <c r="C941" s="1126" t="s">
        <v>1470</v>
      </c>
      <c r="D941" s="1119">
        <v>109.7</v>
      </c>
      <c r="E941" s="1120">
        <v>0.0</v>
      </c>
      <c r="F941" s="1121">
        <f t="shared" si="1"/>
        <v>109.7</v>
      </c>
      <c r="G941" s="1120">
        <v>0.0</v>
      </c>
      <c r="H941" s="1127">
        <v>109.7</v>
      </c>
      <c r="I941" s="1127">
        <v>0.0</v>
      </c>
      <c r="J941" s="1127">
        <v>0.0</v>
      </c>
      <c r="K941" s="1124"/>
    </row>
    <row r="942" ht="15.75" customHeight="1">
      <c r="A942" s="1119">
        <v>90677.0</v>
      </c>
      <c r="B942" s="1125" t="s">
        <v>11220</v>
      </c>
      <c r="C942" s="1126" t="s">
        <v>1470</v>
      </c>
      <c r="D942" s="1119">
        <v>16.95</v>
      </c>
      <c r="E942" s="1120">
        <v>0.0</v>
      </c>
      <c r="F942" s="1121">
        <f t="shared" si="1"/>
        <v>16.95</v>
      </c>
      <c r="G942" s="1120">
        <v>0.0</v>
      </c>
      <c r="H942" s="1127">
        <v>16.95</v>
      </c>
      <c r="I942" s="1127">
        <v>0.0</v>
      </c>
      <c r="J942" s="1127">
        <v>0.0</v>
      </c>
      <c r="K942" s="1124"/>
    </row>
    <row r="943" ht="15.75" customHeight="1">
      <c r="A943" s="1119">
        <v>90678.0</v>
      </c>
      <c r="B943" s="1125" t="s">
        <v>11221</v>
      </c>
      <c r="C943" s="1126" t="s">
        <v>1470</v>
      </c>
      <c r="D943" s="1119">
        <v>152.33</v>
      </c>
      <c r="E943" s="1120">
        <v>0.0</v>
      </c>
      <c r="F943" s="1121">
        <f t="shared" si="1"/>
        <v>152.33</v>
      </c>
      <c r="G943" s="1120">
        <v>0.0</v>
      </c>
      <c r="H943" s="1127">
        <v>152.33</v>
      </c>
      <c r="I943" s="1127">
        <v>0.0</v>
      </c>
      <c r="J943" s="1127">
        <v>0.0</v>
      </c>
      <c r="K943" s="1124"/>
    </row>
    <row r="944" ht="15.75" customHeight="1">
      <c r="A944" s="1119">
        <v>90679.0</v>
      </c>
      <c r="B944" s="1125" t="s">
        <v>11222</v>
      </c>
      <c r="C944" s="1126" t="s">
        <v>1470</v>
      </c>
      <c r="D944" s="1119">
        <v>69.75</v>
      </c>
      <c r="E944" s="1120">
        <v>0.0</v>
      </c>
      <c r="F944" s="1121">
        <f t="shared" si="1"/>
        <v>69.75</v>
      </c>
      <c r="G944" s="1120">
        <v>69.75</v>
      </c>
      <c r="H944" s="1127">
        <v>0.0</v>
      </c>
      <c r="I944" s="1127">
        <v>0.0</v>
      </c>
      <c r="J944" s="1127">
        <v>0.0</v>
      </c>
      <c r="K944" s="1124"/>
    </row>
    <row r="945" ht="15.75" customHeight="1">
      <c r="A945" s="1119">
        <v>90682.0</v>
      </c>
      <c r="B945" s="1125" t="s">
        <v>11223</v>
      </c>
      <c r="C945" s="1126" t="s">
        <v>1470</v>
      </c>
      <c r="D945" s="1119">
        <v>31.2</v>
      </c>
      <c r="E945" s="1120">
        <v>0.0</v>
      </c>
      <c r="F945" s="1121">
        <f t="shared" si="1"/>
        <v>31.2</v>
      </c>
      <c r="G945" s="1120">
        <v>0.0</v>
      </c>
      <c r="H945" s="1127">
        <v>31.2</v>
      </c>
      <c r="I945" s="1127">
        <v>0.0</v>
      </c>
      <c r="J945" s="1127">
        <v>0.0</v>
      </c>
      <c r="K945" s="1124"/>
    </row>
    <row r="946" ht="15.75" customHeight="1">
      <c r="A946" s="1119">
        <v>90683.0</v>
      </c>
      <c r="B946" s="1125" t="s">
        <v>11224</v>
      </c>
      <c r="C946" s="1126" t="s">
        <v>1470</v>
      </c>
      <c r="D946" s="1119">
        <v>5.2</v>
      </c>
      <c r="E946" s="1120">
        <v>0.0</v>
      </c>
      <c r="F946" s="1121">
        <f t="shared" si="1"/>
        <v>5.2</v>
      </c>
      <c r="G946" s="1120">
        <v>0.0</v>
      </c>
      <c r="H946" s="1127">
        <v>5.2</v>
      </c>
      <c r="I946" s="1127">
        <v>0.0</v>
      </c>
      <c r="J946" s="1127">
        <v>0.0</v>
      </c>
      <c r="K946" s="1124"/>
    </row>
    <row r="947" ht="15.75" customHeight="1">
      <c r="A947" s="1119">
        <v>90684.0</v>
      </c>
      <c r="B947" s="1125" t="s">
        <v>11225</v>
      </c>
      <c r="C947" s="1126" t="s">
        <v>1470</v>
      </c>
      <c r="D947" s="1119">
        <v>36.4</v>
      </c>
      <c r="E947" s="1120">
        <v>0.0</v>
      </c>
      <c r="F947" s="1121">
        <f t="shared" si="1"/>
        <v>36.4</v>
      </c>
      <c r="G947" s="1120">
        <v>0.0</v>
      </c>
      <c r="H947" s="1127">
        <v>36.4</v>
      </c>
      <c r="I947" s="1127">
        <v>0.0</v>
      </c>
      <c r="J947" s="1127">
        <v>0.0</v>
      </c>
      <c r="K947" s="1124"/>
    </row>
    <row r="948" ht="15.75" customHeight="1">
      <c r="A948" s="1119">
        <v>90685.0</v>
      </c>
      <c r="B948" s="1125" t="s">
        <v>11226</v>
      </c>
      <c r="C948" s="1126" t="s">
        <v>1470</v>
      </c>
      <c r="D948" s="1119">
        <v>43.27</v>
      </c>
      <c r="E948" s="1120">
        <v>0.0</v>
      </c>
      <c r="F948" s="1121">
        <f t="shared" si="1"/>
        <v>43.27</v>
      </c>
      <c r="G948" s="1120">
        <v>43.27</v>
      </c>
      <c r="H948" s="1127">
        <v>0.0</v>
      </c>
      <c r="I948" s="1127">
        <v>0.0</v>
      </c>
      <c r="J948" s="1127">
        <v>0.0</v>
      </c>
      <c r="K948" s="1124"/>
    </row>
    <row r="949" ht="15.75" customHeight="1">
      <c r="A949" s="1119">
        <v>90688.0</v>
      </c>
      <c r="B949" s="1125" t="s">
        <v>11227</v>
      </c>
      <c r="C949" s="1126" t="s">
        <v>1470</v>
      </c>
      <c r="D949" s="1119">
        <v>22.0</v>
      </c>
      <c r="E949" s="1120">
        <v>0.0</v>
      </c>
      <c r="F949" s="1121">
        <f t="shared" si="1"/>
        <v>22</v>
      </c>
      <c r="G949" s="1120">
        <v>0.0</v>
      </c>
      <c r="H949" s="1127">
        <v>22.0</v>
      </c>
      <c r="I949" s="1127">
        <v>0.0</v>
      </c>
      <c r="J949" s="1127">
        <v>0.0</v>
      </c>
      <c r="K949" s="1124"/>
    </row>
    <row r="950" ht="15.75" customHeight="1">
      <c r="A950" s="1119">
        <v>90689.0</v>
      </c>
      <c r="B950" s="1125" t="s">
        <v>11228</v>
      </c>
      <c r="C950" s="1126" t="s">
        <v>1470</v>
      </c>
      <c r="D950" s="1119">
        <v>2.22</v>
      </c>
      <c r="E950" s="1120">
        <v>0.0</v>
      </c>
      <c r="F950" s="1121">
        <f t="shared" si="1"/>
        <v>2.22</v>
      </c>
      <c r="G950" s="1120">
        <v>0.0</v>
      </c>
      <c r="H950" s="1127">
        <v>2.22</v>
      </c>
      <c r="I950" s="1127">
        <v>0.0</v>
      </c>
      <c r="J950" s="1127">
        <v>0.0</v>
      </c>
      <c r="K950" s="1124"/>
    </row>
    <row r="951" ht="15.75" customHeight="1">
      <c r="A951" s="1119">
        <v>90690.0</v>
      </c>
      <c r="B951" s="1125" t="s">
        <v>11229</v>
      </c>
      <c r="C951" s="1126" t="s">
        <v>1470</v>
      </c>
      <c r="D951" s="1119">
        <v>27.5</v>
      </c>
      <c r="E951" s="1120">
        <v>0.0</v>
      </c>
      <c r="F951" s="1121">
        <f t="shared" si="1"/>
        <v>27.5</v>
      </c>
      <c r="G951" s="1120">
        <v>0.0</v>
      </c>
      <c r="H951" s="1127">
        <v>27.5</v>
      </c>
      <c r="I951" s="1127">
        <v>0.0</v>
      </c>
      <c r="J951" s="1127">
        <v>0.0</v>
      </c>
      <c r="K951" s="1124"/>
    </row>
    <row r="952" ht="15.75" customHeight="1">
      <c r="A952" s="1119">
        <v>90691.0</v>
      </c>
      <c r="B952" s="1125" t="s">
        <v>11230</v>
      </c>
      <c r="C952" s="1126" t="s">
        <v>1470</v>
      </c>
      <c r="D952" s="1119">
        <v>30.3</v>
      </c>
      <c r="E952" s="1120">
        <v>0.0</v>
      </c>
      <c r="F952" s="1121">
        <f t="shared" si="1"/>
        <v>30.3</v>
      </c>
      <c r="G952" s="1120">
        <v>30.3</v>
      </c>
      <c r="H952" s="1127">
        <v>0.0</v>
      </c>
      <c r="I952" s="1127">
        <v>0.0</v>
      </c>
      <c r="J952" s="1127">
        <v>0.0</v>
      </c>
      <c r="K952" s="1124"/>
    </row>
    <row r="953" ht="15.75" customHeight="1">
      <c r="A953" s="1119">
        <v>90957.0</v>
      </c>
      <c r="B953" s="1125" t="s">
        <v>11231</v>
      </c>
      <c r="C953" s="1126" t="s">
        <v>1470</v>
      </c>
      <c r="D953" s="1119">
        <v>4.55</v>
      </c>
      <c r="E953" s="1120">
        <v>0.0</v>
      </c>
      <c r="F953" s="1121">
        <f t="shared" si="1"/>
        <v>4.55</v>
      </c>
      <c r="G953" s="1120">
        <v>0.0</v>
      </c>
      <c r="H953" s="1127">
        <v>4.55</v>
      </c>
      <c r="I953" s="1127">
        <v>0.0</v>
      </c>
      <c r="J953" s="1127">
        <v>0.0</v>
      </c>
      <c r="K953" s="1124"/>
    </row>
    <row r="954" ht="15.75" customHeight="1">
      <c r="A954" s="1119">
        <v>90958.0</v>
      </c>
      <c r="B954" s="1125" t="s">
        <v>11232</v>
      </c>
      <c r="C954" s="1126" t="s">
        <v>1470</v>
      </c>
      <c r="D954" s="1119">
        <v>0.63</v>
      </c>
      <c r="E954" s="1120">
        <v>0.0</v>
      </c>
      <c r="F954" s="1121">
        <f t="shared" si="1"/>
        <v>0.63</v>
      </c>
      <c r="G954" s="1120">
        <v>0.0</v>
      </c>
      <c r="H954" s="1127">
        <v>0.63</v>
      </c>
      <c r="I954" s="1127">
        <v>0.0</v>
      </c>
      <c r="J954" s="1127">
        <v>0.0</v>
      </c>
      <c r="K954" s="1124"/>
    </row>
    <row r="955" ht="15.75" customHeight="1">
      <c r="A955" s="1119">
        <v>90960.0</v>
      </c>
      <c r="B955" s="1125" t="s">
        <v>11233</v>
      </c>
      <c r="C955" s="1126" t="s">
        <v>1470</v>
      </c>
      <c r="D955" s="1119">
        <v>6.08</v>
      </c>
      <c r="E955" s="1120">
        <v>0.0</v>
      </c>
      <c r="F955" s="1121">
        <f t="shared" si="1"/>
        <v>6.08</v>
      </c>
      <c r="G955" s="1120">
        <v>0.0</v>
      </c>
      <c r="H955" s="1127">
        <v>6.08</v>
      </c>
      <c r="I955" s="1127">
        <v>0.0</v>
      </c>
      <c r="J955" s="1127">
        <v>0.0</v>
      </c>
      <c r="K955" s="1124"/>
    </row>
    <row r="956" ht="15.75" customHeight="1">
      <c r="A956" s="1119">
        <v>90961.0</v>
      </c>
      <c r="B956" s="1125" t="s">
        <v>11234</v>
      </c>
      <c r="C956" s="1126" t="s">
        <v>1470</v>
      </c>
      <c r="D956" s="1119">
        <v>0.84</v>
      </c>
      <c r="E956" s="1120">
        <v>0.0</v>
      </c>
      <c r="F956" s="1121">
        <f t="shared" si="1"/>
        <v>0.84</v>
      </c>
      <c r="G956" s="1120">
        <v>0.0</v>
      </c>
      <c r="H956" s="1127">
        <v>0.84</v>
      </c>
      <c r="I956" s="1127">
        <v>0.0</v>
      </c>
      <c r="J956" s="1127">
        <v>0.0</v>
      </c>
      <c r="K956" s="1124"/>
    </row>
    <row r="957" ht="15.75" customHeight="1">
      <c r="A957" s="1119">
        <v>90962.0</v>
      </c>
      <c r="B957" s="1125" t="s">
        <v>11235</v>
      </c>
      <c r="C957" s="1126" t="s">
        <v>1470</v>
      </c>
      <c r="D957" s="1119">
        <v>7.61</v>
      </c>
      <c r="E957" s="1120">
        <v>0.0</v>
      </c>
      <c r="F957" s="1121">
        <f t="shared" si="1"/>
        <v>7.61</v>
      </c>
      <c r="G957" s="1120">
        <v>0.0</v>
      </c>
      <c r="H957" s="1127">
        <v>7.61</v>
      </c>
      <c r="I957" s="1127">
        <v>0.0</v>
      </c>
      <c r="J957" s="1127">
        <v>0.0</v>
      </c>
      <c r="K957" s="1124"/>
    </row>
    <row r="958" ht="15.75" customHeight="1">
      <c r="A958" s="1119">
        <v>90963.0</v>
      </c>
      <c r="B958" s="1125" t="s">
        <v>11236</v>
      </c>
      <c r="C958" s="1126" t="s">
        <v>1470</v>
      </c>
      <c r="D958" s="1119">
        <v>11.37</v>
      </c>
      <c r="E958" s="1120">
        <v>0.0</v>
      </c>
      <c r="F958" s="1121">
        <f t="shared" si="1"/>
        <v>11.37</v>
      </c>
      <c r="G958" s="1120">
        <v>11.37</v>
      </c>
      <c r="H958" s="1127">
        <v>0.0</v>
      </c>
      <c r="I958" s="1127">
        <v>0.0</v>
      </c>
      <c r="J958" s="1127">
        <v>0.0</v>
      </c>
      <c r="K958" s="1124"/>
    </row>
    <row r="959" ht="15.75" customHeight="1">
      <c r="A959" s="1119">
        <v>90968.0</v>
      </c>
      <c r="B959" s="1125" t="s">
        <v>11237</v>
      </c>
      <c r="C959" s="1126" t="s">
        <v>1470</v>
      </c>
      <c r="D959" s="1119">
        <v>6.1</v>
      </c>
      <c r="E959" s="1120">
        <v>0.0</v>
      </c>
      <c r="F959" s="1121">
        <f t="shared" si="1"/>
        <v>6.1</v>
      </c>
      <c r="G959" s="1120">
        <v>0.0</v>
      </c>
      <c r="H959" s="1127">
        <v>6.1</v>
      </c>
      <c r="I959" s="1127">
        <v>0.0</v>
      </c>
      <c r="J959" s="1127">
        <v>0.0</v>
      </c>
      <c r="K959" s="1124"/>
    </row>
    <row r="960" ht="15.75" customHeight="1">
      <c r="A960" s="1119">
        <v>90969.0</v>
      </c>
      <c r="B960" s="1125" t="s">
        <v>11238</v>
      </c>
      <c r="C960" s="1126" t="s">
        <v>1470</v>
      </c>
      <c r="D960" s="1119">
        <v>0.84</v>
      </c>
      <c r="E960" s="1120">
        <v>0.0</v>
      </c>
      <c r="F960" s="1121">
        <f t="shared" si="1"/>
        <v>0.84</v>
      </c>
      <c r="G960" s="1120">
        <v>0.0</v>
      </c>
      <c r="H960" s="1127">
        <v>0.84</v>
      </c>
      <c r="I960" s="1127">
        <v>0.0</v>
      </c>
      <c r="J960" s="1127">
        <v>0.0</v>
      </c>
      <c r="K960" s="1124"/>
    </row>
    <row r="961" ht="15.75" customHeight="1">
      <c r="A961" s="1119">
        <v>90970.0</v>
      </c>
      <c r="B961" s="1125" t="s">
        <v>11239</v>
      </c>
      <c r="C961" s="1126" t="s">
        <v>1470</v>
      </c>
      <c r="D961" s="1119">
        <v>7.63</v>
      </c>
      <c r="E961" s="1120">
        <v>0.0</v>
      </c>
      <c r="F961" s="1121">
        <f t="shared" si="1"/>
        <v>7.63</v>
      </c>
      <c r="G961" s="1120">
        <v>0.0</v>
      </c>
      <c r="H961" s="1127">
        <v>7.63</v>
      </c>
      <c r="I961" s="1127">
        <v>0.0</v>
      </c>
      <c r="J961" s="1127">
        <v>0.0</v>
      </c>
      <c r="K961" s="1124"/>
    </row>
    <row r="962" ht="15.75" customHeight="1">
      <c r="A962" s="1119">
        <v>90971.0</v>
      </c>
      <c r="B962" s="1125" t="s">
        <v>11240</v>
      </c>
      <c r="C962" s="1126" t="s">
        <v>1470</v>
      </c>
      <c r="D962" s="1119">
        <v>46.09</v>
      </c>
      <c r="E962" s="1120">
        <v>0.0</v>
      </c>
      <c r="F962" s="1121">
        <f t="shared" si="1"/>
        <v>46.09</v>
      </c>
      <c r="G962" s="1120">
        <v>46.09</v>
      </c>
      <c r="H962" s="1127">
        <v>0.0</v>
      </c>
      <c r="I962" s="1127">
        <v>0.0</v>
      </c>
      <c r="J962" s="1127">
        <v>0.0</v>
      </c>
      <c r="K962" s="1124"/>
    </row>
    <row r="963" ht="15.75" customHeight="1">
      <c r="A963" s="1119">
        <v>90975.0</v>
      </c>
      <c r="B963" s="1125" t="s">
        <v>11241</v>
      </c>
      <c r="C963" s="1126" t="s">
        <v>1470</v>
      </c>
      <c r="D963" s="1119">
        <v>15.49</v>
      </c>
      <c r="E963" s="1120">
        <v>0.0</v>
      </c>
      <c r="F963" s="1121">
        <f t="shared" si="1"/>
        <v>15.49</v>
      </c>
      <c r="G963" s="1120">
        <v>0.0</v>
      </c>
      <c r="H963" s="1127">
        <v>15.49</v>
      </c>
      <c r="I963" s="1127">
        <v>0.0</v>
      </c>
      <c r="J963" s="1127">
        <v>0.0</v>
      </c>
      <c r="K963" s="1124"/>
    </row>
    <row r="964" ht="15.75" customHeight="1">
      <c r="A964" s="1119">
        <v>90976.0</v>
      </c>
      <c r="B964" s="1125" t="s">
        <v>11242</v>
      </c>
      <c r="C964" s="1126" t="s">
        <v>1470</v>
      </c>
      <c r="D964" s="1119">
        <v>2.15</v>
      </c>
      <c r="E964" s="1120">
        <v>0.0</v>
      </c>
      <c r="F964" s="1121">
        <f t="shared" si="1"/>
        <v>2.15</v>
      </c>
      <c r="G964" s="1120">
        <v>0.0</v>
      </c>
      <c r="H964" s="1127">
        <v>2.15</v>
      </c>
      <c r="I964" s="1127">
        <v>0.0</v>
      </c>
      <c r="J964" s="1127">
        <v>0.0</v>
      </c>
      <c r="K964" s="1124"/>
    </row>
    <row r="965" ht="15.75" customHeight="1">
      <c r="A965" s="1119">
        <v>90977.0</v>
      </c>
      <c r="B965" s="1125" t="s">
        <v>11243</v>
      </c>
      <c r="C965" s="1126" t="s">
        <v>1470</v>
      </c>
      <c r="D965" s="1119">
        <v>19.38</v>
      </c>
      <c r="E965" s="1120">
        <v>0.0</v>
      </c>
      <c r="F965" s="1121">
        <f t="shared" si="1"/>
        <v>19.38</v>
      </c>
      <c r="G965" s="1120">
        <v>0.0</v>
      </c>
      <c r="H965" s="1127">
        <v>19.38</v>
      </c>
      <c r="I965" s="1127">
        <v>0.0</v>
      </c>
      <c r="J965" s="1127">
        <v>0.0</v>
      </c>
      <c r="K965" s="1124"/>
    </row>
    <row r="966" ht="15.75" customHeight="1">
      <c r="A966" s="1119">
        <v>90978.0</v>
      </c>
      <c r="B966" s="1125" t="s">
        <v>11244</v>
      </c>
      <c r="C966" s="1126" t="s">
        <v>1470</v>
      </c>
      <c r="D966" s="1119">
        <v>119.57</v>
      </c>
      <c r="E966" s="1120">
        <v>0.0</v>
      </c>
      <c r="F966" s="1121">
        <f t="shared" si="1"/>
        <v>119.57</v>
      </c>
      <c r="G966" s="1120">
        <v>119.57</v>
      </c>
      <c r="H966" s="1127">
        <v>0.0</v>
      </c>
      <c r="I966" s="1127">
        <v>0.0</v>
      </c>
      <c r="J966" s="1127">
        <v>0.0</v>
      </c>
      <c r="K966" s="1124"/>
    </row>
    <row r="967" ht="15.75" customHeight="1">
      <c r="A967" s="1119">
        <v>90992.0</v>
      </c>
      <c r="B967" s="1125" t="s">
        <v>11245</v>
      </c>
      <c r="C967" s="1126" t="s">
        <v>1470</v>
      </c>
      <c r="D967" s="1119">
        <v>7.23</v>
      </c>
      <c r="E967" s="1120">
        <v>0.0</v>
      </c>
      <c r="F967" s="1121">
        <f t="shared" si="1"/>
        <v>7.23</v>
      </c>
      <c r="G967" s="1120">
        <v>0.0</v>
      </c>
      <c r="H967" s="1127">
        <v>7.23</v>
      </c>
      <c r="I967" s="1127">
        <v>0.0</v>
      </c>
      <c r="J967" s="1127">
        <v>0.0</v>
      </c>
      <c r="K967" s="1124"/>
    </row>
    <row r="968" ht="15.75" customHeight="1">
      <c r="A968" s="1119">
        <v>90993.0</v>
      </c>
      <c r="B968" s="1125" t="s">
        <v>11246</v>
      </c>
      <c r="C968" s="1126" t="s">
        <v>1470</v>
      </c>
      <c r="D968" s="1119">
        <v>1.0</v>
      </c>
      <c r="E968" s="1120">
        <v>0.0</v>
      </c>
      <c r="F968" s="1121">
        <f t="shared" si="1"/>
        <v>1</v>
      </c>
      <c r="G968" s="1120">
        <v>0.0</v>
      </c>
      <c r="H968" s="1127">
        <v>1.0</v>
      </c>
      <c r="I968" s="1127">
        <v>0.0</v>
      </c>
      <c r="J968" s="1127">
        <v>0.0</v>
      </c>
      <c r="K968" s="1124"/>
    </row>
    <row r="969" ht="15.75" customHeight="1">
      <c r="A969" s="1119">
        <v>90994.0</v>
      </c>
      <c r="B969" s="1125" t="s">
        <v>11247</v>
      </c>
      <c r="C969" s="1126" t="s">
        <v>1470</v>
      </c>
      <c r="D969" s="1119">
        <v>9.05</v>
      </c>
      <c r="E969" s="1120">
        <v>0.0</v>
      </c>
      <c r="F969" s="1121">
        <f t="shared" si="1"/>
        <v>9.05</v>
      </c>
      <c r="G969" s="1120">
        <v>0.0</v>
      </c>
      <c r="H969" s="1127">
        <v>9.05</v>
      </c>
      <c r="I969" s="1127">
        <v>0.0</v>
      </c>
      <c r="J969" s="1127">
        <v>0.0</v>
      </c>
      <c r="K969" s="1124"/>
    </row>
    <row r="970" ht="15.75" customHeight="1">
      <c r="A970" s="1119">
        <v>90995.0</v>
      </c>
      <c r="B970" s="1125" t="s">
        <v>11248</v>
      </c>
      <c r="C970" s="1126" t="s">
        <v>1470</v>
      </c>
      <c r="D970" s="1119">
        <v>62.6</v>
      </c>
      <c r="E970" s="1120">
        <v>0.0</v>
      </c>
      <c r="F970" s="1121">
        <f t="shared" si="1"/>
        <v>62.6</v>
      </c>
      <c r="G970" s="1120">
        <v>62.6</v>
      </c>
      <c r="H970" s="1127">
        <v>0.0</v>
      </c>
      <c r="I970" s="1127">
        <v>0.0</v>
      </c>
      <c r="J970" s="1127">
        <v>0.0</v>
      </c>
      <c r="K970" s="1124"/>
    </row>
    <row r="971" ht="15.75" customHeight="1">
      <c r="A971" s="1119">
        <v>91021.0</v>
      </c>
      <c r="B971" s="1125" t="s">
        <v>11249</v>
      </c>
      <c r="C971" s="1126" t="s">
        <v>1470</v>
      </c>
      <c r="D971" s="1119">
        <v>13.32</v>
      </c>
      <c r="E971" s="1120">
        <v>0.0</v>
      </c>
      <c r="F971" s="1121">
        <f t="shared" si="1"/>
        <v>13.32</v>
      </c>
      <c r="G971" s="1120">
        <v>0.0</v>
      </c>
      <c r="H971" s="1127">
        <v>13.32</v>
      </c>
      <c r="I971" s="1127">
        <v>0.0</v>
      </c>
      <c r="J971" s="1127">
        <v>0.0</v>
      </c>
      <c r="K971" s="1124"/>
    </row>
    <row r="972" ht="15.75" customHeight="1">
      <c r="A972" s="1119">
        <v>91026.0</v>
      </c>
      <c r="B972" s="1125" t="s">
        <v>11250</v>
      </c>
      <c r="C972" s="1126" t="s">
        <v>1470</v>
      </c>
      <c r="D972" s="1119">
        <v>26.08</v>
      </c>
      <c r="E972" s="1120">
        <v>0.0</v>
      </c>
      <c r="F972" s="1121">
        <f t="shared" si="1"/>
        <v>26.08</v>
      </c>
      <c r="G972" s="1120">
        <v>0.0</v>
      </c>
      <c r="H972" s="1127">
        <v>26.08</v>
      </c>
      <c r="I972" s="1127">
        <v>0.0</v>
      </c>
      <c r="J972" s="1127">
        <v>0.0</v>
      </c>
      <c r="K972" s="1124"/>
    </row>
    <row r="973" ht="15.75" customHeight="1">
      <c r="A973" s="1119">
        <v>91027.0</v>
      </c>
      <c r="B973" s="1125" t="s">
        <v>11251</v>
      </c>
      <c r="C973" s="1126" t="s">
        <v>1470</v>
      </c>
      <c r="D973" s="1119">
        <v>5.31</v>
      </c>
      <c r="E973" s="1120">
        <v>0.0</v>
      </c>
      <c r="F973" s="1121">
        <f t="shared" si="1"/>
        <v>5.31</v>
      </c>
      <c r="G973" s="1120">
        <v>0.0</v>
      </c>
      <c r="H973" s="1127">
        <v>5.31</v>
      </c>
      <c r="I973" s="1127">
        <v>0.0</v>
      </c>
      <c r="J973" s="1127">
        <v>0.0</v>
      </c>
      <c r="K973" s="1124"/>
    </row>
    <row r="974" ht="15.75" customHeight="1">
      <c r="A974" s="1119">
        <v>91028.0</v>
      </c>
      <c r="B974" s="1125" t="s">
        <v>11252</v>
      </c>
      <c r="C974" s="1126" t="s">
        <v>1470</v>
      </c>
      <c r="D974" s="1119">
        <v>4.21</v>
      </c>
      <c r="E974" s="1120">
        <v>0.0</v>
      </c>
      <c r="F974" s="1121">
        <f t="shared" si="1"/>
        <v>4.21</v>
      </c>
      <c r="G974" s="1120">
        <v>0.0</v>
      </c>
      <c r="H974" s="1127">
        <v>4.21</v>
      </c>
      <c r="I974" s="1127">
        <v>0.0</v>
      </c>
      <c r="J974" s="1127">
        <v>0.0</v>
      </c>
      <c r="K974" s="1124"/>
    </row>
    <row r="975" ht="15.75" customHeight="1">
      <c r="A975" s="1119">
        <v>91029.0</v>
      </c>
      <c r="B975" s="1125" t="s">
        <v>11253</v>
      </c>
      <c r="C975" s="1126" t="s">
        <v>1470</v>
      </c>
      <c r="D975" s="1119">
        <v>47.69</v>
      </c>
      <c r="E975" s="1120">
        <v>0.0</v>
      </c>
      <c r="F975" s="1121">
        <f t="shared" si="1"/>
        <v>47.69</v>
      </c>
      <c r="G975" s="1120">
        <v>0.0</v>
      </c>
      <c r="H975" s="1127">
        <v>47.69</v>
      </c>
      <c r="I975" s="1127">
        <v>0.0</v>
      </c>
      <c r="J975" s="1127">
        <v>0.0</v>
      </c>
      <c r="K975" s="1124"/>
    </row>
    <row r="976" ht="15.75" customHeight="1">
      <c r="A976" s="1119">
        <v>91030.0</v>
      </c>
      <c r="B976" s="1125" t="s">
        <v>11254</v>
      </c>
      <c r="C976" s="1126" t="s">
        <v>1470</v>
      </c>
      <c r="D976" s="1119">
        <v>111.56</v>
      </c>
      <c r="E976" s="1120">
        <v>0.0</v>
      </c>
      <c r="F976" s="1121">
        <f t="shared" si="1"/>
        <v>111.56</v>
      </c>
      <c r="G976" s="1120">
        <v>111.56</v>
      </c>
      <c r="H976" s="1127">
        <v>0.0</v>
      </c>
      <c r="I976" s="1127">
        <v>0.0</v>
      </c>
      <c r="J976" s="1127">
        <v>0.0</v>
      </c>
      <c r="K976" s="1124"/>
    </row>
    <row r="977" ht="15.75" customHeight="1">
      <c r="A977" s="1119">
        <v>91273.0</v>
      </c>
      <c r="B977" s="1125" t="s">
        <v>11255</v>
      </c>
      <c r="C977" s="1126" t="s">
        <v>1470</v>
      </c>
      <c r="D977" s="1119">
        <v>0.45</v>
      </c>
      <c r="E977" s="1120">
        <v>0.0</v>
      </c>
      <c r="F977" s="1121">
        <f t="shared" si="1"/>
        <v>0.45</v>
      </c>
      <c r="G977" s="1120">
        <v>0.0</v>
      </c>
      <c r="H977" s="1127">
        <v>0.45</v>
      </c>
      <c r="I977" s="1127">
        <v>0.0</v>
      </c>
      <c r="J977" s="1127">
        <v>0.0</v>
      </c>
      <c r="K977" s="1124"/>
    </row>
    <row r="978" ht="15.75" customHeight="1">
      <c r="A978" s="1119">
        <v>91274.0</v>
      </c>
      <c r="B978" s="1125" t="s">
        <v>11256</v>
      </c>
      <c r="C978" s="1126" t="s">
        <v>1470</v>
      </c>
      <c r="D978" s="1119">
        <v>0.06</v>
      </c>
      <c r="E978" s="1120">
        <v>0.0</v>
      </c>
      <c r="F978" s="1121">
        <f t="shared" si="1"/>
        <v>0.06</v>
      </c>
      <c r="G978" s="1120">
        <v>0.0</v>
      </c>
      <c r="H978" s="1127">
        <v>0.06</v>
      </c>
      <c r="I978" s="1127">
        <v>0.0</v>
      </c>
      <c r="J978" s="1127">
        <v>0.0</v>
      </c>
      <c r="K978" s="1124"/>
    </row>
    <row r="979" ht="15.75" customHeight="1">
      <c r="A979" s="1119">
        <v>91275.0</v>
      </c>
      <c r="B979" s="1125" t="s">
        <v>11257</v>
      </c>
      <c r="C979" s="1126" t="s">
        <v>1470</v>
      </c>
      <c r="D979" s="1119">
        <v>0.57</v>
      </c>
      <c r="E979" s="1120">
        <v>0.0</v>
      </c>
      <c r="F979" s="1121">
        <f t="shared" si="1"/>
        <v>0.57</v>
      </c>
      <c r="G979" s="1120">
        <v>0.0</v>
      </c>
      <c r="H979" s="1127">
        <v>0.57</v>
      </c>
      <c r="I979" s="1127">
        <v>0.0</v>
      </c>
      <c r="J979" s="1127">
        <v>0.0</v>
      </c>
      <c r="K979" s="1124"/>
    </row>
    <row r="980" ht="15.75" customHeight="1">
      <c r="A980" s="1119">
        <v>91276.0</v>
      </c>
      <c r="B980" s="1125" t="s">
        <v>11258</v>
      </c>
      <c r="C980" s="1126" t="s">
        <v>1470</v>
      </c>
      <c r="D980" s="1119">
        <v>8.1</v>
      </c>
      <c r="E980" s="1120">
        <v>0.0</v>
      </c>
      <c r="F980" s="1121">
        <f t="shared" si="1"/>
        <v>8.1</v>
      </c>
      <c r="G980" s="1120">
        <v>8.1</v>
      </c>
      <c r="H980" s="1127">
        <v>0.0</v>
      </c>
      <c r="I980" s="1127">
        <v>0.0</v>
      </c>
      <c r="J980" s="1127">
        <v>0.0</v>
      </c>
      <c r="K980" s="1124"/>
    </row>
    <row r="981" ht="15.75" customHeight="1">
      <c r="A981" s="1119">
        <v>91279.0</v>
      </c>
      <c r="B981" s="1125" t="s">
        <v>11259</v>
      </c>
      <c r="C981" s="1126" t="s">
        <v>1470</v>
      </c>
      <c r="D981" s="1119">
        <v>0.9</v>
      </c>
      <c r="E981" s="1120">
        <v>0.0</v>
      </c>
      <c r="F981" s="1121">
        <f t="shared" si="1"/>
        <v>0.9</v>
      </c>
      <c r="G981" s="1120">
        <v>0.0</v>
      </c>
      <c r="H981" s="1127">
        <v>0.9</v>
      </c>
      <c r="I981" s="1127">
        <v>0.0</v>
      </c>
      <c r="J981" s="1127">
        <v>0.0</v>
      </c>
      <c r="K981" s="1124"/>
    </row>
    <row r="982" ht="15.75" customHeight="1">
      <c r="A982" s="1119">
        <v>91280.0</v>
      </c>
      <c r="B982" s="1125" t="s">
        <v>11260</v>
      </c>
      <c r="C982" s="1126" t="s">
        <v>1470</v>
      </c>
      <c r="D982" s="1119">
        <v>0.1</v>
      </c>
      <c r="E982" s="1120">
        <v>0.0</v>
      </c>
      <c r="F982" s="1121">
        <f t="shared" si="1"/>
        <v>0.1</v>
      </c>
      <c r="G982" s="1120">
        <v>0.0</v>
      </c>
      <c r="H982" s="1127">
        <v>0.1</v>
      </c>
      <c r="I982" s="1127">
        <v>0.0</v>
      </c>
      <c r="J982" s="1127">
        <v>0.0</v>
      </c>
      <c r="K982" s="1124"/>
    </row>
    <row r="983" ht="15.75" customHeight="1">
      <c r="A983" s="1119">
        <v>91281.0</v>
      </c>
      <c r="B983" s="1125" t="s">
        <v>11261</v>
      </c>
      <c r="C983" s="1126" t="s">
        <v>1470</v>
      </c>
      <c r="D983" s="1119">
        <v>1.12</v>
      </c>
      <c r="E983" s="1120">
        <v>0.0</v>
      </c>
      <c r="F983" s="1121">
        <f t="shared" si="1"/>
        <v>1.12</v>
      </c>
      <c r="G983" s="1120">
        <v>0.0</v>
      </c>
      <c r="H983" s="1127">
        <v>1.12</v>
      </c>
      <c r="I983" s="1127">
        <v>0.0</v>
      </c>
      <c r="J983" s="1127">
        <v>0.0</v>
      </c>
      <c r="K983" s="1124"/>
    </row>
    <row r="984" ht="15.75" customHeight="1">
      <c r="A984" s="1119">
        <v>91282.0</v>
      </c>
      <c r="B984" s="1125" t="s">
        <v>11262</v>
      </c>
      <c r="C984" s="1126" t="s">
        <v>1470</v>
      </c>
      <c r="D984" s="1119">
        <v>8.16</v>
      </c>
      <c r="E984" s="1120">
        <v>0.0</v>
      </c>
      <c r="F984" s="1121">
        <f t="shared" si="1"/>
        <v>8.16</v>
      </c>
      <c r="G984" s="1120">
        <v>8.16</v>
      </c>
      <c r="H984" s="1127">
        <v>0.0</v>
      </c>
      <c r="I984" s="1127">
        <v>0.0</v>
      </c>
      <c r="J984" s="1127">
        <v>0.0</v>
      </c>
      <c r="K984" s="1124"/>
    </row>
    <row r="985" ht="15.75" customHeight="1">
      <c r="A985" s="1119">
        <v>91354.0</v>
      </c>
      <c r="B985" s="1125" t="s">
        <v>11263</v>
      </c>
      <c r="C985" s="1126" t="s">
        <v>1470</v>
      </c>
      <c r="D985" s="1119">
        <v>18.38</v>
      </c>
      <c r="E985" s="1120">
        <v>0.0</v>
      </c>
      <c r="F985" s="1121">
        <f t="shared" si="1"/>
        <v>18.38</v>
      </c>
      <c r="G985" s="1120">
        <v>0.0</v>
      </c>
      <c r="H985" s="1127">
        <v>18.38</v>
      </c>
      <c r="I985" s="1127">
        <v>0.0</v>
      </c>
      <c r="J985" s="1127">
        <v>0.0</v>
      </c>
      <c r="K985" s="1124"/>
    </row>
    <row r="986" ht="15.75" customHeight="1">
      <c r="A986" s="1119">
        <v>91355.0</v>
      </c>
      <c r="B986" s="1125" t="s">
        <v>11264</v>
      </c>
      <c r="C986" s="1126" t="s">
        <v>1470</v>
      </c>
      <c r="D986" s="1119">
        <v>3.86</v>
      </c>
      <c r="E986" s="1120">
        <v>0.0</v>
      </c>
      <c r="F986" s="1121">
        <f t="shared" si="1"/>
        <v>3.86</v>
      </c>
      <c r="G986" s="1120">
        <v>0.0</v>
      </c>
      <c r="H986" s="1127">
        <v>3.86</v>
      </c>
      <c r="I986" s="1127">
        <v>0.0</v>
      </c>
      <c r="J986" s="1127">
        <v>0.0</v>
      </c>
      <c r="K986" s="1124"/>
    </row>
    <row r="987" ht="15.75" customHeight="1">
      <c r="A987" s="1119">
        <v>91356.0</v>
      </c>
      <c r="B987" s="1125" t="s">
        <v>11265</v>
      </c>
      <c r="C987" s="1126" t="s">
        <v>1470</v>
      </c>
      <c r="D987" s="1119">
        <v>3.05</v>
      </c>
      <c r="E987" s="1120">
        <v>0.0</v>
      </c>
      <c r="F987" s="1121">
        <f t="shared" si="1"/>
        <v>3.05</v>
      </c>
      <c r="G987" s="1120">
        <v>0.0</v>
      </c>
      <c r="H987" s="1127">
        <v>3.05</v>
      </c>
      <c r="I987" s="1127">
        <v>0.0</v>
      </c>
      <c r="J987" s="1127">
        <v>0.0</v>
      </c>
      <c r="K987" s="1124"/>
    </row>
    <row r="988" ht="15.75" customHeight="1">
      <c r="A988" s="1119">
        <v>91359.0</v>
      </c>
      <c r="B988" s="1125" t="s">
        <v>11266</v>
      </c>
      <c r="C988" s="1126" t="s">
        <v>1470</v>
      </c>
      <c r="D988" s="1119">
        <v>22.03</v>
      </c>
      <c r="E988" s="1120">
        <v>0.0</v>
      </c>
      <c r="F988" s="1121">
        <f t="shared" si="1"/>
        <v>22.03</v>
      </c>
      <c r="G988" s="1120">
        <v>0.0</v>
      </c>
      <c r="H988" s="1127">
        <v>22.03</v>
      </c>
      <c r="I988" s="1127">
        <v>0.0</v>
      </c>
      <c r="J988" s="1127">
        <v>0.0</v>
      </c>
      <c r="K988" s="1124"/>
    </row>
    <row r="989" ht="15.75" customHeight="1">
      <c r="A989" s="1119">
        <v>91360.0</v>
      </c>
      <c r="B989" s="1125" t="s">
        <v>11267</v>
      </c>
      <c r="C989" s="1126" t="s">
        <v>1470</v>
      </c>
      <c r="D989" s="1119">
        <v>4.29</v>
      </c>
      <c r="E989" s="1120">
        <v>0.0</v>
      </c>
      <c r="F989" s="1121">
        <f t="shared" si="1"/>
        <v>4.29</v>
      </c>
      <c r="G989" s="1120">
        <v>0.0</v>
      </c>
      <c r="H989" s="1127">
        <v>4.29</v>
      </c>
      <c r="I989" s="1127">
        <v>0.0</v>
      </c>
      <c r="J989" s="1127">
        <v>0.0</v>
      </c>
      <c r="K989" s="1124"/>
    </row>
    <row r="990" ht="15.75" customHeight="1">
      <c r="A990" s="1119">
        <v>91361.0</v>
      </c>
      <c r="B990" s="1125" t="s">
        <v>11268</v>
      </c>
      <c r="C990" s="1126" t="s">
        <v>1470</v>
      </c>
      <c r="D990" s="1119">
        <v>3.39</v>
      </c>
      <c r="E990" s="1120">
        <v>0.0</v>
      </c>
      <c r="F990" s="1121">
        <f t="shared" si="1"/>
        <v>3.39</v>
      </c>
      <c r="G990" s="1120">
        <v>0.0</v>
      </c>
      <c r="H990" s="1127">
        <v>3.39</v>
      </c>
      <c r="I990" s="1127">
        <v>0.0</v>
      </c>
      <c r="J990" s="1127">
        <v>0.0</v>
      </c>
      <c r="K990" s="1124"/>
    </row>
    <row r="991" ht="15.75" customHeight="1">
      <c r="A991" s="1119">
        <v>91367.0</v>
      </c>
      <c r="B991" s="1125" t="s">
        <v>11269</v>
      </c>
      <c r="C991" s="1126" t="s">
        <v>1470</v>
      </c>
      <c r="D991" s="1119">
        <v>23.69</v>
      </c>
      <c r="E991" s="1120">
        <v>0.0</v>
      </c>
      <c r="F991" s="1121">
        <f t="shared" si="1"/>
        <v>23.69</v>
      </c>
      <c r="G991" s="1120">
        <v>0.0</v>
      </c>
      <c r="H991" s="1127">
        <v>23.69</v>
      </c>
      <c r="I991" s="1127">
        <v>0.0</v>
      </c>
      <c r="J991" s="1127">
        <v>0.0</v>
      </c>
      <c r="K991" s="1124"/>
    </row>
    <row r="992" ht="15.75" customHeight="1">
      <c r="A992" s="1119">
        <v>91368.0</v>
      </c>
      <c r="B992" s="1125" t="s">
        <v>11270</v>
      </c>
      <c r="C992" s="1126" t="s">
        <v>1470</v>
      </c>
      <c r="D992" s="1119">
        <v>4.6</v>
      </c>
      <c r="E992" s="1120">
        <v>0.0</v>
      </c>
      <c r="F992" s="1121">
        <f t="shared" si="1"/>
        <v>4.6</v>
      </c>
      <c r="G992" s="1120">
        <v>0.0</v>
      </c>
      <c r="H992" s="1127">
        <v>4.6</v>
      </c>
      <c r="I992" s="1127">
        <v>0.0</v>
      </c>
      <c r="J992" s="1127">
        <v>0.0</v>
      </c>
      <c r="K992" s="1124"/>
    </row>
    <row r="993" ht="15.75" customHeight="1">
      <c r="A993" s="1119">
        <v>91369.0</v>
      </c>
      <c r="B993" s="1125" t="s">
        <v>11271</v>
      </c>
      <c r="C993" s="1126" t="s">
        <v>1470</v>
      </c>
      <c r="D993" s="1119">
        <v>3.64</v>
      </c>
      <c r="E993" s="1120">
        <v>0.0</v>
      </c>
      <c r="F993" s="1121">
        <f t="shared" si="1"/>
        <v>3.64</v>
      </c>
      <c r="G993" s="1120">
        <v>0.0</v>
      </c>
      <c r="H993" s="1127">
        <v>3.64</v>
      </c>
      <c r="I993" s="1127">
        <v>0.0</v>
      </c>
      <c r="J993" s="1127">
        <v>0.0</v>
      </c>
      <c r="K993" s="1124"/>
    </row>
    <row r="994" ht="15.75" customHeight="1">
      <c r="A994" s="1119">
        <v>91375.0</v>
      </c>
      <c r="B994" s="1125" t="s">
        <v>11272</v>
      </c>
      <c r="C994" s="1126" t="s">
        <v>1470</v>
      </c>
      <c r="D994" s="1119">
        <v>20.19</v>
      </c>
      <c r="E994" s="1120">
        <v>0.0</v>
      </c>
      <c r="F994" s="1121">
        <f t="shared" si="1"/>
        <v>20.19</v>
      </c>
      <c r="G994" s="1120">
        <v>0.0</v>
      </c>
      <c r="H994" s="1127">
        <v>20.19</v>
      </c>
      <c r="I994" s="1127">
        <v>0.0</v>
      </c>
      <c r="J994" s="1127">
        <v>0.0</v>
      </c>
      <c r="K994" s="1124"/>
    </row>
    <row r="995" ht="15.75" customHeight="1">
      <c r="A995" s="1119">
        <v>91376.0</v>
      </c>
      <c r="B995" s="1125" t="s">
        <v>11273</v>
      </c>
      <c r="C995" s="1126" t="s">
        <v>1470</v>
      </c>
      <c r="D995" s="1119">
        <v>4.23</v>
      </c>
      <c r="E995" s="1120">
        <v>0.0</v>
      </c>
      <c r="F995" s="1121">
        <f t="shared" si="1"/>
        <v>4.23</v>
      </c>
      <c r="G995" s="1120">
        <v>0.0</v>
      </c>
      <c r="H995" s="1127">
        <v>4.23</v>
      </c>
      <c r="I995" s="1127">
        <v>0.0</v>
      </c>
      <c r="J995" s="1127">
        <v>0.0</v>
      </c>
      <c r="K995" s="1124"/>
    </row>
    <row r="996" ht="15.75" customHeight="1">
      <c r="A996" s="1119">
        <v>91377.0</v>
      </c>
      <c r="B996" s="1125" t="s">
        <v>11274</v>
      </c>
      <c r="C996" s="1126" t="s">
        <v>1470</v>
      </c>
      <c r="D996" s="1119">
        <v>3.35</v>
      </c>
      <c r="E996" s="1120">
        <v>0.0</v>
      </c>
      <c r="F996" s="1121">
        <f t="shared" si="1"/>
        <v>3.35</v>
      </c>
      <c r="G996" s="1120">
        <v>0.0</v>
      </c>
      <c r="H996" s="1127">
        <v>3.35</v>
      </c>
      <c r="I996" s="1127">
        <v>0.0</v>
      </c>
      <c r="J996" s="1127">
        <v>0.0</v>
      </c>
      <c r="K996" s="1124"/>
    </row>
    <row r="997" ht="15.75" customHeight="1">
      <c r="A997" s="1119">
        <v>91380.0</v>
      </c>
      <c r="B997" s="1125" t="s">
        <v>11275</v>
      </c>
      <c r="C997" s="1126" t="s">
        <v>1470</v>
      </c>
      <c r="D997" s="1119">
        <v>31.19</v>
      </c>
      <c r="E997" s="1120">
        <v>0.0</v>
      </c>
      <c r="F997" s="1121">
        <f t="shared" si="1"/>
        <v>31.19</v>
      </c>
      <c r="G997" s="1120">
        <v>0.0</v>
      </c>
      <c r="H997" s="1127">
        <v>31.19</v>
      </c>
      <c r="I997" s="1127">
        <v>0.0</v>
      </c>
      <c r="J997" s="1127">
        <v>0.0</v>
      </c>
      <c r="K997" s="1124"/>
    </row>
    <row r="998" ht="15.75" customHeight="1">
      <c r="A998" s="1119">
        <v>91381.0</v>
      </c>
      <c r="B998" s="1125" t="s">
        <v>11276</v>
      </c>
      <c r="C998" s="1126" t="s">
        <v>1470</v>
      </c>
      <c r="D998" s="1119">
        <v>6.05</v>
      </c>
      <c r="E998" s="1120">
        <v>0.0</v>
      </c>
      <c r="F998" s="1121">
        <f t="shared" si="1"/>
        <v>6.05</v>
      </c>
      <c r="G998" s="1120">
        <v>0.0</v>
      </c>
      <c r="H998" s="1127">
        <v>6.05</v>
      </c>
      <c r="I998" s="1127">
        <v>0.0</v>
      </c>
      <c r="J998" s="1127">
        <v>0.0</v>
      </c>
      <c r="K998" s="1124"/>
    </row>
    <row r="999" ht="15.75" customHeight="1">
      <c r="A999" s="1119">
        <v>91382.0</v>
      </c>
      <c r="B999" s="1125" t="s">
        <v>11277</v>
      </c>
      <c r="C999" s="1126" t="s">
        <v>1470</v>
      </c>
      <c r="D999" s="1119">
        <v>4.78</v>
      </c>
      <c r="E999" s="1120">
        <v>0.0</v>
      </c>
      <c r="F999" s="1121">
        <f t="shared" si="1"/>
        <v>4.78</v>
      </c>
      <c r="G999" s="1120">
        <v>0.0</v>
      </c>
      <c r="H999" s="1127">
        <v>4.78</v>
      </c>
      <c r="I999" s="1127">
        <v>0.0</v>
      </c>
      <c r="J999" s="1127">
        <v>0.0</v>
      </c>
      <c r="K999" s="1124"/>
    </row>
    <row r="1000" ht="15.75" customHeight="1">
      <c r="A1000" s="1119">
        <v>91383.0</v>
      </c>
      <c r="B1000" s="1125" t="s">
        <v>11278</v>
      </c>
      <c r="C1000" s="1126" t="s">
        <v>1470</v>
      </c>
      <c r="D1000" s="1119">
        <v>55.81</v>
      </c>
      <c r="E1000" s="1120">
        <v>0.0</v>
      </c>
      <c r="F1000" s="1121">
        <f t="shared" si="1"/>
        <v>55.81</v>
      </c>
      <c r="G1000" s="1120">
        <v>0.0</v>
      </c>
      <c r="H1000" s="1127">
        <v>55.81</v>
      </c>
      <c r="I1000" s="1127">
        <v>0.0</v>
      </c>
      <c r="J1000" s="1127">
        <v>0.0</v>
      </c>
      <c r="K1000" s="1124"/>
    </row>
    <row r="1001" ht="15.75" customHeight="1">
      <c r="A1001" s="1119">
        <v>91384.0</v>
      </c>
      <c r="B1001" s="1125" t="s">
        <v>11279</v>
      </c>
      <c r="C1001" s="1126" t="s">
        <v>1470</v>
      </c>
      <c r="D1001" s="1119">
        <v>107.83</v>
      </c>
      <c r="E1001" s="1120">
        <v>0.0</v>
      </c>
      <c r="F1001" s="1121">
        <f t="shared" si="1"/>
        <v>107.83</v>
      </c>
      <c r="G1001" s="1120">
        <v>107.83</v>
      </c>
      <c r="H1001" s="1127">
        <v>0.0</v>
      </c>
      <c r="I1001" s="1127">
        <v>0.0</v>
      </c>
      <c r="J1001" s="1127">
        <v>0.0</v>
      </c>
      <c r="K1001" s="1124"/>
    </row>
    <row r="1002" ht="15.75" customHeight="1">
      <c r="A1002" s="1119">
        <v>91390.0</v>
      </c>
      <c r="B1002" s="1125" t="s">
        <v>11280</v>
      </c>
      <c r="C1002" s="1126" t="s">
        <v>1470</v>
      </c>
      <c r="D1002" s="1119">
        <v>20.33</v>
      </c>
      <c r="E1002" s="1120">
        <v>0.0</v>
      </c>
      <c r="F1002" s="1121">
        <f t="shared" si="1"/>
        <v>20.33</v>
      </c>
      <c r="G1002" s="1120">
        <v>0.0</v>
      </c>
      <c r="H1002" s="1127">
        <v>20.33</v>
      </c>
      <c r="I1002" s="1127">
        <v>0.0</v>
      </c>
      <c r="J1002" s="1127">
        <v>0.0</v>
      </c>
      <c r="K1002" s="1124"/>
    </row>
    <row r="1003" ht="15.75" customHeight="1">
      <c r="A1003" s="1119">
        <v>91391.0</v>
      </c>
      <c r="B1003" s="1125" t="s">
        <v>11281</v>
      </c>
      <c r="C1003" s="1126" t="s">
        <v>1470</v>
      </c>
      <c r="D1003" s="1119">
        <v>4.11</v>
      </c>
      <c r="E1003" s="1120">
        <v>0.0</v>
      </c>
      <c r="F1003" s="1121">
        <f t="shared" si="1"/>
        <v>4.11</v>
      </c>
      <c r="G1003" s="1120">
        <v>0.0</v>
      </c>
      <c r="H1003" s="1127">
        <v>4.11</v>
      </c>
      <c r="I1003" s="1127">
        <v>0.0</v>
      </c>
      <c r="J1003" s="1127">
        <v>0.0</v>
      </c>
      <c r="K1003" s="1124"/>
    </row>
    <row r="1004" ht="15.75" customHeight="1">
      <c r="A1004" s="1119">
        <v>91392.0</v>
      </c>
      <c r="B1004" s="1125" t="s">
        <v>11282</v>
      </c>
      <c r="C1004" s="1126" t="s">
        <v>1470</v>
      </c>
      <c r="D1004" s="1119">
        <v>3.25</v>
      </c>
      <c r="E1004" s="1120">
        <v>0.0</v>
      </c>
      <c r="F1004" s="1121">
        <f t="shared" si="1"/>
        <v>3.25</v>
      </c>
      <c r="G1004" s="1120">
        <v>0.0</v>
      </c>
      <c r="H1004" s="1127">
        <v>3.25</v>
      </c>
      <c r="I1004" s="1127">
        <v>0.0</v>
      </c>
      <c r="J1004" s="1127">
        <v>0.0</v>
      </c>
      <c r="K1004" s="1124"/>
    </row>
    <row r="1005" ht="15.75" customHeight="1">
      <c r="A1005" s="1119">
        <v>91396.0</v>
      </c>
      <c r="B1005" s="1125" t="s">
        <v>11283</v>
      </c>
      <c r="C1005" s="1126" t="s">
        <v>1470</v>
      </c>
      <c r="D1005" s="1119">
        <v>30.53</v>
      </c>
      <c r="E1005" s="1120">
        <v>0.0</v>
      </c>
      <c r="F1005" s="1121">
        <f t="shared" si="1"/>
        <v>30.53</v>
      </c>
      <c r="G1005" s="1120">
        <v>0.0</v>
      </c>
      <c r="H1005" s="1127">
        <v>30.53</v>
      </c>
      <c r="I1005" s="1127">
        <v>0.0</v>
      </c>
      <c r="J1005" s="1127">
        <v>0.0</v>
      </c>
      <c r="K1005" s="1124"/>
    </row>
    <row r="1006" ht="15.75" customHeight="1">
      <c r="A1006" s="1119">
        <v>91397.0</v>
      </c>
      <c r="B1006" s="1125" t="s">
        <v>11284</v>
      </c>
      <c r="C1006" s="1126" t="s">
        <v>1470</v>
      </c>
      <c r="D1006" s="1119">
        <v>6.01</v>
      </c>
      <c r="E1006" s="1120">
        <v>0.0</v>
      </c>
      <c r="F1006" s="1121">
        <f t="shared" si="1"/>
        <v>6.01</v>
      </c>
      <c r="G1006" s="1120">
        <v>0.0</v>
      </c>
      <c r="H1006" s="1127">
        <v>6.01</v>
      </c>
      <c r="I1006" s="1127">
        <v>0.0</v>
      </c>
      <c r="J1006" s="1127">
        <v>0.0</v>
      </c>
      <c r="K1006" s="1124"/>
    </row>
    <row r="1007" ht="15.75" customHeight="1">
      <c r="A1007" s="1119">
        <v>91398.0</v>
      </c>
      <c r="B1007" s="1125" t="s">
        <v>11285</v>
      </c>
      <c r="C1007" s="1126" t="s">
        <v>1470</v>
      </c>
      <c r="D1007" s="1119">
        <v>4.75</v>
      </c>
      <c r="E1007" s="1120">
        <v>0.0</v>
      </c>
      <c r="F1007" s="1121">
        <f t="shared" si="1"/>
        <v>4.75</v>
      </c>
      <c r="G1007" s="1120">
        <v>0.0</v>
      </c>
      <c r="H1007" s="1127">
        <v>4.75</v>
      </c>
      <c r="I1007" s="1127">
        <v>0.0</v>
      </c>
      <c r="J1007" s="1127">
        <v>0.0</v>
      </c>
      <c r="K1007" s="1124"/>
    </row>
    <row r="1008" ht="15.75" customHeight="1">
      <c r="A1008" s="1119">
        <v>91402.0</v>
      </c>
      <c r="B1008" s="1125" t="s">
        <v>11286</v>
      </c>
      <c r="C1008" s="1126" t="s">
        <v>1470</v>
      </c>
      <c r="D1008" s="1119">
        <v>3.77</v>
      </c>
      <c r="E1008" s="1120">
        <v>0.0</v>
      </c>
      <c r="F1008" s="1121">
        <f t="shared" si="1"/>
        <v>3.77</v>
      </c>
      <c r="G1008" s="1120">
        <v>0.0</v>
      </c>
      <c r="H1008" s="1127">
        <v>3.77</v>
      </c>
      <c r="I1008" s="1127">
        <v>0.0</v>
      </c>
      <c r="J1008" s="1127">
        <v>0.0</v>
      </c>
      <c r="K1008" s="1124"/>
    </row>
    <row r="1009" ht="15.75" customHeight="1">
      <c r="A1009" s="1119">
        <v>91466.0</v>
      </c>
      <c r="B1009" s="1125" t="s">
        <v>11287</v>
      </c>
      <c r="C1009" s="1126" t="s">
        <v>1470</v>
      </c>
      <c r="D1009" s="1119">
        <v>4.15</v>
      </c>
      <c r="E1009" s="1120">
        <v>0.0</v>
      </c>
      <c r="F1009" s="1121">
        <f t="shared" si="1"/>
        <v>4.15</v>
      </c>
      <c r="G1009" s="1120">
        <v>0.0</v>
      </c>
      <c r="H1009" s="1127">
        <v>4.15</v>
      </c>
      <c r="I1009" s="1127">
        <v>0.0</v>
      </c>
      <c r="J1009" s="1127">
        <v>0.0</v>
      </c>
      <c r="K1009" s="1124"/>
    </row>
    <row r="1010" ht="15.75" customHeight="1">
      <c r="A1010" s="1119">
        <v>91467.0</v>
      </c>
      <c r="B1010" s="1125" t="s">
        <v>11288</v>
      </c>
      <c r="C1010" s="1126" t="s">
        <v>1470</v>
      </c>
      <c r="D1010" s="1119">
        <v>120.25</v>
      </c>
      <c r="E1010" s="1120">
        <v>0.0</v>
      </c>
      <c r="F1010" s="1121">
        <f t="shared" si="1"/>
        <v>120.25</v>
      </c>
      <c r="G1010" s="1120">
        <v>120.25</v>
      </c>
      <c r="H1010" s="1127">
        <v>0.0</v>
      </c>
      <c r="I1010" s="1127">
        <v>0.0</v>
      </c>
      <c r="J1010" s="1127">
        <v>0.0</v>
      </c>
      <c r="K1010" s="1124"/>
    </row>
    <row r="1011" ht="15.75" customHeight="1">
      <c r="A1011" s="1119">
        <v>91468.0</v>
      </c>
      <c r="B1011" s="1125" t="s">
        <v>11289</v>
      </c>
      <c r="C1011" s="1126" t="s">
        <v>1470</v>
      </c>
      <c r="D1011" s="1119">
        <v>23.46</v>
      </c>
      <c r="E1011" s="1120">
        <v>0.0</v>
      </c>
      <c r="F1011" s="1121">
        <f t="shared" si="1"/>
        <v>23.46</v>
      </c>
      <c r="G1011" s="1120">
        <v>0.0</v>
      </c>
      <c r="H1011" s="1127">
        <v>23.46</v>
      </c>
      <c r="I1011" s="1127">
        <v>0.0</v>
      </c>
      <c r="J1011" s="1127">
        <v>0.0</v>
      </c>
      <c r="K1011" s="1124"/>
    </row>
    <row r="1012" ht="15.75" customHeight="1">
      <c r="A1012" s="1119">
        <v>91469.0</v>
      </c>
      <c r="B1012" s="1125" t="s">
        <v>11290</v>
      </c>
      <c r="C1012" s="1126" t="s">
        <v>1470</v>
      </c>
      <c r="D1012" s="1119">
        <v>7.82</v>
      </c>
      <c r="E1012" s="1120">
        <v>0.0</v>
      </c>
      <c r="F1012" s="1121">
        <f t="shared" si="1"/>
        <v>7.82</v>
      </c>
      <c r="G1012" s="1120">
        <v>0.0</v>
      </c>
      <c r="H1012" s="1127">
        <v>7.82</v>
      </c>
      <c r="I1012" s="1127">
        <v>0.0</v>
      </c>
      <c r="J1012" s="1127">
        <v>0.0</v>
      </c>
      <c r="K1012" s="1124"/>
    </row>
    <row r="1013" ht="15.75" customHeight="1">
      <c r="A1013" s="1119">
        <v>91484.0</v>
      </c>
      <c r="B1013" s="1125" t="s">
        <v>11291</v>
      </c>
      <c r="C1013" s="1126" t="s">
        <v>1470</v>
      </c>
      <c r="D1013" s="1119">
        <v>7.82</v>
      </c>
      <c r="E1013" s="1120">
        <v>0.0</v>
      </c>
      <c r="F1013" s="1121">
        <f t="shared" si="1"/>
        <v>7.82</v>
      </c>
      <c r="G1013" s="1120">
        <v>0.0</v>
      </c>
      <c r="H1013" s="1127">
        <v>7.82</v>
      </c>
      <c r="I1013" s="1127">
        <v>0.0</v>
      </c>
      <c r="J1013" s="1127">
        <v>0.0</v>
      </c>
      <c r="K1013" s="1124"/>
    </row>
    <row r="1014" ht="15.75" customHeight="1">
      <c r="A1014" s="1119">
        <v>91485.0</v>
      </c>
      <c r="B1014" s="1125" t="s">
        <v>11292</v>
      </c>
      <c r="C1014" s="1126" t="s">
        <v>1470</v>
      </c>
      <c r="D1014" s="1119">
        <v>124.07</v>
      </c>
      <c r="E1014" s="1120">
        <v>0.0</v>
      </c>
      <c r="F1014" s="1121">
        <f t="shared" si="1"/>
        <v>124.07</v>
      </c>
      <c r="G1014" s="1120">
        <v>124.07</v>
      </c>
      <c r="H1014" s="1127">
        <v>0.0</v>
      </c>
      <c r="I1014" s="1127">
        <v>0.0</v>
      </c>
      <c r="J1014" s="1127">
        <v>0.0</v>
      </c>
      <c r="K1014" s="1124"/>
    </row>
    <row r="1015" ht="15.75" customHeight="1">
      <c r="A1015" s="1119">
        <v>91529.0</v>
      </c>
      <c r="B1015" s="1125" t="s">
        <v>11293</v>
      </c>
      <c r="C1015" s="1126" t="s">
        <v>1470</v>
      </c>
      <c r="D1015" s="1119">
        <v>0.67</v>
      </c>
      <c r="E1015" s="1120">
        <v>0.0</v>
      </c>
      <c r="F1015" s="1121">
        <f t="shared" si="1"/>
        <v>0.67</v>
      </c>
      <c r="G1015" s="1120">
        <v>0.0</v>
      </c>
      <c r="H1015" s="1127">
        <v>0.67</v>
      </c>
      <c r="I1015" s="1127">
        <v>0.0</v>
      </c>
      <c r="J1015" s="1127">
        <v>0.0</v>
      </c>
      <c r="K1015" s="1124"/>
    </row>
    <row r="1016" ht="15.75" customHeight="1">
      <c r="A1016" s="1119">
        <v>91530.0</v>
      </c>
      <c r="B1016" s="1125" t="s">
        <v>11294</v>
      </c>
      <c r="C1016" s="1126" t="s">
        <v>1470</v>
      </c>
      <c r="D1016" s="1119">
        <v>0.09</v>
      </c>
      <c r="E1016" s="1120">
        <v>0.0</v>
      </c>
      <c r="F1016" s="1121">
        <f t="shared" si="1"/>
        <v>0.09</v>
      </c>
      <c r="G1016" s="1120">
        <v>0.0</v>
      </c>
      <c r="H1016" s="1127">
        <v>0.09</v>
      </c>
      <c r="I1016" s="1127">
        <v>0.0</v>
      </c>
      <c r="J1016" s="1127">
        <v>0.0</v>
      </c>
      <c r="K1016" s="1124"/>
    </row>
    <row r="1017" ht="15.75" customHeight="1">
      <c r="A1017" s="1119">
        <v>91531.0</v>
      </c>
      <c r="B1017" s="1125" t="s">
        <v>11295</v>
      </c>
      <c r="C1017" s="1126" t="s">
        <v>1470</v>
      </c>
      <c r="D1017" s="1119">
        <v>0.84</v>
      </c>
      <c r="E1017" s="1120">
        <v>0.0</v>
      </c>
      <c r="F1017" s="1121">
        <f t="shared" si="1"/>
        <v>0.84</v>
      </c>
      <c r="G1017" s="1120">
        <v>0.0</v>
      </c>
      <c r="H1017" s="1127">
        <v>0.84</v>
      </c>
      <c r="I1017" s="1127">
        <v>0.0</v>
      </c>
      <c r="J1017" s="1127">
        <v>0.0</v>
      </c>
      <c r="K1017" s="1124"/>
    </row>
    <row r="1018" ht="15.75" customHeight="1">
      <c r="A1018" s="1119">
        <v>91532.0</v>
      </c>
      <c r="B1018" s="1125" t="s">
        <v>11296</v>
      </c>
      <c r="C1018" s="1126" t="s">
        <v>1470</v>
      </c>
      <c r="D1018" s="1119">
        <v>5.79</v>
      </c>
      <c r="E1018" s="1120">
        <v>0.0</v>
      </c>
      <c r="F1018" s="1121">
        <f t="shared" si="1"/>
        <v>5.79</v>
      </c>
      <c r="G1018" s="1120">
        <v>5.79</v>
      </c>
      <c r="H1018" s="1127">
        <v>0.0</v>
      </c>
      <c r="I1018" s="1127">
        <v>0.0</v>
      </c>
      <c r="J1018" s="1127">
        <v>0.0</v>
      </c>
      <c r="K1018" s="1124"/>
    </row>
    <row r="1019" ht="15.75" customHeight="1">
      <c r="A1019" s="1119">
        <v>91629.0</v>
      </c>
      <c r="B1019" s="1125" t="s">
        <v>11297</v>
      </c>
      <c r="C1019" s="1126" t="s">
        <v>1470</v>
      </c>
      <c r="D1019" s="1119">
        <v>22.12</v>
      </c>
      <c r="E1019" s="1120">
        <v>0.0</v>
      </c>
      <c r="F1019" s="1121">
        <f t="shared" si="1"/>
        <v>22.12</v>
      </c>
      <c r="G1019" s="1120">
        <v>0.0</v>
      </c>
      <c r="H1019" s="1127">
        <v>22.12</v>
      </c>
      <c r="I1019" s="1127">
        <v>0.0</v>
      </c>
      <c r="J1019" s="1127">
        <v>0.0</v>
      </c>
      <c r="K1019" s="1124"/>
    </row>
    <row r="1020" ht="15.75" customHeight="1">
      <c r="A1020" s="1119">
        <v>91630.0</v>
      </c>
      <c r="B1020" s="1125" t="s">
        <v>11298</v>
      </c>
      <c r="C1020" s="1126" t="s">
        <v>1470</v>
      </c>
      <c r="D1020" s="1119">
        <v>4.21</v>
      </c>
      <c r="E1020" s="1120">
        <v>0.0</v>
      </c>
      <c r="F1020" s="1121">
        <f t="shared" si="1"/>
        <v>4.21</v>
      </c>
      <c r="G1020" s="1120">
        <v>0.0</v>
      </c>
      <c r="H1020" s="1127">
        <v>4.21</v>
      </c>
      <c r="I1020" s="1127">
        <v>0.0</v>
      </c>
      <c r="J1020" s="1127">
        <v>0.0</v>
      </c>
      <c r="K1020" s="1124"/>
    </row>
    <row r="1021" ht="15.75" customHeight="1">
      <c r="A1021" s="1119">
        <v>91631.0</v>
      </c>
      <c r="B1021" s="1125" t="s">
        <v>11299</v>
      </c>
      <c r="C1021" s="1126" t="s">
        <v>1470</v>
      </c>
      <c r="D1021" s="1119">
        <v>3.33</v>
      </c>
      <c r="E1021" s="1120">
        <v>0.0</v>
      </c>
      <c r="F1021" s="1121">
        <f t="shared" si="1"/>
        <v>3.33</v>
      </c>
      <c r="G1021" s="1120">
        <v>0.0</v>
      </c>
      <c r="H1021" s="1127">
        <v>3.33</v>
      </c>
      <c r="I1021" s="1127">
        <v>0.0</v>
      </c>
      <c r="J1021" s="1127">
        <v>0.0</v>
      </c>
      <c r="K1021" s="1124"/>
    </row>
    <row r="1022" ht="15.75" customHeight="1">
      <c r="A1022" s="1119">
        <v>91632.0</v>
      </c>
      <c r="B1022" s="1125" t="s">
        <v>11300</v>
      </c>
      <c r="C1022" s="1126" t="s">
        <v>1470</v>
      </c>
      <c r="D1022" s="1119">
        <v>38.07</v>
      </c>
      <c r="E1022" s="1120">
        <v>0.0</v>
      </c>
      <c r="F1022" s="1121">
        <f t="shared" si="1"/>
        <v>38.07</v>
      </c>
      <c r="G1022" s="1120">
        <v>0.0</v>
      </c>
      <c r="H1022" s="1127">
        <v>38.07</v>
      </c>
      <c r="I1022" s="1127">
        <v>0.0</v>
      </c>
      <c r="J1022" s="1127">
        <v>0.0</v>
      </c>
      <c r="K1022" s="1124"/>
    </row>
    <row r="1023" ht="15.75" customHeight="1">
      <c r="A1023" s="1119">
        <v>91633.0</v>
      </c>
      <c r="B1023" s="1125" t="s">
        <v>11301</v>
      </c>
      <c r="C1023" s="1126" t="s">
        <v>1470</v>
      </c>
      <c r="D1023" s="1119">
        <v>101.78</v>
      </c>
      <c r="E1023" s="1120">
        <v>0.0</v>
      </c>
      <c r="F1023" s="1121">
        <f t="shared" si="1"/>
        <v>101.78</v>
      </c>
      <c r="G1023" s="1120">
        <v>101.78</v>
      </c>
      <c r="H1023" s="1127">
        <v>0.0</v>
      </c>
      <c r="I1023" s="1127">
        <v>0.0</v>
      </c>
      <c r="J1023" s="1127">
        <v>0.0</v>
      </c>
      <c r="K1023" s="1124"/>
    </row>
    <row r="1024" ht="15.75" customHeight="1">
      <c r="A1024" s="1119">
        <v>91640.0</v>
      </c>
      <c r="B1024" s="1125" t="s">
        <v>11302</v>
      </c>
      <c r="C1024" s="1126" t="s">
        <v>1470</v>
      </c>
      <c r="D1024" s="1119">
        <v>40.91</v>
      </c>
      <c r="E1024" s="1120">
        <v>0.0</v>
      </c>
      <c r="F1024" s="1121">
        <f t="shared" si="1"/>
        <v>40.91</v>
      </c>
      <c r="G1024" s="1120">
        <v>0.0</v>
      </c>
      <c r="H1024" s="1127">
        <v>40.91</v>
      </c>
      <c r="I1024" s="1127">
        <v>0.0</v>
      </c>
      <c r="J1024" s="1127">
        <v>0.0</v>
      </c>
      <c r="K1024" s="1124"/>
    </row>
    <row r="1025" ht="15.75" customHeight="1">
      <c r="A1025" s="1119">
        <v>91641.0</v>
      </c>
      <c r="B1025" s="1125" t="s">
        <v>11303</v>
      </c>
      <c r="C1025" s="1126" t="s">
        <v>1470</v>
      </c>
      <c r="D1025" s="1119">
        <v>8.4</v>
      </c>
      <c r="E1025" s="1120">
        <v>0.0</v>
      </c>
      <c r="F1025" s="1121">
        <f t="shared" si="1"/>
        <v>8.4</v>
      </c>
      <c r="G1025" s="1120">
        <v>0.0</v>
      </c>
      <c r="H1025" s="1127">
        <v>8.4</v>
      </c>
      <c r="I1025" s="1127">
        <v>0.0</v>
      </c>
      <c r="J1025" s="1127">
        <v>0.0</v>
      </c>
      <c r="K1025" s="1124"/>
    </row>
    <row r="1026" ht="15.75" customHeight="1">
      <c r="A1026" s="1119">
        <v>91642.0</v>
      </c>
      <c r="B1026" s="1125" t="s">
        <v>11304</v>
      </c>
      <c r="C1026" s="1126" t="s">
        <v>1470</v>
      </c>
      <c r="D1026" s="1119">
        <v>6.66</v>
      </c>
      <c r="E1026" s="1120">
        <v>0.0</v>
      </c>
      <c r="F1026" s="1121">
        <f t="shared" si="1"/>
        <v>6.66</v>
      </c>
      <c r="G1026" s="1120">
        <v>0.0</v>
      </c>
      <c r="H1026" s="1127">
        <v>6.66</v>
      </c>
      <c r="I1026" s="1127">
        <v>0.0</v>
      </c>
      <c r="J1026" s="1127">
        <v>0.0</v>
      </c>
      <c r="K1026" s="1124"/>
    </row>
    <row r="1027" ht="15.75" customHeight="1">
      <c r="A1027" s="1119">
        <v>91643.0</v>
      </c>
      <c r="B1027" s="1125" t="s">
        <v>11305</v>
      </c>
      <c r="C1027" s="1126" t="s">
        <v>1470</v>
      </c>
      <c r="D1027" s="1119">
        <v>73.52</v>
      </c>
      <c r="E1027" s="1120">
        <v>0.0</v>
      </c>
      <c r="F1027" s="1121">
        <f t="shared" si="1"/>
        <v>73.52</v>
      </c>
      <c r="G1027" s="1120">
        <v>0.0</v>
      </c>
      <c r="H1027" s="1127">
        <v>73.52</v>
      </c>
      <c r="I1027" s="1127">
        <v>0.0</v>
      </c>
      <c r="J1027" s="1127">
        <v>0.0</v>
      </c>
      <c r="K1027" s="1124"/>
    </row>
    <row r="1028" ht="15.75" customHeight="1">
      <c r="A1028" s="1119">
        <v>91644.0</v>
      </c>
      <c r="B1028" s="1125" t="s">
        <v>11306</v>
      </c>
      <c r="C1028" s="1126" t="s">
        <v>1470</v>
      </c>
      <c r="D1028" s="1119">
        <v>229.04</v>
      </c>
      <c r="E1028" s="1120">
        <v>0.0</v>
      </c>
      <c r="F1028" s="1121">
        <f t="shared" si="1"/>
        <v>229.04</v>
      </c>
      <c r="G1028" s="1120">
        <v>229.04</v>
      </c>
      <c r="H1028" s="1127">
        <v>0.0</v>
      </c>
      <c r="I1028" s="1127">
        <v>0.0</v>
      </c>
      <c r="J1028" s="1127">
        <v>0.0</v>
      </c>
      <c r="K1028" s="1124"/>
    </row>
    <row r="1029" ht="15.75" customHeight="1">
      <c r="A1029" s="1119">
        <v>91688.0</v>
      </c>
      <c r="B1029" s="1125" t="s">
        <v>11307</v>
      </c>
      <c r="C1029" s="1126" t="s">
        <v>1470</v>
      </c>
      <c r="D1029" s="1119">
        <v>0.1</v>
      </c>
      <c r="E1029" s="1120">
        <v>0.0</v>
      </c>
      <c r="F1029" s="1121">
        <f t="shared" si="1"/>
        <v>0.1</v>
      </c>
      <c r="G1029" s="1120">
        <v>0.0</v>
      </c>
      <c r="H1029" s="1127">
        <v>0.1</v>
      </c>
      <c r="I1029" s="1127">
        <v>0.0</v>
      </c>
      <c r="J1029" s="1127">
        <v>0.0</v>
      </c>
      <c r="K1029" s="1124"/>
    </row>
    <row r="1030" ht="15.75" customHeight="1">
      <c r="A1030" s="1119">
        <v>91689.0</v>
      </c>
      <c r="B1030" s="1125" t="s">
        <v>11308</v>
      </c>
      <c r="C1030" s="1126" t="s">
        <v>1470</v>
      </c>
      <c r="D1030" s="1119">
        <v>0.01</v>
      </c>
      <c r="E1030" s="1120">
        <v>0.0</v>
      </c>
      <c r="F1030" s="1121">
        <f t="shared" si="1"/>
        <v>0.01</v>
      </c>
      <c r="G1030" s="1120">
        <v>0.0</v>
      </c>
      <c r="H1030" s="1127">
        <v>0.01</v>
      </c>
      <c r="I1030" s="1127">
        <v>0.0</v>
      </c>
      <c r="J1030" s="1127">
        <v>0.0</v>
      </c>
      <c r="K1030" s="1124"/>
    </row>
    <row r="1031" ht="15.75" customHeight="1">
      <c r="A1031" s="1119">
        <v>91690.0</v>
      </c>
      <c r="B1031" s="1125" t="s">
        <v>11309</v>
      </c>
      <c r="C1031" s="1126" t="s">
        <v>1470</v>
      </c>
      <c r="D1031" s="1119">
        <v>0.07</v>
      </c>
      <c r="E1031" s="1120">
        <v>0.0</v>
      </c>
      <c r="F1031" s="1121">
        <f t="shared" si="1"/>
        <v>0.07</v>
      </c>
      <c r="G1031" s="1120">
        <v>0.0</v>
      </c>
      <c r="H1031" s="1127">
        <v>0.07</v>
      </c>
      <c r="I1031" s="1127">
        <v>0.0</v>
      </c>
      <c r="J1031" s="1127">
        <v>0.0</v>
      </c>
      <c r="K1031" s="1124"/>
    </row>
    <row r="1032" ht="15.75" customHeight="1">
      <c r="A1032" s="1119">
        <v>91691.0</v>
      </c>
      <c r="B1032" s="1125" t="s">
        <v>11310</v>
      </c>
      <c r="C1032" s="1126" t="s">
        <v>1470</v>
      </c>
      <c r="D1032" s="1119">
        <v>0.87</v>
      </c>
      <c r="E1032" s="1120">
        <v>0.0</v>
      </c>
      <c r="F1032" s="1121">
        <f t="shared" si="1"/>
        <v>0.87</v>
      </c>
      <c r="G1032" s="1120">
        <v>0.0</v>
      </c>
      <c r="H1032" s="1127">
        <v>0.0</v>
      </c>
      <c r="I1032" s="1127">
        <v>0.0</v>
      </c>
      <c r="J1032" s="1127">
        <v>0.87</v>
      </c>
      <c r="K1032" s="1124"/>
    </row>
    <row r="1033" ht="15.75" customHeight="1">
      <c r="A1033" s="1119">
        <v>92040.0</v>
      </c>
      <c r="B1033" s="1125" t="s">
        <v>11311</v>
      </c>
      <c r="C1033" s="1126" t="s">
        <v>1470</v>
      </c>
      <c r="D1033" s="1119">
        <v>6.47</v>
      </c>
      <c r="E1033" s="1120">
        <v>0.0</v>
      </c>
      <c r="F1033" s="1121">
        <f t="shared" si="1"/>
        <v>6.47</v>
      </c>
      <c r="G1033" s="1120">
        <v>0.0</v>
      </c>
      <c r="H1033" s="1127">
        <v>6.47</v>
      </c>
      <c r="I1033" s="1127">
        <v>0.0</v>
      </c>
      <c r="J1033" s="1127">
        <v>0.0</v>
      </c>
      <c r="K1033" s="1124"/>
    </row>
    <row r="1034" ht="15.75" customHeight="1">
      <c r="A1034" s="1119">
        <v>92041.0</v>
      </c>
      <c r="B1034" s="1125" t="s">
        <v>11312</v>
      </c>
      <c r="C1034" s="1126" t="s">
        <v>1470</v>
      </c>
      <c r="D1034" s="1119">
        <v>0.68</v>
      </c>
      <c r="E1034" s="1120">
        <v>0.0</v>
      </c>
      <c r="F1034" s="1121">
        <f t="shared" si="1"/>
        <v>0.68</v>
      </c>
      <c r="G1034" s="1120">
        <v>0.0</v>
      </c>
      <c r="H1034" s="1127">
        <v>0.68</v>
      </c>
      <c r="I1034" s="1127">
        <v>0.0</v>
      </c>
      <c r="J1034" s="1127">
        <v>0.0</v>
      </c>
      <c r="K1034" s="1124"/>
    </row>
    <row r="1035" ht="15.75" customHeight="1">
      <c r="A1035" s="1119">
        <v>92042.0</v>
      </c>
      <c r="B1035" s="1125" t="s">
        <v>11313</v>
      </c>
      <c r="C1035" s="1126" t="s">
        <v>1470</v>
      </c>
      <c r="D1035" s="1119">
        <v>5.39</v>
      </c>
      <c r="E1035" s="1120">
        <v>0.0</v>
      </c>
      <c r="F1035" s="1121">
        <f t="shared" si="1"/>
        <v>5.39</v>
      </c>
      <c r="G1035" s="1120">
        <v>0.0</v>
      </c>
      <c r="H1035" s="1127">
        <v>5.39</v>
      </c>
      <c r="I1035" s="1127">
        <v>0.0</v>
      </c>
      <c r="J1035" s="1127">
        <v>0.0</v>
      </c>
      <c r="K1035" s="1124"/>
    </row>
    <row r="1036" ht="15.75" customHeight="1">
      <c r="A1036" s="1119">
        <v>92101.0</v>
      </c>
      <c r="B1036" s="1125" t="s">
        <v>11314</v>
      </c>
      <c r="C1036" s="1126" t="s">
        <v>1470</v>
      </c>
      <c r="D1036" s="1119">
        <v>37.97</v>
      </c>
      <c r="E1036" s="1120">
        <v>0.0</v>
      </c>
      <c r="F1036" s="1121">
        <f t="shared" si="1"/>
        <v>37.97</v>
      </c>
      <c r="G1036" s="1120">
        <v>0.0</v>
      </c>
      <c r="H1036" s="1127">
        <v>37.97</v>
      </c>
      <c r="I1036" s="1127">
        <v>0.0</v>
      </c>
      <c r="J1036" s="1127">
        <v>0.0</v>
      </c>
      <c r="K1036" s="1124"/>
    </row>
    <row r="1037" ht="15.75" customHeight="1">
      <c r="A1037" s="1119">
        <v>92102.0</v>
      </c>
      <c r="B1037" s="1125" t="s">
        <v>11315</v>
      </c>
      <c r="C1037" s="1126" t="s">
        <v>1470</v>
      </c>
      <c r="D1037" s="1119">
        <v>9.52</v>
      </c>
      <c r="E1037" s="1120">
        <v>0.0</v>
      </c>
      <c r="F1037" s="1121">
        <f t="shared" si="1"/>
        <v>9.52</v>
      </c>
      <c r="G1037" s="1120">
        <v>0.0</v>
      </c>
      <c r="H1037" s="1127">
        <v>9.52</v>
      </c>
      <c r="I1037" s="1127">
        <v>0.0</v>
      </c>
      <c r="J1037" s="1127">
        <v>0.0</v>
      </c>
      <c r="K1037" s="1124"/>
    </row>
    <row r="1038" ht="15.75" customHeight="1">
      <c r="A1038" s="1119">
        <v>92103.0</v>
      </c>
      <c r="B1038" s="1125" t="s">
        <v>11316</v>
      </c>
      <c r="C1038" s="1126" t="s">
        <v>1470</v>
      </c>
      <c r="D1038" s="1119">
        <v>9.52</v>
      </c>
      <c r="E1038" s="1120">
        <v>0.0</v>
      </c>
      <c r="F1038" s="1121">
        <f t="shared" si="1"/>
        <v>9.52</v>
      </c>
      <c r="G1038" s="1120">
        <v>0.0</v>
      </c>
      <c r="H1038" s="1127">
        <v>9.52</v>
      </c>
      <c r="I1038" s="1127">
        <v>0.0</v>
      </c>
      <c r="J1038" s="1127">
        <v>0.0</v>
      </c>
      <c r="K1038" s="1124"/>
    </row>
    <row r="1039" ht="15.75" customHeight="1">
      <c r="A1039" s="1119">
        <v>92104.0</v>
      </c>
      <c r="B1039" s="1125" t="s">
        <v>11317</v>
      </c>
      <c r="C1039" s="1126" t="s">
        <v>1470</v>
      </c>
      <c r="D1039" s="1119">
        <v>64.2</v>
      </c>
      <c r="E1039" s="1120">
        <v>0.0</v>
      </c>
      <c r="F1039" s="1121">
        <f t="shared" si="1"/>
        <v>64.2</v>
      </c>
      <c r="G1039" s="1120">
        <v>0.0</v>
      </c>
      <c r="H1039" s="1127">
        <v>64.2</v>
      </c>
      <c r="I1039" s="1127">
        <v>0.0</v>
      </c>
      <c r="J1039" s="1127">
        <v>0.0</v>
      </c>
      <c r="K1039" s="1124"/>
    </row>
    <row r="1040" ht="15.75" customHeight="1">
      <c r="A1040" s="1119">
        <v>92105.0</v>
      </c>
      <c r="B1040" s="1125" t="s">
        <v>11318</v>
      </c>
      <c r="C1040" s="1126" t="s">
        <v>1470</v>
      </c>
      <c r="D1040" s="1119">
        <v>134.08</v>
      </c>
      <c r="E1040" s="1120">
        <v>0.0</v>
      </c>
      <c r="F1040" s="1121">
        <f t="shared" si="1"/>
        <v>134.08</v>
      </c>
      <c r="G1040" s="1120">
        <v>134.08</v>
      </c>
      <c r="H1040" s="1127">
        <v>0.0</v>
      </c>
      <c r="I1040" s="1127">
        <v>0.0</v>
      </c>
      <c r="J1040" s="1127">
        <v>0.0</v>
      </c>
      <c r="K1040" s="1124"/>
    </row>
    <row r="1041" ht="15.75" customHeight="1">
      <c r="A1041" s="1119">
        <v>92108.0</v>
      </c>
      <c r="B1041" s="1125" t="s">
        <v>11319</v>
      </c>
      <c r="C1041" s="1126" t="s">
        <v>1470</v>
      </c>
      <c r="D1041" s="1119">
        <v>0.84</v>
      </c>
      <c r="E1041" s="1120">
        <v>0.0</v>
      </c>
      <c r="F1041" s="1121">
        <f t="shared" si="1"/>
        <v>0.84</v>
      </c>
      <c r="G1041" s="1120">
        <v>0.0</v>
      </c>
      <c r="H1041" s="1127">
        <v>0.84</v>
      </c>
      <c r="I1041" s="1127">
        <v>0.0</v>
      </c>
      <c r="J1041" s="1127">
        <v>0.0</v>
      </c>
      <c r="K1041" s="1124"/>
    </row>
    <row r="1042" ht="15.75" customHeight="1">
      <c r="A1042" s="1119">
        <v>92109.0</v>
      </c>
      <c r="B1042" s="1125" t="s">
        <v>11320</v>
      </c>
      <c r="C1042" s="1126" t="s">
        <v>1470</v>
      </c>
      <c r="D1042" s="1119">
        <v>0.14</v>
      </c>
      <c r="E1042" s="1120">
        <v>0.0</v>
      </c>
      <c r="F1042" s="1121">
        <f t="shared" si="1"/>
        <v>0.14</v>
      </c>
      <c r="G1042" s="1120">
        <v>0.0</v>
      </c>
      <c r="H1042" s="1127">
        <v>0.14</v>
      </c>
      <c r="I1042" s="1127">
        <v>0.0</v>
      </c>
      <c r="J1042" s="1127">
        <v>0.0</v>
      </c>
      <c r="K1042" s="1124"/>
    </row>
    <row r="1043" ht="15.75" customHeight="1">
      <c r="A1043" s="1119">
        <v>92110.0</v>
      </c>
      <c r="B1043" s="1125" t="s">
        <v>11321</v>
      </c>
      <c r="C1043" s="1126" t="s">
        <v>1470</v>
      </c>
      <c r="D1043" s="1119">
        <v>1.12</v>
      </c>
      <c r="E1043" s="1120">
        <v>0.0</v>
      </c>
      <c r="F1043" s="1121">
        <f t="shared" si="1"/>
        <v>1.12</v>
      </c>
      <c r="G1043" s="1120">
        <v>0.0</v>
      </c>
      <c r="H1043" s="1127">
        <v>1.12</v>
      </c>
      <c r="I1043" s="1127">
        <v>0.0</v>
      </c>
      <c r="J1043" s="1127">
        <v>0.0</v>
      </c>
      <c r="K1043" s="1124"/>
    </row>
    <row r="1044" ht="15.75" customHeight="1">
      <c r="A1044" s="1119">
        <v>92111.0</v>
      </c>
      <c r="B1044" s="1125" t="s">
        <v>11322</v>
      </c>
      <c r="C1044" s="1126" t="s">
        <v>1470</v>
      </c>
      <c r="D1044" s="1119">
        <v>0.8</v>
      </c>
      <c r="E1044" s="1120">
        <v>0.0</v>
      </c>
      <c r="F1044" s="1121">
        <f t="shared" si="1"/>
        <v>0.8</v>
      </c>
      <c r="G1044" s="1120">
        <v>0.0</v>
      </c>
      <c r="H1044" s="1127">
        <v>0.0</v>
      </c>
      <c r="I1044" s="1127">
        <v>0.0</v>
      </c>
      <c r="J1044" s="1127">
        <v>0.8</v>
      </c>
      <c r="K1044" s="1124"/>
    </row>
    <row r="1045" ht="15.75" customHeight="1">
      <c r="A1045" s="1119">
        <v>92114.0</v>
      </c>
      <c r="B1045" s="1125" t="s">
        <v>11323</v>
      </c>
      <c r="C1045" s="1126" t="s">
        <v>1470</v>
      </c>
      <c r="D1045" s="1119">
        <v>0.22</v>
      </c>
      <c r="E1045" s="1120">
        <v>0.0</v>
      </c>
      <c r="F1045" s="1121">
        <f t="shared" si="1"/>
        <v>0.22</v>
      </c>
      <c r="G1045" s="1120">
        <v>0.0</v>
      </c>
      <c r="H1045" s="1127">
        <v>0.22</v>
      </c>
      <c r="I1045" s="1127">
        <v>0.0</v>
      </c>
      <c r="J1045" s="1127">
        <v>0.0</v>
      </c>
      <c r="K1045" s="1124"/>
    </row>
    <row r="1046" ht="15.75" customHeight="1">
      <c r="A1046" s="1119">
        <v>92115.0</v>
      </c>
      <c r="B1046" s="1125" t="s">
        <v>11324</v>
      </c>
      <c r="C1046" s="1126" t="s">
        <v>1470</v>
      </c>
      <c r="D1046" s="1119">
        <v>0.03</v>
      </c>
      <c r="E1046" s="1120">
        <v>0.0</v>
      </c>
      <c r="F1046" s="1121">
        <f t="shared" si="1"/>
        <v>0.03</v>
      </c>
      <c r="G1046" s="1120">
        <v>0.0</v>
      </c>
      <c r="H1046" s="1127">
        <v>0.03</v>
      </c>
      <c r="I1046" s="1127">
        <v>0.0</v>
      </c>
      <c r="J1046" s="1127">
        <v>0.0</v>
      </c>
      <c r="K1046" s="1124"/>
    </row>
    <row r="1047" ht="15.75" customHeight="1">
      <c r="A1047" s="1119">
        <v>92116.0</v>
      </c>
      <c r="B1047" s="1125" t="s">
        <v>11325</v>
      </c>
      <c r="C1047" s="1126" t="s">
        <v>1470</v>
      </c>
      <c r="D1047" s="1119">
        <v>0.15</v>
      </c>
      <c r="E1047" s="1120">
        <v>0.0</v>
      </c>
      <c r="F1047" s="1121">
        <f t="shared" si="1"/>
        <v>0.15</v>
      </c>
      <c r="G1047" s="1120">
        <v>0.0</v>
      </c>
      <c r="H1047" s="1127">
        <v>0.15</v>
      </c>
      <c r="I1047" s="1127">
        <v>0.0</v>
      </c>
      <c r="J1047" s="1127">
        <v>0.0</v>
      </c>
      <c r="K1047" s="1124"/>
    </row>
    <row r="1048" ht="15.75" customHeight="1">
      <c r="A1048" s="1119">
        <v>92133.0</v>
      </c>
      <c r="B1048" s="1125" t="s">
        <v>11326</v>
      </c>
      <c r="C1048" s="1126" t="s">
        <v>1470</v>
      </c>
      <c r="D1048" s="1119">
        <v>13.32</v>
      </c>
      <c r="E1048" s="1120">
        <v>0.0</v>
      </c>
      <c r="F1048" s="1121">
        <f t="shared" si="1"/>
        <v>13.32</v>
      </c>
      <c r="G1048" s="1120">
        <v>0.0</v>
      </c>
      <c r="H1048" s="1127">
        <v>13.32</v>
      </c>
      <c r="I1048" s="1127">
        <v>0.0</v>
      </c>
      <c r="J1048" s="1127">
        <v>0.0</v>
      </c>
      <c r="K1048" s="1124"/>
    </row>
    <row r="1049" ht="15.75" customHeight="1">
      <c r="A1049" s="1119">
        <v>92134.0</v>
      </c>
      <c r="B1049" s="1125" t="s">
        <v>11327</v>
      </c>
      <c r="C1049" s="1126" t="s">
        <v>1470</v>
      </c>
      <c r="D1049" s="1119">
        <v>2.1</v>
      </c>
      <c r="E1049" s="1120">
        <v>0.0</v>
      </c>
      <c r="F1049" s="1121">
        <f t="shared" si="1"/>
        <v>2.1</v>
      </c>
      <c r="G1049" s="1120">
        <v>0.0</v>
      </c>
      <c r="H1049" s="1127">
        <v>2.1</v>
      </c>
      <c r="I1049" s="1127">
        <v>0.0</v>
      </c>
      <c r="J1049" s="1127">
        <v>0.0</v>
      </c>
      <c r="K1049" s="1124"/>
    </row>
    <row r="1050" ht="15.75" customHeight="1">
      <c r="A1050" s="1119">
        <v>92135.0</v>
      </c>
      <c r="B1050" s="1125" t="s">
        <v>11328</v>
      </c>
      <c r="C1050" s="1126" t="s">
        <v>1470</v>
      </c>
      <c r="D1050" s="1119">
        <v>1.66</v>
      </c>
      <c r="E1050" s="1120">
        <v>0.0</v>
      </c>
      <c r="F1050" s="1121">
        <f t="shared" si="1"/>
        <v>1.66</v>
      </c>
      <c r="G1050" s="1120">
        <v>0.0</v>
      </c>
      <c r="H1050" s="1127">
        <v>1.66</v>
      </c>
      <c r="I1050" s="1127">
        <v>0.0</v>
      </c>
      <c r="J1050" s="1127">
        <v>0.0</v>
      </c>
      <c r="K1050" s="1124"/>
    </row>
    <row r="1051" ht="15.75" customHeight="1">
      <c r="A1051" s="1119">
        <v>92136.0</v>
      </c>
      <c r="B1051" s="1125" t="s">
        <v>11329</v>
      </c>
      <c r="C1051" s="1126" t="s">
        <v>1470</v>
      </c>
      <c r="D1051" s="1119">
        <v>16.65</v>
      </c>
      <c r="E1051" s="1120">
        <v>0.0</v>
      </c>
      <c r="F1051" s="1121">
        <f t="shared" si="1"/>
        <v>16.65</v>
      </c>
      <c r="G1051" s="1120">
        <v>0.0</v>
      </c>
      <c r="H1051" s="1127">
        <v>16.65</v>
      </c>
      <c r="I1051" s="1127">
        <v>0.0</v>
      </c>
      <c r="J1051" s="1127">
        <v>0.0</v>
      </c>
      <c r="K1051" s="1124"/>
    </row>
    <row r="1052" ht="15.75" customHeight="1">
      <c r="A1052" s="1119">
        <v>92137.0</v>
      </c>
      <c r="B1052" s="1125" t="s">
        <v>11330</v>
      </c>
      <c r="C1052" s="1126" t="s">
        <v>1470</v>
      </c>
      <c r="D1052" s="1119">
        <v>26.79</v>
      </c>
      <c r="E1052" s="1120">
        <v>0.0</v>
      </c>
      <c r="F1052" s="1121">
        <f t="shared" si="1"/>
        <v>26.79</v>
      </c>
      <c r="G1052" s="1120">
        <v>26.79</v>
      </c>
      <c r="H1052" s="1127">
        <v>0.0</v>
      </c>
      <c r="I1052" s="1127">
        <v>0.0</v>
      </c>
      <c r="J1052" s="1127">
        <v>0.0</v>
      </c>
      <c r="K1052" s="1124"/>
    </row>
    <row r="1053" ht="15.75" customHeight="1">
      <c r="A1053" s="1119">
        <v>92140.0</v>
      </c>
      <c r="B1053" s="1125" t="s">
        <v>11331</v>
      </c>
      <c r="C1053" s="1126" t="s">
        <v>1470</v>
      </c>
      <c r="D1053" s="1119">
        <v>4.88</v>
      </c>
      <c r="E1053" s="1120">
        <v>0.0</v>
      </c>
      <c r="F1053" s="1121">
        <f t="shared" si="1"/>
        <v>4.88</v>
      </c>
      <c r="G1053" s="1120">
        <v>0.0</v>
      </c>
      <c r="H1053" s="1127">
        <v>4.88</v>
      </c>
      <c r="I1053" s="1127">
        <v>0.0</v>
      </c>
      <c r="J1053" s="1127">
        <v>0.0</v>
      </c>
      <c r="K1053" s="1124"/>
    </row>
    <row r="1054" ht="15.75" customHeight="1">
      <c r="A1054" s="1119">
        <v>92141.0</v>
      </c>
      <c r="B1054" s="1125" t="s">
        <v>11332</v>
      </c>
      <c r="C1054" s="1126" t="s">
        <v>1470</v>
      </c>
      <c r="D1054" s="1119">
        <v>0.77</v>
      </c>
      <c r="E1054" s="1120">
        <v>0.0</v>
      </c>
      <c r="F1054" s="1121">
        <f t="shared" si="1"/>
        <v>0.77</v>
      </c>
      <c r="G1054" s="1120">
        <v>0.0</v>
      </c>
      <c r="H1054" s="1127">
        <v>0.77</v>
      </c>
      <c r="I1054" s="1127">
        <v>0.0</v>
      </c>
      <c r="J1054" s="1127">
        <v>0.0</v>
      </c>
      <c r="K1054" s="1124"/>
    </row>
    <row r="1055" ht="15.75" customHeight="1">
      <c r="A1055" s="1119">
        <v>92142.0</v>
      </c>
      <c r="B1055" s="1125" t="s">
        <v>11333</v>
      </c>
      <c r="C1055" s="1126" t="s">
        <v>1470</v>
      </c>
      <c r="D1055" s="1119">
        <v>0.61</v>
      </c>
      <c r="E1055" s="1120">
        <v>0.0</v>
      </c>
      <c r="F1055" s="1121">
        <f t="shared" si="1"/>
        <v>0.61</v>
      </c>
      <c r="G1055" s="1120">
        <v>0.0</v>
      </c>
      <c r="H1055" s="1127">
        <v>0.61</v>
      </c>
      <c r="I1055" s="1127">
        <v>0.0</v>
      </c>
      <c r="J1055" s="1127">
        <v>0.0</v>
      </c>
      <c r="K1055" s="1124"/>
    </row>
    <row r="1056" ht="15.75" customHeight="1">
      <c r="A1056" s="1119">
        <v>92143.0</v>
      </c>
      <c r="B1056" s="1125" t="s">
        <v>11334</v>
      </c>
      <c r="C1056" s="1126" t="s">
        <v>1470</v>
      </c>
      <c r="D1056" s="1119">
        <v>6.1</v>
      </c>
      <c r="E1056" s="1120">
        <v>0.0</v>
      </c>
      <c r="F1056" s="1121">
        <f t="shared" si="1"/>
        <v>6.1</v>
      </c>
      <c r="G1056" s="1120">
        <v>0.0</v>
      </c>
      <c r="H1056" s="1127">
        <v>6.1</v>
      </c>
      <c r="I1056" s="1127">
        <v>0.0</v>
      </c>
      <c r="J1056" s="1127">
        <v>0.0</v>
      </c>
      <c r="K1056" s="1124"/>
    </row>
    <row r="1057" ht="15.75" customHeight="1">
      <c r="A1057" s="1119">
        <v>92144.0</v>
      </c>
      <c r="B1057" s="1125" t="s">
        <v>11335</v>
      </c>
      <c r="C1057" s="1126" t="s">
        <v>1470</v>
      </c>
      <c r="D1057" s="1119">
        <v>37.66</v>
      </c>
      <c r="E1057" s="1120">
        <v>0.0</v>
      </c>
      <c r="F1057" s="1121">
        <f t="shared" si="1"/>
        <v>37.66</v>
      </c>
      <c r="G1057" s="1120">
        <v>37.66</v>
      </c>
      <c r="H1057" s="1127">
        <v>0.0</v>
      </c>
      <c r="I1057" s="1127">
        <v>0.0</v>
      </c>
      <c r="J1057" s="1127">
        <v>0.0</v>
      </c>
      <c r="K1057" s="1124"/>
    </row>
    <row r="1058" ht="15.75" customHeight="1">
      <c r="A1058" s="1119">
        <v>92237.0</v>
      </c>
      <c r="B1058" s="1125" t="s">
        <v>11336</v>
      </c>
      <c r="C1058" s="1126" t="s">
        <v>1470</v>
      </c>
      <c r="D1058" s="1119">
        <v>29.82</v>
      </c>
      <c r="E1058" s="1120">
        <v>0.0</v>
      </c>
      <c r="F1058" s="1121">
        <f t="shared" si="1"/>
        <v>29.82</v>
      </c>
      <c r="G1058" s="1120">
        <v>0.0</v>
      </c>
      <c r="H1058" s="1127">
        <v>29.82</v>
      </c>
      <c r="I1058" s="1127">
        <v>0.0</v>
      </c>
      <c r="J1058" s="1127">
        <v>0.0</v>
      </c>
      <c r="K1058" s="1124"/>
    </row>
    <row r="1059" ht="15.75" customHeight="1">
      <c r="A1059" s="1119">
        <v>92238.0</v>
      </c>
      <c r="B1059" s="1125" t="s">
        <v>11337</v>
      </c>
      <c r="C1059" s="1126" t="s">
        <v>1470</v>
      </c>
      <c r="D1059" s="1119">
        <v>6.1</v>
      </c>
      <c r="E1059" s="1120">
        <v>0.0</v>
      </c>
      <c r="F1059" s="1121">
        <f t="shared" si="1"/>
        <v>6.1</v>
      </c>
      <c r="G1059" s="1120">
        <v>0.0</v>
      </c>
      <c r="H1059" s="1127">
        <v>6.1</v>
      </c>
      <c r="I1059" s="1127">
        <v>0.0</v>
      </c>
      <c r="J1059" s="1127">
        <v>0.0</v>
      </c>
      <c r="K1059" s="1124"/>
    </row>
    <row r="1060" ht="15.75" customHeight="1">
      <c r="A1060" s="1119">
        <v>92239.0</v>
      </c>
      <c r="B1060" s="1125" t="s">
        <v>11338</v>
      </c>
      <c r="C1060" s="1126" t="s">
        <v>1470</v>
      </c>
      <c r="D1060" s="1119">
        <v>4.84</v>
      </c>
      <c r="E1060" s="1120">
        <v>0.0</v>
      </c>
      <c r="F1060" s="1121">
        <f t="shared" si="1"/>
        <v>4.84</v>
      </c>
      <c r="G1060" s="1120">
        <v>0.0</v>
      </c>
      <c r="H1060" s="1127">
        <v>4.84</v>
      </c>
      <c r="I1060" s="1127">
        <v>0.0</v>
      </c>
      <c r="J1060" s="1127">
        <v>0.0</v>
      </c>
      <c r="K1060" s="1124"/>
    </row>
    <row r="1061" ht="15.75" customHeight="1">
      <c r="A1061" s="1119">
        <v>92240.0</v>
      </c>
      <c r="B1061" s="1125" t="s">
        <v>11339</v>
      </c>
      <c r="C1061" s="1126" t="s">
        <v>1470</v>
      </c>
      <c r="D1061" s="1119">
        <v>53.35</v>
      </c>
      <c r="E1061" s="1120">
        <v>0.0</v>
      </c>
      <c r="F1061" s="1121">
        <f t="shared" si="1"/>
        <v>53.35</v>
      </c>
      <c r="G1061" s="1120">
        <v>0.0</v>
      </c>
      <c r="H1061" s="1127">
        <v>53.35</v>
      </c>
      <c r="I1061" s="1127">
        <v>0.0</v>
      </c>
      <c r="J1061" s="1127">
        <v>0.0</v>
      </c>
      <c r="K1061" s="1124"/>
    </row>
    <row r="1062" ht="15.75" customHeight="1">
      <c r="A1062" s="1119">
        <v>92241.0</v>
      </c>
      <c r="B1062" s="1125" t="s">
        <v>11340</v>
      </c>
      <c r="C1062" s="1126" t="s">
        <v>1470</v>
      </c>
      <c r="D1062" s="1119">
        <v>209.98</v>
      </c>
      <c r="E1062" s="1120">
        <v>0.0</v>
      </c>
      <c r="F1062" s="1121">
        <f t="shared" si="1"/>
        <v>209.98</v>
      </c>
      <c r="G1062" s="1120">
        <v>209.98</v>
      </c>
      <c r="H1062" s="1127">
        <v>0.0</v>
      </c>
      <c r="I1062" s="1127">
        <v>0.0</v>
      </c>
      <c r="J1062" s="1127">
        <v>0.0</v>
      </c>
      <c r="K1062" s="1124"/>
    </row>
    <row r="1063" ht="15.75" customHeight="1">
      <c r="A1063" s="1119">
        <v>92712.0</v>
      </c>
      <c r="B1063" s="1125" t="s">
        <v>11341</v>
      </c>
      <c r="C1063" s="1126" t="s">
        <v>1470</v>
      </c>
      <c r="D1063" s="1119">
        <v>0.17</v>
      </c>
      <c r="E1063" s="1120">
        <v>0.0</v>
      </c>
      <c r="F1063" s="1121">
        <f t="shared" si="1"/>
        <v>0.17</v>
      </c>
      <c r="G1063" s="1120">
        <v>0.0</v>
      </c>
      <c r="H1063" s="1127">
        <v>0.17</v>
      </c>
      <c r="I1063" s="1127">
        <v>0.0</v>
      </c>
      <c r="J1063" s="1127">
        <v>0.0</v>
      </c>
      <c r="K1063" s="1124"/>
    </row>
    <row r="1064" ht="15.75" customHeight="1">
      <c r="A1064" s="1119">
        <v>92713.0</v>
      </c>
      <c r="B1064" s="1125" t="s">
        <v>11342</v>
      </c>
      <c r="C1064" s="1126" t="s">
        <v>1470</v>
      </c>
      <c r="D1064" s="1119">
        <v>0.02</v>
      </c>
      <c r="E1064" s="1120">
        <v>0.0</v>
      </c>
      <c r="F1064" s="1121">
        <f t="shared" si="1"/>
        <v>0.02</v>
      </c>
      <c r="G1064" s="1120">
        <v>0.0</v>
      </c>
      <c r="H1064" s="1127">
        <v>0.02</v>
      </c>
      <c r="I1064" s="1127">
        <v>0.0</v>
      </c>
      <c r="J1064" s="1127">
        <v>0.0</v>
      </c>
      <c r="K1064" s="1124"/>
    </row>
    <row r="1065" ht="15.75" customHeight="1">
      <c r="A1065" s="1119">
        <v>92714.0</v>
      </c>
      <c r="B1065" s="1125" t="s">
        <v>11343</v>
      </c>
      <c r="C1065" s="1126" t="s">
        <v>1470</v>
      </c>
      <c r="D1065" s="1119">
        <v>0.23</v>
      </c>
      <c r="E1065" s="1120">
        <v>0.0</v>
      </c>
      <c r="F1065" s="1121">
        <f t="shared" si="1"/>
        <v>0.23</v>
      </c>
      <c r="G1065" s="1120">
        <v>0.0</v>
      </c>
      <c r="H1065" s="1127">
        <v>0.23</v>
      </c>
      <c r="I1065" s="1127">
        <v>0.0</v>
      </c>
      <c r="J1065" s="1127">
        <v>0.0</v>
      </c>
      <c r="K1065" s="1124"/>
    </row>
    <row r="1066" ht="15.75" customHeight="1">
      <c r="A1066" s="1119">
        <v>92715.0</v>
      </c>
      <c r="B1066" s="1125" t="s">
        <v>11344</v>
      </c>
      <c r="C1066" s="1126" t="s">
        <v>1470</v>
      </c>
      <c r="D1066" s="1119">
        <v>88.07</v>
      </c>
      <c r="E1066" s="1120">
        <v>0.0</v>
      </c>
      <c r="F1066" s="1121">
        <f t="shared" si="1"/>
        <v>88.07</v>
      </c>
      <c r="G1066" s="1120">
        <v>88.07</v>
      </c>
      <c r="H1066" s="1127">
        <v>0.0</v>
      </c>
      <c r="I1066" s="1127">
        <v>0.0</v>
      </c>
      <c r="J1066" s="1127">
        <v>0.0</v>
      </c>
      <c r="K1066" s="1124"/>
    </row>
    <row r="1067" ht="15.75" customHeight="1">
      <c r="A1067" s="1119">
        <v>92956.0</v>
      </c>
      <c r="B1067" s="1125" t="s">
        <v>11345</v>
      </c>
      <c r="C1067" s="1126" t="s">
        <v>1470</v>
      </c>
      <c r="D1067" s="1119">
        <v>4.37</v>
      </c>
      <c r="E1067" s="1120">
        <v>0.0</v>
      </c>
      <c r="F1067" s="1121">
        <f t="shared" si="1"/>
        <v>4.37</v>
      </c>
      <c r="G1067" s="1120">
        <v>0.0</v>
      </c>
      <c r="H1067" s="1127">
        <v>4.37</v>
      </c>
      <c r="I1067" s="1127">
        <v>0.0</v>
      </c>
      <c r="J1067" s="1127">
        <v>0.0</v>
      </c>
      <c r="K1067" s="1124"/>
    </row>
    <row r="1068" ht="15.75" customHeight="1">
      <c r="A1068" s="1119">
        <v>92957.0</v>
      </c>
      <c r="B1068" s="1125" t="s">
        <v>11346</v>
      </c>
      <c r="C1068" s="1126" t="s">
        <v>1470</v>
      </c>
      <c r="D1068" s="1119">
        <v>0.51</v>
      </c>
      <c r="E1068" s="1120">
        <v>0.0</v>
      </c>
      <c r="F1068" s="1121">
        <f t="shared" si="1"/>
        <v>0.51</v>
      </c>
      <c r="G1068" s="1120">
        <v>0.0</v>
      </c>
      <c r="H1068" s="1127">
        <v>0.51</v>
      </c>
      <c r="I1068" s="1127">
        <v>0.0</v>
      </c>
      <c r="J1068" s="1127">
        <v>0.0</v>
      </c>
      <c r="K1068" s="1124"/>
    </row>
    <row r="1069" ht="15.75" customHeight="1">
      <c r="A1069" s="1119">
        <v>92958.0</v>
      </c>
      <c r="B1069" s="1125" t="s">
        <v>11347</v>
      </c>
      <c r="C1069" s="1126" t="s">
        <v>1470</v>
      </c>
      <c r="D1069" s="1119">
        <v>4.77</v>
      </c>
      <c r="E1069" s="1120">
        <v>0.0</v>
      </c>
      <c r="F1069" s="1121">
        <f t="shared" si="1"/>
        <v>4.77</v>
      </c>
      <c r="G1069" s="1120">
        <v>0.0</v>
      </c>
      <c r="H1069" s="1127">
        <v>4.77</v>
      </c>
      <c r="I1069" s="1127">
        <v>0.0</v>
      </c>
      <c r="J1069" s="1127">
        <v>0.0</v>
      </c>
      <c r="K1069" s="1124"/>
    </row>
    <row r="1070" ht="15.75" customHeight="1">
      <c r="A1070" s="1119">
        <v>92959.0</v>
      </c>
      <c r="B1070" s="1125" t="s">
        <v>11348</v>
      </c>
      <c r="C1070" s="1126" t="s">
        <v>1470</v>
      </c>
      <c r="D1070" s="1119">
        <v>7.05</v>
      </c>
      <c r="E1070" s="1120">
        <v>0.0</v>
      </c>
      <c r="F1070" s="1121">
        <f t="shared" si="1"/>
        <v>7.05</v>
      </c>
      <c r="G1070" s="1120">
        <v>7.05</v>
      </c>
      <c r="H1070" s="1127">
        <v>0.0</v>
      </c>
      <c r="I1070" s="1127">
        <v>0.0</v>
      </c>
      <c r="J1070" s="1127">
        <v>0.0</v>
      </c>
      <c r="K1070" s="1124"/>
    </row>
    <row r="1071" ht="15.75" customHeight="1">
      <c r="A1071" s="1119">
        <v>92963.0</v>
      </c>
      <c r="B1071" s="1125" t="s">
        <v>11349</v>
      </c>
      <c r="C1071" s="1126" t="s">
        <v>1470</v>
      </c>
      <c r="D1071" s="1119">
        <v>1.28</v>
      </c>
      <c r="E1071" s="1120">
        <v>0.0</v>
      </c>
      <c r="F1071" s="1121">
        <f t="shared" si="1"/>
        <v>1.28</v>
      </c>
      <c r="G1071" s="1120">
        <v>0.0</v>
      </c>
      <c r="H1071" s="1127">
        <v>1.28</v>
      </c>
      <c r="I1071" s="1127">
        <v>0.0</v>
      </c>
      <c r="J1071" s="1127">
        <v>0.0</v>
      </c>
      <c r="K1071" s="1124"/>
    </row>
    <row r="1072" ht="15.75" customHeight="1">
      <c r="A1072" s="1119">
        <v>92964.0</v>
      </c>
      <c r="B1072" s="1125" t="s">
        <v>11350</v>
      </c>
      <c r="C1072" s="1126" t="s">
        <v>1470</v>
      </c>
      <c r="D1072" s="1119">
        <v>0.15</v>
      </c>
      <c r="E1072" s="1120">
        <v>0.0</v>
      </c>
      <c r="F1072" s="1121">
        <f t="shared" si="1"/>
        <v>0.15</v>
      </c>
      <c r="G1072" s="1120">
        <v>0.0</v>
      </c>
      <c r="H1072" s="1127">
        <v>0.15</v>
      </c>
      <c r="I1072" s="1127">
        <v>0.0</v>
      </c>
      <c r="J1072" s="1127">
        <v>0.0</v>
      </c>
      <c r="K1072" s="1124"/>
    </row>
    <row r="1073" ht="15.75" customHeight="1">
      <c r="A1073" s="1119">
        <v>92965.0</v>
      </c>
      <c r="B1073" s="1125" t="s">
        <v>11351</v>
      </c>
      <c r="C1073" s="1126" t="s">
        <v>1470</v>
      </c>
      <c r="D1073" s="1119">
        <v>1.6</v>
      </c>
      <c r="E1073" s="1120">
        <v>0.0</v>
      </c>
      <c r="F1073" s="1121">
        <f t="shared" si="1"/>
        <v>1.6</v>
      </c>
      <c r="G1073" s="1120">
        <v>0.0</v>
      </c>
      <c r="H1073" s="1127">
        <v>1.6</v>
      </c>
      <c r="I1073" s="1127">
        <v>0.0</v>
      </c>
      <c r="J1073" s="1127">
        <v>0.0</v>
      </c>
      <c r="K1073" s="1124"/>
    </row>
    <row r="1074" ht="15.75" customHeight="1">
      <c r="A1074" s="1119">
        <v>93220.0</v>
      </c>
      <c r="B1074" s="1125" t="s">
        <v>11352</v>
      </c>
      <c r="C1074" s="1126" t="s">
        <v>1470</v>
      </c>
      <c r="D1074" s="1119">
        <v>349.81</v>
      </c>
      <c r="E1074" s="1120">
        <v>0.0</v>
      </c>
      <c r="F1074" s="1121">
        <f t="shared" si="1"/>
        <v>349.81</v>
      </c>
      <c r="G1074" s="1120">
        <v>0.0</v>
      </c>
      <c r="H1074" s="1127">
        <v>349.81</v>
      </c>
      <c r="I1074" s="1127">
        <v>0.0</v>
      </c>
      <c r="J1074" s="1127">
        <v>0.0</v>
      </c>
      <c r="K1074" s="1124"/>
    </row>
    <row r="1075" ht="15.75" customHeight="1">
      <c r="A1075" s="1119">
        <v>93221.0</v>
      </c>
      <c r="B1075" s="1125" t="s">
        <v>11353</v>
      </c>
      <c r="C1075" s="1126" t="s">
        <v>1470</v>
      </c>
      <c r="D1075" s="1119">
        <v>48.56</v>
      </c>
      <c r="E1075" s="1120">
        <v>0.0</v>
      </c>
      <c r="F1075" s="1121">
        <f t="shared" si="1"/>
        <v>48.56</v>
      </c>
      <c r="G1075" s="1120">
        <v>0.0</v>
      </c>
      <c r="H1075" s="1127">
        <v>48.56</v>
      </c>
      <c r="I1075" s="1127">
        <v>0.0</v>
      </c>
      <c r="J1075" s="1127">
        <v>0.0</v>
      </c>
      <c r="K1075" s="1124"/>
    </row>
    <row r="1076" ht="15.75" customHeight="1">
      <c r="A1076" s="1119">
        <v>93222.0</v>
      </c>
      <c r="B1076" s="1125" t="s">
        <v>11354</v>
      </c>
      <c r="C1076" s="1126" t="s">
        <v>1470</v>
      </c>
      <c r="D1076" s="1119">
        <v>437.76</v>
      </c>
      <c r="E1076" s="1120">
        <v>0.0</v>
      </c>
      <c r="F1076" s="1121">
        <f t="shared" si="1"/>
        <v>437.76</v>
      </c>
      <c r="G1076" s="1120">
        <v>0.0</v>
      </c>
      <c r="H1076" s="1127">
        <v>437.76</v>
      </c>
      <c r="I1076" s="1127">
        <v>0.0</v>
      </c>
      <c r="J1076" s="1127">
        <v>0.0</v>
      </c>
      <c r="K1076" s="1124"/>
    </row>
    <row r="1077" ht="15.75" customHeight="1">
      <c r="A1077" s="1119">
        <v>93223.0</v>
      </c>
      <c r="B1077" s="1125" t="s">
        <v>11355</v>
      </c>
      <c r="C1077" s="1126" t="s">
        <v>1470</v>
      </c>
      <c r="D1077" s="1119">
        <v>118.8</v>
      </c>
      <c r="E1077" s="1120">
        <v>0.0</v>
      </c>
      <c r="F1077" s="1121">
        <f t="shared" si="1"/>
        <v>118.8</v>
      </c>
      <c r="G1077" s="1120">
        <v>118.8</v>
      </c>
      <c r="H1077" s="1127">
        <v>0.0</v>
      </c>
      <c r="I1077" s="1127">
        <v>0.0</v>
      </c>
      <c r="J1077" s="1127">
        <v>0.0</v>
      </c>
      <c r="K1077" s="1124"/>
    </row>
    <row r="1078" ht="15.75" customHeight="1">
      <c r="A1078" s="1119">
        <v>93229.0</v>
      </c>
      <c r="B1078" s="1125" t="s">
        <v>11356</v>
      </c>
      <c r="C1078" s="1126" t="s">
        <v>1470</v>
      </c>
      <c r="D1078" s="1119">
        <v>0.38</v>
      </c>
      <c r="E1078" s="1120">
        <v>0.0</v>
      </c>
      <c r="F1078" s="1121">
        <f t="shared" si="1"/>
        <v>0.38</v>
      </c>
      <c r="G1078" s="1120">
        <v>0.0</v>
      </c>
      <c r="H1078" s="1127">
        <v>0.38</v>
      </c>
      <c r="I1078" s="1127">
        <v>0.0</v>
      </c>
      <c r="J1078" s="1127">
        <v>0.0</v>
      </c>
      <c r="K1078" s="1124"/>
    </row>
    <row r="1079" ht="15.75" customHeight="1">
      <c r="A1079" s="1119">
        <v>93230.0</v>
      </c>
      <c r="B1079" s="1125" t="s">
        <v>11357</v>
      </c>
      <c r="C1079" s="1126" t="s">
        <v>1470</v>
      </c>
      <c r="D1079" s="1119">
        <v>0.04</v>
      </c>
      <c r="E1079" s="1120">
        <v>0.0</v>
      </c>
      <c r="F1079" s="1121">
        <f t="shared" si="1"/>
        <v>0.04</v>
      </c>
      <c r="G1079" s="1120">
        <v>0.0</v>
      </c>
      <c r="H1079" s="1127">
        <v>0.04</v>
      </c>
      <c r="I1079" s="1127">
        <v>0.0</v>
      </c>
      <c r="J1079" s="1127">
        <v>0.0</v>
      </c>
      <c r="K1079" s="1124"/>
    </row>
    <row r="1080" ht="15.75" customHeight="1">
      <c r="A1080" s="1119">
        <v>93231.0</v>
      </c>
      <c r="B1080" s="1125" t="s">
        <v>11358</v>
      </c>
      <c r="C1080" s="1126" t="s">
        <v>1470</v>
      </c>
      <c r="D1080" s="1119">
        <v>0.47</v>
      </c>
      <c r="E1080" s="1120">
        <v>0.0</v>
      </c>
      <c r="F1080" s="1121">
        <f t="shared" si="1"/>
        <v>0.47</v>
      </c>
      <c r="G1080" s="1120">
        <v>0.0</v>
      </c>
      <c r="H1080" s="1127">
        <v>0.47</v>
      </c>
      <c r="I1080" s="1127">
        <v>0.0</v>
      </c>
      <c r="J1080" s="1127">
        <v>0.0</v>
      </c>
      <c r="K1080" s="1124"/>
    </row>
    <row r="1081" ht="15.75" customHeight="1">
      <c r="A1081" s="1119">
        <v>93232.0</v>
      </c>
      <c r="B1081" s="1125" t="s">
        <v>11359</v>
      </c>
      <c r="C1081" s="1126" t="s">
        <v>1470</v>
      </c>
      <c r="D1081" s="1119">
        <v>4.33</v>
      </c>
      <c r="E1081" s="1120">
        <v>0.0</v>
      </c>
      <c r="F1081" s="1121">
        <f t="shared" si="1"/>
        <v>4.33</v>
      </c>
      <c r="G1081" s="1120">
        <v>4.33</v>
      </c>
      <c r="H1081" s="1127">
        <v>0.0</v>
      </c>
      <c r="I1081" s="1127">
        <v>0.0</v>
      </c>
      <c r="J1081" s="1127">
        <v>0.0</v>
      </c>
      <c r="K1081" s="1124"/>
    </row>
    <row r="1082" ht="15.75" customHeight="1">
      <c r="A1082" s="1119">
        <v>93235.0</v>
      </c>
      <c r="B1082" s="1125" t="s">
        <v>11360</v>
      </c>
      <c r="C1082" s="1126" t="s">
        <v>1470</v>
      </c>
      <c r="D1082" s="1119">
        <v>1.01</v>
      </c>
      <c r="E1082" s="1120">
        <v>0.0</v>
      </c>
      <c r="F1082" s="1121">
        <f t="shared" si="1"/>
        <v>1.01</v>
      </c>
      <c r="G1082" s="1120">
        <v>0.0</v>
      </c>
      <c r="H1082" s="1127">
        <v>1.01</v>
      </c>
      <c r="I1082" s="1127">
        <v>0.0</v>
      </c>
      <c r="J1082" s="1127">
        <v>0.0</v>
      </c>
      <c r="K1082" s="1124"/>
    </row>
    <row r="1083" ht="15.75" customHeight="1">
      <c r="A1083" s="1119">
        <v>93238.0</v>
      </c>
      <c r="B1083" s="1125" t="s">
        <v>11361</v>
      </c>
      <c r="C1083" s="1126" t="s">
        <v>1470</v>
      </c>
      <c r="D1083" s="1119">
        <v>1.31</v>
      </c>
      <c r="E1083" s="1120">
        <v>0.0</v>
      </c>
      <c r="F1083" s="1121">
        <f t="shared" si="1"/>
        <v>1.31</v>
      </c>
      <c r="G1083" s="1120">
        <v>0.0</v>
      </c>
      <c r="H1083" s="1127">
        <v>1.31</v>
      </c>
      <c r="I1083" s="1127">
        <v>0.0</v>
      </c>
      <c r="J1083" s="1127">
        <v>0.0</v>
      </c>
      <c r="K1083" s="1124"/>
    </row>
    <row r="1084" ht="15.75" customHeight="1">
      <c r="A1084" s="1119">
        <v>93239.0</v>
      </c>
      <c r="B1084" s="1125" t="s">
        <v>11362</v>
      </c>
      <c r="C1084" s="1126" t="s">
        <v>1470</v>
      </c>
      <c r="D1084" s="1119">
        <v>5.95</v>
      </c>
      <c r="E1084" s="1120">
        <v>0.0</v>
      </c>
      <c r="F1084" s="1121">
        <f t="shared" si="1"/>
        <v>5.95</v>
      </c>
      <c r="G1084" s="1120">
        <v>0.0</v>
      </c>
      <c r="H1084" s="1127">
        <v>5.95</v>
      </c>
      <c r="I1084" s="1127">
        <v>0.0</v>
      </c>
      <c r="J1084" s="1127">
        <v>0.0</v>
      </c>
      <c r="K1084" s="1124"/>
    </row>
    <row r="1085" ht="15.75" customHeight="1">
      <c r="A1085" s="1119">
        <v>93240.0</v>
      </c>
      <c r="B1085" s="1125" t="s">
        <v>11363</v>
      </c>
      <c r="C1085" s="1126" t="s">
        <v>1470</v>
      </c>
      <c r="D1085" s="1119">
        <v>9.1</v>
      </c>
      <c r="E1085" s="1120">
        <v>0.0</v>
      </c>
      <c r="F1085" s="1121">
        <f t="shared" si="1"/>
        <v>9.1</v>
      </c>
      <c r="G1085" s="1120">
        <v>9.1</v>
      </c>
      <c r="H1085" s="1127">
        <v>0.0</v>
      </c>
      <c r="I1085" s="1127">
        <v>0.0</v>
      </c>
      <c r="J1085" s="1127">
        <v>0.0</v>
      </c>
      <c r="K1085" s="1124"/>
    </row>
    <row r="1086" ht="15.75" customHeight="1">
      <c r="A1086" s="1119">
        <v>93267.0</v>
      </c>
      <c r="B1086" s="1125" t="s">
        <v>11364</v>
      </c>
      <c r="C1086" s="1126" t="s">
        <v>1470</v>
      </c>
      <c r="D1086" s="1119">
        <v>28.78</v>
      </c>
      <c r="E1086" s="1120">
        <v>0.0</v>
      </c>
      <c r="F1086" s="1121">
        <f t="shared" si="1"/>
        <v>28.78</v>
      </c>
      <c r="G1086" s="1120">
        <v>0.0</v>
      </c>
      <c r="H1086" s="1127">
        <v>28.78</v>
      </c>
      <c r="I1086" s="1127">
        <v>0.0</v>
      </c>
      <c r="J1086" s="1127">
        <v>0.0</v>
      </c>
      <c r="K1086" s="1124"/>
    </row>
    <row r="1087" ht="15.75" customHeight="1">
      <c r="A1087" s="1119">
        <v>93269.0</v>
      </c>
      <c r="B1087" s="1125" t="s">
        <v>11365</v>
      </c>
      <c r="C1087" s="1126" t="s">
        <v>1470</v>
      </c>
      <c r="D1087" s="1119">
        <v>7.19</v>
      </c>
      <c r="E1087" s="1120">
        <v>0.0</v>
      </c>
      <c r="F1087" s="1121">
        <f t="shared" si="1"/>
        <v>7.19</v>
      </c>
      <c r="G1087" s="1120">
        <v>0.0</v>
      </c>
      <c r="H1087" s="1127">
        <v>7.19</v>
      </c>
      <c r="I1087" s="1127">
        <v>0.0</v>
      </c>
      <c r="J1087" s="1127">
        <v>0.0</v>
      </c>
      <c r="K1087" s="1124"/>
    </row>
    <row r="1088" ht="15.75" customHeight="1">
      <c r="A1088" s="1119">
        <v>93270.0</v>
      </c>
      <c r="B1088" s="1125" t="s">
        <v>11366</v>
      </c>
      <c r="C1088" s="1126" t="s">
        <v>1470</v>
      </c>
      <c r="D1088" s="1119">
        <v>28.78</v>
      </c>
      <c r="E1088" s="1120">
        <v>0.0</v>
      </c>
      <c r="F1088" s="1121">
        <f t="shared" si="1"/>
        <v>28.78</v>
      </c>
      <c r="G1088" s="1120">
        <v>0.0</v>
      </c>
      <c r="H1088" s="1127">
        <v>28.78</v>
      </c>
      <c r="I1088" s="1127">
        <v>0.0</v>
      </c>
      <c r="J1088" s="1127">
        <v>0.0</v>
      </c>
      <c r="K1088" s="1124"/>
    </row>
    <row r="1089" ht="15.75" customHeight="1">
      <c r="A1089" s="1119">
        <v>93271.0</v>
      </c>
      <c r="B1089" s="1125" t="s">
        <v>11367</v>
      </c>
      <c r="C1089" s="1126" t="s">
        <v>1470</v>
      </c>
      <c r="D1089" s="1119">
        <v>5.98</v>
      </c>
      <c r="E1089" s="1120">
        <v>0.0</v>
      </c>
      <c r="F1089" s="1121">
        <f t="shared" si="1"/>
        <v>5.98</v>
      </c>
      <c r="G1089" s="1120">
        <v>0.0</v>
      </c>
      <c r="H1089" s="1127">
        <v>0.0</v>
      </c>
      <c r="I1089" s="1127">
        <v>0.0</v>
      </c>
      <c r="J1089" s="1127">
        <v>5.98</v>
      </c>
      <c r="K1089" s="1124"/>
    </row>
    <row r="1090" ht="15.75" customHeight="1">
      <c r="A1090" s="1119">
        <v>93277.0</v>
      </c>
      <c r="B1090" s="1125" t="s">
        <v>11368</v>
      </c>
      <c r="C1090" s="1126" t="s">
        <v>1470</v>
      </c>
      <c r="D1090" s="1119">
        <v>0.3</v>
      </c>
      <c r="E1090" s="1120">
        <v>0.0</v>
      </c>
      <c r="F1090" s="1121">
        <f t="shared" si="1"/>
        <v>0.3</v>
      </c>
      <c r="G1090" s="1120">
        <v>0.0</v>
      </c>
      <c r="H1090" s="1127">
        <v>0.3</v>
      </c>
      <c r="I1090" s="1127">
        <v>0.0</v>
      </c>
      <c r="J1090" s="1127">
        <v>0.0</v>
      </c>
      <c r="K1090" s="1124"/>
    </row>
    <row r="1091" ht="15.75" customHeight="1">
      <c r="A1091" s="1119">
        <v>93278.0</v>
      </c>
      <c r="B1091" s="1125" t="s">
        <v>11369</v>
      </c>
      <c r="C1091" s="1126" t="s">
        <v>1470</v>
      </c>
      <c r="D1091" s="1119">
        <v>0.03</v>
      </c>
      <c r="E1091" s="1120">
        <v>0.0</v>
      </c>
      <c r="F1091" s="1121">
        <f t="shared" si="1"/>
        <v>0.03</v>
      </c>
      <c r="G1091" s="1120">
        <v>0.0</v>
      </c>
      <c r="H1091" s="1127">
        <v>0.03</v>
      </c>
      <c r="I1091" s="1127">
        <v>0.0</v>
      </c>
      <c r="J1091" s="1127">
        <v>0.0</v>
      </c>
      <c r="K1091" s="1124"/>
    </row>
    <row r="1092" ht="15.75" customHeight="1">
      <c r="A1092" s="1119">
        <v>93279.0</v>
      </c>
      <c r="B1092" s="1125" t="s">
        <v>11370</v>
      </c>
      <c r="C1092" s="1126" t="s">
        <v>1470</v>
      </c>
      <c r="D1092" s="1119">
        <v>0.28</v>
      </c>
      <c r="E1092" s="1120">
        <v>0.0</v>
      </c>
      <c r="F1092" s="1121">
        <f t="shared" si="1"/>
        <v>0.28</v>
      </c>
      <c r="G1092" s="1120">
        <v>0.0</v>
      </c>
      <c r="H1092" s="1127">
        <v>0.28</v>
      </c>
      <c r="I1092" s="1127">
        <v>0.0</v>
      </c>
      <c r="J1092" s="1127">
        <v>0.0</v>
      </c>
      <c r="K1092" s="1124"/>
    </row>
    <row r="1093" ht="15.75" customHeight="1">
      <c r="A1093" s="1119">
        <v>93280.0</v>
      </c>
      <c r="B1093" s="1125" t="s">
        <v>11371</v>
      </c>
      <c r="C1093" s="1126" t="s">
        <v>1470</v>
      </c>
      <c r="D1093" s="1119">
        <v>0.49</v>
      </c>
      <c r="E1093" s="1120">
        <v>0.0</v>
      </c>
      <c r="F1093" s="1121">
        <f t="shared" si="1"/>
        <v>0.49</v>
      </c>
      <c r="G1093" s="1120">
        <v>0.0</v>
      </c>
      <c r="H1093" s="1127">
        <v>0.0</v>
      </c>
      <c r="I1093" s="1127">
        <v>0.0</v>
      </c>
      <c r="J1093" s="1127">
        <v>0.49</v>
      </c>
      <c r="K1093" s="1124"/>
    </row>
    <row r="1094" ht="15.75" customHeight="1">
      <c r="A1094" s="1119">
        <v>93283.0</v>
      </c>
      <c r="B1094" s="1125" t="s">
        <v>11372</v>
      </c>
      <c r="C1094" s="1126" t="s">
        <v>1470</v>
      </c>
      <c r="D1094" s="1119">
        <v>96.78</v>
      </c>
      <c r="E1094" s="1120">
        <v>0.0</v>
      </c>
      <c r="F1094" s="1121">
        <f t="shared" si="1"/>
        <v>96.78</v>
      </c>
      <c r="G1094" s="1120">
        <v>0.0</v>
      </c>
      <c r="H1094" s="1127">
        <v>96.78</v>
      </c>
      <c r="I1094" s="1127">
        <v>0.0</v>
      </c>
      <c r="J1094" s="1127">
        <v>0.0</v>
      </c>
      <c r="K1094" s="1124"/>
    </row>
    <row r="1095" ht="15.75" customHeight="1">
      <c r="A1095" s="1119">
        <v>93284.0</v>
      </c>
      <c r="B1095" s="1125" t="s">
        <v>11373</v>
      </c>
      <c r="C1095" s="1126" t="s">
        <v>1470</v>
      </c>
      <c r="D1095" s="1119">
        <v>17.42</v>
      </c>
      <c r="E1095" s="1120">
        <v>0.0</v>
      </c>
      <c r="F1095" s="1121">
        <f t="shared" si="1"/>
        <v>17.42</v>
      </c>
      <c r="G1095" s="1120">
        <v>0.0</v>
      </c>
      <c r="H1095" s="1127">
        <v>17.42</v>
      </c>
      <c r="I1095" s="1127">
        <v>0.0</v>
      </c>
      <c r="J1095" s="1127">
        <v>0.0</v>
      </c>
      <c r="K1095" s="1124"/>
    </row>
    <row r="1096" ht="15.75" customHeight="1">
      <c r="A1096" s="1119">
        <v>93285.0</v>
      </c>
      <c r="B1096" s="1125" t="s">
        <v>11374</v>
      </c>
      <c r="C1096" s="1126" t="s">
        <v>1470</v>
      </c>
      <c r="D1096" s="1119">
        <v>155.57</v>
      </c>
      <c r="E1096" s="1120">
        <v>0.0</v>
      </c>
      <c r="F1096" s="1121">
        <f t="shared" si="1"/>
        <v>155.57</v>
      </c>
      <c r="G1096" s="1120">
        <v>0.0</v>
      </c>
      <c r="H1096" s="1127">
        <v>155.57</v>
      </c>
      <c r="I1096" s="1127">
        <v>0.0</v>
      </c>
      <c r="J1096" s="1127">
        <v>0.0</v>
      </c>
      <c r="K1096" s="1124"/>
    </row>
    <row r="1097" ht="15.75" customHeight="1">
      <c r="A1097" s="1119">
        <v>93286.0</v>
      </c>
      <c r="B1097" s="1125" t="s">
        <v>11375</v>
      </c>
      <c r="C1097" s="1126" t="s">
        <v>1470</v>
      </c>
      <c r="D1097" s="1119">
        <v>8.32</v>
      </c>
      <c r="E1097" s="1120">
        <v>0.0</v>
      </c>
      <c r="F1097" s="1121">
        <f t="shared" si="1"/>
        <v>8.32</v>
      </c>
      <c r="G1097" s="1120">
        <v>0.0</v>
      </c>
      <c r="H1097" s="1127">
        <v>0.0</v>
      </c>
      <c r="I1097" s="1127">
        <v>0.0</v>
      </c>
      <c r="J1097" s="1127">
        <v>8.32</v>
      </c>
      <c r="K1097" s="1124"/>
    </row>
    <row r="1098" ht="15.75" customHeight="1">
      <c r="A1098" s="1119">
        <v>93296.0</v>
      </c>
      <c r="B1098" s="1125" t="s">
        <v>11376</v>
      </c>
      <c r="C1098" s="1126" t="s">
        <v>1470</v>
      </c>
      <c r="D1098" s="1119">
        <v>13.79</v>
      </c>
      <c r="E1098" s="1120">
        <v>0.0</v>
      </c>
      <c r="F1098" s="1121">
        <f t="shared" si="1"/>
        <v>13.79</v>
      </c>
      <c r="G1098" s="1120">
        <v>0.0</v>
      </c>
      <c r="H1098" s="1127">
        <v>13.79</v>
      </c>
      <c r="I1098" s="1127">
        <v>0.0</v>
      </c>
      <c r="J1098" s="1127">
        <v>0.0</v>
      </c>
      <c r="K1098" s="1124"/>
    </row>
    <row r="1099" ht="15.75" customHeight="1">
      <c r="A1099" s="1119">
        <v>93397.0</v>
      </c>
      <c r="B1099" s="1125" t="s">
        <v>11377</v>
      </c>
      <c r="C1099" s="1126" t="s">
        <v>1470</v>
      </c>
      <c r="D1099" s="1119">
        <v>25.65</v>
      </c>
      <c r="E1099" s="1120">
        <v>0.0</v>
      </c>
      <c r="F1099" s="1121">
        <f t="shared" si="1"/>
        <v>25.65</v>
      </c>
      <c r="G1099" s="1120">
        <v>0.0</v>
      </c>
      <c r="H1099" s="1127">
        <v>25.65</v>
      </c>
      <c r="I1099" s="1127">
        <v>0.0</v>
      </c>
      <c r="J1099" s="1127">
        <v>0.0</v>
      </c>
      <c r="K1099" s="1124"/>
    </row>
    <row r="1100" ht="15.75" customHeight="1">
      <c r="A1100" s="1119">
        <v>93398.0</v>
      </c>
      <c r="B1100" s="1125" t="s">
        <v>11378</v>
      </c>
      <c r="C1100" s="1126" t="s">
        <v>1470</v>
      </c>
      <c r="D1100" s="1119">
        <v>4.95</v>
      </c>
      <c r="E1100" s="1120">
        <v>0.0</v>
      </c>
      <c r="F1100" s="1121">
        <f t="shared" si="1"/>
        <v>4.95</v>
      </c>
      <c r="G1100" s="1120">
        <v>0.0</v>
      </c>
      <c r="H1100" s="1127">
        <v>4.95</v>
      </c>
      <c r="I1100" s="1127">
        <v>0.0</v>
      </c>
      <c r="J1100" s="1127">
        <v>0.0</v>
      </c>
      <c r="K1100" s="1124"/>
    </row>
    <row r="1101" ht="15.75" customHeight="1">
      <c r="A1101" s="1119">
        <v>93399.0</v>
      </c>
      <c r="B1101" s="1125" t="s">
        <v>11379</v>
      </c>
      <c r="C1101" s="1126" t="s">
        <v>1470</v>
      </c>
      <c r="D1101" s="1119">
        <v>3.92</v>
      </c>
      <c r="E1101" s="1120">
        <v>0.0</v>
      </c>
      <c r="F1101" s="1121">
        <f t="shared" si="1"/>
        <v>3.92</v>
      </c>
      <c r="G1101" s="1120">
        <v>0.0</v>
      </c>
      <c r="H1101" s="1127">
        <v>3.92</v>
      </c>
      <c r="I1101" s="1127">
        <v>0.0</v>
      </c>
      <c r="J1101" s="1127">
        <v>0.0</v>
      </c>
      <c r="K1101" s="1124"/>
    </row>
    <row r="1102" ht="15.75" customHeight="1">
      <c r="A1102" s="1119">
        <v>93400.0</v>
      </c>
      <c r="B1102" s="1125" t="s">
        <v>11380</v>
      </c>
      <c r="C1102" s="1126" t="s">
        <v>1470</v>
      </c>
      <c r="D1102" s="1119">
        <v>44.68</v>
      </c>
      <c r="E1102" s="1120">
        <v>0.0</v>
      </c>
      <c r="F1102" s="1121">
        <f t="shared" si="1"/>
        <v>44.68</v>
      </c>
      <c r="G1102" s="1120">
        <v>0.0</v>
      </c>
      <c r="H1102" s="1127">
        <v>44.68</v>
      </c>
      <c r="I1102" s="1127">
        <v>0.0</v>
      </c>
      <c r="J1102" s="1127">
        <v>0.0</v>
      </c>
      <c r="K1102" s="1124"/>
    </row>
    <row r="1103" ht="15.75" customHeight="1">
      <c r="A1103" s="1119">
        <v>93401.0</v>
      </c>
      <c r="B1103" s="1125" t="s">
        <v>11381</v>
      </c>
      <c r="C1103" s="1126" t="s">
        <v>1470</v>
      </c>
      <c r="D1103" s="1119">
        <v>120.25</v>
      </c>
      <c r="E1103" s="1120">
        <v>0.0</v>
      </c>
      <c r="F1103" s="1121">
        <f t="shared" si="1"/>
        <v>120.25</v>
      </c>
      <c r="G1103" s="1120">
        <v>120.25</v>
      </c>
      <c r="H1103" s="1127">
        <v>0.0</v>
      </c>
      <c r="I1103" s="1127">
        <v>0.0</v>
      </c>
      <c r="J1103" s="1127">
        <v>0.0</v>
      </c>
      <c r="K1103" s="1124"/>
    </row>
    <row r="1104" ht="15.75" customHeight="1">
      <c r="A1104" s="1119">
        <v>93404.0</v>
      </c>
      <c r="B1104" s="1125" t="s">
        <v>11382</v>
      </c>
      <c r="C1104" s="1126" t="s">
        <v>1470</v>
      </c>
      <c r="D1104" s="1119">
        <v>6.29</v>
      </c>
      <c r="E1104" s="1120">
        <v>0.0</v>
      </c>
      <c r="F1104" s="1121">
        <f t="shared" si="1"/>
        <v>6.29</v>
      </c>
      <c r="G1104" s="1120">
        <v>0.0</v>
      </c>
      <c r="H1104" s="1127">
        <v>6.29</v>
      </c>
      <c r="I1104" s="1127">
        <v>0.0</v>
      </c>
      <c r="J1104" s="1127">
        <v>0.0</v>
      </c>
      <c r="K1104" s="1124"/>
    </row>
    <row r="1105" ht="15.75" customHeight="1">
      <c r="A1105" s="1119">
        <v>93405.0</v>
      </c>
      <c r="B1105" s="1125" t="s">
        <v>11383</v>
      </c>
      <c r="C1105" s="1126" t="s">
        <v>1470</v>
      </c>
      <c r="D1105" s="1119">
        <v>1.18</v>
      </c>
      <c r="E1105" s="1120">
        <v>0.0</v>
      </c>
      <c r="F1105" s="1121">
        <f t="shared" si="1"/>
        <v>1.18</v>
      </c>
      <c r="G1105" s="1120">
        <v>0.0</v>
      </c>
      <c r="H1105" s="1127">
        <v>1.18</v>
      </c>
      <c r="I1105" s="1127">
        <v>0.0</v>
      </c>
      <c r="J1105" s="1127">
        <v>0.0</v>
      </c>
      <c r="K1105" s="1124"/>
    </row>
    <row r="1106" ht="15.75" customHeight="1">
      <c r="A1106" s="1119">
        <v>93406.0</v>
      </c>
      <c r="B1106" s="1125" t="s">
        <v>11384</v>
      </c>
      <c r="C1106" s="1126" t="s">
        <v>1470</v>
      </c>
      <c r="D1106" s="1119">
        <v>8.34</v>
      </c>
      <c r="E1106" s="1120">
        <v>0.0</v>
      </c>
      <c r="F1106" s="1121">
        <f t="shared" si="1"/>
        <v>8.34</v>
      </c>
      <c r="G1106" s="1120">
        <v>0.0</v>
      </c>
      <c r="H1106" s="1127">
        <v>8.34</v>
      </c>
      <c r="I1106" s="1127">
        <v>0.0</v>
      </c>
      <c r="J1106" s="1127">
        <v>0.0</v>
      </c>
      <c r="K1106" s="1124"/>
    </row>
    <row r="1107" ht="15.75" customHeight="1">
      <c r="A1107" s="1119">
        <v>93407.0</v>
      </c>
      <c r="B1107" s="1125" t="s">
        <v>11385</v>
      </c>
      <c r="C1107" s="1126" t="s">
        <v>1470</v>
      </c>
      <c r="D1107" s="1119">
        <v>35.86</v>
      </c>
      <c r="E1107" s="1120">
        <v>0.0</v>
      </c>
      <c r="F1107" s="1121">
        <f t="shared" si="1"/>
        <v>35.86</v>
      </c>
      <c r="G1107" s="1120">
        <v>35.86</v>
      </c>
      <c r="H1107" s="1127">
        <v>0.0</v>
      </c>
      <c r="I1107" s="1127">
        <v>0.0</v>
      </c>
      <c r="J1107" s="1127">
        <v>0.0</v>
      </c>
      <c r="K1107" s="1124"/>
    </row>
    <row r="1108" ht="15.75" customHeight="1">
      <c r="A1108" s="1119">
        <v>93411.0</v>
      </c>
      <c r="B1108" s="1125" t="s">
        <v>11386</v>
      </c>
      <c r="C1108" s="1126" t="s">
        <v>1470</v>
      </c>
      <c r="D1108" s="1119">
        <v>0.27</v>
      </c>
      <c r="E1108" s="1120">
        <v>0.0</v>
      </c>
      <c r="F1108" s="1121">
        <f t="shared" si="1"/>
        <v>0.27</v>
      </c>
      <c r="G1108" s="1120">
        <v>0.0</v>
      </c>
      <c r="H1108" s="1127">
        <v>0.27</v>
      </c>
      <c r="I1108" s="1127">
        <v>0.0</v>
      </c>
      <c r="J1108" s="1127">
        <v>0.0</v>
      </c>
      <c r="K1108" s="1124"/>
    </row>
    <row r="1109" ht="15.75" customHeight="1">
      <c r="A1109" s="1119">
        <v>93412.0</v>
      </c>
      <c r="B1109" s="1125" t="s">
        <v>11387</v>
      </c>
      <c r="C1109" s="1126" t="s">
        <v>1470</v>
      </c>
      <c r="D1109" s="1119">
        <v>0.04</v>
      </c>
      <c r="E1109" s="1120">
        <v>0.0</v>
      </c>
      <c r="F1109" s="1121">
        <f t="shared" si="1"/>
        <v>0.04</v>
      </c>
      <c r="G1109" s="1120">
        <v>0.0</v>
      </c>
      <c r="H1109" s="1127">
        <v>0.04</v>
      </c>
      <c r="I1109" s="1127">
        <v>0.0</v>
      </c>
      <c r="J1109" s="1127">
        <v>0.0</v>
      </c>
      <c r="K1109" s="1124"/>
    </row>
    <row r="1110" ht="15.75" customHeight="1">
      <c r="A1110" s="1119">
        <v>93413.0</v>
      </c>
      <c r="B1110" s="1125" t="s">
        <v>11388</v>
      </c>
      <c r="C1110" s="1126" t="s">
        <v>1470</v>
      </c>
      <c r="D1110" s="1119">
        <v>0.24</v>
      </c>
      <c r="E1110" s="1120">
        <v>0.0</v>
      </c>
      <c r="F1110" s="1121">
        <f t="shared" si="1"/>
        <v>0.24</v>
      </c>
      <c r="G1110" s="1120">
        <v>0.0</v>
      </c>
      <c r="H1110" s="1127">
        <v>0.24</v>
      </c>
      <c r="I1110" s="1127">
        <v>0.0</v>
      </c>
      <c r="J1110" s="1127">
        <v>0.0</v>
      </c>
      <c r="K1110" s="1124"/>
    </row>
    <row r="1111" ht="15.75" customHeight="1">
      <c r="A1111" s="1119">
        <v>93414.0</v>
      </c>
      <c r="B1111" s="1125" t="s">
        <v>11389</v>
      </c>
      <c r="C1111" s="1126" t="s">
        <v>1470</v>
      </c>
      <c r="D1111" s="1119">
        <v>14.01</v>
      </c>
      <c r="E1111" s="1120">
        <v>0.0</v>
      </c>
      <c r="F1111" s="1121">
        <f t="shared" si="1"/>
        <v>14.01</v>
      </c>
      <c r="G1111" s="1120">
        <v>14.01</v>
      </c>
      <c r="H1111" s="1127">
        <v>0.0</v>
      </c>
      <c r="I1111" s="1127">
        <v>0.0</v>
      </c>
      <c r="J1111" s="1127">
        <v>0.0</v>
      </c>
      <c r="K1111" s="1124"/>
    </row>
    <row r="1112" ht="15.75" customHeight="1">
      <c r="A1112" s="1119">
        <v>93417.0</v>
      </c>
      <c r="B1112" s="1125" t="s">
        <v>11390</v>
      </c>
      <c r="C1112" s="1126" t="s">
        <v>1470</v>
      </c>
      <c r="D1112" s="1119">
        <v>3.54</v>
      </c>
      <c r="E1112" s="1120">
        <v>0.0</v>
      </c>
      <c r="F1112" s="1121">
        <f t="shared" si="1"/>
        <v>3.54</v>
      </c>
      <c r="G1112" s="1120">
        <v>0.0</v>
      </c>
      <c r="H1112" s="1127">
        <v>3.54</v>
      </c>
      <c r="I1112" s="1127">
        <v>0.0</v>
      </c>
      <c r="J1112" s="1127">
        <v>0.0</v>
      </c>
      <c r="K1112" s="1124"/>
    </row>
    <row r="1113" ht="15.75" customHeight="1">
      <c r="A1113" s="1119">
        <v>93418.0</v>
      </c>
      <c r="B1113" s="1125" t="s">
        <v>11391</v>
      </c>
      <c r="C1113" s="1126" t="s">
        <v>1470</v>
      </c>
      <c r="D1113" s="1119">
        <v>0.63</v>
      </c>
      <c r="E1113" s="1120">
        <v>0.0</v>
      </c>
      <c r="F1113" s="1121">
        <f t="shared" si="1"/>
        <v>0.63</v>
      </c>
      <c r="G1113" s="1120">
        <v>0.0</v>
      </c>
      <c r="H1113" s="1127">
        <v>0.63</v>
      </c>
      <c r="I1113" s="1127">
        <v>0.0</v>
      </c>
      <c r="J1113" s="1127">
        <v>0.0</v>
      </c>
      <c r="K1113" s="1124"/>
    </row>
    <row r="1114" ht="15.75" customHeight="1">
      <c r="A1114" s="1119">
        <v>93419.0</v>
      </c>
      <c r="B1114" s="1125" t="s">
        <v>11392</v>
      </c>
      <c r="C1114" s="1126" t="s">
        <v>1470</v>
      </c>
      <c r="D1114" s="1119">
        <v>3.16</v>
      </c>
      <c r="E1114" s="1120">
        <v>0.0</v>
      </c>
      <c r="F1114" s="1121">
        <f t="shared" si="1"/>
        <v>3.16</v>
      </c>
      <c r="G1114" s="1120">
        <v>0.0</v>
      </c>
      <c r="H1114" s="1127">
        <v>3.16</v>
      </c>
      <c r="I1114" s="1127">
        <v>0.0</v>
      </c>
      <c r="J1114" s="1127">
        <v>0.0</v>
      </c>
      <c r="K1114" s="1124"/>
    </row>
    <row r="1115" ht="15.75" customHeight="1">
      <c r="A1115" s="1119">
        <v>93420.0</v>
      </c>
      <c r="B1115" s="1125" t="s">
        <v>11393</v>
      </c>
      <c r="C1115" s="1126" t="s">
        <v>1470</v>
      </c>
      <c r="D1115" s="1119">
        <v>51.0</v>
      </c>
      <c r="E1115" s="1120">
        <v>0.0</v>
      </c>
      <c r="F1115" s="1121">
        <f t="shared" si="1"/>
        <v>51</v>
      </c>
      <c r="G1115" s="1120">
        <v>51.0</v>
      </c>
      <c r="H1115" s="1127">
        <v>0.0</v>
      </c>
      <c r="I1115" s="1127">
        <v>0.0</v>
      </c>
      <c r="J1115" s="1127">
        <v>0.0</v>
      </c>
      <c r="K1115" s="1124"/>
    </row>
    <row r="1116" ht="15.75" customHeight="1">
      <c r="A1116" s="1119">
        <v>93423.0</v>
      </c>
      <c r="B1116" s="1125" t="s">
        <v>11394</v>
      </c>
      <c r="C1116" s="1126" t="s">
        <v>1470</v>
      </c>
      <c r="D1116" s="1119">
        <v>5.01</v>
      </c>
      <c r="E1116" s="1120">
        <v>0.0</v>
      </c>
      <c r="F1116" s="1121">
        <f t="shared" si="1"/>
        <v>5.01</v>
      </c>
      <c r="G1116" s="1120">
        <v>0.0</v>
      </c>
      <c r="H1116" s="1127">
        <v>5.01</v>
      </c>
      <c r="I1116" s="1127">
        <v>0.0</v>
      </c>
      <c r="J1116" s="1127">
        <v>0.0</v>
      </c>
      <c r="K1116" s="1124"/>
    </row>
    <row r="1117" ht="15.75" customHeight="1">
      <c r="A1117" s="1119">
        <v>93424.0</v>
      </c>
      <c r="B1117" s="1125" t="s">
        <v>11395</v>
      </c>
      <c r="C1117" s="1126" t="s">
        <v>1470</v>
      </c>
      <c r="D1117" s="1119">
        <v>0.9</v>
      </c>
      <c r="E1117" s="1120">
        <v>0.0</v>
      </c>
      <c r="F1117" s="1121">
        <f t="shared" si="1"/>
        <v>0.9</v>
      </c>
      <c r="G1117" s="1120">
        <v>0.0</v>
      </c>
      <c r="H1117" s="1127">
        <v>0.9</v>
      </c>
      <c r="I1117" s="1127">
        <v>0.0</v>
      </c>
      <c r="J1117" s="1127">
        <v>0.0</v>
      </c>
      <c r="K1117" s="1124"/>
    </row>
    <row r="1118" ht="15.75" customHeight="1">
      <c r="A1118" s="1119">
        <v>93425.0</v>
      </c>
      <c r="B1118" s="1125" t="s">
        <v>11396</v>
      </c>
      <c r="C1118" s="1126" t="s">
        <v>1470</v>
      </c>
      <c r="D1118" s="1119">
        <v>4.47</v>
      </c>
      <c r="E1118" s="1120">
        <v>0.0</v>
      </c>
      <c r="F1118" s="1121">
        <f t="shared" si="1"/>
        <v>4.47</v>
      </c>
      <c r="G1118" s="1120">
        <v>0.0</v>
      </c>
      <c r="H1118" s="1127">
        <v>4.47</v>
      </c>
      <c r="I1118" s="1127">
        <v>0.0</v>
      </c>
      <c r="J1118" s="1127">
        <v>0.0</v>
      </c>
      <c r="K1118" s="1124"/>
    </row>
    <row r="1119" ht="15.75" customHeight="1">
      <c r="A1119" s="1119">
        <v>93426.0</v>
      </c>
      <c r="B1119" s="1125" t="s">
        <v>11397</v>
      </c>
      <c r="C1119" s="1126" t="s">
        <v>1470</v>
      </c>
      <c r="D1119" s="1119">
        <v>121.89</v>
      </c>
      <c r="E1119" s="1120">
        <v>0.0</v>
      </c>
      <c r="F1119" s="1121">
        <f t="shared" si="1"/>
        <v>121.89</v>
      </c>
      <c r="G1119" s="1120">
        <v>121.89</v>
      </c>
      <c r="H1119" s="1127">
        <v>0.0</v>
      </c>
      <c r="I1119" s="1127">
        <v>0.0</v>
      </c>
      <c r="J1119" s="1127">
        <v>0.0</v>
      </c>
      <c r="K1119" s="1124"/>
    </row>
    <row r="1120" ht="15.75" customHeight="1">
      <c r="A1120" s="1119">
        <v>93429.0</v>
      </c>
      <c r="B1120" s="1125" t="s">
        <v>11398</v>
      </c>
      <c r="C1120" s="1126" t="s">
        <v>1470</v>
      </c>
      <c r="D1120" s="1119">
        <v>145.96</v>
      </c>
      <c r="E1120" s="1120">
        <v>0.0</v>
      </c>
      <c r="F1120" s="1121">
        <f t="shared" si="1"/>
        <v>145.96</v>
      </c>
      <c r="G1120" s="1120">
        <v>0.0</v>
      </c>
      <c r="H1120" s="1127">
        <v>145.96</v>
      </c>
      <c r="I1120" s="1127">
        <v>0.0</v>
      </c>
      <c r="J1120" s="1127">
        <v>0.0</v>
      </c>
      <c r="K1120" s="1124"/>
    </row>
    <row r="1121" ht="15.75" customHeight="1">
      <c r="A1121" s="1119">
        <v>93430.0</v>
      </c>
      <c r="B1121" s="1125" t="s">
        <v>11399</v>
      </c>
      <c r="C1121" s="1126" t="s">
        <v>1470</v>
      </c>
      <c r="D1121" s="1119">
        <v>29.19</v>
      </c>
      <c r="E1121" s="1120">
        <v>0.0</v>
      </c>
      <c r="F1121" s="1121">
        <f t="shared" si="1"/>
        <v>29.19</v>
      </c>
      <c r="G1121" s="1120">
        <v>0.0</v>
      </c>
      <c r="H1121" s="1127">
        <v>29.19</v>
      </c>
      <c r="I1121" s="1127">
        <v>0.0</v>
      </c>
      <c r="J1121" s="1127">
        <v>0.0</v>
      </c>
      <c r="K1121" s="1124"/>
    </row>
    <row r="1122" ht="15.75" customHeight="1">
      <c r="A1122" s="1119">
        <v>93431.0</v>
      </c>
      <c r="B1122" s="1125" t="s">
        <v>11400</v>
      </c>
      <c r="C1122" s="1126" t="s">
        <v>1470</v>
      </c>
      <c r="D1122" s="1119">
        <v>175.16</v>
      </c>
      <c r="E1122" s="1120">
        <v>0.0</v>
      </c>
      <c r="F1122" s="1121">
        <f t="shared" si="1"/>
        <v>175.16</v>
      </c>
      <c r="G1122" s="1120">
        <v>0.0</v>
      </c>
      <c r="H1122" s="1127">
        <v>175.16</v>
      </c>
      <c r="I1122" s="1127">
        <v>0.0</v>
      </c>
      <c r="J1122" s="1127">
        <v>0.0</v>
      </c>
      <c r="K1122" s="1124"/>
    </row>
    <row r="1123" ht="15.75" customHeight="1">
      <c r="A1123" s="1119">
        <v>93432.0</v>
      </c>
      <c r="B1123" s="1125" t="s">
        <v>11401</v>
      </c>
      <c r="C1123" s="1126" t="s">
        <v>1470</v>
      </c>
      <c r="D1123" s="1128">
        <v>1638.0</v>
      </c>
      <c r="E1123" s="1120">
        <v>0.0</v>
      </c>
      <c r="F1123" s="1121">
        <f t="shared" si="1"/>
        <v>1638</v>
      </c>
      <c r="G1123" s="1120">
        <v>1638.0</v>
      </c>
      <c r="H1123" s="1127">
        <v>0.0</v>
      </c>
      <c r="I1123" s="1127">
        <v>0.0</v>
      </c>
      <c r="J1123" s="1127">
        <v>0.0</v>
      </c>
      <c r="K1123" s="1124"/>
    </row>
    <row r="1124" ht="15.75" customHeight="1">
      <c r="A1124" s="1119">
        <v>93435.0</v>
      </c>
      <c r="B1124" s="1125" t="s">
        <v>11402</v>
      </c>
      <c r="C1124" s="1126" t="s">
        <v>1470</v>
      </c>
      <c r="D1124" s="1119">
        <v>9.21</v>
      </c>
      <c r="E1124" s="1120">
        <v>0.0</v>
      </c>
      <c r="F1124" s="1121">
        <f t="shared" si="1"/>
        <v>9.21</v>
      </c>
      <c r="G1124" s="1120">
        <v>0.0</v>
      </c>
      <c r="H1124" s="1127">
        <v>9.21</v>
      </c>
      <c r="I1124" s="1127">
        <v>0.0</v>
      </c>
      <c r="J1124" s="1127">
        <v>0.0</v>
      </c>
      <c r="K1124" s="1124"/>
    </row>
    <row r="1125" ht="15.75" customHeight="1">
      <c r="A1125" s="1119">
        <v>93436.0</v>
      </c>
      <c r="B1125" s="1125" t="s">
        <v>11403</v>
      </c>
      <c r="C1125" s="1126" t="s">
        <v>1470</v>
      </c>
      <c r="D1125" s="1119">
        <v>1.84</v>
      </c>
      <c r="E1125" s="1120">
        <v>0.0</v>
      </c>
      <c r="F1125" s="1121">
        <f t="shared" si="1"/>
        <v>1.84</v>
      </c>
      <c r="G1125" s="1120">
        <v>0.0</v>
      </c>
      <c r="H1125" s="1127">
        <v>1.84</v>
      </c>
      <c r="I1125" s="1127">
        <v>0.0</v>
      </c>
      <c r="J1125" s="1127">
        <v>0.0</v>
      </c>
      <c r="K1125" s="1124"/>
    </row>
    <row r="1126" ht="15.75" customHeight="1">
      <c r="A1126" s="1119">
        <v>93437.0</v>
      </c>
      <c r="B1126" s="1125" t="s">
        <v>11404</v>
      </c>
      <c r="C1126" s="1126" t="s">
        <v>1470</v>
      </c>
      <c r="D1126" s="1119">
        <v>9.21</v>
      </c>
      <c r="E1126" s="1120">
        <v>0.0</v>
      </c>
      <c r="F1126" s="1121">
        <f t="shared" si="1"/>
        <v>9.21</v>
      </c>
      <c r="G1126" s="1120">
        <v>0.0</v>
      </c>
      <c r="H1126" s="1127">
        <v>9.21</v>
      </c>
      <c r="I1126" s="1127">
        <v>0.0</v>
      </c>
      <c r="J1126" s="1127">
        <v>0.0</v>
      </c>
      <c r="K1126" s="1124"/>
    </row>
    <row r="1127" ht="15.75" customHeight="1">
      <c r="A1127" s="1119">
        <v>93438.0</v>
      </c>
      <c r="B1127" s="1125" t="s">
        <v>11405</v>
      </c>
      <c r="C1127" s="1126" t="s">
        <v>1470</v>
      </c>
      <c r="D1127" s="1119">
        <v>85.4</v>
      </c>
      <c r="E1127" s="1120">
        <v>0.0</v>
      </c>
      <c r="F1127" s="1121">
        <f t="shared" si="1"/>
        <v>85.4</v>
      </c>
      <c r="G1127" s="1120">
        <v>85.4</v>
      </c>
      <c r="H1127" s="1127">
        <v>0.0</v>
      </c>
      <c r="I1127" s="1127">
        <v>0.0</v>
      </c>
      <c r="J1127" s="1127">
        <v>0.0</v>
      </c>
      <c r="K1127" s="1124"/>
    </row>
    <row r="1128" ht="15.75" customHeight="1">
      <c r="A1128" s="1119">
        <v>95114.0</v>
      </c>
      <c r="B1128" s="1125" t="s">
        <v>11406</v>
      </c>
      <c r="C1128" s="1126" t="s">
        <v>1470</v>
      </c>
      <c r="D1128" s="1119">
        <v>1.25</v>
      </c>
      <c r="E1128" s="1120">
        <v>0.0</v>
      </c>
      <c r="F1128" s="1121">
        <f t="shared" si="1"/>
        <v>1.25</v>
      </c>
      <c r="G1128" s="1120">
        <v>0.0</v>
      </c>
      <c r="H1128" s="1127">
        <v>1.25</v>
      </c>
      <c r="I1128" s="1127">
        <v>0.0</v>
      </c>
      <c r="J1128" s="1127">
        <v>0.0</v>
      </c>
      <c r="K1128" s="1124"/>
    </row>
    <row r="1129" ht="15.75" customHeight="1">
      <c r="A1129" s="1119">
        <v>95115.0</v>
      </c>
      <c r="B1129" s="1125" t="s">
        <v>11407</v>
      </c>
      <c r="C1129" s="1126" t="s">
        <v>1470</v>
      </c>
      <c r="D1129" s="1119">
        <v>0.14</v>
      </c>
      <c r="E1129" s="1120">
        <v>0.0</v>
      </c>
      <c r="F1129" s="1121">
        <f t="shared" si="1"/>
        <v>0.14</v>
      </c>
      <c r="G1129" s="1120">
        <v>0.0</v>
      </c>
      <c r="H1129" s="1127">
        <v>0.14</v>
      </c>
      <c r="I1129" s="1127">
        <v>0.0</v>
      </c>
      <c r="J1129" s="1127">
        <v>0.0</v>
      </c>
      <c r="K1129" s="1124"/>
    </row>
    <row r="1130" ht="15.75" customHeight="1">
      <c r="A1130" s="1119">
        <v>95116.0</v>
      </c>
      <c r="B1130" s="1125" t="s">
        <v>11408</v>
      </c>
      <c r="C1130" s="1126" t="s">
        <v>1470</v>
      </c>
      <c r="D1130" s="1119">
        <v>32.55</v>
      </c>
      <c r="E1130" s="1120">
        <v>0.0</v>
      </c>
      <c r="F1130" s="1121">
        <f t="shared" si="1"/>
        <v>32.55</v>
      </c>
      <c r="G1130" s="1120">
        <v>0.0</v>
      </c>
      <c r="H1130" s="1127">
        <v>32.55</v>
      </c>
      <c r="I1130" s="1127">
        <v>0.0</v>
      </c>
      <c r="J1130" s="1127">
        <v>0.0</v>
      </c>
      <c r="K1130" s="1124"/>
    </row>
    <row r="1131" ht="15.75" customHeight="1">
      <c r="A1131" s="1119">
        <v>95117.0</v>
      </c>
      <c r="B1131" s="1125" t="s">
        <v>11409</v>
      </c>
      <c r="C1131" s="1126" t="s">
        <v>1470</v>
      </c>
      <c r="D1131" s="1119">
        <v>5.12</v>
      </c>
      <c r="E1131" s="1120">
        <v>0.0</v>
      </c>
      <c r="F1131" s="1121">
        <f t="shared" si="1"/>
        <v>5.12</v>
      </c>
      <c r="G1131" s="1120">
        <v>0.0</v>
      </c>
      <c r="H1131" s="1127">
        <v>5.12</v>
      </c>
      <c r="I1131" s="1127">
        <v>0.0</v>
      </c>
      <c r="J1131" s="1127">
        <v>0.0</v>
      </c>
      <c r="K1131" s="1124"/>
    </row>
    <row r="1132" ht="15.75" customHeight="1">
      <c r="A1132" s="1119">
        <v>95118.0</v>
      </c>
      <c r="B1132" s="1125" t="s">
        <v>11410</v>
      </c>
      <c r="C1132" s="1126" t="s">
        <v>1470</v>
      </c>
      <c r="D1132" s="1119">
        <v>68.82</v>
      </c>
      <c r="E1132" s="1120">
        <v>0.0</v>
      </c>
      <c r="F1132" s="1121">
        <f t="shared" si="1"/>
        <v>68.82</v>
      </c>
      <c r="G1132" s="1120">
        <v>0.0</v>
      </c>
      <c r="H1132" s="1127">
        <v>68.82</v>
      </c>
      <c r="I1132" s="1127">
        <v>0.0</v>
      </c>
      <c r="J1132" s="1127">
        <v>0.0</v>
      </c>
      <c r="K1132" s="1124"/>
    </row>
    <row r="1133" ht="15.75" customHeight="1">
      <c r="A1133" s="1119">
        <v>95119.0</v>
      </c>
      <c r="B1133" s="1125" t="s">
        <v>11411</v>
      </c>
      <c r="C1133" s="1126" t="s">
        <v>1470</v>
      </c>
      <c r="D1133" s="1119">
        <v>10.84</v>
      </c>
      <c r="E1133" s="1120">
        <v>0.0</v>
      </c>
      <c r="F1133" s="1121">
        <f t="shared" si="1"/>
        <v>10.84</v>
      </c>
      <c r="G1133" s="1120">
        <v>0.0</v>
      </c>
      <c r="H1133" s="1127">
        <v>10.84</v>
      </c>
      <c r="I1133" s="1127">
        <v>0.0</v>
      </c>
      <c r="J1133" s="1127">
        <v>0.0</v>
      </c>
      <c r="K1133" s="1124"/>
    </row>
    <row r="1134" ht="15.75" customHeight="1">
      <c r="A1134" s="1119">
        <v>95120.0</v>
      </c>
      <c r="B1134" s="1125" t="s">
        <v>11412</v>
      </c>
      <c r="C1134" s="1126" t="s">
        <v>1470</v>
      </c>
      <c r="D1134" s="1119">
        <v>40.8</v>
      </c>
      <c r="E1134" s="1120">
        <v>0.0</v>
      </c>
      <c r="F1134" s="1121">
        <f t="shared" si="1"/>
        <v>40.8</v>
      </c>
      <c r="G1134" s="1120">
        <v>0.0</v>
      </c>
      <c r="H1134" s="1127">
        <v>0.0</v>
      </c>
      <c r="I1134" s="1127">
        <v>0.0</v>
      </c>
      <c r="J1134" s="1127">
        <v>40.8</v>
      </c>
      <c r="K1134" s="1124"/>
    </row>
    <row r="1135" ht="15.75" customHeight="1">
      <c r="A1135" s="1119">
        <v>95123.0</v>
      </c>
      <c r="B1135" s="1125" t="s">
        <v>11413</v>
      </c>
      <c r="C1135" s="1126" t="s">
        <v>1470</v>
      </c>
      <c r="D1135" s="1119">
        <v>17.87</v>
      </c>
      <c r="E1135" s="1120">
        <v>0.0</v>
      </c>
      <c r="F1135" s="1121">
        <f t="shared" si="1"/>
        <v>17.87</v>
      </c>
      <c r="G1135" s="1120">
        <v>0.0</v>
      </c>
      <c r="H1135" s="1127">
        <v>17.87</v>
      </c>
      <c r="I1135" s="1127">
        <v>0.0</v>
      </c>
      <c r="J1135" s="1127">
        <v>0.0</v>
      </c>
      <c r="K1135" s="1124"/>
    </row>
    <row r="1136" ht="15.75" customHeight="1">
      <c r="A1136" s="1119">
        <v>95124.0</v>
      </c>
      <c r="B1136" s="1125" t="s">
        <v>11414</v>
      </c>
      <c r="C1136" s="1126" t="s">
        <v>1470</v>
      </c>
      <c r="D1136" s="1119">
        <v>2.81</v>
      </c>
      <c r="E1136" s="1120">
        <v>0.0</v>
      </c>
      <c r="F1136" s="1121">
        <f t="shared" si="1"/>
        <v>2.81</v>
      </c>
      <c r="G1136" s="1120">
        <v>0.0</v>
      </c>
      <c r="H1136" s="1127">
        <v>2.81</v>
      </c>
      <c r="I1136" s="1127">
        <v>0.0</v>
      </c>
      <c r="J1136" s="1127">
        <v>0.0</v>
      </c>
      <c r="K1136" s="1124"/>
    </row>
    <row r="1137" ht="15.75" customHeight="1">
      <c r="A1137" s="1119">
        <v>95125.0</v>
      </c>
      <c r="B1137" s="1125" t="s">
        <v>11415</v>
      </c>
      <c r="C1137" s="1126" t="s">
        <v>1470</v>
      </c>
      <c r="D1137" s="1119">
        <v>19.56</v>
      </c>
      <c r="E1137" s="1120">
        <v>0.0</v>
      </c>
      <c r="F1137" s="1121">
        <f t="shared" si="1"/>
        <v>19.56</v>
      </c>
      <c r="G1137" s="1120">
        <v>0.0</v>
      </c>
      <c r="H1137" s="1127">
        <v>19.56</v>
      </c>
      <c r="I1137" s="1127">
        <v>0.0</v>
      </c>
      <c r="J1137" s="1127">
        <v>0.0</v>
      </c>
      <c r="K1137" s="1124"/>
    </row>
    <row r="1138" ht="15.75" customHeight="1">
      <c r="A1138" s="1119">
        <v>95126.0</v>
      </c>
      <c r="B1138" s="1125" t="s">
        <v>11416</v>
      </c>
      <c r="C1138" s="1126" t="s">
        <v>1470</v>
      </c>
      <c r="D1138" s="1119">
        <v>111.97</v>
      </c>
      <c r="E1138" s="1120">
        <v>0.0</v>
      </c>
      <c r="F1138" s="1121">
        <f t="shared" si="1"/>
        <v>111.97</v>
      </c>
      <c r="G1138" s="1120">
        <v>111.97</v>
      </c>
      <c r="H1138" s="1127">
        <v>0.0</v>
      </c>
      <c r="I1138" s="1127">
        <v>0.0</v>
      </c>
      <c r="J1138" s="1127">
        <v>0.0</v>
      </c>
      <c r="K1138" s="1124"/>
    </row>
    <row r="1139" ht="15.75" customHeight="1">
      <c r="A1139" s="1119">
        <v>95129.0</v>
      </c>
      <c r="B1139" s="1125" t="s">
        <v>11417</v>
      </c>
      <c r="C1139" s="1126" t="s">
        <v>1470</v>
      </c>
      <c r="D1139" s="1119">
        <v>47.9</v>
      </c>
      <c r="E1139" s="1120">
        <v>0.0</v>
      </c>
      <c r="F1139" s="1121">
        <f t="shared" si="1"/>
        <v>47.9</v>
      </c>
      <c r="G1139" s="1120">
        <v>0.0</v>
      </c>
      <c r="H1139" s="1127">
        <v>47.9</v>
      </c>
      <c r="I1139" s="1127">
        <v>0.0</v>
      </c>
      <c r="J1139" s="1127">
        <v>0.0</v>
      </c>
      <c r="K1139" s="1124"/>
    </row>
    <row r="1140" ht="15.75" customHeight="1">
      <c r="A1140" s="1119">
        <v>95130.0</v>
      </c>
      <c r="B1140" s="1125" t="s">
        <v>11418</v>
      </c>
      <c r="C1140" s="1126" t="s">
        <v>1470</v>
      </c>
      <c r="D1140" s="1119">
        <v>8.88</v>
      </c>
      <c r="E1140" s="1120">
        <v>0.0</v>
      </c>
      <c r="F1140" s="1121">
        <f t="shared" si="1"/>
        <v>8.88</v>
      </c>
      <c r="G1140" s="1120">
        <v>0.0</v>
      </c>
      <c r="H1140" s="1127">
        <v>8.88</v>
      </c>
      <c r="I1140" s="1127">
        <v>0.0</v>
      </c>
      <c r="J1140" s="1127">
        <v>0.0</v>
      </c>
      <c r="K1140" s="1124"/>
    </row>
    <row r="1141" ht="15.75" customHeight="1">
      <c r="A1141" s="1119">
        <v>95131.0</v>
      </c>
      <c r="B1141" s="1125" t="s">
        <v>11419</v>
      </c>
      <c r="C1141" s="1126" t="s">
        <v>1470</v>
      </c>
      <c r="D1141" s="1119">
        <v>56.38</v>
      </c>
      <c r="E1141" s="1120">
        <v>0.0</v>
      </c>
      <c r="F1141" s="1121">
        <f t="shared" si="1"/>
        <v>56.38</v>
      </c>
      <c r="G1141" s="1120">
        <v>0.0</v>
      </c>
      <c r="H1141" s="1127">
        <v>56.38</v>
      </c>
      <c r="I1141" s="1127">
        <v>0.0</v>
      </c>
      <c r="J1141" s="1127">
        <v>0.0</v>
      </c>
      <c r="K1141" s="1124"/>
    </row>
    <row r="1142" ht="15.75" customHeight="1">
      <c r="A1142" s="1119">
        <v>95132.0</v>
      </c>
      <c r="B1142" s="1125" t="s">
        <v>11420</v>
      </c>
      <c r="C1142" s="1126" t="s">
        <v>1470</v>
      </c>
      <c r="D1142" s="1119">
        <v>24.52</v>
      </c>
      <c r="E1142" s="1120">
        <v>0.0</v>
      </c>
      <c r="F1142" s="1121">
        <f t="shared" si="1"/>
        <v>24.52</v>
      </c>
      <c r="G1142" s="1120">
        <v>24.52</v>
      </c>
      <c r="H1142" s="1127">
        <v>0.0</v>
      </c>
      <c r="I1142" s="1127">
        <v>0.0</v>
      </c>
      <c r="J1142" s="1127">
        <v>0.0</v>
      </c>
      <c r="K1142" s="1124"/>
    </row>
    <row r="1143" ht="15.75" customHeight="1">
      <c r="A1143" s="1119">
        <v>95136.0</v>
      </c>
      <c r="B1143" s="1125" t="s">
        <v>11421</v>
      </c>
      <c r="C1143" s="1126" t="s">
        <v>1470</v>
      </c>
      <c r="D1143" s="1119">
        <v>0.03</v>
      </c>
      <c r="E1143" s="1120">
        <v>0.0</v>
      </c>
      <c r="F1143" s="1121">
        <f t="shared" si="1"/>
        <v>0.03</v>
      </c>
      <c r="G1143" s="1120">
        <v>0.0</v>
      </c>
      <c r="H1143" s="1127">
        <v>0.03</v>
      </c>
      <c r="I1143" s="1127">
        <v>0.0</v>
      </c>
      <c r="J1143" s="1127">
        <v>0.0</v>
      </c>
      <c r="K1143" s="1124"/>
    </row>
    <row r="1144" ht="15.75" customHeight="1">
      <c r="A1144" s="1119">
        <v>95137.0</v>
      </c>
      <c r="B1144" s="1125" t="s">
        <v>11422</v>
      </c>
      <c r="C1144" s="1126" t="s">
        <v>1470</v>
      </c>
      <c r="D1144" s="1119">
        <v>0.01</v>
      </c>
      <c r="E1144" s="1120">
        <v>0.0</v>
      </c>
      <c r="F1144" s="1121">
        <f t="shared" si="1"/>
        <v>0.01</v>
      </c>
      <c r="G1144" s="1120">
        <v>0.0</v>
      </c>
      <c r="H1144" s="1127">
        <v>0.01</v>
      </c>
      <c r="I1144" s="1127">
        <v>0.0</v>
      </c>
      <c r="J1144" s="1127">
        <v>0.0</v>
      </c>
      <c r="K1144" s="1124"/>
    </row>
    <row r="1145" ht="15.75" customHeight="1">
      <c r="A1145" s="1119">
        <v>95138.0</v>
      </c>
      <c r="B1145" s="1125" t="s">
        <v>11423</v>
      </c>
      <c r="C1145" s="1126" t="s">
        <v>1470</v>
      </c>
      <c r="D1145" s="1119">
        <v>0.02</v>
      </c>
      <c r="E1145" s="1120">
        <v>0.0</v>
      </c>
      <c r="F1145" s="1121">
        <f t="shared" si="1"/>
        <v>0.02</v>
      </c>
      <c r="G1145" s="1120">
        <v>0.0</v>
      </c>
      <c r="H1145" s="1127">
        <v>0.02</v>
      </c>
      <c r="I1145" s="1127">
        <v>0.0</v>
      </c>
      <c r="J1145" s="1127">
        <v>0.0</v>
      </c>
      <c r="K1145" s="1124"/>
    </row>
    <row r="1146" ht="15.75" customHeight="1">
      <c r="A1146" s="1119">
        <v>95208.0</v>
      </c>
      <c r="B1146" s="1125" t="s">
        <v>11424</v>
      </c>
      <c r="C1146" s="1126" t="s">
        <v>1470</v>
      </c>
      <c r="D1146" s="1119">
        <v>32.6</v>
      </c>
      <c r="E1146" s="1120">
        <v>0.0</v>
      </c>
      <c r="F1146" s="1121">
        <f t="shared" si="1"/>
        <v>32.6</v>
      </c>
      <c r="G1146" s="1120">
        <v>0.0</v>
      </c>
      <c r="H1146" s="1127">
        <v>32.6</v>
      </c>
      <c r="I1146" s="1127">
        <v>0.0</v>
      </c>
      <c r="J1146" s="1127">
        <v>0.0</v>
      </c>
      <c r="K1146" s="1124"/>
    </row>
    <row r="1147" ht="15.75" customHeight="1">
      <c r="A1147" s="1119">
        <v>95209.0</v>
      </c>
      <c r="B1147" s="1125" t="s">
        <v>11425</v>
      </c>
      <c r="C1147" s="1126" t="s">
        <v>1470</v>
      </c>
      <c r="D1147" s="1119">
        <v>8.15</v>
      </c>
      <c r="E1147" s="1120">
        <v>0.0</v>
      </c>
      <c r="F1147" s="1121">
        <f t="shared" si="1"/>
        <v>8.15</v>
      </c>
      <c r="G1147" s="1120">
        <v>0.0</v>
      </c>
      <c r="H1147" s="1127">
        <v>8.15</v>
      </c>
      <c r="I1147" s="1127">
        <v>0.0</v>
      </c>
      <c r="J1147" s="1127">
        <v>0.0</v>
      </c>
      <c r="K1147" s="1124"/>
    </row>
    <row r="1148" ht="15.75" customHeight="1">
      <c r="A1148" s="1119">
        <v>95210.0</v>
      </c>
      <c r="B1148" s="1125" t="s">
        <v>11426</v>
      </c>
      <c r="C1148" s="1126" t="s">
        <v>1470</v>
      </c>
      <c r="D1148" s="1119">
        <v>32.6</v>
      </c>
      <c r="E1148" s="1120">
        <v>0.0</v>
      </c>
      <c r="F1148" s="1121">
        <f t="shared" si="1"/>
        <v>32.6</v>
      </c>
      <c r="G1148" s="1120">
        <v>0.0</v>
      </c>
      <c r="H1148" s="1127">
        <v>32.6</v>
      </c>
      <c r="I1148" s="1127">
        <v>0.0</v>
      </c>
      <c r="J1148" s="1127">
        <v>0.0</v>
      </c>
      <c r="K1148" s="1124"/>
    </row>
    <row r="1149" ht="15.75" customHeight="1">
      <c r="A1149" s="1119">
        <v>95211.0</v>
      </c>
      <c r="B1149" s="1125" t="s">
        <v>11427</v>
      </c>
      <c r="C1149" s="1126" t="s">
        <v>1470</v>
      </c>
      <c r="D1149" s="1119">
        <v>5.98</v>
      </c>
      <c r="E1149" s="1120">
        <v>0.0</v>
      </c>
      <c r="F1149" s="1121">
        <f t="shared" si="1"/>
        <v>5.98</v>
      </c>
      <c r="G1149" s="1120">
        <v>0.0</v>
      </c>
      <c r="H1149" s="1127">
        <v>0.0</v>
      </c>
      <c r="I1149" s="1127">
        <v>0.0</v>
      </c>
      <c r="J1149" s="1127">
        <v>5.98</v>
      </c>
      <c r="K1149" s="1124"/>
    </row>
    <row r="1150" ht="15.75" customHeight="1">
      <c r="A1150" s="1119">
        <v>95217.0</v>
      </c>
      <c r="B1150" s="1125" t="s">
        <v>11428</v>
      </c>
      <c r="C1150" s="1126" t="s">
        <v>1470</v>
      </c>
      <c r="D1150" s="1119">
        <v>0.48</v>
      </c>
      <c r="E1150" s="1120">
        <v>0.0</v>
      </c>
      <c r="F1150" s="1121">
        <f t="shared" si="1"/>
        <v>0.48</v>
      </c>
      <c r="G1150" s="1120">
        <v>0.0</v>
      </c>
      <c r="H1150" s="1127">
        <v>0.0</v>
      </c>
      <c r="I1150" s="1127">
        <v>0.0</v>
      </c>
      <c r="J1150" s="1127">
        <v>0.48</v>
      </c>
      <c r="K1150" s="1124"/>
    </row>
    <row r="1151" ht="15.75" customHeight="1">
      <c r="A1151" s="1119">
        <v>95255.0</v>
      </c>
      <c r="B1151" s="1125" t="s">
        <v>11429</v>
      </c>
      <c r="C1151" s="1126" t="s">
        <v>1470</v>
      </c>
      <c r="D1151" s="1119">
        <v>1.11</v>
      </c>
      <c r="E1151" s="1120">
        <v>0.0</v>
      </c>
      <c r="F1151" s="1121">
        <f t="shared" si="1"/>
        <v>1.11</v>
      </c>
      <c r="G1151" s="1120">
        <v>0.0</v>
      </c>
      <c r="H1151" s="1127">
        <v>1.11</v>
      </c>
      <c r="I1151" s="1127">
        <v>0.0</v>
      </c>
      <c r="J1151" s="1127">
        <v>0.0</v>
      </c>
      <c r="K1151" s="1124"/>
    </row>
    <row r="1152" ht="15.75" customHeight="1">
      <c r="A1152" s="1119">
        <v>95256.0</v>
      </c>
      <c r="B1152" s="1125" t="s">
        <v>11430</v>
      </c>
      <c r="C1152" s="1126" t="s">
        <v>1470</v>
      </c>
      <c r="D1152" s="1119">
        <v>0.13</v>
      </c>
      <c r="E1152" s="1120">
        <v>0.0</v>
      </c>
      <c r="F1152" s="1121">
        <f t="shared" si="1"/>
        <v>0.13</v>
      </c>
      <c r="G1152" s="1120">
        <v>0.0</v>
      </c>
      <c r="H1152" s="1127">
        <v>0.13</v>
      </c>
      <c r="I1152" s="1127">
        <v>0.0</v>
      </c>
      <c r="J1152" s="1127">
        <v>0.0</v>
      </c>
      <c r="K1152" s="1124"/>
    </row>
    <row r="1153" ht="15.75" customHeight="1">
      <c r="A1153" s="1119">
        <v>95257.0</v>
      </c>
      <c r="B1153" s="1125" t="s">
        <v>11431</v>
      </c>
      <c r="C1153" s="1126" t="s">
        <v>1470</v>
      </c>
      <c r="D1153" s="1119">
        <v>1.38</v>
      </c>
      <c r="E1153" s="1120">
        <v>0.0</v>
      </c>
      <c r="F1153" s="1121">
        <f t="shared" si="1"/>
        <v>1.38</v>
      </c>
      <c r="G1153" s="1120">
        <v>0.0</v>
      </c>
      <c r="H1153" s="1127">
        <v>1.38</v>
      </c>
      <c r="I1153" s="1127">
        <v>0.0</v>
      </c>
      <c r="J1153" s="1127">
        <v>0.0</v>
      </c>
      <c r="K1153" s="1124"/>
    </row>
    <row r="1154" ht="15.75" customHeight="1">
      <c r="A1154" s="1119">
        <v>95260.0</v>
      </c>
      <c r="B1154" s="1125" t="s">
        <v>11432</v>
      </c>
      <c r="C1154" s="1126" t="s">
        <v>1470</v>
      </c>
      <c r="D1154" s="1119">
        <v>0.54</v>
      </c>
      <c r="E1154" s="1120">
        <v>0.0</v>
      </c>
      <c r="F1154" s="1121">
        <f t="shared" si="1"/>
        <v>0.54</v>
      </c>
      <c r="G1154" s="1120">
        <v>0.0</v>
      </c>
      <c r="H1154" s="1127">
        <v>0.54</v>
      </c>
      <c r="I1154" s="1127">
        <v>0.0</v>
      </c>
      <c r="J1154" s="1127">
        <v>0.0</v>
      </c>
      <c r="K1154" s="1124"/>
    </row>
    <row r="1155" ht="15.75" customHeight="1">
      <c r="A1155" s="1119">
        <v>95261.0</v>
      </c>
      <c r="B1155" s="1125" t="s">
        <v>11433</v>
      </c>
      <c r="C1155" s="1126" t="s">
        <v>1470</v>
      </c>
      <c r="D1155" s="1119">
        <v>0.12</v>
      </c>
      <c r="E1155" s="1120">
        <v>0.0</v>
      </c>
      <c r="F1155" s="1121">
        <f t="shared" si="1"/>
        <v>0.12</v>
      </c>
      <c r="G1155" s="1120">
        <v>0.0</v>
      </c>
      <c r="H1155" s="1127">
        <v>0.12</v>
      </c>
      <c r="I1155" s="1127">
        <v>0.0</v>
      </c>
      <c r="J1155" s="1127">
        <v>0.0</v>
      </c>
      <c r="K1155" s="1124"/>
    </row>
    <row r="1156" ht="15.75" customHeight="1">
      <c r="A1156" s="1119">
        <v>95262.0</v>
      </c>
      <c r="B1156" s="1125" t="s">
        <v>11434</v>
      </c>
      <c r="C1156" s="1126" t="s">
        <v>1470</v>
      </c>
      <c r="D1156" s="1119">
        <v>1.15</v>
      </c>
      <c r="E1156" s="1120">
        <v>0.0</v>
      </c>
      <c r="F1156" s="1121">
        <f t="shared" si="1"/>
        <v>1.15</v>
      </c>
      <c r="G1156" s="1120">
        <v>0.0</v>
      </c>
      <c r="H1156" s="1127">
        <v>1.15</v>
      </c>
      <c r="I1156" s="1127">
        <v>0.0</v>
      </c>
      <c r="J1156" s="1127">
        <v>0.0</v>
      </c>
      <c r="K1156" s="1124"/>
    </row>
    <row r="1157" ht="15.75" customHeight="1">
      <c r="A1157" s="1119">
        <v>95263.0</v>
      </c>
      <c r="B1157" s="1125" t="s">
        <v>11435</v>
      </c>
      <c r="C1157" s="1126" t="s">
        <v>1470</v>
      </c>
      <c r="D1157" s="1119">
        <v>4.39</v>
      </c>
      <c r="E1157" s="1120">
        <v>0.0</v>
      </c>
      <c r="F1157" s="1121">
        <f t="shared" si="1"/>
        <v>4.39</v>
      </c>
      <c r="G1157" s="1120">
        <v>4.39</v>
      </c>
      <c r="H1157" s="1127">
        <v>0.0</v>
      </c>
      <c r="I1157" s="1127">
        <v>0.0</v>
      </c>
      <c r="J1157" s="1127">
        <v>0.0</v>
      </c>
      <c r="K1157" s="1124"/>
    </row>
    <row r="1158" ht="15.75" customHeight="1">
      <c r="A1158" s="1119">
        <v>95266.0</v>
      </c>
      <c r="B1158" s="1125" t="s">
        <v>11436</v>
      </c>
      <c r="C1158" s="1126" t="s">
        <v>1470</v>
      </c>
      <c r="D1158" s="1119">
        <v>0.49</v>
      </c>
      <c r="E1158" s="1120">
        <v>0.0</v>
      </c>
      <c r="F1158" s="1121">
        <f t="shared" si="1"/>
        <v>0.49</v>
      </c>
      <c r="G1158" s="1120">
        <v>0.0</v>
      </c>
      <c r="H1158" s="1127">
        <v>0.49</v>
      </c>
      <c r="I1158" s="1127">
        <v>0.0</v>
      </c>
      <c r="J1158" s="1127">
        <v>0.0</v>
      </c>
      <c r="K1158" s="1124"/>
    </row>
    <row r="1159" ht="15.75" customHeight="1">
      <c r="A1159" s="1119">
        <v>95267.0</v>
      </c>
      <c r="B1159" s="1125" t="s">
        <v>11437</v>
      </c>
      <c r="C1159" s="1126" t="s">
        <v>1470</v>
      </c>
      <c r="D1159" s="1119">
        <v>0.05</v>
      </c>
      <c r="E1159" s="1120">
        <v>0.0</v>
      </c>
      <c r="F1159" s="1121">
        <f t="shared" si="1"/>
        <v>0.05</v>
      </c>
      <c r="G1159" s="1120">
        <v>0.0</v>
      </c>
      <c r="H1159" s="1127">
        <v>0.05</v>
      </c>
      <c r="I1159" s="1127">
        <v>0.0</v>
      </c>
      <c r="J1159" s="1127">
        <v>0.0</v>
      </c>
      <c r="K1159" s="1124"/>
    </row>
    <row r="1160" ht="15.75" customHeight="1">
      <c r="A1160" s="1119">
        <v>95268.0</v>
      </c>
      <c r="B1160" s="1125" t="s">
        <v>11438</v>
      </c>
      <c r="C1160" s="1126" t="s">
        <v>1470</v>
      </c>
      <c r="D1160" s="1119">
        <v>0.48</v>
      </c>
      <c r="E1160" s="1120">
        <v>0.0</v>
      </c>
      <c r="F1160" s="1121">
        <f t="shared" si="1"/>
        <v>0.48</v>
      </c>
      <c r="G1160" s="1120">
        <v>0.0</v>
      </c>
      <c r="H1160" s="1127">
        <v>0.48</v>
      </c>
      <c r="I1160" s="1127">
        <v>0.0</v>
      </c>
      <c r="J1160" s="1127">
        <v>0.0</v>
      </c>
      <c r="K1160" s="1124"/>
    </row>
    <row r="1161" ht="15.75" customHeight="1">
      <c r="A1161" s="1119">
        <v>95269.0</v>
      </c>
      <c r="B1161" s="1125" t="s">
        <v>11439</v>
      </c>
      <c r="C1161" s="1126" t="s">
        <v>1470</v>
      </c>
      <c r="D1161" s="1119">
        <v>8.1</v>
      </c>
      <c r="E1161" s="1120">
        <v>0.0</v>
      </c>
      <c r="F1161" s="1121">
        <f t="shared" si="1"/>
        <v>8.1</v>
      </c>
      <c r="G1161" s="1120">
        <v>8.1</v>
      </c>
      <c r="H1161" s="1127">
        <v>0.0</v>
      </c>
      <c r="I1161" s="1127">
        <v>0.0</v>
      </c>
      <c r="J1161" s="1127">
        <v>0.0</v>
      </c>
      <c r="K1161" s="1124"/>
    </row>
    <row r="1162" ht="15.75" customHeight="1">
      <c r="A1162" s="1119">
        <v>95272.0</v>
      </c>
      <c r="B1162" s="1125" t="s">
        <v>11440</v>
      </c>
      <c r="C1162" s="1126" t="s">
        <v>1470</v>
      </c>
      <c r="D1162" s="1119">
        <v>0.45</v>
      </c>
      <c r="E1162" s="1120">
        <v>0.0</v>
      </c>
      <c r="F1162" s="1121">
        <f t="shared" si="1"/>
        <v>0.45</v>
      </c>
      <c r="G1162" s="1120">
        <v>0.0</v>
      </c>
      <c r="H1162" s="1127">
        <v>0.45</v>
      </c>
      <c r="I1162" s="1127">
        <v>0.0</v>
      </c>
      <c r="J1162" s="1127">
        <v>0.0</v>
      </c>
      <c r="K1162" s="1124"/>
    </row>
    <row r="1163" ht="15.75" customHeight="1">
      <c r="A1163" s="1119">
        <v>95273.0</v>
      </c>
      <c r="B1163" s="1125" t="s">
        <v>11441</v>
      </c>
      <c r="C1163" s="1126" t="s">
        <v>1470</v>
      </c>
      <c r="D1163" s="1119">
        <v>0.07</v>
      </c>
      <c r="E1163" s="1120">
        <v>0.0</v>
      </c>
      <c r="F1163" s="1121">
        <f t="shared" si="1"/>
        <v>0.07</v>
      </c>
      <c r="G1163" s="1120">
        <v>0.0</v>
      </c>
      <c r="H1163" s="1127">
        <v>0.07</v>
      </c>
      <c r="I1163" s="1127">
        <v>0.0</v>
      </c>
      <c r="J1163" s="1127">
        <v>0.0</v>
      </c>
      <c r="K1163" s="1124"/>
    </row>
    <row r="1164" ht="15.75" customHeight="1">
      <c r="A1164" s="1119">
        <v>95274.0</v>
      </c>
      <c r="B1164" s="1125" t="s">
        <v>11442</v>
      </c>
      <c r="C1164" s="1126" t="s">
        <v>1470</v>
      </c>
      <c r="D1164" s="1119">
        <v>0.37</v>
      </c>
      <c r="E1164" s="1120">
        <v>0.0</v>
      </c>
      <c r="F1164" s="1121">
        <f t="shared" si="1"/>
        <v>0.37</v>
      </c>
      <c r="G1164" s="1120">
        <v>0.0</v>
      </c>
      <c r="H1164" s="1127">
        <v>0.37</v>
      </c>
      <c r="I1164" s="1127">
        <v>0.0</v>
      </c>
      <c r="J1164" s="1127">
        <v>0.0</v>
      </c>
      <c r="K1164" s="1124"/>
    </row>
    <row r="1165" ht="15.75" customHeight="1">
      <c r="A1165" s="1119">
        <v>95275.0</v>
      </c>
      <c r="B1165" s="1125" t="s">
        <v>11443</v>
      </c>
      <c r="C1165" s="1126" t="s">
        <v>1470</v>
      </c>
      <c r="D1165" s="1119">
        <v>1.62</v>
      </c>
      <c r="E1165" s="1120">
        <v>0.0</v>
      </c>
      <c r="F1165" s="1121">
        <f t="shared" si="1"/>
        <v>1.62</v>
      </c>
      <c r="G1165" s="1120">
        <v>0.0</v>
      </c>
      <c r="H1165" s="1127">
        <v>0.0</v>
      </c>
      <c r="I1165" s="1127">
        <v>0.0</v>
      </c>
      <c r="J1165" s="1127">
        <v>1.62</v>
      </c>
      <c r="K1165" s="1124"/>
    </row>
    <row r="1166" ht="15.75" customHeight="1">
      <c r="A1166" s="1119">
        <v>95278.0</v>
      </c>
      <c r="B1166" s="1125" t="s">
        <v>11444</v>
      </c>
      <c r="C1166" s="1126" t="s">
        <v>1470</v>
      </c>
      <c r="D1166" s="1119">
        <v>0.57</v>
      </c>
      <c r="E1166" s="1120">
        <v>0.0</v>
      </c>
      <c r="F1166" s="1121">
        <f t="shared" si="1"/>
        <v>0.57</v>
      </c>
      <c r="G1166" s="1120">
        <v>0.0</v>
      </c>
      <c r="H1166" s="1127">
        <v>0.57</v>
      </c>
      <c r="I1166" s="1127">
        <v>0.0</v>
      </c>
      <c r="J1166" s="1127">
        <v>0.0</v>
      </c>
      <c r="K1166" s="1124"/>
    </row>
    <row r="1167" ht="15.75" customHeight="1">
      <c r="A1167" s="1119">
        <v>95279.0</v>
      </c>
      <c r="B1167" s="1125" t="s">
        <v>11445</v>
      </c>
      <c r="C1167" s="1126" t="s">
        <v>1470</v>
      </c>
      <c r="D1167" s="1119">
        <v>0.08</v>
      </c>
      <c r="E1167" s="1120">
        <v>0.0</v>
      </c>
      <c r="F1167" s="1121">
        <f t="shared" si="1"/>
        <v>0.08</v>
      </c>
      <c r="G1167" s="1120">
        <v>0.0</v>
      </c>
      <c r="H1167" s="1127">
        <v>0.08</v>
      </c>
      <c r="I1167" s="1127">
        <v>0.0</v>
      </c>
      <c r="J1167" s="1127">
        <v>0.0</v>
      </c>
      <c r="K1167" s="1124"/>
    </row>
    <row r="1168" ht="15.75" customHeight="1">
      <c r="A1168" s="1119">
        <v>95280.0</v>
      </c>
      <c r="B1168" s="1125" t="s">
        <v>11446</v>
      </c>
      <c r="C1168" s="1126" t="s">
        <v>1470</v>
      </c>
      <c r="D1168" s="1119">
        <v>0.57</v>
      </c>
      <c r="E1168" s="1120">
        <v>0.0</v>
      </c>
      <c r="F1168" s="1121">
        <f t="shared" si="1"/>
        <v>0.57</v>
      </c>
      <c r="G1168" s="1120">
        <v>0.0</v>
      </c>
      <c r="H1168" s="1127">
        <v>0.57</v>
      </c>
      <c r="I1168" s="1127">
        <v>0.0</v>
      </c>
      <c r="J1168" s="1127">
        <v>0.0</v>
      </c>
      <c r="K1168" s="1124"/>
    </row>
    <row r="1169" ht="15.75" customHeight="1">
      <c r="A1169" s="1119">
        <v>95281.0</v>
      </c>
      <c r="B1169" s="1125" t="s">
        <v>11447</v>
      </c>
      <c r="C1169" s="1126" t="s">
        <v>1470</v>
      </c>
      <c r="D1169" s="1119">
        <v>8.08</v>
      </c>
      <c r="E1169" s="1120">
        <v>0.0</v>
      </c>
      <c r="F1169" s="1121">
        <f t="shared" si="1"/>
        <v>8.08</v>
      </c>
      <c r="G1169" s="1120">
        <v>8.08</v>
      </c>
      <c r="H1169" s="1127">
        <v>0.0</v>
      </c>
      <c r="I1169" s="1127">
        <v>0.0</v>
      </c>
      <c r="J1169" s="1127">
        <v>0.0</v>
      </c>
      <c r="K1169" s="1124"/>
    </row>
    <row r="1170" ht="15.75" customHeight="1">
      <c r="A1170" s="1119">
        <v>95617.0</v>
      </c>
      <c r="B1170" s="1125" t="s">
        <v>11448</v>
      </c>
      <c r="C1170" s="1126" t="s">
        <v>1470</v>
      </c>
      <c r="D1170" s="1119">
        <v>0.91</v>
      </c>
      <c r="E1170" s="1120">
        <v>0.0</v>
      </c>
      <c r="F1170" s="1121">
        <f t="shared" si="1"/>
        <v>0.91</v>
      </c>
      <c r="G1170" s="1120">
        <v>0.0</v>
      </c>
      <c r="H1170" s="1127">
        <v>0.91</v>
      </c>
      <c r="I1170" s="1127">
        <v>0.0</v>
      </c>
      <c r="J1170" s="1127">
        <v>0.0</v>
      </c>
      <c r="K1170" s="1124"/>
    </row>
    <row r="1171" ht="15.75" customHeight="1">
      <c r="A1171" s="1119">
        <v>95618.0</v>
      </c>
      <c r="B1171" s="1125" t="s">
        <v>11449</v>
      </c>
      <c r="C1171" s="1126" t="s">
        <v>1470</v>
      </c>
      <c r="D1171" s="1119">
        <v>0.1</v>
      </c>
      <c r="E1171" s="1120">
        <v>0.0</v>
      </c>
      <c r="F1171" s="1121">
        <f t="shared" si="1"/>
        <v>0.1</v>
      </c>
      <c r="G1171" s="1120">
        <v>0.0</v>
      </c>
      <c r="H1171" s="1127">
        <v>0.1</v>
      </c>
      <c r="I1171" s="1127">
        <v>0.0</v>
      </c>
      <c r="J1171" s="1127">
        <v>0.0</v>
      </c>
      <c r="K1171" s="1124"/>
    </row>
    <row r="1172" ht="15.75" customHeight="1">
      <c r="A1172" s="1119">
        <v>95619.0</v>
      </c>
      <c r="B1172" s="1125" t="s">
        <v>11450</v>
      </c>
      <c r="C1172" s="1126" t="s">
        <v>1470</v>
      </c>
      <c r="D1172" s="1119">
        <v>1.13</v>
      </c>
      <c r="E1172" s="1120">
        <v>0.0</v>
      </c>
      <c r="F1172" s="1121">
        <f t="shared" si="1"/>
        <v>1.13</v>
      </c>
      <c r="G1172" s="1120">
        <v>0.0</v>
      </c>
      <c r="H1172" s="1127">
        <v>1.13</v>
      </c>
      <c r="I1172" s="1127">
        <v>0.0</v>
      </c>
      <c r="J1172" s="1127">
        <v>0.0</v>
      </c>
      <c r="K1172" s="1124"/>
    </row>
    <row r="1173" ht="15.75" customHeight="1">
      <c r="A1173" s="1119">
        <v>95627.0</v>
      </c>
      <c r="B1173" s="1125" t="s">
        <v>11451</v>
      </c>
      <c r="C1173" s="1126" t="s">
        <v>1470</v>
      </c>
      <c r="D1173" s="1119">
        <v>46.93</v>
      </c>
      <c r="E1173" s="1120">
        <v>0.0</v>
      </c>
      <c r="F1173" s="1121">
        <f t="shared" si="1"/>
        <v>46.93</v>
      </c>
      <c r="G1173" s="1120">
        <v>0.0</v>
      </c>
      <c r="H1173" s="1127">
        <v>46.93</v>
      </c>
      <c r="I1173" s="1127">
        <v>0.0</v>
      </c>
      <c r="J1173" s="1127">
        <v>0.0</v>
      </c>
      <c r="K1173" s="1124"/>
    </row>
    <row r="1174" ht="15.75" customHeight="1">
      <c r="A1174" s="1119">
        <v>95628.0</v>
      </c>
      <c r="B1174" s="1125" t="s">
        <v>11452</v>
      </c>
      <c r="C1174" s="1126" t="s">
        <v>1470</v>
      </c>
      <c r="D1174" s="1119">
        <v>6.51</v>
      </c>
      <c r="E1174" s="1120">
        <v>0.0</v>
      </c>
      <c r="F1174" s="1121">
        <f t="shared" si="1"/>
        <v>6.51</v>
      </c>
      <c r="G1174" s="1120">
        <v>0.0</v>
      </c>
      <c r="H1174" s="1127">
        <v>6.51</v>
      </c>
      <c r="I1174" s="1127">
        <v>0.0</v>
      </c>
      <c r="J1174" s="1127">
        <v>0.0</v>
      </c>
      <c r="K1174" s="1124"/>
    </row>
    <row r="1175" ht="15.75" customHeight="1">
      <c r="A1175" s="1119">
        <v>95629.0</v>
      </c>
      <c r="B1175" s="1125" t="s">
        <v>11453</v>
      </c>
      <c r="C1175" s="1126" t="s">
        <v>1470</v>
      </c>
      <c r="D1175" s="1119">
        <v>58.73</v>
      </c>
      <c r="E1175" s="1120">
        <v>0.0</v>
      </c>
      <c r="F1175" s="1121">
        <f t="shared" si="1"/>
        <v>58.73</v>
      </c>
      <c r="G1175" s="1120">
        <v>0.0</v>
      </c>
      <c r="H1175" s="1127">
        <v>58.73</v>
      </c>
      <c r="I1175" s="1127">
        <v>0.0</v>
      </c>
      <c r="J1175" s="1127">
        <v>0.0</v>
      </c>
      <c r="K1175" s="1124"/>
    </row>
    <row r="1176" ht="15.75" customHeight="1">
      <c r="A1176" s="1119">
        <v>95630.0</v>
      </c>
      <c r="B1176" s="1125" t="s">
        <v>11454</v>
      </c>
      <c r="C1176" s="1126" t="s">
        <v>1470</v>
      </c>
      <c r="D1176" s="1119">
        <v>67.88</v>
      </c>
      <c r="E1176" s="1120">
        <v>0.0</v>
      </c>
      <c r="F1176" s="1121">
        <f t="shared" si="1"/>
        <v>67.88</v>
      </c>
      <c r="G1176" s="1120">
        <v>67.88</v>
      </c>
      <c r="H1176" s="1127">
        <v>0.0</v>
      </c>
      <c r="I1176" s="1127">
        <v>0.0</v>
      </c>
      <c r="J1176" s="1127">
        <v>0.0</v>
      </c>
      <c r="K1176" s="1124"/>
    </row>
    <row r="1177" ht="15.75" customHeight="1">
      <c r="A1177" s="1119">
        <v>95698.0</v>
      </c>
      <c r="B1177" s="1125" t="s">
        <v>11455</v>
      </c>
      <c r="C1177" s="1126" t="s">
        <v>1470</v>
      </c>
      <c r="D1177" s="1119">
        <v>3.69</v>
      </c>
      <c r="E1177" s="1120">
        <v>0.0</v>
      </c>
      <c r="F1177" s="1121">
        <f t="shared" si="1"/>
        <v>3.69</v>
      </c>
      <c r="G1177" s="1120">
        <v>0.0</v>
      </c>
      <c r="H1177" s="1127">
        <v>3.69</v>
      </c>
      <c r="I1177" s="1127">
        <v>0.0</v>
      </c>
      <c r="J1177" s="1127">
        <v>0.0</v>
      </c>
      <c r="K1177" s="1124"/>
    </row>
    <row r="1178" ht="15.75" customHeight="1">
      <c r="A1178" s="1119">
        <v>95699.0</v>
      </c>
      <c r="B1178" s="1125" t="s">
        <v>11456</v>
      </c>
      <c r="C1178" s="1126" t="s">
        <v>1470</v>
      </c>
      <c r="D1178" s="1119">
        <v>0.43</v>
      </c>
      <c r="E1178" s="1120">
        <v>0.0</v>
      </c>
      <c r="F1178" s="1121">
        <f t="shared" si="1"/>
        <v>0.43</v>
      </c>
      <c r="G1178" s="1120">
        <v>0.0</v>
      </c>
      <c r="H1178" s="1127">
        <v>0.43</v>
      </c>
      <c r="I1178" s="1127">
        <v>0.0</v>
      </c>
      <c r="J1178" s="1127">
        <v>0.0</v>
      </c>
      <c r="K1178" s="1124"/>
    </row>
    <row r="1179" ht="15.75" customHeight="1">
      <c r="A1179" s="1119">
        <v>95700.0</v>
      </c>
      <c r="B1179" s="1125" t="s">
        <v>11457</v>
      </c>
      <c r="C1179" s="1126" t="s">
        <v>1470</v>
      </c>
      <c r="D1179" s="1119">
        <v>4.61</v>
      </c>
      <c r="E1179" s="1120">
        <v>0.0</v>
      </c>
      <c r="F1179" s="1121">
        <f t="shared" si="1"/>
        <v>4.61</v>
      </c>
      <c r="G1179" s="1120">
        <v>0.0</v>
      </c>
      <c r="H1179" s="1127">
        <v>4.61</v>
      </c>
      <c r="I1179" s="1127">
        <v>0.0</v>
      </c>
      <c r="J1179" s="1127">
        <v>0.0</v>
      </c>
      <c r="K1179" s="1124"/>
    </row>
    <row r="1180" ht="15.75" customHeight="1">
      <c r="A1180" s="1119">
        <v>95701.0</v>
      </c>
      <c r="B1180" s="1125" t="s">
        <v>11458</v>
      </c>
      <c r="C1180" s="1126" t="s">
        <v>1470</v>
      </c>
      <c r="D1180" s="1119">
        <v>2.0</v>
      </c>
      <c r="E1180" s="1120">
        <v>0.0</v>
      </c>
      <c r="F1180" s="1121">
        <f t="shared" si="1"/>
        <v>2</v>
      </c>
      <c r="G1180" s="1120">
        <v>0.0</v>
      </c>
      <c r="H1180" s="1127">
        <v>0.0</v>
      </c>
      <c r="I1180" s="1127">
        <v>0.0</v>
      </c>
      <c r="J1180" s="1127">
        <v>2.0</v>
      </c>
      <c r="K1180" s="1124"/>
    </row>
    <row r="1181" ht="15.75" customHeight="1">
      <c r="A1181" s="1119">
        <v>95704.0</v>
      </c>
      <c r="B1181" s="1125" t="s">
        <v>11459</v>
      </c>
      <c r="C1181" s="1126" t="s">
        <v>1470</v>
      </c>
      <c r="D1181" s="1119">
        <v>46.98</v>
      </c>
      <c r="E1181" s="1120">
        <v>0.0</v>
      </c>
      <c r="F1181" s="1121">
        <f t="shared" si="1"/>
        <v>46.98</v>
      </c>
      <c r="G1181" s="1120">
        <v>0.0</v>
      </c>
      <c r="H1181" s="1127">
        <v>46.98</v>
      </c>
      <c r="I1181" s="1127">
        <v>0.0</v>
      </c>
      <c r="J1181" s="1127">
        <v>0.0</v>
      </c>
      <c r="K1181" s="1124"/>
    </row>
    <row r="1182" ht="15.75" customHeight="1">
      <c r="A1182" s="1119">
        <v>95705.0</v>
      </c>
      <c r="B1182" s="1125" t="s">
        <v>11460</v>
      </c>
      <c r="C1182" s="1126" t="s">
        <v>1470</v>
      </c>
      <c r="D1182" s="1119">
        <v>6.43</v>
      </c>
      <c r="E1182" s="1120">
        <v>0.0</v>
      </c>
      <c r="F1182" s="1121">
        <f t="shared" si="1"/>
        <v>6.43</v>
      </c>
      <c r="G1182" s="1120">
        <v>0.0</v>
      </c>
      <c r="H1182" s="1127">
        <v>6.43</v>
      </c>
      <c r="I1182" s="1127">
        <v>0.0</v>
      </c>
      <c r="J1182" s="1127">
        <v>0.0</v>
      </c>
      <c r="K1182" s="1124"/>
    </row>
    <row r="1183" ht="15.75" customHeight="1">
      <c r="A1183" s="1119">
        <v>95706.0</v>
      </c>
      <c r="B1183" s="1125" t="s">
        <v>11461</v>
      </c>
      <c r="C1183" s="1126" t="s">
        <v>1470</v>
      </c>
      <c r="D1183" s="1119">
        <v>58.79</v>
      </c>
      <c r="E1183" s="1120">
        <v>0.0</v>
      </c>
      <c r="F1183" s="1121">
        <f t="shared" si="1"/>
        <v>58.79</v>
      </c>
      <c r="G1183" s="1120">
        <v>0.0</v>
      </c>
      <c r="H1183" s="1127">
        <v>58.79</v>
      </c>
      <c r="I1183" s="1127">
        <v>0.0</v>
      </c>
      <c r="J1183" s="1127">
        <v>0.0</v>
      </c>
      <c r="K1183" s="1124"/>
    </row>
    <row r="1184" ht="15.75" customHeight="1">
      <c r="A1184" s="1119">
        <v>95707.0</v>
      </c>
      <c r="B1184" s="1125" t="s">
        <v>11462</v>
      </c>
      <c r="C1184" s="1126" t="s">
        <v>1470</v>
      </c>
      <c r="D1184" s="1119">
        <v>2.62</v>
      </c>
      <c r="E1184" s="1120">
        <v>0.0</v>
      </c>
      <c r="F1184" s="1121">
        <f t="shared" si="1"/>
        <v>2.62</v>
      </c>
      <c r="G1184" s="1120">
        <v>0.0</v>
      </c>
      <c r="H1184" s="1127">
        <v>0.0</v>
      </c>
      <c r="I1184" s="1127">
        <v>0.0</v>
      </c>
      <c r="J1184" s="1127">
        <v>2.62</v>
      </c>
      <c r="K1184" s="1124"/>
    </row>
    <row r="1185" ht="15.75" customHeight="1">
      <c r="A1185" s="1119">
        <v>95710.0</v>
      </c>
      <c r="B1185" s="1125" t="s">
        <v>11463</v>
      </c>
      <c r="C1185" s="1126" t="s">
        <v>1470</v>
      </c>
      <c r="D1185" s="1119">
        <v>56.46</v>
      </c>
      <c r="E1185" s="1120">
        <v>0.0</v>
      </c>
      <c r="F1185" s="1121">
        <f t="shared" si="1"/>
        <v>56.46</v>
      </c>
      <c r="G1185" s="1120">
        <v>0.0</v>
      </c>
      <c r="H1185" s="1127">
        <v>56.46</v>
      </c>
      <c r="I1185" s="1127">
        <v>0.0</v>
      </c>
      <c r="J1185" s="1127">
        <v>0.0</v>
      </c>
      <c r="K1185" s="1124"/>
    </row>
    <row r="1186" ht="15.75" customHeight="1">
      <c r="A1186" s="1119">
        <v>95711.0</v>
      </c>
      <c r="B1186" s="1125" t="s">
        <v>11464</v>
      </c>
      <c r="C1186" s="1126" t="s">
        <v>1470</v>
      </c>
      <c r="D1186" s="1119">
        <v>7.66</v>
      </c>
      <c r="E1186" s="1120">
        <v>0.0</v>
      </c>
      <c r="F1186" s="1121">
        <f t="shared" si="1"/>
        <v>7.66</v>
      </c>
      <c r="G1186" s="1120">
        <v>0.0</v>
      </c>
      <c r="H1186" s="1127">
        <v>7.66</v>
      </c>
      <c r="I1186" s="1127">
        <v>0.0</v>
      </c>
      <c r="J1186" s="1127">
        <v>0.0</v>
      </c>
      <c r="K1186" s="1124"/>
    </row>
    <row r="1187" ht="15.75" customHeight="1">
      <c r="A1187" s="1119">
        <v>95712.0</v>
      </c>
      <c r="B1187" s="1125" t="s">
        <v>11465</v>
      </c>
      <c r="C1187" s="1126" t="s">
        <v>1470</v>
      </c>
      <c r="D1187" s="1119">
        <v>70.58</v>
      </c>
      <c r="E1187" s="1120">
        <v>0.0</v>
      </c>
      <c r="F1187" s="1121">
        <f t="shared" si="1"/>
        <v>70.58</v>
      </c>
      <c r="G1187" s="1120">
        <v>0.0</v>
      </c>
      <c r="H1187" s="1127">
        <v>70.58</v>
      </c>
      <c r="I1187" s="1127">
        <v>0.0</v>
      </c>
      <c r="J1187" s="1127">
        <v>0.0</v>
      </c>
      <c r="K1187" s="1124"/>
    </row>
    <row r="1188" ht="15.75" customHeight="1">
      <c r="A1188" s="1119">
        <v>95713.0</v>
      </c>
      <c r="B1188" s="1125" t="s">
        <v>11466</v>
      </c>
      <c r="C1188" s="1126" t="s">
        <v>1470</v>
      </c>
      <c r="D1188" s="1119">
        <v>68.38</v>
      </c>
      <c r="E1188" s="1120">
        <v>0.0</v>
      </c>
      <c r="F1188" s="1121">
        <f t="shared" si="1"/>
        <v>68.38</v>
      </c>
      <c r="G1188" s="1120">
        <v>68.38</v>
      </c>
      <c r="H1188" s="1127">
        <v>0.0</v>
      </c>
      <c r="I1188" s="1127">
        <v>0.0</v>
      </c>
      <c r="J1188" s="1127">
        <v>0.0</v>
      </c>
      <c r="K1188" s="1124"/>
    </row>
    <row r="1189" ht="15.75" customHeight="1">
      <c r="A1189" s="1119">
        <v>95716.0</v>
      </c>
      <c r="B1189" s="1125" t="s">
        <v>11467</v>
      </c>
      <c r="C1189" s="1126" t="s">
        <v>1470</v>
      </c>
      <c r="D1189" s="1119">
        <v>54.36</v>
      </c>
      <c r="E1189" s="1120">
        <v>0.0</v>
      </c>
      <c r="F1189" s="1121">
        <f t="shared" si="1"/>
        <v>54.36</v>
      </c>
      <c r="G1189" s="1120">
        <v>0.0</v>
      </c>
      <c r="H1189" s="1127">
        <v>54.36</v>
      </c>
      <c r="I1189" s="1127">
        <v>0.0</v>
      </c>
      <c r="J1189" s="1127">
        <v>0.0</v>
      </c>
      <c r="K1189" s="1124"/>
    </row>
    <row r="1190" ht="15.75" customHeight="1">
      <c r="A1190" s="1119">
        <v>95717.0</v>
      </c>
      <c r="B1190" s="1125" t="s">
        <v>11468</v>
      </c>
      <c r="C1190" s="1126" t="s">
        <v>1470</v>
      </c>
      <c r="D1190" s="1119">
        <v>7.37</v>
      </c>
      <c r="E1190" s="1120">
        <v>0.0</v>
      </c>
      <c r="F1190" s="1121">
        <f t="shared" si="1"/>
        <v>7.37</v>
      </c>
      <c r="G1190" s="1120">
        <v>0.0</v>
      </c>
      <c r="H1190" s="1127">
        <v>7.37</v>
      </c>
      <c r="I1190" s="1127">
        <v>0.0</v>
      </c>
      <c r="J1190" s="1127">
        <v>0.0</v>
      </c>
      <c r="K1190" s="1124"/>
    </row>
    <row r="1191" ht="15.75" customHeight="1">
      <c r="A1191" s="1119">
        <v>95718.0</v>
      </c>
      <c r="B1191" s="1125" t="s">
        <v>11469</v>
      </c>
      <c r="C1191" s="1126" t="s">
        <v>1470</v>
      </c>
      <c r="D1191" s="1119">
        <v>67.95</v>
      </c>
      <c r="E1191" s="1120">
        <v>0.0</v>
      </c>
      <c r="F1191" s="1121">
        <f t="shared" si="1"/>
        <v>67.95</v>
      </c>
      <c r="G1191" s="1120">
        <v>0.0</v>
      </c>
      <c r="H1191" s="1127">
        <v>67.95</v>
      </c>
      <c r="I1191" s="1127">
        <v>0.0</v>
      </c>
      <c r="J1191" s="1127">
        <v>0.0</v>
      </c>
      <c r="K1191" s="1124"/>
    </row>
    <row r="1192" ht="15.75" customHeight="1">
      <c r="A1192" s="1119">
        <v>95719.0</v>
      </c>
      <c r="B1192" s="1125" t="s">
        <v>11470</v>
      </c>
      <c r="C1192" s="1126" t="s">
        <v>1470</v>
      </c>
      <c r="D1192" s="1119">
        <v>68.38</v>
      </c>
      <c r="E1192" s="1120">
        <v>0.0</v>
      </c>
      <c r="F1192" s="1121">
        <f t="shared" si="1"/>
        <v>68.38</v>
      </c>
      <c r="G1192" s="1120">
        <v>68.38</v>
      </c>
      <c r="H1192" s="1127">
        <v>0.0</v>
      </c>
      <c r="I1192" s="1127">
        <v>0.0</v>
      </c>
      <c r="J1192" s="1127">
        <v>0.0</v>
      </c>
      <c r="K1192" s="1124"/>
    </row>
    <row r="1193" ht="15.75" customHeight="1">
      <c r="A1193" s="1119">
        <v>95869.0</v>
      </c>
      <c r="B1193" s="1125" t="s">
        <v>11471</v>
      </c>
      <c r="C1193" s="1126" t="s">
        <v>1470</v>
      </c>
      <c r="D1193" s="1119">
        <v>1.44</v>
      </c>
      <c r="E1193" s="1120">
        <v>0.0</v>
      </c>
      <c r="F1193" s="1121">
        <f t="shared" si="1"/>
        <v>1.44</v>
      </c>
      <c r="G1193" s="1120">
        <v>0.0</v>
      </c>
      <c r="H1193" s="1127">
        <v>1.44</v>
      </c>
      <c r="I1193" s="1127">
        <v>0.0</v>
      </c>
      <c r="J1193" s="1127">
        <v>0.0</v>
      </c>
      <c r="K1193" s="1124"/>
    </row>
    <row r="1194" ht="15.75" customHeight="1">
      <c r="A1194" s="1119">
        <v>95870.0</v>
      </c>
      <c r="B1194" s="1125" t="s">
        <v>11472</v>
      </c>
      <c r="C1194" s="1126" t="s">
        <v>1470</v>
      </c>
      <c r="D1194" s="1119">
        <v>7.15</v>
      </c>
      <c r="E1194" s="1120">
        <v>0.0</v>
      </c>
      <c r="F1194" s="1121">
        <f t="shared" si="1"/>
        <v>7.15</v>
      </c>
      <c r="G1194" s="1120">
        <v>0.0</v>
      </c>
      <c r="H1194" s="1127">
        <v>7.15</v>
      </c>
      <c r="I1194" s="1127">
        <v>0.0</v>
      </c>
      <c r="J1194" s="1127">
        <v>0.0</v>
      </c>
      <c r="K1194" s="1124"/>
    </row>
    <row r="1195" ht="15.75" customHeight="1">
      <c r="A1195" s="1119">
        <v>95871.0</v>
      </c>
      <c r="B1195" s="1125" t="s">
        <v>11473</v>
      </c>
      <c r="C1195" s="1126" t="s">
        <v>1470</v>
      </c>
      <c r="D1195" s="1119">
        <v>207.66</v>
      </c>
      <c r="E1195" s="1120">
        <v>0.0</v>
      </c>
      <c r="F1195" s="1121">
        <f t="shared" si="1"/>
        <v>207.66</v>
      </c>
      <c r="G1195" s="1120">
        <v>207.66</v>
      </c>
      <c r="H1195" s="1127">
        <v>0.0</v>
      </c>
      <c r="I1195" s="1127">
        <v>0.0</v>
      </c>
      <c r="J1195" s="1127">
        <v>0.0</v>
      </c>
      <c r="K1195" s="1124"/>
    </row>
    <row r="1196" ht="15.75" customHeight="1">
      <c r="A1196" s="1119">
        <v>95874.0</v>
      </c>
      <c r="B1196" s="1125" t="s">
        <v>11474</v>
      </c>
      <c r="C1196" s="1126" t="s">
        <v>1470</v>
      </c>
      <c r="D1196" s="1119">
        <v>8.01</v>
      </c>
      <c r="E1196" s="1120">
        <v>0.0</v>
      </c>
      <c r="F1196" s="1121">
        <f t="shared" si="1"/>
        <v>8.01</v>
      </c>
      <c r="G1196" s="1120">
        <v>0.0</v>
      </c>
      <c r="H1196" s="1127">
        <v>8.01</v>
      </c>
      <c r="I1196" s="1127">
        <v>0.0</v>
      </c>
      <c r="J1196" s="1127">
        <v>0.0</v>
      </c>
      <c r="K1196" s="1124"/>
    </row>
    <row r="1197" ht="15.75" customHeight="1">
      <c r="A1197" s="1119">
        <v>96008.0</v>
      </c>
      <c r="B1197" s="1125" t="s">
        <v>11475</v>
      </c>
      <c r="C1197" s="1126" t="s">
        <v>1470</v>
      </c>
      <c r="D1197" s="1119">
        <v>24.03</v>
      </c>
      <c r="E1197" s="1120">
        <v>0.0</v>
      </c>
      <c r="F1197" s="1121">
        <f t="shared" si="1"/>
        <v>24.03</v>
      </c>
      <c r="G1197" s="1120">
        <v>0.0</v>
      </c>
      <c r="H1197" s="1127">
        <v>24.03</v>
      </c>
      <c r="I1197" s="1127">
        <v>0.0</v>
      </c>
      <c r="J1197" s="1127">
        <v>0.0</v>
      </c>
      <c r="K1197" s="1124"/>
    </row>
    <row r="1198" ht="15.75" customHeight="1">
      <c r="A1198" s="1119">
        <v>96009.0</v>
      </c>
      <c r="B1198" s="1125" t="s">
        <v>11476</v>
      </c>
      <c r="C1198" s="1126" t="s">
        <v>1470</v>
      </c>
      <c r="D1198" s="1119">
        <v>3.33</v>
      </c>
      <c r="E1198" s="1120">
        <v>0.0</v>
      </c>
      <c r="F1198" s="1121">
        <f t="shared" si="1"/>
        <v>3.33</v>
      </c>
      <c r="G1198" s="1120">
        <v>0.0</v>
      </c>
      <c r="H1198" s="1127">
        <v>3.33</v>
      </c>
      <c r="I1198" s="1127">
        <v>0.0</v>
      </c>
      <c r="J1198" s="1127">
        <v>0.0</v>
      </c>
      <c r="K1198" s="1124"/>
    </row>
    <row r="1199" ht="15.75" customHeight="1">
      <c r="A1199" s="1119">
        <v>96011.0</v>
      </c>
      <c r="B1199" s="1125" t="s">
        <v>11477</v>
      </c>
      <c r="C1199" s="1126" t="s">
        <v>1470</v>
      </c>
      <c r="D1199" s="1119">
        <v>26.29</v>
      </c>
      <c r="E1199" s="1120">
        <v>0.0</v>
      </c>
      <c r="F1199" s="1121">
        <f t="shared" si="1"/>
        <v>26.29</v>
      </c>
      <c r="G1199" s="1120">
        <v>0.0</v>
      </c>
      <c r="H1199" s="1127">
        <v>26.29</v>
      </c>
      <c r="I1199" s="1127">
        <v>0.0</v>
      </c>
      <c r="J1199" s="1127">
        <v>0.0</v>
      </c>
      <c r="K1199" s="1124"/>
    </row>
    <row r="1200" ht="15.75" customHeight="1">
      <c r="A1200" s="1119">
        <v>96012.0</v>
      </c>
      <c r="B1200" s="1125" t="s">
        <v>11478</v>
      </c>
      <c r="C1200" s="1126" t="s">
        <v>1470</v>
      </c>
      <c r="D1200" s="1119">
        <v>73.52</v>
      </c>
      <c r="E1200" s="1120">
        <v>0.0</v>
      </c>
      <c r="F1200" s="1121">
        <f t="shared" si="1"/>
        <v>73.52</v>
      </c>
      <c r="G1200" s="1120">
        <v>73.52</v>
      </c>
      <c r="H1200" s="1127">
        <v>0.0</v>
      </c>
      <c r="I1200" s="1127">
        <v>0.0</v>
      </c>
      <c r="J1200" s="1127">
        <v>0.0</v>
      </c>
      <c r="K1200" s="1124"/>
    </row>
    <row r="1201" ht="15.75" customHeight="1">
      <c r="A1201" s="1119">
        <v>96015.0</v>
      </c>
      <c r="B1201" s="1125" t="s">
        <v>11479</v>
      </c>
      <c r="C1201" s="1126" t="s">
        <v>1470</v>
      </c>
      <c r="D1201" s="1119">
        <v>23.81</v>
      </c>
      <c r="E1201" s="1120">
        <v>0.0</v>
      </c>
      <c r="F1201" s="1121">
        <f t="shared" si="1"/>
        <v>23.81</v>
      </c>
      <c r="G1201" s="1120">
        <v>0.0</v>
      </c>
      <c r="H1201" s="1127">
        <v>23.81</v>
      </c>
      <c r="I1201" s="1127">
        <v>0.0</v>
      </c>
      <c r="J1201" s="1127">
        <v>0.0</v>
      </c>
      <c r="K1201" s="1124"/>
    </row>
    <row r="1202" ht="15.75" customHeight="1">
      <c r="A1202" s="1119">
        <v>96016.0</v>
      </c>
      <c r="B1202" s="1125" t="s">
        <v>11480</v>
      </c>
      <c r="C1202" s="1126" t="s">
        <v>1470</v>
      </c>
      <c r="D1202" s="1119">
        <v>3.3</v>
      </c>
      <c r="E1202" s="1120">
        <v>0.0</v>
      </c>
      <c r="F1202" s="1121">
        <f t="shared" si="1"/>
        <v>3.3</v>
      </c>
      <c r="G1202" s="1120">
        <v>0.0</v>
      </c>
      <c r="H1202" s="1127">
        <v>3.3</v>
      </c>
      <c r="I1202" s="1127">
        <v>0.0</v>
      </c>
      <c r="J1202" s="1127">
        <v>0.0</v>
      </c>
      <c r="K1202" s="1124"/>
    </row>
    <row r="1203" ht="15.75" customHeight="1">
      <c r="A1203" s="1119">
        <v>96018.0</v>
      </c>
      <c r="B1203" s="1125" t="s">
        <v>11481</v>
      </c>
      <c r="C1203" s="1126" t="s">
        <v>1470</v>
      </c>
      <c r="D1203" s="1119">
        <v>26.04</v>
      </c>
      <c r="E1203" s="1120">
        <v>0.0</v>
      </c>
      <c r="F1203" s="1121">
        <f t="shared" si="1"/>
        <v>26.04</v>
      </c>
      <c r="G1203" s="1120">
        <v>0.0</v>
      </c>
      <c r="H1203" s="1127">
        <v>26.04</v>
      </c>
      <c r="I1203" s="1127">
        <v>0.0</v>
      </c>
      <c r="J1203" s="1127">
        <v>0.0</v>
      </c>
      <c r="K1203" s="1124"/>
    </row>
    <row r="1204" ht="15.75" customHeight="1">
      <c r="A1204" s="1119">
        <v>96019.0</v>
      </c>
      <c r="B1204" s="1125" t="s">
        <v>11482</v>
      </c>
      <c r="C1204" s="1126" t="s">
        <v>1470</v>
      </c>
      <c r="D1204" s="1119">
        <v>73.52</v>
      </c>
      <c r="E1204" s="1120">
        <v>0.0</v>
      </c>
      <c r="F1204" s="1121">
        <f t="shared" si="1"/>
        <v>73.52</v>
      </c>
      <c r="G1204" s="1120">
        <v>73.52</v>
      </c>
      <c r="H1204" s="1127">
        <v>0.0</v>
      </c>
      <c r="I1204" s="1127">
        <v>0.0</v>
      </c>
      <c r="J1204" s="1127">
        <v>0.0</v>
      </c>
      <c r="K1204" s="1124"/>
    </row>
    <row r="1205" ht="15.75" customHeight="1">
      <c r="A1205" s="1119">
        <v>96023.0</v>
      </c>
      <c r="B1205" s="1125" t="s">
        <v>11483</v>
      </c>
      <c r="C1205" s="1126" t="s">
        <v>1470</v>
      </c>
      <c r="D1205" s="1119">
        <v>18.47</v>
      </c>
      <c r="E1205" s="1120">
        <v>0.0</v>
      </c>
      <c r="F1205" s="1121">
        <f t="shared" si="1"/>
        <v>18.47</v>
      </c>
      <c r="G1205" s="1120">
        <v>0.0</v>
      </c>
      <c r="H1205" s="1127">
        <v>18.47</v>
      </c>
      <c r="I1205" s="1127">
        <v>0.0</v>
      </c>
      <c r="J1205" s="1127">
        <v>0.0</v>
      </c>
      <c r="K1205" s="1124"/>
    </row>
    <row r="1206" ht="15.75" customHeight="1">
      <c r="A1206" s="1119">
        <v>96024.0</v>
      </c>
      <c r="B1206" s="1125" t="s">
        <v>11484</v>
      </c>
      <c r="C1206" s="1126" t="s">
        <v>1470</v>
      </c>
      <c r="D1206" s="1119">
        <v>2.56</v>
      </c>
      <c r="E1206" s="1120">
        <v>0.0</v>
      </c>
      <c r="F1206" s="1121">
        <f t="shared" si="1"/>
        <v>2.56</v>
      </c>
      <c r="G1206" s="1120">
        <v>0.0</v>
      </c>
      <c r="H1206" s="1127">
        <v>2.56</v>
      </c>
      <c r="I1206" s="1127">
        <v>0.0</v>
      </c>
      <c r="J1206" s="1127">
        <v>0.0</v>
      </c>
      <c r="K1206" s="1124"/>
    </row>
    <row r="1207" ht="15.75" customHeight="1">
      <c r="A1207" s="1119">
        <v>96026.0</v>
      </c>
      <c r="B1207" s="1125" t="s">
        <v>11485</v>
      </c>
      <c r="C1207" s="1126" t="s">
        <v>1470</v>
      </c>
      <c r="D1207" s="1119">
        <v>20.2</v>
      </c>
      <c r="E1207" s="1120">
        <v>0.0</v>
      </c>
      <c r="F1207" s="1121">
        <f t="shared" si="1"/>
        <v>20.2</v>
      </c>
      <c r="G1207" s="1120">
        <v>0.0</v>
      </c>
      <c r="H1207" s="1127">
        <v>20.2</v>
      </c>
      <c r="I1207" s="1127">
        <v>0.0</v>
      </c>
      <c r="J1207" s="1127">
        <v>0.0</v>
      </c>
      <c r="K1207" s="1124"/>
    </row>
    <row r="1208" ht="15.75" customHeight="1">
      <c r="A1208" s="1119">
        <v>96027.0</v>
      </c>
      <c r="B1208" s="1125" t="s">
        <v>11486</v>
      </c>
      <c r="C1208" s="1126" t="s">
        <v>1470</v>
      </c>
      <c r="D1208" s="1119">
        <v>51.23</v>
      </c>
      <c r="E1208" s="1120">
        <v>0.0</v>
      </c>
      <c r="F1208" s="1121">
        <f t="shared" si="1"/>
        <v>51.23</v>
      </c>
      <c r="G1208" s="1120">
        <v>51.23</v>
      </c>
      <c r="H1208" s="1127">
        <v>0.0</v>
      </c>
      <c r="I1208" s="1127">
        <v>0.0</v>
      </c>
      <c r="J1208" s="1127">
        <v>0.0</v>
      </c>
      <c r="K1208" s="1124"/>
    </row>
    <row r="1209" ht="15.75" customHeight="1">
      <c r="A1209" s="1119">
        <v>96030.0</v>
      </c>
      <c r="B1209" s="1125" t="s">
        <v>11487</v>
      </c>
      <c r="C1209" s="1126" t="s">
        <v>1470</v>
      </c>
      <c r="D1209" s="1119">
        <v>35.3</v>
      </c>
      <c r="E1209" s="1120">
        <v>0.0</v>
      </c>
      <c r="F1209" s="1121">
        <f t="shared" si="1"/>
        <v>35.3</v>
      </c>
      <c r="G1209" s="1120">
        <v>0.0</v>
      </c>
      <c r="H1209" s="1127">
        <v>35.3</v>
      </c>
      <c r="I1209" s="1127">
        <v>0.0</v>
      </c>
      <c r="J1209" s="1127">
        <v>0.0</v>
      </c>
      <c r="K1209" s="1124"/>
    </row>
    <row r="1210" ht="15.75" customHeight="1">
      <c r="A1210" s="1119">
        <v>96031.0</v>
      </c>
      <c r="B1210" s="1125" t="s">
        <v>11488</v>
      </c>
      <c r="C1210" s="1126" t="s">
        <v>1470</v>
      </c>
      <c r="D1210" s="1119">
        <v>6.69</v>
      </c>
      <c r="E1210" s="1120">
        <v>0.0</v>
      </c>
      <c r="F1210" s="1121">
        <f t="shared" si="1"/>
        <v>6.69</v>
      </c>
      <c r="G1210" s="1120">
        <v>0.0</v>
      </c>
      <c r="H1210" s="1127">
        <v>6.69</v>
      </c>
      <c r="I1210" s="1127">
        <v>0.0</v>
      </c>
      <c r="J1210" s="1127">
        <v>0.0</v>
      </c>
      <c r="K1210" s="1124"/>
    </row>
    <row r="1211" ht="15.75" customHeight="1">
      <c r="A1211" s="1119">
        <v>96032.0</v>
      </c>
      <c r="B1211" s="1125" t="s">
        <v>11489</v>
      </c>
      <c r="C1211" s="1126" t="s">
        <v>1470</v>
      </c>
      <c r="D1211" s="1119">
        <v>5.29</v>
      </c>
      <c r="E1211" s="1120">
        <v>0.0</v>
      </c>
      <c r="F1211" s="1121">
        <f t="shared" si="1"/>
        <v>5.29</v>
      </c>
      <c r="G1211" s="1120">
        <v>0.0</v>
      </c>
      <c r="H1211" s="1127">
        <v>5.29</v>
      </c>
      <c r="I1211" s="1127">
        <v>0.0</v>
      </c>
      <c r="J1211" s="1127">
        <v>0.0</v>
      </c>
      <c r="K1211" s="1124"/>
    </row>
    <row r="1212" ht="15.75" customHeight="1">
      <c r="A1212" s="1119">
        <v>96033.0</v>
      </c>
      <c r="B1212" s="1125" t="s">
        <v>11490</v>
      </c>
      <c r="C1212" s="1126" t="s">
        <v>1470</v>
      </c>
      <c r="D1212" s="1119">
        <v>60.3</v>
      </c>
      <c r="E1212" s="1120">
        <v>0.0</v>
      </c>
      <c r="F1212" s="1121">
        <f t="shared" si="1"/>
        <v>60.3</v>
      </c>
      <c r="G1212" s="1120">
        <v>0.0</v>
      </c>
      <c r="H1212" s="1127">
        <v>60.3</v>
      </c>
      <c r="I1212" s="1127">
        <v>0.0</v>
      </c>
      <c r="J1212" s="1127">
        <v>0.0</v>
      </c>
      <c r="K1212" s="1124"/>
    </row>
    <row r="1213" ht="15.75" customHeight="1">
      <c r="A1213" s="1119">
        <v>96034.0</v>
      </c>
      <c r="B1213" s="1125" t="s">
        <v>11491</v>
      </c>
      <c r="C1213" s="1126" t="s">
        <v>1470</v>
      </c>
      <c r="D1213" s="1119">
        <v>107.83</v>
      </c>
      <c r="E1213" s="1120">
        <v>0.0</v>
      </c>
      <c r="F1213" s="1121">
        <f t="shared" si="1"/>
        <v>107.83</v>
      </c>
      <c r="G1213" s="1120">
        <v>107.83</v>
      </c>
      <c r="H1213" s="1127">
        <v>0.0</v>
      </c>
      <c r="I1213" s="1127">
        <v>0.0</v>
      </c>
      <c r="J1213" s="1127">
        <v>0.0</v>
      </c>
      <c r="K1213" s="1124"/>
    </row>
    <row r="1214" ht="15.75" customHeight="1">
      <c r="A1214" s="1119">
        <v>96053.0</v>
      </c>
      <c r="B1214" s="1125" t="s">
        <v>11492</v>
      </c>
      <c r="C1214" s="1126" t="s">
        <v>1470</v>
      </c>
      <c r="D1214" s="1119">
        <v>18.69</v>
      </c>
      <c r="E1214" s="1120">
        <v>0.0</v>
      </c>
      <c r="F1214" s="1121">
        <f t="shared" si="1"/>
        <v>18.69</v>
      </c>
      <c r="G1214" s="1120">
        <v>0.0</v>
      </c>
      <c r="H1214" s="1127">
        <v>18.69</v>
      </c>
      <c r="I1214" s="1127">
        <v>0.0</v>
      </c>
      <c r="J1214" s="1127">
        <v>0.0</v>
      </c>
      <c r="K1214" s="1124"/>
    </row>
    <row r="1215" ht="15.75" customHeight="1">
      <c r="A1215" s="1119">
        <v>96054.0</v>
      </c>
      <c r="B1215" s="1125" t="s">
        <v>11493</v>
      </c>
      <c r="C1215" s="1126" t="s">
        <v>1470</v>
      </c>
      <c r="D1215" s="1119">
        <v>28.07</v>
      </c>
      <c r="E1215" s="1120">
        <v>0.0</v>
      </c>
      <c r="F1215" s="1121">
        <f t="shared" si="1"/>
        <v>28.07</v>
      </c>
      <c r="G1215" s="1120">
        <v>0.0</v>
      </c>
      <c r="H1215" s="1127">
        <v>28.07</v>
      </c>
      <c r="I1215" s="1127">
        <v>0.0</v>
      </c>
      <c r="J1215" s="1127">
        <v>0.0</v>
      </c>
      <c r="K1215" s="1124"/>
    </row>
    <row r="1216" ht="15.75" customHeight="1">
      <c r="A1216" s="1119">
        <v>96055.0</v>
      </c>
      <c r="B1216" s="1125" t="s">
        <v>11494</v>
      </c>
      <c r="C1216" s="1126" t="s">
        <v>1470</v>
      </c>
      <c r="D1216" s="1119">
        <v>2.59</v>
      </c>
      <c r="E1216" s="1120">
        <v>0.0</v>
      </c>
      <c r="F1216" s="1121">
        <f t="shared" si="1"/>
        <v>2.59</v>
      </c>
      <c r="G1216" s="1120">
        <v>0.0</v>
      </c>
      <c r="H1216" s="1127">
        <v>2.59</v>
      </c>
      <c r="I1216" s="1127">
        <v>0.0</v>
      </c>
      <c r="J1216" s="1127">
        <v>0.0</v>
      </c>
      <c r="K1216" s="1124"/>
    </row>
    <row r="1217" ht="15.75" customHeight="1">
      <c r="A1217" s="1119">
        <v>96056.0</v>
      </c>
      <c r="B1217" s="1125" t="s">
        <v>11495</v>
      </c>
      <c r="C1217" s="1126" t="s">
        <v>1470</v>
      </c>
      <c r="D1217" s="1119">
        <v>20.45</v>
      </c>
      <c r="E1217" s="1120">
        <v>0.0</v>
      </c>
      <c r="F1217" s="1121">
        <f t="shared" si="1"/>
        <v>20.45</v>
      </c>
      <c r="G1217" s="1120">
        <v>0.0</v>
      </c>
      <c r="H1217" s="1127">
        <v>20.45</v>
      </c>
      <c r="I1217" s="1127">
        <v>0.0</v>
      </c>
      <c r="J1217" s="1127">
        <v>0.0</v>
      </c>
      <c r="K1217" s="1124"/>
    </row>
    <row r="1218" ht="15.75" customHeight="1">
      <c r="A1218" s="1119">
        <v>96057.0</v>
      </c>
      <c r="B1218" s="1125" t="s">
        <v>11496</v>
      </c>
      <c r="C1218" s="1126" t="s">
        <v>1470</v>
      </c>
      <c r="D1218" s="1119">
        <v>51.23</v>
      </c>
      <c r="E1218" s="1120">
        <v>0.0</v>
      </c>
      <c r="F1218" s="1121">
        <f t="shared" si="1"/>
        <v>51.23</v>
      </c>
      <c r="G1218" s="1120">
        <v>51.23</v>
      </c>
      <c r="H1218" s="1127">
        <v>0.0</v>
      </c>
      <c r="I1218" s="1127">
        <v>0.0</v>
      </c>
      <c r="J1218" s="1127">
        <v>0.0</v>
      </c>
      <c r="K1218" s="1124"/>
    </row>
    <row r="1219" ht="15.75" customHeight="1">
      <c r="A1219" s="1119">
        <v>96060.0</v>
      </c>
      <c r="B1219" s="1125" t="s">
        <v>11497</v>
      </c>
      <c r="C1219" s="1126" t="s">
        <v>1470</v>
      </c>
      <c r="D1219" s="1119">
        <v>2.83</v>
      </c>
      <c r="E1219" s="1120">
        <v>0.0</v>
      </c>
      <c r="F1219" s="1121">
        <f t="shared" si="1"/>
        <v>2.83</v>
      </c>
      <c r="G1219" s="1120">
        <v>0.0</v>
      </c>
      <c r="H1219" s="1127">
        <v>2.83</v>
      </c>
      <c r="I1219" s="1127">
        <v>0.0</v>
      </c>
      <c r="J1219" s="1127">
        <v>0.0</v>
      </c>
      <c r="K1219" s="1124"/>
    </row>
    <row r="1220" ht="15.75" customHeight="1">
      <c r="A1220" s="1119">
        <v>96061.0</v>
      </c>
      <c r="B1220" s="1125" t="s">
        <v>11498</v>
      </c>
      <c r="C1220" s="1126" t="s">
        <v>1470</v>
      </c>
      <c r="D1220" s="1119">
        <v>35.09</v>
      </c>
      <c r="E1220" s="1120">
        <v>0.0</v>
      </c>
      <c r="F1220" s="1121">
        <f t="shared" si="1"/>
        <v>35.09</v>
      </c>
      <c r="G1220" s="1120">
        <v>0.0</v>
      </c>
      <c r="H1220" s="1127">
        <v>35.09</v>
      </c>
      <c r="I1220" s="1127">
        <v>0.0</v>
      </c>
      <c r="J1220" s="1127">
        <v>0.0</v>
      </c>
      <c r="K1220" s="1124"/>
    </row>
    <row r="1221" ht="15.75" customHeight="1">
      <c r="A1221" s="1119">
        <v>96062.0</v>
      </c>
      <c r="B1221" s="1125" t="s">
        <v>11499</v>
      </c>
      <c r="C1221" s="1126" t="s">
        <v>1470</v>
      </c>
      <c r="D1221" s="1119">
        <v>30.3</v>
      </c>
      <c r="E1221" s="1120">
        <v>0.0</v>
      </c>
      <c r="F1221" s="1121">
        <f t="shared" si="1"/>
        <v>30.3</v>
      </c>
      <c r="G1221" s="1120">
        <v>30.3</v>
      </c>
      <c r="H1221" s="1127">
        <v>0.0</v>
      </c>
      <c r="I1221" s="1127">
        <v>0.0</v>
      </c>
      <c r="J1221" s="1127">
        <v>0.0</v>
      </c>
      <c r="K1221" s="1124"/>
    </row>
    <row r="1222" ht="15.75" customHeight="1">
      <c r="A1222" s="1119">
        <v>96241.0</v>
      </c>
      <c r="B1222" s="1125" t="s">
        <v>11500</v>
      </c>
      <c r="C1222" s="1126" t="s">
        <v>1470</v>
      </c>
      <c r="D1222" s="1119">
        <v>23.37</v>
      </c>
      <c r="E1222" s="1120">
        <v>0.0</v>
      </c>
      <c r="F1222" s="1121">
        <f t="shared" si="1"/>
        <v>23.37</v>
      </c>
      <c r="G1222" s="1120">
        <v>0.0</v>
      </c>
      <c r="H1222" s="1127">
        <v>23.37</v>
      </c>
      <c r="I1222" s="1127">
        <v>0.0</v>
      </c>
      <c r="J1222" s="1127">
        <v>0.0</v>
      </c>
      <c r="K1222" s="1124"/>
    </row>
    <row r="1223" ht="15.75" customHeight="1">
      <c r="A1223" s="1119">
        <v>96242.0</v>
      </c>
      <c r="B1223" s="1125" t="s">
        <v>11501</v>
      </c>
      <c r="C1223" s="1126" t="s">
        <v>1470</v>
      </c>
      <c r="D1223" s="1119">
        <v>3.17</v>
      </c>
      <c r="E1223" s="1120">
        <v>0.0</v>
      </c>
      <c r="F1223" s="1121">
        <f t="shared" si="1"/>
        <v>3.17</v>
      </c>
      <c r="G1223" s="1120">
        <v>0.0</v>
      </c>
      <c r="H1223" s="1127">
        <v>3.17</v>
      </c>
      <c r="I1223" s="1127">
        <v>0.0</v>
      </c>
      <c r="J1223" s="1127">
        <v>0.0</v>
      </c>
      <c r="K1223" s="1124"/>
    </row>
    <row r="1224" ht="15.75" customHeight="1">
      <c r="A1224" s="1119">
        <v>96243.0</v>
      </c>
      <c r="B1224" s="1125" t="s">
        <v>11502</v>
      </c>
      <c r="C1224" s="1126" t="s">
        <v>1470</v>
      </c>
      <c r="D1224" s="1119">
        <v>29.22</v>
      </c>
      <c r="E1224" s="1120">
        <v>0.0</v>
      </c>
      <c r="F1224" s="1121">
        <f t="shared" si="1"/>
        <v>29.22</v>
      </c>
      <c r="G1224" s="1120">
        <v>0.0</v>
      </c>
      <c r="H1224" s="1127">
        <v>29.22</v>
      </c>
      <c r="I1224" s="1127">
        <v>0.0</v>
      </c>
      <c r="J1224" s="1127">
        <v>0.0</v>
      </c>
      <c r="K1224" s="1124"/>
    </row>
    <row r="1225" ht="15.75" customHeight="1">
      <c r="A1225" s="1119">
        <v>96244.0</v>
      </c>
      <c r="B1225" s="1125" t="s">
        <v>11503</v>
      </c>
      <c r="C1225" s="1126" t="s">
        <v>1470</v>
      </c>
      <c r="D1225" s="1119">
        <v>13.24</v>
      </c>
      <c r="E1225" s="1120">
        <v>0.0</v>
      </c>
      <c r="F1225" s="1121">
        <f t="shared" si="1"/>
        <v>13.24</v>
      </c>
      <c r="G1225" s="1120">
        <v>13.24</v>
      </c>
      <c r="H1225" s="1127">
        <v>0.0</v>
      </c>
      <c r="I1225" s="1127">
        <v>0.0</v>
      </c>
      <c r="J1225" s="1127">
        <v>0.0</v>
      </c>
      <c r="K1225" s="1124"/>
    </row>
    <row r="1226" ht="15.75" customHeight="1">
      <c r="A1226" s="1119">
        <v>96301.0</v>
      </c>
      <c r="B1226" s="1125" t="s">
        <v>11504</v>
      </c>
      <c r="C1226" s="1126" t="s">
        <v>1470</v>
      </c>
      <c r="D1226" s="1119">
        <v>37.35</v>
      </c>
      <c r="E1226" s="1120">
        <v>0.0</v>
      </c>
      <c r="F1226" s="1121">
        <f t="shared" si="1"/>
        <v>37.35</v>
      </c>
      <c r="G1226" s="1120">
        <v>37.35</v>
      </c>
      <c r="H1226" s="1127">
        <v>0.0</v>
      </c>
      <c r="I1226" s="1127">
        <v>0.0</v>
      </c>
      <c r="J1226" s="1127">
        <v>0.0</v>
      </c>
      <c r="K1226" s="1124"/>
    </row>
    <row r="1227" ht="15.75" customHeight="1">
      <c r="A1227" s="1119">
        <v>96457.0</v>
      </c>
      <c r="B1227" s="1125" t="s">
        <v>11505</v>
      </c>
      <c r="C1227" s="1126" t="s">
        <v>1470</v>
      </c>
      <c r="D1227" s="1119">
        <v>48.54</v>
      </c>
      <c r="E1227" s="1120">
        <v>0.0</v>
      </c>
      <c r="F1227" s="1121">
        <f t="shared" si="1"/>
        <v>48.54</v>
      </c>
      <c r="G1227" s="1120">
        <v>48.54</v>
      </c>
      <c r="H1227" s="1127">
        <v>0.0</v>
      </c>
      <c r="I1227" s="1127">
        <v>0.0</v>
      </c>
      <c r="J1227" s="1127">
        <v>0.0</v>
      </c>
      <c r="K1227" s="1124"/>
    </row>
    <row r="1228" ht="15.75" customHeight="1">
      <c r="A1228" s="1119">
        <v>96458.0</v>
      </c>
      <c r="B1228" s="1125" t="s">
        <v>11506</v>
      </c>
      <c r="C1228" s="1126" t="s">
        <v>1470</v>
      </c>
      <c r="D1228" s="1119">
        <v>65.13</v>
      </c>
      <c r="E1228" s="1120">
        <v>0.0</v>
      </c>
      <c r="F1228" s="1121">
        <f t="shared" si="1"/>
        <v>65.13</v>
      </c>
      <c r="G1228" s="1120">
        <v>0.0</v>
      </c>
      <c r="H1228" s="1127">
        <v>65.13</v>
      </c>
      <c r="I1228" s="1127">
        <v>0.0</v>
      </c>
      <c r="J1228" s="1127">
        <v>0.0</v>
      </c>
      <c r="K1228" s="1124"/>
    </row>
    <row r="1229" ht="15.75" customHeight="1">
      <c r="A1229" s="1119">
        <v>96459.0</v>
      </c>
      <c r="B1229" s="1125" t="s">
        <v>11507</v>
      </c>
      <c r="C1229" s="1126" t="s">
        <v>1470</v>
      </c>
      <c r="D1229" s="1119">
        <v>7.22</v>
      </c>
      <c r="E1229" s="1120">
        <v>0.0</v>
      </c>
      <c r="F1229" s="1121">
        <f t="shared" si="1"/>
        <v>7.22</v>
      </c>
      <c r="G1229" s="1120">
        <v>0.0</v>
      </c>
      <c r="H1229" s="1127">
        <v>7.22</v>
      </c>
      <c r="I1229" s="1127">
        <v>0.0</v>
      </c>
      <c r="J1229" s="1127">
        <v>0.0</v>
      </c>
      <c r="K1229" s="1124"/>
    </row>
    <row r="1230" ht="15.75" customHeight="1">
      <c r="A1230" s="1119">
        <v>96460.0</v>
      </c>
      <c r="B1230" s="1125" t="s">
        <v>11508</v>
      </c>
      <c r="C1230" s="1126" t="s">
        <v>1470</v>
      </c>
      <c r="D1230" s="1119">
        <v>52.05</v>
      </c>
      <c r="E1230" s="1120">
        <v>0.0</v>
      </c>
      <c r="F1230" s="1121">
        <f t="shared" si="1"/>
        <v>52.05</v>
      </c>
      <c r="G1230" s="1120">
        <v>0.0</v>
      </c>
      <c r="H1230" s="1127">
        <v>52.05</v>
      </c>
      <c r="I1230" s="1127">
        <v>0.0</v>
      </c>
      <c r="J1230" s="1127">
        <v>0.0</v>
      </c>
      <c r="K1230" s="1124"/>
    </row>
    <row r="1231" ht="15.75" customHeight="1">
      <c r="A1231" s="1119">
        <v>98760.0</v>
      </c>
      <c r="B1231" s="1125" t="s">
        <v>11509</v>
      </c>
      <c r="C1231" s="1126" t="s">
        <v>1470</v>
      </c>
      <c r="D1231" s="1119">
        <v>0.07</v>
      </c>
      <c r="E1231" s="1120">
        <v>0.0</v>
      </c>
      <c r="F1231" s="1121">
        <f t="shared" si="1"/>
        <v>0.07</v>
      </c>
      <c r="G1231" s="1120">
        <v>0.0</v>
      </c>
      <c r="H1231" s="1127">
        <v>0.07</v>
      </c>
      <c r="I1231" s="1127">
        <v>0.0</v>
      </c>
      <c r="J1231" s="1127">
        <v>0.0</v>
      </c>
      <c r="K1231" s="1124"/>
    </row>
    <row r="1232" ht="15.75" customHeight="1">
      <c r="A1232" s="1119">
        <v>98761.0</v>
      </c>
      <c r="B1232" s="1125" t="s">
        <v>11510</v>
      </c>
      <c r="C1232" s="1126" t="s">
        <v>1470</v>
      </c>
      <c r="D1232" s="1119">
        <v>0.01</v>
      </c>
      <c r="E1232" s="1120">
        <v>0.0</v>
      </c>
      <c r="F1232" s="1121">
        <f t="shared" si="1"/>
        <v>0.01</v>
      </c>
      <c r="G1232" s="1120">
        <v>0.0</v>
      </c>
      <c r="H1232" s="1127">
        <v>0.01</v>
      </c>
      <c r="I1232" s="1127">
        <v>0.0</v>
      </c>
      <c r="J1232" s="1127">
        <v>0.0</v>
      </c>
      <c r="K1232" s="1124"/>
    </row>
    <row r="1233" ht="15.75" customHeight="1">
      <c r="A1233" s="1119">
        <v>98762.0</v>
      </c>
      <c r="B1233" s="1125" t="s">
        <v>11511</v>
      </c>
      <c r="C1233" s="1126" t="s">
        <v>1470</v>
      </c>
      <c r="D1233" s="1119">
        <v>0.08</v>
      </c>
      <c r="E1233" s="1120">
        <v>0.0</v>
      </c>
      <c r="F1233" s="1121">
        <f t="shared" si="1"/>
        <v>0.08</v>
      </c>
      <c r="G1233" s="1120">
        <v>0.0</v>
      </c>
      <c r="H1233" s="1127">
        <v>0.08</v>
      </c>
      <c r="I1233" s="1127">
        <v>0.0</v>
      </c>
      <c r="J1233" s="1127">
        <v>0.0</v>
      </c>
      <c r="K1233" s="1124"/>
    </row>
    <row r="1234" ht="15.75" customHeight="1">
      <c r="A1234" s="1119">
        <v>98763.0</v>
      </c>
      <c r="B1234" s="1125" t="s">
        <v>11512</v>
      </c>
      <c r="C1234" s="1126" t="s">
        <v>1470</v>
      </c>
      <c r="D1234" s="1119">
        <v>2.93</v>
      </c>
      <c r="E1234" s="1120">
        <v>0.0</v>
      </c>
      <c r="F1234" s="1121">
        <f t="shared" si="1"/>
        <v>2.93</v>
      </c>
      <c r="G1234" s="1120">
        <v>0.0</v>
      </c>
      <c r="H1234" s="1127">
        <v>0.0</v>
      </c>
      <c r="I1234" s="1127">
        <v>0.0</v>
      </c>
      <c r="J1234" s="1127">
        <v>2.93</v>
      </c>
      <c r="K1234" s="1124"/>
    </row>
    <row r="1235" ht="15.75" customHeight="1">
      <c r="A1235" s="1119">
        <v>99829.0</v>
      </c>
      <c r="B1235" s="1125" t="s">
        <v>11513</v>
      </c>
      <c r="C1235" s="1126" t="s">
        <v>1470</v>
      </c>
      <c r="D1235" s="1119">
        <v>0.16</v>
      </c>
      <c r="E1235" s="1120">
        <v>0.0</v>
      </c>
      <c r="F1235" s="1121">
        <f t="shared" si="1"/>
        <v>0.16</v>
      </c>
      <c r="G1235" s="1120">
        <v>0.0</v>
      </c>
      <c r="H1235" s="1127">
        <v>0.16</v>
      </c>
      <c r="I1235" s="1127">
        <v>0.0</v>
      </c>
      <c r="J1235" s="1127">
        <v>0.0</v>
      </c>
      <c r="K1235" s="1124"/>
    </row>
    <row r="1236" ht="15.75" customHeight="1">
      <c r="A1236" s="1119">
        <v>99830.0</v>
      </c>
      <c r="B1236" s="1125" t="s">
        <v>11514</v>
      </c>
      <c r="C1236" s="1126" t="s">
        <v>1470</v>
      </c>
      <c r="D1236" s="1119">
        <v>0.02</v>
      </c>
      <c r="E1236" s="1120">
        <v>0.0</v>
      </c>
      <c r="F1236" s="1121">
        <f t="shared" si="1"/>
        <v>0.02</v>
      </c>
      <c r="G1236" s="1120">
        <v>0.0</v>
      </c>
      <c r="H1236" s="1127">
        <v>0.02</v>
      </c>
      <c r="I1236" s="1127">
        <v>0.0</v>
      </c>
      <c r="J1236" s="1127">
        <v>0.0</v>
      </c>
      <c r="K1236" s="1124"/>
    </row>
    <row r="1237" ht="15.75" customHeight="1">
      <c r="A1237" s="1119">
        <v>99831.0</v>
      </c>
      <c r="B1237" s="1125" t="s">
        <v>11515</v>
      </c>
      <c r="C1237" s="1126" t="s">
        <v>1470</v>
      </c>
      <c r="D1237" s="1119">
        <v>0.12</v>
      </c>
      <c r="E1237" s="1120">
        <v>0.0</v>
      </c>
      <c r="F1237" s="1121">
        <f t="shared" si="1"/>
        <v>0.12</v>
      </c>
      <c r="G1237" s="1120">
        <v>0.0</v>
      </c>
      <c r="H1237" s="1127">
        <v>0.12</v>
      </c>
      <c r="I1237" s="1127">
        <v>0.0</v>
      </c>
      <c r="J1237" s="1127">
        <v>0.0</v>
      </c>
      <c r="K1237" s="1124"/>
    </row>
    <row r="1238" ht="15.75" customHeight="1">
      <c r="A1238" s="1119">
        <v>99832.0</v>
      </c>
      <c r="B1238" s="1125" t="s">
        <v>11516</v>
      </c>
      <c r="C1238" s="1126" t="s">
        <v>1470</v>
      </c>
      <c r="D1238" s="1119">
        <v>1.2</v>
      </c>
      <c r="E1238" s="1120">
        <v>0.0</v>
      </c>
      <c r="F1238" s="1121">
        <f t="shared" si="1"/>
        <v>1.2</v>
      </c>
      <c r="G1238" s="1120">
        <v>0.0</v>
      </c>
      <c r="H1238" s="1127">
        <v>0.0</v>
      </c>
      <c r="I1238" s="1127">
        <v>0.0</v>
      </c>
      <c r="J1238" s="1127">
        <v>1.2</v>
      </c>
      <c r="K1238" s="1124"/>
    </row>
    <row r="1239" ht="15.75" customHeight="1">
      <c r="A1239" s="1119">
        <v>100637.0</v>
      </c>
      <c r="B1239" s="1125" t="s">
        <v>11517</v>
      </c>
      <c r="C1239" s="1126" t="s">
        <v>1470</v>
      </c>
      <c r="D1239" s="1119">
        <v>184.31</v>
      </c>
      <c r="E1239" s="1120">
        <v>0.0</v>
      </c>
      <c r="F1239" s="1121">
        <f t="shared" si="1"/>
        <v>184.31</v>
      </c>
      <c r="G1239" s="1120">
        <v>0.0</v>
      </c>
      <c r="H1239" s="1127">
        <v>184.31</v>
      </c>
      <c r="I1239" s="1127">
        <v>0.0</v>
      </c>
      <c r="J1239" s="1127">
        <v>0.0</v>
      </c>
      <c r="K1239" s="1124"/>
    </row>
    <row r="1240" ht="15.75" customHeight="1">
      <c r="A1240" s="1119">
        <v>100638.0</v>
      </c>
      <c r="B1240" s="1125" t="s">
        <v>11518</v>
      </c>
      <c r="C1240" s="1126" t="s">
        <v>1470</v>
      </c>
      <c r="D1240" s="1119">
        <v>29.04</v>
      </c>
      <c r="E1240" s="1120">
        <v>0.0</v>
      </c>
      <c r="F1240" s="1121">
        <f t="shared" si="1"/>
        <v>29.04</v>
      </c>
      <c r="G1240" s="1120">
        <v>0.0</v>
      </c>
      <c r="H1240" s="1127">
        <v>29.04</v>
      </c>
      <c r="I1240" s="1127">
        <v>0.0</v>
      </c>
      <c r="J1240" s="1127">
        <v>0.0</v>
      </c>
      <c r="K1240" s="1124"/>
    </row>
    <row r="1241" ht="15.75" customHeight="1">
      <c r="A1241" s="1119">
        <v>100639.0</v>
      </c>
      <c r="B1241" s="1125" t="s">
        <v>11519</v>
      </c>
      <c r="C1241" s="1126" t="s">
        <v>1470</v>
      </c>
      <c r="D1241" s="1119">
        <v>230.57</v>
      </c>
      <c r="E1241" s="1120">
        <v>0.0</v>
      </c>
      <c r="F1241" s="1121">
        <f t="shared" si="1"/>
        <v>230.57</v>
      </c>
      <c r="G1241" s="1120">
        <v>0.0</v>
      </c>
      <c r="H1241" s="1127">
        <v>230.57</v>
      </c>
      <c r="I1241" s="1127">
        <v>0.0</v>
      </c>
      <c r="J1241" s="1127">
        <v>0.0</v>
      </c>
      <c r="K1241" s="1124"/>
    </row>
    <row r="1242" ht="15.75" customHeight="1">
      <c r="A1242" s="1119">
        <v>100640.0</v>
      </c>
      <c r="B1242" s="1125" t="s">
        <v>11520</v>
      </c>
      <c r="C1242" s="1126" t="s">
        <v>1470</v>
      </c>
      <c r="D1242" s="1128">
        <v>3276.0</v>
      </c>
      <c r="E1242" s="1120">
        <v>0.0</v>
      </c>
      <c r="F1242" s="1121">
        <f t="shared" si="1"/>
        <v>3276</v>
      </c>
      <c r="G1242" s="1120">
        <v>3276.0</v>
      </c>
      <c r="H1242" s="1127">
        <v>0.0</v>
      </c>
      <c r="I1242" s="1127">
        <v>0.0</v>
      </c>
      <c r="J1242" s="1127">
        <v>0.0</v>
      </c>
      <c r="K1242" s="1124"/>
    </row>
    <row r="1243" ht="15.75" customHeight="1">
      <c r="A1243" s="1119">
        <v>100643.0</v>
      </c>
      <c r="B1243" s="1125" t="s">
        <v>11521</v>
      </c>
      <c r="C1243" s="1126" t="s">
        <v>1470</v>
      </c>
      <c r="D1243" s="1119">
        <v>377.66</v>
      </c>
      <c r="E1243" s="1120">
        <v>0.0</v>
      </c>
      <c r="F1243" s="1121">
        <f t="shared" si="1"/>
        <v>377.66</v>
      </c>
      <c r="G1243" s="1120">
        <v>0.0</v>
      </c>
      <c r="H1243" s="1127">
        <v>377.66</v>
      </c>
      <c r="I1243" s="1127">
        <v>0.0</v>
      </c>
      <c r="J1243" s="1127">
        <v>0.0</v>
      </c>
      <c r="K1243" s="1124"/>
    </row>
    <row r="1244" ht="15.75" customHeight="1">
      <c r="A1244" s="1119">
        <v>100644.0</v>
      </c>
      <c r="B1244" s="1125" t="s">
        <v>11522</v>
      </c>
      <c r="C1244" s="1126" t="s">
        <v>1470</v>
      </c>
      <c r="D1244" s="1119">
        <v>67.97</v>
      </c>
      <c r="E1244" s="1120">
        <v>0.0</v>
      </c>
      <c r="F1244" s="1121">
        <f t="shared" si="1"/>
        <v>67.97</v>
      </c>
      <c r="G1244" s="1120">
        <v>0.0</v>
      </c>
      <c r="H1244" s="1127">
        <v>67.97</v>
      </c>
      <c r="I1244" s="1127">
        <v>0.0</v>
      </c>
      <c r="J1244" s="1127">
        <v>0.0</v>
      </c>
      <c r="K1244" s="1124"/>
    </row>
    <row r="1245" ht="15.75" customHeight="1">
      <c r="A1245" s="1119">
        <v>100645.0</v>
      </c>
      <c r="B1245" s="1125" t="s">
        <v>11523</v>
      </c>
      <c r="C1245" s="1126" t="s">
        <v>1470</v>
      </c>
      <c r="D1245" s="1119">
        <v>607.09</v>
      </c>
      <c r="E1245" s="1120">
        <v>0.0</v>
      </c>
      <c r="F1245" s="1121">
        <f t="shared" si="1"/>
        <v>607.09</v>
      </c>
      <c r="G1245" s="1120">
        <v>0.0</v>
      </c>
      <c r="H1245" s="1127">
        <v>607.09</v>
      </c>
      <c r="I1245" s="1127">
        <v>0.0</v>
      </c>
      <c r="J1245" s="1127">
        <v>0.0</v>
      </c>
      <c r="K1245" s="1124"/>
    </row>
    <row r="1246" ht="15.75" customHeight="1">
      <c r="A1246" s="1119">
        <v>100646.0</v>
      </c>
      <c r="B1246" s="1125" t="s">
        <v>11524</v>
      </c>
      <c r="C1246" s="1126" t="s">
        <v>1470</v>
      </c>
      <c r="D1246" s="1128">
        <v>4095.0</v>
      </c>
      <c r="E1246" s="1120">
        <v>0.0</v>
      </c>
      <c r="F1246" s="1121">
        <f t="shared" si="1"/>
        <v>4095</v>
      </c>
      <c r="G1246" s="1120">
        <v>4095.0</v>
      </c>
      <c r="H1246" s="1127">
        <v>0.0</v>
      </c>
      <c r="I1246" s="1127">
        <v>0.0</v>
      </c>
      <c r="J1246" s="1127">
        <v>0.0</v>
      </c>
      <c r="K1246" s="1124"/>
    </row>
    <row r="1247" ht="15.75" customHeight="1">
      <c r="A1247" s="1119">
        <v>102270.0</v>
      </c>
      <c r="B1247" s="1125" t="s">
        <v>11525</v>
      </c>
      <c r="C1247" s="1126" t="s">
        <v>1470</v>
      </c>
      <c r="D1247" s="1119">
        <v>0.54</v>
      </c>
      <c r="E1247" s="1120">
        <v>0.0</v>
      </c>
      <c r="F1247" s="1121">
        <f t="shared" si="1"/>
        <v>0.54</v>
      </c>
      <c r="G1247" s="1120">
        <v>0.0</v>
      </c>
      <c r="H1247" s="1127">
        <v>0.54</v>
      </c>
      <c r="I1247" s="1127">
        <v>0.0</v>
      </c>
      <c r="J1247" s="1127">
        <v>0.0</v>
      </c>
      <c r="K1247" s="1124"/>
    </row>
    <row r="1248" ht="15.75" customHeight="1">
      <c r="A1248" s="1119">
        <v>102271.0</v>
      </c>
      <c r="B1248" s="1125" t="s">
        <v>11526</v>
      </c>
      <c r="C1248" s="1126" t="s">
        <v>1470</v>
      </c>
      <c r="D1248" s="1119">
        <v>0.06</v>
      </c>
      <c r="E1248" s="1120">
        <v>0.0</v>
      </c>
      <c r="F1248" s="1121">
        <f t="shared" si="1"/>
        <v>0.06</v>
      </c>
      <c r="G1248" s="1120">
        <v>0.0</v>
      </c>
      <c r="H1248" s="1127">
        <v>0.06</v>
      </c>
      <c r="I1248" s="1127">
        <v>0.0</v>
      </c>
      <c r="J1248" s="1127">
        <v>0.0</v>
      </c>
      <c r="K1248" s="1124"/>
    </row>
    <row r="1249" ht="15.75" customHeight="1">
      <c r="A1249" s="1119">
        <v>102272.0</v>
      </c>
      <c r="B1249" s="1125" t="s">
        <v>11527</v>
      </c>
      <c r="C1249" s="1126" t="s">
        <v>1470</v>
      </c>
      <c r="D1249" s="1119">
        <v>0.68</v>
      </c>
      <c r="E1249" s="1120">
        <v>0.0</v>
      </c>
      <c r="F1249" s="1121">
        <f t="shared" si="1"/>
        <v>0.68</v>
      </c>
      <c r="G1249" s="1120">
        <v>0.0</v>
      </c>
      <c r="H1249" s="1127">
        <v>0.68</v>
      </c>
      <c r="I1249" s="1127">
        <v>0.0</v>
      </c>
      <c r="J1249" s="1127">
        <v>0.0</v>
      </c>
      <c r="K1249" s="1124"/>
    </row>
    <row r="1250" ht="15.75" customHeight="1">
      <c r="A1250" s="1119">
        <v>102273.0</v>
      </c>
      <c r="B1250" s="1125" t="s">
        <v>11528</v>
      </c>
      <c r="C1250" s="1126" t="s">
        <v>1470</v>
      </c>
      <c r="D1250" s="1119">
        <v>1.08</v>
      </c>
      <c r="E1250" s="1120">
        <v>0.0</v>
      </c>
      <c r="F1250" s="1121">
        <f t="shared" si="1"/>
        <v>1.08</v>
      </c>
      <c r="G1250" s="1120">
        <v>0.0</v>
      </c>
      <c r="H1250" s="1127">
        <v>0.0</v>
      </c>
      <c r="I1250" s="1127">
        <v>0.0</v>
      </c>
      <c r="J1250" s="1127">
        <v>1.08</v>
      </c>
      <c r="K1250" s="1124"/>
    </row>
    <row r="1251" ht="15.75" customHeight="1">
      <c r="A1251" s="1119">
        <v>102809.0</v>
      </c>
      <c r="B1251" s="1125" t="s">
        <v>11529</v>
      </c>
      <c r="C1251" s="1126" t="s">
        <v>1470</v>
      </c>
      <c r="D1251" s="1119">
        <v>15.02</v>
      </c>
      <c r="E1251" s="1120">
        <v>0.0</v>
      </c>
      <c r="F1251" s="1121">
        <f t="shared" si="1"/>
        <v>15.02</v>
      </c>
      <c r="G1251" s="1120">
        <v>15.02</v>
      </c>
      <c r="H1251" s="1127">
        <v>0.0</v>
      </c>
      <c r="I1251" s="1127">
        <v>0.0</v>
      </c>
      <c r="J1251" s="1127">
        <v>0.0</v>
      </c>
      <c r="K1251" s="1124"/>
    </row>
    <row r="1252" ht="15.75" customHeight="1">
      <c r="A1252" s="1119">
        <v>102815.0</v>
      </c>
      <c r="B1252" s="1125" t="s">
        <v>11530</v>
      </c>
      <c r="C1252" s="1126" t="s">
        <v>1470</v>
      </c>
      <c r="D1252" s="1119">
        <v>2.17</v>
      </c>
      <c r="E1252" s="1120">
        <v>0.0</v>
      </c>
      <c r="F1252" s="1121">
        <f t="shared" si="1"/>
        <v>2.17</v>
      </c>
      <c r="G1252" s="1120">
        <v>0.0</v>
      </c>
      <c r="H1252" s="1127">
        <v>0.0</v>
      </c>
      <c r="I1252" s="1127">
        <v>0.0</v>
      </c>
      <c r="J1252" s="1127">
        <v>2.17</v>
      </c>
      <c r="K1252" s="1124"/>
    </row>
    <row r="1253" ht="15.75" customHeight="1">
      <c r="A1253" s="1119">
        <v>102826.0</v>
      </c>
      <c r="B1253" s="1125" t="s">
        <v>11531</v>
      </c>
      <c r="C1253" s="1126" t="s">
        <v>1470</v>
      </c>
      <c r="D1253" s="1119">
        <v>4.08</v>
      </c>
      <c r="E1253" s="1120">
        <v>0.0</v>
      </c>
      <c r="F1253" s="1121">
        <f t="shared" si="1"/>
        <v>4.08</v>
      </c>
      <c r="G1253" s="1120">
        <v>0.0</v>
      </c>
      <c r="H1253" s="1127">
        <v>0.0</v>
      </c>
      <c r="I1253" s="1127">
        <v>0.0</v>
      </c>
      <c r="J1253" s="1127">
        <v>4.08</v>
      </c>
      <c r="K1253" s="1124"/>
    </row>
    <row r="1254" ht="15.75" customHeight="1">
      <c r="A1254" s="1119">
        <v>102832.0</v>
      </c>
      <c r="B1254" s="1125" t="s">
        <v>11532</v>
      </c>
      <c r="C1254" s="1126" t="s">
        <v>1470</v>
      </c>
      <c r="D1254" s="1119">
        <v>5.44</v>
      </c>
      <c r="E1254" s="1120">
        <v>0.0</v>
      </c>
      <c r="F1254" s="1121">
        <f t="shared" si="1"/>
        <v>5.44</v>
      </c>
      <c r="G1254" s="1120">
        <v>0.0</v>
      </c>
      <c r="H1254" s="1127">
        <v>0.0</v>
      </c>
      <c r="I1254" s="1127">
        <v>0.0</v>
      </c>
      <c r="J1254" s="1127">
        <v>5.44</v>
      </c>
      <c r="K1254" s="1124"/>
    </row>
    <row r="1255" ht="15.75" customHeight="1">
      <c r="A1255" s="1119">
        <v>102843.0</v>
      </c>
      <c r="B1255" s="1125" t="s">
        <v>11533</v>
      </c>
      <c r="C1255" s="1126" t="s">
        <v>1470</v>
      </c>
      <c r="D1255" s="1119">
        <v>102.37</v>
      </c>
      <c r="E1255" s="1120">
        <v>0.0</v>
      </c>
      <c r="F1255" s="1121">
        <f t="shared" si="1"/>
        <v>102.37</v>
      </c>
      <c r="G1255" s="1120">
        <v>102.37</v>
      </c>
      <c r="H1255" s="1127">
        <v>0.0</v>
      </c>
      <c r="I1255" s="1127">
        <v>0.0</v>
      </c>
      <c r="J1255" s="1127">
        <v>0.0</v>
      </c>
      <c r="K1255" s="1124"/>
    </row>
    <row r="1256" ht="15.75" customHeight="1">
      <c r="A1256" s="1119">
        <v>102849.0</v>
      </c>
      <c r="B1256" s="1125" t="s">
        <v>11534</v>
      </c>
      <c r="C1256" s="1126" t="s">
        <v>1470</v>
      </c>
      <c r="D1256" s="1119">
        <v>50.05</v>
      </c>
      <c r="E1256" s="1120">
        <v>0.0</v>
      </c>
      <c r="F1256" s="1121">
        <f t="shared" si="1"/>
        <v>50.05</v>
      </c>
      <c r="G1256" s="1120">
        <v>50.05</v>
      </c>
      <c r="H1256" s="1127">
        <v>0.0</v>
      </c>
      <c r="I1256" s="1127">
        <v>0.0</v>
      </c>
      <c r="J1256" s="1127">
        <v>0.0</v>
      </c>
      <c r="K1256" s="1124"/>
    </row>
    <row r="1257" ht="15.75" customHeight="1">
      <c r="A1257" s="1119">
        <v>102855.0</v>
      </c>
      <c r="B1257" s="1125" t="s">
        <v>11535</v>
      </c>
      <c r="C1257" s="1126" t="s">
        <v>1470</v>
      </c>
      <c r="D1257" s="1119">
        <v>50.05</v>
      </c>
      <c r="E1257" s="1120">
        <v>0.0</v>
      </c>
      <c r="F1257" s="1121">
        <f t="shared" si="1"/>
        <v>50.05</v>
      </c>
      <c r="G1257" s="1120">
        <v>50.05</v>
      </c>
      <c r="H1257" s="1127">
        <v>0.0</v>
      </c>
      <c r="I1257" s="1127">
        <v>0.0</v>
      </c>
      <c r="J1257" s="1127">
        <v>0.0</v>
      </c>
      <c r="K1257" s="1124"/>
    </row>
    <row r="1258" ht="15.75" customHeight="1">
      <c r="A1258" s="1119">
        <v>102861.0</v>
      </c>
      <c r="B1258" s="1125" t="s">
        <v>11536</v>
      </c>
      <c r="C1258" s="1126" t="s">
        <v>1470</v>
      </c>
      <c r="D1258" s="1119">
        <v>0.8</v>
      </c>
      <c r="E1258" s="1120">
        <v>0.0</v>
      </c>
      <c r="F1258" s="1121">
        <f t="shared" si="1"/>
        <v>0.8</v>
      </c>
      <c r="G1258" s="1120">
        <v>0.0</v>
      </c>
      <c r="H1258" s="1127">
        <v>0.0</v>
      </c>
      <c r="I1258" s="1127">
        <v>0.0</v>
      </c>
      <c r="J1258" s="1127">
        <v>0.8</v>
      </c>
      <c r="K1258" s="1124"/>
    </row>
    <row r="1259" ht="15.75" customHeight="1">
      <c r="A1259" s="1119">
        <v>102867.0</v>
      </c>
      <c r="B1259" s="1125" t="s">
        <v>11537</v>
      </c>
      <c r="C1259" s="1126" t="s">
        <v>1470</v>
      </c>
      <c r="D1259" s="1119">
        <v>0.43</v>
      </c>
      <c r="E1259" s="1120">
        <v>0.0</v>
      </c>
      <c r="F1259" s="1121">
        <f t="shared" si="1"/>
        <v>0.43</v>
      </c>
      <c r="G1259" s="1120">
        <v>0.0</v>
      </c>
      <c r="H1259" s="1127">
        <v>0.0</v>
      </c>
      <c r="I1259" s="1127">
        <v>0.0</v>
      </c>
      <c r="J1259" s="1127">
        <v>0.43</v>
      </c>
      <c r="K1259" s="1124"/>
    </row>
    <row r="1260" ht="15.75" customHeight="1">
      <c r="A1260" s="1119">
        <v>102873.0</v>
      </c>
      <c r="B1260" s="1125" t="s">
        <v>11538</v>
      </c>
      <c r="C1260" s="1126" t="s">
        <v>1470</v>
      </c>
      <c r="D1260" s="1119">
        <v>90.95</v>
      </c>
      <c r="E1260" s="1120">
        <v>0.0</v>
      </c>
      <c r="F1260" s="1121">
        <f t="shared" si="1"/>
        <v>90.95</v>
      </c>
      <c r="G1260" s="1120">
        <v>90.95</v>
      </c>
      <c r="H1260" s="1127">
        <v>0.0</v>
      </c>
      <c r="I1260" s="1127">
        <v>0.0</v>
      </c>
      <c r="J1260" s="1127">
        <v>0.0</v>
      </c>
      <c r="K1260" s="1124"/>
    </row>
    <row r="1261" ht="15.75" customHeight="1">
      <c r="A1261" s="1119">
        <v>102879.0</v>
      </c>
      <c r="B1261" s="1125" t="s">
        <v>11539</v>
      </c>
      <c r="C1261" s="1126" t="s">
        <v>1470</v>
      </c>
      <c r="D1261" s="1119">
        <v>136.5</v>
      </c>
      <c r="E1261" s="1120">
        <v>0.0</v>
      </c>
      <c r="F1261" s="1121">
        <f t="shared" si="1"/>
        <v>136.5</v>
      </c>
      <c r="G1261" s="1120">
        <v>136.5</v>
      </c>
      <c r="H1261" s="1127">
        <v>0.0</v>
      </c>
      <c r="I1261" s="1127">
        <v>0.0</v>
      </c>
      <c r="J1261" s="1127">
        <v>0.0</v>
      </c>
      <c r="K1261" s="1124"/>
    </row>
    <row r="1262" ht="15.75" customHeight="1">
      <c r="A1262" s="1119">
        <v>102885.0</v>
      </c>
      <c r="B1262" s="1125" t="s">
        <v>11540</v>
      </c>
      <c r="C1262" s="1126" t="s">
        <v>1470</v>
      </c>
      <c r="D1262" s="1119">
        <v>0.81</v>
      </c>
      <c r="E1262" s="1120">
        <v>0.0</v>
      </c>
      <c r="F1262" s="1121">
        <f t="shared" si="1"/>
        <v>0.81</v>
      </c>
      <c r="G1262" s="1120">
        <v>0.0</v>
      </c>
      <c r="H1262" s="1127">
        <v>0.0</v>
      </c>
      <c r="I1262" s="1127">
        <v>0.0</v>
      </c>
      <c r="J1262" s="1127">
        <v>0.81</v>
      </c>
      <c r="K1262" s="1124"/>
    </row>
    <row r="1263" ht="15.75" customHeight="1">
      <c r="A1263" s="1119">
        <v>102891.0</v>
      </c>
      <c r="B1263" s="1125" t="s">
        <v>11541</v>
      </c>
      <c r="C1263" s="1126" t="s">
        <v>1470</v>
      </c>
      <c r="D1263" s="1119">
        <v>0.81</v>
      </c>
      <c r="E1263" s="1120">
        <v>0.0</v>
      </c>
      <c r="F1263" s="1121">
        <f t="shared" si="1"/>
        <v>0.81</v>
      </c>
      <c r="G1263" s="1120">
        <v>0.0</v>
      </c>
      <c r="H1263" s="1127">
        <v>0.0</v>
      </c>
      <c r="I1263" s="1127">
        <v>0.0</v>
      </c>
      <c r="J1263" s="1127">
        <v>0.81</v>
      </c>
      <c r="K1263" s="1124"/>
    </row>
    <row r="1264" ht="15.75" customHeight="1">
      <c r="A1264" s="1119">
        <v>102897.0</v>
      </c>
      <c r="B1264" s="1125" t="s">
        <v>11542</v>
      </c>
      <c r="C1264" s="1126" t="s">
        <v>1470</v>
      </c>
      <c r="D1264" s="1119">
        <v>68.38</v>
      </c>
      <c r="E1264" s="1120">
        <v>0.0</v>
      </c>
      <c r="F1264" s="1121">
        <f t="shared" si="1"/>
        <v>68.38</v>
      </c>
      <c r="G1264" s="1120">
        <v>68.38</v>
      </c>
      <c r="H1264" s="1127">
        <v>0.0</v>
      </c>
      <c r="I1264" s="1127">
        <v>0.0</v>
      </c>
      <c r="J1264" s="1127">
        <v>0.0</v>
      </c>
      <c r="K1264" s="1124"/>
    </row>
    <row r="1265" ht="15.75" customHeight="1">
      <c r="A1265" s="1119">
        <v>102903.0</v>
      </c>
      <c r="B1265" s="1125" t="s">
        <v>11543</v>
      </c>
      <c r="C1265" s="1126" t="s">
        <v>1470</v>
      </c>
      <c r="D1265" s="1119">
        <v>8.87</v>
      </c>
      <c r="E1265" s="1120">
        <v>0.0</v>
      </c>
      <c r="F1265" s="1121">
        <f t="shared" si="1"/>
        <v>8.87</v>
      </c>
      <c r="G1265" s="1120">
        <v>8.87</v>
      </c>
      <c r="H1265" s="1127">
        <v>0.0</v>
      </c>
      <c r="I1265" s="1127">
        <v>0.0</v>
      </c>
      <c r="J1265" s="1127">
        <v>0.0</v>
      </c>
      <c r="K1265" s="1124"/>
    </row>
    <row r="1266" ht="15.75" customHeight="1">
      <c r="A1266" s="1119">
        <v>102909.0</v>
      </c>
      <c r="B1266" s="1125" t="s">
        <v>11544</v>
      </c>
      <c r="C1266" s="1126" t="s">
        <v>1470</v>
      </c>
      <c r="D1266" s="1119">
        <v>2.61</v>
      </c>
      <c r="E1266" s="1120">
        <v>0.0</v>
      </c>
      <c r="F1266" s="1121">
        <f t="shared" si="1"/>
        <v>2.61</v>
      </c>
      <c r="G1266" s="1120">
        <v>0.0</v>
      </c>
      <c r="H1266" s="1127">
        <v>0.0</v>
      </c>
      <c r="I1266" s="1127">
        <v>0.0</v>
      </c>
      <c r="J1266" s="1127">
        <v>2.61</v>
      </c>
      <c r="K1266" s="1124"/>
    </row>
    <row r="1267" ht="15.75" customHeight="1">
      <c r="A1267" s="1119">
        <v>102915.0</v>
      </c>
      <c r="B1267" s="1125" t="s">
        <v>11545</v>
      </c>
      <c r="C1267" s="1126" t="s">
        <v>1470</v>
      </c>
      <c r="D1267" s="1119">
        <v>0.4</v>
      </c>
      <c r="E1267" s="1120">
        <v>0.0</v>
      </c>
      <c r="F1267" s="1121">
        <f t="shared" si="1"/>
        <v>0.4</v>
      </c>
      <c r="G1267" s="1120">
        <v>0.0</v>
      </c>
      <c r="H1267" s="1127">
        <v>0.0</v>
      </c>
      <c r="I1267" s="1127">
        <v>0.0</v>
      </c>
      <c r="J1267" s="1127">
        <v>0.4</v>
      </c>
      <c r="K1267" s="1124"/>
    </row>
    <row r="1268" ht="15.75" customHeight="1">
      <c r="A1268" s="1119">
        <v>102927.0</v>
      </c>
      <c r="B1268" s="1125" t="s">
        <v>11546</v>
      </c>
      <c r="C1268" s="1126" t="s">
        <v>1470</v>
      </c>
      <c r="D1268" s="1119">
        <v>0.6</v>
      </c>
      <c r="E1268" s="1120">
        <v>0.0</v>
      </c>
      <c r="F1268" s="1121">
        <f t="shared" si="1"/>
        <v>0.6</v>
      </c>
      <c r="G1268" s="1120">
        <v>0.0</v>
      </c>
      <c r="H1268" s="1127">
        <v>0.0</v>
      </c>
      <c r="I1268" s="1127">
        <v>0.0</v>
      </c>
      <c r="J1268" s="1127">
        <v>0.6</v>
      </c>
      <c r="K1268" s="1124"/>
    </row>
    <row r="1269" ht="15.75" customHeight="1">
      <c r="A1269" s="1119">
        <v>102933.0</v>
      </c>
      <c r="B1269" s="1125" t="s">
        <v>11547</v>
      </c>
      <c r="C1269" s="1126" t="s">
        <v>1470</v>
      </c>
      <c r="D1269" s="1119">
        <v>0.6</v>
      </c>
      <c r="E1269" s="1120">
        <v>0.0</v>
      </c>
      <c r="F1269" s="1121">
        <f t="shared" si="1"/>
        <v>0.6</v>
      </c>
      <c r="G1269" s="1120">
        <v>0.0</v>
      </c>
      <c r="H1269" s="1127">
        <v>0.0</v>
      </c>
      <c r="I1269" s="1127">
        <v>0.0</v>
      </c>
      <c r="J1269" s="1127">
        <v>0.6</v>
      </c>
      <c r="K1269" s="1124"/>
    </row>
    <row r="1270" ht="15.75" customHeight="1">
      <c r="A1270" s="1119">
        <v>102939.0</v>
      </c>
      <c r="B1270" s="1125" t="s">
        <v>11548</v>
      </c>
      <c r="C1270" s="1126" t="s">
        <v>1470</v>
      </c>
      <c r="D1270" s="1119">
        <v>5.98</v>
      </c>
      <c r="E1270" s="1120">
        <v>0.0</v>
      </c>
      <c r="F1270" s="1121">
        <f t="shared" si="1"/>
        <v>5.98</v>
      </c>
      <c r="G1270" s="1120">
        <v>0.0</v>
      </c>
      <c r="H1270" s="1127">
        <v>0.0</v>
      </c>
      <c r="I1270" s="1127">
        <v>0.0</v>
      </c>
      <c r="J1270" s="1127">
        <v>5.98</v>
      </c>
      <c r="K1270" s="1124"/>
    </row>
    <row r="1271" ht="15.75" customHeight="1">
      <c r="A1271" s="1119">
        <v>102945.0</v>
      </c>
      <c r="B1271" s="1125" t="s">
        <v>11549</v>
      </c>
      <c r="C1271" s="1126" t="s">
        <v>1470</v>
      </c>
      <c r="D1271" s="1119">
        <v>0.01</v>
      </c>
      <c r="E1271" s="1120">
        <v>0.0</v>
      </c>
      <c r="F1271" s="1121">
        <f t="shared" si="1"/>
        <v>0.01</v>
      </c>
      <c r="G1271" s="1120">
        <v>0.0</v>
      </c>
      <c r="H1271" s="1127">
        <v>0.0</v>
      </c>
      <c r="I1271" s="1127">
        <v>0.0</v>
      </c>
      <c r="J1271" s="1127">
        <v>0.01</v>
      </c>
      <c r="K1271" s="1124"/>
    </row>
    <row r="1272" ht="15.75" customHeight="1">
      <c r="A1272" s="1119">
        <v>102951.0</v>
      </c>
      <c r="B1272" s="1125" t="s">
        <v>11550</v>
      </c>
      <c r="C1272" s="1126" t="s">
        <v>1470</v>
      </c>
      <c r="D1272" s="1119">
        <v>0.4</v>
      </c>
      <c r="E1272" s="1120">
        <v>0.0</v>
      </c>
      <c r="F1272" s="1121">
        <f t="shared" si="1"/>
        <v>0.4</v>
      </c>
      <c r="G1272" s="1120">
        <v>0.0</v>
      </c>
      <c r="H1272" s="1127">
        <v>0.0</v>
      </c>
      <c r="I1272" s="1127">
        <v>0.0</v>
      </c>
      <c r="J1272" s="1127">
        <v>0.4</v>
      </c>
      <c r="K1272" s="1124"/>
    </row>
    <row r="1273" ht="15.75" customHeight="1">
      <c r="A1273" s="1119">
        <v>102957.0</v>
      </c>
      <c r="B1273" s="1125" t="s">
        <v>11551</v>
      </c>
      <c r="C1273" s="1126" t="s">
        <v>1470</v>
      </c>
      <c r="D1273" s="1119">
        <v>38.81</v>
      </c>
      <c r="E1273" s="1120">
        <v>0.0</v>
      </c>
      <c r="F1273" s="1121">
        <f t="shared" si="1"/>
        <v>38.81</v>
      </c>
      <c r="G1273" s="1120">
        <v>38.81</v>
      </c>
      <c r="H1273" s="1127">
        <v>0.0</v>
      </c>
      <c r="I1273" s="1127">
        <v>0.0</v>
      </c>
      <c r="J1273" s="1127">
        <v>0.0</v>
      </c>
      <c r="K1273" s="1124"/>
    </row>
    <row r="1274" ht="15.75" customHeight="1">
      <c r="A1274" s="1119">
        <v>102963.0</v>
      </c>
      <c r="B1274" s="1125" t="s">
        <v>11552</v>
      </c>
      <c r="C1274" s="1126" t="s">
        <v>1470</v>
      </c>
      <c r="D1274" s="1119">
        <v>64.47</v>
      </c>
      <c r="E1274" s="1120">
        <v>0.0</v>
      </c>
      <c r="F1274" s="1121">
        <f t="shared" si="1"/>
        <v>64.47</v>
      </c>
      <c r="G1274" s="1120">
        <v>64.47</v>
      </c>
      <c r="H1274" s="1127">
        <v>0.0</v>
      </c>
      <c r="I1274" s="1127">
        <v>0.0</v>
      </c>
      <c r="J1274" s="1127">
        <v>0.0</v>
      </c>
      <c r="K1274" s="1124"/>
    </row>
    <row r="1275" ht="15.75" customHeight="1">
      <c r="A1275" s="1119">
        <v>102969.0</v>
      </c>
      <c r="B1275" s="1125" t="s">
        <v>11553</v>
      </c>
      <c r="C1275" s="1126" t="s">
        <v>1470</v>
      </c>
      <c r="D1275" s="1119">
        <v>0.81</v>
      </c>
      <c r="E1275" s="1120">
        <v>0.0</v>
      </c>
      <c r="F1275" s="1121">
        <f t="shared" si="1"/>
        <v>0.81</v>
      </c>
      <c r="G1275" s="1120">
        <v>0.0</v>
      </c>
      <c r="H1275" s="1127">
        <v>0.0</v>
      </c>
      <c r="I1275" s="1127">
        <v>0.0</v>
      </c>
      <c r="J1275" s="1127">
        <v>0.81</v>
      </c>
      <c r="K1275" s="1124"/>
    </row>
    <row r="1276" ht="15.75" customHeight="1">
      <c r="A1276" s="1119">
        <v>102985.0</v>
      </c>
      <c r="B1276" s="1125" t="s">
        <v>11554</v>
      </c>
      <c r="C1276" s="1126" t="s">
        <v>1470</v>
      </c>
      <c r="D1276" s="1119">
        <v>2.27</v>
      </c>
      <c r="E1276" s="1120">
        <v>0.0</v>
      </c>
      <c r="F1276" s="1121">
        <f t="shared" si="1"/>
        <v>2.27</v>
      </c>
      <c r="G1276" s="1120">
        <v>2.27</v>
      </c>
      <c r="H1276" s="1127">
        <v>0.0</v>
      </c>
      <c r="I1276" s="1127">
        <v>0.0</v>
      </c>
      <c r="J1276" s="1127">
        <v>0.0</v>
      </c>
      <c r="K1276" s="1124"/>
    </row>
    <row r="1277" ht="15.75" customHeight="1">
      <c r="A1277" s="1119">
        <v>103156.0</v>
      </c>
      <c r="B1277" s="1125" t="s">
        <v>11555</v>
      </c>
      <c r="C1277" s="1126" t="s">
        <v>1470</v>
      </c>
      <c r="D1277" s="1119">
        <v>1.56</v>
      </c>
      <c r="E1277" s="1120">
        <v>0.0</v>
      </c>
      <c r="F1277" s="1121">
        <f t="shared" si="1"/>
        <v>1.56</v>
      </c>
      <c r="G1277" s="1120">
        <v>0.0</v>
      </c>
      <c r="H1277" s="1127">
        <v>0.0</v>
      </c>
      <c r="I1277" s="1127">
        <v>0.0</v>
      </c>
      <c r="J1277" s="1127">
        <v>1.56</v>
      </c>
      <c r="K1277" s="1124"/>
    </row>
    <row r="1278" ht="15.75" customHeight="1">
      <c r="A1278" s="1119">
        <v>103162.0</v>
      </c>
      <c r="B1278" s="1125" t="s">
        <v>11556</v>
      </c>
      <c r="C1278" s="1126" t="s">
        <v>1470</v>
      </c>
      <c r="D1278" s="1119">
        <v>1.9</v>
      </c>
      <c r="E1278" s="1120">
        <v>0.0</v>
      </c>
      <c r="F1278" s="1121">
        <f t="shared" si="1"/>
        <v>1.9</v>
      </c>
      <c r="G1278" s="1120">
        <v>0.0</v>
      </c>
      <c r="H1278" s="1127">
        <v>0.0</v>
      </c>
      <c r="I1278" s="1127">
        <v>0.0</v>
      </c>
      <c r="J1278" s="1127">
        <v>1.9</v>
      </c>
      <c r="K1278" s="1124"/>
    </row>
    <row r="1279" ht="15.75" customHeight="1">
      <c r="A1279" s="1119">
        <v>103168.0</v>
      </c>
      <c r="B1279" s="1125" t="s">
        <v>11557</v>
      </c>
      <c r="C1279" s="1126" t="s">
        <v>1470</v>
      </c>
      <c r="D1279" s="1119">
        <v>2.13</v>
      </c>
      <c r="E1279" s="1120">
        <v>0.0</v>
      </c>
      <c r="F1279" s="1121">
        <f t="shared" si="1"/>
        <v>2.13</v>
      </c>
      <c r="G1279" s="1120">
        <v>0.0</v>
      </c>
      <c r="H1279" s="1127">
        <v>0.0</v>
      </c>
      <c r="I1279" s="1127">
        <v>0.0</v>
      </c>
      <c r="J1279" s="1127">
        <v>2.13</v>
      </c>
      <c r="K1279" s="1124"/>
    </row>
    <row r="1280" ht="15.75" customHeight="1">
      <c r="A1280" s="1119">
        <v>103174.0</v>
      </c>
      <c r="B1280" s="1125" t="s">
        <v>11558</v>
      </c>
      <c r="C1280" s="1126" t="s">
        <v>1470</v>
      </c>
      <c r="D1280" s="1119">
        <v>5.53</v>
      </c>
      <c r="E1280" s="1120">
        <v>0.0</v>
      </c>
      <c r="F1280" s="1121">
        <f t="shared" si="1"/>
        <v>5.53</v>
      </c>
      <c r="G1280" s="1120">
        <v>0.0</v>
      </c>
      <c r="H1280" s="1127">
        <v>0.0</v>
      </c>
      <c r="I1280" s="1127">
        <v>0.0</v>
      </c>
      <c r="J1280" s="1127">
        <v>5.53</v>
      </c>
      <c r="K1280" s="1124"/>
    </row>
    <row r="1281" ht="15.75" customHeight="1">
      <c r="A1281" s="1119">
        <v>103180.0</v>
      </c>
      <c r="B1281" s="1125" t="s">
        <v>11559</v>
      </c>
      <c r="C1281" s="1126" t="s">
        <v>1470</v>
      </c>
      <c r="D1281" s="1119">
        <v>12.37</v>
      </c>
      <c r="E1281" s="1120">
        <v>0.0</v>
      </c>
      <c r="F1281" s="1121">
        <f t="shared" si="1"/>
        <v>12.37</v>
      </c>
      <c r="G1281" s="1120">
        <v>0.0</v>
      </c>
      <c r="H1281" s="1127">
        <v>0.0</v>
      </c>
      <c r="I1281" s="1127">
        <v>0.0</v>
      </c>
      <c r="J1281" s="1127">
        <v>12.37</v>
      </c>
      <c r="K1281" s="1124"/>
    </row>
    <row r="1282" ht="15.75" customHeight="1">
      <c r="A1282" s="1119">
        <v>103223.0</v>
      </c>
      <c r="B1282" s="1125" t="s">
        <v>11560</v>
      </c>
      <c r="C1282" s="1126" t="s">
        <v>1470</v>
      </c>
      <c r="D1282" s="1119">
        <v>26.68</v>
      </c>
      <c r="E1282" s="1120">
        <v>0.0</v>
      </c>
      <c r="F1282" s="1121">
        <f t="shared" si="1"/>
        <v>26.68</v>
      </c>
      <c r="G1282" s="1120">
        <v>26.68</v>
      </c>
      <c r="H1282" s="1127">
        <v>0.0</v>
      </c>
      <c r="I1282" s="1127">
        <v>0.0</v>
      </c>
      <c r="J1282" s="1127">
        <v>0.0</v>
      </c>
      <c r="K1282" s="1124"/>
    </row>
    <row r="1283" ht="15.75" customHeight="1">
      <c r="A1283" s="1119">
        <v>103229.0</v>
      </c>
      <c r="B1283" s="1125" t="s">
        <v>11561</v>
      </c>
      <c r="C1283" s="1126" t="s">
        <v>1470</v>
      </c>
      <c r="D1283" s="1119">
        <v>73.82</v>
      </c>
      <c r="E1283" s="1120">
        <v>0.0</v>
      </c>
      <c r="F1283" s="1121">
        <f t="shared" si="1"/>
        <v>73.82</v>
      </c>
      <c r="G1283" s="1120">
        <v>73.82</v>
      </c>
      <c r="H1283" s="1127">
        <v>0.0</v>
      </c>
      <c r="I1283" s="1127">
        <v>0.0</v>
      </c>
      <c r="J1283" s="1127">
        <v>0.0</v>
      </c>
      <c r="K1283" s="1124"/>
    </row>
    <row r="1284" ht="15.75" customHeight="1">
      <c r="A1284" s="1119">
        <v>103235.0</v>
      </c>
      <c r="B1284" s="1125" t="s">
        <v>11562</v>
      </c>
      <c r="C1284" s="1126" t="s">
        <v>1470</v>
      </c>
      <c r="D1284" s="1119">
        <v>78.07</v>
      </c>
      <c r="E1284" s="1120">
        <v>0.0</v>
      </c>
      <c r="F1284" s="1121">
        <f t="shared" si="1"/>
        <v>78.07</v>
      </c>
      <c r="G1284" s="1120">
        <v>78.07</v>
      </c>
      <c r="H1284" s="1127">
        <v>0.0</v>
      </c>
      <c r="I1284" s="1127">
        <v>0.0</v>
      </c>
      <c r="J1284" s="1127">
        <v>0.0</v>
      </c>
      <c r="K1284" s="1124"/>
    </row>
    <row r="1285" ht="15.75" customHeight="1">
      <c r="A1285" s="1119">
        <v>103241.0</v>
      </c>
      <c r="B1285" s="1125" t="s">
        <v>11563</v>
      </c>
      <c r="C1285" s="1126" t="s">
        <v>1470</v>
      </c>
      <c r="D1285" s="1119">
        <v>5.79</v>
      </c>
      <c r="E1285" s="1120">
        <v>0.0</v>
      </c>
      <c r="F1285" s="1121">
        <f t="shared" si="1"/>
        <v>5.79</v>
      </c>
      <c r="G1285" s="1120">
        <v>0.0</v>
      </c>
      <c r="H1285" s="1127">
        <v>0.0</v>
      </c>
      <c r="I1285" s="1127">
        <v>0.0</v>
      </c>
      <c r="J1285" s="1127">
        <v>5.79</v>
      </c>
      <c r="K1285" s="1124"/>
    </row>
    <row r="1286" ht="15.75" customHeight="1">
      <c r="A1286" s="1119">
        <v>103660.0</v>
      </c>
      <c r="B1286" s="1125" t="s">
        <v>11564</v>
      </c>
      <c r="C1286" s="1126" t="s">
        <v>1470</v>
      </c>
      <c r="D1286" s="1119">
        <v>10.93</v>
      </c>
      <c r="E1286" s="1120">
        <v>0.0</v>
      </c>
      <c r="F1286" s="1121">
        <f t="shared" si="1"/>
        <v>10.93</v>
      </c>
      <c r="G1286" s="1120">
        <v>10.93</v>
      </c>
      <c r="H1286" s="1127">
        <v>0.0</v>
      </c>
      <c r="I1286" s="1127">
        <v>0.0</v>
      </c>
      <c r="J1286" s="1127">
        <v>0.0</v>
      </c>
      <c r="K1286" s="1124"/>
    </row>
    <row r="1287" ht="15.75" customHeight="1">
      <c r="A1287" s="1119">
        <v>103666.0</v>
      </c>
      <c r="B1287" s="1125" t="s">
        <v>11565</v>
      </c>
      <c r="C1287" s="1126" t="s">
        <v>1470</v>
      </c>
      <c r="D1287" s="1119">
        <v>122.48</v>
      </c>
      <c r="E1287" s="1120">
        <v>0.0</v>
      </c>
      <c r="F1287" s="1121">
        <f t="shared" si="1"/>
        <v>122.48</v>
      </c>
      <c r="G1287" s="1120">
        <v>122.48</v>
      </c>
      <c r="H1287" s="1127">
        <v>0.0</v>
      </c>
      <c r="I1287" s="1127">
        <v>0.0</v>
      </c>
      <c r="J1287" s="1127">
        <v>0.0</v>
      </c>
      <c r="K1287" s="1124"/>
    </row>
    <row r="1288" ht="15.75" customHeight="1">
      <c r="A1288" s="1119">
        <v>103792.0</v>
      </c>
      <c r="B1288" s="1125" t="s">
        <v>11566</v>
      </c>
      <c r="C1288" s="1126" t="s">
        <v>1470</v>
      </c>
      <c r="D1288" s="1119">
        <v>0.17</v>
      </c>
      <c r="E1288" s="1120">
        <v>0.0</v>
      </c>
      <c r="F1288" s="1121">
        <f t="shared" si="1"/>
        <v>0.17</v>
      </c>
      <c r="G1288" s="1120">
        <v>0.0</v>
      </c>
      <c r="H1288" s="1127">
        <v>0.0</v>
      </c>
      <c r="I1288" s="1127">
        <v>0.0</v>
      </c>
      <c r="J1288" s="1127">
        <v>0.17</v>
      </c>
      <c r="K1288" s="1124"/>
    </row>
    <row r="1289" ht="15.75" customHeight="1">
      <c r="A1289" s="1119">
        <v>103937.0</v>
      </c>
      <c r="B1289" s="1125" t="s">
        <v>11567</v>
      </c>
      <c r="C1289" s="1126" t="s">
        <v>1470</v>
      </c>
      <c r="D1289" s="1119">
        <v>0.97</v>
      </c>
      <c r="E1289" s="1120">
        <v>0.0</v>
      </c>
      <c r="F1289" s="1121">
        <f t="shared" si="1"/>
        <v>0.97</v>
      </c>
      <c r="G1289" s="1120">
        <v>0.0</v>
      </c>
      <c r="H1289" s="1127">
        <v>0.0</v>
      </c>
      <c r="I1289" s="1127">
        <v>0.0</v>
      </c>
      <c r="J1289" s="1127">
        <v>0.97</v>
      </c>
      <c r="K1289" s="1124"/>
    </row>
    <row r="1290" ht="15.75" customHeight="1">
      <c r="A1290" s="1119">
        <v>103943.0</v>
      </c>
      <c r="B1290" s="1125" t="s">
        <v>11568</v>
      </c>
      <c r="C1290" s="1126" t="s">
        <v>1470</v>
      </c>
      <c r="D1290" s="1119">
        <v>0.97</v>
      </c>
      <c r="E1290" s="1120">
        <v>0.0</v>
      </c>
      <c r="F1290" s="1121">
        <f t="shared" si="1"/>
        <v>0.97</v>
      </c>
      <c r="G1290" s="1120">
        <v>0.0</v>
      </c>
      <c r="H1290" s="1127">
        <v>0.0</v>
      </c>
      <c r="I1290" s="1127">
        <v>0.0</v>
      </c>
      <c r="J1290" s="1127">
        <v>0.97</v>
      </c>
      <c r="K1290" s="1124"/>
    </row>
    <row r="1291" ht="15.75" customHeight="1">
      <c r="A1291" s="1119">
        <v>104087.0</v>
      </c>
      <c r="B1291" s="1125" t="s">
        <v>11569</v>
      </c>
      <c r="C1291" s="1126" t="s">
        <v>1470</v>
      </c>
      <c r="D1291" s="1119">
        <v>0.06</v>
      </c>
      <c r="E1291" s="1120">
        <v>0.0</v>
      </c>
      <c r="F1291" s="1121">
        <f t="shared" si="1"/>
        <v>0.06</v>
      </c>
      <c r="G1291" s="1120">
        <v>0.0</v>
      </c>
      <c r="H1291" s="1127">
        <v>0.06</v>
      </c>
      <c r="I1291" s="1127">
        <v>0.0</v>
      </c>
      <c r="J1291" s="1127">
        <v>0.0</v>
      </c>
      <c r="K1291" s="1124"/>
    </row>
    <row r="1292" ht="15.75" customHeight="1">
      <c r="A1292" s="1119">
        <v>104088.0</v>
      </c>
      <c r="B1292" s="1125" t="s">
        <v>11570</v>
      </c>
      <c r="C1292" s="1126" t="s">
        <v>1470</v>
      </c>
      <c r="D1292" s="1119">
        <v>0.08</v>
      </c>
      <c r="E1292" s="1120">
        <v>0.0</v>
      </c>
      <c r="F1292" s="1121">
        <f t="shared" si="1"/>
        <v>0.08</v>
      </c>
      <c r="G1292" s="1120">
        <v>0.0</v>
      </c>
      <c r="H1292" s="1127">
        <v>0.08</v>
      </c>
      <c r="I1292" s="1127">
        <v>0.0</v>
      </c>
      <c r="J1292" s="1127">
        <v>0.0</v>
      </c>
      <c r="K1292" s="1124"/>
    </row>
    <row r="1293" ht="15.75" customHeight="1">
      <c r="A1293" s="1119">
        <v>104089.0</v>
      </c>
      <c r="B1293" s="1125" t="s">
        <v>11571</v>
      </c>
      <c r="C1293" s="1126" t="s">
        <v>1470</v>
      </c>
      <c r="D1293" s="1119">
        <v>0.08</v>
      </c>
      <c r="E1293" s="1120">
        <v>0.0</v>
      </c>
      <c r="F1293" s="1121">
        <f t="shared" si="1"/>
        <v>0.08</v>
      </c>
      <c r="G1293" s="1120">
        <v>0.0</v>
      </c>
      <c r="H1293" s="1127">
        <v>0.08</v>
      </c>
      <c r="I1293" s="1127">
        <v>0.0</v>
      </c>
      <c r="J1293" s="1127">
        <v>0.0</v>
      </c>
      <c r="K1293" s="1124"/>
    </row>
    <row r="1294" ht="15.75" customHeight="1">
      <c r="A1294" s="1119">
        <v>104090.0</v>
      </c>
      <c r="B1294" s="1125" t="s">
        <v>11572</v>
      </c>
      <c r="C1294" s="1126" t="s">
        <v>1470</v>
      </c>
      <c r="D1294" s="1119">
        <v>0.43</v>
      </c>
      <c r="E1294" s="1120">
        <v>0.0</v>
      </c>
      <c r="F1294" s="1121">
        <f t="shared" si="1"/>
        <v>0.43</v>
      </c>
      <c r="G1294" s="1120">
        <v>0.0</v>
      </c>
      <c r="H1294" s="1127">
        <v>0.0</v>
      </c>
      <c r="I1294" s="1127">
        <v>0.0</v>
      </c>
      <c r="J1294" s="1127">
        <v>0.43</v>
      </c>
      <c r="K1294" s="1124"/>
    </row>
    <row r="1295" ht="15.75" customHeight="1">
      <c r="A1295" s="1119">
        <v>104093.0</v>
      </c>
      <c r="B1295" s="1125" t="s">
        <v>11573</v>
      </c>
      <c r="C1295" s="1126" t="s">
        <v>1470</v>
      </c>
      <c r="D1295" s="1119">
        <v>0.09</v>
      </c>
      <c r="E1295" s="1120">
        <v>0.0</v>
      </c>
      <c r="F1295" s="1121">
        <f t="shared" si="1"/>
        <v>0.09</v>
      </c>
      <c r="G1295" s="1120">
        <v>0.0</v>
      </c>
      <c r="H1295" s="1127">
        <v>0.09</v>
      </c>
      <c r="I1295" s="1127">
        <v>0.0</v>
      </c>
      <c r="J1295" s="1127">
        <v>0.0</v>
      </c>
      <c r="K1295" s="1124"/>
    </row>
    <row r="1296" ht="15.75" customHeight="1">
      <c r="A1296" s="1119">
        <v>104094.0</v>
      </c>
      <c r="B1296" s="1125" t="s">
        <v>11574</v>
      </c>
      <c r="C1296" s="1126" t="s">
        <v>1470</v>
      </c>
      <c r="D1296" s="1119">
        <v>0.11</v>
      </c>
      <c r="E1296" s="1120">
        <v>0.0</v>
      </c>
      <c r="F1296" s="1121">
        <f t="shared" si="1"/>
        <v>0.11</v>
      </c>
      <c r="G1296" s="1120">
        <v>0.0</v>
      </c>
      <c r="H1296" s="1127">
        <v>0.11</v>
      </c>
      <c r="I1296" s="1127">
        <v>0.0</v>
      </c>
      <c r="J1296" s="1127">
        <v>0.0</v>
      </c>
      <c r="K1296" s="1124"/>
    </row>
    <row r="1297" ht="15.75" customHeight="1">
      <c r="A1297" s="1119">
        <v>104095.0</v>
      </c>
      <c r="B1297" s="1125" t="s">
        <v>11575</v>
      </c>
      <c r="C1297" s="1126" t="s">
        <v>1470</v>
      </c>
      <c r="D1297" s="1119">
        <v>0.12</v>
      </c>
      <c r="E1297" s="1120">
        <v>0.0</v>
      </c>
      <c r="F1297" s="1121">
        <f t="shared" si="1"/>
        <v>0.12</v>
      </c>
      <c r="G1297" s="1120">
        <v>0.0</v>
      </c>
      <c r="H1297" s="1127">
        <v>0.12</v>
      </c>
      <c r="I1297" s="1127">
        <v>0.0</v>
      </c>
      <c r="J1297" s="1127">
        <v>0.0</v>
      </c>
      <c r="K1297" s="1124"/>
    </row>
    <row r="1298" ht="15.75" customHeight="1">
      <c r="A1298" s="1119">
        <v>104096.0</v>
      </c>
      <c r="B1298" s="1125" t="s">
        <v>11576</v>
      </c>
      <c r="C1298" s="1126" t="s">
        <v>1470</v>
      </c>
      <c r="D1298" s="1119">
        <v>0.6</v>
      </c>
      <c r="E1298" s="1120">
        <v>0.0</v>
      </c>
      <c r="F1298" s="1121">
        <f t="shared" si="1"/>
        <v>0.6</v>
      </c>
      <c r="G1298" s="1120">
        <v>0.0</v>
      </c>
      <c r="H1298" s="1127">
        <v>0.0</v>
      </c>
      <c r="I1298" s="1127">
        <v>0.0</v>
      </c>
      <c r="J1298" s="1127">
        <v>0.6</v>
      </c>
      <c r="K1298" s="1124"/>
    </row>
    <row r="1299" ht="15.75" customHeight="1">
      <c r="A1299" s="1119">
        <v>104519.0</v>
      </c>
      <c r="B1299" s="1125" t="s">
        <v>11577</v>
      </c>
      <c r="C1299" s="1126" t="s">
        <v>1470</v>
      </c>
      <c r="D1299" s="1119">
        <v>0.4</v>
      </c>
      <c r="E1299" s="1120">
        <v>0.0</v>
      </c>
      <c r="F1299" s="1121">
        <f t="shared" si="1"/>
        <v>0.4</v>
      </c>
      <c r="G1299" s="1120">
        <v>0.0</v>
      </c>
      <c r="H1299" s="1127">
        <v>0.0</v>
      </c>
      <c r="I1299" s="1127">
        <v>0.0</v>
      </c>
      <c r="J1299" s="1127">
        <v>0.4</v>
      </c>
      <c r="K1299" s="1124"/>
    </row>
    <row r="1300" ht="15.75" customHeight="1">
      <c r="A1300" s="1119">
        <v>104655.0</v>
      </c>
      <c r="B1300" s="1125" t="s">
        <v>11578</v>
      </c>
      <c r="C1300" s="1126" t="s">
        <v>1470</v>
      </c>
      <c r="D1300" s="1119">
        <v>0.43</v>
      </c>
      <c r="E1300" s="1120">
        <v>0.0</v>
      </c>
      <c r="F1300" s="1121">
        <f t="shared" si="1"/>
        <v>0.43</v>
      </c>
      <c r="G1300" s="1120">
        <v>0.0</v>
      </c>
      <c r="H1300" s="1127">
        <v>0.0</v>
      </c>
      <c r="I1300" s="1127">
        <v>0.0</v>
      </c>
      <c r="J1300" s="1127">
        <v>0.43</v>
      </c>
      <c r="K1300" s="1124"/>
    </row>
    <row r="1301" ht="15.75" customHeight="1">
      <c r="A1301" s="1119">
        <v>104687.0</v>
      </c>
      <c r="B1301" s="1125" t="s">
        <v>11579</v>
      </c>
      <c r="C1301" s="1126" t="s">
        <v>1470</v>
      </c>
      <c r="D1301" s="1119">
        <v>341.79</v>
      </c>
      <c r="E1301" s="1120">
        <v>0.0</v>
      </c>
      <c r="F1301" s="1121">
        <f t="shared" si="1"/>
        <v>341.79</v>
      </c>
      <c r="G1301" s="1120">
        <v>341.79</v>
      </c>
      <c r="H1301" s="1127">
        <v>0.0</v>
      </c>
      <c r="I1301" s="1127">
        <v>0.0</v>
      </c>
      <c r="J1301" s="1127">
        <v>0.0</v>
      </c>
      <c r="K1301" s="1124"/>
    </row>
    <row r="1302" ht="15.75" customHeight="1">
      <c r="A1302" s="1119">
        <v>104694.0</v>
      </c>
      <c r="B1302" s="1125" t="s">
        <v>11580</v>
      </c>
      <c r="C1302" s="1126" t="s">
        <v>1470</v>
      </c>
      <c r="D1302" s="1119">
        <v>1.36</v>
      </c>
      <c r="E1302" s="1120">
        <v>0.0</v>
      </c>
      <c r="F1302" s="1121">
        <f t="shared" si="1"/>
        <v>1.36</v>
      </c>
      <c r="G1302" s="1120">
        <v>0.0</v>
      </c>
      <c r="H1302" s="1127">
        <v>0.0</v>
      </c>
      <c r="I1302" s="1127">
        <v>0.0</v>
      </c>
      <c r="J1302" s="1127">
        <v>1.36</v>
      </c>
      <c r="K1302" s="1124"/>
    </row>
    <row r="1303" ht="15.75" customHeight="1">
      <c r="A1303" s="1119">
        <v>104703.0</v>
      </c>
      <c r="B1303" s="1125" t="s">
        <v>11581</v>
      </c>
      <c r="C1303" s="1126" t="s">
        <v>1470</v>
      </c>
      <c r="D1303" s="1119">
        <v>70.34</v>
      </c>
      <c r="E1303" s="1120">
        <v>0.0</v>
      </c>
      <c r="F1303" s="1121">
        <f t="shared" si="1"/>
        <v>70.34</v>
      </c>
      <c r="G1303" s="1120">
        <v>70.34</v>
      </c>
      <c r="H1303" s="1127">
        <v>0.0</v>
      </c>
      <c r="I1303" s="1127">
        <v>0.0</v>
      </c>
      <c r="J1303" s="1127">
        <v>0.0</v>
      </c>
      <c r="K1303" s="1124"/>
    </row>
    <row r="1304" ht="15.75" customHeight="1">
      <c r="A1304" s="1119">
        <v>104709.0</v>
      </c>
      <c r="B1304" s="1125" t="s">
        <v>11582</v>
      </c>
      <c r="C1304" s="1126" t="s">
        <v>1470</v>
      </c>
      <c r="D1304" s="1119">
        <v>889.52</v>
      </c>
      <c r="E1304" s="1120">
        <v>0.0</v>
      </c>
      <c r="F1304" s="1121">
        <f t="shared" si="1"/>
        <v>889.52</v>
      </c>
      <c r="G1304" s="1120">
        <v>889.52</v>
      </c>
      <c r="H1304" s="1127">
        <v>0.0</v>
      </c>
      <c r="I1304" s="1127">
        <v>0.0</v>
      </c>
      <c r="J1304" s="1127">
        <v>0.0</v>
      </c>
      <c r="K1304" s="1124"/>
    </row>
    <row r="1305" ht="15.75" customHeight="1">
      <c r="A1305" s="1119">
        <v>104715.0</v>
      </c>
      <c r="B1305" s="1125" t="s">
        <v>11583</v>
      </c>
      <c r="C1305" s="1126" t="s">
        <v>1470</v>
      </c>
      <c r="D1305" s="1119">
        <v>68.38</v>
      </c>
      <c r="E1305" s="1120">
        <v>0.0</v>
      </c>
      <c r="F1305" s="1121">
        <f t="shared" si="1"/>
        <v>68.38</v>
      </c>
      <c r="G1305" s="1120">
        <v>68.38</v>
      </c>
      <c r="H1305" s="1127">
        <v>0.0</v>
      </c>
      <c r="I1305" s="1127">
        <v>0.0</v>
      </c>
      <c r="J1305" s="1127">
        <v>0.0</v>
      </c>
      <c r="K1305" s="1124"/>
    </row>
    <row r="1306" ht="15.75" customHeight="1">
      <c r="A1306" s="1119">
        <v>92259.0</v>
      </c>
      <c r="B1306" s="1125" t="s">
        <v>11584</v>
      </c>
      <c r="C1306" s="1126" t="s">
        <v>1788</v>
      </c>
      <c r="D1306" s="1119">
        <v>590.37</v>
      </c>
      <c r="E1306" s="1120">
        <v>126.86</v>
      </c>
      <c r="F1306" s="1121">
        <f t="shared" si="1"/>
        <v>463.52</v>
      </c>
      <c r="G1306" s="1120">
        <v>410.38</v>
      </c>
      <c r="H1306" s="1127">
        <v>52.2</v>
      </c>
      <c r="I1306" s="1127">
        <v>0.0</v>
      </c>
      <c r="J1306" s="1127">
        <v>0.94</v>
      </c>
      <c r="K1306" s="1124"/>
    </row>
    <row r="1307" ht="15.75" customHeight="1">
      <c r="A1307" s="1119">
        <v>92260.0</v>
      </c>
      <c r="B1307" s="1125" t="s">
        <v>11585</v>
      </c>
      <c r="C1307" s="1126" t="s">
        <v>1788</v>
      </c>
      <c r="D1307" s="1119">
        <v>666.79</v>
      </c>
      <c r="E1307" s="1120">
        <v>184.39</v>
      </c>
      <c r="F1307" s="1121">
        <f t="shared" si="1"/>
        <v>482.4</v>
      </c>
      <c r="G1307" s="1120">
        <v>429.26</v>
      </c>
      <c r="H1307" s="1127">
        <v>52.2</v>
      </c>
      <c r="I1307" s="1127">
        <v>0.0</v>
      </c>
      <c r="J1307" s="1127">
        <v>0.94</v>
      </c>
      <c r="K1307" s="1124"/>
    </row>
    <row r="1308" ht="15.75" customHeight="1">
      <c r="A1308" s="1119">
        <v>92261.0</v>
      </c>
      <c r="B1308" s="1125" t="s">
        <v>11586</v>
      </c>
      <c r="C1308" s="1126" t="s">
        <v>1788</v>
      </c>
      <c r="D1308" s="1119">
        <v>740.87</v>
      </c>
      <c r="E1308" s="1120">
        <v>240.14</v>
      </c>
      <c r="F1308" s="1121">
        <f t="shared" si="1"/>
        <v>500.74</v>
      </c>
      <c r="G1308" s="1120">
        <v>447.6</v>
      </c>
      <c r="H1308" s="1127">
        <v>52.2</v>
      </c>
      <c r="I1308" s="1127">
        <v>0.0</v>
      </c>
      <c r="J1308" s="1127">
        <v>0.94</v>
      </c>
      <c r="K1308" s="1124"/>
    </row>
    <row r="1309" ht="15.75" customHeight="1">
      <c r="A1309" s="1119">
        <v>92262.0</v>
      </c>
      <c r="B1309" s="1125" t="s">
        <v>11587</v>
      </c>
      <c r="C1309" s="1126" t="s">
        <v>1788</v>
      </c>
      <c r="D1309" s="1119">
        <v>860.17</v>
      </c>
      <c r="E1309" s="1120">
        <v>329.91</v>
      </c>
      <c r="F1309" s="1121">
        <f t="shared" si="1"/>
        <v>530.26</v>
      </c>
      <c r="G1309" s="1120">
        <v>477.12</v>
      </c>
      <c r="H1309" s="1127">
        <v>52.2</v>
      </c>
      <c r="I1309" s="1127">
        <v>0.0</v>
      </c>
      <c r="J1309" s="1127">
        <v>0.94</v>
      </c>
      <c r="K1309" s="1124"/>
    </row>
    <row r="1310" ht="15.75" customHeight="1">
      <c r="A1310" s="1119">
        <v>92539.0</v>
      </c>
      <c r="B1310" s="1125" t="s">
        <v>11588</v>
      </c>
      <c r="C1310" s="1126" t="s">
        <v>1814</v>
      </c>
      <c r="D1310" s="1119">
        <v>101.35</v>
      </c>
      <c r="E1310" s="1120">
        <v>18.98</v>
      </c>
      <c r="F1310" s="1121">
        <f t="shared" si="1"/>
        <v>82.38</v>
      </c>
      <c r="G1310" s="1120">
        <v>82.33</v>
      </c>
      <c r="H1310" s="1127">
        <v>0.03</v>
      </c>
      <c r="I1310" s="1127">
        <v>0.0</v>
      </c>
      <c r="J1310" s="1127">
        <v>0.02</v>
      </c>
      <c r="K1310" s="1124"/>
    </row>
    <row r="1311" ht="15.75" customHeight="1">
      <c r="A1311" s="1119">
        <v>92540.0</v>
      </c>
      <c r="B1311" s="1125" t="s">
        <v>11589</v>
      </c>
      <c r="C1311" s="1126" t="s">
        <v>1814</v>
      </c>
      <c r="D1311" s="1119">
        <v>112.84</v>
      </c>
      <c r="E1311" s="1120">
        <v>27.14</v>
      </c>
      <c r="F1311" s="1121">
        <f t="shared" si="1"/>
        <v>85.69</v>
      </c>
      <c r="G1311" s="1120">
        <v>85.64</v>
      </c>
      <c r="H1311" s="1127">
        <v>0.03</v>
      </c>
      <c r="I1311" s="1127">
        <v>0.0</v>
      </c>
      <c r="J1311" s="1127">
        <v>0.02</v>
      </c>
      <c r="K1311" s="1124"/>
    </row>
    <row r="1312" ht="15.75" customHeight="1">
      <c r="A1312" s="1119">
        <v>92541.0</v>
      </c>
      <c r="B1312" s="1125" t="s">
        <v>11590</v>
      </c>
      <c r="C1312" s="1126" t="s">
        <v>1814</v>
      </c>
      <c r="D1312" s="1119">
        <v>109.61</v>
      </c>
      <c r="E1312" s="1120">
        <v>19.59</v>
      </c>
      <c r="F1312" s="1121">
        <f t="shared" si="1"/>
        <v>90.04</v>
      </c>
      <c r="G1312" s="1120">
        <v>89.99</v>
      </c>
      <c r="H1312" s="1127">
        <v>0.03</v>
      </c>
      <c r="I1312" s="1127">
        <v>0.0</v>
      </c>
      <c r="J1312" s="1127">
        <v>0.02</v>
      </c>
      <c r="K1312" s="1124"/>
    </row>
    <row r="1313" ht="15.75" customHeight="1">
      <c r="A1313" s="1119">
        <v>92542.0</v>
      </c>
      <c r="B1313" s="1125" t="s">
        <v>11591</v>
      </c>
      <c r="C1313" s="1126" t="s">
        <v>1814</v>
      </c>
      <c r="D1313" s="1119">
        <v>132.55</v>
      </c>
      <c r="E1313" s="1120">
        <v>28.17</v>
      </c>
      <c r="F1313" s="1121">
        <f t="shared" si="1"/>
        <v>104.39</v>
      </c>
      <c r="G1313" s="1120">
        <v>104.34</v>
      </c>
      <c r="H1313" s="1127">
        <v>0.03</v>
      </c>
      <c r="I1313" s="1127">
        <v>0.0</v>
      </c>
      <c r="J1313" s="1127">
        <v>0.02</v>
      </c>
      <c r="K1313" s="1124"/>
    </row>
    <row r="1314" ht="15.75" customHeight="1">
      <c r="A1314" s="1119">
        <v>92543.0</v>
      </c>
      <c r="B1314" s="1125" t="s">
        <v>11592</v>
      </c>
      <c r="C1314" s="1126" t="s">
        <v>1814</v>
      </c>
      <c r="D1314" s="1119">
        <v>30.99</v>
      </c>
      <c r="E1314" s="1120">
        <v>4.33</v>
      </c>
      <c r="F1314" s="1121">
        <f t="shared" si="1"/>
        <v>26.66</v>
      </c>
      <c r="G1314" s="1120">
        <v>26.66</v>
      </c>
      <c r="H1314" s="1127">
        <v>0.0</v>
      </c>
      <c r="I1314" s="1127">
        <v>0.0</v>
      </c>
      <c r="J1314" s="1127">
        <v>0.0</v>
      </c>
      <c r="K1314" s="1124"/>
    </row>
    <row r="1315" ht="15.75" customHeight="1">
      <c r="A1315" s="1119">
        <v>92544.0</v>
      </c>
      <c r="B1315" s="1125" t="s">
        <v>11593</v>
      </c>
      <c r="C1315" s="1126" t="s">
        <v>1814</v>
      </c>
      <c r="D1315" s="1119">
        <v>24.7</v>
      </c>
      <c r="E1315" s="1120">
        <v>3.46</v>
      </c>
      <c r="F1315" s="1121">
        <f t="shared" si="1"/>
        <v>21.23</v>
      </c>
      <c r="G1315" s="1120">
        <v>21.23</v>
      </c>
      <c r="H1315" s="1127">
        <v>0.0</v>
      </c>
      <c r="I1315" s="1127">
        <v>0.0</v>
      </c>
      <c r="J1315" s="1127">
        <v>0.0</v>
      </c>
      <c r="K1315" s="1124"/>
    </row>
    <row r="1316" ht="15.75" customHeight="1">
      <c r="A1316" s="1119">
        <v>92545.0</v>
      </c>
      <c r="B1316" s="1125" t="s">
        <v>11594</v>
      </c>
      <c r="C1316" s="1126" t="s">
        <v>1788</v>
      </c>
      <c r="D1316" s="1128">
        <v>1283.76</v>
      </c>
      <c r="E1316" s="1120">
        <v>342.47</v>
      </c>
      <c r="F1316" s="1121">
        <f t="shared" si="1"/>
        <v>941.31</v>
      </c>
      <c r="G1316" s="1120">
        <v>888.17</v>
      </c>
      <c r="H1316" s="1127">
        <v>52.2</v>
      </c>
      <c r="I1316" s="1127">
        <v>0.0</v>
      </c>
      <c r="J1316" s="1127">
        <v>0.94</v>
      </c>
      <c r="K1316" s="1124"/>
    </row>
    <row r="1317" ht="15.75" customHeight="1">
      <c r="A1317" s="1119">
        <v>92546.0</v>
      </c>
      <c r="B1317" s="1125" t="s">
        <v>11595</v>
      </c>
      <c r="C1317" s="1126" t="s">
        <v>1788</v>
      </c>
      <c r="D1317" s="1128">
        <v>1582.54</v>
      </c>
      <c r="E1317" s="1120">
        <v>450.27</v>
      </c>
      <c r="F1317" s="1121">
        <f t="shared" si="1"/>
        <v>1132.28</v>
      </c>
      <c r="G1317" s="1120">
        <v>1079.15</v>
      </c>
      <c r="H1317" s="1127">
        <v>52.19</v>
      </c>
      <c r="I1317" s="1127">
        <v>0.0</v>
      </c>
      <c r="J1317" s="1127">
        <v>0.94</v>
      </c>
      <c r="K1317" s="1124"/>
    </row>
    <row r="1318" ht="15.75" customHeight="1">
      <c r="A1318" s="1119">
        <v>92547.0</v>
      </c>
      <c r="B1318" s="1125" t="s">
        <v>11596</v>
      </c>
      <c r="C1318" s="1126" t="s">
        <v>1788</v>
      </c>
      <c r="D1318" s="1128">
        <v>1679.49</v>
      </c>
      <c r="E1318" s="1120">
        <v>450.26</v>
      </c>
      <c r="F1318" s="1121">
        <f t="shared" si="1"/>
        <v>1229.24</v>
      </c>
      <c r="G1318" s="1120">
        <v>1176.11</v>
      </c>
      <c r="H1318" s="1127">
        <v>52.19</v>
      </c>
      <c r="I1318" s="1127">
        <v>0.0</v>
      </c>
      <c r="J1318" s="1127">
        <v>0.94</v>
      </c>
      <c r="K1318" s="1124"/>
    </row>
    <row r="1319" ht="15.75" customHeight="1">
      <c r="A1319" s="1119">
        <v>92548.0</v>
      </c>
      <c r="B1319" s="1125" t="s">
        <v>11597</v>
      </c>
      <c r="C1319" s="1126" t="s">
        <v>1788</v>
      </c>
      <c r="D1319" s="1128">
        <v>1872.32</v>
      </c>
      <c r="E1319" s="1120">
        <v>507.78</v>
      </c>
      <c r="F1319" s="1121">
        <f t="shared" si="1"/>
        <v>1364.54</v>
      </c>
      <c r="G1319" s="1120">
        <v>1311.41</v>
      </c>
      <c r="H1319" s="1127">
        <v>52.19</v>
      </c>
      <c r="I1319" s="1127">
        <v>0.0</v>
      </c>
      <c r="J1319" s="1127">
        <v>0.94</v>
      </c>
      <c r="K1319" s="1124"/>
    </row>
    <row r="1320" ht="15.75" customHeight="1">
      <c r="A1320" s="1119">
        <v>92549.0</v>
      </c>
      <c r="B1320" s="1125" t="s">
        <v>11598</v>
      </c>
      <c r="C1320" s="1126" t="s">
        <v>1788</v>
      </c>
      <c r="D1320" s="1128">
        <v>2338.67</v>
      </c>
      <c r="E1320" s="1120">
        <v>723.38</v>
      </c>
      <c r="F1320" s="1121">
        <f t="shared" si="1"/>
        <v>1615.29</v>
      </c>
      <c r="G1320" s="1120">
        <v>1562.16</v>
      </c>
      <c r="H1320" s="1127">
        <v>52.19</v>
      </c>
      <c r="I1320" s="1127">
        <v>0.0</v>
      </c>
      <c r="J1320" s="1127">
        <v>0.94</v>
      </c>
      <c r="K1320" s="1124"/>
    </row>
    <row r="1321" ht="15.75" customHeight="1">
      <c r="A1321" s="1119">
        <v>92550.0</v>
      </c>
      <c r="B1321" s="1125" t="s">
        <v>11599</v>
      </c>
      <c r="C1321" s="1126" t="s">
        <v>1788</v>
      </c>
      <c r="D1321" s="1128">
        <v>2820.33</v>
      </c>
      <c r="E1321" s="1120">
        <v>779.12</v>
      </c>
      <c r="F1321" s="1121">
        <f t="shared" si="1"/>
        <v>2041.23</v>
      </c>
      <c r="G1321" s="1120">
        <v>1988.1</v>
      </c>
      <c r="H1321" s="1127">
        <v>52.19</v>
      </c>
      <c r="I1321" s="1127">
        <v>0.0</v>
      </c>
      <c r="J1321" s="1127">
        <v>0.94</v>
      </c>
      <c r="K1321" s="1124"/>
    </row>
    <row r="1322" ht="15.75" customHeight="1">
      <c r="A1322" s="1119">
        <v>92551.0</v>
      </c>
      <c r="B1322" s="1125" t="s">
        <v>11600</v>
      </c>
      <c r="C1322" s="1126" t="s">
        <v>1788</v>
      </c>
      <c r="D1322" s="1128">
        <v>2945.5</v>
      </c>
      <c r="E1322" s="1120">
        <v>779.12</v>
      </c>
      <c r="F1322" s="1121">
        <f t="shared" si="1"/>
        <v>2166.4</v>
      </c>
      <c r="G1322" s="1120">
        <v>2113.27</v>
      </c>
      <c r="H1322" s="1127">
        <v>52.19</v>
      </c>
      <c r="I1322" s="1127">
        <v>0.0</v>
      </c>
      <c r="J1322" s="1127">
        <v>0.94</v>
      </c>
      <c r="K1322" s="1124"/>
    </row>
    <row r="1323" ht="15.75" customHeight="1">
      <c r="A1323" s="1119">
        <v>92552.0</v>
      </c>
      <c r="B1323" s="1125" t="s">
        <v>11601</v>
      </c>
      <c r="C1323" s="1126" t="s">
        <v>1788</v>
      </c>
      <c r="D1323" s="1128">
        <v>3209.44</v>
      </c>
      <c r="E1323" s="1120">
        <v>868.88</v>
      </c>
      <c r="F1323" s="1121">
        <f t="shared" si="1"/>
        <v>2340.56</v>
      </c>
      <c r="G1323" s="1120">
        <v>2287.43</v>
      </c>
      <c r="H1323" s="1127">
        <v>52.19</v>
      </c>
      <c r="I1323" s="1127">
        <v>0.0</v>
      </c>
      <c r="J1323" s="1127">
        <v>0.94</v>
      </c>
      <c r="K1323" s="1124"/>
    </row>
    <row r="1324" ht="15.75" customHeight="1">
      <c r="A1324" s="1119">
        <v>92553.0</v>
      </c>
      <c r="B1324" s="1125" t="s">
        <v>11602</v>
      </c>
      <c r="C1324" s="1126" t="s">
        <v>1788</v>
      </c>
      <c r="D1324" s="1128">
        <v>3686.17</v>
      </c>
      <c r="E1324" s="1120">
        <v>1084.48</v>
      </c>
      <c r="F1324" s="1121">
        <f t="shared" si="1"/>
        <v>2601.69</v>
      </c>
      <c r="G1324" s="1120">
        <v>2548.56</v>
      </c>
      <c r="H1324" s="1127">
        <v>52.19</v>
      </c>
      <c r="I1324" s="1127">
        <v>0.0</v>
      </c>
      <c r="J1324" s="1127">
        <v>0.94</v>
      </c>
      <c r="K1324" s="1124"/>
    </row>
    <row r="1325" ht="15.75" customHeight="1">
      <c r="A1325" s="1119">
        <v>92554.0</v>
      </c>
      <c r="B1325" s="1125" t="s">
        <v>11603</v>
      </c>
      <c r="C1325" s="1126" t="s">
        <v>1788</v>
      </c>
      <c r="D1325" s="1128">
        <v>3829.87</v>
      </c>
      <c r="E1325" s="1120">
        <v>1084.48</v>
      </c>
      <c r="F1325" s="1121">
        <f t="shared" si="1"/>
        <v>2745.39</v>
      </c>
      <c r="G1325" s="1120">
        <v>2692.26</v>
      </c>
      <c r="H1325" s="1127">
        <v>52.19</v>
      </c>
      <c r="I1325" s="1127">
        <v>0.0</v>
      </c>
      <c r="J1325" s="1127">
        <v>0.94</v>
      </c>
      <c r="K1325" s="1124"/>
    </row>
    <row r="1326" ht="15.75" customHeight="1">
      <c r="A1326" s="1119">
        <v>92555.0</v>
      </c>
      <c r="B1326" s="1125" t="s">
        <v>11604</v>
      </c>
      <c r="C1326" s="1126" t="s">
        <v>1788</v>
      </c>
      <c r="D1326" s="1128">
        <v>1264.3</v>
      </c>
      <c r="E1326" s="1120">
        <v>342.47</v>
      </c>
      <c r="F1326" s="1121">
        <f t="shared" si="1"/>
        <v>921.85</v>
      </c>
      <c r="G1326" s="1120">
        <v>868.71</v>
      </c>
      <c r="H1326" s="1127">
        <v>52.2</v>
      </c>
      <c r="I1326" s="1127">
        <v>0.0</v>
      </c>
      <c r="J1326" s="1127">
        <v>0.94</v>
      </c>
      <c r="K1326" s="1124"/>
    </row>
    <row r="1327" ht="15.75" customHeight="1">
      <c r="A1327" s="1119">
        <v>92556.0</v>
      </c>
      <c r="B1327" s="1125" t="s">
        <v>11605</v>
      </c>
      <c r="C1327" s="1126" t="s">
        <v>1788</v>
      </c>
      <c r="D1327" s="1128">
        <v>1548.44</v>
      </c>
      <c r="E1327" s="1120">
        <v>450.27</v>
      </c>
      <c r="F1327" s="1121">
        <f t="shared" si="1"/>
        <v>1098.18</v>
      </c>
      <c r="G1327" s="1120">
        <v>1045.05</v>
      </c>
      <c r="H1327" s="1127">
        <v>52.19</v>
      </c>
      <c r="I1327" s="1127">
        <v>0.0</v>
      </c>
      <c r="J1327" s="1127">
        <v>0.94</v>
      </c>
      <c r="K1327" s="1124"/>
    </row>
    <row r="1328" ht="15.75" customHeight="1">
      <c r="A1328" s="1119">
        <v>92557.0</v>
      </c>
      <c r="B1328" s="1125" t="s">
        <v>11606</v>
      </c>
      <c r="C1328" s="1126" t="s">
        <v>1788</v>
      </c>
      <c r="D1328" s="1128">
        <v>1645.39</v>
      </c>
      <c r="E1328" s="1120">
        <v>450.26</v>
      </c>
      <c r="F1328" s="1121">
        <f t="shared" si="1"/>
        <v>1195.13</v>
      </c>
      <c r="G1328" s="1120">
        <v>1142.0</v>
      </c>
      <c r="H1328" s="1127">
        <v>52.19</v>
      </c>
      <c r="I1328" s="1127">
        <v>0.0</v>
      </c>
      <c r="J1328" s="1127">
        <v>0.94</v>
      </c>
      <c r="K1328" s="1124"/>
    </row>
    <row r="1329" ht="15.75" customHeight="1">
      <c r="A1329" s="1119">
        <v>92558.0</v>
      </c>
      <c r="B1329" s="1125" t="s">
        <v>11607</v>
      </c>
      <c r="C1329" s="1126" t="s">
        <v>1788</v>
      </c>
      <c r="D1329" s="1128">
        <v>1852.86</v>
      </c>
      <c r="E1329" s="1120">
        <v>507.78</v>
      </c>
      <c r="F1329" s="1121">
        <f t="shared" si="1"/>
        <v>1345.08</v>
      </c>
      <c r="G1329" s="1120">
        <v>1291.95</v>
      </c>
      <c r="H1329" s="1127">
        <v>52.19</v>
      </c>
      <c r="I1329" s="1127">
        <v>0.0</v>
      </c>
      <c r="J1329" s="1127">
        <v>0.94</v>
      </c>
      <c r="K1329" s="1124"/>
    </row>
    <row r="1330" ht="15.75" customHeight="1">
      <c r="A1330" s="1119">
        <v>92559.0</v>
      </c>
      <c r="B1330" s="1125" t="s">
        <v>11608</v>
      </c>
      <c r="C1330" s="1126" t="s">
        <v>1788</v>
      </c>
      <c r="D1330" s="1128">
        <v>2302.44</v>
      </c>
      <c r="E1330" s="1120">
        <v>723.38</v>
      </c>
      <c r="F1330" s="1121">
        <f t="shared" si="1"/>
        <v>1579.06</v>
      </c>
      <c r="G1330" s="1120">
        <v>1525.93</v>
      </c>
      <c r="H1330" s="1127">
        <v>52.19</v>
      </c>
      <c r="I1330" s="1127">
        <v>0.0</v>
      </c>
      <c r="J1330" s="1127">
        <v>0.94</v>
      </c>
      <c r="K1330" s="1124"/>
    </row>
    <row r="1331" ht="15.75" customHeight="1">
      <c r="A1331" s="1119">
        <v>92560.0</v>
      </c>
      <c r="B1331" s="1125" t="s">
        <v>11609</v>
      </c>
      <c r="C1331" s="1126" t="s">
        <v>1788</v>
      </c>
      <c r="D1331" s="1128">
        <v>2770.98</v>
      </c>
      <c r="E1331" s="1120">
        <v>779.12</v>
      </c>
      <c r="F1331" s="1121">
        <f t="shared" si="1"/>
        <v>1991.87</v>
      </c>
      <c r="G1331" s="1120">
        <v>1938.74</v>
      </c>
      <c r="H1331" s="1127">
        <v>52.19</v>
      </c>
      <c r="I1331" s="1127">
        <v>0.0</v>
      </c>
      <c r="J1331" s="1127">
        <v>0.94</v>
      </c>
      <c r="K1331" s="1124"/>
    </row>
    <row r="1332" ht="15.75" customHeight="1">
      <c r="A1332" s="1119">
        <v>92561.0</v>
      </c>
      <c r="B1332" s="1125" t="s">
        <v>11610</v>
      </c>
      <c r="C1332" s="1126" t="s">
        <v>1788</v>
      </c>
      <c r="D1332" s="1128">
        <v>2897.5</v>
      </c>
      <c r="E1332" s="1120">
        <v>779.12</v>
      </c>
      <c r="F1332" s="1121">
        <f t="shared" si="1"/>
        <v>2118.4</v>
      </c>
      <c r="G1332" s="1120">
        <v>2065.27</v>
      </c>
      <c r="H1332" s="1127">
        <v>52.19</v>
      </c>
      <c r="I1332" s="1127">
        <v>0.0</v>
      </c>
      <c r="J1332" s="1127">
        <v>0.94</v>
      </c>
      <c r="K1332" s="1124"/>
    </row>
    <row r="1333" ht="15.75" customHeight="1">
      <c r="A1333" s="1119">
        <v>92562.0</v>
      </c>
      <c r="B1333" s="1125" t="s">
        <v>11611</v>
      </c>
      <c r="C1333" s="1126" t="s">
        <v>1788</v>
      </c>
      <c r="D1333" s="1128">
        <v>3127.34</v>
      </c>
      <c r="E1333" s="1120">
        <v>868.88</v>
      </c>
      <c r="F1333" s="1121">
        <f t="shared" si="1"/>
        <v>2258.46</v>
      </c>
      <c r="G1333" s="1120">
        <v>2205.33</v>
      </c>
      <c r="H1333" s="1127">
        <v>52.19</v>
      </c>
      <c r="I1333" s="1127">
        <v>0.0</v>
      </c>
      <c r="J1333" s="1127">
        <v>0.94</v>
      </c>
      <c r="K1333" s="1124"/>
    </row>
    <row r="1334" ht="15.75" customHeight="1">
      <c r="A1334" s="1119">
        <v>92563.0</v>
      </c>
      <c r="B1334" s="1125" t="s">
        <v>11612</v>
      </c>
      <c r="C1334" s="1126" t="s">
        <v>1788</v>
      </c>
      <c r="D1334" s="1128">
        <v>3590.17</v>
      </c>
      <c r="E1334" s="1120">
        <v>1084.48</v>
      </c>
      <c r="F1334" s="1121">
        <f t="shared" si="1"/>
        <v>2505.69</v>
      </c>
      <c r="G1334" s="1120">
        <v>2452.56</v>
      </c>
      <c r="H1334" s="1127">
        <v>52.19</v>
      </c>
      <c r="I1334" s="1127">
        <v>0.0</v>
      </c>
      <c r="J1334" s="1127">
        <v>0.94</v>
      </c>
      <c r="K1334" s="1124"/>
    </row>
    <row r="1335" ht="15.75" customHeight="1">
      <c r="A1335" s="1119">
        <v>92564.0</v>
      </c>
      <c r="B1335" s="1125" t="s">
        <v>11613</v>
      </c>
      <c r="C1335" s="1126" t="s">
        <v>1788</v>
      </c>
      <c r="D1335" s="1128">
        <v>3712.28</v>
      </c>
      <c r="E1335" s="1120">
        <v>1084.48</v>
      </c>
      <c r="F1335" s="1121">
        <f t="shared" si="1"/>
        <v>2627.8</v>
      </c>
      <c r="G1335" s="1120">
        <v>2574.67</v>
      </c>
      <c r="H1335" s="1127">
        <v>52.19</v>
      </c>
      <c r="I1335" s="1127">
        <v>0.0</v>
      </c>
      <c r="J1335" s="1127">
        <v>0.94</v>
      </c>
      <c r="K1335" s="1124"/>
    </row>
    <row r="1336" ht="15.75" customHeight="1">
      <c r="A1336" s="1119">
        <v>100379.0</v>
      </c>
      <c r="B1336" s="1125" t="s">
        <v>11614</v>
      </c>
      <c r="C1336" s="1126" t="s">
        <v>1814</v>
      </c>
      <c r="D1336" s="1119">
        <v>47.91</v>
      </c>
      <c r="E1336" s="1120">
        <v>12.1</v>
      </c>
      <c r="F1336" s="1121">
        <f t="shared" si="1"/>
        <v>35.8</v>
      </c>
      <c r="G1336" s="1120">
        <v>35.8</v>
      </c>
      <c r="H1336" s="1127">
        <v>0.0</v>
      </c>
      <c r="I1336" s="1127">
        <v>0.0</v>
      </c>
      <c r="J1336" s="1127">
        <v>0.0</v>
      </c>
      <c r="K1336" s="1124"/>
    </row>
    <row r="1337" ht="15.75" customHeight="1">
      <c r="A1337" s="1119">
        <v>100380.0</v>
      </c>
      <c r="B1337" s="1125" t="s">
        <v>11615</v>
      </c>
      <c r="C1337" s="1126" t="s">
        <v>1814</v>
      </c>
      <c r="D1337" s="1119">
        <v>63.41</v>
      </c>
      <c r="E1337" s="1120">
        <v>19.42</v>
      </c>
      <c r="F1337" s="1121">
        <f t="shared" si="1"/>
        <v>43.99</v>
      </c>
      <c r="G1337" s="1120">
        <v>43.58</v>
      </c>
      <c r="H1337" s="1127">
        <v>0.39</v>
      </c>
      <c r="I1337" s="1127">
        <v>0.0</v>
      </c>
      <c r="J1337" s="1127">
        <v>0.02</v>
      </c>
      <c r="K1337" s="1124"/>
    </row>
    <row r="1338" ht="15.75" customHeight="1">
      <c r="A1338" s="1119">
        <v>100381.0</v>
      </c>
      <c r="B1338" s="1125" t="s">
        <v>11616</v>
      </c>
      <c r="C1338" s="1126" t="s">
        <v>1814</v>
      </c>
      <c r="D1338" s="1119">
        <v>70.88</v>
      </c>
      <c r="E1338" s="1120">
        <v>24.04</v>
      </c>
      <c r="F1338" s="1121">
        <f t="shared" si="1"/>
        <v>46.84</v>
      </c>
      <c r="G1338" s="1120">
        <v>46.84</v>
      </c>
      <c r="H1338" s="1127">
        <v>0.0</v>
      </c>
      <c r="I1338" s="1127">
        <v>0.0</v>
      </c>
      <c r="J1338" s="1127">
        <v>0.0</v>
      </c>
      <c r="K1338" s="1124"/>
    </row>
    <row r="1339" ht="15.75" customHeight="1">
      <c r="A1339" s="1119">
        <v>100383.0</v>
      </c>
      <c r="B1339" s="1125" t="s">
        <v>11617</v>
      </c>
      <c r="C1339" s="1126" t="s">
        <v>1814</v>
      </c>
      <c r="D1339" s="1119">
        <v>33.15</v>
      </c>
      <c r="E1339" s="1120">
        <v>5.42</v>
      </c>
      <c r="F1339" s="1121">
        <f t="shared" si="1"/>
        <v>27.73</v>
      </c>
      <c r="G1339" s="1120">
        <v>27.39</v>
      </c>
      <c r="H1339" s="1127">
        <v>0.33</v>
      </c>
      <c r="I1339" s="1127">
        <v>0.0</v>
      </c>
      <c r="J1339" s="1127">
        <v>0.01</v>
      </c>
      <c r="K1339" s="1124"/>
    </row>
    <row r="1340" ht="15.75" customHeight="1">
      <c r="A1340" s="1119">
        <v>100384.0</v>
      </c>
      <c r="B1340" s="1125" t="s">
        <v>11618</v>
      </c>
      <c r="C1340" s="1126" t="s">
        <v>1814</v>
      </c>
      <c r="D1340" s="1119">
        <v>34.64</v>
      </c>
      <c r="E1340" s="1120">
        <v>6.65</v>
      </c>
      <c r="F1340" s="1121">
        <f t="shared" si="1"/>
        <v>27.99</v>
      </c>
      <c r="G1340" s="1120">
        <v>27.99</v>
      </c>
      <c r="H1340" s="1127">
        <v>0.0</v>
      </c>
      <c r="I1340" s="1127">
        <v>0.0</v>
      </c>
      <c r="J1340" s="1127">
        <v>0.0</v>
      </c>
      <c r="K1340" s="1124"/>
    </row>
    <row r="1341" ht="15.75" customHeight="1">
      <c r="A1341" s="1119">
        <v>100385.0</v>
      </c>
      <c r="B1341" s="1125" t="s">
        <v>11619</v>
      </c>
      <c r="C1341" s="1126" t="s">
        <v>1814</v>
      </c>
      <c r="D1341" s="1119">
        <v>43.1</v>
      </c>
      <c r="E1341" s="1120">
        <v>9.01</v>
      </c>
      <c r="F1341" s="1121">
        <f t="shared" si="1"/>
        <v>34.09</v>
      </c>
      <c r="G1341" s="1120">
        <v>34.09</v>
      </c>
      <c r="H1341" s="1127">
        <v>0.0</v>
      </c>
      <c r="I1341" s="1127">
        <v>0.0</v>
      </c>
      <c r="J1341" s="1127">
        <v>0.0</v>
      </c>
      <c r="K1341" s="1124"/>
    </row>
    <row r="1342" ht="15.75" customHeight="1">
      <c r="A1342" s="1119">
        <v>100386.0</v>
      </c>
      <c r="B1342" s="1125" t="s">
        <v>11620</v>
      </c>
      <c r="C1342" s="1126" t="s">
        <v>1814</v>
      </c>
      <c r="D1342" s="1119">
        <v>55.56</v>
      </c>
      <c r="E1342" s="1120">
        <v>13.83</v>
      </c>
      <c r="F1342" s="1121">
        <f t="shared" si="1"/>
        <v>41.71</v>
      </c>
      <c r="G1342" s="1120">
        <v>41.22</v>
      </c>
      <c r="H1342" s="1127">
        <v>0.47</v>
      </c>
      <c r="I1342" s="1127">
        <v>0.0</v>
      </c>
      <c r="J1342" s="1127">
        <v>0.02</v>
      </c>
      <c r="K1342" s="1124"/>
    </row>
    <row r="1343" ht="15.75" customHeight="1">
      <c r="A1343" s="1119">
        <v>100387.0</v>
      </c>
      <c r="B1343" s="1125" t="s">
        <v>11621</v>
      </c>
      <c r="C1343" s="1126" t="s">
        <v>1814</v>
      </c>
      <c r="D1343" s="1119">
        <v>68.29</v>
      </c>
      <c r="E1343" s="1120">
        <v>17.41</v>
      </c>
      <c r="F1343" s="1121">
        <f t="shared" si="1"/>
        <v>50.89</v>
      </c>
      <c r="G1343" s="1120">
        <v>50.89</v>
      </c>
      <c r="H1343" s="1127">
        <v>0.0</v>
      </c>
      <c r="I1343" s="1127">
        <v>0.0</v>
      </c>
      <c r="J1343" s="1127">
        <v>0.0</v>
      </c>
      <c r="K1343" s="1124"/>
    </row>
    <row r="1344" ht="15.75" customHeight="1">
      <c r="A1344" s="1119">
        <v>100388.0</v>
      </c>
      <c r="B1344" s="1125" t="s">
        <v>11622</v>
      </c>
      <c r="C1344" s="1126" t="s">
        <v>1814</v>
      </c>
      <c r="D1344" s="1119">
        <v>24.59</v>
      </c>
      <c r="E1344" s="1120">
        <v>9.2</v>
      </c>
      <c r="F1344" s="1121">
        <f t="shared" si="1"/>
        <v>15.39</v>
      </c>
      <c r="G1344" s="1120">
        <v>15.38</v>
      </c>
      <c r="H1344" s="1127">
        <v>0.0</v>
      </c>
      <c r="I1344" s="1127">
        <v>0.0</v>
      </c>
      <c r="J1344" s="1127">
        <v>0.01</v>
      </c>
      <c r="K1344" s="1124"/>
    </row>
    <row r="1345" ht="15.75" customHeight="1">
      <c r="A1345" s="1119">
        <v>100389.0</v>
      </c>
      <c r="B1345" s="1125" t="s">
        <v>11623</v>
      </c>
      <c r="C1345" s="1126" t="s">
        <v>1814</v>
      </c>
      <c r="D1345" s="1119">
        <v>21.4</v>
      </c>
      <c r="E1345" s="1120">
        <v>9.97</v>
      </c>
      <c r="F1345" s="1121">
        <f t="shared" si="1"/>
        <v>11.45</v>
      </c>
      <c r="G1345" s="1120">
        <v>11.44</v>
      </c>
      <c r="H1345" s="1127">
        <v>0.0</v>
      </c>
      <c r="I1345" s="1127">
        <v>0.0</v>
      </c>
      <c r="J1345" s="1127">
        <v>0.01</v>
      </c>
      <c r="K1345" s="1124"/>
    </row>
    <row r="1346" ht="15.75" customHeight="1">
      <c r="A1346" s="1119">
        <v>100390.0</v>
      </c>
      <c r="B1346" s="1125" t="s">
        <v>11624</v>
      </c>
      <c r="C1346" s="1126" t="s">
        <v>1814</v>
      </c>
      <c r="D1346" s="1119">
        <v>29.1</v>
      </c>
      <c r="E1346" s="1120">
        <v>12.55</v>
      </c>
      <c r="F1346" s="1121">
        <f t="shared" si="1"/>
        <v>16.57</v>
      </c>
      <c r="G1346" s="1120">
        <v>16.55</v>
      </c>
      <c r="H1346" s="1127">
        <v>0.01</v>
      </c>
      <c r="I1346" s="1127">
        <v>0.0</v>
      </c>
      <c r="J1346" s="1127">
        <v>0.01</v>
      </c>
      <c r="K1346" s="1124"/>
    </row>
    <row r="1347" ht="15.75" customHeight="1">
      <c r="A1347" s="1119">
        <v>100391.0</v>
      </c>
      <c r="B1347" s="1125" t="s">
        <v>11625</v>
      </c>
      <c r="C1347" s="1126" t="s">
        <v>1814</v>
      </c>
      <c r="D1347" s="1119">
        <v>24.4</v>
      </c>
      <c r="E1347" s="1120">
        <v>12.15</v>
      </c>
      <c r="F1347" s="1121">
        <f t="shared" si="1"/>
        <v>12.25</v>
      </c>
      <c r="G1347" s="1120">
        <v>12.25</v>
      </c>
      <c r="H1347" s="1127">
        <v>0.0</v>
      </c>
      <c r="I1347" s="1127">
        <v>0.0</v>
      </c>
      <c r="J1347" s="1127">
        <v>0.0</v>
      </c>
      <c r="K1347" s="1124"/>
    </row>
    <row r="1348" ht="15.75" customHeight="1">
      <c r="A1348" s="1119">
        <v>100392.0</v>
      </c>
      <c r="B1348" s="1125" t="s">
        <v>11626</v>
      </c>
      <c r="C1348" s="1126" t="s">
        <v>1814</v>
      </c>
      <c r="D1348" s="1119">
        <v>19.32</v>
      </c>
      <c r="E1348" s="1120">
        <v>7.18</v>
      </c>
      <c r="F1348" s="1121">
        <f t="shared" si="1"/>
        <v>12.15</v>
      </c>
      <c r="G1348" s="1120">
        <v>12.15</v>
      </c>
      <c r="H1348" s="1127">
        <v>0.0</v>
      </c>
      <c r="I1348" s="1127">
        <v>0.0</v>
      </c>
      <c r="J1348" s="1127">
        <v>0.0</v>
      </c>
      <c r="K1348" s="1124"/>
    </row>
    <row r="1349" ht="15.75" customHeight="1">
      <c r="A1349" s="1119">
        <v>100393.0</v>
      </c>
      <c r="B1349" s="1125" t="s">
        <v>11627</v>
      </c>
      <c r="C1349" s="1126" t="s">
        <v>1814</v>
      </c>
      <c r="D1349" s="1119">
        <v>24.62</v>
      </c>
      <c r="E1349" s="1120">
        <v>11.29</v>
      </c>
      <c r="F1349" s="1121">
        <f t="shared" si="1"/>
        <v>13.32</v>
      </c>
      <c r="G1349" s="1120">
        <v>13.32</v>
      </c>
      <c r="H1349" s="1127">
        <v>0.0</v>
      </c>
      <c r="I1349" s="1127">
        <v>0.0</v>
      </c>
      <c r="J1349" s="1127">
        <v>0.0</v>
      </c>
      <c r="K1349" s="1124"/>
    </row>
    <row r="1350" ht="15.75" customHeight="1">
      <c r="A1350" s="1119">
        <v>100394.0</v>
      </c>
      <c r="B1350" s="1125" t="s">
        <v>11628</v>
      </c>
      <c r="C1350" s="1126" t="s">
        <v>1814</v>
      </c>
      <c r="D1350" s="1119">
        <v>22.86</v>
      </c>
      <c r="E1350" s="1120">
        <v>9.82</v>
      </c>
      <c r="F1350" s="1121">
        <f t="shared" si="1"/>
        <v>13.06</v>
      </c>
      <c r="G1350" s="1120">
        <v>13.06</v>
      </c>
      <c r="H1350" s="1127">
        <v>0.0</v>
      </c>
      <c r="I1350" s="1127">
        <v>0.0</v>
      </c>
      <c r="J1350" s="1127">
        <v>0.0</v>
      </c>
      <c r="K1350" s="1124"/>
    </row>
    <row r="1351" ht="15.75" customHeight="1">
      <c r="A1351" s="1119">
        <v>100395.0</v>
      </c>
      <c r="B1351" s="1125" t="s">
        <v>11629</v>
      </c>
      <c r="C1351" s="1126" t="s">
        <v>1814</v>
      </c>
      <c r="D1351" s="1119">
        <v>29.14</v>
      </c>
      <c r="E1351" s="1120">
        <v>14.64</v>
      </c>
      <c r="F1351" s="1121">
        <f t="shared" si="1"/>
        <v>14.52</v>
      </c>
      <c r="G1351" s="1120">
        <v>14.52</v>
      </c>
      <c r="H1351" s="1127">
        <v>0.0</v>
      </c>
      <c r="I1351" s="1127">
        <v>0.0</v>
      </c>
      <c r="J1351" s="1127">
        <v>0.0</v>
      </c>
      <c r="K1351" s="1124"/>
    </row>
    <row r="1352" ht="15.75" customHeight="1">
      <c r="A1352" s="1119">
        <v>94189.0</v>
      </c>
      <c r="B1352" s="1125" t="s">
        <v>11630</v>
      </c>
      <c r="C1352" s="1126" t="s">
        <v>1814</v>
      </c>
      <c r="D1352" s="1119">
        <v>35.33</v>
      </c>
      <c r="E1352" s="1120">
        <v>4.5</v>
      </c>
      <c r="F1352" s="1121">
        <f t="shared" si="1"/>
        <v>30.84</v>
      </c>
      <c r="G1352" s="1120">
        <v>30.84</v>
      </c>
      <c r="H1352" s="1127">
        <v>0.0</v>
      </c>
      <c r="I1352" s="1127">
        <v>0.0</v>
      </c>
      <c r="J1352" s="1127">
        <v>0.0</v>
      </c>
      <c r="K1352" s="1124"/>
    </row>
    <row r="1353" ht="15.75" customHeight="1">
      <c r="A1353" s="1119">
        <v>94192.0</v>
      </c>
      <c r="B1353" s="1125" t="s">
        <v>11631</v>
      </c>
      <c r="C1353" s="1126" t="s">
        <v>1814</v>
      </c>
      <c r="D1353" s="1119">
        <v>38.4</v>
      </c>
      <c r="E1353" s="1120">
        <v>6.74</v>
      </c>
      <c r="F1353" s="1121">
        <f t="shared" si="1"/>
        <v>31.66</v>
      </c>
      <c r="G1353" s="1120">
        <v>31.66</v>
      </c>
      <c r="H1353" s="1127">
        <v>0.0</v>
      </c>
      <c r="I1353" s="1127">
        <v>0.0</v>
      </c>
      <c r="J1353" s="1127">
        <v>0.0</v>
      </c>
      <c r="K1353" s="1124"/>
    </row>
    <row r="1354" ht="15.75" customHeight="1">
      <c r="A1354" s="1119">
        <v>94195.0</v>
      </c>
      <c r="B1354" s="1125" t="s">
        <v>11632</v>
      </c>
      <c r="C1354" s="1126" t="s">
        <v>1814</v>
      </c>
      <c r="D1354" s="1119">
        <v>38.73</v>
      </c>
      <c r="E1354" s="1120">
        <v>7.7</v>
      </c>
      <c r="F1354" s="1121">
        <f t="shared" si="1"/>
        <v>31.03</v>
      </c>
      <c r="G1354" s="1120">
        <v>31.02</v>
      </c>
      <c r="H1354" s="1127">
        <v>0.0</v>
      </c>
      <c r="I1354" s="1127">
        <v>0.0</v>
      </c>
      <c r="J1354" s="1127">
        <v>0.01</v>
      </c>
      <c r="K1354" s="1124"/>
    </row>
    <row r="1355" ht="15.75" customHeight="1">
      <c r="A1355" s="1119">
        <v>94198.0</v>
      </c>
      <c r="B1355" s="1125" t="s">
        <v>11633</v>
      </c>
      <c r="C1355" s="1126" t="s">
        <v>1814</v>
      </c>
      <c r="D1355" s="1119">
        <v>42.8</v>
      </c>
      <c r="E1355" s="1120">
        <v>10.67</v>
      </c>
      <c r="F1355" s="1121">
        <f t="shared" si="1"/>
        <v>32.12</v>
      </c>
      <c r="G1355" s="1120">
        <v>32.11</v>
      </c>
      <c r="H1355" s="1127">
        <v>0.0</v>
      </c>
      <c r="I1355" s="1127">
        <v>0.0</v>
      </c>
      <c r="J1355" s="1127">
        <v>0.01</v>
      </c>
      <c r="K1355" s="1124"/>
    </row>
    <row r="1356" ht="15.75" customHeight="1">
      <c r="A1356" s="1119">
        <v>94201.0</v>
      </c>
      <c r="B1356" s="1125" t="s">
        <v>11634</v>
      </c>
      <c r="C1356" s="1126" t="s">
        <v>1814</v>
      </c>
      <c r="D1356" s="1119">
        <v>55.35</v>
      </c>
      <c r="E1356" s="1120">
        <v>12.21</v>
      </c>
      <c r="F1356" s="1121">
        <f t="shared" si="1"/>
        <v>43.14</v>
      </c>
      <c r="G1356" s="1120">
        <v>43.1</v>
      </c>
      <c r="H1356" s="1127">
        <v>0.03</v>
      </c>
      <c r="I1356" s="1127">
        <v>0.0</v>
      </c>
      <c r="J1356" s="1127">
        <v>0.01</v>
      </c>
      <c r="K1356" s="1124"/>
    </row>
    <row r="1357" ht="15.75" customHeight="1">
      <c r="A1357" s="1119">
        <v>94204.0</v>
      </c>
      <c r="B1357" s="1125" t="s">
        <v>11635</v>
      </c>
      <c r="C1357" s="1126" t="s">
        <v>1814</v>
      </c>
      <c r="D1357" s="1119">
        <v>62.25</v>
      </c>
      <c r="E1357" s="1120">
        <v>17.26</v>
      </c>
      <c r="F1357" s="1121">
        <f t="shared" si="1"/>
        <v>45</v>
      </c>
      <c r="G1357" s="1120">
        <v>44.96</v>
      </c>
      <c r="H1357" s="1127">
        <v>0.03</v>
      </c>
      <c r="I1357" s="1127">
        <v>0.0</v>
      </c>
      <c r="J1357" s="1127">
        <v>0.01</v>
      </c>
      <c r="K1357" s="1124"/>
    </row>
    <row r="1358" ht="15.75" customHeight="1">
      <c r="A1358" s="1119">
        <v>94224.0</v>
      </c>
      <c r="B1358" s="1125" t="s">
        <v>11636</v>
      </c>
      <c r="C1358" s="1126" t="s">
        <v>1731</v>
      </c>
      <c r="D1358" s="1119">
        <v>29.43</v>
      </c>
      <c r="E1358" s="1120">
        <v>18.88</v>
      </c>
      <c r="F1358" s="1121">
        <f t="shared" si="1"/>
        <v>10.56</v>
      </c>
      <c r="G1358" s="1120">
        <v>10.52</v>
      </c>
      <c r="H1358" s="1127">
        <v>0.02</v>
      </c>
      <c r="I1358" s="1127">
        <v>0.0</v>
      </c>
      <c r="J1358" s="1127">
        <v>0.02</v>
      </c>
      <c r="K1358" s="1124"/>
    </row>
    <row r="1359" ht="15.75" customHeight="1">
      <c r="A1359" s="1119">
        <v>94226.0</v>
      </c>
      <c r="B1359" s="1125" t="s">
        <v>11637</v>
      </c>
      <c r="C1359" s="1126" t="s">
        <v>1814</v>
      </c>
      <c r="D1359" s="1119">
        <v>19.8</v>
      </c>
      <c r="E1359" s="1120">
        <v>7.63</v>
      </c>
      <c r="F1359" s="1121">
        <f t="shared" si="1"/>
        <v>12.17</v>
      </c>
      <c r="G1359" s="1120">
        <v>12.17</v>
      </c>
      <c r="H1359" s="1127">
        <v>0.0</v>
      </c>
      <c r="I1359" s="1127">
        <v>0.0</v>
      </c>
      <c r="J1359" s="1127">
        <v>0.0</v>
      </c>
      <c r="K1359" s="1124"/>
    </row>
    <row r="1360" ht="15.75" customHeight="1">
      <c r="A1360" s="1119">
        <v>94232.0</v>
      </c>
      <c r="B1360" s="1125" t="s">
        <v>11638</v>
      </c>
      <c r="C1360" s="1126" t="s">
        <v>1788</v>
      </c>
      <c r="D1360" s="1119">
        <v>3.42</v>
      </c>
      <c r="E1360" s="1120">
        <v>2.5</v>
      </c>
      <c r="F1360" s="1121">
        <f t="shared" si="1"/>
        <v>0.92</v>
      </c>
      <c r="G1360" s="1120">
        <v>0.92</v>
      </c>
      <c r="H1360" s="1127">
        <v>0.0</v>
      </c>
      <c r="I1360" s="1127">
        <v>0.0</v>
      </c>
      <c r="J1360" s="1127">
        <v>0.0</v>
      </c>
      <c r="K1360" s="1124"/>
    </row>
    <row r="1361" ht="15.75" customHeight="1">
      <c r="A1361" s="1119">
        <v>94440.0</v>
      </c>
      <c r="B1361" s="1125" t="s">
        <v>11639</v>
      </c>
      <c r="C1361" s="1126" t="s">
        <v>1814</v>
      </c>
      <c r="D1361" s="1119">
        <v>38.73</v>
      </c>
      <c r="E1361" s="1120">
        <v>7.7</v>
      </c>
      <c r="F1361" s="1121">
        <f t="shared" si="1"/>
        <v>31.03</v>
      </c>
      <c r="G1361" s="1120">
        <v>31.02</v>
      </c>
      <c r="H1361" s="1127">
        <v>0.0</v>
      </c>
      <c r="I1361" s="1127">
        <v>0.0</v>
      </c>
      <c r="J1361" s="1127">
        <v>0.01</v>
      </c>
      <c r="K1361" s="1124"/>
    </row>
    <row r="1362" ht="15.75" customHeight="1">
      <c r="A1362" s="1119">
        <v>94441.0</v>
      </c>
      <c r="B1362" s="1125" t="s">
        <v>11640</v>
      </c>
      <c r="C1362" s="1126" t="s">
        <v>1814</v>
      </c>
      <c r="D1362" s="1119">
        <v>42.8</v>
      </c>
      <c r="E1362" s="1120">
        <v>10.67</v>
      </c>
      <c r="F1362" s="1121">
        <f t="shared" si="1"/>
        <v>32.12</v>
      </c>
      <c r="G1362" s="1120">
        <v>32.11</v>
      </c>
      <c r="H1362" s="1127">
        <v>0.0</v>
      </c>
      <c r="I1362" s="1127">
        <v>0.0</v>
      </c>
      <c r="J1362" s="1127">
        <v>0.01</v>
      </c>
      <c r="K1362" s="1124"/>
    </row>
    <row r="1363" ht="15.75" customHeight="1">
      <c r="A1363" s="1119">
        <v>94442.0</v>
      </c>
      <c r="B1363" s="1125" t="s">
        <v>11641</v>
      </c>
      <c r="C1363" s="1126" t="s">
        <v>1814</v>
      </c>
      <c r="D1363" s="1119">
        <v>38.73</v>
      </c>
      <c r="E1363" s="1120">
        <v>7.7</v>
      </c>
      <c r="F1363" s="1121">
        <f t="shared" si="1"/>
        <v>31.03</v>
      </c>
      <c r="G1363" s="1120">
        <v>31.02</v>
      </c>
      <c r="H1363" s="1127">
        <v>0.0</v>
      </c>
      <c r="I1363" s="1127">
        <v>0.0</v>
      </c>
      <c r="J1363" s="1127">
        <v>0.01</v>
      </c>
      <c r="K1363" s="1124"/>
    </row>
    <row r="1364" ht="15.75" customHeight="1">
      <c r="A1364" s="1119">
        <v>94443.0</v>
      </c>
      <c r="B1364" s="1125" t="s">
        <v>11642</v>
      </c>
      <c r="C1364" s="1126" t="s">
        <v>1814</v>
      </c>
      <c r="D1364" s="1119">
        <v>42.8</v>
      </c>
      <c r="E1364" s="1120">
        <v>10.67</v>
      </c>
      <c r="F1364" s="1121">
        <f t="shared" si="1"/>
        <v>32.12</v>
      </c>
      <c r="G1364" s="1120">
        <v>32.11</v>
      </c>
      <c r="H1364" s="1127">
        <v>0.0</v>
      </c>
      <c r="I1364" s="1127">
        <v>0.0</v>
      </c>
      <c r="J1364" s="1127">
        <v>0.01</v>
      </c>
      <c r="K1364" s="1124"/>
    </row>
    <row r="1365" ht="15.75" customHeight="1">
      <c r="A1365" s="1119">
        <v>94445.0</v>
      </c>
      <c r="B1365" s="1125" t="s">
        <v>11643</v>
      </c>
      <c r="C1365" s="1126" t="s">
        <v>1814</v>
      </c>
      <c r="D1365" s="1119">
        <v>55.35</v>
      </c>
      <c r="E1365" s="1120">
        <v>12.21</v>
      </c>
      <c r="F1365" s="1121">
        <f t="shared" si="1"/>
        <v>43.14</v>
      </c>
      <c r="G1365" s="1120">
        <v>43.1</v>
      </c>
      <c r="H1365" s="1127">
        <v>0.03</v>
      </c>
      <c r="I1365" s="1127">
        <v>0.0</v>
      </c>
      <c r="J1365" s="1127">
        <v>0.01</v>
      </c>
      <c r="K1365" s="1124"/>
    </row>
    <row r="1366" ht="15.75" customHeight="1">
      <c r="A1366" s="1119">
        <v>94446.0</v>
      </c>
      <c r="B1366" s="1125" t="s">
        <v>11644</v>
      </c>
      <c r="C1366" s="1126" t="s">
        <v>1814</v>
      </c>
      <c r="D1366" s="1119">
        <v>62.25</v>
      </c>
      <c r="E1366" s="1120">
        <v>17.26</v>
      </c>
      <c r="F1366" s="1121">
        <f t="shared" si="1"/>
        <v>45</v>
      </c>
      <c r="G1366" s="1120">
        <v>44.96</v>
      </c>
      <c r="H1366" s="1127">
        <v>0.03</v>
      </c>
      <c r="I1366" s="1127">
        <v>0.0</v>
      </c>
      <c r="J1366" s="1127">
        <v>0.01</v>
      </c>
      <c r="K1366" s="1124"/>
    </row>
    <row r="1367" ht="15.75" customHeight="1">
      <c r="A1367" s="1119">
        <v>94447.0</v>
      </c>
      <c r="B1367" s="1125" t="s">
        <v>11645</v>
      </c>
      <c r="C1367" s="1126" t="s">
        <v>1814</v>
      </c>
      <c r="D1367" s="1119">
        <v>55.35</v>
      </c>
      <c r="E1367" s="1120">
        <v>12.21</v>
      </c>
      <c r="F1367" s="1121">
        <f t="shared" si="1"/>
        <v>43.14</v>
      </c>
      <c r="G1367" s="1120">
        <v>43.1</v>
      </c>
      <c r="H1367" s="1127">
        <v>0.03</v>
      </c>
      <c r="I1367" s="1127">
        <v>0.0</v>
      </c>
      <c r="J1367" s="1127">
        <v>0.01</v>
      </c>
      <c r="K1367" s="1124"/>
    </row>
    <row r="1368" ht="15.75" customHeight="1">
      <c r="A1368" s="1119">
        <v>94448.0</v>
      </c>
      <c r="B1368" s="1125" t="s">
        <v>11646</v>
      </c>
      <c r="C1368" s="1126" t="s">
        <v>1814</v>
      </c>
      <c r="D1368" s="1119">
        <v>62.25</v>
      </c>
      <c r="E1368" s="1120">
        <v>17.26</v>
      </c>
      <c r="F1368" s="1121">
        <f t="shared" si="1"/>
        <v>45</v>
      </c>
      <c r="G1368" s="1120">
        <v>44.96</v>
      </c>
      <c r="H1368" s="1127">
        <v>0.03</v>
      </c>
      <c r="I1368" s="1127">
        <v>0.0</v>
      </c>
      <c r="J1368" s="1127">
        <v>0.01</v>
      </c>
      <c r="K1368" s="1124"/>
    </row>
    <row r="1369" ht="15.75" customHeight="1">
      <c r="A1369" s="1119">
        <v>94207.0</v>
      </c>
      <c r="B1369" s="1125" t="s">
        <v>11647</v>
      </c>
      <c r="C1369" s="1126" t="s">
        <v>1814</v>
      </c>
      <c r="D1369" s="1119">
        <v>46.82</v>
      </c>
      <c r="E1369" s="1120">
        <v>5.64</v>
      </c>
      <c r="F1369" s="1121">
        <f t="shared" si="1"/>
        <v>41.19</v>
      </c>
      <c r="G1369" s="1120">
        <v>41.19</v>
      </c>
      <c r="H1369" s="1127">
        <v>0.0</v>
      </c>
      <c r="I1369" s="1127">
        <v>0.0</v>
      </c>
      <c r="J1369" s="1127">
        <v>0.0</v>
      </c>
      <c r="K1369" s="1124"/>
    </row>
    <row r="1370" ht="15.75" customHeight="1">
      <c r="A1370" s="1119">
        <v>94210.0</v>
      </c>
      <c r="B1370" s="1125" t="s">
        <v>11648</v>
      </c>
      <c r="C1370" s="1126" t="s">
        <v>1814</v>
      </c>
      <c r="D1370" s="1119">
        <v>49.91</v>
      </c>
      <c r="E1370" s="1120">
        <v>6.26</v>
      </c>
      <c r="F1370" s="1121">
        <f t="shared" si="1"/>
        <v>43.64</v>
      </c>
      <c r="G1370" s="1120">
        <v>43.64</v>
      </c>
      <c r="H1370" s="1127">
        <v>0.0</v>
      </c>
      <c r="I1370" s="1127">
        <v>0.0</v>
      </c>
      <c r="J1370" s="1127">
        <v>0.0</v>
      </c>
      <c r="K1370" s="1124"/>
    </row>
    <row r="1371" ht="15.75" customHeight="1">
      <c r="A1371" s="1119">
        <v>94218.0</v>
      </c>
      <c r="B1371" s="1125" t="s">
        <v>11649</v>
      </c>
      <c r="C1371" s="1126" t="s">
        <v>1814</v>
      </c>
      <c r="D1371" s="1119">
        <v>121.85</v>
      </c>
      <c r="E1371" s="1120">
        <v>6.18</v>
      </c>
      <c r="F1371" s="1121">
        <f t="shared" si="1"/>
        <v>115.66</v>
      </c>
      <c r="G1371" s="1120">
        <v>115.66</v>
      </c>
      <c r="H1371" s="1127">
        <v>0.0</v>
      </c>
      <c r="I1371" s="1127">
        <v>0.0</v>
      </c>
      <c r="J1371" s="1127">
        <v>0.0</v>
      </c>
      <c r="K1371" s="1124"/>
    </row>
    <row r="1372" ht="15.75" customHeight="1">
      <c r="A1372" s="1119">
        <v>94213.0</v>
      </c>
      <c r="B1372" s="1125" t="s">
        <v>11650</v>
      </c>
      <c r="C1372" s="1126" t="s">
        <v>1814</v>
      </c>
      <c r="D1372" s="1119">
        <v>74.75</v>
      </c>
      <c r="E1372" s="1120">
        <v>3.9</v>
      </c>
      <c r="F1372" s="1121">
        <f t="shared" si="1"/>
        <v>70.85</v>
      </c>
      <c r="G1372" s="1120">
        <v>70.85</v>
      </c>
      <c r="H1372" s="1127">
        <v>0.0</v>
      </c>
      <c r="I1372" s="1127">
        <v>0.0</v>
      </c>
      <c r="J1372" s="1127">
        <v>0.0</v>
      </c>
      <c r="K1372" s="1124"/>
    </row>
    <row r="1373" ht="15.75" customHeight="1">
      <c r="A1373" s="1119">
        <v>94216.0</v>
      </c>
      <c r="B1373" s="1125" t="s">
        <v>11651</v>
      </c>
      <c r="C1373" s="1126" t="s">
        <v>1814</v>
      </c>
      <c r="D1373" s="1119">
        <v>218.08</v>
      </c>
      <c r="E1373" s="1120">
        <v>2.45</v>
      </c>
      <c r="F1373" s="1121">
        <f t="shared" si="1"/>
        <v>215.63</v>
      </c>
      <c r="G1373" s="1120">
        <v>215.63</v>
      </c>
      <c r="H1373" s="1127">
        <v>0.0</v>
      </c>
      <c r="I1373" s="1127">
        <v>0.0</v>
      </c>
      <c r="J1373" s="1127">
        <v>0.0</v>
      </c>
      <c r="K1373" s="1124"/>
    </row>
    <row r="1374" ht="15.75" customHeight="1">
      <c r="A1374" s="1119">
        <v>94219.0</v>
      </c>
      <c r="B1374" s="1125" t="s">
        <v>11652</v>
      </c>
      <c r="C1374" s="1126" t="s">
        <v>1731</v>
      </c>
      <c r="D1374" s="1119">
        <v>35.67</v>
      </c>
      <c r="E1374" s="1120">
        <v>14.87</v>
      </c>
      <c r="F1374" s="1121">
        <f t="shared" si="1"/>
        <v>20.79</v>
      </c>
      <c r="G1374" s="1120">
        <v>20.72</v>
      </c>
      <c r="H1374" s="1127">
        <v>0.05</v>
      </c>
      <c r="I1374" s="1127">
        <v>0.0</v>
      </c>
      <c r="J1374" s="1127">
        <v>0.02</v>
      </c>
      <c r="K1374" s="1124"/>
    </row>
    <row r="1375" ht="15.75" customHeight="1">
      <c r="A1375" s="1119">
        <v>94220.0</v>
      </c>
      <c r="B1375" s="1125" t="s">
        <v>11653</v>
      </c>
      <c r="C1375" s="1126" t="s">
        <v>1731</v>
      </c>
      <c r="D1375" s="1119">
        <v>52.2</v>
      </c>
      <c r="E1375" s="1120">
        <v>14.83</v>
      </c>
      <c r="F1375" s="1121">
        <f t="shared" si="1"/>
        <v>37.34</v>
      </c>
      <c r="G1375" s="1120">
        <v>37.27</v>
      </c>
      <c r="H1375" s="1127">
        <v>0.05</v>
      </c>
      <c r="I1375" s="1127">
        <v>0.0</v>
      </c>
      <c r="J1375" s="1127">
        <v>0.02</v>
      </c>
      <c r="K1375" s="1124"/>
    </row>
    <row r="1376" ht="15.75" customHeight="1">
      <c r="A1376" s="1119">
        <v>94221.0</v>
      </c>
      <c r="B1376" s="1125" t="s">
        <v>11654</v>
      </c>
      <c r="C1376" s="1126" t="s">
        <v>1731</v>
      </c>
      <c r="D1376" s="1119">
        <v>27.64</v>
      </c>
      <c r="E1376" s="1120">
        <v>8.98</v>
      </c>
      <c r="F1376" s="1121">
        <f t="shared" si="1"/>
        <v>18.65</v>
      </c>
      <c r="G1376" s="1120">
        <v>18.58</v>
      </c>
      <c r="H1376" s="1127">
        <v>0.05</v>
      </c>
      <c r="I1376" s="1127">
        <v>0.0</v>
      </c>
      <c r="J1376" s="1127">
        <v>0.02</v>
      </c>
      <c r="K1376" s="1124"/>
    </row>
    <row r="1377" ht="15.75" customHeight="1">
      <c r="A1377" s="1119">
        <v>94222.0</v>
      </c>
      <c r="B1377" s="1125" t="s">
        <v>11655</v>
      </c>
      <c r="C1377" s="1126" t="s">
        <v>1731</v>
      </c>
      <c r="D1377" s="1119">
        <v>44.17</v>
      </c>
      <c r="E1377" s="1120">
        <v>8.95</v>
      </c>
      <c r="F1377" s="1121">
        <f t="shared" si="1"/>
        <v>35.2</v>
      </c>
      <c r="G1377" s="1120">
        <v>35.13</v>
      </c>
      <c r="H1377" s="1127">
        <v>0.05</v>
      </c>
      <c r="I1377" s="1127">
        <v>0.0</v>
      </c>
      <c r="J1377" s="1127">
        <v>0.02</v>
      </c>
      <c r="K1377" s="1124"/>
    </row>
    <row r="1378" ht="15.75" customHeight="1">
      <c r="A1378" s="1119">
        <v>94223.0</v>
      </c>
      <c r="B1378" s="1125" t="s">
        <v>11656</v>
      </c>
      <c r="C1378" s="1126" t="s">
        <v>1731</v>
      </c>
      <c r="D1378" s="1119">
        <v>76.71</v>
      </c>
      <c r="E1378" s="1120">
        <v>2.79</v>
      </c>
      <c r="F1378" s="1121">
        <f t="shared" si="1"/>
        <v>73.91</v>
      </c>
      <c r="G1378" s="1120">
        <v>73.91</v>
      </c>
      <c r="H1378" s="1127">
        <v>0.0</v>
      </c>
      <c r="I1378" s="1127">
        <v>0.0</v>
      </c>
      <c r="J1378" s="1127">
        <v>0.0</v>
      </c>
      <c r="K1378" s="1124"/>
    </row>
    <row r="1379" ht="15.75" customHeight="1">
      <c r="A1379" s="1119">
        <v>94451.0</v>
      </c>
      <c r="B1379" s="1125" t="s">
        <v>11657</v>
      </c>
      <c r="C1379" s="1126" t="s">
        <v>1731</v>
      </c>
      <c r="D1379" s="1119">
        <v>86.09</v>
      </c>
      <c r="E1379" s="1120">
        <v>2.84</v>
      </c>
      <c r="F1379" s="1121">
        <f t="shared" si="1"/>
        <v>83.23</v>
      </c>
      <c r="G1379" s="1120">
        <v>83.23</v>
      </c>
      <c r="H1379" s="1127">
        <v>0.0</v>
      </c>
      <c r="I1379" s="1127">
        <v>0.0</v>
      </c>
      <c r="J1379" s="1127">
        <v>0.0</v>
      </c>
      <c r="K1379" s="1124"/>
    </row>
    <row r="1380" ht="15.75" customHeight="1">
      <c r="A1380" s="1119">
        <v>100325.0</v>
      </c>
      <c r="B1380" s="1125" t="s">
        <v>11658</v>
      </c>
      <c r="C1380" s="1126" t="s">
        <v>1731</v>
      </c>
      <c r="D1380" s="1119">
        <v>83.31</v>
      </c>
      <c r="E1380" s="1120">
        <v>2.02</v>
      </c>
      <c r="F1380" s="1121">
        <f t="shared" si="1"/>
        <v>81.29</v>
      </c>
      <c r="G1380" s="1120">
        <v>81.29</v>
      </c>
      <c r="H1380" s="1127">
        <v>0.0</v>
      </c>
      <c r="I1380" s="1127">
        <v>0.0</v>
      </c>
      <c r="J1380" s="1127">
        <v>0.0</v>
      </c>
      <c r="K1380" s="1124"/>
    </row>
    <row r="1381" ht="15.75" customHeight="1">
      <c r="A1381" s="1119">
        <v>100327.0</v>
      </c>
      <c r="B1381" s="1125" t="s">
        <v>11659</v>
      </c>
      <c r="C1381" s="1126" t="s">
        <v>1731</v>
      </c>
      <c r="D1381" s="1119">
        <v>57.65</v>
      </c>
      <c r="E1381" s="1120">
        <v>8.36</v>
      </c>
      <c r="F1381" s="1121">
        <f t="shared" si="1"/>
        <v>49.3</v>
      </c>
      <c r="G1381" s="1120">
        <v>49.3</v>
      </c>
      <c r="H1381" s="1127">
        <v>0.0</v>
      </c>
      <c r="I1381" s="1127">
        <v>0.0</v>
      </c>
      <c r="J1381" s="1127">
        <v>0.0</v>
      </c>
      <c r="K1381" s="1124"/>
    </row>
    <row r="1382" ht="15.75" customHeight="1">
      <c r="A1382" s="1119">
        <v>100328.0</v>
      </c>
      <c r="B1382" s="1125" t="s">
        <v>11660</v>
      </c>
      <c r="C1382" s="1126" t="s">
        <v>1814</v>
      </c>
      <c r="D1382" s="1119">
        <v>15.64</v>
      </c>
      <c r="E1382" s="1120">
        <v>7.3</v>
      </c>
      <c r="F1382" s="1121">
        <f t="shared" si="1"/>
        <v>8.34</v>
      </c>
      <c r="G1382" s="1120">
        <v>8.34</v>
      </c>
      <c r="H1382" s="1127">
        <v>0.0</v>
      </c>
      <c r="I1382" s="1127">
        <v>0.0</v>
      </c>
      <c r="J1382" s="1127">
        <v>0.0</v>
      </c>
      <c r="K1382" s="1124"/>
    </row>
    <row r="1383" ht="15.75" customHeight="1">
      <c r="A1383" s="1119">
        <v>100329.0</v>
      </c>
      <c r="B1383" s="1125" t="s">
        <v>11661</v>
      </c>
      <c r="C1383" s="1126" t="s">
        <v>1814</v>
      </c>
      <c r="D1383" s="1119">
        <v>19.71</v>
      </c>
      <c r="E1383" s="1120">
        <v>10.27</v>
      </c>
      <c r="F1383" s="1121">
        <f t="shared" si="1"/>
        <v>9.45</v>
      </c>
      <c r="G1383" s="1120">
        <v>9.45</v>
      </c>
      <c r="H1383" s="1127">
        <v>0.0</v>
      </c>
      <c r="I1383" s="1127">
        <v>0.0</v>
      </c>
      <c r="J1383" s="1127">
        <v>0.0</v>
      </c>
      <c r="K1383" s="1124"/>
    </row>
    <row r="1384" ht="15.75" customHeight="1">
      <c r="A1384" s="1119">
        <v>100330.0</v>
      </c>
      <c r="B1384" s="1125" t="s">
        <v>11662</v>
      </c>
      <c r="C1384" s="1126" t="s">
        <v>1814</v>
      </c>
      <c r="D1384" s="1119">
        <v>21.18</v>
      </c>
      <c r="E1384" s="1120">
        <v>9.82</v>
      </c>
      <c r="F1384" s="1121">
        <f t="shared" si="1"/>
        <v>11.36</v>
      </c>
      <c r="G1384" s="1120">
        <v>11.36</v>
      </c>
      <c r="H1384" s="1127">
        <v>0.0</v>
      </c>
      <c r="I1384" s="1127">
        <v>0.0</v>
      </c>
      <c r="J1384" s="1127">
        <v>0.0</v>
      </c>
      <c r="K1384" s="1124"/>
    </row>
    <row r="1385" ht="15.75" customHeight="1">
      <c r="A1385" s="1119">
        <v>100331.0</v>
      </c>
      <c r="B1385" s="1125" t="s">
        <v>11663</v>
      </c>
      <c r="C1385" s="1126" t="s">
        <v>1814</v>
      </c>
      <c r="D1385" s="1119">
        <v>28.13</v>
      </c>
      <c r="E1385" s="1120">
        <v>14.9</v>
      </c>
      <c r="F1385" s="1121">
        <f t="shared" si="1"/>
        <v>13.23</v>
      </c>
      <c r="G1385" s="1120">
        <v>13.23</v>
      </c>
      <c r="H1385" s="1127">
        <v>0.0</v>
      </c>
      <c r="I1385" s="1127">
        <v>0.0</v>
      </c>
      <c r="J1385" s="1127">
        <v>0.0</v>
      </c>
      <c r="K1385" s="1124"/>
    </row>
    <row r="1386" ht="15.75" customHeight="1">
      <c r="A1386" s="1119">
        <v>100434.0</v>
      </c>
      <c r="B1386" s="1125" t="s">
        <v>11664</v>
      </c>
      <c r="C1386" s="1126" t="s">
        <v>1731</v>
      </c>
      <c r="D1386" s="1119">
        <v>184.22</v>
      </c>
      <c r="E1386" s="1120">
        <v>8.81</v>
      </c>
      <c r="F1386" s="1121">
        <f t="shared" si="1"/>
        <v>175.42</v>
      </c>
      <c r="G1386" s="1120">
        <v>175.42</v>
      </c>
      <c r="H1386" s="1127">
        <v>0.0</v>
      </c>
      <c r="I1386" s="1127">
        <v>0.0</v>
      </c>
      <c r="J1386" s="1127">
        <v>0.0</v>
      </c>
      <c r="K1386" s="1124"/>
    </row>
    <row r="1387" ht="15.75" customHeight="1">
      <c r="A1387" s="1119">
        <v>100435.0</v>
      </c>
      <c r="B1387" s="1125" t="s">
        <v>11665</v>
      </c>
      <c r="C1387" s="1126" t="s">
        <v>1731</v>
      </c>
      <c r="D1387" s="1119">
        <v>63.17</v>
      </c>
      <c r="E1387" s="1120">
        <v>5.88</v>
      </c>
      <c r="F1387" s="1121">
        <f t="shared" si="1"/>
        <v>57.29</v>
      </c>
      <c r="G1387" s="1120">
        <v>57.29</v>
      </c>
      <c r="H1387" s="1127">
        <v>0.0</v>
      </c>
      <c r="I1387" s="1127">
        <v>0.0</v>
      </c>
      <c r="J1387" s="1127">
        <v>0.0</v>
      </c>
      <c r="K1387" s="1124"/>
    </row>
    <row r="1388" ht="15.75" customHeight="1">
      <c r="A1388" s="1119">
        <v>94227.0</v>
      </c>
      <c r="B1388" s="1125" t="s">
        <v>11666</v>
      </c>
      <c r="C1388" s="1126" t="s">
        <v>1731</v>
      </c>
      <c r="D1388" s="1119">
        <v>63.3</v>
      </c>
      <c r="E1388" s="1120">
        <v>10.15</v>
      </c>
      <c r="F1388" s="1121">
        <f t="shared" si="1"/>
        <v>53.15</v>
      </c>
      <c r="G1388" s="1120">
        <v>53.15</v>
      </c>
      <c r="H1388" s="1127">
        <v>0.0</v>
      </c>
      <c r="I1388" s="1127">
        <v>0.0</v>
      </c>
      <c r="J1388" s="1127">
        <v>0.0</v>
      </c>
      <c r="K1388" s="1124"/>
    </row>
    <row r="1389" ht="15.75" customHeight="1">
      <c r="A1389" s="1119">
        <v>94228.0</v>
      </c>
      <c r="B1389" s="1125" t="s">
        <v>11667</v>
      </c>
      <c r="C1389" s="1126" t="s">
        <v>1731</v>
      </c>
      <c r="D1389" s="1119">
        <v>85.85</v>
      </c>
      <c r="E1389" s="1120">
        <v>13.85</v>
      </c>
      <c r="F1389" s="1121">
        <f t="shared" si="1"/>
        <v>72.01</v>
      </c>
      <c r="G1389" s="1120">
        <v>72.01</v>
      </c>
      <c r="H1389" s="1127">
        <v>0.0</v>
      </c>
      <c r="I1389" s="1127">
        <v>0.0</v>
      </c>
      <c r="J1389" s="1127">
        <v>0.0</v>
      </c>
      <c r="K1389" s="1124"/>
    </row>
    <row r="1390" ht="15.75" customHeight="1">
      <c r="A1390" s="1119">
        <v>94229.0</v>
      </c>
      <c r="B1390" s="1125" t="s">
        <v>11668</v>
      </c>
      <c r="C1390" s="1126" t="s">
        <v>1731</v>
      </c>
      <c r="D1390" s="1119">
        <v>165.4</v>
      </c>
      <c r="E1390" s="1120">
        <v>24.73</v>
      </c>
      <c r="F1390" s="1121">
        <f t="shared" si="1"/>
        <v>140.68</v>
      </c>
      <c r="G1390" s="1120">
        <v>140.68</v>
      </c>
      <c r="H1390" s="1127">
        <v>0.0</v>
      </c>
      <c r="I1390" s="1127">
        <v>0.0</v>
      </c>
      <c r="J1390" s="1127">
        <v>0.0</v>
      </c>
      <c r="K1390" s="1124"/>
    </row>
    <row r="1391" ht="15.75" customHeight="1">
      <c r="A1391" s="1119">
        <v>94231.0</v>
      </c>
      <c r="B1391" s="1125" t="s">
        <v>11669</v>
      </c>
      <c r="C1391" s="1126" t="s">
        <v>1731</v>
      </c>
      <c r="D1391" s="1119">
        <v>51.07</v>
      </c>
      <c r="E1391" s="1120">
        <v>7.01</v>
      </c>
      <c r="F1391" s="1121">
        <f t="shared" si="1"/>
        <v>44.08</v>
      </c>
      <c r="G1391" s="1120">
        <v>44.08</v>
      </c>
      <c r="H1391" s="1127">
        <v>0.0</v>
      </c>
      <c r="I1391" s="1127">
        <v>0.0</v>
      </c>
      <c r="J1391" s="1127">
        <v>0.0</v>
      </c>
      <c r="K1391" s="1124"/>
    </row>
    <row r="1392" ht="15.75" customHeight="1">
      <c r="A1392" s="1119">
        <v>94449.0</v>
      </c>
      <c r="B1392" s="1125" t="s">
        <v>11670</v>
      </c>
      <c r="C1392" s="1126" t="s">
        <v>1814</v>
      </c>
      <c r="D1392" s="1119">
        <v>87.63</v>
      </c>
      <c r="E1392" s="1120">
        <v>5.63</v>
      </c>
      <c r="F1392" s="1121">
        <f t="shared" si="1"/>
        <v>82.01</v>
      </c>
      <c r="G1392" s="1120">
        <v>82.01</v>
      </c>
      <c r="H1392" s="1127">
        <v>0.0</v>
      </c>
      <c r="I1392" s="1127">
        <v>0.0</v>
      </c>
      <c r="J1392" s="1127">
        <v>0.0</v>
      </c>
      <c r="K1392" s="1124"/>
    </row>
    <row r="1393" ht="15.75" customHeight="1">
      <c r="A1393" s="1119">
        <v>92255.0</v>
      </c>
      <c r="B1393" s="1125" t="s">
        <v>11671</v>
      </c>
      <c r="C1393" s="1126" t="s">
        <v>1788</v>
      </c>
      <c r="D1393" s="1119">
        <v>214.2</v>
      </c>
      <c r="E1393" s="1120">
        <v>99.33</v>
      </c>
      <c r="F1393" s="1121">
        <f t="shared" si="1"/>
        <v>114.87</v>
      </c>
      <c r="G1393" s="1120">
        <v>61.7</v>
      </c>
      <c r="H1393" s="1127">
        <v>52.23</v>
      </c>
      <c r="I1393" s="1127">
        <v>0.0</v>
      </c>
      <c r="J1393" s="1127">
        <v>0.94</v>
      </c>
      <c r="K1393" s="1124"/>
    </row>
    <row r="1394" ht="15.75" customHeight="1">
      <c r="A1394" s="1119">
        <v>92256.0</v>
      </c>
      <c r="B1394" s="1125" t="s">
        <v>11672</v>
      </c>
      <c r="C1394" s="1126" t="s">
        <v>1788</v>
      </c>
      <c r="D1394" s="1119">
        <v>267.36</v>
      </c>
      <c r="E1394" s="1120">
        <v>139.89</v>
      </c>
      <c r="F1394" s="1121">
        <f t="shared" si="1"/>
        <v>127.48</v>
      </c>
      <c r="G1394" s="1120">
        <v>74.32</v>
      </c>
      <c r="H1394" s="1127">
        <v>52.22</v>
      </c>
      <c r="I1394" s="1127">
        <v>0.0</v>
      </c>
      <c r="J1394" s="1127">
        <v>0.94</v>
      </c>
      <c r="K1394" s="1124"/>
    </row>
    <row r="1395" ht="15.75" customHeight="1">
      <c r="A1395" s="1119">
        <v>92257.0</v>
      </c>
      <c r="B1395" s="1125" t="s">
        <v>11673</v>
      </c>
      <c r="C1395" s="1126" t="s">
        <v>1788</v>
      </c>
      <c r="D1395" s="1119">
        <v>319.91</v>
      </c>
      <c r="E1395" s="1120">
        <v>179.92</v>
      </c>
      <c r="F1395" s="1121">
        <f t="shared" si="1"/>
        <v>139.99</v>
      </c>
      <c r="G1395" s="1120">
        <v>86.83</v>
      </c>
      <c r="H1395" s="1127">
        <v>52.22</v>
      </c>
      <c r="I1395" s="1127">
        <v>0.0</v>
      </c>
      <c r="J1395" s="1127">
        <v>0.94</v>
      </c>
      <c r="K1395" s="1124"/>
    </row>
    <row r="1396" ht="15.75" customHeight="1">
      <c r="A1396" s="1119">
        <v>92258.0</v>
      </c>
      <c r="B1396" s="1125" t="s">
        <v>11674</v>
      </c>
      <c r="C1396" s="1126" t="s">
        <v>1788</v>
      </c>
      <c r="D1396" s="1119">
        <v>404.41</v>
      </c>
      <c r="E1396" s="1120">
        <v>244.27</v>
      </c>
      <c r="F1396" s="1121">
        <f t="shared" si="1"/>
        <v>160.15</v>
      </c>
      <c r="G1396" s="1120">
        <v>107.0</v>
      </c>
      <c r="H1396" s="1127">
        <v>52.21</v>
      </c>
      <c r="I1396" s="1127">
        <v>0.0</v>
      </c>
      <c r="J1396" s="1127">
        <v>0.94</v>
      </c>
      <c r="K1396" s="1124"/>
    </row>
    <row r="1397" ht="15.75" customHeight="1">
      <c r="A1397" s="1119">
        <v>92568.0</v>
      </c>
      <c r="B1397" s="1125" t="s">
        <v>11675</v>
      </c>
      <c r="C1397" s="1126" t="s">
        <v>1814</v>
      </c>
      <c r="D1397" s="1119">
        <v>156.7</v>
      </c>
      <c r="E1397" s="1120">
        <v>11.96</v>
      </c>
      <c r="F1397" s="1121">
        <f t="shared" si="1"/>
        <v>144.76</v>
      </c>
      <c r="G1397" s="1120">
        <v>144.76</v>
      </c>
      <c r="H1397" s="1127">
        <v>0.0</v>
      </c>
      <c r="I1397" s="1127">
        <v>0.0</v>
      </c>
      <c r="J1397" s="1127">
        <v>0.0</v>
      </c>
      <c r="K1397" s="1124"/>
    </row>
    <row r="1398" ht="15.75" customHeight="1">
      <c r="A1398" s="1119">
        <v>92569.0</v>
      </c>
      <c r="B1398" s="1125" t="s">
        <v>11676</v>
      </c>
      <c r="C1398" s="1126" t="s">
        <v>1814</v>
      </c>
      <c r="D1398" s="1119">
        <v>87.75</v>
      </c>
      <c r="E1398" s="1120">
        <v>5.19</v>
      </c>
      <c r="F1398" s="1121">
        <f t="shared" si="1"/>
        <v>82.57</v>
      </c>
      <c r="G1398" s="1120">
        <v>82.57</v>
      </c>
      <c r="H1398" s="1127">
        <v>0.0</v>
      </c>
      <c r="I1398" s="1127">
        <v>0.0</v>
      </c>
      <c r="J1398" s="1127">
        <v>0.0</v>
      </c>
      <c r="K1398" s="1124"/>
    </row>
    <row r="1399" ht="15.75" customHeight="1">
      <c r="A1399" s="1119">
        <v>92570.0</v>
      </c>
      <c r="B1399" s="1125" t="s">
        <v>11677</v>
      </c>
      <c r="C1399" s="1126" t="s">
        <v>1814</v>
      </c>
      <c r="D1399" s="1119">
        <v>55.97</v>
      </c>
      <c r="E1399" s="1120">
        <v>2.44</v>
      </c>
      <c r="F1399" s="1121">
        <f t="shared" si="1"/>
        <v>53.51</v>
      </c>
      <c r="G1399" s="1120">
        <v>53.51</v>
      </c>
      <c r="H1399" s="1127">
        <v>0.0</v>
      </c>
      <c r="I1399" s="1127">
        <v>0.0</v>
      </c>
      <c r="J1399" s="1127">
        <v>0.0</v>
      </c>
      <c r="K1399" s="1124"/>
    </row>
    <row r="1400" ht="15.75" customHeight="1">
      <c r="A1400" s="1119">
        <v>92571.0</v>
      </c>
      <c r="B1400" s="1125" t="s">
        <v>11678</v>
      </c>
      <c r="C1400" s="1126" t="s">
        <v>1814</v>
      </c>
      <c r="D1400" s="1119">
        <v>167.02</v>
      </c>
      <c r="E1400" s="1120">
        <v>18.89</v>
      </c>
      <c r="F1400" s="1121">
        <f t="shared" si="1"/>
        <v>148.13</v>
      </c>
      <c r="G1400" s="1120">
        <v>148.13</v>
      </c>
      <c r="H1400" s="1127">
        <v>0.0</v>
      </c>
      <c r="I1400" s="1127">
        <v>0.0</v>
      </c>
      <c r="J1400" s="1127">
        <v>0.0</v>
      </c>
      <c r="K1400" s="1124"/>
    </row>
    <row r="1401" ht="15.75" customHeight="1">
      <c r="A1401" s="1119">
        <v>92572.0</v>
      </c>
      <c r="B1401" s="1125" t="s">
        <v>11679</v>
      </c>
      <c r="C1401" s="1126" t="s">
        <v>1814</v>
      </c>
      <c r="D1401" s="1119">
        <v>100.74</v>
      </c>
      <c r="E1401" s="1120">
        <v>9.61</v>
      </c>
      <c r="F1401" s="1121">
        <f t="shared" si="1"/>
        <v>91.13</v>
      </c>
      <c r="G1401" s="1120">
        <v>91.13</v>
      </c>
      <c r="H1401" s="1127">
        <v>0.0</v>
      </c>
      <c r="I1401" s="1127">
        <v>0.0</v>
      </c>
      <c r="J1401" s="1127">
        <v>0.0</v>
      </c>
      <c r="K1401" s="1124"/>
    </row>
    <row r="1402" ht="15.75" customHeight="1">
      <c r="A1402" s="1119">
        <v>92573.0</v>
      </c>
      <c r="B1402" s="1125" t="s">
        <v>11680</v>
      </c>
      <c r="C1402" s="1126" t="s">
        <v>1814</v>
      </c>
      <c r="D1402" s="1119">
        <v>60.35</v>
      </c>
      <c r="E1402" s="1120">
        <v>5.55</v>
      </c>
      <c r="F1402" s="1121">
        <f t="shared" si="1"/>
        <v>54.79</v>
      </c>
      <c r="G1402" s="1120">
        <v>54.79</v>
      </c>
      <c r="H1402" s="1127">
        <v>0.0</v>
      </c>
      <c r="I1402" s="1127">
        <v>0.0</v>
      </c>
      <c r="J1402" s="1127">
        <v>0.0</v>
      </c>
      <c r="K1402" s="1124"/>
    </row>
    <row r="1403" ht="15.75" customHeight="1">
      <c r="A1403" s="1119">
        <v>92574.0</v>
      </c>
      <c r="B1403" s="1125" t="s">
        <v>11681</v>
      </c>
      <c r="C1403" s="1126" t="s">
        <v>1814</v>
      </c>
      <c r="D1403" s="1119">
        <v>159.33</v>
      </c>
      <c r="E1403" s="1120">
        <v>12.99</v>
      </c>
      <c r="F1403" s="1121">
        <f t="shared" si="1"/>
        <v>146.36</v>
      </c>
      <c r="G1403" s="1120">
        <v>146.36</v>
      </c>
      <c r="H1403" s="1127">
        <v>0.0</v>
      </c>
      <c r="I1403" s="1127">
        <v>0.0</v>
      </c>
      <c r="J1403" s="1127">
        <v>0.0</v>
      </c>
      <c r="K1403" s="1124"/>
    </row>
    <row r="1404" ht="15.75" customHeight="1">
      <c r="A1404" s="1119">
        <v>92575.0</v>
      </c>
      <c r="B1404" s="1125" t="s">
        <v>11682</v>
      </c>
      <c r="C1404" s="1126" t="s">
        <v>1814</v>
      </c>
      <c r="D1404" s="1119">
        <v>80.23</v>
      </c>
      <c r="E1404" s="1120">
        <v>5.1</v>
      </c>
      <c r="F1404" s="1121">
        <f t="shared" si="1"/>
        <v>75.12</v>
      </c>
      <c r="G1404" s="1120">
        <v>75.12</v>
      </c>
      <c r="H1404" s="1127">
        <v>0.0</v>
      </c>
      <c r="I1404" s="1127">
        <v>0.0</v>
      </c>
      <c r="J1404" s="1127">
        <v>0.0</v>
      </c>
      <c r="K1404" s="1124"/>
    </row>
    <row r="1405" ht="15.75" customHeight="1">
      <c r="A1405" s="1119">
        <v>92576.0</v>
      </c>
      <c r="B1405" s="1125" t="s">
        <v>11683</v>
      </c>
      <c r="C1405" s="1126" t="s">
        <v>1814</v>
      </c>
      <c r="D1405" s="1119">
        <v>44.17</v>
      </c>
      <c r="E1405" s="1120">
        <v>1.93</v>
      </c>
      <c r="F1405" s="1121">
        <f t="shared" si="1"/>
        <v>42.23</v>
      </c>
      <c r="G1405" s="1120">
        <v>42.23</v>
      </c>
      <c r="H1405" s="1127">
        <v>0.0</v>
      </c>
      <c r="I1405" s="1127">
        <v>0.0</v>
      </c>
      <c r="J1405" s="1127">
        <v>0.0</v>
      </c>
      <c r="K1405" s="1124"/>
    </row>
    <row r="1406" ht="15.75" customHeight="1">
      <c r="A1406" s="1119">
        <v>92577.0</v>
      </c>
      <c r="B1406" s="1125" t="s">
        <v>11684</v>
      </c>
      <c r="C1406" s="1126" t="s">
        <v>1814</v>
      </c>
      <c r="D1406" s="1119">
        <v>170.2</v>
      </c>
      <c r="E1406" s="1120">
        <v>19.82</v>
      </c>
      <c r="F1406" s="1121">
        <f t="shared" si="1"/>
        <v>150.37</v>
      </c>
      <c r="G1406" s="1120">
        <v>150.37</v>
      </c>
      <c r="H1406" s="1127">
        <v>0.0</v>
      </c>
      <c r="I1406" s="1127">
        <v>0.0</v>
      </c>
      <c r="J1406" s="1127">
        <v>0.0</v>
      </c>
      <c r="K1406" s="1124"/>
    </row>
    <row r="1407" ht="15.75" customHeight="1">
      <c r="A1407" s="1119">
        <v>92578.0</v>
      </c>
      <c r="B1407" s="1125" t="s">
        <v>11685</v>
      </c>
      <c r="C1407" s="1126" t="s">
        <v>1814</v>
      </c>
      <c r="D1407" s="1119">
        <v>86.29</v>
      </c>
      <c r="E1407" s="1120">
        <v>9.04</v>
      </c>
      <c r="F1407" s="1121">
        <f t="shared" si="1"/>
        <v>77.25</v>
      </c>
      <c r="G1407" s="1120">
        <v>77.25</v>
      </c>
      <c r="H1407" s="1127">
        <v>0.0</v>
      </c>
      <c r="I1407" s="1127">
        <v>0.0</v>
      </c>
      <c r="J1407" s="1127">
        <v>0.0</v>
      </c>
      <c r="K1407" s="1124"/>
    </row>
    <row r="1408" ht="15.75" customHeight="1">
      <c r="A1408" s="1119">
        <v>92579.0</v>
      </c>
      <c r="B1408" s="1125" t="s">
        <v>11686</v>
      </c>
      <c r="C1408" s="1126" t="s">
        <v>1814</v>
      </c>
      <c r="D1408" s="1119">
        <v>47.67</v>
      </c>
      <c r="E1408" s="1120">
        <v>4.42</v>
      </c>
      <c r="F1408" s="1121">
        <f t="shared" si="1"/>
        <v>43.24</v>
      </c>
      <c r="G1408" s="1120">
        <v>43.24</v>
      </c>
      <c r="H1408" s="1127">
        <v>0.0</v>
      </c>
      <c r="I1408" s="1127">
        <v>0.0</v>
      </c>
      <c r="J1408" s="1127">
        <v>0.0</v>
      </c>
      <c r="K1408" s="1124"/>
    </row>
    <row r="1409" ht="15.75" customHeight="1">
      <c r="A1409" s="1119">
        <v>92580.0</v>
      </c>
      <c r="B1409" s="1125" t="s">
        <v>11687</v>
      </c>
      <c r="C1409" s="1126" t="s">
        <v>1814</v>
      </c>
      <c r="D1409" s="1119">
        <v>59.68</v>
      </c>
      <c r="E1409" s="1120">
        <v>7.09</v>
      </c>
      <c r="F1409" s="1121">
        <f t="shared" si="1"/>
        <v>52.57</v>
      </c>
      <c r="G1409" s="1120">
        <v>52.57</v>
      </c>
      <c r="H1409" s="1127">
        <v>0.0</v>
      </c>
      <c r="I1409" s="1127">
        <v>0.0</v>
      </c>
      <c r="J1409" s="1127">
        <v>0.0</v>
      </c>
      <c r="K1409" s="1124"/>
    </row>
    <row r="1410" ht="15.75" customHeight="1">
      <c r="A1410" s="1119">
        <v>92581.0</v>
      </c>
      <c r="B1410" s="1125" t="s">
        <v>11688</v>
      </c>
      <c r="C1410" s="1126" t="s">
        <v>1814</v>
      </c>
      <c r="D1410" s="1119">
        <v>62.24</v>
      </c>
      <c r="E1410" s="1120">
        <v>6.49</v>
      </c>
      <c r="F1410" s="1121">
        <f t="shared" si="1"/>
        <v>55.72</v>
      </c>
      <c r="G1410" s="1120">
        <v>55.72</v>
      </c>
      <c r="H1410" s="1127">
        <v>0.0</v>
      </c>
      <c r="I1410" s="1127">
        <v>0.0</v>
      </c>
      <c r="J1410" s="1127">
        <v>0.0</v>
      </c>
      <c r="K1410" s="1124"/>
    </row>
    <row r="1411" ht="15.75" customHeight="1">
      <c r="A1411" s="1119">
        <v>92582.0</v>
      </c>
      <c r="B1411" s="1125" t="s">
        <v>11689</v>
      </c>
      <c r="C1411" s="1126" t="s">
        <v>1788</v>
      </c>
      <c r="D1411" s="1119">
        <v>858.36</v>
      </c>
      <c r="E1411" s="1120">
        <v>137.69</v>
      </c>
      <c r="F1411" s="1121">
        <f t="shared" si="1"/>
        <v>720.69</v>
      </c>
      <c r="G1411" s="1120">
        <v>667.55</v>
      </c>
      <c r="H1411" s="1127">
        <v>52.2</v>
      </c>
      <c r="I1411" s="1127">
        <v>0.0</v>
      </c>
      <c r="J1411" s="1127">
        <v>0.94</v>
      </c>
      <c r="K1411" s="1124"/>
    </row>
    <row r="1412" ht="15.75" customHeight="1">
      <c r="A1412" s="1119">
        <v>92584.0</v>
      </c>
      <c r="B1412" s="1125" t="s">
        <v>11690</v>
      </c>
      <c r="C1412" s="1126" t="s">
        <v>1788</v>
      </c>
      <c r="D1412" s="1128">
        <v>1009.19</v>
      </c>
      <c r="E1412" s="1120">
        <v>137.69</v>
      </c>
      <c r="F1412" s="1121">
        <f t="shared" si="1"/>
        <v>871.53</v>
      </c>
      <c r="G1412" s="1120">
        <v>818.39</v>
      </c>
      <c r="H1412" s="1127">
        <v>52.2</v>
      </c>
      <c r="I1412" s="1127">
        <v>0.0</v>
      </c>
      <c r="J1412" s="1127">
        <v>0.94</v>
      </c>
      <c r="K1412" s="1124"/>
    </row>
    <row r="1413" ht="15.75" customHeight="1">
      <c r="A1413" s="1119">
        <v>92586.0</v>
      </c>
      <c r="B1413" s="1125" t="s">
        <v>11691</v>
      </c>
      <c r="C1413" s="1126" t="s">
        <v>1788</v>
      </c>
      <c r="D1413" s="1128">
        <v>1160.01</v>
      </c>
      <c r="E1413" s="1120">
        <v>137.68</v>
      </c>
      <c r="F1413" s="1121">
        <f t="shared" si="1"/>
        <v>1022.35</v>
      </c>
      <c r="G1413" s="1120">
        <v>969.21</v>
      </c>
      <c r="H1413" s="1127">
        <v>52.2</v>
      </c>
      <c r="I1413" s="1127">
        <v>0.0</v>
      </c>
      <c r="J1413" s="1127">
        <v>0.94</v>
      </c>
      <c r="K1413" s="1124"/>
    </row>
    <row r="1414" ht="15.75" customHeight="1">
      <c r="A1414" s="1119">
        <v>92588.0</v>
      </c>
      <c r="B1414" s="1125" t="s">
        <v>11692</v>
      </c>
      <c r="C1414" s="1126" t="s">
        <v>1788</v>
      </c>
      <c r="D1414" s="1128">
        <v>1470.36</v>
      </c>
      <c r="E1414" s="1120">
        <v>197.45</v>
      </c>
      <c r="F1414" s="1121">
        <f t="shared" si="1"/>
        <v>1272.92</v>
      </c>
      <c r="G1414" s="1120">
        <v>1219.79</v>
      </c>
      <c r="H1414" s="1127">
        <v>52.19</v>
      </c>
      <c r="I1414" s="1127">
        <v>0.0</v>
      </c>
      <c r="J1414" s="1127">
        <v>0.94</v>
      </c>
      <c r="K1414" s="1124"/>
    </row>
    <row r="1415" ht="15.75" customHeight="1">
      <c r="A1415" s="1119">
        <v>92590.0</v>
      </c>
      <c r="B1415" s="1125" t="s">
        <v>11693</v>
      </c>
      <c r="C1415" s="1126" t="s">
        <v>1788</v>
      </c>
      <c r="D1415" s="1128">
        <v>1621.18</v>
      </c>
      <c r="E1415" s="1120">
        <v>197.44</v>
      </c>
      <c r="F1415" s="1121">
        <f t="shared" si="1"/>
        <v>1423.74</v>
      </c>
      <c r="G1415" s="1120">
        <v>1370.61</v>
      </c>
      <c r="H1415" s="1127">
        <v>52.19</v>
      </c>
      <c r="I1415" s="1127">
        <v>0.0</v>
      </c>
      <c r="J1415" s="1127">
        <v>0.94</v>
      </c>
      <c r="K1415" s="1124"/>
    </row>
    <row r="1416" ht="15.75" customHeight="1">
      <c r="A1416" s="1119">
        <v>92592.0</v>
      </c>
      <c r="B1416" s="1125" t="s">
        <v>11694</v>
      </c>
      <c r="C1416" s="1126" t="s">
        <v>1788</v>
      </c>
      <c r="D1416" s="1128">
        <v>1824.56</v>
      </c>
      <c r="E1416" s="1120">
        <v>237.47</v>
      </c>
      <c r="F1416" s="1121">
        <f t="shared" si="1"/>
        <v>1587.1</v>
      </c>
      <c r="G1416" s="1120">
        <v>1533.97</v>
      </c>
      <c r="H1416" s="1127">
        <v>52.19</v>
      </c>
      <c r="I1416" s="1127">
        <v>0.0</v>
      </c>
      <c r="J1416" s="1127">
        <v>0.94</v>
      </c>
      <c r="K1416" s="1124"/>
    </row>
    <row r="1417" ht="15.75" customHeight="1">
      <c r="A1417" s="1119">
        <v>92594.0</v>
      </c>
      <c r="B1417" s="1125" t="s">
        <v>11695</v>
      </c>
      <c r="C1417" s="1126" t="s">
        <v>1788</v>
      </c>
      <c r="D1417" s="1128">
        <v>2119.89</v>
      </c>
      <c r="E1417" s="1120">
        <v>256.69</v>
      </c>
      <c r="F1417" s="1121">
        <f t="shared" si="1"/>
        <v>1863.23</v>
      </c>
      <c r="G1417" s="1120">
        <v>1810.1</v>
      </c>
      <c r="H1417" s="1127">
        <v>52.19</v>
      </c>
      <c r="I1417" s="1127">
        <v>0.0</v>
      </c>
      <c r="J1417" s="1127">
        <v>0.94</v>
      </c>
      <c r="K1417" s="1124"/>
    </row>
    <row r="1418" ht="15.75" customHeight="1">
      <c r="A1418" s="1119">
        <v>92596.0</v>
      </c>
      <c r="B1418" s="1125" t="s">
        <v>11696</v>
      </c>
      <c r="C1418" s="1126" t="s">
        <v>1788</v>
      </c>
      <c r="D1418" s="1128">
        <v>2361.69</v>
      </c>
      <c r="E1418" s="1120">
        <v>321.03</v>
      </c>
      <c r="F1418" s="1121">
        <f t="shared" si="1"/>
        <v>2040.67</v>
      </c>
      <c r="G1418" s="1120">
        <v>1987.54</v>
      </c>
      <c r="H1418" s="1127">
        <v>52.19</v>
      </c>
      <c r="I1418" s="1127">
        <v>0.0</v>
      </c>
      <c r="J1418" s="1127">
        <v>0.94</v>
      </c>
      <c r="K1418" s="1124"/>
    </row>
    <row r="1419" ht="15.75" customHeight="1">
      <c r="A1419" s="1119">
        <v>92598.0</v>
      </c>
      <c r="B1419" s="1125" t="s">
        <v>11697</v>
      </c>
      <c r="C1419" s="1126" t="s">
        <v>1788</v>
      </c>
      <c r="D1419" s="1128">
        <v>2512.51</v>
      </c>
      <c r="E1419" s="1120">
        <v>321.03</v>
      </c>
      <c r="F1419" s="1121">
        <f t="shared" si="1"/>
        <v>2191.5</v>
      </c>
      <c r="G1419" s="1120">
        <v>2138.37</v>
      </c>
      <c r="H1419" s="1127">
        <v>52.19</v>
      </c>
      <c r="I1419" s="1127">
        <v>0.0</v>
      </c>
      <c r="J1419" s="1127">
        <v>0.94</v>
      </c>
      <c r="K1419" s="1124"/>
    </row>
    <row r="1420" ht="15.75" customHeight="1">
      <c r="A1420" s="1119">
        <v>92600.0</v>
      </c>
      <c r="B1420" s="1125" t="s">
        <v>11698</v>
      </c>
      <c r="C1420" s="1126" t="s">
        <v>1788</v>
      </c>
      <c r="D1420" s="1128">
        <v>2701.52</v>
      </c>
      <c r="E1420" s="1120">
        <v>321.02</v>
      </c>
      <c r="F1420" s="1121">
        <f t="shared" si="1"/>
        <v>2380.51</v>
      </c>
      <c r="G1420" s="1120">
        <v>2327.38</v>
      </c>
      <c r="H1420" s="1127">
        <v>52.19</v>
      </c>
      <c r="I1420" s="1127">
        <v>0.0</v>
      </c>
      <c r="J1420" s="1127">
        <v>0.94</v>
      </c>
      <c r="K1420" s="1124"/>
    </row>
    <row r="1421" ht="15.75" customHeight="1">
      <c r="A1421" s="1119">
        <v>92602.0</v>
      </c>
      <c r="B1421" s="1125" t="s">
        <v>11699</v>
      </c>
      <c r="C1421" s="1126" t="s">
        <v>1788</v>
      </c>
      <c r="D1421" s="1119">
        <v>858.36</v>
      </c>
      <c r="E1421" s="1120">
        <v>137.69</v>
      </c>
      <c r="F1421" s="1121">
        <f t="shared" si="1"/>
        <v>720.69</v>
      </c>
      <c r="G1421" s="1120">
        <v>667.55</v>
      </c>
      <c r="H1421" s="1127">
        <v>52.2</v>
      </c>
      <c r="I1421" s="1127">
        <v>0.0</v>
      </c>
      <c r="J1421" s="1127">
        <v>0.94</v>
      </c>
      <c r="K1421" s="1124"/>
    </row>
    <row r="1422" ht="15.75" customHeight="1">
      <c r="A1422" s="1119">
        <v>92604.0</v>
      </c>
      <c r="B1422" s="1125" t="s">
        <v>11700</v>
      </c>
      <c r="C1422" s="1126" t="s">
        <v>1788</v>
      </c>
      <c r="D1422" s="1119">
        <v>971.02</v>
      </c>
      <c r="E1422" s="1120">
        <v>137.69</v>
      </c>
      <c r="F1422" s="1121">
        <f t="shared" si="1"/>
        <v>833.35</v>
      </c>
      <c r="G1422" s="1120">
        <v>780.21</v>
      </c>
      <c r="H1422" s="1127">
        <v>52.2</v>
      </c>
      <c r="I1422" s="1127">
        <v>0.0</v>
      </c>
      <c r="J1422" s="1127">
        <v>0.94</v>
      </c>
      <c r="K1422" s="1124"/>
    </row>
    <row r="1423" ht="15.75" customHeight="1">
      <c r="A1423" s="1119">
        <v>92606.0</v>
      </c>
      <c r="B1423" s="1125" t="s">
        <v>11701</v>
      </c>
      <c r="C1423" s="1126" t="s">
        <v>1788</v>
      </c>
      <c r="D1423" s="1128">
        <v>1121.84</v>
      </c>
      <c r="E1423" s="1120">
        <v>137.68</v>
      </c>
      <c r="F1423" s="1121">
        <f t="shared" si="1"/>
        <v>984.18</v>
      </c>
      <c r="G1423" s="1120">
        <v>931.04</v>
      </c>
      <c r="H1423" s="1127">
        <v>52.2</v>
      </c>
      <c r="I1423" s="1127">
        <v>0.0</v>
      </c>
      <c r="J1423" s="1127">
        <v>0.94</v>
      </c>
      <c r="K1423" s="1124"/>
    </row>
    <row r="1424" ht="15.75" customHeight="1">
      <c r="A1424" s="1119">
        <v>92608.0</v>
      </c>
      <c r="B1424" s="1125" t="s">
        <v>11702</v>
      </c>
      <c r="C1424" s="1126" t="s">
        <v>1788</v>
      </c>
      <c r="D1424" s="1128">
        <v>1394.01</v>
      </c>
      <c r="E1424" s="1120">
        <v>197.45</v>
      </c>
      <c r="F1424" s="1121">
        <f t="shared" si="1"/>
        <v>1196.57</v>
      </c>
      <c r="G1424" s="1120">
        <v>1143.44</v>
      </c>
      <c r="H1424" s="1127">
        <v>52.19</v>
      </c>
      <c r="I1424" s="1127">
        <v>0.0</v>
      </c>
      <c r="J1424" s="1127">
        <v>0.94</v>
      </c>
      <c r="K1424" s="1124"/>
    </row>
    <row r="1425" ht="15.75" customHeight="1">
      <c r="A1425" s="1119">
        <v>92610.0</v>
      </c>
      <c r="B1425" s="1125" t="s">
        <v>11703</v>
      </c>
      <c r="C1425" s="1126" t="s">
        <v>1788</v>
      </c>
      <c r="D1425" s="1128">
        <v>1544.83</v>
      </c>
      <c r="E1425" s="1120">
        <v>197.44</v>
      </c>
      <c r="F1425" s="1121">
        <f t="shared" si="1"/>
        <v>1347.39</v>
      </c>
      <c r="G1425" s="1120">
        <v>1294.26</v>
      </c>
      <c r="H1425" s="1127">
        <v>52.19</v>
      </c>
      <c r="I1425" s="1127">
        <v>0.0</v>
      </c>
      <c r="J1425" s="1127">
        <v>0.94</v>
      </c>
      <c r="K1425" s="1124"/>
    </row>
    <row r="1426" ht="15.75" customHeight="1">
      <c r="A1426" s="1119">
        <v>92612.0</v>
      </c>
      <c r="B1426" s="1125" t="s">
        <v>11704</v>
      </c>
      <c r="C1426" s="1126" t="s">
        <v>1788</v>
      </c>
      <c r="D1426" s="1128">
        <v>1748.22</v>
      </c>
      <c r="E1426" s="1120">
        <v>237.47</v>
      </c>
      <c r="F1426" s="1121">
        <f t="shared" si="1"/>
        <v>1510.76</v>
      </c>
      <c r="G1426" s="1120">
        <v>1457.63</v>
      </c>
      <c r="H1426" s="1127">
        <v>52.19</v>
      </c>
      <c r="I1426" s="1127">
        <v>0.0</v>
      </c>
      <c r="J1426" s="1127">
        <v>0.94</v>
      </c>
      <c r="K1426" s="1124"/>
    </row>
    <row r="1427" ht="15.75" customHeight="1">
      <c r="A1427" s="1119">
        <v>92614.0</v>
      </c>
      <c r="B1427" s="1125" t="s">
        <v>11705</v>
      </c>
      <c r="C1427" s="1126" t="s">
        <v>1788</v>
      </c>
      <c r="D1427" s="1128">
        <v>1967.19</v>
      </c>
      <c r="E1427" s="1120">
        <v>256.69</v>
      </c>
      <c r="F1427" s="1121">
        <f t="shared" si="1"/>
        <v>1710.52</v>
      </c>
      <c r="G1427" s="1120">
        <v>1657.39</v>
      </c>
      <c r="H1427" s="1127">
        <v>52.19</v>
      </c>
      <c r="I1427" s="1127">
        <v>0.0</v>
      </c>
      <c r="J1427" s="1127">
        <v>0.94</v>
      </c>
      <c r="K1427" s="1124"/>
    </row>
    <row r="1428" ht="15.75" customHeight="1">
      <c r="A1428" s="1119">
        <v>92616.0</v>
      </c>
      <c r="B1428" s="1125" t="s">
        <v>11706</v>
      </c>
      <c r="C1428" s="1126" t="s">
        <v>1788</v>
      </c>
      <c r="D1428" s="1128">
        <v>2247.17</v>
      </c>
      <c r="E1428" s="1120">
        <v>321.03</v>
      </c>
      <c r="F1428" s="1121">
        <f t="shared" si="1"/>
        <v>1926.15</v>
      </c>
      <c r="G1428" s="1120">
        <v>1873.02</v>
      </c>
      <c r="H1428" s="1127">
        <v>52.19</v>
      </c>
      <c r="I1428" s="1127">
        <v>0.0</v>
      </c>
      <c r="J1428" s="1127">
        <v>0.94</v>
      </c>
      <c r="K1428" s="1124"/>
    </row>
    <row r="1429" ht="15.75" customHeight="1">
      <c r="A1429" s="1119">
        <v>92618.0</v>
      </c>
      <c r="B1429" s="1125" t="s">
        <v>11707</v>
      </c>
      <c r="C1429" s="1126" t="s">
        <v>1788</v>
      </c>
      <c r="D1429" s="1128">
        <v>2397.99</v>
      </c>
      <c r="E1429" s="1120">
        <v>321.03</v>
      </c>
      <c r="F1429" s="1121">
        <f t="shared" si="1"/>
        <v>2076.97</v>
      </c>
      <c r="G1429" s="1120">
        <v>2023.84</v>
      </c>
      <c r="H1429" s="1127">
        <v>52.19</v>
      </c>
      <c r="I1429" s="1127">
        <v>0.0</v>
      </c>
      <c r="J1429" s="1127">
        <v>0.94</v>
      </c>
      <c r="K1429" s="1124"/>
    </row>
    <row r="1430" ht="15.75" customHeight="1">
      <c r="A1430" s="1119">
        <v>92620.0</v>
      </c>
      <c r="B1430" s="1125" t="s">
        <v>11708</v>
      </c>
      <c r="C1430" s="1126" t="s">
        <v>1788</v>
      </c>
      <c r="D1430" s="1128">
        <v>2548.82</v>
      </c>
      <c r="E1430" s="1120">
        <v>321.03</v>
      </c>
      <c r="F1430" s="1121">
        <f t="shared" si="1"/>
        <v>2227.81</v>
      </c>
      <c r="G1430" s="1120">
        <v>2174.68</v>
      </c>
      <c r="H1430" s="1127">
        <v>52.19</v>
      </c>
      <c r="I1430" s="1127">
        <v>0.0</v>
      </c>
      <c r="J1430" s="1127">
        <v>0.94</v>
      </c>
      <c r="K1430" s="1124"/>
    </row>
    <row r="1431" ht="15.75" customHeight="1">
      <c r="A1431" s="1119">
        <v>100357.0</v>
      </c>
      <c r="B1431" s="1125" t="s">
        <v>11709</v>
      </c>
      <c r="C1431" s="1126" t="s">
        <v>1788</v>
      </c>
      <c r="D1431" s="1128">
        <v>1339.88</v>
      </c>
      <c r="E1431" s="1120">
        <v>342.46</v>
      </c>
      <c r="F1431" s="1121">
        <f t="shared" si="1"/>
        <v>997.43</v>
      </c>
      <c r="G1431" s="1120">
        <v>944.3</v>
      </c>
      <c r="H1431" s="1127">
        <v>52.19</v>
      </c>
      <c r="I1431" s="1127">
        <v>0.0</v>
      </c>
      <c r="J1431" s="1127">
        <v>0.94</v>
      </c>
      <c r="K1431" s="1124"/>
    </row>
    <row r="1432" ht="15.75" customHeight="1">
      <c r="A1432" s="1119">
        <v>100358.0</v>
      </c>
      <c r="B1432" s="1125" t="s">
        <v>11710</v>
      </c>
      <c r="C1432" s="1126" t="s">
        <v>1788</v>
      </c>
      <c r="D1432" s="1128">
        <v>1813.74</v>
      </c>
      <c r="E1432" s="1120">
        <v>558.09</v>
      </c>
      <c r="F1432" s="1121">
        <f t="shared" si="1"/>
        <v>1255.66</v>
      </c>
      <c r="G1432" s="1120">
        <v>1202.53</v>
      </c>
      <c r="H1432" s="1127">
        <v>52.19</v>
      </c>
      <c r="I1432" s="1127">
        <v>0.0</v>
      </c>
      <c r="J1432" s="1127">
        <v>0.94</v>
      </c>
      <c r="K1432" s="1124"/>
    </row>
    <row r="1433" ht="15.75" customHeight="1">
      <c r="A1433" s="1119">
        <v>100359.0</v>
      </c>
      <c r="B1433" s="1125" t="s">
        <v>11711</v>
      </c>
      <c r="C1433" s="1126" t="s">
        <v>1788</v>
      </c>
      <c r="D1433" s="1128">
        <v>1913.35</v>
      </c>
      <c r="E1433" s="1120">
        <v>558.08</v>
      </c>
      <c r="F1433" s="1121">
        <f t="shared" si="1"/>
        <v>1355.28</v>
      </c>
      <c r="G1433" s="1120">
        <v>1302.15</v>
      </c>
      <c r="H1433" s="1127">
        <v>52.19</v>
      </c>
      <c r="I1433" s="1127">
        <v>0.0</v>
      </c>
      <c r="J1433" s="1127">
        <v>0.94</v>
      </c>
      <c r="K1433" s="1124"/>
    </row>
    <row r="1434" ht="15.75" customHeight="1">
      <c r="A1434" s="1119">
        <v>100360.0</v>
      </c>
      <c r="B1434" s="1125" t="s">
        <v>11712</v>
      </c>
      <c r="C1434" s="1126" t="s">
        <v>1788</v>
      </c>
      <c r="D1434" s="1128">
        <v>2126.96</v>
      </c>
      <c r="E1434" s="1120">
        <v>615.59</v>
      </c>
      <c r="F1434" s="1121">
        <f t="shared" si="1"/>
        <v>1511.36</v>
      </c>
      <c r="G1434" s="1120">
        <v>1458.23</v>
      </c>
      <c r="H1434" s="1127">
        <v>52.19</v>
      </c>
      <c r="I1434" s="1127">
        <v>0.0</v>
      </c>
      <c r="J1434" s="1127">
        <v>0.94</v>
      </c>
      <c r="K1434" s="1124"/>
    </row>
    <row r="1435" ht="15.75" customHeight="1">
      <c r="A1435" s="1119">
        <v>100361.0</v>
      </c>
      <c r="B1435" s="1125" t="s">
        <v>11713</v>
      </c>
      <c r="C1435" s="1126" t="s">
        <v>1788</v>
      </c>
      <c r="D1435" s="1128">
        <v>2643.96</v>
      </c>
      <c r="E1435" s="1120">
        <v>831.18</v>
      </c>
      <c r="F1435" s="1121">
        <f t="shared" si="1"/>
        <v>1812.78</v>
      </c>
      <c r="G1435" s="1120">
        <v>1759.65</v>
      </c>
      <c r="H1435" s="1127">
        <v>52.19</v>
      </c>
      <c r="I1435" s="1127">
        <v>0.0</v>
      </c>
      <c r="J1435" s="1127">
        <v>0.94</v>
      </c>
      <c r="K1435" s="1124"/>
    </row>
    <row r="1436" ht="15.75" customHeight="1">
      <c r="A1436" s="1119">
        <v>100362.0</v>
      </c>
      <c r="B1436" s="1125" t="s">
        <v>11714</v>
      </c>
      <c r="C1436" s="1126" t="s">
        <v>1788</v>
      </c>
      <c r="D1436" s="1128">
        <v>3402.26</v>
      </c>
      <c r="E1436" s="1120">
        <v>886.91</v>
      </c>
      <c r="F1436" s="1121">
        <f t="shared" si="1"/>
        <v>2515.36</v>
      </c>
      <c r="G1436" s="1120">
        <v>2462.23</v>
      </c>
      <c r="H1436" s="1127">
        <v>52.19</v>
      </c>
      <c r="I1436" s="1127">
        <v>0.0</v>
      </c>
      <c r="J1436" s="1127">
        <v>0.94</v>
      </c>
      <c r="K1436" s="1124"/>
    </row>
    <row r="1437" ht="15.75" customHeight="1">
      <c r="A1437" s="1119">
        <v>100363.0</v>
      </c>
      <c r="B1437" s="1125" t="s">
        <v>11715</v>
      </c>
      <c r="C1437" s="1126" t="s">
        <v>1788</v>
      </c>
      <c r="D1437" s="1128">
        <v>3522.11</v>
      </c>
      <c r="E1437" s="1120">
        <v>886.91</v>
      </c>
      <c r="F1437" s="1121">
        <f t="shared" si="1"/>
        <v>2635.21</v>
      </c>
      <c r="G1437" s="1120">
        <v>2582.08</v>
      </c>
      <c r="H1437" s="1127">
        <v>52.19</v>
      </c>
      <c r="I1437" s="1127">
        <v>0.0</v>
      </c>
      <c r="J1437" s="1127">
        <v>0.94</v>
      </c>
      <c r="K1437" s="1124"/>
    </row>
    <row r="1438" ht="15.75" customHeight="1">
      <c r="A1438" s="1119">
        <v>100364.0</v>
      </c>
      <c r="B1438" s="1125" t="s">
        <v>11716</v>
      </c>
      <c r="C1438" s="1126" t="s">
        <v>1788</v>
      </c>
      <c r="D1438" s="1128">
        <v>3836.92</v>
      </c>
      <c r="E1438" s="1120">
        <v>976.67</v>
      </c>
      <c r="F1438" s="1121">
        <f t="shared" si="1"/>
        <v>2860.25</v>
      </c>
      <c r="G1438" s="1120">
        <v>2807.12</v>
      </c>
      <c r="H1438" s="1127">
        <v>52.19</v>
      </c>
      <c r="I1438" s="1127">
        <v>0.0</v>
      </c>
      <c r="J1438" s="1127">
        <v>0.94</v>
      </c>
      <c r="K1438" s="1124"/>
    </row>
    <row r="1439" ht="15.75" customHeight="1">
      <c r="A1439" s="1119">
        <v>100365.0</v>
      </c>
      <c r="B1439" s="1125" t="s">
        <v>11717</v>
      </c>
      <c r="C1439" s="1126" t="s">
        <v>1788</v>
      </c>
      <c r="D1439" s="1128">
        <v>4426.21</v>
      </c>
      <c r="E1439" s="1120">
        <v>1192.29</v>
      </c>
      <c r="F1439" s="1121">
        <f t="shared" si="1"/>
        <v>3233.91</v>
      </c>
      <c r="G1439" s="1120">
        <v>3180.78</v>
      </c>
      <c r="H1439" s="1127">
        <v>52.19</v>
      </c>
      <c r="I1439" s="1127">
        <v>0.0</v>
      </c>
      <c r="J1439" s="1127">
        <v>0.94</v>
      </c>
      <c r="K1439" s="1124"/>
    </row>
    <row r="1440" ht="15.75" customHeight="1">
      <c r="A1440" s="1119">
        <v>100366.0</v>
      </c>
      <c r="B1440" s="1125" t="s">
        <v>11718</v>
      </c>
      <c r="C1440" s="1126" t="s">
        <v>1788</v>
      </c>
      <c r="D1440" s="1128">
        <v>4754.59</v>
      </c>
      <c r="E1440" s="1120">
        <v>1192.29</v>
      </c>
      <c r="F1440" s="1121">
        <f t="shared" si="1"/>
        <v>3562.29</v>
      </c>
      <c r="G1440" s="1120">
        <v>3509.16</v>
      </c>
      <c r="H1440" s="1127">
        <v>52.19</v>
      </c>
      <c r="I1440" s="1127">
        <v>0.0</v>
      </c>
      <c r="J1440" s="1127">
        <v>0.94</v>
      </c>
      <c r="K1440" s="1124"/>
    </row>
    <row r="1441" ht="15.75" customHeight="1">
      <c r="A1441" s="1119">
        <v>100367.0</v>
      </c>
      <c r="B1441" s="1125" t="s">
        <v>11719</v>
      </c>
      <c r="C1441" s="1126" t="s">
        <v>1788</v>
      </c>
      <c r="D1441" s="1128">
        <v>1300.96</v>
      </c>
      <c r="E1441" s="1120">
        <v>342.47</v>
      </c>
      <c r="F1441" s="1121">
        <f t="shared" si="1"/>
        <v>958.51</v>
      </c>
      <c r="G1441" s="1120">
        <v>905.38</v>
      </c>
      <c r="H1441" s="1127">
        <v>52.19</v>
      </c>
      <c r="I1441" s="1127">
        <v>0.0</v>
      </c>
      <c r="J1441" s="1127">
        <v>0.94</v>
      </c>
      <c r="K1441" s="1124"/>
    </row>
    <row r="1442" ht="15.75" customHeight="1">
      <c r="A1442" s="1119">
        <v>100368.0</v>
      </c>
      <c r="B1442" s="1125" t="s">
        <v>11720</v>
      </c>
      <c r="C1442" s="1126" t="s">
        <v>1788</v>
      </c>
      <c r="D1442" s="1128">
        <v>1765.74</v>
      </c>
      <c r="E1442" s="1120">
        <v>558.09</v>
      </c>
      <c r="F1442" s="1121">
        <f t="shared" si="1"/>
        <v>1207.66</v>
      </c>
      <c r="G1442" s="1120">
        <v>1154.53</v>
      </c>
      <c r="H1442" s="1127">
        <v>52.19</v>
      </c>
      <c r="I1442" s="1127">
        <v>0.0</v>
      </c>
      <c r="J1442" s="1127">
        <v>0.94</v>
      </c>
      <c r="K1442" s="1124"/>
    </row>
    <row r="1443" ht="15.75" customHeight="1">
      <c r="A1443" s="1119">
        <v>100369.0</v>
      </c>
      <c r="B1443" s="1125" t="s">
        <v>11721</v>
      </c>
      <c r="C1443" s="1126" t="s">
        <v>1788</v>
      </c>
      <c r="D1443" s="1128">
        <v>1865.35</v>
      </c>
      <c r="E1443" s="1120">
        <v>558.08</v>
      </c>
      <c r="F1443" s="1121">
        <f t="shared" si="1"/>
        <v>1307.28</v>
      </c>
      <c r="G1443" s="1120">
        <v>1254.15</v>
      </c>
      <c r="H1443" s="1127">
        <v>52.19</v>
      </c>
      <c r="I1443" s="1127">
        <v>0.0</v>
      </c>
      <c r="J1443" s="1127">
        <v>0.94</v>
      </c>
      <c r="K1443" s="1124"/>
    </row>
    <row r="1444" ht="15.75" customHeight="1">
      <c r="A1444" s="1119">
        <v>100370.0</v>
      </c>
      <c r="B1444" s="1125" t="s">
        <v>11722</v>
      </c>
      <c r="C1444" s="1126" t="s">
        <v>1788</v>
      </c>
      <c r="D1444" s="1128">
        <v>2227.69</v>
      </c>
      <c r="E1444" s="1120">
        <v>615.59</v>
      </c>
      <c r="F1444" s="1121">
        <f t="shared" si="1"/>
        <v>1612.09</v>
      </c>
      <c r="G1444" s="1120">
        <v>1558.96</v>
      </c>
      <c r="H1444" s="1127">
        <v>52.19</v>
      </c>
      <c r="I1444" s="1127">
        <v>0.0</v>
      </c>
      <c r="J1444" s="1127">
        <v>0.94</v>
      </c>
      <c r="K1444" s="1124"/>
    </row>
    <row r="1445" ht="15.75" customHeight="1">
      <c r="A1445" s="1119">
        <v>100371.0</v>
      </c>
      <c r="B1445" s="1125" t="s">
        <v>11723</v>
      </c>
      <c r="C1445" s="1126" t="s">
        <v>1788</v>
      </c>
      <c r="D1445" s="1128">
        <v>2515.95</v>
      </c>
      <c r="E1445" s="1120">
        <v>831.19</v>
      </c>
      <c r="F1445" s="1121">
        <f t="shared" si="1"/>
        <v>1684.76</v>
      </c>
      <c r="G1445" s="1120">
        <v>1631.63</v>
      </c>
      <c r="H1445" s="1127">
        <v>52.19</v>
      </c>
      <c r="I1445" s="1127">
        <v>0.0</v>
      </c>
      <c r="J1445" s="1127">
        <v>0.94</v>
      </c>
      <c r="K1445" s="1124"/>
    </row>
    <row r="1446" ht="15.75" customHeight="1">
      <c r="A1446" s="1119">
        <v>100372.0</v>
      </c>
      <c r="B1446" s="1125" t="s">
        <v>11724</v>
      </c>
      <c r="C1446" s="1126" t="s">
        <v>1788</v>
      </c>
      <c r="D1446" s="1128">
        <v>3182.93</v>
      </c>
      <c r="E1446" s="1120">
        <v>886.92</v>
      </c>
      <c r="F1446" s="1121">
        <f t="shared" si="1"/>
        <v>2296.03</v>
      </c>
      <c r="G1446" s="1120">
        <v>2242.9</v>
      </c>
      <c r="H1446" s="1127">
        <v>52.19</v>
      </c>
      <c r="I1446" s="1127">
        <v>0.0</v>
      </c>
      <c r="J1446" s="1127">
        <v>0.94</v>
      </c>
      <c r="K1446" s="1124"/>
    </row>
    <row r="1447" ht="15.75" customHeight="1">
      <c r="A1447" s="1119">
        <v>100373.0</v>
      </c>
      <c r="B1447" s="1125" t="s">
        <v>11725</v>
      </c>
      <c r="C1447" s="1126" t="s">
        <v>1788</v>
      </c>
      <c r="D1447" s="1128">
        <v>3303.81</v>
      </c>
      <c r="E1447" s="1120">
        <v>886.92</v>
      </c>
      <c r="F1447" s="1121">
        <f t="shared" si="1"/>
        <v>2416.91</v>
      </c>
      <c r="G1447" s="1120">
        <v>2363.78</v>
      </c>
      <c r="H1447" s="1127">
        <v>52.19</v>
      </c>
      <c r="I1447" s="1127">
        <v>0.0</v>
      </c>
      <c r="J1447" s="1127">
        <v>0.94</v>
      </c>
      <c r="K1447" s="1124"/>
    </row>
    <row r="1448" ht="15.75" customHeight="1">
      <c r="A1448" s="1119">
        <v>100374.0</v>
      </c>
      <c r="B1448" s="1125" t="s">
        <v>11726</v>
      </c>
      <c r="C1448" s="1126" t="s">
        <v>1788</v>
      </c>
      <c r="D1448" s="1128">
        <v>3550.95</v>
      </c>
      <c r="E1448" s="1120">
        <v>976.68</v>
      </c>
      <c r="F1448" s="1121">
        <f t="shared" si="1"/>
        <v>2574.27</v>
      </c>
      <c r="G1448" s="1120">
        <v>2521.14</v>
      </c>
      <c r="H1448" s="1127">
        <v>52.19</v>
      </c>
      <c r="I1448" s="1127">
        <v>0.0</v>
      </c>
      <c r="J1448" s="1127">
        <v>0.94</v>
      </c>
      <c r="K1448" s="1124"/>
    </row>
    <row r="1449" ht="15.75" customHeight="1">
      <c r="A1449" s="1119">
        <v>100375.0</v>
      </c>
      <c r="B1449" s="1125" t="s">
        <v>11727</v>
      </c>
      <c r="C1449" s="1126" t="s">
        <v>1788</v>
      </c>
      <c r="D1449" s="1128">
        <v>3998.33</v>
      </c>
      <c r="E1449" s="1120">
        <v>1192.3</v>
      </c>
      <c r="F1449" s="1121">
        <f t="shared" si="1"/>
        <v>2806.02</v>
      </c>
      <c r="G1449" s="1120">
        <v>2752.89</v>
      </c>
      <c r="H1449" s="1127">
        <v>52.19</v>
      </c>
      <c r="I1449" s="1127">
        <v>0.0</v>
      </c>
      <c r="J1449" s="1127">
        <v>0.94</v>
      </c>
      <c r="K1449" s="1124"/>
    </row>
    <row r="1450" ht="15.75" customHeight="1">
      <c r="A1450" s="1119">
        <v>100376.0</v>
      </c>
      <c r="B1450" s="1125" t="s">
        <v>11728</v>
      </c>
      <c r="C1450" s="1126" t="s">
        <v>1788</v>
      </c>
      <c r="D1450" s="1128">
        <v>3901.62</v>
      </c>
      <c r="E1450" s="1120">
        <v>1192.3</v>
      </c>
      <c r="F1450" s="1121">
        <f t="shared" si="1"/>
        <v>2709.31</v>
      </c>
      <c r="G1450" s="1120">
        <v>2656.18</v>
      </c>
      <c r="H1450" s="1127">
        <v>52.19</v>
      </c>
      <c r="I1450" s="1127">
        <v>0.0</v>
      </c>
      <c r="J1450" s="1127">
        <v>0.94</v>
      </c>
      <c r="K1450" s="1124"/>
    </row>
    <row r="1451" ht="15.75" customHeight="1">
      <c r="A1451" s="1119">
        <v>100377.0</v>
      </c>
      <c r="B1451" s="1125" t="s">
        <v>11729</v>
      </c>
      <c r="C1451" s="1126" t="s">
        <v>3606</v>
      </c>
      <c r="D1451" s="1119">
        <v>14.36</v>
      </c>
      <c r="E1451" s="1120">
        <v>1.73</v>
      </c>
      <c r="F1451" s="1121">
        <f t="shared" si="1"/>
        <v>12.61</v>
      </c>
      <c r="G1451" s="1120">
        <v>11.96</v>
      </c>
      <c r="H1451" s="1127">
        <v>0.64</v>
      </c>
      <c r="I1451" s="1127">
        <v>0.0</v>
      </c>
      <c r="J1451" s="1127">
        <v>0.01</v>
      </c>
      <c r="K1451" s="1124"/>
    </row>
    <row r="1452" ht="15.75" customHeight="1">
      <c r="A1452" s="1119">
        <v>100378.0</v>
      </c>
      <c r="B1452" s="1125" t="s">
        <v>11730</v>
      </c>
      <c r="C1452" s="1126" t="s">
        <v>3606</v>
      </c>
      <c r="D1452" s="1119">
        <v>13.44</v>
      </c>
      <c r="E1452" s="1120">
        <v>1.55</v>
      </c>
      <c r="F1452" s="1121">
        <f t="shared" si="1"/>
        <v>11.9</v>
      </c>
      <c r="G1452" s="1120">
        <v>11.62</v>
      </c>
      <c r="H1452" s="1127">
        <v>0.28</v>
      </c>
      <c r="I1452" s="1127">
        <v>0.0</v>
      </c>
      <c r="J1452" s="1127">
        <v>0.0</v>
      </c>
      <c r="K1452" s="1124"/>
    </row>
    <row r="1453" ht="15.75" customHeight="1">
      <c r="A1453" s="1119">
        <v>100382.0</v>
      </c>
      <c r="B1453" s="1125" t="s">
        <v>11731</v>
      </c>
      <c r="C1453" s="1126" t="s">
        <v>1814</v>
      </c>
      <c r="D1453" s="1119">
        <v>30.52</v>
      </c>
      <c r="E1453" s="1120">
        <v>4.55</v>
      </c>
      <c r="F1453" s="1121">
        <f t="shared" si="1"/>
        <v>25.99</v>
      </c>
      <c r="G1453" s="1120">
        <v>25.99</v>
      </c>
      <c r="H1453" s="1127">
        <v>0.0</v>
      </c>
      <c r="I1453" s="1127">
        <v>0.0</v>
      </c>
      <c r="J1453" s="1127">
        <v>0.0</v>
      </c>
      <c r="K1453" s="1124"/>
    </row>
    <row r="1454" ht="15.75" customHeight="1">
      <c r="A1454" s="1119">
        <v>104314.0</v>
      </c>
      <c r="B1454" s="1125" t="s">
        <v>11732</v>
      </c>
      <c r="C1454" s="1126" t="s">
        <v>3606</v>
      </c>
      <c r="D1454" s="1119">
        <v>13.75</v>
      </c>
      <c r="E1454" s="1120">
        <v>1.61</v>
      </c>
      <c r="F1454" s="1121">
        <f t="shared" si="1"/>
        <v>12.12</v>
      </c>
      <c r="G1454" s="1120">
        <v>12.12</v>
      </c>
      <c r="H1454" s="1127">
        <v>0.0</v>
      </c>
      <c r="I1454" s="1127">
        <v>0.0</v>
      </c>
      <c r="J1454" s="1127">
        <v>0.0</v>
      </c>
      <c r="K1454" s="1124"/>
    </row>
    <row r="1455" ht="15.75" customHeight="1">
      <c r="A1455" s="1119">
        <v>94444.0</v>
      </c>
      <c r="B1455" s="1125" t="s">
        <v>11733</v>
      </c>
      <c r="C1455" s="1126" t="s">
        <v>1814</v>
      </c>
      <c r="D1455" s="1119">
        <v>577.06</v>
      </c>
      <c r="E1455" s="1120">
        <v>7.67</v>
      </c>
      <c r="F1455" s="1121">
        <f t="shared" si="1"/>
        <v>569.38</v>
      </c>
      <c r="G1455" s="1120">
        <v>569.37</v>
      </c>
      <c r="H1455" s="1127">
        <v>0.0</v>
      </c>
      <c r="I1455" s="1127">
        <v>0.0</v>
      </c>
      <c r="J1455" s="1127">
        <v>0.01</v>
      </c>
      <c r="K1455" s="1124"/>
    </row>
    <row r="1456" ht="15.75" customHeight="1">
      <c r="A1456" s="1119">
        <v>104482.0</v>
      </c>
      <c r="B1456" s="1125" t="s">
        <v>11734</v>
      </c>
      <c r="C1456" s="1126" t="s">
        <v>1470</v>
      </c>
      <c r="D1456" s="1119">
        <v>33.81</v>
      </c>
      <c r="E1456" s="1120">
        <v>25.1</v>
      </c>
      <c r="F1456" s="1121">
        <f t="shared" si="1"/>
        <v>8.71</v>
      </c>
      <c r="G1456" s="1120">
        <v>7.86</v>
      </c>
      <c r="H1456" s="1127">
        <v>0.55</v>
      </c>
      <c r="I1456" s="1127">
        <v>0.0</v>
      </c>
      <c r="J1456" s="1127">
        <v>0.3</v>
      </c>
      <c r="K1456" s="1124"/>
    </row>
    <row r="1457" ht="15.75" customHeight="1">
      <c r="A1457" s="1119">
        <v>104184.0</v>
      </c>
      <c r="B1457" s="1125" t="s">
        <v>11735</v>
      </c>
      <c r="C1457" s="1126" t="s">
        <v>1788</v>
      </c>
      <c r="D1457" s="1119">
        <v>37.38</v>
      </c>
      <c r="E1457" s="1120">
        <v>19.79</v>
      </c>
      <c r="F1457" s="1121">
        <f t="shared" si="1"/>
        <v>17.61</v>
      </c>
      <c r="G1457" s="1120">
        <v>17.61</v>
      </c>
      <c r="H1457" s="1127">
        <v>0.0</v>
      </c>
      <c r="I1457" s="1127">
        <v>0.0</v>
      </c>
      <c r="J1457" s="1127">
        <v>0.0</v>
      </c>
      <c r="K1457" s="1124"/>
    </row>
    <row r="1458" ht="15.75" customHeight="1">
      <c r="A1458" s="1119">
        <v>104185.0</v>
      </c>
      <c r="B1458" s="1125" t="s">
        <v>11736</v>
      </c>
      <c r="C1458" s="1126" t="s">
        <v>1788</v>
      </c>
      <c r="D1458" s="1119">
        <v>28.77</v>
      </c>
      <c r="E1458" s="1120">
        <v>21.73</v>
      </c>
      <c r="F1458" s="1121">
        <f t="shared" si="1"/>
        <v>7.05</v>
      </c>
      <c r="G1458" s="1120">
        <v>7.05</v>
      </c>
      <c r="H1458" s="1127">
        <v>0.0</v>
      </c>
      <c r="I1458" s="1127">
        <v>0.0</v>
      </c>
      <c r="J1458" s="1127">
        <v>0.0</v>
      </c>
      <c r="K1458" s="1124"/>
    </row>
    <row r="1459" ht="15.75" customHeight="1">
      <c r="A1459" s="1119">
        <v>104189.0</v>
      </c>
      <c r="B1459" s="1125" t="s">
        <v>11737</v>
      </c>
      <c r="C1459" s="1126" t="s">
        <v>2178</v>
      </c>
      <c r="D1459" s="1119">
        <v>167.45</v>
      </c>
      <c r="E1459" s="1120">
        <v>34.18</v>
      </c>
      <c r="F1459" s="1121">
        <f t="shared" si="1"/>
        <v>133.27</v>
      </c>
      <c r="G1459" s="1120">
        <v>133.27</v>
      </c>
      <c r="H1459" s="1127">
        <v>0.0</v>
      </c>
      <c r="I1459" s="1127">
        <v>0.0</v>
      </c>
      <c r="J1459" s="1127">
        <v>0.0</v>
      </c>
      <c r="K1459" s="1124"/>
    </row>
    <row r="1460" ht="15.75" customHeight="1">
      <c r="A1460" s="1119">
        <v>104190.0</v>
      </c>
      <c r="B1460" s="1125" t="s">
        <v>11738</v>
      </c>
      <c r="C1460" s="1126" t="s">
        <v>1788</v>
      </c>
      <c r="D1460" s="1119">
        <v>771.4</v>
      </c>
      <c r="E1460" s="1120">
        <v>566.57</v>
      </c>
      <c r="F1460" s="1121">
        <f t="shared" si="1"/>
        <v>204.83</v>
      </c>
      <c r="G1460" s="1120">
        <v>204.83</v>
      </c>
      <c r="H1460" s="1127">
        <v>0.0</v>
      </c>
      <c r="I1460" s="1127">
        <v>0.0</v>
      </c>
      <c r="J1460" s="1127">
        <v>0.0</v>
      </c>
      <c r="K1460" s="1124"/>
    </row>
    <row r="1461" ht="15.75" customHeight="1">
      <c r="A1461" s="1119">
        <v>102661.0</v>
      </c>
      <c r="B1461" s="1125" t="s">
        <v>11739</v>
      </c>
      <c r="C1461" s="1126" t="s">
        <v>1731</v>
      </c>
      <c r="D1461" s="1119">
        <v>38.67</v>
      </c>
      <c r="E1461" s="1120">
        <v>5.41</v>
      </c>
      <c r="F1461" s="1121">
        <f t="shared" si="1"/>
        <v>33.27</v>
      </c>
      <c r="G1461" s="1120">
        <v>32.89</v>
      </c>
      <c r="H1461" s="1127">
        <v>0.38</v>
      </c>
      <c r="I1461" s="1127">
        <v>0.0</v>
      </c>
      <c r="J1461" s="1127">
        <v>0.0</v>
      </c>
      <c r="K1461" s="1124"/>
    </row>
    <row r="1462" ht="15.75" customHeight="1">
      <c r="A1462" s="1119">
        <v>102662.0</v>
      </c>
      <c r="B1462" s="1125" t="s">
        <v>11740</v>
      </c>
      <c r="C1462" s="1126" t="s">
        <v>1731</v>
      </c>
      <c r="D1462" s="1119">
        <v>100.85</v>
      </c>
      <c r="E1462" s="1120">
        <v>7.56</v>
      </c>
      <c r="F1462" s="1121">
        <f t="shared" si="1"/>
        <v>93.29</v>
      </c>
      <c r="G1462" s="1120">
        <v>92.91</v>
      </c>
      <c r="H1462" s="1127">
        <v>0.38</v>
      </c>
      <c r="I1462" s="1127">
        <v>0.0</v>
      </c>
      <c r="J1462" s="1127">
        <v>0.0</v>
      </c>
      <c r="K1462" s="1124"/>
    </row>
    <row r="1463" ht="15.75" customHeight="1">
      <c r="A1463" s="1119">
        <v>102663.0</v>
      </c>
      <c r="B1463" s="1125" t="s">
        <v>11741</v>
      </c>
      <c r="C1463" s="1126" t="s">
        <v>1731</v>
      </c>
      <c r="D1463" s="1119">
        <v>46.55</v>
      </c>
      <c r="E1463" s="1120">
        <v>8.37</v>
      </c>
      <c r="F1463" s="1121">
        <f t="shared" si="1"/>
        <v>38.2</v>
      </c>
      <c r="G1463" s="1120">
        <v>37.82</v>
      </c>
      <c r="H1463" s="1127">
        <v>0.38</v>
      </c>
      <c r="I1463" s="1127">
        <v>0.0</v>
      </c>
      <c r="J1463" s="1127">
        <v>0.0</v>
      </c>
      <c r="K1463" s="1124"/>
    </row>
    <row r="1464" ht="15.75" customHeight="1">
      <c r="A1464" s="1119">
        <v>102664.0</v>
      </c>
      <c r="B1464" s="1125" t="s">
        <v>11742</v>
      </c>
      <c r="C1464" s="1126" t="s">
        <v>1731</v>
      </c>
      <c r="D1464" s="1119">
        <v>42.87</v>
      </c>
      <c r="E1464" s="1120">
        <v>5.35</v>
      </c>
      <c r="F1464" s="1121">
        <f t="shared" si="1"/>
        <v>37.54</v>
      </c>
      <c r="G1464" s="1120">
        <v>37.16</v>
      </c>
      <c r="H1464" s="1127">
        <v>0.38</v>
      </c>
      <c r="I1464" s="1127">
        <v>0.0</v>
      </c>
      <c r="J1464" s="1127">
        <v>0.0</v>
      </c>
      <c r="K1464" s="1124"/>
    </row>
    <row r="1465" ht="15.75" customHeight="1">
      <c r="A1465" s="1119">
        <v>102665.0</v>
      </c>
      <c r="B1465" s="1125" t="s">
        <v>11743</v>
      </c>
      <c r="C1465" s="1126" t="s">
        <v>1731</v>
      </c>
      <c r="D1465" s="1119">
        <v>19.14</v>
      </c>
      <c r="E1465" s="1120">
        <v>4.99</v>
      </c>
      <c r="F1465" s="1121">
        <f t="shared" si="1"/>
        <v>14.17</v>
      </c>
      <c r="G1465" s="1120">
        <v>13.79</v>
      </c>
      <c r="H1465" s="1127">
        <v>0.38</v>
      </c>
      <c r="I1465" s="1127">
        <v>0.0</v>
      </c>
      <c r="J1465" s="1127">
        <v>0.0</v>
      </c>
      <c r="K1465" s="1124"/>
    </row>
    <row r="1466" ht="15.75" customHeight="1">
      <c r="A1466" s="1119">
        <v>102666.0</v>
      </c>
      <c r="B1466" s="1125" t="s">
        <v>11744</v>
      </c>
      <c r="C1466" s="1126" t="s">
        <v>1731</v>
      </c>
      <c r="D1466" s="1119">
        <v>54.89</v>
      </c>
      <c r="E1466" s="1120">
        <v>5.78</v>
      </c>
      <c r="F1466" s="1121">
        <f t="shared" si="1"/>
        <v>49.11</v>
      </c>
      <c r="G1466" s="1120">
        <v>48.73</v>
      </c>
      <c r="H1466" s="1127">
        <v>0.38</v>
      </c>
      <c r="I1466" s="1127">
        <v>0.0</v>
      </c>
      <c r="J1466" s="1127">
        <v>0.0</v>
      </c>
      <c r="K1466" s="1124"/>
    </row>
    <row r="1467" ht="15.75" customHeight="1">
      <c r="A1467" s="1119">
        <v>102668.0</v>
      </c>
      <c r="B1467" s="1125" t="s">
        <v>11745</v>
      </c>
      <c r="C1467" s="1126" t="s">
        <v>1731</v>
      </c>
      <c r="D1467" s="1119">
        <v>117.08</v>
      </c>
      <c r="E1467" s="1120">
        <v>7.94</v>
      </c>
      <c r="F1467" s="1121">
        <f t="shared" si="1"/>
        <v>109.14</v>
      </c>
      <c r="G1467" s="1120">
        <v>108.76</v>
      </c>
      <c r="H1467" s="1127">
        <v>0.38</v>
      </c>
      <c r="I1467" s="1127">
        <v>0.0</v>
      </c>
      <c r="J1467" s="1127">
        <v>0.0</v>
      </c>
      <c r="K1467" s="1124"/>
    </row>
    <row r="1468" ht="15.75" customHeight="1">
      <c r="A1468" s="1119">
        <v>102669.0</v>
      </c>
      <c r="B1468" s="1125" t="s">
        <v>11746</v>
      </c>
      <c r="C1468" s="1126" t="s">
        <v>1731</v>
      </c>
      <c r="D1468" s="1119">
        <v>63.95</v>
      </c>
      <c r="E1468" s="1120">
        <v>8.72</v>
      </c>
      <c r="F1468" s="1121">
        <f t="shared" si="1"/>
        <v>55.22</v>
      </c>
      <c r="G1468" s="1120">
        <v>54.84</v>
      </c>
      <c r="H1468" s="1127">
        <v>0.38</v>
      </c>
      <c r="I1468" s="1127">
        <v>0.0</v>
      </c>
      <c r="J1468" s="1127">
        <v>0.0</v>
      </c>
      <c r="K1468" s="1124"/>
    </row>
    <row r="1469" ht="15.75" customHeight="1">
      <c r="A1469" s="1119">
        <v>102670.0</v>
      </c>
      <c r="B1469" s="1125" t="s">
        <v>11747</v>
      </c>
      <c r="C1469" s="1126" t="s">
        <v>1731</v>
      </c>
      <c r="D1469" s="1119">
        <v>115.6</v>
      </c>
      <c r="E1469" s="1120">
        <v>12.76</v>
      </c>
      <c r="F1469" s="1121">
        <f t="shared" si="1"/>
        <v>102.82</v>
      </c>
      <c r="G1469" s="1120">
        <v>97.05</v>
      </c>
      <c r="H1469" s="1127">
        <v>5.77</v>
      </c>
      <c r="I1469" s="1127">
        <v>0.0</v>
      </c>
      <c r="J1469" s="1127">
        <v>0.0</v>
      </c>
      <c r="K1469" s="1124"/>
    </row>
    <row r="1470" ht="15.75" customHeight="1">
      <c r="A1470" s="1119">
        <v>102672.0</v>
      </c>
      <c r="B1470" s="1125" t="s">
        <v>11748</v>
      </c>
      <c r="C1470" s="1126" t="s">
        <v>1731</v>
      </c>
      <c r="D1470" s="1119">
        <v>191.72</v>
      </c>
      <c r="E1470" s="1120">
        <v>21.74</v>
      </c>
      <c r="F1470" s="1121">
        <f t="shared" si="1"/>
        <v>170</v>
      </c>
      <c r="G1470" s="1120">
        <v>161.5</v>
      </c>
      <c r="H1470" s="1127">
        <v>8.5</v>
      </c>
      <c r="I1470" s="1127">
        <v>0.0</v>
      </c>
      <c r="J1470" s="1127">
        <v>0.0</v>
      </c>
      <c r="K1470" s="1124"/>
    </row>
    <row r="1471" ht="15.75" customHeight="1">
      <c r="A1471" s="1119">
        <v>102673.0</v>
      </c>
      <c r="B1471" s="1125" t="s">
        <v>11749</v>
      </c>
      <c r="C1471" s="1126" t="s">
        <v>1731</v>
      </c>
      <c r="D1471" s="1119">
        <v>150.33</v>
      </c>
      <c r="E1471" s="1120">
        <v>28.24</v>
      </c>
      <c r="F1471" s="1121">
        <f t="shared" si="1"/>
        <v>122.11</v>
      </c>
      <c r="G1471" s="1120">
        <v>108.0</v>
      </c>
      <c r="H1471" s="1127">
        <v>14.11</v>
      </c>
      <c r="I1471" s="1127">
        <v>0.0</v>
      </c>
      <c r="J1471" s="1127">
        <v>0.0</v>
      </c>
      <c r="K1471" s="1124"/>
    </row>
    <row r="1472" ht="15.75" customHeight="1">
      <c r="A1472" s="1119">
        <v>102674.0</v>
      </c>
      <c r="B1472" s="1125" t="s">
        <v>11750</v>
      </c>
      <c r="C1472" s="1126" t="s">
        <v>1731</v>
      </c>
      <c r="D1472" s="1119">
        <v>123.65</v>
      </c>
      <c r="E1472" s="1120">
        <v>9.47</v>
      </c>
      <c r="F1472" s="1121">
        <f t="shared" si="1"/>
        <v>114.18</v>
      </c>
      <c r="G1472" s="1120">
        <v>107.89</v>
      </c>
      <c r="H1472" s="1127">
        <v>6.29</v>
      </c>
      <c r="I1472" s="1127">
        <v>0.0</v>
      </c>
      <c r="J1472" s="1127">
        <v>0.0</v>
      </c>
      <c r="K1472" s="1124"/>
    </row>
    <row r="1473" ht="15.75" customHeight="1">
      <c r="A1473" s="1119">
        <v>102676.0</v>
      </c>
      <c r="B1473" s="1125" t="s">
        <v>11751</v>
      </c>
      <c r="C1473" s="1126" t="s">
        <v>1731</v>
      </c>
      <c r="D1473" s="1119">
        <v>189.22</v>
      </c>
      <c r="E1473" s="1120">
        <v>13.02</v>
      </c>
      <c r="F1473" s="1121">
        <f t="shared" si="1"/>
        <v>176.17</v>
      </c>
      <c r="G1473" s="1120">
        <v>168.29</v>
      </c>
      <c r="H1473" s="1127">
        <v>7.88</v>
      </c>
      <c r="I1473" s="1127">
        <v>0.0</v>
      </c>
      <c r="J1473" s="1127">
        <v>0.0</v>
      </c>
      <c r="K1473" s="1124"/>
    </row>
    <row r="1474" ht="15.75" customHeight="1">
      <c r="A1474" s="1119">
        <v>102677.0</v>
      </c>
      <c r="B1474" s="1125" t="s">
        <v>11752</v>
      </c>
      <c r="C1474" s="1126" t="s">
        <v>1731</v>
      </c>
      <c r="D1474" s="1119">
        <v>137.48</v>
      </c>
      <c r="E1474" s="1120">
        <v>15.16</v>
      </c>
      <c r="F1474" s="1121">
        <f t="shared" si="1"/>
        <v>122.32</v>
      </c>
      <c r="G1474" s="1120">
        <v>113.57</v>
      </c>
      <c r="H1474" s="1127">
        <v>8.75</v>
      </c>
      <c r="I1474" s="1127">
        <v>0.0</v>
      </c>
      <c r="J1474" s="1127">
        <v>0.0</v>
      </c>
      <c r="K1474" s="1124"/>
    </row>
    <row r="1475" ht="15.75" customHeight="1">
      <c r="A1475" s="1119">
        <v>102678.0</v>
      </c>
      <c r="B1475" s="1125" t="s">
        <v>11753</v>
      </c>
      <c r="C1475" s="1126" t="s">
        <v>1731</v>
      </c>
      <c r="D1475" s="1119">
        <v>117.44</v>
      </c>
      <c r="E1475" s="1120">
        <v>13.19</v>
      </c>
      <c r="F1475" s="1121">
        <f t="shared" si="1"/>
        <v>104.27</v>
      </c>
      <c r="G1475" s="1120">
        <v>98.8</v>
      </c>
      <c r="H1475" s="1127">
        <v>5.47</v>
      </c>
      <c r="I1475" s="1127">
        <v>0.0</v>
      </c>
      <c r="J1475" s="1127">
        <v>0.0</v>
      </c>
      <c r="K1475" s="1124"/>
    </row>
    <row r="1476" ht="15.75" customHeight="1">
      <c r="A1476" s="1119">
        <v>102679.0</v>
      </c>
      <c r="B1476" s="1125" t="s">
        <v>11754</v>
      </c>
      <c r="C1476" s="1126" t="s">
        <v>1731</v>
      </c>
      <c r="D1476" s="1119">
        <v>121.34</v>
      </c>
      <c r="E1476" s="1120">
        <v>9.05</v>
      </c>
      <c r="F1476" s="1121">
        <f t="shared" si="1"/>
        <v>112.28</v>
      </c>
      <c r="G1476" s="1120">
        <v>106.16</v>
      </c>
      <c r="H1476" s="1127">
        <v>6.12</v>
      </c>
      <c r="I1476" s="1127">
        <v>0.0</v>
      </c>
      <c r="J1476" s="1127">
        <v>0.0</v>
      </c>
      <c r="K1476" s="1124"/>
    </row>
    <row r="1477" ht="15.75" customHeight="1">
      <c r="A1477" s="1119">
        <v>102680.0</v>
      </c>
      <c r="B1477" s="1125" t="s">
        <v>11755</v>
      </c>
      <c r="C1477" s="1126" t="s">
        <v>1731</v>
      </c>
      <c r="D1477" s="1119">
        <v>130.69</v>
      </c>
      <c r="E1477" s="1120">
        <v>14.24</v>
      </c>
      <c r="F1477" s="1121">
        <f t="shared" si="1"/>
        <v>116.47</v>
      </c>
      <c r="G1477" s="1120">
        <v>110.55</v>
      </c>
      <c r="H1477" s="1127">
        <v>5.92</v>
      </c>
      <c r="I1477" s="1127">
        <v>0.0</v>
      </c>
      <c r="J1477" s="1127">
        <v>0.0</v>
      </c>
      <c r="K1477" s="1124"/>
    </row>
    <row r="1478" ht="15.75" customHeight="1">
      <c r="A1478" s="1119">
        <v>102681.0</v>
      </c>
      <c r="B1478" s="1125" t="s">
        <v>11756</v>
      </c>
      <c r="C1478" s="1126" t="s">
        <v>1731</v>
      </c>
      <c r="D1478" s="1119">
        <v>196.25</v>
      </c>
      <c r="E1478" s="1120">
        <v>17.82</v>
      </c>
      <c r="F1478" s="1121">
        <f t="shared" si="1"/>
        <v>178.47</v>
      </c>
      <c r="G1478" s="1120">
        <v>170.96</v>
      </c>
      <c r="H1478" s="1127">
        <v>7.51</v>
      </c>
      <c r="I1478" s="1127">
        <v>0.0</v>
      </c>
      <c r="J1478" s="1127">
        <v>0.0</v>
      </c>
      <c r="K1478" s="1124"/>
    </row>
    <row r="1479" ht="15.75" customHeight="1">
      <c r="A1479" s="1119">
        <v>102683.0</v>
      </c>
      <c r="B1479" s="1125" t="s">
        <v>11757</v>
      </c>
      <c r="C1479" s="1126" t="s">
        <v>1731</v>
      </c>
      <c r="D1479" s="1119">
        <v>150.54</v>
      </c>
      <c r="E1479" s="1120">
        <v>21.02</v>
      </c>
      <c r="F1479" s="1121">
        <f t="shared" si="1"/>
        <v>129.54</v>
      </c>
      <c r="G1479" s="1120">
        <v>121.17</v>
      </c>
      <c r="H1479" s="1127">
        <v>8.37</v>
      </c>
      <c r="I1479" s="1127">
        <v>0.0</v>
      </c>
      <c r="J1479" s="1127">
        <v>0.0</v>
      </c>
      <c r="K1479" s="1124"/>
    </row>
    <row r="1480" ht="15.75" customHeight="1">
      <c r="A1480" s="1119">
        <v>102684.0</v>
      </c>
      <c r="B1480" s="1125" t="s">
        <v>11758</v>
      </c>
      <c r="C1480" s="1126" t="s">
        <v>1731</v>
      </c>
      <c r="D1480" s="1119">
        <v>134.6</v>
      </c>
      <c r="E1480" s="1120">
        <v>10.1</v>
      </c>
      <c r="F1480" s="1121">
        <f t="shared" si="1"/>
        <v>124.48</v>
      </c>
      <c r="G1480" s="1120">
        <v>117.91</v>
      </c>
      <c r="H1480" s="1127">
        <v>6.57</v>
      </c>
      <c r="I1480" s="1127">
        <v>0.0</v>
      </c>
      <c r="J1480" s="1127">
        <v>0.0</v>
      </c>
      <c r="K1480" s="1124"/>
    </row>
    <row r="1481" ht="15.75" customHeight="1">
      <c r="A1481" s="1119">
        <v>102685.0</v>
      </c>
      <c r="B1481" s="1125" t="s">
        <v>11759</v>
      </c>
      <c r="C1481" s="1126" t="s">
        <v>1731</v>
      </c>
      <c r="D1481" s="1119">
        <v>200.15</v>
      </c>
      <c r="E1481" s="1120">
        <v>13.65</v>
      </c>
      <c r="F1481" s="1121">
        <f t="shared" si="1"/>
        <v>186.48</v>
      </c>
      <c r="G1481" s="1120">
        <v>178.32</v>
      </c>
      <c r="H1481" s="1127">
        <v>8.16</v>
      </c>
      <c r="I1481" s="1127">
        <v>0.0</v>
      </c>
      <c r="J1481" s="1127">
        <v>0.0</v>
      </c>
      <c r="K1481" s="1124"/>
    </row>
    <row r="1482" ht="15.75" customHeight="1">
      <c r="A1482" s="1119">
        <v>102687.0</v>
      </c>
      <c r="B1482" s="1125" t="s">
        <v>11760</v>
      </c>
      <c r="C1482" s="1126" t="s">
        <v>1731</v>
      </c>
      <c r="D1482" s="1119">
        <v>149.59</v>
      </c>
      <c r="E1482" s="1120">
        <v>15.79</v>
      </c>
      <c r="F1482" s="1121">
        <f t="shared" si="1"/>
        <v>133.79</v>
      </c>
      <c r="G1482" s="1120">
        <v>124.77</v>
      </c>
      <c r="H1482" s="1127">
        <v>9.02</v>
      </c>
      <c r="I1482" s="1127">
        <v>0.0</v>
      </c>
      <c r="J1482" s="1127">
        <v>0.0</v>
      </c>
      <c r="K1482" s="1124"/>
    </row>
    <row r="1483" ht="15.75" customHeight="1">
      <c r="A1483" s="1119">
        <v>102688.0</v>
      </c>
      <c r="B1483" s="1125" t="s">
        <v>11761</v>
      </c>
      <c r="C1483" s="1126" t="s">
        <v>1731</v>
      </c>
      <c r="D1483" s="1119">
        <v>45.61</v>
      </c>
      <c r="E1483" s="1120">
        <v>8.28</v>
      </c>
      <c r="F1483" s="1121">
        <f t="shared" si="1"/>
        <v>37.33</v>
      </c>
      <c r="G1483" s="1120">
        <v>36.95</v>
      </c>
      <c r="H1483" s="1127">
        <v>0.38</v>
      </c>
      <c r="I1483" s="1127">
        <v>0.0</v>
      </c>
      <c r="J1483" s="1127">
        <v>0.0</v>
      </c>
      <c r="K1483" s="1124"/>
    </row>
    <row r="1484" ht="15.75" customHeight="1">
      <c r="A1484" s="1119">
        <v>102689.0</v>
      </c>
      <c r="B1484" s="1125" t="s">
        <v>11762</v>
      </c>
      <c r="C1484" s="1126" t="s">
        <v>1731</v>
      </c>
      <c r="D1484" s="1119">
        <v>97.35</v>
      </c>
      <c r="E1484" s="1120">
        <v>8.96</v>
      </c>
      <c r="F1484" s="1121">
        <f t="shared" si="1"/>
        <v>88.39</v>
      </c>
      <c r="G1484" s="1120">
        <v>88.01</v>
      </c>
      <c r="H1484" s="1127">
        <v>0.38</v>
      </c>
      <c r="I1484" s="1127">
        <v>0.0</v>
      </c>
      <c r="J1484" s="1127">
        <v>0.0</v>
      </c>
      <c r="K1484" s="1124"/>
    </row>
    <row r="1485" ht="15.75" customHeight="1">
      <c r="A1485" s="1119">
        <v>102690.0</v>
      </c>
      <c r="B1485" s="1125" t="s">
        <v>11763</v>
      </c>
      <c r="C1485" s="1126" t="s">
        <v>1731</v>
      </c>
      <c r="D1485" s="1119">
        <v>61.83</v>
      </c>
      <c r="E1485" s="1120">
        <v>8.64</v>
      </c>
      <c r="F1485" s="1121">
        <f t="shared" si="1"/>
        <v>53.18</v>
      </c>
      <c r="G1485" s="1120">
        <v>52.8</v>
      </c>
      <c r="H1485" s="1127">
        <v>0.38</v>
      </c>
      <c r="I1485" s="1127">
        <v>0.0</v>
      </c>
      <c r="J1485" s="1127">
        <v>0.0</v>
      </c>
      <c r="K1485" s="1124"/>
    </row>
    <row r="1486" ht="15.75" customHeight="1">
      <c r="A1486" s="1119">
        <v>102693.0</v>
      </c>
      <c r="B1486" s="1125" t="s">
        <v>11764</v>
      </c>
      <c r="C1486" s="1126" t="s">
        <v>1731</v>
      </c>
      <c r="D1486" s="1119">
        <v>121.08</v>
      </c>
      <c r="E1486" s="1120">
        <v>9.34</v>
      </c>
      <c r="F1486" s="1121">
        <f t="shared" si="1"/>
        <v>111.74</v>
      </c>
      <c r="G1486" s="1120">
        <v>111.36</v>
      </c>
      <c r="H1486" s="1127">
        <v>0.38</v>
      </c>
      <c r="I1486" s="1127">
        <v>0.0</v>
      </c>
      <c r="J1486" s="1127">
        <v>0.0</v>
      </c>
      <c r="K1486" s="1124"/>
    </row>
    <row r="1487" ht="15.75" customHeight="1">
      <c r="A1487" s="1119">
        <v>102694.0</v>
      </c>
      <c r="B1487" s="1125" t="s">
        <v>11765</v>
      </c>
      <c r="C1487" s="1126" t="s">
        <v>1731</v>
      </c>
      <c r="D1487" s="1119">
        <v>83.33</v>
      </c>
      <c r="E1487" s="1120">
        <v>10.25</v>
      </c>
      <c r="F1487" s="1121">
        <f t="shared" si="1"/>
        <v>73.1</v>
      </c>
      <c r="G1487" s="1120">
        <v>67.44</v>
      </c>
      <c r="H1487" s="1127">
        <v>5.66</v>
      </c>
      <c r="I1487" s="1127">
        <v>0.0</v>
      </c>
      <c r="J1487" s="1127">
        <v>0.0</v>
      </c>
      <c r="K1487" s="1124"/>
    </row>
    <row r="1488" ht="15.75" customHeight="1">
      <c r="A1488" s="1119">
        <v>102696.0</v>
      </c>
      <c r="B1488" s="1125" t="s">
        <v>11766</v>
      </c>
      <c r="C1488" s="1126" t="s">
        <v>1731</v>
      </c>
      <c r="D1488" s="1119">
        <v>142.36</v>
      </c>
      <c r="E1488" s="1120">
        <v>11.4</v>
      </c>
      <c r="F1488" s="1121">
        <f t="shared" si="1"/>
        <v>130.97</v>
      </c>
      <c r="G1488" s="1120">
        <v>124.8</v>
      </c>
      <c r="H1488" s="1127">
        <v>6.17</v>
      </c>
      <c r="I1488" s="1127">
        <v>0.0</v>
      </c>
      <c r="J1488" s="1127">
        <v>0.0</v>
      </c>
      <c r="K1488" s="1124"/>
    </row>
    <row r="1489" ht="15.75" customHeight="1">
      <c r="A1489" s="1119">
        <v>102697.0</v>
      </c>
      <c r="B1489" s="1125" t="s">
        <v>11767</v>
      </c>
      <c r="C1489" s="1126" t="s">
        <v>1731</v>
      </c>
      <c r="D1489" s="1119">
        <v>96.49</v>
      </c>
      <c r="E1489" s="1120">
        <v>10.88</v>
      </c>
      <c r="F1489" s="1121">
        <f t="shared" si="1"/>
        <v>85.63</v>
      </c>
      <c r="G1489" s="1120">
        <v>79.69</v>
      </c>
      <c r="H1489" s="1127">
        <v>5.94</v>
      </c>
      <c r="I1489" s="1127">
        <v>0.0</v>
      </c>
      <c r="J1489" s="1127">
        <v>0.0</v>
      </c>
      <c r="K1489" s="1124"/>
    </row>
    <row r="1490" ht="15.75" customHeight="1">
      <c r="A1490" s="1119">
        <v>102703.0</v>
      </c>
      <c r="B1490" s="1125" t="s">
        <v>11768</v>
      </c>
      <c r="C1490" s="1126" t="s">
        <v>1731</v>
      </c>
      <c r="D1490" s="1119">
        <v>155.52</v>
      </c>
      <c r="E1490" s="1120">
        <v>12.02</v>
      </c>
      <c r="F1490" s="1121">
        <f t="shared" si="1"/>
        <v>143.52</v>
      </c>
      <c r="G1490" s="1120">
        <v>137.08</v>
      </c>
      <c r="H1490" s="1127">
        <v>6.44</v>
      </c>
      <c r="I1490" s="1127">
        <v>0.0</v>
      </c>
      <c r="J1490" s="1127">
        <v>0.0</v>
      </c>
      <c r="K1490" s="1124"/>
    </row>
    <row r="1491" ht="15.75" customHeight="1">
      <c r="A1491" s="1119">
        <v>102704.0</v>
      </c>
      <c r="B1491" s="1125" t="s">
        <v>11769</v>
      </c>
      <c r="C1491" s="1126" t="s">
        <v>1731</v>
      </c>
      <c r="D1491" s="1119">
        <v>12.48</v>
      </c>
      <c r="E1491" s="1120">
        <v>0.36</v>
      </c>
      <c r="F1491" s="1121">
        <f t="shared" si="1"/>
        <v>12.12</v>
      </c>
      <c r="G1491" s="1120">
        <v>12.12</v>
      </c>
      <c r="H1491" s="1127">
        <v>0.0</v>
      </c>
      <c r="I1491" s="1127">
        <v>0.0</v>
      </c>
      <c r="J1491" s="1127">
        <v>0.0</v>
      </c>
      <c r="K1491" s="1124"/>
    </row>
    <row r="1492" ht="15.75" customHeight="1">
      <c r="A1492" s="1119">
        <v>102705.0</v>
      </c>
      <c r="B1492" s="1125" t="s">
        <v>11770</v>
      </c>
      <c r="C1492" s="1126" t="s">
        <v>1731</v>
      </c>
      <c r="D1492" s="1119">
        <v>70.4</v>
      </c>
      <c r="E1492" s="1120">
        <v>0.36</v>
      </c>
      <c r="F1492" s="1121">
        <f t="shared" si="1"/>
        <v>70.04</v>
      </c>
      <c r="G1492" s="1120">
        <v>70.04</v>
      </c>
      <c r="H1492" s="1127">
        <v>0.0</v>
      </c>
      <c r="I1492" s="1127">
        <v>0.0</v>
      </c>
      <c r="J1492" s="1127">
        <v>0.0</v>
      </c>
      <c r="K1492" s="1124"/>
    </row>
    <row r="1493" ht="15.75" customHeight="1">
      <c r="A1493" s="1119">
        <v>102707.0</v>
      </c>
      <c r="B1493" s="1125" t="s">
        <v>11771</v>
      </c>
      <c r="C1493" s="1126" t="s">
        <v>1731</v>
      </c>
      <c r="D1493" s="1119">
        <v>24.61</v>
      </c>
      <c r="E1493" s="1120">
        <v>4.27</v>
      </c>
      <c r="F1493" s="1121">
        <f t="shared" si="1"/>
        <v>20.33</v>
      </c>
      <c r="G1493" s="1120">
        <v>20.33</v>
      </c>
      <c r="H1493" s="1127">
        <v>0.0</v>
      </c>
      <c r="I1493" s="1127">
        <v>0.0</v>
      </c>
      <c r="J1493" s="1127">
        <v>0.0</v>
      </c>
      <c r="K1493" s="1124"/>
    </row>
    <row r="1494" ht="15.75" customHeight="1">
      <c r="A1494" s="1119">
        <v>102708.0</v>
      </c>
      <c r="B1494" s="1125" t="s">
        <v>11772</v>
      </c>
      <c r="C1494" s="1126" t="s">
        <v>1788</v>
      </c>
      <c r="D1494" s="1119">
        <v>28.1</v>
      </c>
      <c r="E1494" s="1120">
        <v>14.73</v>
      </c>
      <c r="F1494" s="1121">
        <f t="shared" si="1"/>
        <v>13.39</v>
      </c>
      <c r="G1494" s="1120">
        <v>13.39</v>
      </c>
      <c r="H1494" s="1127">
        <v>0.0</v>
      </c>
      <c r="I1494" s="1127">
        <v>0.0</v>
      </c>
      <c r="J1494" s="1127">
        <v>0.0</v>
      </c>
      <c r="K1494" s="1124"/>
    </row>
    <row r="1495" ht="15.75" customHeight="1">
      <c r="A1495" s="1119">
        <v>102710.0</v>
      </c>
      <c r="B1495" s="1125" t="s">
        <v>11773</v>
      </c>
      <c r="C1495" s="1126" t="s">
        <v>1788</v>
      </c>
      <c r="D1495" s="1119">
        <v>68.64</v>
      </c>
      <c r="E1495" s="1120">
        <v>29.42</v>
      </c>
      <c r="F1495" s="1121">
        <f t="shared" si="1"/>
        <v>39.23</v>
      </c>
      <c r="G1495" s="1120">
        <v>39.23</v>
      </c>
      <c r="H1495" s="1127">
        <v>0.0</v>
      </c>
      <c r="I1495" s="1127">
        <v>0.0</v>
      </c>
      <c r="J1495" s="1127">
        <v>0.0</v>
      </c>
      <c r="K1495" s="1124"/>
    </row>
    <row r="1496" ht="15.75" customHeight="1">
      <c r="A1496" s="1119">
        <v>102711.0</v>
      </c>
      <c r="B1496" s="1125" t="s">
        <v>11774</v>
      </c>
      <c r="C1496" s="1126" t="s">
        <v>1788</v>
      </c>
      <c r="D1496" s="1119">
        <v>89.01</v>
      </c>
      <c r="E1496" s="1120">
        <v>29.41</v>
      </c>
      <c r="F1496" s="1121">
        <f t="shared" si="1"/>
        <v>59.61</v>
      </c>
      <c r="G1496" s="1120">
        <v>59.61</v>
      </c>
      <c r="H1496" s="1127">
        <v>0.0</v>
      </c>
      <c r="I1496" s="1127">
        <v>0.0</v>
      </c>
      <c r="J1496" s="1127">
        <v>0.0</v>
      </c>
      <c r="K1496" s="1124"/>
    </row>
    <row r="1497" ht="15.75" customHeight="1">
      <c r="A1497" s="1119">
        <v>102712.0</v>
      </c>
      <c r="B1497" s="1125" t="s">
        <v>11775</v>
      </c>
      <c r="C1497" s="1126" t="s">
        <v>1814</v>
      </c>
      <c r="D1497" s="1119">
        <v>9.28</v>
      </c>
      <c r="E1497" s="1120">
        <v>0.36</v>
      </c>
      <c r="F1497" s="1121">
        <f t="shared" si="1"/>
        <v>8.92</v>
      </c>
      <c r="G1497" s="1120">
        <v>8.92</v>
      </c>
      <c r="H1497" s="1127">
        <v>0.0</v>
      </c>
      <c r="I1497" s="1127">
        <v>0.0</v>
      </c>
      <c r="J1497" s="1127">
        <v>0.0</v>
      </c>
      <c r="K1497" s="1124"/>
    </row>
    <row r="1498" ht="15.75" customHeight="1">
      <c r="A1498" s="1119">
        <v>102713.0</v>
      </c>
      <c r="B1498" s="1125" t="s">
        <v>11776</v>
      </c>
      <c r="C1498" s="1126" t="s">
        <v>1814</v>
      </c>
      <c r="D1498" s="1119">
        <v>12.73</v>
      </c>
      <c r="E1498" s="1120">
        <v>0.36</v>
      </c>
      <c r="F1498" s="1121">
        <f t="shared" si="1"/>
        <v>12.37</v>
      </c>
      <c r="G1498" s="1120">
        <v>12.37</v>
      </c>
      <c r="H1498" s="1127">
        <v>0.0</v>
      </c>
      <c r="I1498" s="1127">
        <v>0.0</v>
      </c>
      <c r="J1498" s="1127">
        <v>0.0</v>
      </c>
      <c r="K1498" s="1124"/>
    </row>
    <row r="1499" ht="15.75" customHeight="1">
      <c r="A1499" s="1119">
        <v>102715.0</v>
      </c>
      <c r="B1499" s="1125" t="s">
        <v>11777</v>
      </c>
      <c r="C1499" s="1126" t="s">
        <v>1814</v>
      </c>
      <c r="D1499" s="1119">
        <v>25.11</v>
      </c>
      <c r="E1499" s="1120">
        <v>0.36</v>
      </c>
      <c r="F1499" s="1121">
        <f t="shared" si="1"/>
        <v>24.75</v>
      </c>
      <c r="G1499" s="1120">
        <v>24.75</v>
      </c>
      <c r="H1499" s="1127">
        <v>0.0</v>
      </c>
      <c r="I1499" s="1127">
        <v>0.0</v>
      </c>
      <c r="J1499" s="1127">
        <v>0.0</v>
      </c>
      <c r="K1499" s="1124"/>
    </row>
    <row r="1500" ht="15.75" customHeight="1">
      <c r="A1500" s="1119">
        <v>102716.0</v>
      </c>
      <c r="B1500" s="1125" t="s">
        <v>11778</v>
      </c>
      <c r="C1500" s="1126" t="s">
        <v>2178</v>
      </c>
      <c r="D1500" s="1119">
        <v>146.44</v>
      </c>
      <c r="E1500" s="1120">
        <v>11.13</v>
      </c>
      <c r="F1500" s="1121">
        <f t="shared" si="1"/>
        <v>135.3</v>
      </c>
      <c r="G1500" s="1120">
        <v>127.33</v>
      </c>
      <c r="H1500" s="1127">
        <v>7.97</v>
      </c>
      <c r="I1500" s="1127">
        <v>0.0</v>
      </c>
      <c r="J1500" s="1127">
        <v>0.0</v>
      </c>
      <c r="K1500" s="1124"/>
    </row>
    <row r="1501" ht="15.75" customHeight="1">
      <c r="A1501" s="1119">
        <v>102717.0</v>
      </c>
      <c r="B1501" s="1125" t="s">
        <v>11779</v>
      </c>
      <c r="C1501" s="1126" t="s">
        <v>2178</v>
      </c>
      <c r="D1501" s="1119">
        <v>97.12</v>
      </c>
      <c r="E1501" s="1120">
        <v>11.13</v>
      </c>
      <c r="F1501" s="1121">
        <f t="shared" si="1"/>
        <v>85.98</v>
      </c>
      <c r="G1501" s="1120">
        <v>78.0</v>
      </c>
      <c r="H1501" s="1127">
        <v>7.98</v>
      </c>
      <c r="I1501" s="1127">
        <v>0.0</v>
      </c>
      <c r="J1501" s="1127">
        <v>0.0</v>
      </c>
      <c r="K1501" s="1124"/>
    </row>
    <row r="1502" ht="15.75" customHeight="1">
      <c r="A1502" s="1119">
        <v>102718.0</v>
      </c>
      <c r="B1502" s="1125" t="s">
        <v>11780</v>
      </c>
      <c r="C1502" s="1126" t="s">
        <v>2178</v>
      </c>
      <c r="D1502" s="1119">
        <v>161.95</v>
      </c>
      <c r="E1502" s="1120">
        <v>28.55</v>
      </c>
      <c r="F1502" s="1121">
        <f t="shared" si="1"/>
        <v>133.41</v>
      </c>
      <c r="G1502" s="1120">
        <v>133.41</v>
      </c>
      <c r="H1502" s="1127">
        <v>0.0</v>
      </c>
      <c r="I1502" s="1127">
        <v>0.0</v>
      </c>
      <c r="J1502" s="1127">
        <v>0.0</v>
      </c>
      <c r="K1502" s="1124"/>
    </row>
    <row r="1503" ht="15.75" customHeight="1">
      <c r="A1503" s="1119">
        <v>102719.0</v>
      </c>
      <c r="B1503" s="1125" t="s">
        <v>11781</v>
      </c>
      <c r="C1503" s="1126" t="s">
        <v>2178</v>
      </c>
      <c r="D1503" s="1119">
        <v>112.63</v>
      </c>
      <c r="E1503" s="1120">
        <v>28.55</v>
      </c>
      <c r="F1503" s="1121">
        <f t="shared" si="1"/>
        <v>84.09</v>
      </c>
      <c r="G1503" s="1120">
        <v>84.09</v>
      </c>
      <c r="H1503" s="1127">
        <v>0.0</v>
      </c>
      <c r="I1503" s="1127">
        <v>0.0</v>
      </c>
      <c r="J1503" s="1127">
        <v>0.0</v>
      </c>
      <c r="K1503" s="1124"/>
    </row>
    <row r="1504" ht="15.75" customHeight="1">
      <c r="A1504" s="1119">
        <v>102722.0</v>
      </c>
      <c r="B1504" s="1125" t="s">
        <v>11782</v>
      </c>
      <c r="C1504" s="1126" t="s">
        <v>1731</v>
      </c>
      <c r="D1504" s="1119">
        <v>53.86</v>
      </c>
      <c r="E1504" s="1120">
        <v>9.3</v>
      </c>
      <c r="F1504" s="1121">
        <f t="shared" si="1"/>
        <v>44.56</v>
      </c>
      <c r="G1504" s="1120">
        <v>44.56</v>
      </c>
      <c r="H1504" s="1127">
        <v>0.0</v>
      </c>
      <c r="I1504" s="1127">
        <v>0.0</v>
      </c>
      <c r="J1504" s="1127">
        <v>0.0</v>
      </c>
      <c r="K1504" s="1124"/>
    </row>
    <row r="1505" ht="15.75" customHeight="1">
      <c r="A1505" s="1119">
        <v>102723.0</v>
      </c>
      <c r="B1505" s="1125" t="s">
        <v>11783</v>
      </c>
      <c r="C1505" s="1126" t="s">
        <v>1731</v>
      </c>
      <c r="D1505" s="1119">
        <v>54.42</v>
      </c>
      <c r="E1505" s="1120">
        <v>9.3</v>
      </c>
      <c r="F1505" s="1121">
        <f t="shared" si="1"/>
        <v>45.12</v>
      </c>
      <c r="G1505" s="1120">
        <v>45.12</v>
      </c>
      <c r="H1505" s="1127">
        <v>0.0</v>
      </c>
      <c r="I1505" s="1127">
        <v>0.0</v>
      </c>
      <c r="J1505" s="1127">
        <v>0.0</v>
      </c>
      <c r="K1505" s="1124"/>
    </row>
    <row r="1506" ht="15.75" customHeight="1">
      <c r="A1506" s="1119">
        <v>102724.0</v>
      </c>
      <c r="B1506" s="1125" t="s">
        <v>11784</v>
      </c>
      <c r="C1506" s="1126" t="s">
        <v>1788</v>
      </c>
      <c r="D1506" s="1119">
        <v>31.6</v>
      </c>
      <c r="E1506" s="1120">
        <v>8.91</v>
      </c>
      <c r="F1506" s="1121">
        <f t="shared" si="1"/>
        <v>22.7</v>
      </c>
      <c r="G1506" s="1120">
        <v>22.7</v>
      </c>
      <c r="H1506" s="1127">
        <v>0.0</v>
      </c>
      <c r="I1506" s="1127">
        <v>0.0</v>
      </c>
      <c r="J1506" s="1127">
        <v>0.0</v>
      </c>
      <c r="K1506" s="1124"/>
    </row>
    <row r="1507" ht="15.75" customHeight="1">
      <c r="A1507" s="1119">
        <v>102725.0</v>
      </c>
      <c r="B1507" s="1125" t="s">
        <v>11785</v>
      </c>
      <c r="C1507" s="1126" t="s">
        <v>1788</v>
      </c>
      <c r="D1507" s="1119">
        <v>30.84</v>
      </c>
      <c r="E1507" s="1120">
        <v>8.91</v>
      </c>
      <c r="F1507" s="1121">
        <f t="shared" si="1"/>
        <v>21.94</v>
      </c>
      <c r="G1507" s="1120">
        <v>21.94</v>
      </c>
      <c r="H1507" s="1127">
        <v>0.0</v>
      </c>
      <c r="I1507" s="1127">
        <v>0.0</v>
      </c>
      <c r="J1507" s="1127">
        <v>0.0</v>
      </c>
      <c r="K1507" s="1124"/>
    </row>
    <row r="1508" ht="15.75" customHeight="1">
      <c r="A1508" s="1119">
        <v>102726.0</v>
      </c>
      <c r="B1508" s="1125" t="s">
        <v>11786</v>
      </c>
      <c r="C1508" s="1126" t="s">
        <v>1788</v>
      </c>
      <c r="D1508" s="1119">
        <v>28.64</v>
      </c>
      <c r="E1508" s="1120">
        <v>8.91</v>
      </c>
      <c r="F1508" s="1121">
        <f t="shared" si="1"/>
        <v>19.74</v>
      </c>
      <c r="G1508" s="1120">
        <v>19.74</v>
      </c>
      <c r="H1508" s="1127">
        <v>0.0</v>
      </c>
      <c r="I1508" s="1127">
        <v>0.0</v>
      </c>
      <c r="J1508" s="1127">
        <v>0.0</v>
      </c>
      <c r="K1508" s="1124"/>
    </row>
    <row r="1509" ht="15.75" customHeight="1">
      <c r="A1509" s="1119">
        <v>103653.0</v>
      </c>
      <c r="B1509" s="1125" t="s">
        <v>11787</v>
      </c>
      <c r="C1509" s="1126" t="s">
        <v>1814</v>
      </c>
      <c r="D1509" s="1119">
        <v>29.99</v>
      </c>
      <c r="E1509" s="1120">
        <v>0.36</v>
      </c>
      <c r="F1509" s="1121">
        <f t="shared" si="1"/>
        <v>29.63</v>
      </c>
      <c r="G1509" s="1120">
        <v>29.63</v>
      </c>
      <c r="H1509" s="1127">
        <v>0.0</v>
      </c>
      <c r="I1509" s="1127">
        <v>0.0</v>
      </c>
      <c r="J1509" s="1127">
        <v>0.0</v>
      </c>
      <c r="K1509" s="1124"/>
    </row>
    <row r="1510" ht="15.75" customHeight="1">
      <c r="A1510" s="1119">
        <v>92743.0</v>
      </c>
      <c r="B1510" s="1125" t="s">
        <v>11788</v>
      </c>
      <c r="C1510" s="1126" t="s">
        <v>2178</v>
      </c>
      <c r="D1510" s="1119">
        <v>677.72</v>
      </c>
      <c r="E1510" s="1120">
        <v>129.6</v>
      </c>
      <c r="F1510" s="1121">
        <f t="shared" si="1"/>
        <v>548.12</v>
      </c>
      <c r="G1510" s="1120">
        <v>493.94</v>
      </c>
      <c r="H1510" s="1127">
        <v>54.18</v>
      </c>
      <c r="I1510" s="1127">
        <v>0.0</v>
      </c>
      <c r="J1510" s="1127">
        <v>0.0</v>
      </c>
      <c r="K1510" s="1124"/>
    </row>
    <row r="1511" ht="15.75" customHeight="1">
      <c r="A1511" s="1119">
        <v>92744.0</v>
      </c>
      <c r="B1511" s="1125" t="s">
        <v>11789</v>
      </c>
      <c r="C1511" s="1126" t="s">
        <v>2178</v>
      </c>
      <c r="D1511" s="1119">
        <v>639.5</v>
      </c>
      <c r="E1511" s="1120">
        <v>62.58</v>
      </c>
      <c r="F1511" s="1121">
        <f t="shared" si="1"/>
        <v>576.91</v>
      </c>
      <c r="G1511" s="1120">
        <v>551.77</v>
      </c>
      <c r="H1511" s="1127">
        <v>25.14</v>
      </c>
      <c r="I1511" s="1127">
        <v>0.0</v>
      </c>
      <c r="J1511" s="1127">
        <v>0.0</v>
      </c>
      <c r="K1511" s="1124"/>
    </row>
    <row r="1512" ht="15.75" customHeight="1">
      <c r="A1512" s="1119">
        <v>92745.0</v>
      </c>
      <c r="B1512" s="1125" t="s">
        <v>11790</v>
      </c>
      <c r="C1512" s="1126" t="s">
        <v>2178</v>
      </c>
      <c r="D1512" s="1119">
        <v>851.24</v>
      </c>
      <c r="E1512" s="1120">
        <v>155.96</v>
      </c>
      <c r="F1512" s="1121">
        <f t="shared" si="1"/>
        <v>695.3</v>
      </c>
      <c r="G1512" s="1120">
        <v>630.48</v>
      </c>
      <c r="H1512" s="1127">
        <v>64.82</v>
      </c>
      <c r="I1512" s="1127">
        <v>0.0</v>
      </c>
      <c r="J1512" s="1127">
        <v>0.0</v>
      </c>
      <c r="K1512" s="1124"/>
    </row>
    <row r="1513" ht="15.75" customHeight="1">
      <c r="A1513" s="1119">
        <v>92746.0</v>
      </c>
      <c r="B1513" s="1125" t="s">
        <v>11791</v>
      </c>
      <c r="C1513" s="1126" t="s">
        <v>2178</v>
      </c>
      <c r="D1513" s="1119">
        <v>768.32</v>
      </c>
      <c r="E1513" s="1120">
        <v>88.05</v>
      </c>
      <c r="F1513" s="1121">
        <f t="shared" si="1"/>
        <v>680.28</v>
      </c>
      <c r="G1513" s="1120">
        <v>643.56</v>
      </c>
      <c r="H1513" s="1127">
        <v>36.72</v>
      </c>
      <c r="I1513" s="1127">
        <v>0.0</v>
      </c>
      <c r="J1513" s="1127">
        <v>0.0</v>
      </c>
      <c r="K1513" s="1124"/>
    </row>
    <row r="1514" ht="15.75" customHeight="1">
      <c r="A1514" s="1119">
        <v>92747.0</v>
      </c>
      <c r="B1514" s="1125" t="s">
        <v>11792</v>
      </c>
      <c r="C1514" s="1126" t="s">
        <v>2178</v>
      </c>
      <c r="D1514" s="1119">
        <v>949.46</v>
      </c>
      <c r="E1514" s="1120">
        <v>171.19</v>
      </c>
      <c r="F1514" s="1121">
        <f t="shared" si="1"/>
        <v>778.26</v>
      </c>
      <c r="G1514" s="1120">
        <v>706.31</v>
      </c>
      <c r="H1514" s="1127">
        <v>71.95</v>
      </c>
      <c r="I1514" s="1127">
        <v>0.0</v>
      </c>
      <c r="J1514" s="1127">
        <v>0.0</v>
      </c>
      <c r="K1514" s="1124"/>
    </row>
    <row r="1515" ht="15.75" customHeight="1">
      <c r="A1515" s="1119">
        <v>92748.0</v>
      </c>
      <c r="B1515" s="1125" t="s">
        <v>11793</v>
      </c>
      <c r="C1515" s="1126" t="s">
        <v>2178</v>
      </c>
      <c r="D1515" s="1119">
        <v>841.61</v>
      </c>
      <c r="E1515" s="1120">
        <v>103.16</v>
      </c>
      <c r="F1515" s="1121">
        <f t="shared" si="1"/>
        <v>738.45</v>
      </c>
      <c r="G1515" s="1120">
        <v>694.03</v>
      </c>
      <c r="H1515" s="1127">
        <v>44.42</v>
      </c>
      <c r="I1515" s="1127">
        <v>0.0</v>
      </c>
      <c r="J1515" s="1127">
        <v>0.0</v>
      </c>
      <c r="K1515" s="1124"/>
    </row>
    <row r="1516" ht="15.75" customHeight="1">
      <c r="A1516" s="1119">
        <v>92749.0</v>
      </c>
      <c r="B1516" s="1125" t="s">
        <v>11794</v>
      </c>
      <c r="C1516" s="1126" t="s">
        <v>2178</v>
      </c>
      <c r="D1516" s="1119">
        <v>983.24</v>
      </c>
      <c r="E1516" s="1120">
        <v>128.13</v>
      </c>
      <c r="F1516" s="1121">
        <f t="shared" si="1"/>
        <v>855.11</v>
      </c>
      <c r="G1516" s="1120">
        <v>800.22</v>
      </c>
      <c r="H1516" s="1127">
        <v>54.89</v>
      </c>
      <c r="I1516" s="1127">
        <v>0.0</v>
      </c>
      <c r="J1516" s="1127">
        <v>0.0</v>
      </c>
      <c r="K1516" s="1124"/>
    </row>
    <row r="1517" ht="15.75" customHeight="1">
      <c r="A1517" s="1119">
        <v>92750.0</v>
      </c>
      <c r="B1517" s="1125" t="s">
        <v>11795</v>
      </c>
      <c r="C1517" s="1126" t="s">
        <v>2178</v>
      </c>
      <c r="D1517" s="1128">
        <v>1718.24</v>
      </c>
      <c r="E1517" s="1120">
        <v>176.17</v>
      </c>
      <c r="F1517" s="1121">
        <f t="shared" si="1"/>
        <v>1542.07</v>
      </c>
      <c r="G1517" s="1120">
        <v>1466.27</v>
      </c>
      <c r="H1517" s="1127">
        <v>75.8</v>
      </c>
      <c r="I1517" s="1127">
        <v>0.0</v>
      </c>
      <c r="J1517" s="1127">
        <v>0.0</v>
      </c>
      <c r="K1517" s="1124"/>
    </row>
    <row r="1518" ht="15.75" customHeight="1">
      <c r="A1518" s="1119">
        <v>92751.0</v>
      </c>
      <c r="B1518" s="1125" t="s">
        <v>11796</v>
      </c>
      <c r="C1518" s="1126" t="s">
        <v>2178</v>
      </c>
      <c r="D1518" s="1128">
        <v>2144.73</v>
      </c>
      <c r="E1518" s="1120">
        <v>203.19</v>
      </c>
      <c r="F1518" s="1121">
        <f t="shared" si="1"/>
        <v>1941.54</v>
      </c>
      <c r="G1518" s="1120">
        <v>1853.57</v>
      </c>
      <c r="H1518" s="1127">
        <v>87.97</v>
      </c>
      <c r="I1518" s="1127">
        <v>0.0</v>
      </c>
      <c r="J1518" s="1127">
        <v>0.0</v>
      </c>
      <c r="K1518" s="1124"/>
    </row>
    <row r="1519" ht="15.75" customHeight="1">
      <c r="A1519" s="1119">
        <v>92752.0</v>
      </c>
      <c r="B1519" s="1125" t="s">
        <v>11797</v>
      </c>
      <c r="C1519" s="1126" t="s">
        <v>2178</v>
      </c>
      <c r="D1519" s="1128">
        <v>2569.47</v>
      </c>
      <c r="E1519" s="1120">
        <v>229.33</v>
      </c>
      <c r="F1519" s="1121">
        <f t="shared" si="1"/>
        <v>2340.13</v>
      </c>
      <c r="G1519" s="1120">
        <v>2240.43</v>
      </c>
      <c r="H1519" s="1127">
        <v>99.7</v>
      </c>
      <c r="I1519" s="1127">
        <v>0.0</v>
      </c>
      <c r="J1519" s="1127">
        <v>0.0</v>
      </c>
      <c r="K1519" s="1124"/>
    </row>
    <row r="1520" ht="15.75" customHeight="1">
      <c r="A1520" s="1119">
        <v>92753.0</v>
      </c>
      <c r="B1520" s="1125" t="s">
        <v>11798</v>
      </c>
      <c r="C1520" s="1126" t="s">
        <v>2178</v>
      </c>
      <c r="D1520" s="1119">
        <v>665.48</v>
      </c>
      <c r="E1520" s="1120">
        <v>90.38</v>
      </c>
      <c r="F1520" s="1121">
        <f t="shared" si="1"/>
        <v>575.09</v>
      </c>
      <c r="G1520" s="1120">
        <v>529.31</v>
      </c>
      <c r="H1520" s="1127">
        <v>45.78</v>
      </c>
      <c r="I1520" s="1127">
        <v>0.0</v>
      </c>
      <c r="J1520" s="1127">
        <v>0.0</v>
      </c>
      <c r="K1520" s="1124"/>
    </row>
    <row r="1521" ht="15.75" customHeight="1">
      <c r="A1521" s="1119">
        <v>92754.0</v>
      </c>
      <c r="B1521" s="1125" t="s">
        <v>11799</v>
      </c>
      <c r="C1521" s="1126" t="s">
        <v>2178</v>
      </c>
      <c r="D1521" s="1119">
        <v>605.92</v>
      </c>
      <c r="E1521" s="1120">
        <v>83.21</v>
      </c>
      <c r="F1521" s="1121">
        <f t="shared" si="1"/>
        <v>522.7</v>
      </c>
      <c r="G1521" s="1120">
        <v>481.36</v>
      </c>
      <c r="H1521" s="1127">
        <v>41.34</v>
      </c>
      <c r="I1521" s="1127">
        <v>0.0</v>
      </c>
      <c r="J1521" s="1127">
        <v>0.0</v>
      </c>
      <c r="K1521" s="1124"/>
    </row>
    <row r="1522" ht="15.75" customHeight="1">
      <c r="A1522" s="1119">
        <v>92755.0</v>
      </c>
      <c r="B1522" s="1125" t="s">
        <v>11800</v>
      </c>
      <c r="C1522" s="1126" t="s">
        <v>1814</v>
      </c>
      <c r="D1522" s="1119">
        <v>256.16</v>
      </c>
      <c r="E1522" s="1120">
        <v>42.71</v>
      </c>
      <c r="F1522" s="1121">
        <f t="shared" si="1"/>
        <v>213.45</v>
      </c>
      <c r="G1522" s="1120">
        <v>195.33</v>
      </c>
      <c r="H1522" s="1127">
        <v>18.12</v>
      </c>
      <c r="I1522" s="1127">
        <v>0.0</v>
      </c>
      <c r="J1522" s="1127">
        <v>0.0</v>
      </c>
      <c r="K1522" s="1124"/>
    </row>
    <row r="1523" ht="15.75" customHeight="1">
      <c r="A1523" s="1119">
        <v>92756.0</v>
      </c>
      <c r="B1523" s="1125" t="s">
        <v>11801</v>
      </c>
      <c r="C1523" s="1126" t="s">
        <v>1814</v>
      </c>
      <c r="D1523" s="1119">
        <v>289.14</v>
      </c>
      <c r="E1523" s="1120">
        <v>50.7</v>
      </c>
      <c r="F1523" s="1121">
        <f t="shared" si="1"/>
        <v>238.44</v>
      </c>
      <c r="G1523" s="1120">
        <v>216.49</v>
      </c>
      <c r="H1523" s="1127">
        <v>21.95</v>
      </c>
      <c r="I1523" s="1127">
        <v>0.0</v>
      </c>
      <c r="J1523" s="1127">
        <v>0.0</v>
      </c>
      <c r="K1523" s="1124"/>
    </row>
    <row r="1524" ht="15.75" customHeight="1">
      <c r="A1524" s="1119">
        <v>92757.0</v>
      </c>
      <c r="B1524" s="1125" t="s">
        <v>11802</v>
      </c>
      <c r="C1524" s="1126" t="s">
        <v>1814</v>
      </c>
      <c r="D1524" s="1119">
        <v>329.25</v>
      </c>
      <c r="E1524" s="1120">
        <v>60.04</v>
      </c>
      <c r="F1524" s="1121">
        <f t="shared" si="1"/>
        <v>269.2</v>
      </c>
      <c r="G1524" s="1120">
        <v>242.66</v>
      </c>
      <c r="H1524" s="1127">
        <v>26.54</v>
      </c>
      <c r="I1524" s="1127">
        <v>0.0</v>
      </c>
      <c r="J1524" s="1127">
        <v>0.0</v>
      </c>
      <c r="K1524" s="1124"/>
    </row>
    <row r="1525" ht="15.75" customHeight="1">
      <c r="A1525" s="1119">
        <v>92758.0</v>
      </c>
      <c r="B1525" s="1125" t="s">
        <v>11803</v>
      </c>
      <c r="C1525" s="1126" t="s">
        <v>2178</v>
      </c>
      <c r="D1525" s="1119">
        <v>767.55</v>
      </c>
      <c r="E1525" s="1120">
        <v>96.95</v>
      </c>
      <c r="F1525" s="1121">
        <f t="shared" si="1"/>
        <v>670.6</v>
      </c>
      <c r="G1525" s="1120">
        <v>670.6</v>
      </c>
      <c r="H1525" s="1127">
        <v>0.0</v>
      </c>
      <c r="I1525" s="1127">
        <v>0.0</v>
      </c>
      <c r="J1525" s="1127">
        <v>0.0</v>
      </c>
      <c r="K1525" s="1124"/>
    </row>
    <row r="1526" ht="15.75" customHeight="1">
      <c r="A1526" s="1119">
        <v>91069.0</v>
      </c>
      <c r="B1526" s="1125" t="s">
        <v>11804</v>
      </c>
      <c r="C1526" s="1126" t="s">
        <v>1814</v>
      </c>
      <c r="D1526" s="1119">
        <v>115.59</v>
      </c>
      <c r="E1526" s="1120">
        <v>25.07</v>
      </c>
      <c r="F1526" s="1121">
        <f t="shared" si="1"/>
        <v>90.53</v>
      </c>
      <c r="G1526" s="1120">
        <v>84.3</v>
      </c>
      <c r="H1526" s="1127">
        <v>5.75</v>
      </c>
      <c r="I1526" s="1127">
        <v>0.0</v>
      </c>
      <c r="J1526" s="1127">
        <v>0.48</v>
      </c>
      <c r="K1526" s="1124"/>
    </row>
    <row r="1527" ht="15.75" customHeight="1">
      <c r="A1527" s="1119">
        <v>91070.0</v>
      </c>
      <c r="B1527" s="1125" t="s">
        <v>11805</v>
      </c>
      <c r="C1527" s="1126" t="s">
        <v>1814</v>
      </c>
      <c r="D1527" s="1119">
        <v>128.1</v>
      </c>
      <c r="E1527" s="1120">
        <v>26.58</v>
      </c>
      <c r="F1527" s="1121">
        <f t="shared" si="1"/>
        <v>101.54</v>
      </c>
      <c r="G1527" s="1120">
        <v>94.85</v>
      </c>
      <c r="H1527" s="1127">
        <v>6.15</v>
      </c>
      <c r="I1527" s="1127">
        <v>0.0</v>
      </c>
      <c r="J1527" s="1127">
        <v>0.54</v>
      </c>
      <c r="K1527" s="1124"/>
    </row>
    <row r="1528" ht="15.75" customHeight="1">
      <c r="A1528" s="1119">
        <v>91071.0</v>
      </c>
      <c r="B1528" s="1125" t="s">
        <v>11806</v>
      </c>
      <c r="C1528" s="1126" t="s">
        <v>1814</v>
      </c>
      <c r="D1528" s="1119">
        <v>167.64</v>
      </c>
      <c r="E1528" s="1120">
        <v>59.79</v>
      </c>
      <c r="F1528" s="1121">
        <f t="shared" si="1"/>
        <v>107.87</v>
      </c>
      <c r="G1528" s="1120">
        <v>96.73</v>
      </c>
      <c r="H1528" s="1127">
        <v>10.63</v>
      </c>
      <c r="I1528" s="1127">
        <v>0.0</v>
      </c>
      <c r="J1528" s="1127">
        <v>0.51</v>
      </c>
      <c r="K1528" s="1124"/>
    </row>
    <row r="1529" ht="15.75" customHeight="1">
      <c r="A1529" s="1119">
        <v>91072.0</v>
      </c>
      <c r="B1529" s="1125" t="s">
        <v>11807</v>
      </c>
      <c r="C1529" s="1126" t="s">
        <v>1814</v>
      </c>
      <c r="D1529" s="1119">
        <v>180.18</v>
      </c>
      <c r="E1529" s="1120">
        <v>61.41</v>
      </c>
      <c r="F1529" s="1121">
        <f t="shared" si="1"/>
        <v>118.8</v>
      </c>
      <c r="G1529" s="1120">
        <v>107.25</v>
      </c>
      <c r="H1529" s="1127">
        <v>10.98</v>
      </c>
      <c r="I1529" s="1127">
        <v>0.0</v>
      </c>
      <c r="J1529" s="1127">
        <v>0.57</v>
      </c>
      <c r="K1529" s="1124"/>
    </row>
    <row r="1530" ht="15.75" customHeight="1">
      <c r="A1530" s="1119">
        <v>91073.0</v>
      </c>
      <c r="B1530" s="1125" t="s">
        <v>11808</v>
      </c>
      <c r="C1530" s="1126" t="s">
        <v>1814</v>
      </c>
      <c r="D1530" s="1119">
        <v>133.45</v>
      </c>
      <c r="E1530" s="1120">
        <v>38.28</v>
      </c>
      <c r="F1530" s="1121">
        <f t="shared" si="1"/>
        <v>95.2</v>
      </c>
      <c r="G1530" s="1120">
        <v>88.95</v>
      </c>
      <c r="H1530" s="1127">
        <v>5.36</v>
      </c>
      <c r="I1530" s="1127">
        <v>0.0</v>
      </c>
      <c r="J1530" s="1127">
        <v>0.89</v>
      </c>
      <c r="K1530" s="1124"/>
    </row>
    <row r="1531" ht="15.75" customHeight="1">
      <c r="A1531" s="1119">
        <v>91074.0</v>
      </c>
      <c r="B1531" s="1125" t="s">
        <v>11809</v>
      </c>
      <c r="C1531" s="1126" t="s">
        <v>1814</v>
      </c>
      <c r="D1531" s="1119">
        <v>147.85</v>
      </c>
      <c r="E1531" s="1120">
        <v>41.12</v>
      </c>
      <c r="F1531" s="1121">
        <f t="shared" si="1"/>
        <v>106.74</v>
      </c>
      <c r="G1531" s="1120">
        <v>99.94</v>
      </c>
      <c r="H1531" s="1127">
        <v>5.82</v>
      </c>
      <c r="I1531" s="1127">
        <v>0.0</v>
      </c>
      <c r="J1531" s="1127">
        <v>0.98</v>
      </c>
      <c r="K1531" s="1124"/>
    </row>
    <row r="1532" ht="15.75" customHeight="1">
      <c r="A1532" s="1119">
        <v>91075.0</v>
      </c>
      <c r="B1532" s="1125" t="s">
        <v>11810</v>
      </c>
      <c r="C1532" s="1126" t="s">
        <v>1814</v>
      </c>
      <c r="D1532" s="1119">
        <v>188.84</v>
      </c>
      <c r="E1532" s="1120">
        <v>76.88</v>
      </c>
      <c r="F1532" s="1121">
        <f t="shared" si="1"/>
        <v>111.95</v>
      </c>
      <c r="G1532" s="1120">
        <v>102.66</v>
      </c>
      <c r="H1532" s="1127">
        <v>8.35</v>
      </c>
      <c r="I1532" s="1127">
        <v>0.0</v>
      </c>
      <c r="J1532" s="1127">
        <v>0.94</v>
      </c>
      <c r="K1532" s="1124"/>
    </row>
    <row r="1533" ht="15.75" customHeight="1">
      <c r="A1533" s="1119">
        <v>91076.0</v>
      </c>
      <c r="B1533" s="1125" t="s">
        <v>11811</v>
      </c>
      <c r="C1533" s="1126" t="s">
        <v>1814</v>
      </c>
      <c r="D1533" s="1119">
        <v>203.29</v>
      </c>
      <c r="E1533" s="1120">
        <v>79.89</v>
      </c>
      <c r="F1533" s="1121">
        <f t="shared" si="1"/>
        <v>123.41</v>
      </c>
      <c r="G1533" s="1120">
        <v>113.64</v>
      </c>
      <c r="H1533" s="1127">
        <v>8.74</v>
      </c>
      <c r="I1533" s="1127">
        <v>0.0</v>
      </c>
      <c r="J1533" s="1127">
        <v>1.03</v>
      </c>
      <c r="K1533" s="1124"/>
    </row>
    <row r="1534" ht="15.75" customHeight="1">
      <c r="A1534" s="1119">
        <v>91077.0</v>
      </c>
      <c r="B1534" s="1125" t="s">
        <v>11812</v>
      </c>
      <c r="C1534" s="1126" t="s">
        <v>1814</v>
      </c>
      <c r="D1534" s="1119">
        <v>134.15</v>
      </c>
      <c r="E1534" s="1120">
        <v>17.27</v>
      </c>
      <c r="F1534" s="1121">
        <f t="shared" si="1"/>
        <v>116.88</v>
      </c>
      <c r="G1534" s="1120">
        <v>112.07</v>
      </c>
      <c r="H1534" s="1127">
        <v>4.28</v>
      </c>
      <c r="I1534" s="1127">
        <v>0.0</v>
      </c>
      <c r="J1534" s="1127">
        <v>0.53</v>
      </c>
      <c r="K1534" s="1124"/>
    </row>
    <row r="1535" ht="15.75" customHeight="1">
      <c r="A1535" s="1119">
        <v>91078.0</v>
      </c>
      <c r="B1535" s="1125" t="s">
        <v>11813</v>
      </c>
      <c r="C1535" s="1126" t="s">
        <v>1814</v>
      </c>
      <c r="D1535" s="1119">
        <v>157.28</v>
      </c>
      <c r="E1535" s="1120">
        <v>18.59</v>
      </c>
      <c r="F1535" s="1121">
        <f t="shared" si="1"/>
        <v>138.7</v>
      </c>
      <c r="G1535" s="1120">
        <v>133.45</v>
      </c>
      <c r="H1535" s="1127">
        <v>4.65</v>
      </c>
      <c r="I1535" s="1127">
        <v>0.0</v>
      </c>
      <c r="J1535" s="1127">
        <v>0.6</v>
      </c>
      <c r="K1535" s="1124"/>
    </row>
    <row r="1536" ht="15.75" customHeight="1">
      <c r="A1536" s="1119">
        <v>91079.0</v>
      </c>
      <c r="B1536" s="1125" t="s">
        <v>11814</v>
      </c>
      <c r="C1536" s="1126" t="s">
        <v>1814</v>
      </c>
      <c r="D1536" s="1119">
        <v>141.48</v>
      </c>
      <c r="E1536" s="1120">
        <v>22.15</v>
      </c>
      <c r="F1536" s="1121">
        <f t="shared" si="1"/>
        <v>119.35</v>
      </c>
      <c r="G1536" s="1120">
        <v>114.14</v>
      </c>
      <c r="H1536" s="1127">
        <v>4.63</v>
      </c>
      <c r="I1536" s="1127">
        <v>0.0</v>
      </c>
      <c r="J1536" s="1127">
        <v>0.58</v>
      </c>
      <c r="K1536" s="1124"/>
    </row>
    <row r="1537" ht="15.75" customHeight="1">
      <c r="A1537" s="1119">
        <v>91080.0</v>
      </c>
      <c r="B1537" s="1125" t="s">
        <v>11815</v>
      </c>
      <c r="C1537" s="1126" t="s">
        <v>1814</v>
      </c>
      <c r="D1537" s="1119">
        <v>164.39</v>
      </c>
      <c r="E1537" s="1120">
        <v>23.46</v>
      </c>
      <c r="F1537" s="1121">
        <f t="shared" si="1"/>
        <v>140.96</v>
      </c>
      <c r="G1537" s="1120">
        <v>135.41</v>
      </c>
      <c r="H1537" s="1127">
        <v>4.92</v>
      </c>
      <c r="I1537" s="1127">
        <v>0.0</v>
      </c>
      <c r="J1537" s="1127">
        <v>0.63</v>
      </c>
      <c r="K1537" s="1124"/>
    </row>
    <row r="1538" ht="15.75" customHeight="1">
      <c r="A1538" s="1119">
        <v>91081.0</v>
      </c>
      <c r="B1538" s="1125" t="s">
        <v>11816</v>
      </c>
      <c r="C1538" s="1126" t="s">
        <v>1814</v>
      </c>
      <c r="D1538" s="1119">
        <v>154.13</v>
      </c>
      <c r="E1538" s="1120">
        <v>31.44</v>
      </c>
      <c r="F1538" s="1121">
        <f t="shared" si="1"/>
        <v>122.69</v>
      </c>
      <c r="G1538" s="1120">
        <v>117.04</v>
      </c>
      <c r="H1538" s="1127">
        <v>4.68</v>
      </c>
      <c r="I1538" s="1127">
        <v>0.0</v>
      </c>
      <c r="J1538" s="1127">
        <v>0.97</v>
      </c>
      <c r="K1538" s="1124"/>
    </row>
    <row r="1539" ht="15.75" customHeight="1">
      <c r="A1539" s="1119">
        <v>91082.0</v>
      </c>
      <c r="B1539" s="1125" t="s">
        <v>11817</v>
      </c>
      <c r="C1539" s="1126" t="s">
        <v>1814</v>
      </c>
      <c r="D1539" s="1119">
        <v>178.88</v>
      </c>
      <c r="E1539" s="1120">
        <v>33.93</v>
      </c>
      <c r="F1539" s="1121">
        <f t="shared" si="1"/>
        <v>144.96</v>
      </c>
      <c r="G1539" s="1120">
        <v>138.84</v>
      </c>
      <c r="H1539" s="1127">
        <v>5.06</v>
      </c>
      <c r="I1539" s="1127">
        <v>0.0</v>
      </c>
      <c r="J1539" s="1127">
        <v>1.06</v>
      </c>
      <c r="K1539" s="1124"/>
    </row>
    <row r="1540" ht="15.75" customHeight="1">
      <c r="A1540" s="1119">
        <v>91083.0</v>
      </c>
      <c r="B1540" s="1125" t="s">
        <v>11818</v>
      </c>
      <c r="C1540" s="1126" t="s">
        <v>1814</v>
      </c>
      <c r="D1540" s="1119">
        <v>167.16</v>
      </c>
      <c r="E1540" s="1120">
        <v>40.61</v>
      </c>
      <c r="F1540" s="1121">
        <f t="shared" si="1"/>
        <v>126.56</v>
      </c>
      <c r="G1540" s="1120">
        <v>120.5</v>
      </c>
      <c r="H1540" s="1127">
        <v>5.02</v>
      </c>
      <c r="I1540" s="1127">
        <v>0.0</v>
      </c>
      <c r="J1540" s="1127">
        <v>1.04</v>
      </c>
      <c r="K1540" s="1124"/>
    </row>
    <row r="1541" ht="15.75" customHeight="1">
      <c r="A1541" s="1119">
        <v>91084.0</v>
      </c>
      <c r="B1541" s="1125" t="s">
        <v>11819</v>
      </c>
      <c r="C1541" s="1126" t="s">
        <v>1814</v>
      </c>
      <c r="D1541" s="1119">
        <v>191.67</v>
      </c>
      <c r="E1541" s="1120">
        <v>43.03</v>
      </c>
      <c r="F1541" s="1121">
        <f t="shared" si="1"/>
        <v>148.65</v>
      </c>
      <c r="G1541" s="1120">
        <v>142.18</v>
      </c>
      <c r="H1541" s="1127">
        <v>5.34</v>
      </c>
      <c r="I1541" s="1127">
        <v>0.0</v>
      </c>
      <c r="J1541" s="1127">
        <v>1.13</v>
      </c>
      <c r="K1541" s="1124"/>
    </row>
    <row r="1542" ht="15.75" customHeight="1">
      <c r="A1542" s="1119">
        <v>91086.0</v>
      </c>
      <c r="B1542" s="1125" t="s">
        <v>11820</v>
      </c>
      <c r="C1542" s="1126" t="s">
        <v>1814</v>
      </c>
      <c r="D1542" s="1119">
        <v>129.11</v>
      </c>
      <c r="E1542" s="1120">
        <v>33.78</v>
      </c>
      <c r="F1542" s="1121">
        <f t="shared" si="1"/>
        <v>95.34</v>
      </c>
      <c r="G1542" s="1120">
        <v>87.58</v>
      </c>
      <c r="H1542" s="1127">
        <v>7.32</v>
      </c>
      <c r="I1542" s="1127">
        <v>0.0</v>
      </c>
      <c r="J1542" s="1127">
        <v>0.44</v>
      </c>
      <c r="K1542" s="1124"/>
    </row>
    <row r="1543" ht="15.75" customHeight="1">
      <c r="A1543" s="1119">
        <v>91087.0</v>
      </c>
      <c r="B1543" s="1125" t="s">
        <v>11821</v>
      </c>
      <c r="C1543" s="1126" t="s">
        <v>1814</v>
      </c>
      <c r="D1543" s="1119">
        <v>142.02</v>
      </c>
      <c r="E1543" s="1120">
        <v>35.47</v>
      </c>
      <c r="F1543" s="1121">
        <f t="shared" si="1"/>
        <v>106.57</v>
      </c>
      <c r="G1543" s="1120">
        <v>98.27</v>
      </c>
      <c r="H1543" s="1127">
        <v>7.8</v>
      </c>
      <c r="I1543" s="1127">
        <v>0.0</v>
      </c>
      <c r="J1543" s="1127">
        <v>0.5</v>
      </c>
      <c r="K1543" s="1124"/>
    </row>
    <row r="1544" ht="15.75" customHeight="1">
      <c r="A1544" s="1119">
        <v>91088.0</v>
      </c>
      <c r="B1544" s="1125" t="s">
        <v>11822</v>
      </c>
      <c r="C1544" s="1126" t="s">
        <v>1814</v>
      </c>
      <c r="D1544" s="1119">
        <v>183.1</v>
      </c>
      <c r="E1544" s="1120">
        <v>70.03</v>
      </c>
      <c r="F1544" s="1121">
        <f t="shared" si="1"/>
        <v>113.09</v>
      </c>
      <c r="G1544" s="1120">
        <v>100.45</v>
      </c>
      <c r="H1544" s="1127">
        <v>12.17</v>
      </c>
      <c r="I1544" s="1127">
        <v>0.0</v>
      </c>
      <c r="J1544" s="1127">
        <v>0.47</v>
      </c>
      <c r="K1544" s="1124"/>
    </row>
    <row r="1545" ht="15.75" customHeight="1">
      <c r="A1545" s="1119">
        <v>91089.0</v>
      </c>
      <c r="B1545" s="1125" t="s">
        <v>11823</v>
      </c>
      <c r="C1545" s="1126" t="s">
        <v>1814</v>
      </c>
      <c r="D1545" s="1119">
        <v>196.22</v>
      </c>
      <c r="E1545" s="1120">
        <v>71.96</v>
      </c>
      <c r="F1545" s="1121">
        <f t="shared" si="1"/>
        <v>124.27</v>
      </c>
      <c r="G1545" s="1120">
        <v>111.16</v>
      </c>
      <c r="H1545" s="1127">
        <v>12.59</v>
      </c>
      <c r="I1545" s="1127">
        <v>0.0</v>
      </c>
      <c r="J1545" s="1127">
        <v>0.52</v>
      </c>
      <c r="K1545" s="1124"/>
    </row>
    <row r="1546" ht="15.75" customHeight="1">
      <c r="A1546" s="1119">
        <v>91090.0</v>
      </c>
      <c r="B1546" s="1125" t="s">
        <v>11824</v>
      </c>
      <c r="C1546" s="1126" t="s">
        <v>1814</v>
      </c>
      <c r="D1546" s="1119">
        <v>144.49</v>
      </c>
      <c r="E1546" s="1120">
        <v>45.79</v>
      </c>
      <c r="F1546" s="1121">
        <f t="shared" si="1"/>
        <v>98.73</v>
      </c>
      <c r="G1546" s="1120">
        <v>91.81</v>
      </c>
      <c r="H1546" s="1127">
        <v>6.11</v>
      </c>
      <c r="I1546" s="1127">
        <v>0.0</v>
      </c>
      <c r="J1546" s="1127">
        <v>0.81</v>
      </c>
      <c r="K1546" s="1124"/>
    </row>
    <row r="1547" ht="15.75" customHeight="1">
      <c r="A1547" s="1119">
        <v>91091.0</v>
      </c>
      <c r="B1547" s="1125" t="s">
        <v>11825</v>
      </c>
      <c r="C1547" s="1126" t="s">
        <v>1814</v>
      </c>
      <c r="D1547" s="1119">
        <v>159.47</v>
      </c>
      <c r="E1547" s="1120">
        <v>48.97</v>
      </c>
      <c r="F1547" s="1121">
        <f t="shared" si="1"/>
        <v>110.51</v>
      </c>
      <c r="G1547" s="1120">
        <v>102.98</v>
      </c>
      <c r="H1547" s="1127">
        <v>6.61</v>
      </c>
      <c r="I1547" s="1127">
        <v>0.0</v>
      </c>
      <c r="J1547" s="1127">
        <v>0.92</v>
      </c>
      <c r="K1547" s="1124"/>
    </row>
    <row r="1548" ht="15.75" customHeight="1">
      <c r="A1548" s="1119">
        <v>91092.0</v>
      </c>
      <c r="B1548" s="1125" t="s">
        <v>11826</v>
      </c>
      <c r="C1548" s="1126" t="s">
        <v>1814</v>
      </c>
      <c r="D1548" s="1119">
        <v>201.17</v>
      </c>
      <c r="E1548" s="1120">
        <v>85.47</v>
      </c>
      <c r="F1548" s="1121">
        <f t="shared" si="1"/>
        <v>115.7</v>
      </c>
      <c r="G1548" s="1120">
        <v>105.77</v>
      </c>
      <c r="H1548" s="1127">
        <v>9.07</v>
      </c>
      <c r="I1548" s="1127">
        <v>0.0</v>
      </c>
      <c r="J1548" s="1127">
        <v>0.86</v>
      </c>
      <c r="K1548" s="1124"/>
    </row>
    <row r="1549" ht="15.75" customHeight="1">
      <c r="A1549" s="1119">
        <v>91093.0</v>
      </c>
      <c r="B1549" s="1125" t="s">
        <v>11827</v>
      </c>
      <c r="C1549" s="1126" t="s">
        <v>1814</v>
      </c>
      <c r="D1549" s="1119">
        <v>216.62</v>
      </c>
      <c r="E1549" s="1120">
        <v>89.05</v>
      </c>
      <c r="F1549" s="1121">
        <f t="shared" si="1"/>
        <v>127.58</v>
      </c>
      <c r="G1549" s="1120">
        <v>117.13</v>
      </c>
      <c r="H1549" s="1127">
        <v>9.5</v>
      </c>
      <c r="I1549" s="1127">
        <v>0.0</v>
      </c>
      <c r="J1549" s="1127">
        <v>0.95</v>
      </c>
      <c r="K1549" s="1124"/>
    </row>
    <row r="1550" ht="15.75" customHeight="1">
      <c r="A1550" s="1119">
        <v>91094.0</v>
      </c>
      <c r="B1550" s="1125" t="s">
        <v>11828</v>
      </c>
      <c r="C1550" s="1126" t="s">
        <v>1814</v>
      </c>
      <c r="D1550" s="1119">
        <v>142.58</v>
      </c>
      <c r="E1550" s="1120">
        <v>23.15</v>
      </c>
      <c r="F1550" s="1121">
        <f t="shared" si="1"/>
        <v>119.44</v>
      </c>
      <c r="G1550" s="1120">
        <v>113.62</v>
      </c>
      <c r="H1550" s="1127">
        <v>5.33</v>
      </c>
      <c r="I1550" s="1127">
        <v>0.0</v>
      </c>
      <c r="J1550" s="1127">
        <v>0.49</v>
      </c>
      <c r="K1550" s="1124"/>
    </row>
    <row r="1551" ht="15.75" customHeight="1">
      <c r="A1551" s="1119">
        <v>91095.0</v>
      </c>
      <c r="B1551" s="1125" t="s">
        <v>11829</v>
      </c>
      <c r="C1551" s="1126" t="s">
        <v>1814</v>
      </c>
      <c r="D1551" s="1119">
        <v>166.17</v>
      </c>
      <c r="E1551" s="1120">
        <v>24.7</v>
      </c>
      <c r="F1551" s="1121">
        <f t="shared" si="1"/>
        <v>141.47</v>
      </c>
      <c r="G1551" s="1120">
        <v>135.16</v>
      </c>
      <c r="H1551" s="1127">
        <v>5.76</v>
      </c>
      <c r="I1551" s="1127">
        <v>0.0</v>
      </c>
      <c r="J1551" s="1127">
        <v>0.55</v>
      </c>
      <c r="K1551" s="1124"/>
    </row>
    <row r="1552" ht="15.75" customHeight="1">
      <c r="A1552" s="1119">
        <v>91096.0</v>
      </c>
      <c r="B1552" s="1125" t="s">
        <v>11830</v>
      </c>
      <c r="C1552" s="1126" t="s">
        <v>1814</v>
      </c>
      <c r="D1552" s="1119">
        <v>146.24</v>
      </c>
      <c r="E1552" s="1120">
        <v>25.84</v>
      </c>
      <c r="F1552" s="1121">
        <f t="shared" si="1"/>
        <v>120.4</v>
      </c>
      <c r="G1552" s="1120">
        <v>114.77</v>
      </c>
      <c r="H1552" s="1127">
        <v>5.11</v>
      </c>
      <c r="I1552" s="1127">
        <v>0.0</v>
      </c>
      <c r="J1552" s="1127">
        <v>0.52</v>
      </c>
      <c r="K1552" s="1124"/>
    </row>
    <row r="1553" ht="15.75" customHeight="1">
      <c r="A1553" s="1119">
        <v>91097.0</v>
      </c>
      <c r="B1553" s="1125" t="s">
        <v>11831</v>
      </c>
      <c r="C1553" s="1126" t="s">
        <v>1814</v>
      </c>
      <c r="D1553" s="1119">
        <v>169.64</v>
      </c>
      <c r="E1553" s="1120">
        <v>27.38</v>
      </c>
      <c r="F1553" s="1121">
        <f t="shared" si="1"/>
        <v>142.26</v>
      </c>
      <c r="G1553" s="1120">
        <v>136.22</v>
      </c>
      <c r="H1553" s="1127">
        <v>5.46</v>
      </c>
      <c r="I1553" s="1127">
        <v>0.0</v>
      </c>
      <c r="J1553" s="1127">
        <v>0.58</v>
      </c>
      <c r="K1553" s="1124"/>
    </row>
    <row r="1554" ht="15.75" customHeight="1">
      <c r="A1554" s="1119">
        <v>91098.0</v>
      </c>
      <c r="B1554" s="1125" t="s">
        <v>11832</v>
      </c>
      <c r="C1554" s="1126" t="s">
        <v>1814</v>
      </c>
      <c r="D1554" s="1119">
        <v>162.39</v>
      </c>
      <c r="E1554" s="1120">
        <v>37.57</v>
      </c>
      <c r="F1554" s="1121">
        <f t="shared" si="1"/>
        <v>124.83</v>
      </c>
      <c r="G1554" s="1120">
        <v>118.71</v>
      </c>
      <c r="H1554" s="1127">
        <v>5.24</v>
      </c>
      <c r="I1554" s="1127">
        <v>0.0</v>
      </c>
      <c r="J1554" s="1127">
        <v>0.88</v>
      </c>
      <c r="K1554" s="1124"/>
    </row>
    <row r="1555" ht="15.75" customHeight="1">
      <c r="A1555" s="1119">
        <v>91099.0</v>
      </c>
      <c r="B1555" s="1125" t="s">
        <v>11833</v>
      </c>
      <c r="C1555" s="1126" t="s">
        <v>1814</v>
      </c>
      <c r="D1555" s="1119">
        <v>187.75</v>
      </c>
      <c r="E1555" s="1120">
        <v>40.39</v>
      </c>
      <c r="F1555" s="1121">
        <f t="shared" si="1"/>
        <v>147.37</v>
      </c>
      <c r="G1555" s="1120">
        <v>140.69</v>
      </c>
      <c r="H1555" s="1127">
        <v>5.69</v>
      </c>
      <c r="I1555" s="1127">
        <v>0.0</v>
      </c>
      <c r="J1555" s="1127">
        <v>0.99</v>
      </c>
      <c r="K1555" s="1124"/>
    </row>
    <row r="1556" ht="15.75" customHeight="1">
      <c r="A1556" s="1119">
        <v>91100.0</v>
      </c>
      <c r="B1556" s="1125" t="s">
        <v>11834</v>
      </c>
      <c r="C1556" s="1126" t="s">
        <v>1814</v>
      </c>
      <c r="D1556" s="1119">
        <v>172.75</v>
      </c>
      <c r="E1556" s="1120">
        <v>45.08</v>
      </c>
      <c r="F1556" s="1121">
        <f t="shared" si="1"/>
        <v>127.68</v>
      </c>
      <c r="G1556" s="1120">
        <v>121.45</v>
      </c>
      <c r="H1556" s="1127">
        <v>5.29</v>
      </c>
      <c r="I1556" s="1127">
        <v>0.0</v>
      </c>
      <c r="J1556" s="1127">
        <v>0.94</v>
      </c>
      <c r="K1556" s="1124"/>
    </row>
    <row r="1557" ht="15.75" customHeight="1">
      <c r="A1557" s="1119">
        <v>91101.0</v>
      </c>
      <c r="B1557" s="1125" t="s">
        <v>11835</v>
      </c>
      <c r="C1557" s="1126" t="s">
        <v>1814</v>
      </c>
      <c r="D1557" s="1119">
        <v>198.01</v>
      </c>
      <c r="E1557" s="1120">
        <v>47.92</v>
      </c>
      <c r="F1557" s="1121">
        <f t="shared" si="1"/>
        <v>150.1</v>
      </c>
      <c r="G1557" s="1120">
        <v>143.36</v>
      </c>
      <c r="H1557" s="1127">
        <v>5.7</v>
      </c>
      <c r="I1557" s="1127">
        <v>0.0</v>
      </c>
      <c r="J1557" s="1127">
        <v>1.04</v>
      </c>
      <c r="K1557" s="1124"/>
    </row>
    <row r="1558" ht="15.75" customHeight="1">
      <c r="A1558" s="1119">
        <v>93952.0</v>
      </c>
      <c r="B1558" s="1125" t="s">
        <v>11836</v>
      </c>
      <c r="C1558" s="1126" t="s">
        <v>1731</v>
      </c>
      <c r="D1558" s="1119">
        <v>232.31</v>
      </c>
      <c r="E1558" s="1120">
        <v>104.48</v>
      </c>
      <c r="F1558" s="1121">
        <f t="shared" si="1"/>
        <v>127.87</v>
      </c>
      <c r="G1558" s="1120">
        <v>93.76</v>
      </c>
      <c r="H1558" s="1127">
        <v>33.03</v>
      </c>
      <c r="I1558" s="1127">
        <v>0.0</v>
      </c>
      <c r="J1558" s="1127">
        <v>1.08</v>
      </c>
      <c r="K1558" s="1124"/>
    </row>
    <row r="1559" ht="15.75" customHeight="1">
      <c r="A1559" s="1119">
        <v>93953.0</v>
      </c>
      <c r="B1559" s="1125" t="s">
        <v>11837</v>
      </c>
      <c r="C1559" s="1126" t="s">
        <v>1731</v>
      </c>
      <c r="D1559" s="1119">
        <v>214.55</v>
      </c>
      <c r="E1559" s="1120">
        <v>93.15</v>
      </c>
      <c r="F1559" s="1121">
        <f t="shared" si="1"/>
        <v>121.45</v>
      </c>
      <c r="G1559" s="1120">
        <v>90.79</v>
      </c>
      <c r="H1559" s="1127">
        <v>29.64</v>
      </c>
      <c r="I1559" s="1127">
        <v>0.0</v>
      </c>
      <c r="J1559" s="1127">
        <v>1.02</v>
      </c>
      <c r="K1559" s="1124"/>
    </row>
    <row r="1560" ht="15.75" customHeight="1">
      <c r="A1560" s="1119">
        <v>93954.0</v>
      </c>
      <c r="B1560" s="1125" t="s">
        <v>11838</v>
      </c>
      <c r="C1560" s="1126" t="s">
        <v>1731</v>
      </c>
      <c r="D1560" s="1119">
        <v>203.94</v>
      </c>
      <c r="E1560" s="1120">
        <v>86.43</v>
      </c>
      <c r="F1560" s="1121">
        <f t="shared" si="1"/>
        <v>117.51</v>
      </c>
      <c r="G1560" s="1120">
        <v>88.91</v>
      </c>
      <c r="H1560" s="1127">
        <v>27.62</v>
      </c>
      <c r="I1560" s="1127">
        <v>0.0</v>
      </c>
      <c r="J1560" s="1127">
        <v>0.98</v>
      </c>
      <c r="K1560" s="1124"/>
    </row>
    <row r="1561" ht="15.75" customHeight="1">
      <c r="A1561" s="1119">
        <v>93955.0</v>
      </c>
      <c r="B1561" s="1125" t="s">
        <v>11839</v>
      </c>
      <c r="C1561" s="1126" t="s">
        <v>1731</v>
      </c>
      <c r="D1561" s="1119">
        <v>196.49</v>
      </c>
      <c r="E1561" s="1120">
        <v>81.81</v>
      </c>
      <c r="F1561" s="1121">
        <f t="shared" si="1"/>
        <v>114.7</v>
      </c>
      <c r="G1561" s="1120">
        <v>87.58</v>
      </c>
      <c r="H1561" s="1127">
        <v>26.17</v>
      </c>
      <c r="I1561" s="1127">
        <v>0.0</v>
      </c>
      <c r="J1561" s="1127">
        <v>0.95</v>
      </c>
      <c r="K1561" s="1124"/>
    </row>
    <row r="1562" ht="15.75" customHeight="1">
      <c r="A1562" s="1119">
        <v>93956.0</v>
      </c>
      <c r="B1562" s="1125" t="s">
        <v>11840</v>
      </c>
      <c r="C1562" s="1126" t="s">
        <v>1731</v>
      </c>
      <c r="D1562" s="1119">
        <v>190.58</v>
      </c>
      <c r="E1562" s="1120">
        <v>78.17</v>
      </c>
      <c r="F1562" s="1121">
        <f t="shared" si="1"/>
        <v>112.46</v>
      </c>
      <c r="G1562" s="1120">
        <v>86.45</v>
      </c>
      <c r="H1562" s="1127">
        <v>25.09</v>
      </c>
      <c r="I1562" s="1127">
        <v>0.0</v>
      </c>
      <c r="J1562" s="1127">
        <v>0.92</v>
      </c>
      <c r="K1562" s="1124"/>
    </row>
    <row r="1563" ht="15.75" customHeight="1">
      <c r="A1563" s="1119">
        <v>93957.0</v>
      </c>
      <c r="B1563" s="1125" t="s">
        <v>11841</v>
      </c>
      <c r="C1563" s="1126" t="s">
        <v>1731</v>
      </c>
      <c r="D1563" s="1119">
        <v>245.5</v>
      </c>
      <c r="E1563" s="1120">
        <v>106.41</v>
      </c>
      <c r="F1563" s="1121">
        <f t="shared" si="1"/>
        <v>139.14</v>
      </c>
      <c r="G1563" s="1120">
        <v>104.56</v>
      </c>
      <c r="H1563" s="1127">
        <v>33.5</v>
      </c>
      <c r="I1563" s="1127">
        <v>0.0</v>
      </c>
      <c r="J1563" s="1127">
        <v>1.08</v>
      </c>
      <c r="K1563" s="1124"/>
    </row>
    <row r="1564" ht="15.75" customHeight="1">
      <c r="A1564" s="1119">
        <v>93958.0</v>
      </c>
      <c r="B1564" s="1125" t="s">
        <v>11842</v>
      </c>
      <c r="C1564" s="1126" t="s">
        <v>1731</v>
      </c>
      <c r="D1564" s="1119">
        <v>226.72</v>
      </c>
      <c r="E1564" s="1120">
        <v>94.45</v>
      </c>
      <c r="F1564" s="1121">
        <f t="shared" si="1"/>
        <v>132.27</v>
      </c>
      <c r="G1564" s="1120">
        <v>101.29</v>
      </c>
      <c r="H1564" s="1127">
        <v>29.96</v>
      </c>
      <c r="I1564" s="1127">
        <v>0.0</v>
      </c>
      <c r="J1564" s="1127">
        <v>1.02</v>
      </c>
      <c r="K1564" s="1124"/>
    </row>
    <row r="1565" ht="15.75" customHeight="1">
      <c r="A1565" s="1119">
        <v>93959.0</v>
      </c>
      <c r="B1565" s="1125" t="s">
        <v>11843</v>
      </c>
      <c r="C1565" s="1126" t="s">
        <v>1731</v>
      </c>
      <c r="D1565" s="1119">
        <v>215.61</v>
      </c>
      <c r="E1565" s="1120">
        <v>87.52</v>
      </c>
      <c r="F1565" s="1121">
        <f t="shared" si="1"/>
        <v>128.11</v>
      </c>
      <c r="G1565" s="1120">
        <v>99.28</v>
      </c>
      <c r="H1565" s="1127">
        <v>27.85</v>
      </c>
      <c r="I1565" s="1127">
        <v>0.0</v>
      </c>
      <c r="J1565" s="1127">
        <v>0.98</v>
      </c>
      <c r="K1565" s="1124"/>
    </row>
    <row r="1566" ht="15.75" customHeight="1">
      <c r="A1566" s="1119">
        <v>93960.0</v>
      </c>
      <c r="B1566" s="1125" t="s">
        <v>11844</v>
      </c>
      <c r="C1566" s="1126" t="s">
        <v>1731</v>
      </c>
      <c r="D1566" s="1119">
        <v>207.85</v>
      </c>
      <c r="E1566" s="1120">
        <v>82.67</v>
      </c>
      <c r="F1566" s="1121">
        <f t="shared" si="1"/>
        <v>125.17</v>
      </c>
      <c r="G1566" s="1120">
        <v>97.85</v>
      </c>
      <c r="H1566" s="1127">
        <v>26.37</v>
      </c>
      <c r="I1566" s="1127">
        <v>0.0</v>
      </c>
      <c r="J1566" s="1127">
        <v>0.95</v>
      </c>
      <c r="K1566" s="1124"/>
    </row>
    <row r="1567" ht="15.75" customHeight="1">
      <c r="A1567" s="1119">
        <v>93961.0</v>
      </c>
      <c r="B1567" s="1125" t="s">
        <v>11845</v>
      </c>
      <c r="C1567" s="1126" t="s">
        <v>1731</v>
      </c>
      <c r="D1567" s="1119">
        <v>201.75</v>
      </c>
      <c r="E1567" s="1120">
        <v>78.95</v>
      </c>
      <c r="F1567" s="1121">
        <f t="shared" si="1"/>
        <v>122.85</v>
      </c>
      <c r="G1567" s="1120">
        <v>96.7</v>
      </c>
      <c r="H1567" s="1127">
        <v>25.23</v>
      </c>
      <c r="I1567" s="1127">
        <v>0.0</v>
      </c>
      <c r="J1567" s="1127">
        <v>0.92</v>
      </c>
      <c r="K1567" s="1124"/>
    </row>
    <row r="1568" ht="15.75" customHeight="1">
      <c r="A1568" s="1119">
        <v>93962.0</v>
      </c>
      <c r="B1568" s="1125" t="s">
        <v>11846</v>
      </c>
      <c r="C1568" s="1126" t="s">
        <v>1731</v>
      </c>
      <c r="D1568" s="1119">
        <v>218.54</v>
      </c>
      <c r="E1568" s="1120">
        <v>100.85</v>
      </c>
      <c r="F1568" s="1121">
        <f t="shared" si="1"/>
        <v>117.72</v>
      </c>
      <c r="G1568" s="1120">
        <v>84.72</v>
      </c>
      <c r="H1568" s="1127">
        <v>31.97</v>
      </c>
      <c r="I1568" s="1127">
        <v>0.0</v>
      </c>
      <c r="J1568" s="1127">
        <v>1.03</v>
      </c>
      <c r="K1568" s="1124"/>
    </row>
    <row r="1569" ht="15.75" customHeight="1">
      <c r="A1569" s="1119">
        <v>93963.0</v>
      </c>
      <c r="B1569" s="1125" t="s">
        <v>11847</v>
      </c>
      <c r="C1569" s="1126" t="s">
        <v>1731</v>
      </c>
      <c r="D1569" s="1119">
        <v>200.83</v>
      </c>
      <c r="E1569" s="1120">
        <v>89.53</v>
      </c>
      <c r="F1569" s="1121">
        <f t="shared" si="1"/>
        <v>111.34</v>
      </c>
      <c r="G1569" s="1120">
        <v>81.78</v>
      </c>
      <c r="H1569" s="1127">
        <v>28.58</v>
      </c>
      <c r="I1569" s="1127">
        <v>0.0</v>
      </c>
      <c r="J1569" s="1127">
        <v>0.98</v>
      </c>
      <c r="K1569" s="1124"/>
    </row>
    <row r="1570" ht="15.75" customHeight="1">
      <c r="A1570" s="1119">
        <v>93964.0</v>
      </c>
      <c r="B1570" s="1125" t="s">
        <v>11848</v>
      </c>
      <c r="C1570" s="1126" t="s">
        <v>1731</v>
      </c>
      <c r="D1570" s="1119">
        <v>190.27</v>
      </c>
      <c r="E1570" s="1120">
        <v>82.89</v>
      </c>
      <c r="F1570" s="1121">
        <f t="shared" si="1"/>
        <v>107.44</v>
      </c>
      <c r="G1570" s="1120">
        <v>79.94</v>
      </c>
      <c r="H1570" s="1127">
        <v>26.56</v>
      </c>
      <c r="I1570" s="1127">
        <v>0.0</v>
      </c>
      <c r="J1570" s="1127">
        <v>0.94</v>
      </c>
      <c r="K1570" s="1124"/>
    </row>
    <row r="1571" ht="15.75" customHeight="1">
      <c r="A1571" s="1119">
        <v>93965.0</v>
      </c>
      <c r="B1571" s="1125" t="s">
        <v>11849</v>
      </c>
      <c r="C1571" s="1126" t="s">
        <v>1731</v>
      </c>
      <c r="D1571" s="1119">
        <v>179.72</v>
      </c>
      <c r="E1571" s="1120">
        <v>75.75</v>
      </c>
      <c r="F1571" s="1121">
        <f t="shared" si="1"/>
        <v>103.98</v>
      </c>
      <c r="G1571" s="1120">
        <v>77.93</v>
      </c>
      <c r="H1571" s="1127">
        <v>25.14</v>
      </c>
      <c r="I1571" s="1127">
        <v>0.0</v>
      </c>
      <c r="J1571" s="1127">
        <v>0.91</v>
      </c>
      <c r="K1571" s="1124"/>
    </row>
    <row r="1572" ht="15.75" customHeight="1">
      <c r="A1572" s="1119">
        <v>93966.0</v>
      </c>
      <c r="B1572" s="1125" t="s">
        <v>11850</v>
      </c>
      <c r="C1572" s="1126" t="s">
        <v>1731</v>
      </c>
      <c r="D1572" s="1119">
        <v>177.0</v>
      </c>
      <c r="E1572" s="1120">
        <v>74.63</v>
      </c>
      <c r="F1572" s="1121">
        <f t="shared" si="1"/>
        <v>102.39</v>
      </c>
      <c r="G1572" s="1120">
        <v>77.5</v>
      </c>
      <c r="H1572" s="1127">
        <v>24.01</v>
      </c>
      <c r="I1572" s="1127">
        <v>0.0</v>
      </c>
      <c r="J1572" s="1127">
        <v>0.88</v>
      </c>
      <c r="K1572" s="1124"/>
    </row>
    <row r="1573" ht="15.75" customHeight="1">
      <c r="A1573" s="1119">
        <v>93967.0</v>
      </c>
      <c r="B1573" s="1125" t="s">
        <v>11851</v>
      </c>
      <c r="C1573" s="1126" t="s">
        <v>1731</v>
      </c>
      <c r="D1573" s="1119">
        <v>231.74</v>
      </c>
      <c r="E1573" s="1120">
        <v>102.78</v>
      </c>
      <c r="F1573" s="1121">
        <f t="shared" si="1"/>
        <v>129.01</v>
      </c>
      <c r="G1573" s="1120">
        <v>95.55</v>
      </c>
      <c r="H1573" s="1127">
        <v>32.43</v>
      </c>
      <c r="I1573" s="1127">
        <v>0.0</v>
      </c>
      <c r="J1573" s="1127">
        <v>1.03</v>
      </c>
      <c r="K1573" s="1124"/>
    </row>
    <row r="1574" ht="15.75" customHeight="1">
      <c r="A1574" s="1119">
        <v>93968.0</v>
      </c>
      <c r="B1574" s="1125" t="s">
        <v>11852</v>
      </c>
      <c r="C1574" s="1126" t="s">
        <v>1731</v>
      </c>
      <c r="D1574" s="1119">
        <v>213.02</v>
      </c>
      <c r="E1574" s="1120">
        <v>90.87</v>
      </c>
      <c r="F1574" s="1121">
        <f t="shared" si="1"/>
        <v>122.17</v>
      </c>
      <c r="G1574" s="1120">
        <v>92.3</v>
      </c>
      <c r="H1574" s="1127">
        <v>28.89</v>
      </c>
      <c r="I1574" s="1127">
        <v>0.0</v>
      </c>
      <c r="J1574" s="1127">
        <v>0.98</v>
      </c>
      <c r="K1574" s="1124"/>
    </row>
    <row r="1575" ht="15.75" customHeight="1">
      <c r="A1575" s="1119">
        <v>93969.0</v>
      </c>
      <c r="B1575" s="1125" t="s">
        <v>11853</v>
      </c>
      <c r="C1575" s="1126" t="s">
        <v>1731</v>
      </c>
      <c r="D1575" s="1119">
        <v>201.95</v>
      </c>
      <c r="E1575" s="1120">
        <v>83.93</v>
      </c>
      <c r="F1575" s="1121">
        <f t="shared" si="1"/>
        <v>118.07</v>
      </c>
      <c r="G1575" s="1120">
        <v>90.32</v>
      </c>
      <c r="H1575" s="1127">
        <v>26.81</v>
      </c>
      <c r="I1575" s="1127">
        <v>0.0</v>
      </c>
      <c r="J1575" s="1127">
        <v>0.94</v>
      </c>
      <c r="K1575" s="1124"/>
    </row>
    <row r="1576" ht="15.75" customHeight="1">
      <c r="A1576" s="1119">
        <v>93970.0</v>
      </c>
      <c r="B1576" s="1125" t="s">
        <v>11854</v>
      </c>
      <c r="C1576" s="1126" t="s">
        <v>1731</v>
      </c>
      <c r="D1576" s="1119">
        <v>194.22</v>
      </c>
      <c r="E1576" s="1120">
        <v>79.14</v>
      </c>
      <c r="F1576" s="1121">
        <f t="shared" si="1"/>
        <v>115.1</v>
      </c>
      <c r="G1576" s="1120">
        <v>88.87</v>
      </c>
      <c r="H1576" s="1127">
        <v>25.32</v>
      </c>
      <c r="I1576" s="1127">
        <v>0.0</v>
      </c>
      <c r="J1576" s="1127">
        <v>0.91</v>
      </c>
      <c r="K1576" s="1124"/>
    </row>
    <row r="1577" ht="15.75" customHeight="1">
      <c r="A1577" s="1119">
        <v>93971.0</v>
      </c>
      <c r="B1577" s="1125" t="s">
        <v>11855</v>
      </c>
      <c r="C1577" s="1126" t="s">
        <v>1731</v>
      </c>
      <c r="D1577" s="1119">
        <v>182.05</v>
      </c>
      <c r="E1577" s="1120">
        <v>73.81</v>
      </c>
      <c r="F1577" s="1121">
        <f t="shared" si="1"/>
        <v>108.26</v>
      </c>
      <c r="G1577" s="1120">
        <v>87.33</v>
      </c>
      <c r="H1577" s="1127">
        <v>20.05</v>
      </c>
      <c r="I1577" s="1127">
        <v>0.0</v>
      </c>
      <c r="J1577" s="1127">
        <v>0.88</v>
      </c>
      <c r="K1577" s="1124"/>
    </row>
    <row r="1578" ht="15.75" customHeight="1">
      <c r="A1578" s="1119">
        <v>95108.0</v>
      </c>
      <c r="B1578" s="1125" t="s">
        <v>11856</v>
      </c>
      <c r="C1578" s="1126" t="s">
        <v>1788</v>
      </c>
      <c r="D1578" s="1119">
        <v>36.49</v>
      </c>
      <c r="E1578" s="1120">
        <v>22.25</v>
      </c>
      <c r="F1578" s="1121">
        <f t="shared" si="1"/>
        <v>14.25</v>
      </c>
      <c r="G1578" s="1120">
        <v>14.06</v>
      </c>
      <c r="H1578" s="1127">
        <v>0.19</v>
      </c>
      <c r="I1578" s="1127">
        <v>0.0</v>
      </c>
      <c r="J1578" s="1127">
        <v>0.0</v>
      </c>
      <c r="K1578" s="1124"/>
    </row>
    <row r="1579" ht="15.75" customHeight="1">
      <c r="A1579" s="1119">
        <v>100332.0</v>
      </c>
      <c r="B1579" s="1125" t="s">
        <v>11857</v>
      </c>
      <c r="C1579" s="1126" t="s">
        <v>1814</v>
      </c>
      <c r="D1579" s="1128">
        <v>1006.01</v>
      </c>
      <c r="E1579" s="1120">
        <v>71.66</v>
      </c>
      <c r="F1579" s="1121">
        <f t="shared" si="1"/>
        <v>934.41</v>
      </c>
      <c r="G1579" s="1120">
        <v>922.35</v>
      </c>
      <c r="H1579" s="1127">
        <v>12.06</v>
      </c>
      <c r="I1579" s="1127">
        <v>0.0</v>
      </c>
      <c r="J1579" s="1127">
        <v>0.0</v>
      </c>
      <c r="K1579" s="1124"/>
    </row>
    <row r="1580" ht="15.75" customHeight="1">
      <c r="A1580" s="1119">
        <v>100333.0</v>
      </c>
      <c r="B1580" s="1125" t="s">
        <v>11858</v>
      </c>
      <c r="C1580" s="1126" t="s">
        <v>1814</v>
      </c>
      <c r="D1580" s="1119">
        <v>604.16</v>
      </c>
      <c r="E1580" s="1120">
        <v>54.47</v>
      </c>
      <c r="F1580" s="1121">
        <f t="shared" si="1"/>
        <v>549.73</v>
      </c>
      <c r="G1580" s="1120">
        <v>543.32</v>
      </c>
      <c r="H1580" s="1127">
        <v>6.41</v>
      </c>
      <c r="I1580" s="1127">
        <v>0.0</v>
      </c>
      <c r="J1580" s="1127">
        <v>0.0</v>
      </c>
      <c r="K1580" s="1124"/>
    </row>
    <row r="1581" ht="15.75" customHeight="1">
      <c r="A1581" s="1119">
        <v>100334.0</v>
      </c>
      <c r="B1581" s="1125" t="s">
        <v>11859</v>
      </c>
      <c r="C1581" s="1126" t="s">
        <v>1814</v>
      </c>
      <c r="D1581" s="1119">
        <v>788.19</v>
      </c>
      <c r="E1581" s="1120">
        <v>60.87</v>
      </c>
      <c r="F1581" s="1121">
        <f t="shared" si="1"/>
        <v>727.38</v>
      </c>
      <c r="G1581" s="1120">
        <v>718.36</v>
      </c>
      <c r="H1581" s="1127">
        <v>9.02</v>
      </c>
      <c r="I1581" s="1127">
        <v>0.0</v>
      </c>
      <c r="J1581" s="1127">
        <v>0.0</v>
      </c>
      <c r="K1581" s="1124"/>
    </row>
    <row r="1582" ht="15.75" customHeight="1">
      <c r="A1582" s="1119">
        <v>100335.0</v>
      </c>
      <c r="B1582" s="1125" t="s">
        <v>11860</v>
      </c>
      <c r="C1582" s="1126" t="s">
        <v>1814</v>
      </c>
      <c r="D1582" s="1119">
        <v>486.81</v>
      </c>
      <c r="E1582" s="1120">
        <v>47.98</v>
      </c>
      <c r="F1582" s="1121">
        <f t="shared" si="1"/>
        <v>438.86</v>
      </c>
      <c r="G1582" s="1120">
        <v>434.06</v>
      </c>
      <c r="H1582" s="1127">
        <v>4.8</v>
      </c>
      <c r="I1582" s="1127">
        <v>0.0</v>
      </c>
      <c r="J1582" s="1127">
        <v>0.0</v>
      </c>
      <c r="K1582" s="1124"/>
    </row>
    <row r="1583" ht="15.75" customHeight="1">
      <c r="A1583" s="1119">
        <v>100341.0</v>
      </c>
      <c r="B1583" s="1125" t="s">
        <v>11861</v>
      </c>
      <c r="C1583" s="1126" t="s">
        <v>1814</v>
      </c>
      <c r="D1583" s="1119">
        <v>38.71</v>
      </c>
      <c r="E1583" s="1120">
        <v>16.75</v>
      </c>
      <c r="F1583" s="1121">
        <f t="shared" si="1"/>
        <v>21.99</v>
      </c>
      <c r="G1583" s="1120">
        <v>16.43</v>
      </c>
      <c r="H1583" s="1127">
        <v>5.56</v>
      </c>
      <c r="I1583" s="1127">
        <v>0.0</v>
      </c>
      <c r="J1583" s="1127">
        <v>0.0</v>
      </c>
      <c r="K1583" s="1124"/>
    </row>
    <row r="1584" ht="15.75" customHeight="1">
      <c r="A1584" s="1119">
        <v>100342.0</v>
      </c>
      <c r="B1584" s="1125" t="s">
        <v>11862</v>
      </c>
      <c r="C1584" s="1126" t="s">
        <v>3606</v>
      </c>
      <c r="D1584" s="1119">
        <v>15.0</v>
      </c>
      <c r="E1584" s="1120">
        <v>3.8</v>
      </c>
      <c r="F1584" s="1121">
        <f t="shared" si="1"/>
        <v>11.19</v>
      </c>
      <c r="G1584" s="1120">
        <v>11.19</v>
      </c>
      <c r="H1584" s="1127">
        <v>0.0</v>
      </c>
      <c r="I1584" s="1127">
        <v>0.0</v>
      </c>
      <c r="J1584" s="1127">
        <v>0.0</v>
      </c>
      <c r="K1584" s="1124"/>
    </row>
    <row r="1585" ht="15.75" customHeight="1">
      <c r="A1585" s="1119">
        <v>100343.0</v>
      </c>
      <c r="B1585" s="1125" t="s">
        <v>11863</v>
      </c>
      <c r="C1585" s="1126" t="s">
        <v>3606</v>
      </c>
      <c r="D1585" s="1119">
        <v>13.8</v>
      </c>
      <c r="E1585" s="1120">
        <v>2.64</v>
      </c>
      <c r="F1585" s="1121">
        <f t="shared" si="1"/>
        <v>11.16</v>
      </c>
      <c r="G1585" s="1120">
        <v>11.16</v>
      </c>
      <c r="H1585" s="1127">
        <v>0.0</v>
      </c>
      <c r="I1585" s="1127">
        <v>0.0</v>
      </c>
      <c r="J1585" s="1127">
        <v>0.0</v>
      </c>
      <c r="K1585" s="1124"/>
    </row>
    <row r="1586" ht="15.75" customHeight="1">
      <c r="A1586" s="1119">
        <v>100344.0</v>
      </c>
      <c r="B1586" s="1125" t="s">
        <v>11864</v>
      </c>
      <c r="C1586" s="1126" t="s">
        <v>3606</v>
      </c>
      <c r="D1586" s="1119">
        <v>12.2</v>
      </c>
      <c r="E1586" s="1120">
        <v>1.88</v>
      </c>
      <c r="F1586" s="1121">
        <f t="shared" si="1"/>
        <v>10.32</v>
      </c>
      <c r="G1586" s="1120">
        <v>10.32</v>
      </c>
      <c r="H1586" s="1127">
        <v>0.0</v>
      </c>
      <c r="I1586" s="1127">
        <v>0.0</v>
      </c>
      <c r="J1586" s="1127">
        <v>0.0</v>
      </c>
      <c r="K1586" s="1124"/>
    </row>
    <row r="1587" ht="15.75" customHeight="1">
      <c r="A1587" s="1119">
        <v>100345.0</v>
      </c>
      <c r="B1587" s="1125" t="s">
        <v>11865</v>
      </c>
      <c r="C1587" s="1126" t="s">
        <v>3606</v>
      </c>
      <c r="D1587" s="1119">
        <v>10.27</v>
      </c>
      <c r="E1587" s="1120">
        <v>1.34</v>
      </c>
      <c r="F1587" s="1121">
        <f t="shared" si="1"/>
        <v>8.92</v>
      </c>
      <c r="G1587" s="1120">
        <v>8.92</v>
      </c>
      <c r="H1587" s="1127">
        <v>0.0</v>
      </c>
      <c r="I1587" s="1127">
        <v>0.0</v>
      </c>
      <c r="J1587" s="1127">
        <v>0.0</v>
      </c>
      <c r="K1587" s="1124"/>
    </row>
    <row r="1588" ht="15.75" customHeight="1">
      <c r="A1588" s="1119">
        <v>100346.0</v>
      </c>
      <c r="B1588" s="1125" t="s">
        <v>11866</v>
      </c>
      <c r="C1588" s="1126" t="s">
        <v>3606</v>
      </c>
      <c r="D1588" s="1119">
        <v>9.61</v>
      </c>
      <c r="E1588" s="1120">
        <v>0.86</v>
      </c>
      <c r="F1588" s="1121">
        <f t="shared" si="1"/>
        <v>8.74</v>
      </c>
      <c r="G1588" s="1120">
        <v>8.74</v>
      </c>
      <c r="H1588" s="1127">
        <v>0.0</v>
      </c>
      <c r="I1588" s="1127">
        <v>0.0</v>
      </c>
      <c r="J1588" s="1127">
        <v>0.0</v>
      </c>
      <c r="K1588" s="1124"/>
    </row>
    <row r="1589" ht="15.75" customHeight="1">
      <c r="A1589" s="1119">
        <v>100347.0</v>
      </c>
      <c r="B1589" s="1125" t="s">
        <v>11867</v>
      </c>
      <c r="C1589" s="1126" t="s">
        <v>3606</v>
      </c>
      <c r="D1589" s="1119">
        <v>10.6</v>
      </c>
      <c r="E1589" s="1120">
        <v>0.56</v>
      </c>
      <c r="F1589" s="1121">
        <f t="shared" si="1"/>
        <v>10.03</v>
      </c>
      <c r="G1589" s="1120">
        <v>10.03</v>
      </c>
      <c r="H1589" s="1127">
        <v>0.0</v>
      </c>
      <c r="I1589" s="1127">
        <v>0.0</v>
      </c>
      <c r="J1589" s="1127">
        <v>0.0</v>
      </c>
      <c r="K1589" s="1124"/>
    </row>
    <row r="1590" ht="15.75" customHeight="1">
      <c r="A1590" s="1119">
        <v>100348.0</v>
      </c>
      <c r="B1590" s="1125" t="s">
        <v>11868</v>
      </c>
      <c r="C1590" s="1126" t="s">
        <v>3606</v>
      </c>
      <c r="D1590" s="1119">
        <v>10.29</v>
      </c>
      <c r="E1590" s="1120">
        <v>0.33</v>
      </c>
      <c r="F1590" s="1121">
        <f t="shared" si="1"/>
        <v>9.95</v>
      </c>
      <c r="G1590" s="1120">
        <v>9.95</v>
      </c>
      <c r="H1590" s="1127">
        <v>0.0</v>
      </c>
      <c r="I1590" s="1127">
        <v>0.0</v>
      </c>
      <c r="J1590" s="1127">
        <v>0.0</v>
      </c>
      <c r="K1590" s="1124"/>
    </row>
    <row r="1591" ht="15.75" customHeight="1">
      <c r="A1591" s="1119">
        <v>100349.0</v>
      </c>
      <c r="B1591" s="1125" t="s">
        <v>11869</v>
      </c>
      <c r="C1591" s="1126" t="s">
        <v>2178</v>
      </c>
      <c r="D1591" s="1119">
        <v>550.92</v>
      </c>
      <c r="E1591" s="1120">
        <v>26.75</v>
      </c>
      <c r="F1591" s="1121">
        <f t="shared" si="1"/>
        <v>524.18</v>
      </c>
      <c r="G1591" s="1120">
        <v>523.99</v>
      </c>
      <c r="H1591" s="1127">
        <v>0.15</v>
      </c>
      <c r="I1591" s="1127">
        <v>0.0</v>
      </c>
      <c r="J1591" s="1127">
        <v>0.04</v>
      </c>
      <c r="K1591" s="1124"/>
    </row>
    <row r="1592" ht="15.75" customHeight="1">
      <c r="A1592" s="1119">
        <v>102989.0</v>
      </c>
      <c r="B1592" s="1125" t="s">
        <v>11870</v>
      </c>
      <c r="C1592" s="1126" t="s">
        <v>1731</v>
      </c>
      <c r="D1592" s="1119">
        <v>26.55</v>
      </c>
      <c r="E1592" s="1120">
        <v>10.28</v>
      </c>
      <c r="F1592" s="1121">
        <f t="shared" si="1"/>
        <v>16.27</v>
      </c>
      <c r="G1592" s="1120">
        <v>16.27</v>
      </c>
      <c r="H1592" s="1127">
        <v>0.0</v>
      </c>
      <c r="I1592" s="1127">
        <v>0.0</v>
      </c>
      <c r="J1592" s="1127">
        <v>0.0</v>
      </c>
      <c r="K1592" s="1124"/>
    </row>
    <row r="1593" ht="15.75" customHeight="1">
      <c r="A1593" s="1119">
        <v>102990.0</v>
      </c>
      <c r="B1593" s="1125" t="s">
        <v>11871</v>
      </c>
      <c r="C1593" s="1126" t="s">
        <v>1731</v>
      </c>
      <c r="D1593" s="1119">
        <v>32.08</v>
      </c>
      <c r="E1593" s="1120">
        <v>12.15</v>
      </c>
      <c r="F1593" s="1121">
        <f t="shared" si="1"/>
        <v>19.93</v>
      </c>
      <c r="G1593" s="1120">
        <v>19.93</v>
      </c>
      <c r="H1593" s="1127">
        <v>0.0</v>
      </c>
      <c r="I1593" s="1127">
        <v>0.0</v>
      </c>
      <c r="J1593" s="1127">
        <v>0.0</v>
      </c>
      <c r="K1593" s="1124"/>
    </row>
    <row r="1594" ht="15.75" customHeight="1">
      <c r="A1594" s="1119">
        <v>102991.0</v>
      </c>
      <c r="B1594" s="1125" t="s">
        <v>11872</v>
      </c>
      <c r="C1594" s="1126" t="s">
        <v>1731</v>
      </c>
      <c r="D1594" s="1119">
        <v>41.25</v>
      </c>
      <c r="E1594" s="1120">
        <v>15.34</v>
      </c>
      <c r="F1594" s="1121">
        <f t="shared" si="1"/>
        <v>25.91</v>
      </c>
      <c r="G1594" s="1120">
        <v>25.91</v>
      </c>
      <c r="H1594" s="1127">
        <v>0.0</v>
      </c>
      <c r="I1594" s="1127">
        <v>0.0</v>
      </c>
      <c r="J1594" s="1127">
        <v>0.0</v>
      </c>
      <c r="K1594" s="1124"/>
    </row>
    <row r="1595" ht="15.75" customHeight="1">
      <c r="A1595" s="1119">
        <v>102992.0</v>
      </c>
      <c r="B1595" s="1125" t="s">
        <v>11873</v>
      </c>
      <c r="C1595" s="1126" t="s">
        <v>1731</v>
      </c>
      <c r="D1595" s="1119">
        <v>56.16</v>
      </c>
      <c r="E1595" s="1120">
        <v>17.27</v>
      </c>
      <c r="F1595" s="1121">
        <f t="shared" si="1"/>
        <v>38.88</v>
      </c>
      <c r="G1595" s="1120">
        <v>38.88</v>
      </c>
      <c r="H1595" s="1127">
        <v>0.0</v>
      </c>
      <c r="I1595" s="1127">
        <v>0.0</v>
      </c>
      <c r="J1595" s="1127">
        <v>0.0</v>
      </c>
      <c r="K1595" s="1124"/>
    </row>
    <row r="1596" ht="15.75" customHeight="1">
      <c r="A1596" s="1119">
        <v>102993.0</v>
      </c>
      <c r="B1596" s="1125" t="s">
        <v>11874</v>
      </c>
      <c r="C1596" s="1126" t="s">
        <v>1731</v>
      </c>
      <c r="D1596" s="1119">
        <v>73.58</v>
      </c>
      <c r="E1596" s="1120">
        <v>23.07</v>
      </c>
      <c r="F1596" s="1121">
        <f t="shared" si="1"/>
        <v>50.5</v>
      </c>
      <c r="G1596" s="1120">
        <v>50.5</v>
      </c>
      <c r="H1596" s="1127">
        <v>0.0</v>
      </c>
      <c r="I1596" s="1127">
        <v>0.0</v>
      </c>
      <c r="J1596" s="1127">
        <v>0.0</v>
      </c>
      <c r="K1596" s="1124"/>
    </row>
    <row r="1597" ht="15.75" customHeight="1">
      <c r="A1597" s="1119">
        <v>102994.0</v>
      </c>
      <c r="B1597" s="1125" t="s">
        <v>11875</v>
      </c>
      <c r="C1597" s="1126" t="s">
        <v>1731</v>
      </c>
      <c r="D1597" s="1119">
        <v>115.12</v>
      </c>
      <c r="E1597" s="1120">
        <v>27.09</v>
      </c>
      <c r="F1597" s="1121">
        <f t="shared" si="1"/>
        <v>88.03</v>
      </c>
      <c r="G1597" s="1120">
        <v>88.03</v>
      </c>
      <c r="H1597" s="1127">
        <v>0.0</v>
      </c>
      <c r="I1597" s="1127">
        <v>0.0</v>
      </c>
      <c r="J1597" s="1127">
        <v>0.0</v>
      </c>
      <c r="K1597" s="1124"/>
    </row>
    <row r="1598" ht="15.75" customHeight="1">
      <c r="A1598" s="1119">
        <v>102995.0</v>
      </c>
      <c r="B1598" s="1125" t="s">
        <v>11876</v>
      </c>
      <c r="C1598" s="1126" t="s">
        <v>1731</v>
      </c>
      <c r="D1598" s="1119">
        <v>53.06</v>
      </c>
      <c r="E1598" s="1120">
        <v>18.04</v>
      </c>
      <c r="F1598" s="1121">
        <f t="shared" si="1"/>
        <v>35.05</v>
      </c>
      <c r="G1598" s="1120">
        <v>34.96</v>
      </c>
      <c r="H1598" s="1127">
        <v>0.04</v>
      </c>
      <c r="I1598" s="1127">
        <v>0.0</v>
      </c>
      <c r="J1598" s="1127">
        <v>0.05</v>
      </c>
      <c r="K1598" s="1124"/>
    </row>
    <row r="1599" ht="15.75" customHeight="1">
      <c r="A1599" s="1119">
        <v>102996.0</v>
      </c>
      <c r="B1599" s="1125" t="s">
        <v>11877</v>
      </c>
      <c r="C1599" s="1126" t="s">
        <v>1731</v>
      </c>
      <c r="D1599" s="1119">
        <v>74.91</v>
      </c>
      <c r="E1599" s="1120">
        <v>25.07</v>
      </c>
      <c r="F1599" s="1121">
        <f t="shared" si="1"/>
        <v>49.85</v>
      </c>
      <c r="G1599" s="1120">
        <v>49.72</v>
      </c>
      <c r="H1599" s="1127">
        <v>0.06</v>
      </c>
      <c r="I1599" s="1127">
        <v>0.0</v>
      </c>
      <c r="J1599" s="1127">
        <v>0.07</v>
      </c>
      <c r="K1599" s="1124"/>
    </row>
    <row r="1600" ht="15.75" customHeight="1">
      <c r="A1600" s="1119">
        <v>102997.0</v>
      </c>
      <c r="B1600" s="1125" t="s">
        <v>11878</v>
      </c>
      <c r="C1600" s="1126" t="s">
        <v>1731</v>
      </c>
      <c r="D1600" s="1119">
        <v>98.91</v>
      </c>
      <c r="E1600" s="1120">
        <v>30.45</v>
      </c>
      <c r="F1600" s="1121">
        <f t="shared" si="1"/>
        <v>68.45</v>
      </c>
      <c r="G1600" s="1120">
        <v>68.25</v>
      </c>
      <c r="H1600" s="1127">
        <v>0.1</v>
      </c>
      <c r="I1600" s="1127">
        <v>0.0</v>
      </c>
      <c r="J1600" s="1127">
        <v>0.1</v>
      </c>
      <c r="K1600" s="1124"/>
    </row>
    <row r="1601" ht="15.75" customHeight="1">
      <c r="A1601" s="1119">
        <v>102998.0</v>
      </c>
      <c r="B1601" s="1125" t="s">
        <v>11879</v>
      </c>
      <c r="C1601" s="1126" t="s">
        <v>1731</v>
      </c>
      <c r="D1601" s="1119">
        <v>94.84</v>
      </c>
      <c r="E1601" s="1120">
        <v>30.09</v>
      </c>
      <c r="F1601" s="1121">
        <f t="shared" si="1"/>
        <v>64.77</v>
      </c>
      <c r="G1601" s="1120">
        <v>64.59</v>
      </c>
      <c r="H1601" s="1127">
        <v>0.09</v>
      </c>
      <c r="I1601" s="1127">
        <v>0.0</v>
      </c>
      <c r="J1601" s="1127">
        <v>0.09</v>
      </c>
      <c r="K1601" s="1124"/>
    </row>
    <row r="1602" ht="15.75" customHeight="1">
      <c r="A1602" s="1119">
        <v>102999.0</v>
      </c>
      <c r="B1602" s="1125" t="s">
        <v>11880</v>
      </c>
      <c r="C1602" s="1126" t="s">
        <v>1731</v>
      </c>
      <c r="D1602" s="1119">
        <v>119.92</v>
      </c>
      <c r="E1602" s="1120">
        <v>37.82</v>
      </c>
      <c r="F1602" s="1121">
        <f t="shared" si="1"/>
        <v>82.14</v>
      </c>
      <c r="G1602" s="1120">
        <v>81.91</v>
      </c>
      <c r="H1602" s="1127">
        <v>0.11</v>
      </c>
      <c r="I1602" s="1127">
        <v>0.0</v>
      </c>
      <c r="J1602" s="1127">
        <v>0.12</v>
      </c>
      <c r="K1602" s="1124"/>
    </row>
    <row r="1603" ht="15.75" customHeight="1">
      <c r="A1603" s="1119">
        <v>103000.0</v>
      </c>
      <c r="B1603" s="1125" t="s">
        <v>11881</v>
      </c>
      <c r="C1603" s="1126" t="s">
        <v>1731</v>
      </c>
      <c r="D1603" s="1119">
        <v>120.42</v>
      </c>
      <c r="E1603" s="1120">
        <v>37.96</v>
      </c>
      <c r="F1603" s="1121">
        <f t="shared" si="1"/>
        <v>82.47</v>
      </c>
      <c r="G1603" s="1120">
        <v>82.24</v>
      </c>
      <c r="H1603" s="1127">
        <v>0.11</v>
      </c>
      <c r="I1603" s="1127">
        <v>0.0</v>
      </c>
      <c r="J1603" s="1127">
        <v>0.12</v>
      </c>
      <c r="K1603" s="1124"/>
    </row>
    <row r="1604" ht="15.75" customHeight="1">
      <c r="A1604" s="1119">
        <v>103001.0</v>
      </c>
      <c r="B1604" s="1125" t="s">
        <v>11882</v>
      </c>
      <c r="C1604" s="1126" t="s">
        <v>1788</v>
      </c>
      <c r="D1604" s="1119">
        <v>258.06</v>
      </c>
      <c r="E1604" s="1120">
        <v>19.84</v>
      </c>
      <c r="F1604" s="1121">
        <f t="shared" si="1"/>
        <v>238.21</v>
      </c>
      <c r="G1604" s="1120">
        <v>238.21</v>
      </c>
      <c r="H1604" s="1127">
        <v>0.0</v>
      </c>
      <c r="I1604" s="1127">
        <v>0.0</v>
      </c>
      <c r="J1604" s="1127">
        <v>0.0</v>
      </c>
      <c r="K1604" s="1124"/>
    </row>
    <row r="1605" ht="15.75" customHeight="1">
      <c r="A1605" s="1119">
        <v>103002.0</v>
      </c>
      <c r="B1605" s="1125" t="s">
        <v>11883</v>
      </c>
      <c r="C1605" s="1126" t="s">
        <v>1788</v>
      </c>
      <c r="D1605" s="1119">
        <v>321.15</v>
      </c>
      <c r="E1605" s="1120">
        <v>20.69</v>
      </c>
      <c r="F1605" s="1121">
        <f t="shared" si="1"/>
        <v>300.45</v>
      </c>
      <c r="G1605" s="1120">
        <v>300.45</v>
      </c>
      <c r="H1605" s="1127">
        <v>0.0</v>
      </c>
      <c r="I1605" s="1127">
        <v>0.0</v>
      </c>
      <c r="J1605" s="1127">
        <v>0.0</v>
      </c>
      <c r="K1605" s="1124"/>
    </row>
    <row r="1606" ht="15.75" customHeight="1">
      <c r="A1606" s="1119">
        <v>103003.0</v>
      </c>
      <c r="B1606" s="1125" t="s">
        <v>11884</v>
      </c>
      <c r="C1606" s="1126" t="s">
        <v>1788</v>
      </c>
      <c r="D1606" s="1119">
        <v>447.38</v>
      </c>
      <c r="E1606" s="1120">
        <v>22.39</v>
      </c>
      <c r="F1606" s="1121">
        <f t="shared" si="1"/>
        <v>425</v>
      </c>
      <c r="G1606" s="1120">
        <v>425.0</v>
      </c>
      <c r="H1606" s="1127">
        <v>0.0</v>
      </c>
      <c r="I1606" s="1127">
        <v>0.0</v>
      </c>
      <c r="J1606" s="1127">
        <v>0.0</v>
      </c>
      <c r="K1606" s="1124"/>
    </row>
    <row r="1607" ht="15.75" customHeight="1">
      <c r="A1607" s="1119">
        <v>103005.0</v>
      </c>
      <c r="B1607" s="1125" t="s">
        <v>11885</v>
      </c>
      <c r="C1607" s="1126" t="s">
        <v>1788</v>
      </c>
      <c r="D1607" s="1119">
        <v>649.59</v>
      </c>
      <c r="E1607" s="1120">
        <v>162.5</v>
      </c>
      <c r="F1607" s="1121">
        <f t="shared" si="1"/>
        <v>487.12</v>
      </c>
      <c r="G1607" s="1120">
        <v>486.67</v>
      </c>
      <c r="H1607" s="1127">
        <v>0.29</v>
      </c>
      <c r="I1607" s="1127">
        <v>0.0</v>
      </c>
      <c r="J1607" s="1127">
        <v>0.16</v>
      </c>
      <c r="K1607" s="1124"/>
    </row>
    <row r="1608" ht="15.75" customHeight="1">
      <c r="A1608" s="1119">
        <v>103006.0</v>
      </c>
      <c r="B1608" s="1125" t="s">
        <v>11886</v>
      </c>
      <c r="C1608" s="1126" t="s">
        <v>1788</v>
      </c>
      <c r="D1608" s="1119">
        <v>888.45</v>
      </c>
      <c r="E1608" s="1120">
        <v>222.83</v>
      </c>
      <c r="F1608" s="1121">
        <f t="shared" si="1"/>
        <v>665.64</v>
      </c>
      <c r="G1608" s="1120">
        <v>664.97</v>
      </c>
      <c r="H1608" s="1127">
        <v>0.43</v>
      </c>
      <c r="I1608" s="1127">
        <v>0.0</v>
      </c>
      <c r="J1608" s="1127">
        <v>0.24</v>
      </c>
      <c r="K1608" s="1124"/>
    </row>
    <row r="1609" ht="15.75" customHeight="1">
      <c r="A1609" s="1119">
        <v>103007.0</v>
      </c>
      <c r="B1609" s="1125" t="s">
        <v>11887</v>
      </c>
      <c r="C1609" s="1126" t="s">
        <v>1788</v>
      </c>
      <c r="D1609" s="1128">
        <v>1175.2</v>
      </c>
      <c r="E1609" s="1120">
        <v>283.27</v>
      </c>
      <c r="F1609" s="1121">
        <f t="shared" si="1"/>
        <v>891.98</v>
      </c>
      <c r="G1609" s="1120">
        <v>891.13</v>
      </c>
      <c r="H1609" s="1127">
        <v>0.55</v>
      </c>
      <c r="I1609" s="1127">
        <v>0.0</v>
      </c>
      <c r="J1609" s="1127">
        <v>0.3</v>
      </c>
      <c r="K1609" s="1124"/>
    </row>
    <row r="1610" ht="15.75" customHeight="1">
      <c r="A1610" s="1119">
        <v>97933.0</v>
      </c>
      <c r="B1610" s="1125" t="s">
        <v>11888</v>
      </c>
      <c r="C1610" s="1126" t="s">
        <v>1788</v>
      </c>
      <c r="D1610" s="1119">
        <v>777.79</v>
      </c>
      <c r="E1610" s="1120">
        <v>31.19</v>
      </c>
      <c r="F1610" s="1121">
        <f t="shared" si="1"/>
        <v>746.6</v>
      </c>
      <c r="G1610" s="1120">
        <v>727.8</v>
      </c>
      <c r="H1610" s="1127">
        <v>18.8</v>
      </c>
      <c r="I1610" s="1127">
        <v>0.0</v>
      </c>
      <c r="J1610" s="1127">
        <v>0.0</v>
      </c>
      <c r="K1610" s="1124"/>
    </row>
    <row r="1611" ht="15.75" customHeight="1">
      <c r="A1611" s="1119">
        <v>97934.0</v>
      </c>
      <c r="B1611" s="1125" t="s">
        <v>11889</v>
      </c>
      <c r="C1611" s="1126" t="s">
        <v>1788</v>
      </c>
      <c r="D1611" s="1128">
        <v>2148.04</v>
      </c>
      <c r="E1611" s="1120">
        <v>492.62</v>
      </c>
      <c r="F1611" s="1121">
        <f t="shared" si="1"/>
        <v>1655.53</v>
      </c>
      <c r="G1611" s="1120">
        <v>1580.99</v>
      </c>
      <c r="H1611" s="1127">
        <v>73.31</v>
      </c>
      <c r="I1611" s="1127">
        <v>0.0</v>
      </c>
      <c r="J1611" s="1127">
        <v>1.23</v>
      </c>
      <c r="K1611" s="1124"/>
    </row>
    <row r="1612" ht="15.75" customHeight="1">
      <c r="A1612" s="1119">
        <v>97935.0</v>
      </c>
      <c r="B1612" s="1125" t="s">
        <v>11890</v>
      </c>
      <c r="C1612" s="1126" t="s">
        <v>1788</v>
      </c>
      <c r="D1612" s="1119">
        <v>719.55</v>
      </c>
      <c r="E1612" s="1120">
        <v>145.44</v>
      </c>
      <c r="F1612" s="1121">
        <f t="shared" si="1"/>
        <v>574.16</v>
      </c>
      <c r="G1612" s="1120">
        <v>553.84</v>
      </c>
      <c r="H1612" s="1127">
        <v>20.18</v>
      </c>
      <c r="I1612" s="1127">
        <v>0.0</v>
      </c>
      <c r="J1612" s="1127">
        <v>0.14</v>
      </c>
      <c r="K1612" s="1124"/>
    </row>
    <row r="1613" ht="15.75" customHeight="1">
      <c r="A1613" s="1119">
        <v>97936.0</v>
      </c>
      <c r="B1613" s="1125" t="s">
        <v>11891</v>
      </c>
      <c r="C1613" s="1126" t="s">
        <v>1788</v>
      </c>
      <c r="D1613" s="1128">
        <v>2060.42</v>
      </c>
      <c r="E1613" s="1120">
        <v>735.6</v>
      </c>
      <c r="F1613" s="1121">
        <f t="shared" si="1"/>
        <v>1324.99</v>
      </c>
      <c r="G1613" s="1120">
        <v>1243.75</v>
      </c>
      <c r="H1613" s="1127">
        <v>79.62</v>
      </c>
      <c r="I1613" s="1127">
        <v>0.0</v>
      </c>
      <c r="J1613" s="1127">
        <v>1.62</v>
      </c>
      <c r="K1613" s="1124"/>
    </row>
    <row r="1614" ht="15.75" customHeight="1">
      <c r="A1614" s="1119">
        <v>97947.0</v>
      </c>
      <c r="B1614" s="1125" t="s">
        <v>11892</v>
      </c>
      <c r="C1614" s="1126" t="s">
        <v>1788</v>
      </c>
      <c r="D1614" s="1128">
        <v>1765.79</v>
      </c>
      <c r="E1614" s="1120">
        <v>520.94</v>
      </c>
      <c r="F1614" s="1121">
        <f t="shared" si="1"/>
        <v>1244.87</v>
      </c>
      <c r="G1614" s="1120">
        <v>1240.83</v>
      </c>
      <c r="H1614" s="1127">
        <v>3.52</v>
      </c>
      <c r="I1614" s="1127">
        <v>0.0</v>
      </c>
      <c r="J1614" s="1127">
        <v>0.52</v>
      </c>
      <c r="K1614" s="1124"/>
    </row>
    <row r="1615" ht="15.75" customHeight="1">
      <c r="A1615" s="1119">
        <v>97948.0</v>
      </c>
      <c r="B1615" s="1125" t="s">
        <v>11893</v>
      </c>
      <c r="C1615" s="1126" t="s">
        <v>1788</v>
      </c>
      <c r="D1615" s="1128">
        <v>3216.92</v>
      </c>
      <c r="E1615" s="1120">
        <v>947.03</v>
      </c>
      <c r="F1615" s="1121">
        <f t="shared" si="1"/>
        <v>2270.01</v>
      </c>
      <c r="G1615" s="1120">
        <v>2259.64</v>
      </c>
      <c r="H1615" s="1127">
        <v>9.32</v>
      </c>
      <c r="I1615" s="1127">
        <v>0.0</v>
      </c>
      <c r="J1615" s="1127">
        <v>1.05</v>
      </c>
      <c r="K1615" s="1124"/>
    </row>
    <row r="1616" ht="15.75" customHeight="1">
      <c r="A1616" s="1119">
        <v>97949.0</v>
      </c>
      <c r="B1616" s="1125" t="s">
        <v>11894</v>
      </c>
      <c r="C1616" s="1126" t="s">
        <v>1788</v>
      </c>
      <c r="D1616" s="1128">
        <v>1920.49</v>
      </c>
      <c r="E1616" s="1120">
        <v>708.9</v>
      </c>
      <c r="F1616" s="1121">
        <f t="shared" si="1"/>
        <v>1211.67</v>
      </c>
      <c r="G1616" s="1120">
        <v>1205.26</v>
      </c>
      <c r="H1616" s="1127">
        <v>5.62</v>
      </c>
      <c r="I1616" s="1127">
        <v>0.0</v>
      </c>
      <c r="J1616" s="1127">
        <v>0.79</v>
      </c>
      <c r="K1616" s="1124"/>
    </row>
    <row r="1617" ht="15.75" customHeight="1">
      <c r="A1617" s="1119">
        <v>97950.0</v>
      </c>
      <c r="B1617" s="1125" t="s">
        <v>11895</v>
      </c>
      <c r="C1617" s="1126" t="s">
        <v>1788</v>
      </c>
      <c r="D1617" s="1128">
        <v>3362.41</v>
      </c>
      <c r="E1617" s="1120">
        <v>1262.32</v>
      </c>
      <c r="F1617" s="1121">
        <f t="shared" si="1"/>
        <v>2100.2</v>
      </c>
      <c r="G1617" s="1120">
        <v>2085.44</v>
      </c>
      <c r="H1617" s="1127">
        <v>13.23</v>
      </c>
      <c r="I1617" s="1127">
        <v>0.0</v>
      </c>
      <c r="J1617" s="1127">
        <v>1.53</v>
      </c>
      <c r="K1617" s="1124"/>
    </row>
    <row r="1618" ht="15.75" customHeight="1">
      <c r="A1618" s="1119">
        <v>97951.0</v>
      </c>
      <c r="B1618" s="1125" t="s">
        <v>11896</v>
      </c>
      <c r="C1618" s="1126" t="s">
        <v>1788</v>
      </c>
      <c r="D1618" s="1128">
        <v>2916.94</v>
      </c>
      <c r="E1618" s="1120">
        <v>962.65</v>
      </c>
      <c r="F1618" s="1121">
        <f t="shared" si="1"/>
        <v>1954.35</v>
      </c>
      <c r="G1618" s="1120">
        <v>1944.46</v>
      </c>
      <c r="H1618" s="1127">
        <v>8.78</v>
      </c>
      <c r="I1618" s="1127">
        <v>0.0</v>
      </c>
      <c r="J1618" s="1127">
        <v>1.11</v>
      </c>
      <c r="K1618" s="1124"/>
    </row>
    <row r="1619" ht="15.75" customHeight="1">
      <c r="A1619" s="1119">
        <v>97952.0</v>
      </c>
      <c r="B1619" s="1125" t="s">
        <v>11897</v>
      </c>
      <c r="C1619" s="1126" t="s">
        <v>1788</v>
      </c>
      <c r="D1619" s="1128">
        <v>4972.57</v>
      </c>
      <c r="E1619" s="1120">
        <v>1642.6</v>
      </c>
      <c r="F1619" s="1121">
        <f t="shared" si="1"/>
        <v>3330.11</v>
      </c>
      <c r="G1619" s="1120">
        <v>3307.02</v>
      </c>
      <c r="H1619" s="1127">
        <v>20.98</v>
      </c>
      <c r="I1619" s="1127">
        <v>0.0</v>
      </c>
      <c r="J1619" s="1127">
        <v>2.11</v>
      </c>
      <c r="K1619" s="1124"/>
    </row>
    <row r="1620" ht="15.75" customHeight="1">
      <c r="A1620" s="1119">
        <v>97953.0</v>
      </c>
      <c r="B1620" s="1125" t="s">
        <v>11898</v>
      </c>
      <c r="C1620" s="1126" t="s">
        <v>1788</v>
      </c>
      <c r="D1620" s="1128">
        <v>1244.32</v>
      </c>
      <c r="E1620" s="1120">
        <v>354.05</v>
      </c>
      <c r="F1620" s="1121">
        <f t="shared" si="1"/>
        <v>890.27</v>
      </c>
      <c r="G1620" s="1120">
        <v>886.78</v>
      </c>
      <c r="H1620" s="1127">
        <v>3.15</v>
      </c>
      <c r="I1620" s="1127">
        <v>0.0</v>
      </c>
      <c r="J1620" s="1127">
        <v>0.34</v>
      </c>
      <c r="K1620" s="1124"/>
    </row>
    <row r="1621" ht="15.75" customHeight="1">
      <c r="A1621" s="1119">
        <v>97955.0</v>
      </c>
      <c r="B1621" s="1125" t="s">
        <v>11899</v>
      </c>
      <c r="C1621" s="1126" t="s">
        <v>1788</v>
      </c>
      <c r="D1621" s="1128">
        <v>2712.99</v>
      </c>
      <c r="E1621" s="1120">
        <v>729.79</v>
      </c>
      <c r="F1621" s="1121">
        <f t="shared" si="1"/>
        <v>1983.25</v>
      </c>
      <c r="G1621" s="1120">
        <v>1972.68</v>
      </c>
      <c r="H1621" s="1127">
        <v>9.45</v>
      </c>
      <c r="I1621" s="1127">
        <v>0.0</v>
      </c>
      <c r="J1621" s="1127">
        <v>1.12</v>
      </c>
      <c r="K1621" s="1124"/>
    </row>
    <row r="1622" ht="15.75" customHeight="1">
      <c r="A1622" s="1119">
        <v>97956.0</v>
      </c>
      <c r="B1622" s="1125" t="s">
        <v>11900</v>
      </c>
      <c r="C1622" s="1126" t="s">
        <v>1788</v>
      </c>
      <c r="D1622" s="1128">
        <v>1466.96</v>
      </c>
      <c r="E1622" s="1120">
        <v>538.36</v>
      </c>
      <c r="F1622" s="1121">
        <f t="shared" si="1"/>
        <v>928.68</v>
      </c>
      <c r="G1622" s="1120">
        <v>922.39</v>
      </c>
      <c r="H1622" s="1127">
        <v>5.53</v>
      </c>
      <c r="I1622" s="1127">
        <v>0.0</v>
      </c>
      <c r="J1622" s="1127">
        <v>0.76</v>
      </c>
      <c r="K1622" s="1124"/>
    </row>
    <row r="1623" ht="15.75" customHeight="1">
      <c r="A1623" s="1119">
        <v>97957.0</v>
      </c>
      <c r="B1623" s="1125" t="s">
        <v>11901</v>
      </c>
      <c r="C1623" s="1126" t="s">
        <v>1788</v>
      </c>
      <c r="D1623" s="1128">
        <v>2630.7</v>
      </c>
      <c r="E1623" s="1120">
        <v>993.42</v>
      </c>
      <c r="F1623" s="1121">
        <f t="shared" si="1"/>
        <v>1637.4</v>
      </c>
      <c r="G1623" s="1120">
        <v>1622.89</v>
      </c>
      <c r="H1623" s="1127">
        <v>13.05</v>
      </c>
      <c r="I1623" s="1127">
        <v>0.0</v>
      </c>
      <c r="J1623" s="1127">
        <v>1.46</v>
      </c>
      <c r="K1623" s="1124"/>
    </row>
    <row r="1624" ht="15.75" customHeight="1">
      <c r="A1624" s="1119">
        <v>97961.0</v>
      </c>
      <c r="B1624" s="1125" t="s">
        <v>11902</v>
      </c>
      <c r="C1624" s="1126" t="s">
        <v>1788</v>
      </c>
      <c r="D1624" s="1128">
        <v>2264.49</v>
      </c>
      <c r="E1624" s="1120">
        <v>728.6</v>
      </c>
      <c r="F1624" s="1121">
        <f t="shared" si="1"/>
        <v>1535.95</v>
      </c>
      <c r="G1624" s="1120">
        <v>1526.38</v>
      </c>
      <c r="H1624" s="1127">
        <v>8.57</v>
      </c>
      <c r="I1624" s="1127">
        <v>0.0</v>
      </c>
      <c r="J1624" s="1127">
        <v>1.0</v>
      </c>
      <c r="K1624" s="1124"/>
    </row>
    <row r="1625" ht="15.75" customHeight="1">
      <c r="A1625" s="1119">
        <v>97973.0</v>
      </c>
      <c r="B1625" s="1125" t="s">
        <v>11903</v>
      </c>
      <c r="C1625" s="1126" t="s">
        <v>1788</v>
      </c>
      <c r="D1625" s="1128">
        <v>4224.72</v>
      </c>
      <c r="E1625" s="1120">
        <v>1328.17</v>
      </c>
      <c r="F1625" s="1121">
        <f t="shared" si="1"/>
        <v>2896.67</v>
      </c>
      <c r="G1625" s="1120">
        <v>2873.36</v>
      </c>
      <c r="H1625" s="1127">
        <v>21.13</v>
      </c>
      <c r="I1625" s="1127">
        <v>0.0</v>
      </c>
      <c r="J1625" s="1127">
        <v>2.18</v>
      </c>
      <c r="K1625" s="1124"/>
    </row>
    <row r="1626" ht="15.75" customHeight="1">
      <c r="A1626" s="1119">
        <v>97974.0</v>
      </c>
      <c r="B1626" s="1125" t="s">
        <v>11904</v>
      </c>
      <c r="C1626" s="1126" t="s">
        <v>1788</v>
      </c>
      <c r="D1626" s="1119">
        <v>418.29</v>
      </c>
      <c r="E1626" s="1120">
        <v>91.7</v>
      </c>
      <c r="F1626" s="1121">
        <f t="shared" si="1"/>
        <v>326.58</v>
      </c>
      <c r="G1626" s="1120">
        <v>310.96</v>
      </c>
      <c r="H1626" s="1127">
        <v>15.53</v>
      </c>
      <c r="I1626" s="1127">
        <v>0.0</v>
      </c>
      <c r="J1626" s="1127">
        <v>0.09</v>
      </c>
      <c r="K1626" s="1124"/>
    </row>
    <row r="1627" ht="15.75" customHeight="1">
      <c r="A1627" s="1119">
        <v>97975.0</v>
      </c>
      <c r="B1627" s="1125" t="s">
        <v>11905</v>
      </c>
      <c r="C1627" s="1126" t="s">
        <v>1788</v>
      </c>
      <c r="D1627" s="1119">
        <v>528.35</v>
      </c>
      <c r="E1627" s="1120">
        <v>101.61</v>
      </c>
      <c r="F1627" s="1121">
        <f t="shared" si="1"/>
        <v>426.76</v>
      </c>
      <c r="G1627" s="1120">
        <v>405.98</v>
      </c>
      <c r="H1627" s="1127">
        <v>20.69</v>
      </c>
      <c r="I1627" s="1127">
        <v>0.0</v>
      </c>
      <c r="J1627" s="1127">
        <v>0.09</v>
      </c>
      <c r="K1627" s="1124"/>
    </row>
    <row r="1628" ht="15.75" customHeight="1">
      <c r="A1628" s="1119">
        <v>97976.0</v>
      </c>
      <c r="B1628" s="1125" t="s">
        <v>11906</v>
      </c>
      <c r="C1628" s="1126" t="s">
        <v>1788</v>
      </c>
      <c r="D1628" s="1128">
        <v>1197.51</v>
      </c>
      <c r="E1628" s="1120">
        <v>440.23</v>
      </c>
      <c r="F1628" s="1121">
        <f t="shared" si="1"/>
        <v>757.41</v>
      </c>
      <c r="G1628" s="1120">
        <v>745.43</v>
      </c>
      <c r="H1628" s="1127">
        <v>11.44</v>
      </c>
      <c r="I1628" s="1127">
        <v>0.0</v>
      </c>
      <c r="J1628" s="1127">
        <v>0.54</v>
      </c>
      <c r="K1628" s="1124"/>
    </row>
    <row r="1629" ht="15.75" customHeight="1">
      <c r="A1629" s="1119">
        <v>97977.0</v>
      </c>
      <c r="B1629" s="1125" t="s">
        <v>11907</v>
      </c>
      <c r="C1629" s="1126" t="s">
        <v>1788</v>
      </c>
      <c r="D1629" s="1128">
        <v>1723.01</v>
      </c>
      <c r="E1629" s="1120">
        <v>646.76</v>
      </c>
      <c r="F1629" s="1121">
        <f t="shared" si="1"/>
        <v>1076.36</v>
      </c>
      <c r="G1629" s="1120">
        <v>1063.88</v>
      </c>
      <c r="H1629" s="1127">
        <v>11.78</v>
      </c>
      <c r="I1629" s="1127">
        <v>0.0</v>
      </c>
      <c r="J1629" s="1127">
        <v>0.7</v>
      </c>
      <c r="K1629" s="1124"/>
    </row>
    <row r="1630" ht="15.75" customHeight="1">
      <c r="A1630" s="1119">
        <v>97978.0</v>
      </c>
      <c r="B1630" s="1125" t="s">
        <v>11908</v>
      </c>
      <c r="C1630" s="1126" t="s">
        <v>1788</v>
      </c>
      <c r="D1630" s="1119">
        <v>856.43</v>
      </c>
      <c r="E1630" s="1120">
        <v>232.69</v>
      </c>
      <c r="F1630" s="1121">
        <f t="shared" si="1"/>
        <v>623.76</v>
      </c>
      <c r="G1630" s="1120">
        <v>583.63</v>
      </c>
      <c r="H1630" s="1127">
        <v>39.83</v>
      </c>
      <c r="I1630" s="1127">
        <v>0.0</v>
      </c>
      <c r="J1630" s="1127">
        <v>0.3</v>
      </c>
      <c r="K1630" s="1124"/>
    </row>
    <row r="1631" ht="15.75" customHeight="1">
      <c r="A1631" s="1119">
        <v>97980.0</v>
      </c>
      <c r="B1631" s="1125" t="s">
        <v>11909</v>
      </c>
      <c r="C1631" s="1126" t="s">
        <v>1788</v>
      </c>
      <c r="D1631" s="1128">
        <v>2203.92</v>
      </c>
      <c r="E1631" s="1120">
        <v>808.21</v>
      </c>
      <c r="F1631" s="1121">
        <f t="shared" si="1"/>
        <v>1395.85</v>
      </c>
      <c r="G1631" s="1120">
        <v>1373.65</v>
      </c>
      <c r="H1631" s="1127">
        <v>21.21</v>
      </c>
      <c r="I1631" s="1127">
        <v>0.0</v>
      </c>
      <c r="J1631" s="1127">
        <v>0.99</v>
      </c>
      <c r="K1631" s="1124"/>
    </row>
    <row r="1632" ht="15.75" customHeight="1">
      <c r="A1632" s="1119">
        <v>97981.0</v>
      </c>
      <c r="B1632" s="1125" t="s">
        <v>11910</v>
      </c>
      <c r="C1632" s="1126" t="s">
        <v>1731</v>
      </c>
      <c r="D1632" s="1128">
        <v>1303.19</v>
      </c>
      <c r="E1632" s="1120">
        <v>524.77</v>
      </c>
      <c r="F1632" s="1121">
        <f t="shared" si="1"/>
        <v>778.45</v>
      </c>
      <c r="G1632" s="1120">
        <v>777.37</v>
      </c>
      <c r="H1632" s="1127">
        <v>0.71</v>
      </c>
      <c r="I1632" s="1127">
        <v>0.0</v>
      </c>
      <c r="J1632" s="1127">
        <v>0.37</v>
      </c>
      <c r="K1632" s="1124"/>
    </row>
    <row r="1633" ht="15.75" customHeight="1">
      <c r="A1633" s="1119">
        <v>97983.0</v>
      </c>
      <c r="B1633" s="1125" t="s">
        <v>11911</v>
      </c>
      <c r="C1633" s="1126" t="s">
        <v>1731</v>
      </c>
      <c r="D1633" s="1119">
        <v>387.41</v>
      </c>
      <c r="E1633" s="1120">
        <v>34.16</v>
      </c>
      <c r="F1633" s="1121">
        <f t="shared" si="1"/>
        <v>353.28</v>
      </c>
      <c r="G1633" s="1120">
        <v>335.41</v>
      </c>
      <c r="H1633" s="1127">
        <v>17.86</v>
      </c>
      <c r="I1633" s="1127">
        <v>0.0</v>
      </c>
      <c r="J1633" s="1127">
        <v>0.01</v>
      </c>
      <c r="K1633" s="1124"/>
    </row>
    <row r="1634" ht="15.75" customHeight="1">
      <c r="A1634" s="1119">
        <v>97985.0</v>
      </c>
      <c r="B1634" s="1125" t="s">
        <v>11912</v>
      </c>
      <c r="C1634" s="1126" t="s">
        <v>1731</v>
      </c>
      <c r="D1634" s="1128">
        <v>1574.29</v>
      </c>
      <c r="E1634" s="1120">
        <v>641.54</v>
      </c>
      <c r="F1634" s="1121">
        <f t="shared" si="1"/>
        <v>932.79</v>
      </c>
      <c r="G1634" s="1120">
        <v>931.53</v>
      </c>
      <c r="H1634" s="1127">
        <v>0.84</v>
      </c>
      <c r="I1634" s="1127">
        <v>0.0</v>
      </c>
      <c r="J1634" s="1127">
        <v>0.42</v>
      </c>
      <c r="K1634" s="1124"/>
    </row>
    <row r="1635" ht="15.75" customHeight="1">
      <c r="A1635" s="1119">
        <v>97987.0</v>
      </c>
      <c r="B1635" s="1125" t="s">
        <v>11913</v>
      </c>
      <c r="C1635" s="1126" t="s">
        <v>1731</v>
      </c>
      <c r="D1635" s="1119">
        <v>511.89</v>
      </c>
      <c r="E1635" s="1120">
        <v>40.15</v>
      </c>
      <c r="F1635" s="1121">
        <f t="shared" si="1"/>
        <v>471.73</v>
      </c>
      <c r="G1635" s="1120">
        <v>451.0</v>
      </c>
      <c r="H1635" s="1127">
        <v>20.72</v>
      </c>
      <c r="I1635" s="1127">
        <v>0.0</v>
      </c>
      <c r="J1635" s="1127">
        <v>0.01</v>
      </c>
      <c r="K1635" s="1124"/>
    </row>
    <row r="1636" ht="15.75" customHeight="1">
      <c r="A1636" s="1119">
        <v>97988.0</v>
      </c>
      <c r="B1636" s="1125" t="s">
        <v>11914</v>
      </c>
      <c r="C1636" s="1126" t="s">
        <v>1788</v>
      </c>
      <c r="D1636" s="1128">
        <v>3216.23</v>
      </c>
      <c r="E1636" s="1120">
        <v>1138.7</v>
      </c>
      <c r="F1636" s="1121">
        <f t="shared" si="1"/>
        <v>2077.72</v>
      </c>
      <c r="G1636" s="1120">
        <v>2045.26</v>
      </c>
      <c r="H1636" s="1127">
        <v>30.94</v>
      </c>
      <c r="I1636" s="1127">
        <v>0.0</v>
      </c>
      <c r="J1636" s="1127">
        <v>1.52</v>
      </c>
      <c r="K1636" s="1124"/>
    </row>
    <row r="1637" ht="15.75" customHeight="1">
      <c r="A1637" s="1119">
        <v>97989.0</v>
      </c>
      <c r="B1637" s="1125" t="s">
        <v>11915</v>
      </c>
      <c r="C1637" s="1126" t="s">
        <v>1731</v>
      </c>
      <c r="D1637" s="1128">
        <v>1845.33</v>
      </c>
      <c r="E1637" s="1120">
        <v>758.28</v>
      </c>
      <c r="F1637" s="1121">
        <f t="shared" si="1"/>
        <v>1087.11</v>
      </c>
      <c r="G1637" s="1120">
        <v>1085.68</v>
      </c>
      <c r="H1637" s="1127">
        <v>0.94</v>
      </c>
      <c r="I1637" s="1127">
        <v>0.0</v>
      </c>
      <c r="J1637" s="1127">
        <v>0.49</v>
      </c>
      <c r="K1637" s="1124"/>
    </row>
    <row r="1638" ht="15.75" customHeight="1">
      <c r="A1638" s="1119">
        <v>97991.0</v>
      </c>
      <c r="B1638" s="1125" t="s">
        <v>11916</v>
      </c>
      <c r="C1638" s="1126" t="s">
        <v>1731</v>
      </c>
      <c r="D1638" s="1119">
        <v>699.19</v>
      </c>
      <c r="E1638" s="1120">
        <v>51.19</v>
      </c>
      <c r="F1638" s="1121">
        <f t="shared" si="1"/>
        <v>647.99</v>
      </c>
      <c r="G1638" s="1120">
        <v>621.4</v>
      </c>
      <c r="H1638" s="1127">
        <v>26.57</v>
      </c>
      <c r="I1638" s="1127">
        <v>0.0</v>
      </c>
      <c r="J1638" s="1127">
        <v>0.02</v>
      </c>
      <c r="K1638" s="1124"/>
    </row>
    <row r="1639" ht="15.75" customHeight="1">
      <c r="A1639" s="1119">
        <v>97992.0</v>
      </c>
      <c r="B1639" s="1125" t="s">
        <v>11917</v>
      </c>
      <c r="C1639" s="1126" t="s">
        <v>1788</v>
      </c>
      <c r="D1639" s="1128">
        <v>4107.89</v>
      </c>
      <c r="E1639" s="1120">
        <v>1409.96</v>
      </c>
      <c r="F1639" s="1121">
        <f t="shared" si="1"/>
        <v>2698.11</v>
      </c>
      <c r="G1639" s="1120">
        <v>2656.45</v>
      </c>
      <c r="H1639" s="1127">
        <v>39.64</v>
      </c>
      <c r="I1639" s="1127">
        <v>0.0</v>
      </c>
      <c r="J1639" s="1127">
        <v>2.02</v>
      </c>
      <c r="K1639" s="1124"/>
    </row>
    <row r="1640" ht="15.75" customHeight="1">
      <c r="A1640" s="1119">
        <v>97993.0</v>
      </c>
      <c r="B1640" s="1125" t="s">
        <v>11918</v>
      </c>
      <c r="C1640" s="1126" t="s">
        <v>1731</v>
      </c>
      <c r="D1640" s="1128">
        <v>2252.02</v>
      </c>
      <c r="E1640" s="1120">
        <v>933.4</v>
      </c>
      <c r="F1640" s="1121">
        <f t="shared" si="1"/>
        <v>1318.66</v>
      </c>
      <c r="G1640" s="1120">
        <v>1317.0</v>
      </c>
      <c r="H1640" s="1127">
        <v>1.1</v>
      </c>
      <c r="I1640" s="1127">
        <v>0.0</v>
      </c>
      <c r="J1640" s="1127">
        <v>0.56</v>
      </c>
      <c r="K1640" s="1124"/>
    </row>
    <row r="1641" ht="15.75" customHeight="1">
      <c r="A1641" s="1119">
        <v>97994.0</v>
      </c>
      <c r="B1641" s="1125" t="s">
        <v>11919</v>
      </c>
      <c r="C1641" s="1126" t="s">
        <v>1788</v>
      </c>
      <c r="D1641" s="1128">
        <v>2658.28</v>
      </c>
      <c r="E1641" s="1120">
        <v>965.87</v>
      </c>
      <c r="F1641" s="1121">
        <f t="shared" si="1"/>
        <v>1692.57</v>
      </c>
      <c r="G1641" s="1120">
        <v>1666.02</v>
      </c>
      <c r="H1641" s="1127">
        <v>25.2</v>
      </c>
      <c r="I1641" s="1127">
        <v>0.0</v>
      </c>
      <c r="J1641" s="1127">
        <v>1.35</v>
      </c>
      <c r="K1641" s="1124"/>
    </row>
    <row r="1642" ht="15.75" customHeight="1">
      <c r="A1642" s="1119">
        <v>97995.0</v>
      </c>
      <c r="B1642" s="1125" t="s">
        <v>11920</v>
      </c>
      <c r="C1642" s="1126" t="s">
        <v>1731</v>
      </c>
      <c r="D1642" s="1128">
        <v>1357.02</v>
      </c>
      <c r="E1642" s="1120">
        <v>575.44</v>
      </c>
      <c r="F1642" s="1121">
        <f t="shared" si="1"/>
        <v>781.6</v>
      </c>
      <c r="G1642" s="1120">
        <v>780.67</v>
      </c>
      <c r="H1642" s="1127">
        <v>0.58</v>
      </c>
      <c r="I1642" s="1127">
        <v>0.0</v>
      </c>
      <c r="J1642" s="1127">
        <v>0.35</v>
      </c>
      <c r="K1642" s="1124"/>
    </row>
    <row r="1643" ht="15.75" customHeight="1">
      <c r="A1643" s="1119">
        <v>97996.0</v>
      </c>
      <c r="B1643" s="1125" t="s">
        <v>11921</v>
      </c>
      <c r="C1643" s="1126" t="s">
        <v>1788</v>
      </c>
      <c r="D1643" s="1128">
        <v>3360.8</v>
      </c>
      <c r="E1643" s="1120">
        <v>1210.95</v>
      </c>
      <c r="F1643" s="1121">
        <f t="shared" si="1"/>
        <v>2150.05</v>
      </c>
      <c r="G1643" s="1120">
        <v>2116.86</v>
      </c>
      <c r="H1643" s="1127">
        <v>31.45</v>
      </c>
      <c r="I1643" s="1127">
        <v>0.0</v>
      </c>
      <c r="J1643" s="1127">
        <v>1.74</v>
      </c>
      <c r="K1643" s="1124"/>
    </row>
    <row r="1644" ht="15.75" customHeight="1">
      <c r="A1644" s="1119">
        <v>97997.0</v>
      </c>
      <c r="B1644" s="1125" t="s">
        <v>11922</v>
      </c>
      <c r="C1644" s="1126" t="s">
        <v>1731</v>
      </c>
      <c r="D1644" s="1128">
        <v>1622.17</v>
      </c>
      <c r="E1644" s="1120">
        <v>689.55</v>
      </c>
      <c r="F1644" s="1121">
        <f t="shared" si="1"/>
        <v>932.65</v>
      </c>
      <c r="G1644" s="1120">
        <v>931.54</v>
      </c>
      <c r="H1644" s="1127">
        <v>0.69</v>
      </c>
      <c r="I1644" s="1127">
        <v>0.0</v>
      </c>
      <c r="J1644" s="1127">
        <v>0.42</v>
      </c>
      <c r="K1644" s="1124"/>
    </row>
    <row r="1645" ht="15.75" customHeight="1">
      <c r="A1645" s="1119">
        <v>97999.0</v>
      </c>
      <c r="B1645" s="1125" t="s">
        <v>11923</v>
      </c>
      <c r="C1645" s="1126" t="s">
        <v>1731</v>
      </c>
      <c r="D1645" s="1128">
        <v>1887.42</v>
      </c>
      <c r="E1645" s="1120">
        <v>803.64</v>
      </c>
      <c r="F1645" s="1121">
        <f t="shared" si="1"/>
        <v>1083.81</v>
      </c>
      <c r="G1645" s="1120">
        <v>1082.52</v>
      </c>
      <c r="H1645" s="1127">
        <v>0.82</v>
      </c>
      <c r="I1645" s="1127">
        <v>0.0</v>
      </c>
      <c r="J1645" s="1127">
        <v>0.47</v>
      </c>
      <c r="K1645" s="1124"/>
    </row>
    <row r="1646" ht="15.75" customHeight="1">
      <c r="A1646" s="1119">
        <v>98001.0</v>
      </c>
      <c r="B1646" s="1125" t="s">
        <v>11924</v>
      </c>
      <c r="C1646" s="1126" t="s">
        <v>1731</v>
      </c>
      <c r="D1646" s="1128">
        <v>2152.58</v>
      </c>
      <c r="E1646" s="1120">
        <v>917.72</v>
      </c>
      <c r="F1646" s="1121">
        <f t="shared" si="1"/>
        <v>1234.9</v>
      </c>
      <c r="G1646" s="1120">
        <v>1233.41</v>
      </c>
      <c r="H1646" s="1127">
        <v>0.95</v>
      </c>
      <c r="I1646" s="1127">
        <v>0.0</v>
      </c>
      <c r="J1646" s="1127">
        <v>0.54</v>
      </c>
      <c r="K1646" s="1124"/>
    </row>
    <row r="1647" ht="15.75" customHeight="1">
      <c r="A1647" s="1119">
        <v>98002.0</v>
      </c>
      <c r="B1647" s="1125" t="s">
        <v>11925</v>
      </c>
      <c r="C1647" s="1126" t="s">
        <v>1788</v>
      </c>
      <c r="D1647" s="1128">
        <v>5501.34</v>
      </c>
      <c r="E1647" s="1120">
        <v>1946.16</v>
      </c>
      <c r="F1647" s="1121">
        <f t="shared" si="1"/>
        <v>3555.48</v>
      </c>
      <c r="G1647" s="1120">
        <v>3474.92</v>
      </c>
      <c r="H1647" s="1127">
        <v>77.6</v>
      </c>
      <c r="I1647" s="1127">
        <v>0.0</v>
      </c>
      <c r="J1647" s="1127">
        <v>2.96</v>
      </c>
      <c r="K1647" s="1124"/>
    </row>
    <row r="1648" ht="15.75" customHeight="1">
      <c r="A1648" s="1119">
        <v>98003.0</v>
      </c>
      <c r="B1648" s="1125" t="s">
        <v>11926</v>
      </c>
      <c r="C1648" s="1126" t="s">
        <v>1731</v>
      </c>
      <c r="D1648" s="1128">
        <v>2417.84</v>
      </c>
      <c r="E1648" s="1120">
        <v>1031.83</v>
      </c>
      <c r="F1648" s="1121">
        <f t="shared" si="1"/>
        <v>1386.05</v>
      </c>
      <c r="G1648" s="1120">
        <v>1384.36</v>
      </c>
      <c r="H1648" s="1127">
        <v>1.08</v>
      </c>
      <c r="I1648" s="1127">
        <v>0.0</v>
      </c>
      <c r="J1648" s="1127">
        <v>0.61</v>
      </c>
      <c r="K1648" s="1124"/>
    </row>
    <row r="1649" ht="15.75" customHeight="1">
      <c r="A1649" s="1119">
        <v>98005.0</v>
      </c>
      <c r="B1649" s="1125" t="s">
        <v>11927</v>
      </c>
      <c r="C1649" s="1126" t="s">
        <v>1731</v>
      </c>
      <c r="D1649" s="1128">
        <v>2683.07</v>
      </c>
      <c r="E1649" s="1120">
        <v>1145.92</v>
      </c>
      <c r="F1649" s="1121">
        <f t="shared" si="1"/>
        <v>1537.21</v>
      </c>
      <c r="G1649" s="1120">
        <v>1535.32</v>
      </c>
      <c r="H1649" s="1127">
        <v>1.21</v>
      </c>
      <c r="I1649" s="1127">
        <v>0.0</v>
      </c>
      <c r="J1649" s="1127">
        <v>0.68</v>
      </c>
      <c r="K1649" s="1124"/>
    </row>
    <row r="1650" ht="15.75" customHeight="1">
      <c r="A1650" s="1119">
        <v>98006.0</v>
      </c>
      <c r="B1650" s="1125" t="s">
        <v>11928</v>
      </c>
      <c r="C1650" s="1126" t="s">
        <v>1788</v>
      </c>
      <c r="D1650" s="1128">
        <v>6914.67</v>
      </c>
      <c r="E1650" s="1120">
        <v>2436.34</v>
      </c>
      <c r="F1650" s="1121">
        <f t="shared" si="1"/>
        <v>4478.7</v>
      </c>
      <c r="G1650" s="1120">
        <v>4377.84</v>
      </c>
      <c r="H1650" s="1127">
        <v>97.1</v>
      </c>
      <c r="I1650" s="1127">
        <v>0.0</v>
      </c>
      <c r="J1650" s="1127">
        <v>3.76</v>
      </c>
      <c r="K1650" s="1124"/>
    </row>
    <row r="1651" ht="15.75" customHeight="1">
      <c r="A1651" s="1119">
        <v>98007.0</v>
      </c>
      <c r="B1651" s="1125" t="s">
        <v>11929</v>
      </c>
      <c r="C1651" s="1126" t="s">
        <v>1731</v>
      </c>
      <c r="D1651" s="1128">
        <v>2948.24</v>
      </c>
      <c r="E1651" s="1120">
        <v>1260.04</v>
      </c>
      <c r="F1651" s="1121">
        <f t="shared" si="1"/>
        <v>1688.27</v>
      </c>
      <c r="G1651" s="1120">
        <v>1686.2</v>
      </c>
      <c r="H1651" s="1127">
        <v>1.34</v>
      </c>
      <c r="I1651" s="1127">
        <v>0.0</v>
      </c>
      <c r="J1651" s="1127">
        <v>0.73</v>
      </c>
      <c r="K1651" s="1124"/>
    </row>
    <row r="1652" ht="15.75" customHeight="1">
      <c r="A1652" s="1119">
        <v>98008.0</v>
      </c>
      <c r="B1652" s="1125" t="s">
        <v>11930</v>
      </c>
      <c r="C1652" s="1126" t="s">
        <v>1788</v>
      </c>
      <c r="D1652" s="1128">
        <v>4146.6</v>
      </c>
      <c r="E1652" s="1120">
        <v>1449.09</v>
      </c>
      <c r="F1652" s="1121">
        <f t="shared" si="1"/>
        <v>2697.8</v>
      </c>
      <c r="G1652" s="1120">
        <v>2655.99</v>
      </c>
      <c r="H1652" s="1127">
        <v>39.55</v>
      </c>
      <c r="I1652" s="1127">
        <v>0.0</v>
      </c>
      <c r="J1652" s="1127">
        <v>2.26</v>
      </c>
      <c r="K1652" s="1124"/>
    </row>
    <row r="1653" ht="15.75" customHeight="1">
      <c r="A1653" s="1119">
        <v>98009.0</v>
      </c>
      <c r="B1653" s="1125" t="s">
        <v>11931</v>
      </c>
      <c r="C1653" s="1126" t="s">
        <v>1731</v>
      </c>
      <c r="D1653" s="1128">
        <v>1887.42</v>
      </c>
      <c r="E1653" s="1120">
        <v>803.64</v>
      </c>
      <c r="F1653" s="1121">
        <f t="shared" si="1"/>
        <v>1083.81</v>
      </c>
      <c r="G1653" s="1120">
        <v>1082.52</v>
      </c>
      <c r="H1653" s="1127">
        <v>0.82</v>
      </c>
      <c r="I1653" s="1127">
        <v>0.0</v>
      </c>
      <c r="J1653" s="1127">
        <v>0.47</v>
      </c>
      <c r="K1653" s="1124"/>
    </row>
    <row r="1654" ht="15.75" customHeight="1">
      <c r="A1654" s="1119">
        <v>98010.0</v>
      </c>
      <c r="B1654" s="1125" t="s">
        <v>11932</v>
      </c>
      <c r="C1654" s="1126" t="s">
        <v>1788</v>
      </c>
      <c r="D1654" s="1128">
        <v>5054.4</v>
      </c>
      <c r="E1654" s="1120">
        <v>1738.54</v>
      </c>
      <c r="F1654" s="1121">
        <f t="shared" si="1"/>
        <v>3316.19</v>
      </c>
      <c r="G1654" s="1120">
        <v>3239.38</v>
      </c>
      <c r="H1654" s="1127">
        <v>74.04</v>
      </c>
      <c r="I1654" s="1127">
        <v>0.0</v>
      </c>
      <c r="J1654" s="1127">
        <v>2.77</v>
      </c>
      <c r="K1654" s="1124"/>
    </row>
    <row r="1655" ht="15.75" customHeight="1">
      <c r="A1655" s="1119">
        <v>98011.0</v>
      </c>
      <c r="B1655" s="1125" t="s">
        <v>11933</v>
      </c>
      <c r="C1655" s="1126" t="s">
        <v>1731</v>
      </c>
      <c r="D1655" s="1128">
        <v>2152.58</v>
      </c>
      <c r="E1655" s="1120">
        <v>917.72</v>
      </c>
      <c r="F1655" s="1121">
        <f t="shared" si="1"/>
        <v>1234.9</v>
      </c>
      <c r="G1655" s="1120">
        <v>1233.41</v>
      </c>
      <c r="H1655" s="1127">
        <v>0.95</v>
      </c>
      <c r="I1655" s="1127">
        <v>0.0</v>
      </c>
      <c r="J1655" s="1127">
        <v>0.54</v>
      </c>
      <c r="K1655" s="1124"/>
    </row>
    <row r="1656" ht="15.75" customHeight="1">
      <c r="A1656" s="1119">
        <v>98012.0</v>
      </c>
      <c r="B1656" s="1125" t="s">
        <v>11934</v>
      </c>
      <c r="C1656" s="1126" t="s">
        <v>1788</v>
      </c>
      <c r="D1656" s="1128">
        <v>5935.91</v>
      </c>
      <c r="E1656" s="1120">
        <v>2028.03</v>
      </c>
      <c r="F1656" s="1121">
        <f t="shared" si="1"/>
        <v>3908.15</v>
      </c>
      <c r="G1656" s="1120">
        <v>3817.93</v>
      </c>
      <c r="H1656" s="1127">
        <v>86.93</v>
      </c>
      <c r="I1656" s="1127">
        <v>0.0</v>
      </c>
      <c r="J1656" s="1127">
        <v>3.29</v>
      </c>
      <c r="K1656" s="1124"/>
    </row>
    <row r="1657" ht="15.75" customHeight="1">
      <c r="A1657" s="1119">
        <v>98013.0</v>
      </c>
      <c r="B1657" s="1125" t="s">
        <v>11935</v>
      </c>
      <c r="C1657" s="1126" t="s">
        <v>1731</v>
      </c>
      <c r="D1657" s="1128">
        <v>2417.84</v>
      </c>
      <c r="E1657" s="1120">
        <v>1031.83</v>
      </c>
      <c r="F1657" s="1121">
        <f t="shared" si="1"/>
        <v>1386.05</v>
      </c>
      <c r="G1657" s="1120">
        <v>1384.36</v>
      </c>
      <c r="H1657" s="1127">
        <v>1.08</v>
      </c>
      <c r="I1657" s="1127">
        <v>0.0</v>
      </c>
      <c r="J1657" s="1127">
        <v>0.61</v>
      </c>
      <c r="K1657" s="1124"/>
    </row>
    <row r="1658" ht="15.75" customHeight="1">
      <c r="A1658" s="1119">
        <v>98014.0</v>
      </c>
      <c r="B1658" s="1125" t="s">
        <v>11936</v>
      </c>
      <c r="C1658" s="1126" t="s">
        <v>1788</v>
      </c>
      <c r="D1658" s="1128">
        <v>6817.35</v>
      </c>
      <c r="E1658" s="1120">
        <v>2317.45</v>
      </c>
      <c r="F1658" s="1121">
        <f t="shared" si="1"/>
        <v>4500.27</v>
      </c>
      <c r="G1658" s="1120">
        <v>4396.65</v>
      </c>
      <c r="H1658" s="1127">
        <v>99.8</v>
      </c>
      <c r="I1658" s="1127">
        <v>0.0</v>
      </c>
      <c r="J1658" s="1127">
        <v>3.82</v>
      </c>
      <c r="K1658" s="1124"/>
    </row>
    <row r="1659" ht="15.75" customHeight="1">
      <c r="A1659" s="1119">
        <v>98015.0</v>
      </c>
      <c r="B1659" s="1125" t="s">
        <v>11937</v>
      </c>
      <c r="C1659" s="1126" t="s">
        <v>1731</v>
      </c>
      <c r="D1659" s="1128">
        <v>2683.07</v>
      </c>
      <c r="E1659" s="1120">
        <v>1145.92</v>
      </c>
      <c r="F1659" s="1121">
        <f t="shared" si="1"/>
        <v>1537.21</v>
      </c>
      <c r="G1659" s="1120">
        <v>1535.32</v>
      </c>
      <c r="H1659" s="1127">
        <v>1.21</v>
      </c>
      <c r="I1659" s="1127">
        <v>0.0</v>
      </c>
      <c r="J1659" s="1127">
        <v>0.68</v>
      </c>
      <c r="K1659" s="1124"/>
    </row>
    <row r="1660" ht="15.75" customHeight="1">
      <c r="A1660" s="1119">
        <v>98016.0</v>
      </c>
      <c r="B1660" s="1125" t="s">
        <v>11938</v>
      </c>
      <c r="C1660" s="1126" t="s">
        <v>1788</v>
      </c>
      <c r="D1660" s="1128">
        <v>7698.91</v>
      </c>
      <c r="E1660" s="1120">
        <v>2606.92</v>
      </c>
      <c r="F1660" s="1121">
        <f t="shared" si="1"/>
        <v>5092.39</v>
      </c>
      <c r="G1660" s="1120">
        <v>4975.34</v>
      </c>
      <c r="H1660" s="1127">
        <v>112.72</v>
      </c>
      <c r="I1660" s="1127">
        <v>0.0</v>
      </c>
      <c r="J1660" s="1127">
        <v>4.33</v>
      </c>
      <c r="K1660" s="1124"/>
    </row>
    <row r="1661" ht="15.75" customHeight="1">
      <c r="A1661" s="1119">
        <v>98017.0</v>
      </c>
      <c r="B1661" s="1125" t="s">
        <v>11939</v>
      </c>
      <c r="C1661" s="1126" t="s">
        <v>1731</v>
      </c>
      <c r="D1661" s="1128">
        <v>2948.24</v>
      </c>
      <c r="E1661" s="1120">
        <v>1260.04</v>
      </c>
      <c r="F1661" s="1121">
        <f t="shared" si="1"/>
        <v>1688.27</v>
      </c>
      <c r="G1661" s="1120">
        <v>1686.2</v>
      </c>
      <c r="H1661" s="1127">
        <v>1.34</v>
      </c>
      <c r="I1661" s="1127">
        <v>0.0</v>
      </c>
      <c r="J1661" s="1127">
        <v>0.73</v>
      </c>
      <c r="K1661" s="1124"/>
    </row>
    <row r="1662" ht="15.75" customHeight="1">
      <c r="A1662" s="1119">
        <v>98018.0</v>
      </c>
      <c r="B1662" s="1125" t="s">
        <v>11940</v>
      </c>
      <c r="C1662" s="1126" t="s">
        <v>1788</v>
      </c>
      <c r="D1662" s="1128">
        <v>8580.4</v>
      </c>
      <c r="E1662" s="1120">
        <v>2896.45</v>
      </c>
      <c r="F1662" s="1121">
        <f t="shared" si="1"/>
        <v>5684.41</v>
      </c>
      <c r="G1662" s="1120">
        <v>5553.97</v>
      </c>
      <c r="H1662" s="1127">
        <v>125.59</v>
      </c>
      <c r="I1662" s="1127">
        <v>0.0</v>
      </c>
      <c r="J1662" s="1127">
        <v>4.85</v>
      </c>
      <c r="K1662" s="1124"/>
    </row>
    <row r="1663" ht="15.75" customHeight="1">
      <c r="A1663" s="1119">
        <v>98019.0</v>
      </c>
      <c r="B1663" s="1125" t="s">
        <v>11941</v>
      </c>
      <c r="C1663" s="1126" t="s">
        <v>1731</v>
      </c>
      <c r="D1663" s="1128">
        <v>3238.17</v>
      </c>
      <c r="E1663" s="1120">
        <v>1383.04</v>
      </c>
      <c r="F1663" s="1121">
        <f t="shared" si="1"/>
        <v>1855.18</v>
      </c>
      <c r="G1663" s="1120">
        <v>1852.9</v>
      </c>
      <c r="H1663" s="1127">
        <v>1.47</v>
      </c>
      <c r="I1663" s="1127">
        <v>0.0</v>
      </c>
      <c r="J1663" s="1127">
        <v>0.81</v>
      </c>
      <c r="K1663" s="1124"/>
    </row>
    <row r="1664" ht="15.75" customHeight="1">
      <c r="A1664" s="1119">
        <v>98020.0</v>
      </c>
      <c r="B1664" s="1125" t="s">
        <v>11942</v>
      </c>
      <c r="C1664" s="1126" t="s">
        <v>1788</v>
      </c>
      <c r="D1664" s="1128">
        <v>6096.39</v>
      </c>
      <c r="E1664" s="1120">
        <v>2076.41</v>
      </c>
      <c r="F1664" s="1121">
        <f t="shared" si="1"/>
        <v>4020.29</v>
      </c>
      <c r="G1664" s="1120">
        <v>3956.03</v>
      </c>
      <c r="H1664" s="1127">
        <v>60.84</v>
      </c>
      <c r="I1664" s="1127">
        <v>0.0</v>
      </c>
      <c r="J1664" s="1127">
        <v>3.42</v>
      </c>
      <c r="K1664" s="1124"/>
    </row>
    <row r="1665" ht="15.75" customHeight="1">
      <c r="A1665" s="1119">
        <v>98021.0</v>
      </c>
      <c r="B1665" s="1125" t="s">
        <v>11943</v>
      </c>
      <c r="C1665" s="1126" t="s">
        <v>1731</v>
      </c>
      <c r="D1665" s="1128">
        <v>2442.61</v>
      </c>
      <c r="E1665" s="1120">
        <v>1040.75</v>
      </c>
      <c r="F1665" s="1121">
        <f t="shared" si="1"/>
        <v>1401.88</v>
      </c>
      <c r="G1665" s="1120">
        <v>1400.14</v>
      </c>
      <c r="H1665" s="1127">
        <v>1.12</v>
      </c>
      <c r="I1665" s="1127">
        <v>0.0</v>
      </c>
      <c r="J1665" s="1127">
        <v>0.62</v>
      </c>
      <c r="K1665" s="1124"/>
    </row>
    <row r="1666" ht="15.75" customHeight="1">
      <c r="A1666" s="1119">
        <v>98022.0</v>
      </c>
      <c r="B1666" s="1125" t="s">
        <v>11944</v>
      </c>
      <c r="C1666" s="1126" t="s">
        <v>1788</v>
      </c>
      <c r="D1666" s="1128">
        <v>7140.52</v>
      </c>
      <c r="E1666" s="1120">
        <v>2409.93</v>
      </c>
      <c r="F1666" s="1121">
        <f t="shared" si="1"/>
        <v>4731</v>
      </c>
      <c r="G1666" s="1120">
        <v>4655.99</v>
      </c>
      <c r="H1666" s="1127">
        <v>70.94</v>
      </c>
      <c r="I1666" s="1127">
        <v>0.0</v>
      </c>
      <c r="J1666" s="1127">
        <v>4.07</v>
      </c>
      <c r="K1666" s="1124"/>
    </row>
    <row r="1667" ht="15.75" customHeight="1">
      <c r="A1667" s="1119">
        <v>98023.0</v>
      </c>
      <c r="B1667" s="1125" t="s">
        <v>11945</v>
      </c>
      <c r="C1667" s="1126" t="s">
        <v>1731</v>
      </c>
      <c r="D1667" s="1128">
        <v>2707.76</v>
      </c>
      <c r="E1667" s="1120">
        <v>1154.85</v>
      </c>
      <c r="F1667" s="1121">
        <f t="shared" si="1"/>
        <v>1552.98</v>
      </c>
      <c r="G1667" s="1120">
        <v>1551.06</v>
      </c>
      <c r="H1667" s="1127">
        <v>1.23</v>
      </c>
      <c r="I1667" s="1127">
        <v>0.0</v>
      </c>
      <c r="J1667" s="1127">
        <v>0.69</v>
      </c>
      <c r="K1667" s="1124"/>
    </row>
    <row r="1668" ht="15.75" customHeight="1">
      <c r="A1668" s="1119">
        <v>98024.0</v>
      </c>
      <c r="B1668" s="1125" t="s">
        <v>11946</v>
      </c>
      <c r="C1668" s="1126" t="s">
        <v>1788</v>
      </c>
      <c r="D1668" s="1128">
        <v>8242.85</v>
      </c>
      <c r="E1668" s="1120">
        <v>2743.65</v>
      </c>
      <c r="F1668" s="1121">
        <f t="shared" si="1"/>
        <v>5499.6</v>
      </c>
      <c r="G1668" s="1120">
        <v>5366.34</v>
      </c>
      <c r="H1668" s="1127">
        <v>128.56</v>
      </c>
      <c r="I1668" s="1127">
        <v>0.0</v>
      </c>
      <c r="J1668" s="1127">
        <v>4.7</v>
      </c>
      <c r="K1668" s="1124"/>
    </row>
    <row r="1669" ht="15.75" customHeight="1">
      <c r="A1669" s="1119">
        <v>98025.0</v>
      </c>
      <c r="B1669" s="1125" t="s">
        <v>11947</v>
      </c>
      <c r="C1669" s="1126" t="s">
        <v>1731</v>
      </c>
      <c r="D1669" s="1128">
        <v>2973.0</v>
      </c>
      <c r="E1669" s="1120">
        <v>1268.96</v>
      </c>
      <c r="F1669" s="1121">
        <f t="shared" si="1"/>
        <v>1704.1</v>
      </c>
      <c r="G1669" s="1120">
        <v>1702.0</v>
      </c>
      <c r="H1669" s="1127">
        <v>1.36</v>
      </c>
      <c r="I1669" s="1127">
        <v>0.0</v>
      </c>
      <c r="J1669" s="1127">
        <v>0.74</v>
      </c>
      <c r="K1669" s="1124"/>
    </row>
    <row r="1670" ht="15.75" customHeight="1">
      <c r="A1670" s="1119">
        <v>98026.0</v>
      </c>
      <c r="B1670" s="1125" t="s">
        <v>11948</v>
      </c>
      <c r="C1670" s="1126" t="s">
        <v>1788</v>
      </c>
      <c r="D1670" s="1128">
        <v>9294.36</v>
      </c>
      <c r="E1670" s="1120">
        <v>3077.28</v>
      </c>
      <c r="F1670" s="1121">
        <f t="shared" si="1"/>
        <v>6217.59</v>
      </c>
      <c r="G1670" s="1120">
        <v>6067.72</v>
      </c>
      <c r="H1670" s="1127">
        <v>144.54</v>
      </c>
      <c r="I1670" s="1127">
        <v>0.0</v>
      </c>
      <c r="J1670" s="1127">
        <v>5.33</v>
      </c>
      <c r="K1670" s="1124"/>
    </row>
    <row r="1671" ht="15.75" customHeight="1">
      <c r="A1671" s="1119">
        <v>98027.0</v>
      </c>
      <c r="B1671" s="1125" t="s">
        <v>11949</v>
      </c>
      <c r="C1671" s="1126" t="s">
        <v>1731</v>
      </c>
      <c r="D1671" s="1128">
        <v>3238.17</v>
      </c>
      <c r="E1671" s="1120">
        <v>1383.04</v>
      </c>
      <c r="F1671" s="1121">
        <f t="shared" si="1"/>
        <v>1855.18</v>
      </c>
      <c r="G1671" s="1120">
        <v>1852.9</v>
      </c>
      <c r="H1671" s="1127">
        <v>1.47</v>
      </c>
      <c r="I1671" s="1127">
        <v>0.0</v>
      </c>
      <c r="J1671" s="1127">
        <v>0.81</v>
      </c>
      <c r="K1671" s="1124"/>
    </row>
    <row r="1672" ht="15.75" customHeight="1">
      <c r="A1672" s="1119">
        <v>98028.0</v>
      </c>
      <c r="B1672" s="1125" t="s">
        <v>11950</v>
      </c>
      <c r="C1672" s="1126" t="s">
        <v>1788</v>
      </c>
      <c r="D1672" s="1128">
        <v>10345.9</v>
      </c>
      <c r="E1672" s="1120">
        <v>3410.95</v>
      </c>
      <c r="F1672" s="1121">
        <f t="shared" si="1"/>
        <v>6935.48</v>
      </c>
      <c r="G1672" s="1120">
        <v>6768.96</v>
      </c>
      <c r="H1672" s="1127">
        <v>160.55</v>
      </c>
      <c r="I1672" s="1127">
        <v>0.0</v>
      </c>
      <c r="J1672" s="1127">
        <v>5.97</v>
      </c>
      <c r="K1672" s="1124"/>
    </row>
    <row r="1673" ht="15.75" customHeight="1">
      <c r="A1673" s="1119">
        <v>98029.0</v>
      </c>
      <c r="B1673" s="1125" t="s">
        <v>11951</v>
      </c>
      <c r="C1673" s="1126" t="s">
        <v>1731</v>
      </c>
      <c r="D1673" s="1128">
        <v>3508.48</v>
      </c>
      <c r="E1673" s="1120">
        <v>1498.99</v>
      </c>
      <c r="F1673" s="1121">
        <f t="shared" si="1"/>
        <v>2009.54</v>
      </c>
      <c r="G1673" s="1120">
        <v>2007.05</v>
      </c>
      <c r="H1673" s="1127">
        <v>1.61</v>
      </c>
      <c r="I1673" s="1127">
        <v>0.0</v>
      </c>
      <c r="J1673" s="1127">
        <v>0.88</v>
      </c>
      <c r="K1673" s="1124"/>
    </row>
    <row r="1674" ht="15.75" customHeight="1">
      <c r="A1674" s="1119">
        <v>98030.0</v>
      </c>
      <c r="B1674" s="1125" t="s">
        <v>11952</v>
      </c>
      <c r="C1674" s="1126" t="s">
        <v>1788</v>
      </c>
      <c r="D1674" s="1128">
        <v>8405.78</v>
      </c>
      <c r="E1674" s="1120">
        <v>2718.84</v>
      </c>
      <c r="F1674" s="1121">
        <f t="shared" si="1"/>
        <v>5687.36</v>
      </c>
      <c r="G1674" s="1120">
        <v>5550.85</v>
      </c>
      <c r="H1674" s="1127">
        <v>131.7</v>
      </c>
      <c r="I1674" s="1127">
        <v>0.0</v>
      </c>
      <c r="J1674" s="1127">
        <v>4.81</v>
      </c>
      <c r="K1674" s="1124"/>
    </row>
    <row r="1675" ht="15.75" customHeight="1">
      <c r="A1675" s="1119">
        <v>98031.0</v>
      </c>
      <c r="B1675" s="1125" t="s">
        <v>11953</v>
      </c>
      <c r="C1675" s="1126" t="s">
        <v>1731</v>
      </c>
      <c r="D1675" s="1128">
        <v>2978.16</v>
      </c>
      <c r="E1675" s="1120">
        <v>1270.83</v>
      </c>
      <c r="F1675" s="1121">
        <f t="shared" si="1"/>
        <v>1707.4</v>
      </c>
      <c r="G1675" s="1120">
        <v>1705.3</v>
      </c>
      <c r="H1675" s="1127">
        <v>1.36</v>
      </c>
      <c r="I1675" s="1127">
        <v>0.0</v>
      </c>
      <c r="J1675" s="1127">
        <v>0.74</v>
      </c>
      <c r="K1675" s="1124"/>
    </row>
    <row r="1676" ht="15.75" customHeight="1">
      <c r="A1676" s="1119">
        <v>98032.0</v>
      </c>
      <c r="B1676" s="1125" t="s">
        <v>11954</v>
      </c>
      <c r="C1676" s="1126" t="s">
        <v>1788</v>
      </c>
      <c r="D1676" s="1128">
        <v>9664.74</v>
      </c>
      <c r="E1676" s="1120">
        <v>3097.66</v>
      </c>
      <c r="F1676" s="1121">
        <f t="shared" si="1"/>
        <v>6567.57</v>
      </c>
      <c r="G1676" s="1120">
        <v>6411.15</v>
      </c>
      <c r="H1676" s="1127">
        <v>150.83</v>
      </c>
      <c r="I1676" s="1127">
        <v>0.0</v>
      </c>
      <c r="J1676" s="1127">
        <v>5.59</v>
      </c>
      <c r="K1676" s="1124"/>
    </row>
    <row r="1677" ht="15.75" customHeight="1">
      <c r="A1677" s="1119">
        <v>98033.0</v>
      </c>
      <c r="B1677" s="1125" t="s">
        <v>11955</v>
      </c>
      <c r="C1677" s="1126" t="s">
        <v>1731</v>
      </c>
      <c r="D1677" s="1128">
        <v>3243.34</v>
      </c>
      <c r="E1677" s="1120">
        <v>1384.9</v>
      </c>
      <c r="F1677" s="1121">
        <f t="shared" si="1"/>
        <v>1858.49</v>
      </c>
      <c r="G1677" s="1120">
        <v>1856.2</v>
      </c>
      <c r="H1677" s="1127">
        <v>1.48</v>
      </c>
      <c r="I1677" s="1127">
        <v>0.0</v>
      </c>
      <c r="J1677" s="1127">
        <v>0.81</v>
      </c>
      <c r="K1677" s="1124"/>
    </row>
    <row r="1678" ht="15.75" customHeight="1">
      <c r="A1678" s="1119">
        <v>98034.0</v>
      </c>
      <c r="B1678" s="1125" t="s">
        <v>11956</v>
      </c>
      <c r="C1678" s="1126" t="s">
        <v>1788</v>
      </c>
      <c r="D1678" s="1128">
        <v>10923.73</v>
      </c>
      <c r="E1678" s="1120">
        <v>3476.44</v>
      </c>
      <c r="F1678" s="1121">
        <f t="shared" si="1"/>
        <v>7447.81</v>
      </c>
      <c r="G1678" s="1120">
        <v>7271.49</v>
      </c>
      <c r="H1678" s="1127">
        <v>169.97</v>
      </c>
      <c r="I1678" s="1127">
        <v>0.0</v>
      </c>
      <c r="J1678" s="1127">
        <v>6.35</v>
      </c>
      <c r="K1678" s="1124"/>
    </row>
    <row r="1679" ht="15.75" customHeight="1">
      <c r="A1679" s="1119">
        <v>98035.0</v>
      </c>
      <c r="B1679" s="1125" t="s">
        <v>11957</v>
      </c>
      <c r="C1679" s="1126" t="s">
        <v>1731</v>
      </c>
      <c r="D1679" s="1128">
        <v>3508.48</v>
      </c>
      <c r="E1679" s="1120">
        <v>1498.99</v>
      </c>
      <c r="F1679" s="1121">
        <f t="shared" si="1"/>
        <v>2009.54</v>
      </c>
      <c r="G1679" s="1120">
        <v>2007.05</v>
      </c>
      <c r="H1679" s="1127">
        <v>1.61</v>
      </c>
      <c r="I1679" s="1127">
        <v>0.0</v>
      </c>
      <c r="J1679" s="1127">
        <v>0.88</v>
      </c>
      <c r="K1679" s="1124"/>
    </row>
    <row r="1680" ht="15.75" customHeight="1">
      <c r="A1680" s="1119">
        <v>98036.0</v>
      </c>
      <c r="B1680" s="1125" t="s">
        <v>11958</v>
      </c>
      <c r="C1680" s="1126" t="s">
        <v>1788</v>
      </c>
      <c r="D1680" s="1128">
        <v>12182.64</v>
      </c>
      <c r="E1680" s="1120">
        <v>3855.21</v>
      </c>
      <c r="F1680" s="1121">
        <f t="shared" si="1"/>
        <v>8328.03</v>
      </c>
      <c r="G1680" s="1120">
        <v>8131.81</v>
      </c>
      <c r="H1680" s="1127">
        <v>189.12</v>
      </c>
      <c r="I1680" s="1127">
        <v>0.0</v>
      </c>
      <c r="J1680" s="1127">
        <v>7.1</v>
      </c>
      <c r="K1680" s="1124"/>
    </row>
    <row r="1681" ht="15.75" customHeight="1">
      <c r="A1681" s="1119">
        <v>98037.0</v>
      </c>
      <c r="B1681" s="1125" t="s">
        <v>11959</v>
      </c>
      <c r="C1681" s="1126" t="s">
        <v>1731</v>
      </c>
      <c r="D1681" s="1128">
        <v>3778.79</v>
      </c>
      <c r="E1681" s="1120">
        <v>1614.92</v>
      </c>
      <c r="F1681" s="1121">
        <f t="shared" si="1"/>
        <v>2163.92</v>
      </c>
      <c r="G1681" s="1120">
        <v>2161.26</v>
      </c>
      <c r="H1681" s="1127">
        <v>1.72</v>
      </c>
      <c r="I1681" s="1127">
        <v>0.0</v>
      </c>
      <c r="J1681" s="1127">
        <v>0.94</v>
      </c>
      <c r="K1681" s="1124"/>
    </row>
    <row r="1682" ht="15.75" customHeight="1">
      <c r="A1682" s="1119">
        <v>98038.0</v>
      </c>
      <c r="B1682" s="1125" t="s">
        <v>11960</v>
      </c>
      <c r="C1682" s="1126" t="s">
        <v>1788</v>
      </c>
      <c r="D1682" s="1128">
        <v>11144.83</v>
      </c>
      <c r="E1682" s="1120">
        <v>3521.57</v>
      </c>
      <c r="F1682" s="1121">
        <f t="shared" si="1"/>
        <v>7623.84</v>
      </c>
      <c r="G1682" s="1120">
        <v>7444.24</v>
      </c>
      <c r="H1682" s="1127">
        <v>173.12</v>
      </c>
      <c r="I1682" s="1127">
        <v>0.0</v>
      </c>
      <c r="J1682" s="1127">
        <v>6.48</v>
      </c>
      <c r="K1682" s="1124"/>
    </row>
    <row r="1683" ht="15.75" customHeight="1">
      <c r="A1683" s="1119">
        <v>98039.0</v>
      </c>
      <c r="B1683" s="1125" t="s">
        <v>11961</v>
      </c>
      <c r="C1683" s="1126" t="s">
        <v>1731</v>
      </c>
      <c r="D1683" s="1128">
        <v>3513.64</v>
      </c>
      <c r="E1683" s="1120">
        <v>1500.85</v>
      </c>
      <c r="F1683" s="1121">
        <f t="shared" si="1"/>
        <v>2012.85</v>
      </c>
      <c r="G1683" s="1120">
        <v>2010.35</v>
      </c>
      <c r="H1683" s="1127">
        <v>1.62</v>
      </c>
      <c r="I1683" s="1127">
        <v>0.0</v>
      </c>
      <c r="J1683" s="1127">
        <v>0.88</v>
      </c>
      <c r="K1683" s="1124"/>
    </row>
    <row r="1684" ht="15.75" customHeight="1">
      <c r="A1684" s="1119">
        <v>98040.0</v>
      </c>
      <c r="B1684" s="1125" t="s">
        <v>11962</v>
      </c>
      <c r="C1684" s="1126" t="s">
        <v>1788</v>
      </c>
      <c r="D1684" s="1128">
        <v>12587.86</v>
      </c>
      <c r="E1684" s="1120">
        <v>3944.81</v>
      </c>
      <c r="F1684" s="1121">
        <f t="shared" si="1"/>
        <v>8643.63</v>
      </c>
      <c r="G1684" s="1120">
        <v>8440.89</v>
      </c>
      <c r="H1684" s="1127">
        <v>195.39</v>
      </c>
      <c r="I1684" s="1127">
        <v>0.0</v>
      </c>
      <c r="J1684" s="1127">
        <v>7.35</v>
      </c>
      <c r="K1684" s="1124"/>
    </row>
    <row r="1685" ht="15.75" customHeight="1">
      <c r="A1685" s="1119">
        <v>98041.0</v>
      </c>
      <c r="B1685" s="1125" t="s">
        <v>11963</v>
      </c>
      <c r="C1685" s="1126" t="s">
        <v>1731</v>
      </c>
      <c r="D1685" s="1128">
        <v>3778.79</v>
      </c>
      <c r="E1685" s="1120">
        <v>1614.92</v>
      </c>
      <c r="F1685" s="1121">
        <f t="shared" si="1"/>
        <v>2163.92</v>
      </c>
      <c r="G1685" s="1120">
        <v>2161.26</v>
      </c>
      <c r="H1685" s="1127">
        <v>1.72</v>
      </c>
      <c r="I1685" s="1127">
        <v>0.0</v>
      </c>
      <c r="J1685" s="1127">
        <v>0.94</v>
      </c>
      <c r="K1685" s="1124"/>
    </row>
    <row r="1686" ht="15.75" customHeight="1">
      <c r="A1686" s="1119">
        <v>98042.0</v>
      </c>
      <c r="B1686" s="1125" t="s">
        <v>11964</v>
      </c>
      <c r="C1686" s="1126" t="s">
        <v>1788</v>
      </c>
      <c r="D1686" s="1128">
        <v>14030.92</v>
      </c>
      <c r="E1686" s="1120">
        <v>4368.14</v>
      </c>
      <c r="F1686" s="1121">
        <f t="shared" si="1"/>
        <v>9663.49</v>
      </c>
      <c r="G1686" s="1120">
        <v>9437.62</v>
      </c>
      <c r="H1686" s="1127">
        <v>217.65</v>
      </c>
      <c r="I1686" s="1127">
        <v>0.0</v>
      </c>
      <c r="J1686" s="1127">
        <v>8.22</v>
      </c>
      <c r="K1686" s="1124"/>
    </row>
    <row r="1687" ht="15.75" customHeight="1">
      <c r="A1687" s="1119">
        <v>98043.0</v>
      </c>
      <c r="B1687" s="1125" t="s">
        <v>11965</v>
      </c>
      <c r="C1687" s="1126" t="s">
        <v>1731</v>
      </c>
      <c r="D1687" s="1128">
        <v>4049.19</v>
      </c>
      <c r="E1687" s="1120">
        <v>1730.87</v>
      </c>
      <c r="F1687" s="1121">
        <f t="shared" si="1"/>
        <v>2318.39</v>
      </c>
      <c r="G1687" s="1120">
        <v>2315.52</v>
      </c>
      <c r="H1687" s="1127">
        <v>1.86</v>
      </c>
      <c r="I1687" s="1127">
        <v>0.0</v>
      </c>
      <c r="J1687" s="1127">
        <v>1.01</v>
      </c>
      <c r="K1687" s="1124"/>
    </row>
    <row r="1688" ht="15.75" customHeight="1">
      <c r="A1688" s="1119">
        <v>98044.0</v>
      </c>
      <c r="B1688" s="1125" t="s">
        <v>11966</v>
      </c>
      <c r="C1688" s="1126" t="s">
        <v>1788</v>
      </c>
      <c r="D1688" s="1128">
        <v>14252.1</v>
      </c>
      <c r="E1688" s="1120">
        <v>4413.27</v>
      </c>
      <c r="F1688" s="1121">
        <f t="shared" si="1"/>
        <v>9839.54</v>
      </c>
      <c r="G1688" s="1120">
        <v>9610.42</v>
      </c>
      <c r="H1688" s="1127">
        <v>220.77</v>
      </c>
      <c r="I1688" s="1127">
        <v>0.0</v>
      </c>
      <c r="J1688" s="1127">
        <v>8.35</v>
      </c>
      <c r="K1688" s="1124"/>
    </row>
    <row r="1689" ht="15.75" customHeight="1">
      <c r="A1689" s="1119">
        <v>98045.0</v>
      </c>
      <c r="B1689" s="1125" t="s">
        <v>11967</v>
      </c>
      <c r="C1689" s="1126" t="s">
        <v>1731</v>
      </c>
      <c r="D1689" s="1128">
        <v>4049.19</v>
      </c>
      <c r="E1689" s="1120">
        <v>1730.87</v>
      </c>
      <c r="F1689" s="1121">
        <f t="shared" si="1"/>
        <v>2318.39</v>
      </c>
      <c r="G1689" s="1120">
        <v>2315.52</v>
      </c>
      <c r="H1689" s="1127">
        <v>1.86</v>
      </c>
      <c r="I1689" s="1127">
        <v>0.0</v>
      </c>
      <c r="J1689" s="1127">
        <v>1.01</v>
      </c>
      <c r="K1689" s="1124"/>
    </row>
    <row r="1690" ht="15.75" customHeight="1">
      <c r="A1690" s="1119">
        <v>98046.0</v>
      </c>
      <c r="B1690" s="1125" t="s">
        <v>11968</v>
      </c>
      <c r="C1690" s="1126" t="s">
        <v>1788</v>
      </c>
      <c r="D1690" s="1128">
        <v>15879.12</v>
      </c>
      <c r="E1690" s="1120">
        <v>4880.95</v>
      </c>
      <c r="F1690" s="1121">
        <f t="shared" si="1"/>
        <v>10998.91</v>
      </c>
      <c r="G1690" s="1120">
        <v>10743.34</v>
      </c>
      <c r="H1690" s="1127">
        <v>246.22</v>
      </c>
      <c r="I1690" s="1127">
        <v>0.0</v>
      </c>
      <c r="J1690" s="1127">
        <v>9.35</v>
      </c>
      <c r="K1690" s="1124"/>
    </row>
    <row r="1691" ht="15.75" customHeight="1">
      <c r="A1691" s="1119">
        <v>98047.0</v>
      </c>
      <c r="B1691" s="1125" t="s">
        <v>11969</v>
      </c>
      <c r="C1691" s="1126" t="s">
        <v>1731</v>
      </c>
      <c r="D1691" s="1128">
        <v>4319.54</v>
      </c>
      <c r="E1691" s="1120">
        <v>1846.83</v>
      </c>
      <c r="F1691" s="1121">
        <f t="shared" si="1"/>
        <v>2472.77</v>
      </c>
      <c r="G1691" s="1120">
        <v>2469.68</v>
      </c>
      <c r="H1691" s="1127">
        <v>2.0</v>
      </c>
      <c r="I1691" s="1127">
        <v>0.0</v>
      </c>
      <c r="J1691" s="1127">
        <v>1.09</v>
      </c>
      <c r="K1691" s="1124"/>
    </row>
    <row r="1692" ht="15.75" customHeight="1">
      <c r="A1692" s="1119">
        <v>98048.0</v>
      </c>
      <c r="B1692" s="1125" t="s">
        <v>11970</v>
      </c>
      <c r="C1692" s="1126" t="s">
        <v>1788</v>
      </c>
      <c r="D1692" s="1128">
        <v>17727.37</v>
      </c>
      <c r="E1692" s="1120">
        <v>5393.85</v>
      </c>
      <c r="F1692" s="1121">
        <f t="shared" si="1"/>
        <v>12334.39</v>
      </c>
      <c r="G1692" s="1120">
        <v>12049.21</v>
      </c>
      <c r="H1692" s="1127">
        <v>274.7</v>
      </c>
      <c r="I1692" s="1127">
        <v>0.0</v>
      </c>
      <c r="J1692" s="1127">
        <v>10.48</v>
      </c>
      <c r="K1692" s="1124"/>
    </row>
    <row r="1693" ht="15.75" customHeight="1">
      <c r="A1693" s="1119">
        <v>98049.0</v>
      </c>
      <c r="B1693" s="1125" t="s">
        <v>11971</v>
      </c>
      <c r="C1693" s="1126" t="s">
        <v>1731</v>
      </c>
      <c r="D1693" s="1128">
        <v>4539.43</v>
      </c>
      <c r="E1693" s="1120">
        <v>1944.6</v>
      </c>
      <c r="F1693" s="1121">
        <f t="shared" si="1"/>
        <v>2594.89</v>
      </c>
      <c r="G1693" s="1120">
        <v>2591.72</v>
      </c>
      <c r="H1693" s="1127">
        <v>2.05</v>
      </c>
      <c r="I1693" s="1127">
        <v>0.0</v>
      </c>
      <c r="J1693" s="1127">
        <v>1.12</v>
      </c>
      <c r="K1693" s="1124"/>
    </row>
    <row r="1694" ht="15.75" customHeight="1">
      <c r="A1694" s="1119">
        <v>98050.0</v>
      </c>
      <c r="B1694" s="1125" t="s">
        <v>11972</v>
      </c>
      <c r="C1694" s="1126" t="s">
        <v>1731</v>
      </c>
      <c r="D1694" s="1119">
        <v>212.85</v>
      </c>
      <c r="E1694" s="1120">
        <v>17.55</v>
      </c>
      <c r="F1694" s="1121">
        <f t="shared" si="1"/>
        <v>195.34</v>
      </c>
      <c r="G1694" s="1120">
        <v>186.65</v>
      </c>
      <c r="H1694" s="1127">
        <v>8.69</v>
      </c>
      <c r="I1694" s="1127">
        <v>0.0</v>
      </c>
      <c r="J1694" s="1127">
        <v>0.0</v>
      </c>
      <c r="K1694" s="1124"/>
    </row>
    <row r="1695" ht="15.75" customHeight="1">
      <c r="A1695" s="1119">
        <v>98051.0</v>
      </c>
      <c r="B1695" s="1125" t="s">
        <v>11973</v>
      </c>
      <c r="C1695" s="1126" t="s">
        <v>1731</v>
      </c>
      <c r="D1695" s="1128">
        <v>1039.75</v>
      </c>
      <c r="E1695" s="1120">
        <v>411.47</v>
      </c>
      <c r="F1695" s="1121">
        <f t="shared" si="1"/>
        <v>628.32</v>
      </c>
      <c r="G1695" s="1120">
        <v>627.38</v>
      </c>
      <c r="H1695" s="1127">
        <v>0.61</v>
      </c>
      <c r="I1695" s="1127">
        <v>0.0</v>
      </c>
      <c r="J1695" s="1127">
        <v>0.33</v>
      </c>
      <c r="K1695" s="1124"/>
    </row>
    <row r="1696" ht="15.75" customHeight="1">
      <c r="A1696" s="1119">
        <v>98405.0</v>
      </c>
      <c r="B1696" s="1125" t="s">
        <v>11974</v>
      </c>
      <c r="C1696" s="1126" t="s">
        <v>1788</v>
      </c>
      <c r="D1696" s="1128">
        <v>2711.81</v>
      </c>
      <c r="E1696" s="1120">
        <v>978.63</v>
      </c>
      <c r="F1696" s="1121">
        <f t="shared" si="1"/>
        <v>1733.38</v>
      </c>
      <c r="G1696" s="1120">
        <v>1706.33</v>
      </c>
      <c r="H1696" s="1127">
        <v>25.8</v>
      </c>
      <c r="I1696" s="1127">
        <v>0.0</v>
      </c>
      <c r="J1696" s="1127">
        <v>1.25</v>
      </c>
      <c r="K1696" s="1124"/>
    </row>
    <row r="1697" ht="15.75" customHeight="1">
      <c r="A1697" s="1119">
        <v>98406.0</v>
      </c>
      <c r="B1697" s="1125" t="s">
        <v>11975</v>
      </c>
      <c r="C1697" s="1126" t="s">
        <v>1788</v>
      </c>
      <c r="D1697" s="1128">
        <v>6207.98</v>
      </c>
      <c r="E1697" s="1120">
        <v>2191.24</v>
      </c>
      <c r="F1697" s="1121">
        <f t="shared" si="1"/>
        <v>4017.08</v>
      </c>
      <c r="G1697" s="1120">
        <v>3926.36</v>
      </c>
      <c r="H1697" s="1127">
        <v>87.36</v>
      </c>
      <c r="I1697" s="1127">
        <v>0.0</v>
      </c>
      <c r="J1697" s="1127">
        <v>3.36</v>
      </c>
      <c r="K1697" s="1124"/>
    </row>
    <row r="1698" ht="15.75" customHeight="1">
      <c r="A1698" s="1119">
        <v>98407.0</v>
      </c>
      <c r="B1698" s="1125" t="s">
        <v>11976</v>
      </c>
      <c r="C1698" s="1126" t="s">
        <v>1788</v>
      </c>
      <c r="D1698" s="1128">
        <v>4063.21</v>
      </c>
      <c r="E1698" s="1120">
        <v>1456.02</v>
      </c>
      <c r="F1698" s="1121">
        <f t="shared" si="1"/>
        <v>2607.41</v>
      </c>
      <c r="G1698" s="1120">
        <v>2567.52</v>
      </c>
      <c r="H1698" s="1127">
        <v>37.73</v>
      </c>
      <c r="I1698" s="1127">
        <v>0.0</v>
      </c>
      <c r="J1698" s="1127">
        <v>2.16</v>
      </c>
      <c r="K1698" s="1124"/>
    </row>
    <row r="1699" ht="15.75" customHeight="1">
      <c r="A1699" s="1119">
        <v>98408.0</v>
      </c>
      <c r="B1699" s="1125" t="s">
        <v>11977</v>
      </c>
      <c r="C1699" s="1126" t="s">
        <v>1788</v>
      </c>
      <c r="D1699" s="1128">
        <v>4765.69</v>
      </c>
      <c r="E1699" s="1120">
        <v>1701.14</v>
      </c>
      <c r="F1699" s="1121">
        <f t="shared" si="1"/>
        <v>3064.83</v>
      </c>
      <c r="G1699" s="1120">
        <v>3018.25</v>
      </c>
      <c r="H1699" s="1127">
        <v>44.03</v>
      </c>
      <c r="I1699" s="1127">
        <v>0.0</v>
      </c>
      <c r="J1699" s="1127">
        <v>2.55</v>
      </c>
      <c r="K1699" s="1124"/>
    </row>
    <row r="1700" ht="15.75" customHeight="1">
      <c r="A1700" s="1119">
        <v>98409.0</v>
      </c>
      <c r="B1700" s="1125" t="s">
        <v>11978</v>
      </c>
      <c r="C1700" s="1126" t="s">
        <v>1731</v>
      </c>
      <c r="D1700" s="1119">
        <v>295.32</v>
      </c>
      <c r="E1700" s="1120">
        <v>28.64</v>
      </c>
      <c r="F1700" s="1121">
        <f t="shared" si="1"/>
        <v>266.69</v>
      </c>
      <c r="G1700" s="1120">
        <v>251.34</v>
      </c>
      <c r="H1700" s="1127">
        <v>15.35</v>
      </c>
      <c r="I1700" s="1127">
        <v>0.0</v>
      </c>
      <c r="J1700" s="1127">
        <v>0.0</v>
      </c>
      <c r="K1700" s="1124"/>
    </row>
    <row r="1701" ht="15.75" customHeight="1">
      <c r="A1701" s="1119">
        <v>98410.0</v>
      </c>
      <c r="B1701" s="1125" t="s">
        <v>11979</v>
      </c>
      <c r="C1701" s="1126" t="s">
        <v>1788</v>
      </c>
      <c r="D1701" s="1128">
        <v>1098.5</v>
      </c>
      <c r="E1701" s="1120">
        <v>240.52</v>
      </c>
      <c r="F1701" s="1121">
        <f t="shared" si="1"/>
        <v>858.02</v>
      </c>
      <c r="G1701" s="1120">
        <v>813.04</v>
      </c>
      <c r="H1701" s="1127">
        <v>44.66</v>
      </c>
      <c r="I1701" s="1127">
        <v>0.0</v>
      </c>
      <c r="J1701" s="1127">
        <v>0.32</v>
      </c>
      <c r="K1701" s="1124"/>
    </row>
    <row r="1702" ht="15.75" customHeight="1">
      <c r="A1702" s="1119">
        <v>99240.0</v>
      </c>
      <c r="B1702" s="1125" t="s">
        <v>11980</v>
      </c>
      <c r="C1702" s="1126" t="s">
        <v>1731</v>
      </c>
      <c r="D1702" s="1119">
        <v>508.55</v>
      </c>
      <c r="E1702" s="1120">
        <v>40.01</v>
      </c>
      <c r="F1702" s="1121">
        <f t="shared" si="1"/>
        <v>468.54</v>
      </c>
      <c r="G1702" s="1120">
        <v>447.81</v>
      </c>
      <c r="H1702" s="1127">
        <v>20.72</v>
      </c>
      <c r="I1702" s="1127">
        <v>0.0</v>
      </c>
      <c r="J1702" s="1127">
        <v>0.01</v>
      </c>
      <c r="K1702" s="1124"/>
    </row>
    <row r="1703" ht="15.75" customHeight="1">
      <c r="A1703" s="1119">
        <v>99241.0</v>
      </c>
      <c r="B1703" s="1125" t="s">
        <v>11981</v>
      </c>
      <c r="C1703" s="1126" t="s">
        <v>1731</v>
      </c>
      <c r="D1703" s="1128">
        <v>1817.44</v>
      </c>
      <c r="E1703" s="1120">
        <v>800.85</v>
      </c>
      <c r="F1703" s="1121">
        <f t="shared" si="1"/>
        <v>1016.63</v>
      </c>
      <c r="G1703" s="1120">
        <v>1015.43</v>
      </c>
      <c r="H1703" s="1127">
        <v>0.75</v>
      </c>
      <c r="I1703" s="1127">
        <v>0.0</v>
      </c>
      <c r="J1703" s="1127">
        <v>0.45</v>
      </c>
      <c r="K1703" s="1124"/>
    </row>
    <row r="1704" ht="15.75" customHeight="1">
      <c r="A1704" s="1119">
        <v>99242.0</v>
      </c>
      <c r="B1704" s="1125" t="s">
        <v>11982</v>
      </c>
      <c r="C1704" s="1126" t="s">
        <v>1788</v>
      </c>
      <c r="D1704" s="1128">
        <v>3121.07</v>
      </c>
      <c r="E1704" s="1120">
        <v>1134.93</v>
      </c>
      <c r="F1704" s="1121">
        <f t="shared" si="1"/>
        <v>1986.34</v>
      </c>
      <c r="G1704" s="1120">
        <v>1953.99</v>
      </c>
      <c r="H1704" s="1127">
        <v>30.86</v>
      </c>
      <c r="I1704" s="1127">
        <v>0.0</v>
      </c>
      <c r="J1704" s="1127">
        <v>1.49</v>
      </c>
      <c r="K1704" s="1124"/>
    </row>
    <row r="1705" ht="15.75" customHeight="1">
      <c r="A1705" s="1119">
        <v>99243.0</v>
      </c>
      <c r="B1705" s="1125" t="s">
        <v>11983</v>
      </c>
      <c r="C1705" s="1126" t="s">
        <v>1731</v>
      </c>
      <c r="D1705" s="1128">
        <v>1755.21</v>
      </c>
      <c r="E1705" s="1120">
        <v>754.66</v>
      </c>
      <c r="F1705" s="1121">
        <f t="shared" si="1"/>
        <v>1000.6</v>
      </c>
      <c r="G1705" s="1120">
        <v>999.28</v>
      </c>
      <c r="H1705" s="1127">
        <v>0.86</v>
      </c>
      <c r="I1705" s="1127">
        <v>0.0</v>
      </c>
      <c r="J1705" s="1127">
        <v>0.46</v>
      </c>
      <c r="K1705" s="1124"/>
    </row>
    <row r="1706" ht="15.75" customHeight="1">
      <c r="A1706" s="1119">
        <v>99244.0</v>
      </c>
      <c r="B1706" s="1125" t="s">
        <v>11984</v>
      </c>
      <c r="C1706" s="1126" t="s">
        <v>1788</v>
      </c>
      <c r="D1706" s="1128">
        <v>4940.06</v>
      </c>
      <c r="E1706" s="1120">
        <v>1734.0</v>
      </c>
      <c r="F1706" s="1121">
        <f t="shared" si="1"/>
        <v>3206.4</v>
      </c>
      <c r="G1706" s="1120">
        <v>3129.72</v>
      </c>
      <c r="H1706" s="1127">
        <v>73.95</v>
      </c>
      <c r="I1706" s="1127">
        <v>0.0</v>
      </c>
      <c r="J1706" s="1127">
        <v>2.73</v>
      </c>
      <c r="K1706" s="1124"/>
    </row>
    <row r="1707" ht="15.75" customHeight="1">
      <c r="A1707" s="1119">
        <v>99246.0</v>
      </c>
      <c r="B1707" s="1125" t="s">
        <v>11985</v>
      </c>
      <c r="C1707" s="1126" t="s">
        <v>1731</v>
      </c>
      <c r="D1707" s="1119">
        <v>694.64</v>
      </c>
      <c r="E1707" s="1120">
        <v>51.01</v>
      </c>
      <c r="F1707" s="1121">
        <f t="shared" si="1"/>
        <v>643.61</v>
      </c>
      <c r="G1707" s="1120">
        <v>617.03</v>
      </c>
      <c r="H1707" s="1127">
        <v>26.57</v>
      </c>
      <c r="I1707" s="1127">
        <v>0.0</v>
      </c>
      <c r="J1707" s="1127">
        <v>0.01</v>
      </c>
      <c r="K1707" s="1124"/>
    </row>
    <row r="1708" ht="15.75" customHeight="1">
      <c r="A1708" s="1119">
        <v>99247.0</v>
      </c>
      <c r="B1708" s="1125" t="s">
        <v>11986</v>
      </c>
      <c r="C1708" s="1126" t="s">
        <v>1731</v>
      </c>
      <c r="D1708" s="1128">
        <v>2072.32</v>
      </c>
      <c r="E1708" s="1120">
        <v>914.5</v>
      </c>
      <c r="F1708" s="1121">
        <f t="shared" si="1"/>
        <v>1157.85</v>
      </c>
      <c r="G1708" s="1120">
        <v>1156.46</v>
      </c>
      <c r="H1708" s="1127">
        <v>0.88</v>
      </c>
      <c r="I1708" s="1127">
        <v>0.0</v>
      </c>
      <c r="J1708" s="1127">
        <v>0.51</v>
      </c>
      <c r="K1708" s="1124"/>
    </row>
    <row r="1709" ht="15.75" customHeight="1">
      <c r="A1709" s="1119">
        <v>99248.0</v>
      </c>
      <c r="B1709" s="1125" t="s">
        <v>11987</v>
      </c>
      <c r="C1709" s="1126" t="s">
        <v>1788</v>
      </c>
      <c r="D1709" s="1128">
        <v>3993.04</v>
      </c>
      <c r="E1709" s="1120">
        <v>1405.39</v>
      </c>
      <c r="F1709" s="1121">
        <f t="shared" si="1"/>
        <v>2587.84</v>
      </c>
      <c r="G1709" s="1120">
        <v>2546.29</v>
      </c>
      <c r="H1709" s="1127">
        <v>39.56</v>
      </c>
      <c r="I1709" s="1127">
        <v>0.0</v>
      </c>
      <c r="J1709" s="1127">
        <v>1.99</v>
      </c>
      <c r="K1709" s="1124"/>
    </row>
    <row r="1710" ht="15.75" customHeight="1">
      <c r="A1710" s="1119">
        <v>99249.0</v>
      </c>
      <c r="B1710" s="1125" t="s">
        <v>11988</v>
      </c>
      <c r="C1710" s="1126" t="s">
        <v>1731</v>
      </c>
      <c r="D1710" s="1128">
        <v>2147.87</v>
      </c>
      <c r="E1710" s="1120">
        <v>929.22</v>
      </c>
      <c r="F1710" s="1121">
        <f t="shared" si="1"/>
        <v>1218.69</v>
      </c>
      <c r="G1710" s="1120">
        <v>1217.14</v>
      </c>
      <c r="H1710" s="1127">
        <v>1.02</v>
      </c>
      <c r="I1710" s="1127">
        <v>0.0</v>
      </c>
      <c r="J1710" s="1127">
        <v>0.53</v>
      </c>
      <c r="K1710" s="1124"/>
    </row>
    <row r="1711" ht="15.75" customHeight="1">
      <c r="A1711" s="1119">
        <v>99252.0</v>
      </c>
      <c r="B1711" s="1125" t="s">
        <v>11989</v>
      </c>
      <c r="C1711" s="1126" t="s">
        <v>1788</v>
      </c>
      <c r="D1711" s="1128">
        <v>2598.68</v>
      </c>
      <c r="E1711" s="1120">
        <v>963.51</v>
      </c>
      <c r="F1711" s="1121">
        <f t="shared" si="1"/>
        <v>1635.33</v>
      </c>
      <c r="G1711" s="1120">
        <v>1608.85</v>
      </c>
      <c r="H1711" s="1127">
        <v>25.15</v>
      </c>
      <c r="I1711" s="1127">
        <v>0.0</v>
      </c>
      <c r="J1711" s="1127">
        <v>1.33</v>
      </c>
      <c r="K1711" s="1124"/>
    </row>
    <row r="1712" ht="15.75" customHeight="1">
      <c r="A1712" s="1119">
        <v>99254.0</v>
      </c>
      <c r="B1712" s="1125" t="s">
        <v>11990</v>
      </c>
      <c r="C1712" s="1126" t="s">
        <v>1731</v>
      </c>
      <c r="D1712" s="1128">
        <v>1307.62</v>
      </c>
      <c r="E1712" s="1120">
        <v>573.48</v>
      </c>
      <c r="F1712" s="1121">
        <f t="shared" si="1"/>
        <v>734.17</v>
      </c>
      <c r="G1712" s="1120">
        <v>733.3</v>
      </c>
      <c r="H1712" s="1127">
        <v>0.54</v>
      </c>
      <c r="I1712" s="1127">
        <v>0.0</v>
      </c>
      <c r="J1712" s="1127">
        <v>0.33</v>
      </c>
      <c r="K1712" s="1124"/>
    </row>
    <row r="1713" ht="15.75" customHeight="1">
      <c r="A1713" s="1119">
        <v>99256.0</v>
      </c>
      <c r="B1713" s="1125" t="s">
        <v>11991</v>
      </c>
      <c r="C1713" s="1126" t="s">
        <v>1788</v>
      </c>
      <c r="D1713" s="1128">
        <v>5800.97</v>
      </c>
      <c r="E1713" s="1120">
        <v>2022.66</v>
      </c>
      <c r="F1713" s="1121">
        <f t="shared" si="1"/>
        <v>3778.59</v>
      </c>
      <c r="G1713" s="1120">
        <v>3688.53</v>
      </c>
      <c r="H1713" s="1127">
        <v>86.82</v>
      </c>
      <c r="I1713" s="1127">
        <v>0.0</v>
      </c>
      <c r="J1713" s="1127">
        <v>3.24</v>
      </c>
      <c r="K1713" s="1124"/>
    </row>
    <row r="1714" ht="15.75" customHeight="1">
      <c r="A1714" s="1119">
        <v>99259.0</v>
      </c>
      <c r="B1714" s="1125" t="s">
        <v>11992</v>
      </c>
      <c r="C1714" s="1126" t="s">
        <v>1788</v>
      </c>
      <c r="D1714" s="1128">
        <v>3284.75</v>
      </c>
      <c r="E1714" s="1120">
        <v>1207.94</v>
      </c>
      <c r="F1714" s="1121">
        <f t="shared" si="1"/>
        <v>2077.02</v>
      </c>
      <c r="G1714" s="1120">
        <v>2043.91</v>
      </c>
      <c r="H1714" s="1127">
        <v>31.39</v>
      </c>
      <c r="I1714" s="1127">
        <v>0.0</v>
      </c>
      <c r="J1714" s="1127">
        <v>1.72</v>
      </c>
      <c r="K1714" s="1124"/>
    </row>
    <row r="1715" ht="15.75" customHeight="1">
      <c r="A1715" s="1119">
        <v>99261.0</v>
      </c>
      <c r="B1715" s="1125" t="s">
        <v>11993</v>
      </c>
      <c r="C1715" s="1126" t="s">
        <v>1731</v>
      </c>
      <c r="D1715" s="1128">
        <v>1562.48</v>
      </c>
      <c r="E1715" s="1120">
        <v>687.16</v>
      </c>
      <c r="F1715" s="1121">
        <f t="shared" si="1"/>
        <v>875.37</v>
      </c>
      <c r="G1715" s="1120">
        <v>874.33</v>
      </c>
      <c r="H1715" s="1127">
        <v>0.64</v>
      </c>
      <c r="I1715" s="1127">
        <v>0.0</v>
      </c>
      <c r="J1715" s="1127">
        <v>0.4</v>
      </c>
      <c r="K1715" s="1124"/>
    </row>
    <row r="1716" ht="15.75" customHeight="1">
      <c r="A1716" s="1119">
        <v>99263.0</v>
      </c>
      <c r="B1716" s="1125" t="s">
        <v>11994</v>
      </c>
      <c r="C1716" s="1126" t="s">
        <v>1731</v>
      </c>
      <c r="D1716" s="1128">
        <v>2327.27</v>
      </c>
      <c r="E1716" s="1120">
        <v>1028.2</v>
      </c>
      <c r="F1716" s="1121">
        <f t="shared" si="1"/>
        <v>1299.11</v>
      </c>
      <c r="G1716" s="1120">
        <v>1297.51</v>
      </c>
      <c r="H1716" s="1127">
        <v>1.02</v>
      </c>
      <c r="I1716" s="1127">
        <v>0.0</v>
      </c>
      <c r="J1716" s="1127">
        <v>0.58</v>
      </c>
      <c r="K1716" s="1124"/>
    </row>
    <row r="1717" ht="15.75" customHeight="1">
      <c r="A1717" s="1119">
        <v>99265.0</v>
      </c>
      <c r="B1717" s="1125" t="s">
        <v>11995</v>
      </c>
      <c r="C1717" s="1126" t="s">
        <v>1788</v>
      </c>
      <c r="D1717" s="1128">
        <v>3970.72</v>
      </c>
      <c r="E1717" s="1120">
        <v>1452.35</v>
      </c>
      <c r="F1717" s="1121">
        <f t="shared" si="1"/>
        <v>2518.59</v>
      </c>
      <c r="G1717" s="1120">
        <v>2478.81</v>
      </c>
      <c r="H1717" s="1127">
        <v>37.65</v>
      </c>
      <c r="I1717" s="1127">
        <v>0.0</v>
      </c>
      <c r="J1717" s="1127">
        <v>2.13</v>
      </c>
      <c r="K1717" s="1124"/>
    </row>
    <row r="1718" ht="15.75" customHeight="1">
      <c r="A1718" s="1119">
        <v>99266.0</v>
      </c>
      <c r="B1718" s="1125" t="s">
        <v>11996</v>
      </c>
      <c r="C1718" s="1126" t="s">
        <v>1731</v>
      </c>
      <c r="D1718" s="1128">
        <v>1817.44</v>
      </c>
      <c r="E1718" s="1120">
        <v>800.85</v>
      </c>
      <c r="F1718" s="1121">
        <f t="shared" si="1"/>
        <v>1016.63</v>
      </c>
      <c r="G1718" s="1120">
        <v>1015.43</v>
      </c>
      <c r="H1718" s="1127">
        <v>0.75</v>
      </c>
      <c r="I1718" s="1127">
        <v>0.0</v>
      </c>
      <c r="J1718" s="1127">
        <v>0.45</v>
      </c>
      <c r="K1718" s="1124"/>
    </row>
    <row r="1719" ht="15.75" customHeight="1">
      <c r="A1719" s="1119">
        <v>99267.0</v>
      </c>
      <c r="B1719" s="1125" t="s">
        <v>11997</v>
      </c>
      <c r="C1719" s="1126" t="s">
        <v>1788</v>
      </c>
      <c r="D1719" s="1128">
        <v>4656.75</v>
      </c>
      <c r="E1719" s="1120">
        <v>1696.81</v>
      </c>
      <c r="F1719" s="1121">
        <f t="shared" si="1"/>
        <v>2960.22</v>
      </c>
      <c r="G1719" s="1120">
        <v>2913.76</v>
      </c>
      <c r="H1719" s="1127">
        <v>43.95</v>
      </c>
      <c r="I1719" s="1127">
        <v>0.0</v>
      </c>
      <c r="J1719" s="1127">
        <v>2.51</v>
      </c>
      <c r="K1719" s="1124"/>
    </row>
    <row r="1720" ht="15.75" customHeight="1">
      <c r="A1720" s="1119">
        <v>99268.0</v>
      </c>
      <c r="B1720" s="1125" t="s">
        <v>11998</v>
      </c>
      <c r="C1720" s="1126" t="s">
        <v>1788</v>
      </c>
      <c r="D1720" s="1119">
        <v>414.03</v>
      </c>
      <c r="E1720" s="1120">
        <v>91.53</v>
      </c>
      <c r="F1720" s="1121">
        <f t="shared" si="1"/>
        <v>322.49</v>
      </c>
      <c r="G1720" s="1120">
        <v>306.88</v>
      </c>
      <c r="H1720" s="1127">
        <v>15.53</v>
      </c>
      <c r="I1720" s="1127">
        <v>0.0</v>
      </c>
      <c r="J1720" s="1127">
        <v>0.08</v>
      </c>
      <c r="K1720" s="1124"/>
    </row>
    <row r="1721" ht="15.75" customHeight="1">
      <c r="A1721" s="1119">
        <v>99269.0</v>
      </c>
      <c r="B1721" s="1125" t="s">
        <v>11999</v>
      </c>
      <c r="C1721" s="1126" t="s">
        <v>1731</v>
      </c>
      <c r="D1721" s="1128">
        <v>2072.32</v>
      </c>
      <c r="E1721" s="1120">
        <v>914.5</v>
      </c>
      <c r="F1721" s="1121">
        <f t="shared" si="1"/>
        <v>1157.85</v>
      </c>
      <c r="G1721" s="1120">
        <v>1156.46</v>
      </c>
      <c r="H1721" s="1127">
        <v>0.88</v>
      </c>
      <c r="I1721" s="1127">
        <v>0.0</v>
      </c>
      <c r="J1721" s="1127">
        <v>0.51</v>
      </c>
      <c r="K1721" s="1124"/>
    </row>
    <row r="1722" ht="15.75" customHeight="1">
      <c r="A1722" s="1119">
        <v>99270.0</v>
      </c>
      <c r="B1722" s="1125" t="s">
        <v>12000</v>
      </c>
      <c r="C1722" s="1126" t="s">
        <v>1788</v>
      </c>
      <c r="D1722" s="1119">
        <v>523.37</v>
      </c>
      <c r="E1722" s="1120">
        <v>101.41</v>
      </c>
      <c r="F1722" s="1121">
        <f t="shared" si="1"/>
        <v>421.97</v>
      </c>
      <c r="G1722" s="1120">
        <v>401.19</v>
      </c>
      <c r="H1722" s="1127">
        <v>20.69</v>
      </c>
      <c r="I1722" s="1127">
        <v>0.0</v>
      </c>
      <c r="J1722" s="1127">
        <v>0.09</v>
      </c>
      <c r="K1722" s="1124"/>
    </row>
    <row r="1723" ht="15.75" customHeight="1">
      <c r="A1723" s="1119">
        <v>99271.0</v>
      </c>
      <c r="B1723" s="1125" t="s">
        <v>12001</v>
      </c>
      <c r="C1723" s="1126" t="s">
        <v>1788</v>
      </c>
      <c r="D1723" s="1128">
        <v>6661.79</v>
      </c>
      <c r="E1723" s="1120">
        <v>2311.28</v>
      </c>
      <c r="F1723" s="1121">
        <f t="shared" si="1"/>
        <v>4350.89</v>
      </c>
      <c r="G1723" s="1120">
        <v>4247.45</v>
      </c>
      <c r="H1723" s="1127">
        <v>99.68</v>
      </c>
      <c r="I1723" s="1127">
        <v>0.0</v>
      </c>
      <c r="J1723" s="1127">
        <v>3.76</v>
      </c>
      <c r="K1723" s="1124"/>
    </row>
    <row r="1724" ht="15.75" customHeight="1">
      <c r="A1724" s="1119">
        <v>99272.0</v>
      </c>
      <c r="B1724" s="1125" t="s">
        <v>12002</v>
      </c>
      <c r="C1724" s="1126" t="s">
        <v>1788</v>
      </c>
      <c r="D1724" s="1128">
        <v>1154.67</v>
      </c>
      <c r="E1724" s="1120">
        <v>438.55</v>
      </c>
      <c r="F1724" s="1121">
        <f t="shared" si="1"/>
        <v>716.25</v>
      </c>
      <c r="G1724" s="1120">
        <v>704.33</v>
      </c>
      <c r="H1724" s="1127">
        <v>11.4</v>
      </c>
      <c r="I1724" s="1127">
        <v>0.0</v>
      </c>
      <c r="J1724" s="1127">
        <v>0.52</v>
      </c>
      <c r="K1724" s="1124"/>
    </row>
    <row r="1725" ht="15.75" customHeight="1">
      <c r="A1725" s="1119">
        <v>99273.0</v>
      </c>
      <c r="B1725" s="1125" t="s">
        <v>12003</v>
      </c>
      <c r="C1725" s="1126" t="s">
        <v>1788</v>
      </c>
      <c r="D1725" s="1128">
        <v>1647.08</v>
      </c>
      <c r="E1725" s="1120">
        <v>643.74</v>
      </c>
      <c r="F1725" s="1121">
        <f t="shared" si="1"/>
        <v>1003.44</v>
      </c>
      <c r="G1725" s="1120">
        <v>991.04</v>
      </c>
      <c r="H1725" s="1127">
        <v>11.72</v>
      </c>
      <c r="I1725" s="1127">
        <v>0.0</v>
      </c>
      <c r="J1725" s="1127">
        <v>0.68</v>
      </c>
      <c r="K1725" s="1124"/>
    </row>
    <row r="1726" ht="15.75" customHeight="1">
      <c r="A1726" s="1119">
        <v>99274.0</v>
      </c>
      <c r="B1726" s="1125" t="s">
        <v>12004</v>
      </c>
      <c r="C1726" s="1126" t="s">
        <v>1788</v>
      </c>
      <c r="D1726" s="1128">
        <v>5375.96</v>
      </c>
      <c r="E1726" s="1120">
        <v>1941.18</v>
      </c>
      <c r="F1726" s="1121">
        <f t="shared" si="1"/>
        <v>3435.08</v>
      </c>
      <c r="G1726" s="1120">
        <v>3354.65</v>
      </c>
      <c r="H1726" s="1127">
        <v>77.51</v>
      </c>
      <c r="I1726" s="1127">
        <v>0.0</v>
      </c>
      <c r="J1726" s="1127">
        <v>2.92</v>
      </c>
      <c r="K1726" s="1124"/>
    </row>
    <row r="1727" ht="15.75" customHeight="1">
      <c r="A1727" s="1119">
        <v>99275.0</v>
      </c>
      <c r="B1727" s="1125" t="s">
        <v>12005</v>
      </c>
      <c r="C1727" s="1126" t="s">
        <v>1788</v>
      </c>
      <c r="D1727" s="1119">
        <v>848.07</v>
      </c>
      <c r="E1727" s="1120">
        <v>232.35</v>
      </c>
      <c r="F1727" s="1121">
        <f t="shared" si="1"/>
        <v>615.74</v>
      </c>
      <c r="G1727" s="1120">
        <v>575.6</v>
      </c>
      <c r="H1727" s="1127">
        <v>39.84</v>
      </c>
      <c r="I1727" s="1127">
        <v>0.0</v>
      </c>
      <c r="J1727" s="1127">
        <v>0.3</v>
      </c>
      <c r="K1727" s="1124"/>
    </row>
    <row r="1728" ht="15.75" customHeight="1">
      <c r="A1728" s="1119">
        <v>99276.0</v>
      </c>
      <c r="B1728" s="1125" t="s">
        <v>12006</v>
      </c>
      <c r="C1728" s="1126" t="s">
        <v>1731</v>
      </c>
      <c r="D1728" s="1128">
        <v>2582.21</v>
      </c>
      <c r="E1728" s="1120">
        <v>1141.87</v>
      </c>
      <c r="F1728" s="1121">
        <f t="shared" si="1"/>
        <v>1440.39</v>
      </c>
      <c r="G1728" s="1120">
        <v>1438.62</v>
      </c>
      <c r="H1728" s="1127">
        <v>1.13</v>
      </c>
      <c r="I1728" s="1127">
        <v>0.0</v>
      </c>
      <c r="J1728" s="1127">
        <v>0.64</v>
      </c>
      <c r="K1728" s="1124"/>
    </row>
    <row r="1729" ht="15.75" customHeight="1">
      <c r="A1729" s="1119">
        <v>99277.0</v>
      </c>
      <c r="B1729" s="1125" t="s">
        <v>12007</v>
      </c>
      <c r="C1729" s="1126" t="s">
        <v>1731</v>
      </c>
      <c r="D1729" s="1128">
        <v>2327.27</v>
      </c>
      <c r="E1729" s="1120">
        <v>1028.2</v>
      </c>
      <c r="F1729" s="1121">
        <f t="shared" si="1"/>
        <v>1299.11</v>
      </c>
      <c r="G1729" s="1120">
        <v>1297.51</v>
      </c>
      <c r="H1729" s="1127">
        <v>1.02</v>
      </c>
      <c r="I1729" s="1127">
        <v>0.0</v>
      </c>
      <c r="J1729" s="1127">
        <v>0.58</v>
      </c>
      <c r="K1729" s="1124"/>
    </row>
    <row r="1730" ht="15.75" customHeight="1">
      <c r="A1730" s="1119">
        <v>99278.0</v>
      </c>
      <c r="B1730" s="1125" t="s">
        <v>12008</v>
      </c>
      <c r="C1730" s="1126" t="s">
        <v>1731</v>
      </c>
      <c r="D1730" s="1119">
        <v>293.29</v>
      </c>
      <c r="E1730" s="1120">
        <v>28.56</v>
      </c>
      <c r="F1730" s="1121">
        <f t="shared" si="1"/>
        <v>264.74</v>
      </c>
      <c r="G1730" s="1120">
        <v>249.39</v>
      </c>
      <c r="H1730" s="1127">
        <v>15.35</v>
      </c>
      <c r="I1730" s="1127">
        <v>0.0</v>
      </c>
      <c r="J1730" s="1127">
        <v>0.0</v>
      </c>
      <c r="K1730" s="1124"/>
    </row>
    <row r="1731" ht="15.75" customHeight="1">
      <c r="A1731" s="1119">
        <v>99279.0</v>
      </c>
      <c r="B1731" s="1125" t="s">
        <v>12009</v>
      </c>
      <c r="C1731" s="1126" t="s">
        <v>1788</v>
      </c>
      <c r="D1731" s="1128">
        <v>6066.15</v>
      </c>
      <c r="E1731" s="1120">
        <v>2185.61</v>
      </c>
      <c r="F1731" s="1121">
        <f t="shared" si="1"/>
        <v>3880.89</v>
      </c>
      <c r="G1731" s="1120">
        <v>3790.34</v>
      </c>
      <c r="H1731" s="1127">
        <v>87.24</v>
      </c>
      <c r="I1731" s="1127">
        <v>0.0</v>
      </c>
      <c r="J1731" s="1127">
        <v>3.31</v>
      </c>
      <c r="K1731" s="1124"/>
    </row>
    <row r="1732" ht="15.75" customHeight="1">
      <c r="A1732" s="1119">
        <v>99280.0</v>
      </c>
      <c r="B1732" s="1125" t="s">
        <v>12010</v>
      </c>
      <c r="C1732" s="1126" t="s">
        <v>1788</v>
      </c>
      <c r="D1732" s="1128">
        <v>2128.86</v>
      </c>
      <c r="E1732" s="1120">
        <v>805.23</v>
      </c>
      <c r="F1732" s="1121">
        <f t="shared" si="1"/>
        <v>1323.78</v>
      </c>
      <c r="G1732" s="1120">
        <v>1301.66</v>
      </c>
      <c r="H1732" s="1127">
        <v>21.16</v>
      </c>
      <c r="I1732" s="1127">
        <v>0.0</v>
      </c>
      <c r="J1732" s="1127">
        <v>0.96</v>
      </c>
      <c r="K1732" s="1124"/>
    </row>
    <row r="1733" ht="15.75" customHeight="1">
      <c r="A1733" s="1119">
        <v>99281.0</v>
      </c>
      <c r="B1733" s="1125" t="s">
        <v>12011</v>
      </c>
      <c r="C1733" s="1126" t="s">
        <v>1731</v>
      </c>
      <c r="D1733" s="1128">
        <v>2582.21</v>
      </c>
      <c r="E1733" s="1120">
        <v>1141.87</v>
      </c>
      <c r="F1733" s="1121">
        <f t="shared" si="1"/>
        <v>1440.39</v>
      </c>
      <c r="G1733" s="1120">
        <v>1438.62</v>
      </c>
      <c r="H1733" s="1127">
        <v>1.13</v>
      </c>
      <c r="I1733" s="1127">
        <v>0.0</v>
      </c>
      <c r="J1733" s="1127">
        <v>0.64</v>
      </c>
      <c r="K1733" s="1124"/>
    </row>
    <row r="1734" ht="15.75" customHeight="1">
      <c r="A1734" s="1119">
        <v>99282.0</v>
      </c>
      <c r="B1734" s="1125" t="s">
        <v>12012</v>
      </c>
      <c r="C1734" s="1126" t="s">
        <v>1731</v>
      </c>
      <c r="D1734" s="1128">
        <v>2863.27</v>
      </c>
      <c r="E1734" s="1120">
        <v>1266.21</v>
      </c>
      <c r="F1734" s="1121">
        <f t="shared" si="1"/>
        <v>1597.12</v>
      </c>
      <c r="G1734" s="1120">
        <v>1595.13</v>
      </c>
      <c r="H1734" s="1127">
        <v>1.28</v>
      </c>
      <c r="I1734" s="1127">
        <v>0.0</v>
      </c>
      <c r="J1734" s="1127">
        <v>0.71</v>
      </c>
      <c r="K1734" s="1124"/>
    </row>
    <row r="1735" ht="15.75" customHeight="1">
      <c r="A1735" s="1119">
        <v>99283.0</v>
      </c>
      <c r="B1735" s="1125" t="s">
        <v>12013</v>
      </c>
      <c r="C1735" s="1126" t="s">
        <v>1731</v>
      </c>
      <c r="D1735" s="1128">
        <v>1231.75</v>
      </c>
      <c r="E1735" s="1120">
        <v>521.89</v>
      </c>
      <c r="F1735" s="1121">
        <f t="shared" si="1"/>
        <v>709.88</v>
      </c>
      <c r="G1735" s="1120">
        <v>708.88</v>
      </c>
      <c r="H1735" s="1127">
        <v>0.65</v>
      </c>
      <c r="I1735" s="1127">
        <v>0.0</v>
      </c>
      <c r="J1735" s="1127">
        <v>0.35</v>
      </c>
      <c r="K1735" s="1124"/>
    </row>
    <row r="1736" ht="15.75" customHeight="1">
      <c r="A1736" s="1119">
        <v>99284.0</v>
      </c>
      <c r="B1736" s="1125" t="s">
        <v>12014</v>
      </c>
      <c r="C1736" s="1126" t="s">
        <v>1788</v>
      </c>
      <c r="D1736" s="1128">
        <v>7522.72</v>
      </c>
      <c r="E1736" s="1120">
        <v>2599.92</v>
      </c>
      <c r="F1736" s="1121">
        <f t="shared" si="1"/>
        <v>4923.19</v>
      </c>
      <c r="G1736" s="1120">
        <v>4806.34</v>
      </c>
      <c r="H1736" s="1127">
        <v>112.58</v>
      </c>
      <c r="I1736" s="1127">
        <v>0.0</v>
      </c>
      <c r="J1736" s="1127">
        <v>4.27</v>
      </c>
      <c r="K1736" s="1124"/>
    </row>
    <row r="1737" ht="15.75" customHeight="1">
      <c r="A1737" s="1119">
        <v>99285.0</v>
      </c>
      <c r="B1737" s="1125" t="s">
        <v>12015</v>
      </c>
      <c r="C1737" s="1126" t="s">
        <v>1788</v>
      </c>
      <c r="D1737" s="1128">
        <v>1184.73</v>
      </c>
      <c r="E1737" s="1120">
        <v>277.42</v>
      </c>
      <c r="F1737" s="1121">
        <f t="shared" si="1"/>
        <v>907.37</v>
      </c>
      <c r="G1737" s="1120">
        <v>857.1</v>
      </c>
      <c r="H1737" s="1127">
        <v>49.89</v>
      </c>
      <c r="I1737" s="1127">
        <v>0.0</v>
      </c>
      <c r="J1737" s="1127">
        <v>0.38</v>
      </c>
      <c r="K1737" s="1124"/>
    </row>
    <row r="1738" ht="15.75" customHeight="1">
      <c r="A1738" s="1119">
        <v>99286.0</v>
      </c>
      <c r="B1738" s="1125" t="s">
        <v>12016</v>
      </c>
      <c r="C1738" s="1126" t="s">
        <v>1788</v>
      </c>
      <c r="D1738" s="1128">
        <v>6756.4</v>
      </c>
      <c r="E1738" s="1120">
        <v>2430.05</v>
      </c>
      <c r="F1738" s="1121">
        <f t="shared" si="1"/>
        <v>4326.72</v>
      </c>
      <c r="G1738" s="1120">
        <v>4226.05</v>
      </c>
      <c r="H1738" s="1127">
        <v>96.97</v>
      </c>
      <c r="I1738" s="1127">
        <v>0.0</v>
      </c>
      <c r="J1738" s="1127">
        <v>3.7</v>
      </c>
      <c r="K1738" s="1124"/>
    </row>
    <row r="1739" ht="15.75" customHeight="1">
      <c r="A1739" s="1119">
        <v>99287.0</v>
      </c>
      <c r="B1739" s="1125" t="s">
        <v>12017</v>
      </c>
      <c r="C1739" s="1126" t="s">
        <v>1788</v>
      </c>
      <c r="D1739" s="1128">
        <v>9440.5</v>
      </c>
      <c r="E1739" s="1120">
        <v>3088.74</v>
      </c>
      <c r="F1739" s="1121">
        <f t="shared" si="1"/>
        <v>6352.25</v>
      </c>
      <c r="G1739" s="1120">
        <v>6196.08</v>
      </c>
      <c r="H1739" s="1127">
        <v>150.66</v>
      </c>
      <c r="I1739" s="1127">
        <v>0.0</v>
      </c>
      <c r="J1739" s="1127">
        <v>5.51</v>
      </c>
      <c r="K1739" s="1124"/>
    </row>
    <row r="1740" ht="15.75" customHeight="1">
      <c r="A1740" s="1119">
        <v>99288.0</v>
      </c>
      <c r="B1740" s="1125" t="s">
        <v>12018</v>
      </c>
      <c r="C1740" s="1126" t="s">
        <v>1731</v>
      </c>
      <c r="D1740" s="1119">
        <v>384.75</v>
      </c>
      <c r="E1740" s="1120">
        <v>34.04</v>
      </c>
      <c r="F1740" s="1121">
        <f t="shared" si="1"/>
        <v>350.73</v>
      </c>
      <c r="G1740" s="1120">
        <v>332.86</v>
      </c>
      <c r="H1740" s="1127">
        <v>17.86</v>
      </c>
      <c r="I1740" s="1127">
        <v>0.0</v>
      </c>
      <c r="J1740" s="1127">
        <v>0.01</v>
      </c>
      <c r="K1740" s="1124"/>
    </row>
    <row r="1741" ht="15.75" customHeight="1">
      <c r="A1741" s="1119">
        <v>99289.0</v>
      </c>
      <c r="B1741" s="1125" t="s">
        <v>12019</v>
      </c>
      <c r="C1741" s="1126" t="s">
        <v>1731</v>
      </c>
      <c r="D1741" s="1128">
        <v>2837.1</v>
      </c>
      <c r="E1741" s="1120">
        <v>1255.58</v>
      </c>
      <c r="F1741" s="1121">
        <f t="shared" si="1"/>
        <v>1581.57</v>
      </c>
      <c r="G1741" s="1120">
        <v>1579.64</v>
      </c>
      <c r="H1741" s="1127">
        <v>1.24</v>
      </c>
      <c r="I1741" s="1127">
        <v>0.0</v>
      </c>
      <c r="J1741" s="1127">
        <v>0.69</v>
      </c>
      <c r="K1741" s="1124"/>
    </row>
    <row r="1742" ht="15.75" customHeight="1">
      <c r="A1742" s="1119">
        <v>99290.0</v>
      </c>
      <c r="B1742" s="1125" t="s">
        <v>12020</v>
      </c>
      <c r="C1742" s="1126" t="s">
        <v>1788</v>
      </c>
      <c r="D1742" s="1128">
        <v>4052.89</v>
      </c>
      <c r="E1742" s="1120">
        <v>1445.38</v>
      </c>
      <c r="F1742" s="1121">
        <f t="shared" si="1"/>
        <v>2607.8</v>
      </c>
      <c r="G1742" s="1120">
        <v>2566.11</v>
      </c>
      <c r="H1742" s="1127">
        <v>39.47</v>
      </c>
      <c r="I1742" s="1127">
        <v>0.0</v>
      </c>
      <c r="J1742" s="1127">
        <v>2.22</v>
      </c>
      <c r="K1742" s="1124"/>
    </row>
    <row r="1743" ht="15.75" customHeight="1">
      <c r="A1743" s="1119">
        <v>99291.0</v>
      </c>
      <c r="B1743" s="1125" t="s">
        <v>12021</v>
      </c>
      <c r="C1743" s="1126" t="s">
        <v>1731</v>
      </c>
      <c r="D1743" s="1128">
        <v>2837.1</v>
      </c>
      <c r="E1743" s="1120">
        <v>1255.58</v>
      </c>
      <c r="F1743" s="1121">
        <f t="shared" si="1"/>
        <v>1581.57</v>
      </c>
      <c r="G1743" s="1120">
        <v>1579.64</v>
      </c>
      <c r="H1743" s="1127">
        <v>1.24</v>
      </c>
      <c r="I1743" s="1127">
        <v>0.0</v>
      </c>
      <c r="J1743" s="1127">
        <v>0.69</v>
      </c>
      <c r="K1743" s="1124"/>
    </row>
    <row r="1744" ht="15.75" customHeight="1">
      <c r="A1744" s="1119">
        <v>99292.0</v>
      </c>
      <c r="B1744" s="1125" t="s">
        <v>12022</v>
      </c>
      <c r="C1744" s="1126" t="s">
        <v>1788</v>
      </c>
      <c r="D1744" s="1128">
        <v>2626.24</v>
      </c>
      <c r="E1744" s="1120">
        <v>975.23</v>
      </c>
      <c r="F1744" s="1121">
        <f t="shared" si="1"/>
        <v>1651.2</v>
      </c>
      <c r="G1744" s="1120">
        <v>1624.25</v>
      </c>
      <c r="H1744" s="1127">
        <v>25.73</v>
      </c>
      <c r="I1744" s="1127">
        <v>0.0</v>
      </c>
      <c r="J1744" s="1127">
        <v>1.22</v>
      </c>
      <c r="K1744" s="1124"/>
    </row>
    <row r="1745" ht="15.75" customHeight="1">
      <c r="A1745" s="1119">
        <v>99293.0</v>
      </c>
      <c r="B1745" s="1125" t="s">
        <v>12023</v>
      </c>
      <c r="C1745" s="1126" t="s">
        <v>1731</v>
      </c>
      <c r="D1745" s="1128">
        <v>1493.51</v>
      </c>
      <c r="E1745" s="1120">
        <v>638.3</v>
      </c>
      <c r="F1745" s="1121">
        <f t="shared" si="1"/>
        <v>855.25</v>
      </c>
      <c r="G1745" s="1120">
        <v>854.07</v>
      </c>
      <c r="H1745" s="1127">
        <v>0.78</v>
      </c>
      <c r="I1745" s="1127">
        <v>0.0</v>
      </c>
      <c r="J1745" s="1127">
        <v>0.4</v>
      </c>
      <c r="K1745" s="1124"/>
    </row>
    <row r="1746" ht="15.75" customHeight="1">
      <c r="A1746" s="1119">
        <v>99294.0</v>
      </c>
      <c r="B1746" s="1125" t="s">
        <v>12024</v>
      </c>
      <c r="C1746" s="1126" t="s">
        <v>1788</v>
      </c>
      <c r="D1746" s="1128">
        <v>8383.6</v>
      </c>
      <c r="E1746" s="1120">
        <v>2888.62</v>
      </c>
      <c r="F1746" s="1121">
        <f t="shared" si="1"/>
        <v>5495.43</v>
      </c>
      <c r="G1746" s="1120">
        <v>5365.22</v>
      </c>
      <c r="H1746" s="1127">
        <v>125.43</v>
      </c>
      <c r="I1746" s="1127">
        <v>0.0</v>
      </c>
      <c r="J1746" s="1127">
        <v>4.78</v>
      </c>
      <c r="K1746" s="1124"/>
    </row>
    <row r="1747" ht="15.75" customHeight="1">
      <c r="A1747" s="1119">
        <v>99296.0</v>
      </c>
      <c r="B1747" s="1125" t="s">
        <v>12025</v>
      </c>
      <c r="C1747" s="1126" t="s">
        <v>1731</v>
      </c>
      <c r="D1747" s="1128">
        <v>3118.16</v>
      </c>
      <c r="E1747" s="1120">
        <v>1379.87</v>
      </c>
      <c r="F1747" s="1121">
        <f t="shared" si="1"/>
        <v>1738.34</v>
      </c>
      <c r="G1747" s="1120">
        <v>1736.19</v>
      </c>
      <c r="H1747" s="1127">
        <v>1.38</v>
      </c>
      <c r="I1747" s="1127">
        <v>0.0</v>
      </c>
      <c r="J1747" s="1127">
        <v>0.77</v>
      </c>
      <c r="K1747" s="1124"/>
    </row>
    <row r="1748" ht="15.75" customHeight="1">
      <c r="A1748" s="1119">
        <v>99297.0</v>
      </c>
      <c r="B1748" s="1125" t="s">
        <v>12026</v>
      </c>
      <c r="C1748" s="1126" t="s">
        <v>1731</v>
      </c>
      <c r="D1748" s="1128">
        <v>3113.64</v>
      </c>
      <c r="E1748" s="1120">
        <v>1378.04</v>
      </c>
      <c r="F1748" s="1121">
        <f t="shared" si="1"/>
        <v>1735.65</v>
      </c>
      <c r="G1748" s="1120">
        <v>1733.51</v>
      </c>
      <c r="H1748" s="1127">
        <v>1.37</v>
      </c>
      <c r="I1748" s="1127">
        <v>0.0</v>
      </c>
      <c r="J1748" s="1127">
        <v>0.77</v>
      </c>
      <c r="K1748" s="1124"/>
    </row>
    <row r="1749" ht="15.75" customHeight="1">
      <c r="A1749" s="1119">
        <v>99298.0</v>
      </c>
      <c r="B1749" s="1125" t="s">
        <v>12027</v>
      </c>
      <c r="C1749" s="1126" t="s">
        <v>1788</v>
      </c>
      <c r="D1749" s="1128">
        <v>10669.35</v>
      </c>
      <c r="E1749" s="1120">
        <v>3466.32</v>
      </c>
      <c r="F1749" s="1121">
        <f t="shared" si="1"/>
        <v>7203.57</v>
      </c>
      <c r="G1749" s="1120">
        <v>7027.53</v>
      </c>
      <c r="H1749" s="1127">
        <v>169.78</v>
      </c>
      <c r="I1749" s="1127">
        <v>0.0</v>
      </c>
      <c r="J1749" s="1127">
        <v>6.26</v>
      </c>
      <c r="K1749" s="1124"/>
    </row>
    <row r="1750" ht="15.75" customHeight="1">
      <c r="A1750" s="1119">
        <v>99299.0</v>
      </c>
      <c r="B1750" s="1125" t="s">
        <v>12028</v>
      </c>
      <c r="C1750" s="1126" t="s">
        <v>1731</v>
      </c>
      <c r="D1750" s="1128">
        <v>3373.01</v>
      </c>
      <c r="E1750" s="1120">
        <v>1493.54</v>
      </c>
      <c r="F1750" s="1121">
        <f t="shared" si="1"/>
        <v>1879.53</v>
      </c>
      <c r="G1750" s="1120">
        <v>1877.19</v>
      </c>
      <c r="H1750" s="1127">
        <v>1.5</v>
      </c>
      <c r="I1750" s="1127">
        <v>0.0</v>
      </c>
      <c r="J1750" s="1127">
        <v>0.84</v>
      </c>
      <c r="K1750" s="1124"/>
    </row>
    <row r="1751" ht="15.75" customHeight="1">
      <c r="A1751" s="1119">
        <v>99300.0</v>
      </c>
      <c r="B1751" s="1125" t="s">
        <v>12029</v>
      </c>
      <c r="C1751" s="1126" t="s">
        <v>1788</v>
      </c>
      <c r="D1751" s="1128">
        <v>11898.14</v>
      </c>
      <c r="E1751" s="1120">
        <v>3843.89</v>
      </c>
      <c r="F1751" s="1121">
        <f t="shared" si="1"/>
        <v>8054.85</v>
      </c>
      <c r="G1751" s="1120">
        <v>7858.95</v>
      </c>
      <c r="H1751" s="1127">
        <v>188.9</v>
      </c>
      <c r="I1751" s="1127">
        <v>0.0</v>
      </c>
      <c r="J1751" s="1127">
        <v>7.0</v>
      </c>
      <c r="K1751" s="1124"/>
    </row>
    <row r="1752" ht="15.75" customHeight="1">
      <c r="A1752" s="1119">
        <v>99301.0</v>
      </c>
      <c r="B1752" s="1125" t="s">
        <v>12030</v>
      </c>
      <c r="C1752" s="1126" t="s">
        <v>1788</v>
      </c>
      <c r="D1752" s="1128">
        <v>5957.11</v>
      </c>
      <c r="E1752" s="1120">
        <v>2070.88</v>
      </c>
      <c r="F1752" s="1121">
        <f t="shared" si="1"/>
        <v>3886.55</v>
      </c>
      <c r="G1752" s="1120">
        <v>3822.45</v>
      </c>
      <c r="H1752" s="1127">
        <v>60.73</v>
      </c>
      <c r="I1752" s="1127">
        <v>0.0</v>
      </c>
      <c r="J1752" s="1127">
        <v>3.37</v>
      </c>
      <c r="K1752" s="1124"/>
    </row>
    <row r="1753" ht="15.75" customHeight="1">
      <c r="A1753" s="1119">
        <v>99302.0</v>
      </c>
      <c r="B1753" s="1125" t="s">
        <v>12031</v>
      </c>
      <c r="C1753" s="1126" t="s">
        <v>1731</v>
      </c>
      <c r="D1753" s="1128">
        <v>3632.39</v>
      </c>
      <c r="E1753" s="1120">
        <v>1609.04</v>
      </c>
      <c r="F1753" s="1121">
        <f t="shared" si="1"/>
        <v>2023.4</v>
      </c>
      <c r="G1753" s="1120">
        <v>2020.91</v>
      </c>
      <c r="H1753" s="1127">
        <v>1.6</v>
      </c>
      <c r="I1753" s="1127">
        <v>0.0</v>
      </c>
      <c r="J1753" s="1127">
        <v>0.89</v>
      </c>
      <c r="K1753" s="1124"/>
    </row>
    <row r="1754" ht="15.75" customHeight="1">
      <c r="A1754" s="1119">
        <v>99303.0</v>
      </c>
      <c r="B1754" s="1125" t="s">
        <v>12032</v>
      </c>
      <c r="C1754" s="1126" t="s">
        <v>1788</v>
      </c>
      <c r="D1754" s="1128">
        <v>10884.7</v>
      </c>
      <c r="E1754" s="1120">
        <v>3511.23</v>
      </c>
      <c r="F1754" s="1121">
        <f t="shared" si="1"/>
        <v>7374.06</v>
      </c>
      <c r="G1754" s="1120">
        <v>7194.76</v>
      </c>
      <c r="H1754" s="1127">
        <v>172.91</v>
      </c>
      <c r="I1754" s="1127">
        <v>0.0</v>
      </c>
      <c r="J1754" s="1127">
        <v>6.39</v>
      </c>
      <c r="K1754" s="1124"/>
    </row>
    <row r="1755" ht="15.75" customHeight="1">
      <c r="A1755" s="1119">
        <v>99304.0</v>
      </c>
      <c r="B1755" s="1125" t="s">
        <v>12033</v>
      </c>
      <c r="C1755" s="1126" t="s">
        <v>1731</v>
      </c>
      <c r="D1755" s="1128">
        <v>3377.52</v>
      </c>
      <c r="E1755" s="1120">
        <v>1495.38</v>
      </c>
      <c r="F1755" s="1121">
        <f t="shared" si="1"/>
        <v>1882.2</v>
      </c>
      <c r="G1755" s="1120">
        <v>1879.85</v>
      </c>
      <c r="H1755" s="1127">
        <v>1.51</v>
      </c>
      <c r="I1755" s="1127">
        <v>0.0</v>
      </c>
      <c r="J1755" s="1127">
        <v>0.84</v>
      </c>
      <c r="K1755" s="1124"/>
    </row>
    <row r="1756" ht="15.75" customHeight="1">
      <c r="A1756" s="1119">
        <v>99305.0</v>
      </c>
      <c r="B1756" s="1125" t="s">
        <v>12034</v>
      </c>
      <c r="C1756" s="1126" t="s">
        <v>1788</v>
      </c>
      <c r="D1756" s="1128">
        <v>12293.21</v>
      </c>
      <c r="E1756" s="1120">
        <v>3933.09</v>
      </c>
      <c r="F1756" s="1121">
        <f t="shared" si="1"/>
        <v>8360.71</v>
      </c>
      <c r="G1756" s="1120">
        <v>8158.3</v>
      </c>
      <c r="H1756" s="1127">
        <v>195.16</v>
      </c>
      <c r="I1756" s="1127">
        <v>0.0</v>
      </c>
      <c r="J1756" s="1127">
        <v>7.25</v>
      </c>
      <c r="K1756" s="1124"/>
    </row>
    <row r="1757" ht="15.75" customHeight="1">
      <c r="A1757" s="1119">
        <v>99306.0</v>
      </c>
      <c r="B1757" s="1125" t="s">
        <v>12035</v>
      </c>
      <c r="C1757" s="1126" t="s">
        <v>1731</v>
      </c>
      <c r="D1757" s="1128">
        <v>3632.39</v>
      </c>
      <c r="E1757" s="1120">
        <v>1609.04</v>
      </c>
      <c r="F1757" s="1121">
        <f t="shared" si="1"/>
        <v>2023.4</v>
      </c>
      <c r="G1757" s="1120">
        <v>2020.91</v>
      </c>
      <c r="H1757" s="1127">
        <v>1.6</v>
      </c>
      <c r="I1757" s="1127">
        <v>0.0</v>
      </c>
      <c r="J1757" s="1127">
        <v>0.89</v>
      </c>
      <c r="K1757" s="1124"/>
    </row>
    <row r="1758" ht="15.75" customHeight="1">
      <c r="A1758" s="1119">
        <v>99307.0</v>
      </c>
      <c r="B1758" s="1125" t="s">
        <v>12036</v>
      </c>
      <c r="C1758" s="1126" t="s">
        <v>1731</v>
      </c>
      <c r="D1758" s="1128">
        <v>2348.94</v>
      </c>
      <c r="E1758" s="1120">
        <v>1037.0</v>
      </c>
      <c r="F1758" s="1121">
        <f t="shared" si="1"/>
        <v>1311.97</v>
      </c>
      <c r="G1758" s="1120">
        <v>1310.34</v>
      </c>
      <c r="H1758" s="1127">
        <v>1.04</v>
      </c>
      <c r="I1758" s="1127">
        <v>0.0</v>
      </c>
      <c r="J1758" s="1127">
        <v>0.59</v>
      </c>
      <c r="K1758" s="1124"/>
    </row>
    <row r="1759" ht="15.75" customHeight="1">
      <c r="A1759" s="1119">
        <v>99308.0</v>
      </c>
      <c r="B1759" s="1125" t="s">
        <v>12037</v>
      </c>
      <c r="C1759" s="1126" t="s">
        <v>1788</v>
      </c>
      <c r="D1759" s="1128">
        <v>13701.74</v>
      </c>
      <c r="E1759" s="1120">
        <v>4355.04</v>
      </c>
      <c r="F1759" s="1121">
        <f t="shared" si="1"/>
        <v>9347.42</v>
      </c>
      <c r="G1759" s="1120">
        <v>9121.91</v>
      </c>
      <c r="H1759" s="1127">
        <v>217.4</v>
      </c>
      <c r="I1759" s="1127">
        <v>0.0</v>
      </c>
      <c r="J1759" s="1127">
        <v>8.11</v>
      </c>
      <c r="K1759" s="1124"/>
    </row>
    <row r="1760" ht="15.75" customHeight="1">
      <c r="A1760" s="1119">
        <v>99309.0</v>
      </c>
      <c r="B1760" s="1125" t="s">
        <v>12038</v>
      </c>
      <c r="C1760" s="1126" t="s">
        <v>1731</v>
      </c>
      <c r="D1760" s="1128">
        <v>3891.84</v>
      </c>
      <c r="E1760" s="1120">
        <v>1724.54</v>
      </c>
      <c r="F1760" s="1121">
        <f t="shared" si="1"/>
        <v>2167.36</v>
      </c>
      <c r="G1760" s="1120">
        <v>2164.66</v>
      </c>
      <c r="H1760" s="1127">
        <v>1.74</v>
      </c>
      <c r="I1760" s="1127">
        <v>0.0</v>
      </c>
      <c r="J1760" s="1127">
        <v>0.96</v>
      </c>
      <c r="K1760" s="1124"/>
    </row>
    <row r="1761" ht="15.75" customHeight="1">
      <c r="A1761" s="1119">
        <v>99310.0</v>
      </c>
      <c r="B1761" s="1125" t="s">
        <v>12039</v>
      </c>
      <c r="C1761" s="1126" t="s">
        <v>1788</v>
      </c>
      <c r="D1761" s="1128">
        <v>13917.15</v>
      </c>
      <c r="E1761" s="1120">
        <v>4399.94</v>
      </c>
      <c r="F1761" s="1121">
        <f t="shared" si="1"/>
        <v>9517.92</v>
      </c>
      <c r="G1761" s="1120">
        <v>9289.18</v>
      </c>
      <c r="H1761" s="1127">
        <v>220.51</v>
      </c>
      <c r="I1761" s="1127">
        <v>0.0</v>
      </c>
      <c r="J1761" s="1127">
        <v>8.23</v>
      </c>
      <c r="K1761" s="1124"/>
    </row>
    <row r="1762" ht="15.75" customHeight="1">
      <c r="A1762" s="1119">
        <v>99311.0</v>
      </c>
      <c r="B1762" s="1125" t="s">
        <v>12040</v>
      </c>
      <c r="C1762" s="1126" t="s">
        <v>1731</v>
      </c>
      <c r="D1762" s="1128">
        <v>3891.84</v>
      </c>
      <c r="E1762" s="1120">
        <v>1724.54</v>
      </c>
      <c r="F1762" s="1121">
        <f t="shared" si="1"/>
        <v>2167.36</v>
      </c>
      <c r="G1762" s="1120">
        <v>2164.66</v>
      </c>
      <c r="H1762" s="1127">
        <v>1.74</v>
      </c>
      <c r="I1762" s="1127">
        <v>0.0</v>
      </c>
      <c r="J1762" s="1127">
        <v>0.96</v>
      </c>
      <c r="K1762" s="1124"/>
    </row>
    <row r="1763" ht="15.75" customHeight="1">
      <c r="A1763" s="1119">
        <v>99312.0</v>
      </c>
      <c r="B1763" s="1125" t="s">
        <v>12041</v>
      </c>
      <c r="C1763" s="1126" t="s">
        <v>1788</v>
      </c>
      <c r="D1763" s="1128">
        <v>6976.96</v>
      </c>
      <c r="E1763" s="1120">
        <v>2403.42</v>
      </c>
      <c r="F1763" s="1121">
        <f t="shared" si="1"/>
        <v>4573.94</v>
      </c>
      <c r="G1763" s="1120">
        <v>4499.12</v>
      </c>
      <c r="H1763" s="1127">
        <v>70.8</v>
      </c>
      <c r="I1763" s="1127">
        <v>0.0</v>
      </c>
      <c r="J1763" s="1127">
        <v>4.02</v>
      </c>
      <c r="K1763" s="1124"/>
    </row>
    <row r="1764" ht="15.75" customHeight="1">
      <c r="A1764" s="1119">
        <v>99313.0</v>
      </c>
      <c r="B1764" s="1125" t="s">
        <v>12042</v>
      </c>
      <c r="C1764" s="1126" t="s">
        <v>1788</v>
      </c>
      <c r="D1764" s="1128">
        <v>15505.27</v>
      </c>
      <c r="E1764" s="1120">
        <v>4866.08</v>
      </c>
      <c r="F1764" s="1121">
        <f t="shared" si="1"/>
        <v>10639.96</v>
      </c>
      <c r="G1764" s="1120">
        <v>10384.82</v>
      </c>
      <c r="H1764" s="1127">
        <v>245.92</v>
      </c>
      <c r="I1764" s="1127">
        <v>0.0</v>
      </c>
      <c r="J1764" s="1127">
        <v>9.22</v>
      </c>
      <c r="K1764" s="1124"/>
    </row>
    <row r="1765" ht="15.75" customHeight="1">
      <c r="A1765" s="1119">
        <v>99314.0</v>
      </c>
      <c r="B1765" s="1125" t="s">
        <v>12043</v>
      </c>
      <c r="C1765" s="1126" t="s">
        <v>1731</v>
      </c>
      <c r="D1765" s="1128">
        <v>4151.27</v>
      </c>
      <c r="E1765" s="1120">
        <v>1840.08</v>
      </c>
      <c r="F1765" s="1121">
        <f t="shared" si="1"/>
        <v>2311.25</v>
      </c>
      <c r="G1765" s="1120">
        <v>2308.36</v>
      </c>
      <c r="H1765" s="1127">
        <v>1.86</v>
      </c>
      <c r="I1765" s="1127">
        <v>0.0</v>
      </c>
      <c r="J1765" s="1127">
        <v>1.03</v>
      </c>
      <c r="K1765" s="1124"/>
    </row>
    <row r="1766" ht="15.75" customHeight="1">
      <c r="A1766" s="1119">
        <v>99315.0</v>
      </c>
      <c r="B1766" s="1125" t="s">
        <v>12044</v>
      </c>
      <c r="C1766" s="1126" t="s">
        <v>1788</v>
      </c>
      <c r="D1766" s="1128">
        <v>17308.85</v>
      </c>
      <c r="E1766" s="1120">
        <v>5377.2</v>
      </c>
      <c r="F1766" s="1121">
        <f t="shared" si="1"/>
        <v>11932.54</v>
      </c>
      <c r="G1766" s="1120">
        <v>11647.83</v>
      </c>
      <c r="H1766" s="1127">
        <v>274.37</v>
      </c>
      <c r="I1766" s="1127">
        <v>0.0</v>
      </c>
      <c r="J1766" s="1127">
        <v>10.34</v>
      </c>
      <c r="K1766" s="1124"/>
    </row>
    <row r="1767" ht="15.75" customHeight="1">
      <c r="A1767" s="1119">
        <v>99317.0</v>
      </c>
      <c r="B1767" s="1125" t="s">
        <v>12045</v>
      </c>
      <c r="C1767" s="1126" t="s">
        <v>1731</v>
      </c>
      <c r="D1767" s="1128">
        <v>2603.81</v>
      </c>
      <c r="E1767" s="1120">
        <v>1150.66</v>
      </c>
      <c r="F1767" s="1121">
        <f t="shared" si="1"/>
        <v>1453.21</v>
      </c>
      <c r="G1767" s="1120">
        <v>1451.39</v>
      </c>
      <c r="H1767" s="1127">
        <v>1.16</v>
      </c>
      <c r="I1767" s="1127">
        <v>0.0</v>
      </c>
      <c r="J1767" s="1127">
        <v>0.66</v>
      </c>
      <c r="K1767" s="1124"/>
    </row>
    <row r="1768" ht="15.75" customHeight="1">
      <c r="A1768" s="1119">
        <v>99318.0</v>
      </c>
      <c r="B1768" s="1125" t="s">
        <v>12046</v>
      </c>
      <c r="C1768" s="1126" t="s">
        <v>1731</v>
      </c>
      <c r="D1768" s="1119">
        <v>211.94</v>
      </c>
      <c r="E1768" s="1120">
        <v>17.51</v>
      </c>
      <c r="F1768" s="1121">
        <f t="shared" si="1"/>
        <v>194.46</v>
      </c>
      <c r="G1768" s="1120">
        <v>185.77</v>
      </c>
      <c r="H1768" s="1127">
        <v>8.69</v>
      </c>
      <c r="I1768" s="1127">
        <v>0.0</v>
      </c>
      <c r="J1768" s="1127">
        <v>0.0</v>
      </c>
      <c r="K1768" s="1124"/>
    </row>
    <row r="1769" ht="15.75" customHeight="1">
      <c r="A1769" s="1119">
        <v>99319.0</v>
      </c>
      <c r="B1769" s="1125" t="s">
        <v>12047</v>
      </c>
      <c r="C1769" s="1126" t="s">
        <v>1731</v>
      </c>
      <c r="D1769" s="1119">
        <v>979.99</v>
      </c>
      <c r="E1769" s="1120">
        <v>409.08</v>
      </c>
      <c r="F1769" s="1121">
        <f t="shared" si="1"/>
        <v>570.96</v>
      </c>
      <c r="G1769" s="1120">
        <v>570.09</v>
      </c>
      <c r="H1769" s="1127">
        <v>0.56</v>
      </c>
      <c r="I1769" s="1127">
        <v>0.0</v>
      </c>
      <c r="J1769" s="1127">
        <v>0.31</v>
      </c>
      <c r="K1769" s="1124"/>
    </row>
    <row r="1770" ht="15.75" customHeight="1">
      <c r="A1770" s="1119">
        <v>99320.0</v>
      </c>
      <c r="B1770" s="1125" t="s">
        <v>12048</v>
      </c>
      <c r="C1770" s="1126" t="s">
        <v>1788</v>
      </c>
      <c r="D1770" s="1128">
        <v>8054.99</v>
      </c>
      <c r="E1770" s="1120">
        <v>2736.2</v>
      </c>
      <c r="F1770" s="1121">
        <f t="shared" si="1"/>
        <v>5319.22</v>
      </c>
      <c r="G1770" s="1120">
        <v>5186.18</v>
      </c>
      <c r="H1770" s="1127">
        <v>128.41</v>
      </c>
      <c r="I1770" s="1127">
        <v>0.0</v>
      </c>
      <c r="J1770" s="1127">
        <v>4.63</v>
      </c>
      <c r="K1770" s="1124"/>
    </row>
    <row r="1771" ht="15.75" customHeight="1">
      <c r="A1771" s="1119">
        <v>99321.0</v>
      </c>
      <c r="B1771" s="1125" t="s">
        <v>12049</v>
      </c>
      <c r="C1771" s="1126" t="s">
        <v>1731</v>
      </c>
      <c r="D1771" s="1128">
        <v>2858.76</v>
      </c>
      <c r="E1771" s="1120">
        <v>1264.38</v>
      </c>
      <c r="F1771" s="1121">
        <f t="shared" si="1"/>
        <v>1594.44</v>
      </c>
      <c r="G1771" s="1120">
        <v>1592.47</v>
      </c>
      <c r="H1771" s="1127">
        <v>1.27</v>
      </c>
      <c r="I1771" s="1127">
        <v>0.0</v>
      </c>
      <c r="J1771" s="1127">
        <v>0.7</v>
      </c>
      <c r="K1771" s="1124"/>
    </row>
    <row r="1772" ht="15.75" customHeight="1">
      <c r="A1772" s="1119">
        <v>99322.0</v>
      </c>
      <c r="B1772" s="1125" t="s">
        <v>12050</v>
      </c>
      <c r="C1772" s="1126" t="s">
        <v>1788</v>
      </c>
      <c r="D1772" s="1128">
        <v>9082.22</v>
      </c>
      <c r="E1772" s="1120">
        <v>3068.86</v>
      </c>
      <c r="F1772" s="1121">
        <f t="shared" si="1"/>
        <v>6013.89</v>
      </c>
      <c r="G1772" s="1120">
        <v>5864.26</v>
      </c>
      <c r="H1772" s="1127">
        <v>144.37</v>
      </c>
      <c r="I1772" s="1127">
        <v>0.0</v>
      </c>
      <c r="J1772" s="1127">
        <v>5.26</v>
      </c>
      <c r="K1772" s="1124"/>
    </row>
    <row r="1773" ht="15.75" customHeight="1">
      <c r="A1773" s="1119">
        <v>99323.0</v>
      </c>
      <c r="B1773" s="1125" t="s">
        <v>12051</v>
      </c>
      <c r="C1773" s="1126" t="s">
        <v>1731</v>
      </c>
      <c r="D1773" s="1128">
        <v>3113.64</v>
      </c>
      <c r="E1773" s="1120">
        <v>1378.04</v>
      </c>
      <c r="F1773" s="1121">
        <f t="shared" si="1"/>
        <v>1735.65</v>
      </c>
      <c r="G1773" s="1120">
        <v>1733.51</v>
      </c>
      <c r="H1773" s="1127">
        <v>1.37</v>
      </c>
      <c r="I1773" s="1127">
        <v>0.0</v>
      </c>
      <c r="J1773" s="1127">
        <v>0.77</v>
      </c>
      <c r="K1773" s="1124"/>
    </row>
    <row r="1774" ht="15.75" customHeight="1">
      <c r="A1774" s="1119">
        <v>99324.0</v>
      </c>
      <c r="B1774" s="1125" t="s">
        <v>12052</v>
      </c>
      <c r="C1774" s="1126" t="s">
        <v>1788</v>
      </c>
      <c r="D1774" s="1128">
        <v>10109.47</v>
      </c>
      <c r="E1774" s="1120">
        <v>3401.56</v>
      </c>
      <c r="F1774" s="1121">
        <f t="shared" si="1"/>
        <v>6708.46</v>
      </c>
      <c r="G1774" s="1120">
        <v>6542.2</v>
      </c>
      <c r="H1774" s="1127">
        <v>160.37</v>
      </c>
      <c r="I1774" s="1127">
        <v>0.0</v>
      </c>
      <c r="J1774" s="1127">
        <v>5.89</v>
      </c>
      <c r="K1774" s="1124"/>
    </row>
    <row r="1775" ht="15.75" customHeight="1">
      <c r="A1775" s="1119">
        <v>99325.0</v>
      </c>
      <c r="B1775" s="1125" t="s">
        <v>12053</v>
      </c>
      <c r="C1775" s="1126" t="s">
        <v>1731</v>
      </c>
      <c r="D1775" s="1128">
        <v>3373.01</v>
      </c>
      <c r="E1775" s="1120">
        <v>1493.54</v>
      </c>
      <c r="F1775" s="1121">
        <f t="shared" si="1"/>
        <v>1879.53</v>
      </c>
      <c r="G1775" s="1120">
        <v>1877.19</v>
      </c>
      <c r="H1775" s="1127">
        <v>1.5</v>
      </c>
      <c r="I1775" s="1127">
        <v>0.0</v>
      </c>
      <c r="J1775" s="1127">
        <v>0.84</v>
      </c>
      <c r="K1775" s="1124"/>
    </row>
    <row r="1776" ht="15.75" customHeight="1">
      <c r="A1776" s="1119">
        <v>99326.0</v>
      </c>
      <c r="B1776" s="1125" t="s">
        <v>12054</v>
      </c>
      <c r="C1776" s="1126" t="s">
        <v>1788</v>
      </c>
      <c r="D1776" s="1128">
        <v>8211.67</v>
      </c>
      <c r="E1776" s="1120">
        <v>2711.12</v>
      </c>
      <c r="F1776" s="1121">
        <f t="shared" si="1"/>
        <v>5500.97</v>
      </c>
      <c r="G1776" s="1120">
        <v>5364.67</v>
      </c>
      <c r="H1776" s="1127">
        <v>131.56</v>
      </c>
      <c r="I1776" s="1127">
        <v>0.0</v>
      </c>
      <c r="J1776" s="1127">
        <v>4.74</v>
      </c>
      <c r="K1776" s="1124"/>
    </row>
    <row r="1777" ht="15.75" customHeight="1">
      <c r="A1777" s="1119">
        <v>99327.0</v>
      </c>
      <c r="B1777" s="1125" t="s">
        <v>12055</v>
      </c>
      <c r="C1777" s="1126" t="s">
        <v>1731</v>
      </c>
      <c r="D1777" s="1128">
        <v>4366.53</v>
      </c>
      <c r="E1777" s="1120">
        <v>1937.66</v>
      </c>
      <c r="F1777" s="1121">
        <f t="shared" si="1"/>
        <v>2428.93</v>
      </c>
      <c r="G1777" s="1120">
        <v>2425.97</v>
      </c>
      <c r="H1777" s="1127">
        <v>1.9</v>
      </c>
      <c r="I1777" s="1127">
        <v>0.0</v>
      </c>
      <c r="J1777" s="1127">
        <v>1.06</v>
      </c>
      <c r="K1777" s="1124"/>
    </row>
    <row r="1778" ht="15.75" customHeight="1">
      <c r="A1778" s="1119">
        <v>101800.0</v>
      </c>
      <c r="B1778" s="1125" t="s">
        <v>12056</v>
      </c>
      <c r="C1778" s="1126" t="s">
        <v>1788</v>
      </c>
      <c r="D1778" s="1128">
        <v>1631.49</v>
      </c>
      <c r="E1778" s="1120">
        <v>438.39</v>
      </c>
      <c r="F1778" s="1121">
        <f t="shared" si="1"/>
        <v>1193.13</v>
      </c>
      <c r="G1778" s="1120">
        <v>1192.02</v>
      </c>
      <c r="H1778" s="1127">
        <v>0.71</v>
      </c>
      <c r="I1778" s="1127">
        <v>0.0</v>
      </c>
      <c r="J1778" s="1127">
        <v>0.4</v>
      </c>
      <c r="K1778" s="1124"/>
    </row>
    <row r="1779" ht="15.75" customHeight="1">
      <c r="A1779" s="1119">
        <v>101801.0</v>
      </c>
      <c r="B1779" s="1125" t="s">
        <v>12057</v>
      </c>
      <c r="C1779" s="1126" t="s">
        <v>1788</v>
      </c>
      <c r="D1779" s="1128">
        <v>1116.81</v>
      </c>
      <c r="E1779" s="1120">
        <v>272.66</v>
      </c>
      <c r="F1779" s="1121">
        <f t="shared" si="1"/>
        <v>844.17</v>
      </c>
      <c r="G1779" s="1120">
        <v>843.42</v>
      </c>
      <c r="H1779" s="1127">
        <v>0.49</v>
      </c>
      <c r="I1779" s="1127">
        <v>0.0</v>
      </c>
      <c r="J1779" s="1127">
        <v>0.26</v>
      </c>
      <c r="K1779" s="1124"/>
    </row>
    <row r="1780" ht="15.75" customHeight="1">
      <c r="A1780" s="1119">
        <v>101806.0</v>
      </c>
      <c r="B1780" s="1125" t="s">
        <v>12058</v>
      </c>
      <c r="C1780" s="1126" t="s">
        <v>1788</v>
      </c>
      <c r="D1780" s="1119">
        <v>594.06</v>
      </c>
      <c r="E1780" s="1120">
        <v>277.1</v>
      </c>
      <c r="F1780" s="1121">
        <f t="shared" si="1"/>
        <v>317.02</v>
      </c>
      <c r="G1780" s="1120">
        <v>314.29</v>
      </c>
      <c r="H1780" s="1127">
        <v>2.45</v>
      </c>
      <c r="I1780" s="1127">
        <v>0.0</v>
      </c>
      <c r="J1780" s="1127">
        <v>0.28</v>
      </c>
      <c r="K1780" s="1124"/>
    </row>
    <row r="1781" ht="15.75" customHeight="1">
      <c r="A1781" s="1119">
        <v>101807.0</v>
      </c>
      <c r="B1781" s="1125" t="s">
        <v>12059</v>
      </c>
      <c r="C1781" s="1126" t="s">
        <v>1788</v>
      </c>
      <c r="D1781" s="1119">
        <v>525.84</v>
      </c>
      <c r="E1781" s="1120">
        <v>251.6</v>
      </c>
      <c r="F1781" s="1121">
        <f t="shared" si="1"/>
        <v>274.3</v>
      </c>
      <c r="G1781" s="1120">
        <v>271.62</v>
      </c>
      <c r="H1781" s="1127">
        <v>2.42</v>
      </c>
      <c r="I1781" s="1127">
        <v>0.0</v>
      </c>
      <c r="J1781" s="1127">
        <v>0.26</v>
      </c>
      <c r="K1781" s="1124"/>
    </row>
    <row r="1782" ht="15.75" customHeight="1">
      <c r="A1782" s="1119">
        <v>101808.0</v>
      </c>
      <c r="B1782" s="1125" t="s">
        <v>12060</v>
      </c>
      <c r="C1782" s="1126" t="s">
        <v>1788</v>
      </c>
      <c r="D1782" s="1119">
        <v>417.6</v>
      </c>
      <c r="E1782" s="1120">
        <v>61.57</v>
      </c>
      <c r="F1782" s="1121">
        <f t="shared" si="1"/>
        <v>356.06</v>
      </c>
      <c r="G1782" s="1120">
        <v>349.79</v>
      </c>
      <c r="H1782" s="1127">
        <v>6.18</v>
      </c>
      <c r="I1782" s="1127">
        <v>0.0</v>
      </c>
      <c r="J1782" s="1127">
        <v>0.09</v>
      </c>
      <c r="K1782" s="1124"/>
    </row>
    <row r="1783" ht="15.75" customHeight="1">
      <c r="A1783" s="1119">
        <v>101809.0</v>
      </c>
      <c r="B1783" s="1125" t="s">
        <v>12061</v>
      </c>
      <c r="C1783" s="1126" t="s">
        <v>1788</v>
      </c>
      <c r="D1783" s="1128">
        <v>3090.08</v>
      </c>
      <c r="E1783" s="1120">
        <v>993.3</v>
      </c>
      <c r="F1783" s="1121">
        <f t="shared" si="1"/>
        <v>2097.09</v>
      </c>
      <c r="G1783" s="1120">
        <v>2063.72</v>
      </c>
      <c r="H1783" s="1127">
        <v>30.95</v>
      </c>
      <c r="I1783" s="1127">
        <v>0.0</v>
      </c>
      <c r="J1783" s="1127">
        <v>2.42</v>
      </c>
      <c r="K1783" s="1124"/>
    </row>
    <row r="1784" ht="15.75" customHeight="1">
      <c r="A1784" s="1119">
        <v>102139.0</v>
      </c>
      <c r="B1784" s="1125" t="s">
        <v>12062</v>
      </c>
      <c r="C1784" s="1126" t="s">
        <v>1788</v>
      </c>
      <c r="D1784" s="1128">
        <v>1511.37</v>
      </c>
      <c r="E1784" s="1120">
        <v>314.52</v>
      </c>
      <c r="F1784" s="1121">
        <f t="shared" si="1"/>
        <v>1196.9</v>
      </c>
      <c r="G1784" s="1120">
        <v>1142.91</v>
      </c>
      <c r="H1784" s="1127">
        <v>53.51</v>
      </c>
      <c r="I1784" s="1127">
        <v>0.0</v>
      </c>
      <c r="J1784" s="1127">
        <v>0.48</v>
      </c>
      <c r="K1784" s="1124"/>
    </row>
    <row r="1785" ht="15.75" customHeight="1">
      <c r="A1785" s="1119">
        <v>102141.0</v>
      </c>
      <c r="B1785" s="1125" t="s">
        <v>12063</v>
      </c>
      <c r="C1785" s="1126" t="s">
        <v>1788</v>
      </c>
      <c r="D1785" s="1128">
        <v>2329.99</v>
      </c>
      <c r="E1785" s="1120">
        <v>452.48</v>
      </c>
      <c r="F1785" s="1121">
        <f t="shared" si="1"/>
        <v>1877.54</v>
      </c>
      <c r="G1785" s="1120">
        <v>1806.49</v>
      </c>
      <c r="H1785" s="1127">
        <v>70.28</v>
      </c>
      <c r="I1785" s="1127">
        <v>0.0</v>
      </c>
      <c r="J1785" s="1127">
        <v>0.77</v>
      </c>
      <c r="K1785" s="1124"/>
    </row>
    <row r="1786" ht="15.75" customHeight="1">
      <c r="A1786" s="1119">
        <v>102142.0</v>
      </c>
      <c r="B1786" s="1125" t="s">
        <v>12064</v>
      </c>
      <c r="C1786" s="1126" t="s">
        <v>1788</v>
      </c>
      <c r="D1786" s="1128">
        <v>2292.24</v>
      </c>
      <c r="E1786" s="1120">
        <v>450.97</v>
      </c>
      <c r="F1786" s="1121">
        <f t="shared" si="1"/>
        <v>1841.3</v>
      </c>
      <c r="G1786" s="1120">
        <v>1770.3</v>
      </c>
      <c r="H1786" s="1127">
        <v>70.24</v>
      </c>
      <c r="I1786" s="1127">
        <v>0.0</v>
      </c>
      <c r="J1786" s="1127">
        <v>0.76</v>
      </c>
      <c r="K1786" s="1124"/>
    </row>
    <row r="1787" ht="15.75" customHeight="1">
      <c r="A1787" s="1119">
        <v>102457.0</v>
      </c>
      <c r="B1787" s="1125" t="s">
        <v>12065</v>
      </c>
      <c r="C1787" s="1126" t="s">
        <v>1788</v>
      </c>
      <c r="D1787" s="1128">
        <v>1475.11</v>
      </c>
      <c r="E1787" s="1120">
        <v>295.6</v>
      </c>
      <c r="F1787" s="1121">
        <f t="shared" si="1"/>
        <v>1179.58</v>
      </c>
      <c r="G1787" s="1120">
        <v>1132.33</v>
      </c>
      <c r="H1787" s="1127">
        <v>46.78</v>
      </c>
      <c r="I1787" s="1127">
        <v>0.0</v>
      </c>
      <c r="J1787" s="1127">
        <v>0.47</v>
      </c>
      <c r="K1787" s="1124"/>
    </row>
    <row r="1788" ht="15.75" customHeight="1">
      <c r="A1788" s="1119">
        <v>94263.0</v>
      </c>
      <c r="B1788" s="1125" t="s">
        <v>12066</v>
      </c>
      <c r="C1788" s="1126" t="s">
        <v>1731</v>
      </c>
      <c r="D1788" s="1119">
        <v>35.34</v>
      </c>
      <c r="E1788" s="1120">
        <v>15.09</v>
      </c>
      <c r="F1788" s="1121">
        <f t="shared" si="1"/>
        <v>20.25</v>
      </c>
      <c r="G1788" s="1120">
        <v>19.79</v>
      </c>
      <c r="H1788" s="1127">
        <v>0.46</v>
      </c>
      <c r="I1788" s="1127">
        <v>0.0</v>
      </c>
      <c r="J1788" s="1127">
        <v>0.0</v>
      </c>
      <c r="K1788" s="1124"/>
    </row>
    <row r="1789" ht="15.75" customHeight="1">
      <c r="A1789" s="1119">
        <v>94264.0</v>
      </c>
      <c r="B1789" s="1125" t="s">
        <v>12067</v>
      </c>
      <c r="C1789" s="1126" t="s">
        <v>1731</v>
      </c>
      <c r="D1789" s="1119">
        <v>39.65</v>
      </c>
      <c r="E1789" s="1120">
        <v>18.0</v>
      </c>
      <c r="F1789" s="1121">
        <f t="shared" si="1"/>
        <v>21.66</v>
      </c>
      <c r="G1789" s="1120">
        <v>20.96</v>
      </c>
      <c r="H1789" s="1127">
        <v>0.7</v>
      </c>
      <c r="I1789" s="1127">
        <v>0.0</v>
      </c>
      <c r="J1789" s="1127">
        <v>0.0</v>
      </c>
      <c r="K1789" s="1124"/>
    </row>
    <row r="1790" ht="15.75" customHeight="1">
      <c r="A1790" s="1119">
        <v>94265.0</v>
      </c>
      <c r="B1790" s="1125" t="s">
        <v>12068</v>
      </c>
      <c r="C1790" s="1126" t="s">
        <v>1731</v>
      </c>
      <c r="D1790" s="1119">
        <v>44.95</v>
      </c>
      <c r="E1790" s="1120">
        <v>16.07</v>
      </c>
      <c r="F1790" s="1121">
        <f t="shared" si="1"/>
        <v>28.9</v>
      </c>
      <c r="G1790" s="1120">
        <v>28.35</v>
      </c>
      <c r="H1790" s="1127">
        <v>0.55</v>
      </c>
      <c r="I1790" s="1127">
        <v>0.0</v>
      </c>
      <c r="J1790" s="1127">
        <v>0.0</v>
      </c>
      <c r="K1790" s="1124"/>
    </row>
    <row r="1791" ht="15.75" customHeight="1">
      <c r="A1791" s="1119">
        <v>94266.0</v>
      </c>
      <c r="B1791" s="1125" t="s">
        <v>12069</v>
      </c>
      <c r="C1791" s="1126" t="s">
        <v>1731</v>
      </c>
      <c r="D1791" s="1119">
        <v>49.87</v>
      </c>
      <c r="E1791" s="1120">
        <v>19.4</v>
      </c>
      <c r="F1791" s="1121">
        <f t="shared" si="1"/>
        <v>30.49</v>
      </c>
      <c r="G1791" s="1120">
        <v>29.7</v>
      </c>
      <c r="H1791" s="1127">
        <v>0.79</v>
      </c>
      <c r="I1791" s="1127">
        <v>0.0</v>
      </c>
      <c r="J1791" s="1127">
        <v>0.0</v>
      </c>
      <c r="K1791" s="1124"/>
    </row>
    <row r="1792" ht="15.75" customHeight="1">
      <c r="A1792" s="1119">
        <v>94267.0</v>
      </c>
      <c r="B1792" s="1125" t="s">
        <v>12070</v>
      </c>
      <c r="C1792" s="1126" t="s">
        <v>1731</v>
      </c>
      <c r="D1792" s="1119">
        <v>52.88</v>
      </c>
      <c r="E1792" s="1120">
        <v>17.0</v>
      </c>
      <c r="F1792" s="1121">
        <f t="shared" si="1"/>
        <v>35.88</v>
      </c>
      <c r="G1792" s="1120">
        <v>35.3</v>
      </c>
      <c r="H1792" s="1127">
        <v>0.58</v>
      </c>
      <c r="I1792" s="1127">
        <v>0.0</v>
      </c>
      <c r="J1792" s="1127">
        <v>0.0</v>
      </c>
      <c r="K1792" s="1124"/>
    </row>
    <row r="1793" ht="15.75" customHeight="1">
      <c r="A1793" s="1119">
        <v>94268.0</v>
      </c>
      <c r="B1793" s="1125" t="s">
        <v>12071</v>
      </c>
      <c r="C1793" s="1126" t="s">
        <v>1731</v>
      </c>
      <c r="D1793" s="1119">
        <v>58.29</v>
      </c>
      <c r="E1793" s="1120">
        <v>20.64</v>
      </c>
      <c r="F1793" s="1121">
        <f t="shared" si="1"/>
        <v>37.67</v>
      </c>
      <c r="G1793" s="1120">
        <v>36.81</v>
      </c>
      <c r="H1793" s="1127">
        <v>0.86</v>
      </c>
      <c r="I1793" s="1127">
        <v>0.0</v>
      </c>
      <c r="J1793" s="1127">
        <v>0.0</v>
      </c>
      <c r="K1793" s="1124"/>
    </row>
    <row r="1794" ht="15.75" customHeight="1">
      <c r="A1794" s="1119">
        <v>94269.0</v>
      </c>
      <c r="B1794" s="1125" t="s">
        <v>12072</v>
      </c>
      <c r="C1794" s="1126" t="s">
        <v>1731</v>
      </c>
      <c r="D1794" s="1119">
        <v>74.02</v>
      </c>
      <c r="E1794" s="1120">
        <v>20.45</v>
      </c>
      <c r="F1794" s="1121">
        <f t="shared" si="1"/>
        <v>53.56</v>
      </c>
      <c r="G1794" s="1120">
        <v>52.73</v>
      </c>
      <c r="H1794" s="1127">
        <v>0.83</v>
      </c>
      <c r="I1794" s="1127">
        <v>0.0</v>
      </c>
      <c r="J1794" s="1127">
        <v>0.0</v>
      </c>
      <c r="K1794" s="1124"/>
    </row>
    <row r="1795" ht="15.75" customHeight="1">
      <c r="A1795" s="1119">
        <v>94270.0</v>
      </c>
      <c r="B1795" s="1125" t="s">
        <v>12073</v>
      </c>
      <c r="C1795" s="1126" t="s">
        <v>1731</v>
      </c>
      <c r="D1795" s="1119">
        <v>81.6</v>
      </c>
      <c r="E1795" s="1120">
        <v>25.58</v>
      </c>
      <c r="F1795" s="1121">
        <f t="shared" si="1"/>
        <v>56.04</v>
      </c>
      <c r="G1795" s="1120">
        <v>54.83</v>
      </c>
      <c r="H1795" s="1127">
        <v>1.21</v>
      </c>
      <c r="I1795" s="1127">
        <v>0.0</v>
      </c>
      <c r="J1795" s="1127">
        <v>0.0</v>
      </c>
      <c r="K1795" s="1124"/>
    </row>
    <row r="1796" ht="15.75" customHeight="1">
      <c r="A1796" s="1119">
        <v>94271.0</v>
      </c>
      <c r="B1796" s="1125" t="s">
        <v>12074</v>
      </c>
      <c r="C1796" s="1126" t="s">
        <v>1731</v>
      </c>
      <c r="D1796" s="1119">
        <v>90.02</v>
      </c>
      <c r="E1796" s="1120">
        <v>24.59</v>
      </c>
      <c r="F1796" s="1121">
        <f t="shared" si="1"/>
        <v>65.44</v>
      </c>
      <c r="G1796" s="1120">
        <v>64.32</v>
      </c>
      <c r="H1796" s="1127">
        <v>1.12</v>
      </c>
      <c r="I1796" s="1127">
        <v>0.0</v>
      </c>
      <c r="J1796" s="1127">
        <v>0.0</v>
      </c>
      <c r="K1796" s="1124"/>
    </row>
    <row r="1797" ht="15.75" customHeight="1">
      <c r="A1797" s="1119">
        <v>94272.0</v>
      </c>
      <c r="B1797" s="1125" t="s">
        <v>12075</v>
      </c>
      <c r="C1797" s="1126" t="s">
        <v>1731</v>
      </c>
      <c r="D1797" s="1119">
        <v>100.13</v>
      </c>
      <c r="E1797" s="1120">
        <v>31.41</v>
      </c>
      <c r="F1797" s="1121">
        <f t="shared" si="1"/>
        <v>68.71</v>
      </c>
      <c r="G1797" s="1120">
        <v>67.1</v>
      </c>
      <c r="H1797" s="1127">
        <v>1.61</v>
      </c>
      <c r="I1797" s="1127">
        <v>0.0</v>
      </c>
      <c r="J1797" s="1127">
        <v>0.0</v>
      </c>
      <c r="K1797" s="1124"/>
    </row>
    <row r="1798" ht="15.75" customHeight="1">
      <c r="A1798" s="1119">
        <v>94273.0</v>
      </c>
      <c r="B1798" s="1125" t="s">
        <v>12076</v>
      </c>
      <c r="C1798" s="1126" t="s">
        <v>1731</v>
      </c>
      <c r="D1798" s="1119">
        <v>47.17</v>
      </c>
      <c r="E1798" s="1120">
        <v>16.89</v>
      </c>
      <c r="F1798" s="1121">
        <f t="shared" si="1"/>
        <v>30.27</v>
      </c>
      <c r="G1798" s="1120">
        <v>30.27</v>
      </c>
      <c r="H1798" s="1127">
        <v>0.0</v>
      </c>
      <c r="I1798" s="1127">
        <v>0.0</v>
      </c>
      <c r="J1798" s="1127">
        <v>0.0</v>
      </c>
      <c r="K1798" s="1124"/>
    </row>
    <row r="1799" ht="15.75" customHeight="1">
      <c r="A1799" s="1119">
        <v>94274.0</v>
      </c>
      <c r="B1799" s="1125" t="s">
        <v>12077</v>
      </c>
      <c r="C1799" s="1126" t="s">
        <v>1731</v>
      </c>
      <c r="D1799" s="1119">
        <v>52.31</v>
      </c>
      <c r="E1799" s="1120">
        <v>20.63</v>
      </c>
      <c r="F1799" s="1121">
        <f t="shared" si="1"/>
        <v>31.66</v>
      </c>
      <c r="G1799" s="1120">
        <v>31.66</v>
      </c>
      <c r="H1799" s="1127">
        <v>0.0</v>
      </c>
      <c r="I1799" s="1127">
        <v>0.0</v>
      </c>
      <c r="J1799" s="1127">
        <v>0.0</v>
      </c>
      <c r="K1799" s="1124"/>
    </row>
    <row r="1800" ht="15.75" customHeight="1">
      <c r="A1800" s="1119">
        <v>94275.0</v>
      </c>
      <c r="B1800" s="1125" t="s">
        <v>12078</v>
      </c>
      <c r="C1800" s="1126" t="s">
        <v>1731</v>
      </c>
      <c r="D1800" s="1119">
        <v>42.42</v>
      </c>
      <c r="E1800" s="1120">
        <v>15.31</v>
      </c>
      <c r="F1800" s="1121">
        <f t="shared" si="1"/>
        <v>27.11</v>
      </c>
      <c r="G1800" s="1120">
        <v>27.11</v>
      </c>
      <c r="H1800" s="1127">
        <v>0.0</v>
      </c>
      <c r="I1800" s="1127">
        <v>0.0</v>
      </c>
      <c r="J1800" s="1127">
        <v>0.0</v>
      </c>
      <c r="K1800" s="1124"/>
    </row>
    <row r="1801" ht="15.75" customHeight="1">
      <c r="A1801" s="1119">
        <v>94276.0</v>
      </c>
      <c r="B1801" s="1125" t="s">
        <v>12079</v>
      </c>
      <c r="C1801" s="1126" t="s">
        <v>1731</v>
      </c>
      <c r="D1801" s="1119">
        <v>47.55</v>
      </c>
      <c r="E1801" s="1120">
        <v>19.06</v>
      </c>
      <c r="F1801" s="1121">
        <f t="shared" si="1"/>
        <v>28.49</v>
      </c>
      <c r="G1801" s="1120">
        <v>28.49</v>
      </c>
      <c r="H1801" s="1127">
        <v>0.0</v>
      </c>
      <c r="I1801" s="1127">
        <v>0.0</v>
      </c>
      <c r="J1801" s="1127">
        <v>0.0</v>
      </c>
      <c r="K1801" s="1124"/>
    </row>
    <row r="1802" ht="15.75" customHeight="1">
      <c r="A1802" s="1119">
        <v>94277.0</v>
      </c>
      <c r="B1802" s="1125" t="s">
        <v>12080</v>
      </c>
      <c r="C1802" s="1126" t="s">
        <v>1731</v>
      </c>
      <c r="D1802" s="1119">
        <v>37.86</v>
      </c>
      <c r="E1802" s="1120">
        <v>14.14</v>
      </c>
      <c r="F1802" s="1121">
        <f t="shared" si="1"/>
        <v>23.71</v>
      </c>
      <c r="G1802" s="1120">
        <v>23.71</v>
      </c>
      <c r="H1802" s="1127">
        <v>0.0</v>
      </c>
      <c r="I1802" s="1127">
        <v>0.0</v>
      </c>
      <c r="J1802" s="1127">
        <v>0.0</v>
      </c>
      <c r="K1802" s="1124"/>
    </row>
    <row r="1803" ht="15.75" customHeight="1">
      <c r="A1803" s="1119">
        <v>94278.0</v>
      </c>
      <c r="B1803" s="1125" t="s">
        <v>12081</v>
      </c>
      <c r="C1803" s="1126" t="s">
        <v>1731</v>
      </c>
      <c r="D1803" s="1119">
        <v>43.0</v>
      </c>
      <c r="E1803" s="1120">
        <v>17.89</v>
      </c>
      <c r="F1803" s="1121">
        <f t="shared" si="1"/>
        <v>25.11</v>
      </c>
      <c r="G1803" s="1120">
        <v>25.11</v>
      </c>
      <c r="H1803" s="1127">
        <v>0.0</v>
      </c>
      <c r="I1803" s="1127">
        <v>0.0</v>
      </c>
      <c r="J1803" s="1127">
        <v>0.0</v>
      </c>
      <c r="K1803" s="1124"/>
    </row>
    <row r="1804" ht="15.75" customHeight="1">
      <c r="A1804" s="1119">
        <v>94279.0</v>
      </c>
      <c r="B1804" s="1125" t="s">
        <v>12082</v>
      </c>
      <c r="C1804" s="1126" t="s">
        <v>1731</v>
      </c>
      <c r="D1804" s="1119">
        <v>41.71</v>
      </c>
      <c r="E1804" s="1120">
        <v>13.0</v>
      </c>
      <c r="F1804" s="1121">
        <f t="shared" si="1"/>
        <v>28.71</v>
      </c>
      <c r="G1804" s="1120">
        <v>28.71</v>
      </c>
      <c r="H1804" s="1127">
        <v>0.0</v>
      </c>
      <c r="I1804" s="1127">
        <v>0.0</v>
      </c>
      <c r="J1804" s="1127">
        <v>0.0</v>
      </c>
      <c r="K1804" s="1124"/>
    </row>
    <row r="1805" ht="15.75" customHeight="1">
      <c r="A1805" s="1119">
        <v>94280.0</v>
      </c>
      <c r="B1805" s="1125" t="s">
        <v>12083</v>
      </c>
      <c r="C1805" s="1126" t="s">
        <v>1731</v>
      </c>
      <c r="D1805" s="1119">
        <v>46.84</v>
      </c>
      <c r="E1805" s="1120">
        <v>16.74</v>
      </c>
      <c r="F1805" s="1121">
        <f t="shared" si="1"/>
        <v>30.09</v>
      </c>
      <c r="G1805" s="1120">
        <v>30.09</v>
      </c>
      <c r="H1805" s="1127">
        <v>0.0</v>
      </c>
      <c r="I1805" s="1127">
        <v>0.0</v>
      </c>
      <c r="J1805" s="1127">
        <v>0.0</v>
      </c>
      <c r="K1805" s="1124"/>
    </row>
    <row r="1806" ht="15.75" customHeight="1">
      <c r="A1806" s="1119">
        <v>94281.0</v>
      </c>
      <c r="B1806" s="1125" t="s">
        <v>12084</v>
      </c>
      <c r="C1806" s="1126" t="s">
        <v>1731</v>
      </c>
      <c r="D1806" s="1119">
        <v>57.8</v>
      </c>
      <c r="E1806" s="1120">
        <v>20.97</v>
      </c>
      <c r="F1806" s="1121">
        <f t="shared" si="1"/>
        <v>36.85</v>
      </c>
      <c r="G1806" s="1120">
        <v>36.85</v>
      </c>
      <c r="H1806" s="1127">
        <v>0.0</v>
      </c>
      <c r="I1806" s="1127">
        <v>0.0</v>
      </c>
      <c r="J1806" s="1127">
        <v>0.0</v>
      </c>
      <c r="K1806" s="1124"/>
    </row>
    <row r="1807" ht="15.75" customHeight="1">
      <c r="A1807" s="1119">
        <v>94282.0</v>
      </c>
      <c r="B1807" s="1125" t="s">
        <v>12085</v>
      </c>
      <c r="C1807" s="1126" t="s">
        <v>1731</v>
      </c>
      <c r="D1807" s="1119">
        <v>73.44</v>
      </c>
      <c r="E1807" s="1120">
        <v>32.38</v>
      </c>
      <c r="F1807" s="1121">
        <f t="shared" si="1"/>
        <v>41.06</v>
      </c>
      <c r="G1807" s="1120">
        <v>41.06</v>
      </c>
      <c r="H1807" s="1127">
        <v>0.0</v>
      </c>
      <c r="I1807" s="1127">
        <v>0.0</v>
      </c>
      <c r="J1807" s="1127">
        <v>0.0</v>
      </c>
      <c r="K1807" s="1124"/>
    </row>
    <row r="1808" ht="15.75" customHeight="1">
      <c r="A1808" s="1119">
        <v>94283.0</v>
      </c>
      <c r="B1808" s="1125" t="s">
        <v>12086</v>
      </c>
      <c r="C1808" s="1126" t="s">
        <v>1731</v>
      </c>
      <c r="D1808" s="1119">
        <v>72.35</v>
      </c>
      <c r="E1808" s="1120">
        <v>22.87</v>
      </c>
      <c r="F1808" s="1121">
        <f t="shared" si="1"/>
        <v>49.48</v>
      </c>
      <c r="G1808" s="1120">
        <v>49.48</v>
      </c>
      <c r="H1808" s="1127">
        <v>0.0</v>
      </c>
      <c r="I1808" s="1127">
        <v>0.0</v>
      </c>
      <c r="J1808" s="1127">
        <v>0.0</v>
      </c>
      <c r="K1808" s="1124"/>
    </row>
    <row r="1809" ht="15.75" customHeight="1">
      <c r="A1809" s="1119">
        <v>94284.0</v>
      </c>
      <c r="B1809" s="1125" t="s">
        <v>12087</v>
      </c>
      <c r="C1809" s="1126" t="s">
        <v>1731</v>
      </c>
      <c r="D1809" s="1119">
        <v>87.97</v>
      </c>
      <c r="E1809" s="1120">
        <v>34.27</v>
      </c>
      <c r="F1809" s="1121">
        <f t="shared" si="1"/>
        <v>53.7</v>
      </c>
      <c r="G1809" s="1120">
        <v>53.7</v>
      </c>
      <c r="H1809" s="1127">
        <v>0.0</v>
      </c>
      <c r="I1809" s="1127">
        <v>0.0</v>
      </c>
      <c r="J1809" s="1127">
        <v>0.0</v>
      </c>
      <c r="K1809" s="1124"/>
    </row>
    <row r="1810" ht="15.75" customHeight="1">
      <c r="A1810" s="1119">
        <v>94285.0</v>
      </c>
      <c r="B1810" s="1125" t="s">
        <v>12088</v>
      </c>
      <c r="C1810" s="1126" t="s">
        <v>1731</v>
      </c>
      <c r="D1810" s="1119">
        <v>86.13</v>
      </c>
      <c r="E1810" s="1120">
        <v>24.2</v>
      </c>
      <c r="F1810" s="1121">
        <f t="shared" si="1"/>
        <v>61.93</v>
      </c>
      <c r="G1810" s="1120">
        <v>61.93</v>
      </c>
      <c r="H1810" s="1127">
        <v>0.0</v>
      </c>
      <c r="I1810" s="1127">
        <v>0.0</v>
      </c>
      <c r="J1810" s="1127">
        <v>0.0</v>
      </c>
      <c r="K1810" s="1124"/>
    </row>
    <row r="1811" ht="15.75" customHeight="1">
      <c r="A1811" s="1119">
        <v>94286.0</v>
      </c>
      <c r="B1811" s="1125" t="s">
        <v>12089</v>
      </c>
      <c r="C1811" s="1126" t="s">
        <v>1731</v>
      </c>
      <c r="D1811" s="1119">
        <v>101.76</v>
      </c>
      <c r="E1811" s="1120">
        <v>35.63</v>
      </c>
      <c r="F1811" s="1121">
        <f t="shared" si="1"/>
        <v>66.14</v>
      </c>
      <c r="G1811" s="1120">
        <v>66.14</v>
      </c>
      <c r="H1811" s="1127">
        <v>0.0</v>
      </c>
      <c r="I1811" s="1127">
        <v>0.0</v>
      </c>
      <c r="J1811" s="1127">
        <v>0.0</v>
      </c>
      <c r="K1811" s="1124"/>
    </row>
    <row r="1812" ht="15.75" customHeight="1">
      <c r="A1812" s="1119">
        <v>94287.0</v>
      </c>
      <c r="B1812" s="1125" t="s">
        <v>12090</v>
      </c>
      <c r="C1812" s="1126" t="s">
        <v>1731</v>
      </c>
      <c r="D1812" s="1119">
        <v>45.93</v>
      </c>
      <c r="E1812" s="1120">
        <v>19.11</v>
      </c>
      <c r="F1812" s="1121">
        <f t="shared" si="1"/>
        <v>26.83</v>
      </c>
      <c r="G1812" s="1120">
        <v>26.83</v>
      </c>
      <c r="H1812" s="1127">
        <v>0.0</v>
      </c>
      <c r="I1812" s="1127">
        <v>0.0</v>
      </c>
      <c r="J1812" s="1127">
        <v>0.0</v>
      </c>
      <c r="K1812" s="1124"/>
    </row>
    <row r="1813" ht="15.75" customHeight="1">
      <c r="A1813" s="1119">
        <v>94288.0</v>
      </c>
      <c r="B1813" s="1125" t="s">
        <v>12091</v>
      </c>
      <c r="C1813" s="1126" t="s">
        <v>1731</v>
      </c>
      <c r="D1813" s="1119">
        <v>59.6</v>
      </c>
      <c r="E1813" s="1120">
        <v>29.11</v>
      </c>
      <c r="F1813" s="1121">
        <f t="shared" si="1"/>
        <v>30.49</v>
      </c>
      <c r="G1813" s="1120">
        <v>30.49</v>
      </c>
      <c r="H1813" s="1127">
        <v>0.0</v>
      </c>
      <c r="I1813" s="1127">
        <v>0.0</v>
      </c>
      <c r="J1813" s="1127">
        <v>0.0</v>
      </c>
      <c r="K1813" s="1124"/>
    </row>
    <row r="1814" ht="15.75" customHeight="1">
      <c r="A1814" s="1119">
        <v>94289.0</v>
      </c>
      <c r="B1814" s="1125" t="s">
        <v>12092</v>
      </c>
      <c r="C1814" s="1126" t="s">
        <v>1731</v>
      </c>
      <c r="D1814" s="1119">
        <v>56.52</v>
      </c>
      <c r="E1814" s="1120">
        <v>20.8</v>
      </c>
      <c r="F1814" s="1121">
        <f t="shared" si="1"/>
        <v>35.74</v>
      </c>
      <c r="G1814" s="1120">
        <v>35.74</v>
      </c>
      <c r="H1814" s="1127">
        <v>0.0</v>
      </c>
      <c r="I1814" s="1127">
        <v>0.0</v>
      </c>
      <c r="J1814" s="1127">
        <v>0.0</v>
      </c>
      <c r="K1814" s="1124"/>
    </row>
    <row r="1815" ht="15.75" customHeight="1">
      <c r="A1815" s="1119">
        <v>94290.0</v>
      </c>
      <c r="B1815" s="1125" t="s">
        <v>12093</v>
      </c>
      <c r="C1815" s="1126" t="s">
        <v>1731</v>
      </c>
      <c r="D1815" s="1119">
        <v>70.2</v>
      </c>
      <c r="E1815" s="1120">
        <v>30.78</v>
      </c>
      <c r="F1815" s="1121">
        <f t="shared" si="1"/>
        <v>39.42</v>
      </c>
      <c r="G1815" s="1120">
        <v>39.42</v>
      </c>
      <c r="H1815" s="1127">
        <v>0.0</v>
      </c>
      <c r="I1815" s="1127">
        <v>0.0</v>
      </c>
      <c r="J1815" s="1127">
        <v>0.0</v>
      </c>
      <c r="K1815" s="1124"/>
    </row>
    <row r="1816" ht="15.75" customHeight="1">
      <c r="A1816" s="1119">
        <v>94291.0</v>
      </c>
      <c r="B1816" s="1125" t="s">
        <v>12094</v>
      </c>
      <c r="C1816" s="1126" t="s">
        <v>1731</v>
      </c>
      <c r="D1816" s="1119">
        <v>66.42</v>
      </c>
      <c r="E1816" s="1120">
        <v>21.98</v>
      </c>
      <c r="F1816" s="1121">
        <f t="shared" si="1"/>
        <v>44.43</v>
      </c>
      <c r="G1816" s="1120">
        <v>44.43</v>
      </c>
      <c r="H1816" s="1127">
        <v>0.0</v>
      </c>
      <c r="I1816" s="1127">
        <v>0.0</v>
      </c>
      <c r="J1816" s="1127">
        <v>0.0</v>
      </c>
      <c r="K1816" s="1124"/>
    </row>
    <row r="1817" ht="15.75" customHeight="1">
      <c r="A1817" s="1119">
        <v>94292.0</v>
      </c>
      <c r="B1817" s="1125" t="s">
        <v>12095</v>
      </c>
      <c r="C1817" s="1126" t="s">
        <v>1731</v>
      </c>
      <c r="D1817" s="1119">
        <v>80.08</v>
      </c>
      <c r="E1817" s="1120">
        <v>31.96</v>
      </c>
      <c r="F1817" s="1121">
        <f t="shared" si="1"/>
        <v>48.13</v>
      </c>
      <c r="G1817" s="1120">
        <v>48.13</v>
      </c>
      <c r="H1817" s="1127">
        <v>0.0</v>
      </c>
      <c r="I1817" s="1127">
        <v>0.0</v>
      </c>
      <c r="J1817" s="1127">
        <v>0.0</v>
      </c>
      <c r="K1817" s="1124"/>
    </row>
    <row r="1818" ht="15.75" customHeight="1">
      <c r="A1818" s="1119">
        <v>94293.0</v>
      </c>
      <c r="B1818" s="1125" t="s">
        <v>12096</v>
      </c>
      <c r="C1818" s="1126" t="s">
        <v>1731</v>
      </c>
      <c r="D1818" s="1119">
        <v>167.71</v>
      </c>
      <c r="E1818" s="1120">
        <v>35.02</v>
      </c>
      <c r="F1818" s="1121">
        <f t="shared" si="1"/>
        <v>132.69</v>
      </c>
      <c r="G1818" s="1120">
        <v>132.69</v>
      </c>
      <c r="H1818" s="1127">
        <v>0.0</v>
      </c>
      <c r="I1818" s="1127">
        <v>0.0</v>
      </c>
      <c r="J1818" s="1127">
        <v>0.0</v>
      </c>
      <c r="K1818" s="1124"/>
    </row>
    <row r="1819" ht="15.75" customHeight="1">
      <c r="A1819" s="1119">
        <v>94294.0</v>
      </c>
      <c r="B1819" s="1125" t="s">
        <v>12097</v>
      </c>
      <c r="C1819" s="1126" t="s">
        <v>1731</v>
      </c>
      <c r="D1819" s="1119">
        <v>9.23</v>
      </c>
      <c r="E1819" s="1120">
        <v>2.96</v>
      </c>
      <c r="F1819" s="1121">
        <f t="shared" si="1"/>
        <v>6.27</v>
      </c>
      <c r="G1819" s="1120">
        <v>6.23</v>
      </c>
      <c r="H1819" s="1127">
        <v>0.03</v>
      </c>
      <c r="I1819" s="1127">
        <v>0.0</v>
      </c>
      <c r="J1819" s="1127">
        <v>0.01</v>
      </c>
      <c r="K1819" s="1124"/>
    </row>
    <row r="1820" ht="15.75" customHeight="1">
      <c r="A1820" s="1119">
        <v>104491.0</v>
      </c>
      <c r="B1820" s="1125" t="s">
        <v>12098</v>
      </c>
      <c r="C1820" s="1126" t="s">
        <v>1731</v>
      </c>
      <c r="D1820" s="1128">
        <v>2792.42</v>
      </c>
      <c r="E1820" s="1120">
        <v>59.37</v>
      </c>
      <c r="F1820" s="1121">
        <f t="shared" si="1"/>
        <v>2733.02</v>
      </c>
      <c r="G1820" s="1120">
        <v>2702.39</v>
      </c>
      <c r="H1820" s="1127">
        <v>30.63</v>
      </c>
      <c r="I1820" s="1127">
        <v>0.0</v>
      </c>
      <c r="J1820" s="1127">
        <v>0.0</v>
      </c>
      <c r="K1820" s="1124"/>
    </row>
    <row r="1821" ht="15.75" customHeight="1">
      <c r="A1821" s="1119">
        <v>104492.0</v>
      </c>
      <c r="B1821" s="1125" t="s">
        <v>12099</v>
      </c>
      <c r="C1821" s="1126" t="s">
        <v>1731</v>
      </c>
      <c r="D1821" s="1128">
        <v>3489.03</v>
      </c>
      <c r="E1821" s="1120">
        <v>73.07</v>
      </c>
      <c r="F1821" s="1121">
        <f t="shared" si="1"/>
        <v>3415.98</v>
      </c>
      <c r="G1821" s="1120">
        <v>3383.7</v>
      </c>
      <c r="H1821" s="1127">
        <v>32.28</v>
      </c>
      <c r="I1821" s="1127">
        <v>0.0</v>
      </c>
      <c r="J1821" s="1127">
        <v>0.0</v>
      </c>
      <c r="K1821" s="1124"/>
    </row>
    <row r="1822" ht="15.75" customHeight="1">
      <c r="A1822" s="1119">
        <v>104494.0</v>
      </c>
      <c r="B1822" s="1125" t="s">
        <v>12100</v>
      </c>
      <c r="C1822" s="1126" t="s">
        <v>1731</v>
      </c>
      <c r="D1822" s="1128">
        <v>4703.31</v>
      </c>
      <c r="E1822" s="1120">
        <v>86.03</v>
      </c>
      <c r="F1822" s="1121">
        <f t="shared" si="1"/>
        <v>4617.27</v>
      </c>
      <c r="G1822" s="1120">
        <v>4579.14</v>
      </c>
      <c r="H1822" s="1127">
        <v>38.13</v>
      </c>
      <c r="I1822" s="1127">
        <v>0.0</v>
      </c>
      <c r="J1822" s="1127">
        <v>0.0</v>
      </c>
      <c r="K1822" s="1124"/>
    </row>
    <row r="1823" ht="15.75" customHeight="1">
      <c r="A1823" s="1119">
        <v>104497.0</v>
      </c>
      <c r="B1823" s="1125" t="s">
        <v>12101</v>
      </c>
      <c r="C1823" s="1126" t="s">
        <v>1731</v>
      </c>
      <c r="D1823" s="1128">
        <v>5677.33</v>
      </c>
      <c r="E1823" s="1120">
        <v>131.62</v>
      </c>
      <c r="F1823" s="1121">
        <f t="shared" si="1"/>
        <v>5545.72</v>
      </c>
      <c r="G1823" s="1120">
        <v>5421.64</v>
      </c>
      <c r="H1823" s="1127">
        <v>122.69</v>
      </c>
      <c r="I1823" s="1127">
        <v>0.0</v>
      </c>
      <c r="J1823" s="1127">
        <v>1.39</v>
      </c>
      <c r="K1823" s="1124"/>
    </row>
    <row r="1824" ht="15.75" customHeight="1">
      <c r="A1824" s="1119">
        <v>104515.0</v>
      </c>
      <c r="B1824" s="1125" t="s">
        <v>12102</v>
      </c>
      <c r="C1824" s="1126" t="s">
        <v>1814</v>
      </c>
      <c r="D1824" s="1119">
        <v>25.91</v>
      </c>
      <c r="E1824" s="1120">
        <v>0.35</v>
      </c>
      <c r="F1824" s="1121">
        <f t="shared" si="1"/>
        <v>25.58</v>
      </c>
      <c r="G1824" s="1120">
        <v>25.58</v>
      </c>
      <c r="H1824" s="1127">
        <v>0.0</v>
      </c>
      <c r="I1824" s="1127">
        <v>0.0</v>
      </c>
      <c r="J1824" s="1127">
        <v>0.0</v>
      </c>
      <c r="K1824" s="1124"/>
    </row>
    <row r="1825" ht="15.75" customHeight="1">
      <c r="A1825" s="1119">
        <v>102727.0</v>
      </c>
      <c r="B1825" s="1125" t="s">
        <v>12103</v>
      </c>
      <c r="C1825" s="1126" t="s">
        <v>1814</v>
      </c>
      <c r="D1825" s="1119">
        <v>96.59</v>
      </c>
      <c r="E1825" s="1120">
        <v>40.2</v>
      </c>
      <c r="F1825" s="1121">
        <f t="shared" si="1"/>
        <v>56.4</v>
      </c>
      <c r="G1825" s="1120">
        <v>50.28</v>
      </c>
      <c r="H1825" s="1127">
        <v>6.12</v>
      </c>
      <c r="I1825" s="1127">
        <v>0.0</v>
      </c>
      <c r="J1825" s="1127">
        <v>0.0</v>
      </c>
      <c r="K1825" s="1124"/>
    </row>
    <row r="1826" ht="15.75" customHeight="1">
      <c r="A1826" s="1119">
        <v>102728.0</v>
      </c>
      <c r="B1826" s="1125" t="s">
        <v>12104</v>
      </c>
      <c r="C1826" s="1126" t="s">
        <v>3606</v>
      </c>
      <c r="D1826" s="1119">
        <v>15.46</v>
      </c>
      <c r="E1826" s="1120">
        <v>4.12</v>
      </c>
      <c r="F1826" s="1121">
        <f t="shared" si="1"/>
        <v>11.33</v>
      </c>
      <c r="G1826" s="1120">
        <v>11.33</v>
      </c>
      <c r="H1826" s="1127">
        <v>0.0</v>
      </c>
      <c r="I1826" s="1127">
        <v>0.0</v>
      </c>
      <c r="J1826" s="1127">
        <v>0.0</v>
      </c>
      <c r="K1826" s="1124"/>
    </row>
    <row r="1827" ht="15.75" customHeight="1">
      <c r="A1827" s="1119">
        <v>102729.0</v>
      </c>
      <c r="B1827" s="1125" t="s">
        <v>12105</v>
      </c>
      <c r="C1827" s="1126" t="s">
        <v>3606</v>
      </c>
      <c r="D1827" s="1119">
        <v>14.14</v>
      </c>
      <c r="E1827" s="1120">
        <v>2.89</v>
      </c>
      <c r="F1827" s="1121">
        <f t="shared" si="1"/>
        <v>11.27</v>
      </c>
      <c r="G1827" s="1120">
        <v>11.27</v>
      </c>
      <c r="H1827" s="1127">
        <v>0.0</v>
      </c>
      <c r="I1827" s="1127">
        <v>0.0</v>
      </c>
      <c r="J1827" s="1127">
        <v>0.0</v>
      </c>
      <c r="K1827" s="1124"/>
    </row>
    <row r="1828" ht="15.75" customHeight="1">
      <c r="A1828" s="1119">
        <v>102730.0</v>
      </c>
      <c r="B1828" s="1125" t="s">
        <v>12106</v>
      </c>
      <c r="C1828" s="1126" t="s">
        <v>3606</v>
      </c>
      <c r="D1828" s="1119">
        <v>12.46</v>
      </c>
      <c r="E1828" s="1120">
        <v>2.05</v>
      </c>
      <c r="F1828" s="1121">
        <f t="shared" si="1"/>
        <v>10.39</v>
      </c>
      <c r="G1828" s="1120">
        <v>10.39</v>
      </c>
      <c r="H1828" s="1127">
        <v>0.0</v>
      </c>
      <c r="I1828" s="1127">
        <v>0.0</v>
      </c>
      <c r="J1828" s="1127">
        <v>0.0</v>
      </c>
      <c r="K1828" s="1124"/>
    </row>
    <row r="1829" ht="15.75" customHeight="1">
      <c r="A1829" s="1119">
        <v>102731.0</v>
      </c>
      <c r="B1829" s="1125" t="s">
        <v>12107</v>
      </c>
      <c r="C1829" s="1126" t="s">
        <v>3606</v>
      </c>
      <c r="D1829" s="1119">
        <v>10.44</v>
      </c>
      <c r="E1829" s="1120">
        <v>1.45</v>
      </c>
      <c r="F1829" s="1121">
        <f t="shared" si="1"/>
        <v>8.98</v>
      </c>
      <c r="G1829" s="1120">
        <v>8.98</v>
      </c>
      <c r="H1829" s="1127">
        <v>0.0</v>
      </c>
      <c r="I1829" s="1127">
        <v>0.0</v>
      </c>
      <c r="J1829" s="1127">
        <v>0.0</v>
      </c>
      <c r="K1829" s="1124"/>
    </row>
    <row r="1830" ht="15.75" customHeight="1">
      <c r="A1830" s="1119">
        <v>102732.0</v>
      </c>
      <c r="B1830" s="1125" t="s">
        <v>12108</v>
      </c>
      <c r="C1830" s="1126" t="s">
        <v>3606</v>
      </c>
      <c r="D1830" s="1119">
        <v>9.73</v>
      </c>
      <c r="E1830" s="1120">
        <v>0.95</v>
      </c>
      <c r="F1830" s="1121">
        <f t="shared" si="1"/>
        <v>8.79</v>
      </c>
      <c r="G1830" s="1120">
        <v>8.79</v>
      </c>
      <c r="H1830" s="1127">
        <v>0.0</v>
      </c>
      <c r="I1830" s="1127">
        <v>0.0</v>
      </c>
      <c r="J1830" s="1127">
        <v>0.0</v>
      </c>
      <c r="K1830" s="1124"/>
    </row>
    <row r="1831" ht="15.75" customHeight="1">
      <c r="A1831" s="1119">
        <v>102733.0</v>
      </c>
      <c r="B1831" s="1125" t="s">
        <v>12109</v>
      </c>
      <c r="C1831" s="1126" t="s">
        <v>3606</v>
      </c>
      <c r="D1831" s="1119">
        <v>10.68</v>
      </c>
      <c r="E1831" s="1120">
        <v>0.61</v>
      </c>
      <c r="F1831" s="1121">
        <f t="shared" si="1"/>
        <v>10.07</v>
      </c>
      <c r="G1831" s="1120">
        <v>10.07</v>
      </c>
      <c r="H1831" s="1127">
        <v>0.0</v>
      </c>
      <c r="I1831" s="1127">
        <v>0.0</v>
      </c>
      <c r="J1831" s="1127">
        <v>0.0</v>
      </c>
      <c r="K1831" s="1124"/>
    </row>
    <row r="1832" ht="15.75" customHeight="1">
      <c r="A1832" s="1119">
        <v>102734.0</v>
      </c>
      <c r="B1832" s="1125" t="s">
        <v>12110</v>
      </c>
      <c r="C1832" s="1126" t="s">
        <v>3606</v>
      </c>
      <c r="D1832" s="1119">
        <v>14.32</v>
      </c>
      <c r="E1832" s="1120">
        <v>3.06</v>
      </c>
      <c r="F1832" s="1121">
        <f t="shared" si="1"/>
        <v>11.25</v>
      </c>
      <c r="G1832" s="1120">
        <v>11.25</v>
      </c>
      <c r="H1832" s="1127">
        <v>0.0</v>
      </c>
      <c r="I1832" s="1127">
        <v>0.0</v>
      </c>
      <c r="J1832" s="1127">
        <v>0.0</v>
      </c>
      <c r="K1832" s="1124"/>
    </row>
    <row r="1833" ht="15.75" customHeight="1">
      <c r="A1833" s="1119">
        <v>102735.0</v>
      </c>
      <c r="B1833" s="1125" t="s">
        <v>12111</v>
      </c>
      <c r="C1833" s="1126" t="s">
        <v>3606</v>
      </c>
      <c r="D1833" s="1119">
        <v>13.17</v>
      </c>
      <c r="E1833" s="1120">
        <v>2.07</v>
      </c>
      <c r="F1833" s="1121">
        <f t="shared" si="1"/>
        <v>11.11</v>
      </c>
      <c r="G1833" s="1120">
        <v>11.11</v>
      </c>
      <c r="H1833" s="1127">
        <v>0.0</v>
      </c>
      <c r="I1833" s="1127">
        <v>0.0</v>
      </c>
      <c r="J1833" s="1127">
        <v>0.0</v>
      </c>
      <c r="K1833" s="1124"/>
    </row>
    <row r="1834" ht="15.75" customHeight="1">
      <c r="A1834" s="1119">
        <v>102736.0</v>
      </c>
      <c r="B1834" s="1125" t="s">
        <v>12112</v>
      </c>
      <c r="C1834" s="1126" t="s">
        <v>2178</v>
      </c>
      <c r="D1834" s="1119">
        <v>538.66</v>
      </c>
      <c r="E1834" s="1120">
        <v>39.22</v>
      </c>
      <c r="F1834" s="1121">
        <f t="shared" si="1"/>
        <v>499.44</v>
      </c>
      <c r="G1834" s="1120">
        <v>499.35</v>
      </c>
      <c r="H1834" s="1127">
        <v>0.08</v>
      </c>
      <c r="I1834" s="1127">
        <v>0.0</v>
      </c>
      <c r="J1834" s="1127">
        <v>0.01</v>
      </c>
      <c r="K1834" s="1124"/>
    </row>
    <row r="1835" ht="15.75" customHeight="1">
      <c r="A1835" s="1119">
        <v>102737.0</v>
      </c>
      <c r="B1835" s="1125" t="s">
        <v>12113</v>
      </c>
      <c r="C1835" s="1126" t="s">
        <v>1788</v>
      </c>
      <c r="D1835" s="1128">
        <v>1045.77</v>
      </c>
      <c r="E1835" s="1120">
        <v>274.17</v>
      </c>
      <c r="F1835" s="1121">
        <f t="shared" si="1"/>
        <v>771.53</v>
      </c>
      <c r="G1835" s="1120">
        <v>750.35</v>
      </c>
      <c r="H1835" s="1127">
        <v>21.06</v>
      </c>
      <c r="I1835" s="1127">
        <v>0.0</v>
      </c>
      <c r="J1835" s="1127">
        <v>0.12</v>
      </c>
      <c r="K1835" s="1124"/>
    </row>
    <row r="1836" ht="15.75" customHeight="1">
      <c r="A1836" s="1119">
        <v>102738.0</v>
      </c>
      <c r="B1836" s="1125" t="s">
        <v>12114</v>
      </c>
      <c r="C1836" s="1126" t="s">
        <v>1788</v>
      </c>
      <c r="D1836" s="1128">
        <v>2138.98</v>
      </c>
      <c r="E1836" s="1120">
        <v>536.23</v>
      </c>
      <c r="F1836" s="1121">
        <f t="shared" si="1"/>
        <v>1602.5</v>
      </c>
      <c r="G1836" s="1120">
        <v>1565.31</v>
      </c>
      <c r="H1836" s="1127">
        <v>36.95</v>
      </c>
      <c r="I1836" s="1127">
        <v>0.0</v>
      </c>
      <c r="J1836" s="1127">
        <v>0.24</v>
      </c>
      <c r="K1836" s="1124"/>
    </row>
    <row r="1837" ht="15.75" customHeight="1">
      <c r="A1837" s="1119">
        <v>102739.0</v>
      </c>
      <c r="B1837" s="1125" t="s">
        <v>12115</v>
      </c>
      <c r="C1837" s="1126" t="s">
        <v>1788</v>
      </c>
      <c r="D1837" s="1128">
        <v>3580.76</v>
      </c>
      <c r="E1837" s="1120">
        <v>876.85</v>
      </c>
      <c r="F1837" s="1121">
        <f t="shared" si="1"/>
        <v>2703.44</v>
      </c>
      <c r="G1837" s="1120">
        <v>2645.24</v>
      </c>
      <c r="H1837" s="1127">
        <v>57.84</v>
      </c>
      <c r="I1837" s="1127">
        <v>0.0</v>
      </c>
      <c r="J1837" s="1127">
        <v>0.36</v>
      </c>
      <c r="K1837" s="1124"/>
    </row>
    <row r="1838" ht="15.75" customHeight="1">
      <c r="A1838" s="1119">
        <v>102740.0</v>
      </c>
      <c r="B1838" s="1125" t="s">
        <v>12116</v>
      </c>
      <c r="C1838" s="1126" t="s">
        <v>1788</v>
      </c>
      <c r="D1838" s="1128">
        <v>5364.43</v>
      </c>
      <c r="E1838" s="1120">
        <v>1283.13</v>
      </c>
      <c r="F1838" s="1121">
        <f t="shared" si="1"/>
        <v>4080.48</v>
      </c>
      <c r="G1838" s="1120">
        <v>4000.12</v>
      </c>
      <c r="H1838" s="1127">
        <v>79.87</v>
      </c>
      <c r="I1838" s="1127">
        <v>0.0</v>
      </c>
      <c r="J1838" s="1127">
        <v>0.49</v>
      </c>
      <c r="K1838" s="1124"/>
    </row>
    <row r="1839" ht="15.75" customHeight="1">
      <c r="A1839" s="1119">
        <v>102741.0</v>
      </c>
      <c r="B1839" s="1125" t="s">
        <v>12117</v>
      </c>
      <c r="C1839" s="1126" t="s">
        <v>1788</v>
      </c>
      <c r="D1839" s="1128">
        <v>7525.41</v>
      </c>
      <c r="E1839" s="1120">
        <v>1759.71</v>
      </c>
      <c r="F1839" s="1121">
        <f t="shared" si="1"/>
        <v>5764.54</v>
      </c>
      <c r="G1839" s="1120">
        <v>5661.26</v>
      </c>
      <c r="H1839" s="1127">
        <v>102.63</v>
      </c>
      <c r="I1839" s="1127">
        <v>0.0</v>
      </c>
      <c r="J1839" s="1127">
        <v>0.65</v>
      </c>
      <c r="K1839" s="1124"/>
    </row>
    <row r="1840" ht="15.75" customHeight="1">
      <c r="A1840" s="1119">
        <v>102742.0</v>
      </c>
      <c r="B1840" s="1125" t="s">
        <v>12118</v>
      </c>
      <c r="C1840" s="1126" t="s">
        <v>1788</v>
      </c>
      <c r="D1840" s="1128">
        <v>13022.77</v>
      </c>
      <c r="E1840" s="1120">
        <v>2972.39</v>
      </c>
      <c r="F1840" s="1121">
        <f t="shared" si="1"/>
        <v>10048.16</v>
      </c>
      <c r="G1840" s="1120">
        <v>9887.3</v>
      </c>
      <c r="H1840" s="1127">
        <v>159.78</v>
      </c>
      <c r="I1840" s="1127">
        <v>0.0</v>
      </c>
      <c r="J1840" s="1127">
        <v>1.08</v>
      </c>
      <c r="K1840" s="1124"/>
    </row>
    <row r="1841" ht="15.75" customHeight="1">
      <c r="A1841" s="1119">
        <v>102743.0</v>
      </c>
      <c r="B1841" s="1125" t="s">
        <v>12119</v>
      </c>
      <c r="C1841" s="1126" t="s">
        <v>1788</v>
      </c>
      <c r="D1841" s="1128">
        <v>4335.53</v>
      </c>
      <c r="E1841" s="1120">
        <v>1055.67</v>
      </c>
      <c r="F1841" s="1121">
        <f t="shared" si="1"/>
        <v>3279.34</v>
      </c>
      <c r="G1841" s="1120">
        <v>3211.43</v>
      </c>
      <c r="H1841" s="1127">
        <v>67.33</v>
      </c>
      <c r="I1841" s="1127">
        <v>0.0</v>
      </c>
      <c r="J1841" s="1127">
        <v>0.58</v>
      </c>
      <c r="K1841" s="1124"/>
    </row>
    <row r="1842" ht="15.75" customHeight="1">
      <c r="A1842" s="1119">
        <v>102744.0</v>
      </c>
      <c r="B1842" s="1125" t="s">
        <v>12120</v>
      </c>
      <c r="C1842" s="1126" t="s">
        <v>1788</v>
      </c>
      <c r="D1842" s="1128">
        <v>6491.5</v>
      </c>
      <c r="E1842" s="1120">
        <v>1542.23</v>
      </c>
      <c r="F1842" s="1121">
        <f t="shared" si="1"/>
        <v>4948.39</v>
      </c>
      <c r="G1842" s="1120">
        <v>4854.83</v>
      </c>
      <c r="H1842" s="1127">
        <v>92.75</v>
      </c>
      <c r="I1842" s="1127">
        <v>0.0</v>
      </c>
      <c r="J1842" s="1127">
        <v>0.81</v>
      </c>
      <c r="K1842" s="1124"/>
    </row>
    <row r="1843" ht="15.75" customHeight="1">
      <c r="A1843" s="1119">
        <v>102745.0</v>
      </c>
      <c r="B1843" s="1125" t="s">
        <v>12121</v>
      </c>
      <c r="C1843" s="1126" t="s">
        <v>1788</v>
      </c>
      <c r="D1843" s="1128">
        <v>9119.01</v>
      </c>
      <c r="E1843" s="1120">
        <v>2115.76</v>
      </c>
      <c r="F1843" s="1121">
        <f t="shared" si="1"/>
        <v>7001.94</v>
      </c>
      <c r="G1843" s="1120">
        <v>6881.91</v>
      </c>
      <c r="H1843" s="1127">
        <v>118.98</v>
      </c>
      <c r="I1843" s="1127">
        <v>0.0</v>
      </c>
      <c r="J1843" s="1127">
        <v>1.05</v>
      </c>
      <c r="K1843" s="1124"/>
    </row>
    <row r="1844" ht="15.75" customHeight="1">
      <c r="A1844" s="1119">
        <v>102746.0</v>
      </c>
      <c r="B1844" s="1125" t="s">
        <v>12122</v>
      </c>
      <c r="C1844" s="1126" t="s">
        <v>1788</v>
      </c>
      <c r="D1844" s="1128">
        <v>15798.64</v>
      </c>
      <c r="E1844" s="1120">
        <v>3571.98</v>
      </c>
      <c r="F1844" s="1121">
        <f t="shared" si="1"/>
        <v>12224.23</v>
      </c>
      <c r="G1844" s="1120">
        <v>12038.91</v>
      </c>
      <c r="H1844" s="1127">
        <v>183.56</v>
      </c>
      <c r="I1844" s="1127">
        <v>0.0</v>
      </c>
      <c r="J1844" s="1127">
        <v>1.76</v>
      </c>
      <c r="K1844" s="1124"/>
    </row>
    <row r="1845" ht="15.75" customHeight="1">
      <c r="A1845" s="1119">
        <v>102747.0</v>
      </c>
      <c r="B1845" s="1125" t="s">
        <v>12123</v>
      </c>
      <c r="C1845" s="1126" t="s">
        <v>1788</v>
      </c>
      <c r="D1845" s="1128">
        <v>8054.51</v>
      </c>
      <c r="E1845" s="1120">
        <v>1888.68</v>
      </c>
      <c r="F1845" s="1121">
        <f t="shared" si="1"/>
        <v>6164.84</v>
      </c>
      <c r="G1845" s="1120">
        <v>6055.64</v>
      </c>
      <c r="H1845" s="1127">
        <v>108.09</v>
      </c>
      <c r="I1845" s="1127">
        <v>0.0</v>
      </c>
      <c r="J1845" s="1127">
        <v>1.11</v>
      </c>
      <c r="K1845" s="1124"/>
    </row>
    <row r="1846" ht="15.75" customHeight="1">
      <c r="A1846" s="1119">
        <v>102748.0</v>
      </c>
      <c r="B1846" s="1125" t="s">
        <v>12124</v>
      </c>
      <c r="C1846" s="1126" t="s">
        <v>1788</v>
      </c>
      <c r="D1846" s="1128">
        <v>11265.95</v>
      </c>
      <c r="E1846" s="1120">
        <v>2581.96</v>
      </c>
      <c r="F1846" s="1121">
        <f t="shared" si="1"/>
        <v>8682.43</v>
      </c>
      <c r="G1846" s="1120">
        <v>8542.83</v>
      </c>
      <c r="H1846" s="1127">
        <v>138.14</v>
      </c>
      <c r="I1846" s="1127">
        <v>0.0</v>
      </c>
      <c r="J1846" s="1127">
        <v>1.46</v>
      </c>
      <c r="K1846" s="1124"/>
    </row>
    <row r="1847" ht="15.75" customHeight="1">
      <c r="A1847" s="1119">
        <v>102749.0</v>
      </c>
      <c r="B1847" s="1125" t="s">
        <v>12125</v>
      </c>
      <c r="C1847" s="1126" t="s">
        <v>1788</v>
      </c>
      <c r="D1847" s="1128">
        <v>19329.99</v>
      </c>
      <c r="E1847" s="1120">
        <v>4316.14</v>
      </c>
      <c r="F1847" s="1121">
        <f t="shared" si="1"/>
        <v>15010.95</v>
      </c>
      <c r="G1847" s="1120">
        <v>14799.32</v>
      </c>
      <c r="H1847" s="1127">
        <v>209.17</v>
      </c>
      <c r="I1847" s="1127">
        <v>0.0</v>
      </c>
      <c r="J1847" s="1127">
        <v>2.46</v>
      </c>
      <c r="K1847" s="1124"/>
    </row>
    <row r="1848" ht="15.75" customHeight="1">
      <c r="A1848" s="1119">
        <v>102750.0</v>
      </c>
      <c r="B1848" s="1125" t="s">
        <v>12126</v>
      </c>
      <c r="C1848" s="1126" t="s">
        <v>1788</v>
      </c>
      <c r="D1848" s="1128">
        <v>2607.24</v>
      </c>
      <c r="E1848" s="1120">
        <v>642.91</v>
      </c>
      <c r="F1848" s="1121">
        <f t="shared" si="1"/>
        <v>1963.99</v>
      </c>
      <c r="G1848" s="1120">
        <v>1921.17</v>
      </c>
      <c r="H1848" s="1127">
        <v>42.52</v>
      </c>
      <c r="I1848" s="1127">
        <v>0.0</v>
      </c>
      <c r="J1848" s="1127">
        <v>0.3</v>
      </c>
      <c r="K1848" s="1124"/>
    </row>
    <row r="1849" ht="15.75" customHeight="1">
      <c r="A1849" s="1119">
        <v>102751.0</v>
      </c>
      <c r="B1849" s="1125" t="s">
        <v>12127</v>
      </c>
      <c r="C1849" s="1126" t="s">
        <v>1788</v>
      </c>
      <c r="D1849" s="1128">
        <v>4526.96</v>
      </c>
      <c r="E1849" s="1120">
        <v>1068.47</v>
      </c>
      <c r="F1849" s="1121">
        <f t="shared" si="1"/>
        <v>3457.83</v>
      </c>
      <c r="G1849" s="1120">
        <v>3393.89</v>
      </c>
      <c r="H1849" s="1127">
        <v>63.52</v>
      </c>
      <c r="I1849" s="1127">
        <v>0.0</v>
      </c>
      <c r="J1849" s="1127">
        <v>0.42</v>
      </c>
      <c r="K1849" s="1124"/>
    </row>
    <row r="1850" ht="15.75" customHeight="1">
      <c r="A1850" s="1119">
        <v>102752.0</v>
      </c>
      <c r="B1850" s="1125" t="s">
        <v>12128</v>
      </c>
      <c r="C1850" s="1126" t="s">
        <v>1788</v>
      </c>
      <c r="D1850" s="1128">
        <v>7208.79</v>
      </c>
      <c r="E1850" s="1120">
        <v>1645.48</v>
      </c>
      <c r="F1850" s="1121">
        <f t="shared" si="1"/>
        <v>5562.09</v>
      </c>
      <c r="G1850" s="1120">
        <v>5472.64</v>
      </c>
      <c r="H1850" s="1127">
        <v>88.88</v>
      </c>
      <c r="I1850" s="1127">
        <v>0.0</v>
      </c>
      <c r="J1850" s="1127">
        <v>0.57</v>
      </c>
      <c r="K1850" s="1124"/>
    </row>
    <row r="1851" ht="15.75" customHeight="1">
      <c r="A1851" s="1119">
        <v>102753.0</v>
      </c>
      <c r="B1851" s="1125" t="s">
        <v>12129</v>
      </c>
      <c r="C1851" s="1126" t="s">
        <v>1788</v>
      </c>
      <c r="D1851" s="1128">
        <v>10667.32</v>
      </c>
      <c r="E1851" s="1120">
        <v>2363.65</v>
      </c>
      <c r="F1851" s="1121">
        <f t="shared" si="1"/>
        <v>8301.77</v>
      </c>
      <c r="G1851" s="1120">
        <v>8185.03</v>
      </c>
      <c r="H1851" s="1127">
        <v>116.02</v>
      </c>
      <c r="I1851" s="1127">
        <v>0.0</v>
      </c>
      <c r="J1851" s="1127">
        <v>0.72</v>
      </c>
      <c r="K1851" s="1124"/>
    </row>
    <row r="1852" ht="15.75" customHeight="1">
      <c r="A1852" s="1119">
        <v>102754.0</v>
      </c>
      <c r="B1852" s="1125" t="s">
        <v>12130</v>
      </c>
      <c r="C1852" s="1126" t="s">
        <v>1788</v>
      </c>
      <c r="D1852" s="1128">
        <v>20263.6</v>
      </c>
      <c r="E1852" s="1120">
        <v>4354.5</v>
      </c>
      <c r="F1852" s="1121">
        <f t="shared" si="1"/>
        <v>15905.16</v>
      </c>
      <c r="G1852" s="1120">
        <v>15718.78</v>
      </c>
      <c r="H1852" s="1127">
        <v>185.01</v>
      </c>
      <c r="I1852" s="1127">
        <v>0.0</v>
      </c>
      <c r="J1852" s="1127">
        <v>1.37</v>
      </c>
      <c r="K1852" s="1124"/>
    </row>
    <row r="1853" ht="15.75" customHeight="1">
      <c r="A1853" s="1119">
        <v>102755.0</v>
      </c>
      <c r="B1853" s="1125" t="s">
        <v>12131</v>
      </c>
      <c r="C1853" s="1126" t="s">
        <v>1788</v>
      </c>
      <c r="D1853" s="1128">
        <v>10060.88</v>
      </c>
      <c r="E1853" s="1120">
        <v>2240.12</v>
      </c>
      <c r="F1853" s="1121">
        <f t="shared" si="1"/>
        <v>7819.11</v>
      </c>
      <c r="G1853" s="1120">
        <v>7705.21</v>
      </c>
      <c r="H1853" s="1127">
        <v>113.0</v>
      </c>
      <c r="I1853" s="1127">
        <v>0.0</v>
      </c>
      <c r="J1853" s="1127">
        <v>0.9</v>
      </c>
      <c r="K1853" s="1124"/>
    </row>
    <row r="1854" ht="15.75" customHeight="1">
      <c r="A1854" s="1119">
        <v>102756.0</v>
      </c>
      <c r="B1854" s="1125" t="s">
        <v>12132</v>
      </c>
      <c r="C1854" s="1126" t="s">
        <v>1788</v>
      </c>
      <c r="D1854" s="1128">
        <v>14935.28</v>
      </c>
      <c r="E1854" s="1120">
        <v>3225.02</v>
      </c>
      <c r="F1854" s="1121">
        <f t="shared" si="1"/>
        <v>11707.68</v>
      </c>
      <c r="G1854" s="1120">
        <v>11559.97</v>
      </c>
      <c r="H1854" s="1127">
        <v>146.59</v>
      </c>
      <c r="I1854" s="1127">
        <v>0.0</v>
      </c>
      <c r="J1854" s="1127">
        <v>1.12</v>
      </c>
      <c r="K1854" s="1124"/>
    </row>
    <row r="1855" ht="15.75" customHeight="1">
      <c r="A1855" s="1119">
        <v>102757.0</v>
      </c>
      <c r="B1855" s="1125" t="s">
        <v>12133</v>
      </c>
      <c r="C1855" s="1126" t="s">
        <v>1788</v>
      </c>
      <c r="D1855" s="1128">
        <v>27762.18</v>
      </c>
      <c r="E1855" s="1120">
        <v>5810.54</v>
      </c>
      <c r="F1855" s="1121">
        <f t="shared" si="1"/>
        <v>21946.49</v>
      </c>
      <c r="G1855" s="1120">
        <v>21719.18</v>
      </c>
      <c r="H1855" s="1127">
        <v>225.2</v>
      </c>
      <c r="I1855" s="1127">
        <v>0.0</v>
      </c>
      <c r="J1855" s="1127">
        <v>2.11</v>
      </c>
      <c r="K1855" s="1124"/>
    </row>
    <row r="1856" ht="15.75" customHeight="1">
      <c r="A1856" s="1119">
        <v>102758.0</v>
      </c>
      <c r="B1856" s="1125" t="s">
        <v>12134</v>
      </c>
      <c r="C1856" s="1126" t="s">
        <v>1788</v>
      </c>
      <c r="D1856" s="1128">
        <v>12927.4</v>
      </c>
      <c r="E1856" s="1120">
        <v>2838.88</v>
      </c>
      <c r="F1856" s="1121">
        <f t="shared" si="1"/>
        <v>10086.51</v>
      </c>
      <c r="G1856" s="1120">
        <v>9948.21</v>
      </c>
      <c r="H1856" s="1127">
        <v>137.08</v>
      </c>
      <c r="I1856" s="1127">
        <v>0.0</v>
      </c>
      <c r="J1856" s="1127">
        <v>1.22</v>
      </c>
      <c r="K1856" s="1124"/>
    </row>
    <row r="1857" ht="15.75" customHeight="1">
      <c r="A1857" s="1119">
        <v>102759.0</v>
      </c>
      <c r="B1857" s="1125" t="s">
        <v>12135</v>
      </c>
      <c r="C1857" s="1126" t="s">
        <v>1788</v>
      </c>
      <c r="D1857" s="1128">
        <v>19225.14</v>
      </c>
      <c r="E1857" s="1120">
        <v>4092.58</v>
      </c>
      <c r="F1857" s="1121">
        <f t="shared" si="1"/>
        <v>15129.31</v>
      </c>
      <c r="G1857" s="1120">
        <v>14950.61</v>
      </c>
      <c r="H1857" s="1127">
        <v>177.16</v>
      </c>
      <c r="I1857" s="1127">
        <v>0.0</v>
      </c>
      <c r="J1857" s="1127">
        <v>1.54</v>
      </c>
      <c r="K1857" s="1124"/>
    </row>
    <row r="1858" ht="15.75" customHeight="1">
      <c r="A1858" s="1119">
        <v>102760.0</v>
      </c>
      <c r="B1858" s="1125" t="s">
        <v>12136</v>
      </c>
      <c r="C1858" s="1126" t="s">
        <v>1788</v>
      </c>
      <c r="D1858" s="1128">
        <v>35407.17</v>
      </c>
      <c r="E1858" s="1120">
        <v>7305.23</v>
      </c>
      <c r="F1858" s="1121">
        <f t="shared" si="1"/>
        <v>28095.53</v>
      </c>
      <c r="G1858" s="1120">
        <v>27825.46</v>
      </c>
      <c r="H1858" s="1127">
        <v>267.24</v>
      </c>
      <c r="I1858" s="1127">
        <v>0.0</v>
      </c>
      <c r="J1858" s="1127">
        <v>2.83</v>
      </c>
      <c r="K1858" s="1124"/>
    </row>
    <row r="1859" ht="15.75" customHeight="1">
      <c r="A1859" s="1119">
        <v>102761.0</v>
      </c>
      <c r="B1859" s="1125" t="s">
        <v>12137</v>
      </c>
      <c r="C1859" s="1126" t="s">
        <v>1788</v>
      </c>
      <c r="D1859" s="1128">
        <v>12443.88</v>
      </c>
      <c r="E1859" s="1120">
        <v>3230.94</v>
      </c>
      <c r="F1859" s="1121">
        <f t="shared" si="1"/>
        <v>9211.54</v>
      </c>
      <c r="G1859" s="1120">
        <v>8959.83</v>
      </c>
      <c r="H1859" s="1127">
        <v>250.49</v>
      </c>
      <c r="I1859" s="1127">
        <v>0.0</v>
      </c>
      <c r="J1859" s="1127">
        <v>1.22</v>
      </c>
      <c r="K1859" s="1124"/>
    </row>
    <row r="1860" ht="15.75" customHeight="1">
      <c r="A1860" s="1119">
        <v>102762.0</v>
      </c>
      <c r="B1860" s="1125" t="s">
        <v>12138</v>
      </c>
      <c r="C1860" s="1126" t="s">
        <v>1788</v>
      </c>
      <c r="D1860" s="1128">
        <v>19139.25</v>
      </c>
      <c r="E1860" s="1120">
        <v>4617.13</v>
      </c>
      <c r="F1860" s="1121">
        <f t="shared" si="1"/>
        <v>14523.18</v>
      </c>
      <c r="G1860" s="1120">
        <v>14181.16</v>
      </c>
      <c r="H1860" s="1127">
        <v>340.04</v>
      </c>
      <c r="I1860" s="1127">
        <v>0.0</v>
      </c>
      <c r="J1860" s="1127">
        <v>1.98</v>
      </c>
      <c r="K1860" s="1124"/>
    </row>
    <row r="1861" ht="15.75" customHeight="1">
      <c r="A1861" s="1119">
        <v>102763.0</v>
      </c>
      <c r="B1861" s="1125" t="s">
        <v>12139</v>
      </c>
      <c r="C1861" s="1126" t="s">
        <v>1788</v>
      </c>
      <c r="D1861" s="1128">
        <v>26594.74</v>
      </c>
      <c r="E1861" s="1120">
        <v>6222.72</v>
      </c>
      <c r="F1861" s="1121">
        <f t="shared" si="1"/>
        <v>20371.7</v>
      </c>
      <c r="G1861" s="1120">
        <v>19931.72</v>
      </c>
      <c r="H1861" s="1127">
        <v>437.06</v>
      </c>
      <c r="I1861" s="1127">
        <v>0.0</v>
      </c>
      <c r="J1861" s="1127">
        <v>2.92</v>
      </c>
      <c r="K1861" s="1124"/>
    </row>
    <row r="1862" ht="15.75" customHeight="1">
      <c r="A1862" s="1119">
        <v>102764.0</v>
      </c>
      <c r="B1862" s="1125" t="s">
        <v>12140</v>
      </c>
      <c r="C1862" s="1126" t="s">
        <v>1788</v>
      </c>
      <c r="D1862" s="1128">
        <v>37381.76</v>
      </c>
      <c r="E1862" s="1120">
        <v>8126.05</v>
      </c>
      <c r="F1862" s="1121">
        <f t="shared" si="1"/>
        <v>29260.31</v>
      </c>
      <c r="G1862" s="1120">
        <v>28709.11</v>
      </c>
      <c r="H1862" s="1127">
        <v>547.15</v>
      </c>
      <c r="I1862" s="1127">
        <v>0.0</v>
      </c>
      <c r="J1862" s="1127">
        <v>4.05</v>
      </c>
      <c r="K1862" s="1124"/>
    </row>
    <row r="1863" ht="15.75" customHeight="1">
      <c r="A1863" s="1119">
        <v>102765.0</v>
      </c>
      <c r="B1863" s="1125" t="s">
        <v>12141</v>
      </c>
      <c r="C1863" s="1126" t="s">
        <v>1788</v>
      </c>
      <c r="D1863" s="1128">
        <v>15462.97</v>
      </c>
      <c r="E1863" s="1120">
        <v>3998.31</v>
      </c>
      <c r="F1863" s="1121">
        <f t="shared" si="1"/>
        <v>11463.18</v>
      </c>
      <c r="G1863" s="1120">
        <v>11149.71</v>
      </c>
      <c r="H1863" s="1127">
        <v>311.59</v>
      </c>
      <c r="I1863" s="1127">
        <v>0.0</v>
      </c>
      <c r="J1863" s="1127">
        <v>1.88</v>
      </c>
      <c r="K1863" s="1124"/>
    </row>
    <row r="1864" ht="15.75" customHeight="1">
      <c r="A1864" s="1119">
        <v>102766.0</v>
      </c>
      <c r="B1864" s="1125" t="s">
        <v>12142</v>
      </c>
      <c r="C1864" s="1126" t="s">
        <v>1788</v>
      </c>
      <c r="D1864" s="1128">
        <v>23209.0</v>
      </c>
      <c r="E1864" s="1120">
        <v>5573.71</v>
      </c>
      <c r="F1864" s="1121">
        <f t="shared" si="1"/>
        <v>17635.91</v>
      </c>
      <c r="G1864" s="1120">
        <v>17236.64</v>
      </c>
      <c r="H1864" s="1127">
        <v>396.21</v>
      </c>
      <c r="I1864" s="1127">
        <v>0.0</v>
      </c>
      <c r="J1864" s="1127">
        <v>3.06</v>
      </c>
      <c r="K1864" s="1124"/>
    </row>
    <row r="1865" ht="15.75" customHeight="1">
      <c r="A1865" s="1119">
        <v>102767.0</v>
      </c>
      <c r="B1865" s="1125" t="s">
        <v>12143</v>
      </c>
      <c r="C1865" s="1126" t="s">
        <v>1788</v>
      </c>
      <c r="D1865" s="1128">
        <v>32476.59</v>
      </c>
      <c r="E1865" s="1120">
        <v>7535.23</v>
      </c>
      <c r="F1865" s="1121">
        <f t="shared" si="1"/>
        <v>24941.81</v>
      </c>
      <c r="G1865" s="1120">
        <v>24428.35</v>
      </c>
      <c r="H1865" s="1127">
        <v>508.98</v>
      </c>
      <c r="I1865" s="1127">
        <v>0.0</v>
      </c>
      <c r="J1865" s="1127">
        <v>4.48</v>
      </c>
      <c r="K1865" s="1124"/>
    </row>
    <row r="1866" ht="15.75" customHeight="1">
      <c r="A1866" s="1119">
        <v>102768.0</v>
      </c>
      <c r="B1866" s="1125" t="s">
        <v>12144</v>
      </c>
      <c r="C1866" s="1126" t="s">
        <v>1788</v>
      </c>
      <c r="D1866" s="1128">
        <v>45240.67</v>
      </c>
      <c r="E1866" s="1120">
        <v>9731.62</v>
      </c>
      <c r="F1866" s="1121">
        <f t="shared" si="1"/>
        <v>35515.1</v>
      </c>
      <c r="G1866" s="1120">
        <v>34874.07</v>
      </c>
      <c r="H1866" s="1127">
        <v>634.78</v>
      </c>
      <c r="I1866" s="1127">
        <v>0.0</v>
      </c>
      <c r="J1866" s="1127">
        <v>6.25</v>
      </c>
      <c r="K1866" s="1124"/>
    </row>
    <row r="1867" ht="15.75" customHeight="1">
      <c r="A1867" s="1119">
        <v>102769.0</v>
      </c>
      <c r="B1867" s="1125" t="s">
        <v>12145</v>
      </c>
      <c r="C1867" s="1126" t="s">
        <v>1788</v>
      </c>
      <c r="D1867" s="1128">
        <v>17851.21</v>
      </c>
      <c r="E1867" s="1120">
        <v>4518.54</v>
      </c>
      <c r="F1867" s="1121">
        <f t="shared" si="1"/>
        <v>13331</v>
      </c>
      <c r="G1867" s="1120">
        <v>12992.52</v>
      </c>
      <c r="H1867" s="1127">
        <v>335.92</v>
      </c>
      <c r="I1867" s="1127">
        <v>0.0</v>
      </c>
      <c r="J1867" s="1127">
        <v>2.56</v>
      </c>
      <c r="K1867" s="1124"/>
    </row>
    <row r="1868" ht="15.75" customHeight="1">
      <c r="A1868" s="1119">
        <v>102770.0</v>
      </c>
      <c r="B1868" s="1125" t="s">
        <v>12146</v>
      </c>
      <c r="C1868" s="1126" t="s">
        <v>1788</v>
      </c>
      <c r="D1868" s="1128">
        <v>27331.55</v>
      </c>
      <c r="E1868" s="1120">
        <v>6533.98</v>
      </c>
      <c r="F1868" s="1121">
        <f t="shared" si="1"/>
        <v>20797.86</v>
      </c>
      <c r="G1868" s="1120">
        <v>20341.35</v>
      </c>
      <c r="H1868" s="1127">
        <v>452.39</v>
      </c>
      <c r="I1868" s="1127">
        <v>0.0</v>
      </c>
      <c r="J1868" s="1127">
        <v>4.12</v>
      </c>
      <c r="K1868" s="1124"/>
    </row>
    <row r="1869" ht="15.75" customHeight="1">
      <c r="A1869" s="1119">
        <v>102771.0</v>
      </c>
      <c r="B1869" s="1125" t="s">
        <v>12147</v>
      </c>
      <c r="C1869" s="1126" t="s">
        <v>1788</v>
      </c>
      <c r="D1869" s="1128">
        <v>38224.06</v>
      </c>
      <c r="E1869" s="1120">
        <v>8827.92</v>
      </c>
      <c r="F1869" s="1121">
        <f t="shared" si="1"/>
        <v>29396.96</v>
      </c>
      <c r="G1869" s="1120">
        <v>28812.04</v>
      </c>
      <c r="H1869" s="1127">
        <v>578.86</v>
      </c>
      <c r="I1869" s="1127">
        <v>0.0</v>
      </c>
      <c r="J1869" s="1127">
        <v>6.06</v>
      </c>
      <c r="K1869" s="1124"/>
    </row>
    <row r="1870" ht="15.75" customHeight="1">
      <c r="A1870" s="1119">
        <v>102772.0</v>
      </c>
      <c r="B1870" s="1125" t="s">
        <v>12148</v>
      </c>
      <c r="C1870" s="1126" t="s">
        <v>1788</v>
      </c>
      <c r="D1870" s="1128">
        <v>53645.83</v>
      </c>
      <c r="E1870" s="1120">
        <v>11408.78</v>
      </c>
      <c r="F1870" s="1121">
        <f t="shared" si="1"/>
        <v>42245.04</v>
      </c>
      <c r="G1870" s="1120">
        <v>41516.6</v>
      </c>
      <c r="H1870" s="1127">
        <v>719.99</v>
      </c>
      <c r="I1870" s="1127">
        <v>0.0</v>
      </c>
      <c r="J1870" s="1127">
        <v>8.45</v>
      </c>
      <c r="K1870" s="1124"/>
    </row>
    <row r="1871" ht="15.75" customHeight="1">
      <c r="A1871" s="1119">
        <v>102773.0</v>
      </c>
      <c r="B1871" s="1125" t="s">
        <v>12149</v>
      </c>
      <c r="C1871" s="1126" t="s">
        <v>1788</v>
      </c>
      <c r="D1871" s="1128">
        <v>8313.16</v>
      </c>
      <c r="E1871" s="1120">
        <v>1543.86</v>
      </c>
      <c r="F1871" s="1121">
        <f t="shared" si="1"/>
        <v>6769.22</v>
      </c>
      <c r="G1871" s="1120">
        <v>6116.22</v>
      </c>
      <c r="H1871" s="1127">
        <v>653.0</v>
      </c>
      <c r="I1871" s="1127">
        <v>0.0</v>
      </c>
      <c r="J1871" s="1127">
        <v>0.0</v>
      </c>
      <c r="K1871" s="1124"/>
    </row>
    <row r="1872" ht="15.75" customHeight="1">
      <c r="A1872" s="1119">
        <v>102774.0</v>
      </c>
      <c r="B1872" s="1125" t="s">
        <v>12150</v>
      </c>
      <c r="C1872" s="1126" t="s">
        <v>1788</v>
      </c>
      <c r="D1872" s="1128">
        <v>8313.16</v>
      </c>
      <c r="E1872" s="1120">
        <v>1543.86</v>
      </c>
      <c r="F1872" s="1121">
        <f t="shared" si="1"/>
        <v>6769.22</v>
      </c>
      <c r="G1872" s="1120">
        <v>6116.22</v>
      </c>
      <c r="H1872" s="1127">
        <v>653.0</v>
      </c>
      <c r="I1872" s="1127">
        <v>0.0</v>
      </c>
      <c r="J1872" s="1127">
        <v>0.0</v>
      </c>
      <c r="K1872" s="1124"/>
    </row>
    <row r="1873" ht="15.75" customHeight="1">
      <c r="A1873" s="1119">
        <v>102775.0</v>
      </c>
      <c r="B1873" s="1125" t="s">
        <v>12151</v>
      </c>
      <c r="C1873" s="1126" t="s">
        <v>1788</v>
      </c>
      <c r="D1873" s="1128">
        <v>12379.48</v>
      </c>
      <c r="E1873" s="1120">
        <v>2321.48</v>
      </c>
      <c r="F1873" s="1121">
        <f t="shared" si="1"/>
        <v>10057.89</v>
      </c>
      <c r="G1873" s="1120">
        <v>9079.79</v>
      </c>
      <c r="H1873" s="1127">
        <v>978.1</v>
      </c>
      <c r="I1873" s="1127">
        <v>0.0</v>
      </c>
      <c r="J1873" s="1127">
        <v>0.0</v>
      </c>
      <c r="K1873" s="1124"/>
    </row>
    <row r="1874" ht="15.75" customHeight="1">
      <c r="A1874" s="1119">
        <v>102776.0</v>
      </c>
      <c r="B1874" s="1125" t="s">
        <v>12152</v>
      </c>
      <c r="C1874" s="1126" t="s">
        <v>1788</v>
      </c>
      <c r="D1874" s="1128">
        <v>12379.48</v>
      </c>
      <c r="E1874" s="1120">
        <v>2321.48</v>
      </c>
      <c r="F1874" s="1121">
        <f t="shared" si="1"/>
        <v>10057.89</v>
      </c>
      <c r="G1874" s="1120">
        <v>9079.79</v>
      </c>
      <c r="H1874" s="1127">
        <v>978.1</v>
      </c>
      <c r="I1874" s="1127">
        <v>0.0</v>
      </c>
      <c r="J1874" s="1127">
        <v>0.0</v>
      </c>
      <c r="K1874" s="1124"/>
    </row>
    <row r="1875" ht="15.75" customHeight="1">
      <c r="A1875" s="1119">
        <v>102777.0</v>
      </c>
      <c r="B1875" s="1125" t="s">
        <v>12153</v>
      </c>
      <c r="C1875" s="1126" t="s">
        <v>1788</v>
      </c>
      <c r="D1875" s="1128">
        <v>18718.38</v>
      </c>
      <c r="E1875" s="1120">
        <v>3524.5</v>
      </c>
      <c r="F1875" s="1121">
        <f t="shared" si="1"/>
        <v>15193.71</v>
      </c>
      <c r="G1875" s="1120">
        <v>13711.15</v>
      </c>
      <c r="H1875" s="1127">
        <v>1482.56</v>
      </c>
      <c r="I1875" s="1127">
        <v>0.0</v>
      </c>
      <c r="J1875" s="1127">
        <v>0.0</v>
      </c>
      <c r="K1875" s="1124"/>
    </row>
    <row r="1876" ht="15.75" customHeight="1">
      <c r="A1876" s="1119">
        <v>102778.0</v>
      </c>
      <c r="B1876" s="1125" t="s">
        <v>12154</v>
      </c>
      <c r="C1876" s="1126" t="s">
        <v>1788</v>
      </c>
      <c r="D1876" s="1128">
        <v>28009.76</v>
      </c>
      <c r="E1876" s="1120">
        <v>3753.37</v>
      </c>
      <c r="F1876" s="1121">
        <f t="shared" si="1"/>
        <v>24256.04</v>
      </c>
      <c r="G1876" s="1120">
        <v>22694.21</v>
      </c>
      <c r="H1876" s="1127">
        <v>1561.83</v>
      </c>
      <c r="I1876" s="1127">
        <v>0.0</v>
      </c>
      <c r="J1876" s="1127">
        <v>0.0</v>
      </c>
      <c r="K1876" s="1124"/>
    </row>
    <row r="1877" ht="15.75" customHeight="1">
      <c r="A1877" s="1119">
        <v>102779.0</v>
      </c>
      <c r="B1877" s="1125" t="s">
        <v>12155</v>
      </c>
      <c r="C1877" s="1126" t="s">
        <v>1788</v>
      </c>
      <c r="D1877" s="1128">
        <v>8313.16</v>
      </c>
      <c r="E1877" s="1120">
        <v>1543.86</v>
      </c>
      <c r="F1877" s="1121">
        <f t="shared" si="1"/>
        <v>6769.22</v>
      </c>
      <c r="G1877" s="1120">
        <v>6116.22</v>
      </c>
      <c r="H1877" s="1127">
        <v>653.0</v>
      </c>
      <c r="I1877" s="1127">
        <v>0.0</v>
      </c>
      <c r="J1877" s="1127">
        <v>0.0</v>
      </c>
      <c r="K1877" s="1124"/>
    </row>
    <row r="1878" ht="15.75" customHeight="1">
      <c r="A1878" s="1119">
        <v>102780.0</v>
      </c>
      <c r="B1878" s="1125" t="s">
        <v>12156</v>
      </c>
      <c r="C1878" s="1126" t="s">
        <v>1788</v>
      </c>
      <c r="D1878" s="1128">
        <v>9569.16</v>
      </c>
      <c r="E1878" s="1120">
        <v>1774.87</v>
      </c>
      <c r="F1878" s="1121">
        <f t="shared" si="1"/>
        <v>7794.19</v>
      </c>
      <c r="G1878" s="1120">
        <v>7043.1</v>
      </c>
      <c r="H1878" s="1127">
        <v>751.09</v>
      </c>
      <c r="I1878" s="1127">
        <v>0.0</v>
      </c>
      <c r="J1878" s="1127">
        <v>0.0</v>
      </c>
      <c r="K1878" s="1124"/>
    </row>
    <row r="1879" ht="15.75" customHeight="1">
      <c r="A1879" s="1119">
        <v>102781.0</v>
      </c>
      <c r="B1879" s="1125" t="s">
        <v>12157</v>
      </c>
      <c r="C1879" s="1126" t="s">
        <v>1788</v>
      </c>
      <c r="D1879" s="1128">
        <v>14143.77</v>
      </c>
      <c r="E1879" s="1120">
        <v>2649.69</v>
      </c>
      <c r="F1879" s="1121">
        <f t="shared" si="1"/>
        <v>11493.96</v>
      </c>
      <c r="G1879" s="1120">
        <v>10377.14</v>
      </c>
      <c r="H1879" s="1127">
        <v>1116.82</v>
      </c>
      <c r="I1879" s="1127">
        <v>0.0</v>
      </c>
      <c r="J1879" s="1127">
        <v>0.0</v>
      </c>
      <c r="K1879" s="1124"/>
    </row>
    <row r="1880" ht="15.75" customHeight="1">
      <c r="A1880" s="1119">
        <v>102782.0</v>
      </c>
      <c r="B1880" s="1125" t="s">
        <v>12158</v>
      </c>
      <c r="C1880" s="1126" t="s">
        <v>1788</v>
      </c>
      <c r="D1880" s="1128">
        <v>15755.18</v>
      </c>
      <c r="E1880" s="1120">
        <v>2709.8</v>
      </c>
      <c r="F1880" s="1121">
        <f t="shared" si="1"/>
        <v>13045.22</v>
      </c>
      <c r="G1880" s="1120">
        <v>11905.83</v>
      </c>
      <c r="H1880" s="1127">
        <v>1139.39</v>
      </c>
      <c r="I1880" s="1127">
        <v>0.0</v>
      </c>
      <c r="J1880" s="1127">
        <v>0.0</v>
      </c>
      <c r="K1880" s="1124"/>
    </row>
    <row r="1881" ht="15.75" customHeight="1">
      <c r="A1881" s="1119">
        <v>102783.0</v>
      </c>
      <c r="B1881" s="1125" t="s">
        <v>12159</v>
      </c>
      <c r="C1881" s="1126" t="s">
        <v>1788</v>
      </c>
      <c r="D1881" s="1128">
        <v>20838.08</v>
      </c>
      <c r="E1881" s="1120">
        <v>3681.83</v>
      </c>
      <c r="F1881" s="1121">
        <f t="shared" si="1"/>
        <v>17156.06</v>
      </c>
      <c r="G1881" s="1120">
        <v>15610.29</v>
      </c>
      <c r="H1881" s="1127">
        <v>1545.77</v>
      </c>
      <c r="I1881" s="1127">
        <v>0.0</v>
      </c>
      <c r="J1881" s="1127">
        <v>0.0</v>
      </c>
      <c r="K1881" s="1124"/>
    </row>
    <row r="1882" ht="15.75" customHeight="1">
      <c r="A1882" s="1119">
        <v>102784.0</v>
      </c>
      <c r="B1882" s="1125" t="s">
        <v>12160</v>
      </c>
      <c r="C1882" s="1126" t="s">
        <v>1788</v>
      </c>
      <c r="D1882" s="1128">
        <v>32655.45</v>
      </c>
      <c r="E1882" s="1120">
        <v>3867.8</v>
      </c>
      <c r="F1882" s="1121">
        <f t="shared" si="1"/>
        <v>28787.21</v>
      </c>
      <c r="G1882" s="1120">
        <v>27185.74</v>
      </c>
      <c r="H1882" s="1127">
        <v>1601.47</v>
      </c>
      <c r="I1882" s="1127">
        <v>0.0</v>
      </c>
      <c r="J1882" s="1127">
        <v>0.0</v>
      </c>
      <c r="K1882" s="1124"/>
    </row>
    <row r="1883" ht="15.75" customHeight="1">
      <c r="A1883" s="1119">
        <v>102785.0</v>
      </c>
      <c r="B1883" s="1125" t="s">
        <v>12161</v>
      </c>
      <c r="C1883" s="1126" t="s">
        <v>1788</v>
      </c>
      <c r="D1883" s="1128">
        <v>9569.16</v>
      </c>
      <c r="E1883" s="1120">
        <v>1774.87</v>
      </c>
      <c r="F1883" s="1121">
        <f t="shared" si="1"/>
        <v>7794.19</v>
      </c>
      <c r="G1883" s="1120">
        <v>7043.1</v>
      </c>
      <c r="H1883" s="1127">
        <v>751.09</v>
      </c>
      <c r="I1883" s="1127">
        <v>0.0</v>
      </c>
      <c r="J1883" s="1127">
        <v>0.0</v>
      </c>
      <c r="K1883" s="1124"/>
    </row>
    <row r="1884" ht="15.75" customHeight="1">
      <c r="A1884" s="1119">
        <v>102786.0</v>
      </c>
      <c r="B1884" s="1125" t="s">
        <v>12162</v>
      </c>
      <c r="C1884" s="1126" t="s">
        <v>1788</v>
      </c>
      <c r="D1884" s="1128">
        <v>10672.28</v>
      </c>
      <c r="E1884" s="1120">
        <v>1737.77</v>
      </c>
      <c r="F1884" s="1121">
        <f t="shared" si="1"/>
        <v>8934.38</v>
      </c>
      <c r="G1884" s="1120">
        <v>8201.36</v>
      </c>
      <c r="H1884" s="1127">
        <v>733.02</v>
      </c>
      <c r="I1884" s="1127">
        <v>0.0</v>
      </c>
      <c r="J1884" s="1127">
        <v>0.0</v>
      </c>
      <c r="K1884" s="1124"/>
    </row>
    <row r="1885" ht="15.75" customHeight="1">
      <c r="A1885" s="1119">
        <v>102787.0</v>
      </c>
      <c r="B1885" s="1125" t="s">
        <v>12163</v>
      </c>
      <c r="C1885" s="1126" t="s">
        <v>1788</v>
      </c>
      <c r="D1885" s="1128">
        <v>15755.18</v>
      </c>
      <c r="E1885" s="1120">
        <v>2709.8</v>
      </c>
      <c r="F1885" s="1121">
        <f t="shared" si="1"/>
        <v>13045.22</v>
      </c>
      <c r="G1885" s="1120">
        <v>11905.83</v>
      </c>
      <c r="H1885" s="1127">
        <v>1139.39</v>
      </c>
      <c r="I1885" s="1127">
        <v>0.0</v>
      </c>
      <c r="J1885" s="1127">
        <v>0.0</v>
      </c>
      <c r="K1885" s="1124"/>
    </row>
    <row r="1886" ht="15.75" customHeight="1">
      <c r="A1886" s="1119">
        <v>102788.0</v>
      </c>
      <c r="B1886" s="1125" t="s">
        <v>12164</v>
      </c>
      <c r="C1886" s="1126" t="s">
        <v>1788</v>
      </c>
      <c r="D1886" s="1128">
        <v>17337.92</v>
      </c>
      <c r="E1886" s="1120">
        <v>2719.62</v>
      </c>
      <c r="F1886" s="1121">
        <f t="shared" si="1"/>
        <v>14618.1</v>
      </c>
      <c r="G1886" s="1120">
        <v>13477.93</v>
      </c>
      <c r="H1886" s="1127">
        <v>1140.17</v>
      </c>
      <c r="I1886" s="1127">
        <v>0.0</v>
      </c>
      <c r="J1886" s="1127">
        <v>0.0</v>
      </c>
      <c r="K1886" s="1124"/>
    </row>
    <row r="1887" ht="15.75" customHeight="1">
      <c r="A1887" s="1119">
        <v>102789.0</v>
      </c>
      <c r="B1887" s="1125" t="s">
        <v>12165</v>
      </c>
      <c r="C1887" s="1126" t="s">
        <v>1788</v>
      </c>
      <c r="D1887" s="1128">
        <v>22785.79</v>
      </c>
      <c r="E1887" s="1120">
        <v>3537.54</v>
      </c>
      <c r="F1887" s="1121">
        <f t="shared" si="1"/>
        <v>19248.01</v>
      </c>
      <c r="G1887" s="1120">
        <v>17769.71</v>
      </c>
      <c r="H1887" s="1127">
        <v>1478.3</v>
      </c>
      <c r="I1887" s="1127">
        <v>0.0</v>
      </c>
      <c r="J1887" s="1127">
        <v>0.0</v>
      </c>
      <c r="K1887" s="1124"/>
    </row>
    <row r="1888" ht="15.75" customHeight="1">
      <c r="A1888" s="1119">
        <v>102790.0</v>
      </c>
      <c r="B1888" s="1125" t="s">
        <v>12166</v>
      </c>
      <c r="C1888" s="1126" t="s">
        <v>1788</v>
      </c>
      <c r="D1888" s="1128">
        <v>37778.89</v>
      </c>
      <c r="E1888" s="1120">
        <v>4820.03</v>
      </c>
      <c r="F1888" s="1121">
        <f t="shared" si="1"/>
        <v>32958.37</v>
      </c>
      <c r="G1888" s="1120">
        <v>30954.26</v>
      </c>
      <c r="H1888" s="1127">
        <v>2004.11</v>
      </c>
      <c r="I1888" s="1127">
        <v>0.0</v>
      </c>
      <c r="J1888" s="1127">
        <v>0.0</v>
      </c>
      <c r="K1888" s="1124"/>
    </row>
    <row r="1889" ht="15.75" customHeight="1">
      <c r="A1889" s="1119">
        <v>102791.0</v>
      </c>
      <c r="B1889" s="1125" t="s">
        <v>12167</v>
      </c>
      <c r="C1889" s="1126" t="s">
        <v>1788</v>
      </c>
      <c r="D1889" s="1128">
        <v>30277.36</v>
      </c>
      <c r="E1889" s="1120">
        <v>5082.76</v>
      </c>
      <c r="F1889" s="1121">
        <f t="shared" si="1"/>
        <v>25194.3</v>
      </c>
      <c r="G1889" s="1120">
        <v>23061.39</v>
      </c>
      <c r="H1889" s="1127">
        <v>2132.91</v>
      </c>
      <c r="I1889" s="1127">
        <v>0.0</v>
      </c>
      <c r="J1889" s="1127">
        <v>0.0</v>
      </c>
      <c r="K1889" s="1124"/>
    </row>
    <row r="1890" ht="15.75" customHeight="1">
      <c r="A1890" s="1119">
        <v>102792.0</v>
      </c>
      <c r="B1890" s="1125" t="s">
        <v>12168</v>
      </c>
      <c r="C1890" s="1126" t="s">
        <v>1788</v>
      </c>
      <c r="D1890" s="1128">
        <v>49269.59</v>
      </c>
      <c r="E1890" s="1120">
        <v>7763.92</v>
      </c>
      <c r="F1890" s="1121">
        <f t="shared" si="1"/>
        <v>41505.16</v>
      </c>
      <c r="G1890" s="1120">
        <v>38257.56</v>
      </c>
      <c r="H1890" s="1127">
        <v>3247.6</v>
      </c>
      <c r="I1890" s="1127">
        <v>0.0</v>
      </c>
      <c r="J1890" s="1127">
        <v>0.0</v>
      </c>
      <c r="K1890" s="1124"/>
    </row>
    <row r="1891" ht="15.75" customHeight="1">
      <c r="A1891" s="1119">
        <v>102793.0</v>
      </c>
      <c r="B1891" s="1125" t="s">
        <v>12169</v>
      </c>
      <c r="C1891" s="1126" t="s">
        <v>1788</v>
      </c>
      <c r="D1891" s="1128">
        <v>66420.85</v>
      </c>
      <c r="E1891" s="1120">
        <v>9626.8</v>
      </c>
      <c r="F1891" s="1121">
        <f t="shared" si="1"/>
        <v>56793.3</v>
      </c>
      <c r="G1891" s="1120">
        <v>52777.72</v>
      </c>
      <c r="H1891" s="1127">
        <v>4015.58</v>
      </c>
      <c r="I1891" s="1127">
        <v>0.0</v>
      </c>
      <c r="J1891" s="1127">
        <v>0.0</v>
      </c>
      <c r="K1891" s="1124"/>
    </row>
    <row r="1892" ht="15.75" customHeight="1">
      <c r="A1892" s="1119">
        <v>102794.0</v>
      </c>
      <c r="B1892" s="1125" t="s">
        <v>12170</v>
      </c>
      <c r="C1892" s="1126" t="s">
        <v>1788</v>
      </c>
      <c r="D1892" s="1128">
        <v>95079.7</v>
      </c>
      <c r="E1892" s="1120">
        <v>13467.58</v>
      </c>
      <c r="F1892" s="1121">
        <f t="shared" si="1"/>
        <v>81611.07</v>
      </c>
      <c r="G1892" s="1120">
        <v>76012.76</v>
      </c>
      <c r="H1892" s="1127">
        <v>5598.31</v>
      </c>
      <c r="I1892" s="1127">
        <v>0.0</v>
      </c>
      <c r="J1892" s="1127">
        <v>0.0</v>
      </c>
      <c r="K1892" s="1124"/>
    </row>
    <row r="1893" ht="15.75" customHeight="1">
      <c r="A1893" s="1119">
        <v>102795.0</v>
      </c>
      <c r="B1893" s="1125" t="s">
        <v>12171</v>
      </c>
      <c r="C1893" s="1126" t="s">
        <v>1788</v>
      </c>
      <c r="D1893" s="1128">
        <v>32331.95</v>
      </c>
      <c r="E1893" s="1120">
        <v>5418.25</v>
      </c>
      <c r="F1893" s="1121">
        <f t="shared" si="1"/>
        <v>26913.36</v>
      </c>
      <c r="G1893" s="1120">
        <v>24636.16</v>
      </c>
      <c r="H1893" s="1127">
        <v>2277.2</v>
      </c>
      <c r="I1893" s="1127">
        <v>0.0</v>
      </c>
      <c r="J1893" s="1127">
        <v>0.0</v>
      </c>
      <c r="K1893" s="1124"/>
    </row>
    <row r="1894" ht="15.75" customHeight="1">
      <c r="A1894" s="1119">
        <v>102796.0</v>
      </c>
      <c r="B1894" s="1125" t="s">
        <v>12172</v>
      </c>
      <c r="C1894" s="1126" t="s">
        <v>1788</v>
      </c>
      <c r="D1894" s="1128">
        <v>52164.88</v>
      </c>
      <c r="E1894" s="1120">
        <v>8131.58</v>
      </c>
      <c r="F1894" s="1121">
        <f t="shared" si="1"/>
        <v>44032.75</v>
      </c>
      <c r="G1894" s="1120">
        <v>40627.95</v>
      </c>
      <c r="H1894" s="1127">
        <v>3404.8</v>
      </c>
      <c r="I1894" s="1127">
        <v>0.0</v>
      </c>
      <c r="J1894" s="1127">
        <v>0.0</v>
      </c>
      <c r="K1894" s="1124"/>
    </row>
    <row r="1895" ht="15.75" customHeight="1">
      <c r="A1895" s="1119">
        <v>102797.0</v>
      </c>
      <c r="B1895" s="1125" t="s">
        <v>12173</v>
      </c>
      <c r="C1895" s="1126" t="s">
        <v>1788</v>
      </c>
      <c r="D1895" s="1128">
        <v>74022.95</v>
      </c>
      <c r="E1895" s="1120">
        <v>11156.4</v>
      </c>
      <c r="F1895" s="1121">
        <f t="shared" si="1"/>
        <v>62865.72</v>
      </c>
      <c r="G1895" s="1120">
        <v>58196.01</v>
      </c>
      <c r="H1895" s="1127">
        <v>4669.71</v>
      </c>
      <c r="I1895" s="1127">
        <v>0.0</v>
      </c>
      <c r="J1895" s="1127">
        <v>0.0</v>
      </c>
      <c r="K1895" s="1124"/>
    </row>
    <row r="1896" ht="15.75" customHeight="1">
      <c r="A1896" s="1119">
        <v>102798.0</v>
      </c>
      <c r="B1896" s="1125" t="s">
        <v>12174</v>
      </c>
      <c r="C1896" s="1126" t="s">
        <v>1788</v>
      </c>
      <c r="D1896" s="1128">
        <v>90551.74</v>
      </c>
      <c r="E1896" s="1120">
        <v>13433.06</v>
      </c>
      <c r="F1896" s="1121">
        <f t="shared" si="1"/>
        <v>77117.67</v>
      </c>
      <c r="G1896" s="1120">
        <v>71507.91</v>
      </c>
      <c r="H1896" s="1127">
        <v>5609.76</v>
      </c>
      <c r="I1896" s="1127">
        <v>0.0</v>
      </c>
      <c r="J1896" s="1127">
        <v>0.0</v>
      </c>
      <c r="K1896" s="1124"/>
    </row>
    <row r="1897" ht="15.75" customHeight="1">
      <c r="A1897" s="1119">
        <v>102799.0</v>
      </c>
      <c r="B1897" s="1125" t="s">
        <v>12175</v>
      </c>
      <c r="C1897" s="1126" t="s">
        <v>1788</v>
      </c>
      <c r="D1897" s="1128">
        <v>33009.67</v>
      </c>
      <c r="E1897" s="1120">
        <v>5547.86</v>
      </c>
      <c r="F1897" s="1121">
        <f t="shared" si="1"/>
        <v>27461.47</v>
      </c>
      <c r="G1897" s="1120">
        <v>25130.09</v>
      </c>
      <c r="H1897" s="1127">
        <v>2331.38</v>
      </c>
      <c r="I1897" s="1127">
        <v>0.0</v>
      </c>
      <c r="J1897" s="1127">
        <v>0.0</v>
      </c>
      <c r="K1897" s="1124"/>
    </row>
    <row r="1898" ht="15.75" customHeight="1">
      <c r="A1898" s="1119">
        <v>102800.0</v>
      </c>
      <c r="B1898" s="1125" t="s">
        <v>12176</v>
      </c>
      <c r="C1898" s="1126" t="s">
        <v>1788</v>
      </c>
      <c r="D1898" s="1128">
        <v>57281.87</v>
      </c>
      <c r="E1898" s="1120">
        <v>8953.95</v>
      </c>
      <c r="F1898" s="1121">
        <f t="shared" si="1"/>
        <v>48327.28</v>
      </c>
      <c r="G1898" s="1120">
        <v>44574.65</v>
      </c>
      <c r="H1898" s="1127">
        <v>3752.63</v>
      </c>
      <c r="I1898" s="1127">
        <v>0.0</v>
      </c>
      <c r="J1898" s="1127">
        <v>0.0</v>
      </c>
      <c r="K1898" s="1124"/>
    </row>
    <row r="1899" ht="15.75" customHeight="1">
      <c r="A1899" s="1119">
        <v>102801.0</v>
      </c>
      <c r="B1899" s="1125" t="s">
        <v>12177</v>
      </c>
      <c r="C1899" s="1126" t="s">
        <v>1788</v>
      </c>
      <c r="D1899" s="1128">
        <v>80281.28</v>
      </c>
      <c r="E1899" s="1120">
        <v>12008.72</v>
      </c>
      <c r="F1899" s="1121">
        <f t="shared" si="1"/>
        <v>68271.63</v>
      </c>
      <c r="G1899" s="1120">
        <v>63243.12</v>
      </c>
      <c r="H1899" s="1127">
        <v>5028.51</v>
      </c>
      <c r="I1899" s="1127">
        <v>0.0</v>
      </c>
      <c r="J1899" s="1127">
        <v>0.0</v>
      </c>
      <c r="K1899" s="1124"/>
    </row>
    <row r="1900" ht="15.75" customHeight="1">
      <c r="A1900" s="1119">
        <v>102802.0</v>
      </c>
      <c r="B1900" s="1125" t="s">
        <v>12178</v>
      </c>
      <c r="C1900" s="1126" t="s">
        <v>1788</v>
      </c>
      <c r="D1900" s="1128">
        <v>96249.33</v>
      </c>
      <c r="E1900" s="1120">
        <v>14270.01</v>
      </c>
      <c r="F1900" s="1121">
        <f t="shared" si="1"/>
        <v>81978.2</v>
      </c>
      <c r="G1900" s="1120">
        <v>76009.5</v>
      </c>
      <c r="H1900" s="1127">
        <v>5968.7</v>
      </c>
      <c r="I1900" s="1127">
        <v>0.0</v>
      </c>
      <c r="J1900" s="1127">
        <v>0.0</v>
      </c>
      <c r="K1900" s="1124"/>
    </row>
    <row r="1901" ht="15.75" customHeight="1">
      <c r="A1901" s="1119">
        <v>101570.0</v>
      </c>
      <c r="B1901" s="1125" t="s">
        <v>12179</v>
      </c>
      <c r="C1901" s="1126" t="s">
        <v>1814</v>
      </c>
      <c r="D1901" s="1119">
        <v>28.67</v>
      </c>
      <c r="E1901" s="1120">
        <v>14.68</v>
      </c>
      <c r="F1901" s="1121">
        <f t="shared" si="1"/>
        <v>14</v>
      </c>
      <c r="G1901" s="1120">
        <v>14.0</v>
      </c>
      <c r="H1901" s="1127">
        <v>0.0</v>
      </c>
      <c r="I1901" s="1127">
        <v>0.0</v>
      </c>
      <c r="J1901" s="1127">
        <v>0.0</v>
      </c>
      <c r="K1901" s="1124"/>
    </row>
    <row r="1902" ht="15.75" customHeight="1">
      <c r="A1902" s="1119">
        <v>101571.0</v>
      </c>
      <c r="B1902" s="1125" t="s">
        <v>12180</v>
      </c>
      <c r="C1902" s="1126" t="s">
        <v>1814</v>
      </c>
      <c r="D1902" s="1119">
        <v>38.7</v>
      </c>
      <c r="E1902" s="1120">
        <v>21.68</v>
      </c>
      <c r="F1902" s="1121">
        <f t="shared" si="1"/>
        <v>17.01</v>
      </c>
      <c r="G1902" s="1120">
        <v>17.01</v>
      </c>
      <c r="H1902" s="1127">
        <v>0.0</v>
      </c>
      <c r="I1902" s="1127">
        <v>0.0</v>
      </c>
      <c r="J1902" s="1127">
        <v>0.0</v>
      </c>
      <c r="K1902" s="1124"/>
    </row>
    <row r="1903" ht="15.75" customHeight="1">
      <c r="A1903" s="1119">
        <v>101572.0</v>
      </c>
      <c r="B1903" s="1125" t="s">
        <v>12181</v>
      </c>
      <c r="C1903" s="1126" t="s">
        <v>1814</v>
      </c>
      <c r="D1903" s="1119">
        <v>22.57</v>
      </c>
      <c r="E1903" s="1120">
        <v>10.89</v>
      </c>
      <c r="F1903" s="1121">
        <f t="shared" si="1"/>
        <v>11.68</v>
      </c>
      <c r="G1903" s="1120">
        <v>11.68</v>
      </c>
      <c r="H1903" s="1127">
        <v>0.0</v>
      </c>
      <c r="I1903" s="1127">
        <v>0.0</v>
      </c>
      <c r="J1903" s="1127">
        <v>0.0</v>
      </c>
      <c r="K1903" s="1124"/>
    </row>
    <row r="1904" ht="15.75" customHeight="1">
      <c r="A1904" s="1119">
        <v>101573.0</v>
      </c>
      <c r="B1904" s="1125" t="s">
        <v>12182</v>
      </c>
      <c r="C1904" s="1126" t="s">
        <v>1814</v>
      </c>
      <c r="D1904" s="1119">
        <v>32.61</v>
      </c>
      <c r="E1904" s="1120">
        <v>17.93</v>
      </c>
      <c r="F1904" s="1121">
        <f t="shared" si="1"/>
        <v>14.68</v>
      </c>
      <c r="G1904" s="1120">
        <v>14.68</v>
      </c>
      <c r="H1904" s="1127">
        <v>0.0</v>
      </c>
      <c r="I1904" s="1127">
        <v>0.0</v>
      </c>
      <c r="J1904" s="1127">
        <v>0.0</v>
      </c>
      <c r="K1904" s="1124"/>
    </row>
    <row r="1905" ht="15.75" customHeight="1">
      <c r="A1905" s="1119">
        <v>101574.0</v>
      </c>
      <c r="B1905" s="1125" t="s">
        <v>12183</v>
      </c>
      <c r="C1905" s="1126" t="s">
        <v>1814</v>
      </c>
      <c r="D1905" s="1119">
        <v>17.39</v>
      </c>
      <c r="E1905" s="1120">
        <v>7.11</v>
      </c>
      <c r="F1905" s="1121">
        <f t="shared" si="1"/>
        <v>10.28</v>
      </c>
      <c r="G1905" s="1120">
        <v>10.28</v>
      </c>
      <c r="H1905" s="1127">
        <v>0.0</v>
      </c>
      <c r="I1905" s="1127">
        <v>0.0</v>
      </c>
      <c r="J1905" s="1127">
        <v>0.0</v>
      </c>
      <c r="K1905" s="1124"/>
    </row>
    <row r="1906" ht="15.75" customHeight="1">
      <c r="A1906" s="1119">
        <v>101575.0</v>
      </c>
      <c r="B1906" s="1125" t="s">
        <v>12184</v>
      </c>
      <c r="C1906" s="1126" t="s">
        <v>1814</v>
      </c>
      <c r="D1906" s="1119">
        <v>27.66</v>
      </c>
      <c r="E1906" s="1120">
        <v>14.17</v>
      </c>
      <c r="F1906" s="1121">
        <f t="shared" si="1"/>
        <v>13.5</v>
      </c>
      <c r="G1906" s="1120">
        <v>13.5</v>
      </c>
      <c r="H1906" s="1127">
        <v>0.0</v>
      </c>
      <c r="I1906" s="1127">
        <v>0.0</v>
      </c>
      <c r="J1906" s="1127">
        <v>0.0</v>
      </c>
      <c r="K1906" s="1124"/>
    </row>
    <row r="1907" ht="15.75" customHeight="1">
      <c r="A1907" s="1119">
        <v>101576.0</v>
      </c>
      <c r="B1907" s="1125" t="s">
        <v>12185</v>
      </c>
      <c r="C1907" s="1126" t="s">
        <v>1814</v>
      </c>
      <c r="D1907" s="1119">
        <v>52.22</v>
      </c>
      <c r="E1907" s="1120">
        <v>19.01</v>
      </c>
      <c r="F1907" s="1121">
        <f t="shared" si="1"/>
        <v>33.21</v>
      </c>
      <c r="G1907" s="1120">
        <v>33.21</v>
      </c>
      <c r="H1907" s="1127">
        <v>0.0</v>
      </c>
      <c r="I1907" s="1127">
        <v>0.0</v>
      </c>
      <c r="J1907" s="1127">
        <v>0.0</v>
      </c>
      <c r="K1907" s="1124"/>
    </row>
    <row r="1908" ht="15.75" customHeight="1">
      <c r="A1908" s="1119">
        <v>101577.0</v>
      </c>
      <c r="B1908" s="1125" t="s">
        <v>12186</v>
      </c>
      <c r="C1908" s="1126" t="s">
        <v>1814</v>
      </c>
      <c r="D1908" s="1119">
        <v>65.06</v>
      </c>
      <c r="E1908" s="1120">
        <v>28.11</v>
      </c>
      <c r="F1908" s="1121">
        <f t="shared" si="1"/>
        <v>36.94</v>
      </c>
      <c r="G1908" s="1120">
        <v>36.94</v>
      </c>
      <c r="H1908" s="1127">
        <v>0.0</v>
      </c>
      <c r="I1908" s="1127">
        <v>0.0</v>
      </c>
      <c r="J1908" s="1127">
        <v>0.0</v>
      </c>
      <c r="K1908" s="1124"/>
    </row>
    <row r="1909" ht="15.75" customHeight="1">
      <c r="A1909" s="1119">
        <v>101578.0</v>
      </c>
      <c r="B1909" s="1125" t="s">
        <v>12187</v>
      </c>
      <c r="C1909" s="1126" t="s">
        <v>1814</v>
      </c>
      <c r="D1909" s="1119">
        <v>43.33</v>
      </c>
      <c r="E1909" s="1120">
        <v>14.11</v>
      </c>
      <c r="F1909" s="1121">
        <f t="shared" si="1"/>
        <v>29.22</v>
      </c>
      <c r="G1909" s="1120">
        <v>29.22</v>
      </c>
      <c r="H1909" s="1127">
        <v>0.0</v>
      </c>
      <c r="I1909" s="1127">
        <v>0.0</v>
      </c>
      <c r="J1909" s="1127">
        <v>0.0</v>
      </c>
      <c r="K1909" s="1124"/>
    </row>
    <row r="1910" ht="15.75" customHeight="1">
      <c r="A1910" s="1119">
        <v>101579.0</v>
      </c>
      <c r="B1910" s="1125" t="s">
        <v>12188</v>
      </c>
      <c r="C1910" s="1126" t="s">
        <v>1814</v>
      </c>
      <c r="D1910" s="1119">
        <v>56.17</v>
      </c>
      <c r="E1910" s="1120">
        <v>23.24</v>
      </c>
      <c r="F1910" s="1121">
        <f t="shared" si="1"/>
        <v>32.95</v>
      </c>
      <c r="G1910" s="1120">
        <v>32.95</v>
      </c>
      <c r="H1910" s="1127">
        <v>0.0</v>
      </c>
      <c r="I1910" s="1127">
        <v>0.0</v>
      </c>
      <c r="J1910" s="1127">
        <v>0.0</v>
      </c>
      <c r="K1910" s="1124"/>
    </row>
    <row r="1911" ht="15.75" customHeight="1">
      <c r="A1911" s="1119">
        <v>101580.0</v>
      </c>
      <c r="B1911" s="1125" t="s">
        <v>12189</v>
      </c>
      <c r="C1911" s="1126" t="s">
        <v>1814</v>
      </c>
      <c r="D1911" s="1119">
        <v>38.69</v>
      </c>
      <c r="E1911" s="1120">
        <v>9.22</v>
      </c>
      <c r="F1911" s="1121">
        <f t="shared" si="1"/>
        <v>29.48</v>
      </c>
      <c r="G1911" s="1120">
        <v>29.48</v>
      </c>
      <c r="H1911" s="1127">
        <v>0.0</v>
      </c>
      <c r="I1911" s="1127">
        <v>0.0</v>
      </c>
      <c r="J1911" s="1127">
        <v>0.0</v>
      </c>
      <c r="K1911" s="1124"/>
    </row>
    <row r="1912" ht="15.75" customHeight="1">
      <c r="A1912" s="1119">
        <v>101581.0</v>
      </c>
      <c r="B1912" s="1125" t="s">
        <v>12190</v>
      </c>
      <c r="C1912" s="1126" t="s">
        <v>1814</v>
      </c>
      <c r="D1912" s="1119">
        <v>51.75</v>
      </c>
      <c r="E1912" s="1120">
        <v>18.34</v>
      </c>
      <c r="F1912" s="1121">
        <f t="shared" si="1"/>
        <v>33.42</v>
      </c>
      <c r="G1912" s="1120">
        <v>33.42</v>
      </c>
      <c r="H1912" s="1127">
        <v>0.0</v>
      </c>
      <c r="I1912" s="1127">
        <v>0.0</v>
      </c>
      <c r="J1912" s="1127">
        <v>0.0</v>
      </c>
      <c r="K1912" s="1124"/>
    </row>
    <row r="1913" ht="15.75" customHeight="1">
      <c r="A1913" s="1119">
        <v>101582.0</v>
      </c>
      <c r="B1913" s="1125" t="s">
        <v>12191</v>
      </c>
      <c r="C1913" s="1126" t="s">
        <v>1814</v>
      </c>
      <c r="D1913" s="1119">
        <v>85.93</v>
      </c>
      <c r="E1913" s="1120">
        <v>30.07</v>
      </c>
      <c r="F1913" s="1121">
        <f t="shared" si="1"/>
        <v>55.85</v>
      </c>
      <c r="G1913" s="1120">
        <v>55.85</v>
      </c>
      <c r="H1913" s="1127">
        <v>0.0</v>
      </c>
      <c r="I1913" s="1127">
        <v>0.0</v>
      </c>
      <c r="J1913" s="1127">
        <v>0.0</v>
      </c>
      <c r="K1913" s="1124"/>
    </row>
    <row r="1914" ht="15.75" customHeight="1">
      <c r="A1914" s="1119">
        <v>101583.0</v>
      </c>
      <c r="B1914" s="1125" t="s">
        <v>12192</v>
      </c>
      <c r="C1914" s="1126" t="s">
        <v>1814</v>
      </c>
      <c r="D1914" s="1119">
        <v>105.93</v>
      </c>
      <c r="E1914" s="1120">
        <v>44.53</v>
      </c>
      <c r="F1914" s="1121">
        <f t="shared" si="1"/>
        <v>61.39</v>
      </c>
      <c r="G1914" s="1120">
        <v>61.39</v>
      </c>
      <c r="H1914" s="1127">
        <v>0.0</v>
      </c>
      <c r="I1914" s="1127">
        <v>0.0</v>
      </c>
      <c r="J1914" s="1127">
        <v>0.0</v>
      </c>
      <c r="K1914" s="1124"/>
    </row>
    <row r="1915" ht="15.75" customHeight="1">
      <c r="A1915" s="1119">
        <v>101584.0</v>
      </c>
      <c r="B1915" s="1125" t="s">
        <v>12193</v>
      </c>
      <c r="C1915" s="1126" t="s">
        <v>1814</v>
      </c>
      <c r="D1915" s="1119">
        <v>70.88</v>
      </c>
      <c r="E1915" s="1120">
        <v>22.34</v>
      </c>
      <c r="F1915" s="1121">
        <f t="shared" si="1"/>
        <v>48.55</v>
      </c>
      <c r="G1915" s="1120">
        <v>48.55</v>
      </c>
      <c r="H1915" s="1127">
        <v>0.0</v>
      </c>
      <c r="I1915" s="1127">
        <v>0.0</v>
      </c>
      <c r="J1915" s="1127">
        <v>0.0</v>
      </c>
      <c r="K1915" s="1124"/>
    </row>
    <row r="1916" ht="15.75" customHeight="1">
      <c r="A1916" s="1119">
        <v>101585.0</v>
      </c>
      <c r="B1916" s="1125" t="s">
        <v>12194</v>
      </c>
      <c r="C1916" s="1126" t="s">
        <v>1814</v>
      </c>
      <c r="D1916" s="1119">
        <v>90.88</v>
      </c>
      <c r="E1916" s="1120">
        <v>36.78</v>
      </c>
      <c r="F1916" s="1121">
        <f t="shared" si="1"/>
        <v>54.12</v>
      </c>
      <c r="G1916" s="1120">
        <v>54.12</v>
      </c>
      <c r="H1916" s="1127">
        <v>0.0</v>
      </c>
      <c r="I1916" s="1127">
        <v>0.0</v>
      </c>
      <c r="J1916" s="1127">
        <v>0.0</v>
      </c>
      <c r="K1916" s="1124"/>
    </row>
    <row r="1917" ht="15.75" customHeight="1">
      <c r="A1917" s="1119">
        <v>101586.0</v>
      </c>
      <c r="B1917" s="1125" t="s">
        <v>12195</v>
      </c>
      <c r="C1917" s="1126" t="s">
        <v>1814</v>
      </c>
      <c r="D1917" s="1119">
        <v>61.72</v>
      </c>
      <c r="E1917" s="1120">
        <v>14.6</v>
      </c>
      <c r="F1917" s="1121">
        <f t="shared" si="1"/>
        <v>47.13</v>
      </c>
      <c r="G1917" s="1120">
        <v>47.13</v>
      </c>
      <c r="H1917" s="1127">
        <v>0.0</v>
      </c>
      <c r="I1917" s="1127">
        <v>0.0</v>
      </c>
      <c r="J1917" s="1127">
        <v>0.0</v>
      </c>
      <c r="K1917" s="1124"/>
    </row>
    <row r="1918" ht="15.75" customHeight="1">
      <c r="A1918" s="1119">
        <v>101587.0</v>
      </c>
      <c r="B1918" s="1125" t="s">
        <v>12196</v>
      </c>
      <c r="C1918" s="1126" t="s">
        <v>1814</v>
      </c>
      <c r="D1918" s="1119">
        <v>81.93</v>
      </c>
      <c r="E1918" s="1120">
        <v>29.05</v>
      </c>
      <c r="F1918" s="1121">
        <f t="shared" si="1"/>
        <v>52.89</v>
      </c>
      <c r="G1918" s="1120">
        <v>52.89</v>
      </c>
      <c r="H1918" s="1127">
        <v>0.0</v>
      </c>
      <c r="I1918" s="1127">
        <v>0.0</v>
      </c>
      <c r="J1918" s="1127">
        <v>0.0</v>
      </c>
      <c r="K1918" s="1124"/>
    </row>
    <row r="1919" ht="15.75" customHeight="1">
      <c r="A1919" s="1119">
        <v>101588.0</v>
      </c>
      <c r="B1919" s="1125" t="s">
        <v>12197</v>
      </c>
      <c r="C1919" s="1126" t="s">
        <v>1814</v>
      </c>
      <c r="D1919" s="1119">
        <v>96.45</v>
      </c>
      <c r="E1919" s="1120">
        <v>34.91</v>
      </c>
      <c r="F1919" s="1121">
        <f t="shared" si="1"/>
        <v>61.56</v>
      </c>
      <c r="G1919" s="1120">
        <v>29.97</v>
      </c>
      <c r="H1919" s="1127">
        <v>31.59</v>
      </c>
      <c r="I1919" s="1127">
        <v>0.0</v>
      </c>
      <c r="J1919" s="1127">
        <v>0.0</v>
      </c>
      <c r="K1919" s="1124"/>
    </row>
    <row r="1920" ht="15.75" customHeight="1">
      <c r="A1920" s="1119">
        <v>101589.0</v>
      </c>
      <c r="B1920" s="1125" t="s">
        <v>12198</v>
      </c>
      <c r="C1920" s="1126" t="s">
        <v>1814</v>
      </c>
      <c r="D1920" s="1119">
        <v>139.96</v>
      </c>
      <c r="E1920" s="1120">
        <v>51.7</v>
      </c>
      <c r="F1920" s="1121">
        <f t="shared" si="1"/>
        <v>88.28</v>
      </c>
      <c r="G1920" s="1120">
        <v>41.54</v>
      </c>
      <c r="H1920" s="1127">
        <v>46.74</v>
      </c>
      <c r="I1920" s="1127">
        <v>0.0</v>
      </c>
      <c r="J1920" s="1127">
        <v>0.0</v>
      </c>
      <c r="K1920" s="1124"/>
    </row>
    <row r="1921" ht="15.75" customHeight="1">
      <c r="A1921" s="1119">
        <v>101590.0</v>
      </c>
      <c r="B1921" s="1125" t="s">
        <v>12199</v>
      </c>
      <c r="C1921" s="1126" t="s">
        <v>1814</v>
      </c>
      <c r="D1921" s="1119">
        <v>73.38</v>
      </c>
      <c r="E1921" s="1120">
        <v>25.96</v>
      </c>
      <c r="F1921" s="1121">
        <f t="shared" si="1"/>
        <v>47.45</v>
      </c>
      <c r="G1921" s="1120">
        <v>23.99</v>
      </c>
      <c r="H1921" s="1127">
        <v>23.46</v>
      </c>
      <c r="I1921" s="1127">
        <v>0.0</v>
      </c>
      <c r="J1921" s="1127">
        <v>0.0</v>
      </c>
      <c r="K1921" s="1124"/>
    </row>
    <row r="1922" ht="15.75" customHeight="1">
      <c r="A1922" s="1119">
        <v>101591.0</v>
      </c>
      <c r="B1922" s="1125" t="s">
        <v>12200</v>
      </c>
      <c r="C1922" s="1126" t="s">
        <v>1814</v>
      </c>
      <c r="D1922" s="1119">
        <v>116.88</v>
      </c>
      <c r="E1922" s="1120">
        <v>42.7</v>
      </c>
      <c r="F1922" s="1121">
        <f t="shared" si="1"/>
        <v>74.19</v>
      </c>
      <c r="G1922" s="1120">
        <v>35.56</v>
      </c>
      <c r="H1922" s="1127">
        <v>38.63</v>
      </c>
      <c r="I1922" s="1127">
        <v>0.0</v>
      </c>
      <c r="J1922" s="1127">
        <v>0.0</v>
      </c>
      <c r="K1922" s="1124"/>
    </row>
    <row r="1923" ht="15.75" customHeight="1">
      <c r="A1923" s="1119">
        <v>101592.0</v>
      </c>
      <c r="B1923" s="1125" t="s">
        <v>12201</v>
      </c>
      <c r="C1923" s="1126" t="s">
        <v>1814</v>
      </c>
      <c r="D1923" s="1119">
        <v>52.45</v>
      </c>
      <c r="E1923" s="1120">
        <v>16.95</v>
      </c>
      <c r="F1923" s="1121">
        <f t="shared" si="1"/>
        <v>35.51</v>
      </c>
      <c r="G1923" s="1120">
        <v>20.16</v>
      </c>
      <c r="H1923" s="1127">
        <v>15.35</v>
      </c>
      <c r="I1923" s="1127">
        <v>0.0</v>
      </c>
      <c r="J1923" s="1127">
        <v>0.0</v>
      </c>
      <c r="K1923" s="1124"/>
    </row>
    <row r="1924" ht="15.75" customHeight="1">
      <c r="A1924" s="1119">
        <v>101593.0</v>
      </c>
      <c r="B1924" s="1125" t="s">
        <v>12202</v>
      </c>
      <c r="C1924" s="1126" t="s">
        <v>1814</v>
      </c>
      <c r="D1924" s="1119">
        <v>96.14</v>
      </c>
      <c r="E1924" s="1120">
        <v>33.73</v>
      </c>
      <c r="F1924" s="1121">
        <f t="shared" si="1"/>
        <v>62.44</v>
      </c>
      <c r="G1924" s="1120">
        <v>31.95</v>
      </c>
      <c r="H1924" s="1127">
        <v>30.49</v>
      </c>
      <c r="I1924" s="1127">
        <v>0.0</v>
      </c>
      <c r="J1924" s="1127">
        <v>0.0</v>
      </c>
      <c r="K1924" s="1124"/>
    </row>
    <row r="1925" ht="15.75" customHeight="1">
      <c r="A1925" s="1119">
        <v>101600.0</v>
      </c>
      <c r="B1925" s="1125" t="s">
        <v>12203</v>
      </c>
      <c r="C1925" s="1126" t="s">
        <v>1814</v>
      </c>
      <c r="D1925" s="1119">
        <v>17.79</v>
      </c>
      <c r="E1925" s="1120">
        <v>6.97</v>
      </c>
      <c r="F1925" s="1121">
        <f t="shared" si="1"/>
        <v>10.85</v>
      </c>
      <c r="G1925" s="1120">
        <v>4.54</v>
      </c>
      <c r="H1925" s="1127">
        <v>6.31</v>
      </c>
      <c r="I1925" s="1127">
        <v>0.0</v>
      </c>
      <c r="J1925" s="1127">
        <v>0.0</v>
      </c>
      <c r="K1925" s="1124"/>
    </row>
    <row r="1926" ht="15.75" customHeight="1">
      <c r="A1926" s="1119">
        <v>101601.0</v>
      </c>
      <c r="B1926" s="1125" t="s">
        <v>12204</v>
      </c>
      <c r="C1926" s="1126" t="s">
        <v>1814</v>
      </c>
      <c r="D1926" s="1119">
        <v>26.33</v>
      </c>
      <c r="E1926" s="1120">
        <v>10.32</v>
      </c>
      <c r="F1926" s="1121">
        <f t="shared" si="1"/>
        <v>16.04</v>
      </c>
      <c r="G1926" s="1120">
        <v>6.71</v>
      </c>
      <c r="H1926" s="1127">
        <v>9.33</v>
      </c>
      <c r="I1926" s="1127">
        <v>0.0</v>
      </c>
      <c r="J1926" s="1127">
        <v>0.0</v>
      </c>
      <c r="K1926" s="1124"/>
    </row>
    <row r="1927" ht="15.75" customHeight="1">
      <c r="A1927" s="1119">
        <v>101602.0</v>
      </c>
      <c r="B1927" s="1125" t="s">
        <v>12205</v>
      </c>
      <c r="C1927" s="1126" t="s">
        <v>1814</v>
      </c>
      <c r="D1927" s="1119">
        <v>13.19</v>
      </c>
      <c r="E1927" s="1120">
        <v>5.19</v>
      </c>
      <c r="F1927" s="1121">
        <f t="shared" si="1"/>
        <v>8.04</v>
      </c>
      <c r="G1927" s="1120">
        <v>3.35</v>
      </c>
      <c r="H1927" s="1127">
        <v>4.69</v>
      </c>
      <c r="I1927" s="1127">
        <v>0.0</v>
      </c>
      <c r="J1927" s="1127">
        <v>0.0</v>
      </c>
      <c r="K1927" s="1124"/>
    </row>
    <row r="1928" ht="15.75" customHeight="1">
      <c r="A1928" s="1119">
        <v>101603.0</v>
      </c>
      <c r="B1928" s="1125" t="s">
        <v>12206</v>
      </c>
      <c r="C1928" s="1126" t="s">
        <v>1814</v>
      </c>
      <c r="D1928" s="1119">
        <v>21.74</v>
      </c>
      <c r="E1928" s="1120">
        <v>8.52</v>
      </c>
      <c r="F1928" s="1121">
        <f t="shared" si="1"/>
        <v>13.24</v>
      </c>
      <c r="G1928" s="1120">
        <v>5.52</v>
      </c>
      <c r="H1928" s="1127">
        <v>7.72</v>
      </c>
      <c r="I1928" s="1127">
        <v>0.0</v>
      </c>
      <c r="J1928" s="1127">
        <v>0.0</v>
      </c>
      <c r="K1928" s="1124"/>
    </row>
    <row r="1929" ht="15.75" customHeight="1">
      <c r="A1929" s="1119">
        <v>101604.0</v>
      </c>
      <c r="B1929" s="1125" t="s">
        <v>12207</v>
      </c>
      <c r="C1929" s="1126" t="s">
        <v>1814</v>
      </c>
      <c r="D1929" s="1119">
        <v>8.63</v>
      </c>
      <c r="E1929" s="1120">
        <v>3.4</v>
      </c>
      <c r="F1929" s="1121">
        <f t="shared" si="1"/>
        <v>5.25</v>
      </c>
      <c r="G1929" s="1120">
        <v>2.17</v>
      </c>
      <c r="H1929" s="1127">
        <v>3.08</v>
      </c>
      <c r="I1929" s="1127">
        <v>0.0</v>
      </c>
      <c r="J1929" s="1127">
        <v>0.0</v>
      </c>
      <c r="K1929" s="1124"/>
    </row>
    <row r="1930" ht="15.75" customHeight="1">
      <c r="A1930" s="1119">
        <v>101605.0</v>
      </c>
      <c r="B1930" s="1125" t="s">
        <v>12208</v>
      </c>
      <c r="C1930" s="1126" t="s">
        <v>1814</v>
      </c>
      <c r="D1930" s="1119">
        <v>17.17</v>
      </c>
      <c r="E1930" s="1120">
        <v>6.74</v>
      </c>
      <c r="F1930" s="1121">
        <f t="shared" si="1"/>
        <v>10.47</v>
      </c>
      <c r="G1930" s="1120">
        <v>4.36</v>
      </c>
      <c r="H1930" s="1127">
        <v>6.11</v>
      </c>
      <c r="I1930" s="1127">
        <v>0.0</v>
      </c>
      <c r="J1930" s="1127">
        <v>0.0</v>
      </c>
      <c r="K1930" s="1124"/>
    </row>
    <row r="1931" ht="15.75" customHeight="1">
      <c r="A1931" s="1119">
        <v>90788.0</v>
      </c>
      <c r="B1931" s="1125" t="s">
        <v>12209</v>
      </c>
      <c r="C1931" s="1126" t="s">
        <v>1788</v>
      </c>
      <c r="D1931" s="1119">
        <v>782.53</v>
      </c>
      <c r="E1931" s="1120">
        <v>14.62</v>
      </c>
      <c r="F1931" s="1121">
        <f t="shared" si="1"/>
        <v>767.93</v>
      </c>
      <c r="G1931" s="1120">
        <v>767.93</v>
      </c>
      <c r="H1931" s="1127">
        <v>0.0</v>
      </c>
      <c r="I1931" s="1127">
        <v>0.0</v>
      </c>
      <c r="J1931" s="1127">
        <v>0.0</v>
      </c>
      <c r="K1931" s="1124"/>
    </row>
    <row r="1932" ht="15.75" customHeight="1">
      <c r="A1932" s="1119">
        <v>90789.0</v>
      </c>
      <c r="B1932" s="1125" t="s">
        <v>12210</v>
      </c>
      <c r="C1932" s="1126" t="s">
        <v>1788</v>
      </c>
      <c r="D1932" s="1119">
        <v>784.62</v>
      </c>
      <c r="E1932" s="1120">
        <v>16.14</v>
      </c>
      <c r="F1932" s="1121">
        <f t="shared" si="1"/>
        <v>768.48</v>
      </c>
      <c r="G1932" s="1120">
        <v>768.48</v>
      </c>
      <c r="H1932" s="1127">
        <v>0.0</v>
      </c>
      <c r="I1932" s="1127">
        <v>0.0</v>
      </c>
      <c r="J1932" s="1127">
        <v>0.0</v>
      </c>
      <c r="K1932" s="1124"/>
    </row>
    <row r="1933" ht="15.75" customHeight="1">
      <c r="A1933" s="1119">
        <v>90790.0</v>
      </c>
      <c r="B1933" s="1125" t="s">
        <v>12211</v>
      </c>
      <c r="C1933" s="1126" t="s">
        <v>1788</v>
      </c>
      <c r="D1933" s="1119">
        <v>809.58</v>
      </c>
      <c r="E1933" s="1120">
        <v>17.64</v>
      </c>
      <c r="F1933" s="1121">
        <f t="shared" si="1"/>
        <v>791.95</v>
      </c>
      <c r="G1933" s="1120">
        <v>791.95</v>
      </c>
      <c r="H1933" s="1127">
        <v>0.0</v>
      </c>
      <c r="I1933" s="1127">
        <v>0.0</v>
      </c>
      <c r="J1933" s="1127">
        <v>0.0</v>
      </c>
      <c r="K1933" s="1124"/>
    </row>
    <row r="1934" ht="15.75" customHeight="1">
      <c r="A1934" s="1119">
        <v>90791.0</v>
      </c>
      <c r="B1934" s="1125" t="s">
        <v>12212</v>
      </c>
      <c r="C1934" s="1126" t="s">
        <v>1788</v>
      </c>
      <c r="D1934" s="1119">
        <v>949.88</v>
      </c>
      <c r="E1934" s="1120">
        <v>23.85</v>
      </c>
      <c r="F1934" s="1121">
        <f t="shared" si="1"/>
        <v>926.03</v>
      </c>
      <c r="G1934" s="1120">
        <v>926.03</v>
      </c>
      <c r="H1934" s="1127">
        <v>0.0</v>
      </c>
      <c r="I1934" s="1127">
        <v>0.0</v>
      </c>
      <c r="J1934" s="1127">
        <v>0.0</v>
      </c>
      <c r="K1934" s="1124"/>
    </row>
    <row r="1935" ht="15.75" customHeight="1">
      <c r="A1935" s="1119">
        <v>90793.0</v>
      </c>
      <c r="B1935" s="1125" t="s">
        <v>12213</v>
      </c>
      <c r="C1935" s="1126" t="s">
        <v>1788</v>
      </c>
      <c r="D1935" s="1128">
        <v>1004.98</v>
      </c>
      <c r="E1935" s="1120">
        <v>29.53</v>
      </c>
      <c r="F1935" s="1121">
        <f t="shared" si="1"/>
        <v>975.46</v>
      </c>
      <c r="G1935" s="1120">
        <v>975.46</v>
      </c>
      <c r="H1935" s="1127">
        <v>0.0</v>
      </c>
      <c r="I1935" s="1127">
        <v>0.0</v>
      </c>
      <c r="J1935" s="1127">
        <v>0.0</v>
      </c>
      <c r="K1935" s="1124"/>
    </row>
    <row r="1936" ht="15.75" customHeight="1">
      <c r="A1936" s="1119">
        <v>90794.0</v>
      </c>
      <c r="B1936" s="1125" t="s">
        <v>12214</v>
      </c>
      <c r="C1936" s="1126" t="s">
        <v>1788</v>
      </c>
      <c r="D1936" s="1119">
        <v>691.97</v>
      </c>
      <c r="E1936" s="1120">
        <v>62.09</v>
      </c>
      <c r="F1936" s="1121">
        <f t="shared" si="1"/>
        <v>629.87</v>
      </c>
      <c r="G1936" s="1120">
        <v>629.87</v>
      </c>
      <c r="H1936" s="1127">
        <v>0.0</v>
      </c>
      <c r="I1936" s="1127">
        <v>0.0</v>
      </c>
      <c r="J1936" s="1127">
        <v>0.0</v>
      </c>
      <c r="K1936" s="1124"/>
    </row>
    <row r="1937" ht="15.75" customHeight="1">
      <c r="A1937" s="1119">
        <v>90795.0</v>
      </c>
      <c r="B1937" s="1125" t="s">
        <v>12215</v>
      </c>
      <c r="C1937" s="1126" t="s">
        <v>1788</v>
      </c>
      <c r="D1937" s="1119">
        <v>700.81</v>
      </c>
      <c r="E1937" s="1120">
        <v>68.54</v>
      </c>
      <c r="F1937" s="1121">
        <f t="shared" si="1"/>
        <v>632.28</v>
      </c>
      <c r="G1937" s="1120">
        <v>632.28</v>
      </c>
      <c r="H1937" s="1127">
        <v>0.0</v>
      </c>
      <c r="I1937" s="1127">
        <v>0.0</v>
      </c>
      <c r="J1937" s="1127">
        <v>0.0</v>
      </c>
      <c r="K1937" s="1124"/>
    </row>
    <row r="1938" ht="15.75" customHeight="1">
      <c r="A1938" s="1119">
        <v>90796.0</v>
      </c>
      <c r="B1938" s="1125" t="s">
        <v>12216</v>
      </c>
      <c r="C1938" s="1126" t="s">
        <v>1788</v>
      </c>
      <c r="D1938" s="1119">
        <v>709.64</v>
      </c>
      <c r="E1938" s="1120">
        <v>74.95</v>
      </c>
      <c r="F1938" s="1121">
        <f t="shared" si="1"/>
        <v>634.69</v>
      </c>
      <c r="G1938" s="1120">
        <v>634.69</v>
      </c>
      <c r="H1938" s="1127">
        <v>0.0</v>
      </c>
      <c r="I1938" s="1127">
        <v>0.0</v>
      </c>
      <c r="J1938" s="1127">
        <v>0.0</v>
      </c>
      <c r="K1938" s="1124"/>
    </row>
    <row r="1939" ht="15.75" customHeight="1">
      <c r="A1939" s="1119">
        <v>90797.0</v>
      </c>
      <c r="B1939" s="1125" t="s">
        <v>12217</v>
      </c>
      <c r="C1939" s="1126" t="s">
        <v>1788</v>
      </c>
      <c r="D1939" s="1119">
        <v>718.48</v>
      </c>
      <c r="E1939" s="1120">
        <v>81.38</v>
      </c>
      <c r="F1939" s="1121">
        <f t="shared" si="1"/>
        <v>637.1</v>
      </c>
      <c r="G1939" s="1120">
        <v>637.1</v>
      </c>
      <c r="H1939" s="1127">
        <v>0.0</v>
      </c>
      <c r="I1939" s="1127">
        <v>0.0</v>
      </c>
      <c r="J1939" s="1127">
        <v>0.0</v>
      </c>
      <c r="K1939" s="1124"/>
    </row>
    <row r="1940" ht="15.75" customHeight="1">
      <c r="A1940" s="1119">
        <v>90798.0</v>
      </c>
      <c r="B1940" s="1125" t="s">
        <v>12218</v>
      </c>
      <c r="C1940" s="1126" t="s">
        <v>1788</v>
      </c>
      <c r="D1940" s="1128">
        <v>1030.75</v>
      </c>
      <c r="E1940" s="1120">
        <v>84.36</v>
      </c>
      <c r="F1940" s="1121">
        <f t="shared" si="1"/>
        <v>946.4</v>
      </c>
      <c r="G1940" s="1120">
        <v>946.4</v>
      </c>
      <c r="H1940" s="1127">
        <v>0.0</v>
      </c>
      <c r="I1940" s="1127">
        <v>0.0</v>
      </c>
      <c r="J1940" s="1127">
        <v>0.0</v>
      </c>
      <c r="K1940" s="1124"/>
    </row>
    <row r="1941" ht="15.75" customHeight="1">
      <c r="A1941" s="1119">
        <v>90799.0</v>
      </c>
      <c r="B1941" s="1125" t="s">
        <v>12219</v>
      </c>
      <c r="C1941" s="1126" t="s">
        <v>1788</v>
      </c>
      <c r="D1941" s="1128">
        <v>1065.2</v>
      </c>
      <c r="E1941" s="1120">
        <v>91.59</v>
      </c>
      <c r="F1941" s="1121">
        <f t="shared" si="1"/>
        <v>973.63</v>
      </c>
      <c r="G1941" s="1120">
        <v>973.63</v>
      </c>
      <c r="H1941" s="1127">
        <v>0.0</v>
      </c>
      <c r="I1941" s="1127">
        <v>0.0</v>
      </c>
      <c r="J1941" s="1127">
        <v>0.0</v>
      </c>
      <c r="K1941" s="1124"/>
    </row>
    <row r="1942" ht="15.75" customHeight="1">
      <c r="A1942" s="1119">
        <v>90801.0</v>
      </c>
      <c r="B1942" s="1125" t="s">
        <v>12220</v>
      </c>
      <c r="C1942" s="1126" t="s">
        <v>1788</v>
      </c>
      <c r="D1942" s="1119">
        <v>399.06</v>
      </c>
      <c r="E1942" s="1120">
        <v>86.92</v>
      </c>
      <c r="F1942" s="1121">
        <f t="shared" si="1"/>
        <v>312.15</v>
      </c>
      <c r="G1942" s="1120">
        <v>312.15</v>
      </c>
      <c r="H1942" s="1127">
        <v>0.0</v>
      </c>
      <c r="I1942" s="1127">
        <v>0.0</v>
      </c>
      <c r="J1942" s="1127">
        <v>0.0</v>
      </c>
      <c r="K1942" s="1124"/>
    </row>
    <row r="1943" ht="15.75" customHeight="1">
      <c r="A1943" s="1119">
        <v>90806.0</v>
      </c>
      <c r="B1943" s="1125" t="s">
        <v>12221</v>
      </c>
      <c r="C1943" s="1126" t="s">
        <v>1788</v>
      </c>
      <c r="D1943" s="1119">
        <v>504.59</v>
      </c>
      <c r="E1943" s="1120">
        <v>153.29</v>
      </c>
      <c r="F1943" s="1121">
        <f t="shared" si="1"/>
        <v>351.33</v>
      </c>
      <c r="G1943" s="1120">
        <v>351.33</v>
      </c>
      <c r="H1943" s="1127">
        <v>0.0</v>
      </c>
      <c r="I1943" s="1127">
        <v>0.0</v>
      </c>
      <c r="J1943" s="1127">
        <v>0.0</v>
      </c>
      <c r="K1943" s="1124"/>
    </row>
    <row r="1944" ht="15.75" customHeight="1">
      <c r="A1944" s="1119">
        <v>90820.0</v>
      </c>
      <c r="B1944" s="1125" t="s">
        <v>12222</v>
      </c>
      <c r="C1944" s="1126" t="s">
        <v>1788</v>
      </c>
      <c r="D1944" s="1119">
        <v>317.35</v>
      </c>
      <c r="E1944" s="1120">
        <v>40.75</v>
      </c>
      <c r="F1944" s="1121">
        <f t="shared" si="1"/>
        <v>276.61</v>
      </c>
      <c r="G1944" s="1120">
        <v>276.61</v>
      </c>
      <c r="H1944" s="1127">
        <v>0.0</v>
      </c>
      <c r="I1944" s="1127">
        <v>0.0</v>
      </c>
      <c r="J1944" s="1127">
        <v>0.0</v>
      </c>
      <c r="K1944" s="1124"/>
    </row>
    <row r="1945" ht="15.75" customHeight="1">
      <c r="A1945" s="1119">
        <v>90821.0</v>
      </c>
      <c r="B1945" s="1125" t="s">
        <v>12223</v>
      </c>
      <c r="C1945" s="1126" t="s">
        <v>1788</v>
      </c>
      <c r="D1945" s="1119">
        <v>324.8</v>
      </c>
      <c r="E1945" s="1120">
        <v>44.96</v>
      </c>
      <c r="F1945" s="1121">
        <f t="shared" si="1"/>
        <v>279.85</v>
      </c>
      <c r="G1945" s="1120">
        <v>279.85</v>
      </c>
      <c r="H1945" s="1127">
        <v>0.0</v>
      </c>
      <c r="I1945" s="1127">
        <v>0.0</v>
      </c>
      <c r="J1945" s="1127">
        <v>0.0</v>
      </c>
      <c r="K1945" s="1124"/>
    </row>
    <row r="1946" ht="15.75" customHeight="1">
      <c r="A1946" s="1119">
        <v>90822.0</v>
      </c>
      <c r="B1946" s="1125" t="s">
        <v>12224</v>
      </c>
      <c r="C1946" s="1126" t="s">
        <v>1788</v>
      </c>
      <c r="D1946" s="1119">
        <v>348.34</v>
      </c>
      <c r="E1946" s="1120">
        <v>49.15</v>
      </c>
      <c r="F1946" s="1121">
        <f t="shared" si="1"/>
        <v>299.2</v>
      </c>
      <c r="G1946" s="1120">
        <v>299.2</v>
      </c>
      <c r="H1946" s="1127">
        <v>0.0</v>
      </c>
      <c r="I1946" s="1127">
        <v>0.0</v>
      </c>
      <c r="J1946" s="1127">
        <v>0.0</v>
      </c>
      <c r="K1946" s="1124"/>
    </row>
    <row r="1947" ht="15.75" customHeight="1">
      <c r="A1947" s="1119">
        <v>90823.0</v>
      </c>
      <c r="B1947" s="1125" t="s">
        <v>12225</v>
      </c>
      <c r="C1947" s="1126" t="s">
        <v>1788</v>
      </c>
      <c r="D1947" s="1119">
        <v>424.84</v>
      </c>
      <c r="E1947" s="1120">
        <v>53.35</v>
      </c>
      <c r="F1947" s="1121">
        <f t="shared" si="1"/>
        <v>371.51</v>
      </c>
      <c r="G1947" s="1120">
        <v>371.51</v>
      </c>
      <c r="H1947" s="1127">
        <v>0.0</v>
      </c>
      <c r="I1947" s="1127">
        <v>0.0</v>
      </c>
      <c r="J1947" s="1127">
        <v>0.0</v>
      </c>
      <c r="K1947" s="1124"/>
    </row>
    <row r="1948" ht="15.75" customHeight="1">
      <c r="A1948" s="1119">
        <v>90824.0</v>
      </c>
      <c r="B1948" s="1125" t="s">
        <v>12226</v>
      </c>
      <c r="C1948" s="1126" t="s">
        <v>1788</v>
      </c>
      <c r="D1948" s="1119">
        <v>602.93</v>
      </c>
      <c r="E1948" s="1120">
        <v>68.2</v>
      </c>
      <c r="F1948" s="1121">
        <f t="shared" si="1"/>
        <v>534.72</v>
      </c>
      <c r="G1948" s="1120">
        <v>534.72</v>
      </c>
      <c r="H1948" s="1127">
        <v>0.0</v>
      </c>
      <c r="I1948" s="1127">
        <v>0.0</v>
      </c>
      <c r="J1948" s="1127">
        <v>0.0</v>
      </c>
      <c r="K1948" s="1124"/>
    </row>
    <row r="1949" ht="15.75" customHeight="1">
      <c r="A1949" s="1119">
        <v>90825.0</v>
      </c>
      <c r="B1949" s="1125" t="s">
        <v>12227</v>
      </c>
      <c r="C1949" s="1126" t="s">
        <v>1788</v>
      </c>
      <c r="D1949" s="1119">
        <v>670.32</v>
      </c>
      <c r="E1949" s="1120">
        <v>74.01</v>
      </c>
      <c r="F1949" s="1121">
        <f t="shared" si="1"/>
        <v>596.31</v>
      </c>
      <c r="G1949" s="1120">
        <v>596.31</v>
      </c>
      <c r="H1949" s="1127">
        <v>0.0</v>
      </c>
      <c r="I1949" s="1127">
        <v>0.0</v>
      </c>
      <c r="J1949" s="1127">
        <v>0.0</v>
      </c>
      <c r="K1949" s="1124"/>
    </row>
    <row r="1950" ht="15.75" customHeight="1">
      <c r="A1950" s="1119">
        <v>90830.0</v>
      </c>
      <c r="B1950" s="1125" t="s">
        <v>12228</v>
      </c>
      <c r="C1950" s="1126" t="s">
        <v>1788</v>
      </c>
      <c r="D1950" s="1119">
        <v>180.63</v>
      </c>
      <c r="E1950" s="1120">
        <v>31.85</v>
      </c>
      <c r="F1950" s="1121">
        <f t="shared" si="1"/>
        <v>148.78</v>
      </c>
      <c r="G1950" s="1120">
        <v>148.78</v>
      </c>
      <c r="H1950" s="1127">
        <v>0.0</v>
      </c>
      <c r="I1950" s="1127">
        <v>0.0</v>
      </c>
      <c r="J1950" s="1127">
        <v>0.0</v>
      </c>
      <c r="K1950" s="1124"/>
    </row>
    <row r="1951" ht="15.75" customHeight="1">
      <c r="A1951" s="1119">
        <v>90831.0</v>
      </c>
      <c r="B1951" s="1125" t="s">
        <v>12229</v>
      </c>
      <c r="C1951" s="1126" t="s">
        <v>1788</v>
      </c>
      <c r="D1951" s="1119">
        <v>157.57</v>
      </c>
      <c r="E1951" s="1120">
        <v>24.39</v>
      </c>
      <c r="F1951" s="1121">
        <f t="shared" si="1"/>
        <v>133.19</v>
      </c>
      <c r="G1951" s="1120">
        <v>133.19</v>
      </c>
      <c r="H1951" s="1127">
        <v>0.0</v>
      </c>
      <c r="I1951" s="1127">
        <v>0.0</v>
      </c>
      <c r="J1951" s="1127">
        <v>0.0</v>
      </c>
      <c r="K1951" s="1124"/>
    </row>
    <row r="1952" ht="15.75" customHeight="1">
      <c r="A1952" s="1119">
        <v>90841.0</v>
      </c>
      <c r="B1952" s="1125" t="s">
        <v>12230</v>
      </c>
      <c r="C1952" s="1126" t="s">
        <v>1788</v>
      </c>
      <c r="D1952" s="1128">
        <v>1122.26</v>
      </c>
      <c r="E1952" s="1120">
        <v>239.13</v>
      </c>
      <c r="F1952" s="1121">
        <f t="shared" si="1"/>
        <v>883.11</v>
      </c>
      <c r="G1952" s="1120">
        <v>883.11</v>
      </c>
      <c r="H1952" s="1127">
        <v>0.0</v>
      </c>
      <c r="I1952" s="1127">
        <v>0.0</v>
      </c>
      <c r="J1952" s="1127">
        <v>0.0</v>
      </c>
      <c r="K1952" s="1124"/>
    </row>
    <row r="1953" ht="15.75" customHeight="1">
      <c r="A1953" s="1119">
        <v>90842.0</v>
      </c>
      <c r="B1953" s="1125" t="s">
        <v>12231</v>
      </c>
      <c r="C1953" s="1126" t="s">
        <v>1788</v>
      </c>
      <c r="D1953" s="1128">
        <v>1132.68</v>
      </c>
      <c r="E1953" s="1120">
        <v>243.77</v>
      </c>
      <c r="F1953" s="1121">
        <f t="shared" si="1"/>
        <v>888.9</v>
      </c>
      <c r="G1953" s="1120">
        <v>888.9</v>
      </c>
      <c r="H1953" s="1127">
        <v>0.0</v>
      </c>
      <c r="I1953" s="1127">
        <v>0.0</v>
      </c>
      <c r="J1953" s="1127">
        <v>0.0</v>
      </c>
      <c r="K1953" s="1124"/>
    </row>
    <row r="1954" ht="15.75" customHeight="1">
      <c r="A1954" s="1119">
        <v>90843.0</v>
      </c>
      <c r="B1954" s="1125" t="s">
        <v>12232</v>
      </c>
      <c r="C1954" s="1126" t="s">
        <v>1788</v>
      </c>
      <c r="D1954" s="1128">
        <v>1182.26</v>
      </c>
      <c r="E1954" s="1120">
        <v>255.87</v>
      </c>
      <c r="F1954" s="1121">
        <f t="shared" si="1"/>
        <v>926.37</v>
      </c>
      <c r="G1954" s="1120">
        <v>926.37</v>
      </c>
      <c r="H1954" s="1127">
        <v>0.0</v>
      </c>
      <c r="I1954" s="1127">
        <v>0.0</v>
      </c>
      <c r="J1954" s="1127">
        <v>0.0</v>
      </c>
      <c r="K1954" s="1124"/>
    </row>
    <row r="1955" ht="15.75" customHeight="1">
      <c r="A1955" s="1119">
        <v>90844.0</v>
      </c>
      <c r="B1955" s="1125" t="s">
        <v>12233</v>
      </c>
      <c r="C1955" s="1126" t="s">
        <v>1788</v>
      </c>
      <c r="D1955" s="1128">
        <v>1261.73</v>
      </c>
      <c r="E1955" s="1120">
        <v>260.48</v>
      </c>
      <c r="F1955" s="1121">
        <f t="shared" si="1"/>
        <v>1001.23</v>
      </c>
      <c r="G1955" s="1120">
        <v>1001.23</v>
      </c>
      <c r="H1955" s="1127">
        <v>0.0</v>
      </c>
      <c r="I1955" s="1127">
        <v>0.0</v>
      </c>
      <c r="J1955" s="1127">
        <v>0.0</v>
      </c>
      <c r="K1955" s="1124"/>
    </row>
    <row r="1956" ht="15.75" customHeight="1">
      <c r="A1956" s="1119">
        <v>90845.0</v>
      </c>
      <c r="B1956" s="1125" t="s">
        <v>12234</v>
      </c>
      <c r="C1956" s="1126" t="s">
        <v>1788</v>
      </c>
      <c r="D1956" s="1128">
        <v>1436.85</v>
      </c>
      <c r="E1956" s="1120">
        <v>274.9</v>
      </c>
      <c r="F1956" s="1121">
        <f t="shared" si="1"/>
        <v>1161.92</v>
      </c>
      <c r="G1956" s="1120">
        <v>1161.92</v>
      </c>
      <c r="H1956" s="1127">
        <v>0.0</v>
      </c>
      <c r="I1956" s="1127">
        <v>0.0</v>
      </c>
      <c r="J1956" s="1127">
        <v>0.0</v>
      </c>
      <c r="K1956" s="1124"/>
    </row>
    <row r="1957" ht="15.75" customHeight="1">
      <c r="A1957" s="1119">
        <v>90846.0</v>
      </c>
      <c r="B1957" s="1125" t="s">
        <v>12235</v>
      </c>
      <c r="C1957" s="1126" t="s">
        <v>1788</v>
      </c>
      <c r="D1957" s="1128">
        <v>1507.21</v>
      </c>
      <c r="E1957" s="1120">
        <v>281.12</v>
      </c>
      <c r="F1957" s="1121">
        <f t="shared" si="1"/>
        <v>1226.06</v>
      </c>
      <c r="G1957" s="1120">
        <v>1226.06</v>
      </c>
      <c r="H1957" s="1127">
        <v>0.0</v>
      </c>
      <c r="I1957" s="1127">
        <v>0.0</v>
      </c>
      <c r="J1957" s="1127">
        <v>0.0</v>
      </c>
      <c r="K1957" s="1124"/>
    </row>
    <row r="1958" ht="15.75" customHeight="1">
      <c r="A1958" s="1119">
        <v>90847.0</v>
      </c>
      <c r="B1958" s="1125" t="s">
        <v>12236</v>
      </c>
      <c r="C1958" s="1126" t="s">
        <v>1788</v>
      </c>
      <c r="D1958" s="1119">
        <v>964.69</v>
      </c>
      <c r="E1958" s="1120">
        <v>214.75</v>
      </c>
      <c r="F1958" s="1121">
        <f t="shared" si="1"/>
        <v>749.93</v>
      </c>
      <c r="G1958" s="1120">
        <v>749.93</v>
      </c>
      <c r="H1958" s="1127">
        <v>0.0</v>
      </c>
      <c r="I1958" s="1127">
        <v>0.0</v>
      </c>
      <c r="J1958" s="1127">
        <v>0.0</v>
      </c>
      <c r="K1958" s="1124"/>
    </row>
    <row r="1959" ht="15.75" customHeight="1">
      <c r="A1959" s="1119">
        <v>90848.0</v>
      </c>
      <c r="B1959" s="1125" t="s">
        <v>12237</v>
      </c>
      <c r="C1959" s="1126" t="s">
        <v>1788</v>
      </c>
      <c r="D1959" s="1119">
        <v>975.11</v>
      </c>
      <c r="E1959" s="1120">
        <v>219.38</v>
      </c>
      <c r="F1959" s="1121">
        <f t="shared" si="1"/>
        <v>755.71</v>
      </c>
      <c r="G1959" s="1120">
        <v>755.71</v>
      </c>
      <c r="H1959" s="1127">
        <v>0.0</v>
      </c>
      <c r="I1959" s="1127">
        <v>0.0</v>
      </c>
      <c r="J1959" s="1127">
        <v>0.0</v>
      </c>
      <c r="K1959" s="1124"/>
    </row>
    <row r="1960" ht="15.75" customHeight="1">
      <c r="A1960" s="1119">
        <v>90849.0</v>
      </c>
      <c r="B1960" s="1125" t="s">
        <v>12238</v>
      </c>
      <c r="C1960" s="1126" t="s">
        <v>1788</v>
      </c>
      <c r="D1960" s="1128">
        <v>1001.63</v>
      </c>
      <c r="E1960" s="1120">
        <v>224.01</v>
      </c>
      <c r="F1960" s="1121">
        <f t="shared" si="1"/>
        <v>777.59</v>
      </c>
      <c r="G1960" s="1120">
        <v>777.59</v>
      </c>
      <c r="H1960" s="1127">
        <v>0.0</v>
      </c>
      <c r="I1960" s="1127">
        <v>0.0</v>
      </c>
      <c r="J1960" s="1127">
        <v>0.0</v>
      </c>
      <c r="K1960" s="1124"/>
    </row>
    <row r="1961" ht="15.75" customHeight="1">
      <c r="A1961" s="1119">
        <v>90850.0</v>
      </c>
      <c r="B1961" s="1125" t="s">
        <v>12239</v>
      </c>
      <c r="C1961" s="1126" t="s">
        <v>1788</v>
      </c>
      <c r="D1961" s="1128">
        <v>1081.1</v>
      </c>
      <c r="E1961" s="1120">
        <v>228.63</v>
      </c>
      <c r="F1961" s="1121">
        <f t="shared" si="1"/>
        <v>852.46</v>
      </c>
      <c r="G1961" s="1120">
        <v>852.46</v>
      </c>
      <c r="H1961" s="1127">
        <v>0.0</v>
      </c>
      <c r="I1961" s="1127">
        <v>0.0</v>
      </c>
      <c r="J1961" s="1127">
        <v>0.0</v>
      </c>
      <c r="K1961" s="1124"/>
    </row>
    <row r="1962" ht="15.75" customHeight="1">
      <c r="A1962" s="1119">
        <v>90851.0</v>
      </c>
      <c r="B1962" s="1125" t="s">
        <v>12240</v>
      </c>
      <c r="C1962" s="1126" t="s">
        <v>1788</v>
      </c>
      <c r="D1962" s="1128">
        <v>1256.22</v>
      </c>
      <c r="E1962" s="1120">
        <v>243.04</v>
      </c>
      <c r="F1962" s="1121">
        <f t="shared" si="1"/>
        <v>1013.15</v>
      </c>
      <c r="G1962" s="1120">
        <v>1013.15</v>
      </c>
      <c r="H1962" s="1127">
        <v>0.0</v>
      </c>
      <c r="I1962" s="1127">
        <v>0.0</v>
      </c>
      <c r="J1962" s="1127">
        <v>0.0</v>
      </c>
      <c r="K1962" s="1124"/>
    </row>
    <row r="1963" ht="15.75" customHeight="1">
      <c r="A1963" s="1119">
        <v>90852.0</v>
      </c>
      <c r="B1963" s="1125" t="s">
        <v>12241</v>
      </c>
      <c r="C1963" s="1126" t="s">
        <v>1788</v>
      </c>
      <c r="D1963" s="1128">
        <v>1326.58</v>
      </c>
      <c r="E1963" s="1120">
        <v>249.27</v>
      </c>
      <c r="F1963" s="1121">
        <f t="shared" si="1"/>
        <v>1077.29</v>
      </c>
      <c r="G1963" s="1120">
        <v>1077.29</v>
      </c>
      <c r="H1963" s="1127">
        <v>0.0</v>
      </c>
      <c r="I1963" s="1127">
        <v>0.0</v>
      </c>
      <c r="J1963" s="1127">
        <v>0.0</v>
      </c>
      <c r="K1963" s="1124"/>
    </row>
    <row r="1964" ht="15.75" customHeight="1">
      <c r="A1964" s="1119">
        <v>91009.0</v>
      </c>
      <c r="B1964" s="1125" t="s">
        <v>12242</v>
      </c>
      <c r="C1964" s="1126" t="s">
        <v>1788</v>
      </c>
      <c r="D1964" s="1119">
        <v>327.95</v>
      </c>
      <c r="E1964" s="1120">
        <v>40.74</v>
      </c>
      <c r="F1964" s="1121">
        <f t="shared" si="1"/>
        <v>287.21</v>
      </c>
      <c r="G1964" s="1120">
        <v>287.21</v>
      </c>
      <c r="H1964" s="1127">
        <v>0.0</v>
      </c>
      <c r="I1964" s="1127">
        <v>0.0</v>
      </c>
      <c r="J1964" s="1127">
        <v>0.0</v>
      </c>
      <c r="K1964" s="1124"/>
    </row>
    <row r="1965" ht="15.75" customHeight="1">
      <c r="A1965" s="1119">
        <v>91010.0</v>
      </c>
      <c r="B1965" s="1125" t="s">
        <v>12243</v>
      </c>
      <c r="C1965" s="1126" t="s">
        <v>1788</v>
      </c>
      <c r="D1965" s="1119">
        <v>335.9</v>
      </c>
      <c r="E1965" s="1120">
        <v>44.96</v>
      </c>
      <c r="F1965" s="1121">
        <f t="shared" si="1"/>
        <v>290.95</v>
      </c>
      <c r="G1965" s="1120">
        <v>290.95</v>
      </c>
      <c r="H1965" s="1127">
        <v>0.0</v>
      </c>
      <c r="I1965" s="1127">
        <v>0.0</v>
      </c>
      <c r="J1965" s="1127">
        <v>0.0</v>
      </c>
      <c r="K1965" s="1124"/>
    </row>
    <row r="1966" ht="15.75" customHeight="1">
      <c r="A1966" s="1119">
        <v>91011.0</v>
      </c>
      <c r="B1966" s="1125" t="s">
        <v>12244</v>
      </c>
      <c r="C1966" s="1126" t="s">
        <v>1788</v>
      </c>
      <c r="D1966" s="1119">
        <v>391.38</v>
      </c>
      <c r="E1966" s="1120">
        <v>49.15</v>
      </c>
      <c r="F1966" s="1121">
        <f t="shared" si="1"/>
        <v>342.24</v>
      </c>
      <c r="G1966" s="1120">
        <v>342.24</v>
      </c>
      <c r="H1966" s="1127">
        <v>0.0</v>
      </c>
      <c r="I1966" s="1127">
        <v>0.0</v>
      </c>
      <c r="J1966" s="1127">
        <v>0.0</v>
      </c>
      <c r="K1966" s="1124"/>
    </row>
    <row r="1967" ht="15.75" customHeight="1">
      <c r="A1967" s="1119">
        <v>91012.0</v>
      </c>
      <c r="B1967" s="1125" t="s">
        <v>12245</v>
      </c>
      <c r="C1967" s="1126" t="s">
        <v>1788</v>
      </c>
      <c r="D1967" s="1119">
        <v>434.23</v>
      </c>
      <c r="E1967" s="1120">
        <v>53.34</v>
      </c>
      <c r="F1967" s="1121">
        <f t="shared" si="1"/>
        <v>380.9</v>
      </c>
      <c r="G1967" s="1120">
        <v>380.9</v>
      </c>
      <c r="H1967" s="1127">
        <v>0.0</v>
      </c>
      <c r="I1967" s="1127">
        <v>0.0</v>
      </c>
      <c r="J1967" s="1127">
        <v>0.0</v>
      </c>
      <c r="K1967" s="1124"/>
    </row>
    <row r="1968" ht="15.75" customHeight="1">
      <c r="A1968" s="1119">
        <v>91013.0</v>
      </c>
      <c r="B1968" s="1125" t="s">
        <v>12246</v>
      </c>
      <c r="C1968" s="1126" t="s">
        <v>1788</v>
      </c>
      <c r="D1968" s="1119">
        <v>975.29</v>
      </c>
      <c r="E1968" s="1120">
        <v>214.75</v>
      </c>
      <c r="F1968" s="1121">
        <f t="shared" si="1"/>
        <v>760.53</v>
      </c>
      <c r="G1968" s="1120">
        <v>760.53</v>
      </c>
      <c r="H1968" s="1127">
        <v>0.0</v>
      </c>
      <c r="I1968" s="1127">
        <v>0.0</v>
      </c>
      <c r="J1968" s="1127">
        <v>0.0</v>
      </c>
      <c r="K1968" s="1124"/>
    </row>
    <row r="1969" ht="15.75" customHeight="1">
      <c r="A1969" s="1119">
        <v>91014.0</v>
      </c>
      <c r="B1969" s="1125" t="s">
        <v>12247</v>
      </c>
      <c r="C1969" s="1126" t="s">
        <v>1788</v>
      </c>
      <c r="D1969" s="1119">
        <v>986.21</v>
      </c>
      <c r="E1969" s="1120">
        <v>219.38</v>
      </c>
      <c r="F1969" s="1121">
        <f t="shared" si="1"/>
        <v>766.82</v>
      </c>
      <c r="G1969" s="1120">
        <v>766.82</v>
      </c>
      <c r="H1969" s="1127">
        <v>0.0</v>
      </c>
      <c r="I1969" s="1127">
        <v>0.0</v>
      </c>
      <c r="J1969" s="1127">
        <v>0.0</v>
      </c>
      <c r="K1969" s="1124"/>
    </row>
    <row r="1970" ht="15.75" customHeight="1">
      <c r="A1970" s="1119">
        <v>91015.0</v>
      </c>
      <c r="B1970" s="1125" t="s">
        <v>12248</v>
      </c>
      <c r="C1970" s="1126" t="s">
        <v>1788</v>
      </c>
      <c r="D1970" s="1128">
        <v>1044.67</v>
      </c>
      <c r="E1970" s="1120">
        <v>224.0</v>
      </c>
      <c r="F1970" s="1121">
        <f t="shared" si="1"/>
        <v>820.64</v>
      </c>
      <c r="G1970" s="1120">
        <v>820.64</v>
      </c>
      <c r="H1970" s="1127">
        <v>0.0</v>
      </c>
      <c r="I1970" s="1127">
        <v>0.0</v>
      </c>
      <c r="J1970" s="1127">
        <v>0.0</v>
      </c>
      <c r="K1970" s="1124"/>
    </row>
    <row r="1971" ht="15.75" customHeight="1">
      <c r="A1971" s="1119">
        <v>91016.0</v>
      </c>
      <c r="B1971" s="1125" t="s">
        <v>12249</v>
      </c>
      <c r="C1971" s="1126" t="s">
        <v>1788</v>
      </c>
      <c r="D1971" s="1128">
        <v>1090.49</v>
      </c>
      <c r="E1971" s="1120">
        <v>228.63</v>
      </c>
      <c r="F1971" s="1121">
        <f t="shared" si="1"/>
        <v>861.85</v>
      </c>
      <c r="G1971" s="1120">
        <v>861.85</v>
      </c>
      <c r="H1971" s="1127">
        <v>0.0</v>
      </c>
      <c r="I1971" s="1127">
        <v>0.0</v>
      </c>
      <c r="J1971" s="1127">
        <v>0.0</v>
      </c>
      <c r="K1971" s="1124"/>
    </row>
    <row r="1972" ht="15.75" customHeight="1">
      <c r="A1972" s="1119">
        <v>91287.0</v>
      </c>
      <c r="B1972" s="1125" t="s">
        <v>12250</v>
      </c>
      <c r="C1972" s="1126" t="s">
        <v>1788</v>
      </c>
      <c r="D1972" s="1119">
        <v>292.93</v>
      </c>
      <c r="E1972" s="1120">
        <v>87.24</v>
      </c>
      <c r="F1972" s="1121">
        <f t="shared" si="1"/>
        <v>205.69</v>
      </c>
      <c r="G1972" s="1120">
        <v>205.69</v>
      </c>
      <c r="H1972" s="1127">
        <v>0.0</v>
      </c>
      <c r="I1972" s="1127">
        <v>0.0</v>
      </c>
      <c r="J1972" s="1127">
        <v>0.0</v>
      </c>
      <c r="K1972" s="1124"/>
    </row>
    <row r="1973" ht="15.75" customHeight="1">
      <c r="A1973" s="1119">
        <v>91292.0</v>
      </c>
      <c r="B1973" s="1125" t="s">
        <v>12251</v>
      </c>
      <c r="C1973" s="1126" t="s">
        <v>1788</v>
      </c>
      <c r="D1973" s="1119">
        <v>398.46</v>
      </c>
      <c r="E1973" s="1120">
        <v>153.62</v>
      </c>
      <c r="F1973" s="1121">
        <f t="shared" si="1"/>
        <v>244.86</v>
      </c>
      <c r="G1973" s="1120">
        <v>244.86</v>
      </c>
      <c r="H1973" s="1127">
        <v>0.0</v>
      </c>
      <c r="I1973" s="1127">
        <v>0.0</v>
      </c>
      <c r="J1973" s="1127">
        <v>0.0</v>
      </c>
      <c r="K1973" s="1124"/>
    </row>
    <row r="1974" ht="15.75" customHeight="1">
      <c r="A1974" s="1119">
        <v>91295.0</v>
      </c>
      <c r="B1974" s="1125" t="s">
        <v>12252</v>
      </c>
      <c r="C1974" s="1126" t="s">
        <v>1788</v>
      </c>
      <c r="D1974" s="1119">
        <v>337.12</v>
      </c>
      <c r="E1974" s="1120">
        <v>40.74</v>
      </c>
      <c r="F1974" s="1121">
        <f t="shared" si="1"/>
        <v>296.38</v>
      </c>
      <c r="G1974" s="1120">
        <v>296.38</v>
      </c>
      <c r="H1974" s="1127">
        <v>0.0</v>
      </c>
      <c r="I1974" s="1127">
        <v>0.0</v>
      </c>
      <c r="J1974" s="1127">
        <v>0.0</v>
      </c>
      <c r="K1974" s="1124"/>
    </row>
    <row r="1975" ht="15.75" customHeight="1">
      <c r="A1975" s="1119">
        <v>91296.0</v>
      </c>
      <c r="B1975" s="1125" t="s">
        <v>12253</v>
      </c>
      <c r="C1975" s="1126" t="s">
        <v>1788</v>
      </c>
      <c r="D1975" s="1119">
        <v>361.54</v>
      </c>
      <c r="E1975" s="1120">
        <v>44.95</v>
      </c>
      <c r="F1975" s="1121">
        <f t="shared" si="1"/>
        <v>316.6</v>
      </c>
      <c r="G1975" s="1120">
        <v>316.6</v>
      </c>
      <c r="H1975" s="1127">
        <v>0.0</v>
      </c>
      <c r="I1975" s="1127">
        <v>0.0</v>
      </c>
      <c r="J1975" s="1127">
        <v>0.0</v>
      </c>
      <c r="K1975" s="1124"/>
    </row>
    <row r="1976" ht="15.75" customHeight="1">
      <c r="A1976" s="1119">
        <v>91297.0</v>
      </c>
      <c r="B1976" s="1125" t="s">
        <v>12254</v>
      </c>
      <c r="C1976" s="1126" t="s">
        <v>1788</v>
      </c>
      <c r="D1976" s="1119">
        <v>397.49</v>
      </c>
      <c r="E1976" s="1120">
        <v>49.14</v>
      </c>
      <c r="F1976" s="1121">
        <f t="shared" si="1"/>
        <v>348.35</v>
      </c>
      <c r="G1976" s="1120">
        <v>348.35</v>
      </c>
      <c r="H1976" s="1127">
        <v>0.0</v>
      </c>
      <c r="I1976" s="1127">
        <v>0.0</v>
      </c>
      <c r="J1976" s="1127">
        <v>0.0</v>
      </c>
      <c r="K1976" s="1124"/>
    </row>
    <row r="1977" ht="15.75" customHeight="1">
      <c r="A1977" s="1119">
        <v>91298.0</v>
      </c>
      <c r="B1977" s="1125" t="s">
        <v>12255</v>
      </c>
      <c r="C1977" s="1126" t="s">
        <v>1788</v>
      </c>
      <c r="D1977" s="1119">
        <v>985.31</v>
      </c>
      <c r="E1977" s="1120">
        <v>49.14</v>
      </c>
      <c r="F1977" s="1121">
        <f t="shared" si="1"/>
        <v>936.17</v>
      </c>
      <c r="G1977" s="1120">
        <v>936.17</v>
      </c>
      <c r="H1977" s="1127">
        <v>0.0</v>
      </c>
      <c r="I1977" s="1127">
        <v>0.0</v>
      </c>
      <c r="J1977" s="1127">
        <v>0.0</v>
      </c>
      <c r="K1977" s="1124"/>
    </row>
    <row r="1978" ht="15.75" customHeight="1">
      <c r="A1978" s="1119">
        <v>91299.0</v>
      </c>
      <c r="B1978" s="1125" t="s">
        <v>12256</v>
      </c>
      <c r="C1978" s="1126" t="s">
        <v>1788</v>
      </c>
      <c r="D1978" s="1128">
        <v>1383.36</v>
      </c>
      <c r="E1978" s="1120">
        <v>68.2</v>
      </c>
      <c r="F1978" s="1121">
        <f t="shared" si="1"/>
        <v>1315.15</v>
      </c>
      <c r="G1978" s="1120">
        <v>1315.15</v>
      </c>
      <c r="H1978" s="1127">
        <v>0.0</v>
      </c>
      <c r="I1978" s="1127">
        <v>0.0</v>
      </c>
      <c r="J1978" s="1127">
        <v>0.0</v>
      </c>
      <c r="K1978" s="1124"/>
    </row>
    <row r="1979" ht="15.75" customHeight="1">
      <c r="A1979" s="1119">
        <v>91304.0</v>
      </c>
      <c r="B1979" s="1125" t="s">
        <v>12257</v>
      </c>
      <c r="C1979" s="1126" t="s">
        <v>1788</v>
      </c>
      <c r="D1979" s="1119">
        <v>112.77</v>
      </c>
      <c r="E1979" s="1120">
        <v>31.86</v>
      </c>
      <c r="F1979" s="1121">
        <f t="shared" si="1"/>
        <v>80.91</v>
      </c>
      <c r="G1979" s="1120">
        <v>80.91</v>
      </c>
      <c r="H1979" s="1127">
        <v>0.0</v>
      </c>
      <c r="I1979" s="1127">
        <v>0.0</v>
      </c>
      <c r="J1979" s="1127">
        <v>0.0</v>
      </c>
      <c r="K1979" s="1124"/>
    </row>
    <row r="1980" ht="15.75" customHeight="1">
      <c r="A1980" s="1119">
        <v>91305.0</v>
      </c>
      <c r="B1980" s="1125" t="s">
        <v>12258</v>
      </c>
      <c r="C1980" s="1126" t="s">
        <v>1788</v>
      </c>
      <c r="D1980" s="1119">
        <v>110.89</v>
      </c>
      <c r="E1980" s="1120">
        <v>24.39</v>
      </c>
      <c r="F1980" s="1121">
        <f t="shared" si="1"/>
        <v>86.5</v>
      </c>
      <c r="G1980" s="1120">
        <v>86.5</v>
      </c>
      <c r="H1980" s="1127">
        <v>0.0</v>
      </c>
      <c r="I1980" s="1127">
        <v>0.0</v>
      </c>
      <c r="J1980" s="1127">
        <v>0.0</v>
      </c>
      <c r="K1980" s="1124"/>
    </row>
    <row r="1981" ht="15.75" customHeight="1">
      <c r="A1981" s="1119">
        <v>91306.0</v>
      </c>
      <c r="B1981" s="1125" t="s">
        <v>12259</v>
      </c>
      <c r="C1981" s="1126" t="s">
        <v>1788</v>
      </c>
      <c r="D1981" s="1119">
        <v>157.57</v>
      </c>
      <c r="E1981" s="1120">
        <v>24.39</v>
      </c>
      <c r="F1981" s="1121">
        <f t="shared" si="1"/>
        <v>133.19</v>
      </c>
      <c r="G1981" s="1120">
        <v>133.19</v>
      </c>
      <c r="H1981" s="1127">
        <v>0.0</v>
      </c>
      <c r="I1981" s="1127">
        <v>0.0</v>
      </c>
      <c r="J1981" s="1127">
        <v>0.0</v>
      </c>
      <c r="K1981" s="1124"/>
    </row>
    <row r="1982" ht="15.75" customHeight="1">
      <c r="A1982" s="1119">
        <v>91307.0</v>
      </c>
      <c r="B1982" s="1125" t="s">
        <v>12260</v>
      </c>
      <c r="C1982" s="1126" t="s">
        <v>1788</v>
      </c>
      <c r="D1982" s="1119">
        <v>95.14</v>
      </c>
      <c r="E1982" s="1120">
        <v>24.39</v>
      </c>
      <c r="F1982" s="1121">
        <f t="shared" si="1"/>
        <v>70.75</v>
      </c>
      <c r="G1982" s="1120">
        <v>70.75</v>
      </c>
      <c r="H1982" s="1127">
        <v>0.0</v>
      </c>
      <c r="I1982" s="1127">
        <v>0.0</v>
      </c>
      <c r="J1982" s="1127">
        <v>0.0</v>
      </c>
      <c r="K1982" s="1124"/>
    </row>
    <row r="1983" ht="15.75" customHeight="1">
      <c r="A1983" s="1119">
        <v>91312.0</v>
      </c>
      <c r="B1983" s="1125" t="s">
        <v>12261</v>
      </c>
      <c r="C1983" s="1126" t="s">
        <v>1788</v>
      </c>
      <c r="D1983" s="1119">
        <v>923.56</v>
      </c>
      <c r="E1983" s="1120">
        <v>239.5</v>
      </c>
      <c r="F1983" s="1121">
        <f t="shared" si="1"/>
        <v>684.04</v>
      </c>
      <c r="G1983" s="1120">
        <v>684.04</v>
      </c>
      <c r="H1983" s="1127">
        <v>0.0</v>
      </c>
      <c r="I1983" s="1127">
        <v>0.0</v>
      </c>
      <c r="J1983" s="1127">
        <v>0.0</v>
      </c>
      <c r="K1983" s="1124"/>
    </row>
    <row r="1984" ht="15.75" customHeight="1">
      <c r="A1984" s="1119">
        <v>91313.0</v>
      </c>
      <c r="B1984" s="1125" t="s">
        <v>12262</v>
      </c>
      <c r="C1984" s="1126" t="s">
        <v>1788</v>
      </c>
      <c r="D1984" s="1119">
        <v>917.28</v>
      </c>
      <c r="E1984" s="1120">
        <v>244.14</v>
      </c>
      <c r="F1984" s="1121">
        <f t="shared" si="1"/>
        <v>673.12</v>
      </c>
      <c r="G1984" s="1120">
        <v>673.12</v>
      </c>
      <c r="H1984" s="1127">
        <v>0.0</v>
      </c>
      <c r="I1984" s="1127">
        <v>0.0</v>
      </c>
      <c r="J1984" s="1127">
        <v>0.0</v>
      </c>
      <c r="K1984" s="1124"/>
    </row>
    <row r="1985" ht="15.75" customHeight="1">
      <c r="A1985" s="1119">
        <v>91314.0</v>
      </c>
      <c r="B1985" s="1125" t="s">
        <v>12263</v>
      </c>
      <c r="C1985" s="1126" t="s">
        <v>1788</v>
      </c>
      <c r="D1985" s="1119">
        <v>960.47</v>
      </c>
      <c r="E1985" s="1120">
        <v>256.24</v>
      </c>
      <c r="F1985" s="1121">
        <f t="shared" si="1"/>
        <v>704.2</v>
      </c>
      <c r="G1985" s="1120">
        <v>704.2</v>
      </c>
      <c r="H1985" s="1127">
        <v>0.0</v>
      </c>
      <c r="I1985" s="1127">
        <v>0.0</v>
      </c>
      <c r="J1985" s="1127">
        <v>0.0</v>
      </c>
      <c r="K1985" s="1124"/>
    </row>
    <row r="1986" ht="15.75" customHeight="1">
      <c r="A1986" s="1119">
        <v>91315.0</v>
      </c>
      <c r="B1986" s="1125" t="s">
        <v>12264</v>
      </c>
      <c r="C1986" s="1126" t="s">
        <v>1788</v>
      </c>
      <c r="D1986" s="1128">
        <v>1038.98</v>
      </c>
      <c r="E1986" s="1120">
        <v>260.85</v>
      </c>
      <c r="F1986" s="1121">
        <f t="shared" si="1"/>
        <v>778.11</v>
      </c>
      <c r="G1986" s="1120">
        <v>778.11</v>
      </c>
      <c r="H1986" s="1127">
        <v>0.0</v>
      </c>
      <c r="I1986" s="1127">
        <v>0.0</v>
      </c>
      <c r="J1986" s="1127">
        <v>0.0</v>
      </c>
      <c r="K1986" s="1124"/>
    </row>
    <row r="1987" ht="15.75" customHeight="1">
      <c r="A1987" s="1119">
        <v>91316.0</v>
      </c>
      <c r="B1987" s="1125" t="s">
        <v>12265</v>
      </c>
      <c r="C1987" s="1126" t="s">
        <v>1788</v>
      </c>
      <c r="D1987" s="1128">
        <v>1215.06</v>
      </c>
      <c r="E1987" s="1120">
        <v>275.25</v>
      </c>
      <c r="F1987" s="1121">
        <f t="shared" si="1"/>
        <v>939.77</v>
      </c>
      <c r="G1987" s="1120">
        <v>939.77</v>
      </c>
      <c r="H1987" s="1127">
        <v>0.0</v>
      </c>
      <c r="I1987" s="1127">
        <v>0.0</v>
      </c>
      <c r="J1987" s="1127">
        <v>0.0</v>
      </c>
      <c r="K1987" s="1124"/>
    </row>
    <row r="1988" ht="15.75" customHeight="1">
      <c r="A1988" s="1119">
        <v>91317.0</v>
      </c>
      <c r="B1988" s="1125" t="s">
        <v>12266</v>
      </c>
      <c r="C1988" s="1126" t="s">
        <v>1788</v>
      </c>
      <c r="D1988" s="1128">
        <v>1284.46</v>
      </c>
      <c r="E1988" s="1120">
        <v>281.47</v>
      </c>
      <c r="F1988" s="1121">
        <f t="shared" si="1"/>
        <v>1002.95</v>
      </c>
      <c r="G1988" s="1120">
        <v>1002.95</v>
      </c>
      <c r="H1988" s="1127">
        <v>0.0</v>
      </c>
      <c r="I1988" s="1127">
        <v>0.0</v>
      </c>
      <c r="J1988" s="1127">
        <v>0.0</v>
      </c>
      <c r="K1988" s="1124"/>
    </row>
    <row r="1989" ht="15.75" customHeight="1">
      <c r="A1989" s="1119">
        <v>91318.0</v>
      </c>
      <c r="B1989" s="1125" t="s">
        <v>12267</v>
      </c>
      <c r="C1989" s="1126" t="s">
        <v>1788</v>
      </c>
      <c r="D1989" s="1119">
        <v>812.67</v>
      </c>
      <c r="E1989" s="1120">
        <v>215.1</v>
      </c>
      <c r="F1989" s="1121">
        <f t="shared" si="1"/>
        <v>597.54</v>
      </c>
      <c r="G1989" s="1120">
        <v>597.54</v>
      </c>
      <c r="H1989" s="1127">
        <v>0.0</v>
      </c>
      <c r="I1989" s="1127">
        <v>0.0</v>
      </c>
      <c r="J1989" s="1127">
        <v>0.0</v>
      </c>
      <c r="K1989" s="1124"/>
    </row>
    <row r="1990" ht="15.75" customHeight="1">
      <c r="A1990" s="1119">
        <v>91319.0</v>
      </c>
      <c r="B1990" s="1125" t="s">
        <v>12268</v>
      </c>
      <c r="C1990" s="1126" t="s">
        <v>1788</v>
      </c>
      <c r="D1990" s="1119">
        <v>822.14</v>
      </c>
      <c r="E1990" s="1120">
        <v>219.74</v>
      </c>
      <c r="F1990" s="1121">
        <f t="shared" si="1"/>
        <v>602.37</v>
      </c>
      <c r="G1990" s="1120">
        <v>602.37</v>
      </c>
      <c r="H1990" s="1127">
        <v>0.0</v>
      </c>
      <c r="I1990" s="1127">
        <v>0.0</v>
      </c>
      <c r="J1990" s="1127">
        <v>0.0</v>
      </c>
      <c r="K1990" s="1124"/>
    </row>
    <row r="1991" ht="15.75" customHeight="1">
      <c r="A1991" s="1119">
        <v>91320.0</v>
      </c>
      <c r="B1991" s="1125" t="s">
        <v>12269</v>
      </c>
      <c r="C1991" s="1126" t="s">
        <v>1788</v>
      </c>
      <c r="D1991" s="1119">
        <v>847.7</v>
      </c>
      <c r="E1991" s="1120">
        <v>224.37</v>
      </c>
      <c r="F1991" s="1121">
        <f t="shared" si="1"/>
        <v>623.3</v>
      </c>
      <c r="G1991" s="1120">
        <v>623.3</v>
      </c>
      <c r="H1991" s="1127">
        <v>0.0</v>
      </c>
      <c r="I1991" s="1127">
        <v>0.0</v>
      </c>
      <c r="J1991" s="1127">
        <v>0.0</v>
      </c>
      <c r="K1991" s="1124"/>
    </row>
    <row r="1992" ht="15.75" customHeight="1">
      <c r="A1992" s="1119">
        <v>91321.0</v>
      </c>
      <c r="B1992" s="1125" t="s">
        <v>12270</v>
      </c>
      <c r="C1992" s="1126" t="s">
        <v>1788</v>
      </c>
      <c r="D1992" s="1119">
        <v>926.21</v>
      </c>
      <c r="E1992" s="1120">
        <v>228.98</v>
      </c>
      <c r="F1992" s="1121">
        <f t="shared" si="1"/>
        <v>697.21</v>
      </c>
      <c r="G1992" s="1120">
        <v>697.21</v>
      </c>
      <c r="H1992" s="1127">
        <v>0.0</v>
      </c>
      <c r="I1992" s="1127">
        <v>0.0</v>
      </c>
      <c r="J1992" s="1127">
        <v>0.0</v>
      </c>
      <c r="K1992" s="1124"/>
    </row>
    <row r="1993" ht="15.75" customHeight="1">
      <c r="A1993" s="1119">
        <v>91322.0</v>
      </c>
      <c r="B1993" s="1125" t="s">
        <v>12271</v>
      </c>
      <c r="C1993" s="1126" t="s">
        <v>1788</v>
      </c>
      <c r="D1993" s="1128">
        <v>1102.29</v>
      </c>
      <c r="E1993" s="1120">
        <v>243.38</v>
      </c>
      <c r="F1993" s="1121">
        <f t="shared" si="1"/>
        <v>858.86</v>
      </c>
      <c r="G1993" s="1120">
        <v>858.86</v>
      </c>
      <c r="H1993" s="1127">
        <v>0.0</v>
      </c>
      <c r="I1993" s="1127">
        <v>0.0</v>
      </c>
      <c r="J1993" s="1127">
        <v>0.0</v>
      </c>
      <c r="K1993" s="1124"/>
    </row>
    <row r="1994" ht="15.75" customHeight="1">
      <c r="A1994" s="1119">
        <v>91323.0</v>
      </c>
      <c r="B1994" s="1125" t="s">
        <v>12272</v>
      </c>
      <c r="C1994" s="1126" t="s">
        <v>1788</v>
      </c>
      <c r="D1994" s="1128">
        <v>1171.69</v>
      </c>
      <c r="E1994" s="1120">
        <v>249.6</v>
      </c>
      <c r="F1994" s="1121">
        <f t="shared" si="1"/>
        <v>922.05</v>
      </c>
      <c r="G1994" s="1120">
        <v>922.05</v>
      </c>
      <c r="H1994" s="1127">
        <v>0.0</v>
      </c>
      <c r="I1994" s="1127">
        <v>0.0</v>
      </c>
      <c r="J1994" s="1127">
        <v>0.0</v>
      </c>
      <c r="K1994" s="1124"/>
    </row>
    <row r="1995" ht="15.75" customHeight="1">
      <c r="A1995" s="1119">
        <v>91324.0</v>
      </c>
      <c r="B1995" s="1125" t="s">
        <v>12273</v>
      </c>
      <c r="C1995" s="1126" t="s">
        <v>1788</v>
      </c>
      <c r="D1995" s="1119">
        <v>823.27</v>
      </c>
      <c r="E1995" s="1120">
        <v>215.1</v>
      </c>
      <c r="F1995" s="1121">
        <f t="shared" si="1"/>
        <v>608.15</v>
      </c>
      <c r="G1995" s="1120">
        <v>608.15</v>
      </c>
      <c r="H1995" s="1127">
        <v>0.0</v>
      </c>
      <c r="I1995" s="1127">
        <v>0.0</v>
      </c>
      <c r="J1995" s="1127">
        <v>0.0</v>
      </c>
      <c r="K1995" s="1124"/>
    </row>
    <row r="1996" ht="15.75" customHeight="1">
      <c r="A1996" s="1119">
        <v>91325.0</v>
      </c>
      <c r="B1996" s="1125" t="s">
        <v>12274</v>
      </c>
      <c r="C1996" s="1126" t="s">
        <v>1788</v>
      </c>
      <c r="D1996" s="1119">
        <v>833.24</v>
      </c>
      <c r="E1996" s="1120">
        <v>219.74</v>
      </c>
      <c r="F1996" s="1121">
        <f t="shared" si="1"/>
        <v>613.48</v>
      </c>
      <c r="G1996" s="1120">
        <v>613.48</v>
      </c>
      <c r="H1996" s="1127">
        <v>0.0</v>
      </c>
      <c r="I1996" s="1127">
        <v>0.0</v>
      </c>
      <c r="J1996" s="1127">
        <v>0.0</v>
      </c>
      <c r="K1996" s="1124"/>
    </row>
    <row r="1997" ht="15.75" customHeight="1">
      <c r="A1997" s="1119">
        <v>91326.0</v>
      </c>
      <c r="B1997" s="1125" t="s">
        <v>12275</v>
      </c>
      <c r="C1997" s="1126" t="s">
        <v>1788</v>
      </c>
      <c r="D1997" s="1119">
        <v>890.74</v>
      </c>
      <c r="E1997" s="1120">
        <v>224.36</v>
      </c>
      <c r="F1997" s="1121">
        <f t="shared" si="1"/>
        <v>666.35</v>
      </c>
      <c r="G1997" s="1120">
        <v>666.35</v>
      </c>
      <c r="H1997" s="1127">
        <v>0.0</v>
      </c>
      <c r="I1997" s="1127">
        <v>0.0</v>
      </c>
      <c r="J1997" s="1127">
        <v>0.0</v>
      </c>
      <c r="K1997" s="1124"/>
    </row>
    <row r="1998" ht="15.75" customHeight="1">
      <c r="A1998" s="1119">
        <v>91327.0</v>
      </c>
      <c r="B1998" s="1125" t="s">
        <v>12276</v>
      </c>
      <c r="C1998" s="1126" t="s">
        <v>1788</v>
      </c>
      <c r="D1998" s="1119">
        <v>935.6</v>
      </c>
      <c r="E1998" s="1120">
        <v>228.98</v>
      </c>
      <c r="F1998" s="1121">
        <f t="shared" si="1"/>
        <v>706.6</v>
      </c>
      <c r="G1998" s="1120">
        <v>706.6</v>
      </c>
      <c r="H1998" s="1127">
        <v>0.0</v>
      </c>
      <c r="I1998" s="1127">
        <v>0.0</v>
      </c>
      <c r="J1998" s="1127">
        <v>0.0</v>
      </c>
      <c r="K1998" s="1124"/>
    </row>
    <row r="1999" ht="15.75" customHeight="1">
      <c r="A1999" s="1119">
        <v>91328.0</v>
      </c>
      <c r="B1999" s="1125" t="s">
        <v>12277</v>
      </c>
      <c r="C1999" s="1126" t="s">
        <v>1788</v>
      </c>
      <c r="D1999" s="1119">
        <v>984.46</v>
      </c>
      <c r="E1999" s="1120">
        <v>214.74</v>
      </c>
      <c r="F1999" s="1121">
        <f t="shared" si="1"/>
        <v>769.7</v>
      </c>
      <c r="G1999" s="1120">
        <v>769.7</v>
      </c>
      <c r="H1999" s="1127">
        <v>0.0</v>
      </c>
      <c r="I1999" s="1127">
        <v>0.0</v>
      </c>
      <c r="J1999" s="1127">
        <v>0.0</v>
      </c>
      <c r="K1999" s="1124"/>
    </row>
    <row r="2000" ht="15.75" customHeight="1">
      <c r="A2000" s="1119">
        <v>91329.0</v>
      </c>
      <c r="B2000" s="1125" t="s">
        <v>12278</v>
      </c>
      <c r="C2000" s="1126" t="s">
        <v>1788</v>
      </c>
      <c r="D2000" s="1119">
        <v>832.44</v>
      </c>
      <c r="E2000" s="1120">
        <v>215.1</v>
      </c>
      <c r="F2000" s="1121">
        <f t="shared" si="1"/>
        <v>617.32</v>
      </c>
      <c r="G2000" s="1120">
        <v>617.32</v>
      </c>
      <c r="H2000" s="1127">
        <v>0.0</v>
      </c>
      <c r="I2000" s="1127">
        <v>0.0</v>
      </c>
      <c r="J2000" s="1127">
        <v>0.0</v>
      </c>
      <c r="K2000" s="1124"/>
    </row>
    <row r="2001" ht="15.75" customHeight="1">
      <c r="A2001" s="1119">
        <v>91330.0</v>
      </c>
      <c r="B2001" s="1125" t="s">
        <v>12279</v>
      </c>
      <c r="C2001" s="1126" t="s">
        <v>1788</v>
      </c>
      <c r="D2001" s="1128">
        <v>1011.85</v>
      </c>
      <c r="E2001" s="1120">
        <v>219.38</v>
      </c>
      <c r="F2001" s="1121">
        <f t="shared" si="1"/>
        <v>792.46</v>
      </c>
      <c r="G2001" s="1120">
        <v>792.46</v>
      </c>
      <c r="H2001" s="1127">
        <v>0.0</v>
      </c>
      <c r="I2001" s="1127">
        <v>0.0</v>
      </c>
      <c r="J2001" s="1127">
        <v>0.0</v>
      </c>
      <c r="K2001" s="1124"/>
    </row>
    <row r="2002" ht="15.75" customHeight="1">
      <c r="A2002" s="1119">
        <v>91331.0</v>
      </c>
      <c r="B2002" s="1125" t="s">
        <v>12280</v>
      </c>
      <c r="C2002" s="1126" t="s">
        <v>1788</v>
      </c>
      <c r="D2002" s="1119">
        <v>858.88</v>
      </c>
      <c r="E2002" s="1120">
        <v>219.73</v>
      </c>
      <c r="F2002" s="1121">
        <f t="shared" si="1"/>
        <v>639.12</v>
      </c>
      <c r="G2002" s="1120">
        <v>639.12</v>
      </c>
      <c r="H2002" s="1127">
        <v>0.0</v>
      </c>
      <c r="I2002" s="1127">
        <v>0.0</v>
      </c>
      <c r="J2002" s="1127">
        <v>0.0</v>
      </c>
      <c r="K2002" s="1124"/>
    </row>
    <row r="2003" ht="15.75" customHeight="1">
      <c r="A2003" s="1119">
        <v>91332.0</v>
      </c>
      <c r="B2003" s="1125" t="s">
        <v>12281</v>
      </c>
      <c r="C2003" s="1126" t="s">
        <v>1788</v>
      </c>
      <c r="D2003" s="1128">
        <v>1050.78</v>
      </c>
      <c r="E2003" s="1120">
        <v>224.0</v>
      </c>
      <c r="F2003" s="1121">
        <f t="shared" si="1"/>
        <v>826.75</v>
      </c>
      <c r="G2003" s="1120">
        <v>826.75</v>
      </c>
      <c r="H2003" s="1127">
        <v>0.0</v>
      </c>
      <c r="I2003" s="1127">
        <v>0.0</v>
      </c>
      <c r="J2003" s="1127">
        <v>0.0</v>
      </c>
      <c r="K2003" s="1124"/>
    </row>
    <row r="2004" ht="15.75" customHeight="1">
      <c r="A2004" s="1119">
        <v>91333.0</v>
      </c>
      <c r="B2004" s="1125" t="s">
        <v>12282</v>
      </c>
      <c r="C2004" s="1126" t="s">
        <v>1788</v>
      </c>
      <c r="D2004" s="1119">
        <v>896.85</v>
      </c>
      <c r="E2004" s="1120">
        <v>224.36</v>
      </c>
      <c r="F2004" s="1121">
        <f t="shared" si="1"/>
        <v>672.46</v>
      </c>
      <c r="G2004" s="1120">
        <v>672.46</v>
      </c>
      <c r="H2004" s="1127">
        <v>0.0</v>
      </c>
      <c r="I2004" s="1127">
        <v>0.0</v>
      </c>
      <c r="J2004" s="1127">
        <v>0.0</v>
      </c>
      <c r="K2004" s="1124"/>
    </row>
    <row r="2005" ht="15.75" customHeight="1">
      <c r="A2005" s="1119">
        <v>91334.0</v>
      </c>
      <c r="B2005" s="1125" t="s">
        <v>12283</v>
      </c>
      <c r="C2005" s="1126" t="s">
        <v>1788</v>
      </c>
      <c r="D2005" s="1128">
        <v>1638.6</v>
      </c>
      <c r="E2005" s="1120">
        <v>223.92</v>
      </c>
      <c r="F2005" s="1121">
        <f t="shared" si="1"/>
        <v>1414.64</v>
      </c>
      <c r="G2005" s="1120">
        <v>1414.64</v>
      </c>
      <c r="H2005" s="1127">
        <v>0.0</v>
      </c>
      <c r="I2005" s="1127">
        <v>0.0</v>
      </c>
      <c r="J2005" s="1127">
        <v>0.0</v>
      </c>
      <c r="K2005" s="1124"/>
    </row>
    <row r="2006" ht="15.75" customHeight="1">
      <c r="A2006" s="1119">
        <v>91335.0</v>
      </c>
      <c r="B2006" s="1125" t="s">
        <v>12284</v>
      </c>
      <c r="C2006" s="1126" t="s">
        <v>1788</v>
      </c>
      <c r="D2006" s="1128">
        <v>1484.67</v>
      </c>
      <c r="E2006" s="1120">
        <v>224.25</v>
      </c>
      <c r="F2006" s="1121">
        <f t="shared" si="1"/>
        <v>1260.37</v>
      </c>
      <c r="G2006" s="1120">
        <v>1260.37</v>
      </c>
      <c r="H2006" s="1127">
        <v>0.0</v>
      </c>
      <c r="I2006" s="1127">
        <v>0.0</v>
      </c>
      <c r="J2006" s="1127">
        <v>0.0</v>
      </c>
      <c r="K2006" s="1124"/>
    </row>
    <row r="2007" ht="15.75" customHeight="1">
      <c r="A2007" s="1119">
        <v>91336.0</v>
      </c>
      <c r="B2007" s="1125" t="s">
        <v>12285</v>
      </c>
      <c r="C2007" s="1126" t="s">
        <v>1788</v>
      </c>
      <c r="D2007" s="1128">
        <v>2036.65</v>
      </c>
      <c r="E2007" s="1120">
        <v>242.96</v>
      </c>
      <c r="F2007" s="1121">
        <f t="shared" si="1"/>
        <v>1793.64</v>
      </c>
      <c r="G2007" s="1120">
        <v>1793.64</v>
      </c>
      <c r="H2007" s="1127">
        <v>0.0</v>
      </c>
      <c r="I2007" s="1127">
        <v>0.0</v>
      </c>
      <c r="J2007" s="1127">
        <v>0.0</v>
      </c>
      <c r="K2007" s="1124"/>
    </row>
    <row r="2008" ht="15.75" customHeight="1">
      <c r="A2008" s="1119">
        <v>91337.0</v>
      </c>
      <c r="B2008" s="1125" t="s">
        <v>12286</v>
      </c>
      <c r="C2008" s="1126" t="s">
        <v>1788</v>
      </c>
      <c r="D2008" s="1128">
        <v>1882.72</v>
      </c>
      <c r="E2008" s="1120">
        <v>243.28</v>
      </c>
      <c r="F2008" s="1121">
        <f t="shared" si="1"/>
        <v>1639.37</v>
      </c>
      <c r="G2008" s="1120">
        <v>1639.37</v>
      </c>
      <c r="H2008" s="1127">
        <v>0.0</v>
      </c>
      <c r="I2008" s="1127">
        <v>0.0</v>
      </c>
      <c r="J2008" s="1127">
        <v>0.0</v>
      </c>
      <c r="K2008" s="1124"/>
    </row>
    <row r="2009" ht="15.75" customHeight="1">
      <c r="A2009" s="1119">
        <v>100659.0</v>
      </c>
      <c r="B2009" s="1125" t="s">
        <v>12287</v>
      </c>
      <c r="C2009" s="1126" t="s">
        <v>1731</v>
      </c>
      <c r="D2009" s="1119">
        <v>14.87</v>
      </c>
      <c r="E2009" s="1120">
        <v>2.15</v>
      </c>
      <c r="F2009" s="1121">
        <f t="shared" si="1"/>
        <v>12.72</v>
      </c>
      <c r="G2009" s="1120">
        <v>12.72</v>
      </c>
      <c r="H2009" s="1127">
        <v>0.0</v>
      </c>
      <c r="I2009" s="1127">
        <v>0.0</v>
      </c>
      <c r="J2009" s="1127">
        <v>0.0</v>
      </c>
      <c r="K2009" s="1124"/>
    </row>
    <row r="2010" ht="15.75" customHeight="1">
      <c r="A2010" s="1119">
        <v>100660.0</v>
      </c>
      <c r="B2010" s="1125" t="s">
        <v>12288</v>
      </c>
      <c r="C2010" s="1126" t="s">
        <v>1731</v>
      </c>
      <c r="D2010" s="1119">
        <v>10.09</v>
      </c>
      <c r="E2010" s="1120">
        <v>2.15</v>
      </c>
      <c r="F2010" s="1121">
        <f t="shared" si="1"/>
        <v>7.93</v>
      </c>
      <c r="G2010" s="1120">
        <v>7.93</v>
      </c>
      <c r="H2010" s="1127">
        <v>0.0</v>
      </c>
      <c r="I2010" s="1127">
        <v>0.0</v>
      </c>
      <c r="J2010" s="1127">
        <v>0.0</v>
      </c>
      <c r="K2010" s="1124"/>
    </row>
    <row r="2011" ht="15.75" customHeight="1">
      <c r="A2011" s="1119">
        <v>100675.0</v>
      </c>
      <c r="B2011" s="1125" t="s">
        <v>12289</v>
      </c>
      <c r="C2011" s="1126" t="s">
        <v>1788</v>
      </c>
      <c r="D2011" s="1119">
        <v>894.07</v>
      </c>
      <c r="E2011" s="1120">
        <v>21.67</v>
      </c>
      <c r="F2011" s="1121">
        <f t="shared" si="1"/>
        <v>872.41</v>
      </c>
      <c r="G2011" s="1120">
        <v>872.41</v>
      </c>
      <c r="H2011" s="1127">
        <v>0.0</v>
      </c>
      <c r="I2011" s="1127">
        <v>0.0</v>
      </c>
      <c r="J2011" s="1127">
        <v>0.0</v>
      </c>
      <c r="K2011" s="1124"/>
    </row>
    <row r="2012" ht="15.75" customHeight="1">
      <c r="A2012" s="1119">
        <v>100676.0</v>
      </c>
      <c r="B2012" s="1125" t="s">
        <v>12290</v>
      </c>
      <c r="C2012" s="1126" t="s">
        <v>1788</v>
      </c>
      <c r="D2012" s="1119">
        <v>243.65</v>
      </c>
      <c r="E2012" s="1120">
        <v>69.23</v>
      </c>
      <c r="F2012" s="1121">
        <f t="shared" si="1"/>
        <v>174.44</v>
      </c>
      <c r="G2012" s="1120">
        <v>174.44</v>
      </c>
      <c r="H2012" s="1127">
        <v>0.0</v>
      </c>
      <c r="I2012" s="1127">
        <v>0.0</v>
      </c>
      <c r="J2012" s="1127">
        <v>0.0</v>
      </c>
      <c r="K2012" s="1124"/>
    </row>
    <row r="2013" ht="15.75" customHeight="1">
      <c r="A2013" s="1119">
        <v>100678.0</v>
      </c>
      <c r="B2013" s="1125" t="s">
        <v>12291</v>
      </c>
      <c r="C2013" s="1126" t="s">
        <v>1788</v>
      </c>
      <c r="D2013" s="1128">
        <v>1132.86</v>
      </c>
      <c r="E2013" s="1120">
        <v>239.13</v>
      </c>
      <c r="F2013" s="1121">
        <f t="shared" si="1"/>
        <v>893.72</v>
      </c>
      <c r="G2013" s="1120">
        <v>893.72</v>
      </c>
      <c r="H2013" s="1127">
        <v>0.0</v>
      </c>
      <c r="I2013" s="1127">
        <v>0.0</v>
      </c>
      <c r="J2013" s="1127">
        <v>0.0</v>
      </c>
      <c r="K2013" s="1124"/>
    </row>
    <row r="2014" ht="15.75" customHeight="1">
      <c r="A2014" s="1119">
        <v>100679.0</v>
      </c>
      <c r="B2014" s="1125" t="s">
        <v>12292</v>
      </c>
      <c r="C2014" s="1126" t="s">
        <v>1788</v>
      </c>
      <c r="D2014" s="1119">
        <v>934.16</v>
      </c>
      <c r="E2014" s="1120">
        <v>239.49</v>
      </c>
      <c r="F2014" s="1121">
        <f t="shared" si="1"/>
        <v>694.65</v>
      </c>
      <c r="G2014" s="1120">
        <v>694.65</v>
      </c>
      <c r="H2014" s="1127">
        <v>0.0</v>
      </c>
      <c r="I2014" s="1127">
        <v>0.0</v>
      </c>
      <c r="J2014" s="1127">
        <v>0.0</v>
      </c>
      <c r="K2014" s="1124"/>
    </row>
    <row r="2015" ht="15.75" customHeight="1">
      <c r="A2015" s="1119">
        <v>100680.0</v>
      </c>
      <c r="B2015" s="1125" t="s">
        <v>12293</v>
      </c>
      <c r="C2015" s="1126" t="s">
        <v>1788</v>
      </c>
      <c r="D2015" s="1128">
        <v>1143.78</v>
      </c>
      <c r="E2015" s="1120">
        <v>243.77</v>
      </c>
      <c r="F2015" s="1121">
        <f t="shared" si="1"/>
        <v>900</v>
      </c>
      <c r="G2015" s="1120">
        <v>900.0</v>
      </c>
      <c r="H2015" s="1127">
        <v>0.0</v>
      </c>
      <c r="I2015" s="1127">
        <v>0.0</v>
      </c>
      <c r="J2015" s="1127">
        <v>0.0</v>
      </c>
      <c r="K2015" s="1124"/>
    </row>
    <row r="2016" ht="15.75" customHeight="1">
      <c r="A2016" s="1119">
        <v>100681.0</v>
      </c>
      <c r="B2016" s="1125" t="s">
        <v>12294</v>
      </c>
      <c r="C2016" s="1126" t="s">
        <v>1788</v>
      </c>
      <c r="D2016" s="1128">
        <v>1169.42</v>
      </c>
      <c r="E2016" s="1120">
        <v>243.76</v>
      </c>
      <c r="F2016" s="1121">
        <f t="shared" si="1"/>
        <v>925.65</v>
      </c>
      <c r="G2016" s="1120">
        <v>925.65</v>
      </c>
      <c r="H2016" s="1127">
        <v>0.0</v>
      </c>
      <c r="I2016" s="1127">
        <v>0.0</v>
      </c>
      <c r="J2016" s="1127">
        <v>0.0</v>
      </c>
      <c r="K2016" s="1124"/>
    </row>
    <row r="2017" ht="15.75" customHeight="1">
      <c r="A2017" s="1119">
        <v>100682.0</v>
      </c>
      <c r="B2017" s="1125" t="s">
        <v>12295</v>
      </c>
      <c r="C2017" s="1126" t="s">
        <v>1788</v>
      </c>
      <c r="D2017" s="1119">
        <v>954.02</v>
      </c>
      <c r="E2017" s="1120">
        <v>244.13</v>
      </c>
      <c r="F2017" s="1121">
        <f t="shared" si="1"/>
        <v>709.87</v>
      </c>
      <c r="G2017" s="1120">
        <v>709.87</v>
      </c>
      <c r="H2017" s="1127">
        <v>0.0</v>
      </c>
      <c r="I2017" s="1127">
        <v>0.0</v>
      </c>
      <c r="J2017" s="1127">
        <v>0.0</v>
      </c>
      <c r="K2017" s="1124"/>
    </row>
    <row r="2018" ht="15.75" customHeight="1">
      <c r="A2018" s="1119">
        <v>100683.0</v>
      </c>
      <c r="B2018" s="1125" t="s">
        <v>12296</v>
      </c>
      <c r="C2018" s="1126" t="s">
        <v>1788</v>
      </c>
      <c r="D2018" s="1128">
        <v>1225.3</v>
      </c>
      <c r="E2018" s="1120">
        <v>255.86</v>
      </c>
      <c r="F2018" s="1121">
        <f t="shared" si="1"/>
        <v>969.42</v>
      </c>
      <c r="G2018" s="1120">
        <v>969.42</v>
      </c>
      <c r="H2018" s="1127">
        <v>0.0</v>
      </c>
      <c r="I2018" s="1127">
        <v>0.0</v>
      </c>
      <c r="J2018" s="1127">
        <v>0.0</v>
      </c>
      <c r="K2018" s="1124"/>
    </row>
    <row r="2019" ht="15.75" customHeight="1">
      <c r="A2019" s="1119">
        <v>100684.0</v>
      </c>
      <c r="B2019" s="1125" t="s">
        <v>12297</v>
      </c>
      <c r="C2019" s="1126" t="s">
        <v>1788</v>
      </c>
      <c r="D2019" s="1128">
        <v>1003.51</v>
      </c>
      <c r="E2019" s="1120">
        <v>256.22</v>
      </c>
      <c r="F2019" s="1121">
        <f t="shared" si="1"/>
        <v>747.26</v>
      </c>
      <c r="G2019" s="1120">
        <v>747.26</v>
      </c>
      <c r="H2019" s="1127">
        <v>0.0</v>
      </c>
      <c r="I2019" s="1127">
        <v>0.0</v>
      </c>
      <c r="J2019" s="1127">
        <v>0.0</v>
      </c>
      <c r="K2019" s="1124"/>
    </row>
    <row r="2020" ht="15.75" customHeight="1">
      <c r="A2020" s="1119">
        <v>100685.0</v>
      </c>
      <c r="B2020" s="1125" t="s">
        <v>12298</v>
      </c>
      <c r="C2020" s="1126" t="s">
        <v>1788</v>
      </c>
      <c r="D2020" s="1128">
        <v>1271.12</v>
      </c>
      <c r="E2020" s="1120">
        <v>260.48</v>
      </c>
      <c r="F2020" s="1121">
        <f t="shared" si="1"/>
        <v>1010.63</v>
      </c>
      <c r="G2020" s="1120">
        <v>1010.63</v>
      </c>
      <c r="H2020" s="1127">
        <v>0.0</v>
      </c>
      <c r="I2020" s="1127">
        <v>0.0</v>
      </c>
      <c r="J2020" s="1127">
        <v>0.0</v>
      </c>
      <c r="K2020" s="1124"/>
    </row>
    <row r="2021" ht="15.75" customHeight="1">
      <c r="A2021" s="1119">
        <v>100686.0</v>
      </c>
      <c r="B2021" s="1125" t="s">
        <v>12299</v>
      </c>
      <c r="C2021" s="1126" t="s">
        <v>1788</v>
      </c>
      <c r="D2021" s="1128">
        <v>1048.37</v>
      </c>
      <c r="E2021" s="1120">
        <v>260.84</v>
      </c>
      <c r="F2021" s="1121">
        <f t="shared" si="1"/>
        <v>787.5</v>
      </c>
      <c r="G2021" s="1120">
        <v>787.5</v>
      </c>
      <c r="H2021" s="1127">
        <v>0.0</v>
      </c>
      <c r="I2021" s="1127">
        <v>0.0</v>
      </c>
      <c r="J2021" s="1127">
        <v>0.0</v>
      </c>
      <c r="K2021" s="1124"/>
    </row>
    <row r="2022" ht="15.75" customHeight="1">
      <c r="A2022" s="1119">
        <v>100687.0</v>
      </c>
      <c r="B2022" s="1125" t="s">
        <v>12300</v>
      </c>
      <c r="C2022" s="1126" t="s">
        <v>1788</v>
      </c>
      <c r="D2022" s="1128">
        <v>1142.03</v>
      </c>
      <c r="E2022" s="1120">
        <v>239.13</v>
      </c>
      <c r="F2022" s="1121">
        <f t="shared" si="1"/>
        <v>902.89</v>
      </c>
      <c r="G2022" s="1120">
        <v>902.89</v>
      </c>
      <c r="H2022" s="1127">
        <v>0.0</v>
      </c>
      <c r="I2022" s="1127">
        <v>0.0</v>
      </c>
      <c r="J2022" s="1127">
        <v>0.0</v>
      </c>
      <c r="K2022" s="1124"/>
    </row>
    <row r="2023" ht="15.75" customHeight="1">
      <c r="A2023" s="1119">
        <v>100688.0</v>
      </c>
      <c r="B2023" s="1125" t="s">
        <v>12301</v>
      </c>
      <c r="C2023" s="1126" t="s">
        <v>1788</v>
      </c>
      <c r="D2023" s="1119">
        <v>943.33</v>
      </c>
      <c r="E2023" s="1120">
        <v>239.49</v>
      </c>
      <c r="F2023" s="1121">
        <f t="shared" si="1"/>
        <v>703.82</v>
      </c>
      <c r="G2023" s="1120">
        <v>703.82</v>
      </c>
      <c r="H2023" s="1127">
        <v>0.0</v>
      </c>
      <c r="I2023" s="1127">
        <v>0.0</v>
      </c>
      <c r="J2023" s="1127">
        <v>0.0</v>
      </c>
      <c r="K2023" s="1124"/>
    </row>
    <row r="2024" ht="15.75" customHeight="1">
      <c r="A2024" s="1119">
        <v>100689.0</v>
      </c>
      <c r="B2024" s="1125" t="s">
        <v>12302</v>
      </c>
      <c r="C2024" s="1126" t="s">
        <v>1788</v>
      </c>
      <c r="D2024" s="1128">
        <v>1231.41</v>
      </c>
      <c r="E2024" s="1120">
        <v>255.86</v>
      </c>
      <c r="F2024" s="1121">
        <f t="shared" si="1"/>
        <v>975.53</v>
      </c>
      <c r="G2024" s="1120">
        <v>975.53</v>
      </c>
      <c r="H2024" s="1127">
        <v>0.0</v>
      </c>
      <c r="I2024" s="1127">
        <v>0.0</v>
      </c>
      <c r="J2024" s="1127">
        <v>0.0</v>
      </c>
      <c r="K2024" s="1124"/>
    </row>
    <row r="2025" ht="15.75" customHeight="1">
      <c r="A2025" s="1119">
        <v>100690.0</v>
      </c>
      <c r="B2025" s="1125" t="s">
        <v>12303</v>
      </c>
      <c r="C2025" s="1126" t="s">
        <v>1788</v>
      </c>
      <c r="D2025" s="1128">
        <v>1009.62</v>
      </c>
      <c r="E2025" s="1120">
        <v>256.22</v>
      </c>
      <c r="F2025" s="1121">
        <f t="shared" si="1"/>
        <v>753.37</v>
      </c>
      <c r="G2025" s="1120">
        <v>753.37</v>
      </c>
      <c r="H2025" s="1127">
        <v>0.0</v>
      </c>
      <c r="I2025" s="1127">
        <v>0.0</v>
      </c>
      <c r="J2025" s="1127">
        <v>0.0</v>
      </c>
      <c r="K2025" s="1124"/>
    </row>
    <row r="2026" ht="15.75" customHeight="1">
      <c r="A2026" s="1119">
        <v>100691.0</v>
      </c>
      <c r="B2026" s="1125" t="s">
        <v>12304</v>
      </c>
      <c r="C2026" s="1126" t="s">
        <v>1788</v>
      </c>
      <c r="D2026" s="1128">
        <v>1819.23</v>
      </c>
      <c r="E2026" s="1120">
        <v>255.78</v>
      </c>
      <c r="F2026" s="1121">
        <f t="shared" si="1"/>
        <v>1563.41</v>
      </c>
      <c r="G2026" s="1120">
        <v>1563.41</v>
      </c>
      <c r="H2026" s="1127">
        <v>0.0</v>
      </c>
      <c r="I2026" s="1127">
        <v>0.0</v>
      </c>
      <c r="J2026" s="1127">
        <v>0.0</v>
      </c>
      <c r="K2026" s="1124"/>
    </row>
    <row r="2027" ht="15.75" customHeight="1">
      <c r="A2027" s="1119">
        <v>100692.0</v>
      </c>
      <c r="B2027" s="1125" t="s">
        <v>12305</v>
      </c>
      <c r="C2027" s="1126" t="s">
        <v>1788</v>
      </c>
      <c r="D2027" s="1128">
        <v>1597.44</v>
      </c>
      <c r="E2027" s="1120">
        <v>256.12</v>
      </c>
      <c r="F2027" s="1121">
        <f t="shared" si="1"/>
        <v>1341.28</v>
      </c>
      <c r="G2027" s="1120">
        <v>1341.28</v>
      </c>
      <c r="H2027" s="1127">
        <v>0.0</v>
      </c>
      <c r="I2027" s="1127">
        <v>0.0</v>
      </c>
      <c r="J2027" s="1127">
        <v>0.0</v>
      </c>
      <c r="K2027" s="1124"/>
    </row>
    <row r="2028" ht="15.75" customHeight="1">
      <c r="A2028" s="1119">
        <v>100693.0</v>
      </c>
      <c r="B2028" s="1125" t="s">
        <v>12306</v>
      </c>
      <c r="C2028" s="1126" t="s">
        <v>1788</v>
      </c>
      <c r="D2028" s="1128">
        <v>2217.28</v>
      </c>
      <c r="E2028" s="1120">
        <v>274.82</v>
      </c>
      <c r="F2028" s="1121">
        <f t="shared" si="1"/>
        <v>1942.41</v>
      </c>
      <c r="G2028" s="1120">
        <v>1942.41</v>
      </c>
      <c r="H2028" s="1127">
        <v>0.0</v>
      </c>
      <c r="I2028" s="1127">
        <v>0.0</v>
      </c>
      <c r="J2028" s="1127">
        <v>0.0</v>
      </c>
      <c r="K2028" s="1124"/>
    </row>
    <row r="2029" ht="15.75" customHeight="1">
      <c r="A2029" s="1119">
        <v>100694.0</v>
      </c>
      <c r="B2029" s="1125" t="s">
        <v>12307</v>
      </c>
      <c r="C2029" s="1126" t="s">
        <v>1788</v>
      </c>
      <c r="D2029" s="1128">
        <v>1995.49</v>
      </c>
      <c r="E2029" s="1120">
        <v>275.15</v>
      </c>
      <c r="F2029" s="1121">
        <f t="shared" si="1"/>
        <v>1720.28</v>
      </c>
      <c r="G2029" s="1120">
        <v>1720.28</v>
      </c>
      <c r="H2029" s="1127">
        <v>0.0</v>
      </c>
      <c r="I2029" s="1127">
        <v>0.0</v>
      </c>
      <c r="J2029" s="1127">
        <v>0.0</v>
      </c>
      <c r="K2029" s="1124"/>
    </row>
    <row r="2030" ht="15.75" customHeight="1">
      <c r="A2030" s="1119">
        <v>100695.0</v>
      </c>
      <c r="B2030" s="1125" t="s">
        <v>12308</v>
      </c>
      <c r="C2030" s="1126" t="s">
        <v>1788</v>
      </c>
      <c r="D2030" s="1119">
        <v>70.1</v>
      </c>
      <c r="E2030" s="1120">
        <v>50.58</v>
      </c>
      <c r="F2030" s="1121">
        <f t="shared" si="1"/>
        <v>19.52</v>
      </c>
      <c r="G2030" s="1120">
        <v>19.52</v>
      </c>
      <c r="H2030" s="1127">
        <v>0.0</v>
      </c>
      <c r="I2030" s="1127">
        <v>0.0</v>
      </c>
      <c r="J2030" s="1127">
        <v>0.0</v>
      </c>
      <c r="K2030" s="1124"/>
    </row>
    <row r="2031" ht="15.75" customHeight="1">
      <c r="A2031" s="1119">
        <v>100696.0</v>
      </c>
      <c r="B2031" s="1125" t="s">
        <v>12309</v>
      </c>
      <c r="C2031" s="1126" t="s">
        <v>1788</v>
      </c>
      <c r="D2031" s="1119">
        <v>78.07</v>
      </c>
      <c r="E2031" s="1120">
        <v>56.39</v>
      </c>
      <c r="F2031" s="1121">
        <f t="shared" si="1"/>
        <v>21.69</v>
      </c>
      <c r="G2031" s="1120">
        <v>21.69</v>
      </c>
      <c r="H2031" s="1127">
        <v>0.0</v>
      </c>
      <c r="I2031" s="1127">
        <v>0.0</v>
      </c>
      <c r="J2031" s="1127">
        <v>0.0</v>
      </c>
      <c r="K2031" s="1124"/>
    </row>
    <row r="2032" ht="15.75" customHeight="1">
      <c r="A2032" s="1119">
        <v>100697.0</v>
      </c>
      <c r="B2032" s="1125" t="s">
        <v>12310</v>
      </c>
      <c r="C2032" s="1126" t="s">
        <v>1788</v>
      </c>
      <c r="D2032" s="1119">
        <v>86.07</v>
      </c>
      <c r="E2032" s="1120">
        <v>62.23</v>
      </c>
      <c r="F2032" s="1121">
        <f t="shared" si="1"/>
        <v>23.84</v>
      </c>
      <c r="G2032" s="1120">
        <v>23.84</v>
      </c>
      <c r="H2032" s="1127">
        <v>0.0</v>
      </c>
      <c r="I2032" s="1127">
        <v>0.0</v>
      </c>
      <c r="J2032" s="1127">
        <v>0.0</v>
      </c>
      <c r="K2032" s="1124"/>
    </row>
    <row r="2033" ht="15.75" customHeight="1">
      <c r="A2033" s="1119">
        <v>100698.0</v>
      </c>
      <c r="B2033" s="1125" t="s">
        <v>12311</v>
      </c>
      <c r="C2033" s="1126" t="s">
        <v>1788</v>
      </c>
      <c r="D2033" s="1119">
        <v>94.06</v>
      </c>
      <c r="E2033" s="1120">
        <v>68.06</v>
      </c>
      <c r="F2033" s="1121">
        <f t="shared" si="1"/>
        <v>26.01</v>
      </c>
      <c r="G2033" s="1120">
        <v>26.01</v>
      </c>
      <c r="H2033" s="1127">
        <v>0.0</v>
      </c>
      <c r="I2033" s="1127">
        <v>0.0</v>
      </c>
      <c r="J2033" s="1127">
        <v>0.0</v>
      </c>
      <c r="K2033" s="1124"/>
    </row>
    <row r="2034" ht="15.75" customHeight="1">
      <c r="A2034" s="1119">
        <v>100699.0</v>
      </c>
      <c r="B2034" s="1125" t="s">
        <v>12312</v>
      </c>
      <c r="C2034" s="1126" t="s">
        <v>1788</v>
      </c>
      <c r="D2034" s="1119">
        <v>112.03</v>
      </c>
      <c r="E2034" s="1120">
        <v>81.27</v>
      </c>
      <c r="F2034" s="1121">
        <f t="shared" si="1"/>
        <v>30.76</v>
      </c>
      <c r="G2034" s="1120">
        <v>30.76</v>
      </c>
      <c r="H2034" s="1127">
        <v>0.0</v>
      </c>
      <c r="I2034" s="1127">
        <v>0.0</v>
      </c>
      <c r="J2034" s="1127">
        <v>0.0</v>
      </c>
      <c r="K2034" s="1124"/>
    </row>
    <row r="2035" ht="15.75" customHeight="1">
      <c r="A2035" s="1119">
        <v>100700.0</v>
      </c>
      <c r="B2035" s="1125" t="s">
        <v>12313</v>
      </c>
      <c r="C2035" s="1126" t="s">
        <v>1788</v>
      </c>
      <c r="D2035" s="1119">
        <v>907.17</v>
      </c>
      <c r="E2035" s="1120">
        <v>160.16</v>
      </c>
      <c r="F2035" s="1121">
        <f t="shared" si="1"/>
        <v>747.01</v>
      </c>
      <c r="G2035" s="1120">
        <v>747.01</v>
      </c>
      <c r="H2035" s="1127">
        <v>0.0</v>
      </c>
      <c r="I2035" s="1127">
        <v>0.0</v>
      </c>
      <c r="J2035" s="1127">
        <v>0.0</v>
      </c>
      <c r="K2035" s="1124"/>
    </row>
    <row r="2036" ht="15.75" customHeight="1">
      <c r="A2036" s="1119">
        <v>100712.0</v>
      </c>
      <c r="B2036" s="1125" t="s">
        <v>12314</v>
      </c>
      <c r="C2036" s="1126" t="s">
        <v>1788</v>
      </c>
      <c r="D2036" s="1119">
        <v>928.38</v>
      </c>
      <c r="E2036" s="1120">
        <v>244.14</v>
      </c>
      <c r="F2036" s="1121">
        <f t="shared" si="1"/>
        <v>684.22</v>
      </c>
      <c r="G2036" s="1120">
        <v>684.22</v>
      </c>
      <c r="H2036" s="1127">
        <v>0.0</v>
      </c>
      <c r="I2036" s="1127">
        <v>0.0</v>
      </c>
      <c r="J2036" s="1127">
        <v>0.0</v>
      </c>
      <c r="K2036" s="1124"/>
    </row>
    <row r="2037" ht="15.75" customHeight="1">
      <c r="A2037" s="1119">
        <v>100665.0</v>
      </c>
      <c r="B2037" s="1125" t="s">
        <v>12315</v>
      </c>
      <c r="C2037" s="1126" t="s">
        <v>1814</v>
      </c>
      <c r="D2037" s="1119">
        <v>674.81</v>
      </c>
      <c r="E2037" s="1120">
        <v>55.09</v>
      </c>
      <c r="F2037" s="1121">
        <f t="shared" si="1"/>
        <v>619.73</v>
      </c>
      <c r="G2037" s="1120">
        <v>619.73</v>
      </c>
      <c r="H2037" s="1127">
        <v>0.0</v>
      </c>
      <c r="I2037" s="1127">
        <v>0.0</v>
      </c>
      <c r="J2037" s="1127">
        <v>0.0</v>
      </c>
      <c r="K2037" s="1124"/>
    </row>
    <row r="2038" ht="15.75" customHeight="1">
      <c r="A2038" s="1119">
        <v>100666.0</v>
      </c>
      <c r="B2038" s="1125" t="s">
        <v>12316</v>
      </c>
      <c r="C2038" s="1126" t="s">
        <v>1814</v>
      </c>
      <c r="D2038" s="1119">
        <v>546.95</v>
      </c>
      <c r="E2038" s="1120">
        <v>55.09</v>
      </c>
      <c r="F2038" s="1121">
        <f t="shared" si="1"/>
        <v>491.87</v>
      </c>
      <c r="G2038" s="1120">
        <v>491.87</v>
      </c>
      <c r="H2038" s="1127">
        <v>0.0</v>
      </c>
      <c r="I2038" s="1127">
        <v>0.0</v>
      </c>
      <c r="J2038" s="1127">
        <v>0.0</v>
      </c>
      <c r="K2038" s="1124"/>
    </row>
    <row r="2039" ht="15.75" customHeight="1">
      <c r="A2039" s="1119">
        <v>100667.0</v>
      </c>
      <c r="B2039" s="1125" t="s">
        <v>12317</v>
      </c>
      <c r="C2039" s="1126" t="s">
        <v>1814</v>
      </c>
      <c r="D2039" s="1119">
        <v>855.58</v>
      </c>
      <c r="E2039" s="1120">
        <v>55.09</v>
      </c>
      <c r="F2039" s="1121">
        <f t="shared" si="1"/>
        <v>800.5</v>
      </c>
      <c r="G2039" s="1120">
        <v>800.5</v>
      </c>
      <c r="H2039" s="1127">
        <v>0.0</v>
      </c>
      <c r="I2039" s="1127">
        <v>0.0</v>
      </c>
      <c r="J2039" s="1127">
        <v>0.0</v>
      </c>
      <c r="K2039" s="1124"/>
    </row>
    <row r="2040" ht="15.75" customHeight="1">
      <c r="A2040" s="1119">
        <v>100668.0</v>
      </c>
      <c r="B2040" s="1125" t="s">
        <v>12318</v>
      </c>
      <c r="C2040" s="1126" t="s">
        <v>1814</v>
      </c>
      <c r="D2040" s="1128">
        <v>1116.14</v>
      </c>
      <c r="E2040" s="1120">
        <v>123.95</v>
      </c>
      <c r="F2040" s="1121">
        <f t="shared" si="1"/>
        <v>992.2</v>
      </c>
      <c r="G2040" s="1120">
        <v>992.2</v>
      </c>
      <c r="H2040" s="1127">
        <v>0.0</v>
      </c>
      <c r="I2040" s="1127">
        <v>0.0</v>
      </c>
      <c r="J2040" s="1127">
        <v>0.0</v>
      </c>
      <c r="K2040" s="1124"/>
    </row>
    <row r="2041" ht="15.75" customHeight="1">
      <c r="A2041" s="1119">
        <v>100669.0</v>
      </c>
      <c r="B2041" s="1125" t="s">
        <v>12319</v>
      </c>
      <c r="C2041" s="1126" t="s">
        <v>1814</v>
      </c>
      <c r="D2041" s="1119">
        <v>649.32</v>
      </c>
      <c r="E2041" s="1120">
        <v>79.34</v>
      </c>
      <c r="F2041" s="1121">
        <f t="shared" si="1"/>
        <v>569.99</v>
      </c>
      <c r="G2041" s="1120">
        <v>569.99</v>
      </c>
      <c r="H2041" s="1127">
        <v>0.0</v>
      </c>
      <c r="I2041" s="1127">
        <v>0.0</v>
      </c>
      <c r="J2041" s="1127">
        <v>0.0</v>
      </c>
      <c r="K2041" s="1124"/>
    </row>
    <row r="2042" ht="15.75" customHeight="1">
      <c r="A2042" s="1119">
        <v>100670.0</v>
      </c>
      <c r="B2042" s="1125" t="s">
        <v>12320</v>
      </c>
      <c r="C2042" s="1126" t="s">
        <v>1814</v>
      </c>
      <c r="D2042" s="1119">
        <v>836.38</v>
      </c>
      <c r="E2042" s="1120">
        <v>61.22</v>
      </c>
      <c r="F2042" s="1121">
        <f t="shared" si="1"/>
        <v>775.15</v>
      </c>
      <c r="G2042" s="1120">
        <v>775.15</v>
      </c>
      <c r="H2042" s="1127">
        <v>0.0</v>
      </c>
      <c r="I2042" s="1127">
        <v>0.0</v>
      </c>
      <c r="J2042" s="1127">
        <v>0.0</v>
      </c>
      <c r="K2042" s="1124"/>
    </row>
    <row r="2043" ht="15.75" customHeight="1">
      <c r="A2043" s="1119">
        <v>100671.0</v>
      </c>
      <c r="B2043" s="1125" t="s">
        <v>12321</v>
      </c>
      <c r="C2043" s="1126" t="s">
        <v>1814</v>
      </c>
      <c r="D2043" s="1128">
        <v>1020.38</v>
      </c>
      <c r="E2043" s="1120">
        <v>61.22</v>
      </c>
      <c r="F2043" s="1121">
        <f t="shared" si="1"/>
        <v>959.15</v>
      </c>
      <c r="G2043" s="1120">
        <v>959.15</v>
      </c>
      <c r="H2043" s="1127">
        <v>0.0</v>
      </c>
      <c r="I2043" s="1127">
        <v>0.0</v>
      </c>
      <c r="J2043" s="1127">
        <v>0.0</v>
      </c>
      <c r="K2043" s="1124"/>
    </row>
    <row r="2044" ht="15.75" customHeight="1">
      <c r="A2044" s="1119">
        <v>100672.0</v>
      </c>
      <c r="B2044" s="1125" t="s">
        <v>12322</v>
      </c>
      <c r="C2044" s="1126" t="s">
        <v>1814</v>
      </c>
      <c r="D2044" s="1119">
        <v>685.13</v>
      </c>
      <c r="E2044" s="1120">
        <v>61.22</v>
      </c>
      <c r="F2044" s="1121">
        <f t="shared" si="1"/>
        <v>623.9</v>
      </c>
      <c r="G2044" s="1120">
        <v>623.9</v>
      </c>
      <c r="H2044" s="1127">
        <v>0.0</v>
      </c>
      <c r="I2044" s="1127">
        <v>0.0</v>
      </c>
      <c r="J2044" s="1127">
        <v>0.0</v>
      </c>
      <c r="K2044" s="1124"/>
    </row>
    <row r="2045" ht="15.75" customHeight="1">
      <c r="A2045" s="1119">
        <v>100701.0</v>
      </c>
      <c r="B2045" s="1125" t="s">
        <v>12323</v>
      </c>
      <c r="C2045" s="1126" t="s">
        <v>1814</v>
      </c>
      <c r="D2045" s="1128">
        <v>1487.85</v>
      </c>
      <c r="E2045" s="1120">
        <v>17.07</v>
      </c>
      <c r="F2045" s="1121">
        <f t="shared" si="1"/>
        <v>1470.78</v>
      </c>
      <c r="G2045" s="1120">
        <v>1470.78</v>
      </c>
      <c r="H2045" s="1127">
        <v>0.0</v>
      </c>
      <c r="I2045" s="1127">
        <v>0.0</v>
      </c>
      <c r="J2045" s="1127">
        <v>0.0</v>
      </c>
      <c r="K2045" s="1124"/>
    </row>
    <row r="2046" ht="15.75" customHeight="1">
      <c r="A2046" s="1119">
        <v>94559.0</v>
      </c>
      <c r="B2046" s="1125" t="s">
        <v>12324</v>
      </c>
      <c r="C2046" s="1126" t="s">
        <v>1814</v>
      </c>
      <c r="D2046" s="1119">
        <v>715.56</v>
      </c>
      <c r="E2046" s="1120">
        <v>156.09</v>
      </c>
      <c r="F2046" s="1121">
        <f t="shared" si="1"/>
        <v>559.48</v>
      </c>
      <c r="G2046" s="1120">
        <v>559.48</v>
      </c>
      <c r="H2046" s="1127">
        <v>0.0</v>
      </c>
      <c r="I2046" s="1127">
        <v>0.0</v>
      </c>
      <c r="J2046" s="1127">
        <v>0.0</v>
      </c>
      <c r="K2046" s="1124"/>
    </row>
    <row r="2047" ht="15.75" customHeight="1">
      <c r="A2047" s="1119">
        <v>94562.0</v>
      </c>
      <c r="B2047" s="1125" t="s">
        <v>12325</v>
      </c>
      <c r="C2047" s="1126" t="s">
        <v>1814</v>
      </c>
      <c r="D2047" s="1119">
        <v>646.81</v>
      </c>
      <c r="E2047" s="1120">
        <v>71.25</v>
      </c>
      <c r="F2047" s="1121">
        <f t="shared" si="1"/>
        <v>575.54</v>
      </c>
      <c r="G2047" s="1120">
        <v>575.54</v>
      </c>
      <c r="H2047" s="1127">
        <v>0.0</v>
      </c>
      <c r="I2047" s="1127">
        <v>0.0</v>
      </c>
      <c r="J2047" s="1127">
        <v>0.0</v>
      </c>
      <c r="K2047" s="1124"/>
    </row>
    <row r="2048" ht="15.75" customHeight="1">
      <c r="A2048" s="1119">
        <v>94587.0</v>
      </c>
      <c r="B2048" s="1125" t="s">
        <v>12326</v>
      </c>
      <c r="C2048" s="1126" t="s">
        <v>1731</v>
      </c>
      <c r="D2048" s="1119">
        <v>78.73</v>
      </c>
      <c r="E2048" s="1120">
        <v>22.3</v>
      </c>
      <c r="F2048" s="1121">
        <f t="shared" si="1"/>
        <v>56.41</v>
      </c>
      <c r="G2048" s="1120">
        <v>56.41</v>
      </c>
      <c r="H2048" s="1127">
        <v>0.0</v>
      </c>
      <c r="I2048" s="1127">
        <v>0.0</v>
      </c>
      <c r="J2048" s="1127">
        <v>0.0</v>
      </c>
      <c r="K2048" s="1124"/>
    </row>
    <row r="2049" ht="15.75" customHeight="1">
      <c r="A2049" s="1119">
        <v>94588.0</v>
      </c>
      <c r="B2049" s="1125" t="s">
        <v>12327</v>
      </c>
      <c r="C2049" s="1126" t="s">
        <v>1731</v>
      </c>
      <c r="D2049" s="1119">
        <v>68.39</v>
      </c>
      <c r="E2049" s="1120">
        <v>11.59</v>
      </c>
      <c r="F2049" s="1121">
        <f t="shared" si="1"/>
        <v>56.81</v>
      </c>
      <c r="G2049" s="1120">
        <v>56.81</v>
      </c>
      <c r="H2049" s="1127">
        <v>0.0</v>
      </c>
      <c r="I2049" s="1127">
        <v>0.0</v>
      </c>
      <c r="J2049" s="1127">
        <v>0.0</v>
      </c>
      <c r="K2049" s="1124"/>
    </row>
    <row r="2050" ht="15.75" customHeight="1">
      <c r="A2050" s="1119">
        <v>99837.0</v>
      </c>
      <c r="B2050" s="1125" t="s">
        <v>12328</v>
      </c>
      <c r="C2050" s="1126" t="s">
        <v>1731</v>
      </c>
      <c r="D2050" s="1119">
        <v>625.48</v>
      </c>
      <c r="E2050" s="1120">
        <v>219.3</v>
      </c>
      <c r="F2050" s="1121">
        <f t="shared" si="1"/>
        <v>406.19</v>
      </c>
      <c r="G2050" s="1120">
        <v>406.19</v>
      </c>
      <c r="H2050" s="1127">
        <v>0.0</v>
      </c>
      <c r="I2050" s="1127">
        <v>0.0</v>
      </c>
      <c r="J2050" s="1127">
        <v>0.0</v>
      </c>
      <c r="K2050" s="1124"/>
    </row>
    <row r="2051" ht="15.75" customHeight="1">
      <c r="A2051" s="1119">
        <v>99839.0</v>
      </c>
      <c r="B2051" s="1125" t="s">
        <v>12329</v>
      </c>
      <c r="C2051" s="1126" t="s">
        <v>1731</v>
      </c>
      <c r="D2051" s="1119">
        <v>534.13</v>
      </c>
      <c r="E2051" s="1120">
        <v>230.06</v>
      </c>
      <c r="F2051" s="1121">
        <f t="shared" si="1"/>
        <v>304.08</v>
      </c>
      <c r="G2051" s="1120">
        <v>304.08</v>
      </c>
      <c r="H2051" s="1127">
        <v>0.0</v>
      </c>
      <c r="I2051" s="1127">
        <v>0.0</v>
      </c>
      <c r="J2051" s="1127">
        <v>0.0</v>
      </c>
      <c r="K2051" s="1124"/>
    </row>
    <row r="2052" ht="15.75" customHeight="1">
      <c r="A2052" s="1119">
        <v>99841.0</v>
      </c>
      <c r="B2052" s="1125" t="s">
        <v>12330</v>
      </c>
      <c r="C2052" s="1126" t="s">
        <v>1731</v>
      </c>
      <c r="D2052" s="1128">
        <v>1089.15</v>
      </c>
      <c r="E2052" s="1120">
        <v>133.43</v>
      </c>
      <c r="F2052" s="1121">
        <f t="shared" si="1"/>
        <v>955.72</v>
      </c>
      <c r="G2052" s="1120">
        <v>955.72</v>
      </c>
      <c r="H2052" s="1127">
        <v>0.0</v>
      </c>
      <c r="I2052" s="1127">
        <v>0.0</v>
      </c>
      <c r="J2052" s="1127">
        <v>0.0</v>
      </c>
      <c r="K2052" s="1124"/>
    </row>
    <row r="2053" ht="15.75" customHeight="1">
      <c r="A2053" s="1119">
        <v>99855.0</v>
      </c>
      <c r="B2053" s="1125" t="s">
        <v>12331</v>
      </c>
      <c r="C2053" s="1126" t="s">
        <v>1731</v>
      </c>
      <c r="D2053" s="1119">
        <v>112.2</v>
      </c>
      <c r="E2053" s="1120">
        <v>37.72</v>
      </c>
      <c r="F2053" s="1121">
        <f t="shared" si="1"/>
        <v>74.49</v>
      </c>
      <c r="G2053" s="1120">
        <v>74.49</v>
      </c>
      <c r="H2053" s="1127">
        <v>0.0</v>
      </c>
      <c r="I2053" s="1127">
        <v>0.0</v>
      </c>
      <c r="J2053" s="1127">
        <v>0.0</v>
      </c>
      <c r="K2053" s="1124"/>
    </row>
    <row r="2054" ht="15.75" customHeight="1">
      <c r="A2054" s="1119">
        <v>99857.0</v>
      </c>
      <c r="B2054" s="1125" t="s">
        <v>12332</v>
      </c>
      <c r="C2054" s="1126" t="s">
        <v>1731</v>
      </c>
      <c r="D2054" s="1119">
        <v>99.41</v>
      </c>
      <c r="E2054" s="1120">
        <v>52.97</v>
      </c>
      <c r="F2054" s="1121">
        <f t="shared" si="1"/>
        <v>46.45</v>
      </c>
      <c r="G2054" s="1120">
        <v>46.45</v>
      </c>
      <c r="H2054" s="1127">
        <v>0.0</v>
      </c>
      <c r="I2054" s="1127">
        <v>0.0</v>
      </c>
      <c r="J2054" s="1127">
        <v>0.0</v>
      </c>
      <c r="K2054" s="1124"/>
    </row>
    <row r="2055" ht="15.75" customHeight="1">
      <c r="A2055" s="1119">
        <v>99861.0</v>
      </c>
      <c r="B2055" s="1125" t="s">
        <v>12333</v>
      </c>
      <c r="C2055" s="1126" t="s">
        <v>1814</v>
      </c>
      <c r="D2055" s="1119">
        <v>696.25</v>
      </c>
      <c r="E2055" s="1120">
        <v>338.69</v>
      </c>
      <c r="F2055" s="1121">
        <f t="shared" si="1"/>
        <v>357.56</v>
      </c>
      <c r="G2055" s="1120">
        <v>357.56</v>
      </c>
      <c r="H2055" s="1127">
        <v>0.0</v>
      </c>
      <c r="I2055" s="1127">
        <v>0.0</v>
      </c>
      <c r="J2055" s="1127">
        <v>0.0</v>
      </c>
      <c r="K2055" s="1124"/>
    </row>
    <row r="2056" ht="15.75" customHeight="1">
      <c r="A2056" s="1119">
        <v>99862.0</v>
      </c>
      <c r="B2056" s="1125" t="s">
        <v>12334</v>
      </c>
      <c r="C2056" s="1126" t="s">
        <v>1814</v>
      </c>
      <c r="D2056" s="1119">
        <v>667.22</v>
      </c>
      <c r="E2056" s="1120">
        <v>351.75</v>
      </c>
      <c r="F2056" s="1121">
        <f t="shared" si="1"/>
        <v>315.49</v>
      </c>
      <c r="G2056" s="1120">
        <v>315.49</v>
      </c>
      <c r="H2056" s="1127">
        <v>0.0</v>
      </c>
      <c r="I2056" s="1127">
        <v>0.0</v>
      </c>
      <c r="J2056" s="1127">
        <v>0.0</v>
      </c>
      <c r="K2056" s="1124"/>
    </row>
    <row r="2057" ht="15.75" customHeight="1">
      <c r="A2057" s="1119">
        <v>90838.0</v>
      </c>
      <c r="B2057" s="1125" t="s">
        <v>12335</v>
      </c>
      <c r="C2057" s="1126" t="s">
        <v>1788</v>
      </c>
      <c r="D2057" s="1128">
        <v>3630.29</v>
      </c>
      <c r="E2057" s="1120">
        <v>121.94</v>
      </c>
      <c r="F2057" s="1121">
        <f t="shared" si="1"/>
        <v>3508.35</v>
      </c>
      <c r="G2057" s="1120">
        <v>3508.35</v>
      </c>
      <c r="H2057" s="1127">
        <v>0.0</v>
      </c>
      <c r="I2057" s="1127">
        <v>0.0</v>
      </c>
      <c r="J2057" s="1127">
        <v>0.0</v>
      </c>
      <c r="K2057" s="1124"/>
    </row>
    <row r="2058" ht="15.75" customHeight="1">
      <c r="A2058" s="1119">
        <v>91338.0</v>
      </c>
      <c r="B2058" s="1125" t="s">
        <v>12336</v>
      </c>
      <c r="C2058" s="1126" t="s">
        <v>1814</v>
      </c>
      <c r="D2058" s="1128">
        <v>1498.09</v>
      </c>
      <c r="E2058" s="1120">
        <v>11.87</v>
      </c>
      <c r="F2058" s="1121">
        <f t="shared" si="1"/>
        <v>1486.23</v>
      </c>
      <c r="G2058" s="1120">
        <v>1486.23</v>
      </c>
      <c r="H2058" s="1127">
        <v>0.0</v>
      </c>
      <c r="I2058" s="1127">
        <v>0.0</v>
      </c>
      <c r="J2058" s="1127">
        <v>0.0</v>
      </c>
      <c r="K2058" s="1124"/>
    </row>
    <row r="2059" ht="15.75" customHeight="1">
      <c r="A2059" s="1119">
        <v>91341.0</v>
      </c>
      <c r="B2059" s="1125" t="s">
        <v>12337</v>
      </c>
      <c r="C2059" s="1126" t="s">
        <v>1814</v>
      </c>
      <c r="D2059" s="1128">
        <v>1156.81</v>
      </c>
      <c r="E2059" s="1120">
        <v>12.75</v>
      </c>
      <c r="F2059" s="1121">
        <f t="shared" si="1"/>
        <v>1144.06</v>
      </c>
      <c r="G2059" s="1120">
        <v>1144.06</v>
      </c>
      <c r="H2059" s="1127">
        <v>0.0</v>
      </c>
      <c r="I2059" s="1127">
        <v>0.0</v>
      </c>
      <c r="J2059" s="1127">
        <v>0.0</v>
      </c>
      <c r="K2059" s="1124"/>
    </row>
    <row r="2060" ht="15.75" customHeight="1">
      <c r="A2060" s="1119">
        <v>94805.0</v>
      </c>
      <c r="B2060" s="1125" t="s">
        <v>12338</v>
      </c>
      <c r="C2060" s="1126" t="s">
        <v>1788</v>
      </c>
      <c r="D2060" s="1128">
        <v>1461.74</v>
      </c>
      <c r="E2060" s="1120">
        <v>21.72</v>
      </c>
      <c r="F2060" s="1121">
        <f t="shared" si="1"/>
        <v>1440.03</v>
      </c>
      <c r="G2060" s="1120">
        <v>1440.03</v>
      </c>
      <c r="H2060" s="1127">
        <v>0.0</v>
      </c>
      <c r="I2060" s="1127">
        <v>0.0</v>
      </c>
      <c r="J2060" s="1127">
        <v>0.0</v>
      </c>
      <c r="K2060" s="1124"/>
    </row>
    <row r="2061" ht="15.75" customHeight="1">
      <c r="A2061" s="1119">
        <v>94806.0</v>
      </c>
      <c r="B2061" s="1125" t="s">
        <v>12339</v>
      </c>
      <c r="C2061" s="1126" t="s">
        <v>1788</v>
      </c>
      <c r="D2061" s="1128">
        <v>1653.75</v>
      </c>
      <c r="E2061" s="1120">
        <v>30.68</v>
      </c>
      <c r="F2061" s="1121">
        <f t="shared" si="1"/>
        <v>1623.07</v>
      </c>
      <c r="G2061" s="1120">
        <v>1623.07</v>
      </c>
      <c r="H2061" s="1127">
        <v>0.0</v>
      </c>
      <c r="I2061" s="1127">
        <v>0.0</v>
      </c>
      <c r="J2061" s="1127">
        <v>0.0</v>
      </c>
      <c r="K2061" s="1124"/>
    </row>
    <row r="2062" ht="15.75" customHeight="1">
      <c r="A2062" s="1119">
        <v>94807.0</v>
      </c>
      <c r="B2062" s="1125" t="s">
        <v>12340</v>
      </c>
      <c r="C2062" s="1126" t="s">
        <v>1788</v>
      </c>
      <c r="D2062" s="1128">
        <v>1494.13</v>
      </c>
      <c r="E2062" s="1120">
        <v>32.3</v>
      </c>
      <c r="F2062" s="1121">
        <f t="shared" si="1"/>
        <v>1461.83</v>
      </c>
      <c r="G2062" s="1120">
        <v>1461.83</v>
      </c>
      <c r="H2062" s="1127">
        <v>0.0</v>
      </c>
      <c r="I2062" s="1127">
        <v>0.0</v>
      </c>
      <c r="J2062" s="1127">
        <v>0.0</v>
      </c>
      <c r="K2062" s="1124"/>
    </row>
    <row r="2063" ht="15.75" customHeight="1">
      <c r="A2063" s="1119">
        <v>100702.0</v>
      </c>
      <c r="B2063" s="1125" t="s">
        <v>12341</v>
      </c>
      <c r="C2063" s="1126" t="s">
        <v>1814</v>
      </c>
      <c r="D2063" s="1119">
        <v>839.05</v>
      </c>
      <c r="E2063" s="1120">
        <v>9.4</v>
      </c>
      <c r="F2063" s="1121">
        <f t="shared" si="1"/>
        <v>829.66</v>
      </c>
      <c r="G2063" s="1120">
        <v>829.66</v>
      </c>
      <c r="H2063" s="1127">
        <v>0.0</v>
      </c>
      <c r="I2063" s="1127">
        <v>0.0</v>
      </c>
      <c r="J2063" s="1127">
        <v>0.0</v>
      </c>
      <c r="K2063" s="1124"/>
    </row>
    <row r="2064" ht="15.75" customHeight="1">
      <c r="A2064" s="1119">
        <v>102188.0</v>
      </c>
      <c r="B2064" s="1125" t="s">
        <v>12342</v>
      </c>
      <c r="C2064" s="1126" t="s">
        <v>1788</v>
      </c>
      <c r="D2064" s="1119">
        <v>965.28</v>
      </c>
      <c r="E2064" s="1120">
        <v>75.96</v>
      </c>
      <c r="F2064" s="1121">
        <f t="shared" si="1"/>
        <v>889.32</v>
      </c>
      <c r="G2064" s="1120">
        <v>889.32</v>
      </c>
      <c r="H2064" s="1127">
        <v>0.0</v>
      </c>
      <c r="I2064" s="1127">
        <v>0.0</v>
      </c>
      <c r="J2064" s="1127">
        <v>0.0</v>
      </c>
      <c r="K2064" s="1124"/>
    </row>
    <row r="2065" ht="15.75" customHeight="1">
      <c r="A2065" s="1119">
        <v>102189.0</v>
      </c>
      <c r="B2065" s="1125" t="s">
        <v>12343</v>
      </c>
      <c r="C2065" s="1126" t="s">
        <v>1788</v>
      </c>
      <c r="D2065" s="1119">
        <v>275.21</v>
      </c>
      <c r="E2065" s="1120">
        <v>84.32</v>
      </c>
      <c r="F2065" s="1121">
        <f t="shared" si="1"/>
        <v>190.89</v>
      </c>
      <c r="G2065" s="1120">
        <v>190.89</v>
      </c>
      <c r="H2065" s="1127">
        <v>0.0</v>
      </c>
      <c r="I2065" s="1127">
        <v>0.0</v>
      </c>
      <c r="J2065" s="1127">
        <v>0.0</v>
      </c>
      <c r="K2065" s="1124"/>
    </row>
    <row r="2066" ht="15.75" customHeight="1">
      <c r="A2066" s="1119">
        <v>100703.0</v>
      </c>
      <c r="B2066" s="1125" t="s">
        <v>12344</v>
      </c>
      <c r="C2066" s="1126" t="s">
        <v>1788</v>
      </c>
      <c r="D2066" s="1119">
        <v>34.65</v>
      </c>
      <c r="E2066" s="1120">
        <v>10.56</v>
      </c>
      <c r="F2066" s="1121">
        <f t="shared" si="1"/>
        <v>24.1</v>
      </c>
      <c r="G2066" s="1120">
        <v>24.1</v>
      </c>
      <c r="H2066" s="1127">
        <v>0.0</v>
      </c>
      <c r="I2066" s="1127">
        <v>0.0</v>
      </c>
      <c r="J2066" s="1127">
        <v>0.0</v>
      </c>
      <c r="K2066" s="1124"/>
    </row>
    <row r="2067" ht="15.75" customHeight="1">
      <c r="A2067" s="1119">
        <v>100704.0</v>
      </c>
      <c r="B2067" s="1125" t="s">
        <v>12345</v>
      </c>
      <c r="C2067" s="1126" t="s">
        <v>1788</v>
      </c>
      <c r="D2067" s="1119">
        <v>72.22</v>
      </c>
      <c r="E2067" s="1120">
        <v>16.86</v>
      </c>
      <c r="F2067" s="1121">
        <f t="shared" si="1"/>
        <v>55.37</v>
      </c>
      <c r="G2067" s="1120">
        <v>55.37</v>
      </c>
      <c r="H2067" s="1127">
        <v>0.0</v>
      </c>
      <c r="I2067" s="1127">
        <v>0.0</v>
      </c>
      <c r="J2067" s="1127">
        <v>0.0</v>
      </c>
      <c r="K2067" s="1124"/>
    </row>
    <row r="2068" ht="15.75" customHeight="1">
      <c r="A2068" s="1119">
        <v>100705.0</v>
      </c>
      <c r="B2068" s="1125" t="s">
        <v>12346</v>
      </c>
      <c r="C2068" s="1126" t="s">
        <v>1788</v>
      </c>
      <c r="D2068" s="1119">
        <v>85.39</v>
      </c>
      <c r="E2068" s="1120">
        <v>29.06</v>
      </c>
      <c r="F2068" s="1121">
        <f t="shared" si="1"/>
        <v>56.34</v>
      </c>
      <c r="G2068" s="1120">
        <v>56.34</v>
      </c>
      <c r="H2068" s="1127">
        <v>0.0</v>
      </c>
      <c r="I2068" s="1127">
        <v>0.0</v>
      </c>
      <c r="J2068" s="1127">
        <v>0.0</v>
      </c>
      <c r="K2068" s="1124"/>
    </row>
    <row r="2069" ht="15.75" customHeight="1">
      <c r="A2069" s="1119">
        <v>100706.0</v>
      </c>
      <c r="B2069" s="1125" t="s">
        <v>12347</v>
      </c>
      <c r="C2069" s="1126" t="s">
        <v>1788</v>
      </c>
      <c r="D2069" s="1119">
        <v>78.88</v>
      </c>
      <c r="E2069" s="1120">
        <v>37.7</v>
      </c>
      <c r="F2069" s="1121">
        <f t="shared" si="1"/>
        <v>41.19</v>
      </c>
      <c r="G2069" s="1120">
        <v>41.19</v>
      </c>
      <c r="H2069" s="1127">
        <v>0.0</v>
      </c>
      <c r="I2069" s="1127">
        <v>0.0</v>
      </c>
      <c r="J2069" s="1127">
        <v>0.0</v>
      </c>
      <c r="K2069" s="1124"/>
    </row>
    <row r="2070" ht="15.75" customHeight="1">
      <c r="A2070" s="1119">
        <v>100707.0</v>
      </c>
      <c r="B2070" s="1125" t="s">
        <v>12348</v>
      </c>
      <c r="C2070" s="1126" t="s">
        <v>1788</v>
      </c>
      <c r="D2070" s="1119">
        <v>152.8</v>
      </c>
      <c r="E2070" s="1120">
        <v>35.79</v>
      </c>
      <c r="F2070" s="1121">
        <f t="shared" si="1"/>
        <v>117.01</v>
      </c>
      <c r="G2070" s="1120">
        <v>117.01</v>
      </c>
      <c r="H2070" s="1127">
        <v>0.0</v>
      </c>
      <c r="I2070" s="1127">
        <v>0.0</v>
      </c>
      <c r="J2070" s="1127">
        <v>0.0</v>
      </c>
      <c r="K2070" s="1124"/>
    </row>
    <row r="2071" ht="15.75" customHeight="1">
      <c r="A2071" s="1119">
        <v>100708.0</v>
      </c>
      <c r="B2071" s="1125" t="s">
        <v>12349</v>
      </c>
      <c r="C2071" s="1126" t="s">
        <v>1788</v>
      </c>
      <c r="D2071" s="1119">
        <v>190.15</v>
      </c>
      <c r="E2071" s="1120">
        <v>39.7</v>
      </c>
      <c r="F2071" s="1121">
        <f t="shared" si="1"/>
        <v>150.45</v>
      </c>
      <c r="G2071" s="1120">
        <v>150.45</v>
      </c>
      <c r="H2071" s="1127">
        <v>0.0</v>
      </c>
      <c r="I2071" s="1127">
        <v>0.0</v>
      </c>
      <c r="J2071" s="1127">
        <v>0.0</v>
      </c>
      <c r="K2071" s="1124"/>
    </row>
    <row r="2072" ht="15.75" customHeight="1">
      <c r="A2072" s="1119">
        <v>100709.0</v>
      </c>
      <c r="B2072" s="1125" t="s">
        <v>12350</v>
      </c>
      <c r="C2072" s="1126" t="s">
        <v>1788</v>
      </c>
      <c r="D2072" s="1119">
        <v>52.42</v>
      </c>
      <c r="E2072" s="1120">
        <v>29.14</v>
      </c>
      <c r="F2072" s="1121">
        <f t="shared" si="1"/>
        <v>23.27</v>
      </c>
      <c r="G2072" s="1120">
        <v>23.27</v>
      </c>
      <c r="H2072" s="1127">
        <v>0.0</v>
      </c>
      <c r="I2072" s="1127">
        <v>0.0</v>
      </c>
      <c r="J2072" s="1127">
        <v>0.0</v>
      </c>
      <c r="K2072" s="1124"/>
    </row>
    <row r="2073" ht="15.75" customHeight="1">
      <c r="A2073" s="1119">
        <v>100710.0</v>
      </c>
      <c r="B2073" s="1125" t="s">
        <v>12351</v>
      </c>
      <c r="C2073" s="1126" t="s">
        <v>1788</v>
      </c>
      <c r="D2073" s="1119">
        <v>120.39</v>
      </c>
      <c r="E2073" s="1120">
        <v>38.85</v>
      </c>
      <c r="F2073" s="1121">
        <f t="shared" si="1"/>
        <v>81.54</v>
      </c>
      <c r="G2073" s="1120">
        <v>81.54</v>
      </c>
      <c r="H2073" s="1127">
        <v>0.0</v>
      </c>
      <c r="I2073" s="1127">
        <v>0.0</v>
      </c>
      <c r="J2073" s="1127">
        <v>0.0</v>
      </c>
      <c r="K2073" s="1124"/>
    </row>
    <row r="2074" ht="15.75" customHeight="1">
      <c r="A2074" s="1119">
        <v>102151.0</v>
      </c>
      <c r="B2074" s="1125" t="s">
        <v>12352</v>
      </c>
      <c r="C2074" s="1126" t="s">
        <v>1814</v>
      </c>
      <c r="D2074" s="1119">
        <v>170.33</v>
      </c>
      <c r="E2074" s="1120">
        <v>26.98</v>
      </c>
      <c r="F2074" s="1121">
        <f t="shared" si="1"/>
        <v>143.34</v>
      </c>
      <c r="G2074" s="1120">
        <v>143.34</v>
      </c>
      <c r="H2074" s="1127">
        <v>0.0</v>
      </c>
      <c r="I2074" s="1127">
        <v>0.0</v>
      </c>
      <c r="J2074" s="1127">
        <v>0.0</v>
      </c>
      <c r="K2074" s="1124"/>
    </row>
    <row r="2075" ht="15.75" customHeight="1">
      <c r="A2075" s="1119">
        <v>102152.0</v>
      </c>
      <c r="B2075" s="1125" t="s">
        <v>12353</v>
      </c>
      <c r="C2075" s="1126" t="s">
        <v>1814</v>
      </c>
      <c r="D2075" s="1119">
        <v>187.52</v>
      </c>
      <c r="E2075" s="1120">
        <v>26.98</v>
      </c>
      <c r="F2075" s="1121">
        <f t="shared" si="1"/>
        <v>160.53</v>
      </c>
      <c r="G2075" s="1120">
        <v>160.53</v>
      </c>
      <c r="H2075" s="1127">
        <v>0.0</v>
      </c>
      <c r="I2075" s="1127">
        <v>0.0</v>
      </c>
      <c r="J2075" s="1127">
        <v>0.0</v>
      </c>
      <c r="K2075" s="1124"/>
    </row>
    <row r="2076" ht="15.75" customHeight="1">
      <c r="A2076" s="1119">
        <v>102153.0</v>
      </c>
      <c r="B2076" s="1125" t="s">
        <v>12354</v>
      </c>
      <c r="C2076" s="1126" t="s">
        <v>1814</v>
      </c>
      <c r="D2076" s="1119">
        <v>233.35</v>
      </c>
      <c r="E2076" s="1120">
        <v>26.98</v>
      </c>
      <c r="F2076" s="1121">
        <f t="shared" si="1"/>
        <v>206.36</v>
      </c>
      <c r="G2076" s="1120">
        <v>206.36</v>
      </c>
      <c r="H2076" s="1127">
        <v>0.0</v>
      </c>
      <c r="I2076" s="1127">
        <v>0.0</v>
      </c>
      <c r="J2076" s="1127">
        <v>0.0</v>
      </c>
      <c r="K2076" s="1124"/>
    </row>
    <row r="2077" ht="15.75" customHeight="1">
      <c r="A2077" s="1119">
        <v>102154.0</v>
      </c>
      <c r="B2077" s="1125" t="s">
        <v>12355</v>
      </c>
      <c r="C2077" s="1126" t="s">
        <v>1814</v>
      </c>
      <c r="D2077" s="1119">
        <v>200.6</v>
      </c>
      <c r="E2077" s="1120">
        <v>21.55</v>
      </c>
      <c r="F2077" s="1121">
        <f t="shared" si="1"/>
        <v>179.05</v>
      </c>
      <c r="G2077" s="1120">
        <v>179.05</v>
      </c>
      <c r="H2077" s="1127">
        <v>0.0</v>
      </c>
      <c r="I2077" s="1127">
        <v>0.0</v>
      </c>
      <c r="J2077" s="1127">
        <v>0.0</v>
      </c>
      <c r="K2077" s="1124"/>
    </row>
    <row r="2078" ht="15.75" customHeight="1">
      <c r="A2078" s="1119">
        <v>102155.0</v>
      </c>
      <c r="B2078" s="1125" t="s">
        <v>12356</v>
      </c>
      <c r="C2078" s="1126" t="s">
        <v>1814</v>
      </c>
      <c r="D2078" s="1119">
        <v>238.09</v>
      </c>
      <c r="E2078" s="1120">
        <v>21.55</v>
      </c>
      <c r="F2078" s="1121">
        <f t="shared" si="1"/>
        <v>216.54</v>
      </c>
      <c r="G2078" s="1120">
        <v>216.54</v>
      </c>
      <c r="H2078" s="1127">
        <v>0.0</v>
      </c>
      <c r="I2078" s="1127">
        <v>0.0</v>
      </c>
      <c r="J2078" s="1127">
        <v>0.0</v>
      </c>
      <c r="K2078" s="1124"/>
    </row>
    <row r="2079" ht="15.75" customHeight="1">
      <c r="A2079" s="1119">
        <v>102156.0</v>
      </c>
      <c r="B2079" s="1125" t="s">
        <v>12357</v>
      </c>
      <c r="C2079" s="1126" t="s">
        <v>1814</v>
      </c>
      <c r="D2079" s="1119">
        <v>225.58</v>
      </c>
      <c r="E2079" s="1120">
        <v>16.45</v>
      </c>
      <c r="F2079" s="1121">
        <f t="shared" si="1"/>
        <v>209.12</v>
      </c>
      <c r="G2079" s="1120">
        <v>209.12</v>
      </c>
      <c r="H2079" s="1127">
        <v>0.0</v>
      </c>
      <c r="I2079" s="1127">
        <v>0.0</v>
      </c>
      <c r="J2079" s="1127">
        <v>0.0</v>
      </c>
      <c r="K2079" s="1124"/>
    </row>
    <row r="2080" ht="15.75" customHeight="1">
      <c r="A2080" s="1119">
        <v>102157.0</v>
      </c>
      <c r="B2080" s="1125" t="s">
        <v>12358</v>
      </c>
      <c r="C2080" s="1126" t="s">
        <v>1814</v>
      </c>
      <c r="D2080" s="1119">
        <v>305.79</v>
      </c>
      <c r="E2080" s="1120">
        <v>16.45</v>
      </c>
      <c r="F2080" s="1121">
        <f t="shared" si="1"/>
        <v>289.33</v>
      </c>
      <c r="G2080" s="1120">
        <v>289.33</v>
      </c>
      <c r="H2080" s="1127">
        <v>0.0</v>
      </c>
      <c r="I2080" s="1127">
        <v>0.0</v>
      </c>
      <c r="J2080" s="1127">
        <v>0.0</v>
      </c>
      <c r="K2080" s="1124"/>
    </row>
    <row r="2081" ht="15.75" customHeight="1">
      <c r="A2081" s="1119">
        <v>102158.0</v>
      </c>
      <c r="B2081" s="1125" t="s">
        <v>12359</v>
      </c>
      <c r="C2081" s="1126" t="s">
        <v>1814</v>
      </c>
      <c r="D2081" s="1119">
        <v>307.02</v>
      </c>
      <c r="E2081" s="1120">
        <v>12.22</v>
      </c>
      <c r="F2081" s="1121">
        <f t="shared" si="1"/>
        <v>294.8</v>
      </c>
      <c r="G2081" s="1120">
        <v>294.8</v>
      </c>
      <c r="H2081" s="1127">
        <v>0.0</v>
      </c>
      <c r="I2081" s="1127">
        <v>0.0</v>
      </c>
      <c r="J2081" s="1127">
        <v>0.0</v>
      </c>
      <c r="K2081" s="1124"/>
    </row>
    <row r="2082" ht="15.75" customHeight="1">
      <c r="A2082" s="1119">
        <v>102159.0</v>
      </c>
      <c r="B2082" s="1125" t="s">
        <v>12360</v>
      </c>
      <c r="C2082" s="1126" t="s">
        <v>1814</v>
      </c>
      <c r="D2082" s="1119">
        <v>363.78</v>
      </c>
      <c r="E2082" s="1120">
        <v>10.73</v>
      </c>
      <c r="F2082" s="1121">
        <f t="shared" si="1"/>
        <v>353.05</v>
      </c>
      <c r="G2082" s="1120">
        <v>353.05</v>
      </c>
      <c r="H2082" s="1127">
        <v>0.0</v>
      </c>
      <c r="I2082" s="1127">
        <v>0.0</v>
      </c>
      <c r="J2082" s="1127">
        <v>0.0</v>
      </c>
      <c r="K2082" s="1124"/>
    </row>
    <row r="2083" ht="15.75" customHeight="1">
      <c r="A2083" s="1119">
        <v>102160.0</v>
      </c>
      <c r="B2083" s="1125" t="s">
        <v>12361</v>
      </c>
      <c r="C2083" s="1126" t="s">
        <v>1814</v>
      </c>
      <c r="D2083" s="1119">
        <v>164.6</v>
      </c>
      <c r="E2083" s="1120">
        <v>26.98</v>
      </c>
      <c r="F2083" s="1121">
        <f t="shared" si="1"/>
        <v>137.61</v>
      </c>
      <c r="G2083" s="1120">
        <v>137.61</v>
      </c>
      <c r="H2083" s="1127">
        <v>0.0</v>
      </c>
      <c r="I2083" s="1127">
        <v>0.0</v>
      </c>
      <c r="J2083" s="1127">
        <v>0.0</v>
      </c>
      <c r="K2083" s="1124"/>
    </row>
    <row r="2084" ht="15.75" customHeight="1">
      <c r="A2084" s="1119">
        <v>102161.0</v>
      </c>
      <c r="B2084" s="1125" t="s">
        <v>12362</v>
      </c>
      <c r="C2084" s="1126" t="s">
        <v>1814</v>
      </c>
      <c r="D2084" s="1119">
        <v>331.64</v>
      </c>
      <c r="E2084" s="1120">
        <v>32.7</v>
      </c>
      <c r="F2084" s="1121">
        <f t="shared" si="1"/>
        <v>298.93</v>
      </c>
      <c r="G2084" s="1120">
        <v>298.93</v>
      </c>
      <c r="H2084" s="1127">
        <v>0.0</v>
      </c>
      <c r="I2084" s="1127">
        <v>0.0</v>
      </c>
      <c r="J2084" s="1127">
        <v>0.0</v>
      </c>
      <c r="K2084" s="1124"/>
    </row>
    <row r="2085" ht="15.75" customHeight="1">
      <c r="A2085" s="1119">
        <v>102162.0</v>
      </c>
      <c r="B2085" s="1125" t="s">
        <v>12363</v>
      </c>
      <c r="C2085" s="1126" t="s">
        <v>1814</v>
      </c>
      <c r="D2085" s="1119">
        <v>348.83</v>
      </c>
      <c r="E2085" s="1120">
        <v>32.7</v>
      </c>
      <c r="F2085" s="1121">
        <f t="shared" si="1"/>
        <v>316.12</v>
      </c>
      <c r="G2085" s="1120">
        <v>316.12</v>
      </c>
      <c r="H2085" s="1127">
        <v>0.0</v>
      </c>
      <c r="I2085" s="1127">
        <v>0.0</v>
      </c>
      <c r="J2085" s="1127">
        <v>0.0</v>
      </c>
      <c r="K2085" s="1124"/>
    </row>
    <row r="2086" ht="15.75" customHeight="1">
      <c r="A2086" s="1119">
        <v>102163.0</v>
      </c>
      <c r="B2086" s="1125" t="s">
        <v>12364</v>
      </c>
      <c r="C2086" s="1126" t="s">
        <v>1814</v>
      </c>
      <c r="D2086" s="1119">
        <v>394.66</v>
      </c>
      <c r="E2086" s="1120">
        <v>32.7</v>
      </c>
      <c r="F2086" s="1121">
        <f t="shared" si="1"/>
        <v>361.95</v>
      </c>
      <c r="G2086" s="1120">
        <v>361.95</v>
      </c>
      <c r="H2086" s="1127">
        <v>0.0</v>
      </c>
      <c r="I2086" s="1127">
        <v>0.0</v>
      </c>
      <c r="J2086" s="1127">
        <v>0.0</v>
      </c>
      <c r="K2086" s="1124"/>
    </row>
    <row r="2087" ht="15.75" customHeight="1">
      <c r="A2087" s="1119">
        <v>102164.0</v>
      </c>
      <c r="B2087" s="1125" t="s">
        <v>12365</v>
      </c>
      <c r="C2087" s="1126" t="s">
        <v>1814</v>
      </c>
      <c r="D2087" s="1119">
        <v>332.25</v>
      </c>
      <c r="E2087" s="1120">
        <v>26.18</v>
      </c>
      <c r="F2087" s="1121">
        <f t="shared" si="1"/>
        <v>306.06</v>
      </c>
      <c r="G2087" s="1120">
        <v>306.06</v>
      </c>
      <c r="H2087" s="1127">
        <v>0.0</v>
      </c>
      <c r="I2087" s="1127">
        <v>0.0</v>
      </c>
      <c r="J2087" s="1127">
        <v>0.0</v>
      </c>
      <c r="K2087" s="1124"/>
    </row>
    <row r="2088" ht="15.75" customHeight="1">
      <c r="A2088" s="1119">
        <v>102165.0</v>
      </c>
      <c r="B2088" s="1125" t="s">
        <v>12366</v>
      </c>
      <c r="C2088" s="1126" t="s">
        <v>1814</v>
      </c>
      <c r="D2088" s="1119">
        <v>369.74</v>
      </c>
      <c r="E2088" s="1120">
        <v>26.18</v>
      </c>
      <c r="F2088" s="1121">
        <f t="shared" si="1"/>
        <v>343.55</v>
      </c>
      <c r="G2088" s="1120">
        <v>343.55</v>
      </c>
      <c r="H2088" s="1127">
        <v>0.0</v>
      </c>
      <c r="I2088" s="1127">
        <v>0.0</v>
      </c>
      <c r="J2088" s="1127">
        <v>0.0</v>
      </c>
      <c r="K2088" s="1124"/>
    </row>
    <row r="2089" ht="15.75" customHeight="1">
      <c r="A2089" s="1119">
        <v>102166.0</v>
      </c>
      <c r="B2089" s="1125" t="s">
        <v>12367</v>
      </c>
      <c r="C2089" s="1126" t="s">
        <v>1814</v>
      </c>
      <c r="D2089" s="1119">
        <v>327.53</v>
      </c>
      <c r="E2089" s="1120">
        <v>20.01</v>
      </c>
      <c r="F2089" s="1121">
        <f t="shared" si="1"/>
        <v>307.52</v>
      </c>
      <c r="G2089" s="1120">
        <v>307.52</v>
      </c>
      <c r="H2089" s="1127">
        <v>0.0</v>
      </c>
      <c r="I2089" s="1127">
        <v>0.0</v>
      </c>
      <c r="J2089" s="1127">
        <v>0.0</v>
      </c>
      <c r="K2089" s="1124"/>
    </row>
    <row r="2090" ht="15.75" customHeight="1">
      <c r="A2090" s="1119">
        <v>102167.0</v>
      </c>
      <c r="B2090" s="1125" t="s">
        <v>12368</v>
      </c>
      <c r="C2090" s="1126" t="s">
        <v>1814</v>
      </c>
      <c r="D2090" s="1119">
        <v>407.74</v>
      </c>
      <c r="E2090" s="1120">
        <v>20.01</v>
      </c>
      <c r="F2090" s="1121">
        <f t="shared" si="1"/>
        <v>387.73</v>
      </c>
      <c r="G2090" s="1120">
        <v>387.73</v>
      </c>
      <c r="H2090" s="1127">
        <v>0.0</v>
      </c>
      <c r="I2090" s="1127">
        <v>0.0</v>
      </c>
      <c r="J2090" s="1127">
        <v>0.0</v>
      </c>
      <c r="K2090" s="1124"/>
    </row>
    <row r="2091" ht="15.75" customHeight="1">
      <c r="A2091" s="1119">
        <v>102168.0</v>
      </c>
      <c r="B2091" s="1125" t="s">
        <v>12369</v>
      </c>
      <c r="C2091" s="1126" t="s">
        <v>1814</v>
      </c>
      <c r="D2091" s="1119">
        <v>382.59</v>
      </c>
      <c r="E2091" s="1120">
        <v>14.85</v>
      </c>
      <c r="F2091" s="1121">
        <f t="shared" si="1"/>
        <v>367.73</v>
      </c>
      <c r="G2091" s="1120">
        <v>367.73</v>
      </c>
      <c r="H2091" s="1127">
        <v>0.0</v>
      </c>
      <c r="I2091" s="1127">
        <v>0.0</v>
      </c>
      <c r="J2091" s="1127">
        <v>0.0</v>
      </c>
      <c r="K2091" s="1124"/>
    </row>
    <row r="2092" ht="15.75" customHeight="1">
      <c r="A2092" s="1119">
        <v>102169.0</v>
      </c>
      <c r="B2092" s="1125" t="s">
        <v>12370</v>
      </c>
      <c r="C2092" s="1126" t="s">
        <v>1814</v>
      </c>
      <c r="D2092" s="1119">
        <v>429.58</v>
      </c>
      <c r="E2092" s="1120">
        <v>13.02</v>
      </c>
      <c r="F2092" s="1121">
        <f t="shared" si="1"/>
        <v>416.57</v>
      </c>
      <c r="G2092" s="1120">
        <v>416.57</v>
      </c>
      <c r="H2092" s="1127">
        <v>0.0</v>
      </c>
      <c r="I2092" s="1127">
        <v>0.0</v>
      </c>
      <c r="J2092" s="1127">
        <v>0.0</v>
      </c>
      <c r="K2092" s="1124"/>
    </row>
    <row r="2093" ht="15.75" customHeight="1">
      <c r="A2093" s="1119">
        <v>102170.0</v>
      </c>
      <c r="B2093" s="1125" t="s">
        <v>12371</v>
      </c>
      <c r="C2093" s="1126" t="s">
        <v>1814</v>
      </c>
      <c r="D2093" s="1119">
        <v>325.91</v>
      </c>
      <c r="E2093" s="1120">
        <v>32.7</v>
      </c>
      <c r="F2093" s="1121">
        <f t="shared" si="1"/>
        <v>293.2</v>
      </c>
      <c r="G2093" s="1120">
        <v>293.2</v>
      </c>
      <c r="H2093" s="1127">
        <v>0.0</v>
      </c>
      <c r="I2093" s="1127">
        <v>0.0</v>
      </c>
      <c r="J2093" s="1127">
        <v>0.0</v>
      </c>
      <c r="K2093" s="1124"/>
    </row>
    <row r="2094" ht="15.75" customHeight="1">
      <c r="A2094" s="1119">
        <v>102171.0</v>
      </c>
      <c r="B2094" s="1125" t="s">
        <v>12372</v>
      </c>
      <c r="C2094" s="1126" t="s">
        <v>1814</v>
      </c>
      <c r="D2094" s="1119">
        <v>515.59</v>
      </c>
      <c r="E2094" s="1120">
        <v>26.18</v>
      </c>
      <c r="F2094" s="1121">
        <f t="shared" si="1"/>
        <v>489.4</v>
      </c>
      <c r="G2094" s="1120">
        <v>489.4</v>
      </c>
      <c r="H2094" s="1127">
        <v>0.0</v>
      </c>
      <c r="I2094" s="1127">
        <v>0.0</v>
      </c>
      <c r="J2094" s="1127">
        <v>0.0</v>
      </c>
      <c r="K2094" s="1124"/>
    </row>
    <row r="2095" ht="15.75" customHeight="1">
      <c r="A2095" s="1119">
        <v>102172.0</v>
      </c>
      <c r="B2095" s="1125" t="s">
        <v>12373</v>
      </c>
      <c r="C2095" s="1126" t="s">
        <v>1814</v>
      </c>
      <c r="D2095" s="1119">
        <v>487.94</v>
      </c>
      <c r="E2095" s="1120">
        <v>20.01</v>
      </c>
      <c r="F2095" s="1121">
        <f t="shared" si="1"/>
        <v>467.93</v>
      </c>
      <c r="G2095" s="1120">
        <v>467.93</v>
      </c>
      <c r="H2095" s="1127">
        <v>0.0</v>
      </c>
      <c r="I2095" s="1127">
        <v>0.0</v>
      </c>
      <c r="J2095" s="1127">
        <v>0.0</v>
      </c>
      <c r="K2095" s="1124"/>
    </row>
    <row r="2096" ht="15.75" customHeight="1">
      <c r="A2096" s="1119">
        <v>102176.0</v>
      </c>
      <c r="B2096" s="1125" t="s">
        <v>12374</v>
      </c>
      <c r="C2096" s="1126" t="s">
        <v>1814</v>
      </c>
      <c r="D2096" s="1119">
        <v>872.46</v>
      </c>
      <c r="E2096" s="1120">
        <v>69.6</v>
      </c>
      <c r="F2096" s="1121">
        <f t="shared" si="1"/>
        <v>802.88</v>
      </c>
      <c r="G2096" s="1120">
        <v>802.88</v>
      </c>
      <c r="H2096" s="1127">
        <v>0.0</v>
      </c>
      <c r="I2096" s="1127">
        <v>0.0</v>
      </c>
      <c r="J2096" s="1127">
        <v>0.0</v>
      </c>
      <c r="K2096" s="1124"/>
    </row>
    <row r="2097" ht="15.75" customHeight="1">
      <c r="A2097" s="1119">
        <v>102177.0</v>
      </c>
      <c r="B2097" s="1125" t="s">
        <v>12375</v>
      </c>
      <c r="C2097" s="1126" t="s">
        <v>1814</v>
      </c>
      <c r="D2097" s="1128">
        <v>1679.77</v>
      </c>
      <c r="E2097" s="1120">
        <v>63.31</v>
      </c>
      <c r="F2097" s="1121">
        <f t="shared" si="1"/>
        <v>1616.46</v>
      </c>
      <c r="G2097" s="1120">
        <v>1616.46</v>
      </c>
      <c r="H2097" s="1127">
        <v>0.0</v>
      </c>
      <c r="I2097" s="1127">
        <v>0.0</v>
      </c>
      <c r="J2097" s="1127">
        <v>0.0</v>
      </c>
      <c r="K2097" s="1124"/>
    </row>
    <row r="2098" ht="15.75" customHeight="1">
      <c r="A2098" s="1119">
        <v>102178.0</v>
      </c>
      <c r="B2098" s="1125" t="s">
        <v>12376</v>
      </c>
      <c r="C2098" s="1126" t="s">
        <v>1814</v>
      </c>
      <c r="D2098" s="1128">
        <v>1913.32</v>
      </c>
      <c r="E2098" s="1120">
        <v>57.99</v>
      </c>
      <c r="F2098" s="1121">
        <f t="shared" si="1"/>
        <v>1855.33</v>
      </c>
      <c r="G2098" s="1120">
        <v>1855.33</v>
      </c>
      <c r="H2098" s="1127">
        <v>0.0</v>
      </c>
      <c r="I2098" s="1127">
        <v>0.0</v>
      </c>
      <c r="J2098" s="1127">
        <v>0.0</v>
      </c>
      <c r="K2098" s="1124"/>
    </row>
    <row r="2099" ht="15.75" customHeight="1">
      <c r="A2099" s="1119">
        <v>102179.0</v>
      </c>
      <c r="B2099" s="1125" t="s">
        <v>12377</v>
      </c>
      <c r="C2099" s="1126" t="s">
        <v>1814</v>
      </c>
      <c r="D2099" s="1119">
        <v>388.44</v>
      </c>
      <c r="E2099" s="1120">
        <v>66.29</v>
      </c>
      <c r="F2099" s="1121">
        <f t="shared" si="1"/>
        <v>322.17</v>
      </c>
      <c r="G2099" s="1120">
        <v>322.17</v>
      </c>
      <c r="H2099" s="1127">
        <v>0.0</v>
      </c>
      <c r="I2099" s="1127">
        <v>0.0</v>
      </c>
      <c r="J2099" s="1127">
        <v>0.0</v>
      </c>
      <c r="K2099" s="1124"/>
    </row>
    <row r="2100" ht="15.75" customHeight="1">
      <c r="A2100" s="1119">
        <v>102180.0</v>
      </c>
      <c r="B2100" s="1125" t="s">
        <v>12378</v>
      </c>
      <c r="C2100" s="1126" t="s">
        <v>1814</v>
      </c>
      <c r="D2100" s="1119">
        <v>449.99</v>
      </c>
      <c r="E2100" s="1120">
        <v>63.14</v>
      </c>
      <c r="F2100" s="1121">
        <f t="shared" si="1"/>
        <v>386.84</v>
      </c>
      <c r="G2100" s="1120">
        <v>386.84</v>
      </c>
      <c r="H2100" s="1127">
        <v>0.0</v>
      </c>
      <c r="I2100" s="1127">
        <v>0.0</v>
      </c>
      <c r="J2100" s="1127">
        <v>0.0</v>
      </c>
      <c r="K2100" s="1124"/>
    </row>
    <row r="2101" ht="15.75" customHeight="1">
      <c r="A2101" s="1119">
        <v>102181.0</v>
      </c>
      <c r="B2101" s="1125" t="s">
        <v>12379</v>
      </c>
      <c r="C2101" s="1126" t="s">
        <v>1814</v>
      </c>
      <c r="D2101" s="1119">
        <v>532.66</v>
      </c>
      <c r="E2101" s="1120">
        <v>59.23</v>
      </c>
      <c r="F2101" s="1121">
        <f t="shared" si="1"/>
        <v>473.42</v>
      </c>
      <c r="G2101" s="1120">
        <v>473.42</v>
      </c>
      <c r="H2101" s="1127">
        <v>0.0</v>
      </c>
      <c r="I2101" s="1127">
        <v>0.0</v>
      </c>
      <c r="J2101" s="1127">
        <v>0.0</v>
      </c>
      <c r="K2101" s="1124"/>
    </row>
    <row r="2102" ht="15.75" customHeight="1">
      <c r="A2102" s="1119">
        <v>102182.0</v>
      </c>
      <c r="B2102" s="1125" t="s">
        <v>12380</v>
      </c>
      <c r="C2102" s="1126" t="s">
        <v>1788</v>
      </c>
      <c r="D2102" s="1128">
        <v>1101.17</v>
      </c>
      <c r="E2102" s="1120">
        <v>80.25</v>
      </c>
      <c r="F2102" s="1121">
        <f t="shared" si="1"/>
        <v>1020.93</v>
      </c>
      <c r="G2102" s="1120">
        <v>1020.93</v>
      </c>
      <c r="H2102" s="1127">
        <v>0.0</v>
      </c>
      <c r="I2102" s="1127">
        <v>0.0</v>
      </c>
      <c r="J2102" s="1127">
        <v>0.0</v>
      </c>
      <c r="K2102" s="1124"/>
    </row>
    <row r="2103" ht="15.75" customHeight="1">
      <c r="A2103" s="1119">
        <v>102183.0</v>
      </c>
      <c r="B2103" s="1125" t="s">
        <v>12381</v>
      </c>
      <c r="C2103" s="1126" t="s">
        <v>1788</v>
      </c>
      <c r="D2103" s="1128">
        <v>2217.24</v>
      </c>
      <c r="E2103" s="1120">
        <v>171.37</v>
      </c>
      <c r="F2103" s="1121">
        <f t="shared" si="1"/>
        <v>2045.86</v>
      </c>
      <c r="G2103" s="1120">
        <v>2045.86</v>
      </c>
      <c r="H2103" s="1127">
        <v>0.0</v>
      </c>
      <c r="I2103" s="1127">
        <v>0.0</v>
      </c>
      <c r="J2103" s="1127">
        <v>0.0</v>
      </c>
      <c r="K2103" s="1124"/>
    </row>
    <row r="2104" ht="15.75" customHeight="1">
      <c r="A2104" s="1119">
        <v>102184.0</v>
      </c>
      <c r="B2104" s="1125" t="s">
        <v>12382</v>
      </c>
      <c r="C2104" s="1126" t="s">
        <v>1788</v>
      </c>
      <c r="D2104" s="1128">
        <v>2038.73</v>
      </c>
      <c r="E2104" s="1120">
        <v>135.93</v>
      </c>
      <c r="F2104" s="1121">
        <f t="shared" si="1"/>
        <v>1902.79</v>
      </c>
      <c r="G2104" s="1120">
        <v>1902.79</v>
      </c>
      <c r="H2104" s="1127">
        <v>0.0</v>
      </c>
      <c r="I2104" s="1127">
        <v>0.0</v>
      </c>
      <c r="J2104" s="1127">
        <v>0.0</v>
      </c>
      <c r="K2104" s="1124"/>
    </row>
    <row r="2105" ht="15.75" customHeight="1">
      <c r="A2105" s="1119">
        <v>102185.0</v>
      </c>
      <c r="B2105" s="1125" t="s">
        <v>12383</v>
      </c>
      <c r="C2105" s="1126" t="s">
        <v>1788</v>
      </c>
      <c r="D2105" s="1128">
        <v>4091.96</v>
      </c>
      <c r="E2105" s="1120">
        <v>282.49</v>
      </c>
      <c r="F2105" s="1121">
        <f t="shared" si="1"/>
        <v>3809.48</v>
      </c>
      <c r="G2105" s="1120">
        <v>3809.48</v>
      </c>
      <c r="H2105" s="1127">
        <v>0.0</v>
      </c>
      <c r="I2105" s="1127">
        <v>0.0</v>
      </c>
      <c r="J2105" s="1127">
        <v>0.0</v>
      </c>
      <c r="K2105" s="1124"/>
    </row>
    <row r="2106" ht="15.75" customHeight="1">
      <c r="A2106" s="1119">
        <v>102190.0</v>
      </c>
      <c r="B2106" s="1125" t="s">
        <v>12384</v>
      </c>
      <c r="C2106" s="1126" t="s">
        <v>1814</v>
      </c>
      <c r="D2106" s="1119">
        <v>22.91</v>
      </c>
      <c r="E2106" s="1120">
        <v>16.81</v>
      </c>
      <c r="F2106" s="1121">
        <f t="shared" si="1"/>
        <v>6.1</v>
      </c>
      <c r="G2106" s="1120">
        <v>6.1</v>
      </c>
      <c r="H2106" s="1127">
        <v>0.0</v>
      </c>
      <c r="I2106" s="1127">
        <v>0.0</v>
      </c>
      <c r="J2106" s="1127">
        <v>0.0</v>
      </c>
      <c r="K2106" s="1124"/>
    </row>
    <row r="2107" ht="15.75" customHeight="1">
      <c r="A2107" s="1119">
        <v>102191.0</v>
      </c>
      <c r="B2107" s="1125" t="s">
        <v>12385</v>
      </c>
      <c r="C2107" s="1126" t="s">
        <v>1814</v>
      </c>
      <c r="D2107" s="1119">
        <v>27.83</v>
      </c>
      <c r="E2107" s="1120">
        <v>20.41</v>
      </c>
      <c r="F2107" s="1121">
        <f t="shared" si="1"/>
        <v>7.43</v>
      </c>
      <c r="G2107" s="1120">
        <v>7.43</v>
      </c>
      <c r="H2107" s="1127">
        <v>0.0</v>
      </c>
      <c r="I2107" s="1127">
        <v>0.0</v>
      </c>
      <c r="J2107" s="1127">
        <v>0.0</v>
      </c>
      <c r="K2107" s="1124"/>
    </row>
    <row r="2108" ht="15.75" customHeight="1">
      <c r="A2108" s="1119">
        <v>102192.0</v>
      </c>
      <c r="B2108" s="1125" t="s">
        <v>12386</v>
      </c>
      <c r="C2108" s="1126" t="s">
        <v>1814</v>
      </c>
      <c r="D2108" s="1119">
        <v>19.88</v>
      </c>
      <c r="E2108" s="1120">
        <v>14.58</v>
      </c>
      <c r="F2108" s="1121">
        <f t="shared" si="1"/>
        <v>5.3</v>
      </c>
      <c r="G2108" s="1120">
        <v>5.3</v>
      </c>
      <c r="H2108" s="1127">
        <v>0.0</v>
      </c>
      <c r="I2108" s="1127">
        <v>0.0</v>
      </c>
      <c r="J2108" s="1127">
        <v>0.0</v>
      </c>
      <c r="K2108" s="1124"/>
    </row>
    <row r="2109" ht="15.75" customHeight="1">
      <c r="A2109" s="1119">
        <v>94569.0</v>
      </c>
      <c r="B2109" s="1125" t="s">
        <v>12387</v>
      </c>
      <c r="C2109" s="1126" t="s">
        <v>1814</v>
      </c>
      <c r="D2109" s="1128">
        <v>1137.34</v>
      </c>
      <c r="E2109" s="1120">
        <v>56.97</v>
      </c>
      <c r="F2109" s="1121">
        <f t="shared" si="1"/>
        <v>1080.38</v>
      </c>
      <c r="G2109" s="1120">
        <v>1080.38</v>
      </c>
      <c r="H2109" s="1127">
        <v>0.0</v>
      </c>
      <c r="I2109" s="1127">
        <v>0.0</v>
      </c>
      <c r="J2109" s="1127">
        <v>0.0</v>
      </c>
      <c r="K2109" s="1124"/>
    </row>
    <row r="2110" ht="15.75" customHeight="1">
      <c r="A2110" s="1119">
        <v>94570.0</v>
      </c>
      <c r="B2110" s="1125" t="s">
        <v>12388</v>
      </c>
      <c r="C2110" s="1126" t="s">
        <v>1814</v>
      </c>
      <c r="D2110" s="1119">
        <v>597.34</v>
      </c>
      <c r="E2110" s="1120">
        <v>17.3</v>
      </c>
      <c r="F2110" s="1121">
        <f t="shared" si="1"/>
        <v>580.04</v>
      </c>
      <c r="G2110" s="1120">
        <v>580.04</v>
      </c>
      <c r="H2110" s="1127">
        <v>0.0</v>
      </c>
      <c r="I2110" s="1127">
        <v>0.0</v>
      </c>
      <c r="J2110" s="1127">
        <v>0.0</v>
      </c>
      <c r="K2110" s="1124"/>
    </row>
    <row r="2111" ht="15.75" customHeight="1">
      <c r="A2111" s="1119">
        <v>94572.0</v>
      </c>
      <c r="B2111" s="1125" t="s">
        <v>12389</v>
      </c>
      <c r="C2111" s="1126" t="s">
        <v>1814</v>
      </c>
      <c r="D2111" s="1119">
        <v>857.33</v>
      </c>
      <c r="E2111" s="1120">
        <v>23.24</v>
      </c>
      <c r="F2111" s="1121">
        <f t="shared" si="1"/>
        <v>834.07</v>
      </c>
      <c r="G2111" s="1120">
        <v>834.07</v>
      </c>
      <c r="H2111" s="1127">
        <v>0.0</v>
      </c>
      <c r="I2111" s="1127">
        <v>0.0</v>
      </c>
      <c r="J2111" s="1127">
        <v>0.0</v>
      </c>
      <c r="K2111" s="1124"/>
    </row>
    <row r="2112" ht="15.75" customHeight="1">
      <c r="A2112" s="1119">
        <v>94573.0</v>
      </c>
      <c r="B2112" s="1125" t="s">
        <v>12390</v>
      </c>
      <c r="C2112" s="1126" t="s">
        <v>1814</v>
      </c>
      <c r="D2112" s="1119">
        <v>688.25</v>
      </c>
      <c r="E2112" s="1120">
        <v>32.03</v>
      </c>
      <c r="F2112" s="1121">
        <f t="shared" si="1"/>
        <v>656.22</v>
      </c>
      <c r="G2112" s="1120">
        <v>656.22</v>
      </c>
      <c r="H2112" s="1127">
        <v>0.0</v>
      </c>
      <c r="I2112" s="1127">
        <v>0.0</v>
      </c>
      <c r="J2112" s="1127">
        <v>0.0</v>
      </c>
      <c r="K2112" s="1124"/>
    </row>
    <row r="2113" ht="15.75" customHeight="1">
      <c r="A2113" s="1119">
        <v>94580.0</v>
      </c>
      <c r="B2113" s="1125" t="s">
        <v>12391</v>
      </c>
      <c r="C2113" s="1126" t="s">
        <v>1814</v>
      </c>
      <c r="D2113" s="1119">
        <v>951.6</v>
      </c>
      <c r="E2113" s="1120">
        <v>37.37</v>
      </c>
      <c r="F2113" s="1121">
        <f t="shared" si="1"/>
        <v>914.23</v>
      </c>
      <c r="G2113" s="1120">
        <v>914.23</v>
      </c>
      <c r="H2113" s="1127">
        <v>0.0</v>
      </c>
      <c r="I2113" s="1127">
        <v>0.0</v>
      </c>
      <c r="J2113" s="1127">
        <v>0.0</v>
      </c>
      <c r="K2113" s="1124"/>
    </row>
    <row r="2114" ht="15.75" customHeight="1">
      <c r="A2114" s="1119">
        <v>94589.0</v>
      </c>
      <c r="B2114" s="1125" t="s">
        <v>12392</v>
      </c>
      <c r="C2114" s="1126" t="s">
        <v>1731</v>
      </c>
      <c r="D2114" s="1119">
        <v>29.89</v>
      </c>
      <c r="E2114" s="1120">
        <v>11.91</v>
      </c>
      <c r="F2114" s="1121">
        <f t="shared" si="1"/>
        <v>17.98</v>
      </c>
      <c r="G2114" s="1120">
        <v>17.98</v>
      </c>
      <c r="H2114" s="1127">
        <v>0.0</v>
      </c>
      <c r="I2114" s="1127">
        <v>0.0</v>
      </c>
      <c r="J2114" s="1127">
        <v>0.0</v>
      </c>
      <c r="K2114" s="1124"/>
    </row>
    <row r="2115" ht="15.75" customHeight="1">
      <c r="A2115" s="1119">
        <v>94590.0</v>
      </c>
      <c r="B2115" s="1125" t="s">
        <v>12393</v>
      </c>
      <c r="C2115" s="1126" t="s">
        <v>1731</v>
      </c>
      <c r="D2115" s="1119">
        <v>24.8</v>
      </c>
      <c r="E2115" s="1120">
        <v>5.07</v>
      </c>
      <c r="F2115" s="1121">
        <f t="shared" si="1"/>
        <v>19.75</v>
      </c>
      <c r="G2115" s="1120">
        <v>19.75</v>
      </c>
      <c r="H2115" s="1127">
        <v>0.0</v>
      </c>
      <c r="I2115" s="1127">
        <v>0.0</v>
      </c>
      <c r="J2115" s="1127">
        <v>0.0</v>
      </c>
      <c r="K2115" s="1124"/>
    </row>
    <row r="2116" ht="15.75" customHeight="1">
      <c r="A2116" s="1119">
        <v>100674.0</v>
      </c>
      <c r="B2116" s="1125" t="s">
        <v>12394</v>
      </c>
      <c r="C2116" s="1126" t="s">
        <v>1814</v>
      </c>
      <c r="D2116" s="1128">
        <v>1267.27</v>
      </c>
      <c r="E2116" s="1120">
        <v>24.02</v>
      </c>
      <c r="F2116" s="1121">
        <f t="shared" si="1"/>
        <v>1243.23</v>
      </c>
      <c r="G2116" s="1120">
        <v>1243.23</v>
      </c>
      <c r="H2116" s="1127">
        <v>0.0</v>
      </c>
      <c r="I2116" s="1127">
        <v>0.0</v>
      </c>
      <c r="J2116" s="1127">
        <v>0.0</v>
      </c>
      <c r="K2116" s="1124"/>
    </row>
    <row r="2117" ht="15.75" customHeight="1">
      <c r="A2117" s="1119">
        <v>101096.0</v>
      </c>
      <c r="B2117" s="1125" t="s">
        <v>12395</v>
      </c>
      <c r="C2117" s="1126" t="s">
        <v>2178</v>
      </c>
      <c r="D2117" s="1128">
        <v>1273.61</v>
      </c>
      <c r="E2117" s="1120">
        <v>536.36</v>
      </c>
      <c r="F2117" s="1121">
        <f t="shared" si="1"/>
        <v>737.15</v>
      </c>
      <c r="G2117" s="1120">
        <v>726.81</v>
      </c>
      <c r="H2117" s="1127">
        <v>9.1</v>
      </c>
      <c r="I2117" s="1127">
        <v>0.0</v>
      </c>
      <c r="J2117" s="1127">
        <v>1.24</v>
      </c>
      <c r="K2117" s="1124"/>
    </row>
    <row r="2118" ht="15.75" customHeight="1">
      <c r="A2118" s="1119">
        <v>101097.0</v>
      </c>
      <c r="B2118" s="1125" t="s">
        <v>12396</v>
      </c>
      <c r="C2118" s="1126" t="s">
        <v>2178</v>
      </c>
      <c r="D2118" s="1128">
        <v>1202.0</v>
      </c>
      <c r="E2118" s="1120">
        <v>480.45</v>
      </c>
      <c r="F2118" s="1121">
        <f t="shared" si="1"/>
        <v>721.44</v>
      </c>
      <c r="G2118" s="1120">
        <v>711.17</v>
      </c>
      <c r="H2118" s="1127">
        <v>9.05</v>
      </c>
      <c r="I2118" s="1127">
        <v>0.0</v>
      </c>
      <c r="J2118" s="1127">
        <v>1.22</v>
      </c>
      <c r="K2118" s="1124"/>
    </row>
    <row r="2119" ht="15.75" customHeight="1">
      <c r="A2119" s="1119">
        <v>101098.0</v>
      </c>
      <c r="B2119" s="1125" t="s">
        <v>12397</v>
      </c>
      <c r="C2119" s="1126" t="s">
        <v>2178</v>
      </c>
      <c r="D2119" s="1128">
        <v>1109.48</v>
      </c>
      <c r="E2119" s="1120">
        <v>402.4</v>
      </c>
      <c r="F2119" s="1121">
        <f t="shared" si="1"/>
        <v>707.07</v>
      </c>
      <c r="G2119" s="1120">
        <v>696.92</v>
      </c>
      <c r="H2119" s="1127">
        <v>8.96</v>
      </c>
      <c r="I2119" s="1127">
        <v>0.0</v>
      </c>
      <c r="J2119" s="1127">
        <v>1.19</v>
      </c>
      <c r="K2119" s="1124"/>
    </row>
    <row r="2120" ht="15.75" customHeight="1">
      <c r="A2120" s="1119">
        <v>101099.0</v>
      </c>
      <c r="B2120" s="1125" t="s">
        <v>12398</v>
      </c>
      <c r="C2120" s="1126" t="s">
        <v>2178</v>
      </c>
      <c r="D2120" s="1128">
        <v>1014.39</v>
      </c>
      <c r="E2120" s="1120">
        <v>350.76</v>
      </c>
      <c r="F2120" s="1121">
        <f t="shared" si="1"/>
        <v>663.6</v>
      </c>
      <c r="G2120" s="1120">
        <v>653.58</v>
      </c>
      <c r="H2120" s="1127">
        <v>8.87</v>
      </c>
      <c r="I2120" s="1127">
        <v>0.0</v>
      </c>
      <c r="J2120" s="1127">
        <v>1.15</v>
      </c>
      <c r="K2120" s="1124"/>
    </row>
    <row r="2121" ht="15.75" customHeight="1">
      <c r="A2121" s="1119">
        <v>101100.0</v>
      </c>
      <c r="B2121" s="1125" t="s">
        <v>12399</v>
      </c>
      <c r="C2121" s="1126" t="s">
        <v>2178</v>
      </c>
      <c r="D2121" s="1119">
        <v>909.47</v>
      </c>
      <c r="E2121" s="1120">
        <v>170.32</v>
      </c>
      <c r="F2121" s="1121">
        <f t="shared" si="1"/>
        <v>739</v>
      </c>
      <c r="G2121" s="1120">
        <v>652.49</v>
      </c>
      <c r="H2121" s="1127">
        <v>85.27</v>
      </c>
      <c r="I2121" s="1127">
        <v>0.0</v>
      </c>
      <c r="J2121" s="1127">
        <v>1.24</v>
      </c>
      <c r="K2121" s="1124"/>
    </row>
    <row r="2122" ht="15.75" customHeight="1">
      <c r="A2122" s="1119">
        <v>101101.0</v>
      </c>
      <c r="B2122" s="1125" t="s">
        <v>12400</v>
      </c>
      <c r="C2122" s="1126" t="s">
        <v>2178</v>
      </c>
      <c r="D2122" s="1119">
        <v>887.02</v>
      </c>
      <c r="E2122" s="1120">
        <v>161.42</v>
      </c>
      <c r="F2122" s="1121">
        <f t="shared" si="1"/>
        <v>725.41</v>
      </c>
      <c r="G2122" s="1120">
        <v>645.58</v>
      </c>
      <c r="H2122" s="1127">
        <v>78.61</v>
      </c>
      <c r="I2122" s="1127">
        <v>0.0</v>
      </c>
      <c r="J2122" s="1127">
        <v>1.22</v>
      </c>
      <c r="K2122" s="1124"/>
    </row>
    <row r="2123" ht="15.75" customHeight="1">
      <c r="A2123" s="1119">
        <v>101102.0</v>
      </c>
      <c r="B2123" s="1125" t="s">
        <v>12401</v>
      </c>
      <c r="C2123" s="1126" t="s">
        <v>2178</v>
      </c>
      <c r="D2123" s="1119">
        <v>862.25</v>
      </c>
      <c r="E2123" s="1120">
        <v>147.56</v>
      </c>
      <c r="F2123" s="1121">
        <f t="shared" si="1"/>
        <v>714.63</v>
      </c>
      <c r="G2123" s="1120">
        <v>643.39</v>
      </c>
      <c r="H2123" s="1127">
        <v>70.05</v>
      </c>
      <c r="I2123" s="1127">
        <v>0.0</v>
      </c>
      <c r="J2123" s="1127">
        <v>1.19</v>
      </c>
      <c r="K2123" s="1124"/>
    </row>
    <row r="2124" ht="15.75" customHeight="1">
      <c r="A2124" s="1119">
        <v>101103.0</v>
      </c>
      <c r="B2124" s="1125" t="s">
        <v>12402</v>
      </c>
      <c r="C2124" s="1126" t="s">
        <v>2178</v>
      </c>
      <c r="D2124" s="1119">
        <v>811.17</v>
      </c>
      <c r="E2124" s="1120">
        <v>137.59</v>
      </c>
      <c r="F2124" s="1121">
        <f t="shared" si="1"/>
        <v>673.52</v>
      </c>
      <c r="G2124" s="1120">
        <v>607.9</v>
      </c>
      <c r="H2124" s="1127">
        <v>64.47</v>
      </c>
      <c r="I2124" s="1127">
        <v>0.0</v>
      </c>
      <c r="J2124" s="1127">
        <v>1.15</v>
      </c>
      <c r="K2124" s="1124"/>
    </row>
    <row r="2125" ht="15.75" customHeight="1">
      <c r="A2125" s="1119">
        <v>101104.0</v>
      </c>
      <c r="B2125" s="1125" t="s">
        <v>12403</v>
      </c>
      <c r="C2125" s="1126" t="s">
        <v>2178</v>
      </c>
      <c r="D2125" s="1128">
        <v>1207.58</v>
      </c>
      <c r="E2125" s="1120">
        <v>440.46</v>
      </c>
      <c r="F2125" s="1121">
        <f t="shared" si="1"/>
        <v>767</v>
      </c>
      <c r="G2125" s="1120">
        <v>760.99</v>
      </c>
      <c r="H2125" s="1127">
        <v>6.01</v>
      </c>
      <c r="I2125" s="1127">
        <v>0.0</v>
      </c>
      <c r="J2125" s="1127">
        <v>0.0</v>
      </c>
      <c r="K2125" s="1124"/>
    </row>
    <row r="2126" ht="15.75" customHeight="1">
      <c r="A2126" s="1119">
        <v>101105.0</v>
      </c>
      <c r="B2126" s="1125" t="s">
        <v>12404</v>
      </c>
      <c r="C2126" s="1126" t="s">
        <v>2178</v>
      </c>
      <c r="D2126" s="1128">
        <v>1137.29</v>
      </c>
      <c r="E2126" s="1120">
        <v>386.25</v>
      </c>
      <c r="F2126" s="1121">
        <f t="shared" si="1"/>
        <v>750.88</v>
      </c>
      <c r="G2126" s="1120">
        <v>744.87</v>
      </c>
      <c r="H2126" s="1127">
        <v>6.01</v>
      </c>
      <c r="I2126" s="1127">
        <v>0.0</v>
      </c>
      <c r="J2126" s="1127">
        <v>0.0</v>
      </c>
      <c r="K2126" s="1124"/>
    </row>
    <row r="2127" ht="15.75" customHeight="1">
      <c r="A2127" s="1119">
        <v>101106.0</v>
      </c>
      <c r="B2127" s="1125" t="s">
        <v>12405</v>
      </c>
      <c r="C2127" s="1126" t="s">
        <v>2178</v>
      </c>
      <c r="D2127" s="1128">
        <v>1047.27</v>
      </c>
      <c r="E2127" s="1120">
        <v>311.15</v>
      </c>
      <c r="F2127" s="1121">
        <f t="shared" si="1"/>
        <v>736.08</v>
      </c>
      <c r="G2127" s="1120">
        <v>730.06</v>
      </c>
      <c r="H2127" s="1127">
        <v>6.02</v>
      </c>
      <c r="I2127" s="1127">
        <v>0.0</v>
      </c>
      <c r="J2127" s="1127">
        <v>0.0</v>
      </c>
      <c r="K2127" s="1124"/>
    </row>
    <row r="2128" ht="15.75" customHeight="1">
      <c r="A2128" s="1119">
        <v>101107.0</v>
      </c>
      <c r="B2128" s="1125" t="s">
        <v>12406</v>
      </c>
      <c r="C2128" s="1126" t="s">
        <v>2178</v>
      </c>
      <c r="D2128" s="1119">
        <v>954.81</v>
      </c>
      <c r="E2128" s="1120">
        <v>262.97</v>
      </c>
      <c r="F2128" s="1121">
        <f t="shared" si="1"/>
        <v>691.79</v>
      </c>
      <c r="G2128" s="1120">
        <v>685.77</v>
      </c>
      <c r="H2128" s="1127">
        <v>6.02</v>
      </c>
      <c r="I2128" s="1127">
        <v>0.0</v>
      </c>
      <c r="J2128" s="1127">
        <v>0.0</v>
      </c>
      <c r="K2128" s="1124"/>
    </row>
    <row r="2129" ht="15.75" customHeight="1">
      <c r="A2129" s="1119">
        <v>101108.0</v>
      </c>
      <c r="B2129" s="1125" t="s">
        <v>12407</v>
      </c>
      <c r="C2129" s="1126" t="s">
        <v>2178</v>
      </c>
      <c r="D2129" s="1119">
        <v>837.37</v>
      </c>
      <c r="E2129" s="1120">
        <v>68.53</v>
      </c>
      <c r="F2129" s="1121">
        <f t="shared" si="1"/>
        <v>768.61</v>
      </c>
      <c r="G2129" s="1120">
        <v>686.44</v>
      </c>
      <c r="H2129" s="1127">
        <v>82.17</v>
      </c>
      <c r="I2129" s="1127">
        <v>0.0</v>
      </c>
      <c r="J2129" s="1127">
        <v>0.0</v>
      </c>
      <c r="K2129" s="1124"/>
    </row>
    <row r="2130" ht="15.75" customHeight="1">
      <c r="A2130" s="1119">
        <v>101109.0</v>
      </c>
      <c r="B2130" s="1125" t="s">
        <v>12408</v>
      </c>
      <c r="C2130" s="1126" t="s">
        <v>2178</v>
      </c>
      <c r="D2130" s="1119">
        <v>816.56</v>
      </c>
      <c r="E2130" s="1120">
        <v>61.63</v>
      </c>
      <c r="F2130" s="1121">
        <f t="shared" si="1"/>
        <v>754.67</v>
      </c>
      <c r="G2130" s="1120">
        <v>679.11</v>
      </c>
      <c r="H2130" s="1127">
        <v>75.56</v>
      </c>
      <c r="I2130" s="1127">
        <v>0.0</v>
      </c>
      <c r="J2130" s="1127">
        <v>0.0</v>
      </c>
      <c r="K2130" s="1124"/>
    </row>
    <row r="2131" ht="15.75" customHeight="1">
      <c r="A2131" s="1119">
        <v>101110.0</v>
      </c>
      <c r="B2131" s="1125" t="s">
        <v>12409</v>
      </c>
      <c r="C2131" s="1126" t="s">
        <v>2178</v>
      </c>
      <c r="D2131" s="1119">
        <v>794.99</v>
      </c>
      <c r="E2131" s="1120">
        <v>51.4</v>
      </c>
      <c r="F2131" s="1121">
        <f t="shared" si="1"/>
        <v>743.48</v>
      </c>
      <c r="G2131" s="1120">
        <v>676.39</v>
      </c>
      <c r="H2131" s="1127">
        <v>67.09</v>
      </c>
      <c r="I2131" s="1127">
        <v>0.0</v>
      </c>
      <c r="J2131" s="1127">
        <v>0.0</v>
      </c>
      <c r="K2131" s="1124"/>
    </row>
    <row r="2132" ht="15.75" customHeight="1">
      <c r="A2132" s="1119">
        <v>101111.0</v>
      </c>
      <c r="B2132" s="1125" t="s">
        <v>12410</v>
      </c>
      <c r="C2132" s="1126" t="s">
        <v>2178</v>
      </c>
      <c r="D2132" s="1119">
        <v>747.22</v>
      </c>
      <c r="E2132" s="1120">
        <v>45.56</v>
      </c>
      <c r="F2132" s="1121">
        <f t="shared" si="1"/>
        <v>701.58</v>
      </c>
      <c r="G2132" s="1120">
        <v>639.98</v>
      </c>
      <c r="H2132" s="1127">
        <v>61.6</v>
      </c>
      <c r="I2132" s="1127">
        <v>0.0</v>
      </c>
      <c r="J2132" s="1127">
        <v>0.0</v>
      </c>
      <c r="K2132" s="1124"/>
    </row>
    <row r="2133" ht="15.75" customHeight="1">
      <c r="A2133" s="1119">
        <v>101112.0</v>
      </c>
      <c r="B2133" s="1125" t="s">
        <v>12411</v>
      </c>
      <c r="C2133" s="1126" t="s">
        <v>2178</v>
      </c>
      <c r="D2133" s="1119">
        <v>900.4</v>
      </c>
      <c r="E2133" s="1120">
        <v>326.7</v>
      </c>
      <c r="F2133" s="1121">
        <f t="shared" si="1"/>
        <v>573.75</v>
      </c>
      <c r="G2133" s="1120">
        <v>563.37</v>
      </c>
      <c r="H2133" s="1127">
        <v>9.12</v>
      </c>
      <c r="I2133" s="1127">
        <v>0.0</v>
      </c>
      <c r="J2133" s="1127">
        <v>1.26</v>
      </c>
      <c r="K2133" s="1124"/>
    </row>
    <row r="2134" ht="15.75" customHeight="1">
      <c r="A2134" s="1119">
        <v>101113.0</v>
      </c>
      <c r="B2134" s="1125" t="s">
        <v>12412</v>
      </c>
      <c r="C2134" s="1126" t="s">
        <v>2178</v>
      </c>
      <c r="D2134" s="1119">
        <v>838.66</v>
      </c>
      <c r="E2134" s="1120">
        <v>233.15</v>
      </c>
      <c r="F2134" s="1121">
        <f t="shared" si="1"/>
        <v>605.52</v>
      </c>
      <c r="G2134" s="1120">
        <v>599.51</v>
      </c>
      <c r="H2134" s="1127">
        <v>6.01</v>
      </c>
      <c r="I2134" s="1127">
        <v>0.0</v>
      </c>
      <c r="J2134" s="1127">
        <v>0.0</v>
      </c>
      <c r="K2134" s="1124"/>
    </row>
    <row r="2135" ht="15.75" customHeight="1">
      <c r="A2135" s="1119">
        <v>95601.0</v>
      </c>
      <c r="B2135" s="1125" t="s">
        <v>12413</v>
      </c>
      <c r="C2135" s="1126" t="s">
        <v>1788</v>
      </c>
      <c r="D2135" s="1119">
        <v>19.22</v>
      </c>
      <c r="E2135" s="1120">
        <v>13.58</v>
      </c>
      <c r="F2135" s="1121">
        <f t="shared" si="1"/>
        <v>5.64</v>
      </c>
      <c r="G2135" s="1120">
        <v>5.17</v>
      </c>
      <c r="H2135" s="1127">
        <v>0.3</v>
      </c>
      <c r="I2135" s="1127">
        <v>0.0</v>
      </c>
      <c r="J2135" s="1127">
        <v>0.17</v>
      </c>
      <c r="K2135" s="1124"/>
    </row>
    <row r="2136" ht="15.75" customHeight="1">
      <c r="A2136" s="1119">
        <v>95602.0</v>
      </c>
      <c r="B2136" s="1125" t="s">
        <v>12414</v>
      </c>
      <c r="C2136" s="1126" t="s">
        <v>1788</v>
      </c>
      <c r="D2136" s="1119">
        <v>30.76</v>
      </c>
      <c r="E2136" s="1120">
        <v>21.68</v>
      </c>
      <c r="F2136" s="1121">
        <f t="shared" si="1"/>
        <v>9.09</v>
      </c>
      <c r="G2136" s="1120">
        <v>8.31</v>
      </c>
      <c r="H2136" s="1127">
        <v>0.5</v>
      </c>
      <c r="I2136" s="1127">
        <v>0.0</v>
      </c>
      <c r="J2136" s="1127">
        <v>0.28</v>
      </c>
      <c r="K2136" s="1124"/>
    </row>
    <row r="2137" ht="15.75" customHeight="1">
      <c r="A2137" s="1119">
        <v>95603.0</v>
      </c>
      <c r="B2137" s="1125" t="s">
        <v>12415</v>
      </c>
      <c r="C2137" s="1126" t="s">
        <v>1788</v>
      </c>
      <c r="D2137" s="1119">
        <v>52.49</v>
      </c>
      <c r="E2137" s="1120">
        <v>36.95</v>
      </c>
      <c r="F2137" s="1121">
        <f t="shared" si="1"/>
        <v>15.55</v>
      </c>
      <c r="G2137" s="1120">
        <v>14.21</v>
      </c>
      <c r="H2137" s="1127">
        <v>0.87</v>
      </c>
      <c r="I2137" s="1127">
        <v>0.0</v>
      </c>
      <c r="J2137" s="1127">
        <v>0.47</v>
      </c>
      <c r="K2137" s="1124"/>
    </row>
    <row r="2138" ht="15.75" customHeight="1">
      <c r="A2138" s="1119">
        <v>95604.0</v>
      </c>
      <c r="B2138" s="1125" t="s">
        <v>12416</v>
      </c>
      <c r="C2138" s="1126" t="s">
        <v>1788</v>
      </c>
      <c r="D2138" s="1119">
        <v>81.46</v>
      </c>
      <c r="E2138" s="1120">
        <v>57.3</v>
      </c>
      <c r="F2138" s="1121">
        <f t="shared" si="1"/>
        <v>24.17</v>
      </c>
      <c r="G2138" s="1120">
        <v>22.06</v>
      </c>
      <c r="H2138" s="1127">
        <v>1.37</v>
      </c>
      <c r="I2138" s="1127">
        <v>0.0</v>
      </c>
      <c r="J2138" s="1127">
        <v>0.74</v>
      </c>
      <c r="K2138" s="1124"/>
    </row>
    <row r="2139" ht="15.75" customHeight="1">
      <c r="A2139" s="1119">
        <v>95605.0</v>
      </c>
      <c r="B2139" s="1125" t="s">
        <v>12417</v>
      </c>
      <c r="C2139" s="1126" t="s">
        <v>1788</v>
      </c>
      <c r="D2139" s="1119">
        <v>149.6</v>
      </c>
      <c r="E2139" s="1120">
        <v>105.16</v>
      </c>
      <c r="F2139" s="1121">
        <f t="shared" si="1"/>
        <v>44.44</v>
      </c>
      <c r="G2139" s="1120">
        <v>40.54</v>
      </c>
      <c r="H2139" s="1127">
        <v>2.54</v>
      </c>
      <c r="I2139" s="1127">
        <v>0.0</v>
      </c>
      <c r="J2139" s="1127">
        <v>1.36</v>
      </c>
      <c r="K2139" s="1124"/>
    </row>
    <row r="2140" ht="15.75" customHeight="1">
      <c r="A2140" s="1119">
        <v>95607.0</v>
      </c>
      <c r="B2140" s="1125" t="s">
        <v>12418</v>
      </c>
      <c r="C2140" s="1126" t="s">
        <v>1788</v>
      </c>
      <c r="D2140" s="1119">
        <v>23.94</v>
      </c>
      <c r="E2140" s="1120">
        <v>10.34</v>
      </c>
      <c r="F2140" s="1121">
        <f t="shared" si="1"/>
        <v>13.61</v>
      </c>
      <c r="G2140" s="1120">
        <v>13.56</v>
      </c>
      <c r="H2140" s="1127">
        <v>0.05</v>
      </c>
      <c r="I2140" s="1127">
        <v>0.0</v>
      </c>
      <c r="J2140" s="1127">
        <v>0.0</v>
      </c>
      <c r="K2140" s="1124"/>
    </row>
    <row r="2141" ht="15.75" customHeight="1">
      <c r="A2141" s="1119">
        <v>95608.0</v>
      </c>
      <c r="B2141" s="1125" t="s">
        <v>12419</v>
      </c>
      <c r="C2141" s="1126" t="s">
        <v>1788</v>
      </c>
      <c r="D2141" s="1119">
        <v>34.74</v>
      </c>
      <c r="E2141" s="1120">
        <v>14.99</v>
      </c>
      <c r="F2141" s="1121">
        <f t="shared" si="1"/>
        <v>19.75</v>
      </c>
      <c r="G2141" s="1120">
        <v>19.67</v>
      </c>
      <c r="H2141" s="1127">
        <v>0.08</v>
      </c>
      <c r="I2141" s="1127">
        <v>0.0</v>
      </c>
      <c r="J2141" s="1127">
        <v>0.0</v>
      </c>
      <c r="K2141" s="1124"/>
    </row>
    <row r="2142" ht="15.75" customHeight="1">
      <c r="A2142" s="1119">
        <v>95609.0</v>
      </c>
      <c r="B2142" s="1125" t="s">
        <v>12420</v>
      </c>
      <c r="C2142" s="1126" t="s">
        <v>1788</v>
      </c>
      <c r="D2142" s="1119">
        <v>44.05</v>
      </c>
      <c r="E2142" s="1120">
        <v>19.01</v>
      </c>
      <c r="F2142" s="1121">
        <f t="shared" si="1"/>
        <v>25.05</v>
      </c>
      <c r="G2142" s="1120">
        <v>24.94</v>
      </c>
      <c r="H2142" s="1127">
        <v>0.11</v>
      </c>
      <c r="I2142" s="1127">
        <v>0.0</v>
      </c>
      <c r="J2142" s="1127">
        <v>0.0</v>
      </c>
      <c r="K2142" s="1124"/>
    </row>
    <row r="2143" ht="15.75" customHeight="1">
      <c r="A2143" s="1119">
        <v>100651.0</v>
      </c>
      <c r="B2143" s="1125" t="s">
        <v>12421</v>
      </c>
      <c r="C2143" s="1126" t="s">
        <v>1731</v>
      </c>
      <c r="D2143" s="1119">
        <v>125.57</v>
      </c>
      <c r="E2143" s="1120">
        <v>13.09</v>
      </c>
      <c r="F2143" s="1121">
        <f t="shared" si="1"/>
        <v>112.47</v>
      </c>
      <c r="G2143" s="1120">
        <v>83.74</v>
      </c>
      <c r="H2143" s="1127">
        <v>28.73</v>
      </c>
      <c r="I2143" s="1127">
        <v>0.0</v>
      </c>
      <c r="J2143" s="1127">
        <v>0.0</v>
      </c>
      <c r="K2143" s="1124"/>
    </row>
    <row r="2144" ht="15.75" customHeight="1">
      <c r="A2144" s="1119">
        <v>100652.0</v>
      </c>
      <c r="B2144" s="1125" t="s">
        <v>12422</v>
      </c>
      <c r="C2144" s="1126" t="s">
        <v>1731</v>
      </c>
      <c r="D2144" s="1119">
        <v>233.95</v>
      </c>
      <c r="E2144" s="1120">
        <v>17.35</v>
      </c>
      <c r="F2144" s="1121">
        <f t="shared" si="1"/>
        <v>216.55</v>
      </c>
      <c r="G2144" s="1120">
        <v>180.75</v>
      </c>
      <c r="H2144" s="1127">
        <v>35.8</v>
      </c>
      <c r="I2144" s="1127">
        <v>0.0</v>
      </c>
      <c r="J2144" s="1127">
        <v>0.0</v>
      </c>
      <c r="K2144" s="1124"/>
    </row>
    <row r="2145" ht="15.75" customHeight="1">
      <c r="A2145" s="1119">
        <v>100653.0</v>
      </c>
      <c r="B2145" s="1125" t="s">
        <v>12423</v>
      </c>
      <c r="C2145" s="1126" t="s">
        <v>1731</v>
      </c>
      <c r="D2145" s="1119">
        <v>384.44</v>
      </c>
      <c r="E2145" s="1120">
        <v>21.8</v>
      </c>
      <c r="F2145" s="1121">
        <f t="shared" si="1"/>
        <v>362.56</v>
      </c>
      <c r="G2145" s="1120">
        <v>320.13</v>
      </c>
      <c r="H2145" s="1127">
        <v>42.43</v>
      </c>
      <c r="I2145" s="1127">
        <v>0.0</v>
      </c>
      <c r="J2145" s="1127">
        <v>0.0</v>
      </c>
      <c r="K2145" s="1124"/>
    </row>
    <row r="2146" ht="15.75" customHeight="1">
      <c r="A2146" s="1119">
        <v>100654.0</v>
      </c>
      <c r="B2146" s="1125" t="s">
        <v>12424</v>
      </c>
      <c r="C2146" s="1126" t="s">
        <v>1731</v>
      </c>
      <c r="D2146" s="1119">
        <v>518.01</v>
      </c>
      <c r="E2146" s="1120">
        <v>24.86</v>
      </c>
      <c r="F2146" s="1121">
        <f t="shared" si="1"/>
        <v>493.05</v>
      </c>
      <c r="G2146" s="1120">
        <v>445.1</v>
      </c>
      <c r="H2146" s="1127">
        <v>47.95</v>
      </c>
      <c r="I2146" s="1127">
        <v>0.0</v>
      </c>
      <c r="J2146" s="1127">
        <v>0.0</v>
      </c>
      <c r="K2146" s="1124"/>
    </row>
    <row r="2147" ht="15.75" customHeight="1">
      <c r="A2147" s="1119">
        <v>100655.0</v>
      </c>
      <c r="B2147" s="1125" t="s">
        <v>12425</v>
      </c>
      <c r="C2147" s="1126" t="s">
        <v>1731</v>
      </c>
      <c r="D2147" s="1119">
        <v>597.23</v>
      </c>
      <c r="E2147" s="1120">
        <v>21.4</v>
      </c>
      <c r="F2147" s="1121">
        <f t="shared" si="1"/>
        <v>575.73</v>
      </c>
      <c r="G2147" s="1120">
        <v>518.29</v>
      </c>
      <c r="H2147" s="1127">
        <v>57.44</v>
      </c>
      <c r="I2147" s="1127">
        <v>0.0</v>
      </c>
      <c r="J2147" s="1127">
        <v>0.0</v>
      </c>
      <c r="K2147" s="1124"/>
    </row>
    <row r="2148" ht="15.75" customHeight="1">
      <c r="A2148" s="1119">
        <v>100656.0</v>
      </c>
      <c r="B2148" s="1125" t="s">
        <v>12426</v>
      </c>
      <c r="C2148" s="1126" t="s">
        <v>1731</v>
      </c>
      <c r="D2148" s="1119">
        <v>117.4</v>
      </c>
      <c r="E2148" s="1120">
        <v>13.4</v>
      </c>
      <c r="F2148" s="1121">
        <f t="shared" si="1"/>
        <v>104</v>
      </c>
      <c r="G2148" s="1120">
        <v>98.33</v>
      </c>
      <c r="H2148" s="1127">
        <v>5.67</v>
      </c>
      <c r="I2148" s="1127">
        <v>0.0</v>
      </c>
      <c r="J2148" s="1127">
        <v>0.0</v>
      </c>
      <c r="K2148" s="1124"/>
    </row>
    <row r="2149" ht="15.75" customHeight="1">
      <c r="A2149" s="1119">
        <v>100657.0</v>
      </c>
      <c r="B2149" s="1125" t="s">
        <v>12427</v>
      </c>
      <c r="C2149" s="1126" t="s">
        <v>1731</v>
      </c>
      <c r="D2149" s="1119">
        <v>151.74</v>
      </c>
      <c r="E2149" s="1120">
        <v>14.1</v>
      </c>
      <c r="F2149" s="1121">
        <f t="shared" si="1"/>
        <v>137.64</v>
      </c>
      <c r="G2149" s="1120">
        <v>131.68</v>
      </c>
      <c r="H2149" s="1127">
        <v>5.96</v>
      </c>
      <c r="I2149" s="1127">
        <v>0.0</v>
      </c>
      <c r="J2149" s="1127">
        <v>0.0</v>
      </c>
      <c r="K2149" s="1124"/>
    </row>
    <row r="2150" ht="15.75" customHeight="1">
      <c r="A2150" s="1119">
        <v>100658.0</v>
      </c>
      <c r="B2150" s="1125" t="s">
        <v>12428</v>
      </c>
      <c r="C2150" s="1126" t="s">
        <v>1731</v>
      </c>
      <c r="D2150" s="1119">
        <v>352.02</v>
      </c>
      <c r="E2150" s="1120">
        <v>19.15</v>
      </c>
      <c r="F2150" s="1121">
        <f t="shared" si="1"/>
        <v>332.88</v>
      </c>
      <c r="G2150" s="1120">
        <v>325.91</v>
      </c>
      <c r="H2150" s="1127">
        <v>6.97</v>
      </c>
      <c r="I2150" s="1127">
        <v>0.0</v>
      </c>
      <c r="J2150" s="1127">
        <v>0.0</v>
      </c>
      <c r="K2150" s="1124"/>
    </row>
    <row r="2151" ht="15.75" customHeight="1">
      <c r="A2151" s="1119">
        <v>100889.0</v>
      </c>
      <c r="B2151" s="1125" t="s">
        <v>12429</v>
      </c>
      <c r="C2151" s="1126" t="s">
        <v>3606</v>
      </c>
      <c r="D2151" s="1119">
        <v>16.63</v>
      </c>
      <c r="E2151" s="1120">
        <v>0.42</v>
      </c>
      <c r="F2151" s="1121">
        <f t="shared" si="1"/>
        <v>16.21</v>
      </c>
      <c r="G2151" s="1120">
        <v>16.07</v>
      </c>
      <c r="H2151" s="1127">
        <v>0.14</v>
      </c>
      <c r="I2151" s="1127">
        <v>0.0</v>
      </c>
      <c r="J2151" s="1127">
        <v>0.0</v>
      </c>
      <c r="K2151" s="1124"/>
    </row>
    <row r="2152" ht="15.75" customHeight="1">
      <c r="A2152" s="1119">
        <v>100890.0</v>
      </c>
      <c r="B2152" s="1125" t="s">
        <v>12430</v>
      </c>
      <c r="C2152" s="1126" t="s">
        <v>3606</v>
      </c>
      <c r="D2152" s="1119">
        <v>16.46</v>
      </c>
      <c r="E2152" s="1120">
        <v>0.33</v>
      </c>
      <c r="F2152" s="1121">
        <f t="shared" si="1"/>
        <v>16.12</v>
      </c>
      <c r="G2152" s="1120">
        <v>16.01</v>
      </c>
      <c r="H2152" s="1127">
        <v>0.11</v>
      </c>
      <c r="I2152" s="1127">
        <v>0.0</v>
      </c>
      <c r="J2152" s="1127">
        <v>0.0</v>
      </c>
      <c r="K2152" s="1124"/>
    </row>
    <row r="2153" ht="15.75" customHeight="1">
      <c r="A2153" s="1119">
        <v>100892.0</v>
      </c>
      <c r="B2153" s="1125" t="s">
        <v>12431</v>
      </c>
      <c r="C2153" s="1126" t="s">
        <v>3606</v>
      </c>
      <c r="D2153" s="1119">
        <v>15.8</v>
      </c>
      <c r="E2153" s="1120">
        <v>0.67</v>
      </c>
      <c r="F2153" s="1121">
        <f t="shared" si="1"/>
        <v>15.13</v>
      </c>
      <c r="G2153" s="1120">
        <v>14.91</v>
      </c>
      <c r="H2153" s="1127">
        <v>0.22</v>
      </c>
      <c r="I2153" s="1127">
        <v>0.0</v>
      </c>
      <c r="J2153" s="1127">
        <v>0.0</v>
      </c>
      <c r="K2153" s="1124"/>
    </row>
    <row r="2154" ht="15.75" customHeight="1">
      <c r="A2154" s="1119">
        <v>100893.0</v>
      </c>
      <c r="B2154" s="1125" t="s">
        <v>12432</v>
      </c>
      <c r="C2154" s="1126" t="s">
        <v>3606</v>
      </c>
      <c r="D2154" s="1119">
        <v>15.61</v>
      </c>
      <c r="E2154" s="1120">
        <v>0.57</v>
      </c>
      <c r="F2154" s="1121">
        <f t="shared" si="1"/>
        <v>15.02</v>
      </c>
      <c r="G2154" s="1120">
        <v>14.84</v>
      </c>
      <c r="H2154" s="1127">
        <v>0.18</v>
      </c>
      <c r="I2154" s="1127">
        <v>0.0</v>
      </c>
      <c r="J2154" s="1127">
        <v>0.0</v>
      </c>
      <c r="K2154" s="1124"/>
    </row>
    <row r="2155" ht="15.75" customHeight="1">
      <c r="A2155" s="1119">
        <v>100894.0</v>
      </c>
      <c r="B2155" s="1125" t="s">
        <v>12433</v>
      </c>
      <c r="C2155" s="1126" t="s">
        <v>3606</v>
      </c>
      <c r="D2155" s="1119">
        <v>15.48</v>
      </c>
      <c r="E2155" s="1120">
        <v>0.49</v>
      </c>
      <c r="F2155" s="1121">
        <f t="shared" si="1"/>
        <v>14.99</v>
      </c>
      <c r="G2155" s="1120">
        <v>14.84</v>
      </c>
      <c r="H2155" s="1127">
        <v>0.15</v>
      </c>
      <c r="I2155" s="1127">
        <v>0.0</v>
      </c>
      <c r="J2155" s="1127">
        <v>0.0</v>
      </c>
      <c r="K2155" s="1124"/>
    </row>
    <row r="2156" ht="15.75" customHeight="1">
      <c r="A2156" s="1119">
        <v>100896.0</v>
      </c>
      <c r="B2156" s="1125" t="s">
        <v>12434</v>
      </c>
      <c r="C2156" s="1126" t="s">
        <v>1731</v>
      </c>
      <c r="D2156" s="1119">
        <v>56.98</v>
      </c>
      <c r="E2156" s="1120">
        <v>6.99</v>
      </c>
      <c r="F2156" s="1121">
        <f t="shared" si="1"/>
        <v>50.03</v>
      </c>
      <c r="G2156" s="1120">
        <v>35.69</v>
      </c>
      <c r="H2156" s="1127">
        <v>14.34</v>
      </c>
      <c r="I2156" s="1127">
        <v>0.0</v>
      </c>
      <c r="J2156" s="1127">
        <v>0.0</v>
      </c>
      <c r="K2156" s="1124"/>
    </row>
    <row r="2157" ht="15.75" customHeight="1">
      <c r="A2157" s="1119">
        <v>100897.0</v>
      </c>
      <c r="B2157" s="1125" t="s">
        <v>12435</v>
      </c>
      <c r="C2157" s="1126" t="s">
        <v>1731</v>
      </c>
      <c r="D2157" s="1119">
        <v>107.47</v>
      </c>
      <c r="E2157" s="1120">
        <v>8.77</v>
      </c>
      <c r="F2157" s="1121">
        <f t="shared" si="1"/>
        <v>98.69</v>
      </c>
      <c r="G2157" s="1120">
        <v>79.46</v>
      </c>
      <c r="H2157" s="1127">
        <v>19.23</v>
      </c>
      <c r="I2157" s="1127">
        <v>0.0</v>
      </c>
      <c r="J2157" s="1127">
        <v>0.0</v>
      </c>
      <c r="K2157" s="1124"/>
    </row>
    <row r="2158" ht="15.75" customHeight="1">
      <c r="A2158" s="1119">
        <v>100898.0</v>
      </c>
      <c r="B2158" s="1125" t="s">
        <v>12436</v>
      </c>
      <c r="C2158" s="1126" t="s">
        <v>1731</v>
      </c>
      <c r="D2158" s="1119">
        <v>202.5</v>
      </c>
      <c r="E2158" s="1120">
        <v>10.84</v>
      </c>
      <c r="F2158" s="1121">
        <f t="shared" si="1"/>
        <v>191.65</v>
      </c>
      <c r="G2158" s="1120">
        <v>168.12</v>
      </c>
      <c r="H2158" s="1127">
        <v>23.53</v>
      </c>
      <c r="I2158" s="1127">
        <v>0.0</v>
      </c>
      <c r="J2158" s="1127">
        <v>0.0</v>
      </c>
      <c r="K2158" s="1124"/>
    </row>
    <row r="2159" ht="15.75" customHeight="1">
      <c r="A2159" s="1119">
        <v>100899.0</v>
      </c>
      <c r="B2159" s="1125" t="s">
        <v>12437</v>
      </c>
      <c r="C2159" s="1126" t="s">
        <v>1731</v>
      </c>
      <c r="D2159" s="1119">
        <v>85.81</v>
      </c>
      <c r="E2159" s="1120">
        <v>27.31</v>
      </c>
      <c r="F2159" s="1121">
        <f t="shared" si="1"/>
        <v>58.52</v>
      </c>
      <c r="G2159" s="1120">
        <v>43.44</v>
      </c>
      <c r="H2159" s="1127">
        <v>15.08</v>
      </c>
      <c r="I2159" s="1127">
        <v>0.0</v>
      </c>
      <c r="J2159" s="1127">
        <v>0.0</v>
      </c>
      <c r="K2159" s="1124"/>
    </row>
    <row r="2160" ht="15.75" customHeight="1">
      <c r="A2160" s="1119">
        <v>100900.0</v>
      </c>
      <c r="B2160" s="1125" t="s">
        <v>12438</v>
      </c>
      <c r="C2160" s="1126" t="s">
        <v>1731</v>
      </c>
      <c r="D2160" s="1119">
        <v>232.6</v>
      </c>
      <c r="E2160" s="1120">
        <v>14.56</v>
      </c>
      <c r="F2160" s="1121">
        <f t="shared" si="1"/>
        <v>218.05</v>
      </c>
      <c r="G2160" s="1120">
        <v>194.53</v>
      </c>
      <c r="H2160" s="1127">
        <v>23.52</v>
      </c>
      <c r="I2160" s="1127">
        <v>0.0</v>
      </c>
      <c r="J2160" s="1127">
        <v>0.0</v>
      </c>
      <c r="K2160" s="1124"/>
    </row>
    <row r="2161" ht="15.75" customHeight="1">
      <c r="A2161" s="1119">
        <v>101173.0</v>
      </c>
      <c r="B2161" s="1125" t="s">
        <v>12439</v>
      </c>
      <c r="C2161" s="1126" t="s">
        <v>1731</v>
      </c>
      <c r="D2161" s="1119">
        <v>63.77</v>
      </c>
      <c r="E2161" s="1120">
        <v>26.43</v>
      </c>
      <c r="F2161" s="1121">
        <f t="shared" si="1"/>
        <v>37.34</v>
      </c>
      <c r="G2161" s="1120">
        <v>37.21</v>
      </c>
      <c r="H2161" s="1127">
        <v>0.09</v>
      </c>
      <c r="I2161" s="1127">
        <v>0.0</v>
      </c>
      <c r="J2161" s="1127">
        <v>0.04</v>
      </c>
      <c r="K2161" s="1124"/>
    </row>
    <row r="2162" ht="15.75" customHeight="1">
      <c r="A2162" s="1119">
        <v>101174.0</v>
      </c>
      <c r="B2162" s="1125" t="s">
        <v>12440</v>
      </c>
      <c r="C2162" s="1126" t="s">
        <v>1731</v>
      </c>
      <c r="D2162" s="1119">
        <v>90.46</v>
      </c>
      <c r="E2162" s="1120">
        <v>40.99</v>
      </c>
      <c r="F2162" s="1121">
        <f t="shared" si="1"/>
        <v>49.49</v>
      </c>
      <c r="G2162" s="1120">
        <v>49.3</v>
      </c>
      <c r="H2162" s="1127">
        <v>0.13</v>
      </c>
      <c r="I2162" s="1127">
        <v>0.0</v>
      </c>
      <c r="J2162" s="1127">
        <v>0.06</v>
      </c>
      <c r="K2162" s="1124"/>
    </row>
    <row r="2163" ht="15.75" customHeight="1">
      <c r="A2163" s="1119">
        <v>101175.0</v>
      </c>
      <c r="B2163" s="1125" t="s">
        <v>12441</v>
      </c>
      <c r="C2163" s="1126" t="s">
        <v>1731</v>
      </c>
      <c r="D2163" s="1119">
        <v>123.51</v>
      </c>
      <c r="E2163" s="1120">
        <v>55.73</v>
      </c>
      <c r="F2163" s="1121">
        <f t="shared" si="1"/>
        <v>67.78</v>
      </c>
      <c r="G2163" s="1120">
        <v>67.49</v>
      </c>
      <c r="H2163" s="1127">
        <v>0.2</v>
      </c>
      <c r="I2163" s="1127">
        <v>0.0</v>
      </c>
      <c r="J2163" s="1127">
        <v>0.09</v>
      </c>
      <c r="K2163" s="1124"/>
    </row>
    <row r="2164" ht="15.75" customHeight="1">
      <c r="A2164" s="1119">
        <v>101176.0</v>
      </c>
      <c r="B2164" s="1125" t="s">
        <v>12442</v>
      </c>
      <c r="C2164" s="1126" t="s">
        <v>1731</v>
      </c>
      <c r="D2164" s="1119">
        <v>152.8</v>
      </c>
      <c r="E2164" s="1120">
        <v>61.74</v>
      </c>
      <c r="F2164" s="1121">
        <f t="shared" si="1"/>
        <v>91.11</v>
      </c>
      <c r="G2164" s="1120">
        <v>90.82</v>
      </c>
      <c r="H2164" s="1127">
        <v>0.2</v>
      </c>
      <c r="I2164" s="1127">
        <v>0.0</v>
      </c>
      <c r="J2164" s="1127">
        <v>0.09</v>
      </c>
      <c r="K2164" s="1124"/>
    </row>
    <row r="2165" ht="15.75" customHeight="1">
      <c r="A2165" s="1119">
        <v>102521.0</v>
      </c>
      <c r="B2165" s="1125" t="s">
        <v>12443</v>
      </c>
      <c r="C2165" s="1126" t="s">
        <v>1788</v>
      </c>
      <c r="D2165" s="1119">
        <v>123.4</v>
      </c>
      <c r="E2165" s="1120">
        <v>86.74</v>
      </c>
      <c r="F2165" s="1121">
        <f t="shared" si="1"/>
        <v>36.66</v>
      </c>
      <c r="G2165" s="1120">
        <v>33.46</v>
      </c>
      <c r="H2165" s="1127">
        <v>2.08</v>
      </c>
      <c r="I2165" s="1127">
        <v>0.0</v>
      </c>
      <c r="J2165" s="1127">
        <v>1.12</v>
      </c>
      <c r="K2165" s="1124"/>
    </row>
    <row r="2166" ht="15.75" customHeight="1">
      <c r="A2166" s="1119">
        <v>102522.0</v>
      </c>
      <c r="B2166" s="1125" t="s">
        <v>12444</v>
      </c>
      <c r="C2166" s="1126" t="s">
        <v>1788</v>
      </c>
      <c r="D2166" s="1119">
        <v>181.04</v>
      </c>
      <c r="E2166" s="1120">
        <v>127.23</v>
      </c>
      <c r="F2166" s="1121">
        <f t="shared" si="1"/>
        <v>53.82</v>
      </c>
      <c r="G2166" s="1120">
        <v>49.1</v>
      </c>
      <c r="H2166" s="1127">
        <v>3.07</v>
      </c>
      <c r="I2166" s="1127">
        <v>0.0</v>
      </c>
      <c r="J2166" s="1127">
        <v>1.65</v>
      </c>
      <c r="K2166" s="1124"/>
    </row>
    <row r="2167" ht="15.75" customHeight="1">
      <c r="A2167" s="1119">
        <v>102523.0</v>
      </c>
      <c r="B2167" s="1125" t="s">
        <v>12445</v>
      </c>
      <c r="C2167" s="1126" t="s">
        <v>1788</v>
      </c>
      <c r="D2167" s="1119">
        <v>238.67</v>
      </c>
      <c r="E2167" s="1120">
        <v>167.7</v>
      </c>
      <c r="F2167" s="1121">
        <f t="shared" si="1"/>
        <v>70.97</v>
      </c>
      <c r="G2167" s="1120">
        <v>64.75</v>
      </c>
      <c r="H2167" s="1127">
        <v>4.05</v>
      </c>
      <c r="I2167" s="1127">
        <v>0.0</v>
      </c>
      <c r="J2167" s="1127">
        <v>2.17</v>
      </c>
      <c r="K2167" s="1124"/>
    </row>
    <row r="2168" ht="15.75" customHeight="1">
      <c r="A2168" s="1119">
        <v>95240.0</v>
      </c>
      <c r="B2168" s="1125" t="s">
        <v>12446</v>
      </c>
      <c r="C2168" s="1126" t="s">
        <v>1814</v>
      </c>
      <c r="D2168" s="1119">
        <v>18.89</v>
      </c>
      <c r="E2168" s="1120">
        <v>6.86</v>
      </c>
      <c r="F2168" s="1121">
        <f t="shared" si="1"/>
        <v>12.02</v>
      </c>
      <c r="G2168" s="1120">
        <v>11.92</v>
      </c>
      <c r="H2168" s="1127">
        <v>0.07</v>
      </c>
      <c r="I2168" s="1127">
        <v>0.0</v>
      </c>
      <c r="J2168" s="1127">
        <v>0.03</v>
      </c>
      <c r="K2168" s="1124"/>
    </row>
    <row r="2169" ht="15.75" customHeight="1">
      <c r="A2169" s="1119">
        <v>95241.0</v>
      </c>
      <c r="B2169" s="1125" t="s">
        <v>12447</v>
      </c>
      <c r="C2169" s="1126" t="s">
        <v>1814</v>
      </c>
      <c r="D2169" s="1119">
        <v>31.5</v>
      </c>
      <c r="E2169" s="1120">
        <v>11.44</v>
      </c>
      <c r="F2169" s="1121">
        <f t="shared" si="1"/>
        <v>20.07</v>
      </c>
      <c r="G2169" s="1120">
        <v>19.88</v>
      </c>
      <c r="H2169" s="1127">
        <v>0.13</v>
      </c>
      <c r="I2169" s="1127">
        <v>0.0</v>
      </c>
      <c r="J2169" s="1127">
        <v>0.06</v>
      </c>
      <c r="K2169" s="1124"/>
    </row>
    <row r="2170" ht="15.75" customHeight="1">
      <c r="A2170" s="1119">
        <v>96616.0</v>
      </c>
      <c r="B2170" s="1125" t="s">
        <v>12448</v>
      </c>
      <c r="C2170" s="1126" t="s">
        <v>2178</v>
      </c>
      <c r="D2170" s="1119">
        <v>660.75</v>
      </c>
      <c r="E2170" s="1120">
        <v>251.23</v>
      </c>
      <c r="F2170" s="1121">
        <f t="shared" si="1"/>
        <v>409.51</v>
      </c>
      <c r="G2170" s="1120">
        <v>405.24</v>
      </c>
      <c r="H2170" s="1127">
        <v>3.04</v>
      </c>
      <c r="I2170" s="1127">
        <v>0.0</v>
      </c>
      <c r="J2170" s="1127">
        <v>1.23</v>
      </c>
      <c r="K2170" s="1124"/>
    </row>
    <row r="2171" ht="15.75" customHeight="1">
      <c r="A2171" s="1119">
        <v>96617.0</v>
      </c>
      <c r="B2171" s="1125" t="s">
        <v>12449</v>
      </c>
      <c r="C2171" s="1126" t="s">
        <v>1814</v>
      </c>
      <c r="D2171" s="1119">
        <v>19.81</v>
      </c>
      <c r="E2171" s="1120">
        <v>7.55</v>
      </c>
      <c r="F2171" s="1121">
        <f t="shared" si="1"/>
        <v>12.26</v>
      </c>
      <c r="G2171" s="1120">
        <v>12.16</v>
      </c>
      <c r="H2171" s="1127">
        <v>0.07</v>
      </c>
      <c r="I2171" s="1127">
        <v>0.0</v>
      </c>
      <c r="J2171" s="1127">
        <v>0.03</v>
      </c>
      <c r="K2171" s="1124"/>
    </row>
    <row r="2172" ht="15.75" customHeight="1">
      <c r="A2172" s="1119">
        <v>96619.0</v>
      </c>
      <c r="B2172" s="1125" t="s">
        <v>12450</v>
      </c>
      <c r="C2172" s="1126" t="s">
        <v>1814</v>
      </c>
      <c r="D2172" s="1119">
        <v>33.03</v>
      </c>
      <c r="E2172" s="1120">
        <v>12.59</v>
      </c>
      <c r="F2172" s="1121">
        <f t="shared" si="1"/>
        <v>20.45</v>
      </c>
      <c r="G2172" s="1120">
        <v>20.26</v>
      </c>
      <c r="H2172" s="1127">
        <v>0.13</v>
      </c>
      <c r="I2172" s="1127">
        <v>0.0</v>
      </c>
      <c r="J2172" s="1127">
        <v>0.06</v>
      </c>
      <c r="K2172" s="1124"/>
    </row>
    <row r="2173" ht="15.75" customHeight="1">
      <c r="A2173" s="1119">
        <v>96620.0</v>
      </c>
      <c r="B2173" s="1125" t="s">
        <v>12451</v>
      </c>
      <c r="C2173" s="1126" t="s">
        <v>2178</v>
      </c>
      <c r="D2173" s="1119">
        <v>630.22</v>
      </c>
      <c r="E2173" s="1120">
        <v>228.42</v>
      </c>
      <c r="F2173" s="1121">
        <f t="shared" si="1"/>
        <v>401.8</v>
      </c>
      <c r="G2173" s="1120">
        <v>397.53</v>
      </c>
      <c r="H2173" s="1127">
        <v>3.04</v>
      </c>
      <c r="I2173" s="1127">
        <v>0.0</v>
      </c>
      <c r="J2173" s="1127">
        <v>1.23</v>
      </c>
      <c r="K2173" s="1124"/>
    </row>
    <row r="2174" ht="15.75" customHeight="1">
      <c r="A2174" s="1119">
        <v>96621.0</v>
      </c>
      <c r="B2174" s="1125" t="s">
        <v>12452</v>
      </c>
      <c r="C2174" s="1126" t="s">
        <v>2178</v>
      </c>
      <c r="D2174" s="1119">
        <v>214.04</v>
      </c>
      <c r="E2174" s="1120">
        <v>103.53</v>
      </c>
      <c r="F2174" s="1121">
        <f t="shared" si="1"/>
        <v>110.51</v>
      </c>
      <c r="G2174" s="1120">
        <v>110.43</v>
      </c>
      <c r="H2174" s="1127">
        <v>0.08</v>
      </c>
      <c r="I2174" s="1127">
        <v>0.0</v>
      </c>
      <c r="J2174" s="1127">
        <v>0.0</v>
      </c>
      <c r="K2174" s="1124"/>
    </row>
    <row r="2175" ht="15.75" customHeight="1">
      <c r="A2175" s="1119">
        <v>96622.0</v>
      </c>
      <c r="B2175" s="1125" t="s">
        <v>12453</v>
      </c>
      <c r="C2175" s="1126" t="s">
        <v>2178</v>
      </c>
      <c r="D2175" s="1119">
        <v>124.38</v>
      </c>
      <c r="E2175" s="1120">
        <v>36.9</v>
      </c>
      <c r="F2175" s="1121">
        <f t="shared" si="1"/>
        <v>87.49</v>
      </c>
      <c r="G2175" s="1120">
        <v>87.46</v>
      </c>
      <c r="H2175" s="1127">
        <v>0.03</v>
      </c>
      <c r="I2175" s="1127">
        <v>0.0</v>
      </c>
      <c r="J2175" s="1127">
        <v>0.0</v>
      </c>
      <c r="K2175" s="1124"/>
    </row>
    <row r="2176" ht="15.75" customHeight="1">
      <c r="A2176" s="1119">
        <v>96623.0</v>
      </c>
      <c r="B2176" s="1125" t="s">
        <v>12454</v>
      </c>
      <c r="C2176" s="1126" t="s">
        <v>2178</v>
      </c>
      <c r="D2176" s="1119">
        <v>193.15</v>
      </c>
      <c r="E2176" s="1120">
        <v>87.92</v>
      </c>
      <c r="F2176" s="1121">
        <f t="shared" si="1"/>
        <v>105.23</v>
      </c>
      <c r="G2176" s="1120">
        <v>105.15</v>
      </c>
      <c r="H2176" s="1127">
        <v>0.08</v>
      </c>
      <c r="I2176" s="1127">
        <v>0.0</v>
      </c>
      <c r="J2176" s="1127">
        <v>0.0</v>
      </c>
      <c r="K2176" s="1124"/>
    </row>
    <row r="2177" ht="15.75" customHeight="1">
      <c r="A2177" s="1119">
        <v>96624.0</v>
      </c>
      <c r="B2177" s="1125" t="s">
        <v>12455</v>
      </c>
      <c r="C2177" s="1126" t="s">
        <v>2178</v>
      </c>
      <c r="D2177" s="1119">
        <v>117.01</v>
      </c>
      <c r="E2177" s="1120">
        <v>31.39</v>
      </c>
      <c r="F2177" s="1121">
        <f t="shared" si="1"/>
        <v>85.62</v>
      </c>
      <c r="G2177" s="1120">
        <v>85.59</v>
      </c>
      <c r="H2177" s="1127">
        <v>0.03</v>
      </c>
      <c r="I2177" s="1127">
        <v>0.0</v>
      </c>
      <c r="J2177" s="1127">
        <v>0.0</v>
      </c>
      <c r="K2177" s="1124"/>
    </row>
    <row r="2178" ht="15.75" customHeight="1">
      <c r="A2178" s="1119">
        <v>97082.0</v>
      </c>
      <c r="B2178" s="1125" t="s">
        <v>12456</v>
      </c>
      <c r="C2178" s="1126" t="s">
        <v>2178</v>
      </c>
      <c r="D2178" s="1119">
        <v>72.94</v>
      </c>
      <c r="E2178" s="1120">
        <v>50.6</v>
      </c>
      <c r="F2178" s="1121">
        <f t="shared" si="1"/>
        <v>22.35</v>
      </c>
      <c r="G2178" s="1120">
        <v>22.35</v>
      </c>
      <c r="H2178" s="1127">
        <v>0.0</v>
      </c>
      <c r="I2178" s="1127">
        <v>0.0</v>
      </c>
      <c r="J2178" s="1127">
        <v>0.0</v>
      </c>
      <c r="K2178" s="1124"/>
    </row>
    <row r="2179" ht="15.75" customHeight="1">
      <c r="A2179" s="1119">
        <v>97083.0</v>
      </c>
      <c r="B2179" s="1125" t="s">
        <v>12457</v>
      </c>
      <c r="C2179" s="1126" t="s">
        <v>1814</v>
      </c>
      <c r="D2179" s="1119">
        <v>3.86</v>
      </c>
      <c r="E2179" s="1120">
        <v>2.7</v>
      </c>
      <c r="F2179" s="1121">
        <f t="shared" si="1"/>
        <v>1.16</v>
      </c>
      <c r="G2179" s="1120">
        <v>1.11</v>
      </c>
      <c r="H2179" s="1127">
        <v>0.05</v>
      </c>
      <c r="I2179" s="1127">
        <v>0.0</v>
      </c>
      <c r="J2179" s="1127">
        <v>0.0</v>
      </c>
      <c r="K2179" s="1124"/>
    </row>
    <row r="2180" ht="15.75" customHeight="1">
      <c r="A2180" s="1119">
        <v>97084.0</v>
      </c>
      <c r="B2180" s="1125" t="s">
        <v>12458</v>
      </c>
      <c r="C2180" s="1126" t="s">
        <v>1814</v>
      </c>
      <c r="D2180" s="1119">
        <v>0.8</v>
      </c>
      <c r="E2180" s="1120">
        <v>0.57</v>
      </c>
      <c r="F2180" s="1121">
        <f t="shared" si="1"/>
        <v>0.23</v>
      </c>
      <c r="G2180" s="1120">
        <v>0.23</v>
      </c>
      <c r="H2180" s="1127">
        <v>0.0</v>
      </c>
      <c r="I2180" s="1127">
        <v>0.0</v>
      </c>
      <c r="J2180" s="1127">
        <v>0.0</v>
      </c>
      <c r="K2180" s="1124"/>
    </row>
    <row r="2181" ht="15.75" customHeight="1">
      <c r="A2181" s="1119">
        <v>97086.0</v>
      </c>
      <c r="B2181" s="1125" t="s">
        <v>12459</v>
      </c>
      <c r="C2181" s="1126" t="s">
        <v>1814</v>
      </c>
      <c r="D2181" s="1119">
        <v>155.07</v>
      </c>
      <c r="E2181" s="1120">
        <v>84.72</v>
      </c>
      <c r="F2181" s="1121">
        <f t="shared" si="1"/>
        <v>70.35</v>
      </c>
      <c r="G2181" s="1120">
        <v>70.35</v>
      </c>
      <c r="H2181" s="1127">
        <v>0.0</v>
      </c>
      <c r="I2181" s="1127">
        <v>0.0</v>
      </c>
      <c r="J2181" s="1127">
        <v>0.0</v>
      </c>
      <c r="K2181" s="1124"/>
    </row>
    <row r="2182" ht="15.75" customHeight="1">
      <c r="A2182" s="1119">
        <v>97087.0</v>
      </c>
      <c r="B2182" s="1125" t="s">
        <v>12460</v>
      </c>
      <c r="C2182" s="1126" t="s">
        <v>1814</v>
      </c>
      <c r="D2182" s="1119">
        <v>2.89</v>
      </c>
      <c r="E2182" s="1120">
        <v>0.41</v>
      </c>
      <c r="F2182" s="1121">
        <f t="shared" si="1"/>
        <v>2.47</v>
      </c>
      <c r="G2182" s="1120">
        <v>2.47</v>
      </c>
      <c r="H2182" s="1127">
        <v>0.0</v>
      </c>
      <c r="I2182" s="1127">
        <v>0.0</v>
      </c>
      <c r="J2182" s="1127">
        <v>0.0</v>
      </c>
      <c r="K2182" s="1124"/>
    </row>
    <row r="2183" ht="15.75" customHeight="1">
      <c r="A2183" s="1119">
        <v>97088.0</v>
      </c>
      <c r="B2183" s="1125" t="s">
        <v>12461</v>
      </c>
      <c r="C2183" s="1126" t="s">
        <v>3606</v>
      </c>
      <c r="D2183" s="1119">
        <v>16.64</v>
      </c>
      <c r="E2183" s="1120">
        <v>1.27</v>
      </c>
      <c r="F2183" s="1121">
        <f t="shared" si="1"/>
        <v>15.37</v>
      </c>
      <c r="G2183" s="1120">
        <v>15.37</v>
      </c>
      <c r="H2183" s="1127">
        <v>0.0</v>
      </c>
      <c r="I2183" s="1127">
        <v>0.0</v>
      </c>
      <c r="J2183" s="1127">
        <v>0.0</v>
      </c>
      <c r="K2183" s="1124"/>
    </row>
    <row r="2184" ht="15.75" customHeight="1">
      <c r="A2184" s="1119">
        <v>97089.0</v>
      </c>
      <c r="B2184" s="1125" t="s">
        <v>12462</v>
      </c>
      <c r="C2184" s="1126" t="s">
        <v>3606</v>
      </c>
      <c r="D2184" s="1119">
        <v>15.2</v>
      </c>
      <c r="E2184" s="1120">
        <v>1.09</v>
      </c>
      <c r="F2184" s="1121">
        <f t="shared" si="1"/>
        <v>14.12</v>
      </c>
      <c r="G2184" s="1120">
        <v>14.12</v>
      </c>
      <c r="H2184" s="1127">
        <v>0.0</v>
      </c>
      <c r="I2184" s="1127">
        <v>0.0</v>
      </c>
      <c r="J2184" s="1127">
        <v>0.0</v>
      </c>
      <c r="K2184" s="1124"/>
    </row>
    <row r="2185" ht="15.75" customHeight="1">
      <c r="A2185" s="1119">
        <v>97090.0</v>
      </c>
      <c r="B2185" s="1125" t="s">
        <v>12463</v>
      </c>
      <c r="C2185" s="1126" t="s">
        <v>3606</v>
      </c>
      <c r="D2185" s="1119">
        <v>14.86</v>
      </c>
      <c r="E2185" s="1120">
        <v>0.92</v>
      </c>
      <c r="F2185" s="1121">
        <f t="shared" si="1"/>
        <v>13.92</v>
      </c>
      <c r="G2185" s="1120">
        <v>13.92</v>
      </c>
      <c r="H2185" s="1127">
        <v>0.0</v>
      </c>
      <c r="I2185" s="1127">
        <v>0.0</v>
      </c>
      <c r="J2185" s="1127">
        <v>0.0</v>
      </c>
      <c r="K2185" s="1124"/>
    </row>
    <row r="2186" ht="15.75" customHeight="1">
      <c r="A2186" s="1119">
        <v>97091.0</v>
      </c>
      <c r="B2186" s="1125" t="s">
        <v>12464</v>
      </c>
      <c r="C2186" s="1126" t="s">
        <v>3606</v>
      </c>
      <c r="D2186" s="1119">
        <v>14.38</v>
      </c>
      <c r="E2186" s="1120">
        <v>0.84</v>
      </c>
      <c r="F2186" s="1121">
        <f t="shared" si="1"/>
        <v>13.54</v>
      </c>
      <c r="G2186" s="1120">
        <v>13.54</v>
      </c>
      <c r="H2186" s="1127">
        <v>0.0</v>
      </c>
      <c r="I2186" s="1127">
        <v>0.0</v>
      </c>
      <c r="J2186" s="1127">
        <v>0.0</v>
      </c>
      <c r="K2186" s="1124"/>
    </row>
    <row r="2187" ht="15.75" customHeight="1">
      <c r="A2187" s="1119">
        <v>97092.0</v>
      </c>
      <c r="B2187" s="1125" t="s">
        <v>12465</v>
      </c>
      <c r="C2187" s="1126" t="s">
        <v>3606</v>
      </c>
      <c r="D2187" s="1119">
        <v>13.89</v>
      </c>
      <c r="E2187" s="1120">
        <v>0.7</v>
      </c>
      <c r="F2187" s="1121">
        <f t="shared" si="1"/>
        <v>13.19</v>
      </c>
      <c r="G2187" s="1120">
        <v>13.19</v>
      </c>
      <c r="H2187" s="1127">
        <v>0.0</v>
      </c>
      <c r="I2187" s="1127">
        <v>0.0</v>
      </c>
      <c r="J2187" s="1127">
        <v>0.0</v>
      </c>
      <c r="K2187" s="1124"/>
    </row>
    <row r="2188" ht="15.75" customHeight="1">
      <c r="A2188" s="1119">
        <v>97093.0</v>
      </c>
      <c r="B2188" s="1125" t="s">
        <v>12466</v>
      </c>
      <c r="C2188" s="1126" t="s">
        <v>3606</v>
      </c>
      <c r="D2188" s="1119">
        <v>12.98</v>
      </c>
      <c r="E2188" s="1120">
        <v>0.54</v>
      </c>
      <c r="F2188" s="1121">
        <f t="shared" si="1"/>
        <v>12.43</v>
      </c>
      <c r="G2188" s="1120">
        <v>12.43</v>
      </c>
      <c r="H2188" s="1127">
        <v>0.0</v>
      </c>
      <c r="I2188" s="1127">
        <v>0.0</v>
      </c>
      <c r="J2188" s="1127">
        <v>0.0</v>
      </c>
      <c r="K2188" s="1124"/>
    </row>
    <row r="2189" ht="15.75" customHeight="1">
      <c r="A2189" s="1119">
        <v>97096.0</v>
      </c>
      <c r="B2189" s="1125" t="s">
        <v>12467</v>
      </c>
      <c r="C2189" s="1126" t="s">
        <v>2178</v>
      </c>
      <c r="D2189" s="1119">
        <v>519.09</v>
      </c>
      <c r="E2189" s="1120">
        <v>17.28</v>
      </c>
      <c r="F2189" s="1121">
        <f t="shared" si="1"/>
        <v>501.81</v>
      </c>
      <c r="G2189" s="1120">
        <v>501.75</v>
      </c>
      <c r="H2189" s="1127">
        <v>0.05</v>
      </c>
      <c r="I2189" s="1127">
        <v>0.0</v>
      </c>
      <c r="J2189" s="1127">
        <v>0.01</v>
      </c>
      <c r="K2189" s="1124"/>
    </row>
    <row r="2190" ht="15.75" customHeight="1">
      <c r="A2190" s="1119">
        <v>97097.0</v>
      </c>
      <c r="B2190" s="1125" t="s">
        <v>12468</v>
      </c>
      <c r="C2190" s="1126" t="s">
        <v>1814</v>
      </c>
      <c r="D2190" s="1119">
        <v>37.32</v>
      </c>
      <c r="E2190" s="1120">
        <v>2.16</v>
      </c>
      <c r="F2190" s="1121">
        <f t="shared" si="1"/>
        <v>35.15</v>
      </c>
      <c r="G2190" s="1120">
        <v>35.15</v>
      </c>
      <c r="H2190" s="1127">
        <v>0.0</v>
      </c>
      <c r="I2190" s="1127">
        <v>0.0</v>
      </c>
      <c r="J2190" s="1127">
        <v>0.0</v>
      </c>
      <c r="K2190" s="1124"/>
    </row>
    <row r="2191" ht="15.75" customHeight="1">
      <c r="A2191" s="1119">
        <v>97101.0</v>
      </c>
      <c r="B2191" s="1125" t="s">
        <v>12469</v>
      </c>
      <c r="C2191" s="1126" t="s">
        <v>1814</v>
      </c>
      <c r="D2191" s="1119">
        <v>158.88</v>
      </c>
      <c r="E2191" s="1120">
        <v>21.09</v>
      </c>
      <c r="F2191" s="1121">
        <f t="shared" si="1"/>
        <v>137.81</v>
      </c>
      <c r="G2191" s="1120">
        <v>137.76</v>
      </c>
      <c r="H2191" s="1127">
        <v>0.05</v>
      </c>
      <c r="I2191" s="1127">
        <v>0.0</v>
      </c>
      <c r="J2191" s="1127">
        <v>0.0</v>
      </c>
      <c r="K2191" s="1124"/>
    </row>
    <row r="2192" ht="15.75" customHeight="1">
      <c r="A2192" s="1119">
        <v>97102.0</v>
      </c>
      <c r="B2192" s="1125" t="s">
        <v>12470</v>
      </c>
      <c r="C2192" s="1126" t="s">
        <v>1814</v>
      </c>
      <c r="D2192" s="1119">
        <v>198.6</v>
      </c>
      <c r="E2192" s="1120">
        <v>23.78</v>
      </c>
      <c r="F2192" s="1121">
        <f t="shared" si="1"/>
        <v>174.72</v>
      </c>
      <c r="G2192" s="1120">
        <v>174.67</v>
      </c>
      <c r="H2192" s="1127">
        <v>0.05</v>
      </c>
      <c r="I2192" s="1127">
        <v>0.0</v>
      </c>
      <c r="J2192" s="1127">
        <v>0.0</v>
      </c>
      <c r="K2192" s="1124"/>
    </row>
    <row r="2193" ht="15.75" customHeight="1">
      <c r="A2193" s="1119">
        <v>97103.0</v>
      </c>
      <c r="B2193" s="1125" t="s">
        <v>12471</v>
      </c>
      <c r="C2193" s="1126" t="s">
        <v>1814</v>
      </c>
      <c r="D2193" s="1119">
        <v>234.74</v>
      </c>
      <c r="E2193" s="1120">
        <v>26.52</v>
      </c>
      <c r="F2193" s="1121">
        <f t="shared" si="1"/>
        <v>208.22</v>
      </c>
      <c r="G2193" s="1120">
        <v>208.17</v>
      </c>
      <c r="H2193" s="1127">
        <v>0.05</v>
      </c>
      <c r="I2193" s="1127">
        <v>0.0</v>
      </c>
      <c r="J2193" s="1127">
        <v>0.0</v>
      </c>
      <c r="K2193" s="1124"/>
    </row>
    <row r="2194" ht="15.75" customHeight="1">
      <c r="A2194" s="1119">
        <v>100322.0</v>
      </c>
      <c r="B2194" s="1125" t="s">
        <v>12472</v>
      </c>
      <c r="C2194" s="1126" t="s">
        <v>2178</v>
      </c>
      <c r="D2194" s="1119">
        <v>112.5</v>
      </c>
      <c r="E2194" s="1120">
        <v>31.39</v>
      </c>
      <c r="F2194" s="1121">
        <f t="shared" si="1"/>
        <v>81.11</v>
      </c>
      <c r="G2194" s="1120">
        <v>81.08</v>
      </c>
      <c r="H2194" s="1127">
        <v>0.03</v>
      </c>
      <c r="I2194" s="1127">
        <v>0.0</v>
      </c>
      <c r="J2194" s="1127">
        <v>0.0</v>
      </c>
      <c r="K2194" s="1124"/>
    </row>
    <row r="2195" ht="15.75" customHeight="1">
      <c r="A2195" s="1119">
        <v>100323.0</v>
      </c>
      <c r="B2195" s="1125" t="s">
        <v>12473</v>
      </c>
      <c r="C2195" s="1126" t="s">
        <v>2178</v>
      </c>
      <c r="D2195" s="1119">
        <v>166.06</v>
      </c>
      <c r="E2195" s="1120">
        <v>31.38</v>
      </c>
      <c r="F2195" s="1121">
        <f t="shared" si="1"/>
        <v>134.68</v>
      </c>
      <c r="G2195" s="1120">
        <v>134.65</v>
      </c>
      <c r="H2195" s="1127">
        <v>0.03</v>
      </c>
      <c r="I2195" s="1127">
        <v>0.0</v>
      </c>
      <c r="J2195" s="1127">
        <v>0.0</v>
      </c>
      <c r="K2195" s="1124"/>
    </row>
    <row r="2196" ht="15.75" customHeight="1">
      <c r="A2196" s="1119">
        <v>100324.0</v>
      </c>
      <c r="B2196" s="1125" t="s">
        <v>12474</v>
      </c>
      <c r="C2196" s="1126" t="s">
        <v>2178</v>
      </c>
      <c r="D2196" s="1119">
        <v>116.81</v>
      </c>
      <c r="E2196" s="1120">
        <v>31.39</v>
      </c>
      <c r="F2196" s="1121">
        <f t="shared" si="1"/>
        <v>85.42</v>
      </c>
      <c r="G2196" s="1120">
        <v>85.39</v>
      </c>
      <c r="H2196" s="1127">
        <v>0.03</v>
      </c>
      <c r="I2196" s="1127">
        <v>0.0</v>
      </c>
      <c r="J2196" s="1127">
        <v>0.0</v>
      </c>
      <c r="K2196" s="1124"/>
    </row>
    <row r="2197" ht="15.75" customHeight="1">
      <c r="A2197" s="1119">
        <v>103072.0</v>
      </c>
      <c r="B2197" s="1125" t="s">
        <v>12475</v>
      </c>
      <c r="C2197" s="1126" t="s">
        <v>1814</v>
      </c>
      <c r="D2197" s="1119">
        <v>277.72</v>
      </c>
      <c r="E2197" s="1120">
        <v>29.19</v>
      </c>
      <c r="F2197" s="1121">
        <f t="shared" si="1"/>
        <v>248.51</v>
      </c>
      <c r="G2197" s="1120">
        <v>248.46</v>
      </c>
      <c r="H2197" s="1127">
        <v>0.05</v>
      </c>
      <c r="I2197" s="1127">
        <v>0.0</v>
      </c>
      <c r="J2197" s="1127">
        <v>0.0</v>
      </c>
      <c r="K2197" s="1124"/>
    </row>
    <row r="2198" ht="15.75" customHeight="1">
      <c r="A2198" s="1119">
        <v>103073.0</v>
      </c>
      <c r="B2198" s="1125" t="s">
        <v>12476</v>
      </c>
      <c r="C2198" s="1126" t="s">
        <v>1814</v>
      </c>
      <c r="D2198" s="1119">
        <v>336.69</v>
      </c>
      <c r="E2198" s="1120">
        <v>32.26</v>
      </c>
      <c r="F2198" s="1121">
        <f t="shared" si="1"/>
        <v>304.32</v>
      </c>
      <c r="G2198" s="1120">
        <v>304.27</v>
      </c>
      <c r="H2198" s="1127">
        <v>0.05</v>
      </c>
      <c r="I2198" s="1127">
        <v>0.0</v>
      </c>
      <c r="J2198" s="1127">
        <v>0.0</v>
      </c>
      <c r="K2198" s="1124"/>
    </row>
    <row r="2199" ht="15.75" customHeight="1">
      <c r="A2199" s="1119">
        <v>103074.0</v>
      </c>
      <c r="B2199" s="1125" t="s">
        <v>12477</v>
      </c>
      <c r="C2199" s="1126" t="s">
        <v>1814</v>
      </c>
      <c r="D2199" s="1119">
        <v>155.0</v>
      </c>
      <c r="E2199" s="1120">
        <v>19.45</v>
      </c>
      <c r="F2199" s="1121">
        <f t="shared" si="1"/>
        <v>135.56</v>
      </c>
      <c r="G2199" s="1120">
        <v>135.51</v>
      </c>
      <c r="H2199" s="1127">
        <v>0.05</v>
      </c>
      <c r="I2199" s="1127">
        <v>0.0</v>
      </c>
      <c r="J2199" s="1127">
        <v>0.0</v>
      </c>
      <c r="K2199" s="1124"/>
    </row>
    <row r="2200" ht="15.75" customHeight="1">
      <c r="A2200" s="1119">
        <v>103075.0</v>
      </c>
      <c r="B2200" s="1125" t="s">
        <v>12478</v>
      </c>
      <c r="C2200" s="1126" t="s">
        <v>1814</v>
      </c>
      <c r="D2200" s="1119">
        <v>192.32</v>
      </c>
      <c r="E2200" s="1120">
        <v>21.61</v>
      </c>
      <c r="F2200" s="1121">
        <f t="shared" si="1"/>
        <v>170.72</v>
      </c>
      <c r="G2200" s="1120">
        <v>170.67</v>
      </c>
      <c r="H2200" s="1127">
        <v>0.05</v>
      </c>
      <c r="I2200" s="1127">
        <v>0.0</v>
      </c>
      <c r="J2200" s="1127">
        <v>0.0</v>
      </c>
      <c r="K2200" s="1124"/>
    </row>
    <row r="2201" ht="15.75" customHeight="1">
      <c r="A2201" s="1119">
        <v>103076.0</v>
      </c>
      <c r="B2201" s="1125" t="s">
        <v>12479</v>
      </c>
      <c r="C2201" s="1126" t="s">
        <v>1814</v>
      </c>
      <c r="D2201" s="1119">
        <v>137.47</v>
      </c>
      <c r="E2201" s="1120">
        <v>18.64</v>
      </c>
      <c r="F2201" s="1121">
        <f t="shared" si="1"/>
        <v>118.88</v>
      </c>
      <c r="G2201" s="1120">
        <v>118.83</v>
      </c>
      <c r="H2201" s="1127">
        <v>0.05</v>
      </c>
      <c r="I2201" s="1127">
        <v>0.0</v>
      </c>
      <c r="J2201" s="1127">
        <v>0.0</v>
      </c>
      <c r="K2201" s="1124"/>
    </row>
    <row r="2202" ht="15.75" customHeight="1">
      <c r="A2202" s="1119">
        <v>103077.0</v>
      </c>
      <c r="B2202" s="1125" t="s">
        <v>12480</v>
      </c>
      <c r="C2202" s="1126" t="s">
        <v>1814</v>
      </c>
      <c r="D2202" s="1119">
        <v>177.19</v>
      </c>
      <c r="E2202" s="1120">
        <v>21.33</v>
      </c>
      <c r="F2202" s="1121">
        <f t="shared" si="1"/>
        <v>155.79</v>
      </c>
      <c r="G2202" s="1120">
        <v>155.74</v>
      </c>
      <c r="H2202" s="1127">
        <v>0.05</v>
      </c>
      <c r="I2202" s="1127">
        <v>0.0</v>
      </c>
      <c r="J2202" s="1127">
        <v>0.0</v>
      </c>
      <c r="K2202" s="1124"/>
    </row>
    <row r="2203" ht="15.75" customHeight="1">
      <c r="A2203" s="1119">
        <v>103078.0</v>
      </c>
      <c r="B2203" s="1125" t="s">
        <v>12481</v>
      </c>
      <c r="C2203" s="1126" t="s">
        <v>1814</v>
      </c>
      <c r="D2203" s="1119">
        <v>213.33</v>
      </c>
      <c r="E2203" s="1120">
        <v>24.07</v>
      </c>
      <c r="F2203" s="1121">
        <f t="shared" si="1"/>
        <v>189.29</v>
      </c>
      <c r="G2203" s="1120">
        <v>189.24</v>
      </c>
      <c r="H2203" s="1127">
        <v>0.05</v>
      </c>
      <c r="I2203" s="1127">
        <v>0.0</v>
      </c>
      <c r="J2203" s="1127">
        <v>0.0</v>
      </c>
      <c r="K2203" s="1124"/>
    </row>
    <row r="2204" ht="15.75" customHeight="1">
      <c r="A2204" s="1119">
        <v>103079.0</v>
      </c>
      <c r="B2204" s="1125" t="s">
        <v>12482</v>
      </c>
      <c r="C2204" s="1126" t="s">
        <v>1814</v>
      </c>
      <c r="D2204" s="1119">
        <v>256.31</v>
      </c>
      <c r="E2204" s="1120">
        <v>26.74</v>
      </c>
      <c r="F2204" s="1121">
        <f t="shared" si="1"/>
        <v>229.57</v>
      </c>
      <c r="G2204" s="1120">
        <v>229.52</v>
      </c>
      <c r="H2204" s="1127">
        <v>0.05</v>
      </c>
      <c r="I2204" s="1127">
        <v>0.0</v>
      </c>
      <c r="J2204" s="1127">
        <v>0.0</v>
      </c>
      <c r="K2204" s="1124"/>
    </row>
    <row r="2205" ht="15.75" customHeight="1">
      <c r="A2205" s="1119">
        <v>103080.0</v>
      </c>
      <c r="B2205" s="1125" t="s">
        <v>12483</v>
      </c>
      <c r="C2205" s="1126" t="s">
        <v>1814</v>
      </c>
      <c r="D2205" s="1119">
        <v>315.28</v>
      </c>
      <c r="E2205" s="1120">
        <v>29.8</v>
      </c>
      <c r="F2205" s="1121">
        <f t="shared" si="1"/>
        <v>285.39</v>
      </c>
      <c r="G2205" s="1120">
        <v>285.34</v>
      </c>
      <c r="H2205" s="1127">
        <v>0.05</v>
      </c>
      <c r="I2205" s="1127">
        <v>0.0</v>
      </c>
      <c r="J2205" s="1127">
        <v>0.0</v>
      </c>
      <c r="K2205" s="1124"/>
    </row>
    <row r="2206" ht="15.75" customHeight="1">
      <c r="A2206" s="1119">
        <v>92263.0</v>
      </c>
      <c r="B2206" s="1125" t="s">
        <v>12484</v>
      </c>
      <c r="C2206" s="1126" t="s">
        <v>1814</v>
      </c>
      <c r="D2206" s="1119">
        <v>154.68</v>
      </c>
      <c r="E2206" s="1120">
        <v>41.39</v>
      </c>
      <c r="F2206" s="1121">
        <f t="shared" si="1"/>
        <v>113.29</v>
      </c>
      <c r="G2206" s="1120">
        <v>113.22</v>
      </c>
      <c r="H2206" s="1127">
        <v>0.02</v>
      </c>
      <c r="I2206" s="1127">
        <v>0.0</v>
      </c>
      <c r="J2206" s="1127">
        <v>0.05</v>
      </c>
      <c r="K2206" s="1124"/>
    </row>
    <row r="2207" ht="15.75" customHeight="1">
      <c r="A2207" s="1119">
        <v>92264.0</v>
      </c>
      <c r="B2207" s="1125" t="s">
        <v>12485</v>
      </c>
      <c r="C2207" s="1126" t="s">
        <v>1814</v>
      </c>
      <c r="D2207" s="1119">
        <v>195.09</v>
      </c>
      <c r="E2207" s="1120">
        <v>41.38</v>
      </c>
      <c r="F2207" s="1121">
        <f t="shared" si="1"/>
        <v>153.71</v>
      </c>
      <c r="G2207" s="1120">
        <v>153.64</v>
      </c>
      <c r="H2207" s="1127">
        <v>0.02</v>
      </c>
      <c r="I2207" s="1127">
        <v>0.0</v>
      </c>
      <c r="J2207" s="1127">
        <v>0.05</v>
      </c>
      <c r="K2207" s="1124"/>
    </row>
    <row r="2208" ht="15.75" customHeight="1">
      <c r="A2208" s="1119">
        <v>92265.0</v>
      </c>
      <c r="B2208" s="1125" t="s">
        <v>12486</v>
      </c>
      <c r="C2208" s="1126" t="s">
        <v>1814</v>
      </c>
      <c r="D2208" s="1119">
        <v>114.28</v>
      </c>
      <c r="E2208" s="1120">
        <v>33.15</v>
      </c>
      <c r="F2208" s="1121">
        <f t="shared" si="1"/>
        <v>81.15</v>
      </c>
      <c r="G2208" s="1120">
        <v>81.09</v>
      </c>
      <c r="H2208" s="1127">
        <v>0.02</v>
      </c>
      <c r="I2208" s="1127">
        <v>0.0</v>
      </c>
      <c r="J2208" s="1127">
        <v>0.04</v>
      </c>
      <c r="K2208" s="1124"/>
    </row>
    <row r="2209" ht="15.75" customHeight="1">
      <c r="A2209" s="1119">
        <v>92266.0</v>
      </c>
      <c r="B2209" s="1125" t="s">
        <v>12487</v>
      </c>
      <c r="C2209" s="1126" t="s">
        <v>1814</v>
      </c>
      <c r="D2209" s="1119">
        <v>148.95</v>
      </c>
      <c r="E2209" s="1120">
        <v>33.14</v>
      </c>
      <c r="F2209" s="1121">
        <f t="shared" si="1"/>
        <v>115.83</v>
      </c>
      <c r="G2209" s="1120">
        <v>115.77</v>
      </c>
      <c r="H2209" s="1127">
        <v>0.02</v>
      </c>
      <c r="I2209" s="1127">
        <v>0.0</v>
      </c>
      <c r="J2209" s="1127">
        <v>0.04</v>
      </c>
      <c r="K2209" s="1124"/>
    </row>
    <row r="2210" ht="15.75" customHeight="1">
      <c r="A2210" s="1119">
        <v>92267.0</v>
      </c>
      <c r="B2210" s="1125" t="s">
        <v>12488</v>
      </c>
      <c r="C2210" s="1126" t="s">
        <v>1814</v>
      </c>
      <c r="D2210" s="1119">
        <v>46.93</v>
      </c>
      <c r="E2210" s="1120">
        <v>0.86</v>
      </c>
      <c r="F2210" s="1121">
        <f t="shared" si="1"/>
        <v>46.06</v>
      </c>
      <c r="G2210" s="1120">
        <v>46.06</v>
      </c>
      <c r="H2210" s="1127">
        <v>0.0</v>
      </c>
      <c r="I2210" s="1127">
        <v>0.0</v>
      </c>
      <c r="J2210" s="1127">
        <v>0.0</v>
      </c>
      <c r="K2210" s="1124"/>
    </row>
    <row r="2211" ht="15.75" customHeight="1">
      <c r="A2211" s="1119">
        <v>92268.0</v>
      </c>
      <c r="B2211" s="1125" t="s">
        <v>12489</v>
      </c>
      <c r="C2211" s="1126" t="s">
        <v>1814</v>
      </c>
      <c r="D2211" s="1119">
        <v>78.69</v>
      </c>
      <c r="E2211" s="1120">
        <v>0.86</v>
      </c>
      <c r="F2211" s="1121">
        <f t="shared" si="1"/>
        <v>77.82</v>
      </c>
      <c r="G2211" s="1120">
        <v>77.82</v>
      </c>
      <c r="H2211" s="1127">
        <v>0.0</v>
      </c>
      <c r="I2211" s="1127">
        <v>0.0</v>
      </c>
      <c r="J2211" s="1127">
        <v>0.0</v>
      </c>
      <c r="K2211" s="1124"/>
    </row>
    <row r="2212" ht="15.75" customHeight="1">
      <c r="A2212" s="1119">
        <v>92269.0</v>
      </c>
      <c r="B2212" s="1125" t="s">
        <v>12490</v>
      </c>
      <c r="C2212" s="1126" t="s">
        <v>1814</v>
      </c>
      <c r="D2212" s="1119">
        <v>291.19</v>
      </c>
      <c r="E2212" s="1120">
        <v>23.68</v>
      </c>
      <c r="F2212" s="1121">
        <f t="shared" si="1"/>
        <v>267.5</v>
      </c>
      <c r="G2212" s="1120">
        <v>267.44</v>
      </c>
      <c r="H2212" s="1127">
        <v>0.02</v>
      </c>
      <c r="I2212" s="1127">
        <v>0.0</v>
      </c>
      <c r="J2212" s="1127">
        <v>0.04</v>
      </c>
      <c r="K2212" s="1124"/>
    </row>
    <row r="2213" ht="15.75" customHeight="1">
      <c r="A2213" s="1119">
        <v>92270.0</v>
      </c>
      <c r="B2213" s="1125" t="s">
        <v>12491</v>
      </c>
      <c r="C2213" s="1126" t="s">
        <v>1814</v>
      </c>
      <c r="D2213" s="1119">
        <v>220.18</v>
      </c>
      <c r="E2213" s="1120">
        <v>29.6</v>
      </c>
      <c r="F2213" s="1121">
        <f t="shared" si="1"/>
        <v>190.59</v>
      </c>
      <c r="G2213" s="1120">
        <v>190.53</v>
      </c>
      <c r="H2213" s="1127">
        <v>0.02</v>
      </c>
      <c r="I2213" s="1127">
        <v>0.0</v>
      </c>
      <c r="J2213" s="1127">
        <v>0.04</v>
      </c>
      <c r="K2213" s="1124"/>
    </row>
    <row r="2214" ht="15.75" customHeight="1">
      <c r="A2214" s="1119">
        <v>92271.0</v>
      </c>
      <c r="B2214" s="1125" t="s">
        <v>12492</v>
      </c>
      <c r="C2214" s="1126" t="s">
        <v>1814</v>
      </c>
      <c r="D2214" s="1119">
        <v>146.86</v>
      </c>
      <c r="E2214" s="1120">
        <v>0.44</v>
      </c>
      <c r="F2214" s="1121">
        <f t="shared" si="1"/>
        <v>146.44</v>
      </c>
      <c r="G2214" s="1120">
        <v>146.44</v>
      </c>
      <c r="H2214" s="1127">
        <v>0.0</v>
      </c>
      <c r="I2214" s="1127">
        <v>0.0</v>
      </c>
      <c r="J2214" s="1127">
        <v>0.0</v>
      </c>
      <c r="K2214" s="1124"/>
    </row>
    <row r="2215" ht="15.75" customHeight="1">
      <c r="A2215" s="1119">
        <v>92272.0</v>
      </c>
      <c r="B2215" s="1125" t="s">
        <v>12493</v>
      </c>
      <c r="C2215" s="1126" t="s">
        <v>1731</v>
      </c>
      <c r="D2215" s="1119">
        <v>33.46</v>
      </c>
      <c r="E2215" s="1120">
        <v>5.32</v>
      </c>
      <c r="F2215" s="1121">
        <f t="shared" si="1"/>
        <v>28.14</v>
      </c>
      <c r="G2215" s="1120">
        <v>28.13</v>
      </c>
      <c r="H2215" s="1127">
        <v>0.0</v>
      </c>
      <c r="I2215" s="1127">
        <v>0.0</v>
      </c>
      <c r="J2215" s="1127">
        <v>0.01</v>
      </c>
      <c r="K2215" s="1124"/>
    </row>
    <row r="2216" ht="15.75" customHeight="1">
      <c r="A2216" s="1119">
        <v>92273.0</v>
      </c>
      <c r="B2216" s="1125" t="s">
        <v>12494</v>
      </c>
      <c r="C2216" s="1126" t="s">
        <v>1731</v>
      </c>
      <c r="D2216" s="1119">
        <v>14.09</v>
      </c>
      <c r="E2216" s="1120">
        <v>3.52</v>
      </c>
      <c r="F2216" s="1121">
        <f t="shared" si="1"/>
        <v>10.57</v>
      </c>
      <c r="G2216" s="1120">
        <v>10.57</v>
      </c>
      <c r="H2216" s="1127">
        <v>0.0</v>
      </c>
      <c r="I2216" s="1127">
        <v>0.0</v>
      </c>
      <c r="J2216" s="1127">
        <v>0.0</v>
      </c>
      <c r="K2216" s="1124"/>
    </row>
    <row r="2217" ht="15.75" customHeight="1">
      <c r="A2217" s="1119">
        <v>92409.0</v>
      </c>
      <c r="B2217" s="1125" t="s">
        <v>12495</v>
      </c>
      <c r="C2217" s="1126" t="s">
        <v>1814</v>
      </c>
      <c r="D2217" s="1119">
        <v>409.43</v>
      </c>
      <c r="E2217" s="1120">
        <v>108.45</v>
      </c>
      <c r="F2217" s="1121">
        <f t="shared" si="1"/>
        <v>300.97</v>
      </c>
      <c r="G2217" s="1120">
        <v>300.91</v>
      </c>
      <c r="H2217" s="1127">
        <v>0.02</v>
      </c>
      <c r="I2217" s="1127">
        <v>0.0</v>
      </c>
      <c r="J2217" s="1127">
        <v>0.04</v>
      </c>
      <c r="K2217" s="1124"/>
    </row>
    <row r="2218" ht="15.75" customHeight="1">
      <c r="A2218" s="1119">
        <v>92411.0</v>
      </c>
      <c r="B2218" s="1125" t="s">
        <v>12496</v>
      </c>
      <c r="C2218" s="1126" t="s">
        <v>1814</v>
      </c>
      <c r="D2218" s="1119">
        <v>253.63</v>
      </c>
      <c r="E2218" s="1120">
        <v>86.96</v>
      </c>
      <c r="F2218" s="1121">
        <f t="shared" si="1"/>
        <v>166.68</v>
      </c>
      <c r="G2218" s="1120">
        <v>166.65</v>
      </c>
      <c r="H2218" s="1127">
        <v>0.01</v>
      </c>
      <c r="I2218" s="1127">
        <v>0.0</v>
      </c>
      <c r="J2218" s="1127">
        <v>0.02</v>
      </c>
      <c r="K2218" s="1124"/>
    </row>
    <row r="2219" ht="15.75" customHeight="1">
      <c r="A2219" s="1119">
        <v>92413.0</v>
      </c>
      <c r="B2219" s="1125" t="s">
        <v>12497</v>
      </c>
      <c r="C2219" s="1126" t="s">
        <v>1814</v>
      </c>
      <c r="D2219" s="1119">
        <v>156.59</v>
      </c>
      <c r="E2219" s="1120">
        <v>63.76</v>
      </c>
      <c r="F2219" s="1121">
        <f t="shared" si="1"/>
        <v>92.83</v>
      </c>
      <c r="G2219" s="1120">
        <v>92.82</v>
      </c>
      <c r="H2219" s="1127">
        <v>0.0</v>
      </c>
      <c r="I2219" s="1127">
        <v>0.0</v>
      </c>
      <c r="J2219" s="1127">
        <v>0.01</v>
      </c>
      <c r="K2219" s="1124"/>
    </row>
    <row r="2220" ht="15.75" customHeight="1">
      <c r="A2220" s="1119">
        <v>92415.0</v>
      </c>
      <c r="B2220" s="1125" t="s">
        <v>12498</v>
      </c>
      <c r="C2220" s="1126" t="s">
        <v>1814</v>
      </c>
      <c r="D2220" s="1119">
        <v>137.12</v>
      </c>
      <c r="E2220" s="1120">
        <v>53.11</v>
      </c>
      <c r="F2220" s="1121">
        <f t="shared" si="1"/>
        <v>84.01</v>
      </c>
      <c r="G2220" s="1120">
        <v>70.05</v>
      </c>
      <c r="H2220" s="1127">
        <v>13.94</v>
      </c>
      <c r="I2220" s="1127">
        <v>0.0</v>
      </c>
      <c r="J2220" s="1127">
        <v>0.02</v>
      </c>
      <c r="K2220" s="1124"/>
    </row>
    <row r="2221" ht="15.75" customHeight="1">
      <c r="A2221" s="1119">
        <v>92417.0</v>
      </c>
      <c r="B2221" s="1125" t="s">
        <v>12499</v>
      </c>
      <c r="C2221" s="1126" t="s">
        <v>1814</v>
      </c>
      <c r="D2221" s="1119">
        <v>164.03</v>
      </c>
      <c r="E2221" s="1120">
        <v>73.42</v>
      </c>
      <c r="F2221" s="1121">
        <f t="shared" si="1"/>
        <v>90.61</v>
      </c>
      <c r="G2221" s="1120">
        <v>76.66</v>
      </c>
      <c r="H2221" s="1127">
        <v>13.93</v>
      </c>
      <c r="I2221" s="1127">
        <v>0.0</v>
      </c>
      <c r="J2221" s="1127">
        <v>0.02</v>
      </c>
      <c r="K2221" s="1124"/>
    </row>
    <row r="2222" ht="15.75" customHeight="1">
      <c r="A2222" s="1119">
        <v>92419.0</v>
      </c>
      <c r="B2222" s="1125" t="s">
        <v>12500</v>
      </c>
      <c r="C2222" s="1126" t="s">
        <v>1814</v>
      </c>
      <c r="D2222" s="1119">
        <v>87.04</v>
      </c>
      <c r="E2222" s="1120">
        <v>35.06</v>
      </c>
      <c r="F2222" s="1121">
        <f t="shared" si="1"/>
        <v>51.99</v>
      </c>
      <c r="G2222" s="1120">
        <v>38.04</v>
      </c>
      <c r="H2222" s="1127">
        <v>13.94</v>
      </c>
      <c r="I2222" s="1127">
        <v>0.0</v>
      </c>
      <c r="J2222" s="1127">
        <v>0.01</v>
      </c>
      <c r="K2222" s="1124"/>
    </row>
    <row r="2223" ht="15.75" customHeight="1">
      <c r="A2223" s="1119">
        <v>92421.0</v>
      </c>
      <c r="B2223" s="1125" t="s">
        <v>12501</v>
      </c>
      <c r="C2223" s="1126" t="s">
        <v>1814</v>
      </c>
      <c r="D2223" s="1119">
        <v>107.67</v>
      </c>
      <c r="E2223" s="1120">
        <v>50.66</v>
      </c>
      <c r="F2223" s="1121">
        <f t="shared" si="1"/>
        <v>57.02</v>
      </c>
      <c r="G2223" s="1120">
        <v>43.07</v>
      </c>
      <c r="H2223" s="1127">
        <v>13.94</v>
      </c>
      <c r="I2223" s="1127">
        <v>0.0</v>
      </c>
      <c r="J2223" s="1127">
        <v>0.01</v>
      </c>
      <c r="K2223" s="1124"/>
    </row>
    <row r="2224" ht="15.75" customHeight="1">
      <c r="A2224" s="1119">
        <v>92423.0</v>
      </c>
      <c r="B2224" s="1125" t="s">
        <v>12502</v>
      </c>
      <c r="C2224" s="1126" t="s">
        <v>1814</v>
      </c>
      <c r="D2224" s="1119">
        <v>71.22</v>
      </c>
      <c r="E2224" s="1120">
        <v>28.82</v>
      </c>
      <c r="F2224" s="1121">
        <f t="shared" si="1"/>
        <v>42.43</v>
      </c>
      <c r="G2224" s="1120">
        <v>28.47</v>
      </c>
      <c r="H2224" s="1127">
        <v>13.96</v>
      </c>
      <c r="I2224" s="1127">
        <v>0.0</v>
      </c>
      <c r="J2224" s="1127">
        <v>0.0</v>
      </c>
      <c r="K2224" s="1124"/>
    </row>
    <row r="2225" ht="15.75" customHeight="1">
      <c r="A2225" s="1119">
        <v>92425.0</v>
      </c>
      <c r="B2225" s="1125" t="s">
        <v>12503</v>
      </c>
      <c r="C2225" s="1126" t="s">
        <v>1814</v>
      </c>
      <c r="D2225" s="1119">
        <v>89.15</v>
      </c>
      <c r="E2225" s="1120">
        <v>42.34</v>
      </c>
      <c r="F2225" s="1121">
        <f t="shared" si="1"/>
        <v>46.82</v>
      </c>
      <c r="G2225" s="1120">
        <v>32.88</v>
      </c>
      <c r="H2225" s="1127">
        <v>13.94</v>
      </c>
      <c r="I2225" s="1127">
        <v>0.0</v>
      </c>
      <c r="J2225" s="1127">
        <v>0.0</v>
      </c>
      <c r="K2225" s="1124"/>
    </row>
    <row r="2226" ht="15.75" customHeight="1">
      <c r="A2226" s="1119">
        <v>92427.0</v>
      </c>
      <c r="B2226" s="1125" t="s">
        <v>12504</v>
      </c>
      <c r="C2226" s="1126" t="s">
        <v>1814</v>
      </c>
      <c r="D2226" s="1119">
        <v>63.22</v>
      </c>
      <c r="E2226" s="1120">
        <v>25.63</v>
      </c>
      <c r="F2226" s="1121">
        <f t="shared" si="1"/>
        <v>37.63</v>
      </c>
      <c r="G2226" s="1120">
        <v>23.68</v>
      </c>
      <c r="H2226" s="1127">
        <v>13.95</v>
      </c>
      <c r="I2226" s="1127">
        <v>0.0</v>
      </c>
      <c r="J2226" s="1127">
        <v>0.0</v>
      </c>
      <c r="K2226" s="1124"/>
    </row>
    <row r="2227" ht="15.75" customHeight="1">
      <c r="A2227" s="1119">
        <v>92429.0</v>
      </c>
      <c r="B2227" s="1125" t="s">
        <v>12505</v>
      </c>
      <c r="C2227" s="1126" t="s">
        <v>1814</v>
      </c>
      <c r="D2227" s="1119">
        <v>79.84</v>
      </c>
      <c r="E2227" s="1120">
        <v>38.17</v>
      </c>
      <c r="F2227" s="1121">
        <f t="shared" si="1"/>
        <v>41.7</v>
      </c>
      <c r="G2227" s="1120">
        <v>27.76</v>
      </c>
      <c r="H2227" s="1127">
        <v>13.94</v>
      </c>
      <c r="I2227" s="1127">
        <v>0.0</v>
      </c>
      <c r="J2227" s="1127">
        <v>0.0</v>
      </c>
      <c r="K2227" s="1124"/>
    </row>
    <row r="2228" ht="15.75" customHeight="1">
      <c r="A2228" s="1119">
        <v>92431.0</v>
      </c>
      <c r="B2228" s="1125" t="s">
        <v>12506</v>
      </c>
      <c r="C2228" s="1126" t="s">
        <v>1814</v>
      </c>
      <c r="D2228" s="1119">
        <v>59.21</v>
      </c>
      <c r="E2228" s="1120">
        <v>22.82</v>
      </c>
      <c r="F2228" s="1121">
        <f t="shared" si="1"/>
        <v>36.42</v>
      </c>
      <c r="G2228" s="1120">
        <v>22.46</v>
      </c>
      <c r="H2228" s="1127">
        <v>13.96</v>
      </c>
      <c r="I2228" s="1127">
        <v>0.0</v>
      </c>
      <c r="J2228" s="1127">
        <v>0.0</v>
      </c>
      <c r="K2228" s="1124"/>
    </row>
    <row r="2229" ht="15.75" customHeight="1">
      <c r="A2229" s="1119">
        <v>92433.0</v>
      </c>
      <c r="B2229" s="1125" t="s">
        <v>12507</v>
      </c>
      <c r="C2229" s="1126" t="s">
        <v>1814</v>
      </c>
      <c r="D2229" s="1119">
        <v>74.99</v>
      </c>
      <c r="E2229" s="1120">
        <v>34.72</v>
      </c>
      <c r="F2229" s="1121">
        <f t="shared" si="1"/>
        <v>40.27</v>
      </c>
      <c r="G2229" s="1120">
        <v>26.33</v>
      </c>
      <c r="H2229" s="1127">
        <v>13.94</v>
      </c>
      <c r="I2229" s="1127">
        <v>0.0</v>
      </c>
      <c r="J2229" s="1127">
        <v>0.0</v>
      </c>
      <c r="K2229" s="1124"/>
    </row>
    <row r="2230" ht="15.75" customHeight="1">
      <c r="A2230" s="1119">
        <v>92435.0</v>
      </c>
      <c r="B2230" s="1125" t="s">
        <v>12508</v>
      </c>
      <c r="C2230" s="1126" t="s">
        <v>1814</v>
      </c>
      <c r="D2230" s="1119">
        <v>56.21</v>
      </c>
      <c r="E2230" s="1120">
        <v>21.72</v>
      </c>
      <c r="F2230" s="1121">
        <f t="shared" si="1"/>
        <v>34.52</v>
      </c>
      <c r="G2230" s="1120">
        <v>20.55</v>
      </c>
      <c r="H2230" s="1127">
        <v>13.97</v>
      </c>
      <c r="I2230" s="1127">
        <v>0.0</v>
      </c>
      <c r="J2230" s="1127">
        <v>0.0</v>
      </c>
      <c r="K2230" s="1124"/>
    </row>
    <row r="2231" ht="15.75" customHeight="1">
      <c r="A2231" s="1119">
        <v>92437.0</v>
      </c>
      <c r="B2231" s="1125" t="s">
        <v>12509</v>
      </c>
      <c r="C2231" s="1126" t="s">
        <v>1814</v>
      </c>
      <c r="D2231" s="1119">
        <v>71.46</v>
      </c>
      <c r="E2231" s="1120">
        <v>33.24</v>
      </c>
      <c r="F2231" s="1121">
        <f t="shared" si="1"/>
        <v>38.24</v>
      </c>
      <c r="G2231" s="1120">
        <v>24.29</v>
      </c>
      <c r="H2231" s="1127">
        <v>13.95</v>
      </c>
      <c r="I2231" s="1127">
        <v>0.0</v>
      </c>
      <c r="J2231" s="1127">
        <v>0.0</v>
      </c>
      <c r="K2231" s="1124"/>
    </row>
    <row r="2232" ht="15.75" customHeight="1">
      <c r="A2232" s="1119">
        <v>92439.0</v>
      </c>
      <c r="B2232" s="1125" t="s">
        <v>12510</v>
      </c>
      <c r="C2232" s="1126" t="s">
        <v>1814</v>
      </c>
      <c r="D2232" s="1119">
        <v>54.06</v>
      </c>
      <c r="E2232" s="1120">
        <v>20.96</v>
      </c>
      <c r="F2232" s="1121">
        <f t="shared" si="1"/>
        <v>33.13</v>
      </c>
      <c r="G2232" s="1120">
        <v>19.17</v>
      </c>
      <c r="H2232" s="1127">
        <v>13.96</v>
      </c>
      <c r="I2232" s="1127">
        <v>0.0</v>
      </c>
      <c r="J2232" s="1127">
        <v>0.0</v>
      </c>
      <c r="K2232" s="1124"/>
    </row>
    <row r="2233" ht="15.75" customHeight="1">
      <c r="A2233" s="1119">
        <v>92441.0</v>
      </c>
      <c r="B2233" s="1125" t="s">
        <v>12511</v>
      </c>
      <c r="C2233" s="1126" t="s">
        <v>1814</v>
      </c>
      <c r="D2233" s="1119">
        <v>68.94</v>
      </c>
      <c r="E2233" s="1120">
        <v>32.17</v>
      </c>
      <c r="F2233" s="1121">
        <f t="shared" si="1"/>
        <v>36.77</v>
      </c>
      <c r="G2233" s="1120">
        <v>22.83</v>
      </c>
      <c r="H2233" s="1127">
        <v>13.94</v>
      </c>
      <c r="I2233" s="1127">
        <v>0.0</v>
      </c>
      <c r="J2233" s="1127">
        <v>0.0</v>
      </c>
      <c r="K2233" s="1124"/>
    </row>
    <row r="2234" ht="15.75" customHeight="1">
      <c r="A2234" s="1119">
        <v>92443.0</v>
      </c>
      <c r="B2234" s="1125" t="s">
        <v>12512</v>
      </c>
      <c r="C2234" s="1126" t="s">
        <v>1814</v>
      </c>
      <c r="D2234" s="1119">
        <v>49.54</v>
      </c>
      <c r="E2234" s="1120">
        <v>19.55</v>
      </c>
      <c r="F2234" s="1121">
        <f t="shared" si="1"/>
        <v>30.01</v>
      </c>
      <c r="G2234" s="1120">
        <v>16.04</v>
      </c>
      <c r="H2234" s="1127">
        <v>13.97</v>
      </c>
      <c r="I2234" s="1127">
        <v>0.0</v>
      </c>
      <c r="J2234" s="1127">
        <v>0.0</v>
      </c>
      <c r="K2234" s="1124"/>
    </row>
    <row r="2235" ht="15.75" customHeight="1">
      <c r="A2235" s="1119">
        <v>92445.0</v>
      </c>
      <c r="B2235" s="1125" t="s">
        <v>12513</v>
      </c>
      <c r="C2235" s="1126" t="s">
        <v>1814</v>
      </c>
      <c r="D2235" s="1119">
        <v>63.89</v>
      </c>
      <c r="E2235" s="1120">
        <v>30.39</v>
      </c>
      <c r="F2235" s="1121">
        <f t="shared" si="1"/>
        <v>33.51</v>
      </c>
      <c r="G2235" s="1120">
        <v>19.56</v>
      </c>
      <c r="H2235" s="1127">
        <v>13.95</v>
      </c>
      <c r="I2235" s="1127">
        <v>0.0</v>
      </c>
      <c r="J2235" s="1127">
        <v>0.0</v>
      </c>
      <c r="K2235" s="1124"/>
    </row>
    <row r="2236" ht="15.75" customHeight="1">
      <c r="A2236" s="1119">
        <v>92446.0</v>
      </c>
      <c r="B2236" s="1125" t="s">
        <v>12514</v>
      </c>
      <c r="C2236" s="1126" t="s">
        <v>1814</v>
      </c>
      <c r="D2236" s="1119">
        <v>365.18</v>
      </c>
      <c r="E2236" s="1120">
        <v>105.33</v>
      </c>
      <c r="F2236" s="1121">
        <f t="shared" si="1"/>
        <v>259.86</v>
      </c>
      <c r="G2236" s="1120">
        <v>259.8</v>
      </c>
      <c r="H2236" s="1127">
        <v>0.02</v>
      </c>
      <c r="I2236" s="1127">
        <v>0.0</v>
      </c>
      <c r="J2236" s="1127">
        <v>0.04</v>
      </c>
      <c r="K2236" s="1124"/>
    </row>
    <row r="2237" ht="15.75" customHeight="1">
      <c r="A2237" s="1119">
        <v>92447.0</v>
      </c>
      <c r="B2237" s="1125" t="s">
        <v>12515</v>
      </c>
      <c r="C2237" s="1126" t="s">
        <v>1814</v>
      </c>
      <c r="D2237" s="1119">
        <v>250.06</v>
      </c>
      <c r="E2237" s="1120">
        <v>81.18</v>
      </c>
      <c r="F2237" s="1121">
        <f t="shared" si="1"/>
        <v>168.9</v>
      </c>
      <c r="G2237" s="1120">
        <v>168.87</v>
      </c>
      <c r="H2237" s="1127">
        <v>0.01</v>
      </c>
      <c r="I2237" s="1127">
        <v>0.0</v>
      </c>
      <c r="J2237" s="1127">
        <v>0.02</v>
      </c>
      <c r="K2237" s="1124"/>
    </row>
    <row r="2238" ht="15.75" customHeight="1">
      <c r="A2238" s="1119">
        <v>92448.0</v>
      </c>
      <c r="B2238" s="1125" t="s">
        <v>12516</v>
      </c>
      <c r="C2238" s="1126" t="s">
        <v>1814</v>
      </c>
      <c r="D2238" s="1119">
        <v>191.01</v>
      </c>
      <c r="E2238" s="1120">
        <v>66.11</v>
      </c>
      <c r="F2238" s="1121">
        <f t="shared" si="1"/>
        <v>124.91</v>
      </c>
      <c r="G2238" s="1120">
        <v>124.9</v>
      </c>
      <c r="H2238" s="1127">
        <v>0.0</v>
      </c>
      <c r="I2238" s="1127">
        <v>0.0</v>
      </c>
      <c r="J2238" s="1127">
        <v>0.01</v>
      </c>
      <c r="K2238" s="1124"/>
    </row>
    <row r="2239" ht="15.75" customHeight="1">
      <c r="A2239" s="1119">
        <v>92449.0</v>
      </c>
      <c r="B2239" s="1125" t="s">
        <v>12517</v>
      </c>
      <c r="C2239" s="1126" t="s">
        <v>1814</v>
      </c>
      <c r="D2239" s="1119">
        <v>272.95</v>
      </c>
      <c r="E2239" s="1120">
        <v>86.21</v>
      </c>
      <c r="F2239" s="1121">
        <f t="shared" si="1"/>
        <v>186.75</v>
      </c>
      <c r="G2239" s="1120">
        <v>186.69</v>
      </c>
      <c r="H2239" s="1127">
        <v>0.01</v>
      </c>
      <c r="I2239" s="1127">
        <v>0.0</v>
      </c>
      <c r="J2239" s="1127">
        <v>0.05</v>
      </c>
      <c r="K2239" s="1124"/>
    </row>
    <row r="2240" ht="15.75" customHeight="1">
      <c r="A2240" s="1119">
        <v>92450.0</v>
      </c>
      <c r="B2240" s="1125" t="s">
        <v>12518</v>
      </c>
      <c r="C2240" s="1126" t="s">
        <v>1814</v>
      </c>
      <c r="D2240" s="1119">
        <v>288.44</v>
      </c>
      <c r="E2240" s="1120">
        <v>86.31</v>
      </c>
      <c r="F2240" s="1121">
        <f t="shared" si="1"/>
        <v>202.14</v>
      </c>
      <c r="G2240" s="1120">
        <v>72.35</v>
      </c>
      <c r="H2240" s="1127">
        <v>129.77</v>
      </c>
      <c r="I2240" s="1127">
        <v>0.0</v>
      </c>
      <c r="J2240" s="1127">
        <v>0.02</v>
      </c>
      <c r="K2240" s="1124"/>
    </row>
    <row r="2241" ht="15.75" customHeight="1">
      <c r="A2241" s="1119">
        <v>92451.0</v>
      </c>
      <c r="B2241" s="1125" t="s">
        <v>12519</v>
      </c>
      <c r="C2241" s="1126" t="s">
        <v>1814</v>
      </c>
      <c r="D2241" s="1119">
        <v>186.48</v>
      </c>
      <c r="E2241" s="1120">
        <v>61.55</v>
      </c>
      <c r="F2241" s="1121">
        <f t="shared" si="1"/>
        <v>124.95</v>
      </c>
      <c r="G2241" s="1120">
        <v>124.91</v>
      </c>
      <c r="H2241" s="1127">
        <v>0.01</v>
      </c>
      <c r="I2241" s="1127">
        <v>0.0</v>
      </c>
      <c r="J2241" s="1127">
        <v>0.03</v>
      </c>
      <c r="K2241" s="1124"/>
    </row>
    <row r="2242" ht="15.75" customHeight="1">
      <c r="A2242" s="1119">
        <v>92452.0</v>
      </c>
      <c r="B2242" s="1125" t="s">
        <v>12520</v>
      </c>
      <c r="C2242" s="1126" t="s">
        <v>1814</v>
      </c>
      <c r="D2242" s="1119">
        <v>177.99</v>
      </c>
      <c r="E2242" s="1120">
        <v>69.94</v>
      </c>
      <c r="F2242" s="1121">
        <f t="shared" si="1"/>
        <v>108.07</v>
      </c>
      <c r="G2242" s="1120">
        <v>72.09</v>
      </c>
      <c r="H2242" s="1127">
        <v>35.96</v>
      </c>
      <c r="I2242" s="1127">
        <v>0.0</v>
      </c>
      <c r="J2242" s="1127">
        <v>0.02</v>
      </c>
      <c r="K2242" s="1124"/>
    </row>
    <row r="2243" ht="15.75" customHeight="1">
      <c r="A2243" s="1119">
        <v>92453.0</v>
      </c>
      <c r="B2243" s="1125" t="s">
        <v>12521</v>
      </c>
      <c r="C2243" s="1126" t="s">
        <v>1814</v>
      </c>
      <c r="D2243" s="1119">
        <v>233.28</v>
      </c>
      <c r="E2243" s="1120">
        <v>74.93</v>
      </c>
      <c r="F2243" s="1121">
        <f t="shared" si="1"/>
        <v>158.37</v>
      </c>
      <c r="G2243" s="1120">
        <v>158.33</v>
      </c>
      <c r="H2243" s="1127">
        <v>0.0</v>
      </c>
      <c r="I2243" s="1127">
        <v>0.0</v>
      </c>
      <c r="J2243" s="1127">
        <v>0.04</v>
      </c>
      <c r="K2243" s="1124"/>
    </row>
    <row r="2244" ht="15.75" customHeight="1">
      <c r="A2244" s="1119">
        <v>92454.0</v>
      </c>
      <c r="B2244" s="1125" t="s">
        <v>12522</v>
      </c>
      <c r="C2244" s="1126" t="s">
        <v>1814</v>
      </c>
      <c r="D2244" s="1119">
        <v>258.23</v>
      </c>
      <c r="E2244" s="1120">
        <v>74.5</v>
      </c>
      <c r="F2244" s="1121">
        <f t="shared" si="1"/>
        <v>183.73</v>
      </c>
      <c r="G2244" s="1120">
        <v>53.94</v>
      </c>
      <c r="H2244" s="1127">
        <v>129.78</v>
      </c>
      <c r="I2244" s="1127">
        <v>0.0</v>
      </c>
      <c r="J2244" s="1127">
        <v>0.01</v>
      </c>
      <c r="K2244" s="1124"/>
    </row>
    <row r="2245" ht="15.75" customHeight="1">
      <c r="A2245" s="1119">
        <v>92455.0</v>
      </c>
      <c r="B2245" s="1125" t="s">
        <v>12523</v>
      </c>
      <c r="C2245" s="1126" t="s">
        <v>1814</v>
      </c>
      <c r="D2245" s="1119">
        <v>152.99</v>
      </c>
      <c r="E2245" s="1120">
        <v>51.88</v>
      </c>
      <c r="F2245" s="1121">
        <f t="shared" si="1"/>
        <v>101.14</v>
      </c>
      <c r="G2245" s="1120">
        <v>101.12</v>
      </c>
      <c r="H2245" s="1127">
        <v>0.0</v>
      </c>
      <c r="I2245" s="1127">
        <v>0.0</v>
      </c>
      <c r="J2245" s="1127">
        <v>0.02</v>
      </c>
      <c r="K2245" s="1124"/>
    </row>
    <row r="2246" ht="15.75" customHeight="1">
      <c r="A2246" s="1119">
        <v>92456.0</v>
      </c>
      <c r="B2246" s="1125" t="s">
        <v>12524</v>
      </c>
      <c r="C2246" s="1126" t="s">
        <v>1814</v>
      </c>
      <c r="D2246" s="1119">
        <v>147.98</v>
      </c>
      <c r="E2246" s="1120">
        <v>59.36</v>
      </c>
      <c r="F2246" s="1121">
        <f t="shared" si="1"/>
        <v>88.64</v>
      </c>
      <c r="G2246" s="1120">
        <v>52.67</v>
      </c>
      <c r="H2246" s="1127">
        <v>35.96</v>
      </c>
      <c r="I2246" s="1127">
        <v>0.0</v>
      </c>
      <c r="J2246" s="1127">
        <v>0.01</v>
      </c>
      <c r="K2246" s="1124"/>
    </row>
    <row r="2247" ht="15.75" customHeight="1">
      <c r="A2247" s="1119">
        <v>92457.0</v>
      </c>
      <c r="B2247" s="1125" t="s">
        <v>12525</v>
      </c>
      <c r="C2247" s="1126" t="s">
        <v>1814</v>
      </c>
      <c r="D2247" s="1119">
        <v>203.69</v>
      </c>
      <c r="E2247" s="1120">
        <v>65.89</v>
      </c>
      <c r="F2247" s="1121">
        <f t="shared" si="1"/>
        <v>137.79</v>
      </c>
      <c r="G2247" s="1120">
        <v>137.75</v>
      </c>
      <c r="H2247" s="1127">
        <v>0.0</v>
      </c>
      <c r="I2247" s="1127">
        <v>0.0</v>
      </c>
      <c r="J2247" s="1127">
        <v>0.04</v>
      </c>
      <c r="K2247" s="1124"/>
    </row>
    <row r="2248" ht="15.75" customHeight="1">
      <c r="A2248" s="1119">
        <v>92458.0</v>
      </c>
      <c r="B2248" s="1125" t="s">
        <v>12526</v>
      </c>
      <c r="C2248" s="1126" t="s">
        <v>1814</v>
      </c>
      <c r="D2248" s="1119">
        <v>238.73</v>
      </c>
      <c r="E2248" s="1120">
        <v>65.98</v>
      </c>
      <c r="F2248" s="1121">
        <f t="shared" si="1"/>
        <v>172.75</v>
      </c>
      <c r="G2248" s="1120">
        <v>42.98</v>
      </c>
      <c r="H2248" s="1127">
        <v>129.76</v>
      </c>
      <c r="I2248" s="1127">
        <v>0.0</v>
      </c>
      <c r="J2248" s="1127">
        <v>0.01</v>
      </c>
      <c r="K2248" s="1124"/>
    </row>
    <row r="2249" ht="15.75" customHeight="1">
      <c r="A2249" s="1119">
        <v>92459.0</v>
      </c>
      <c r="B2249" s="1125" t="s">
        <v>12527</v>
      </c>
      <c r="C2249" s="1126" t="s">
        <v>1814</v>
      </c>
      <c r="D2249" s="1119">
        <v>130.75</v>
      </c>
      <c r="E2249" s="1120">
        <v>44.83</v>
      </c>
      <c r="F2249" s="1121">
        <f t="shared" si="1"/>
        <v>85.93</v>
      </c>
      <c r="G2249" s="1120">
        <v>85.91</v>
      </c>
      <c r="H2249" s="1127">
        <v>0.0</v>
      </c>
      <c r="I2249" s="1127">
        <v>0.0</v>
      </c>
      <c r="J2249" s="1127">
        <v>0.02</v>
      </c>
      <c r="K2249" s="1124"/>
    </row>
    <row r="2250" ht="15.75" customHeight="1">
      <c r="A2250" s="1119">
        <v>92460.0</v>
      </c>
      <c r="B2250" s="1125" t="s">
        <v>12528</v>
      </c>
      <c r="C2250" s="1126" t="s">
        <v>1814</v>
      </c>
      <c r="D2250" s="1119">
        <v>124.74</v>
      </c>
      <c r="E2250" s="1120">
        <v>52.02</v>
      </c>
      <c r="F2250" s="1121">
        <f t="shared" si="1"/>
        <v>72.74</v>
      </c>
      <c r="G2250" s="1120">
        <v>41.02</v>
      </c>
      <c r="H2250" s="1127">
        <v>31.71</v>
      </c>
      <c r="I2250" s="1127">
        <v>0.0</v>
      </c>
      <c r="J2250" s="1127">
        <v>0.01</v>
      </c>
      <c r="K2250" s="1124"/>
    </row>
    <row r="2251" ht="15.75" customHeight="1">
      <c r="A2251" s="1119">
        <v>92461.0</v>
      </c>
      <c r="B2251" s="1125" t="s">
        <v>12529</v>
      </c>
      <c r="C2251" s="1126" t="s">
        <v>1814</v>
      </c>
      <c r="D2251" s="1119">
        <v>188.15</v>
      </c>
      <c r="E2251" s="1120">
        <v>60.17</v>
      </c>
      <c r="F2251" s="1121">
        <f t="shared" si="1"/>
        <v>127.98</v>
      </c>
      <c r="G2251" s="1120">
        <v>127.96</v>
      </c>
      <c r="H2251" s="1127">
        <v>0.0</v>
      </c>
      <c r="I2251" s="1127">
        <v>0.0</v>
      </c>
      <c r="J2251" s="1127">
        <v>0.02</v>
      </c>
      <c r="K2251" s="1124"/>
    </row>
    <row r="2252" ht="15.75" customHeight="1">
      <c r="A2252" s="1119">
        <v>92462.0</v>
      </c>
      <c r="B2252" s="1125" t="s">
        <v>12530</v>
      </c>
      <c r="C2252" s="1126" t="s">
        <v>1814</v>
      </c>
      <c r="D2252" s="1119">
        <v>226.1</v>
      </c>
      <c r="E2252" s="1120">
        <v>59.71</v>
      </c>
      <c r="F2252" s="1121">
        <f t="shared" si="1"/>
        <v>166.41</v>
      </c>
      <c r="G2252" s="1120">
        <v>36.65</v>
      </c>
      <c r="H2252" s="1127">
        <v>129.76</v>
      </c>
      <c r="I2252" s="1127">
        <v>0.0</v>
      </c>
      <c r="J2252" s="1127">
        <v>0.0</v>
      </c>
      <c r="K2252" s="1124"/>
    </row>
    <row r="2253" ht="15.75" customHeight="1">
      <c r="A2253" s="1119">
        <v>92463.0</v>
      </c>
      <c r="B2253" s="1125" t="s">
        <v>12531</v>
      </c>
      <c r="C2253" s="1126" t="s">
        <v>1814</v>
      </c>
      <c r="D2253" s="1119">
        <v>118.79</v>
      </c>
      <c r="E2253" s="1120">
        <v>40.44</v>
      </c>
      <c r="F2253" s="1121">
        <f t="shared" si="1"/>
        <v>78.37</v>
      </c>
      <c r="G2253" s="1120">
        <v>78.36</v>
      </c>
      <c r="H2253" s="1127">
        <v>0.0</v>
      </c>
      <c r="I2253" s="1127">
        <v>0.0</v>
      </c>
      <c r="J2253" s="1127">
        <v>0.01</v>
      </c>
      <c r="K2253" s="1124"/>
    </row>
    <row r="2254" ht="15.75" customHeight="1">
      <c r="A2254" s="1119">
        <v>92464.0</v>
      </c>
      <c r="B2254" s="1125" t="s">
        <v>12532</v>
      </c>
      <c r="C2254" s="1126" t="s">
        <v>1814</v>
      </c>
      <c r="D2254" s="1119">
        <v>117.28</v>
      </c>
      <c r="E2254" s="1120">
        <v>46.82</v>
      </c>
      <c r="F2254" s="1121">
        <f t="shared" si="1"/>
        <v>70.47</v>
      </c>
      <c r="G2254" s="1120">
        <v>34.51</v>
      </c>
      <c r="H2254" s="1127">
        <v>35.96</v>
      </c>
      <c r="I2254" s="1127">
        <v>0.0</v>
      </c>
      <c r="J2254" s="1127">
        <v>0.0</v>
      </c>
      <c r="K2254" s="1124"/>
    </row>
    <row r="2255" ht="15.75" customHeight="1">
      <c r="A2255" s="1119">
        <v>92465.0</v>
      </c>
      <c r="B2255" s="1125" t="s">
        <v>12533</v>
      </c>
      <c r="C2255" s="1126" t="s">
        <v>1814</v>
      </c>
      <c r="D2255" s="1119">
        <v>152.31</v>
      </c>
      <c r="E2255" s="1120">
        <v>50.32</v>
      </c>
      <c r="F2255" s="1121">
        <f t="shared" si="1"/>
        <v>102.02</v>
      </c>
      <c r="G2255" s="1120">
        <v>102.0</v>
      </c>
      <c r="H2255" s="1127">
        <v>0.0</v>
      </c>
      <c r="I2255" s="1127">
        <v>0.0</v>
      </c>
      <c r="J2255" s="1127">
        <v>0.02</v>
      </c>
      <c r="K2255" s="1124"/>
    </row>
    <row r="2256" ht="15.75" customHeight="1">
      <c r="A2256" s="1119">
        <v>92466.0</v>
      </c>
      <c r="B2256" s="1125" t="s">
        <v>12534</v>
      </c>
      <c r="C2256" s="1126" t="s">
        <v>1814</v>
      </c>
      <c r="D2256" s="1119">
        <v>218.47</v>
      </c>
      <c r="E2256" s="1120">
        <v>53.42</v>
      </c>
      <c r="F2256" s="1121">
        <f t="shared" si="1"/>
        <v>165.05</v>
      </c>
      <c r="G2256" s="1120">
        <v>35.26</v>
      </c>
      <c r="H2256" s="1127">
        <v>129.79</v>
      </c>
      <c r="I2256" s="1127">
        <v>0.0</v>
      </c>
      <c r="J2256" s="1127">
        <v>0.0</v>
      </c>
      <c r="K2256" s="1124"/>
    </row>
    <row r="2257" ht="15.75" customHeight="1">
      <c r="A2257" s="1119">
        <v>92467.0</v>
      </c>
      <c r="B2257" s="1125" t="s">
        <v>12535</v>
      </c>
      <c r="C2257" s="1126" t="s">
        <v>1814</v>
      </c>
      <c r="D2257" s="1119">
        <v>99.03</v>
      </c>
      <c r="E2257" s="1120">
        <v>33.85</v>
      </c>
      <c r="F2257" s="1121">
        <f t="shared" si="1"/>
        <v>65.22</v>
      </c>
      <c r="G2257" s="1120">
        <v>65.21</v>
      </c>
      <c r="H2257" s="1127">
        <v>0.0</v>
      </c>
      <c r="I2257" s="1127">
        <v>0.0</v>
      </c>
      <c r="J2257" s="1127">
        <v>0.01</v>
      </c>
      <c r="K2257" s="1124"/>
    </row>
    <row r="2258" ht="15.75" customHeight="1">
      <c r="A2258" s="1119">
        <v>92468.0</v>
      </c>
      <c r="B2258" s="1125" t="s">
        <v>12536</v>
      </c>
      <c r="C2258" s="1126" t="s">
        <v>1814</v>
      </c>
      <c r="D2258" s="1119">
        <v>110.31</v>
      </c>
      <c r="E2258" s="1120">
        <v>41.51</v>
      </c>
      <c r="F2258" s="1121">
        <f t="shared" si="1"/>
        <v>68.84</v>
      </c>
      <c r="G2258" s="1120">
        <v>32.84</v>
      </c>
      <c r="H2258" s="1127">
        <v>36.0</v>
      </c>
      <c r="I2258" s="1127">
        <v>0.0</v>
      </c>
      <c r="J2258" s="1127">
        <v>0.0</v>
      </c>
      <c r="K2258" s="1124"/>
    </row>
    <row r="2259" ht="15.75" customHeight="1">
      <c r="A2259" s="1119">
        <v>92469.0</v>
      </c>
      <c r="B2259" s="1125" t="s">
        <v>12537</v>
      </c>
      <c r="C2259" s="1126" t="s">
        <v>1814</v>
      </c>
      <c r="D2259" s="1119">
        <v>139.21</v>
      </c>
      <c r="E2259" s="1120">
        <v>46.02</v>
      </c>
      <c r="F2259" s="1121">
        <f t="shared" si="1"/>
        <v>93.2</v>
      </c>
      <c r="G2259" s="1120">
        <v>93.19</v>
      </c>
      <c r="H2259" s="1127">
        <v>0.0</v>
      </c>
      <c r="I2259" s="1127">
        <v>0.0</v>
      </c>
      <c r="J2259" s="1127">
        <v>0.01</v>
      </c>
      <c r="K2259" s="1124"/>
    </row>
    <row r="2260" ht="15.75" customHeight="1">
      <c r="A2260" s="1119">
        <v>92470.0</v>
      </c>
      <c r="B2260" s="1125" t="s">
        <v>12538</v>
      </c>
      <c r="C2260" s="1126" t="s">
        <v>1814</v>
      </c>
      <c r="D2260" s="1119">
        <v>211.13</v>
      </c>
      <c r="E2260" s="1120">
        <v>49.23</v>
      </c>
      <c r="F2260" s="1121">
        <f t="shared" si="1"/>
        <v>161.9</v>
      </c>
      <c r="G2260" s="1120">
        <v>32.13</v>
      </c>
      <c r="H2260" s="1127">
        <v>129.77</v>
      </c>
      <c r="I2260" s="1127">
        <v>0.0</v>
      </c>
      <c r="J2260" s="1127">
        <v>0.0</v>
      </c>
      <c r="K2260" s="1124"/>
    </row>
    <row r="2261" ht="15.75" customHeight="1">
      <c r="A2261" s="1119">
        <v>92471.0</v>
      </c>
      <c r="B2261" s="1125" t="s">
        <v>12539</v>
      </c>
      <c r="C2261" s="1126" t="s">
        <v>1814</v>
      </c>
      <c r="D2261" s="1119">
        <v>90.63</v>
      </c>
      <c r="E2261" s="1120">
        <v>30.99</v>
      </c>
      <c r="F2261" s="1121">
        <f t="shared" si="1"/>
        <v>59.66</v>
      </c>
      <c r="G2261" s="1120">
        <v>59.66</v>
      </c>
      <c r="H2261" s="1127">
        <v>0.0</v>
      </c>
      <c r="I2261" s="1127">
        <v>0.0</v>
      </c>
      <c r="J2261" s="1127">
        <v>0.0</v>
      </c>
      <c r="K2261" s="1124"/>
    </row>
    <row r="2262" ht="15.75" customHeight="1">
      <c r="A2262" s="1119">
        <v>92472.0</v>
      </c>
      <c r="B2262" s="1125" t="s">
        <v>12540</v>
      </c>
      <c r="C2262" s="1126" t="s">
        <v>1814</v>
      </c>
      <c r="D2262" s="1119">
        <v>104.02</v>
      </c>
      <c r="E2262" s="1120">
        <v>38.22</v>
      </c>
      <c r="F2262" s="1121">
        <f t="shared" si="1"/>
        <v>65.83</v>
      </c>
      <c r="G2262" s="1120">
        <v>29.84</v>
      </c>
      <c r="H2262" s="1127">
        <v>35.99</v>
      </c>
      <c r="I2262" s="1127">
        <v>0.0</v>
      </c>
      <c r="J2262" s="1127">
        <v>0.0</v>
      </c>
      <c r="K2262" s="1124"/>
    </row>
    <row r="2263" ht="15.75" customHeight="1">
      <c r="A2263" s="1119">
        <v>92473.0</v>
      </c>
      <c r="B2263" s="1125" t="s">
        <v>12541</v>
      </c>
      <c r="C2263" s="1126" t="s">
        <v>1814</v>
      </c>
      <c r="D2263" s="1119">
        <v>128.53</v>
      </c>
      <c r="E2263" s="1120">
        <v>42.33</v>
      </c>
      <c r="F2263" s="1121">
        <f t="shared" si="1"/>
        <v>86.21</v>
      </c>
      <c r="G2263" s="1120">
        <v>86.2</v>
      </c>
      <c r="H2263" s="1127">
        <v>0.0</v>
      </c>
      <c r="I2263" s="1127">
        <v>0.0</v>
      </c>
      <c r="J2263" s="1127">
        <v>0.01</v>
      </c>
      <c r="K2263" s="1124"/>
    </row>
    <row r="2264" ht="15.75" customHeight="1">
      <c r="A2264" s="1119">
        <v>92474.0</v>
      </c>
      <c r="B2264" s="1125" t="s">
        <v>12542</v>
      </c>
      <c r="C2264" s="1126" t="s">
        <v>1814</v>
      </c>
      <c r="D2264" s="1119">
        <v>204.76</v>
      </c>
      <c r="E2264" s="1120">
        <v>45.46</v>
      </c>
      <c r="F2264" s="1121">
        <f t="shared" si="1"/>
        <v>159.31</v>
      </c>
      <c r="G2264" s="1120">
        <v>29.53</v>
      </c>
      <c r="H2264" s="1127">
        <v>129.78</v>
      </c>
      <c r="I2264" s="1127">
        <v>0.0</v>
      </c>
      <c r="J2264" s="1127">
        <v>0.0</v>
      </c>
      <c r="K2264" s="1124"/>
    </row>
    <row r="2265" ht="15.75" customHeight="1">
      <c r="A2265" s="1119">
        <v>92475.0</v>
      </c>
      <c r="B2265" s="1125" t="s">
        <v>12543</v>
      </c>
      <c r="C2265" s="1126" t="s">
        <v>1814</v>
      </c>
      <c r="D2265" s="1119">
        <v>83.76</v>
      </c>
      <c r="E2265" s="1120">
        <v>28.5</v>
      </c>
      <c r="F2265" s="1121">
        <f t="shared" si="1"/>
        <v>55.28</v>
      </c>
      <c r="G2265" s="1120">
        <v>55.28</v>
      </c>
      <c r="H2265" s="1127">
        <v>0.0</v>
      </c>
      <c r="I2265" s="1127">
        <v>0.0</v>
      </c>
      <c r="J2265" s="1127">
        <v>0.0</v>
      </c>
      <c r="K2265" s="1124"/>
    </row>
    <row r="2266" ht="15.75" customHeight="1">
      <c r="A2266" s="1119">
        <v>92476.0</v>
      </c>
      <c r="B2266" s="1125" t="s">
        <v>12544</v>
      </c>
      <c r="C2266" s="1126" t="s">
        <v>1814</v>
      </c>
      <c r="D2266" s="1119">
        <v>98.61</v>
      </c>
      <c r="E2266" s="1120">
        <v>35.24</v>
      </c>
      <c r="F2266" s="1121">
        <f t="shared" si="1"/>
        <v>63.38</v>
      </c>
      <c r="G2266" s="1120">
        <v>27.39</v>
      </c>
      <c r="H2266" s="1127">
        <v>35.99</v>
      </c>
      <c r="I2266" s="1127">
        <v>0.0</v>
      </c>
      <c r="J2266" s="1127">
        <v>0.0</v>
      </c>
      <c r="K2266" s="1124"/>
    </row>
    <row r="2267" ht="15.75" customHeight="1">
      <c r="A2267" s="1119">
        <v>92477.0</v>
      </c>
      <c r="B2267" s="1125" t="s">
        <v>12545</v>
      </c>
      <c r="C2267" s="1126" t="s">
        <v>1814</v>
      </c>
      <c r="D2267" s="1119">
        <v>105.95</v>
      </c>
      <c r="E2267" s="1120">
        <v>35.15</v>
      </c>
      <c r="F2267" s="1121">
        <f t="shared" si="1"/>
        <v>70.8</v>
      </c>
      <c r="G2267" s="1120">
        <v>70.79</v>
      </c>
      <c r="H2267" s="1127">
        <v>0.0</v>
      </c>
      <c r="I2267" s="1127">
        <v>0.0</v>
      </c>
      <c r="J2267" s="1127">
        <v>0.01</v>
      </c>
      <c r="K2267" s="1124"/>
    </row>
    <row r="2268" ht="15.75" customHeight="1">
      <c r="A2268" s="1119">
        <v>92478.0</v>
      </c>
      <c r="B2268" s="1125" t="s">
        <v>12546</v>
      </c>
      <c r="C2268" s="1126" t="s">
        <v>1814</v>
      </c>
      <c r="D2268" s="1119">
        <v>192.32</v>
      </c>
      <c r="E2268" s="1120">
        <v>38.45</v>
      </c>
      <c r="F2268" s="1121">
        <f t="shared" si="1"/>
        <v>153.86</v>
      </c>
      <c r="G2268" s="1120">
        <v>24.08</v>
      </c>
      <c r="H2268" s="1127">
        <v>129.78</v>
      </c>
      <c r="I2268" s="1127">
        <v>0.0</v>
      </c>
      <c r="J2268" s="1127">
        <v>0.0</v>
      </c>
      <c r="K2268" s="1124"/>
    </row>
    <row r="2269" ht="15.75" customHeight="1">
      <c r="A2269" s="1119">
        <v>92479.0</v>
      </c>
      <c r="B2269" s="1125" t="s">
        <v>12547</v>
      </c>
      <c r="C2269" s="1126" t="s">
        <v>1814</v>
      </c>
      <c r="D2269" s="1119">
        <v>69.22</v>
      </c>
      <c r="E2269" s="1120">
        <v>23.67</v>
      </c>
      <c r="F2269" s="1121">
        <f t="shared" si="1"/>
        <v>45.58</v>
      </c>
      <c r="G2269" s="1120">
        <v>45.58</v>
      </c>
      <c r="H2269" s="1127">
        <v>0.0</v>
      </c>
      <c r="I2269" s="1127">
        <v>0.0</v>
      </c>
      <c r="J2269" s="1127">
        <v>0.0</v>
      </c>
      <c r="K2269" s="1124"/>
    </row>
    <row r="2270" ht="15.75" customHeight="1">
      <c r="A2270" s="1119">
        <v>92480.0</v>
      </c>
      <c r="B2270" s="1125" t="s">
        <v>12548</v>
      </c>
      <c r="C2270" s="1126" t="s">
        <v>1814</v>
      </c>
      <c r="D2270" s="1119">
        <v>87.94</v>
      </c>
      <c r="E2270" s="1120">
        <v>29.76</v>
      </c>
      <c r="F2270" s="1121">
        <f t="shared" si="1"/>
        <v>58.18</v>
      </c>
      <c r="G2270" s="1120">
        <v>22.18</v>
      </c>
      <c r="H2270" s="1127">
        <v>36.0</v>
      </c>
      <c r="I2270" s="1127">
        <v>0.0</v>
      </c>
      <c r="J2270" s="1127">
        <v>0.0</v>
      </c>
      <c r="K2270" s="1124"/>
    </row>
    <row r="2271" ht="15.75" customHeight="1">
      <c r="A2271" s="1119">
        <v>92482.0</v>
      </c>
      <c r="B2271" s="1125" t="s">
        <v>12549</v>
      </c>
      <c r="C2271" s="1126" t="s">
        <v>1814</v>
      </c>
      <c r="D2271" s="1119">
        <v>417.12</v>
      </c>
      <c r="E2271" s="1120">
        <v>116.16</v>
      </c>
      <c r="F2271" s="1121">
        <f t="shared" si="1"/>
        <v>301</v>
      </c>
      <c r="G2271" s="1120">
        <v>301.0</v>
      </c>
      <c r="H2271" s="1127">
        <v>0.0</v>
      </c>
      <c r="I2271" s="1127">
        <v>0.0</v>
      </c>
      <c r="J2271" s="1127">
        <v>0.0</v>
      </c>
      <c r="K2271" s="1124"/>
    </row>
    <row r="2272" ht="15.75" customHeight="1">
      <c r="A2272" s="1119">
        <v>92484.0</v>
      </c>
      <c r="B2272" s="1125" t="s">
        <v>12550</v>
      </c>
      <c r="C2272" s="1126" t="s">
        <v>1814</v>
      </c>
      <c r="D2272" s="1119">
        <v>282.67</v>
      </c>
      <c r="E2272" s="1120">
        <v>96.05</v>
      </c>
      <c r="F2272" s="1121">
        <f t="shared" si="1"/>
        <v>186.65</v>
      </c>
      <c r="G2272" s="1120">
        <v>186.65</v>
      </c>
      <c r="H2272" s="1127">
        <v>0.0</v>
      </c>
      <c r="I2272" s="1127">
        <v>0.0</v>
      </c>
      <c r="J2272" s="1127">
        <v>0.0</v>
      </c>
      <c r="K2272" s="1124"/>
    </row>
    <row r="2273" ht="15.75" customHeight="1">
      <c r="A2273" s="1119">
        <v>92486.0</v>
      </c>
      <c r="B2273" s="1125" t="s">
        <v>12551</v>
      </c>
      <c r="C2273" s="1126" t="s">
        <v>1814</v>
      </c>
      <c r="D2273" s="1119">
        <v>198.02</v>
      </c>
      <c r="E2273" s="1120">
        <v>79.38</v>
      </c>
      <c r="F2273" s="1121">
        <f t="shared" si="1"/>
        <v>118.66</v>
      </c>
      <c r="G2273" s="1120">
        <v>118.66</v>
      </c>
      <c r="H2273" s="1127">
        <v>0.0</v>
      </c>
      <c r="I2273" s="1127">
        <v>0.0</v>
      </c>
      <c r="J2273" s="1127">
        <v>0.0</v>
      </c>
      <c r="K2273" s="1124"/>
    </row>
    <row r="2274" ht="15.75" customHeight="1">
      <c r="A2274" s="1119">
        <v>92488.0</v>
      </c>
      <c r="B2274" s="1125" t="s">
        <v>12552</v>
      </c>
      <c r="C2274" s="1126" t="s">
        <v>1814</v>
      </c>
      <c r="D2274" s="1119">
        <v>112.5</v>
      </c>
      <c r="E2274" s="1120">
        <v>43.18</v>
      </c>
      <c r="F2274" s="1121">
        <f t="shared" si="1"/>
        <v>69.34</v>
      </c>
      <c r="G2274" s="1120">
        <v>34.41</v>
      </c>
      <c r="H2274" s="1127">
        <v>34.93</v>
      </c>
      <c r="I2274" s="1127">
        <v>0.0</v>
      </c>
      <c r="J2274" s="1127">
        <v>0.0</v>
      </c>
      <c r="K2274" s="1124"/>
    </row>
    <row r="2275" ht="15.75" customHeight="1">
      <c r="A2275" s="1119">
        <v>92490.0</v>
      </c>
      <c r="B2275" s="1125" t="s">
        <v>12553</v>
      </c>
      <c r="C2275" s="1126" t="s">
        <v>1814</v>
      </c>
      <c r="D2275" s="1119">
        <v>78.23</v>
      </c>
      <c r="E2275" s="1120">
        <v>30.87</v>
      </c>
      <c r="F2275" s="1121">
        <f t="shared" si="1"/>
        <v>47.37</v>
      </c>
      <c r="G2275" s="1120">
        <v>30.42</v>
      </c>
      <c r="H2275" s="1127">
        <v>16.95</v>
      </c>
      <c r="I2275" s="1127">
        <v>0.0</v>
      </c>
      <c r="J2275" s="1127">
        <v>0.0</v>
      </c>
      <c r="K2275" s="1124"/>
    </row>
    <row r="2276" ht="15.75" customHeight="1">
      <c r="A2276" s="1119">
        <v>92492.0</v>
      </c>
      <c r="B2276" s="1125" t="s">
        <v>12554</v>
      </c>
      <c r="C2276" s="1126" t="s">
        <v>1814</v>
      </c>
      <c r="D2276" s="1119">
        <v>106.47</v>
      </c>
      <c r="E2276" s="1120">
        <v>39.87</v>
      </c>
      <c r="F2276" s="1121">
        <f t="shared" si="1"/>
        <v>66.62</v>
      </c>
      <c r="G2276" s="1120">
        <v>31.68</v>
      </c>
      <c r="H2276" s="1127">
        <v>34.94</v>
      </c>
      <c r="I2276" s="1127">
        <v>0.0</v>
      </c>
      <c r="J2276" s="1127">
        <v>0.0</v>
      </c>
      <c r="K2276" s="1124"/>
    </row>
    <row r="2277" ht="15.75" customHeight="1">
      <c r="A2277" s="1119">
        <v>92494.0</v>
      </c>
      <c r="B2277" s="1125" t="s">
        <v>12555</v>
      </c>
      <c r="C2277" s="1126" t="s">
        <v>1814</v>
      </c>
      <c r="D2277" s="1119">
        <v>73.47</v>
      </c>
      <c r="E2277" s="1120">
        <v>28.52</v>
      </c>
      <c r="F2277" s="1121">
        <f t="shared" si="1"/>
        <v>44.97</v>
      </c>
      <c r="G2277" s="1120">
        <v>28.03</v>
      </c>
      <c r="H2277" s="1127">
        <v>16.94</v>
      </c>
      <c r="I2277" s="1127">
        <v>0.0</v>
      </c>
      <c r="J2277" s="1127">
        <v>0.0</v>
      </c>
      <c r="K2277" s="1124"/>
    </row>
    <row r="2278" ht="15.75" customHeight="1">
      <c r="A2278" s="1119">
        <v>92496.0</v>
      </c>
      <c r="B2278" s="1125" t="s">
        <v>12556</v>
      </c>
      <c r="C2278" s="1126" t="s">
        <v>1814</v>
      </c>
      <c r="D2278" s="1119">
        <v>101.36</v>
      </c>
      <c r="E2278" s="1120">
        <v>36.88</v>
      </c>
      <c r="F2278" s="1121">
        <f t="shared" si="1"/>
        <v>64.5</v>
      </c>
      <c r="G2278" s="1120">
        <v>29.56</v>
      </c>
      <c r="H2278" s="1127">
        <v>34.94</v>
      </c>
      <c r="I2278" s="1127">
        <v>0.0</v>
      </c>
      <c r="J2278" s="1127">
        <v>0.0</v>
      </c>
      <c r="K2278" s="1124"/>
    </row>
    <row r="2279" ht="15.75" customHeight="1">
      <c r="A2279" s="1119">
        <v>92498.0</v>
      </c>
      <c r="B2279" s="1125" t="s">
        <v>12557</v>
      </c>
      <c r="C2279" s="1126" t="s">
        <v>1814</v>
      </c>
      <c r="D2279" s="1119">
        <v>69.46</v>
      </c>
      <c r="E2279" s="1120">
        <v>26.37</v>
      </c>
      <c r="F2279" s="1121">
        <f t="shared" si="1"/>
        <v>43.11</v>
      </c>
      <c r="G2279" s="1120">
        <v>26.17</v>
      </c>
      <c r="H2279" s="1127">
        <v>16.94</v>
      </c>
      <c r="I2279" s="1127">
        <v>0.0</v>
      </c>
      <c r="J2279" s="1127">
        <v>0.0</v>
      </c>
      <c r="K2279" s="1124"/>
    </row>
    <row r="2280" ht="15.75" customHeight="1">
      <c r="A2280" s="1119">
        <v>92500.0</v>
      </c>
      <c r="B2280" s="1125" t="s">
        <v>12558</v>
      </c>
      <c r="C2280" s="1126" t="s">
        <v>1814</v>
      </c>
      <c r="D2280" s="1119">
        <v>97.12</v>
      </c>
      <c r="E2280" s="1120">
        <v>34.05</v>
      </c>
      <c r="F2280" s="1121">
        <f t="shared" si="1"/>
        <v>63.08</v>
      </c>
      <c r="G2280" s="1120">
        <v>28.14</v>
      </c>
      <c r="H2280" s="1127">
        <v>34.94</v>
      </c>
      <c r="I2280" s="1127">
        <v>0.0</v>
      </c>
      <c r="J2280" s="1127">
        <v>0.0</v>
      </c>
      <c r="K2280" s="1124"/>
    </row>
    <row r="2281" ht="15.75" customHeight="1">
      <c r="A2281" s="1119">
        <v>92502.0</v>
      </c>
      <c r="B2281" s="1125" t="s">
        <v>12559</v>
      </c>
      <c r="C2281" s="1126" t="s">
        <v>1814</v>
      </c>
      <c r="D2281" s="1119">
        <v>66.29</v>
      </c>
      <c r="E2281" s="1120">
        <v>24.34</v>
      </c>
      <c r="F2281" s="1121">
        <f t="shared" si="1"/>
        <v>41.96</v>
      </c>
      <c r="G2281" s="1120">
        <v>25.02</v>
      </c>
      <c r="H2281" s="1127">
        <v>16.94</v>
      </c>
      <c r="I2281" s="1127">
        <v>0.0</v>
      </c>
      <c r="J2281" s="1127">
        <v>0.0</v>
      </c>
      <c r="K2281" s="1124"/>
    </row>
    <row r="2282" ht="15.75" customHeight="1">
      <c r="A2282" s="1119">
        <v>92504.0</v>
      </c>
      <c r="B2282" s="1125" t="s">
        <v>12560</v>
      </c>
      <c r="C2282" s="1126" t="s">
        <v>1814</v>
      </c>
      <c r="D2282" s="1119">
        <v>66.97</v>
      </c>
      <c r="E2282" s="1120">
        <v>29.13</v>
      </c>
      <c r="F2282" s="1121">
        <f t="shared" si="1"/>
        <v>37.87</v>
      </c>
      <c r="G2282" s="1120">
        <v>25.48</v>
      </c>
      <c r="H2282" s="1127">
        <v>12.39</v>
      </c>
      <c r="I2282" s="1127">
        <v>0.0</v>
      </c>
      <c r="J2282" s="1127">
        <v>0.0</v>
      </c>
      <c r="K2282" s="1124"/>
    </row>
    <row r="2283" ht="15.75" customHeight="1">
      <c r="A2283" s="1119">
        <v>92506.0</v>
      </c>
      <c r="B2283" s="1125" t="s">
        <v>12561</v>
      </c>
      <c r="C2283" s="1126" t="s">
        <v>1814</v>
      </c>
      <c r="D2283" s="1119">
        <v>60.48</v>
      </c>
      <c r="E2283" s="1120">
        <v>20.79</v>
      </c>
      <c r="F2283" s="1121">
        <f t="shared" si="1"/>
        <v>39.7</v>
      </c>
      <c r="G2283" s="1120">
        <v>22.75</v>
      </c>
      <c r="H2283" s="1127">
        <v>16.95</v>
      </c>
      <c r="I2283" s="1127">
        <v>0.0</v>
      </c>
      <c r="J2283" s="1127">
        <v>0.0</v>
      </c>
      <c r="K2283" s="1124"/>
    </row>
    <row r="2284" ht="15.75" customHeight="1">
      <c r="A2284" s="1119">
        <v>92508.0</v>
      </c>
      <c r="B2284" s="1125" t="s">
        <v>12562</v>
      </c>
      <c r="C2284" s="1126" t="s">
        <v>1814</v>
      </c>
      <c r="D2284" s="1119">
        <v>108.03</v>
      </c>
      <c r="E2284" s="1120">
        <v>33.63</v>
      </c>
      <c r="F2284" s="1121">
        <f t="shared" si="1"/>
        <v>74.39</v>
      </c>
      <c r="G2284" s="1120">
        <v>49.35</v>
      </c>
      <c r="H2284" s="1127">
        <v>25.04</v>
      </c>
      <c r="I2284" s="1127">
        <v>0.0</v>
      </c>
      <c r="J2284" s="1127">
        <v>0.0</v>
      </c>
      <c r="K2284" s="1124"/>
    </row>
    <row r="2285" ht="15.75" customHeight="1">
      <c r="A2285" s="1119">
        <v>92510.0</v>
      </c>
      <c r="B2285" s="1125" t="s">
        <v>12563</v>
      </c>
      <c r="C2285" s="1126" t="s">
        <v>1814</v>
      </c>
      <c r="D2285" s="1119">
        <v>71.54</v>
      </c>
      <c r="E2285" s="1120">
        <v>19.65</v>
      </c>
      <c r="F2285" s="1121">
        <f t="shared" si="1"/>
        <v>51.87</v>
      </c>
      <c r="G2285" s="1120">
        <v>44.82</v>
      </c>
      <c r="H2285" s="1127">
        <v>7.05</v>
      </c>
      <c r="I2285" s="1127">
        <v>0.0</v>
      </c>
      <c r="J2285" s="1127">
        <v>0.0</v>
      </c>
      <c r="K2285" s="1124"/>
    </row>
    <row r="2286" ht="15.75" customHeight="1">
      <c r="A2286" s="1119">
        <v>92512.0</v>
      </c>
      <c r="B2286" s="1125" t="s">
        <v>12564</v>
      </c>
      <c r="C2286" s="1126" t="s">
        <v>1814</v>
      </c>
      <c r="D2286" s="1119">
        <v>93.65</v>
      </c>
      <c r="E2286" s="1120">
        <v>30.95</v>
      </c>
      <c r="F2286" s="1121">
        <f t="shared" si="1"/>
        <v>62.71</v>
      </c>
      <c r="G2286" s="1120">
        <v>37.67</v>
      </c>
      <c r="H2286" s="1127">
        <v>25.04</v>
      </c>
      <c r="I2286" s="1127">
        <v>0.0</v>
      </c>
      <c r="J2286" s="1127">
        <v>0.0</v>
      </c>
      <c r="K2286" s="1124"/>
    </row>
    <row r="2287" ht="15.75" customHeight="1">
      <c r="A2287" s="1119">
        <v>92514.0</v>
      </c>
      <c r="B2287" s="1125" t="s">
        <v>12565</v>
      </c>
      <c r="C2287" s="1126" t="s">
        <v>1814</v>
      </c>
      <c r="D2287" s="1119">
        <v>58.53</v>
      </c>
      <c r="E2287" s="1120">
        <v>18.01</v>
      </c>
      <c r="F2287" s="1121">
        <f t="shared" si="1"/>
        <v>40.54</v>
      </c>
      <c r="G2287" s="1120">
        <v>33.48</v>
      </c>
      <c r="H2287" s="1127">
        <v>7.06</v>
      </c>
      <c r="I2287" s="1127">
        <v>0.0</v>
      </c>
      <c r="J2287" s="1127">
        <v>0.0</v>
      </c>
      <c r="K2287" s="1124"/>
    </row>
    <row r="2288" ht="15.75" customHeight="1">
      <c r="A2288" s="1119">
        <v>92515.0</v>
      </c>
      <c r="B2288" s="1125" t="s">
        <v>12566</v>
      </c>
      <c r="C2288" s="1126" t="s">
        <v>1814</v>
      </c>
      <c r="D2288" s="1119">
        <v>86.07</v>
      </c>
      <c r="E2288" s="1120">
        <v>28.52</v>
      </c>
      <c r="F2288" s="1121">
        <f t="shared" si="1"/>
        <v>57.54</v>
      </c>
      <c r="G2288" s="1120">
        <v>32.5</v>
      </c>
      <c r="H2288" s="1127">
        <v>25.04</v>
      </c>
      <c r="I2288" s="1127">
        <v>0.0</v>
      </c>
      <c r="J2288" s="1127">
        <v>0.0</v>
      </c>
      <c r="K2288" s="1124"/>
    </row>
    <row r="2289" ht="15.75" customHeight="1">
      <c r="A2289" s="1119">
        <v>92518.0</v>
      </c>
      <c r="B2289" s="1125" t="s">
        <v>12567</v>
      </c>
      <c r="C2289" s="1126" t="s">
        <v>1814</v>
      </c>
      <c r="D2289" s="1119">
        <v>52.27</v>
      </c>
      <c r="E2289" s="1120">
        <v>16.59</v>
      </c>
      <c r="F2289" s="1121">
        <f t="shared" si="1"/>
        <v>35.68</v>
      </c>
      <c r="G2289" s="1120">
        <v>28.62</v>
      </c>
      <c r="H2289" s="1127">
        <v>7.06</v>
      </c>
      <c r="I2289" s="1127">
        <v>0.0</v>
      </c>
      <c r="J2289" s="1127">
        <v>0.0</v>
      </c>
      <c r="K2289" s="1124"/>
    </row>
    <row r="2290" ht="15.75" customHeight="1">
      <c r="A2290" s="1119">
        <v>92520.0</v>
      </c>
      <c r="B2290" s="1125" t="s">
        <v>12568</v>
      </c>
      <c r="C2290" s="1126" t="s">
        <v>1814</v>
      </c>
      <c r="D2290" s="1119">
        <v>80.89</v>
      </c>
      <c r="E2290" s="1120">
        <v>26.34</v>
      </c>
      <c r="F2290" s="1121">
        <f t="shared" si="1"/>
        <v>54.56</v>
      </c>
      <c r="G2290" s="1120">
        <v>29.52</v>
      </c>
      <c r="H2290" s="1127">
        <v>25.04</v>
      </c>
      <c r="I2290" s="1127">
        <v>0.0</v>
      </c>
      <c r="J2290" s="1127">
        <v>0.0</v>
      </c>
      <c r="K2290" s="1124"/>
    </row>
    <row r="2291" ht="15.75" customHeight="1">
      <c r="A2291" s="1119">
        <v>92522.0</v>
      </c>
      <c r="B2291" s="1125" t="s">
        <v>12569</v>
      </c>
      <c r="C2291" s="1126" t="s">
        <v>1814</v>
      </c>
      <c r="D2291" s="1119">
        <v>48.27</v>
      </c>
      <c r="E2291" s="1120">
        <v>15.3</v>
      </c>
      <c r="F2291" s="1121">
        <f t="shared" si="1"/>
        <v>32.99</v>
      </c>
      <c r="G2291" s="1120">
        <v>25.93</v>
      </c>
      <c r="H2291" s="1127">
        <v>7.06</v>
      </c>
      <c r="I2291" s="1127">
        <v>0.0</v>
      </c>
      <c r="J2291" s="1127">
        <v>0.0</v>
      </c>
      <c r="K2291" s="1124"/>
    </row>
    <row r="2292" ht="15.75" customHeight="1">
      <c r="A2292" s="1119">
        <v>92524.0</v>
      </c>
      <c r="B2292" s="1125" t="s">
        <v>12570</v>
      </c>
      <c r="C2292" s="1126" t="s">
        <v>1814</v>
      </c>
      <c r="D2292" s="1119">
        <v>79.77</v>
      </c>
      <c r="E2292" s="1120">
        <v>24.31</v>
      </c>
      <c r="F2292" s="1121">
        <f t="shared" si="1"/>
        <v>55.47</v>
      </c>
      <c r="G2292" s="1120">
        <v>30.44</v>
      </c>
      <c r="H2292" s="1127">
        <v>25.03</v>
      </c>
      <c r="I2292" s="1127">
        <v>0.0</v>
      </c>
      <c r="J2292" s="1127">
        <v>0.0</v>
      </c>
      <c r="K2292" s="1124"/>
    </row>
    <row r="2293" ht="15.75" customHeight="1">
      <c r="A2293" s="1119">
        <v>92526.0</v>
      </c>
      <c r="B2293" s="1125" t="s">
        <v>12571</v>
      </c>
      <c r="C2293" s="1126" t="s">
        <v>1814</v>
      </c>
      <c r="D2293" s="1119">
        <v>48.28</v>
      </c>
      <c r="E2293" s="1120">
        <v>14.11</v>
      </c>
      <c r="F2293" s="1121">
        <f t="shared" si="1"/>
        <v>34.18</v>
      </c>
      <c r="G2293" s="1120">
        <v>27.13</v>
      </c>
      <c r="H2293" s="1127">
        <v>7.05</v>
      </c>
      <c r="I2293" s="1127">
        <v>0.0</v>
      </c>
      <c r="J2293" s="1127">
        <v>0.0</v>
      </c>
      <c r="K2293" s="1124"/>
    </row>
    <row r="2294" ht="15.75" customHeight="1">
      <c r="A2294" s="1119">
        <v>92528.0</v>
      </c>
      <c r="B2294" s="1125" t="s">
        <v>12572</v>
      </c>
      <c r="C2294" s="1126" t="s">
        <v>1814</v>
      </c>
      <c r="D2294" s="1119">
        <v>76.23</v>
      </c>
      <c r="E2294" s="1120">
        <v>22.46</v>
      </c>
      <c r="F2294" s="1121">
        <f t="shared" si="1"/>
        <v>53.77</v>
      </c>
      <c r="G2294" s="1120">
        <v>28.73</v>
      </c>
      <c r="H2294" s="1127">
        <v>25.04</v>
      </c>
      <c r="I2294" s="1127">
        <v>0.0</v>
      </c>
      <c r="J2294" s="1127">
        <v>0.0</v>
      </c>
      <c r="K2294" s="1124"/>
    </row>
    <row r="2295" ht="15.75" customHeight="1">
      <c r="A2295" s="1119">
        <v>92530.0</v>
      </c>
      <c r="B2295" s="1125" t="s">
        <v>12573</v>
      </c>
      <c r="C2295" s="1126" t="s">
        <v>1814</v>
      </c>
      <c r="D2295" s="1119">
        <v>45.77</v>
      </c>
      <c r="E2295" s="1120">
        <v>13.04</v>
      </c>
      <c r="F2295" s="1121">
        <f t="shared" si="1"/>
        <v>32.74</v>
      </c>
      <c r="G2295" s="1120">
        <v>25.69</v>
      </c>
      <c r="H2295" s="1127">
        <v>7.05</v>
      </c>
      <c r="I2295" s="1127">
        <v>0.0</v>
      </c>
      <c r="J2295" s="1127">
        <v>0.0</v>
      </c>
      <c r="K2295" s="1124"/>
    </row>
    <row r="2296" ht="15.75" customHeight="1">
      <c r="A2296" s="1119">
        <v>92532.0</v>
      </c>
      <c r="B2296" s="1125" t="s">
        <v>12574</v>
      </c>
      <c r="C2296" s="1126" t="s">
        <v>1814</v>
      </c>
      <c r="D2296" s="1119">
        <v>73.15</v>
      </c>
      <c r="E2296" s="1120">
        <v>20.76</v>
      </c>
      <c r="F2296" s="1121">
        <f t="shared" si="1"/>
        <v>52.37</v>
      </c>
      <c r="G2296" s="1120">
        <v>27.34</v>
      </c>
      <c r="H2296" s="1127">
        <v>25.03</v>
      </c>
      <c r="I2296" s="1127">
        <v>0.0</v>
      </c>
      <c r="J2296" s="1127">
        <v>0.0</v>
      </c>
      <c r="K2296" s="1124"/>
    </row>
    <row r="2297" ht="15.75" customHeight="1">
      <c r="A2297" s="1119">
        <v>92534.0</v>
      </c>
      <c r="B2297" s="1125" t="s">
        <v>12575</v>
      </c>
      <c r="C2297" s="1126" t="s">
        <v>1814</v>
      </c>
      <c r="D2297" s="1119">
        <v>43.62</v>
      </c>
      <c r="E2297" s="1120">
        <v>12.05</v>
      </c>
      <c r="F2297" s="1121">
        <f t="shared" si="1"/>
        <v>31.57</v>
      </c>
      <c r="G2297" s="1120">
        <v>24.51</v>
      </c>
      <c r="H2297" s="1127">
        <v>7.06</v>
      </c>
      <c r="I2297" s="1127">
        <v>0.0</v>
      </c>
      <c r="J2297" s="1127">
        <v>0.0</v>
      </c>
      <c r="K2297" s="1124"/>
    </row>
    <row r="2298" ht="15.75" customHeight="1">
      <c r="A2298" s="1119">
        <v>92536.0</v>
      </c>
      <c r="B2298" s="1125" t="s">
        <v>12576</v>
      </c>
      <c r="C2298" s="1126" t="s">
        <v>1814</v>
      </c>
      <c r="D2298" s="1119">
        <v>67.26</v>
      </c>
      <c r="E2298" s="1120">
        <v>17.74</v>
      </c>
      <c r="F2298" s="1121">
        <f t="shared" si="1"/>
        <v>49.54</v>
      </c>
      <c r="G2298" s="1120">
        <v>24.48</v>
      </c>
      <c r="H2298" s="1127">
        <v>25.06</v>
      </c>
      <c r="I2298" s="1127">
        <v>0.0</v>
      </c>
      <c r="J2298" s="1127">
        <v>0.0</v>
      </c>
      <c r="K2298" s="1124"/>
    </row>
    <row r="2299" ht="15.75" customHeight="1">
      <c r="A2299" s="1119">
        <v>92538.0</v>
      </c>
      <c r="B2299" s="1125" t="s">
        <v>12577</v>
      </c>
      <c r="C2299" s="1126" t="s">
        <v>1814</v>
      </c>
      <c r="D2299" s="1119">
        <v>39.39</v>
      </c>
      <c r="E2299" s="1120">
        <v>10.26</v>
      </c>
      <c r="F2299" s="1121">
        <f t="shared" si="1"/>
        <v>29.13</v>
      </c>
      <c r="G2299" s="1120">
        <v>22.07</v>
      </c>
      <c r="H2299" s="1127">
        <v>7.06</v>
      </c>
      <c r="I2299" s="1127">
        <v>0.0</v>
      </c>
      <c r="J2299" s="1127">
        <v>0.0</v>
      </c>
      <c r="K2299" s="1124"/>
    </row>
    <row r="2300" ht="15.75" customHeight="1">
      <c r="A2300" s="1119">
        <v>96252.0</v>
      </c>
      <c r="B2300" s="1125" t="s">
        <v>12578</v>
      </c>
      <c r="C2300" s="1126" t="s">
        <v>1814</v>
      </c>
      <c r="D2300" s="1119">
        <v>256.33</v>
      </c>
      <c r="E2300" s="1120">
        <v>65.53</v>
      </c>
      <c r="F2300" s="1121">
        <f t="shared" si="1"/>
        <v>190.81</v>
      </c>
      <c r="G2300" s="1120">
        <v>190.73</v>
      </c>
      <c r="H2300" s="1127">
        <v>0.02</v>
      </c>
      <c r="I2300" s="1127">
        <v>0.0</v>
      </c>
      <c r="J2300" s="1127">
        <v>0.06</v>
      </c>
      <c r="K2300" s="1124"/>
    </row>
    <row r="2301" ht="15.75" customHeight="1">
      <c r="A2301" s="1119">
        <v>96257.0</v>
      </c>
      <c r="B2301" s="1125" t="s">
        <v>12579</v>
      </c>
      <c r="C2301" s="1126" t="s">
        <v>1814</v>
      </c>
      <c r="D2301" s="1119">
        <v>218.76</v>
      </c>
      <c r="E2301" s="1120">
        <v>91.95</v>
      </c>
      <c r="F2301" s="1121">
        <f t="shared" si="1"/>
        <v>126.82</v>
      </c>
      <c r="G2301" s="1120">
        <v>121.86</v>
      </c>
      <c r="H2301" s="1127">
        <v>4.93</v>
      </c>
      <c r="I2301" s="1127">
        <v>0.0</v>
      </c>
      <c r="J2301" s="1127">
        <v>0.03</v>
      </c>
      <c r="K2301" s="1124"/>
    </row>
    <row r="2302" ht="15.75" customHeight="1">
      <c r="A2302" s="1119">
        <v>96258.0</v>
      </c>
      <c r="B2302" s="1125" t="s">
        <v>12580</v>
      </c>
      <c r="C2302" s="1126" t="s">
        <v>1814</v>
      </c>
      <c r="D2302" s="1119">
        <v>204.54</v>
      </c>
      <c r="E2302" s="1120">
        <v>83.25</v>
      </c>
      <c r="F2302" s="1121">
        <f t="shared" si="1"/>
        <v>121.3</v>
      </c>
      <c r="G2302" s="1120">
        <v>118.19</v>
      </c>
      <c r="H2302" s="1127">
        <v>3.08</v>
      </c>
      <c r="I2302" s="1127">
        <v>0.0</v>
      </c>
      <c r="J2302" s="1127">
        <v>0.03</v>
      </c>
      <c r="K2302" s="1124"/>
    </row>
    <row r="2303" ht="15.75" customHeight="1">
      <c r="A2303" s="1119">
        <v>96259.0</v>
      </c>
      <c r="B2303" s="1125" t="s">
        <v>12581</v>
      </c>
      <c r="C2303" s="1126" t="s">
        <v>1814</v>
      </c>
      <c r="D2303" s="1119">
        <v>247.46</v>
      </c>
      <c r="E2303" s="1120">
        <v>115.69</v>
      </c>
      <c r="F2303" s="1121">
        <f t="shared" si="1"/>
        <v>131.79</v>
      </c>
      <c r="G2303" s="1120">
        <v>129.24</v>
      </c>
      <c r="H2303" s="1127">
        <v>2.52</v>
      </c>
      <c r="I2303" s="1127">
        <v>0.0</v>
      </c>
      <c r="J2303" s="1127">
        <v>0.03</v>
      </c>
      <c r="K2303" s="1124"/>
    </row>
    <row r="2304" ht="15.75" customHeight="1">
      <c r="A2304" s="1119">
        <v>96529.0</v>
      </c>
      <c r="B2304" s="1125" t="s">
        <v>12582</v>
      </c>
      <c r="C2304" s="1126" t="s">
        <v>1814</v>
      </c>
      <c r="D2304" s="1119">
        <v>417.47</v>
      </c>
      <c r="E2304" s="1120">
        <v>144.08</v>
      </c>
      <c r="F2304" s="1121">
        <f t="shared" si="1"/>
        <v>273.41</v>
      </c>
      <c r="G2304" s="1120">
        <v>273.11</v>
      </c>
      <c r="H2304" s="1127">
        <v>0.05</v>
      </c>
      <c r="I2304" s="1127">
        <v>0.0</v>
      </c>
      <c r="J2304" s="1127">
        <v>0.25</v>
      </c>
      <c r="K2304" s="1124"/>
    </row>
    <row r="2305" ht="15.75" customHeight="1">
      <c r="A2305" s="1119">
        <v>96530.0</v>
      </c>
      <c r="B2305" s="1125" t="s">
        <v>12583</v>
      </c>
      <c r="C2305" s="1126" t="s">
        <v>1814</v>
      </c>
      <c r="D2305" s="1119">
        <v>233.62</v>
      </c>
      <c r="E2305" s="1120">
        <v>51.51</v>
      </c>
      <c r="F2305" s="1121">
        <f t="shared" si="1"/>
        <v>182.1</v>
      </c>
      <c r="G2305" s="1120">
        <v>182.05</v>
      </c>
      <c r="H2305" s="1127">
        <v>0.0</v>
      </c>
      <c r="I2305" s="1127">
        <v>0.0</v>
      </c>
      <c r="J2305" s="1127">
        <v>0.05</v>
      </c>
      <c r="K2305" s="1124"/>
    </row>
    <row r="2306" ht="15.75" customHeight="1">
      <c r="A2306" s="1119">
        <v>96531.0</v>
      </c>
      <c r="B2306" s="1125" t="s">
        <v>12584</v>
      </c>
      <c r="C2306" s="1126" t="s">
        <v>1814</v>
      </c>
      <c r="D2306" s="1119">
        <v>160.11</v>
      </c>
      <c r="E2306" s="1120">
        <v>51.37</v>
      </c>
      <c r="F2306" s="1121">
        <f t="shared" si="1"/>
        <v>108.75</v>
      </c>
      <c r="G2306" s="1120">
        <v>108.72</v>
      </c>
      <c r="H2306" s="1127">
        <v>0.0</v>
      </c>
      <c r="I2306" s="1127">
        <v>0.0</v>
      </c>
      <c r="J2306" s="1127">
        <v>0.03</v>
      </c>
      <c r="K2306" s="1124"/>
    </row>
    <row r="2307" ht="15.75" customHeight="1">
      <c r="A2307" s="1119">
        <v>96532.0</v>
      </c>
      <c r="B2307" s="1125" t="s">
        <v>12585</v>
      </c>
      <c r="C2307" s="1126" t="s">
        <v>1814</v>
      </c>
      <c r="D2307" s="1119">
        <v>262.98</v>
      </c>
      <c r="E2307" s="1120">
        <v>109.18</v>
      </c>
      <c r="F2307" s="1121">
        <f t="shared" si="1"/>
        <v>153.82</v>
      </c>
      <c r="G2307" s="1120">
        <v>153.67</v>
      </c>
      <c r="H2307" s="1127">
        <v>0.02</v>
      </c>
      <c r="I2307" s="1127">
        <v>0.0</v>
      </c>
      <c r="J2307" s="1127">
        <v>0.13</v>
      </c>
      <c r="K2307" s="1124"/>
    </row>
    <row r="2308" ht="15.75" customHeight="1">
      <c r="A2308" s="1119">
        <v>96533.0</v>
      </c>
      <c r="B2308" s="1125" t="s">
        <v>12586</v>
      </c>
      <c r="C2308" s="1126" t="s">
        <v>1814</v>
      </c>
      <c r="D2308" s="1119">
        <v>142.61</v>
      </c>
      <c r="E2308" s="1120">
        <v>42.36</v>
      </c>
      <c r="F2308" s="1121">
        <f t="shared" si="1"/>
        <v>100.26</v>
      </c>
      <c r="G2308" s="1120">
        <v>100.24</v>
      </c>
      <c r="H2308" s="1127">
        <v>0.0</v>
      </c>
      <c r="I2308" s="1127">
        <v>0.0</v>
      </c>
      <c r="J2308" s="1127">
        <v>0.02</v>
      </c>
      <c r="K2308" s="1124"/>
    </row>
    <row r="2309" ht="15.75" customHeight="1">
      <c r="A2309" s="1119">
        <v>96534.0</v>
      </c>
      <c r="B2309" s="1125" t="s">
        <v>12587</v>
      </c>
      <c r="C2309" s="1126" t="s">
        <v>1814</v>
      </c>
      <c r="D2309" s="1119">
        <v>109.92</v>
      </c>
      <c r="E2309" s="1120">
        <v>46.38</v>
      </c>
      <c r="F2309" s="1121">
        <f t="shared" si="1"/>
        <v>63.55</v>
      </c>
      <c r="G2309" s="1120">
        <v>63.54</v>
      </c>
      <c r="H2309" s="1127">
        <v>0.0</v>
      </c>
      <c r="I2309" s="1127">
        <v>0.0</v>
      </c>
      <c r="J2309" s="1127">
        <v>0.01</v>
      </c>
      <c r="K2309" s="1124"/>
    </row>
    <row r="2310" ht="15.75" customHeight="1">
      <c r="A2310" s="1119">
        <v>96535.0</v>
      </c>
      <c r="B2310" s="1125" t="s">
        <v>12588</v>
      </c>
      <c r="C2310" s="1126" t="s">
        <v>1814</v>
      </c>
      <c r="D2310" s="1119">
        <v>182.53</v>
      </c>
      <c r="E2310" s="1120">
        <v>90.99</v>
      </c>
      <c r="F2310" s="1121">
        <f t="shared" si="1"/>
        <v>91.55</v>
      </c>
      <c r="G2310" s="1120">
        <v>91.49</v>
      </c>
      <c r="H2310" s="1127">
        <v>0.0</v>
      </c>
      <c r="I2310" s="1127">
        <v>0.0</v>
      </c>
      <c r="J2310" s="1127">
        <v>0.06</v>
      </c>
      <c r="K2310" s="1124"/>
    </row>
    <row r="2311" ht="15.75" customHeight="1">
      <c r="A2311" s="1119">
        <v>96536.0</v>
      </c>
      <c r="B2311" s="1125" t="s">
        <v>12589</v>
      </c>
      <c r="C2311" s="1126" t="s">
        <v>1814</v>
      </c>
      <c r="D2311" s="1119">
        <v>95.25</v>
      </c>
      <c r="E2311" s="1120">
        <v>37.59</v>
      </c>
      <c r="F2311" s="1121">
        <f t="shared" si="1"/>
        <v>57.67</v>
      </c>
      <c r="G2311" s="1120">
        <v>57.66</v>
      </c>
      <c r="H2311" s="1127">
        <v>0.0</v>
      </c>
      <c r="I2311" s="1127">
        <v>0.0</v>
      </c>
      <c r="J2311" s="1127">
        <v>0.01</v>
      </c>
      <c r="K2311" s="1124"/>
    </row>
    <row r="2312" ht="15.75" customHeight="1">
      <c r="A2312" s="1119">
        <v>96537.0</v>
      </c>
      <c r="B2312" s="1125" t="s">
        <v>12590</v>
      </c>
      <c r="C2312" s="1126" t="s">
        <v>1814</v>
      </c>
      <c r="D2312" s="1119">
        <v>213.44</v>
      </c>
      <c r="E2312" s="1120">
        <v>84.67</v>
      </c>
      <c r="F2312" s="1121">
        <f t="shared" si="1"/>
        <v>128.77</v>
      </c>
      <c r="G2312" s="1120">
        <v>128.73</v>
      </c>
      <c r="H2312" s="1127">
        <v>0.01</v>
      </c>
      <c r="I2312" s="1127">
        <v>0.0</v>
      </c>
      <c r="J2312" s="1127">
        <v>0.03</v>
      </c>
      <c r="K2312" s="1124"/>
    </row>
    <row r="2313" ht="15.75" customHeight="1">
      <c r="A2313" s="1119">
        <v>96538.0</v>
      </c>
      <c r="B2313" s="1125" t="s">
        <v>12591</v>
      </c>
      <c r="C2313" s="1126" t="s">
        <v>1814</v>
      </c>
      <c r="D2313" s="1119">
        <v>292.25</v>
      </c>
      <c r="E2313" s="1120">
        <v>155.69</v>
      </c>
      <c r="F2313" s="1121">
        <f t="shared" si="1"/>
        <v>136.58</v>
      </c>
      <c r="G2313" s="1120">
        <v>136.44</v>
      </c>
      <c r="H2313" s="1127">
        <v>0.03</v>
      </c>
      <c r="I2313" s="1127">
        <v>0.0</v>
      </c>
      <c r="J2313" s="1127">
        <v>0.11</v>
      </c>
      <c r="K2313" s="1124"/>
    </row>
    <row r="2314" ht="15.75" customHeight="1">
      <c r="A2314" s="1119">
        <v>96539.0</v>
      </c>
      <c r="B2314" s="1125" t="s">
        <v>12592</v>
      </c>
      <c r="C2314" s="1126" t="s">
        <v>1814</v>
      </c>
      <c r="D2314" s="1119">
        <v>131.05</v>
      </c>
      <c r="E2314" s="1120">
        <v>63.72</v>
      </c>
      <c r="F2314" s="1121">
        <f t="shared" si="1"/>
        <v>67.34</v>
      </c>
      <c r="G2314" s="1120">
        <v>67.32</v>
      </c>
      <c r="H2314" s="1127">
        <v>0.0</v>
      </c>
      <c r="I2314" s="1127">
        <v>0.0</v>
      </c>
      <c r="J2314" s="1127">
        <v>0.02</v>
      </c>
      <c r="K2314" s="1124"/>
    </row>
    <row r="2315" ht="15.75" customHeight="1">
      <c r="A2315" s="1119">
        <v>96540.0</v>
      </c>
      <c r="B2315" s="1125" t="s">
        <v>12593</v>
      </c>
      <c r="C2315" s="1126" t="s">
        <v>1814</v>
      </c>
      <c r="D2315" s="1119">
        <v>150.52</v>
      </c>
      <c r="E2315" s="1120">
        <v>72.57</v>
      </c>
      <c r="F2315" s="1121">
        <f t="shared" si="1"/>
        <v>77.96</v>
      </c>
      <c r="G2315" s="1120">
        <v>77.94</v>
      </c>
      <c r="H2315" s="1127">
        <v>0.0</v>
      </c>
      <c r="I2315" s="1127">
        <v>0.0</v>
      </c>
      <c r="J2315" s="1127">
        <v>0.02</v>
      </c>
      <c r="K2315" s="1124"/>
    </row>
    <row r="2316" ht="15.75" customHeight="1">
      <c r="A2316" s="1119">
        <v>96541.0</v>
      </c>
      <c r="B2316" s="1125" t="s">
        <v>12594</v>
      </c>
      <c r="C2316" s="1126" t="s">
        <v>1814</v>
      </c>
      <c r="D2316" s="1119">
        <v>211.48</v>
      </c>
      <c r="E2316" s="1120">
        <v>124.56</v>
      </c>
      <c r="F2316" s="1121">
        <f t="shared" si="1"/>
        <v>86.93</v>
      </c>
      <c r="G2316" s="1120">
        <v>86.86</v>
      </c>
      <c r="H2316" s="1127">
        <v>0.01</v>
      </c>
      <c r="I2316" s="1127">
        <v>0.0</v>
      </c>
      <c r="J2316" s="1127">
        <v>0.06</v>
      </c>
      <c r="K2316" s="1124"/>
    </row>
    <row r="2317" ht="15.75" customHeight="1">
      <c r="A2317" s="1119">
        <v>96542.0</v>
      </c>
      <c r="B2317" s="1125" t="s">
        <v>12595</v>
      </c>
      <c r="C2317" s="1126" t="s">
        <v>1814</v>
      </c>
      <c r="D2317" s="1119">
        <v>101.29</v>
      </c>
      <c r="E2317" s="1120">
        <v>57.44</v>
      </c>
      <c r="F2317" s="1121">
        <f t="shared" si="1"/>
        <v>43.85</v>
      </c>
      <c r="G2317" s="1120">
        <v>43.84</v>
      </c>
      <c r="H2317" s="1127">
        <v>0.0</v>
      </c>
      <c r="I2317" s="1127">
        <v>0.0</v>
      </c>
      <c r="J2317" s="1127">
        <v>0.01</v>
      </c>
      <c r="K2317" s="1124"/>
    </row>
    <row r="2318" ht="15.75" customHeight="1">
      <c r="A2318" s="1119">
        <v>96543.0</v>
      </c>
      <c r="B2318" s="1125" t="s">
        <v>12596</v>
      </c>
      <c r="C2318" s="1126" t="s">
        <v>3606</v>
      </c>
      <c r="D2318" s="1119">
        <v>19.22</v>
      </c>
      <c r="E2318" s="1120">
        <v>7.44</v>
      </c>
      <c r="F2318" s="1121">
        <f t="shared" si="1"/>
        <v>11.8</v>
      </c>
      <c r="G2318" s="1120">
        <v>11.8</v>
      </c>
      <c r="H2318" s="1127">
        <v>0.0</v>
      </c>
      <c r="I2318" s="1127">
        <v>0.0</v>
      </c>
      <c r="J2318" s="1127">
        <v>0.0</v>
      </c>
      <c r="K2318" s="1124"/>
    </row>
    <row r="2319" ht="15.75" customHeight="1">
      <c r="A2319" s="1119">
        <v>97747.0</v>
      </c>
      <c r="B2319" s="1125" t="s">
        <v>12597</v>
      </c>
      <c r="C2319" s="1126" t="s">
        <v>1814</v>
      </c>
      <c r="D2319" s="1119">
        <v>229.17</v>
      </c>
      <c r="E2319" s="1120">
        <v>103.06</v>
      </c>
      <c r="F2319" s="1121">
        <f t="shared" si="1"/>
        <v>126.12</v>
      </c>
      <c r="G2319" s="1120">
        <v>124.52</v>
      </c>
      <c r="H2319" s="1127">
        <v>1.57</v>
      </c>
      <c r="I2319" s="1127">
        <v>0.0</v>
      </c>
      <c r="J2319" s="1127">
        <v>0.03</v>
      </c>
      <c r="K2319" s="1124"/>
    </row>
    <row r="2320" ht="15.75" customHeight="1">
      <c r="A2320" s="1119">
        <v>101791.0</v>
      </c>
      <c r="B2320" s="1125" t="s">
        <v>12598</v>
      </c>
      <c r="C2320" s="1126" t="s">
        <v>1731</v>
      </c>
      <c r="D2320" s="1119">
        <v>22.65</v>
      </c>
      <c r="E2320" s="1120">
        <v>1.95</v>
      </c>
      <c r="F2320" s="1121">
        <f t="shared" si="1"/>
        <v>20.69</v>
      </c>
      <c r="G2320" s="1120">
        <v>20.69</v>
      </c>
      <c r="H2320" s="1127">
        <v>0.0</v>
      </c>
      <c r="I2320" s="1127">
        <v>0.0</v>
      </c>
      <c r="J2320" s="1127">
        <v>0.0</v>
      </c>
      <c r="K2320" s="1124"/>
    </row>
    <row r="2321" ht="15.75" customHeight="1">
      <c r="A2321" s="1119">
        <v>101792.0</v>
      </c>
      <c r="B2321" s="1125" t="s">
        <v>12599</v>
      </c>
      <c r="C2321" s="1126" t="s">
        <v>2178</v>
      </c>
      <c r="D2321" s="1119">
        <v>18.06</v>
      </c>
      <c r="E2321" s="1120">
        <v>6.73</v>
      </c>
      <c r="F2321" s="1121">
        <f t="shared" si="1"/>
        <v>11.32</v>
      </c>
      <c r="G2321" s="1120">
        <v>11.32</v>
      </c>
      <c r="H2321" s="1127">
        <v>0.0</v>
      </c>
      <c r="I2321" s="1127">
        <v>0.0</v>
      </c>
      <c r="J2321" s="1127">
        <v>0.0</v>
      </c>
      <c r="K2321" s="1124"/>
    </row>
    <row r="2322" ht="15.75" customHeight="1">
      <c r="A2322" s="1119">
        <v>101793.0</v>
      </c>
      <c r="B2322" s="1125" t="s">
        <v>12600</v>
      </c>
      <c r="C2322" s="1126" t="s">
        <v>2178</v>
      </c>
      <c r="D2322" s="1119">
        <v>26.1</v>
      </c>
      <c r="E2322" s="1120">
        <v>9.08</v>
      </c>
      <c r="F2322" s="1121">
        <f t="shared" si="1"/>
        <v>17.02</v>
      </c>
      <c r="G2322" s="1120">
        <v>17.02</v>
      </c>
      <c r="H2322" s="1127">
        <v>0.0</v>
      </c>
      <c r="I2322" s="1127">
        <v>0.0</v>
      </c>
      <c r="J2322" s="1127">
        <v>0.0</v>
      </c>
      <c r="K2322" s="1124"/>
    </row>
    <row r="2323" ht="15.75" customHeight="1">
      <c r="A2323" s="1119">
        <v>101969.0</v>
      </c>
      <c r="B2323" s="1125" t="s">
        <v>12601</v>
      </c>
      <c r="C2323" s="1126" t="s">
        <v>1814</v>
      </c>
      <c r="D2323" s="1119">
        <v>173.09</v>
      </c>
      <c r="E2323" s="1120">
        <v>25.82</v>
      </c>
      <c r="F2323" s="1121">
        <f t="shared" si="1"/>
        <v>147.29</v>
      </c>
      <c r="G2323" s="1120">
        <v>147.25</v>
      </c>
      <c r="H2323" s="1127">
        <v>0.0</v>
      </c>
      <c r="I2323" s="1127">
        <v>0.0</v>
      </c>
      <c r="J2323" s="1127">
        <v>0.04</v>
      </c>
      <c r="K2323" s="1124"/>
    </row>
    <row r="2324" ht="15.75" customHeight="1">
      <c r="A2324" s="1119">
        <v>101971.0</v>
      </c>
      <c r="B2324" s="1125" t="s">
        <v>12602</v>
      </c>
      <c r="C2324" s="1126" t="s">
        <v>1814</v>
      </c>
      <c r="D2324" s="1119">
        <v>136.85</v>
      </c>
      <c r="E2324" s="1120">
        <v>25.83</v>
      </c>
      <c r="F2324" s="1121">
        <f t="shared" si="1"/>
        <v>111.04</v>
      </c>
      <c r="G2324" s="1120">
        <v>111.0</v>
      </c>
      <c r="H2324" s="1127">
        <v>0.0</v>
      </c>
      <c r="I2324" s="1127">
        <v>0.0</v>
      </c>
      <c r="J2324" s="1127">
        <v>0.04</v>
      </c>
      <c r="K2324" s="1124"/>
    </row>
    <row r="2325" ht="15.75" customHeight="1">
      <c r="A2325" s="1119">
        <v>101973.0</v>
      </c>
      <c r="B2325" s="1125" t="s">
        <v>12603</v>
      </c>
      <c r="C2325" s="1126" t="s">
        <v>1814</v>
      </c>
      <c r="D2325" s="1119">
        <v>268.44</v>
      </c>
      <c r="E2325" s="1120">
        <v>28.08</v>
      </c>
      <c r="F2325" s="1121">
        <f t="shared" si="1"/>
        <v>240.34</v>
      </c>
      <c r="G2325" s="1120">
        <v>240.3</v>
      </c>
      <c r="H2325" s="1127">
        <v>0.01</v>
      </c>
      <c r="I2325" s="1127">
        <v>0.0</v>
      </c>
      <c r="J2325" s="1127">
        <v>0.03</v>
      </c>
      <c r="K2325" s="1124"/>
    </row>
    <row r="2326" ht="15.75" customHeight="1">
      <c r="A2326" s="1119">
        <v>101974.0</v>
      </c>
      <c r="B2326" s="1125" t="s">
        <v>12604</v>
      </c>
      <c r="C2326" s="1126" t="s">
        <v>1814</v>
      </c>
      <c r="D2326" s="1119">
        <v>576.27</v>
      </c>
      <c r="E2326" s="1120">
        <v>216.67</v>
      </c>
      <c r="F2326" s="1121">
        <f t="shared" si="1"/>
        <v>359.64</v>
      </c>
      <c r="G2326" s="1120">
        <v>359.6</v>
      </c>
      <c r="H2326" s="1127">
        <v>0.01</v>
      </c>
      <c r="I2326" s="1127">
        <v>0.0</v>
      </c>
      <c r="J2326" s="1127">
        <v>0.03</v>
      </c>
      <c r="K2326" s="1124"/>
    </row>
    <row r="2327" ht="15.75" customHeight="1">
      <c r="A2327" s="1119">
        <v>101975.0</v>
      </c>
      <c r="B2327" s="1125" t="s">
        <v>12605</v>
      </c>
      <c r="C2327" s="1126" t="s">
        <v>1814</v>
      </c>
      <c r="D2327" s="1119">
        <v>489.82</v>
      </c>
      <c r="E2327" s="1120">
        <v>172.43</v>
      </c>
      <c r="F2327" s="1121">
        <f t="shared" si="1"/>
        <v>317.42</v>
      </c>
      <c r="G2327" s="1120">
        <v>317.4</v>
      </c>
      <c r="H2327" s="1127">
        <v>0.0</v>
      </c>
      <c r="I2327" s="1127">
        <v>0.0</v>
      </c>
      <c r="J2327" s="1127">
        <v>0.02</v>
      </c>
      <c r="K2327" s="1124"/>
    </row>
    <row r="2328" ht="15.75" customHeight="1">
      <c r="A2328" s="1119">
        <v>101977.0</v>
      </c>
      <c r="B2328" s="1125" t="s">
        <v>12606</v>
      </c>
      <c r="C2328" s="1126" t="s">
        <v>1814</v>
      </c>
      <c r="D2328" s="1119">
        <v>315.1</v>
      </c>
      <c r="E2328" s="1120">
        <v>148.82</v>
      </c>
      <c r="F2328" s="1121">
        <f t="shared" si="1"/>
        <v>166.33</v>
      </c>
      <c r="G2328" s="1120">
        <v>143.11</v>
      </c>
      <c r="H2328" s="1127">
        <v>23.19</v>
      </c>
      <c r="I2328" s="1127">
        <v>0.0</v>
      </c>
      <c r="J2328" s="1127">
        <v>0.03</v>
      </c>
      <c r="K2328" s="1124"/>
    </row>
    <row r="2329" ht="15.75" customHeight="1">
      <c r="A2329" s="1119">
        <v>101980.0</v>
      </c>
      <c r="B2329" s="1125" t="s">
        <v>12607</v>
      </c>
      <c r="C2329" s="1126" t="s">
        <v>1814</v>
      </c>
      <c r="D2329" s="1119">
        <v>285.12</v>
      </c>
      <c r="E2329" s="1120">
        <v>119.45</v>
      </c>
      <c r="F2329" s="1121">
        <f t="shared" si="1"/>
        <v>165.69</v>
      </c>
      <c r="G2329" s="1120">
        <v>132.54</v>
      </c>
      <c r="H2329" s="1127">
        <v>33.12</v>
      </c>
      <c r="I2329" s="1127">
        <v>0.0</v>
      </c>
      <c r="J2329" s="1127">
        <v>0.03</v>
      </c>
      <c r="K2329" s="1124"/>
    </row>
    <row r="2330" ht="15.75" customHeight="1">
      <c r="A2330" s="1119">
        <v>101981.0</v>
      </c>
      <c r="B2330" s="1125" t="s">
        <v>12608</v>
      </c>
      <c r="C2330" s="1126" t="s">
        <v>1814</v>
      </c>
      <c r="D2330" s="1119">
        <v>246.01</v>
      </c>
      <c r="E2330" s="1120">
        <v>100.97</v>
      </c>
      <c r="F2330" s="1121">
        <f t="shared" si="1"/>
        <v>145.06</v>
      </c>
      <c r="G2330" s="1120">
        <v>111.92</v>
      </c>
      <c r="H2330" s="1127">
        <v>33.12</v>
      </c>
      <c r="I2330" s="1127">
        <v>0.0</v>
      </c>
      <c r="J2330" s="1127">
        <v>0.02</v>
      </c>
      <c r="K2330" s="1124"/>
    </row>
    <row r="2331" ht="15.75" customHeight="1">
      <c r="A2331" s="1119">
        <v>101982.0</v>
      </c>
      <c r="B2331" s="1125" t="s">
        <v>12609</v>
      </c>
      <c r="C2331" s="1126" t="s">
        <v>1814</v>
      </c>
      <c r="D2331" s="1119">
        <v>220.55</v>
      </c>
      <c r="E2331" s="1120">
        <v>93.28</v>
      </c>
      <c r="F2331" s="1121">
        <f t="shared" si="1"/>
        <v>127.28</v>
      </c>
      <c r="G2331" s="1120">
        <v>94.14</v>
      </c>
      <c r="H2331" s="1127">
        <v>33.13</v>
      </c>
      <c r="I2331" s="1127">
        <v>0.0</v>
      </c>
      <c r="J2331" s="1127">
        <v>0.01</v>
      </c>
      <c r="K2331" s="1124"/>
    </row>
    <row r="2332" ht="15.75" customHeight="1">
      <c r="A2332" s="1119">
        <v>101983.0</v>
      </c>
      <c r="B2332" s="1125" t="s">
        <v>12610</v>
      </c>
      <c r="C2332" s="1126" t="s">
        <v>1814</v>
      </c>
      <c r="D2332" s="1119">
        <v>204.59</v>
      </c>
      <c r="E2332" s="1120">
        <v>88.58</v>
      </c>
      <c r="F2332" s="1121">
        <f t="shared" si="1"/>
        <v>116.01</v>
      </c>
      <c r="G2332" s="1120">
        <v>82.88</v>
      </c>
      <c r="H2332" s="1127">
        <v>33.12</v>
      </c>
      <c r="I2332" s="1127">
        <v>0.0</v>
      </c>
      <c r="J2332" s="1127">
        <v>0.01</v>
      </c>
      <c r="K2332" s="1124"/>
    </row>
    <row r="2333" ht="15.75" customHeight="1">
      <c r="A2333" s="1119">
        <v>101985.0</v>
      </c>
      <c r="B2333" s="1125" t="s">
        <v>12611</v>
      </c>
      <c r="C2333" s="1126" t="s">
        <v>1814</v>
      </c>
      <c r="D2333" s="1119">
        <v>182.69</v>
      </c>
      <c r="E2333" s="1120">
        <v>30.31</v>
      </c>
      <c r="F2333" s="1121">
        <f t="shared" si="1"/>
        <v>152.38</v>
      </c>
      <c r="G2333" s="1120">
        <v>152.31</v>
      </c>
      <c r="H2333" s="1127">
        <v>0.0</v>
      </c>
      <c r="I2333" s="1127">
        <v>0.0</v>
      </c>
      <c r="J2333" s="1127">
        <v>0.07</v>
      </c>
      <c r="K2333" s="1124"/>
    </row>
    <row r="2334" ht="15.75" customHeight="1">
      <c r="A2334" s="1119">
        <v>101986.0</v>
      </c>
      <c r="B2334" s="1125" t="s">
        <v>12612</v>
      </c>
      <c r="C2334" s="1126" t="s">
        <v>1814</v>
      </c>
      <c r="D2334" s="1119">
        <v>136.62</v>
      </c>
      <c r="E2334" s="1120">
        <v>30.32</v>
      </c>
      <c r="F2334" s="1121">
        <f t="shared" si="1"/>
        <v>106.3</v>
      </c>
      <c r="G2334" s="1120">
        <v>106.23</v>
      </c>
      <c r="H2334" s="1127">
        <v>0.0</v>
      </c>
      <c r="I2334" s="1127">
        <v>0.0</v>
      </c>
      <c r="J2334" s="1127">
        <v>0.07</v>
      </c>
      <c r="K2334" s="1124"/>
    </row>
    <row r="2335" ht="15.75" customHeight="1">
      <c r="A2335" s="1119">
        <v>101987.0</v>
      </c>
      <c r="B2335" s="1125" t="s">
        <v>12613</v>
      </c>
      <c r="C2335" s="1126" t="s">
        <v>1814</v>
      </c>
      <c r="D2335" s="1119">
        <v>321.17</v>
      </c>
      <c r="E2335" s="1120">
        <v>29.52</v>
      </c>
      <c r="F2335" s="1121">
        <f t="shared" si="1"/>
        <v>291.65</v>
      </c>
      <c r="G2335" s="1120">
        <v>291.59</v>
      </c>
      <c r="H2335" s="1127">
        <v>0.01</v>
      </c>
      <c r="I2335" s="1127">
        <v>0.0</v>
      </c>
      <c r="J2335" s="1127">
        <v>0.05</v>
      </c>
      <c r="K2335" s="1124"/>
    </row>
    <row r="2336" ht="15.75" customHeight="1">
      <c r="A2336" s="1119">
        <v>101988.0</v>
      </c>
      <c r="B2336" s="1125" t="s">
        <v>12614</v>
      </c>
      <c r="C2336" s="1126" t="s">
        <v>1814</v>
      </c>
      <c r="D2336" s="1119">
        <v>181.31</v>
      </c>
      <c r="E2336" s="1120">
        <v>31.02</v>
      </c>
      <c r="F2336" s="1121">
        <f t="shared" si="1"/>
        <v>150.3</v>
      </c>
      <c r="G2336" s="1120">
        <v>150.22</v>
      </c>
      <c r="H2336" s="1127">
        <v>0.01</v>
      </c>
      <c r="I2336" s="1127">
        <v>0.0</v>
      </c>
      <c r="J2336" s="1127">
        <v>0.07</v>
      </c>
      <c r="K2336" s="1124"/>
    </row>
    <row r="2337" ht="15.75" customHeight="1">
      <c r="A2337" s="1119">
        <v>101989.0</v>
      </c>
      <c r="B2337" s="1125" t="s">
        <v>12615</v>
      </c>
      <c r="C2337" s="1126" t="s">
        <v>1814</v>
      </c>
      <c r="D2337" s="1119">
        <v>145.53</v>
      </c>
      <c r="E2337" s="1120">
        <v>31.02</v>
      </c>
      <c r="F2337" s="1121">
        <f t="shared" si="1"/>
        <v>114.52</v>
      </c>
      <c r="G2337" s="1120">
        <v>114.44</v>
      </c>
      <c r="H2337" s="1127">
        <v>0.01</v>
      </c>
      <c r="I2337" s="1127">
        <v>0.0</v>
      </c>
      <c r="J2337" s="1127">
        <v>0.07</v>
      </c>
      <c r="K2337" s="1124"/>
    </row>
    <row r="2338" ht="15.75" customHeight="1">
      <c r="A2338" s="1119">
        <v>101990.0</v>
      </c>
      <c r="B2338" s="1125" t="s">
        <v>12616</v>
      </c>
      <c r="C2338" s="1126" t="s">
        <v>1814</v>
      </c>
      <c r="D2338" s="1119">
        <v>289.1</v>
      </c>
      <c r="E2338" s="1120">
        <v>30.55</v>
      </c>
      <c r="F2338" s="1121">
        <f t="shared" si="1"/>
        <v>258.56</v>
      </c>
      <c r="G2338" s="1120">
        <v>258.52</v>
      </c>
      <c r="H2338" s="1127">
        <v>0.01</v>
      </c>
      <c r="I2338" s="1127">
        <v>0.0</v>
      </c>
      <c r="J2338" s="1127">
        <v>0.03</v>
      </c>
      <c r="K2338" s="1124"/>
    </row>
    <row r="2339" ht="15.75" customHeight="1">
      <c r="A2339" s="1119">
        <v>101991.0</v>
      </c>
      <c r="B2339" s="1125" t="s">
        <v>12617</v>
      </c>
      <c r="C2339" s="1126" t="s">
        <v>1814</v>
      </c>
      <c r="D2339" s="1119">
        <v>184.51</v>
      </c>
      <c r="E2339" s="1120">
        <v>34.77</v>
      </c>
      <c r="F2339" s="1121">
        <f t="shared" si="1"/>
        <v>149.73</v>
      </c>
      <c r="G2339" s="1120">
        <v>149.62</v>
      </c>
      <c r="H2339" s="1127">
        <v>0.02</v>
      </c>
      <c r="I2339" s="1127">
        <v>0.0</v>
      </c>
      <c r="J2339" s="1127">
        <v>0.09</v>
      </c>
      <c r="K2339" s="1124"/>
    </row>
    <row r="2340" ht="15.75" customHeight="1">
      <c r="A2340" s="1119">
        <v>101992.0</v>
      </c>
      <c r="B2340" s="1125" t="s">
        <v>12618</v>
      </c>
      <c r="C2340" s="1126" t="s">
        <v>1814</v>
      </c>
      <c r="D2340" s="1119">
        <v>140.46</v>
      </c>
      <c r="E2340" s="1120">
        <v>34.78</v>
      </c>
      <c r="F2340" s="1121">
        <f t="shared" si="1"/>
        <v>105.67</v>
      </c>
      <c r="G2340" s="1120">
        <v>105.56</v>
      </c>
      <c r="H2340" s="1127">
        <v>0.02</v>
      </c>
      <c r="I2340" s="1127">
        <v>0.0</v>
      </c>
      <c r="J2340" s="1127">
        <v>0.09</v>
      </c>
      <c r="K2340" s="1124"/>
    </row>
    <row r="2341" ht="15.75" customHeight="1">
      <c r="A2341" s="1119">
        <v>101993.0</v>
      </c>
      <c r="B2341" s="1125" t="s">
        <v>12619</v>
      </c>
      <c r="C2341" s="1126" t="s">
        <v>1814</v>
      </c>
      <c r="D2341" s="1119">
        <v>378.73</v>
      </c>
      <c r="E2341" s="1120">
        <v>31.87</v>
      </c>
      <c r="F2341" s="1121">
        <f t="shared" si="1"/>
        <v>346.85</v>
      </c>
      <c r="G2341" s="1120">
        <v>346.78</v>
      </c>
      <c r="H2341" s="1127">
        <v>0.01</v>
      </c>
      <c r="I2341" s="1127">
        <v>0.0</v>
      </c>
      <c r="J2341" s="1127">
        <v>0.06</v>
      </c>
      <c r="K2341" s="1124"/>
    </row>
    <row r="2342" ht="15.75" customHeight="1">
      <c r="A2342" s="1119">
        <v>101994.0</v>
      </c>
      <c r="B2342" s="1125" t="s">
        <v>12620</v>
      </c>
      <c r="C2342" s="1126" t="s">
        <v>1814</v>
      </c>
      <c r="D2342" s="1119">
        <v>190.97</v>
      </c>
      <c r="E2342" s="1120">
        <v>28.85</v>
      </c>
      <c r="F2342" s="1121">
        <f t="shared" si="1"/>
        <v>162.12</v>
      </c>
      <c r="G2342" s="1120">
        <v>162.06</v>
      </c>
      <c r="H2342" s="1127">
        <v>0.01</v>
      </c>
      <c r="I2342" s="1127">
        <v>0.0</v>
      </c>
      <c r="J2342" s="1127">
        <v>0.05</v>
      </c>
      <c r="K2342" s="1124"/>
    </row>
    <row r="2343" ht="15.75" customHeight="1">
      <c r="A2343" s="1119">
        <v>101995.0</v>
      </c>
      <c r="B2343" s="1125" t="s">
        <v>12621</v>
      </c>
      <c r="C2343" s="1126" t="s">
        <v>1814</v>
      </c>
      <c r="D2343" s="1119">
        <v>150.8</v>
      </c>
      <c r="E2343" s="1120">
        <v>28.86</v>
      </c>
      <c r="F2343" s="1121">
        <f t="shared" si="1"/>
        <v>121.94</v>
      </c>
      <c r="G2343" s="1120">
        <v>121.88</v>
      </c>
      <c r="H2343" s="1127">
        <v>0.01</v>
      </c>
      <c r="I2343" s="1127">
        <v>0.0</v>
      </c>
      <c r="J2343" s="1127">
        <v>0.05</v>
      </c>
      <c r="K2343" s="1124"/>
    </row>
    <row r="2344" ht="15.75" customHeight="1">
      <c r="A2344" s="1119">
        <v>101996.0</v>
      </c>
      <c r="B2344" s="1125" t="s">
        <v>12622</v>
      </c>
      <c r="C2344" s="1126" t="s">
        <v>1814</v>
      </c>
      <c r="D2344" s="1119">
        <v>311.64</v>
      </c>
      <c r="E2344" s="1120">
        <v>30.45</v>
      </c>
      <c r="F2344" s="1121">
        <f t="shared" si="1"/>
        <v>281.22</v>
      </c>
      <c r="G2344" s="1120">
        <v>281.18</v>
      </c>
      <c r="H2344" s="1127">
        <v>0.01</v>
      </c>
      <c r="I2344" s="1127">
        <v>0.0</v>
      </c>
      <c r="J2344" s="1127">
        <v>0.03</v>
      </c>
      <c r="K2344" s="1124"/>
    </row>
    <row r="2345" ht="15.75" customHeight="1">
      <c r="A2345" s="1119">
        <v>101997.0</v>
      </c>
      <c r="B2345" s="1125" t="s">
        <v>12623</v>
      </c>
      <c r="C2345" s="1126" t="s">
        <v>1814</v>
      </c>
      <c r="D2345" s="1119">
        <v>184.2</v>
      </c>
      <c r="E2345" s="1120">
        <v>34.42</v>
      </c>
      <c r="F2345" s="1121">
        <f t="shared" si="1"/>
        <v>149.79</v>
      </c>
      <c r="G2345" s="1120">
        <v>149.69</v>
      </c>
      <c r="H2345" s="1127">
        <v>0.02</v>
      </c>
      <c r="I2345" s="1127">
        <v>0.0</v>
      </c>
      <c r="J2345" s="1127">
        <v>0.08</v>
      </c>
      <c r="K2345" s="1124"/>
    </row>
    <row r="2346" ht="15.75" customHeight="1">
      <c r="A2346" s="1119">
        <v>101998.0</v>
      </c>
      <c r="B2346" s="1125" t="s">
        <v>12624</v>
      </c>
      <c r="C2346" s="1126" t="s">
        <v>1814</v>
      </c>
      <c r="D2346" s="1119">
        <v>139.16</v>
      </c>
      <c r="E2346" s="1120">
        <v>34.43</v>
      </c>
      <c r="F2346" s="1121">
        <f t="shared" si="1"/>
        <v>104.74</v>
      </c>
      <c r="G2346" s="1120">
        <v>104.64</v>
      </c>
      <c r="H2346" s="1127">
        <v>0.02</v>
      </c>
      <c r="I2346" s="1127">
        <v>0.0</v>
      </c>
      <c r="J2346" s="1127">
        <v>0.08</v>
      </c>
      <c r="K2346" s="1124"/>
    </row>
    <row r="2347" ht="15.75" customHeight="1">
      <c r="A2347" s="1119">
        <v>101999.0</v>
      </c>
      <c r="B2347" s="1125" t="s">
        <v>12625</v>
      </c>
      <c r="C2347" s="1126" t="s">
        <v>1814</v>
      </c>
      <c r="D2347" s="1119">
        <v>406.6</v>
      </c>
      <c r="E2347" s="1120">
        <v>32.61</v>
      </c>
      <c r="F2347" s="1121">
        <f t="shared" si="1"/>
        <v>374.01</v>
      </c>
      <c r="G2347" s="1120">
        <v>373.94</v>
      </c>
      <c r="H2347" s="1127">
        <v>0.01</v>
      </c>
      <c r="I2347" s="1127">
        <v>0.0</v>
      </c>
      <c r="J2347" s="1127">
        <v>0.06</v>
      </c>
      <c r="K2347" s="1124"/>
    </row>
    <row r="2348" ht="15.75" customHeight="1">
      <c r="A2348" s="1119">
        <v>102000.0</v>
      </c>
      <c r="B2348" s="1125" t="s">
        <v>12626</v>
      </c>
      <c r="C2348" s="1126" t="s">
        <v>1814</v>
      </c>
      <c r="D2348" s="1119">
        <v>606.04</v>
      </c>
      <c r="E2348" s="1120">
        <v>211.3</v>
      </c>
      <c r="F2348" s="1121">
        <f t="shared" si="1"/>
        <v>394.77</v>
      </c>
      <c r="G2348" s="1120">
        <v>394.71</v>
      </c>
      <c r="H2348" s="1127">
        <v>0.01</v>
      </c>
      <c r="I2348" s="1127">
        <v>0.0</v>
      </c>
      <c r="J2348" s="1127">
        <v>0.05</v>
      </c>
      <c r="K2348" s="1124"/>
    </row>
    <row r="2349" ht="15.75" customHeight="1">
      <c r="A2349" s="1119">
        <v>102001.0</v>
      </c>
      <c r="B2349" s="1125" t="s">
        <v>12627</v>
      </c>
      <c r="C2349" s="1126" t="s">
        <v>1814</v>
      </c>
      <c r="D2349" s="1119">
        <v>522.95</v>
      </c>
      <c r="E2349" s="1120">
        <v>168.11</v>
      </c>
      <c r="F2349" s="1121">
        <f t="shared" si="1"/>
        <v>354.89</v>
      </c>
      <c r="G2349" s="1120">
        <v>354.85</v>
      </c>
      <c r="H2349" s="1127">
        <v>0.0</v>
      </c>
      <c r="I2349" s="1127">
        <v>0.0</v>
      </c>
      <c r="J2349" s="1127">
        <v>0.04</v>
      </c>
      <c r="K2349" s="1124"/>
    </row>
    <row r="2350" ht="15.75" customHeight="1">
      <c r="A2350" s="1119">
        <v>102002.0</v>
      </c>
      <c r="B2350" s="1125" t="s">
        <v>12628</v>
      </c>
      <c r="C2350" s="1126" t="s">
        <v>1814</v>
      </c>
      <c r="D2350" s="1119">
        <v>310.0</v>
      </c>
      <c r="E2350" s="1120">
        <v>153.52</v>
      </c>
      <c r="F2350" s="1121">
        <f t="shared" si="1"/>
        <v>156.5</v>
      </c>
      <c r="G2350" s="1120">
        <v>141.12</v>
      </c>
      <c r="H2350" s="1127">
        <v>15.32</v>
      </c>
      <c r="I2350" s="1127">
        <v>0.0</v>
      </c>
      <c r="J2350" s="1127">
        <v>0.06</v>
      </c>
      <c r="K2350" s="1124"/>
    </row>
    <row r="2351" ht="15.75" customHeight="1">
      <c r="A2351" s="1119">
        <v>102003.0</v>
      </c>
      <c r="B2351" s="1125" t="s">
        <v>12629</v>
      </c>
      <c r="C2351" s="1126" t="s">
        <v>1814</v>
      </c>
      <c r="D2351" s="1119">
        <v>279.39</v>
      </c>
      <c r="E2351" s="1120">
        <v>124.73</v>
      </c>
      <c r="F2351" s="1121">
        <f t="shared" si="1"/>
        <v>154.67</v>
      </c>
      <c r="G2351" s="1120">
        <v>132.73</v>
      </c>
      <c r="H2351" s="1127">
        <v>21.88</v>
      </c>
      <c r="I2351" s="1127">
        <v>0.0</v>
      </c>
      <c r="J2351" s="1127">
        <v>0.06</v>
      </c>
      <c r="K2351" s="1124"/>
    </row>
    <row r="2352" ht="15.75" customHeight="1">
      <c r="A2352" s="1119">
        <v>102004.0</v>
      </c>
      <c r="B2352" s="1125" t="s">
        <v>12630</v>
      </c>
      <c r="C2352" s="1126" t="s">
        <v>1814</v>
      </c>
      <c r="D2352" s="1119">
        <v>244.05</v>
      </c>
      <c r="E2352" s="1120">
        <v>104.1</v>
      </c>
      <c r="F2352" s="1121">
        <f t="shared" si="1"/>
        <v>139.96</v>
      </c>
      <c r="G2352" s="1120">
        <v>118.04</v>
      </c>
      <c r="H2352" s="1127">
        <v>21.88</v>
      </c>
      <c r="I2352" s="1127">
        <v>0.0</v>
      </c>
      <c r="J2352" s="1127">
        <v>0.04</v>
      </c>
      <c r="K2352" s="1124"/>
    </row>
    <row r="2353" ht="15.75" customHeight="1">
      <c r="A2353" s="1119">
        <v>102005.0</v>
      </c>
      <c r="B2353" s="1125" t="s">
        <v>12631</v>
      </c>
      <c r="C2353" s="1126" t="s">
        <v>1814</v>
      </c>
      <c r="D2353" s="1119">
        <v>217.53</v>
      </c>
      <c r="E2353" s="1120">
        <v>95.91</v>
      </c>
      <c r="F2353" s="1121">
        <f t="shared" si="1"/>
        <v>121.63</v>
      </c>
      <c r="G2353" s="1120">
        <v>99.72</v>
      </c>
      <c r="H2353" s="1127">
        <v>21.88</v>
      </c>
      <c r="I2353" s="1127">
        <v>0.0</v>
      </c>
      <c r="J2353" s="1127">
        <v>0.03</v>
      </c>
      <c r="K2353" s="1124"/>
    </row>
    <row r="2354" ht="15.75" customHeight="1">
      <c r="A2354" s="1119">
        <v>102006.0</v>
      </c>
      <c r="B2354" s="1125" t="s">
        <v>12632</v>
      </c>
      <c r="C2354" s="1126" t="s">
        <v>1814</v>
      </c>
      <c r="D2354" s="1119">
        <v>200.9</v>
      </c>
      <c r="E2354" s="1120">
        <v>90.91</v>
      </c>
      <c r="F2354" s="1121">
        <f t="shared" si="1"/>
        <v>110</v>
      </c>
      <c r="G2354" s="1120">
        <v>88.1</v>
      </c>
      <c r="H2354" s="1127">
        <v>21.88</v>
      </c>
      <c r="I2354" s="1127">
        <v>0.0</v>
      </c>
      <c r="J2354" s="1127">
        <v>0.02</v>
      </c>
      <c r="K2354" s="1124"/>
    </row>
    <row r="2355" ht="15.75" customHeight="1">
      <c r="A2355" s="1119">
        <v>102007.0</v>
      </c>
      <c r="B2355" s="1125" t="s">
        <v>12633</v>
      </c>
      <c r="C2355" s="1126" t="s">
        <v>1814</v>
      </c>
      <c r="D2355" s="1119">
        <v>573.63</v>
      </c>
      <c r="E2355" s="1120">
        <v>215.87</v>
      </c>
      <c r="F2355" s="1121">
        <f t="shared" si="1"/>
        <v>357.8</v>
      </c>
      <c r="G2355" s="1120">
        <v>357.76</v>
      </c>
      <c r="H2355" s="1127">
        <v>0.01</v>
      </c>
      <c r="I2355" s="1127">
        <v>0.0</v>
      </c>
      <c r="J2355" s="1127">
        <v>0.03</v>
      </c>
      <c r="K2355" s="1124"/>
    </row>
    <row r="2356" ht="15.75" customHeight="1">
      <c r="A2356" s="1119">
        <v>102008.0</v>
      </c>
      <c r="B2356" s="1125" t="s">
        <v>12634</v>
      </c>
      <c r="C2356" s="1126" t="s">
        <v>1814</v>
      </c>
      <c r="D2356" s="1119">
        <v>478.62</v>
      </c>
      <c r="E2356" s="1120">
        <v>170.75</v>
      </c>
      <c r="F2356" s="1121">
        <f t="shared" si="1"/>
        <v>307.94</v>
      </c>
      <c r="G2356" s="1120">
        <v>307.92</v>
      </c>
      <c r="H2356" s="1127">
        <v>0.0</v>
      </c>
      <c r="I2356" s="1127">
        <v>0.0</v>
      </c>
      <c r="J2356" s="1127">
        <v>0.02</v>
      </c>
      <c r="K2356" s="1124"/>
    </row>
    <row r="2357" ht="15.75" customHeight="1">
      <c r="A2357" s="1119">
        <v>102009.0</v>
      </c>
      <c r="B2357" s="1125" t="s">
        <v>12635</v>
      </c>
      <c r="C2357" s="1126" t="s">
        <v>1814</v>
      </c>
      <c r="D2357" s="1119">
        <v>317.88</v>
      </c>
      <c r="E2357" s="1120">
        <v>152.9</v>
      </c>
      <c r="F2357" s="1121">
        <f t="shared" si="1"/>
        <v>165.01</v>
      </c>
      <c r="G2357" s="1120">
        <v>144.2</v>
      </c>
      <c r="H2357" s="1127">
        <v>20.75</v>
      </c>
      <c r="I2357" s="1127">
        <v>0.0</v>
      </c>
      <c r="J2357" s="1127">
        <v>0.06</v>
      </c>
      <c r="K2357" s="1124"/>
    </row>
    <row r="2358" ht="15.75" customHeight="1">
      <c r="A2358" s="1119">
        <v>102010.0</v>
      </c>
      <c r="B2358" s="1125" t="s">
        <v>12636</v>
      </c>
      <c r="C2358" s="1126" t="s">
        <v>1814</v>
      </c>
      <c r="D2358" s="1119">
        <v>285.33</v>
      </c>
      <c r="E2358" s="1120">
        <v>123.22</v>
      </c>
      <c r="F2358" s="1121">
        <f t="shared" si="1"/>
        <v>162.14</v>
      </c>
      <c r="G2358" s="1120">
        <v>132.42</v>
      </c>
      <c r="H2358" s="1127">
        <v>29.66</v>
      </c>
      <c r="I2358" s="1127">
        <v>0.0</v>
      </c>
      <c r="J2358" s="1127">
        <v>0.06</v>
      </c>
      <c r="K2358" s="1124"/>
    </row>
    <row r="2359" ht="15.75" customHeight="1">
      <c r="A2359" s="1119">
        <v>102011.0</v>
      </c>
      <c r="B2359" s="1125" t="s">
        <v>12637</v>
      </c>
      <c r="C2359" s="1126" t="s">
        <v>1814</v>
      </c>
      <c r="D2359" s="1119">
        <v>243.74</v>
      </c>
      <c r="E2359" s="1120">
        <v>103.26</v>
      </c>
      <c r="F2359" s="1121">
        <f t="shared" si="1"/>
        <v>140.48</v>
      </c>
      <c r="G2359" s="1120">
        <v>110.79</v>
      </c>
      <c r="H2359" s="1127">
        <v>29.66</v>
      </c>
      <c r="I2359" s="1127">
        <v>0.0</v>
      </c>
      <c r="J2359" s="1127">
        <v>0.03</v>
      </c>
      <c r="K2359" s="1124"/>
    </row>
    <row r="2360" ht="15.75" customHeight="1">
      <c r="A2360" s="1119">
        <v>102012.0</v>
      </c>
      <c r="B2360" s="1125" t="s">
        <v>12638</v>
      </c>
      <c r="C2360" s="1126" t="s">
        <v>1814</v>
      </c>
      <c r="D2360" s="1119">
        <v>217.38</v>
      </c>
      <c r="E2360" s="1120">
        <v>95.02</v>
      </c>
      <c r="F2360" s="1121">
        <f t="shared" si="1"/>
        <v>122.4</v>
      </c>
      <c r="G2360" s="1120">
        <v>92.71</v>
      </c>
      <c r="H2360" s="1127">
        <v>29.66</v>
      </c>
      <c r="I2360" s="1127">
        <v>0.0</v>
      </c>
      <c r="J2360" s="1127">
        <v>0.03</v>
      </c>
      <c r="K2360" s="1124"/>
    </row>
    <row r="2361" ht="15.75" customHeight="1">
      <c r="A2361" s="1119">
        <v>102013.0</v>
      </c>
      <c r="B2361" s="1125" t="s">
        <v>12639</v>
      </c>
      <c r="C2361" s="1126" t="s">
        <v>1814</v>
      </c>
      <c r="D2361" s="1119">
        <v>202.66</v>
      </c>
      <c r="E2361" s="1120">
        <v>90.26</v>
      </c>
      <c r="F2361" s="1121">
        <f t="shared" si="1"/>
        <v>112.42</v>
      </c>
      <c r="G2361" s="1120">
        <v>82.74</v>
      </c>
      <c r="H2361" s="1127">
        <v>29.66</v>
      </c>
      <c r="I2361" s="1127">
        <v>0.0</v>
      </c>
      <c r="J2361" s="1127">
        <v>0.02</v>
      </c>
      <c r="K2361" s="1124"/>
    </row>
    <row r="2362" ht="15.75" customHeight="1">
      <c r="A2362" s="1119">
        <v>102014.0</v>
      </c>
      <c r="B2362" s="1125" t="s">
        <v>12640</v>
      </c>
      <c r="C2362" s="1126" t="s">
        <v>1814</v>
      </c>
      <c r="D2362" s="1119">
        <v>664.03</v>
      </c>
      <c r="E2362" s="1120">
        <v>213.35</v>
      </c>
      <c r="F2362" s="1121">
        <f t="shared" si="1"/>
        <v>450.69</v>
      </c>
      <c r="G2362" s="1120">
        <v>450.62</v>
      </c>
      <c r="H2362" s="1127">
        <v>0.01</v>
      </c>
      <c r="I2362" s="1127">
        <v>0.0</v>
      </c>
      <c r="J2362" s="1127">
        <v>0.06</v>
      </c>
      <c r="K2362" s="1124"/>
    </row>
    <row r="2363" ht="15.75" customHeight="1">
      <c r="A2363" s="1119">
        <v>102015.0</v>
      </c>
      <c r="B2363" s="1125" t="s">
        <v>12641</v>
      </c>
      <c r="C2363" s="1126" t="s">
        <v>1814</v>
      </c>
      <c r="D2363" s="1119">
        <v>556.21</v>
      </c>
      <c r="E2363" s="1120">
        <v>169.38</v>
      </c>
      <c r="F2363" s="1121">
        <f t="shared" si="1"/>
        <v>386.86</v>
      </c>
      <c r="G2363" s="1120">
        <v>386.81</v>
      </c>
      <c r="H2363" s="1127">
        <v>0.0</v>
      </c>
      <c r="I2363" s="1127">
        <v>0.0</v>
      </c>
      <c r="J2363" s="1127">
        <v>0.05</v>
      </c>
      <c r="K2363" s="1124"/>
    </row>
    <row r="2364" ht="15.75" customHeight="1">
      <c r="A2364" s="1119">
        <v>102016.0</v>
      </c>
      <c r="B2364" s="1125" t="s">
        <v>12642</v>
      </c>
      <c r="C2364" s="1126" t="s">
        <v>1814</v>
      </c>
      <c r="D2364" s="1119">
        <v>309.59</v>
      </c>
      <c r="E2364" s="1120">
        <v>156.97</v>
      </c>
      <c r="F2364" s="1121">
        <f t="shared" si="1"/>
        <v>152.65</v>
      </c>
      <c r="G2364" s="1120">
        <v>138.65</v>
      </c>
      <c r="H2364" s="1127">
        <v>13.92</v>
      </c>
      <c r="I2364" s="1127">
        <v>0.0</v>
      </c>
      <c r="J2364" s="1127">
        <v>0.08</v>
      </c>
      <c r="K2364" s="1124"/>
    </row>
    <row r="2365" ht="15.75" customHeight="1">
      <c r="A2365" s="1119">
        <v>102017.0</v>
      </c>
      <c r="B2365" s="1125" t="s">
        <v>12643</v>
      </c>
      <c r="C2365" s="1126" t="s">
        <v>1814</v>
      </c>
      <c r="D2365" s="1119">
        <v>277.04</v>
      </c>
      <c r="E2365" s="1120">
        <v>127.88</v>
      </c>
      <c r="F2365" s="1121">
        <f t="shared" si="1"/>
        <v>149.19</v>
      </c>
      <c r="G2365" s="1120">
        <v>129.19</v>
      </c>
      <c r="H2365" s="1127">
        <v>19.92</v>
      </c>
      <c r="I2365" s="1127">
        <v>0.0</v>
      </c>
      <c r="J2365" s="1127">
        <v>0.08</v>
      </c>
      <c r="K2365" s="1124"/>
    </row>
    <row r="2366" ht="15.75" customHeight="1">
      <c r="A2366" s="1119">
        <v>102036.0</v>
      </c>
      <c r="B2366" s="1125" t="s">
        <v>12644</v>
      </c>
      <c r="C2366" s="1126" t="s">
        <v>1814</v>
      </c>
      <c r="D2366" s="1119">
        <v>239.67</v>
      </c>
      <c r="E2366" s="1120">
        <v>105.98</v>
      </c>
      <c r="F2366" s="1121">
        <f t="shared" si="1"/>
        <v>133.68</v>
      </c>
      <c r="G2366" s="1120">
        <v>113.72</v>
      </c>
      <c r="H2366" s="1127">
        <v>19.91</v>
      </c>
      <c r="I2366" s="1127">
        <v>0.0</v>
      </c>
      <c r="J2366" s="1127">
        <v>0.05</v>
      </c>
      <c r="K2366" s="1124"/>
    </row>
    <row r="2367" ht="15.75" customHeight="1">
      <c r="A2367" s="1119">
        <v>102037.0</v>
      </c>
      <c r="B2367" s="1125" t="s">
        <v>12645</v>
      </c>
      <c r="C2367" s="1126" t="s">
        <v>1814</v>
      </c>
      <c r="D2367" s="1119">
        <v>212.95</v>
      </c>
      <c r="E2367" s="1120">
        <v>97.32</v>
      </c>
      <c r="F2367" s="1121">
        <f t="shared" si="1"/>
        <v>115.65</v>
      </c>
      <c r="G2367" s="1120">
        <v>95.7</v>
      </c>
      <c r="H2367" s="1127">
        <v>19.91</v>
      </c>
      <c r="I2367" s="1127">
        <v>0.0</v>
      </c>
      <c r="J2367" s="1127">
        <v>0.04</v>
      </c>
      <c r="K2367" s="1124"/>
    </row>
    <row r="2368" ht="15.75" customHeight="1">
      <c r="A2368" s="1119">
        <v>102038.0</v>
      </c>
      <c r="B2368" s="1125" t="s">
        <v>12646</v>
      </c>
      <c r="C2368" s="1126" t="s">
        <v>1814</v>
      </c>
      <c r="D2368" s="1119">
        <v>198.04</v>
      </c>
      <c r="E2368" s="1120">
        <v>92.35</v>
      </c>
      <c r="F2368" s="1121">
        <f t="shared" si="1"/>
        <v>105.7</v>
      </c>
      <c r="G2368" s="1120">
        <v>85.75</v>
      </c>
      <c r="H2368" s="1127">
        <v>19.92</v>
      </c>
      <c r="I2368" s="1127">
        <v>0.0</v>
      </c>
      <c r="J2368" s="1127">
        <v>0.03</v>
      </c>
      <c r="K2368" s="1124"/>
    </row>
    <row r="2369" ht="15.75" customHeight="1">
      <c r="A2369" s="1119">
        <v>102039.0</v>
      </c>
      <c r="B2369" s="1125" t="s">
        <v>12647</v>
      </c>
      <c r="C2369" s="1126" t="s">
        <v>1814</v>
      </c>
      <c r="D2369" s="1119">
        <v>603.8</v>
      </c>
      <c r="E2369" s="1120">
        <v>215.59</v>
      </c>
      <c r="F2369" s="1121">
        <f t="shared" si="1"/>
        <v>388.25</v>
      </c>
      <c r="G2369" s="1120">
        <v>388.21</v>
      </c>
      <c r="H2369" s="1127">
        <v>0.01</v>
      </c>
      <c r="I2369" s="1127">
        <v>0.0</v>
      </c>
      <c r="J2369" s="1127">
        <v>0.03</v>
      </c>
      <c r="K2369" s="1124"/>
    </row>
    <row r="2370" ht="15.75" customHeight="1">
      <c r="A2370" s="1119">
        <v>102040.0</v>
      </c>
      <c r="B2370" s="1125" t="s">
        <v>12648</v>
      </c>
      <c r="C2370" s="1126" t="s">
        <v>1814</v>
      </c>
      <c r="D2370" s="1119">
        <v>502.27</v>
      </c>
      <c r="E2370" s="1120">
        <v>170.21</v>
      </c>
      <c r="F2370" s="1121">
        <f t="shared" si="1"/>
        <v>332.11</v>
      </c>
      <c r="G2370" s="1120">
        <v>332.09</v>
      </c>
      <c r="H2370" s="1127">
        <v>0.0</v>
      </c>
      <c r="I2370" s="1127">
        <v>0.0</v>
      </c>
      <c r="J2370" s="1127">
        <v>0.02</v>
      </c>
      <c r="K2370" s="1124"/>
    </row>
    <row r="2371" ht="15.75" customHeight="1">
      <c r="A2371" s="1119">
        <v>102041.0</v>
      </c>
      <c r="B2371" s="1125" t="s">
        <v>12649</v>
      </c>
      <c r="C2371" s="1126" t="s">
        <v>1814</v>
      </c>
      <c r="D2371" s="1119">
        <v>317.46</v>
      </c>
      <c r="E2371" s="1120">
        <v>150.41</v>
      </c>
      <c r="F2371" s="1121">
        <f t="shared" si="1"/>
        <v>167.07</v>
      </c>
      <c r="G2371" s="1120">
        <v>148.55</v>
      </c>
      <c r="H2371" s="1127">
        <v>18.48</v>
      </c>
      <c r="I2371" s="1127">
        <v>0.0</v>
      </c>
      <c r="J2371" s="1127">
        <v>0.04</v>
      </c>
      <c r="K2371" s="1124"/>
    </row>
    <row r="2372" ht="15.75" customHeight="1">
      <c r="A2372" s="1119">
        <v>102042.0</v>
      </c>
      <c r="B2372" s="1125" t="s">
        <v>12650</v>
      </c>
      <c r="C2372" s="1126" t="s">
        <v>1814</v>
      </c>
      <c r="D2372" s="1119">
        <v>282.3</v>
      </c>
      <c r="E2372" s="1120">
        <v>120.46</v>
      </c>
      <c r="F2372" s="1121">
        <f t="shared" si="1"/>
        <v>161.86</v>
      </c>
      <c r="G2372" s="1120">
        <v>135.44</v>
      </c>
      <c r="H2372" s="1127">
        <v>26.38</v>
      </c>
      <c r="I2372" s="1127">
        <v>0.0</v>
      </c>
      <c r="J2372" s="1127">
        <v>0.04</v>
      </c>
      <c r="K2372" s="1124"/>
    </row>
    <row r="2373" ht="15.75" customHeight="1">
      <c r="A2373" s="1119">
        <v>102043.0</v>
      </c>
      <c r="B2373" s="1125" t="s">
        <v>12651</v>
      </c>
      <c r="C2373" s="1126" t="s">
        <v>1814</v>
      </c>
      <c r="D2373" s="1119">
        <v>242.05</v>
      </c>
      <c r="E2373" s="1120">
        <v>101.52</v>
      </c>
      <c r="F2373" s="1121">
        <f t="shared" si="1"/>
        <v>140.52</v>
      </c>
      <c r="G2373" s="1120">
        <v>114.12</v>
      </c>
      <c r="H2373" s="1127">
        <v>26.38</v>
      </c>
      <c r="I2373" s="1127">
        <v>0.0</v>
      </c>
      <c r="J2373" s="1127">
        <v>0.02</v>
      </c>
      <c r="K2373" s="1124"/>
    </row>
    <row r="2374" ht="15.75" customHeight="1">
      <c r="A2374" s="1119">
        <v>102044.0</v>
      </c>
      <c r="B2374" s="1125" t="s">
        <v>12652</v>
      </c>
      <c r="C2374" s="1126" t="s">
        <v>1814</v>
      </c>
      <c r="D2374" s="1119">
        <v>216.53</v>
      </c>
      <c r="E2374" s="1120">
        <v>93.78</v>
      </c>
      <c r="F2374" s="1121">
        <f t="shared" si="1"/>
        <v>122.76</v>
      </c>
      <c r="G2374" s="1120">
        <v>96.35</v>
      </c>
      <c r="H2374" s="1127">
        <v>26.39</v>
      </c>
      <c r="I2374" s="1127">
        <v>0.0</v>
      </c>
      <c r="J2374" s="1127">
        <v>0.02</v>
      </c>
      <c r="K2374" s="1124"/>
    </row>
    <row r="2375" ht="15.75" customHeight="1">
      <c r="A2375" s="1119">
        <v>102045.0</v>
      </c>
      <c r="B2375" s="1125" t="s">
        <v>12653</v>
      </c>
      <c r="C2375" s="1126" t="s">
        <v>1814</v>
      </c>
      <c r="D2375" s="1119">
        <v>201.23</v>
      </c>
      <c r="E2375" s="1120">
        <v>89.18</v>
      </c>
      <c r="F2375" s="1121">
        <f t="shared" si="1"/>
        <v>112.08</v>
      </c>
      <c r="G2375" s="1120">
        <v>85.68</v>
      </c>
      <c r="H2375" s="1127">
        <v>26.39</v>
      </c>
      <c r="I2375" s="1127">
        <v>0.0</v>
      </c>
      <c r="J2375" s="1127">
        <v>0.01</v>
      </c>
      <c r="K2375" s="1124"/>
    </row>
    <row r="2376" ht="15.75" customHeight="1">
      <c r="A2376" s="1119">
        <v>102046.0</v>
      </c>
      <c r="B2376" s="1125" t="s">
        <v>12654</v>
      </c>
      <c r="C2376" s="1126" t="s">
        <v>1814</v>
      </c>
      <c r="D2376" s="1119">
        <v>681.85</v>
      </c>
      <c r="E2376" s="1120">
        <v>211.99</v>
      </c>
      <c r="F2376" s="1121">
        <f t="shared" si="1"/>
        <v>469.9</v>
      </c>
      <c r="G2376" s="1120">
        <v>469.83</v>
      </c>
      <c r="H2376" s="1127">
        <v>0.01</v>
      </c>
      <c r="I2376" s="1127">
        <v>0.0</v>
      </c>
      <c r="J2376" s="1127">
        <v>0.06</v>
      </c>
      <c r="K2376" s="1124"/>
    </row>
    <row r="2377" ht="15.75" customHeight="1">
      <c r="A2377" s="1119">
        <v>102047.0</v>
      </c>
      <c r="B2377" s="1125" t="s">
        <v>12655</v>
      </c>
      <c r="C2377" s="1126" t="s">
        <v>1814</v>
      </c>
      <c r="D2377" s="1119">
        <v>582.01</v>
      </c>
      <c r="E2377" s="1120">
        <v>167.78</v>
      </c>
      <c r="F2377" s="1121">
        <f t="shared" si="1"/>
        <v>414.27</v>
      </c>
      <c r="G2377" s="1120">
        <v>414.22</v>
      </c>
      <c r="H2377" s="1127">
        <v>0.0</v>
      </c>
      <c r="I2377" s="1127">
        <v>0.0</v>
      </c>
      <c r="J2377" s="1127">
        <v>0.05</v>
      </c>
      <c r="K2377" s="1124"/>
    </row>
    <row r="2378" ht="15.75" customHeight="1">
      <c r="A2378" s="1119">
        <v>102048.0</v>
      </c>
      <c r="B2378" s="1125" t="s">
        <v>12656</v>
      </c>
      <c r="C2378" s="1126" t="s">
        <v>1814</v>
      </c>
      <c r="D2378" s="1119">
        <v>302.8</v>
      </c>
      <c r="E2378" s="1120">
        <v>156.3</v>
      </c>
      <c r="F2378" s="1121">
        <f t="shared" si="1"/>
        <v>146.53</v>
      </c>
      <c r="G2378" s="1120">
        <v>136.94</v>
      </c>
      <c r="H2378" s="1127">
        <v>9.52</v>
      </c>
      <c r="I2378" s="1127">
        <v>0.0</v>
      </c>
      <c r="J2378" s="1127">
        <v>0.07</v>
      </c>
      <c r="K2378" s="1124"/>
    </row>
    <row r="2379" ht="15.75" customHeight="1">
      <c r="A2379" s="1119">
        <v>102049.0</v>
      </c>
      <c r="B2379" s="1125" t="s">
        <v>12657</v>
      </c>
      <c r="C2379" s="1126" t="s">
        <v>1814</v>
      </c>
      <c r="D2379" s="1119">
        <v>266.94</v>
      </c>
      <c r="E2379" s="1120">
        <v>126.9</v>
      </c>
      <c r="F2379" s="1121">
        <f t="shared" si="1"/>
        <v>140.08</v>
      </c>
      <c r="G2379" s="1120">
        <v>126.42</v>
      </c>
      <c r="H2379" s="1127">
        <v>13.59</v>
      </c>
      <c r="I2379" s="1127">
        <v>0.0</v>
      </c>
      <c r="J2379" s="1127">
        <v>0.07</v>
      </c>
      <c r="K2379" s="1124"/>
    </row>
    <row r="2380" ht="15.75" customHeight="1">
      <c r="A2380" s="1119">
        <v>102050.0</v>
      </c>
      <c r="B2380" s="1125" t="s">
        <v>12658</v>
      </c>
      <c r="C2380" s="1126" t="s">
        <v>1814</v>
      </c>
      <c r="D2380" s="1119">
        <v>231.52</v>
      </c>
      <c r="E2380" s="1120">
        <v>105.47</v>
      </c>
      <c r="F2380" s="1121">
        <f t="shared" si="1"/>
        <v>126.05</v>
      </c>
      <c r="G2380" s="1120">
        <v>112.42</v>
      </c>
      <c r="H2380" s="1127">
        <v>13.59</v>
      </c>
      <c r="I2380" s="1127">
        <v>0.0</v>
      </c>
      <c r="J2380" s="1127">
        <v>0.04</v>
      </c>
      <c r="K2380" s="1124"/>
    </row>
    <row r="2381" ht="15.75" customHeight="1">
      <c r="A2381" s="1119">
        <v>102051.0</v>
      </c>
      <c r="B2381" s="1125" t="s">
        <v>12659</v>
      </c>
      <c r="C2381" s="1126" t="s">
        <v>1814</v>
      </c>
      <c r="D2381" s="1119">
        <v>204.83</v>
      </c>
      <c r="E2381" s="1120">
        <v>96.84</v>
      </c>
      <c r="F2381" s="1121">
        <f t="shared" si="1"/>
        <v>108.02</v>
      </c>
      <c r="G2381" s="1120">
        <v>94.4</v>
      </c>
      <c r="H2381" s="1127">
        <v>13.59</v>
      </c>
      <c r="I2381" s="1127">
        <v>0.0</v>
      </c>
      <c r="J2381" s="1127">
        <v>0.03</v>
      </c>
      <c r="K2381" s="1124"/>
    </row>
    <row r="2382" ht="15.75" customHeight="1">
      <c r="A2382" s="1119">
        <v>102052.0</v>
      </c>
      <c r="B2382" s="1125" t="s">
        <v>12660</v>
      </c>
      <c r="C2382" s="1126" t="s">
        <v>1814</v>
      </c>
      <c r="D2382" s="1119">
        <v>189.94</v>
      </c>
      <c r="E2382" s="1120">
        <v>91.87</v>
      </c>
      <c r="F2382" s="1121">
        <f t="shared" si="1"/>
        <v>98.09</v>
      </c>
      <c r="G2382" s="1120">
        <v>84.47</v>
      </c>
      <c r="H2382" s="1127">
        <v>13.59</v>
      </c>
      <c r="I2382" s="1127">
        <v>0.0</v>
      </c>
      <c r="J2382" s="1127">
        <v>0.03</v>
      </c>
      <c r="K2382" s="1124"/>
    </row>
    <row r="2383" ht="15.75" customHeight="1">
      <c r="A2383" s="1119">
        <v>102059.0</v>
      </c>
      <c r="B2383" s="1125" t="s">
        <v>12661</v>
      </c>
      <c r="C2383" s="1126" t="s">
        <v>1814</v>
      </c>
      <c r="D2383" s="1119">
        <v>558.78</v>
      </c>
      <c r="E2383" s="1120">
        <v>196.23</v>
      </c>
      <c r="F2383" s="1121">
        <f t="shared" si="1"/>
        <v>362.61</v>
      </c>
      <c r="G2383" s="1120">
        <v>362.57</v>
      </c>
      <c r="H2383" s="1127">
        <v>0.01</v>
      </c>
      <c r="I2383" s="1127">
        <v>0.0</v>
      </c>
      <c r="J2383" s="1127">
        <v>0.03</v>
      </c>
      <c r="K2383" s="1124"/>
    </row>
    <row r="2384" ht="15.75" customHeight="1">
      <c r="A2384" s="1119">
        <v>102060.0</v>
      </c>
      <c r="B2384" s="1125" t="s">
        <v>12662</v>
      </c>
      <c r="C2384" s="1126" t="s">
        <v>1814</v>
      </c>
      <c r="D2384" s="1119">
        <v>468.91</v>
      </c>
      <c r="E2384" s="1120">
        <v>155.76</v>
      </c>
      <c r="F2384" s="1121">
        <f t="shared" si="1"/>
        <v>313.2</v>
      </c>
      <c r="G2384" s="1120">
        <v>313.18</v>
      </c>
      <c r="H2384" s="1127">
        <v>0.0</v>
      </c>
      <c r="I2384" s="1127">
        <v>0.0</v>
      </c>
      <c r="J2384" s="1127">
        <v>0.02</v>
      </c>
      <c r="K2384" s="1124"/>
    </row>
    <row r="2385" ht="15.75" customHeight="1">
      <c r="A2385" s="1119">
        <v>102061.0</v>
      </c>
      <c r="B2385" s="1125" t="s">
        <v>12663</v>
      </c>
      <c r="C2385" s="1126" t="s">
        <v>1814</v>
      </c>
      <c r="D2385" s="1119">
        <v>291.37</v>
      </c>
      <c r="E2385" s="1120">
        <v>130.7</v>
      </c>
      <c r="F2385" s="1121">
        <f t="shared" si="1"/>
        <v>160.69</v>
      </c>
      <c r="G2385" s="1120">
        <v>139.85</v>
      </c>
      <c r="H2385" s="1127">
        <v>20.8</v>
      </c>
      <c r="I2385" s="1127">
        <v>0.0</v>
      </c>
      <c r="J2385" s="1127">
        <v>0.04</v>
      </c>
      <c r="K2385" s="1124"/>
    </row>
    <row r="2386" ht="15.75" customHeight="1">
      <c r="A2386" s="1119">
        <v>102062.0</v>
      </c>
      <c r="B2386" s="1125" t="s">
        <v>12664</v>
      </c>
      <c r="C2386" s="1126" t="s">
        <v>1814</v>
      </c>
      <c r="D2386" s="1119">
        <v>265.09</v>
      </c>
      <c r="E2386" s="1120">
        <v>105.77</v>
      </c>
      <c r="F2386" s="1121">
        <f t="shared" si="1"/>
        <v>159.32</v>
      </c>
      <c r="G2386" s="1120">
        <v>129.57</v>
      </c>
      <c r="H2386" s="1127">
        <v>29.71</v>
      </c>
      <c r="I2386" s="1127">
        <v>0.0</v>
      </c>
      <c r="J2386" s="1127">
        <v>0.04</v>
      </c>
      <c r="K2386" s="1124"/>
    </row>
    <row r="2387" ht="15.75" customHeight="1">
      <c r="A2387" s="1119">
        <v>102063.0</v>
      </c>
      <c r="B2387" s="1125" t="s">
        <v>12665</v>
      </c>
      <c r="C2387" s="1126" t="s">
        <v>1814</v>
      </c>
      <c r="D2387" s="1119">
        <v>226.41</v>
      </c>
      <c r="E2387" s="1120">
        <v>88.12</v>
      </c>
      <c r="F2387" s="1121">
        <f t="shared" si="1"/>
        <v>138.32</v>
      </c>
      <c r="G2387" s="1120">
        <v>108.59</v>
      </c>
      <c r="H2387" s="1127">
        <v>29.71</v>
      </c>
      <c r="I2387" s="1127">
        <v>0.0</v>
      </c>
      <c r="J2387" s="1127">
        <v>0.02</v>
      </c>
      <c r="K2387" s="1124"/>
    </row>
    <row r="2388" ht="15.75" customHeight="1">
      <c r="A2388" s="1119">
        <v>102064.0</v>
      </c>
      <c r="B2388" s="1125" t="s">
        <v>12666</v>
      </c>
      <c r="C2388" s="1126" t="s">
        <v>1814</v>
      </c>
      <c r="D2388" s="1119">
        <v>200.84</v>
      </c>
      <c r="E2388" s="1120">
        <v>80.85</v>
      </c>
      <c r="F2388" s="1121">
        <f t="shared" si="1"/>
        <v>120</v>
      </c>
      <c r="G2388" s="1120">
        <v>90.27</v>
      </c>
      <c r="H2388" s="1127">
        <v>29.71</v>
      </c>
      <c r="I2388" s="1127">
        <v>0.0</v>
      </c>
      <c r="J2388" s="1127">
        <v>0.02</v>
      </c>
      <c r="K2388" s="1124"/>
    </row>
    <row r="2389" ht="15.75" customHeight="1">
      <c r="A2389" s="1119">
        <v>102065.0</v>
      </c>
      <c r="B2389" s="1125" t="s">
        <v>12667</v>
      </c>
      <c r="C2389" s="1126" t="s">
        <v>1814</v>
      </c>
      <c r="D2389" s="1119">
        <v>186.59</v>
      </c>
      <c r="E2389" s="1120">
        <v>76.69</v>
      </c>
      <c r="F2389" s="1121">
        <f t="shared" si="1"/>
        <v>109.92</v>
      </c>
      <c r="G2389" s="1120">
        <v>80.19</v>
      </c>
      <c r="H2389" s="1127">
        <v>29.72</v>
      </c>
      <c r="I2389" s="1127">
        <v>0.0</v>
      </c>
      <c r="J2389" s="1127">
        <v>0.01</v>
      </c>
      <c r="K2389" s="1124"/>
    </row>
    <row r="2390" ht="15.75" customHeight="1">
      <c r="A2390" s="1119">
        <v>102066.0</v>
      </c>
      <c r="B2390" s="1125" t="s">
        <v>12668</v>
      </c>
      <c r="C2390" s="1126" t="s">
        <v>1814</v>
      </c>
      <c r="D2390" s="1119">
        <v>599.72</v>
      </c>
      <c r="E2390" s="1120">
        <v>192.82</v>
      </c>
      <c r="F2390" s="1121">
        <f t="shared" si="1"/>
        <v>406.93</v>
      </c>
      <c r="G2390" s="1120">
        <v>406.86</v>
      </c>
      <c r="H2390" s="1127">
        <v>0.01</v>
      </c>
      <c r="I2390" s="1127">
        <v>0.0</v>
      </c>
      <c r="J2390" s="1127">
        <v>0.06</v>
      </c>
      <c r="K2390" s="1124"/>
    </row>
    <row r="2391" ht="15.75" customHeight="1">
      <c r="A2391" s="1119">
        <v>102067.0</v>
      </c>
      <c r="B2391" s="1125" t="s">
        <v>12669</v>
      </c>
      <c r="C2391" s="1126" t="s">
        <v>1814</v>
      </c>
      <c r="D2391" s="1119">
        <v>514.43</v>
      </c>
      <c r="E2391" s="1120">
        <v>153.53</v>
      </c>
      <c r="F2391" s="1121">
        <f t="shared" si="1"/>
        <v>360.91</v>
      </c>
      <c r="G2391" s="1120">
        <v>360.86</v>
      </c>
      <c r="H2391" s="1127">
        <v>0.0</v>
      </c>
      <c r="I2391" s="1127">
        <v>0.0</v>
      </c>
      <c r="J2391" s="1127">
        <v>0.05</v>
      </c>
      <c r="K2391" s="1124"/>
    </row>
    <row r="2392" ht="15.75" customHeight="1">
      <c r="A2392" s="1119">
        <v>102068.0</v>
      </c>
      <c r="B2392" s="1125" t="s">
        <v>12670</v>
      </c>
      <c r="C2392" s="1126" t="s">
        <v>1814</v>
      </c>
      <c r="D2392" s="1119">
        <v>274.73</v>
      </c>
      <c r="E2392" s="1120">
        <v>133.46</v>
      </c>
      <c r="F2392" s="1121">
        <f t="shared" si="1"/>
        <v>141.3</v>
      </c>
      <c r="G2392" s="1120">
        <v>127.27</v>
      </c>
      <c r="H2392" s="1127">
        <v>13.97</v>
      </c>
      <c r="I2392" s="1127">
        <v>0.0</v>
      </c>
      <c r="J2392" s="1127">
        <v>0.06</v>
      </c>
      <c r="K2392" s="1124"/>
    </row>
    <row r="2393" ht="15.75" customHeight="1">
      <c r="A2393" s="1119">
        <v>102069.0</v>
      </c>
      <c r="B2393" s="1125" t="s">
        <v>12671</v>
      </c>
      <c r="C2393" s="1126" t="s">
        <v>1814</v>
      </c>
      <c r="D2393" s="1119">
        <v>248.46</v>
      </c>
      <c r="E2393" s="1120">
        <v>109.09</v>
      </c>
      <c r="F2393" s="1121">
        <f t="shared" si="1"/>
        <v>139.37</v>
      </c>
      <c r="G2393" s="1120">
        <v>119.35</v>
      </c>
      <c r="H2393" s="1127">
        <v>19.96</v>
      </c>
      <c r="I2393" s="1127">
        <v>0.0</v>
      </c>
      <c r="J2393" s="1127">
        <v>0.06</v>
      </c>
      <c r="K2393" s="1124"/>
    </row>
    <row r="2394" ht="15.75" customHeight="1">
      <c r="A2394" s="1119">
        <v>102070.0</v>
      </c>
      <c r="B2394" s="1125" t="s">
        <v>12672</v>
      </c>
      <c r="C2394" s="1126" t="s">
        <v>1814</v>
      </c>
      <c r="D2394" s="1119">
        <v>215.43</v>
      </c>
      <c r="E2394" s="1120">
        <v>90.02</v>
      </c>
      <c r="F2394" s="1121">
        <f t="shared" si="1"/>
        <v>125.42</v>
      </c>
      <c r="G2394" s="1120">
        <v>105.43</v>
      </c>
      <c r="H2394" s="1127">
        <v>19.96</v>
      </c>
      <c r="I2394" s="1127">
        <v>0.0</v>
      </c>
      <c r="J2394" s="1127">
        <v>0.03</v>
      </c>
      <c r="K2394" s="1124"/>
    </row>
    <row r="2395" ht="15.75" customHeight="1">
      <c r="A2395" s="1119">
        <v>102071.0</v>
      </c>
      <c r="B2395" s="1125" t="s">
        <v>12673</v>
      </c>
      <c r="C2395" s="1126" t="s">
        <v>1814</v>
      </c>
      <c r="D2395" s="1119">
        <v>190.87</v>
      </c>
      <c r="E2395" s="1120">
        <v>82.5</v>
      </c>
      <c r="F2395" s="1121">
        <f t="shared" si="1"/>
        <v>108.37</v>
      </c>
      <c r="G2395" s="1120">
        <v>88.38</v>
      </c>
      <c r="H2395" s="1127">
        <v>19.96</v>
      </c>
      <c r="I2395" s="1127">
        <v>0.0</v>
      </c>
      <c r="J2395" s="1127">
        <v>0.03</v>
      </c>
      <c r="K2395" s="1124"/>
    </row>
    <row r="2396" ht="15.75" customHeight="1">
      <c r="A2396" s="1119">
        <v>102072.0</v>
      </c>
      <c r="B2396" s="1125" t="s">
        <v>12674</v>
      </c>
      <c r="C2396" s="1126" t="s">
        <v>1814</v>
      </c>
      <c r="D2396" s="1119">
        <v>180.47</v>
      </c>
      <c r="E2396" s="1120">
        <v>77.06</v>
      </c>
      <c r="F2396" s="1121">
        <f t="shared" si="1"/>
        <v>103.41</v>
      </c>
      <c r="G2396" s="1120">
        <v>83.44</v>
      </c>
      <c r="H2396" s="1127">
        <v>19.96</v>
      </c>
      <c r="I2396" s="1127">
        <v>0.0</v>
      </c>
      <c r="J2396" s="1127">
        <v>0.01</v>
      </c>
      <c r="K2396" s="1124"/>
    </row>
    <row r="2397" ht="15.75" customHeight="1">
      <c r="A2397" s="1119">
        <v>102073.0</v>
      </c>
      <c r="B2397" s="1125" t="s">
        <v>12675</v>
      </c>
      <c r="C2397" s="1126" t="s">
        <v>2178</v>
      </c>
      <c r="D2397" s="1128">
        <v>3640.94</v>
      </c>
      <c r="E2397" s="1120">
        <v>1211.27</v>
      </c>
      <c r="F2397" s="1121">
        <f t="shared" si="1"/>
        <v>2429.76</v>
      </c>
      <c r="G2397" s="1120">
        <v>2225.22</v>
      </c>
      <c r="H2397" s="1127">
        <v>204.21</v>
      </c>
      <c r="I2397" s="1127">
        <v>0.0</v>
      </c>
      <c r="J2397" s="1127">
        <v>0.33</v>
      </c>
      <c r="K2397" s="1124"/>
    </row>
    <row r="2398" ht="15.75" customHeight="1">
      <c r="A2398" s="1119">
        <v>102074.0</v>
      </c>
      <c r="B2398" s="1125" t="s">
        <v>12676</v>
      </c>
      <c r="C2398" s="1126" t="s">
        <v>2178</v>
      </c>
      <c r="D2398" s="1128">
        <v>4374.78</v>
      </c>
      <c r="E2398" s="1120">
        <v>1355.7</v>
      </c>
      <c r="F2398" s="1121">
        <f t="shared" si="1"/>
        <v>3020.46</v>
      </c>
      <c r="G2398" s="1120">
        <v>2759.37</v>
      </c>
      <c r="H2398" s="1127">
        <v>260.83</v>
      </c>
      <c r="I2398" s="1127">
        <v>0.0</v>
      </c>
      <c r="J2398" s="1127">
        <v>0.26</v>
      </c>
      <c r="K2398" s="1124"/>
    </row>
    <row r="2399" ht="15.75" customHeight="1">
      <c r="A2399" s="1119">
        <v>102075.0</v>
      </c>
      <c r="B2399" s="1125" t="s">
        <v>12677</v>
      </c>
      <c r="C2399" s="1126" t="s">
        <v>2178</v>
      </c>
      <c r="D2399" s="1128">
        <v>4565.41</v>
      </c>
      <c r="E2399" s="1120">
        <v>1407.49</v>
      </c>
      <c r="F2399" s="1121">
        <f t="shared" si="1"/>
        <v>3159.56</v>
      </c>
      <c r="G2399" s="1120">
        <v>2933.77</v>
      </c>
      <c r="H2399" s="1127">
        <v>225.31</v>
      </c>
      <c r="I2399" s="1127">
        <v>0.0</v>
      </c>
      <c r="J2399" s="1127">
        <v>0.48</v>
      </c>
      <c r="K2399" s="1124"/>
    </row>
    <row r="2400" ht="15.75" customHeight="1">
      <c r="A2400" s="1119">
        <v>102076.0</v>
      </c>
      <c r="B2400" s="1125" t="s">
        <v>12678</v>
      </c>
      <c r="C2400" s="1126" t="s">
        <v>2178</v>
      </c>
      <c r="D2400" s="1128">
        <v>4658.73</v>
      </c>
      <c r="E2400" s="1120">
        <v>1373.49</v>
      </c>
      <c r="F2400" s="1121">
        <f t="shared" si="1"/>
        <v>3286.6</v>
      </c>
      <c r="G2400" s="1120">
        <v>3032.84</v>
      </c>
      <c r="H2400" s="1127">
        <v>253.39</v>
      </c>
      <c r="I2400" s="1127">
        <v>0.0</v>
      </c>
      <c r="J2400" s="1127">
        <v>0.37</v>
      </c>
      <c r="K2400" s="1124"/>
    </row>
    <row r="2401" ht="15.75" customHeight="1">
      <c r="A2401" s="1119">
        <v>102077.0</v>
      </c>
      <c r="B2401" s="1125" t="s">
        <v>12679</v>
      </c>
      <c r="C2401" s="1126" t="s">
        <v>2178</v>
      </c>
      <c r="D2401" s="1128">
        <v>5161.99</v>
      </c>
      <c r="E2401" s="1120">
        <v>1819.49</v>
      </c>
      <c r="F2401" s="1121">
        <f t="shared" si="1"/>
        <v>3344.04</v>
      </c>
      <c r="G2401" s="1120">
        <v>3205.43</v>
      </c>
      <c r="H2401" s="1127">
        <v>137.88</v>
      </c>
      <c r="I2401" s="1127">
        <v>0.0</v>
      </c>
      <c r="J2401" s="1127">
        <v>0.73</v>
      </c>
      <c r="K2401" s="1124"/>
    </row>
    <row r="2402" ht="15.75" customHeight="1">
      <c r="A2402" s="1119">
        <v>102078.0</v>
      </c>
      <c r="B2402" s="1125" t="s">
        <v>12680</v>
      </c>
      <c r="C2402" s="1126" t="s">
        <v>2178</v>
      </c>
      <c r="D2402" s="1128">
        <v>5246.29</v>
      </c>
      <c r="E2402" s="1120">
        <v>1792.43</v>
      </c>
      <c r="F2402" s="1121">
        <f t="shared" si="1"/>
        <v>3455.25</v>
      </c>
      <c r="G2402" s="1120">
        <v>3221.3</v>
      </c>
      <c r="H2402" s="1127">
        <v>233.29</v>
      </c>
      <c r="I2402" s="1127">
        <v>0.0</v>
      </c>
      <c r="J2402" s="1127">
        <v>0.66</v>
      </c>
      <c r="K2402" s="1124"/>
    </row>
    <row r="2403" ht="15.75" customHeight="1">
      <c r="A2403" s="1119">
        <v>102079.0</v>
      </c>
      <c r="B2403" s="1125" t="s">
        <v>12681</v>
      </c>
      <c r="C2403" s="1126" t="s">
        <v>2178</v>
      </c>
      <c r="D2403" s="1128">
        <v>5048.39</v>
      </c>
      <c r="E2403" s="1120">
        <v>1714.25</v>
      </c>
      <c r="F2403" s="1121">
        <f t="shared" si="1"/>
        <v>3335.69</v>
      </c>
      <c r="G2403" s="1120">
        <v>3148.46</v>
      </c>
      <c r="H2403" s="1127">
        <v>186.46</v>
      </c>
      <c r="I2403" s="1127">
        <v>0.0</v>
      </c>
      <c r="J2403" s="1127">
        <v>0.77</v>
      </c>
      <c r="K2403" s="1124"/>
    </row>
    <row r="2404" ht="15.75" customHeight="1">
      <c r="A2404" s="1119">
        <v>102080.0</v>
      </c>
      <c r="B2404" s="1125" t="s">
        <v>12682</v>
      </c>
      <c r="C2404" s="1126" t="s">
        <v>2178</v>
      </c>
      <c r="D2404" s="1128">
        <v>4396.62</v>
      </c>
      <c r="E2404" s="1120">
        <v>1369.53</v>
      </c>
      <c r="F2404" s="1121">
        <f t="shared" si="1"/>
        <v>3028.42</v>
      </c>
      <c r="G2404" s="1120">
        <v>2872.05</v>
      </c>
      <c r="H2404" s="1127">
        <v>155.88</v>
      </c>
      <c r="I2404" s="1127">
        <v>0.0</v>
      </c>
      <c r="J2404" s="1127">
        <v>0.49</v>
      </c>
      <c r="K2404" s="1124"/>
    </row>
    <row r="2405" ht="15.75" customHeight="1">
      <c r="A2405" s="1119">
        <v>102086.0</v>
      </c>
      <c r="B2405" s="1125" t="s">
        <v>12683</v>
      </c>
      <c r="C2405" s="1126" t="s">
        <v>1814</v>
      </c>
      <c r="D2405" s="1119">
        <v>183.56</v>
      </c>
      <c r="E2405" s="1120">
        <v>28.94</v>
      </c>
      <c r="F2405" s="1121">
        <f t="shared" si="1"/>
        <v>154.62</v>
      </c>
      <c r="G2405" s="1120">
        <v>154.56</v>
      </c>
      <c r="H2405" s="1127">
        <v>0.01</v>
      </c>
      <c r="I2405" s="1127">
        <v>0.0</v>
      </c>
      <c r="J2405" s="1127">
        <v>0.05</v>
      </c>
      <c r="K2405" s="1124"/>
    </row>
    <row r="2406" ht="15.75" customHeight="1">
      <c r="A2406" s="1119">
        <v>102087.0</v>
      </c>
      <c r="B2406" s="1125" t="s">
        <v>12684</v>
      </c>
      <c r="C2406" s="1126" t="s">
        <v>1814</v>
      </c>
      <c r="D2406" s="1119">
        <v>145.99</v>
      </c>
      <c r="E2406" s="1120">
        <v>28.95</v>
      </c>
      <c r="F2406" s="1121">
        <f t="shared" si="1"/>
        <v>117.05</v>
      </c>
      <c r="G2406" s="1120">
        <v>116.99</v>
      </c>
      <c r="H2406" s="1127">
        <v>0.01</v>
      </c>
      <c r="I2406" s="1127">
        <v>0.0</v>
      </c>
      <c r="J2406" s="1127">
        <v>0.05</v>
      </c>
      <c r="K2406" s="1124"/>
    </row>
    <row r="2407" ht="15.75" customHeight="1">
      <c r="A2407" s="1119">
        <v>102088.0</v>
      </c>
      <c r="B2407" s="1125" t="s">
        <v>12685</v>
      </c>
      <c r="C2407" s="1126" t="s">
        <v>1814</v>
      </c>
      <c r="D2407" s="1119">
        <v>289.26</v>
      </c>
      <c r="E2407" s="1120">
        <v>30.33</v>
      </c>
      <c r="F2407" s="1121">
        <f t="shared" si="1"/>
        <v>258.94</v>
      </c>
      <c r="G2407" s="1120">
        <v>258.9</v>
      </c>
      <c r="H2407" s="1127">
        <v>0.01</v>
      </c>
      <c r="I2407" s="1127">
        <v>0.0</v>
      </c>
      <c r="J2407" s="1127">
        <v>0.03</v>
      </c>
      <c r="K2407" s="1124"/>
    </row>
    <row r="2408" ht="15.75" customHeight="1">
      <c r="A2408" s="1119">
        <v>102089.0</v>
      </c>
      <c r="B2408" s="1125" t="s">
        <v>12686</v>
      </c>
      <c r="C2408" s="1126" t="s">
        <v>1814</v>
      </c>
      <c r="D2408" s="1119">
        <v>174.36</v>
      </c>
      <c r="E2408" s="1120">
        <v>31.31</v>
      </c>
      <c r="F2408" s="1121">
        <f t="shared" si="1"/>
        <v>143.03</v>
      </c>
      <c r="G2408" s="1120">
        <v>142.95</v>
      </c>
      <c r="H2408" s="1127">
        <v>0.01</v>
      </c>
      <c r="I2408" s="1127">
        <v>0.0</v>
      </c>
      <c r="J2408" s="1127">
        <v>0.07</v>
      </c>
      <c r="K2408" s="1124"/>
    </row>
    <row r="2409" ht="15.75" customHeight="1">
      <c r="A2409" s="1119">
        <v>102090.0</v>
      </c>
      <c r="B2409" s="1125" t="s">
        <v>12687</v>
      </c>
      <c r="C2409" s="1126" t="s">
        <v>1814</v>
      </c>
      <c r="D2409" s="1119">
        <v>131.74</v>
      </c>
      <c r="E2409" s="1120">
        <v>31.32</v>
      </c>
      <c r="F2409" s="1121">
        <f t="shared" si="1"/>
        <v>100.41</v>
      </c>
      <c r="G2409" s="1120">
        <v>100.33</v>
      </c>
      <c r="H2409" s="1127">
        <v>0.01</v>
      </c>
      <c r="I2409" s="1127">
        <v>0.0</v>
      </c>
      <c r="J2409" s="1127">
        <v>0.07</v>
      </c>
      <c r="K2409" s="1124"/>
    </row>
    <row r="2410" ht="15.75" customHeight="1">
      <c r="A2410" s="1119">
        <v>102091.0</v>
      </c>
      <c r="B2410" s="1125" t="s">
        <v>12688</v>
      </c>
      <c r="C2410" s="1126" t="s">
        <v>1814</v>
      </c>
      <c r="D2410" s="1119">
        <v>342.2</v>
      </c>
      <c r="E2410" s="1120">
        <v>31.63</v>
      </c>
      <c r="F2410" s="1121">
        <f t="shared" si="1"/>
        <v>310.55</v>
      </c>
      <c r="G2410" s="1120">
        <v>310.48</v>
      </c>
      <c r="H2410" s="1127">
        <v>0.01</v>
      </c>
      <c r="I2410" s="1127">
        <v>0.0</v>
      </c>
      <c r="J2410" s="1127">
        <v>0.06</v>
      </c>
      <c r="K2410" s="1124"/>
    </row>
    <row r="2411" ht="15.75" customHeight="1">
      <c r="A2411" s="1119">
        <v>103760.0</v>
      </c>
      <c r="B2411" s="1125" t="s">
        <v>12689</v>
      </c>
      <c r="C2411" s="1126" t="s">
        <v>1814</v>
      </c>
      <c r="D2411" s="1119">
        <v>131.21</v>
      </c>
      <c r="E2411" s="1120">
        <v>31.88</v>
      </c>
      <c r="F2411" s="1121">
        <f t="shared" si="1"/>
        <v>99.32</v>
      </c>
      <c r="G2411" s="1120">
        <v>99.32</v>
      </c>
      <c r="H2411" s="1127">
        <v>0.0</v>
      </c>
      <c r="I2411" s="1127">
        <v>0.0</v>
      </c>
      <c r="J2411" s="1127">
        <v>0.0</v>
      </c>
      <c r="K2411" s="1124"/>
    </row>
    <row r="2412" ht="15.75" customHeight="1">
      <c r="A2412" s="1119">
        <v>103761.0</v>
      </c>
      <c r="B2412" s="1125" t="s">
        <v>12690</v>
      </c>
      <c r="C2412" s="1126" t="s">
        <v>1814</v>
      </c>
      <c r="D2412" s="1119">
        <v>87.07</v>
      </c>
      <c r="E2412" s="1120">
        <v>29.46</v>
      </c>
      <c r="F2412" s="1121">
        <f t="shared" si="1"/>
        <v>57.63</v>
      </c>
      <c r="G2412" s="1120">
        <v>57.63</v>
      </c>
      <c r="H2412" s="1127">
        <v>0.0</v>
      </c>
      <c r="I2412" s="1127">
        <v>0.0</v>
      </c>
      <c r="J2412" s="1127">
        <v>0.0</v>
      </c>
      <c r="K2412" s="1124"/>
    </row>
    <row r="2413" ht="15.75" customHeight="1">
      <c r="A2413" s="1119">
        <v>103762.0</v>
      </c>
      <c r="B2413" s="1125" t="s">
        <v>12691</v>
      </c>
      <c r="C2413" s="1126" t="s">
        <v>1814</v>
      </c>
      <c r="D2413" s="1119">
        <v>74.76</v>
      </c>
      <c r="E2413" s="1120">
        <v>27.06</v>
      </c>
      <c r="F2413" s="1121">
        <f t="shared" si="1"/>
        <v>47.7</v>
      </c>
      <c r="G2413" s="1120">
        <v>47.7</v>
      </c>
      <c r="H2413" s="1127">
        <v>0.0</v>
      </c>
      <c r="I2413" s="1127">
        <v>0.0</v>
      </c>
      <c r="J2413" s="1127">
        <v>0.0</v>
      </c>
      <c r="K2413" s="1124"/>
    </row>
    <row r="2414" ht="15.75" customHeight="1">
      <c r="A2414" s="1119">
        <v>103763.0</v>
      </c>
      <c r="B2414" s="1125" t="s">
        <v>12692</v>
      </c>
      <c r="C2414" s="1126" t="s">
        <v>1814</v>
      </c>
      <c r="D2414" s="1119">
        <v>65.72</v>
      </c>
      <c r="E2414" s="1120">
        <v>25.09</v>
      </c>
      <c r="F2414" s="1121">
        <f t="shared" si="1"/>
        <v>40.64</v>
      </c>
      <c r="G2414" s="1120">
        <v>40.64</v>
      </c>
      <c r="H2414" s="1127">
        <v>0.0</v>
      </c>
      <c r="I2414" s="1127">
        <v>0.0</v>
      </c>
      <c r="J2414" s="1127">
        <v>0.0</v>
      </c>
      <c r="K2414" s="1124"/>
    </row>
    <row r="2415" ht="15.75" customHeight="1">
      <c r="A2415" s="1119">
        <v>89996.0</v>
      </c>
      <c r="B2415" s="1125" t="s">
        <v>12693</v>
      </c>
      <c r="C2415" s="1126" t="s">
        <v>3606</v>
      </c>
      <c r="D2415" s="1119">
        <v>11.03</v>
      </c>
      <c r="E2415" s="1120">
        <v>2.19</v>
      </c>
      <c r="F2415" s="1121">
        <f t="shared" si="1"/>
        <v>8.84</v>
      </c>
      <c r="G2415" s="1120">
        <v>8.84</v>
      </c>
      <c r="H2415" s="1127">
        <v>0.0</v>
      </c>
      <c r="I2415" s="1127">
        <v>0.0</v>
      </c>
      <c r="J2415" s="1127">
        <v>0.0</v>
      </c>
      <c r="K2415" s="1124"/>
    </row>
    <row r="2416" ht="15.75" customHeight="1">
      <c r="A2416" s="1119">
        <v>89997.0</v>
      </c>
      <c r="B2416" s="1125" t="s">
        <v>12694</v>
      </c>
      <c r="C2416" s="1126" t="s">
        <v>3606</v>
      </c>
      <c r="D2416" s="1119">
        <v>8.89</v>
      </c>
      <c r="E2416" s="1120">
        <v>1.41</v>
      </c>
      <c r="F2416" s="1121">
        <f t="shared" si="1"/>
        <v>7.49</v>
      </c>
      <c r="G2416" s="1120">
        <v>7.49</v>
      </c>
      <c r="H2416" s="1127">
        <v>0.0</v>
      </c>
      <c r="I2416" s="1127">
        <v>0.0</v>
      </c>
      <c r="J2416" s="1127">
        <v>0.0</v>
      </c>
      <c r="K2416" s="1124"/>
    </row>
    <row r="2417" ht="15.75" customHeight="1">
      <c r="A2417" s="1119">
        <v>89998.0</v>
      </c>
      <c r="B2417" s="1125" t="s">
        <v>12695</v>
      </c>
      <c r="C2417" s="1126" t="s">
        <v>3606</v>
      </c>
      <c r="D2417" s="1119">
        <v>10.41</v>
      </c>
      <c r="E2417" s="1120">
        <v>1.74</v>
      </c>
      <c r="F2417" s="1121">
        <f t="shared" si="1"/>
        <v>8.67</v>
      </c>
      <c r="G2417" s="1120">
        <v>8.67</v>
      </c>
      <c r="H2417" s="1127">
        <v>0.0</v>
      </c>
      <c r="I2417" s="1127">
        <v>0.0</v>
      </c>
      <c r="J2417" s="1127">
        <v>0.0</v>
      </c>
      <c r="K2417" s="1124"/>
    </row>
    <row r="2418" ht="15.75" customHeight="1">
      <c r="A2418" s="1119">
        <v>89999.0</v>
      </c>
      <c r="B2418" s="1125" t="s">
        <v>12696</v>
      </c>
      <c r="C2418" s="1126" t="s">
        <v>3606</v>
      </c>
      <c r="D2418" s="1119">
        <v>17.29</v>
      </c>
      <c r="E2418" s="1120">
        <v>6.44</v>
      </c>
      <c r="F2418" s="1121">
        <f t="shared" si="1"/>
        <v>10.85</v>
      </c>
      <c r="G2418" s="1120">
        <v>10.85</v>
      </c>
      <c r="H2418" s="1127">
        <v>0.0</v>
      </c>
      <c r="I2418" s="1127">
        <v>0.0</v>
      </c>
      <c r="J2418" s="1127">
        <v>0.0</v>
      </c>
      <c r="K2418" s="1124"/>
    </row>
    <row r="2419" ht="15.75" customHeight="1">
      <c r="A2419" s="1119">
        <v>90000.0</v>
      </c>
      <c r="B2419" s="1125" t="s">
        <v>12697</v>
      </c>
      <c r="C2419" s="1126" t="s">
        <v>3606</v>
      </c>
      <c r="D2419" s="1119">
        <v>13.65</v>
      </c>
      <c r="E2419" s="1120">
        <v>4.13</v>
      </c>
      <c r="F2419" s="1121">
        <f t="shared" si="1"/>
        <v>9.52</v>
      </c>
      <c r="G2419" s="1120">
        <v>9.52</v>
      </c>
      <c r="H2419" s="1127">
        <v>0.0</v>
      </c>
      <c r="I2419" s="1127">
        <v>0.0</v>
      </c>
      <c r="J2419" s="1127">
        <v>0.0</v>
      </c>
      <c r="K2419" s="1124"/>
    </row>
    <row r="2420" ht="15.75" customHeight="1">
      <c r="A2420" s="1119">
        <v>91593.0</v>
      </c>
      <c r="B2420" s="1125" t="s">
        <v>12698</v>
      </c>
      <c r="C2420" s="1126" t="s">
        <v>3606</v>
      </c>
      <c r="D2420" s="1119">
        <v>10.51</v>
      </c>
      <c r="E2420" s="1120">
        <v>0.71</v>
      </c>
      <c r="F2420" s="1121">
        <f t="shared" si="1"/>
        <v>9.8</v>
      </c>
      <c r="G2420" s="1120">
        <v>9.8</v>
      </c>
      <c r="H2420" s="1127">
        <v>0.0</v>
      </c>
      <c r="I2420" s="1127">
        <v>0.0</v>
      </c>
      <c r="J2420" s="1127">
        <v>0.0</v>
      </c>
      <c r="K2420" s="1124"/>
    </row>
    <row r="2421" ht="15.75" customHeight="1">
      <c r="A2421" s="1119">
        <v>91594.0</v>
      </c>
      <c r="B2421" s="1125" t="s">
        <v>12699</v>
      </c>
      <c r="C2421" s="1126" t="s">
        <v>3606</v>
      </c>
      <c r="D2421" s="1119">
        <v>11.02</v>
      </c>
      <c r="E2421" s="1120">
        <v>1.05</v>
      </c>
      <c r="F2421" s="1121">
        <f t="shared" si="1"/>
        <v>9.97</v>
      </c>
      <c r="G2421" s="1120">
        <v>9.97</v>
      </c>
      <c r="H2421" s="1127">
        <v>0.0</v>
      </c>
      <c r="I2421" s="1127">
        <v>0.0</v>
      </c>
      <c r="J2421" s="1127">
        <v>0.0</v>
      </c>
      <c r="K2421" s="1124"/>
    </row>
    <row r="2422" ht="15.75" customHeight="1">
      <c r="A2422" s="1119">
        <v>91595.0</v>
      </c>
      <c r="B2422" s="1125" t="s">
        <v>12700</v>
      </c>
      <c r="C2422" s="1126" t="s">
        <v>3606</v>
      </c>
      <c r="D2422" s="1119">
        <v>11.89</v>
      </c>
      <c r="E2422" s="1120">
        <v>1.67</v>
      </c>
      <c r="F2422" s="1121">
        <f t="shared" si="1"/>
        <v>10.21</v>
      </c>
      <c r="G2422" s="1120">
        <v>10.21</v>
      </c>
      <c r="H2422" s="1127">
        <v>0.0</v>
      </c>
      <c r="I2422" s="1127">
        <v>0.0</v>
      </c>
      <c r="J2422" s="1127">
        <v>0.0</v>
      </c>
      <c r="K2422" s="1124"/>
    </row>
    <row r="2423" ht="15.75" customHeight="1">
      <c r="A2423" s="1119">
        <v>91596.0</v>
      </c>
      <c r="B2423" s="1125" t="s">
        <v>12701</v>
      </c>
      <c r="C2423" s="1126" t="s">
        <v>3606</v>
      </c>
      <c r="D2423" s="1119">
        <v>10.89</v>
      </c>
      <c r="E2423" s="1120">
        <v>1.0</v>
      </c>
      <c r="F2423" s="1121">
        <f t="shared" si="1"/>
        <v>9.9</v>
      </c>
      <c r="G2423" s="1120">
        <v>9.9</v>
      </c>
      <c r="H2423" s="1127">
        <v>0.0</v>
      </c>
      <c r="I2423" s="1127">
        <v>0.0</v>
      </c>
      <c r="J2423" s="1127">
        <v>0.0</v>
      </c>
      <c r="K2423" s="1124"/>
    </row>
    <row r="2424" ht="15.75" customHeight="1">
      <c r="A2424" s="1119">
        <v>91597.0</v>
      </c>
      <c r="B2424" s="1125" t="s">
        <v>12702</v>
      </c>
      <c r="C2424" s="1126" t="s">
        <v>3606</v>
      </c>
      <c r="D2424" s="1119">
        <v>7.88</v>
      </c>
      <c r="E2424" s="1120">
        <v>1.05</v>
      </c>
      <c r="F2424" s="1121">
        <f t="shared" si="1"/>
        <v>6.83</v>
      </c>
      <c r="G2424" s="1120">
        <v>6.83</v>
      </c>
      <c r="H2424" s="1127">
        <v>0.0</v>
      </c>
      <c r="I2424" s="1127">
        <v>0.0</v>
      </c>
      <c r="J2424" s="1127">
        <v>0.0</v>
      </c>
      <c r="K2424" s="1124"/>
    </row>
    <row r="2425" ht="15.75" customHeight="1">
      <c r="A2425" s="1119">
        <v>91598.0</v>
      </c>
      <c r="B2425" s="1125" t="s">
        <v>12703</v>
      </c>
      <c r="C2425" s="1126" t="s">
        <v>3606</v>
      </c>
      <c r="D2425" s="1119">
        <v>10.78</v>
      </c>
      <c r="E2425" s="1120">
        <v>1.2</v>
      </c>
      <c r="F2425" s="1121">
        <f t="shared" si="1"/>
        <v>9.57</v>
      </c>
      <c r="G2425" s="1120">
        <v>9.57</v>
      </c>
      <c r="H2425" s="1127">
        <v>0.0</v>
      </c>
      <c r="I2425" s="1127">
        <v>0.0</v>
      </c>
      <c r="J2425" s="1127">
        <v>0.0</v>
      </c>
      <c r="K2425" s="1124"/>
    </row>
    <row r="2426" ht="15.75" customHeight="1">
      <c r="A2426" s="1119">
        <v>91599.0</v>
      </c>
      <c r="B2426" s="1125" t="s">
        <v>12704</v>
      </c>
      <c r="C2426" s="1126" t="s">
        <v>3606</v>
      </c>
      <c r="D2426" s="1119">
        <v>8.31</v>
      </c>
      <c r="E2426" s="1120">
        <v>1.3</v>
      </c>
      <c r="F2426" s="1121">
        <f t="shared" si="1"/>
        <v>7.01</v>
      </c>
      <c r="G2426" s="1120">
        <v>7.01</v>
      </c>
      <c r="H2426" s="1127">
        <v>0.0</v>
      </c>
      <c r="I2426" s="1127">
        <v>0.0</v>
      </c>
      <c r="J2426" s="1127">
        <v>0.0</v>
      </c>
      <c r="K2426" s="1124"/>
    </row>
    <row r="2427" ht="15.75" customHeight="1">
      <c r="A2427" s="1119">
        <v>91600.0</v>
      </c>
      <c r="B2427" s="1125" t="s">
        <v>12705</v>
      </c>
      <c r="C2427" s="1126" t="s">
        <v>3606</v>
      </c>
      <c r="D2427" s="1119">
        <v>13.95</v>
      </c>
      <c r="E2427" s="1120">
        <v>3.16</v>
      </c>
      <c r="F2427" s="1121">
        <f t="shared" si="1"/>
        <v>10.81</v>
      </c>
      <c r="G2427" s="1120">
        <v>10.81</v>
      </c>
      <c r="H2427" s="1127">
        <v>0.0</v>
      </c>
      <c r="I2427" s="1127">
        <v>0.0</v>
      </c>
      <c r="J2427" s="1127">
        <v>0.0</v>
      </c>
      <c r="K2427" s="1124"/>
    </row>
    <row r="2428" ht="15.75" customHeight="1">
      <c r="A2428" s="1119">
        <v>91601.0</v>
      </c>
      <c r="B2428" s="1125" t="s">
        <v>12706</v>
      </c>
      <c r="C2428" s="1126" t="s">
        <v>3606</v>
      </c>
      <c r="D2428" s="1119">
        <v>12.82</v>
      </c>
      <c r="E2428" s="1120">
        <v>2.33</v>
      </c>
      <c r="F2428" s="1121">
        <f t="shared" si="1"/>
        <v>10.48</v>
      </c>
      <c r="G2428" s="1120">
        <v>10.48</v>
      </c>
      <c r="H2428" s="1127">
        <v>0.0</v>
      </c>
      <c r="I2428" s="1127">
        <v>0.0</v>
      </c>
      <c r="J2428" s="1127">
        <v>0.0</v>
      </c>
      <c r="K2428" s="1124"/>
    </row>
    <row r="2429" ht="15.75" customHeight="1">
      <c r="A2429" s="1119">
        <v>91602.0</v>
      </c>
      <c r="B2429" s="1125" t="s">
        <v>12707</v>
      </c>
      <c r="C2429" s="1126" t="s">
        <v>3606</v>
      </c>
      <c r="D2429" s="1119">
        <v>11.63</v>
      </c>
      <c r="E2429" s="1120">
        <v>1.39</v>
      </c>
      <c r="F2429" s="1121">
        <f t="shared" si="1"/>
        <v>10.23</v>
      </c>
      <c r="G2429" s="1120">
        <v>10.23</v>
      </c>
      <c r="H2429" s="1127">
        <v>0.0</v>
      </c>
      <c r="I2429" s="1127">
        <v>0.0</v>
      </c>
      <c r="J2429" s="1127">
        <v>0.0</v>
      </c>
      <c r="K2429" s="1124"/>
    </row>
    <row r="2430" ht="15.75" customHeight="1">
      <c r="A2430" s="1119">
        <v>91603.0</v>
      </c>
      <c r="B2430" s="1125" t="s">
        <v>12708</v>
      </c>
      <c r="C2430" s="1126" t="s">
        <v>3606</v>
      </c>
      <c r="D2430" s="1119">
        <v>10.99</v>
      </c>
      <c r="E2430" s="1120">
        <v>1.32</v>
      </c>
      <c r="F2430" s="1121">
        <f t="shared" si="1"/>
        <v>9.66</v>
      </c>
      <c r="G2430" s="1120">
        <v>9.66</v>
      </c>
      <c r="H2430" s="1127">
        <v>0.0</v>
      </c>
      <c r="I2430" s="1127">
        <v>0.0</v>
      </c>
      <c r="J2430" s="1127">
        <v>0.0</v>
      </c>
      <c r="K2430" s="1124"/>
    </row>
    <row r="2431" ht="15.75" customHeight="1">
      <c r="A2431" s="1119">
        <v>92759.0</v>
      </c>
      <c r="B2431" s="1125" t="s">
        <v>12709</v>
      </c>
      <c r="C2431" s="1126" t="s">
        <v>3606</v>
      </c>
      <c r="D2431" s="1119">
        <v>15.06</v>
      </c>
      <c r="E2431" s="1120">
        <v>4.5</v>
      </c>
      <c r="F2431" s="1121">
        <f t="shared" si="1"/>
        <v>10.58</v>
      </c>
      <c r="G2431" s="1120">
        <v>10.58</v>
      </c>
      <c r="H2431" s="1127">
        <v>0.0</v>
      </c>
      <c r="I2431" s="1127">
        <v>0.0</v>
      </c>
      <c r="J2431" s="1127">
        <v>0.0</v>
      </c>
      <c r="K2431" s="1124"/>
    </row>
    <row r="2432" ht="15.75" customHeight="1">
      <c r="A2432" s="1119">
        <v>92760.0</v>
      </c>
      <c r="B2432" s="1125" t="s">
        <v>12710</v>
      </c>
      <c r="C2432" s="1126" t="s">
        <v>3606</v>
      </c>
      <c r="D2432" s="1119">
        <v>13.95</v>
      </c>
      <c r="E2432" s="1120">
        <v>2.98</v>
      </c>
      <c r="F2432" s="1121">
        <f t="shared" si="1"/>
        <v>10.97</v>
      </c>
      <c r="G2432" s="1120">
        <v>10.97</v>
      </c>
      <c r="H2432" s="1127">
        <v>0.0</v>
      </c>
      <c r="I2432" s="1127">
        <v>0.0</v>
      </c>
      <c r="J2432" s="1127">
        <v>0.0</v>
      </c>
      <c r="K2432" s="1124"/>
    </row>
    <row r="2433" ht="15.75" customHeight="1">
      <c r="A2433" s="1119">
        <v>92761.0</v>
      </c>
      <c r="B2433" s="1125" t="s">
        <v>12711</v>
      </c>
      <c r="C2433" s="1126" t="s">
        <v>3606</v>
      </c>
      <c r="D2433" s="1119">
        <v>12.92</v>
      </c>
      <c r="E2433" s="1120">
        <v>1.95</v>
      </c>
      <c r="F2433" s="1121">
        <f t="shared" si="1"/>
        <v>10.96</v>
      </c>
      <c r="G2433" s="1120">
        <v>10.96</v>
      </c>
      <c r="H2433" s="1127">
        <v>0.0</v>
      </c>
      <c r="I2433" s="1127">
        <v>0.0</v>
      </c>
      <c r="J2433" s="1127">
        <v>0.0</v>
      </c>
      <c r="K2433" s="1124"/>
    </row>
    <row r="2434" ht="15.75" customHeight="1">
      <c r="A2434" s="1119">
        <v>92762.0</v>
      </c>
      <c r="B2434" s="1125" t="s">
        <v>12712</v>
      </c>
      <c r="C2434" s="1126" t="s">
        <v>3606</v>
      </c>
      <c r="D2434" s="1119">
        <v>11.44</v>
      </c>
      <c r="E2434" s="1120">
        <v>1.29</v>
      </c>
      <c r="F2434" s="1121">
        <f t="shared" si="1"/>
        <v>10.16</v>
      </c>
      <c r="G2434" s="1120">
        <v>10.16</v>
      </c>
      <c r="H2434" s="1127">
        <v>0.0</v>
      </c>
      <c r="I2434" s="1127">
        <v>0.0</v>
      </c>
      <c r="J2434" s="1127">
        <v>0.0</v>
      </c>
      <c r="K2434" s="1124"/>
    </row>
    <row r="2435" ht="15.75" customHeight="1">
      <c r="A2435" s="1119">
        <v>92763.0</v>
      </c>
      <c r="B2435" s="1125" t="s">
        <v>12713</v>
      </c>
      <c r="C2435" s="1126" t="s">
        <v>3606</v>
      </c>
      <c r="D2435" s="1119">
        <v>9.59</v>
      </c>
      <c r="E2435" s="1120">
        <v>0.81</v>
      </c>
      <c r="F2435" s="1121">
        <f t="shared" si="1"/>
        <v>8.77</v>
      </c>
      <c r="G2435" s="1120">
        <v>8.77</v>
      </c>
      <c r="H2435" s="1127">
        <v>0.0</v>
      </c>
      <c r="I2435" s="1127">
        <v>0.0</v>
      </c>
      <c r="J2435" s="1127">
        <v>0.0</v>
      </c>
      <c r="K2435" s="1124"/>
    </row>
    <row r="2436" ht="15.75" customHeight="1">
      <c r="A2436" s="1119">
        <v>92764.0</v>
      </c>
      <c r="B2436" s="1125" t="s">
        <v>12714</v>
      </c>
      <c r="C2436" s="1126" t="s">
        <v>3606</v>
      </c>
      <c r="D2436" s="1119">
        <v>9.23</v>
      </c>
      <c r="E2436" s="1120">
        <v>0.57</v>
      </c>
      <c r="F2436" s="1121">
        <f t="shared" si="1"/>
        <v>8.66</v>
      </c>
      <c r="G2436" s="1120">
        <v>8.66</v>
      </c>
      <c r="H2436" s="1127">
        <v>0.0</v>
      </c>
      <c r="I2436" s="1127">
        <v>0.0</v>
      </c>
      <c r="J2436" s="1127">
        <v>0.0</v>
      </c>
      <c r="K2436" s="1124"/>
    </row>
    <row r="2437" ht="15.75" customHeight="1">
      <c r="A2437" s="1119">
        <v>92765.0</v>
      </c>
      <c r="B2437" s="1125" t="s">
        <v>12715</v>
      </c>
      <c r="C2437" s="1126" t="s">
        <v>3606</v>
      </c>
      <c r="D2437" s="1119">
        <v>10.44</v>
      </c>
      <c r="E2437" s="1120">
        <v>0.43</v>
      </c>
      <c r="F2437" s="1121">
        <f t="shared" si="1"/>
        <v>10</v>
      </c>
      <c r="G2437" s="1120">
        <v>10.0</v>
      </c>
      <c r="H2437" s="1127">
        <v>0.0</v>
      </c>
      <c r="I2437" s="1127">
        <v>0.0</v>
      </c>
      <c r="J2437" s="1127">
        <v>0.0</v>
      </c>
      <c r="K2437" s="1124"/>
    </row>
    <row r="2438" ht="15.75" customHeight="1">
      <c r="A2438" s="1119">
        <v>92766.0</v>
      </c>
      <c r="B2438" s="1125" t="s">
        <v>12716</v>
      </c>
      <c r="C2438" s="1126" t="s">
        <v>3606</v>
      </c>
      <c r="D2438" s="1119">
        <v>10.3</v>
      </c>
      <c r="E2438" s="1120">
        <v>0.33</v>
      </c>
      <c r="F2438" s="1121">
        <f t="shared" si="1"/>
        <v>9.97</v>
      </c>
      <c r="G2438" s="1120">
        <v>9.97</v>
      </c>
      <c r="H2438" s="1127">
        <v>0.0</v>
      </c>
      <c r="I2438" s="1127">
        <v>0.0</v>
      </c>
      <c r="J2438" s="1127">
        <v>0.0</v>
      </c>
      <c r="K2438" s="1124"/>
    </row>
    <row r="2439" ht="15.75" customHeight="1">
      <c r="A2439" s="1119">
        <v>92767.0</v>
      </c>
      <c r="B2439" s="1125" t="s">
        <v>12717</v>
      </c>
      <c r="C2439" s="1126" t="s">
        <v>3606</v>
      </c>
      <c r="D2439" s="1119">
        <v>16.65</v>
      </c>
      <c r="E2439" s="1120">
        <v>5.42</v>
      </c>
      <c r="F2439" s="1121">
        <f t="shared" si="1"/>
        <v>11.23</v>
      </c>
      <c r="G2439" s="1120">
        <v>11.23</v>
      </c>
      <c r="H2439" s="1127">
        <v>0.0</v>
      </c>
      <c r="I2439" s="1127">
        <v>0.0</v>
      </c>
      <c r="J2439" s="1127">
        <v>0.0</v>
      </c>
      <c r="K2439" s="1124"/>
    </row>
    <row r="2440" ht="15.75" customHeight="1">
      <c r="A2440" s="1119">
        <v>92768.0</v>
      </c>
      <c r="B2440" s="1125" t="s">
        <v>12718</v>
      </c>
      <c r="C2440" s="1126" t="s">
        <v>3606</v>
      </c>
      <c r="D2440" s="1119">
        <v>14.42</v>
      </c>
      <c r="E2440" s="1120">
        <v>3.86</v>
      </c>
      <c r="F2440" s="1121">
        <f t="shared" si="1"/>
        <v>10.57</v>
      </c>
      <c r="G2440" s="1120">
        <v>10.57</v>
      </c>
      <c r="H2440" s="1127">
        <v>0.0</v>
      </c>
      <c r="I2440" s="1127">
        <v>0.0</v>
      </c>
      <c r="J2440" s="1127">
        <v>0.0</v>
      </c>
      <c r="K2440" s="1124"/>
    </row>
    <row r="2441" ht="15.75" customHeight="1">
      <c r="A2441" s="1119">
        <v>92769.0</v>
      </c>
      <c r="B2441" s="1125" t="s">
        <v>12719</v>
      </c>
      <c r="C2441" s="1126" t="s">
        <v>3606</v>
      </c>
      <c r="D2441" s="1119">
        <v>13.32</v>
      </c>
      <c r="E2441" s="1120">
        <v>2.45</v>
      </c>
      <c r="F2441" s="1121">
        <f t="shared" si="1"/>
        <v>10.86</v>
      </c>
      <c r="G2441" s="1120">
        <v>10.86</v>
      </c>
      <c r="H2441" s="1127">
        <v>0.0</v>
      </c>
      <c r="I2441" s="1127">
        <v>0.0</v>
      </c>
      <c r="J2441" s="1127">
        <v>0.0</v>
      </c>
      <c r="K2441" s="1124"/>
    </row>
    <row r="2442" ht="15.75" customHeight="1">
      <c r="A2442" s="1119">
        <v>92770.0</v>
      </c>
      <c r="B2442" s="1125" t="s">
        <v>12720</v>
      </c>
      <c r="C2442" s="1126" t="s">
        <v>3606</v>
      </c>
      <c r="D2442" s="1119">
        <v>12.34</v>
      </c>
      <c r="E2442" s="1120">
        <v>1.53</v>
      </c>
      <c r="F2442" s="1121">
        <f t="shared" si="1"/>
        <v>10.81</v>
      </c>
      <c r="G2442" s="1120">
        <v>10.81</v>
      </c>
      <c r="H2442" s="1127">
        <v>0.0</v>
      </c>
      <c r="I2442" s="1127">
        <v>0.0</v>
      </c>
      <c r="J2442" s="1127">
        <v>0.0</v>
      </c>
      <c r="K2442" s="1124"/>
    </row>
    <row r="2443" ht="15.75" customHeight="1">
      <c r="A2443" s="1119">
        <v>92771.0</v>
      </c>
      <c r="B2443" s="1125" t="s">
        <v>12721</v>
      </c>
      <c r="C2443" s="1126" t="s">
        <v>3606</v>
      </c>
      <c r="D2443" s="1119">
        <v>10.91</v>
      </c>
      <c r="E2443" s="1120">
        <v>0.92</v>
      </c>
      <c r="F2443" s="1121">
        <f t="shared" si="1"/>
        <v>9.99</v>
      </c>
      <c r="G2443" s="1120">
        <v>9.99</v>
      </c>
      <c r="H2443" s="1127">
        <v>0.0</v>
      </c>
      <c r="I2443" s="1127">
        <v>0.0</v>
      </c>
      <c r="J2443" s="1127">
        <v>0.0</v>
      </c>
      <c r="K2443" s="1124"/>
    </row>
    <row r="2444" ht="15.75" customHeight="1">
      <c r="A2444" s="1119">
        <v>92772.0</v>
      </c>
      <c r="B2444" s="1125" t="s">
        <v>12722</v>
      </c>
      <c r="C2444" s="1126" t="s">
        <v>3606</v>
      </c>
      <c r="D2444" s="1119">
        <v>9.12</v>
      </c>
      <c r="E2444" s="1120">
        <v>0.49</v>
      </c>
      <c r="F2444" s="1121">
        <f t="shared" si="1"/>
        <v>8.62</v>
      </c>
      <c r="G2444" s="1120">
        <v>8.62</v>
      </c>
      <c r="H2444" s="1127">
        <v>0.0</v>
      </c>
      <c r="I2444" s="1127">
        <v>0.0</v>
      </c>
      <c r="J2444" s="1127">
        <v>0.0</v>
      </c>
      <c r="K2444" s="1124"/>
    </row>
    <row r="2445" ht="15.75" customHeight="1">
      <c r="A2445" s="1119">
        <v>92773.0</v>
      </c>
      <c r="B2445" s="1125" t="s">
        <v>12723</v>
      </c>
      <c r="C2445" s="1126" t="s">
        <v>3606</v>
      </c>
      <c r="D2445" s="1119">
        <v>8.93</v>
      </c>
      <c r="E2445" s="1120">
        <v>0.38</v>
      </c>
      <c r="F2445" s="1121">
        <f t="shared" si="1"/>
        <v>8.55</v>
      </c>
      <c r="G2445" s="1120">
        <v>8.55</v>
      </c>
      <c r="H2445" s="1127">
        <v>0.0</v>
      </c>
      <c r="I2445" s="1127">
        <v>0.0</v>
      </c>
      <c r="J2445" s="1127">
        <v>0.0</v>
      </c>
      <c r="K2445" s="1124"/>
    </row>
    <row r="2446" ht="15.75" customHeight="1">
      <c r="A2446" s="1119">
        <v>92774.0</v>
      </c>
      <c r="B2446" s="1125" t="s">
        <v>12724</v>
      </c>
      <c r="C2446" s="1126" t="s">
        <v>3606</v>
      </c>
      <c r="D2446" s="1119">
        <v>10.25</v>
      </c>
      <c r="E2446" s="1120">
        <v>0.32</v>
      </c>
      <c r="F2446" s="1121">
        <f t="shared" si="1"/>
        <v>9.95</v>
      </c>
      <c r="G2446" s="1120">
        <v>9.95</v>
      </c>
      <c r="H2446" s="1127">
        <v>0.0</v>
      </c>
      <c r="I2446" s="1127">
        <v>0.0</v>
      </c>
      <c r="J2446" s="1127">
        <v>0.0</v>
      </c>
      <c r="K2446" s="1124"/>
    </row>
    <row r="2447" ht="15.75" customHeight="1">
      <c r="A2447" s="1119">
        <v>92798.0</v>
      </c>
      <c r="B2447" s="1125" t="s">
        <v>12725</v>
      </c>
      <c r="C2447" s="1126" t="s">
        <v>3606</v>
      </c>
      <c r="D2447" s="1119">
        <v>9.17</v>
      </c>
      <c r="E2447" s="1120">
        <v>0.02</v>
      </c>
      <c r="F2447" s="1121">
        <f t="shared" si="1"/>
        <v>9.15</v>
      </c>
      <c r="G2447" s="1120">
        <v>9.15</v>
      </c>
      <c r="H2447" s="1127">
        <v>0.0</v>
      </c>
      <c r="I2447" s="1127">
        <v>0.0</v>
      </c>
      <c r="J2447" s="1127">
        <v>0.0</v>
      </c>
      <c r="K2447" s="1124"/>
    </row>
    <row r="2448" ht="15.75" customHeight="1">
      <c r="A2448" s="1119">
        <v>92799.0</v>
      </c>
      <c r="B2448" s="1125" t="s">
        <v>12726</v>
      </c>
      <c r="C2448" s="1126" t="s">
        <v>3606</v>
      </c>
      <c r="D2448" s="1119">
        <v>11.52</v>
      </c>
      <c r="E2448" s="1120">
        <v>2.53</v>
      </c>
      <c r="F2448" s="1121">
        <f t="shared" si="1"/>
        <v>8.98</v>
      </c>
      <c r="G2448" s="1120">
        <v>8.98</v>
      </c>
      <c r="H2448" s="1127">
        <v>0.0</v>
      </c>
      <c r="I2448" s="1127">
        <v>0.0</v>
      </c>
      <c r="J2448" s="1127">
        <v>0.0</v>
      </c>
      <c r="K2448" s="1124"/>
    </row>
    <row r="2449" ht="15.75" customHeight="1">
      <c r="A2449" s="1119">
        <v>92800.0</v>
      </c>
      <c r="B2449" s="1125" t="s">
        <v>12727</v>
      </c>
      <c r="C2449" s="1126" t="s">
        <v>3606</v>
      </c>
      <c r="D2449" s="1119">
        <v>10.23</v>
      </c>
      <c r="E2449" s="1120">
        <v>1.57</v>
      </c>
      <c r="F2449" s="1121">
        <f t="shared" si="1"/>
        <v>8.67</v>
      </c>
      <c r="G2449" s="1120">
        <v>8.67</v>
      </c>
      <c r="H2449" s="1127">
        <v>0.0</v>
      </c>
      <c r="I2449" s="1127">
        <v>0.0</v>
      </c>
      <c r="J2449" s="1127">
        <v>0.0</v>
      </c>
      <c r="K2449" s="1124"/>
    </row>
    <row r="2450" ht="15.75" customHeight="1">
      <c r="A2450" s="1119">
        <v>92801.0</v>
      </c>
      <c r="B2450" s="1125" t="s">
        <v>12728</v>
      </c>
      <c r="C2450" s="1126" t="s">
        <v>3606</v>
      </c>
      <c r="D2450" s="1119">
        <v>10.18</v>
      </c>
      <c r="E2450" s="1120">
        <v>0.82</v>
      </c>
      <c r="F2450" s="1121">
        <f t="shared" si="1"/>
        <v>9.35</v>
      </c>
      <c r="G2450" s="1120">
        <v>9.35</v>
      </c>
      <c r="H2450" s="1127">
        <v>0.0</v>
      </c>
      <c r="I2450" s="1127">
        <v>0.0</v>
      </c>
      <c r="J2450" s="1127">
        <v>0.0</v>
      </c>
      <c r="K2450" s="1124"/>
    </row>
    <row r="2451" ht="15.75" customHeight="1">
      <c r="A2451" s="1119">
        <v>92802.0</v>
      </c>
      <c r="B2451" s="1125" t="s">
        <v>12729</v>
      </c>
      <c r="C2451" s="1126" t="s">
        <v>3606</v>
      </c>
      <c r="D2451" s="1119">
        <v>10.03</v>
      </c>
      <c r="E2451" s="1120">
        <v>0.43</v>
      </c>
      <c r="F2451" s="1121">
        <f t="shared" si="1"/>
        <v>9.6</v>
      </c>
      <c r="G2451" s="1120">
        <v>9.6</v>
      </c>
      <c r="H2451" s="1127">
        <v>0.0</v>
      </c>
      <c r="I2451" s="1127">
        <v>0.0</v>
      </c>
      <c r="J2451" s="1127">
        <v>0.0</v>
      </c>
      <c r="K2451" s="1124"/>
    </row>
    <row r="2452" ht="15.75" customHeight="1">
      <c r="A2452" s="1119">
        <v>92803.0</v>
      </c>
      <c r="B2452" s="1125" t="s">
        <v>12730</v>
      </c>
      <c r="C2452" s="1126" t="s">
        <v>3606</v>
      </c>
      <c r="D2452" s="1119">
        <v>9.22</v>
      </c>
      <c r="E2452" s="1120">
        <v>0.23</v>
      </c>
      <c r="F2452" s="1121">
        <f t="shared" si="1"/>
        <v>8.99</v>
      </c>
      <c r="G2452" s="1120">
        <v>8.99</v>
      </c>
      <c r="H2452" s="1127">
        <v>0.0</v>
      </c>
      <c r="I2452" s="1127">
        <v>0.0</v>
      </c>
      <c r="J2452" s="1127">
        <v>0.0</v>
      </c>
      <c r="K2452" s="1124"/>
    </row>
    <row r="2453" ht="15.75" customHeight="1">
      <c r="A2453" s="1119">
        <v>92804.0</v>
      </c>
      <c r="B2453" s="1125" t="s">
        <v>12731</v>
      </c>
      <c r="C2453" s="1126" t="s">
        <v>3606</v>
      </c>
      <c r="D2453" s="1119">
        <v>7.89</v>
      </c>
      <c r="E2453" s="1120">
        <v>0.12</v>
      </c>
      <c r="F2453" s="1121">
        <f t="shared" si="1"/>
        <v>7.76</v>
      </c>
      <c r="G2453" s="1120">
        <v>7.76</v>
      </c>
      <c r="H2453" s="1127">
        <v>0.0</v>
      </c>
      <c r="I2453" s="1127">
        <v>0.0</v>
      </c>
      <c r="J2453" s="1127">
        <v>0.0</v>
      </c>
      <c r="K2453" s="1124"/>
    </row>
    <row r="2454" ht="15.75" customHeight="1">
      <c r="A2454" s="1119">
        <v>92805.0</v>
      </c>
      <c r="B2454" s="1125" t="s">
        <v>12732</v>
      </c>
      <c r="C2454" s="1126" t="s">
        <v>3606</v>
      </c>
      <c r="D2454" s="1119">
        <v>7.8</v>
      </c>
      <c r="E2454" s="1120">
        <v>0.06</v>
      </c>
      <c r="F2454" s="1121">
        <f t="shared" si="1"/>
        <v>7.74</v>
      </c>
      <c r="G2454" s="1120">
        <v>7.74</v>
      </c>
      <c r="H2454" s="1127">
        <v>0.0</v>
      </c>
      <c r="I2454" s="1127">
        <v>0.0</v>
      </c>
      <c r="J2454" s="1127">
        <v>0.0</v>
      </c>
      <c r="K2454" s="1124"/>
    </row>
    <row r="2455" ht="15.75" customHeight="1">
      <c r="A2455" s="1119">
        <v>92806.0</v>
      </c>
      <c r="B2455" s="1125" t="s">
        <v>12733</v>
      </c>
      <c r="C2455" s="1126" t="s">
        <v>3606</v>
      </c>
      <c r="D2455" s="1119">
        <v>9.18</v>
      </c>
      <c r="E2455" s="1120">
        <v>0.03</v>
      </c>
      <c r="F2455" s="1121">
        <f t="shared" si="1"/>
        <v>9.15</v>
      </c>
      <c r="G2455" s="1120">
        <v>9.15</v>
      </c>
      <c r="H2455" s="1127">
        <v>0.0</v>
      </c>
      <c r="I2455" s="1127">
        <v>0.0</v>
      </c>
      <c r="J2455" s="1127">
        <v>0.0</v>
      </c>
      <c r="K2455" s="1124"/>
    </row>
    <row r="2456" ht="15.75" customHeight="1">
      <c r="A2456" s="1119">
        <v>92875.0</v>
      </c>
      <c r="B2456" s="1125" t="s">
        <v>12734</v>
      </c>
      <c r="C2456" s="1126" t="s">
        <v>3606</v>
      </c>
      <c r="D2456" s="1119">
        <v>9.73</v>
      </c>
      <c r="E2456" s="1120">
        <v>1.12</v>
      </c>
      <c r="F2456" s="1121">
        <f t="shared" si="1"/>
        <v>8.62</v>
      </c>
      <c r="G2456" s="1120">
        <v>8.62</v>
      </c>
      <c r="H2456" s="1127">
        <v>0.0</v>
      </c>
      <c r="I2456" s="1127">
        <v>0.0</v>
      </c>
      <c r="J2456" s="1127">
        <v>0.0</v>
      </c>
      <c r="K2456" s="1124"/>
    </row>
    <row r="2457" ht="15.75" customHeight="1">
      <c r="A2457" s="1119">
        <v>92876.0</v>
      </c>
      <c r="B2457" s="1125" t="s">
        <v>12735</v>
      </c>
      <c r="C2457" s="1126" t="s">
        <v>3606</v>
      </c>
      <c r="D2457" s="1119">
        <v>9.35</v>
      </c>
      <c r="E2457" s="1120">
        <v>0.59</v>
      </c>
      <c r="F2457" s="1121">
        <f t="shared" si="1"/>
        <v>8.76</v>
      </c>
      <c r="G2457" s="1120">
        <v>8.76</v>
      </c>
      <c r="H2457" s="1127">
        <v>0.0</v>
      </c>
      <c r="I2457" s="1127">
        <v>0.0</v>
      </c>
      <c r="J2457" s="1127">
        <v>0.0</v>
      </c>
      <c r="K2457" s="1124"/>
    </row>
    <row r="2458" ht="15.75" customHeight="1">
      <c r="A2458" s="1119">
        <v>92877.0</v>
      </c>
      <c r="B2458" s="1125" t="s">
        <v>12736</v>
      </c>
      <c r="C2458" s="1126" t="s">
        <v>3606</v>
      </c>
      <c r="D2458" s="1119">
        <v>10.01</v>
      </c>
      <c r="E2458" s="1120">
        <v>0.33</v>
      </c>
      <c r="F2458" s="1121">
        <f t="shared" si="1"/>
        <v>9.69</v>
      </c>
      <c r="G2458" s="1120">
        <v>9.69</v>
      </c>
      <c r="H2458" s="1127">
        <v>0.0</v>
      </c>
      <c r="I2458" s="1127">
        <v>0.0</v>
      </c>
      <c r="J2458" s="1127">
        <v>0.0</v>
      </c>
      <c r="K2458" s="1124"/>
    </row>
    <row r="2459" ht="15.75" customHeight="1">
      <c r="A2459" s="1119">
        <v>92878.0</v>
      </c>
      <c r="B2459" s="1125" t="s">
        <v>12737</v>
      </c>
      <c r="C2459" s="1126" t="s">
        <v>3606</v>
      </c>
      <c r="D2459" s="1119">
        <v>9.81</v>
      </c>
      <c r="E2459" s="1120">
        <v>0.17</v>
      </c>
      <c r="F2459" s="1121">
        <f t="shared" si="1"/>
        <v>9.64</v>
      </c>
      <c r="G2459" s="1120">
        <v>9.64</v>
      </c>
      <c r="H2459" s="1127">
        <v>0.0</v>
      </c>
      <c r="I2459" s="1127">
        <v>0.0</v>
      </c>
      <c r="J2459" s="1127">
        <v>0.0</v>
      </c>
      <c r="K2459" s="1124"/>
    </row>
    <row r="2460" ht="15.75" customHeight="1">
      <c r="A2460" s="1119">
        <v>92879.0</v>
      </c>
      <c r="B2460" s="1125" t="s">
        <v>12738</v>
      </c>
      <c r="C2460" s="1126" t="s">
        <v>3606</v>
      </c>
      <c r="D2460" s="1119">
        <v>9.68</v>
      </c>
      <c r="E2460" s="1120">
        <v>0.08</v>
      </c>
      <c r="F2460" s="1121">
        <f t="shared" si="1"/>
        <v>9.6</v>
      </c>
      <c r="G2460" s="1120">
        <v>9.6</v>
      </c>
      <c r="H2460" s="1127">
        <v>0.0</v>
      </c>
      <c r="I2460" s="1127">
        <v>0.0</v>
      </c>
      <c r="J2460" s="1127">
        <v>0.0</v>
      </c>
      <c r="K2460" s="1124"/>
    </row>
    <row r="2461" ht="15.75" customHeight="1">
      <c r="A2461" s="1119">
        <v>92880.0</v>
      </c>
      <c r="B2461" s="1125" t="s">
        <v>12739</v>
      </c>
      <c r="C2461" s="1126" t="s">
        <v>3606</v>
      </c>
      <c r="D2461" s="1119">
        <v>9.89</v>
      </c>
      <c r="E2461" s="1120">
        <v>0.04</v>
      </c>
      <c r="F2461" s="1121">
        <f t="shared" si="1"/>
        <v>9.84</v>
      </c>
      <c r="G2461" s="1120">
        <v>9.84</v>
      </c>
      <c r="H2461" s="1127">
        <v>0.0</v>
      </c>
      <c r="I2461" s="1127">
        <v>0.0</v>
      </c>
      <c r="J2461" s="1127">
        <v>0.0</v>
      </c>
      <c r="K2461" s="1124"/>
    </row>
    <row r="2462" ht="15.75" customHeight="1">
      <c r="A2462" s="1119">
        <v>92881.0</v>
      </c>
      <c r="B2462" s="1125" t="s">
        <v>12740</v>
      </c>
      <c r="C2462" s="1126" t="s">
        <v>3606</v>
      </c>
      <c r="D2462" s="1119">
        <v>9.86</v>
      </c>
      <c r="E2462" s="1120">
        <v>0.02</v>
      </c>
      <c r="F2462" s="1121">
        <f t="shared" si="1"/>
        <v>9.84</v>
      </c>
      <c r="G2462" s="1120">
        <v>9.84</v>
      </c>
      <c r="H2462" s="1127">
        <v>0.0</v>
      </c>
      <c r="I2462" s="1127">
        <v>0.0</v>
      </c>
      <c r="J2462" s="1127">
        <v>0.0</v>
      </c>
      <c r="K2462" s="1124"/>
    </row>
    <row r="2463" ht="15.75" customHeight="1">
      <c r="A2463" s="1119">
        <v>92882.0</v>
      </c>
      <c r="B2463" s="1125" t="s">
        <v>12741</v>
      </c>
      <c r="C2463" s="1126" t="s">
        <v>3606</v>
      </c>
      <c r="D2463" s="1119">
        <v>14.06</v>
      </c>
      <c r="E2463" s="1120">
        <v>3.71</v>
      </c>
      <c r="F2463" s="1121">
        <f t="shared" si="1"/>
        <v>10.37</v>
      </c>
      <c r="G2463" s="1120">
        <v>10.37</v>
      </c>
      <c r="H2463" s="1127">
        <v>0.0</v>
      </c>
      <c r="I2463" s="1127">
        <v>0.0</v>
      </c>
      <c r="J2463" s="1127">
        <v>0.0</v>
      </c>
      <c r="K2463" s="1124"/>
    </row>
    <row r="2464" ht="15.75" customHeight="1">
      <c r="A2464" s="1119">
        <v>92883.0</v>
      </c>
      <c r="B2464" s="1125" t="s">
        <v>12742</v>
      </c>
      <c r="C2464" s="1126" t="s">
        <v>3606</v>
      </c>
      <c r="D2464" s="1119">
        <v>12.76</v>
      </c>
      <c r="E2464" s="1120">
        <v>2.52</v>
      </c>
      <c r="F2464" s="1121">
        <f t="shared" si="1"/>
        <v>10.25</v>
      </c>
      <c r="G2464" s="1120">
        <v>10.25</v>
      </c>
      <c r="H2464" s="1127">
        <v>0.0</v>
      </c>
      <c r="I2464" s="1127">
        <v>0.0</v>
      </c>
      <c r="J2464" s="1127">
        <v>0.0</v>
      </c>
      <c r="K2464" s="1124"/>
    </row>
    <row r="2465" ht="15.75" customHeight="1">
      <c r="A2465" s="1119">
        <v>92884.0</v>
      </c>
      <c r="B2465" s="1125" t="s">
        <v>12743</v>
      </c>
      <c r="C2465" s="1126" t="s">
        <v>3606</v>
      </c>
      <c r="D2465" s="1119">
        <v>12.72</v>
      </c>
      <c r="E2465" s="1120">
        <v>1.76</v>
      </c>
      <c r="F2465" s="1121">
        <f t="shared" si="1"/>
        <v>10.97</v>
      </c>
      <c r="G2465" s="1120">
        <v>10.97</v>
      </c>
      <c r="H2465" s="1127">
        <v>0.0</v>
      </c>
      <c r="I2465" s="1127">
        <v>0.0</v>
      </c>
      <c r="J2465" s="1127">
        <v>0.0</v>
      </c>
      <c r="K2465" s="1124"/>
    </row>
    <row r="2466" ht="15.75" customHeight="1">
      <c r="A2466" s="1119">
        <v>92885.0</v>
      </c>
      <c r="B2466" s="1125" t="s">
        <v>12744</v>
      </c>
      <c r="C2466" s="1126" t="s">
        <v>3606</v>
      </c>
      <c r="D2466" s="1119">
        <v>11.97</v>
      </c>
      <c r="E2466" s="1120">
        <v>1.22</v>
      </c>
      <c r="F2466" s="1121">
        <f t="shared" si="1"/>
        <v>10.77</v>
      </c>
      <c r="G2466" s="1120">
        <v>10.77</v>
      </c>
      <c r="H2466" s="1127">
        <v>0.0</v>
      </c>
      <c r="I2466" s="1127">
        <v>0.0</v>
      </c>
      <c r="J2466" s="1127">
        <v>0.0</v>
      </c>
      <c r="K2466" s="1124"/>
    </row>
    <row r="2467" ht="15.75" customHeight="1">
      <c r="A2467" s="1119">
        <v>92886.0</v>
      </c>
      <c r="B2467" s="1125" t="s">
        <v>12745</v>
      </c>
      <c r="C2467" s="1126" t="s">
        <v>3606</v>
      </c>
      <c r="D2467" s="1119">
        <v>11.35</v>
      </c>
      <c r="E2467" s="1120">
        <v>0.78</v>
      </c>
      <c r="F2467" s="1121">
        <f t="shared" si="1"/>
        <v>10.57</v>
      </c>
      <c r="G2467" s="1120">
        <v>10.57</v>
      </c>
      <c r="H2467" s="1127">
        <v>0.0</v>
      </c>
      <c r="I2467" s="1127">
        <v>0.0</v>
      </c>
      <c r="J2467" s="1127">
        <v>0.0</v>
      </c>
      <c r="K2467" s="1124"/>
    </row>
    <row r="2468" ht="15.75" customHeight="1">
      <c r="A2468" s="1119">
        <v>92887.0</v>
      </c>
      <c r="B2468" s="1125" t="s">
        <v>12746</v>
      </c>
      <c r="C2468" s="1126" t="s">
        <v>3606</v>
      </c>
      <c r="D2468" s="1119">
        <v>11.22</v>
      </c>
      <c r="E2468" s="1120">
        <v>0.49</v>
      </c>
      <c r="F2468" s="1121">
        <f t="shared" si="1"/>
        <v>10.71</v>
      </c>
      <c r="G2468" s="1120">
        <v>10.71</v>
      </c>
      <c r="H2468" s="1127">
        <v>0.0</v>
      </c>
      <c r="I2468" s="1127">
        <v>0.0</v>
      </c>
      <c r="J2468" s="1127">
        <v>0.0</v>
      </c>
      <c r="K2468" s="1124"/>
    </row>
    <row r="2469" ht="15.75" customHeight="1">
      <c r="A2469" s="1119">
        <v>92888.0</v>
      </c>
      <c r="B2469" s="1125" t="s">
        <v>12747</v>
      </c>
      <c r="C2469" s="1126" t="s">
        <v>3606</v>
      </c>
      <c r="D2469" s="1119">
        <v>10.91</v>
      </c>
      <c r="E2469" s="1120">
        <v>0.28</v>
      </c>
      <c r="F2469" s="1121">
        <f t="shared" si="1"/>
        <v>10.62</v>
      </c>
      <c r="G2469" s="1120">
        <v>10.62</v>
      </c>
      <c r="H2469" s="1127">
        <v>0.0</v>
      </c>
      <c r="I2469" s="1127">
        <v>0.0</v>
      </c>
      <c r="J2469" s="1127">
        <v>0.0</v>
      </c>
      <c r="K2469" s="1124"/>
    </row>
    <row r="2470" ht="15.75" customHeight="1">
      <c r="A2470" s="1119">
        <v>92915.0</v>
      </c>
      <c r="B2470" s="1125" t="s">
        <v>12748</v>
      </c>
      <c r="C2470" s="1126" t="s">
        <v>3606</v>
      </c>
      <c r="D2470" s="1119">
        <v>18.21</v>
      </c>
      <c r="E2470" s="1120">
        <v>6.86</v>
      </c>
      <c r="F2470" s="1121">
        <f t="shared" si="1"/>
        <v>11.36</v>
      </c>
      <c r="G2470" s="1120">
        <v>11.36</v>
      </c>
      <c r="H2470" s="1127">
        <v>0.0</v>
      </c>
      <c r="I2470" s="1127">
        <v>0.0</v>
      </c>
      <c r="J2470" s="1127">
        <v>0.0</v>
      </c>
      <c r="K2470" s="1124"/>
    </row>
    <row r="2471" ht="15.75" customHeight="1">
      <c r="A2471" s="1119">
        <v>92916.0</v>
      </c>
      <c r="B2471" s="1125" t="s">
        <v>12749</v>
      </c>
      <c r="C2471" s="1126" t="s">
        <v>3606</v>
      </c>
      <c r="D2471" s="1119">
        <v>16.27</v>
      </c>
      <c r="E2471" s="1120">
        <v>4.73</v>
      </c>
      <c r="F2471" s="1121">
        <f t="shared" si="1"/>
        <v>11.53</v>
      </c>
      <c r="G2471" s="1120">
        <v>11.53</v>
      </c>
      <c r="H2471" s="1127">
        <v>0.0</v>
      </c>
      <c r="I2471" s="1127">
        <v>0.0</v>
      </c>
      <c r="J2471" s="1127">
        <v>0.0</v>
      </c>
      <c r="K2471" s="1124"/>
    </row>
    <row r="2472" ht="15.75" customHeight="1">
      <c r="A2472" s="1119">
        <v>92917.0</v>
      </c>
      <c r="B2472" s="1125" t="s">
        <v>12750</v>
      </c>
      <c r="C2472" s="1126" t="s">
        <v>3606</v>
      </c>
      <c r="D2472" s="1119">
        <v>14.56</v>
      </c>
      <c r="E2472" s="1120">
        <v>3.2</v>
      </c>
      <c r="F2472" s="1121">
        <f t="shared" si="1"/>
        <v>11.36</v>
      </c>
      <c r="G2472" s="1120">
        <v>11.36</v>
      </c>
      <c r="H2472" s="1127">
        <v>0.0</v>
      </c>
      <c r="I2472" s="1127">
        <v>0.0</v>
      </c>
      <c r="J2472" s="1127">
        <v>0.0</v>
      </c>
      <c r="K2472" s="1124"/>
    </row>
    <row r="2473" ht="15.75" customHeight="1">
      <c r="A2473" s="1119">
        <v>92919.0</v>
      </c>
      <c r="B2473" s="1125" t="s">
        <v>12751</v>
      </c>
      <c r="C2473" s="1126" t="s">
        <v>3606</v>
      </c>
      <c r="D2473" s="1119">
        <v>12.6</v>
      </c>
      <c r="E2473" s="1120">
        <v>2.16</v>
      </c>
      <c r="F2473" s="1121">
        <f t="shared" si="1"/>
        <v>10.44</v>
      </c>
      <c r="G2473" s="1120">
        <v>10.44</v>
      </c>
      <c r="H2473" s="1127">
        <v>0.0</v>
      </c>
      <c r="I2473" s="1127">
        <v>0.0</v>
      </c>
      <c r="J2473" s="1127">
        <v>0.0</v>
      </c>
      <c r="K2473" s="1124"/>
    </row>
    <row r="2474" ht="15.75" customHeight="1">
      <c r="A2474" s="1119">
        <v>92921.0</v>
      </c>
      <c r="B2474" s="1125" t="s">
        <v>12752</v>
      </c>
      <c r="C2474" s="1126" t="s">
        <v>3606</v>
      </c>
      <c r="D2474" s="1119">
        <v>10.34</v>
      </c>
      <c r="E2474" s="1120">
        <v>1.38</v>
      </c>
      <c r="F2474" s="1121">
        <f t="shared" si="1"/>
        <v>8.95</v>
      </c>
      <c r="G2474" s="1120">
        <v>8.95</v>
      </c>
      <c r="H2474" s="1127">
        <v>0.0</v>
      </c>
      <c r="I2474" s="1127">
        <v>0.0</v>
      </c>
      <c r="J2474" s="1127">
        <v>0.0</v>
      </c>
      <c r="K2474" s="1124"/>
    </row>
    <row r="2475" ht="15.75" customHeight="1">
      <c r="A2475" s="1119">
        <v>92922.0</v>
      </c>
      <c r="B2475" s="1125" t="s">
        <v>12753</v>
      </c>
      <c r="C2475" s="1126" t="s">
        <v>3606</v>
      </c>
      <c r="D2475" s="1119">
        <v>9.8</v>
      </c>
      <c r="E2475" s="1120">
        <v>1.0</v>
      </c>
      <c r="F2475" s="1121">
        <f t="shared" si="1"/>
        <v>8.79</v>
      </c>
      <c r="G2475" s="1120">
        <v>8.79</v>
      </c>
      <c r="H2475" s="1127">
        <v>0.0</v>
      </c>
      <c r="I2475" s="1127">
        <v>0.0</v>
      </c>
      <c r="J2475" s="1127">
        <v>0.0</v>
      </c>
      <c r="K2475" s="1124"/>
    </row>
    <row r="2476" ht="15.75" customHeight="1">
      <c r="A2476" s="1119">
        <v>92923.0</v>
      </c>
      <c r="B2476" s="1125" t="s">
        <v>12754</v>
      </c>
      <c r="C2476" s="1126" t="s">
        <v>3606</v>
      </c>
      <c r="D2476" s="1119">
        <v>10.88</v>
      </c>
      <c r="E2476" s="1120">
        <v>0.76</v>
      </c>
      <c r="F2476" s="1121">
        <f t="shared" si="1"/>
        <v>10.12</v>
      </c>
      <c r="G2476" s="1120">
        <v>10.12</v>
      </c>
      <c r="H2476" s="1127">
        <v>0.0</v>
      </c>
      <c r="I2476" s="1127">
        <v>0.0</v>
      </c>
      <c r="J2476" s="1127">
        <v>0.0</v>
      </c>
      <c r="K2476" s="1124"/>
    </row>
    <row r="2477" ht="15.75" customHeight="1">
      <c r="A2477" s="1119">
        <v>92924.0</v>
      </c>
      <c r="B2477" s="1125" t="s">
        <v>12755</v>
      </c>
      <c r="C2477" s="1126" t="s">
        <v>3606</v>
      </c>
      <c r="D2477" s="1119">
        <v>10.64</v>
      </c>
      <c r="E2477" s="1120">
        <v>0.59</v>
      </c>
      <c r="F2477" s="1121">
        <f t="shared" si="1"/>
        <v>10.05</v>
      </c>
      <c r="G2477" s="1120">
        <v>10.05</v>
      </c>
      <c r="H2477" s="1127">
        <v>0.0</v>
      </c>
      <c r="I2477" s="1127">
        <v>0.0</v>
      </c>
      <c r="J2477" s="1127">
        <v>0.0</v>
      </c>
      <c r="K2477" s="1124"/>
    </row>
    <row r="2478" ht="15.75" customHeight="1">
      <c r="A2478" s="1119">
        <v>95448.0</v>
      </c>
      <c r="B2478" s="1125" t="s">
        <v>12756</v>
      </c>
      <c r="C2478" s="1126" t="s">
        <v>3606</v>
      </c>
      <c r="D2478" s="1119">
        <v>10.06</v>
      </c>
      <c r="E2478" s="1120">
        <v>0.01</v>
      </c>
      <c r="F2478" s="1121">
        <f t="shared" si="1"/>
        <v>10.05</v>
      </c>
      <c r="G2478" s="1120">
        <v>10.05</v>
      </c>
      <c r="H2478" s="1127">
        <v>0.0</v>
      </c>
      <c r="I2478" s="1127">
        <v>0.0</v>
      </c>
      <c r="J2478" s="1127">
        <v>0.0</v>
      </c>
      <c r="K2478" s="1124"/>
    </row>
    <row r="2479" ht="15.75" customHeight="1">
      <c r="A2479" s="1119">
        <v>95576.0</v>
      </c>
      <c r="B2479" s="1125" t="s">
        <v>12757</v>
      </c>
      <c r="C2479" s="1126" t="s">
        <v>3606</v>
      </c>
      <c r="D2479" s="1119">
        <v>13.14</v>
      </c>
      <c r="E2479" s="1120">
        <v>2.22</v>
      </c>
      <c r="F2479" s="1121">
        <f t="shared" si="1"/>
        <v>10.92</v>
      </c>
      <c r="G2479" s="1120">
        <v>10.92</v>
      </c>
      <c r="H2479" s="1127">
        <v>0.0</v>
      </c>
      <c r="I2479" s="1127">
        <v>0.0</v>
      </c>
      <c r="J2479" s="1127">
        <v>0.0</v>
      </c>
      <c r="K2479" s="1124"/>
    </row>
    <row r="2480" ht="15.75" customHeight="1">
      <c r="A2480" s="1119">
        <v>95577.0</v>
      </c>
      <c r="B2480" s="1125" t="s">
        <v>12758</v>
      </c>
      <c r="C2480" s="1126" t="s">
        <v>3606</v>
      </c>
      <c r="D2480" s="1119">
        <v>11.01</v>
      </c>
      <c r="E2480" s="1120">
        <v>1.06</v>
      </c>
      <c r="F2480" s="1121">
        <f t="shared" si="1"/>
        <v>9.95</v>
      </c>
      <c r="G2480" s="1120">
        <v>9.95</v>
      </c>
      <c r="H2480" s="1127">
        <v>0.0</v>
      </c>
      <c r="I2480" s="1127">
        <v>0.0</v>
      </c>
      <c r="J2480" s="1127">
        <v>0.0</v>
      </c>
      <c r="K2480" s="1124"/>
    </row>
    <row r="2481" ht="15.75" customHeight="1">
      <c r="A2481" s="1119">
        <v>95578.0</v>
      </c>
      <c r="B2481" s="1125" t="s">
        <v>12759</v>
      </c>
      <c r="C2481" s="1126" t="s">
        <v>3606</v>
      </c>
      <c r="D2481" s="1119">
        <v>9.13</v>
      </c>
      <c r="E2481" s="1120">
        <v>0.57</v>
      </c>
      <c r="F2481" s="1121">
        <f t="shared" si="1"/>
        <v>8.56</v>
      </c>
      <c r="G2481" s="1120">
        <v>8.56</v>
      </c>
      <c r="H2481" s="1127">
        <v>0.0</v>
      </c>
      <c r="I2481" s="1127">
        <v>0.0</v>
      </c>
      <c r="J2481" s="1127">
        <v>0.0</v>
      </c>
      <c r="K2481" s="1124"/>
    </row>
    <row r="2482" ht="15.75" customHeight="1">
      <c r="A2482" s="1119">
        <v>95579.0</v>
      </c>
      <c r="B2482" s="1125" t="s">
        <v>12760</v>
      </c>
      <c r="C2482" s="1126" t="s">
        <v>3606</v>
      </c>
      <c r="D2482" s="1119">
        <v>8.78</v>
      </c>
      <c r="E2482" s="1120">
        <v>0.34</v>
      </c>
      <c r="F2482" s="1121">
        <f t="shared" si="1"/>
        <v>8.42</v>
      </c>
      <c r="G2482" s="1120">
        <v>8.42</v>
      </c>
      <c r="H2482" s="1127">
        <v>0.0</v>
      </c>
      <c r="I2482" s="1127">
        <v>0.0</v>
      </c>
      <c r="J2482" s="1127">
        <v>0.0</v>
      </c>
      <c r="K2482" s="1124"/>
    </row>
    <row r="2483" ht="15.75" customHeight="1">
      <c r="A2483" s="1119">
        <v>95580.0</v>
      </c>
      <c r="B2483" s="1125" t="s">
        <v>12761</v>
      </c>
      <c r="C2483" s="1126" t="s">
        <v>3606</v>
      </c>
      <c r="D2483" s="1119">
        <v>10.06</v>
      </c>
      <c r="E2483" s="1120">
        <v>0.25</v>
      </c>
      <c r="F2483" s="1121">
        <f t="shared" si="1"/>
        <v>9.8</v>
      </c>
      <c r="G2483" s="1120">
        <v>9.8</v>
      </c>
      <c r="H2483" s="1127">
        <v>0.0</v>
      </c>
      <c r="I2483" s="1127">
        <v>0.0</v>
      </c>
      <c r="J2483" s="1127">
        <v>0.0</v>
      </c>
      <c r="K2483" s="1124"/>
    </row>
    <row r="2484" ht="15.75" customHeight="1">
      <c r="A2484" s="1119">
        <v>95581.0</v>
      </c>
      <c r="B2484" s="1125" t="s">
        <v>12762</v>
      </c>
      <c r="C2484" s="1126" t="s">
        <v>3606</v>
      </c>
      <c r="D2484" s="1119">
        <v>10.0</v>
      </c>
      <c r="E2484" s="1120">
        <v>0.22</v>
      </c>
      <c r="F2484" s="1121">
        <f t="shared" si="1"/>
        <v>9.78</v>
      </c>
      <c r="G2484" s="1120">
        <v>9.78</v>
      </c>
      <c r="H2484" s="1127">
        <v>0.0</v>
      </c>
      <c r="I2484" s="1127">
        <v>0.0</v>
      </c>
      <c r="J2484" s="1127">
        <v>0.0</v>
      </c>
      <c r="K2484" s="1124"/>
    </row>
    <row r="2485" ht="15.75" customHeight="1">
      <c r="A2485" s="1119">
        <v>95582.0</v>
      </c>
      <c r="B2485" s="1125" t="s">
        <v>12763</v>
      </c>
      <c r="C2485" s="1126" t="s">
        <v>3606</v>
      </c>
      <c r="D2485" s="1119">
        <v>10.87</v>
      </c>
      <c r="E2485" s="1120">
        <v>0.2</v>
      </c>
      <c r="F2485" s="1121">
        <f t="shared" si="1"/>
        <v>10.67</v>
      </c>
      <c r="G2485" s="1120">
        <v>10.67</v>
      </c>
      <c r="H2485" s="1127">
        <v>0.0</v>
      </c>
      <c r="I2485" s="1127">
        <v>0.0</v>
      </c>
      <c r="J2485" s="1127">
        <v>0.0</v>
      </c>
      <c r="K2485" s="1124"/>
    </row>
    <row r="2486" ht="15.75" customHeight="1">
      <c r="A2486" s="1119">
        <v>95583.0</v>
      </c>
      <c r="B2486" s="1125" t="s">
        <v>12764</v>
      </c>
      <c r="C2486" s="1126" t="s">
        <v>3606</v>
      </c>
      <c r="D2486" s="1119">
        <v>17.19</v>
      </c>
      <c r="E2486" s="1120">
        <v>6.2</v>
      </c>
      <c r="F2486" s="1121">
        <f t="shared" si="1"/>
        <v>11.01</v>
      </c>
      <c r="G2486" s="1120">
        <v>11.01</v>
      </c>
      <c r="H2486" s="1127">
        <v>0.0</v>
      </c>
      <c r="I2486" s="1127">
        <v>0.0</v>
      </c>
      <c r="J2486" s="1127">
        <v>0.0</v>
      </c>
      <c r="K2486" s="1124"/>
    </row>
    <row r="2487" ht="15.75" customHeight="1">
      <c r="A2487" s="1119">
        <v>95584.0</v>
      </c>
      <c r="B2487" s="1125" t="s">
        <v>12765</v>
      </c>
      <c r="C2487" s="1126" t="s">
        <v>3606</v>
      </c>
      <c r="D2487" s="1119">
        <v>14.82</v>
      </c>
      <c r="E2487" s="1120">
        <v>3.75</v>
      </c>
      <c r="F2487" s="1121">
        <f t="shared" si="1"/>
        <v>11.07</v>
      </c>
      <c r="G2487" s="1120">
        <v>11.07</v>
      </c>
      <c r="H2487" s="1127">
        <v>0.0</v>
      </c>
      <c r="I2487" s="1127">
        <v>0.0</v>
      </c>
      <c r="J2487" s="1127">
        <v>0.0</v>
      </c>
      <c r="K2487" s="1124"/>
    </row>
    <row r="2488" ht="15.75" customHeight="1">
      <c r="A2488" s="1119">
        <v>95592.0</v>
      </c>
      <c r="B2488" s="1125" t="s">
        <v>12766</v>
      </c>
      <c r="C2488" s="1126" t="s">
        <v>3606</v>
      </c>
      <c r="D2488" s="1119">
        <v>17.19</v>
      </c>
      <c r="E2488" s="1120">
        <v>6.2</v>
      </c>
      <c r="F2488" s="1121">
        <f t="shared" si="1"/>
        <v>11.01</v>
      </c>
      <c r="G2488" s="1120">
        <v>11.01</v>
      </c>
      <c r="H2488" s="1127">
        <v>0.0</v>
      </c>
      <c r="I2488" s="1127">
        <v>0.0</v>
      </c>
      <c r="J2488" s="1127">
        <v>0.0</v>
      </c>
      <c r="K2488" s="1124"/>
    </row>
    <row r="2489" ht="15.75" customHeight="1">
      <c r="A2489" s="1119">
        <v>95593.0</v>
      </c>
      <c r="B2489" s="1125" t="s">
        <v>12767</v>
      </c>
      <c r="C2489" s="1126" t="s">
        <v>3606</v>
      </c>
      <c r="D2489" s="1119">
        <v>14.82</v>
      </c>
      <c r="E2489" s="1120">
        <v>3.75</v>
      </c>
      <c r="F2489" s="1121">
        <f t="shared" si="1"/>
        <v>11.07</v>
      </c>
      <c r="G2489" s="1120">
        <v>11.07</v>
      </c>
      <c r="H2489" s="1127">
        <v>0.0</v>
      </c>
      <c r="I2489" s="1127">
        <v>0.0</v>
      </c>
      <c r="J2489" s="1127">
        <v>0.0</v>
      </c>
      <c r="K2489" s="1124"/>
    </row>
    <row r="2490" ht="15.75" customHeight="1">
      <c r="A2490" s="1119">
        <v>95943.0</v>
      </c>
      <c r="B2490" s="1125" t="s">
        <v>12768</v>
      </c>
      <c r="C2490" s="1126" t="s">
        <v>3606</v>
      </c>
      <c r="D2490" s="1119">
        <v>24.41</v>
      </c>
      <c r="E2490" s="1120">
        <v>11.56</v>
      </c>
      <c r="F2490" s="1121">
        <f t="shared" si="1"/>
        <v>12.86</v>
      </c>
      <c r="G2490" s="1120">
        <v>12.86</v>
      </c>
      <c r="H2490" s="1127">
        <v>0.0</v>
      </c>
      <c r="I2490" s="1127">
        <v>0.0</v>
      </c>
      <c r="J2490" s="1127">
        <v>0.0</v>
      </c>
      <c r="K2490" s="1124"/>
    </row>
    <row r="2491" ht="15.75" customHeight="1">
      <c r="A2491" s="1119">
        <v>95944.0</v>
      </c>
      <c r="B2491" s="1125" t="s">
        <v>12769</v>
      </c>
      <c r="C2491" s="1126" t="s">
        <v>3606</v>
      </c>
      <c r="D2491" s="1119">
        <v>21.81</v>
      </c>
      <c r="E2491" s="1120">
        <v>8.93</v>
      </c>
      <c r="F2491" s="1121">
        <f t="shared" si="1"/>
        <v>12.89</v>
      </c>
      <c r="G2491" s="1120">
        <v>12.89</v>
      </c>
      <c r="H2491" s="1127">
        <v>0.0</v>
      </c>
      <c r="I2491" s="1127">
        <v>0.0</v>
      </c>
      <c r="J2491" s="1127">
        <v>0.0</v>
      </c>
      <c r="K2491" s="1124"/>
    </row>
    <row r="2492" ht="15.75" customHeight="1">
      <c r="A2492" s="1119">
        <v>95945.0</v>
      </c>
      <c r="B2492" s="1125" t="s">
        <v>12770</v>
      </c>
      <c r="C2492" s="1126" t="s">
        <v>3606</v>
      </c>
      <c r="D2492" s="1119">
        <v>17.2</v>
      </c>
      <c r="E2492" s="1120">
        <v>5.2</v>
      </c>
      <c r="F2492" s="1121">
        <f t="shared" si="1"/>
        <v>12</v>
      </c>
      <c r="G2492" s="1120">
        <v>12.0</v>
      </c>
      <c r="H2492" s="1127">
        <v>0.0</v>
      </c>
      <c r="I2492" s="1127">
        <v>0.0</v>
      </c>
      <c r="J2492" s="1127">
        <v>0.0</v>
      </c>
      <c r="K2492" s="1124"/>
    </row>
    <row r="2493" ht="15.75" customHeight="1">
      <c r="A2493" s="1119">
        <v>95946.0</v>
      </c>
      <c r="B2493" s="1125" t="s">
        <v>12771</v>
      </c>
      <c r="C2493" s="1126" t="s">
        <v>3606</v>
      </c>
      <c r="D2493" s="1119">
        <v>13.4</v>
      </c>
      <c r="E2493" s="1120">
        <v>2.79</v>
      </c>
      <c r="F2493" s="1121">
        <f t="shared" si="1"/>
        <v>10.62</v>
      </c>
      <c r="G2493" s="1120">
        <v>10.62</v>
      </c>
      <c r="H2493" s="1127">
        <v>0.0</v>
      </c>
      <c r="I2493" s="1127">
        <v>0.0</v>
      </c>
      <c r="J2493" s="1127">
        <v>0.0</v>
      </c>
      <c r="K2493" s="1124"/>
    </row>
    <row r="2494" ht="15.75" customHeight="1">
      <c r="A2494" s="1119">
        <v>95947.0</v>
      </c>
      <c r="B2494" s="1125" t="s">
        <v>12772</v>
      </c>
      <c r="C2494" s="1126" t="s">
        <v>3606</v>
      </c>
      <c r="D2494" s="1119">
        <v>10.16</v>
      </c>
      <c r="E2494" s="1120">
        <v>1.26</v>
      </c>
      <c r="F2494" s="1121">
        <f t="shared" si="1"/>
        <v>8.88</v>
      </c>
      <c r="G2494" s="1120">
        <v>8.88</v>
      </c>
      <c r="H2494" s="1127">
        <v>0.0</v>
      </c>
      <c r="I2494" s="1127">
        <v>0.0</v>
      </c>
      <c r="J2494" s="1127">
        <v>0.0</v>
      </c>
      <c r="K2494" s="1124"/>
    </row>
    <row r="2495" ht="15.75" customHeight="1">
      <c r="A2495" s="1119">
        <v>95948.0</v>
      </c>
      <c r="B2495" s="1125" t="s">
        <v>12773</v>
      </c>
      <c r="C2495" s="1126" t="s">
        <v>3606</v>
      </c>
      <c r="D2495" s="1119">
        <v>8.76</v>
      </c>
      <c r="E2495" s="1120">
        <v>0.23</v>
      </c>
      <c r="F2495" s="1121">
        <f t="shared" si="1"/>
        <v>8.53</v>
      </c>
      <c r="G2495" s="1120">
        <v>8.53</v>
      </c>
      <c r="H2495" s="1127">
        <v>0.0</v>
      </c>
      <c r="I2495" s="1127">
        <v>0.0</v>
      </c>
      <c r="J2495" s="1127">
        <v>0.0</v>
      </c>
      <c r="K2495" s="1124"/>
    </row>
    <row r="2496" ht="15.75" customHeight="1">
      <c r="A2496" s="1119">
        <v>96544.0</v>
      </c>
      <c r="B2496" s="1125" t="s">
        <v>12774</v>
      </c>
      <c r="C2496" s="1126" t="s">
        <v>3606</v>
      </c>
      <c r="D2496" s="1119">
        <v>17.22</v>
      </c>
      <c r="E2496" s="1120">
        <v>5.37</v>
      </c>
      <c r="F2496" s="1121">
        <f t="shared" si="1"/>
        <v>11.86</v>
      </c>
      <c r="G2496" s="1120">
        <v>11.86</v>
      </c>
      <c r="H2496" s="1127">
        <v>0.0</v>
      </c>
      <c r="I2496" s="1127">
        <v>0.0</v>
      </c>
      <c r="J2496" s="1127">
        <v>0.0</v>
      </c>
      <c r="K2496" s="1124"/>
    </row>
    <row r="2497" ht="15.75" customHeight="1">
      <c r="A2497" s="1119">
        <v>96545.0</v>
      </c>
      <c r="B2497" s="1125" t="s">
        <v>12775</v>
      </c>
      <c r="C2497" s="1126" t="s">
        <v>3606</v>
      </c>
      <c r="D2497" s="1119">
        <v>15.54</v>
      </c>
      <c r="E2497" s="1120">
        <v>3.9</v>
      </c>
      <c r="F2497" s="1121">
        <f t="shared" si="1"/>
        <v>11.64</v>
      </c>
      <c r="G2497" s="1120">
        <v>11.64</v>
      </c>
      <c r="H2497" s="1127">
        <v>0.0</v>
      </c>
      <c r="I2497" s="1127">
        <v>0.0</v>
      </c>
      <c r="J2497" s="1127">
        <v>0.0</v>
      </c>
      <c r="K2497" s="1124"/>
    </row>
    <row r="2498" ht="15.75" customHeight="1">
      <c r="A2498" s="1119">
        <v>96546.0</v>
      </c>
      <c r="B2498" s="1125" t="s">
        <v>12776</v>
      </c>
      <c r="C2498" s="1126" t="s">
        <v>3606</v>
      </c>
      <c r="D2498" s="1119">
        <v>13.6</v>
      </c>
      <c r="E2498" s="1120">
        <v>2.9</v>
      </c>
      <c r="F2498" s="1121">
        <f t="shared" si="1"/>
        <v>10.7</v>
      </c>
      <c r="G2498" s="1120">
        <v>10.7</v>
      </c>
      <c r="H2498" s="1127">
        <v>0.0</v>
      </c>
      <c r="I2498" s="1127">
        <v>0.0</v>
      </c>
      <c r="J2498" s="1127">
        <v>0.0</v>
      </c>
      <c r="K2498" s="1124"/>
    </row>
    <row r="2499" ht="15.75" customHeight="1">
      <c r="A2499" s="1119">
        <v>96547.0</v>
      </c>
      <c r="B2499" s="1125" t="s">
        <v>12777</v>
      </c>
      <c r="C2499" s="1126" t="s">
        <v>3606</v>
      </c>
      <c r="D2499" s="1119">
        <v>11.38</v>
      </c>
      <c r="E2499" s="1120">
        <v>2.16</v>
      </c>
      <c r="F2499" s="1121">
        <f t="shared" si="1"/>
        <v>9.21</v>
      </c>
      <c r="G2499" s="1120">
        <v>9.21</v>
      </c>
      <c r="H2499" s="1127">
        <v>0.0</v>
      </c>
      <c r="I2499" s="1127">
        <v>0.0</v>
      </c>
      <c r="J2499" s="1127">
        <v>0.0</v>
      </c>
      <c r="K2499" s="1124"/>
    </row>
    <row r="2500" ht="15.75" customHeight="1">
      <c r="A2500" s="1119">
        <v>96548.0</v>
      </c>
      <c r="B2500" s="1125" t="s">
        <v>12778</v>
      </c>
      <c r="C2500" s="1126" t="s">
        <v>3606</v>
      </c>
      <c r="D2500" s="1119">
        <v>10.52</v>
      </c>
      <c r="E2500" s="1120">
        <v>1.54</v>
      </c>
      <c r="F2500" s="1121">
        <f t="shared" si="1"/>
        <v>8.98</v>
      </c>
      <c r="G2500" s="1120">
        <v>8.98</v>
      </c>
      <c r="H2500" s="1127">
        <v>0.0</v>
      </c>
      <c r="I2500" s="1127">
        <v>0.0</v>
      </c>
      <c r="J2500" s="1127">
        <v>0.0</v>
      </c>
      <c r="K2500" s="1124"/>
    </row>
    <row r="2501" ht="15.75" customHeight="1">
      <c r="A2501" s="1119">
        <v>96549.0</v>
      </c>
      <c r="B2501" s="1125" t="s">
        <v>12779</v>
      </c>
      <c r="C2501" s="1126" t="s">
        <v>3606</v>
      </c>
      <c r="D2501" s="1119">
        <v>11.36</v>
      </c>
      <c r="E2501" s="1120">
        <v>1.12</v>
      </c>
      <c r="F2501" s="1121">
        <f t="shared" si="1"/>
        <v>10.26</v>
      </c>
      <c r="G2501" s="1120">
        <v>10.26</v>
      </c>
      <c r="H2501" s="1127">
        <v>0.0</v>
      </c>
      <c r="I2501" s="1127">
        <v>0.0</v>
      </c>
      <c r="J2501" s="1127">
        <v>0.0</v>
      </c>
      <c r="K2501" s="1124"/>
    </row>
    <row r="2502" ht="15.75" customHeight="1">
      <c r="A2502" s="1119">
        <v>96550.0</v>
      </c>
      <c r="B2502" s="1125" t="s">
        <v>12780</v>
      </c>
      <c r="C2502" s="1126" t="s">
        <v>3606</v>
      </c>
      <c r="D2502" s="1119">
        <v>10.93</v>
      </c>
      <c r="E2502" s="1120">
        <v>0.78</v>
      </c>
      <c r="F2502" s="1121">
        <f t="shared" si="1"/>
        <v>10.14</v>
      </c>
      <c r="G2502" s="1120">
        <v>10.14</v>
      </c>
      <c r="H2502" s="1127">
        <v>0.0</v>
      </c>
      <c r="I2502" s="1127">
        <v>0.0</v>
      </c>
      <c r="J2502" s="1127">
        <v>0.0</v>
      </c>
      <c r="K2502" s="1124"/>
    </row>
    <row r="2503" ht="15.75" customHeight="1">
      <c r="A2503" s="1119">
        <v>100064.0</v>
      </c>
      <c r="B2503" s="1125" t="s">
        <v>12781</v>
      </c>
      <c r="C2503" s="1126" t="s">
        <v>3606</v>
      </c>
      <c r="D2503" s="1119">
        <v>10.8</v>
      </c>
      <c r="E2503" s="1120">
        <v>0.85</v>
      </c>
      <c r="F2503" s="1121">
        <f t="shared" si="1"/>
        <v>9.95</v>
      </c>
      <c r="G2503" s="1120">
        <v>9.95</v>
      </c>
      <c r="H2503" s="1127">
        <v>0.0</v>
      </c>
      <c r="I2503" s="1127">
        <v>0.0</v>
      </c>
      <c r="J2503" s="1127">
        <v>0.0</v>
      </c>
      <c r="K2503" s="1124"/>
    </row>
    <row r="2504" ht="15.75" customHeight="1">
      <c r="A2504" s="1119">
        <v>100066.0</v>
      </c>
      <c r="B2504" s="1125" t="s">
        <v>12782</v>
      </c>
      <c r="C2504" s="1126" t="s">
        <v>3606</v>
      </c>
      <c r="D2504" s="1119">
        <v>10.67</v>
      </c>
      <c r="E2504" s="1120">
        <v>0.68</v>
      </c>
      <c r="F2504" s="1121">
        <f t="shared" si="1"/>
        <v>9.98</v>
      </c>
      <c r="G2504" s="1120">
        <v>9.98</v>
      </c>
      <c r="H2504" s="1127">
        <v>0.0</v>
      </c>
      <c r="I2504" s="1127">
        <v>0.0</v>
      </c>
      <c r="J2504" s="1127">
        <v>0.0</v>
      </c>
      <c r="K2504" s="1124"/>
    </row>
    <row r="2505" ht="15.75" customHeight="1">
      <c r="A2505" s="1119">
        <v>100067.0</v>
      </c>
      <c r="B2505" s="1125" t="s">
        <v>12783</v>
      </c>
      <c r="C2505" s="1126" t="s">
        <v>3606</v>
      </c>
      <c r="D2505" s="1119">
        <v>12.63</v>
      </c>
      <c r="E2505" s="1120">
        <v>2.92</v>
      </c>
      <c r="F2505" s="1121">
        <f t="shared" si="1"/>
        <v>9.72</v>
      </c>
      <c r="G2505" s="1120">
        <v>9.72</v>
      </c>
      <c r="H2505" s="1127">
        <v>0.0</v>
      </c>
      <c r="I2505" s="1127">
        <v>0.0</v>
      </c>
      <c r="J2505" s="1127">
        <v>0.0</v>
      </c>
      <c r="K2505" s="1124"/>
    </row>
    <row r="2506" ht="15.75" customHeight="1">
      <c r="A2506" s="1119">
        <v>100068.0</v>
      </c>
      <c r="B2506" s="1125" t="s">
        <v>12784</v>
      </c>
      <c r="C2506" s="1126" t="s">
        <v>3606</v>
      </c>
      <c r="D2506" s="1119">
        <v>9.39</v>
      </c>
      <c r="E2506" s="1120">
        <v>1.02</v>
      </c>
      <c r="F2506" s="1121">
        <f t="shared" si="1"/>
        <v>8.37</v>
      </c>
      <c r="G2506" s="1120">
        <v>8.37</v>
      </c>
      <c r="H2506" s="1127">
        <v>0.0</v>
      </c>
      <c r="I2506" s="1127">
        <v>0.0</v>
      </c>
      <c r="J2506" s="1127">
        <v>0.0</v>
      </c>
      <c r="K2506" s="1124"/>
    </row>
    <row r="2507" ht="15.75" customHeight="1">
      <c r="A2507" s="1119">
        <v>102920.0</v>
      </c>
      <c r="B2507" s="1125" t="s">
        <v>12785</v>
      </c>
      <c r="C2507" s="1126" t="s">
        <v>3606</v>
      </c>
      <c r="D2507" s="1119">
        <v>8.49</v>
      </c>
      <c r="E2507" s="1120">
        <v>1.11</v>
      </c>
      <c r="F2507" s="1121">
        <f t="shared" si="1"/>
        <v>7.38</v>
      </c>
      <c r="G2507" s="1120">
        <v>7.38</v>
      </c>
      <c r="H2507" s="1127">
        <v>0.0</v>
      </c>
      <c r="I2507" s="1127">
        <v>0.0</v>
      </c>
      <c r="J2507" s="1127">
        <v>0.0</v>
      </c>
      <c r="K2507" s="1124"/>
    </row>
    <row r="2508" ht="15.75" customHeight="1">
      <c r="A2508" s="1119">
        <v>102921.0</v>
      </c>
      <c r="B2508" s="1125" t="s">
        <v>12786</v>
      </c>
      <c r="C2508" s="1126" t="s">
        <v>3606</v>
      </c>
      <c r="D2508" s="1119">
        <v>8.13</v>
      </c>
      <c r="E2508" s="1120">
        <v>0.85</v>
      </c>
      <c r="F2508" s="1121">
        <f t="shared" si="1"/>
        <v>7.28</v>
      </c>
      <c r="G2508" s="1120">
        <v>7.28</v>
      </c>
      <c r="H2508" s="1127">
        <v>0.0</v>
      </c>
      <c r="I2508" s="1127">
        <v>0.0</v>
      </c>
      <c r="J2508" s="1127">
        <v>0.0</v>
      </c>
      <c r="K2508" s="1124"/>
    </row>
    <row r="2509" ht="15.75" customHeight="1">
      <c r="A2509" s="1119">
        <v>102922.0</v>
      </c>
      <c r="B2509" s="1125" t="s">
        <v>12787</v>
      </c>
      <c r="C2509" s="1126" t="s">
        <v>3606</v>
      </c>
      <c r="D2509" s="1119">
        <v>9.16</v>
      </c>
      <c r="E2509" s="1120">
        <v>1.6</v>
      </c>
      <c r="F2509" s="1121">
        <f t="shared" si="1"/>
        <v>7.55</v>
      </c>
      <c r="G2509" s="1120">
        <v>7.55</v>
      </c>
      <c r="H2509" s="1127">
        <v>0.0</v>
      </c>
      <c r="I2509" s="1127">
        <v>0.0</v>
      </c>
      <c r="J2509" s="1127">
        <v>0.0</v>
      </c>
      <c r="K2509" s="1124"/>
    </row>
    <row r="2510" ht="15.75" customHeight="1">
      <c r="A2510" s="1119">
        <v>102923.0</v>
      </c>
      <c r="B2510" s="1125" t="s">
        <v>12788</v>
      </c>
      <c r="C2510" s="1126" t="s">
        <v>3606</v>
      </c>
      <c r="D2510" s="1119">
        <v>7.88</v>
      </c>
      <c r="E2510" s="1120">
        <v>0.67</v>
      </c>
      <c r="F2510" s="1121">
        <f t="shared" si="1"/>
        <v>7.22</v>
      </c>
      <c r="G2510" s="1120">
        <v>7.22</v>
      </c>
      <c r="H2510" s="1127">
        <v>0.0</v>
      </c>
      <c r="I2510" s="1127">
        <v>0.0</v>
      </c>
      <c r="J2510" s="1127">
        <v>0.0</v>
      </c>
      <c r="K2510" s="1124"/>
    </row>
    <row r="2511" ht="15.75" customHeight="1">
      <c r="A2511" s="1119">
        <v>103088.0</v>
      </c>
      <c r="B2511" s="1125" t="s">
        <v>12789</v>
      </c>
      <c r="C2511" s="1126" t="s">
        <v>3606</v>
      </c>
      <c r="D2511" s="1119">
        <v>10.55</v>
      </c>
      <c r="E2511" s="1120">
        <v>2.63</v>
      </c>
      <c r="F2511" s="1121">
        <f t="shared" si="1"/>
        <v>7.93</v>
      </c>
      <c r="G2511" s="1120">
        <v>7.93</v>
      </c>
      <c r="H2511" s="1127">
        <v>0.0</v>
      </c>
      <c r="I2511" s="1127">
        <v>0.0</v>
      </c>
      <c r="J2511" s="1127">
        <v>0.0</v>
      </c>
      <c r="K2511" s="1124"/>
    </row>
    <row r="2512" ht="15.75" customHeight="1">
      <c r="A2512" s="1119">
        <v>104104.0</v>
      </c>
      <c r="B2512" s="1125" t="s">
        <v>12790</v>
      </c>
      <c r="C2512" s="1126" t="s">
        <v>3606</v>
      </c>
      <c r="D2512" s="1119">
        <v>11.07</v>
      </c>
      <c r="E2512" s="1120">
        <v>0.24</v>
      </c>
      <c r="F2512" s="1121">
        <f t="shared" si="1"/>
        <v>10.83</v>
      </c>
      <c r="G2512" s="1120">
        <v>10.83</v>
      </c>
      <c r="H2512" s="1127">
        <v>0.0</v>
      </c>
      <c r="I2512" s="1127">
        <v>0.0</v>
      </c>
      <c r="J2512" s="1127">
        <v>0.0</v>
      </c>
      <c r="K2512" s="1124"/>
    </row>
    <row r="2513" ht="15.75" customHeight="1">
      <c r="A2513" s="1119">
        <v>104105.0</v>
      </c>
      <c r="B2513" s="1125" t="s">
        <v>12791</v>
      </c>
      <c r="C2513" s="1126" t="s">
        <v>3606</v>
      </c>
      <c r="D2513" s="1119">
        <v>11.07</v>
      </c>
      <c r="E2513" s="1120">
        <v>0.25</v>
      </c>
      <c r="F2513" s="1121">
        <f t="shared" si="1"/>
        <v>10.82</v>
      </c>
      <c r="G2513" s="1120">
        <v>10.82</v>
      </c>
      <c r="H2513" s="1127">
        <v>0.0</v>
      </c>
      <c r="I2513" s="1127">
        <v>0.0</v>
      </c>
      <c r="J2513" s="1127">
        <v>0.0</v>
      </c>
      <c r="K2513" s="1124"/>
    </row>
    <row r="2514" ht="15.75" customHeight="1">
      <c r="A2514" s="1119">
        <v>104106.0</v>
      </c>
      <c r="B2514" s="1125" t="s">
        <v>12792</v>
      </c>
      <c r="C2514" s="1126" t="s">
        <v>3606</v>
      </c>
      <c r="D2514" s="1119">
        <v>10.57</v>
      </c>
      <c r="E2514" s="1120">
        <v>1.58</v>
      </c>
      <c r="F2514" s="1121">
        <f t="shared" si="1"/>
        <v>8.98</v>
      </c>
      <c r="G2514" s="1120">
        <v>8.98</v>
      </c>
      <c r="H2514" s="1127">
        <v>0.0</v>
      </c>
      <c r="I2514" s="1127">
        <v>0.0</v>
      </c>
      <c r="J2514" s="1127">
        <v>0.0</v>
      </c>
      <c r="K2514" s="1124"/>
    </row>
    <row r="2515" ht="15.75" customHeight="1">
      <c r="A2515" s="1119">
        <v>104107.0</v>
      </c>
      <c r="B2515" s="1125" t="s">
        <v>12793</v>
      </c>
      <c r="C2515" s="1126" t="s">
        <v>3606</v>
      </c>
      <c r="D2515" s="1119">
        <v>11.36</v>
      </c>
      <c r="E2515" s="1120">
        <v>2.14</v>
      </c>
      <c r="F2515" s="1121">
        <f t="shared" si="1"/>
        <v>9.22</v>
      </c>
      <c r="G2515" s="1120">
        <v>9.22</v>
      </c>
      <c r="H2515" s="1127">
        <v>0.0</v>
      </c>
      <c r="I2515" s="1127">
        <v>0.0</v>
      </c>
      <c r="J2515" s="1127">
        <v>0.0</v>
      </c>
      <c r="K2515" s="1124"/>
    </row>
    <row r="2516" ht="15.75" customHeight="1">
      <c r="A2516" s="1119">
        <v>104108.0</v>
      </c>
      <c r="B2516" s="1125" t="s">
        <v>12794</v>
      </c>
      <c r="C2516" s="1126" t="s">
        <v>3606</v>
      </c>
      <c r="D2516" s="1119">
        <v>13.49</v>
      </c>
      <c r="E2516" s="1120">
        <v>2.83</v>
      </c>
      <c r="F2516" s="1121">
        <f t="shared" si="1"/>
        <v>10.66</v>
      </c>
      <c r="G2516" s="1120">
        <v>10.66</v>
      </c>
      <c r="H2516" s="1127">
        <v>0.0</v>
      </c>
      <c r="I2516" s="1127">
        <v>0.0</v>
      </c>
      <c r="J2516" s="1127">
        <v>0.0</v>
      </c>
      <c r="K2516" s="1124"/>
    </row>
    <row r="2517" ht="15.75" customHeight="1">
      <c r="A2517" s="1119">
        <v>104109.0</v>
      </c>
      <c r="B2517" s="1125" t="s">
        <v>12795</v>
      </c>
      <c r="C2517" s="1126" t="s">
        <v>3606</v>
      </c>
      <c r="D2517" s="1119">
        <v>16.79</v>
      </c>
      <c r="E2517" s="1120">
        <v>4.86</v>
      </c>
      <c r="F2517" s="1121">
        <f t="shared" si="1"/>
        <v>11.93</v>
      </c>
      <c r="G2517" s="1120">
        <v>11.93</v>
      </c>
      <c r="H2517" s="1127">
        <v>0.0</v>
      </c>
      <c r="I2517" s="1127">
        <v>0.0</v>
      </c>
      <c r="J2517" s="1127">
        <v>0.0</v>
      </c>
      <c r="K2517" s="1124"/>
    </row>
    <row r="2518" ht="15.75" customHeight="1">
      <c r="A2518" s="1119">
        <v>104110.0</v>
      </c>
      <c r="B2518" s="1125" t="s">
        <v>12796</v>
      </c>
      <c r="C2518" s="1126" t="s">
        <v>3606</v>
      </c>
      <c r="D2518" s="1119">
        <v>19.39</v>
      </c>
      <c r="E2518" s="1120">
        <v>7.07</v>
      </c>
      <c r="F2518" s="1121">
        <f t="shared" si="1"/>
        <v>12.32</v>
      </c>
      <c r="G2518" s="1120">
        <v>12.32</v>
      </c>
      <c r="H2518" s="1127">
        <v>0.0</v>
      </c>
      <c r="I2518" s="1127">
        <v>0.0</v>
      </c>
      <c r="J2518" s="1127">
        <v>0.0</v>
      </c>
      <c r="K2518" s="1124"/>
    </row>
    <row r="2519" ht="15.75" customHeight="1">
      <c r="A2519" s="1119">
        <v>104111.0</v>
      </c>
      <c r="B2519" s="1125" t="s">
        <v>12797</v>
      </c>
      <c r="C2519" s="1126" t="s">
        <v>3606</v>
      </c>
      <c r="D2519" s="1119">
        <v>22.43</v>
      </c>
      <c r="E2519" s="1120">
        <v>10.03</v>
      </c>
      <c r="F2519" s="1121">
        <f t="shared" si="1"/>
        <v>12.42</v>
      </c>
      <c r="G2519" s="1120">
        <v>12.42</v>
      </c>
      <c r="H2519" s="1127">
        <v>0.0</v>
      </c>
      <c r="I2519" s="1127">
        <v>0.0</v>
      </c>
      <c r="J2519" s="1127">
        <v>0.0</v>
      </c>
      <c r="K2519" s="1124"/>
    </row>
    <row r="2520" ht="15.75" customHeight="1">
      <c r="A2520" s="1119">
        <v>89993.0</v>
      </c>
      <c r="B2520" s="1125" t="s">
        <v>12798</v>
      </c>
      <c r="C2520" s="1126" t="s">
        <v>2178</v>
      </c>
      <c r="D2520" s="1128">
        <v>1042.25</v>
      </c>
      <c r="E2520" s="1120">
        <v>389.2</v>
      </c>
      <c r="F2520" s="1121">
        <f t="shared" si="1"/>
        <v>653.06</v>
      </c>
      <c r="G2520" s="1120">
        <v>650.99</v>
      </c>
      <c r="H2520" s="1127">
        <v>1.0</v>
      </c>
      <c r="I2520" s="1127">
        <v>0.0</v>
      </c>
      <c r="J2520" s="1127">
        <v>1.07</v>
      </c>
      <c r="K2520" s="1124"/>
    </row>
    <row r="2521" ht="15.75" customHeight="1">
      <c r="A2521" s="1119">
        <v>89994.0</v>
      </c>
      <c r="B2521" s="1125" t="s">
        <v>12799</v>
      </c>
      <c r="C2521" s="1126" t="s">
        <v>2178</v>
      </c>
      <c r="D2521" s="1119">
        <v>872.16</v>
      </c>
      <c r="E2521" s="1120">
        <v>263.96</v>
      </c>
      <c r="F2521" s="1121">
        <f t="shared" si="1"/>
        <v>608.21</v>
      </c>
      <c r="G2521" s="1120">
        <v>606.14</v>
      </c>
      <c r="H2521" s="1127">
        <v>1.0</v>
      </c>
      <c r="I2521" s="1127">
        <v>0.0</v>
      </c>
      <c r="J2521" s="1127">
        <v>1.07</v>
      </c>
      <c r="K2521" s="1124"/>
    </row>
    <row r="2522" ht="15.75" customHeight="1">
      <c r="A2522" s="1119">
        <v>89995.0</v>
      </c>
      <c r="B2522" s="1125" t="s">
        <v>12800</v>
      </c>
      <c r="C2522" s="1126" t="s">
        <v>2178</v>
      </c>
      <c r="D2522" s="1119">
        <v>998.75</v>
      </c>
      <c r="E2522" s="1120">
        <v>357.17</v>
      </c>
      <c r="F2522" s="1121">
        <f t="shared" si="1"/>
        <v>641.58</v>
      </c>
      <c r="G2522" s="1120">
        <v>639.51</v>
      </c>
      <c r="H2522" s="1127">
        <v>1.0</v>
      </c>
      <c r="I2522" s="1127">
        <v>0.0</v>
      </c>
      <c r="J2522" s="1127">
        <v>1.07</v>
      </c>
      <c r="K2522" s="1124"/>
    </row>
    <row r="2523" ht="15.75" customHeight="1">
      <c r="A2523" s="1119">
        <v>90278.0</v>
      </c>
      <c r="B2523" s="1125" t="s">
        <v>12801</v>
      </c>
      <c r="C2523" s="1126" t="s">
        <v>2178</v>
      </c>
      <c r="D2523" s="1119">
        <v>475.69</v>
      </c>
      <c r="E2523" s="1120">
        <v>66.79</v>
      </c>
      <c r="F2523" s="1121">
        <f t="shared" si="1"/>
        <v>408.91</v>
      </c>
      <c r="G2523" s="1120">
        <v>407.32</v>
      </c>
      <c r="H2523" s="1127">
        <v>0.78</v>
      </c>
      <c r="I2523" s="1127">
        <v>0.0</v>
      </c>
      <c r="J2523" s="1127">
        <v>0.81</v>
      </c>
      <c r="K2523" s="1124"/>
    </row>
    <row r="2524" ht="15.75" customHeight="1">
      <c r="A2524" s="1119">
        <v>90279.0</v>
      </c>
      <c r="B2524" s="1125" t="s">
        <v>12802</v>
      </c>
      <c r="C2524" s="1126" t="s">
        <v>2178</v>
      </c>
      <c r="D2524" s="1119">
        <v>526.38</v>
      </c>
      <c r="E2524" s="1120">
        <v>73.16</v>
      </c>
      <c r="F2524" s="1121">
        <f t="shared" si="1"/>
        <v>453.23</v>
      </c>
      <c r="G2524" s="1120">
        <v>451.49</v>
      </c>
      <c r="H2524" s="1127">
        <v>0.85</v>
      </c>
      <c r="I2524" s="1127">
        <v>0.0</v>
      </c>
      <c r="J2524" s="1127">
        <v>0.89</v>
      </c>
      <c r="K2524" s="1124"/>
    </row>
    <row r="2525" ht="15.75" customHeight="1">
      <c r="A2525" s="1119">
        <v>90280.0</v>
      </c>
      <c r="B2525" s="1125" t="s">
        <v>12803</v>
      </c>
      <c r="C2525" s="1126" t="s">
        <v>2178</v>
      </c>
      <c r="D2525" s="1119">
        <v>583.59</v>
      </c>
      <c r="E2525" s="1120">
        <v>73.18</v>
      </c>
      <c r="F2525" s="1121">
        <f t="shared" si="1"/>
        <v>510.43</v>
      </c>
      <c r="G2525" s="1120">
        <v>508.69</v>
      </c>
      <c r="H2525" s="1127">
        <v>0.85</v>
      </c>
      <c r="I2525" s="1127">
        <v>0.0</v>
      </c>
      <c r="J2525" s="1127">
        <v>0.89</v>
      </c>
      <c r="K2525" s="1124"/>
    </row>
    <row r="2526" ht="15.75" customHeight="1">
      <c r="A2526" s="1119">
        <v>90281.0</v>
      </c>
      <c r="B2526" s="1125" t="s">
        <v>12804</v>
      </c>
      <c r="C2526" s="1126" t="s">
        <v>2178</v>
      </c>
      <c r="D2526" s="1119">
        <v>676.92</v>
      </c>
      <c r="E2526" s="1120">
        <v>71.32</v>
      </c>
      <c r="F2526" s="1121">
        <f t="shared" si="1"/>
        <v>605.6</v>
      </c>
      <c r="G2526" s="1120">
        <v>603.91</v>
      </c>
      <c r="H2526" s="1127">
        <v>0.83</v>
      </c>
      <c r="I2526" s="1127">
        <v>0.0</v>
      </c>
      <c r="J2526" s="1127">
        <v>0.86</v>
      </c>
      <c r="K2526" s="1124"/>
    </row>
    <row r="2527" ht="15.75" customHeight="1">
      <c r="A2527" s="1119">
        <v>90282.0</v>
      </c>
      <c r="B2527" s="1125" t="s">
        <v>12805</v>
      </c>
      <c r="C2527" s="1126" t="s">
        <v>2178</v>
      </c>
      <c r="D2527" s="1119">
        <v>467.32</v>
      </c>
      <c r="E2527" s="1120">
        <v>64.55</v>
      </c>
      <c r="F2527" s="1121">
        <f t="shared" si="1"/>
        <v>402.78</v>
      </c>
      <c r="G2527" s="1120">
        <v>401.25</v>
      </c>
      <c r="H2527" s="1127">
        <v>0.75</v>
      </c>
      <c r="I2527" s="1127">
        <v>0.0</v>
      </c>
      <c r="J2527" s="1127">
        <v>0.78</v>
      </c>
      <c r="K2527" s="1124"/>
    </row>
    <row r="2528" ht="15.75" customHeight="1">
      <c r="A2528" s="1119">
        <v>90283.0</v>
      </c>
      <c r="B2528" s="1125" t="s">
        <v>12806</v>
      </c>
      <c r="C2528" s="1126" t="s">
        <v>2178</v>
      </c>
      <c r="D2528" s="1119">
        <v>518.45</v>
      </c>
      <c r="E2528" s="1120">
        <v>70.56</v>
      </c>
      <c r="F2528" s="1121">
        <f t="shared" si="1"/>
        <v>447.89</v>
      </c>
      <c r="G2528" s="1120">
        <v>446.2</v>
      </c>
      <c r="H2528" s="1127">
        <v>0.83</v>
      </c>
      <c r="I2528" s="1127">
        <v>0.0</v>
      </c>
      <c r="J2528" s="1127">
        <v>0.86</v>
      </c>
      <c r="K2528" s="1124"/>
    </row>
    <row r="2529" ht="15.75" customHeight="1">
      <c r="A2529" s="1119">
        <v>90284.0</v>
      </c>
      <c r="B2529" s="1125" t="s">
        <v>12807</v>
      </c>
      <c r="C2529" s="1126" t="s">
        <v>2178</v>
      </c>
      <c r="D2529" s="1119">
        <v>579.17</v>
      </c>
      <c r="E2529" s="1120">
        <v>70.56</v>
      </c>
      <c r="F2529" s="1121">
        <f t="shared" si="1"/>
        <v>508.61</v>
      </c>
      <c r="G2529" s="1120">
        <v>506.92</v>
      </c>
      <c r="H2529" s="1127">
        <v>0.83</v>
      </c>
      <c r="I2529" s="1127">
        <v>0.0</v>
      </c>
      <c r="J2529" s="1127">
        <v>0.86</v>
      </c>
      <c r="K2529" s="1124"/>
    </row>
    <row r="2530" ht="15.75" customHeight="1">
      <c r="A2530" s="1119">
        <v>90285.0</v>
      </c>
      <c r="B2530" s="1125" t="s">
        <v>12808</v>
      </c>
      <c r="C2530" s="1126" t="s">
        <v>2178</v>
      </c>
      <c r="D2530" s="1119">
        <v>679.08</v>
      </c>
      <c r="E2530" s="1120">
        <v>69.48</v>
      </c>
      <c r="F2530" s="1121">
        <f t="shared" si="1"/>
        <v>609.59</v>
      </c>
      <c r="G2530" s="1120">
        <v>607.94</v>
      </c>
      <c r="H2530" s="1127">
        <v>0.81</v>
      </c>
      <c r="I2530" s="1127">
        <v>0.0</v>
      </c>
      <c r="J2530" s="1127">
        <v>0.84</v>
      </c>
      <c r="K2530" s="1124"/>
    </row>
    <row r="2531" ht="15.75" customHeight="1">
      <c r="A2531" s="1119">
        <v>94962.0</v>
      </c>
      <c r="B2531" s="1125" t="s">
        <v>12809</v>
      </c>
      <c r="C2531" s="1126" t="s">
        <v>2178</v>
      </c>
      <c r="D2531" s="1119">
        <v>373.44</v>
      </c>
      <c r="E2531" s="1120">
        <v>67.32</v>
      </c>
      <c r="F2531" s="1121">
        <f t="shared" si="1"/>
        <v>306.11</v>
      </c>
      <c r="G2531" s="1120">
        <v>304.8</v>
      </c>
      <c r="H2531" s="1127">
        <v>0.71</v>
      </c>
      <c r="I2531" s="1127">
        <v>0.0</v>
      </c>
      <c r="J2531" s="1127">
        <v>0.6</v>
      </c>
      <c r="K2531" s="1124"/>
    </row>
    <row r="2532" ht="15.75" customHeight="1">
      <c r="A2532" s="1119">
        <v>94963.0</v>
      </c>
      <c r="B2532" s="1125" t="s">
        <v>12810</v>
      </c>
      <c r="C2532" s="1126" t="s">
        <v>2178</v>
      </c>
      <c r="D2532" s="1119">
        <v>413.09</v>
      </c>
      <c r="E2532" s="1120">
        <v>66.85</v>
      </c>
      <c r="F2532" s="1121">
        <f t="shared" si="1"/>
        <v>346.25</v>
      </c>
      <c r="G2532" s="1120">
        <v>344.96</v>
      </c>
      <c r="H2532" s="1127">
        <v>0.69</v>
      </c>
      <c r="I2532" s="1127">
        <v>0.0</v>
      </c>
      <c r="J2532" s="1127">
        <v>0.6</v>
      </c>
      <c r="K2532" s="1124"/>
    </row>
    <row r="2533" ht="15.75" customHeight="1">
      <c r="A2533" s="1119">
        <v>94964.0</v>
      </c>
      <c r="B2533" s="1125" t="s">
        <v>12811</v>
      </c>
      <c r="C2533" s="1126" t="s">
        <v>2178</v>
      </c>
      <c r="D2533" s="1119">
        <v>451.82</v>
      </c>
      <c r="E2533" s="1120">
        <v>72.85</v>
      </c>
      <c r="F2533" s="1121">
        <f t="shared" si="1"/>
        <v>378.98</v>
      </c>
      <c r="G2533" s="1120">
        <v>377.55</v>
      </c>
      <c r="H2533" s="1127">
        <v>0.77</v>
      </c>
      <c r="I2533" s="1127">
        <v>0.0</v>
      </c>
      <c r="J2533" s="1127">
        <v>0.66</v>
      </c>
      <c r="K2533" s="1124"/>
    </row>
    <row r="2534" ht="15.75" customHeight="1">
      <c r="A2534" s="1119">
        <v>94965.0</v>
      </c>
      <c r="B2534" s="1125" t="s">
        <v>12812</v>
      </c>
      <c r="C2534" s="1126" t="s">
        <v>2178</v>
      </c>
      <c r="D2534" s="1119">
        <v>467.26</v>
      </c>
      <c r="E2534" s="1120">
        <v>66.46</v>
      </c>
      <c r="F2534" s="1121">
        <f t="shared" si="1"/>
        <v>400.8</v>
      </c>
      <c r="G2534" s="1120">
        <v>399.51</v>
      </c>
      <c r="H2534" s="1127">
        <v>0.69</v>
      </c>
      <c r="I2534" s="1127">
        <v>0.0</v>
      </c>
      <c r="J2534" s="1127">
        <v>0.6</v>
      </c>
      <c r="K2534" s="1124"/>
    </row>
    <row r="2535" ht="15.75" customHeight="1">
      <c r="A2535" s="1119">
        <v>94966.0</v>
      </c>
      <c r="B2535" s="1125" t="s">
        <v>12813</v>
      </c>
      <c r="C2535" s="1126" t="s">
        <v>2178</v>
      </c>
      <c r="D2535" s="1119">
        <v>482.93</v>
      </c>
      <c r="E2535" s="1120">
        <v>65.91</v>
      </c>
      <c r="F2535" s="1121">
        <f t="shared" si="1"/>
        <v>417.02</v>
      </c>
      <c r="G2535" s="1120">
        <v>415.76</v>
      </c>
      <c r="H2535" s="1127">
        <v>0.67</v>
      </c>
      <c r="I2535" s="1127">
        <v>0.0</v>
      </c>
      <c r="J2535" s="1127">
        <v>0.59</v>
      </c>
      <c r="K2535" s="1124"/>
    </row>
    <row r="2536" ht="15.75" customHeight="1">
      <c r="A2536" s="1119">
        <v>94967.0</v>
      </c>
      <c r="B2536" s="1125" t="s">
        <v>12814</v>
      </c>
      <c r="C2536" s="1126" t="s">
        <v>2178</v>
      </c>
      <c r="D2536" s="1119">
        <v>551.99</v>
      </c>
      <c r="E2536" s="1120">
        <v>70.07</v>
      </c>
      <c r="F2536" s="1121">
        <f t="shared" si="1"/>
        <v>481.91</v>
      </c>
      <c r="G2536" s="1120">
        <v>480.55</v>
      </c>
      <c r="H2536" s="1127">
        <v>0.73</v>
      </c>
      <c r="I2536" s="1127">
        <v>0.0</v>
      </c>
      <c r="J2536" s="1127">
        <v>0.63</v>
      </c>
      <c r="K2536" s="1124"/>
    </row>
    <row r="2537" ht="15.75" customHeight="1">
      <c r="A2537" s="1119">
        <v>94968.0</v>
      </c>
      <c r="B2537" s="1125" t="s">
        <v>12815</v>
      </c>
      <c r="C2537" s="1126" t="s">
        <v>2178</v>
      </c>
      <c r="D2537" s="1119">
        <v>368.15</v>
      </c>
      <c r="E2537" s="1120">
        <v>60.5</v>
      </c>
      <c r="F2537" s="1121">
        <f t="shared" si="1"/>
        <v>307.64</v>
      </c>
      <c r="G2537" s="1120">
        <v>303.84</v>
      </c>
      <c r="H2537" s="1127">
        <v>2.71</v>
      </c>
      <c r="I2537" s="1127">
        <v>0.0</v>
      </c>
      <c r="J2537" s="1127">
        <v>1.09</v>
      </c>
      <c r="K2537" s="1124"/>
    </row>
    <row r="2538" ht="15.75" customHeight="1">
      <c r="A2538" s="1119">
        <v>94969.0</v>
      </c>
      <c r="B2538" s="1125" t="s">
        <v>12816</v>
      </c>
      <c r="C2538" s="1126" t="s">
        <v>2178</v>
      </c>
      <c r="D2538" s="1119">
        <v>404.46</v>
      </c>
      <c r="E2538" s="1120">
        <v>58.24</v>
      </c>
      <c r="F2538" s="1121">
        <f t="shared" si="1"/>
        <v>346.22</v>
      </c>
      <c r="G2538" s="1120">
        <v>342.57</v>
      </c>
      <c r="H2538" s="1127">
        <v>2.6</v>
      </c>
      <c r="I2538" s="1127">
        <v>0.0</v>
      </c>
      <c r="J2538" s="1127">
        <v>1.05</v>
      </c>
      <c r="K2538" s="1124"/>
    </row>
    <row r="2539" ht="15.75" customHeight="1">
      <c r="A2539" s="1119">
        <v>94970.0</v>
      </c>
      <c r="B2539" s="1125" t="s">
        <v>12817</v>
      </c>
      <c r="C2539" s="1126" t="s">
        <v>2178</v>
      </c>
      <c r="D2539" s="1119">
        <v>435.63</v>
      </c>
      <c r="E2539" s="1120">
        <v>58.15</v>
      </c>
      <c r="F2539" s="1121">
        <f t="shared" si="1"/>
        <v>377.48</v>
      </c>
      <c r="G2539" s="1120">
        <v>373.84</v>
      </c>
      <c r="H2539" s="1127">
        <v>2.59</v>
      </c>
      <c r="I2539" s="1127">
        <v>0.0</v>
      </c>
      <c r="J2539" s="1127">
        <v>1.05</v>
      </c>
      <c r="K2539" s="1124"/>
    </row>
    <row r="2540" ht="15.75" customHeight="1">
      <c r="A2540" s="1119">
        <v>94971.0</v>
      </c>
      <c r="B2540" s="1125" t="s">
        <v>12818</v>
      </c>
      <c r="C2540" s="1126" t="s">
        <v>2178</v>
      </c>
      <c r="D2540" s="1119">
        <v>458.27</v>
      </c>
      <c r="E2540" s="1120">
        <v>56.84</v>
      </c>
      <c r="F2540" s="1121">
        <f t="shared" si="1"/>
        <v>401.44</v>
      </c>
      <c r="G2540" s="1120">
        <v>397.88</v>
      </c>
      <c r="H2540" s="1127">
        <v>2.54</v>
      </c>
      <c r="I2540" s="1127">
        <v>0.0</v>
      </c>
      <c r="J2540" s="1127">
        <v>1.02</v>
      </c>
      <c r="K2540" s="1124"/>
    </row>
    <row r="2541" ht="15.75" customHeight="1">
      <c r="A2541" s="1119">
        <v>94972.0</v>
      </c>
      <c r="B2541" s="1125" t="s">
        <v>12819</v>
      </c>
      <c r="C2541" s="1126" t="s">
        <v>2178</v>
      </c>
      <c r="D2541" s="1119">
        <v>473.96</v>
      </c>
      <c r="E2541" s="1120">
        <v>56.39</v>
      </c>
      <c r="F2541" s="1121">
        <f t="shared" si="1"/>
        <v>417.57</v>
      </c>
      <c r="G2541" s="1120">
        <v>414.03</v>
      </c>
      <c r="H2541" s="1127">
        <v>2.52</v>
      </c>
      <c r="I2541" s="1127">
        <v>0.0</v>
      </c>
      <c r="J2541" s="1127">
        <v>1.02</v>
      </c>
      <c r="K2541" s="1124"/>
    </row>
    <row r="2542" ht="15.75" customHeight="1">
      <c r="A2542" s="1119">
        <v>94973.0</v>
      </c>
      <c r="B2542" s="1125" t="s">
        <v>12820</v>
      </c>
      <c r="C2542" s="1126" t="s">
        <v>2178</v>
      </c>
      <c r="D2542" s="1119">
        <v>540.68</v>
      </c>
      <c r="E2542" s="1120">
        <v>58.17</v>
      </c>
      <c r="F2542" s="1121">
        <f t="shared" si="1"/>
        <v>482.51</v>
      </c>
      <c r="G2542" s="1120">
        <v>478.87</v>
      </c>
      <c r="H2542" s="1127">
        <v>2.59</v>
      </c>
      <c r="I2542" s="1127">
        <v>0.0</v>
      </c>
      <c r="J2542" s="1127">
        <v>1.05</v>
      </c>
      <c r="K2542" s="1124"/>
    </row>
    <row r="2543" ht="15.75" customHeight="1">
      <c r="A2543" s="1119">
        <v>94974.0</v>
      </c>
      <c r="B2543" s="1125" t="s">
        <v>12821</v>
      </c>
      <c r="C2543" s="1126" t="s">
        <v>2178</v>
      </c>
      <c r="D2543" s="1119">
        <v>443.74</v>
      </c>
      <c r="E2543" s="1120">
        <v>109.49</v>
      </c>
      <c r="F2543" s="1121">
        <f t="shared" si="1"/>
        <v>334.25</v>
      </c>
      <c r="G2543" s="1120">
        <v>334.25</v>
      </c>
      <c r="H2543" s="1127">
        <v>0.0</v>
      </c>
      <c r="I2543" s="1127">
        <v>0.0</v>
      </c>
      <c r="J2543" s="1127">
        <v>0.0</v>
      </c>
      <c r="K2543" s="1124"/>
    </row>
    <row r="2544" ht="15.75" customHeight="1">
      <c r="A2544" s="1119">
        <v>94975.0</v>
      </c>
      <c r="B2544" s="1125" t="s">
        <v>12822</v>
      </c>
      <c r="C2544" s="1126" t="s">
        <v>2178</v>
      </c>
      <c r="D2544" s="1119">
        <v>478.65</v>
      </c>
      <c r="E2544" s="1120">
        <v>108.11</v>
      </c>
      <c r="F2544" s="1121">
        <f t="shared" si="1"/>
        <v>370.54</v>
      </c>
      <c r="G2544" s="1120">
        <v>370.54</v>
      </c>
      <c r="H2544" s="1127">
        <v>0.0</v>
      </c>
      <c r="I2544" s="1127">
        <v>0.0</v>
      </c>
      <c r="J2544" s="1127">
        <v>0.0</v>
      </c>
      <c r="K2544" s="1124"/>
    </row>
    <row r="2545" ht="15.75" customHeight="1">
      <c r="A2545" s="1119">
        <v>96555.0</v>
      </c>
      <c r="B2545" s="1125" t="s">
        <v>12823</v>
      </c>
      <c r="C2545" s="1126" t="s">
        <v>2178</v>
      </c>
      <c r="D2545" s="1119">
        <v>685.05</v>
      </c>
      <c r="E2545" s="1120">
        <v>166.44</v>
      </c>
      <c r="F2545" s="1121">
        <f t="shared" si="1"/>
        <v>518.62</v>
      </c>
      <c r="G2545" s="1120">
        <v>513.8</v>
      </c>
      <c r="H2545" s="1127">
        <v>3.55</v>
      </c>
      <c r="I2545" s="1127">
        <v>0.0</v>
      </c>
      <c r="J2545" s="1127">
        <v>1.27</v>
      </c>
      <c r="K2545" s="1124"/>
    </row>
    <row r="2546" ht="15.75" customHeight="1">
      <c r="A2546" s="1119">
        <v>96556.0</v>
      </c>
      <c r="B2546" s="1125" t="s">
        <v>12824</v>
      </c>
      <c r="C2546" s="1126" t="s">
        <v>2178</v>
      </c>
      <c r="D2546" s="1119">
        <v>788.62</v>
      </c>
      <c r="E2546" s="1120">
        <v>243.38</v>
      </c>
      <c r="F2546" s="1121">
        <f t="shared" si="1"/>
        <v>545.23</v>
      </c>
      <c r="G2546" s="1120">
        <v>540.13</v>
      </c>
      <c r="H2546" s="1127">
        <v>3.8</v>
      </c>
      <c r="I2546" s="1127">
        <v>0.0</v>
      </c>
      <c r="J2546" s="1127">
        <v>1.3</v>
      </c>
      <c r="K2546" s="1124"/>
    </row>
    <row r="2547" ht="15.75" customHeight="1">
      <c r="A2547" s="1119">
        <v>96557.0</v>
      </c>
      <c r="B2547" s="1125" t="s">
        <v>12825</v>
      </c>
      <c r="C2547" s="1126" t="s">
        <v>2178</v>
      </c>
      <c r="D2547" s="1119">
        <v>562.99</v>
      </c>
      <c r="E2547" s="1120">
        <v>18.42</v>
      </c>
      <c r="F2547" s="1121">
        <f t="shared" si="1"/>
        <v>544.58</v>
      </c>
      <c r="G2547" s="1120">
        <v>544.47</v>
      </c>
      <c r="H2547" s="1127">
        <v>0.09</v>
      </c>
      <c r="I2547" s="1127">
        <v>0.0</v>
      </c>
      <c r="J2547" s="1127">
        <v>0.02</v>
      </c>
      <c r="K2547" s="1124"/>
    </row>
    <row r="2548" ht="15.75" customHeight="1">
      <c r="A2548" s="1119">
        <v>96558.0</v>
      </c>
      <c r="B2548" s="1125" t="s">
        <v>12826</v>
      </c>
      <c r="C2548" s="1126" t="s">
        <v>2178</v>
      </c>
      <c r="D2548" s="1119">
        <v>572.19</v>
      </c>
      <c r="E2548" s="1120">
        <v>25.04</v>
      </c>
      <c r="F2548" s="1121">
        <f t="shared" si="1"/>
        <v>547.17</v>
      </c>
      <c r="G2548" s="1120">
        <v>547.0</v>
      </c>
      <c r="H2548" s="1127">
        <v>0.14</v>
      </c>
      <c r="I2548" s="1127">
        <v>0.0</v>
      </c>
      <c r="J2548" s="1127">
        <v>0.03</v>
      </c>
      <c r="K2548" s="1124"/>
    </row>
    <row r="2549" ht="15.75" customHeight="1">
      <c r="A2549" s="1119">
        <v>99235.0</v>
      </c>
      <c r="B2549" s="1125" t="s">
        <v>12827</v>
      </c>
      <c r="C2549" s="1126" t="s">
        <v>2178</v>
      </c>
      <c r="D2549" s="1119">
        <v>544.33</v>
      </c>
      <c r="E2549" s="1120">
        <v>14.43</v>
      </c>
      <c r="F2549" s="1121">
        <f t="shared" si="1"/>
        <v>529.9</v>
      </c>
      <c r="G2549" s="1120">
        <v>529.9</v>
      </c>
      <c r="H2549" s="1127">
        <v>0.0</v>
      </c>
      <c r="I2549" s="1127">
        <v>0.0</v>
      </c>
      <c r="J2549" s="1127">
        <v>0.0</v>
      </c>
      <c r="K2549" s="1124"/>
    </row>
    <row r="2550" ht="15.75" customHeight="1">
      <c r="A2550" s="1119">
        <v>99431.0</v>
      </c>
      <c r="B2550" s="1125" t="s">
        <v>12828</v>
      </c>
      <c r="C2550" s="1126" t="s">
        <v>2178</v>
      </c>
      <c r="D2550" s="1119">
        <v>567.35</v>
      </c>
      <c r="E2550" s="1120">
        <v>24.37</v>
      </c>
      <c r="F2550" s="1121">
        <f t="shared" si="1"/>
        <v>542.97</v>
      </c>
      <c r="G2550" s="1120">
        <v>542.9</v>
      </c>
      <c r="H2550" s="1127">
        <v>0.06</v>
      </c>
      <c r="I2550" s="1127">
        <v>0.0</v>
      </c>
      <c r="J2550" s="1127">
        <v>0.01</v>
      </c>
      <c r="K2550" s="1124"/>
    </row>
    <row r="2551" ht="15.75" customHeight="1">
      <c r="A2551" s="1119">
        <v>99432.0</v>
      </c>
      <c r="B2551" s="1125" t="s">
        <v>12829</v>
      </c>
      <c r="C2551" s="1126" t="s">
        <v>2178</v>
      </c>
      <c r="D2551" s="1119">
        <v>550.47</v>
      </c>
      <c r="E2551" s="1120">
        <v>22.59</v>
      </c>
      <c r="F2551" s="1121">
        <f t="shared" si="1"/>
        <v>527.89</v>
      </c>
      <c r="G2551" s="1120">
        <v>527.83</v>
      </c>
      <c r="H2551" s="1127">
        <v>0.05</v>
      </c>
      <c r="I2551" s="1127">
        <v>0.0</v>
      </c>
      <c r="J2551" s="1127">
        <v>0.01</v>
      </c>
      <c r="K2551" s="1124"/>
    </row>
    <row r="2552" ht="15.75" customHeight="1">
      <c r="A2552" s="1119">
        <v>99433.0</v>
      </c>
      <c r="B2552" s="1125" t="s">
        <v>12830</v>
      </c>
      <c r="C2552" s="1126" t="s">
        <v>2178</v>
      </c>
      <c r="D2552" s="1119">
        <v>601.65</v>
      </c>
      <c r="E2552" s="1120">
        <v>35.37</v>
      </c>
      <c r="F2552" s="1121">
        <f t="shared" si="1"/>
        <v>566.28</v>
      </c>
      <c r="G2552" s="1120">
        <v>566.18</v>
      </c>
      <c r="H2552" s="1127">
        <v>0.08</v>
      </c>
      <c r="I2552" s="1127">
        <v>0.0</v>
      </c>
      <c r="J2552" s="1127">
        <v>0.02</v>
      </c>
      <c r="K2552" s="1124"/>
    </row>
    <row r="2553" ht="15.75" customHeight="1">
      <c r="A2553" s="1119">
        <v>99434.0</v>
      </c>
      <c r="B2553" s="1125" t="s">
        <v>12831</v>
      </c>
      <c r="C2553" s="1126" t="s">
        <v>2178</v>
      </c>
      <c r="D2553" s="1119">
        <v>572.31</v>
      </c>
      <c r="E2553" s="1120">
        <v>28.0</v>
      </c>
      <c r="F2553" s="1121">
        <f t="shared" si="1"/>
        <v>544.31</v>
      </c>
      <c r="G2553" s="1120">
        <v>544.22</v>
      </c>
      <c r="H2553" s="1127">
        <v>0.07</v>
      </c>
      <c r="I2553" s="1127">
        <v>0.0</v>
      </c>
      <c r="J2553" s="1127">
        <v>0.02</v>
      </c>
      <c r="K2553" s="1124"/>
    </row>
    <row r="2554" ht="15.75" customHeight="1">
      <c r="A2554" s="1119">
        <v>99435.0</v>
      </c>
      <c r="B2554" s="1125" t="s">
        <v>12832</v>
      </c>
      <c r="C2554" s="1126" t="s">
        <v>2178</v>
      </c>
      <c r="D2554" s="1119">
        <v>553.88</v>
      </c>
      <c r="E2554" s="1120">
        <v>25.06</v>
      </c>
      <c r="F2554" s="1121">
        <f t="shared" si="1"/>
        <v>528.82</v>
      </c>
      <c r="G2554" s="1120">
        <v>528.74</v>
      </c>
      <c r="H2554" s="1127">
        <v>0.06</v>
      </c>
      <c r="I2554" s="1127">
        <v>0.0</v>
      </c>
      <c r="J2554" s="1127">
        <v>0.02</v>
      </c>
      <c r="K2554" s="1124"/>
    </row>
    <row r="2555" ht="15.75" customHeight="1">
      <c r="A2555" s="1119">
        <v>99436.0</v>
      </c>
      <c r="B2555" s="1125" t="s">
        <v>12833</v>
      </c>
      <c r="C2555" s="1126" t="s">
        <v>2178</v>
      </c>
      <c r="D2555" s="1119">
        <v>627.58</v>
      </c>
      <c r="E2555" s="1120">
        <v>54.29</v>
      </c>
      <c r="F2555" s="1121">
        <f t="shared" si="1"/>
        <v>573.29</v>
      </c>
      <c r="G2555" s="1120">
        <v>573.1</v>
      </c>
      <c r="H2555" s="1127">
        <v>0.15</v>
      </c>
      <c r="I2555" s="1127">
        <v>0.0</v>
      </c>
      <c r="J2555" s="1127">
        <v>0.04</v>
      </c>
      <c r="K2555" s="1124"/>
    </row>
    <row r="2556" ht="15.75" customHeight="1">
      <c r="A2556" s="1119">
        <v>99437.0</v>
      </c>
      <c r="B2556" s="1125" t="s">
        <v>12834</v>
      </c>
      <c r="C2556" s="1126" t="s">
        <v>2178</v>
      </c>
      <c r="D2556" s="1119">
        <v>578.49</v>
      </c>
      <c r="E2556" s="1120">
        <v>18.3</v>
      </c>
      <c r="F2556" s="1121">
        <f t="shared" si="1"/>
        <v>560.22</v>
      </c>
      <c r="G2556" s="1120">
        <v>560.22</v>
      </c>
      <c r="H2556" s="1127">
        <v>0.0</v>
      </c>
      <c r="I2556" s="1127">
        <v>0.0</v>
      </c>
      <c r="J2556" s="1127">
        <v>0.0</v>
      </c>
      <c r="K2556" s="1124"/>
    </row>
    <row r="2557" ht="15.75" customHeight="1">
      <c r="A2557" s="1119">
        <v>99438.0</v>
      </c>
      <c r="B2557" s="1125" t="s">
        <v>12835</v>
      </c>
      <c r="C2557" s="1126" t="s">
        <v>2178</v>
      </c>
      <c r="D2557" s="1119">
        <v>585.62</v>
      </c>
      <c r="E2557" s="1120">
        <v>23.49</v>
      </c>
      <c r="F2557" s="1121">
        <f t="shared" si="1"/>
        <v>562.12</v>
      </c>
      <c r="G2557" s="1120">
        <v>562.12</v>
      </c>
      <c r="H2557" s="1127">
        <v>0.0</v>
      </c>
      <c r="I2557" s="1127">
        <v>0.0</v>
      </c>
      <c r="J2557" s="1127">
        <v>0.0</v>
      </c>
      <c r="K2557" s="1124"/>
    </row>
    <row r="2558" ht="15.75" customHeight="1">
      <c r="A2558" s="1119">
        <v>99439.0</v>
      </c>
      <c r="B2558" s="1125" t="s">
        <v>12836</v>
      </c>
      <c r="C2558" s="1126" t="s">
        <v>2178</v>
      </c>
      <c r="D2558" s="1119">
        <v>559.15</v>
      </c>
      <c r="E2558" s="1120">
        <v>25.41</v>
      </c>
      <c r="F2558" s="1121">
        <f t="shared" si="1"/>
        <v>533.75</v>
      </c>
      <c r="G2558" s="1120">
        <v>533.67</v>
      </c>
      <c r="H2558" s="1127">
        <v>0.06</v>
      </c>
      <c r="I2558" s="1127">
        <v>0.0</v>
      </c>
      <c r="J2558" s="1127">
        <v>0.02</v>
      </c>
      <c r="K2558" s="1124"/>
    </row>
    <row r="2559" ht="15.75" customHeight="1">
      <c r="A2559" s="1119">
        <v>102473.0</v>
      </c>
      <c r="B2559" s="1125" t="s">
        <v>12837</v>
      </c>
      <c r="C2559" s="1126" t="s">
        <v>2178</v>
      </c>
      <c r="D2559" s="1119">
        <v>470.79</v>
      </c>
      <c r="E2559" s="1120">
        <v>68.61</v>
      </c>
      <c r="F2559" s="1121">
        <f t="shared" si="1"/>
        <v>402.18</v>
      </c>
      <c r="G2559" s="1120">
        <v>400.85</v>
      </c>
      <c r="H2559" s="1127">
        <v>0.71</v>
      </c>
      <c r="I2559" s="1127">
        <v>0.0</v>
      </c>
      <c r="J2559" s="1127">
        <v>0.62</v>
      </c>
      <c r="K2559" s="1124"/>
    </row>
    <row r="2560" ht="15.75" customHeight="1">
      <c r="A2560" s="1119">
        <v>102474.0</v>
      </c>
      <c r="B2560" s="1125" t="s">
        <v>12838</v>
      </c>
      <c r="C2560" s="1126" t="s">
        <v>2178</v>
      </c>
      <c r="D2560" s="1119">
        <v>508.88</v>
      </c>
      <c r="E2560" s="1120">
        <v>68.2</v>
      </c>
      <c r="F2560" s="1121">
        <f t="shared" si="1"/>
        <v>440.68</v>
      </c>
      <c r="G2560" s="1120">
        <v>439.36</v>
      </c>
      <c r="H2560" s="1127">
        <v>0.71</v>
      </c>
      <c r="I2560" s="1127">
        <v>0.0</v>
      </c>
      <c r="J2560" s="1127">
        <v>0.61</v>
      </c>
      <c r="K2560" s="1124"/>
    </row>
    <row r="2561" ht="15.75" customHeight="1">
      <c r="A2561" s="1119">
        <v>102475.0</v>
      </c>
      <c r="B2561" s="1125" t="s">
        <v>12839</v>
      </c>
      <c r="C2561" s="1126" t="s">
        <v>2178</v>
      </c>
      <c r="D2561" s="1119">
        <v>551.55</v>
      </c>
      <c r="E2561" s="1120">
        <v>75.11</v>
      </c>
      <c r="F2561" s="1121">
        <f t="shared" si="1"/>
        <v>476.45</v>
      </c>
      <c r="G2561" s="1120">
        <v>474.98</v>
      </c>
      <c r="H2561" s="1127">
        <v>0.79</v>
      </c>
      <c r="I2561" s="1127">
        <v>0.0</v>
      </c>
      <c r="J2561" s="1127">
        <v>0.68</v>
      </c>
      <c r="K2561" s="1124"/>
    </row>
    <row r="2562" ht="15.75" customHeight="1">
      <c r="A2562" s="1119">
        <v>102476.0</v>
      </c>
      <c r="B2562" s="1125" t="s">
        <v>12840</v>
      </c>
      <c r="C2562" s="1126" t="s">
        <v>2178</v>
      </c>
      <c r="D2562" s="1119">
        <v>566.61</v>
      </c>
      <c r="E2562" s="1120">
        <v>64.61</v>
      </c>
      <c r="F2562" s="1121">
        <f t="shared" si="1"/>
        <v>502.01</v>
      </c>
      <c r="G2562" s="1120">
        <v>500.76</v>
      </c>
      <c r="H2562" s="1127">
        <v>0.67</v>
      </c>
      <c r="I2562" s="1127">
        <v>0.0</v>
      </c>
      <c r="J2562" s="1127">
        <v>0.58</v>
      </c>
      <c r="K2562" s="1124"/>
    </row>
    <row r="2563" ht="15.75" customHeight="1">
      <c r="A2563" s="1119">
        <v>102477.0</v>
      </c>
      <c r="B2563" s="1125" t="s">
        <v>12841</v>
      </c>
      <c r="C2563" s="1126" t="s">
        <v>2178</v>
      </c>
      <c r="D2563" s="1119">
        <v>600.74</v>
      </c>
      <c r="E2563" s="1120">
        <v>71.3</v>
      </c>
      <c r="F2563" s="1121">
        <f t="shared" si="1"/>
        <v>529.44</v>
      </c>
      <c r="G2563" s="1120">
        <v>528.05</v>
      </c>
      <c r="H2563" s="1127">
        <v>0.75</v>
      </c>
      <c r="I2563" s="1127">
        <v>0.0</v>
      </c>
      <c r="J2563" s="1127">
        <v>0.64</v>
      </c>
      <c r="K2563" s="1124"/>
    </row>
    <row r="2564" ht="15.75" customHeight="1">
      <c r="A2564" s="1119">
        <v>102478.0</v>
      </c>
      <c r="B2564" s="1125" t="s">
        <v>12842</v>
      </c>
      <c r="C2564" s="1126" t="s">
        <v>2178</v>
      </c>
      <c r="D2564" s="1119">
        <v>649.28</v>
      </c>
      <c r="E2564" s="1120">
        <v>64.62</v>
      </c>
      <c r="F2564" s="1121">
        <f t="shared" si="1"/>
        <v>584.66</v>
      </c>
      <c r="G2564" s="1120">
        <v>583.41</v>
      </c>
      <c r="H2564" s="1127">
        <v>0.67</v>
      </c>
      <c r="I2564" s="1127">
        <v>0.0</v>
      </c>
      <c r="J2564" s="1127">
        <v>0.58</v>
      </c>
      <c r="K2564" s="1124"/>
    </row>
    <row r="2565" ht="15.75" customHeight="1">
      <c r="A2565" s="1119">
        <v>102479.0</v>
      </c>
      <c r="B2565" s="1125" t="s">
        <v>12843</v>
      </c>
      <c r="C2565" s="1126" t="s">
        <v>2178</v>
      </c>
      <c r="D2565" s="1119">
        <v>465.72</v>
      </c>
      <c r="E2565" s="1120">
        <v>61.48</v>
      </c>
      <c r="F2565" s="1121">
        <f t="shared" si="1"/>
        <v>404.25</v>
      </c>
      <c r="G2565" s="1120">
        <v>400.39</v>
      </c>
      <c r="H2565" s="1127">
        <v>2.75</v>
      </c>
      <c r="I2565" s="1127">
        <v>0.0</v>
      </c>
      <c r="J2565" s="1127">
        <v>1.11</v>
      </c>
      <c r="K2565" s="1124"/>
    </row>
    <row r="2566" ht="15.75" customHeight="1">
      <c r="A2566" s="1119">
        <v>102480.0</v>
      </c>
      <c r="B2566" s="1125" t="s">
        <v>12844</v>
      </c>
      <c r="C2566" s="1126" t="s">
        <v>2178</v>
      </c>
      <c r="D2566" s="1119">
        <v>500.55</v>
      </c>
      <c r="E2566" s="1120">
        <v>59.53</v>
      </c>
      <c r="F2566" s="1121">
        <f t="shared" si="1"/>
        <v>441.01</v>
      </c>
      <c r="G2566" s="1120">
        <v>437.28</v>
      </c>
      <c r="H2566" s="1127">
        <v>2.66</v>
      </c>
      <c r="I2566" s="1127">
        <v>0.0</v>
      </c>
      <c r="J2566" s="1127">
        <v>1.07</v>
      </c>
      <c r="K2566" s="1124"/>
    </row>
    <row r="2567" ht="15.75" customHeight="1">
      <c r="A2567" s="1119">
        <v>102481.0</v>
      </c>
      <c r="B2567" s="1125" t="s">
        <v>12845</v>
      </c>
      <c r="C2567" s="1126" t="s">
        <v>2178</v>
      </c>
      <c r="D2567" s="1119">
        <v>535.42</v>
      </c>
      <c r="E2567" s="1120">
        <v>59.95</v>
      </c>
      <c r="F2567" s="1121">
        <f t="shared" si="1"/>
        <v>475.47</v>
      </c>
      <c r="G2567" s="1120">
        <v>471.71</v>
      </c>
      <c r="H2567" s="1127">
        <v>2.68</v>
      </c>
      <c r="I2567" s="1127">
        <v>0.0</v>
      </c>
      <c r="J2567" s="1127">
        <v>1.08</v>
      </c>
      <c r="K2567" s="1124"/>
    </row>
    <row r="2568" ht="15.75" customHeight="1">
      <c r="A2568" s="1119">
        <v>102482.0</v>
      </c>
      <c r="B2568" s="1125" t="s">
        <v>12846</v>
      </c>
      <c r="C2568" s="1126" t="s">
        <v>2178</v>
      </c>
      <c r="D2568" s="1119">
        <v>561.74</v>
      </c>
      <c r="E2568" s="1120">
        <v>57.23</v>
      </c>
      <c r="F2568" s="1121">
        <f t="shared" si="1"/>
        <v>504.51</v>
      </c>
      <c r="G2568" s="1120">
        <v>500.92</v>
      </c>
      <c r="H2568" s="1127">
        <v>2.56</v>
      </c>
      <c r="I2568" s="1127">
        <v>0.0</v>
      </c>
      <c r="J2568" s="1127">
        <v>1.03</v>
      </c>
      <c r="K2568" s="1124"/>
    </row>
    <row r="2569" ht="15.75" customHeight="1">
      <c r="A2569" s="1119">
        <v>102483.0</v>
      </c>
      <c r="B2569" s="1125" t="s">
        <v>12847</v>
      </c>
      <c r="C2569" s="1126" t="s">
        <v>2178</v>
      </c>
      <c r="D2569" s="1119">
        <v>590.51</v>
      </c>
      <c r="E2569" s="1120">
        <v>59.12</v>
      </c>
      <c r="F2569" s="1121">
        <f t="shared" si="1"/>
        <v>531.41</v>
      </c>
      <c r="G2569" s="1120">
        <v>527.7</v>
      </c>
      <c r="H2569" s="1127">
        <v>2.64</v>
      </c>
      <c r="I2569" s="1127">
        <v>0.0</v>
      </c>
      <c r="J2569" s="1127">
        <v>1.07</v>
      </c>
      <c r="K2569" s="1124"/>
    </row>
    <row r="2570" ht="15.75" customHeight="1">
      <c r="A2570" s="1119">
        <v>102484.0</v>
      </c>
      <c r="B2570" s="1125" t="s">
        <v>12848</v>
      </c>
      <c r="C2570" s="1126" t="s">
        <v>2178</v>
      </c>
      <c r="D2570" s="1119">
        <v>646.68</v>
      </c>
      <c r="E2570" s="1120">
        <v>59.11</v>
      </c>
      <c r="F2570" s="1121">
        <f t="shared" si="1"/>
        <v>587.59</v>
      </c>
      <c r="G2570" s="1120">
        <v>583.89</v>
      </c>
      <c r="H2570" s="1127">
        <v>2.63</v>
      </c>
      <c r="I2570" s="1127">
        <v>0.0</v>
      </c>
      <c r="J2570" s="1127">
        <v>1.07</v>
      </c>
      <c r="K2570" s="1124"/>
    </row>
    <row r="2571" ht="15.75" customHeight="1">
      <c r="A2571" s="1119">
        <v>102485.0</v>
      </c>
      <c r="B2571" s="1125" t="s">
        <v>12849</v>
      </c>
      <c r="C2571" s="1126" t="s">
        <v>2178</v>
      </c>
      <c r="D2571" s="1119">
        <v>542.51</v>
      </c>
      <c r="E2571" s="1120">
        <v>109.77</v>
      </c>
      <c r="F2571" s="1121">
        <f t="shared" si="1"/>
        <v>432.75</v>
      </c>
      <c r="G2571" s="1120">
        <v>432.75</v>
      </c>
      <c r="H2571" s="1127">
        <v>0.0</v>
      </c>
      <c r="I2571" s="1127">
        <v>0.0</v>
      </c>
      <c r="J2571" s="1127">
        <v>0.0</v>
      </c>
      <c r="K2571" s="1124"/>
    </row>
    <row r="2572" ht="15.75" customHeight="1">
      <c r="A2572" s="1119">
        <v>102486.0</v>
      </c>
      <c r="B2572" s="1125" t="s">
        <v>12850</v>
      </c>
      <c r="C2572" s="1126" t="s">
        <v>2178</v>
      </c>
      <c r="D2572" s="1119">
        <v>574.66</v>
      </c>
      <c r="E2572" s="1120">
        <v>108.66</v>
      </c>
      <c r="F2572" s="1121">
        <f t="shared" si="1"/>
        <v>466</v>
      </c>
      <c r="G2572" s="1120">
        <v>466.0</v>
      </c>
      <c r="H2572" s="1127">
        <v>0.0</v>
      </c>
      <c r="I2572" s="1127">
        <v>0.0</v>
      </c>
      <c r="J2572" s="1127">
        <v>0.0</v>
      </c>
      <c r="K2572" s="1124"/>
    </row>
    <row r="2573" ht="15.75" customHeight="1">
      <c r="A2573" s="1119">
        <v>102487.0</v>
      </c>
      <c r="B2573" s="1125" t="s">
        <v>12851</v>
      </c>
      <c r="C2573" s="1126" t="s">
        <v>2178</v>
      </c>
      <c r="D2573" s="1119">
        <v>577.96</v>
      </c>
      <c r="E2573" s="1120">
        <v>207.75</v>
      </c>
      <c r="F2573" s="1121">
        <f t="shared" si="1"/>
        <v>370.24</v>
      </c>
      <c r="G2573" s="1120">
        <v>368.68</v>
      </c>
      <c r="H2573" s="1127">
        <v>1.01</v>
      </c>
      <c r="I2573" s="1127">
        <v>0.0</v>
      </c>
      <c r="J2573" s="1127">
        <v>0.55</v>
      </c>
      <c r="K2573" s="1124"/>
    </row>
    <row r="2574" ht="15.75" customHeight="1">
      <c r="A2574" s="1119">
        <v>103183.0</v>
      </c>
      <c r="B2574" s="1125" t="s">
        <v>12852</v>
      </c>
      <c r="C2574" s="1126" t="s">
        <v>2178</v>
      </c>
      <c r="D2574" s="1119">
        <v>608.14</v>
      </c>
      <c r="E2574" s="1120">
        <v>61.17</v>
      </c>
      <c r="F2574" s="1121">
        <f t="shared" si="1"/>
        <v>546.98</v>
      </c>
      <c r="G2574" s="1120">
        <v>546.77</v>
      </c>
      <c r="H2574" s="1127">
        <v>0.17</v>
      </c>
      <c r="I2574" s="1127">
        <v>0.0</v>
      </c>
      <c r="J2574" s="1127">
        <v>0.04</v>
      </c>
      <c r="K2574" s="1124"/>
    </row>
    <row r="2575" ht="15.75" customHeight="1">
      <c r="A2575" s="1119">
        <v>103184.0</v>
      </c>
      <c r="B2575" s="1125" t="s">
        <v>12853</v>
      </c>
      <c r="C2575" s="1126" t="s">
        <v>2178</v>
      </c>
      <c r="D2575" s="1119">
        <v>558.73</v>
      </c>
      <c r="E2575" s="1120">
        <v>24.95</v>
      </c>
      <c r="F2575" s="1121">
        <f t="shared" si="1"/>
        <v>533.78</v>
      </c>
      <c r="G2575" s="1120">
        <v>533.78</v>
      </c>
      <c r="H2575" s="1127">
        <v>0.0</v>
      </c>
      <c r="I2575" s="1127">
        <v>0.0</v>
      </c>
      <c r="J2575" s="1127">
        <v>0.0</v>
      </c>
      <c r="K2575" s="1124"/>
    </row>
    <row r="2576" ht="15.75" customHeight="1">
      <c r="A2576" s="1119">
        <v>103669.0</v>
      </c>
      <c r="B2576" s="1125" t="s">
        <v>12854</v>
      </c>
      <c r="C2576" s="1126" t="s">
        <v>2178</v>
      </c>
      <c r="D2576" s="1119">
        <v>876.81</v>
      </c>
      <c r="E2576" s="1120">
        <v>249.29</v>
      </c>
      <c r="F2576" s="1121">
        <f t="shared" si="1"/>
        <v>627.51</v>
      </c>
      <c r="G2576" s="1120">
        <v>625.63</v>
      </c>
      <c r="H2576" s="1127">
        <v>1.54</v>
      </c>
      <c r="I2576" s="1127">
        <v>0.0</v>
      </c>
      <c r="J2576" s="1127">
        <v>0.34</v>
      </c>
      <c r="K2576" s="1124"/>
    </row>
    <row r="2577" ht="15.75" customHeight="1">
      <c r="A2577" s="1119">
        <v>103670.0</v>
      </c>
      <c r="B2577" s="1125" t="s">
        <v>12855</v>
      </c>
      <c r="C2577" s="1126" t="s">
        <v>2178</v>
      </c>
      <c r="D2577" s="1119">
        <v>346.24</v>
      </c>
      <c r="E2577" s="1120">
        <v>249.36</v>
      </c>
      <c r="F2577" s="1121">
        <f t="shared" si="1"/>
        <v>96.88</v>
      </c>
      <c r="G2577" s="1120">
        <v>95.0</v>
      </c>
      <c r="H2577" s="1127">
        <v>1.54</v>
      </c>
      <c r="I2577" s="1127">
        <v>0.0</v>
      </c>
      <c r="J2577" s="1127">
        <v>0.34</v>
      </c>
      <c r="K2577" s="1124"/>
    </row>
    <row r="2578" ht="15.75" customHeight="1">
      <c r="A2578" s="1119">
        <v>103671.0</v>
      </c>
      <c r="B2578" s="1125" t="s">
        <v>12856</v>
      </c>
      <c r="C2578" s="1126" t="s">
        <v>2178</v>
      </c>
      <c r="D2578" s="1119">
        <v>586.7</v>
      </c>
      <c r="E2578" s="1120">
        <v>40.41</v>
      </c>
      <c r="F2578" s="1121">
        <f t="shared" si="1"/>
        <v>546.31</v>
      </c>
      <c r="G2578" s="1120">
        <v>546.04</v>
      </c>
      <c r="H2578" s="1127">
        <v>0.22</v>
      </c>
      <c r="I2578" s="1127">
        <v>0.0</v>
      </c>
      <c r="J2578" s="1127">
        <v>0.05</v>
      </c>
      <c r="K2578" s="1124"/>
    </row>
    <row r="2579" ht="15.75" customHeight="1">
      <c r="A2579" s="1119">
        <v>103672.0</v>
      </c>
      <c r="B2579" s="1125" t="s">
        <v>12857</v>
      </c>
      <c r="C2579" s="1126" t="s">
        <v>2178</v>
      </c>
      <c r="D2579" s="1119">
        <v>548.45</v>
      </c>
      <c r="E2579" s="1120">
        <v>34.39</v>
      </c>
      <c r="F2579" s="1121">
        <f t="shared" si="1"/>
        <v>514.03</v>
      </c>
      <c r="G2579" s="1120">
        <v>513.88</v>
      </c>
      <c r="H2579" s="1127">
        <v>0.12</v>
      </c>
      <c r="I2579" s="1127">
        <v>0.0</v>
      </c>
      <c r="J2579" s="1127">
        <v>0.03</v>
      </c>
      <c r="K2579" s="1124"/>
    </row>
    <row r="2580" ht="15.75" customHeight="1">
      <c r="A2580" s="1119">
        <v>103673.0</v>
      </c>
      <c r="B2580" s="1125" t="s">
        <v>12858</v>
      </c>
      <c r="C2580" s="1126" t="s">
        <v>2178</v>
      </c>
      <c r="D2580" s="1119">
        <v>48.42</v>
      </c>
      <c r="E2580" s="1120">
        <v>34.49</v>
      </c>
      <c r="F2580" s="1121">
        <f t="shared" si="1"/>
        <v>13.93</v>
      </c>
      <c r="G2580" s="1120">
        <v>13.78</v>
      </c>
      <c r="H2580" s="1127">
        <v>0.12</v>
      </c>
      <c r="I2580" s="1127">
        <v>0.0</v>
      </c>
      <c r="J2580" s="1127">
        <v>0.03</v>
      </c>
      <c r="K2580" s="1124"/>
    </row>
    <row r="2581" ht="15.75" customHeight="1">
      <c r="A2581" s="1119">
        <v>103674.0</v>
      </c>
      <c r="B2581" s="1125" t="s">
        <v>12859</v>
      </c>
      <c r="C2581" s="1126" t="s">
        <v>2178</v>
      </c>
      <c r="D2581" s="1119">
        <v>572.66</v>
      </c>
      <c r="E2581" s="1120">
        <v>52.92</v>
      </c>
      <c r="F2581" s="1121">
        <f t="shared" si="1"/>
        <v>519.74</v>
      </c>
      <c r="G2581" s="1120">
        <v>519.47</v>
      </c>
      <c r="H2581" s="1127">
        <v>0.21</v>
      </c>
      <c r="I2581" s="1127">
        <v>0.0</v>
      </c>
      <c r="J2581" s="1127">
        <v>0.06</v>
      </c>
      <c r="K2581" s="1124"/>
    </row>
    <row r="2582" ht="15.75" customHeight="1">
      <c r="A2582" s="1119">
        <v>103675.0</v>
      </c>
      <c r="B2582" s="1125" t="s">
        <v>12860</v>
      </c>
      <c r="C2582" s="1126" t="s">
        <v>2178</v>
      </c>
      <c r="D2582" s="1119">
        <v>549.48</v>
      </c>
      <c r="E2582" s="1120">
        <v>35.99</v>
      </c>
      <c r="F2582" s="1121">
        <f t="shared" si="1"/>
        <v>513.47</v>
      </c>
      <c r="G2582" s="1120">
        <v>513.3</v>
      </c>
      <c r="H2582" s="1127">
        <v>0.14</v>
      </c>
      <c r="I2582" s="1127">
        <v>0.0</v>
      </c>
      <c r="J2582" s="1127">
        <v>0.03</v>
      </c>
      <c r="K2582" s="1124"/>
    </row>
    <row r="2583" ht="15.75" customHeight="1">
      <c r="A2583" s="1119">
        <v>103676.0</v>
      </c>
      <c r="B2583" s="1125" t="s">
        <v>12861</v>
      </c>
      <c r="C2583" s="1126" t="s">
        <v>2178</v>
      </c>
      <c r="D2583" s="1119">
        <v>941.69</v>
      </c>
      <c r="E2583" s="1120">
        <v>294.15</v>
      </c>
      <c r="F2583" s="1121">
        <f t="shared" si="1"/>
        <v>647.54</v>
      </c>
      <c r="G2583" s="1120">
        <v>646.55</v>
      </c>
      <c r="H2583" s="1127">
        <v>0.77</v>
      </c>
      <c r="I2583" s="1127">
        <v>0.0</v>
      </c>
      <c r="J2583" s="1127">
        <v>0.22</v>
      </c>
      <c r="K2583" s="1124"/>
    </row>
    <row r="2584" ht="15.75" customHeight="1">
      <c r="A2584" s="1119">
        <v>103677.0</v>
      </c>
      <c r="B2584" s="1125" t="s">
        <v>12862</v>
      </c>
      <c r="C2584" s="1126" t="s">
        <v>2178</v>
      </c>
      <c r="D2584" s="1119">
        <v>743.68</v>
      </c>
      <c r="E2584" s="1120">
        <v>152.45</v>
      </c>
      <c r="F2584" s="1121">
        <f t="shared" si="1"/>
        <v>591.23</v>
      </c>
      <c r="G2584" s="1120">
        <v>590.74</v>
      </c>
      <c r="H2584" s="1127">
        <v>0.38</v>
      </c>
      <c r="I2584" s="1127">
        <v>0.0</v>
      </c>
      <c r="J2584" s="1127">
        <v>0.11</v>
      </c>
      <c r="K2584" s="1124"/>
    </row>
    <row r="2585" ht="15.75" customHeight="1">
      <c r="A2585" s="1119">
        <v>103678.0</v>
      </c>
      <c r="B2585" s="1125" t="s">
        <v>12863</v>
      </c>
      <c r="C2585" s="1126" t="s">
        <v>2178</v>
      </c>
      <c r="D2585" s="1119">
        <v>830.55</v>
      </c>
      <c r="E2585" s="1120">
        <v>213.73</v>
      </c>
      <c r="F2585" s="1121">
        <f t="shared" si="1"/>
        <v>616.81</v>
      </c>
      <c r="G2585" s="1120">
        <v>615.76</v>
      </c>
      <c r="H2585" s="1127">
        <v>0.82</v>
      </c>
      <c r="I2585" s="1127">
        <v>0.0</v>
      </c>
      <c r="J2585" s="1127">
        <v>0.23</v>
      </c>
      <c r="K2585" s="1124"/>
    </row>
    <row r="2586" ht="15.75" customHeight="1">
      <c r="A2586" s="1119">
        <v>103679.0</v>
      </c>
      <c r="B2586" s="1125" t="s">
        <v>12864</v>
      </c>
      <c r="C2586" s="1126" t="s">
        <v>2178</v>
      </c>
      <c r="D2586" s="1119">
        <v>694.31</v>
      </c>
      <c r="E2586" s="1120">
        <v>116.64</v>
      </c>
      <c r="F2586" s="1121">
        <f t="shared" si="1"/>
        <v>577.66</v>
      </c>
      <c r="G2586" s="1120">
        <v>577.12</v>
      </c>
      <c r="H2586" s="1127">
        <v>0.42</v>
      </c>
      <c r="I2586" s="1127">
        <v>0.0</v>
      </c>
      <c r="J2586" s="1127">
        <v>0.12</v>
      </c>
      <c r="K2586" s="1124"/>
    </row>
    <row r="2587" ht="15.75" customHeight="1">
      <c r="A2587" s="1119">
        <v>103680.0</v>
      </c>
      <c r="B2587" s="1125" t="s">
        <v>12865</v>
      </c>
      <c r="C2587" s="1126" t="s">
        <v>2178</v>
      </c>
      <c r="D2587" s="1119">
        <v>751.59</v>
      </c>
      <c r="E2587" s="1120">
        <v>162.46</v>
      </c>
      <c r="F2587" s="1121">
        <f t="shared" si="1"/>
        <v>589.14</v>
      </c>
      <c r="G2587" s="1120">
        <v>588.37</v>
      </c>
      <c r="H2587" s="1127">
        <v>0.6</v>
      </c>
      <c r="I2587" s="1127">
        <v>0.0</v>
      </c>
      <c r="J2587" s="1127">
        <v>0.17</v>
      </c>
      <c r="K2587" s="1124"/>
    </row>
    <row r="2588" ht="15.75" customHeight="1">
      <c r="A2588" s="1119">
        <v>103681.0</v>
      </c>
      <c r="B2588" s="1125" t="s">
        <v>12866</v>
      </c>
      <c r="C2588" s="1126" t="s">
        <v>2178</v>
      </c>
      <c r="D2588" s="1119">
        <v>617.58</v>
      </c>
      <c r="E2588" s="1120">
        <v>63.9</v>
      </c>
      <c r="F2588" s="1121">
        <f t="shared" si="1"/>
        <v>553.67</v>
      </c>
      <c r="G2588" s="1120">
        <v>553.4</v>
      </c>
      <c r="H2588" s="1127">
        <v>0.21</v>
      </c>
      <c r="I2588" s="1127">
        <v>0.0</v>
      </c>
      <c r="J2588" s="1127">
        <v>0.06</v>
      </c>
      <c r="K2588" s="1124"/>
    </row>
    <row r="2589" ht="15.75" customHeight="1">
      <c r="A2589" s="1119">
        <v>103682.0</v>
      </c>
      <c r="B2589" s="1125" t="s">
        <v>12867</v>
      </c>
      <c r="C2589" s="1126" t="s">
        <v>2178</v>
      </c>
      <c r="D2589" s="1119">
        <v>897.42</v>
      </c>
      <c r="E2589" s="1120">
        <v>263.66</v>
      </c>
      <c r="F2589" s="1121">
        <f t="shared" si="1"/>
        <v>633.76</v>
      </c>
      <c r="G2589" s="1120">
        <v>632.57</v>
      </c>
      <c r="H2589" s="1127">
        <v>0.88</v>
      </c>
      <c r="I2589" s="1127">
        <v>0.0</v>
      </c>
      <c r="J2589" s="1127">
        <v>0.31</v>
      </c>
      <c r="K2589" s="1124"/>
    </row>
    <row r="2590" ht="15.75" customHeight="1">
      <c r="A2590" s="1119">
        <v>103683.0</v>
      </c>
      <c r="B2590" s="1125" t="s">
        <v>12868</v>
      </c>
      <c r="C2590" s="1126" t="s">
        <v>2178</v>
      </c>
      <c r="D2590" s="1128">
        <v>1233.29</v>
      </c>
      <c r="E2590" s="1120">
        <v>505.12</v>
      </c>
      <c r="F2590" s="1121">
        <f t="shared" si="1"/>
        <v>728.18</v>
      </c>
      <c r="G2590" s="1120">
        <v>725.88</v>
      </c>
      <c r="H2590" s="1127">
        <v>1.71</v>
      </c>
      <c r="I2590" s="1127">
        <v>0.0</v>
      </c>
      <c r="J2590" s="1127">
        <v>0.59</v>
      </c>
      <c r="K2590" s="1124"/>
    </row>
    <row r="2591" ht="15.75" customHeight="1">
      <c r="A2591" s="1119">
        <v>103684.0</v>
      </c>
      <c r="B2591" s="1125" t="s">
        <v>12869</v>
      </c>
      <c r="C2591" s="1126" t="s">
        <v>2178</v>
      </c>
      <c r="D2591" s="1119">
        <v>569.53</v>
      </c>
      <c r="E2591" s="1120">
        <v>50.6</v>
      </c>
      <c r="F2591" s="1121">
        <f t="shared" si="1"/>
        <v>518.9</v>
      </c>
      <c r="G2591" s="1120">
        <v>518.76</v>
      </c>
      <c r="H2591" s="1127">
        <v>0.11</v>
      </c>
      <c r="I2591" s="1127">
        <v>0.0</v>
      </c>
      <c r="J2591" s="1127">
        <v>0.03</v>
      </c>
      <c r="K2591" s="1124"/>
    </row>
    <row r="2592" ht="15.75" customHeight="1">
      <c r="A2592" s="1119">
        <v>103685.0</v>
      </c>
      <c r="B2592" s="1125" t="s">
        <v>12870</v>
      </c>
      <c r="C2592" s="1126" t="s">
        <v>2178</v>
      </c>
      <c r="D2592" s="1119">
        <v>554.88</v>
      </c>
      <c r="E2592" s="1120">
        <v>40.03</v>
      </c>
      <c r="F2592" s="1121">
        <f t="shared" si="1"/>
        <v>514.86</v>
      </c>
      <c r="G2592" s="1120">
        <v>514.74</v>
      </c>
      <c r="H2592" s="1127">
        <v>0.1</v>
      </c>
      <c r="I2592" s="1127">
        <v>0.0</v>
      </c>
      <c r="J2592" s="1127">
        <v>0.02</v>
      </c>
      <c r="K2592" s="1124"/>
    </row>
    <row r="2593" ht="15.75" customHeight="1">
      <c r="A2593" s="1119">
        <v>103686.0</v>
      </c>
      <c r="B2593" s="1125" t="s">
        <v>12871</v>
      </c>
      <c r="C2593" s="1126" t="s">
        <v>2178</v>
      </c>
      <c r="D2593" s="1119">
        <v>626.13</v>
      </c>
      <c r="E2593" s="1120">
        <v>94.2</v>
      </c>
      <c r="F2593" s="1121">
        <f t="shared" si="1"/>
        <v>531.95</v>
      </c>
      <c r="G2593" s="1120">
        <v>531.47</v>
      </c>
      <c r="H2593" s="1127">
        <v>0.4</v>
      </c>
      <c r="I2593" s="1127">
        <v>0.0</v>
      </c>
      <c r="J2593" s="1127">
        <v>0.08</v>
      </c>
      <c r="K2593" s="1124"/>
    </row>
    <row r="2594" ht="15.75" customHeight="1">
      <c r="A2594" s="1119">
        <v>103687.0</v>
      </c>
      <c r="B2594" s="1125" t="s">
        <v>12872</v>
      </c>
      <c r="C2594" s="1126" t="s">
        <v>2178</v>
      </c>
      <c r="D2594" s="1128">
        <v>1020.61</v>
      </c>
      <c r="E2594" s="1120">
        <v>352.54</v>
      </c>
      <c r="F2594" s="1121">
        <f t="shared" si="1"/>
        <v>668.08</v>
      </c>
      <c r="G2594" s="1120">
        <v>666.85</v>
      </c>
      <c r="H2594" s="1127">
        <v>1.0</v>
      </c>
      <c r="I2594" s="1127">
        <v>0.0</v>
      </c>
      <c r="J2594" s="1127">
        <v>0.23</v>
      </c>
      <c r="K2594" s="1124"/>
    </row>
    <row r="2595" ht="15.75" customHeight="1">
      <c r="A2595" s="1119">
        <v>103688.0</v>
      </c>
      <c r="B2595" s="1125" t="s">
        <v>12873</v>
      </c>
      <c r="C2595" s="1126" t="s">
        <v>2178</v>
      </c>
      <c r="D2595" s="1119">
        <v>736.26</v>
      </c>
      <c r="E2595" s="1120">
        <v>147.46</v>
      </c>
      <c r="F2595" s="1121">
        <f t="shared" si="1"/>
        <v>588.8</v>
      </c>
      <c r="G2595" s="1120">
        <v>588.17</v>
      </c>
      <c r="H2595" s="1127">
        <v>0.51</v>
      </c>
      <c r="I2595" s="1127">
        <v>0.0</v>
      </c>
      <c r="J2595" s="1127">
        <v>0.12</v>
      </c>
      <c r="K2595" s="1124"/>
    </row>
    <row r="2596" ht="15.75" customHeight="1">
      <c r="A2596" s="1119">
        <v>101963.0</v>
      </c>
      <c r="B2596" s="1125" t="s">
        <v>12874</v>
      </c>
      <c r="C2596" s="1126" t="s">
        <v>1814</v>
      </c>
      <c r="D2596" s="1119">
        <v>190.5</v>
      </c>
      <c r="E2596" s="1120">
        <v>31.18</v>
      </c>
      <c r="F2596" s="1121">
        <f t="shared" si="1"/>
        <v>159.32</v>
      </c>
      <c r="G2596" s="1120">
        <v>159.32</v>
      </c>
      <c r="H2596" s="1127">
        <v>0.0</v>
      </c>
      <c r="I2596" s="1127">
        <v>0.0</v>
      </c>
      <c r="J2596" s="1127">
        <v>0.0</v>
      </c>
      <c r="K2596" s="1124"/>
    </row>
    <row r="2597" ht="15.75" customHeight="1">
      <c r="A2597" s="1119">
        <v>101964.0</v>
      </c>
      <c r="B2597" s="1125" t="s">
        <v>12875</v>
      </c>
      <c r="C2597" s="1126" t="s">
        <v>1814</v>
      </c>
      <c r="D2597" s="1119">
        <v>179.2</v>
      </c>
      <c r="E2597" s="1120">
        <v>29.45</v>
      </c>
      <c r="F2597" s="1121">
        <f t="shared" si="1"/>
        <v>149.71</v>
      </c>
      <c r="G2597" s="1120">
        <v>149.71</v>
      </c>
      <c r="H2597" s="1127">
        <v>0.0</v>
      </c>
      <c r="I2597" s="1127">
        <v>0.0</v>
      </c>
      <c r="J2597" s="1127">
        <v>0.0</v>
      </c>
      <c r="K2597" s="1124"/>
    </row>
    <row r="2598" ht="15.75" customHeight="1">
      <c r="A2598" s="1119">
        <v>101165.0</v>
      </c>
      <c r="B2598" s="1125" t="s">
        <v>12876</v>
      </c>
      <c r="C2598" s="1126" t="s">
        <v>2178</v>
      </c>
      <c r="D2598" s="1119">
        <v>935.51</v>
      </c>
      <c r="E2598" s="1120">
        <v>353.19</v>
      </c>
      <c r="F2598" s="1121">
        <f t="shared" si="1"/>
        <v>582.3</v>
      </c>
      <c r="G2598" s="1120">
        <v>582.0</v>
      </c>
      <c r="H2598" s="1127">
        <v>0.2</v>
      </c>
      <c r="I2598" s="1127">
        <v>0.0</v>
      </c>
      <c r="J2598" s="1127">
        <v>0.1</v>
      </c>
      <c r="K2598" s="1124"/>
    </row>
    <row r="2599" ht="15.75" customHeight="1">
      <c r="A2599" s="1119">
        <v>101166.0</v>
      </c>
      <c r="B2599" s="1125" t="s">
        <v>12877</v>
      </c>
      <c r="C2599" s="1126" t="s">
        <v>2178</v>
      </c>
      <c r="D2599" s="1119">
        <v>718.1</v>
      </c>
      <c r="E2599" s="1120">
        <v>289.11</v>
      </c>
      <c r="F2599" s="1121">
        <f t="shared" si="1"/>
        <v>428.99</v>
      </c>
      <c r="G2599" s="1120">
        <v>428.69</v>
      </c>
      <c r="H2599" s="1127">
        <v>0.2</v>
      </c>
      <c r="I2599" s="1127">
        <v>0.0</v>
      </c>
      <c r="J2599" s="1127">
        <v>0.1</v>
      </c>
      <c r="K2599" s="1124"/>
    </row>
    <row r="2600" ht="15.75" customHeight="1">
      <c r="A2600" s="1119">
        <v>98575.0</v>
      </c>
      <c r="B2600" s="1125" t="s">
        <v>12878</v>
      </c>
      <c r="C2600" s="1126" t="s">
        <v>1731</v>
      </c>
      <c r="D2600" s="1119">
        <v>114.57</v>
      </c>
      <c r="E2600" s="1120">
        <v>52.18</v>
      </c>
      <c r="F2600" s="1121">
        <f t="shared" si="1"/>
        <v>62.4</v>
      </c>
      <c r="G2600" s="1120">
        <v>62.4</v>
      </c>
      <c r="H2600" s="1127">
        <v>0.0</v>
      </c>
      <c r="I2600" s="1127">
        <v>0.0</v>
      </c>
      <c r="J2600" s="1127">
        <v>0.0</v>
      </c>
      <c r="K2600" s="1124"/>
    </row>
    <row r="2601" ht="15.75" customHeight="1">
      <c r="A2601" s="1119">
        <v>98576.0</v>
      </c>
      <c r="B2601" s="1125" t="s">
        <v>12879</v>
      </c>
      <c r="C2601" s="1126" t="s">
        <v>1731</v>
      </c>
      <c r="D2601" s="1119">
        <v>21.97</v>
      </c>
      <c r="E2601" s="1120">
        <v>0.74</v>
      </c>
      <c r="F2601" s="1121">
        <f t="shared" si="1"/>
        <v>21.23</v>
      </c>
      <c r="G2601" s="1120">
        <v>21.23</v>
      </c>
      <c r="H2601" s="1127">
        <v>0.0</v>
      </c>
      <c r="I2601" s="1127">
        <v>0.0</v>
      </c>
      <c r="J2601" s="1127">
        <v>0.0</v>
      </c>
      <c r="K2601" s="1124"/>
    </row>
    <row r="2602" ht="15.75" customHeight="1">
      <c r="A2602" s="1119">
        <v>98577.0</v>
      </c>
      <c r="B2602" s="1125" t="s">
        <v>12880</v>
      </c>
      <c r="C2602" s="1126" t="s">
        <v>1731</v>
      </c>
      <c r="D2602" s="1119">
        <v>54.49</v>
      </c>
      <c r="E2602" s="1120">
        <v>32.89</v>
      </c>
      <c r="F2602" s="1121">
        <f t="shared" si="1"/>
        <v>21.6</v>
      </c>
      <c r="G2602" s="1120">
        <v>21.6</v>
      </c>
      <c r="H2602" s="1127">
        <v>0.0</v>
      </c>
      <c r="I2602" s="1127">
        <v>0.0</v>
      </c>
      <c r="J2602" s="1127">
        <v>0.0</v>
      </c>
      <c r="K2602" s="1124"/>
    </row>
    <row r="2603" ht="15.75" customHeight="1">
      <c r="A2603" s="1119">
        <v>93182.0</v>
      </c>
      <c r="B2603" s="1125" t="s">
        <v>12881</v>
      </c>
      <c r="C2603" s="1126" t="s">
        <v>1731</v>
      </c>
      <c r="D2603" s="1119">
        <v>57.85</v>
      </c>
      <c r="E2603" s="1120">
        <v>10.47</v>
      </c>
      <c r="F2603" s="1121">
        <f t="shared" si="1"/>
        <v>47.36</v>
      </c>
      <c r="G2603" s="1120">
        <v>47.32</v>
      </c>
      <c r="H2603" s="1127">
        <v>0.03</v>
      </c>
      <c r="I2603" s="1127">
        <v>0.0</v>
      </c>
      <c r="J2603" s="1127">
        <v>0.01</v>
      </c>
      <c r="K2603" s="1124"/>
    </row>
    <row r="2604" ht="15.75" customHeight="1">
      <c r="A2604" s="1119">
        <v>93183.0</v>
      </c>
      <c r="B2604" s="1125" t="s">
        <v>12882</v>
      </c>
      <c r="C2604" s="1126" t="s">
        <v>1731</v>
      </c>
      <c r="D2604" s="1119">
        <v>73.02</v>
      </c>
      <c r="E2604" s="1120">
        <v>11.6</v>
      </c>
      <c r="F2604" s="1121">
        <f t="shared" si="1"/>
        <v>61.41</v>
      </c>
      <c r="G2604" s="1120">
        <v>61.35</v>
      </c>
      <c r="H2604" s="1127">
        <v>0.04</v>
      </c>
      <c r="I2604" s="1127">
        <v>0.0</v>
      </c>
      <c r="J2604" s="1127">
        <v>0.02</v>
      </c>
      <c r="K2604" s="1124"/>
    </row>
    <row r="2605" ht="15.75" customHeight="1">
      <c r="A2605" s="1119">
        <v>93184.0</v>
      </c>
      <c r="B2605" s="1125" t="s">
        <v>12883</v>
      </c>
      <c r="C2605" s="1126" t="s">
        <v>1731</v>
      </c>
      <c r="D2605" s="1119">
        <v>43.26</v>
      </c>
      <c r="E2605" s="1120">
        <v>9.12</v>
      </c>
      <c r="F2605" s="1121">
        <f t="shared" si="1"/>
        <v>34.16</v>
      </c>
      <c r="G2605" s="1120">
        <v>34.14</v>
      </c>
      <c r="H2605" s="1127">
        <v>0.01</v>
      </c>
      <c r="I2605" s="1127">
        <v>0.0</v>
      </c>
      <c r="J2605" s="1127">
        <v>0.01</v>
      </c>
      <c r="K2605" s="1124"/>
    </row>
    <row r="2606" ht="15.75" customHeight="1">
      <c r="A2606" s="1119">
        <v>93185.0</v>
      </c>
      <c r="B2606" s="1125" t="s">
        <v>12884</v>
      </c>
      <c r="C2606" s="1126" t="s">
        <v>1731</v>
      </c>
      <c r="D2606" s="1119">
        <v>71.83</v>
      </c>
      <c r="E2606" s="1120">
        <v>11.14</v>
      </c>
      <c r="F2606" s="1121">
        <f t="shared" si="1"/>
        <v>60.72</v>
      </c>
      <c r="G2606" s="1120">
        <v>60.66</v>
      </c>
      <c r="H2606" s="1127">
        <v>0.04</v>
      </c>
      <c r="I2606" s="1127">
        <v>0.0</v>
      </c>
      <c r="J2606" s="1127">
        <v>0.02</v>
      </c>
      <c r="K2606" s="1124"/>
    </row>
    <row r="2607" ht="15.75" customHeight="1">
      <c r="A2607" s="1119">
        <v>93186.0</v>
      </c>
      <c r="B2607" s="1125" t="s">
        <v>12885</v>
      </c>
      <c r="C2607" s="1126" t="s">
        <v>1731</v>
      </c>
      <c r="D2607" s="1119">
        <v>110.63</v>
      </c>
      <c r="E2607" s="1120">
        <v>24.37</v>
      </c>
      <c r="F2607" s="1121">
        <f t="shared" si="1"/>
        <v>86.27</v>
      </c>
      <c r="G2607" s="1120">
        <v>86.22</v>
      </c>
      <c r="H2607" s="1127">
        <v>0.03</v>
      </c>
      <c r="I2607" s="1127">
        <v>0.0</v>
      </c>
      <c r="J2607" s="1127">
        <v>0.02</v>
      </c>
      <c r="K2607" s="1124"/>
    </row>
    <row r="2608" ht="15.75" customHeight="1">
      <c r="A2608" s="1119">
        <v>93187.0</v>
      </c>
      <c r="B2608" s="1125" t="s">
        <v>12886</v>
      </c>
      <c r="C2608" s="1126" t="s">
        <v>1731</v>
      </c>
      <c r="D2608" s="1119">
        <v>125.55</v>
      </c>
      <c r="E2608" s="1120">
        <v>25.58</v>
      </c>
      <c r="F2608" s="1121">
        <f t="shared" si="1"/>
        <v>99.97</v>
      </c>
      <c r="G2608" s="1120">
        <v>99.9</v>
      </c>
      <c r="H2608" s="1127">
        <v>0.04</v>
      </c>
      <c r="I2608" s="1127">
        <v>0.0</v>
      </c>
      <c r="J2608" s="1127">
        <v>0.03</v>
      </c>
      <c r="K2608" s="1124"/>
    </row>
    <row r="2609" ht="15.75" customHeight="1">
      <c r="A2609" s="1119">
        <v>93188.0</v>
      </c>
      <c r="B2609" s="1125" t="s">
        <v>12887</v>
      </c>
      <c r="C2609" s="1126" t="s">
        <v>1731</v>
      </c>
      <c r="D2609" s="1119">
        <v>101.65</v>
      </c>
      <c r="E2609" s="1120">
        <v>22.94</v>
      </c>
      <c r="F2609" s="1121">
        <f t="shared" si="1"/>
        <v>78.73</v>
      </c>
      <c r="G2609" s="1120">
        <v>78.7</v>
      </c>
      <c r="H2609" s="1127">
        <v>0.01</v>
      </c>
      <c r="I2609" s="1127">
        <v>0.0</v>
      </c>
      <c r="J2609" s="1127">
        <v>0.02</v>
      </c>
      <c r="K2609" s="1124"/>
    </row>
    <row r="2610" ht="15.75" customHeight="1">
      <c r="A2610" s="1119">
        <v>93189.0</v>
      </c>
      <c r="B2610" s="1125" t="s">
        <v>12888</v>
      </c>
      <c r="C2610" s="1126" t="s">
        <v>1731</v>
      </c>
      <c r="D2610" s="1119">
        <v>126.21</v>
      </c>
      <c r="E2610" s="1120">
        <v>25.26</v>
      </c>
      <c r="F2610" s="1121">
        <f t="shared" si="1"/>
        <v>100.96</v>
      </c>
      <c r="G2610" s="1120">
        <v>100.89</v>
      </c>
      <c r="H2610" s="1127">
        <v>0.04</v>
      </c>
      <c r="I2610" s="1127">
        <v>0.0</v>
      </c>
      <c r="J2610" s="1127">
        <v>0.03</v>
      </c>
      <c r="K2610" s="1124"/>
    </row>
    <row r="2611" ht="15.75" customHeight="1">
      <c r="A2611" s="1119">
        <v>93190.0</v>
      </c>
      <c r="B2611" s="1125" t="s">
        <v>12889</v>
      </c>
      <c r="C2611" s="1126" t="s">
        <v>1731</v>
      </c>
      <c r="D2611" s="1119">
        <v>46.82</v>
      </c>
      <c r="E2611" s="1120">
        <v>10.56</v>
      </c>
      <c r="F2611" s="1121">
        <f t="shared" si="1"/>
        <v>36.26</v>
      </c>
      <c r="G2611" s="1120">
        <v>36.25</v>
      </c>
      <c r="H2611" s="1127">
        <v>0.0</v>
      </c>
      <c r="I2611" s="1127">
        <v>0.0</v>
      </c>
      <c r="J2611" s="1127">
        <v>0.01</v>
      </c>
      <c r="K2611" s="1124"/>
    </row>
    <row r="2612" ht="15.75" customHeight="1">
      <c r="A2612" s="1119">
        <v>93191.0</v>
      </c>
      <c r="B2612" s="1125" t="s">
        <v>12890</v>
      </c>
      <c r="C2612" s="1126" t="s">
        <v>1731</v>
      </c>
      <c r="D2612" s="1119">
        <v>48.3</v>
      </c>
      <c r="E2612" s="1120">
        <v>9.95</v>
      </c>
      <c r="F2612" s="1121">
        <f t="shared" si="1"/>
        <v>38.33</v>
      </c>
      <c r="G2612" s="1120">
        <v>38.32</v>
      </c>
      <c r="H2612" s="1127">
        <v>0.0</v>
      </c>
      <c r="I2612" s="1127">
        <v>0.0</v>
      </c>
      <c r="J2612" s="1127">
        <v>0.01</v>
      </c>
      <c r="K2612" s="1124"/>
    </row>
    <row r="2613" ht="15.75" customHeight="1">
      <c r="A2613" s="1119">
        <v>93192.0</v>
      </c>
      <c r="B2613" s="1125" t="s">
        <v>12891</v>
      </c>
      <c r="C2613" s="1126" t="s">
        <v>1731</v>
      </c>
      <c r="D2613" s="1119">
        <v>51.36</v>
      </c>
      <c r="E2613" s="1120">
        <v>10.96</v>
      </c>
      <c r="F2613" s="1121">
        <f t="shared" si="1"/>
        <v>40.39</v>
      </c>
      <c r="G2613" s="1120">
        <v>40.38</v>
      </c>
      <c r="H2613" s="1127">
        <v>0.0</v>
      </c>
      <c r="I2613" s="1127">
        <v>0.0</v>
      </c>
      <c r="J2613" s="1127">
        <v>0.01</v>
      </c>
      <c r="K2613" s="1124"/>
    </row>
    <row r="2614" ht="15.75" customHeight="1">
      <c r="A2614" s="1119">
        <v>93193.0</v>
      </c>
      <c r="B2614" s="1125" t="s">
        <v>12892</v>
      </c>
      <c r="C2614" s="1126" t="s">
        <v>1731</v>
      </c>
      <c r="D2614" s="1119">
        <v>49.14</v>
      </c>
      <c r="E2614" s="1120">
        <v>9.61</v>
      </c>
      <c r="F2614" s="1121">
        <f t="shared" si="1"/>
        <v>39.53</v>
      </c>
      <c r="G2614" s="1120">
        <v>39.52</v>
      </c>
      <c r="H2614" s="1127">
        <v>0.0</v>
      </c>
      <c r="I2614" s="1127">
        <v>0.0</v>
      </c>
      <c r="J2614" s="1127">
        <v>0.01</v>
      </c>
      <c r="K2614" s="1124"/>
    </row>
    <row r="2615" ht="15.75" customHeight="1">
      <c r="A2615" s="1119">
        <v>93194.0</v>
      </c>
      <c r="B2615" s="1125" t="s">
        <v>12893</v>
      </c>
      <c r="C2615" s="1126" t="s">
        <v>1731</v>
      </c>
      <c r="D2615" s="1119">
        <v>56.52</v>
      </c>
      <c r="E2615" s="1120">
        <v>10.29</v>
      </c>
      <c r="F2615" s="1121">
        <f t="shared" si="1"/>
        <v>46.22</v>
      </c>
      <c r="G2615" s="1120">
        <v>46.18</v>
      </c>
      <c r="H2615" s="1127">
        <v>0.03</v>
      </c>
      <c r="I2615" s="1127">
        <v>0.0</v>
      </c>
      <c r="J2615" s="1127">
        <v>0.01</v>
      </c>
      <c r="K2615" s="1124"/>
    </row>
    <row r="2616" ht="15.75" customHeight="1">
      <c r="A2616" s="1119">
        <v>93195.0</v>
      </c>
      <c r="B2616" s="1125" t="s">
        <v>12894</v>
      </c>
      <c r="C2616" s="1126" t="s">
        <v>1731</v>
      </c>
      <c r="D2616" s="1119">
        <v>69.2</v>
      </c>
      <c r="E2616" s="1120">
        <v>11.56</v>
      </c>
      <c r="F2616" s="1121">
        <f t="shared" si="1"/>
        <v>57.64</v>
      </c>
      <c r="G2616" s="1120">
        <v>57.58</v>
      </c>
      <c r="H2616" s="1127">
        <v>0.04</v>
      </c>
      <c r="I2616" s="1127">
        <v>0.0</v>
      </c>
      <c r="J2616" s="1127">
        <v>0.02</v>
      </c>
      <c r="K2616" s="1124"/>
    </row>
    <row r="2617" ht="15.75" customHeight="1">
      <c r="A2617" s="1119">
        <v>93196.0</v>
      </c>
      <c r="B2617" s="1125" t="s">
        <v>12895</v>
      </c>
      <c r="C2617" s="1126" t="s">
        <v>1731</v>
      </c>
      <c r="D2617" s="1119">
        <v>108.19</v>
      </c>
      <c r="E2617" s="1120">
        <v>24.37</v>
      </c>
      <c r="F2617" s="1121">
        <f t="shared" si="1"/>
        <v>83.83</v>
      </c>
      <c r="G2617" s="1120">
        <v>83.78</v>
      </c>
      <c r="H2617" s="1127">
        <v>0.03</v>
      </c>
      <c r="I2617" s="1127">
        <v>0.0</v>
      </c>
      <c r="J2617" s="1127">
        <v>0.02</v>
      </c>
      <c r="K2617" s="1124"/>
    </row>
    <row r="2618" ht="15.75" customHeight="1">
      <c r="A2618" s="1119">
        <v>93197.0</v>
      </c>
      <c r="B2618" s="1125" t="s">
        <v>12896</v>
      </c>
      <c r="C2618" s="1126" t="s">
        <v>1731</v>
      </c>
      <c r="D2618" s="1119">
        <v>121.09</v>
      </c>
      <c r="E2618" s="1120">
        <v>25.65</v>
      </c>
      <c r="F2618" s="1121">
        <f t="shared" si="1"/>
        <v>95.44</v>
      </c>
      <c r="G2618" s="1120">
        <v>95.37</v>
      </c>
      <c r="H2618" s="1127">
        <v>0.04</v>
      </c>
      <c r="I2618" s="1127">
        <v>0.0</v>
      </c>
      <c r="J2618" s="1127">
        <v>0.03</v>
      </c>
      <c r="K2618" s="1124"/>
    </row>
    <row r="2619" ht="15.75" customHeight="1">
      <c r="A2619" s="1119">
        <v>93198.0</v>
      </c>
      <c r="B2619" s="1125" t="s">
        <v>12897</v>
      </c>
      <c r="C2619" s="1126" t="s">
        <v>1731</v>
      </c>
      <c r="D2619" s="1119">
        <v>39.81</v>
      </c>
      <c r="E2619" s="1120">
        <v>10.57</v>
      </c>
      <c r="F2619" s="1121">
        <f t="shared" si="1"/>
        <v>29.23</v>
      </c>
      <c r="G2619" s="1120">
        <v>29.22</v>
      </c>
      <c r="H2619" s="1127">
        <v>0.0</v>
      </c>
      <c r="I2619" s="1127">
        <v>0.0</v>
      </c>
      <c r="J2619" s="1127">
        <v>0.01</v>
      </c>
      <c r="K2619" s="1124"/>
    </row>
    <row r="2620" ht="15.75" customHeight="1">
      <c r="A2620" s="1119">
        <v>93199.0</v>
      </c>
      <c r="B2620" s="1125" t="s">
        <v>12898</v>
      </c>
      <c r="C2620" s="1126" t="s">
        <v>1731</v>
      </c>
      <c r="D2620" s="1119">
        <v>39.09</v>
      </c>
      <c r="E2620" s="1120">
        <v>10.03</v>
      </c>
      <c r="F2620" s="1121">
        <f t="shared" si="1"/>
        <v>29.05</v>
      </c>
      <c r="G2620" s="1120">
        <v>29.04</v>
      </c>
      <c r="H2620" s="1127">
        <v>0.0</v>
      </c>
      <c r="I2620" s="1127">
        <v>0.0</v>
      </c>
      <c r="J2620" s="1127">
        <v>0.01</v>
      </c>
      <c r="K2620" s="1124"/>
    </row>
    <row r="2621" ht="15.75" customHeight="1">
      <c r="A2621" s="1119">
        <v>93200.0</v>
      </c>
      <c r="B2621" s="1125" t="s">
        <v>12899</v>
      </c>
      <c r="C2621" s="1126" t="s">
        <v>1731</v>
      </c>
      <c r="D2621" s="1119">
        <v>3.36</v>
      </c>
      <c r="E2621" s="1120">
        <v>1.51</v>
      </c>
      <c r="F2621" s="1121">
        <f t="shared" si="1"/>
        <v>1.86</v>
      </c>
      <c r="G2621" s="1120">
        <v>1.85</v>
      </c>
      <c r="H2621" s="1127">
        <v>0.01</v>
      </c>
      <c r="I2621" s="1127">
        <v>0.0</v>
      </c>
      <c r="J2621" s="1127">
        <v>0.0</v>
      </c>
      <c r="K2621" s="1124"/>
    </row>
    <row r="2622" ht="15.75" customHeight="1">
      <c r="A2622" s="1119">
        <v>93201.0</v>
      </c>
      <c r="B2622" s="1125" t="s">
        <v>12900</v>
      </c>
      <c r="C2622" s="1126" t="s">
        <v>1731</v>
      </c>
      <c r="D2622" s="1119">
        <v>7.38</v>
      </c>
      <c r="E2622" s="1120">
        <v>4.56</v>
      </c>
      <c r="F2622" s="1121">
        <f t="shared" si="1"/>
        <v>2.82</v>
      </c>
      <c r="G2622" s="1120">
        <v>2.81</v>
      </c>
      <c r="H2622" s="1127">
        <v>0.01</v>
      </c>
      <c r="I2622" s="1127">
        <v>0.0</v>
      </c>
      <c r="J2622" s="1127">
        <v>0.0</v>
      </c>
      <c r="K2622" s="1124"/>
    </row>
    <row r="2623" ht="15.75" customHeight="1">
      <c r="A2623" s="1119">
        <v>93202.0</v>
      </c>
      <c r="B2623" s="1125" t="s">
        <v>12901</v>
      </c>
      <c r="C2623" s="1126" t="s">
        <v>1731</v>
      </c>
      <c r="D2623" s="1119">
        <v>30.08</v>
      </c>
      <c r="E2623" s="1120">
        <v>15.36</v>
      </c>
      <c r="F2623" s="1121">
        <f t="shared" si="1"/>
        <v>14.73</v>
      </c>
      <c r="G2623" s="1120">
        <v>14.72</v>
      </c>
      <c r="H2623" s="1127">
        <v>0.01</v>
      </c>
      <c r="I2623" s="1127">
        <v>0.0</v>
      </c>
      <c r="J2623" s="1127">
        <v>0.0</v>
      </c>
      <c r="K2623" s="1124"/>
    </row>
    <row r="2624" ht="15.75" customHeight="1">
      <c r="A2624" s="1119">
        <v>93203.0</v>
      </c>
      <c r="B2624" s="1125" t="s">
        <v>12902</v>
      </c>
      <c r="C2624" s="1126" t="s">
        <v>1731</v>
      </c>
      <c r="D2624" s="1119">
        <v>14.97</v>
      </c>
      <c r="E2624" s="1120">
        <v>2.16</v>
      </c>
      <c r="F2624" s="1121">
        <f t="shared" si="1"/>
        <v>12.8</v>
      </c>
      <c r="G2624" s="1120">
        <v>12.8</v>
      </c>
      <c r="H2624" s="1127">
        <v>0.0</v>
      </c>
      <c r="I2624" s="1127">
        <v>0.0</v>
      </c>
      <c r="J2624" s="1127">
        <v>0.0</v>
      </c>
      <c r="K2624" s="1124"/>
    </row>
    <row r="2625" ht="15.75" customHeight="1">
      <c r="A2625" s="1119">
        <v>93204.0</v>
      </c>
      <c r="B2625" s="1125" t="s">
        <v>12903</v>
      </c>
      <c r="C2625" s="1126" t="s">
        <v>1731</v>
      </c>
      <c r="D2625" s="1119">
        <v>76.22</v>
      </c>
      <c r="E2625" s="1120">
        <v>19.2</v>
      </c>
      <c r="F2625" s="1121">
        <f t="shared" si="1"/>
        <v>57.04</v>
      </c>
      <c r="G2625" s="1120">
        <v>57.0</v>
      </c>
      <c r="H2625" s="1127">
        <v>0.03</v>
      </c>
      <c r="I2625" s="1127">
        <v>0.0</v>
      </c>
      <c r="J2625" s="1127">
        <v>0.01</v>
      </c>
      <c r="K2625" s="1124"/>
    </row>
    <row r="2626" ht="15.75" customHeight="1">
      <c r="A2626" s="1119">
        <v>93205.0</v>
      </c>
      <c r="B2626" s="1125" t="s">
        <v>12904</v>
      </c>
      <c r="C2626" s="1126" t="s">
        <v>1731</v>
      </c>
      <c r="D2626" s="1119">
        <v>38.02</v>
      </c>
      <c r="E2626" s="1120">
        <v>9.74</v>
      </c>
      <c r="F2626" s="1121">
        <f t="shared" si="1"/>
        <v>28.27</v>
      </c>
      <c r="G2626" s="1120">
        <v>28.26</v>
      </c>
      <c r="H2626" s="1127">
        <v>0.0</v>
      </c>
      <c r="I2626" s="1127">
        <v>0.0</v>
      </c>
      <c r="J2626" s="1127">
        <v>0.01</v>
      </c>
      <c r="K2626" s="1124"/>
    </row>
    <row r="2627" ht="15.75" customHeight="1">
      <c r="A2627" s="1119">
        <v>97733.0</v>
      </c>
      <c r="B2627" s="1125" t="s">
        <v>12905</v>
      </c>
      <c r="C2627" s="1126" t="s">
        <v>2178</v>
      </c>
      <c r="D2627" s="1128">
        <v>3660.43</v>
      </c>
      <c r="E2627" s="1120">
        <v>1944.56</v>
      </c>
      <c r="F2627" s="1121">
        <f t="shared" si="1"/>
        <v>1716.11</v>
      </c>
      <c r="G2627" s="1120">
        <v>1694.33</v>
      </c>
      <c r="H2627" s="1127">
        <v>17.71</v>
      </c>
      <c r="I2627" s="1127">
        <v>0.0</v>
      </c>
      <c r="J2627" s="1127">
        <v>4.07</v>
      </c>
      <c r="K2627" s="1124"/>
    </row>
    <row r="2628" ht="15.75" customHeight="1">
      <c r="A2628" s="1119">
        <v>97734.0</v>
      </c>
      <c r="B2628" s="1125" t="s">
        <v>12906</v>
      </c>
      <c r="C2628" s="1126" t="s">
        <v>2178</v>
      </c>
      <c r="D2628" s="1128">
        <v>3209.96</v>
      </c>
      <c r="E2628" s="1120">
        <v>1738.19</v>
      </c>
      <c r="F2628" s="1121">
        <f t="shared" si="1"/>
        <v>1471.95</v>
      </c>
      <c r="G2628" s="1120">
        <v>1450.52</v>
      </c>
      <c r="H2628" s="1127">
        <v>17.61</v>
      </c>
      <c r="I2628" s="1127">
        <v>0.0</v>
      </c>
      <c r="J2628" s="1127">
        <v>3.82</v>
      </c>
      <c r="K2628" s="1124"/>
    </row>
    <row r="2629" ht="15.75" customHeight="1">
      <c r="A2629" s="1119">
        <v>97735.0</v>
      </c>
      <c r="B2629" s="1125" t="s">
        <v>12907</v>
      </c>
      <c r="C2629" s="1126" t="s">
        <v>2178</v>
      </c>
      <c r="D2629" s="1128">
        <v>2611.66</v>
      </c>
      <c r="E2629" s="1120">
        <v>1306.07</v>
      </c>
      <c r="F2629" s="1121">
        <f t="shared" si="1"/>
        <v>1305.78</v>
      </c>
      <c r="G2629" s="1120">
        <v>1289.29</v>
      </c>
      <c r="H2629" s="1127">
        <v>13.44</v>
      </c>
      <c r="I2629" s="1127">
        <v>0.0</v>
      </c>
      <c r="J2629" s="1127">
        <v>3.05</v>
      </c>
      <c r="K2629" s="1124"/>
    </row>
    <row r="2630" ht="15.75" customHeight="1">
      <c r="A2630" s="1119">
        <v>97736.0</v>
      </c>
      <c r="B2630" s="1125" t="s">
        <v>12908</v>
      </c>
      <c r="C2630" s="1126" t="s">
        <v>2178</v>
      </c>
      <c r="D2630" s="1128">
        <v>1573.93</v>
      </c>
      <c r="E2630" s="1120">
        <v>498.73</v>
      </c>
      <c r="F2630" s="1121">
        <f t="shared" si="1"/>
        <v>1075.33</v>
      </c>
      <c r="G2630" s="1120">
        <v>1069.23</v>
      </c>
      <c r="H2630" s="1127">
        <v>4.63</v>
      </c>
      <c r="I2630" s="1127">
        <v>0.0</v>
      </c>
      <c r="J2630" s="1127">
        <v>1.47</v>
      </c>
      <c r="K2630" s="1124"/>
    </row>
    <row r="2631" ht="15.75" customHeight="1">
      <c r="A2631" s="1119">
        <v>97737.0</v>
      </c>
      <c r="B2631" s="1125" t="s">
        <v>12909</v>
      </c>
      <c r="C2631" s="1126" t="s">
        <v>2178</v>
      </c>
      <c r="D2631" s="1128">
        <v>3411.14</v>
      </c>
      <c r="E2631" s="1120">
        <v>1555.67</v>
      </c>
      <c r="F2631" s="1121">
        <f t="shared" si="1"/>
        <v>1856.55</v>
      </c>
      <c r="G2631" s="1120">
        <v>1838.06</v>
      </c>
      <c r="H2631" s="1127">
        <v>15.16</v>
      </c>
      <c r="I2631" s="1127">
        <v>0.0</v>
      </c>
      <c r="J2631" s="1127">
        <v>3.33</v>
      </c>
      <c r="K2631" s="1124"/>
    </row>
    <row r="2632" ht="15.75" customHeight="1">
      <c r="A2632" s="1119">
        <v>97738.0</v>
      </c>
      <c r="B2632" s="1125" t="s">
        <v>12910</v>
      </c>
      <c r="C2632" s="1126" t="s">
        <v>2178</v>
      </c>
      <c r="D2632" s="1128">
        <v>5158.82</v>
      </c>
      <c r="E2632" s="1120">
        <v>2097.96</v>
      </c>
      <c r="F2632" s="1121">
        <f t="shared" si="1"/>
        <v>3060.85</v>
      </c>
      <c r="G2632" s="1120">
        <v>3038.73</v>
      </c>
      <c r="H2632" s="1127">
        <v>17.96</v>
      </c>
      <c r="I2632" s="1127">
        <v>0.0</v>
      </c>
      <c r="J2632" s="1127">
        <v>4.16</v>
      </c>
      <c r="K2632" s="1124"/>
    </row>
    <row r="2633" ht="15.75" customHeight="1">
      <c r="A2633" s="1119">
        <v>97739.0</v>
      </c>
      <c r="B2633" s="1125" t="s">
        <v>12911</v>
      </c>
      <c r="C2633" s="1126" t="s">
        <v>2178</v>
      </c>
      <c r="D2633" s="1128">
        <v>3016.57</v>
      </c>
      <c r="E2633" s="1120">
        <v>1379.38</v>
      </c>
      <c r="F2633" s="1121">
        <f t="shared" si="1"/>
        <v>1637.3</v>
      </c>
      <c r="G2633" s="1120">
        <v>1620.72</v>
      </c>
      <c r="H2633" s="1127">
        <v>13.43</v>
      </c>
      <c r="I2633" s="1127">
        <v>0.0</v>
      </c>
      <c r="J2633" s="1127">
        <v>3.15</v>
      </c>
      <c r="K2633" s="1124"/>
    </row>
    <row r="2634" ht="15.75" customHeight="1">
      <c r="A2634" s="1119">
        <v>97740.0</v>
      </c>
      <c r="B2634" s="1125" t="s">
        <v>12912</v>
      </c>
      <c r="C2634" s="1126" t="s">
        <v>2178</v>
      </c>
      <c r="D2634" s="1128">
        <v>2133.26</v>
      </c>
      <c r="E2634" s="1120">
        <v>654.18</v>
      </c>
      <c r="F2634" s="1121">
        <f t="shared" si="1"/>
        <v>1479.19</v>
      </c>
      <c r="G2634" s="1120">
        <v>1472.19</v>
      </c>
      <c r="H2634" s="1127">
        <v>5.28</v>
      </c>
      <c r="I2634" s="1127">
        <v>0.0</v>
      </c>
      <c r="J2634" s="1127">
        <v>1.72</v>
      </c>
      <c r="K2634" s="1124"/>
    </row>
    <row r="2635" ht="15.75" customHeight="1">
      <c r="A2635" s="1119">
        <v>98615.0</v>
      </c>
      <c r="B2635" s="1125" t="s">
        <v>12913</v>
      </c>
      <c r="C2635" s="1126" t="s">
        <v>1814</v>
      </c>
      <c r="D2635" s="1119">
        <v>135.59</v>
      </c>
      <c r="E2635" s="1120">
        <v>18.04</v>
      </c>
      <c r="F2635" s="1121">
        <f t="shared" si="1"/>
        <v>117.58</v>
      </c>
      <c r="G2635" s="1120">
        <v>79.52</v>
      </c>
      <c r="H2635" s="1127">
        <v>38.06</v>
      </c>
      <c r="I2635" s="1127">
        <v>0.0</v>
      </c>
      <c r="J2635" s="1127">
        <v>0.0</v>
      </c>
      <c r="K2635" s="1124"/>
    </row>
    <row r="2636" ht="15.75" customHeight="1">
      <c r="A2636" s="1119">
        <v>98616.0</v>
      </c>
      <c r="B2636" s="1125" t="s">
        <v>12914</v>
      </c>
      <c r="C2636" s="1126" t="s">
        <v>1814</v>
      </c>
      <c r="D2636" s="1119">
        <v>104.45</v>
      </c>
      <c r="E2636" s="1120">
        <v>11.4</v>
      </c>
      <c r="F2636" s="1121">
        <f t="shared" si="1"/>
        <v>93.09</v>
      </c>
      <c r="G2636" s="1120">
        <v>69.36</v>
      </c>
      <c r="H2636" s="1127">
        <v>23.73</v>
      </c>
      <c r="I2636" s="1127">
        <v>0.0</v>
      </c>
      <c r="J2636" s="1127">
        <v>0.0</v>
      </c>
      <c r="K2636" s="1124"/>
    </row>
    <row r="2637" ht="15.75" customHeight="1">
      <c r="A2637" s="1119">
        <v>98617.0</v>
      </c>
      <c r="B2637" s="1125" t="s">
        <v>12915</v>
      </c>
      <c r="C2637" s="1126" t="s">
        <v>1814</v>
      </c>
      <c r="D2637" s="1119">
        <v>95.37</v>
      </c>
      <c r="E2637" s="1120">
        <v>8.96</v>
      </c>
      <c r="F2637" s="1121">
        <f t="shared" si="1"/>
        <v>86.43</v>
      </c>
      <c r="G2637" s="1120">
        <v>67.74</v>
      </c>
      <c r="H2637" s="1127">
        <v>18.69</v>
      </c>
      <c r="I2637" s="1127">
        <v>0.0</v>
      </c>
      <c r="J2637" s="1127">
        <v>0.0</v>
      </c>
      <c r="K2637" s="1124"/>
    </row>
    <row r="2638" ht="15.75" customHeight="1">
      <c r="A2638" s="1119">
        <v>98618.0</v>
      </c>
      <c r="B2638" s="1125" t="s">
        <v>12916</v>
      </c>
      <c r="C2638" s="1126" t="s">
        <v>1814</v>
      </c>
      <c r="D2638" s="1119">
        <v>131.56</v>
      </c>
      <c r="E2638" s="1120">
        <v>13.16</v>
      </c>
      <c r="F2638" s="1121">
        <f t="shared" si="1"/>
        <v>118.45</v>
      </c>
      <c r="G2638" s="1120">
        <v>90.95</v>
      </c>
      <c r="H2638" s="1127">
        <v>27.5</v>
      </c>
      <c r="I2638" s="1127">
        <v>0.0</v>
      </c>
      <c r="J2638" s="1127">
        <v>0.0</v>
      </c>
      <c r="K2638" s="1124"/>
    </row>
    <row r="2639" ht="15.75" customHeight="1">
      <c r="A2639" s="1119">
        <v>98619.0</v>
      </c>
      <c r="B2639" s="1125" t="s">
        <v>12917</v>
      </c>
      <c r="C2639" s="1126" t="s">
        <v>1814</v>
      </c>
      <c r="D2639" s="1119">
        <v>117.83</v>
      </c>
      <c r="E2639" s="1120">
        <v>9.48</v>
      </c>
      <c r="F2639" s="1121">
        <f t="shared" si="1"/>
        <v>108.35</v>
      </c>
      <c r="G2639" s="1120">
        <v>88.39</v>
      </c>
      <c r="H2639" s="1127">
        <v>19.96</v>
      </c>
      <c r="I2639" s="1127">
        <v>0.0</v>
      </c>
      <c r="J2639" s="1127">
        <v>0.0</v>
      </c>
      <c r="K2639" s="1124"/>
    </row>
    <row r="2640" ht="15.75" customHeight="1">
      <c r="A2640" s="1119">
        <v>98620.0</v>
      </c>
      <c r="B2640" s="1125" t="s">
        <v>12918</v>
      </c>
      <c r="C2640" s="1126" t="s">
        <v>1814</v>
      </c>
      <c r="D2640" s="1119">
        <v>110.91</v>
      </c>
      <c r="E2640" s="1120">
        <v>7.67</v>
      </c>
      <c r="F2640" s="1121">
        <f t="shared" si="1"/>
        <v>103.28</v>
      </c>
      <c r="G2640" s="1120">
        <v>87.1</v>
      </c>
      <c r="H2640" s="1127">
        <v>16.18</v>
      </c>
      <c r="I2640" s="1127">
        <v>0.0</v>
      </c>
      <c r="J2640" s="1127">
        <v>0.0</v>
      </c>
      <c r="K2640" s="1124"/>
    </row>
    <row r="2641" ht="15.75" customHeight="1">
      <c r="A2641" s="1119">
        <v>98621.0</v>
      </c>
      <c r="B2641" s="1125" t="s">
        <v>12919</v>
      </c>
      <c r="C2641" s="1126" t="s">
        <v>1814</v>
      </c>
      <c r="D2641" s="1119">
        <v>146.51</v>
      </c>
      <c r="E2641" s="1120">
        <v>11.51</v>
      </c>
      <c r="F2641" s="1121">
        <f t="shared" si="1"/>
        <v>134.97</v>
      </c>
      <c r="G2641" s="1120">
        <v>110.64</v>
      </c>
      <c r="H2641" s="1127">
        <v>24.33</v>
      </c>
      <c r="I2641" s="1127">
        <v>0.0</v>
      </c>
      <c r="J2641" s="1127">
        <v>0.0</v>
      </c>
      <c r="K2641" s="1124"/>
    </row>
    <row r="2642" ht="15.75" customHeight="1">
      <c r="A2642" s="1119">
        <v>98622.0</v>
      </c>
      <c r="B2642" s="1125" t="s">
        <v>12920</v>
      </c>
      <c r="C2642" s="1126" t="s">
        <v>1814</v>
      </c>
      <c r="D2642" s="1119">
        <v>135.48</v>
      </c>
      <c r="E2642" s="1120">
        <v>8.58</v>
      </c>
      <c r="F2642" s="1121">
        <f t="shared" si="1"/>
        <v>126.87</v>
      </c>
      <c r="G2642" s="1120">
        <v>108.51</v>
      </c>
      <c r="H2642" s="1127">
        <v>18.36</v>
      </c>
      <c r="I2642" s="1127">
        <v>0.0</v>
      </c>
      <c r="J2642" s="1127">
        <v>0.0</v>
      </c>
      <c r="K2642" s="1124"/>
    </row>
    <row r="2643" ht="15.75" customHeight="1">
      <c r="A2643" s="1119">
        <v>98623.0</v>
      </c>
      <c r="B2643" s="1125" t="s">
        <v>12921</v>
      </c>
      <c r="C2643" s="1126" t="s">
        <v>1814</v>
      </c>
      <c r="D2643" s="1119">
        <v>129.88</v>
      </c>
      <c r="E2643" s="1120">
        <v>7.1</v>
      </c>
      <c r="F2643" s="1121">
        <f t="shared" si="1"/>
        <v>122.74</v>
      </c>
      <c r="G2643" s="1120">
        <v>107.41</v>
      </c>
      <c r="H2643" s="1127">
        <v>15.33</v>
      </c>
      <c r="I2643" s="1127">
        <v>0.0</v>
      </c>
      <c r="J2643" s="1127">
        <v>0.0</v>
      </c>
      <c r="K2643" s="1124"/>
    </row>
    <row r="2644" ht="15.75" customHeight="1">
      <c r="A2644" s="1119">
        <v>98624.0</v>
      </c>
      <c r="B2644" s="1125" t="s">
        <v>12922</v>
      </c>
      <c r="C2644" s="1126" t="s">
        <v>1814</v>
      </c>
      <c r="D2644" s="1119">
        <v>163.48</v>
      </c>
      <c r="E2644" s="1120">
        <v>10.62</v>
      </c>
      <c r="F2644" s="1121">
        <f t="shared" si="1"/>
        <v>152.89</v>
      </c>
      <c r="G2644" s="1120">
        <v>130.28</v>
      </c>
      <c r="H2644" s="1127">
        <v>22.61</v>
      </c>
      <c r="I2644" s="1127">
        <v>0.0</v>
      </c>
      <c r="J2644" s="1127">
        <v>0.0</v>
      </c>
      <c r="K2644" s="1124"/>
    </row>
    <row r="2645" ht="15.75" customHeight="1">
      <c r="A2645" s="1119">
        <v>98625.0</v>
      </c>
      <c r="B2645" s="1125" t="s">
        <v>12923</v>
      </c>
      <c r="C2645" s="1126" t="s">
        <v>1814</v>
      </c>
      <c r="D2645" s="1119">
        <v>154.2</v>
      </c>
      <c r="E2645" s="1120">
        <v>8.19</v>
      </c>
      <c r="F2645" s="1121">
        <f t="shared" si="1"/>
        <v>146.06</v>
      </c>
      <c r="G2645" s="1120">
        <v>128.44</v>
      </c>
      <c r="H2645" s="1127">
        <v>17.62</v>
      </c>
      <c r="I2645" s="1127">
        <v>0.0</v>
      </c>
      <c r="J2645" s="1127">
        <v>0.0</v>
      </c>
      <c r="K2645" s="1124"/>
    </row>
    <row r="2646" ht="15.75" customHeight="1">
      <c r="A2646" s="1119">
        <v>98626.0</v>
      </c>
      <c r="B2646" s="1125" t="s">
        <v>12924</v>
      </c>
      <c r="C2646" s="1126" t="s">
        <v>1814</v>
      </c>
      <c r="D2646" s="1119">
        <v>149.42</v>
      </c>
      <c r="E2646" s="1120">
        <v>6.96</v>
      </c>
      <c r="F2646" s="1121">
        <f t="shared" si="1"/>
        <v>142.47</v>
      </c>
      <c r="G2646" s="1120">
        <v>127.39</v>
      </c>
      <c r="H2646" s="1127">
        <v>15.08</v>
      </c>
      <c r="I2646" s="1127">
        <v>0.0</v>
      </c>
      <c r="J2646" s="1127">
        <v>0.0</v>
      </c>
      <c r="K2646" s="1124"/>
    </row>
    <row r="2647" ht="15.75" customHeight="1">
      <c r="A2647" s="1119">
        <v>98655.0</v>
      </c>
      <c r="B2647" s="1125" t="s">
        <v>12925</v>
      </c>
      <c r="C2647" s="1126" t="s">
        <v>1731</v>
      </c>
      <c r="D2647" s="1119">
        <v>643.91</v>
      </c>
      <c r="E2647" s="1120">
        <v>182.72</v>
      </c>
      <c r="F2647" s="1121">
        <f t="shared" si="1"/>
        <v>461.3</v>
      </c>
      <c r="G2647" s="1120">
        <v>445.75</v>
      </c>
      <c r="H2647" s="1127">
        <v>15.07</v>
      </c>
      <c r="I2647" s="1127">
        <v>0.0</v>
      </c>
      <c r="J2647" s="1127">
        <v>0.48</v>
      </c>
      <c r="K2647" s="1124"/>
    </row>
    <row r="2648" ht="15.75" customHeight="1">
      <c r="A2648" s="1119">
        <v>98656.0</v>
      </c>
      <c r="B2648" s="1125" t="s">
        <v>12926</v>
      </c>
      <c r="C2648" s="1126" t="s">
        <v>1731</v>
      </c>
      <c r="D2648" s="1119">
        <v>653.19</v>
      </c>
      <c r="E2648" s="1120">
        <v>184.31</v>
      </c>
      <c r="F2648" s="1121">
        <f t="shared" si="1"/>
        <v>468.97</v>
      </c>
      <c r="G2648" s="1120">
        <v>451.18</v>
      </c>
      <c r="H2648" s="1127">
        <v>17.31</v>
      </c>
      <c r="I2648" s="1127">
        <v>0.0</v>
      </c>
      <c r="J2648" s="1127">
        <v>0.48</v>
      </c>
      <c r="K2648" s="1124"/>
    </row>
    <row r="2649" ht="15.75" customHeight="1">
      <c r="A2649" s="1119">
        <v>98657.0</v>
      </c>
      <c r="B2649" s="1125" t="s">
        <v>12927</v>
      </c>
      <c r="C2649" s="1126" t="s">
        <v>1731</v>
      </c>
      <c r="D2649" s="1119">
        <v>662.46</v>
      </c>
      <c r="E2649" s="1120">
        <v>185.92</v>
      </c>
      <c r="F2649" s="1121">
        <f t="shared" si="1"/>
        <v>476.64</v>
      </c>
      <c r="G2649" s="1120">
        <v>456.62</v>
      </c>
      <c r="H2649" s="1127">
        <v>19.54</v>
      </c>
      <c r="I2649" s="1127">
        <v>0.0</v>
      </c>
      <c r="J2649" s="1127">
        <v>0.48</v>
      </c>
      <c r="K2649" s="1124"/>
    </row>
    <row r="2650" ht="15.75" customHeight="1">
      <c r="A2650" s="1119">
        <v>98658.0</v>
      </c>
      <c r="B2650" s="1125" t="s">
        <v>12928</v>
      </c>
      <c r="C2650" s="1126" t="s">
        <v>1731</v>
      </c>
      <c r="D2650" s="1119">
        <v>671.71</v>
      </c>
      <c r="E2650" s="1120">
        <v>187.52</v>
      </c>
      <c r="F2650" s="1121">
        <f t="shared" si="1"/>
        <v>484.28</v>
      </c>
      <c r="G2650" s="1120">
        <v>462.03</v>
      </c>
      <c r="H2650" s="1127">
        <v>21.77</v>
      </c>
      <c r="I2650" s="1127">
        <v>0.0</v>
      </c>
      <c r="J2650" s="1127">
        <v>0.48</v>
      </c>
      <c r="K2650" s="1124"/>
    </row>
    <row r="2651" ht="15.75" customHeight="1">
      <c r="A2651" s="1119">
        <v>98659.0</v>
      </c>
      <c r="B2651" s="1125" t="s">
        <v>12929</v>
      </c>
      <c r="C2651" s="1126" t="s">
        <v>1731</v>
      </c>
      <c r="D2651" s="1119">
        <v>690.26</v>
      </c>
      <c r="E2651" s="1120">
        <v>190.74</v>
      </c>
      <c r="F2651" s="1121">
        <f t="shared" si="1"/>
        <v>499.62</v>
      </c>
      <c r="G2651" s="1120">
        <v>472.88</v>
      </c>
      <c r="H2651" s="1127">
        <v>26.26</v>
      </c>
      <c r="I2651" s="1127">
        <v>0.0</v>
      </c>
      <c r="J2651" s="1127">
        <v>0.48</v>
      </c>
      <c r="K2651" s="1124"/>
    </row>
    <row r="2652" ht="15.75" customHeight="1">
      <c r="A2652" s="1119">
        <v>98746.0</v>
      </c>
      <c r="B2652" s="1125" t="s">
        <v>12930</v>
      </c>
      <c r="C2652" s="1126" t="s">
        <v>1731</v>
      </c>
      <c r="D2652" s="1119">
        <v>73.17</v>
      </c>
      <c r="E2652" s="1120">
        <v>39.2</v>
      </c>
      <c r="F2652" s="1121">
        <f t="shared" si="1"/>
        <v>33.98</v>
      </c>
      <c r="G2652" s="1120">
        <v>33.98</v>
      </c>
      <c r="H2652" s="1127">
        <v>0.0</v>
      </c>
      <c r="I2652" s="1127">
        <v>0.0</v>
      </c>
      <c r="J2652" s="1127">
        <v>0.0</v>
      </c>
      <c r="K2652" s="1124"/>
    </row>
    <row r="2653" ht="15.75" customHeight="1">
      <c r="A2653" s="1119">
        <v>98749.0</v>
      </c>
      <c r="B2653" s="1125" t="s">
        <v>12931</v>
      </c>
      <c r="C2653" s="1126" t="s">
        <v>1731</v>
      </c>
      <c r="D2653" s="1119">
        <v>85.57</v>
      </c>
      <c r="E2653" s="1120">
        <v>40.69</v>
      </c>
      <c r="F2653" s="1121">
        <f t="shared" si="1"/>
        <v>44.88</v>
      </c>
      <c r="G2653" s="1120">
        <v>44.88</v>
      </c>
      <c r="H2653" s="1127">
        <v>0.0</v>
      </c>
      <c r="I2653" s="1127">
        <v>0.0</v>
      </c>
      <c r="J2653" s="1127">
        <v>0.0</v>
      </c>
      <c r="K2653" s="1124"/>
    </row>
    <row r="2654" ht="15.75" customHeight="1">
      <c r="A2654" s="1119">
        <v>98750.0</v>
      </c>
      <c r="B2654" s="1125" t="s">
        <v>12932</v>
      </c>
      <c r="C2654" s="1126" t="s">
        <v>1731</v>
      </c>
      <c r="D2654" s="1119">
        <v>100.4</v>
      </c>
      <c r="E2654" s="1120">
        <v>41.95</v>
      </c>
      <c r="F2654" s="1121">
        <f t="shared" si="1"/>
        <v>58.46</v>
      </c>
      <c r="G2654" s="1120">
        <v>58.46</v>
      </c>
      <c r="H2654" s="1127">
        <v>0.0</v>
      </c>
      <c r="I2654" s="1127">
        <v>0.0</v>
      </c>
      <c r="J2654" s="1127">
        <v>0.0</v>
      </c>
      <c r="K2654" s="1124"/>
    </row>
    <row r="2655" ht="15.75" customHeight="1">
      <c r="A2655" s="1119">
        <v>98751.0</v>
      </c>
      <c r="B2655" s="1125" t="s">
        <v>12933</v>
      </c>
      <c r="C2655" s="1126" t="s">
        <v>1731</v>
      </c>
      <c r="D2655" s="1119">
        <v>139.04</v>
      </c>
      <c r="E2655" s="1120">
        <v>44.96</v>
      </c>
      <c r="F2655" s="1121">
        <f t="shared" si="1"/>
        <v>94.08</v>
      </c>
      <c r="G2655" s="1120">
        <v>94.08</v>
      </c>
      <c r="H2655" s="1127">
        <v>0.0</v>
      </c>
      <c r="I2655" s="1127">
        <v>0.0</v>
      </c>
      <c r="J2655" s="1127">
        <v>0.0</v>
      </c>
      <c r="K2655" s="1124"/>
    </row>
    <row r="2656" ht="15.75" customHeight="1">
      <c r="A2656" s="1119">
        <v>98752.0</v>
      </c>
      <c r="B2656" s="1125" t="s">
        <v>12934</v>
      </c>
      <c r="C2656" s="1126" t="s">
        <v>1731</v>
      </c>
      <c r="D2656" s="1119">
        <v>185.3</v>
      </c>
      <c r="E2656" s="1120">
        <v>47.72</v>
      </c>
      <c r="F2656" s="1121">
        <f t="shared" si="1"/>
        <v>137.58</v>
      </c>
      <c r="G2656" s="1120">
        <v>137.58</v>
      </c>
      <c r="H2656" s="1127">
        <v>0.0</v>
      </c>
      <c r="I2656" s="1127">
        <v>0.0</v>
      </c>
      <c r="J2656" s="1127">
        <v>0.0</v>
      </c>
      <c r="K2656" s="1124"/>
    </row>
    <row r="2657" ht="15.75" customHeight="1">
      <c r="A2657" s="1119">
        <v>98753.0</v>
      </c>
      <c r="B2657" s="1125" t="s">
        <v>12935</v>
      </c>
      <c r="C2657" s="1126" t="s">
        <v>1731</v>
      </c>
      <c r="D2657" s="1119">
        <v>242.61</v>
      </c>
      <c r="E2657" s="1120">
        <v>50.48</v>
      </c>
      <c r="F2657" s="1121">
        <f t="shared" si="1"/>
        <v>192.13</v>
      </c>
      <c r="G2657" s="1120">
        <v>192.13</v>
      </c>
      <c r="H2657" s="1127">
        <v>0.0</v>
      </c>
      <c r="I2657" s="1127">
        <v>0.0</v>
      </c>
      <c r="J2657" s="1127">
        <v>0.0</v>
      </c>
      <c r="K2657" s="1124"/>
    </row>
    <row r="2658" ht="15.75" customHeight="1">
      <c r="A2658" s="1119">
        <v>100763.0</v>
      </c>
      <c r="B2658" s="1125" t="s">
        <v>12936</v>
      </c>
      <c r="C2658" s="1126" t="s">
        <v>3606</v>
      </c>
      <c r="D2658" s="1119">
        <v>19.39</v>
      </c>
      <c r="E2658" s="1120">
        <v>1.33</v>
      </c>
      <c r="F2658" s="1121">
        <f t="shared" si="1"/>
        <v>18.08</v>
      </c>
      <c r="G2658" s="1120">
        <v>16.42</v>
      </c>
      <c r="H2658" s="1127">
        <v>1.63</v>
      </c>
      <c r="I2658" s="1127">
        <v>0.0</v>
      </c>
      <c r="J2658" s="1127">
        <v>0.03</v>
      </c>
      <c r="K2658" s="1124"/>
    </row>
    <row r="2659" ht="15.75" customHeight="1">
      <c r="A2659" s="1119">
        <v>100764.0</v>
      </c>
      <c r="B2659" s="1125" t="s">
        <v>12937</v>
      </c>
      <c r="C2659" s="1126" t="s">
        <v>3606</v>
      </c>
      <c r="D2659" s="1119">
        <v>19.15</v>
      </c>
      <c r="E2659" s="1120">
        <v>1.41</v>
      </c>
      <c r="F2659" s="1121">
        <f t="shared" si="1"/>
        <v>17.76</v>
      </c>
      <c r="G2659" s="1120">
        <v>16.14</v>
      </c>
      <c r="H2659" s="1127">
        <v>1.59</v>
      </c>
      <c r="I2659" s="1127">
        <v>0.0</v>
      </c>
      <c r="J2659" s="1127">
        <v>0.03</v>
      </c>
      <c r="K2659" s="1124"/>
    </row>
    <row r="2660" ht="15.75" customHeight="1">
      <c r="A2660" s="1119">
        <v>100765.0</v>
      </c>
      <c r="B2660" s="1125" t="s">
        <v>12938</v>
      </c>
      <c r="C2660" s="1126" t="s">
        <v>3606</v>
      </c>
      <c r="D2660" s="1119">
        <v>18.58</v>
      </c>
      <c r="E2660" s="1120">
        <v>0.6</v>
      </c>
      <c r="F2660" s="1121">
        <f t="shared" si="1"/>
        <v>17.98</v>
      </c>
      <c r="G2660" s="1120">
        <v>17.36</v>
      </c>
      <c r="H2660" s="1127">
        <v>0.61</v>
      </c>
      <c r="I2660" s="1127">
        <v>0.0</v>
      </c>
      <c r="J2660" s="1127">
        <v>0.01</v>
      </c>
      <c r="K2660" s="1124"/>
    </row>
    <row r="2661" ht="15.75" customHeight="1">
      <c r="A2661" s="1119">
        <v>100766.0</v>
      </c>
      <c r="B2661" s="1125" t="s">
        <v>12939</v>
      </c>
      <c r="C2661" s="1126" t="s">
        <v>3606</v>
      </c>
      <c r="D2661" s="1119">
        <v>18.83</v>
      </c>
      <c r="E2661" s="1120">
        <v>1.07</v>
      </c>
      <c r="F2661" s="1121">
        <f t="shared" si="1"/>
        <v>17.78</v>
      </c>
      <c r="G2661" s="1120">
        <v>17.2</v>
      </c>
      <c r="H2661" s="1127">
        <v>0.57</v>
      </c>
      <c r="I2661" s="1127">
        <v>0.0</v>
      </c>
      <c r="J2661" s="1127">
        <v>0.01</v>
      </c>
      <c r="K2661" s="1124"/>
    </row>
    <row r="2662" ht="15.75" customHeight="1">
      <c r="A2662" s="1119">
        <v>100767.0</v>
      </c>
      <c r="B2662" s="1125" t="s">
        <v>12940</v>
      </c>
      <c r="C2662" s="1126" t="s">
        <v>3606</v>
      </c>
      <c r="D2662" s="1119">
        <v>19.68</v>
      </c>
      <c r="E2662" s="1120">
        <v>3.77</v>
      </c>
      <c r="F2662" s="1121">
        <f t="shared" si="1"/>
        <v>15.93</v>
      </c>
      <c r="G2662" s="1120">
        <v>15.93</v>
      </c>
      <c r="H2662" s="1127">
        <v>0.0</v>
      </c>
      <c r="I2662" s="1127">
        <v>0.0</v>
      </c>
      <c r="J2662" s="1127">
        <v>0.0</v>
      </c>
      <c r="K2662" s="1124"/>
    </row>
    <row r="2663" ht="15.75" customHeight="1">
      <c r="A2663" s="1119">
        <v>100768.0</v>
      </c>
      <c r="B2663" s="1125" t="s">
        <v>12941</v>
      </c>
      <c r="C2663" s="1126" t="s">
        <v>3606</v>
      </c>
      <c r="D2663" s="1119">
        <v>18.85</v>
      </c>
      <c r="E2663" s="1120">
        <v>3.97</v>
      </c>
      <c r="F2663" s="1121">
        <f t="shared" si="1"/>
        <v>14.9</v>
      </c>
      <c r="G2663" s="1120">
        <v>14.9</v>
      </c>
      <c r="H2663" s="1127">
        <v>0.0</v>
      </c>
      <c r="I2663" s="1127">
        <v>0.0</v>
      </c>
      <c r="J2663" s="1127">
        <v>0.0</v>
      </c>
      <c r="K2663" s="1124"/>
    </row>
    <row r="2664" ht="15.75" customHeight="1">
      <c r="A2664" s="1119">
        <v>100769.0</v>
      </c>
      <c r="B2664" s="1125" t="s">
        <v>12942</v>
      </c>
      <c r="C2664" s="1126" t="s">
        <v>3606</v>
      </c>
      <c r="D2664" s="1119">
        <v>25.71</v>
      </c>
      <c r="E2664" s="1120">
        <v>4.04</v>
      </c>
      <c r="F2664" s="1121">
        <f t="shared" si="1"/>
        <v>21.68</v>
      </c>
      <c r="G2664" s="1120">
        <v>15.68</v>
      </c>
      <c r="H2664" s="1127">
        <v>5.89</v>
      </c>
      <c r="I2664" s="1127">
        <v>0.0</v>
      </c>
      <c r="J2664" s="1127">
        <v>0.11</v>
      </c>
      <c r="K2664" s="1124"/>
    </row>
    <row r="2665" ht="15.75" customHeight="1">
      <c r="A2665" s="1119">
        <v>100770.0</v>
      </c>
      <c r="B2665" s="1125" t="s">
        <v>12943</v>
      </c>
      <c r="C2665" s="1126" t="s">
        <v>3606</v>
      </c>
      <c r="D2665" s="1119">
        <v>24.65</v>
      </c>
      <c r="E2665" s="1120">
        <v>4.17</v>
      </c>
      <c r="F2665" s="1121">
        <f t="shared" si="1"/>
        <v>20.47</v>
      </c>
      <c r="G2665" s="1120">
        <v>14.59</v>
      </c>
      <c r="H2665" s="1127">
        <v>5.78</v>
      </c>
      <c r="I2665" s="1127">
        <v>0.0</v>
      </c>
      <c r="J2665" s="1127">
        <v>0.1</v>
      </c>
      <c r="K2665" s="1124"/>
    </row>
    <row r="2666" ht="15.75" customHeight="1">
      <c r="A2666" s="1119">
        <v>100771.0</v>
      </c>
      <c r="B2666" s="1125" t="s">
        <v>12944</v>
      </c>
      <c r="C2666" s="1126" t="s">
        <v>3606</v>
      </c>
      <c r="D2666" s="1119">
        <v>20.17</v>
      </c>
      <c r="E2666" s="1120">
        <v>3.41</v>
      </c>
      <c r="F2666" s="1121">
        <f t="shared" si="1"/>
        <v>16.78</v>
      </c>
      <c r="G2666" s="1120">
        <v>15.61</v>
      </c>
      <c r="H2666" s="1127">
        <v>1.12</v>
      </c>
      <c r="I2666" s="1127">
        <v>0.0</v>
      </c>
      <c r="J2666" s="1127">
        <v>0.05</v>
      </c>
      <c r="K2666" s="1124"/>
    </row>
    <row r="2667" ht="15.75" customHeight="1">
      <c r="A2667" s="1119">
        <v>100772.0</v>
      </c>
      <c r="B2667" s="1125" t="s">
        <v>12945</v>
      </c>
      <c r="C2667" s="1126" t="s">
        <v>3606</v>
      </c>
      <c r="D2667" s="1119">
        <v>19.18</v>
      </c>
      <c r="E2667" s="1120">
        <v>3.54</v>
      </c>
      <c r="F2667" s="1121">
        <f t="shared" si="1"/>
        <v>15.64</v>
      </c>
      <c r="G2667" s="1120">
        <v>14.51</v>
      </c>
      <c r="H2667" s="1127">
        <v>1.09</v>
      </c>
      <c r="I2667" s="1127">
        <v>0.0</v>
      </c>
      <c r="J2667" s="1127">
        <v>0.04</v>
      </c>
      <c r="K2667" s="1124"/>
    </row>
    <row r="2668" ht="15.75" customHeight="1">
      <c r="A2668" s="1119">
        <v>100773.0</v>
      </c>
      <c r="B2668" s="1125" t="s">
        <v>12946</v>
      </c>
      <c r="C2668" s="1126" t="s">
        <v>3606</v>
      </c>
      <c r="D2668" s="1119">
        <v>22.21</v>
      </c>
      <c r="E2668" s="1120">
        <v>1.48</v>
      </c>
      <c r="F2668" s="1121">
        <f t="shared" si="1"/>
        <v>20.71</v>
      </c>
      <c r="G2668" s="1120">
        <v>20.13</v>
      </c>
      <c r="H2668" s="1127">
        <v>0.57</v>
      </c>
      <c r="I2668" s="1127">
        <v>0.0</v>
      </c>
      <c r="J2668" s="1127">
        <v>0.01</v>
      </c>
      <c r="K2668" s="1124"/>
    </row>
    <row r="2669" ht="15.75" customHeight="1">
      <c r="A2669" s="1119">
        <v>100774.0</v>
      </c>
      <c r="B2669" s="1125" t="s">
        <v>12947</v>
      </c>
      <c r="C2669" s="1126" t="s">
        <v>3606</v>
      </c>
      <c r="D2669" s="1119">
        <v>14.27</v>
      </c>
      <c r="E2669" s="1120">
        <v>0.39</v>
      </c>
      <c r="F2669" s="1121">
        <f t="shared" si="1"/>
        <v>13.89</v>
      </c>
      <c r="G2669" s="1120">
        <v>13.75</v>
      </c>
      <c r="H2669" s="1127">
        <v>0.14</v>
      </c>
      <c r="I2669" s="1127">
        <v>0.0</v>
      </c>
      <c r="J2669" s="1127">
        <v>0.0</v>
      </c>
      <c r="K2669" s="1124"/>
    </row>
    <row r="2670" ht="15.75" customHeight="1">
      <c r="A2670" s="1119">
        <v>100775.0</v>
      </c>
      <c r="B2670" s="1125" t="s">
        <v>12948</v>
      </c>
      <c r="C2670" s="1126" t="s">
        <v>3606</v>
      </c>
      <c r="D2670" s="1119">
        <v>16.45</v>
      </c>
      <c r="E2670" s="1120">
        <v>1.08</v>
      </c>
      <c r="F2670" s="1121">
        <f t="shared" si="1"/>
        <v>15.36</v>
      </c>
      <c r="G2670" s="1120">
        <v>15.14</v>
      </c>
      <c r="H2670" s="1127">
        <v>0.22</v>
      </c>
      <c r="I2670" s="1127">
        <v>0.0</v>
      </c>
      <c r="J2670" s="1127">
        <v>0.0</v>
      </c>
      <c r="K2670" s="1124"/>
    </row>
    <row r="2671" ht="15.75" customHeight="1">
      <c r="A2671" s="1119">
        <v>100776.0</v>
      </c>
      <c r="B2671" s="1125" t="s">
        <v>12949</v>
      </c>
      <c r="C2671" s="1126" t="s">
        <v>3606</v>
      </c>
      <c r="D2671" s="1119">
        <v>22.37</v>
      </c>
      <c r="E2671" s="1120">
        <v>1.44</v>
      </c>
      <c r="F2671" s="1121">
        <f t="shared" si="1"/>
        <v>20.93</v>
      </c>
      <c r="G2671" s="1120">
        <v>20.35</v>
      </c>
      <c r="H2671" s="1127">
        <v>0.57</v>
      </c>
      <c r="I2671" s="1127">
        <v>0.0</v>
      </c>
      <c r="J2671" s="1127">
        <v>0.01</v>
      </c>
      <c r="K2671" s="1124"/>
    </row>
    <row r="2672" ht="15.75" customHeight="1">
      <c r="A2672" s="1119">
        <v>100777.0</v>
      </c>
      <c r="B2672" s="1125" t="s">
        <v>12950</v>
      </c>
      <c r="C2672" s="1126" t="s">
        <v>3606</v>
      </c>
      <c r="D2672" s="1119">
        <v>16.96</v>
      </c>
      <c r="E2672" s="1120">
        <v>1.42</v>
      </c>
      <c r="F2672" s="1121">
        <f t="shared" si="1"/>
        <v>15.56</v>
      </c>
      <c r="G2672" s="1120">
        <v>13.95</v>
      </c>
      <c r="H2672" s="1127">
        <v>1.57</v>
      </c>
      <c r="I2672" s="1127">
        <v>0.0</v>
      </c>
      <c r="J2672" s="1127">
        <v>0.04</v>
      </c>
      <c r="K2672" s="1124"/>
    </row>
    <row r="2673" ht="15.75" customHeight="1">
      <c r="A2673" s="1119">
        <v>100778.0</v>
      </c>
      <c r="B2673" s="1125" t="s">
        <v>12951</v>
      </c>
      <c r="C2673" s="1126" t="s">
        <v>3606</v>
      </c>
      <c r="D2673" s="1119">
        <v>12.97</v>
      </c>
      <c r="E2673" s="1120">
        <v>0.19</v>
      </c>
      <c r="F2673" s="1121">
        <f t="shared" si="1"/>
        <v>12.79</v>
      </c>
      <c r="G2673" s="1120">
        <v>12.56</v>
      </c>
      <c r="H2673" s="1127">
        <v>0.23</v>
      </c>
      <c r="I2673" s="1127">
        <v>0.0</v>
      </c>
      <c r="J2673" s="1127">
        <v>0.0</v>
      </c>
      <c r="K2673" s="1124"/>
    </row>
    <row r="2674" ht="15.75" customHeight="1">
      <c r="A2674" s="1119">
        <v>103795.0</v>
      </c>
      <c r="B2674" s="1125" t="s">
        <v>12952</v>
      </c>
      <c r="C2674" s="1126" t="s">
        <v>1814</v>
      </c>
      <c r="D2674" s="1119">
        <v>84.47</v>
      </c>
      <c r="E2674" s="1120">
        <v>37.38</v>
      </c>
      <c r="F2674" s="1121">
        <f t="shared" si="1"/>
        <v>47.1</v>
      </c>
      <c r="G2674" s="1120">
        <v>45.48</v>
      </c>
      <c r="H2674" s="1127">
        <v>1.59</v>
      </c>
      <c r="I2674" s="1127">
        <v>0.0</v>
      </c>
      <c r="J2674" s="1127">
        <v>0.03</v>
      </c>
      <c r="K2674" s="1124"/>
    </row>
    <row r="2675" ht="15.75" customHeight="1">
      <c r="A2675" s="1119">
        <v>103796.0</v>
      </c>
      <c r="B2675" s="1125" t="s">
        <v>12953</v>
      </c>
      <c r="C2675" s="1126" t="s">
        <v>1814</v>
      </c>
      <c r="D2675" s="1119">
        <v>53.57</v>
      </c>
      <c r="E2675" s="1120">
        <v>13.61</v>
      </c>
      <c r="F2675" s="1121">
        <f t="shared" si="1"/>
        <v>39.95</v>
      </c>
      <c r="G2675" s="1120">
        <v>39.92</v>
      </c>
      <c r="H2675" s="1127">
        <v>0.01</v>
      </c>
      <c r="I2675" s="1127">
        <v>0.0</v>
      </c>
      <c r="J2675" s="1127">
        <v>0.02</v>
      </c>
      <c r="K2675" s="1124"/>
    </row>
    <row r="2676" ht="15.75" customHeight="1">
      <c r="A2676" s="1119">
        <v>103797.0</v>
      </c>
      <c r="B2676" s="1125" t="s">
        <v>12954</v>
      </c>
      <c r="C2676" s="1126" t="s">
        <v>3606</v>
      </c>
      <c r="D2676" s="1119">
        <v>17.47</v>
      </c>
      <c r="E2676" s="1120">
        <v>6.42</v>
      </c>
      <c r="F2676" s="1121">
        <f t="shared" si="1"/>
        <v>11.06</v>
      </c>
      <c r="G2676" s="1120">
        <v>11.06</v>
      </c>
      <c r="H2676" s="1127">
        <v>0.0</v>
      </c>
      <c r="I2676" s="1127">
        <v>0.0</v>
      </c>
      <c r="J2676" s="1127">
        <v>0.0</v>
      </c>
      <c r="K2676" s="1124"/>
    </row>
    <row r="2677" ht="15.75" customHeight="1">
      <c r="A2677" s="1119">
        <v>103798.0</v>
      </c>
      <c r="B2677" s="1125" t="s">
        <v>12955</v>
      </c>
      <c r="C2677" s="1126" t="s">
        <v>2178</v>
      </c>
      <c r="D2677" s="1119">
        <v>558.74</v>
      </c>
      <c r="E2677" s="1120">
        <v>53.12</v>
      </c>
      <c r="F2677" s="1121">
        <f t="shared" si="1"/>
        <v>505.63</v>
      </c>
      <c r="G2677" s="1120">
        <v>505.45</v>
      </c>
      <c r="H2677" s="1127">
        <v>0.15</v>
      </c>
      <c r="I2677" s="1127">
        <v>0.0</v>
      </c>
      <c r="J2677" s="1127">
        <v>0.03</v>
      </c>
      <c r="K2677" s="1124"/>
    </row>
    <row r="2678" ht="15.75" customHeight="1">
      <c r="A2678" s="1119">
        <v>103799.0</v>
      </c>
      <c r="B2678" s="1125" t="s">
        <v>12956</v>
      </c>
      <c r="C2678" s="1126" t="s">
        <v>2178</v>
      </c>
      <c r="D2678" s="1119">
        <v>398.29</v>
      </c>
      <c r="E2678" s="1120">
        <v>134.41</v>
      </c>
      <c r="F2678" s="1121">
        <f t="shared" si="1"/>
        <v>263.88</v>
      </c>
      <c r="G2678" s="1120">
        <v>262.3</v>
      </c>
      <c r="H2678" s="1127">
        <v>1.12</v>
      </c>
      <c r="I2678" s="1127">
        <v>0.0</v>
      </c>
      <c r="J2678" s="1127">
        <v>0.46</v>
      </c>
      <c r="K2678" s="1124"/>
    </row>
    <row r="2679" ht="15.75" customHeight="1">
      <c r="A2679" s="1119">
        <v>103800.0</v>
      </c>
      <c r="B2679" s="1125" t="s">
        <v>12957</v>
      </c>
      <c r="C2679" s="1126" t="s">
        <v>2178</v>
      </c>
      <c r="D2679" s="1119">
        <v>501.88</v>
      </c>
      <c r="E2679" s="1120">
        <v>174.6</v>
      </c>
      <c r="F2679" s="1121">
        <f t="shared" si="1"/>
        <v>327.28</v>
      </c>
      <c r="G2679" s="1120">
        <v>327.28</v>
      </c>
      <c r="H2679" s="1127">
        <v>0.0</v>
      </c>
      <c r="I2679" s="1127">
        <v>0.0</v>
      </c>
      <c r="J2679" s="1127">
        <v>0.0</v>
      </c>
      <c r="K2679" s="1124"/>
    </row>
    <row r="2680" ht="15.75" customHeight="1">
      <c r="A2680" s="1119">
        <v>103801.0</v>
      </c>
      <c r="B2680" s="1125" t="s">
        <v>12958</v>
      </c>
      <c r="C2680" s="1126" t="s">
        <v>2178</v>
      </c>
      <c r="D2680" s="1119">
        <v>633.88</v>
      </c>
      <c r="E2680" s="1120">
        <v>173.8</v>
      </c>
      <c r="F2680" s="1121">
        <f t="shared" si="1"/>
        <v>460.08</v>
      </c>
      <c r="G2680" s="1120">
        <v>455.22</v>
      </c>
      <c r="H2680" s="1127">
        <v>3.57</v>
      </c>
      <c r="I2680" s="1127">
        <v>0.0</v>
      </c>
      <c r="J2680" s="1127">
        <v>1.29</v>
      </c>
      <c r="K2680" s="1124"/>
    </row>
    <row r="2681" ht="15.75" customHeight="1">
      <c r="A2681" s="1119">
        <v>103925.0</v>
      </c>
      <c r="B2681" s="1125" t="s">
        <v>12959</v>
      </c>
      <c r="C2681" s="1126" t="s">
        <v>2178</v>
      </c>
      <c r="D2681" s="1128">
        <v>1626.99</v>
      </c>
      <c r="E2681" s="1120">
        <v>489.43</v>
      </c>
      <c r="F2681" s="1121">
        <f t="shared" si="1"/>
        <v>1137.97</v>
      </c>
      <c r="G2681" s="1120">
        <v>1125.74</v>
      </c>
      <c r="H2681" s="1127">
        <v>11.98</v>
      </c>
      <c r="I2681" s="1127">
        <v>0.0</v>
      </c>
      <c r="J2681" s="1127">
        <v>0.25</v>
      </c>
      <c r="K2681" s="1124"/>
    </row>
    <row r="2682" ht="15.75" customHeight="1">
      <c r="A2682" s="1119">
        <v>103926.0</v>
      </c>
      <c r="B2682" s="1125" t="s">
        <v>12960</v>
      </c>
      <c r="C2682" s="1126" t="s">
        <v>2178</v>
      </c>
      <c r="D2682" s="1128">
        <v>1294.75</v>
      </c>
      <c r="E2682" s="1120">
        <v>352.55</v>
      </c>
      <c r="F2682" s="1121">
        <f t="shared" si="1"/>
        <v>942.51</v>
      </c>
      <c r="G2682" s="1120">
        <v>934.08</v>
      </c>
      <c r="H2682" s="1127">
        <v>8.25</v>
      </c>
      <c r="I2682" s="1127">
        <v>0.0</v>
      </c>
      <c r="J2682" s="1127">
        <v>0.18</v>
      </c>
      <c r="K2682" s="1124"/>
    </row>
    <row r="2683" ht="15.75" customHeight="1">
      <c r="A2683" s="1119">
        <v>103928.0</v>
      </c>
      <c r="B2683" s="1125" t="s">
        <v>12961</v>
      </c>
      <c r="C2683" s="1126" t="s">
        <v>2178</v>
      </c>
      <c r="D2683" s="1119">
        <v>501.88</v>
      </c>
      <c r="E2683" s="1120">
        <v>174.6</v>
      </c>
      <c r="F2683" s="1121">
        <f t="shared" si="1"/>
        <v>327.28</v>
      </c>
      <c r="G2683" s="1120">
        <v>327.28</v>
      </c>
      <c r="H2683" s="1127">
        <v>0.0</v>
      </c>
      <c r="I2683" s="1127">
        <v>0.0</v>
      </c>
      <c r="J2683" s="1127">
        <v>0.0</v>
      </c>
      <c r="K2683" s="1124"/>
    </row>
    <row r="2684" ht="15.75" customHeight="1">
      <c r="A2684" s="1119">
        <v>103929.0</v>
      </c>
      <c r="B2684" s="1125" t="s">
        <v>12962</v>
      </c>
      <c r="C2684" s="1126" t="s">
        <v>2178</v>
      </c>
      <c r="D2684" s="1128">
        <v>1169.63</v>
      </c>
      <c r="E2684" s="1120">
        <v>310.0</v>
      </c>
      <c r="F2684" s="1121">
        <f t="shared" si="1"/>
        <v>859.59</v>
      </c>
      <c r="G2684" s="1120">
        <v>854.43</v>
      </c>
      <c r="H2684" s="1127">
        <v>3.67</v>
      </c>
      <c r="I2684" s="1127">
        <v>0.0</v>
      </c>
      <c r="J2684" s="1127">
        <v>1.49</v>
      </c>
      <c r="K2684" s="1124"/>
    </row>
    <row r="2685" ht="15.75" customHeight="1">
      <c r="A2685" s="1119">
        <v>103930.0</v>
      </c>
      <c r="B2685" s="1125" t="s">
        <v>12963</v>
      </c>
      <c r="C2685" s="1126" t="s">
        <v>2178</v>
      </c>
      <c r="D2685" s="1119">
        <v>727.84</v>
      </c>
      <c r="E2685" s="1120">
        <v>208.8</v>
      </c>
      <c r="F2685" s="1121">
        <f t="shared" si="1"/>
        <v>519.05</v>
      </c>
      <c r="G2685" s="1120">
        <v>515.93</v>
      </c>
      <c r="H2685" s="1127">
        <v>2.21</v>
      </c>
      <c r="I2685" s="1127">
        <v>0.0</v>
      </c>
      <c r="J2685" s="1127">
        <v>0.91</v>
      </c>
      <c r="K2685" s="1124"/>
    </row>
    <row r="2686" ht="15.75" customHeight="1">
      <c r="A2686" s="1119">
        <v>103931.0</v>
      </c>
      <c r="B2686" s="1125" t="s">
        <v>12964</v>
      </c>
      <c r="C2686" s="1126" t="s">
        <v>2178</v>
      </c>
      <c r="D2686" s="1119">
        <v>541.4</v>
      </c>
      <c r="E2686" s="1120">
        <v>163.94</v>
      </c>
      <c r="F2686" s="1121">
        <f t="shared" si="1"/>
        <v>377.47</v>
      </c>
      <c r="G2686" s="1120">
        <v>374.84</v>
      </c>
      <c r="H2686" s="1127">
        <v>1.89</v>
      </c>
      <c r="I2686" s="1127">
        <v>0.0</v>
      </c>
      <c r="J2686" s="1127">
        <v>0.74</v>
      </c>
      <c r="K2686" s="1124"/>
    </row>
    <row r="2687" ht="15.75" customHeight="1">
      <c r="A2687" s="1119">
        <v>103932.0</v>
      </c>
      <c r="B2687" s="1125" t="s">
        <v>12965</v>
      </c>
      <c r="C2687" s="1126" t="s">
        <v>2178</v>
      </c>
      <c r="D2687" s="1119">
        <v>514.07</v>
      </c>
      <c r="E2687" s="1120">
        <v>157.37</v>
      </c>
      <c r="F2687" s="1121">
        <f t="shared" si="1"/>
        <v>356.72</v>
      </c>
      <c r="G2687" s="1120">
        <v>354.17</v>
      </c>
      <c r="H2687" s="1127">
        <v>1.83</v>
      </c>
      <c r="I2687" s="1127">
        <v>0.0</v>
      </c>
      <c r="J2687" s="1127">
        <v>0.72</v>
      </c>
      <c r="K2687" s="1124"/>
    </row>
    <row r="2688" ht="15.75" customHeight="1">
      <c r="A2688" s="1119">
        <v>103933.0</v>
      </c>
      <c r="B2688" s="1125" t="s">
        <v>12966</v>
      </c>
      <c r="C2688" s="1126" t="s">
        <v>2178</v>
      </c>
      <c r="D2688" s="1128">
        <v>1432.88</v>
      </c>
      <c r="E2688" s="1120">
        <v>322.82</v>
      </c>
      <c r="F2688" s="1121">
        <f t="shared" si="1"/>
        <v>1110.35</v>
      </c>
      <c r="G2688" s="1120">
        <v>1109.95</v>
      </c>
      <c r="H2688" s="1127">
        <v>0.22</v>
      </c>
      <c r="I2688" s="1127">
        <v>0.0</v>
      </c>
      <c r="J2688" s="1127">
        <v>0.18</v>
      </c>
      <c r="K2688" s="1124"/>
    </row>
    <row r="2689" ht="15.75" customHeight="1">
      <c r="A2689" s="1119">
        <v>104466.0</v>
      </c>
      <c r="B2689" s="1125" t="s">
        <v>12967</v>
      </c>
      <c r="C2689" s="1126" t="s">
        <v>3606</v>
      </c>
      <c r="D2689" s="1119">
        <v>32.74</v>
      </c>
      <c r="E2689" s="1120">
        <v>3.18</v>
      </c>
      <c r="F2689" s="1121">
        <f t="shared" si="1"/>
        <v>29.58</v>
      </c>
      <c r="G2689" s="1120">
        <v>27.21</v>
      </c>
      <c r="H2689" s="1127">
        <v>2.34</v>
      </c>
      <c r="I2689" s="1127">
        <v>0.0</v>
      </c>
      <c r="J2689" s="1127">
        <v>0.03</v>
      </c>
      <c r="K2689" s="1124"/>
    </row>
    <row r="2690" ht="15.75" customHeight="1">
      <c r="A2690" s="1119">
        <v>104467.0</v>
      </c>
      <c r="B2690" s="1125" t="s">
        <v>12968</v>
      </c>
      <c r="C2690" s="1126" t="s">
        <v>3606</v>
      </c>
      <c r="D2690" s="1119">
        <v>43.87</v>
      </c>
      <c r="E2690" s="1120">
        <v>5.55</v>
      </c>
      <c r="F2690" s="1121">
        <f t="shared" si="1"/>
        <v>38.34</v>
      </c>
      <c r="G2690" s="1120">
        <v>34.03</v>
      </c>
      <c r="H2690" s="1127">
        <v>4.25</v>
      </c>
      <c r="I2690" s="1127">
        <v>0.0</v>
      </c>
      <c r="J2690" s="1127">
        <v>0.06</v>
      </c>
      <c r="K2690" s="1124"/>
    </row>
    <row r="2691" ht="15.75" customHeight="1">
      <c r="A2691" s="1119">
        <v>104468.0</v>
      </c>
      <c r="B2691" s="1125" t="s">
        <v>12969</v>
      </c>
      <c r="C2691" s="1126" t="s">
        <v>3606</v>
      </c>
      <c r="D2691" s="1119">
        <v>57.14</v>
      </c>
      <c r="E2691" s="1120">
        <v>6.55</v>
      </c>
      <c r="F2691" s="1121">
        <f t="shared" si="1"/>
        <v>50.58</v>
      </c>
      <c r="G2691" s="1120">
        <v>48.39</v>
      </c>
      <c r="H2691" s="1127">
        <v>2.17</v>
      </c>
      <c r="I2691" s="1127">
        <v>0.0</v>
      </c>
      <c r="J2691" s="1127">
        <v>0.02</v>
      </c>
      <c r="K2691" s="1124"/>
    </row>
    <row r="2692" ht="15.75" customHeight="1">
      <c r="A2692" s="1119">
        <v>104469.0</v>
      </c>
      <c r="B2692" s="1125" t="s">
        <v>12970</v>
      </c>
      <c r="C2692" s="1126" t="s">
        <v>3606</v>
      </c>
      <c r="D2692" s="1119">
        <v>60.65</v>
      </c>
      <c r="E2692" s="1120">
        <v>6.52</v>
      </c>
      <c r="F2692" s="1121">
        <f t="shared" si="1"/>
        <v>54.13</v>
      </c>
      <c r="G2692" s="1120">
        <v>52.61</v>
      </c>
      <c r="H2692" s="1127">
        <v>1.51</v>
      </c>
      <c r="I2692" s="1127">
        <v>0.0</v>
      </c>
      <c r="J2692" s="1127">
        <v>0.01</v>
      </c>
      <c r="K2692" s="1124"/>
    </row>
    <row r="2693" ht="15.75" customHeight="1">
      <c r="A2693" s="1119">
        <v>104470.0</v>
      </c>
      <c r="B2693" s="1125" t="s">
        <v>12971</v>
      </c>
      <c r="C2693" s="1126" t="s">
        <v>3606</v>
      </c>
      <c r="D2693" s="1119">
        <v>33.9</v>
      </c>
      <c r="E2693" s="1120">
        <v>3.8</v>
      </c>
      <c r="F2693" s="1121">
        <f t="shared" si="1"/>
        <v>30.13</v>
      </c>
      <c r="G2693" s="1120">
        <v>28.31</v>
      </c>
      <c r="H2693" s="1127">
        <v>1.8</v>
      </c>
      <c r="I2693" s="1127">
        <v>0.0</v>
      </c>
      <c r="J2693" s="1127">
        <v>0.02</v>
      </c>
      <c r="K2693" s="1124"/>
    </row>
    <row r="2694" ht="15.75" customHeight="1">
      <c r="A2694" s="1119">
        <v>104471.0</v>
      </c>
      <c r="B2694" s="1125" t="s">
        <v>12972</v>
      </c>
      <c r="C2694" s="1126" t="s">
        <v>3606</v>
      </c>
      <c r="D2694" s="1119">
        <v>29.98</v>
      </c>
      <c r="E2694" s="1120">
        <v>3.32</v>
      </c>
      <c r="F2694" s="1121">
        <f t="shared" si="1"/>
        <v>26.66</v>
      </c>
      <c r="G2694" s="1120">
        <v>25.42</v>
      </c>
      <c r="H2694" s="1127">
        <v>1.23</v>
      </c>
      <c r="I2694" s="1127">
        <v>0.0</v>
      </c>
      <c r="J2694" s="1127">
        <v>0.01</v>
      </c>
      <c r="K2694" s="1124"/>
    </row>
    <row r="2695" ht="15.75" customHeight="1">
      <c r="A2695" s="1119">
        <v>104472.0</v>
      </c>
      <c r="B2695" s="1125" t="s">
        <v>12973</v>
      </c>
      <c r="C2695" s="1126" t="s">
        <v>3606</v>
      </c>
      <c r="D2695" s="1119">
        <v>44.58</v>
      </c>
      <c r="E2695" s="1120">
        <v>5.16</v>
      </c>
      <c r="F2695" s="1121">
        <f t="shared" si="1"/>
        <v>39.4</v>
      </c>
      <c r="G2695" s="1120">
        <v>36.29</v>
      </c>
      <c r="H2695" s="1127">
        <v>3.07</v>
      </c>
      <c r="I2695" s="1127">
        <v>0.0</v>
      </c>
      <c r="J2695" s="1127">
        <v>0.04</v>
      </c>
      <c r="K2695" s="1124"/>
    </row>
    <row r="2696" ht="15.75" customHeight="1">
      <c r="A2696" s="1119">
        <v>104483.0</v>
      </c>
      <c r="B2696" s="1125" t="s">
        <v>12974</v>
      </c>
      <c r="C2696" s="1126" t="s">
        <v>2178</v>
      </c>
      <c r="D2696" s="1128">
        <v>2183.47</v>
      </c>
      <c r="E2696" s="1120">
        <v>471.88</v>
      </c>
      <c r="F2696" s="1121">
        <f t="shared" si="1"/>
        <v>1711.74</v>
      </c>
      <c r="G2696" s="1120">
        <v>1593.46</v>
      </c>
      <c r="H2696" s="1127">
        <v>118.25</v>
      </c>
      <c r="I2696" s="1127">
        <v>0.0</v>
      </c>
      <c r="J2696" s="1127">
        <v>0.03</v>
      </c>
      <c r="K2696" s="1124"/>
    </row>
    <row r="2697" ht="15.75" customHeight="1">
      <c r="A2697" s="1119">
        <v>104484.0</v>
      </c>
      <c r="B2697" s="1125" t="s">
        <v>12975</v>
      </c>
      <c r="C2697" s="1126" t="s">
        <v>2178</v>
      </c>
      <c r="D2697" s="1128">
        <v>3818.19</v>
      </c>
      <c r="E2697" s="1120">
        <v>1280.22</v>
      </c>
      <c r="F2697" s="1121">
        <f t="shared" si="1"/>
        <v>2538.13</v>
      </c>
      <c r="G2697" s="1120">
        <v>2440.75</v>
      </c>
      <c r="H2697" s="1127">
        <v>96.72</v>
      </c>
      <c r="I2697" s="1127">
        <v>0.0</v>
      </c>
      <c r="J2697" s="1127">
        <v>0.66</v>
      </c>
      <c r="K2697" s="1124"/>
    </row>
    <row r="2698" ht="15.75" customHeight="1">
      <c r="A2698" s="1119">
        <v>104485.0</v>
      </c>
      <c r="B2698" s="1125" t="s">
        <v>12976</v>
      </c>
      <c r="C2698" s="1126" t="s">
        <v>2178</v>
      </c>
      <c r="D2698" s="1128">
        <v>2954.63</v>
      </c>
      <c r="E2698" s="1120">
        <v>829.92</v>
      </c>
      <c r="F2698" s="1121">
        <f t="shared" si="1"/>
        <v>2125.02</v>
      </c>
      <c r="G2698" s="1120">
        <v>2019.28</v>
      </c>
      <c r="H2698" s="1127">
        <v>105.59</v>
      </c>
      <c r="I2698" s="1127">
        <v>0.0</v>
      </c>
      <c r="J2698" s="1127">
        <v>0.15</v>
      </c>
      <c r="K2698" s="1124"/>
    </row>
    <row r="2699" ht="15.75" customHeight="1">
      <c r="A2699" s="1119">
        <v>104486.0</v>
      </c>
      <c r="B2699" s="1125" t="s">
        <v>12977</v>
      </c>
      <c r="C2699" s="1126" t="s">
        <v>2178</v>
      </c>
      <c r="D2699" s="1128">
        <v>3193.26</v>
      </c>
      <c r="E2699" s="1120">
        <v>948.43</v>
      </c>
      <c r="F2699" s="1121">
        <f t="shared" si="1"/>
        <v>2244.96</v>
      </c>
      <c r="G2699" s="1120">
        <v>2186.36</v>
      </c>
      <c r="H2699" s="1127">
        <v>58.07</v>
      </c>
      <c r="I2699" s="1127">
        <v>0.0</v>
      </c>
      <c r="J2699" s="1127">
        <v>0.53</v>
      </c>
      <c r="K2699" s="1124"/>
    </row>
    <row r="2700" ht="15.75" customHeight="1">
      <c r="A2700" s="1119">
        <v>104487.0</v>
      </c>
      <c r="B2700" s="1125" t="s">
        <v>12978</v>
      </c>
      <c r="C2700" s="1126" t="s">
        <v>2178</v>
      </c>
      <c r="D2700" s="1128">
        <v>2551.08</v>
      </c>
      <c r="E2700" s="1120">
        <v>651.19</v>
      </c>
      <c r="F2700" s="1121">
        <f t="shared" si="1"/>
        <v>1900.13</v>
      </c>
      <c r="G2700" s="1120">
        <v>1843.0</v>
      </c>
      <c r="H2700" s="1127">
        <v>57.03</v>
      </c>
      <c r="I2700" s="1127">
        <v>0.0</v>
      </c>
      <c r="J2700" s="1127">
        <v>0.1</v>
      </c>
      <c r="K2700" s="1124"/>
    </row>
    <row r="2701" ht="15.75" customHeight="1">
      <c r="A2701" s="1119">
        <v>104488.0</v>
      </c>
      <c r="B2701" s="1125" t="s">
        <v>12979</v>
      </c>
      <c r="C2701" s="1126" t="s">
        <v>2178</v>
      </c>
      <c r="D2701" s="1128">
        <v>2439.32</v>
      </c>
      <c r="E2701" s="1120">
        <v>509.12</v>
      </c>
      <c r="F2701" s="1121">
        <f t="shared" si="1"/>
        <v>1930.12</v>
      </c>
      <c r="G2701" s="1120">
        <v>1886.25</v>
      </c>
      <c r="H2701" s="1127">
        <v>43.77</v>
      </c>
      <c r="I2701" s="1127">
        <v>0.0</v>
      </c>
      <c r="J2701" s="1127">
        <v>0.1</v>
      </c>
      <c r="K2701" s="1124"/>
    </row>
    <row r="2702" ht="15.75" customHeight="1">
      <c r="A2702" s="1119">
        <v>104489.0</v>
      </c>
      <c r="B2702" s="1125" t="s">
        <v>12980</v>
      </c>
      <c r="C2702" s="1126" t="s">
        <v>2178</v>
      </c>
      <c r="D2702" s="1128">
        <v>3993.84</v>
      </c>
      <c r="E2702" s="1120">
        <v>1398.32</v>
      </c>
      <c r="F2702" s="1121">
        <f t="shared" si="1"/>
        <v>2595.69</v>
      </c>
      <c r="G2702" s="1120">
        <v>2339.78</v>
      </c>
      <c r="H2702" s="1127">
        <v>255.6</v>
      </c>
      <c r="I2702" s="1127">
        <v>0.0</v>
      </c>
      <c r="J2702" s="1127">
        <v>0.31</v>
      </c>
      <c r="K2702" s="1124"/>
    </row>
    <row r="2703" ht="15.75" customHeight="1">
      <c r="A2703" s="1119">
        <v>104490.0</v>
      </c>
      <c r="B2703" s="1125" t="s">
        <v>12981</v>
      </c>
      <c r="C2703" s="1126" t="s">
        <v>2178</v>
      </c>
      <c r="D2703" s="1128">
        <v>2380.5</v>
      </c>
      <c r="E2703" s="1120">
        <v>488.77</v>
      </c>
      <c r="F2703" s="1121">
        <f t="shared" si="1"/>
        <v>1891.84</v>
      </c>
      <c r="G2703" s="1120">
        <v>1823.92</v>
      </c>
      <c r="H2703" s="1127">
        <v>67.86</v>
      </c>
      <c r="I2703" s="1127">
        <v>0.0</v>
      </c>
      <c r="J2703" s="1127">
        <v>0.06</v>
      </c>
      <c r="K2703" s="1124"/>
    </row>
    <row r="2704" ht="15.75" customHeight="1">
      <c r="A2704" s="1119">
        <v>98560.0</v>
      </c>
      <c r="B2704" s="1125" t="s">
        <v>12982</v>
      </c>
      <c r="C2704" s="1126" t="s">
        <v>1814</v>
      </c>
      <c r="D2704" s="1119">
        <v>54.91</v>
      </c>
      <c r="E2704" s="1120">
        <v>29.53</v>
      </c>
      <c r="F2704" s="1121">
        <f t="shared" si="1"/>
        <v>25.39</v>
      </c>
      <c r="G2704" s="1120">
        <v>25.35</v>
      </c>
      <c r="H2704" s="1127">
        <v>0.02</v>
      </c>
      <c r="I2704" s="1127">
        <v>0.0</v>
      </c>
      <c r="J2704" s="1127">
        <v>0.02</v>
      </c>
      <c r="K2704" s="1124"/>
    </row>
    <row r="2705" ht="15.75" customHeight="1">
      <c r="A2705" s="1119">
        <v>98561.0</v>
      </c>
      <c r="B2705" s="1125" t="s">
        <v>12983</v>
      </c>
      <c r="C2705" s="1126" t="s">
        <v>1814</v>
      </c>
      <c r="D2705" s="1119">
        <v>48.83</v>
      </c>
      <c r="E2705" s="1120">
        <v>26.82</v>
      </c>
      <c r="F2705" s="1121">
        <f t="shared" si="1"/>
        <v>22</v>
      </c>
      <c r="G2705" s="1120">
        <v>21.96</v>
      </c>
      <c r="H2705" s="1127">
        <v>0.02</v>
      </c>
      <c r="I2705" s="1127">
        <v>0.0</v>
      </c>
      <c r="J2705" s="1127">
        <v>0.02</v>
      </c>
      <c r="K2705" s="1124"/>
    </row>
    <row r="2706" ht="15.75" customHeight="1">
      <c r="A2706" s="1119">
        <v>98562.0</v>
      </c>
      <c r="B2706" s="1125" t="s">
        <v>12984</v>
      </c>
      <c r="C2706" s="1126" t="s">
        <v>1814</v>
      </c>
      <c r="D2706" s="1119">
        <v>47.66</v>
      </c>
      <c r="E2706" s="1120">
        <v>22.6</v>
      </c>
      <c r="F2706" s="1121">
        <f t="shared" si="1"/>
        <v>25.06</v>
      </c>
      <c r="G2706" s="1120">
        <v>25.02</v>
      </c>
      <c r="H2706" s="1127">
        <v>0.02</v>
      </c>
      <c r="I2706" s="1127">
        <v>0.0</v>
      </c>
      <c r="J2706" s="1127">
        <v>0.02</v>
      </c>
      <c r="K2706" s="1124"/>
    </row>
    <row r="2707" ht="15.75" customHeight="1">
      <c r="A2707" s="1119">
        <v>98555.0</v>
      </c>
      <c r="B2707" s="1125" t="s">
        <v>12985</v>
      </c>
      <c r="C2707" s="1126" t="s">
        <v>1814</v>
      </c>
      <c r="D2707" s="1119">
        <v>30.4</v>
      </c>
      <c r="E2707" s="1120">
        <v>15.16</v>
      </c>
      <c r="F2707" s="1121">
        <f t="shared" si="1"/>
        <v>15.23</v>
      </c>
      <c r="G2707" s="1120">
        <v>15.23</v>
      </c>
      <c r="H2707" s="1127">
        <v>0.0</v>
      </c>
      <c r="I2707" s="1127">
        <v>0.0</v>
      </c>
      <c r="J2707" s="1127">
        <v>0.0</v>
      </c>
      <c r="K2707" s="1124"/>
    </row>
    <row r="2708" ht="15.75" customHeight="1">
      <c r="A2708" s="1119">
        <v>98556.0</v>
      </c>
      <c r="B2708" s="1125" t="s">
        <v>12986</v>
      </c>
      <c r="C2708" s="1126" t="s">
        <v>1814</v>
      </c>
      <c r="D2708" s="1119">
        <v>56.94</v>
      </c>
      <c r="E2708" s="1120">
        <v>25.06</v>
      </c>
      <c r="F2708" s="1121">
        <f t="shared" si="1"/>
        <v>31.87</v>
      </c>
      <c r="G2708" s="1120">
        <v>31.87</v>
      </c>
      <c r="H2708" s="1127">
        <v>0.0</v>
      </c>
      <c r="I2708" s="1127">
        <v>0.0</v>
      </c>
      <c r="J2708" s="1127">
        <v>0.0</v>
      </c>
      <c r="K2708" s="1124"/>
    </row>
    <row r="2709" ht="15.75" customHeight="1">
      <c r="A2709" s="1119">
        <v>98558.0</v>
      </c>
      <c r="B2709" s="1125" t="s">
        <v>12987</v>
      </c>
      <c r="C2709" s="1126" t="s">
        <v>1788</v>
      </c>
      <c r="D2709" s="1119">
        <v>8.66</v>
      </c>
      <c r="E2709" s="1120">
        <v>3.4</v>
      </c>
      <c r="F2709" s="1121">
        <f t="shared" si="1"/>
        <v>5.26</v>
      </c>
      <c r="G2709" s="1120">
        <v>5.26</v>
      </c>
      <c r="H2709" s="1127">
        <v>0.0</v>
      </c>
      <c r="I2709" s="1127">
        <v>0.0</v>
      </c>
      <c r="J2709" s="1127">
        <v>0.0</v>
      </c>
      <c r="K2709" s="1124"/>
    </row>
    <row r="2710" ht="15.75" customHeight="1">
      <c r="A2710" s="1119">
        <v>98559.0</v>
      </c>
      <c r="B2710" s="1125" t="s">
        <v>12988</v>
      </c>
      <c r="C2710" s="1126" t="s">
        <v>1731</v>
      </c>
      <c r="D2710" s="1119">
        <v>5.2</v>
      </c>
      <c r="E2710" s="1120">
        <v>1.63</v>
      </c>
      <c r="F2710" s="1121">
        <f t="shared" si="1"/>
        <v>3.58</v>
      </c>
      <c r="G2710" s="1120">
        <v>3.58</v>
      </c>
      <c r="H2710" s="1127">
        <v>0.0</v>
      </c>
      <c r="I2710" s="1127">
        <v>0.0</v>
      </c>
      <c r="J2710" s="1127">
        <v>0.0</v>
      </c>
      <c r="K2710" s="1124"/>
    </row>
    <row r="2711" ht="15.75" customHeight="1">
      <c r="A2711" s="1119">
        <v>98546.0</v>
      </c>
      <c r="B2711" s="1125" t="s">
        <v>12989</v>
      </c>
      <c r="C2711" s="1126" t="s">
        <v>1814</v>
      </c>
      <c r="D2711" s="1119">
        <v>109.57</v>
      </c>
      <c r="E2711" s="1120">
        <v>26.98</v>
      </c>
      <c r="F2711" s="1121">
        <f t="shared" si="1"/>
        <v>82.61</v>
      </c>
      <c r="G2711" s="1120">
        <v>82.61</v>
      </c>
      <c r="H2711" s="1127">
        <v>0.0</v>
      </c>
      <c r="I2711" s="1127">
        <v>0.0</v>
      </c>
      <c r="J2711" s="1127">
        <v>0.0</v>
      </c>
      <c r="K2711" s="1124"/>
    </row>
    <row r="2712" ht="15.75" customHeight="1">
      <c r="A2712" s="1119">
        <v>98547.0</v>
      </c>
      <c r="B2712" s="1125" t="s">
        <v>12990</v>
      </c>
      <c r="C2712" s="1126" t="s">
        <v>1814</v>
      </c>
      <c r="D2712" s="1119">
        <v>206.72</v>
      </c>
      <c r="E2712" s="1120">
        <v>39.12</v>
      </c>
      <c r="F2712" s="1121">
        <f t="shared" si="1"/>
        <v>167.61</v>
      </c>
      <c r="G2712" s="1120">
        <v>167.61</v>
      </c>
      <c r="H2712" s="1127">
        <v>0.0</v>
      </c>
      <c r="I2712" s="1127">
        <v>0.0</v>
      </c>
      <c r="J2712" s="1127">
        <v>0.0</v>
      </c>
      <c r="K2712" s="1124"/>
    </row>
    <row r="2713" ht="15.75" customHeight="1">
      <c r="A2713" s="1119">
        <v>98553.0</v>
      </c>
      <c r="B2713" s="1125" t="s">
        <v>12991</v>
      </c>
      <c r="C2713" s="1126" t="s">
        <v>1814</v>
      </c>
      <c r="D2713" s="1119">
        <v>134.3</v>
      </c>
      <c r="E2713" s="1120">
        <v>13.53</v>
      </c>
      <c r="F2713" s="1121">
        <f t="shared" si="1"/>
        <v>120.78</v>
      </c>
      <c r="G2713" s="1120">
        <v>120.78</v>
      </c>
      <c r="H2713" s="1127">
        <v>0.0</v>
      </c>
      <c r="I2713" s="1127">
        <v>0.0</v>
      </c>
      <c r="J2713" s="1127">
        <v>0.0</v>
      </c>
      <c r="K2713" s="1124"/>
    </row>
    <row r="2714" ht="15.75" customHeight="1">
      <c r="A2714" s="1119">
        <v>98554.0</v>
      </c>
      <c r="B2714" s="1125" t="s">
        <v>12992</v>
      </c>
      <c r="C2714" s="1126" t="s">
        <v>1814</v>
      </c>
      <c r="D2714" s="1119">
        <v>48.91</v>
      </c>
      <c r="E2714" s="1120">
        <v>16.45</v>
      </c>
      <c r="F2714" s="1121">
        <f t="shared" si="1"/>
        <v>32.46</v>
      </c>
      <c r="G2714" s="1120">
        <v>32.46</v>
      </c>
      <c r="H2714" s="1127">
        <v>0.0</v>
      </c>
      <c r="I2714" s="1127">
        <v>0.0</v>
      </c>
      <c r="J2714" s="1127">
        <v>0.0</v>
      </c>
      <c r="K2714" s="1124"/>
    </row>
    <row r="2715" ht="15.75" customHeight="1">
      <c r="A2715" s="1119">
        <v>98557.0</v>
      </c>
      <c r="B2715" s="1125" t="s">
        <v>12993</v>
      </c>
      <c r="C2715" s="1126" t="s">
        <v>1814</v>
      </c>
      <c r="D2715" s="1119">
        <v>44.09</v>
      </c>
      <c r="E2715" s="1120">
        <v>12.0</v>
      </c>
      <c r="F2715" s="1121">
        <f t="shared" si="1"/>
        <v>32.1</v>
      </c>
      <c r="G2715" s="1120">
        <v>32.1</v>
      </c>
      <c r="H2715" s="1127">
        <v>0.0</v>
      </c>
      <c r="I2715" s="1127">
        <v>0.0</v>
      </c>
      <c r="J2715" s="1127">
        <v>0.0</v>
      </c>
      <c r="K2715" s="1124"/>
    </row>
    <row r="2716" ht="15.75" customHeight="1">
      <c r="A2716" s="1119">
        <v>98563.0</v>
      </c>
      <c r="B2716" s="1125" t="s">
        <v>12994</v>
      </c>
      <c r="C2716" s="1126" t="s">
        <v>1814</v>
      </c>
      <c r="D2716" s="1119">
        <v>38.65</v>
      </c>
      <c r="E2716" s="1120">
        <v>16.89</v>
      </c>
      <c r="F2716" s="1121">
        <f t="shared" si="1"/>
        <v>21.76</v>
      </c>
      <c r="G2716" s="1120">
        <v>21.76</v>
      </c>
      <c r="H2716" s="1127">
        <v>0.0</v>
      </c>
      <c r="I2716" s="1127">
        <v>0.0</v>
      </c>
      <c r="J2716" s="1127">
        <v>0.0</v>
      </c>
      <c r="K2716" s="1124"/>
    </row>
    <row r="2717" ht="15.75" customHeight="1">
      <c r="A2717" s="1119">
        <v>98564.0</v>
      </c>
      <c r="B2717" s="1125" t="s">
        <v>12995</v>
      </c>
      <c r="C2717" s="1126" t="s">
        <v>1814</v>
      </c>
      <c r="D2717" s="1119">
        <v>53.6</v>
      </c>
      <c r="E2717" s="1120">
        <v>18.23</v>
      </c>
      <c r="F2717" s="1121">
        <f t="shared" si="1"/>
        <v>35.35</v>
      </c>
      <c r="G2717" s="1120">
        <v>35.35</v>
      </c>
      <c r="H2717" s="1127">
        <v>0.0</v>
      </c>
      <c r="I2717" s="1127">
        <v>0.0</v>
      </c>
      <c r="J2717" s="1127">
        <v>0.0</v>
      </c>
      <c r="K2717" s="1124"/>
    </row>
    <row r="2718" ht="15.75" customHeight="1">
      <c r="A2718" s="1119">
        <v>98565.0</v>
      </c>
      <c r="B2718" s="1125" t="s">
        <v>12996</v>
      </c>
      <c r="C2718" s="1126" t="s">
        <v>1814</v>
      </c>
      <c r="D2718" s="1119">
        <v>55.92</v>
      </c>
      <c r="E2718" s="1120">
        <v>25.7</v>
      </c>
      <c r="F2718" s="1121">
        <f t="shared" si="1"/>
        <v>30.2</v>
      </c>
      <c r="G2718" s="1120">
        <v>30.2</v>
      </c>
      <c r="H2718" s="1127">
        <v>0.0</v>
      </c>
      <c r="I2718" s="1127">
        <v>0.0</v>
      </c>
      <c r="J2718" s="1127">
        <v>0.0</v>
      </c>
      <c r="K2718" s="1124"/>
    </row>
    <row r="2719" ht="15.75" customHeight="1">
      <c r="A2719" s="1119">
        <v>98566.0</v>
      </c>
      <c r="B2719" s="1125" t="s">
        <v>12997</v>
      </c>
      <c r="C2719" s="1126" t="s">
        <v>1814</v>
      </c>
      <c r="D2719" s="1119">
        <v>70.85</v>
      </c>
      <c r="E2719" s="1120">
        <v>27.03</v>
      </c>
      <c r="F2719" s="1121">
        <f t="shared" si="1"/>
        <v>43.81</v>
      </c>
      <c r="G2719" s="1120">
        <v>43.81</v>
      </c>
      <c r="H2719" s="1127">
        <v>0.0</v>
      </c>
      <c r="I2719" s="1127">
        <v>0.0</v>
      </c>
      <c r="J2719" s="1127">
        <v>0.0</v>
      </c>
      <c r="K2719" s="1124"/>
    </row>
    <row r="2720" ht="15.75" customHeight="1">
      <c r="A2720" s="1119">
        <v>98567.0</v>
      </c>
      <c r="B2720" s="1125" t="s">
        <v>12998</v>
      </c>
      <c r="C2720" s="1126" t="s">
        <v>1814</v>
      </c>
      <c r="D2720" s="1119">
        <v>72.38</v>
      </c>
      <c r="E2720" s="1120">
        <v>34.31</v>
      </c>
      <c r="F2720" s="1121">
        <f t="shared" si="1"/>
        <v>38.07</v>
      </c>
      <c r="G2720" s="1120">
        <v>38.07</v>
      </c>
      <c r="H2720" s="1127">
        <v>0.0</v>
      </c>
      <c r="I2720" s="1127">
        <v>0.0</v>
      </c>
      <c r="J2720" s="1127">
        <v>0.0</v>
      </c>
      <c r="K2720" s="1124"/>
    </row>
    <row r="2721" ht="15.75" customHeight="1">
      <c r="A2721" s="1119">
        <v>98568.0</v>
      </c>
      <c r="B2721" s="1125" t="s">
        <v>12999</v>
      </c>
      <c r="C2721" s="1126" t="s">
        <v>1814</v>
      </c>
      <c r="D2721" s="1119">
        <v>87.28</v>
      </c>
      <c r="E2721" s="1120">
        <v>35.61</v>
      </c>
      <c r="F2721" s="1121">
        <f t="shared" si="1"/>
        <v>51.66</v>
      </c>
      <c r="G2721" s="1120">
        <v>51.66</v>
      </c>
      <c r="H2721" s="1127">
        <v>0.0</v>
      </c>
      <c r="I2721" s="1127">
        <v>0.0</v>
      </c>
      <c r="J2721" s="1127">
        <v>0.0</v>
      </c>
      <c r="K2721" s="1124"/>
    </row>
    <row r="2722" ht="15.75" customHeight="1">
      <c r="A2722" s="1119">
        <v>98569.0</v>
      </c>
      <c r="B2722" s="1125" t="s">
        <v>13000</v>
      </c>
      <c r="C2722" s="1126" t="s">
        <v>1814</v>
      </c>
      <c r="D2722" s="1119">
        <v>89.6</v>
      </c>
      <c r="E2722" s="1120">
        <v>43.08</v>
      </c>
      <c r="F2722" s="1121">
        <f t="shared" si="1"/>
        <v>46.53</v>
      </c>
      <c r="G2722" s="1120">
        <v>46.53</v>
      </c>
      <c r="H2722" s="1127">
        <v>0.0</v>
      </c>
      <c r="I2722" s="1127">
        <v>0.0</v>
      </c>
      <c r="J2722" s="1127">
        <v>0.0</v>
      </c>
      <c r="K2722" s="1124"/>
    </row>
    <row r="2723" ht="15.75" customHeight="1">
      <c r="A2723" s="1119">
        <v>98570.0</v>
      </c>
      <c r="B2723" s="1125" t="s">
        <v>13001</v>
      </c>
      <c r="C2723" s="1126" t="s">
        <v>1814</v>
      </c>
      <c r="D2723" s="1119">
        <v>104.56</v>
      </c>
      <c r="E2723" s="1120">
        <v>44.42</v>
      </c>
      <c r="F2723" s="1121">
        <f t="shared" si="1"/>
        <v>60.15</v>
      </c>
      <c r="G2723" s="1120">
        <v>60.15</v>
      </c>
      <c r="H2723" s="1127">
        <v>0.0</v>
      </c>
      <c r="I2723" s="1127">
        <v>0.0</v>
      </c>
      <c r="J2723" s="1127">
        <v>0.0</v>
      </c>
      <c r="K2723" s="1124"/>
    </row>
    <row r="2724" ht="15.75" customHeight="1">
      <c r="A2724" s="1119">
        <v>98571.0</v>
      </c>
      <c r="B2724" s="1125" t="s">
        <v>13002</v>
      </c>
      <c r="C2724" s="1126" t="s">
        <v>1814</v>
      </c>
      <c r="D2724" s="1119">
        <v>43.45</v>
      </c>
      <c r="E2724" s="1120">
        <v>17.97</v>
      </c>
      <c r="F2724" s="1121">
        <f t="shared" si="1"/>
        <v>25.47</v>
      </c>
      <c r="G2724" s="1120">
        <v>25.47</v>
      </c>
      <c r="H2724" s="1127">
        <v>0.0</v>
      </c>
      <c r="I2724" s="1127">
        <v>0.0</v>
      </c>
      <c r="J2724" s="1127">
        <v>0.0</v>
      </c>
      <c r="K2724" s="1124"/>
    </row>
    <row r="2725" ht="15.75" customHeight="1">
      <c r="A2725" s="1119">
        <v>98572.0</v>
      </c>
      <c r="B2725" s="1125" t="s">
        <v>13003</v>
      </c>
      <c r="C2725" s="1126" t="s">
        <v>1814</v>
      </c>
      <c r="D2725" s="1119">
        <v>53.68</v>
      </c>
      <c r="E2725" s="1120">
        <v>22.71</v>
      </c>
      <c r="F2725" s="1121">
        <f t="shared" si="1"/>
        <v>30.97</v>
      </c>
      <c r="G2725" s="1120">
        <v>30.97</v>
      </c>
      <c r="H2725" s="1127">
        <v>0.0</v>
      </c>
      <c r="I2725" s="1127">
        <v>0.0</v>
      </c>
      <c r="J2725" s="1127">
        <v>0.0</v>
      </c>
      <c r="K2725" s="1124"/>
    </row>
    <row r="2726" ht="15.75" customHeight="1">
      <c r="A2726" s="1119">
        <v>98573.0</v>
      </c>
      <c r="B2726" s="1125" t="s">
        <v>13004</v>
      </c>
      <c r="C2726" s="1126" t="s">
        <v>1814</v>
      </c>
      <c r="D2726" s="1119">
        <v>68.11</v>
      </c>
      <c r="E2726" s="1120">
        <v>23.67</v>
      </c>
      <c r="F2726" s="1121">
        <f t="shared" si="1"/>
        <v>44.45</v>
      </c>
      <c r="G2726" s="1120">
        <v>44.45</v>
      </c>
      <c r="H2726" s="1127">
        <v>0.0</v>
      </c>
      <c r="I2726" s="1127">
        <v>0.0</v>
      </c>
      <c r="J2726" s="1127">
        <v>0.0</v>
      </c>
      <c r="K2726" s="1124"/>
    </row>
    <row r="2727" ht="15.75" customHeight="1">
      <c r="A2727" s="1119">
        <v>91831.0</v>
      </c>
      <c r="B2727" s="1125" t="s">
        <v>13005</v>
      </c>
      <c r="C2727" s="1126" t="s">
        <v>1731</v>
      </c>
      <c r="D2727" s="1119">
        <v>12.18</v>
      </c>
      <c r="E2727" s="1120">
        <v>5.45</v>
      </c>
      <c r="F2727" s="1121">
        <f t="shared" si="1"/>
        <v>6.74</v>
      </c>
      <c r="G2727" s="1120">
        <v>6.74</v>
      </c>
      <c r="H2727" s="1127">
        <v>0.0</v>
      </c>
      <c r="I2727" s="1127">
        <v>0.0</v>
      </c>
      <c r="J2727" s="1127">
        <v>0.0</v>
      </c>
      <c r="K2727" s="1124"/>
    </row>
    <row r="2728" ht="15.75" customHeight="1">
      <c r="A2728" s="1119">
        <v>91833.0</v>
      </c>
      <c r="B2728" s="1125" t="s">
        <v>13006</v>
      </c>
      <c r="C2728" s="1126" t="s">
        <v>1731</v>
      </c>
      <c r="D2728" s="1119">
        <v>12.94</v>
      </c>
      <c r="E2728" s="1120">
        <v>5.44</v>
      </c>
      <c r="F2728" s="1121">
        <f t="shared" si="1"/>
        <v>7.5</v>
      </c>
      <c r="G2728" s="1120">
        <v>7.5</v>
      </c>
      <c r="H2728" s="1127">
        <v>0.0</v>
      </c>
      <c r="I2728" s="1127">
        <v>0.0</v>
      </c>
      <c r="J2728" s="1127">
        <v>0.0</v>
      </c>
      <c r="K2728" s="1124"/>
    </row>
    <row r="2729" ht="15.75" customHeight="1">
      <c r="A2729" s="1119">
        <v>91834.0</v>
      </c>
      <c r="B2729" s="1125" t="s">
        <v>13007</v>
      </c>
      <c r="C2729" s="1126" t="s">
        <v>1731</v>
      </c>
      <c r="D2729" s="1119">
        <v>13.13</v>
      </c>
      <c r="E2729" s="1120">
        <v>5.94</v>
      </c>
      <c r="F2729" s="1121">
        <f t="shared" si="1"/>
        <v>7.2</v>
      </c>
      <c r="G2729" s="1120">
        <v>7.2</v>
      </c>
      <c r="H2729" s="1127">
        <v>0.0</v>
      </c>
      <c r="I2729" s="1127">
        <v>0.0</v>
      </c>
      <c r="J2729" s="1127">
        <v>0.0</v>
      </c>
      <c r="K2729" s="1124"/>
    </row>
    <row r="2730" ht="15.75" customHeight="1">
      <c r="A2730" s="1119">
        <v>91835.0</v>
      </c>
      <c r="B2730" s="1125" t="s">
        <v>13008</v>
      </c>
      <c r="C2730" s="1126" t="s">
        <v>1731</v>
      </c>
      <c r="D2730" s="1119">
        <v>15.08</v>
      </c>
      <c r="E2730" s="1120">
        <v>5.93</v>
      </c>
      <c r="F2730" s="1121">
        <f t="shared" si="1"/>
        <v>9.16</v>
      </c>
      <c r="G2730" s="1120">
        <v>9.16</v>
      </c>
      <c r="H2730" s="1127">
        <v>0.0</v>
      </c>
      <c r="I2730" s="1127">
        <v>0.0</v>
      </c>
      <c r="J2730" s="1127">
        <v>0.0</v>
      </c>
      <c r="K2730" s="1124"/>
    </row>
    <row r="2731" ht="15.75" customHeight="1">
      <c r="A2731" s="1119">
        <v>91836.0</v>
      </c>
      <c r="B2731" s="1125" t="s">
        <v>13009</v>
      </c>
      <c r="C2731" s="1126" t="s">
        <v>1731</v>
      </c>
      <c r="D2731" s="1119">
        <v>16.62</v>
      </c>
      <c r="E2731" s="1120">
        <v>6.55</v>
      </c>
      <c r="F2731" s="1121">
        <f t="shared" si="1"/>
        <v>10.07</v>
      </c>
      <c r="G2731" s="1120">
        <v>10.07</v>
      </c>
      <c r="H2731" s="1127">
        <v>0.0</v>
      </c>
      <c r="I2731" s="1127">
        <v>0.0</v>
      </c>
      <c r="J2731" s="1127">
        <v>0.0</v>
      </c>
      <c r="K2731" s="1124"/>
    </row>
    <row r="2732" ht="15.75" customHeight="1">
      <c r="A2732" s="1119">
        <v>91837.0</v>
      </c>
      <c r="B2732" s="1125" t="s">
        <v>13010</v>
      </c>
      <c r="C2732" s="1126" t="s">
        <v>1731</v>
      </c>
      <c r="D2732" s="1119">
        <v>21.19</v>
      </c>
      <c r="E2732" s="1120">
        <v>6.54</v>
      </c>
      <c r="F2732" s="1121">
        <f t="shared" si="1"/>
        <v>14.65</v>
      </c>
      <c r="G2732" s="1120">
        <v>14.65</v>
      </c>
      <c r="H2732" s="1127">
        <v>0.0</v>
      </c>
      <c r="I2732" s="1127">
        <v>0.0</v>
      </c>
      <c r="J2732" s="1127">
        <v>0.0</v>
      </c>
      <c r="K2732" s="1124"/>
    </row>
    <row r="2733" ht="15.75" customHeight="1">
      <c r="A2733" s="1119">
        <v>91839.0</v>
      </c>
      <c r="B2733" s="1125" t="s">
        <v>13011</v>
      </c>
      <c r="C2733" s="1126" t="s">
        <v>1731</v>
      </c>
      <c r="D2733" s="1119">
        <v>12.84</v>
      </c>
      <c r="E2733" s="1120">
        <v>6.58</v>
      </c>
      <c r="F2733" s="1121">
        <f t="shared" si="1"/>
        <v>6.27</v>
      </c>
      <c r="G2733" s="1120">
        <v>6.27</v>
      </c>
      <c r="H2733" s="1127">
        <v>0.0</v>
      </c>
      <c r="I2733" s="1127">
        <v>0.0</v>
      </c>
      <c r="J2733" s="1127">
        <v>0.0</v>
      </c>
      <c r="K2733" s="1124"/>
    </row>
    <row r="2734" ht="15.75" customHeight="1">
      <c r="A2734" s="1119">
        <v>91840.0</v>
      </c>
      <c r="B2734" s="1125" t="s">
        <v>13012</v>
      </c>
      <c r="C2734" s="1126" t="s">
        <v>1731</v>
      </c>
      <c r="D2734" s="1119">
        <v>15.28</v>
      </c>
      <c r="E2734" s="1120">
        <v>7.36</v>
      </c>
      <c r="F2734" s="1121">
        <f t="shared" si="1"/>
        <v>7.93</v>
      </c>
      <c r="G2734" s="1120">
        <v>7.93</v>
      </c>
      <c r="H2734" s="1127">
        <v>0.0</v>
      </c>
      <c r="I2734" s="1127">
        <v>0.0</v>
      </c>
      <c r="J2734" s="1127">
        <v>0.0</v>
      </c>
      <c r="K2734" s="1124"/>
    </row>
    <row r="2735" ht="15.75" customHeight="1">
      <c r="A2735" s="1119">
        <v>91841.0</v>
      </c>
      <c r="B2735" s="1125" t="s">
        <v>13013</v>
      </c>
      <c r="C2735" s="1126" t="s">
        <v>1731</v>
      </c>
      <c r="D2735" s="1119">
        <v>14.67</v>
      </c>
      <c r="E2735" s="1120">
        <v>7.37</v>
      </c>
      <c r="F2735" s="1121">
        <f t="shared" si="1"/>
        <v>7.32</v>
      </c>
      <c r="G2735" s="1120">
        <v>7.32</v>
      </c>
      <c r="H2735" s="1127">
        <v>0.0</v>
      </c>
      <c r="I2735" s="1127">
        <v>0.0</v>
      </c>
      <c r="J2735" s="1127">
        <v>0.0</v>
      </c>
      <c r="K2735" s="1124"/>
    </row>
    <row r="2736" ht="15.75" customHeight="1">
      <c r="A2736" s="1119">
        <v>91842.0</v>
      </c>
      <c r="B2736" s="1125" t="s">
        <v>13014</v>
      </c>
      <c r="C2736" s="1126" t="s">
        <v>1731</v>
      </c>
      <c r="D2736" s="1119">
        <v>7.14</v>
      </c>
      <c r="E2736" s="1120">
        <v>2.7</v>
      </c>
      <c r="F2736" s="1121">
        <f t="shared" si="1"/>
        <v>4.43</v>
      </c>
      <c r="G2736" s="1120">
        <v>4.43</v>
      </c>
      <c r="H2736" s="1127">
        <v>0.0</v>
      </c>
      <c r="I2736" s="1127">
        <v>0.0</v>
      </c>
      <c r="J2736" s="1127">
        <v>0.0</v>
      </c>
      <c r="K2736" s="1124"/>
    </row>
    <row r="2737" ht="15.75" customHeight="1">
      <c r="A2737" s="1119">
        <v>91843.0</v>
      </c>
      <c r="B2737" s="1125" t="s">
        <v>13015</v>
      </c>
      <c r="C2737" s="1126" t="s">
        <v>1731</v>
      </c>
      <c r="D2737" s="1119">
        <v>7.9</v>
      </c>
      <c r="E2737" s="1120">
        <v>2.7</v>
      </c>
      <c r="F2737" s="1121">
        <f t="shared" si="1"/>
        <v>5.2</v>
      </c>
      <c r="G2737" s="1120">
        <v>5.2</v>
      </c>
      <c r="H2737" s="1127">
        <v>0.0</v>
      </c>
      <c r="I2737" s="1127">
        <v>0.0</v>
      </c>
      <c r="J2737" s="1127">
        <v>0.0</v>
      </c>
      <c r="K2737" s="1124"/>
    </row>
    <row r="2738" ht="15.75" customHeight="1">
      <c r="A2738" s="1119">
        <v>91844.0</v>
      </c>
      <c r="B2738" s="1125" t="s">
        <v>13016</v>
      </c>
      <c r="C2738" s="1126" t="s">
        <v>1731</v>
      </c>
      <c r="D2738" s="1119">
        <v>8.03</v>
      </c>
      <c r="E2738" s="1120">
        <v>3.14</v>
      </c>
      <c r="F2738" s="1121">
        <f t="shared" si="1"/>
        <v>4.9</v>
      </c>
      <c r="G2738" s="1120">
        <v>4.9</v>
      </c>
      <c r="H2738" s="1127">
        <v>0.0</v>
      </c>
      <c r="I2738" s="1127">
        <v>0.0</v>
      </c>
      <c r="J2738" s="1127">
        <v>0.0</v>
      </c>
      <c r="K2738" s="1124"/>
    </row>
    <row r="2739" ht="15.75" customHeight="1">
      <c r="A2739" s="1119">
        <v>91845.0</v>
      </c>
      <c r="B2739" s="1125" t="s">
        <v>13017</v>
      </c>
      <c r="C2739" s="1126" t="s">
        <v>1731</v>
      </c>
      <c r="D2739" s="1119">
        <v>9.98</v>
      </c>
      <c r="E2739" s="1120">
        <v>3.14</v>
      </c>
      <c r="F2739" s="1121">
        <f t="shared" si="1"/>
        <v>6.85</v>
      </c>
      <c r="G2739" s="1120">
        <v>6.85</v>
      </c>
      <c r="H2739" s="1127">
        <v>0.0</v>
      </c>
      <c r="I2739" s="1127">
        <v>0.0</v>
      </c>
      <c r="J2739" s="1127">
        <v>0.0</v>
      </c>
      <c r="K2739" s="1124"/>
    </row>
    <row r="2740" ht="15.75" customHeight="1">
      <c r="A2740" s="1119">
        <v>91846.0</v>
      </c>
      <c r="B2740" s="1125" t="s">
        <v>13018</v>
      </c>
      <c r="C2740" s="1126" t="s">
        <v>1731</v>
      </c>
      <c r="D2740" s="1119">
        <v>11.59</v>
      </c>
      <c r="E2740" s="1120">
        <v>3.81</v>
      </c>
      <c r="F2740" s="1121">
        <f t="shared" si="1"/>
        <v>7.78</v>
      </c>
      <c r="G2740" s="1120">
        <v>7.78</v>
      </c>
      <c r="H2740" s="1127">
        <v>0.0</v>
      </c>
      <c r="I2740" s="1127">
        <v>0.0</v>
      </c>
      <c r="J2740" s="1127">
        <v>0.0</v>
      </c>
      <c r="K2740" s="1124"/>
    </row>
    <row r="2741" ht="15.75" customHeight="1">
      <c r="A2741" s="1119">
        <v>91847.0</v>
      </c>
      <c r="B2741" s="1125" t="s">
        <v>13019</v>
      </c>
      <c r="C2741" s="1126" t="s">
        <v>1731</v>
      </c>
      <c r="D2741" s="1119">
        <v>16.16</v>
      </c>
      <c r="E2741" s="1120">
        <v>3.8</v>
      </c>
      <c r="F2741" s="1121">
        <f t="shared" si="1"/>
        <v>12.36</v>
      </c>
      <c r="G2741" s="1120">
        <v>12.36</v>
      </c>
      <c r="H2741" s="1127">
        <v>0.0</v>
      </c>
      <c r="I2741" s="1127">
        <v>0.0</v>
      </c>
      <c r="J2741" s="1127">
        <v>0.0</v>
      </c>
      <c r="K2741" s="1124"/>
    </row>
    <row r="2742" ht="15.75" customHeight="1">
      <c r="A2742" s="1119">
        <v>91849.0</v>
      </c>
      <c r="B2742" s="1125" t="s">
        <v>13020</v>
      </c>
      <c r="C2742" s="1126" t="s">
        <v>1731</v>
      </c>
      <c r="D2742" s="1119">
        <v>7.81</v>
      </c>
      <c r="E2742" s="1120">
        <v>3.82</v>
      </c>
      <c r="F2742" s="1121">
        <f t="shared" si="1"/>
        <v>3.99</v>
      </c>
      <c r="G2742" s="1120">
        <v>3.99</v>
      </c>
      <c r="H2742" s="1127">
        <v>0.0</v>
      </c>
      <c r="I2742" s="1127">
        <v>0.0</v>
      </c>
      <c r="J2742" s="1127">
        <v>0.0</v>
      </c>
      <c r="K2742" s="1124"/>
    </row>
    <row r="2743" ht="15.75" customHeight="1">
      <c r="A2743" s="1119">
        <v>91850.0</v>
      </c>
      <c r="B2743" s="1125" t="s">
        <v>13021</v>
      </c>
      <c r="C2743" s="1126" t="s">
        <v>1731</v>
      </c>
      <c r="D2743" s="1119">
        <v>10.2</v>
      </c>
      <c r="E2743" s="1120">
        <v>4.58</v>
      </c>
      <c r="F2743" s="1121">
        <f t="shared" si="1"/>
        <v>5.62</v>
      </c>
      <c r="G2743" s="1120">
        <v>5.62</v>
      </c>
      <c r="H2743" s="1127">
        <v>0.0</v>
      </c>
      <c r="I2743" s="1127">
        <v>0.0</v>
      </c>
      <c r="J2743" s="1127">
        <v>0.0</v>
      </c>
      <c r="K2743" s="1124"/>
    </row>
    <row r="2744" ht="15.75" customHeight="1">
      <c r="A2744" s="1119">
        <v>91851.0</v>
      </c>
      <c r="B2744" s="1125" t="s">
        <v>13022</v>
      </c>
      <c r="C2744" s="1126" t="s">
        <v>1731</v>
      </c>
      <c r="D2744" s="1119">
        <v>9.59</v>
      </c>
      <c r="E2744" s="1120">
        <v>4.58</v>
      </c>
      <c r="F2744" s="1121">
        <f t="shared" si="1"/>
        <v>5.01</v>
      </c>
      <c r="G2744" s="1120">
        <v>5.01</v>
      </c>
      <c r="H2744" s="1127">
        <v>0.0</v>
      </c>
      <c r="I2744" s="1127">
        <v>0.0</v>
      </c>
      <c r="J2744" s="1127">
        <v>0.0</v>
      </c>
      <c r="K2744" s="1124"/>
    </row>
    <row r="2745" ht="15.75" customHeight="1">
      <c r="A2745" s="1119">
        <v>91852.0</v>
      </c>
      <c r="B2745" s="1125" t="s">
        <v>13023</v>
      </c>
      <c r="C2745" s="1126" t="s">
        <v>1731</v>
      </c>
      <c r="D2745" s="1119">
        <v>10.62</v>
      </c>
      <c r="E2745" s="1120">
        <v>5.52</v>
      </c>
      <c r="F2745" s="1121">
        <f t="shared" si="1"/>
        <v>5.11</v>
      </c>
      <c r="G2745" s="1120">
        <v>5.11</v>
      </c>
      <c r="H2745" s="1127">
        <v>0.0</v>
      </c>
      <c r="I2745" s="1127">
        <v>0.0</v>
      </c>
      <c r="J2745" s="1127">
        <v>0.0</v>
      </c>
      <c r="K2745" s="1124"/>
    </row>
    <row r="2746" ht="15.75" customHeight="1">
      <c r="A2746" s="1119">
        <v>91853.0</v>
      </c>
      <c r="B2746" s="1125" t="s">
        <v>13024</v>
      </c>
      <c r="C2746" s="1126" t="s">
        <v>1731</v>
      </c>
      <c r="D2746" s="1119">
        <v>11.32</v>
      </c>
      <c r="E2746" s="1120">
        <v>5.5</v>
      </c>
      <c r="F2746" s="1121">
        <f t="shared" si="1"/>
        <v>5.81</v>
      </c>
      <c r="G2746" s="1120">
        <v>5.81</v>
      </c>
      <c r="H2746" s="1127">
        <v>0.0</v>
      </c>
      <c r="I2746" s="1127">
        <v>0.0</v>
      </c>
      <c r="J2746" s="1127">
        <v>0.0</v>
      </c>
      <c r="K2746" s="1124"/>
    </row>
    <row r="2747" ht="15.75" customHeight="1">
      <c r="A2747" s="1119">
        <v>91854.0</v>
      </c>
      <c r="B2747" s="1125" t="s">
        <v>13025</v>
      </c>
      <c r="C2747" s="1126" t="s">
        <v>1731</v>
      </c>
      <c r="D2747" s="1119">
        <v>11.48</v>
      </c>
      <c r="E2747" s="1120">
        <v>5.96</v>
      </c>
      <c r="F2747" s="1121">
        <f t="shared" si="1"/>
        <v>5.54</v>
      </c>
      <c r="G2747" s="1120">
        <v>5.54</v>
      </c>
      <c r="H2747" s="1127">
        <v>0.0</v>
      </c>
      <c r="I2747" s="1127">
        <v>0.0</v>
      </c>
      <c r="J2747" s="1127">
        <v>0.0</v>
      </c>
      <c r="K2747" s="1124"/>
    </row>
    <row r="2748" ht="15.75" customHeight="1">
      <c r="A2748" s="1119">
        <v>91855.0</v>
      </c>
      <c r="B2748" s="1125" t="s">
        <v>13026</v>
      </c>
      <c r="C2748" s="1126" t="s">
        <v>1731</v>
      </c>
      <c r="D2748" s="1119">
        <v>13.29</v>
      </c>
      <c r="E2748" s="1120">
        <v>5.94</v>
      </c>
      <c r="F2748" s="1121">
        <f t="shared" si="1"/>
        <v>7.36</v>
      </c>
      <c r="G2748" s="1120">
        <v>7.36</v>
      </c>
      <c r="H2748" s="1127">
        <v>0.0</v>
      </c>
      <c r="I2748" s="1127">
        <v>0.0</v>
      </c>
      <c r="J2748" s="1127">
        <v>0.0</v>
      </c>
      <c r="K2748" s="1124"/>
    </row>
    <row r="2749" ht="15.75" customHeight="1">
      <c r="A2749" s="1119">
        <v>91856.0</v>
      </c>
      <c r="B2749" s="1125" t="s">
        <v>13027</v>
      </c>
      <c r="C2749" s="1126" t="s">
        <v>1731</v>
      </c>
      <c r="D2749" s="1119">
        <v>14.83</v>
      </c>
      <c r="E2749" s="1120">
        <v>6.62</v>
      </c>
      <c r="F2749" s="1121">
        <f t="shared" si="1"/>
        <v>8.21</v>
      </c>
      <c r="G2749" s="1120">
        <v>8.21</v>
      </c>
      <c r="H2749" s="1127">
        <v>0.0</v>
      </c>
      <c r="I2749" s="1127">
        <v>0.0</v>
      </c>
      <c r="J2749" s="1127">
        <v>0.0</v>
      </c>
      <c r="K2749" s="1124"/>
    </row>
    <row r="2750" ht="15.75" customHeight="1">
      <c r="A2750" s="1119">
        <v>91857.0</v>
      </c>
      <c r="B2750" s="1125" t="s">
        <v>13028</v>
      </c>
      <c r="C2750" s="1126" t="s">
        <v>1731</v>
      </c>
      <c r="D2750" s="1119">
        <v>19.06</v>
      </c>
      <c r="E2750" s="1120">
        <v>6.61</v>
      </c>
      <c r="F2750" s="1121">
        <f t="shared" si="1"/>
        <v>12.45</v>
      </c>
      <c r="G2750" s="1120">
        <v>12.45</v>
      </c>
      <c r="H2750" s="1127">
        <v>0.0</v>
      </c>
      <c r="I2750" s="1127">
        <v>0.0</v>
      </c>
      <c r="J2750" s="1127">
        <v>0.0</v>
      </c>
      <c r="K2750" s="1124"/>
    </row>
    <row r="2751" ht="15.75" customHeight="1">
      <c r="A2751" s="1119">
        <v>91859.0</v>
      </c>
      <c r="B2751" s="1125" t="s">
        <v>13029</v>
      </c>
      <c r="C2751" s="1126" t="s">
        <v>1731</v>
      </c>
      <c r="D2751" s="1119">
        <v>11.35</v>
      </c>
      <c r="E2751" s="1120">
        <v>6.64</v>
      </c>
      <c r="F2751" s="1121">
        <f t="shared" si="1"/>
        <v>4.71</v>
      </c>
      <c r="G2751" s="1120">
        <v>4.71</v>
      </c>
      <c r="H2751" s="1127">
        <v>0.0</v>
      </c>
      <c r="I2751" s="1127">
        <v>0.0</v>
      </c>
      <c r="J2751" s="1127">
        <v>0.0</v>
      </c>
      <c r="K2751" s="1124"/>
    </row>
    <row r="2752" ht="15.75" customHeight="1">
      <c r="A2752" s="1119">
        <v>91860.0</v>
      </c>
      <c r="B2752" s="1125" t="s">
        <v>13030</v>
      </c>
      <c r="C2752" s="1126" t="s">
        <v>1731</v>
      </c>
      <c r="D2752" s="1119">
        <v>13.62</v>
      </c>
      <c r="E2752" s="1120">
        <v>7.37</v>
      </c>
      <c r="F2752" s="1121">
        <f t="shared" si="1"/>
        <v>6.24</v>
      </c>
      <c r="G2752" s="1120">
        <v>6.24</v>
      </c>
      <c r="H2752" s="1127">
        <v>0.0</v>
      </c>
      <c r="I2752" s="1127">
        <v>0.0</v>
      </c>
      <c r="J2752" s="1127">
        <v>0.0</v>
      </c>
      <c r="K2752" s="1124"/>
    </row>
    <row r="2753" ht="15.75" customHeight="1">
      <c r="A2753" s="1119">
        <v>91861.0</v>
      </c>
      <c r="B2753" s="1125" t="s">
        <v>13031</v>
      </c>
      <c r="C2753" s="1126" t="s">
        <v>1731</v>
      </c>
      <c r="D2753" s="1119">
        <v>13.06</v>
      </c>
      <c r="E2753" s="1120">
        <v>7.38</v>
      </c>
      <c r="F2753" s="1121">
        <f t="shared" si="1"/>
        <v>5.68</v>
      </c>
      <c r="G2753" s="1120">
        <v>5.68</v>
      </c>
      <c r="H2753" s="1127">
        <v>0.0</v>
      </c>
      <c r="I2753" s="1127">
        <v>0.0</v>
      </c>
      <c r="J2753" s="1127">
        <v>0.0</v>
      </c>
      <c r="K2753" s="1124"/>
    </row>
    <row r="2754" ht="15.75" customHeight="1">
      <c r="A2754" s="1119">
        <v>91862.0</v>
      </c>
      <c r="B2754" s="1125" t="s">
        <v>13032</v>
      </c>
      <c r="C2754" s="1126" t="s">
        <v>1731</v>
      </c>
      <c r="D2754" s="1119">
        <v>11.56</v>
      </c>
      <c r="E2754" s="1120">
        <v>4.66</v>
      </c>
      <c r="F2754" s="1121">
        <f t="shared" si="1"/>
        <v>6.91</v>
      </c>
      <c r="G2754" s="1120">
        <v>6.91</v>
      </c>
      <c r="H2754" s="1127">
        <v>0.0</v>
      </c>
      <c r="I2754" s="1127">
        <v>0.0</v>
      </c>
      <c r="J2754" s="1127">
        <v>0.0</v>
      </c>
      <c r="K2754" s="1124"/>
    </row>
    <row r="2755" ht="15.75" customHeight="1">
      <c r="A2755" s="1119">
        <v>91863.0</v>
      </c>
      <c r="B2755" s="1125" t="s">
        <v>13033</v>
      </c>
      <c r="C2755" s="1126" t="s">
        <v>1731</v>
      </c>
      <c r="D2755" s="1119">
        <v>13.7</v>
      </c>
      <c r="E2755" s="1120">
        <v>5.27</v>
      </c>
      <c r="F2755" s="1121">
        <f t="shared" si="1"/>
        <v>8.42</v>
      </c>
      <c r="G2755" s="1120">
        <v>8.42</v>
      </c>
      <c r="H2755" s="1127">
        <v>0.0</v>
      </c>
      <c r="I2755" s="1127">
        <v>0.0</v>
      </c>
      <c r="J2755" s="1127">
        <v>0.0</v>
      </c>
      <c r="K2755" s="1124"/>
    </row>
    <row r="2756" ht="15.75" customHeight="1">
      <c r="A2756" s="1119">
        <v>91864.0</v>
      </c>
      <c r="B2756" s="1125" t="s">
        <v>13034</v>
      </c>
      <c r="C2756" s="1126" t="s">
        <v>1731</v>
      </c>
      <c r="D2756" s="1119">
        <v>18.61</v>
      </c>
      <c r="E2756" s="1120">
        <v>6.17</v>
      </c>
      <c r="F2756" s="1121">
        <f t="shared" si="1"/>
        <v>12.43</v>
      </c>
      <c r="G2756" s="1120">
        <v>12.43</v>
      </c>
      <c r="H2756" s="1127">
        <v>0.0</v>
      </c>
      <c r="I2756" s="1127">
        <v>0.0</v>
      </c>
      <c r="J2756" s="1127">
        <v>0.0</v>
      </c>
      <c r="K2756" s="1124"/>
    </row>
    <row r="2757" ht="15.75" customHeight="1">
      <c r="A2757" s="1119">
        <v>91865.0</v>
      </c>
      <c r="B2757" s="1125" t="s">
        <v>13035</v>
      </c>
      <c r="C2757" s="1126" t="s">
        <v>1731</v>
      </c>
      <c r="D2757" s="1119">
        <v>23.38</v>
      </c>
      <c r="E2757" s="1120">
        <v>7.18</v>
      </c>
      <c r="F2757" s="1121">
        <f t="shared" si="1"/>
        <v>16.2</v>
      </c>
      <c r="G2757" s="1120">
        <v>16.2</v>
      </c>
      <c r="H2757" s="1127">
        <v>0.0</v>
      </c>
      <c r="I2757" s="1127">
        <v>0.0</v>
      </c>
      <c r="J2757" s="1127">
        <v>0.0</v>
      </c>
      <c r="K2757" s="1124"/>
    </row>
    <row r="2758" ht="15.75" customHeight="1">
      <c r="A2758" s="1119">
        <v>91866.0</v>
      </c>
      <c r="B2758" s="1125" t="s">
        <v>13036</v>
      </c>
      <c r="C2758" s="1126" t="s">
        <v>1731</v>
      </c>
      <c r="D2758" s="1119">
        <v>10.1</v>
      </c>
      <c r="E2758" s="1120">
        <v>3.54</v>
      </c>
      <c r="F2758" s="1121">
        <f t="shared" si="1"/>
        <v>6.56</v>
      </c>
      <c r="G2758" s="1120">
        <v>6.56</v>
      </c>
      <c r="H2758" s="1127">
        <v>0.0</v>
      </c>
      <c r="I2758" s="1127">
        <v>0.0</v>
      </c>
      <c r="J2758" s="1127">
        <v>0.0</v>
      </c>
      <c r="K2758" s="1124"/>
    </row>
    <row r="2759" ht="15.75" customHeight="1">
      <c r="A2759" s="1119">
        <v>91867.0</v>
      </c>
      <c r="B2759" s="1125" t="s">
        <v>13037</v>
      </c>
      <c r="C2759" s="1126" t="s">
        <v>1731</v>
      </c>
      <c r="D2759" s="1119">
        <v>12.23</v>
      </c>
      <c r="E2759" s="1120">
        <v>4.16</v>
      </c>
      <c r="F2759" s="1121">
        <f t="shared" si="1"/>
        <v>8.08</v>
      </c>
      <c r="G2759" s="1120">
        <v>8.08</v>
      </c>
      <c r="H2759" s="1127">
        <v>0.0</v>
      </c>
      <c r="I2759" s="1127">
        <v>0.0</v>
      </c>
      <c r="J2759" s="1127">
        <v>0.0</v>
      </c>
      <c r="K2759" s="1124"/>
    </row>
    <row r="2760" ht="15.75" customHeight="1">
      <c r="A2760" s="1119">
        <v>91868.0</v>
      </c>
      <c r="B2760" s="1125" t="s">
        <v>13038</v>
      </c>
      <c r="C2760" s="1126" t="s">
        <v>1731</v>
      </c>
      <c r="D2760" s="1119">
        <v>17.15</v>
      </c>
      <c r="E2760" s="1120">
        <v>5.05</v>
      </c>
      <c r="F2760" s="1121">
        <f t="shared" si="1"/>
        <v>12.1</v>
      </c>
      <c r="G2760" s="1120">
        <v>12.1</v>
      </c>
      <c r="H2760" s="1127">
        <v>0.0</v>
      </c>
      <c r="I2760" s="1127">
        <v>0.0</v>
      </c>
      <c r="J2760" s="1127">
        <v>0.0</v>
      </c>
      <c r="K2760" s="1124"/>
    </row>
    <row r="2761" ht="15.75" customHeight="1">
      <c r="A2761" s="1119">
        <v>91869.0</v>
      </c>
      <c r="B2761" s="1125" t="s">
        <v>13039</v>
      </c>
      <c r="C2761" s="1126" t="s">
        <v>1731</v>
      </c>
      <c r="D2761" s="1119">
        <v>21.89</v>
      </c>
      <c r="E2761" s="1120">
        <v>6.02</v>
      </c>
      <c r="F2761" s="1121">
        <f t="shared" si="1"/>
        <v>15.86</v>
      </c>
      <c r="G2761" s="1120">
        <v>15.86</v>
      </c>
      <c r="H2761" s="1127">
        <v>0.0</v>
      </c>
      <c r="I2761" s="1127">
        <v>0.0</v>
      </c>
      <c r="J2761" s="1127">
        <v>0.0</v>
      </c>
      <c r="K2761" s="1124"/>
    </row>
    <row r="2762" ht="15.75" customHeight="1">
      <c r="A2762" s="1119">
        <v>91870.0</v>
      </c>
      <c r="B2762" s="1125" t="s">
        <v>13040</v>
      </c>
      <c r="C2762" s="1126" t="s">
        <v>1731</v>
      </c>
      <c r="D2762" s="1119">
        <v>15.05</v>
      </c>
      <c r="E2762" s="1120">
        <v>7.22</v>
      </c>
      <c r="F2762" s="1121">
        <f t="shared" si="1"/>
        <v>7.82</v>
      </c>
      <c r="G2762" s="1120">
        <v>7.82</v>
      </c>
      <c r="H2762" s="1127">
        <v>0.0</v>
      </c>
      <c r="I2762" s="1127">
        <v>0.0</v>
      </c>
      <c r="J2762" s="1127">
        <v>0.0</v>
      </c>
      <c r="K2762" s="1124"/>
    </row>
    <row r="2763" ht="15.75" customHeight="1">
      <c r="A2763" s="1119">
        <v>91871.0</v>
      </c>
      <c r="B2763" s="1125" t="s">
        <v>13041</v>
      </c>
      <c r="C2763" s="1126" t="s">
        <v>1731</v>
      </c>
      <c r="D2763" s="1119">
        <v>17.17</v>
      </c>
      <c r="E2763" s="1120">
        <v>7.83</v>
      </c>
      <c r="F2763" s="1121">
        <f t="shared" si="1"/>
        <v>9.35</v>
      </c>
      <c r="G2763" s="1120">
        <v>9.35</v>
      </c>
      <c r="H2763" s="1127">
        <v>0.0</v>
      </c>
      <c r="I2763" s="1127">
        <v>0.0</v>
      </c>
      <c r="J2763" s="1127">
        <v>0.0</v>
      </c>
      <c r="K2763" s="1124"/>
    </row>
    <row r="2764" ht="15.75" customHeight="1">
      <c r="A2764" s="1119">
        <v>91872.0</v>
      </c>
      <c r="B2764" s="1125" t="s">
        <v>13042</v>
      </c>
      <c r="C2764" s="1126" t="s">
        <v>1731</v>
      </c>
      <c r="D2764" s="1119">
        <v>22.09</v>
      </c>
      <c r="E2764" s="1120">
        <v>8.74</v>
      </c>
      <c r="F2764" s="1121">
        <f t="shared" si="1"/>
        <v>13.35</v>
      </c>
      <c r="G2764" s="1120">
        <v>13.35</v>
      </c>
      <c r="H2764" s="1127">
        <v>0.0</v>
      </c>
      <c r="I2764" s="1127">
        <v>0.0</v>
      </c>
      <c r="J2764" s="1127">
        <v>0.0</v>
      </c>
      <c r="K2764" s="1124"/>
    </row>
    <row r="2765" ht="15.75" customHeight="1">
      <c r="A2765" s="1119">
        <v>91873.0</v>
      </c>
      <c r="B2765" s="1125" t="s">
        <v>13043</v>
      </c>
      <c r="C2765" s="1126" t="s">
        <v>1731</v>
      </c>
      <c r="D2765" s="1119">
        <v>26.8</v>
      </c>
      <c r="E2765" s="1120">
        <v>9.7</v>
      </c>
      <c r="F2765" s="1121">
        <f t="shared" si="1"/>
        <v>17.1</v>
      </c>
      <c r="G2765" s="1120">
        <v>17.1</v>
      </c>
      <c r="H2765" s="1127">
        <v>0.0</v>
      </c>
      <c r="I2765" s="1127">
        <v>0.0</v>
      </c>
      <c r="J2765" s="1127">
        <v>0.0</v>
      </c>
      <c r="K2765" s="1124"/>
    </row>
    <row r="2766" ht="15.75" customHeight="1">
      <c r="A2766" s="1119">
        <v>93008.0</v>
      </c>
      <c r="B2766" s="1125" t="s">
        <v>13044</v>
      </c>
      <c r="C2766" s="1126" t="s">
        <v>1731</v>
      </c>
      <c r="D2766" s="1119">
        <v>22.97</v>
      </c>
      <c r="E2766" s="1120">
        <v>4.96</v>
      </c>
      <c r="F2766" s="1121">
        <f t="shared" si="1"/>
        <v>18.01</v>
      </c>
      <c r="G2766" s="1120">
        <v>18.01</v>
      </c>
      <c r="H2766" s="1127">
        <v>0.0</v>
      </c>
      <c r="I2766" s="1127">
        <v>0.0</v>
      </c>
      <c r="J2766" s="1127">
        <v>0.0</v>
      </c>
      <c r="K2766" s="1124"/>
    </row>
    <row r="2767" ht="15.75" customHeight="1">
      <c r="A2767" s="1119">
        <v>93009.0</v>
      </c>
      <c r="B2767" s="1125" t="s">
        <v>13045</v>
      </c>
      <c r="C2767" s="1126" t="s">
        <v>1731</v>
      </c>
      <c r="D2767" s="1119">
        <v>34.3</v>
      </c>
      <c r="E2767" s="1120">
        <v>5.71</v>
      </c>
      <c r="F2767" s="1121">
        <f t="shared" si="1"/>
        <v>28.59</v>
      </c>
      <c r="G2767" s="1120">
        <v>28.59</v>
      </c>
      <c r="H2767" s="1127">
        <v>0.0</v>
      </c>
      <c r="I2767" s="1127">
        <v>0.0</v>
      </c>
      <c r="J2767" s="1127">
        <v>0.0</v>
      </c>
      <c r="K2767" s="1124"/>
    </row>
    <row r="2768" ht="15.75" customHeight="1">
      <c r="A2768" s="1119">
        <v>93010.0</v>
      </c>
      <c r="B2768" s="1125" t="s">
        <v>13046</v>
      </c>
      <c r="C2768" s="1126" t="s">
        <v>1731</v>
      </c>
      <c r="D2768" s="1119">
        <v>48.0</v>
      </c>
      <c r="E2768" s="1120">
        <v>6.81</v>
      </c>
      <c r="F2768" s="1121">
        <f t="shared" si="1"/>
        <v>41.18</v>
      </c>
      <c r="G2768" s="1120">
        <v>41.18</v>
      </c>
      <c r="H2768" s="1127">
        <v>0.0</v>
      </c>
      <c r="I2768" s="1127">
        <v>0.0</v>
      </c>
      <c r="J2768" s="1127">
        <v>0.0</v>
      </c>
      <c r="K2768" s="1124"/>
    </row>
    <row r="2769" ht="15.75" customHeight="1">
      <c r="A2769" s="1119">
        <v>93011.0</v>
      </c>
      <c r="B2769" s="1125" t="s">
        <v>13047</v>
      </c>
      <c r="C2769" s="1126" t="s">
        <v>1731</v>
      </c>
      <c r="D2769" s="1119">
        <v>58.84</v>
      </c>
      <c r="E2769" s="1120">
        <v>7.56</v>
      </c>
      <c r="F2769" s="1121">
        <f t="shared" si="1"/>
        <v>51.29</v>
      </c>
      <c r="G2769" s="1120">
        <v>51.29</v>
      </c>
      <c r="H2769" s="1127">
        <v>0.0</v>
      </c>
      <c r="I2769" s="1127">
        <v>0.0</v>
      </c>
      <c r="J2769" s="1127">
        <v>0.0</v>
      </c>
      <c r="K2769" s="1124"/>
    </row>
    <row r="2770" ht="15.75" customHeight="1">
      <c r="A2770" s="1119">
        <v>93012.0</v>
      </c>
      <c r="B2770" s="1125" t="s">
        <v>13048</v>
      </c>
      <c r="C2770" s="1126" t="s">
        <v>1731</v>
      </c>
      <c r="D2770" s="1119">
        <v>89.35</v>
      </c>
      <c r="E2770" s="1120">
        <v>9.42</v>
      </c>
      <c r="F2770" s="1121">
        <f t="shared" si="1"/>
        <v>79.93</v>
      </c>
      <c r="G2770" s="1120">
        <v>79.93</v>
      </c>
      <c r="H2770" s="1127">
        <v>0.0</v>
      </c>
      <c r="I2770" s="1127">
        <v>0.0</v>
      </c>
      <c r="J2770" s="1127">
        <v>0.0</v>
      </c>
      <c r="K2770" s="1124"/>
    </row>
    <row r="2771" ht="15.75" customHeight="1">
      <c r="A2771" s="1119">
        <v>95726.0</v>
      </c>
      <c r="B2771" s="1125" t="s">
        <v>13049</v>
      </c>
      <c r="C2771" s="1126" t="s">
        <v>1731</v>
      </c>
      <c r="D2771" s="1119">
        <v>10.95</v>
      </c>
      <c r="E2771" s="1120">
        <v>4.74</v>
      </c>
      <c r="F2771" s="1121">
        <f t="shared" si="1"/>
        <v>6.22</v>
      </c>
      <c r="G2771" s="1120">
        <v>6.22</v>
      </c>
      <c r="H2771" s="1127">
        <v>0.0</v>
      </c>
      <c r="I2771" s="1127">
        <v>0.0</v>
      </c>
      <c r="J2771" s="1127">
        <v>0.0</v>
      </c>
      <c r="K2771" s="1124"/>
    </row>
    <row r="2772" ht="15.75" customHeight="1">
      <c r="A2772" s="1119">
        <v>95727.0</v>
      </c>
      <c r="B2772" s="1125" t="s">
        <v>13050</v>
      </c>
      <c r="C2772" s="1126" t="s">
        <v>1731</v>
      </c>
      <c r="D2772" s="1119">
        <v>15.23</v>
      </c>
      <c r="E2772" s="1120">
        <v>7.32</v>
      </c>
      <c r="F2772" s="1121">
        <f t="shared" si="1"/>
        <v>7.91</v>
      </c>
      <c r="G2772" s="1120">
        <v>7.91</v>
      </c>
      <c r="H2772" s="1127">
        <v>0.0</v>
      </c>
      <c r="I2772" s="1127">
        <v>0.0</v>
      </c>
      <c r="J2772" s="1127">
        <v>0.0</v>
      </c>
      <c r="K2772" s="1124"/>
    </row>
    <row r="2773" ht="15.75" customHeight="1">
      <c r="A2773" s="1119">
        <v>95728.0</v>
      </c>
      <c r="B2773" s="1125" t="s">
        <v>13051</v>
      </c>
      <c r="C2773" s="1126" t="s">
        <v>1731</v>
      </c>
      <c r="D2773" s="1119">
        <v>22.25</v>
      </c>
      <c r="E2773" s="1120">
        <v>10.9</v>
      </c>
      <c r="F2773" s="1121">
        <f t="shared" si="1"/>
        <v>11.36</v>
      </c>
      <c r="G2773" s="1120">
        <v>11.36</v>
      </c>
      <c r="H2773" s="1127">
        <v>0.0</v>
      </c>
      <c r="I2773" s="1127">
        <v>0.0</v>
      </c>
      <c r="J2773" s="1127">
        <v>0.0</v>
      </c>
      <c r="K2773" s="1124"/>
    </row>
    <row r="2774" ht="15.75" customHeight="1">
      <c r="A2774" s="1119">
        <v>97667.0</v>
      </c>
      <c r="B2774" s="1125" t="s">
        <v>13052</v>
      </c>
      <c r="C2774" s="1126" t="s">
        <v>1731</v>
      </c>
      <c r="D2774" s="1119">
        <v>8.57</v>
      </c>
      <c r="E2774" s="1120">
        <v>2.98</v>
      </c>
      <c r="F2774" s="1121">
        <f t="shared" si="1"/>
        <v>5.6</v>
      </c>
      <c r="G2774" s="1120">
        <v>5.6</v>
      </c>
      <c r="H2774" s="1127">
        <v>0.0</v>
      </c>
      <c r="I2774" s="1127">
        <v>0.0</v>
      </c>
      <c r="J2774" s="1127">
        <v>0.0</v>
      </c>
      <c r="K2774" s="1124"/>
    </row>
    <row r="2775" ht="15.75" customHeight="1">
      <c r="A2775" s="1119">
        <v>97668.0</v>
      </c>
      <c r="B2775" s="1125" t="s">
        <v>13053</v>
      </c>
      <c r="C2775" s="1126" t="s">
        <v>1731</v>
      </c>
      <c r="D2775" s="1119">
        <v>12.2</v>
      </c>
      <c r="E2775" s="1120">
        <v>4.18</v>
      </c>
      <c r="F2775" s="1121">
        <f t="shared" si="1"/>
        <v>8.02</v>
      </c>
      <c r="G2775" s="1120">
        <v>8.02</v>
      </c>
      <c r="H2775" s="1127">
        <v>0.0</v>
      </c>
      <c r="I2775" s="1127">
        <v>0.0</v>
      </c>
      <c r="J2775" s="1127">
        <v>0.0</v>
      </c>
      <c r="K2775" s="1124"/>
    </row>
    <row r="2776" ht="15.75" customHeight="1">
      <c r="A2776" s="1119">
        <v>97669.0</v>
      </c>
      <c r="B2776" s="1125" t="s">
        <v>13054</v>
      </c>
      <c r="C2776" s="1126" t="s">
        <v>1731</v>
      </c>
      <c r="D2776" s="1119">
        <v>18.21</v>
      </c>
      <c r="E2776" s="1120">
        <v>6.69</v>
      </c>
      <c r="F2776" s="1121">
        <f t="shared" si="1"/>
        <v>11.52</v>
      </c>
      <c r="G2776" s="1120">
        <v>11.52</v>
      </c>
      <c r="H2776" s="1127">
        <v>0.0</v>
      </c>
      <c r="I2776" s="1127">
        <v>0.0</v>
      </c>
      <c r="J2776" s="1127">
        <v>0.0</v>
      </c>
      <c r="K2776" s="1124"/>
    </row>
    <row r="2777" ht="15.75" customHeight="1">
      <c r="A2777" s="1119">
        <v>97670.0</v>
      </c>
      <c r="B2777" s="1125" t="s">
        <v>13055</v>
      </c>
      <c r="C2777" s="1126" t="s">
        <v>1731</v>
      </c>
      <c r="D2777" s="1119">
        <v>23.1</v>
      </c>
      <c r="E2777" s="1120">
        <v>7.63</v>
      </c>
      <c r="F2777" s="1121">
        <f t="shared" si="1"/>
        <v>15.48</v>
      </c>
      <c r="G2777" s="1120">
        <v>15.48</v>
      </c>
      <c r="H2777" s="1127">
        <v>0.0</v>
      </c>
      <c r="I2777" s="1127">
        <v>0.0</v>
      </c>
      <c r="J2777" s="1127">
        <v>0.0</v>
      </c>
      <c r="K2777" s="1124"/>
    </row>
    <row r="2778" ht="15.75" customHeight="1">
      <c r="A2778" s="1119">
        <v>91874.0</v>
      </c>
      <c r="B2778" s="1125" t="s">
        <v>13056</v>
      </c>
      <c r="C2778" s="1126" t="s">
        <v>1788</v>
      </c>
      <c r="D2778" s="1119">
        <v>8.39</v>
      </c>
      <c r="E2778" s="1120">
        <v>5.4</v>
      </c>
      <c r="F2778" s="1121">
        <f t="shared" si="1"/>
        <v>2.99</v>
      </c>
      <c r="G2778" s="1120">
        <v>2.99</v>
      </c>
      <c r="H2778" s="1127">
        <v>0.0</v>
      </c>
      <c r="I2778" s="1127">
        <v>0.0</v>
      </c>
      <c r="J2778" s="1127">
        <v>0.0</v>
      </c>
      <c r="K2778" s="1124"/>
    </row>
    <row r="2779" ht="15.75" customHeight="1">
      <c r="A2779" s="1119">
        <v>91875.0</v>
      </c>
      <c r="B2779" s="1125" t="s">
        <v>13057</v>
      </c>
      <c r="C2779" s="1126" t="s">
        <v>1788</v>
      </c>
      <c r="D2779" s="1119">
        <v>9.89</v>
      </c>
      <c r="E2779" s="1120">
        <v>6.11</v>
      </c>
      <c r="F2779" s="1121">
        <f t="shared" si="1"/>
        <v>3.78</v>
      </c>
      <c r="G2779" s="1120">
        <v>3.78</v>
      </c>
      <c r="H2779" s="1127">
        <v>0.0</v>
      </c>
      <c r="I2779" s="1127">
        <v>0.0</v>
      </c>
      <c r="J2779" s="1127">
        <v>0.0</v>
      </c>
      <c r="K2779" s="1124"/>
    </row>
    <row r="2780" ht="15.75" customHeight="1">
      <c r="A2780" s="1119">
        <v>91876.0</v>
      </c>
      <c r="B2780" s="1125" t="s">
        <v>13058</v>
      </c>
      <c r="C2780" s="1126" t="s">
        <v>1788</v>
      </c>
      <c r="D2780" s="1119">
        <v>11.93</v>
      </c>
      <c r="E2780" s="1120">
        <v>7.11</v>
      </c>
      <c r="F2780" s="1121">
        <f t="shared" si="1"/>
        <v>4.83</v>
      </c>
      <c r="G2780" s="1120">
        <v>4.83</v>
      </c>
      <c r="H2780" s="1127">
        <v>0.0</v>
      </c>
      <c r="I2780" s="1127">
        <v>0.0</v>
      </c>
      <c r="J2780" s="1127">
        <v>0.0</v>
      </c>
      <c r="K2780" s="1124"/>
    </row>
    <row r="2781" ht="15.75" customHeight="1">
      <c r="A2781" s="1119">
        <v>91877.0</v>
      </c>
      <c r="B2781" s="1125" t="s">
        <v>13059</v>
      </c>
      <c r="C2781" s="1126" t="s">
        <v>1788</v>
      </c>
      <c r="D2781" s="1119">
        <v>14.79</v>
      </c>
      <c r="E2781" s="1120">
        <v>8.26</v>
      </c>
      <c r="F2781" s="1121">
        <f t="shared" si="1"/>
        <v>6.53</v>
      </c>
      <c r="G2781" s="1120">
        <v>6.53</v>
      </c>
      <c r="H2781" s="1127">
        <v>0.0</v>
      </c>
      <c r="I2781" s="1127">
        <v>0.0</v>
      </c>
      <c r="J2781" s="1127">
        <v>0.0</v>
      </c>
      <c r="K2781" s="1124"/>
    </row>
    <row r="2782" ht="15.75" customHeight="1">
      <c r="A2782" s="1119">
        <v>91878.0</v>
      </c>
      <c r="B2782" s="1125" t="s">
        <v>13060</v>
      </c>
      <c r="C2782" s="1126" t="s">
        <v>1788</v>
      </c>
      <c r="D2782" s="1119">
        <v>6.65</v>
      </c>
      <c r="E2782" s="1120">
        <v>4.12</v>
      </c>
      <c r="F2782" s="1121">
        <f t="shared" si="1"/>
        <v>2.54</v>
      </c>
      <c r="G2782" s="1120">
        <v>2.54</v>
      </c>
      <c r="H2782" s="1127">
        <v>0.0</v>
      </c>
      <c r="I2782" s="1127">
        <v>0.0</v>
      </c>
      <c r="J2782" s="1127">
        <v>0.0</v>
      </c>
      <c r="K2782" s="1124"/>
    </row>
    <row r="2783" ht="15.75" customHeight="1">
      <c r="A2783" s="1119">
        <v>91879.0</v>
      </c>
      <c r="B2783" s="1125" t="s">
        <v>13061</v>
      </c>
      <c r="C2783" s="1126" t="s">
        <v>1788</v>
      </c>
      <c r="D2783" s="1119">
        <v>8.15</v>
      </c>
      <c r="E2783" s="1120">
        <v>4.81</v>
      </c>
      <c r="F2783" s="1121">
        <f t="shared" si="1"/>
        <v>3.35</v>
      </c>
      <c r="G2783" s="1120">
        <v>3.35</v>
      </c>
      <c r="H2783" s="1127">
        <v>0.0</v>
      </c>
      <c r="I2783" s="1127">
        <v>0.0</v>
      </c>
      <c r="J2783" s="1127">
        <v>0.0</v>
      </c>
      <c r="K2783" s="1124"/>
    </row>
    <row r="2784" ht="15.75" customHeight="1">
      <c r="A2784" s="1119">
        <v>91880.0</v>
      </c>
      <c r="B2784" s="1125" t="s">
        <v>13062</v>
      </c>
      <c r="C2784" s="1126" t="s">
        <v>1788</v>
      </c>
      <c r="D2784" s="1119">
        <v>10.19</v>
      </c>
      <c r="E2784" s="1120">
        <v>5.84</v>
      </c>
      <c r="F2784" s="1121">
        <f t="shared" si="1"/>
        <v>4.36</v>
      </c>
      <c r="G2784" s="1120">
        <v>4.36</v>
      </c>
      <c r="H2784" s="1127">
        <v>0.0</v>
      </c>
      <c r="I2784" s="1127">
        <v>0.0</v>
      </c>
      <c r="J2784" s="1127">
        <v>0.0</v>
      </c>
      <c r="K2784" s="1124"/>
    </row>
    <row r="2785" ht="15.75" customHeight="1">
      <c r="A2785" s="1119">
        <v>91881.0</v>
      </c>
      <c r="B2785" s="1125" t="s">
        <v>13063</v>
      </c>
      <c r="C2785" s="1126" t="s">
        <v>1788</v>
      </c>
      <c r="D2785" s="1119">
        <v>13.05</v>
      </c>
      <c r="E2785" s="1120">
        <v>6.98</v>
      </c>
      <c r="F2785" s="1121">
        <f t="shared" si="1"/>
        <v>6.09</v>
      </c>
      <c r="G2785" s="1120">
        <v>6.09</v>
      </c>
      <c r="H2785" s="1127">
        <v>0.0</v>
      </c>
      <c r="I2785" s="1127">
        <v>0.0</v>
      </c>
      <c r="J2785" s="1127">
        <v>0.0</v>
      </c>
      <c r="K2785" s="1124"/>
    </row>
    <row r="2786" ht="15.75" customHeight="1">
      <c r="A2786" s="1119">
        <v>91882.0</v>
      </c>
      <c r="B2786" s="1125" t="s">
        <v>13064</v>
      </c>
      <c r="C2786" s="1126" t="s">
        <v>1788</v>
      </c>
      <c r="D2786" s="1119">
        <v>11.99</v>
      </c>
      <c r="E2786" s="1120">
        <v>8.06</v>
      </c>
      <c r="F2786" s="1121">
        <f t="shared" si="1"/>
        <v>3.94</v>
      </c>
      <c r="G2786" s="1120">
        <v>3.94</v>
      </c>
      <c r="H2786" s="1127">
        <v>0.0</v>
      </c>
      <c r="I2786" s="1127">
        <v>0.0</v>
      </c>
      <c r="J2786" s="1127">
        <v>0.0</v>
      </c>
      <c r="K2786" s="1124"/>
    </row>
    <row r="2787" ht="15.75" customHeight="1">
      <c r="A2787" s="1119">
        <v>91884.0</v>
      </c>
      <c r="B2787" s="1125" t="s">
        <v>13065</v>
      </c>
      <c r="C2787" s="1126" t="s">
        <v>1788</v>
      </c>
      <c r="D2787" s="1119">
        <v>13.5</v>
      </c>
      <c r="E2787" s="1120">
        <v>8.77</v>
      </c>
      <c r="F2787" s="1121">
        <f t="shared" si="1"/>
        <v>4.73</v>
      </c>
      <c r="G2787" s="1120">
        <v>4.73</v>
      </c>
      <c r="H2787" s="1127">
        <v>0.0</v>
      </c>
      <c r="I2787" s="1127">
        <v>0.0</v>
      </c>
      <c r="J2787" s="1127">
        <v>0.0</v>
      </c>
      <c r="K2787" s="1124"/>
    </row>
    <row r="2788" ht="15.75" customHeight="1">
      <c r="A2788" s="1119">
        <v>91885.0</v>
      </c>
      <c r="B2788" s="1125" t="s">
        <v>13066</v>
      </c>
      <c r="C2788" s="1126" t="s">
        <v>1788</v>
      </c>
      <c r="D2788" s="1119">
        <v>15.47</v>
      </c>
      <c r="E2788" s="1120">
        <v>9.74</v>
      </c>
      <c r="F2788" s="1121">
        <f t="shared" si="1"/>
        <v>5.74</v>
      </c>
      <c r="G2788" s="1120">
        <v>5.74</v>
      </c>
      <c r="H2788" s="1127">
        <v>0.0</v>
      </c>
      <c r="I2788" s="1127">
        <v>0.0</v>
      </c>
      <c r="J2788" s="1127">
        <v>0.0</v>
      </c>
      <c r="K2788" s="1124"/>
    </row>
    <row r="2789" ht="15.75" customHeight="1">
      <c r="A2789" s="1119">
        <v>91886.0</v>
      </c>
      <c r="B2789" s="1125" t="s">
        <v>13067</v>
      </c>
      <c r="C2789" s="1126" t="s">
        <v>1788</v>
      </c>
      <c r="D2789" s="1119">
        <v>18.27</v>
      </c>
      <c r="E2789" s="1120">
        <v>10.85</v>
      </c>
      <c r="F2789" s="1121">
        <f t="shared" si="1"/>
        <v>7.42</v>
      </c>
      <c r="G2789" s="1120">
        <v>7.42</v>
      </c>
      <c r="H2789" s="1127">
        <v>0.0</v>
      </c>
      <c r="I2789" s="1127">
        <v>0.0</v>
      </c>
      <c r="J2789" s="1127">
        <v>0.0</v>
      </c>
      <c r="K2789" s="1124"/>
    </row>
    <row r="2790" ht="15.75" customHeight="1">
      <c r="A2790" s="1119">
        <v>91887.0</v>
      </c>
      <c r="B2790" s="1125" t="s">
        <v>13068</v>
      </c>
      <c r="C2790" s="1126" t="s">
        <v>1788</v>
      </c>
      <c r="D2790" s="1119">
        <v>14.73</v>
      </c>
      <c r="E2790" s="1120">
        <v>8.1</v>
      </c>
      <c r="F2790" s="1121">
        <f t="shared" si="1"/>
        <v>6.64</v>
      </c>
      <c r="G2790" s="1120">
        <v>6.64</v>
      </c>
      <c r="H2790" s="1127">
        <v>0.0</v>
      </c>
      <c r="I2790" s="1127">
        <v>0.0</v>
      </c>
      <c r="J2790" s="1127">
        <v>0.0</v>
      </c>
      <c r="K2790" s="1124"/>
    </row>
    <row r="2791" ht="15.75" customHeight="1">
      <c r="A2791" s="1119">
        <v>91889.0</v>
      </c>
      <c r="B2791" s="1125" t="s">
        <v>13069</v>
      </c>
      <c r="C2791" s="1126" t="s">
        <v>1788</v>
      </c>
      <c r="D2791" s="1119">
        <v>14.32</v>
      </c>
      <c r="E2791" s="1120">
        <v>8.1</v>
      </c>
      <c r="F2791" s="1121">
        <f t="shared" si="1"/>
        <v>6.23</v>
      </c>
      <c r="G2791" s="1120">
        <v>6.23</v>
      </c>
      <c r="H2791" s="1127">
        <v>0.0</v>
      </c>
      <c r="I2791" s="1127">
        <v>0.0</v>
      </c>
      <c r="J2791" s="1127">
        <v>0.0</v>
      </c>
      <c r="K2791" s="1124"/>
    </row>
    <row r="2792" ht="15.75" customHeight="1">
      <c r="A2792" s="1119">
        <v>91890.0</v>
      </c>
      <c r="B2792" s="1125" t="s">
        <v>13070</v>
      </c>
      <c r="C2792" s="1126" t="s">
        <v>1788</v>
      </c>
      <c r="D2792" s="1119">
        <v>16.22</v>
      </c>
      <c r="E2792" s="1120">
        <v>9.14</v>
      </c>
      <c r="F2792" s="1121">
        <f t="shared" si="1"/>
        <v>7.08</v>
      </c>
      <c r="G2792" s="1120">
        <v>7.08</v>
      </c>
      <c r="H2792" s="1127">
        <v>0.0</v>
      </c>
      <c r="I2792" s="1127">
        <v>0.0</v>
      </c>
      <c r="J2792" s="1127">
        <v>0.0</v>
      </c>
      <c r="K2792" s="1124"/>
    </row>
    <row r="2793" ht="15.75" customHeight="1">
      <c r="A2793" s="1119">
        <v>91892.0</v>
      </c>
      <c r="B2793" s="1125" t="s">
        <v>13071</v>
      </c>
      <c r="C2793" s="1126" t="s">
        <v>1788</v>
      </c>
      <c r="D2793" s="1119">
        <v>18.99</v>
      </c>
      <c r="E2793" s="1120">
        <v>9.13</v>
      </c>
      <c r="F2793" s="1121">
        <f t="shared" si="1"/>
        <v>9.86</v>
      </c>
      <c r="G2793" s="1120">
        <v>9.86</v>
      </c>
      <c r="H2793" s="1127">
        <v>0.0</v>
      </c>
      <c r="I2793" s="1127">
        <v>0.0</v>
      </c>
      <c r="J2793" s="1127">
        <v>0.0</v>
      </c>
      <c r="K2793" s="1124"/>
    </row>
    <row r="2794" ht="15.75" customHeight="1">
      <c r="A2794" s="1119">
        <v>91893.0</v>
      </c>
      <c r="B2794" s="1125" t="s">
        <v>13072</v>
      </c>
      <c r="C2794" s="1126" t="s">
        <v>1788</v>
      </c>
      <c r="D2794" s="1119">
        <v>20.25</v>
      </c>
      <c r="E2794" s="1120">
        <v>10.66</v>
      </c>
      <c r="F2794" s="1121">
        <f t="shared" si="1"/>
        <v>9.61</v>
      </c>
      <c r="G2794" s="1120">
        <v>9.61</v>
      </c>
      <c r="H2794" s="1127">
        <v>0.0</v>
      </c>
      <c r="I2794" s="1127">
        <v>0.0</v>
      </c>
      <c r="J2794" s="1127">
        <v>0.0</v>
      </c>
      <c r="K2794" s="1124"/>
    </row>
    <row r="2795" ht="15.75" customHeight="1">
      <c r="A2795" s="1119">
        <v>91895.0</v>
      </c>
      <c r="B2795" s="1125" t="s">
        <v>13073</v>
      </c>
      <c r="C2795" s="1126" t="s">
        <v>1788</v>
      </c>
      <c r="D2795" s="1119">
        <v>23.07</v>
      </c>
      <c r="E2795" s="1120">
        <v>10.64</v>
      </c>
      <c r="F2795" s="1121">
        <f t="shared" si="1"/>
        <v>12.43</v>
      </c>
      <c r="G2795" s="1120">
        <v>12.43</v>
      </c>
      <c r="H2795" s="1127">
        <v>0.0</v>
      </c>
      <c r="I2795" s="1127">
        <v>0.0</v>
      </c>
      <c r="J2795" s="1127">
        <v>0.0</v>
      </c>
      <c r="K2795" s="1124"/>
    </row>
    <row r="2796" ht="15.75" customHeight="1">
      <c r="A2796" s="1119">
        <v>91896.0</v>
      </c>
      <c r="B2796" s="1125" t="s">
        <v>13074</v>
      </c>
      <c r="C2796" s="1126" t="s">
        <v>1788</v>
      </c>
      <c r="D2796" s="1119">
        <v>23.3</v>
      </c>
      <c r="E2796" s="1120">
        <v>12.36</v>
      </c>
      <c r="F2796" s="1121">
        <f t="shared" si="1"/>
        <v>10.96</v>
      </c>
      <c r="G2796" s="1120">
        <v>10.96</v>
      </c>
      <c r="H2796" s="1127">
        <v>0.0</v>
      </c>
      <c r="I2796" s="1127">
        <v>0.0</v>
      </c>
      <c r="J2796" s="1127">
        <v>0.0</v>
      </c>
      <c r="K2796" s="1124"/>
    </row>
    <row r="2797" ht="15.75" customHeight="1">
      <c r="A2797" s="1119">
        <v>91898.0</v>
      </c>
      <c r="B2797" s="1125" t="s">
        <v>13075</v>
      </c>
      <c r="C2797" s="1126" t="s">
        <v>1788</v>
      </c>
      <c r="D2797" s="1119">
        <v>26.31</v>
      </c>
      <c r="E2797" s="1120">
        <v>12.34</v>
      </c>
      <c r="F2797" s="1121">
        <f t="shared" si="1"/>
        <v>13.97</v>
      </c>
      <c r="G2797" s="1120">
        <v>13.97</v>
      </c>
      <c r="H2797" s="1127">
        <v>0.0</v>
      </c>
      <c r="I2797" s="1127">
        <v>0.0</v>
      </c>
      <c r="J2797" s="1127">
        <v>0.0</v>
      </c>
      <c r="K2797" s="1124"/>
    </row>
    <row r="2798" ht="15.75" customHeight="1">
      <c r="A2798" s="1119">
        <v>91899.0</v>
      </c>
      <c r="B2798" s="1125" t="s">
        <v>13076</v>
      </c>
      <c r="C2798" s="1126" t="s">
        <v>1788</v>
      </c>
      <c r="D2798" s="1119">
        <v>12.09</v>
      </c>
      <c r="E2798" s="1120">
        <v>6.15</v>
      </c>
      <c r="F2798" s="1121">
        <f t="shared" si="1"/>
        <v>5.95</v>
      </c>
      <c r="G2798" s="1120">
        <v>5.95</v>
      </c>
      <c r="H2798" s="1127">
        <v>0.0</v>
      </c>
      <c r="I2798" s="1127">
        <v>0.0</v>
      </c>
      <c r="J2798" s="1127">
        <v>0.0</v>
      </c>
      <c r="K2798" s="1124"/>
    </row>
    <row r="2799" ht="15.75" customHeight="1">
      <c r="A2799" s="1119">
        <v>91901.0</v>
      </c>
      <c r="B2799" s="1125" t="s">
        <v>13077</v>
      </c>
      <c r="C2799" s="1126" t="s">
        <v>1788</v>
      </c>
      <c r="D2799" s="1119">
        <v>11.68</v>
      </c>
      <c r="E2799" s="1120">
        <v>6.15</v>
      </c>
      <c r="F2799" s="1121">
        <f t="shared" si="1"/>
        <v>5.54</v>
      </c>
      <c r="G2799" s="1120">
        <v>5.54</v>
      </c>
      <c r="H2799" s="1127">
        <v>0.0</v>
      </c>
      <c r="I2799" s="1127">
        <v>0.0</v>
      </c>
      <c r="J2799" s="1127">
        <v>0.0</v>
      </c>
      <c r="K2799" s="1124"/>
    </row>
    <row r="2800" ht="15.75" customHeight="1">
      <c r="A2800" s="1119">
        <v>91902.0</v>
      </c>
      <c r="B2800" s="1125" t="s">
        <v>13078</v>
      </c>
      <c r="C2800" s="1126" t="s">
        <v>1788</v>
      </c>
      <c r="D2800" s="1119">
        <v>13.58</v>
      </c>
      <c r="E2800" s="1120">
        <v>7.2</v>
      </c>
      <c r="F2800" s="1121">
        <f t="shared" si="1"/>
        <v>6.39</v>
      </c>
      <c r="G2800" s="1120">
        <v>6.39</v>
      </c>
      <c r="H2800" s="1127">
        <v>0.0</v>
      </c>
      <c r="I2800" s="1127">
        <v>0.0</v>
      </c>
      <c r="J2800" s="1127">
        <v>0.0</v>
      </c>
      <c r="K2800" s="1124"/>
    </row>
    <row r="2801" ht="15.75" customHeight="1">
      <c r="A2801" s="1119">
        <v>91904.0</v>
      </c>
      <c r="B2801" s="1125" t="s">
        <v>13079</v>
      </c>
      <c r="C2801" s="1126" t="s">
        <v>1788</v>
      </c>
      <c r="D2801" s="1119">
        <v>16.35</v>
      </c>
      <c r="E2801" s="1120">
        <v>7.19</v>
      </c>
      <c r="F2801" s="1121">
        <f t="shared" si="1"/>
        <v>9.16</v>
      </c>
      <c r="G2801" s="1120">
        <v>9.16</v>
      </c>
      <c r="H2801" s="1127">
        <v>0.0</v>
      </c>
      <c r="I2801" s="1127">
        <v>0.0</v>
      </c>
      <c r="J2801" s="1127">
        <v>0.0</v>
      </c>
      <c r="K2801" s="1124"/>
    </row>
    <row r="2802" ht="15.75" customHeight="1">
      <c r="A2802" s="1119">
        <v>91905.0</v>
      </c>
      <c r="B2802" s="1125" t="s">
        <v>13080</v>
      </c>
      <c r="C2802" s="1126" t="s">
        <v>1788</v>
      </c>
      <c r="D2802" s="1119">
        <v>17.61</v>
      </c>
      <c r="E2802" s="1120">
        <v>8.69</v>
      </c>
      <c r="F2802" s="1121">
        <f t="shared" si="1"/>
        <v>8.92</v>
      </c>
      <c r="G2802" s="1120">
        <v>8.92</v>
      </c>
      <c r="H2802" s="1127">
        <v>0.0</v>
      </c>
      <c r="I2802" s="1127">
        <v>0.0</v>
      </c>
      <c r="J2802" s="1127">
        <v>0.0</v>
      </c>
      <c r="K2802" s="1124"/>
    </row>
    <row r="2803" ht="15.75" customHeight="1">
      <c r="A2803" s="1119">
        <v>91907.0</v>
      </c>
      <c r="B2803" s="1125" t="s">
        <v>13081</v>
      </c>
      <c r="C2803" s="1126" t="s">
        <v>1788</v>
      </c>
      <c r="D2803" s="1119">
        <v>20.43</v>
      </c>
      <c r="E2803" s="1120">
        <v>8.69</v>
      </c>
      <c r="F2803" s="1121">
        <f t="shared" si="1"/>
        <v>11.75</v>
      </c>
      <c r="G2803" s="1120">
        <v>11.75</v>
      </c>
      <c r="H2803" s="1127">
        <v>0.0</v>
      </c>
      <c r="I2803" s="1127">
        <v>0.0</v>
      </c>
      <c r="J2803" s="1127">
        <v>0.0</v>
      </c>
      <c r="K2803" s="1124"/>
    </row>
    <row r="2804" ht="15.75" customHeight="1">
      <c r="A2804" s="1119">
        <v>91908.0</v>
      </c>
      <c r="B2804" s="1125" t="s">
        <v>13082</v>
      </c>
      <c r="C2804" s="1126" t="s">
        <v>1788</v>
      </c>
      <c r="D2804" s="1119">
        <v>20.71</v>
      </c>
      <c r="E2804" s="1120">
        <v>10.43</v>
      </c>
      <c r="F2804" s="1121">
        <f t="shared" si="1"/>
        <v>10.3</v>
      </c>
      <c r="G2804" s="1120">
        <v>10.3</v>
      </c>
      <c r="H2804" s="1127">
        <v>0.0</v>
      </c>
      <c r="I2804" s="1127">
        <v>0.0</v>
      </c>
      <c r="J2804" s="1127">
        <v>0.0</v>
      </c>
      <c r="K2804" s="1124"/>
    </row>
    <row r="2805" ht="15.75" customHeight="1">
      <c r="A2805" s="1119">
        <v>91910.0</v>
      </c>
      <c r="B2805" s="1125" t="s">
        <v>13083</v>
      </c>
      <c r="C2805" s="1126" t="s">
        <v>1788</v>
      </c>
      <c r="D2805" s="1119">
        <v>23.72</v>
      </c>
      <c r="E2805" s="1120">
        <v>10.41</v>
      </c>
      <c r="F2805" s="1121">
        <f t="shared" si="1"/>
        <v>13.31</v>
      </c>
      <c r="G2805" s="1120">
        <v>13.31</v>
      </c>
      <c r="H2805" s="1127">
        <v>0.0</v>
      </c>
      <c r="I2805" s="1127">
        <v>0.0</v>
      </c>
      <c r="J2805" s="1127">
        <v>0.0</v>
      </c>
      <c r="K2805" s="1124"/>
    </row>
    <row r="2806" ht="15.75" customHeight="1">
      <c r="A2806" s="1119">
        <v>91911.0</v>
      </c>
      <c r="B2806" s="1125" t="s">
        <v>13084</v>
      </c>
      <c r="C2806" s="1126" t="s">
        <v>1788</v>
      </c>
      <c r="D2806" s="1119">
        <v>20.14</v>
      </c>
      <c r="E2806" s="1120">
        <v>12.06</v>
      </c>
      <c r="F2806" s="1121">
        <f t="shared" si="1"/>
        <v>8.07</v>
      </c>
      <c r="G2806" s="1120">
        <v>8.07</v>
      </c>
      <c r="H2806" s="1127">
        <v>0.0</v>
      </c>
      <c r="I2806" s="1127">
        <v>0.0</v>
      </c>
      <c r="J2806" s="1127">
        <v>0.0</v>
      </c>
      <c r="K2806" s="1124"/>
    </row>
    <row r="2807" ht="15.75" customHeight="1">
      <c r="A2807" s="1119">
        <v>91913.0</v>
      </c>
      <c r="B2807" s="1125" t="s">
        <v>13085</v>
      </c>
      <c r="C2807" s="1126" t="s">
        <v>1788</v>
      </c>
      <c r="D2807" s="1119">
        <v>19.73</v>
      </c>
      <c r="E2807" s="1120">
        <v>12.06</v>
      </c>
      <c r="F2807" s="1121">
        <f t="shared" si="1"/>
        <v>7.66</v>
      </c>
      <c r="G2807" s="1120">
        <v>7.66</v>
      </c>
      <c r="H2807" s="1127">
        <v>0.0</v>
      </c>
      <c r="I2807" s="1127">
        <v>0.0</v>
      </c>
      <c r="J2807" s="1127">
        <v>0.0</v>
      </c>
      <c r="K2807" s="1124"/>
    </row>
    <row r="2808" ht="15.75" customHeight="1">
      <c r="A2808" s="1119">
        <v>91914.0</v>
      </c>
      <c r="B2808" s="1125" t="s">
        <v>13086</v>
      </c>
      <c r="C2808" s="1126" t="s">
        <v>1788</v>
      </c>
      <c r="D2808" s="1119">
        <v>21.57</v>
      </c>
      <c r="E2808" s="1120">
        <v>13.1</v>
      </c>
      <c r="F2808" s="1121">
        <f t="shared" si="1"/>
        <v>8.48</v>
      </c>
      <c r="G2808" s="1120">
        <v>8.48</v>
      </c>
      <c r="H2808" s="1127">
        <v>0.0</v>
      </c>
      <c r="I2808" s="1127">
        <v>0.0</v>
      </c>
      <c r="J2808" s="1127">
        <v>0.0</v>
      </c>
      <c r="K2808" s="1124"/>
    </row>
    <row r="2809" ht="15.75" customHeight="1">
      <c r="A2809" s="1119">
        <v>91916.0</v>
      </c>
      <c r="B2809" s="1125" t="s">
        <v>13087</v>
      </c>
      <c r="C2809" s="1126" t="s">
        <v>1788</v>
      </c>
      <c r="D2809" s="1119">
        <v>24.34</v>
      </c>
      <c r="E2809" s="1120">
        <v>13.09</v>
      </c>
      <c r="F2809" s="1121">
        <f t="shared" si="1"/>
        <v>11.25</v>
      </c>
      <c r="G2809" s="1120">
        <v>11.25</v>
      </c>
      <c r="H2809" s="1127">
        <v>0.0</v>
      </c>
      <c r="I2809" s="1127">
        <v>0.0</v>
      </c>
      <c r="J2809" s="1127">
        <v>0.0</v>
      </c>
      <c r="K2809" s="1124"/>
    </row>
    <row r="2810" ht="15.75" customHeight="1">
      <c r="A2810" s="1119">
        <v>91917.0</v>
      </c>
      <c r="B2810" s="1125" t="s">
        <v>13088</v>
      </c>
      <c r="C2810" s="1126" t="s">
        <v>1788</v>
      </c>
      <c r="D2810" s="1119">
        <v>25.53</v>
      </c>
      <c r="E2810" s="1120">
        <v>14.54</v>
      </c>
      <c r="F2810" s="1121">
        <f t="shared" si="1"/>
        <v>11</v>
      </c>
      <c r="G2810" s="1120">
        <v>11.0</v>
      </c>
      <c r="H2810" s="1127">
        <v>0.0</v>
      </c>
      <c r="I2810" s="1127">
        <v>0.0</v>
      </c>
      <c r="J2810" s="1127">
        <v>0.0</v>
      </c>
      <c r="K2810" s="1124"/>
    </row>
    <row r="2811" ht="15.75" customHeight="1">
      <c r="A2811" s="1119">
        <v>91919.0</v>
      </c>
      <c r="B2811" s="1125" t="s">
        <v>13089</v>
      </c>
      <c r="C2811" s="1126" t="s">
        <v>1788</v>
      </c>
      <c r="D2811" s="1119">
        <v>28.35</v>
      </c>
      <c r="E2811" s="1120">
        <v>14.54</v>
      </c>
      <c r="F2811" s="1121">
        <f t="shared" si="1"/>
        <v>13.83</v>
      </c>
      <c r="G2811" s="1120">
        <v>13.83</v>
      </c>
      <c r="H2811" s="1127">
        <v>0.0</v>
      </c>
      <c r="I2811" s="1127">
        <v>0.0</v>
      </c>
      <c r="J2811" s="1127">
        <v>0.0</v>
      </c>
      <c r="K2811" s="1124"/>
    </row>
    <row r="2812" ht="15.75" customHeight="1">
      <c r="A2812" s="1119">
        <v>91920.0</v>
      </c>
      <c r="B2812" s="1125" t="s">
        <v>13090</v>
      </c>
      <c r="C2812" s="1126" t="s">
        <v>1788</v>
      </c>
      <c r="D2812" s="1119">
        <v>28.51</v>
      </c>
      <c r="E2812" s="1120">
        <v>16.19</v>
      </c>
      <c r="F2812" s="1121">
        <f t="shared" si="1"/>
        <v>12.33</v>
      </c>
      <c r="G2812" s="1120">
        <v>12.33</v>
      </c>
      <c r="H2812" s="1127">
        <v>0.0</v>
      </c>
      <c r="I2812" s="1127">
        <v>0.0</v>
      </c>
      <c r="J2812" s="1127">
        <v>0.0</v>
      </c>
      <c r="K2812" s="1124"/>
    </row>
    <row r="2813" ht="15.75" customHeight="1">
      <c r="A2813" s="1119">
        <v>91922.0</v>
      </c>
      <c r="B2813" s="1125" t="s">
        <v>13091</v>
      </c>
      <c r="C2813" s="1126" t="s">
        <v>1788</v>
      </c>
      <c r="D2813" s="1119">
        <v>31.52</v>
      </c>
      <c r="E2813" s="1120">
        <v>16.19</v>
      </c>
      <c r="F2813" s="1121">
        <f t="shared" si="1"/>
        <v>15.35</v>
      </c>
      <c r="G2813" s="1120">
        <v>15.35</v>
      </c>
      <c r="H2813" s="1127">
        <v>0.0</v>
      </c>
      <c r="I2813" s="1127">
        <v>0.0</v>
      </c>
      <c r="J2813" s="1127">
        <v>0.0</v>
      </c>
      <c r="K2813" s="1124"/>
    </row>
    <row r="2814" ht="15.75" customHeight="1">
      <c r="A2814" s="1119">
        <v>93013.0</v>
      </c>
      <c r="B2814" s="1125" t="s">
        <v>13092</v>
      </c>
      <c r="C2814" s="1126" t="s">
        <v>1788</v>
      </c>
      <c r="D2814" s="1119">
        <v>18.45</v>
      </c>
      <c r="E2814" s="1120">
        <v>9.95</v>
      </c>
      <c r="F2814" s="1121">
        <f t="shared" si="1"/>
        <v>8.5</v>
      </c>
      <c r="G2814" s="1120">
        <v>8.5</v>
      </c>
      <c r="H2814" s="1127">
        <v>0.0</v>
      </c>
      <c r="I2814" s="1127">
        <v>0.0</v>
      </c>
      <c r="J2814" s="1127">
        <v>0.0</v>
      </c>
      <c r="K2814" s="1124"/>
    </row>
    <row r="2815" ht="15.75" customHeight="1">
      <c r="A2815" s="1119">
        <v>93014.0</v>
      </c>
      <c r="B2815" s="1125" t="s">
        <v>13093</v>
      </c>
      <c r="C2815" s="1126" t="s">
        <v>1788</v>
      </c>
      <c r="D2815" s="1119">
        <v>22.7</v>
      </c>
      <c r="E2815" s="1120">
        <v>11.44</v>
      </c>
      <c r="F2815" s="1121">
        <f t="shared" si="1"/>
        <v>11.29</v>
      </c>
      <c r="G2815" s="1120">
        <v>11.29</v>
      </c>
      <c r="H2815" s="1127">
        <v>0.0</v>
      </c>
      <c r="I2815" s="1127">
        <v>0.0</v>
      </c>
      <c r="J2815" s="1127">
        <v>0.0</v>
      </c>
      <c r="K2815" s="1124"/>
    </row>
    <row r="2816" ht="15.75" customHeight="1">
      <c r="A2816" s="1119">
        <v>93015.0</v>
      </c>
      <c r="B2816" s="1125" t="s">
        <v>13094</v>
      </c>
      <c r="C2816" s="1126" t="s">
        <v>1788</v>
      </c>
      <c r="D2816" s="1119">
        <v>34.59</v>
      </c>
      <c r="E2816" s="1120">
        <v>13.65</v>
      </c>
      <c r="F2816" s="1121">
        <f t="shared" si="1"/>
        <v>20.93</v>
      </c>
      <c r="G2816" s="1120">
        <v>20.93</v>
      </c>
      <c r="H2816" s="1127">
        <v>0.0</v>
      </c>
      <c r="I2816" s="1127">
        <v>0.0</v>
      </c>
      <c r="J2816" s="1127">
        <v>0.0</v>
      </c>
      <c r="K2816" s="1124"/>
    </row>
    <row r="2817" ht="15.75" customHeight="1">
      <c r="A2817" s="1119">
        <v>93016.0</v>
      </c>
      <c r="B2817" s="1125" t="s">
        <v>13095</v>
      </c>
      <c r="C2817" s="1126" t="s">
        <v>1788</v>
      </c>
      <c r="D2817" s="1119">
        <v>42.12</v>
      </c>
      <c r="E2817" s="1120">
        <v>15.15</v>
      </c>
      <c r="F2817" s="1121">
        <f t="shared" si="1"/>
        <v>26.97</v>
      </c>
      <c r="G2817" s="1120">
        <v>26.97</v>
      </c>
      <c r="H2817" s="1127">
        <v>0.0</v>
      </c>
      <c r="I2817" s="1127">
        <v>0.0</v>
      </c>
      <c r="J2817" s="1127">
        <v>0.0</v>
      </c>
      <c r="K2817" s="1124"/>
    </row>
    <row r="2818" ht="15.75" customHeight="1">
      <c r="A2818" s="1119">
        <v>93017.0</v>
      </c>
      <c r="B2818" s="1125" t="s">
        <v>13096</v>
      </c>
      <c r="C2818" s="1126" t="s">
        <v>1788</v>
      </c>
      <c r="D2818" s="1119">
        <v>63.52</v>
      </c>
      <c r="E2818" s="1120">
        <v>18.87</v>
      </c>
      <c r="F2818" s="1121">
        <f t="shared" si="1"/>
        <v>44.66</v>
      </c>
      <c r="G2818" s="1120">
        <v>44.66</v>
      </c>
      <c r="H2818" s="1127">
        <v>0.0</v>
      </c>
      <c r="I2818" s="1127">
        <v>0.0</v>
      </c>
      <c r="J2818" s="1127">
        <v>0.0</v>
      </c>
      <c r="K2818" s="1124"/>
    </row>
    <row r="2819" ht="15.75" customHeight="1">
      <c r="A2819" s="1119">
        <v>93018.0</v>
      </c>
      <c r="B2819" s="1125" t="s">
        <v>13097</v>
      </c>
      <c r="C2819" s="1126" t="s">
        <v>1788</v>
      </c>
      <c r="D2819" s="1119">
        <v>28.19</v>
      </c>
      <c r="E2819" s="1120">
        <v>14.93</v>
      </c>
      <c r="F2819" s="1121">
        <f t="shared" si="1"/>
        <v>13.28</v>
      </c>
      <c r="G2819" s="1120">
        <v>13.28</v>
      </c>
      <c r="H2819" s="1127">
        <v>0.0</v>
      </c>
      <c r="I2819" s="1127">
        <v>0.0</v>
      </c>
      <c r="J2819" s="1127">
        <v>0.0</v>
      </c>
      <c r="K2819" s="1124"/>
    </row>
    <row r="2820" ht="15.75" customHeight="1">
      <c r="A2820" s="1119">
        <v>93020.0</v>
      </c>
      <c r="B2820" s="1125" t="s">
        <v>13098</v>
      </c>
      <c r="C2820" s="1126" t="s">
        <v>1788</v>
      </c>
      <c r="D2820" s="1119">
        <v>36.22</v>
      </c>
      <c r="E2820" s="1120">
        <v>17.13</v>
      </c>
      <c r="F2820" s="1121">
        <f t="shared" si="1"/>
        <v>19.09</v>
      </c>
      <c r="G2820" s="1120">
        <v>19.09</v>
      </c>
      <c r="H2820" s="1127">
        <v>0.0</v>
      </c>
      <c r="I2820" s="1127">
        <v>0.0</v>
      </c>
      <c r="J2820" s="1127">
        <v>0.0</v>
      </c>
      <c r="K2820" s="1124"/>
    </row>
    <row r="2821" ht="15.75" customHeight="1">
      <c r="A2821" s="1119">
        <v>93022.0</v>
      </c>
      <c r="B2821" s="1125" t="s">
        <v>13099</v>
      </c>
      <c r="C2821" s="1126" t="s">
        <v>1788</v>
      </c>
      <c r="D2821" s="1119">
        <v>60.95</v>
      </c>
      <c r="E2821" s="1120">
        <v>20.48</v>
      </c>
      <c r="F2821" s="1121">
        <f t="shared" si="1"/>
        <v>40.47</v>
      </c>
      <c r="G2821" s="1120">
        <v>40.47</v>
      </c>
      <c r="H2821" s="1127">
        <v>0.0</v>
      </c>
      <c r="I2821" s="1127">
        <v>0.0</v>
      </c>
      <c r="J2821" s="1127">
        <v>0.0</v>
      </c>
      <c r="K2821" s="1124"/>
    </row>
    <row r="2822" ht="15.75" customHeight="1">
      <c r="A2822" s="1119">
        <v>93024.0</v>
      </c>
      <c r="B2822" s="1125" t="s">
        <v>13100</v>
      </c>
      <c r="C2822" s="1126" t="s">
        <v>1788</v>
      </c>
      <c r="D2822" s="1119">
        <v>64.04</v>
      </c>
      <c r="E2822" s="1120">
        <v>22.72</v>
      </c>
      <c r="F2822" s="1121">
        <f t="shared" si="1"/>
        <v>41.32</v>
      </c>
      <c r="G2822" s="1120">
        <v>41.32</v>
      </c>
      <c r="H2822" s="1127">
        <v>0.0</v>
      </c>
      <c r="I2822" s="1127">
        <v>0.0</v>
      </c>
      <c r="J2822" s="1127">
        <v>0.0</v>
      </c>
      <c r="K2822" s="1124"/>
    </row>
    <row r="2823" ht="15.75" customHeight="1">
      <c r="A2823" s="1119">
        <v>93026.0</v>
      </c>
      <c r="B2823" s="1125" t="s">
        <v>13101</v>
      </c>
      <c r="C2823" s="1126" t="s">
        <v>1788</v>
      </c>
      <c r="D2823" s="1119">
        <v>105.16</v>
      </c>
      <c r="E2823" s="1120">
        <v>28.31</v>
      </c>
      <c r="F2823" s="1121">
        <f t="shared" si="1"/>
        <v>76.86</v>
      </c>
      <c r="G2823" s="1120">
        <v>76.86</v>
      </c>
      <c r="H2823" s="1127">
        <v>0.0</v>
      </c>
      <c r="I2823" s="1127">
        <v>0.0</v>
      </c>
      <c r="J2823" s="1127">
        <v>0.0</v>
      </c>
      <c r="K2823" s="1124"/>
    </row>
    <row r="2824" ht="15.75" customHeight="1">
      <c r="A2824" s="1119">
        <v>97559.0</v>
      </c>
      <c r="B2824" s="1125" t="s">
        <v>13102</v>
      </c>
      <c r="C2824" s="1126" t="s">
        <v>1788</v>
      </c>
      <c r="D2824" s="1119">
        <v>15.91</v>
      </c>
      <c r="E2824" s="1120">
        <v>9.15</v>
      </c>
      <c r="F2824" s="1121">
        <f t="shared" si="1"/>
        <v>6.77</v>
      </c>
      <c r="G2824" s="1120">
        <v>6.77</v>
      </c>
      <c r="H2824" s="1127">
        <v>0.0</v>
      </c>
      <c r="I2824" s="1127">
        <v>0.0</v>
      </c>
      <c r="J2824" s="1127">
        <v>0.0</v>
      </c>
      <c r="K2824" s="1124"/>
    </row>
    <row r="2825" ht="15.75" customHeight="1">
      <c r="A2825" s="1119">
        <v>97562.0</v>
      </c>
      <c r="B2825" s="1125" t="s">
        <v>13103</v>
      </c>
      <c r="C2825" s="1126" t="s">
        <v>1788</v>
      </c>
      <c r="D2825" s="1119">
        <v>13.27</v>
      </c>
      <c r="E2825" s="1120">
        <v>7.2</v>
      </c>
      <c r="F2825" s="1121">
        <f t="shared" si="1"/>
        <v>6.06</v>
      </c>
      <c r="G2825" s="1120">
        <v>6.06</v>
      </c>
      <c r="H2825" s="1127">
        <v>0.0</v>
      </c>
      <c r="I2825" s="1127">
        <v>0.0</v>
      </c>
      <c r="J2825" s="1127">
        <v>0.0</v>
      </c>
      <c r="K2825" s="1124"/>
    </row>
    <row r="2826" ht="15.75" customHeight="1">
      <c r="A2826" s="1119">
        <v>97564.0</v>
      </c>
      <c r="B2826" s="1125" t="s">
        <v>13104</v>
      </c>
      <c r="C2826" s="1126" t="s">
        <v>1788</v>
      </c>
      <c r="D2826" s="1119">
        <v>21.26</v>
      </c>
      <c r="E2826" s="1120">
        <v>13.1</v>
      </c>
      <c r="F2826" s="1121">
        <f t="shared" si="1"/>
        <v>8.16</v>
      </c>
      <c r="G2826" s="1120">
        <v>8.16</v>
      </c>
      <c r="H2826" s="1127">
        <v>0.0</v>
      </c>
      <c r="I2826" s="1127">
        <v>0.0</v>
      </c>
      <c r="J2826" s="1127">
        <v>0.0</v>
      </c>
      <c r="K2826" s="1124"/>
    </row>
    <row r="2827" ht="15.75" customHeight="1">
      <c r="A2827" s="1119">
        <v>104395.0</v>
      </c>
      <c r="B2827" s="1125" t="s">
        <v>13105</v>
      </c>
      <c r="C2827" s="1126" t="s">
        <v>1788</v>
      </c>
      <c r="D2827" s="1119">
        <v>26.75</v>
      </c>
      <c r="E2827" s="1120">
        <v>9.51</v>
      </c>
      <c r="F2827" s="1121">
        <f t="shared" si="1"/>
        <v>17.24</v>
      </c>
      <c r="G2827" s="1120">
        <v>17.24</v>
      </c>
      <c r="H2827" s="1127">
        <v>0.0</v>
      </c>
      <c r="I2827" s="1127">
        <v>0.0</v>
      </c>
      <c r="J2827" s="1127">
        <v>0.0</v>
      </c>
      <c r="K2827" s="1124"/>
    </row>
    <row r="2828" ht="15.75" customHeight="1">
      <c r="A2828" s="1119">
        <v>91924.0</v>
      </c>
      <c r="B2828" s="1125" t="s">
        <v>13106</v>
      </c>
      <c r="C2828" s="1126" t="s">
        <v>1731</v>
      </c>
      <c r="D2828" s="1119">
        <v>3.11</v>
      </c>
      <c r="E2828" s="1120">
        <v>1.02</v>
      </c>
      <c r="F2828" s="1121">
        <f t="shared" si="1"/>
        <v>2.1</v>
      </c>
      <c r="G2828" s="1120">
        <v>2.1</v>
      </c>
      <c r="H2828" s="1127">
        <v>0.0</v>
      </c>
      <c r="I2828" s="1127">
        <v>0.0</v>
      </c>
      <c r="J2828" s="1127">
        <v>0.0</v>
      </c>
      <c r="K2828" s="1124"/>
    </row>
    <row r="2829" ht="15.75" customHeight="1">
      <c r="A2829" s="1119">
        <v>91925.0</v>
      </c>
      <c r="B2829" s="1125" t="s">
        <v>13107</v>
      </c>
      <c r="C2829" s="1126" t="s">
        <v>1731</v>
      </c>
      <c r="D2829" s="1119">
        <v>3.69</v>
      </c>
      <c r="E2829" s="1120">
        <v>1.02</v>
      </c>
      <c r="F2829" s="1121">
        <f t="shared" si="1"/>
        <v>2.68</v>
      </c>
      <c r="G2829" s="1120">
        <v>2.68</v>
      </c>
      <c r="H2829" s="1127">
        <v>0.0</v>
      </c>
      <c r="I2829" s="1127">
        <v>0.0</v>
      </c>
      <c r="J2829" s="1127">
        <v>0.0</v>
      </c>
      <c r="K2829" s="1124"/>
    </row>
    <row r="2830" ht="15.75" customHeight="1">
      <c r="A2830" s="1119">
        <v>91926.0</v>
      </c>
      <c r="B2830" s="1125" t="s">
        <v>13108</v>
      </c>
      <c r="C2830" s="1126" t="s">
        <v>1731</v>
      </c>
      <c r="D2830" s="1119">
        <v>4.45</v>
      </c>
      <c r="E2830" s="1120">
        <v>1.28</v>
      </c>
      <c r="F2830" s="1121">
        <f t="shared" si="1"/>
        <v>3.17</v>
      </c>
      <c r="G2830" s="1120">
        <v>3.17</v>
      </c>
      <c r="H2830" s="1127">
        <v>0.0</v>
      </c>
      <c r="I2830" s="1127">
        <v>0.0</v>
      </c>
      <c r="J2830" s="1127">
        <v>0.0</v>
      </c>
      <c r="K2830" s="1124"/>
    </row>
    <row r="2831" ht="15.75" customHeight="1">
      <c r="A2831" s="1119">
        <v>91927.0</v>
      </c>
      <c r="B2831" s="1125" t="s">
        <v>13109</v>
      </c>
      <c r="C2831" s="1126" t="s">
        <v>1731</v>
      </c>
      <c r="D2831" s="1119">
        <v>4.96</v>
      </c>
      <c r="E2831" s="1120">
        <v>1.28</v>
      </c>
      <c r="F2831" s="1121">
        <f t="shared" si="1"/>
        <v>3.68</v>
      </c>
      <c r="G2831" s="1120">
        <v>3.68</v>
      </c>
      <c r="H2831" s="1127">
        <v>0.0</v>
      </c>
      <c r="I2831" s="1127">
        <v>0.0</v>
      </c>
      <c r="J2831" s="1127">
        <v>0.0</v>
      </c>
      <c r="K2831" s="1124"/>
    </row>
    <row r="2832" ht="15.75" customHeight="1">
      <c r="A2832" s="1119">
        <v>91928.0</v>
      </c>
      <c r="B2832" s="1125" t="s">
        <v>13110</v>
      </c>
      <c r="C2832" s="1126" t="s">
        <v>1731</v>
      </c>
      <c r="D2832" s="1119">
        <v>6.83</v>
      </c>
      <c r="E2832" s="1120">
        <v>1.72</v>
      </c>
      <c r="F2832" s="1121">
        <f t="shared" si="1"/>
        <v>5.11</v>
      </c>
      <c r="G2832" s="1120">
        <v>5.11</v>
      </c>
      <c r="H2832" s="1127">
        <v>0.0</v>
      </c>
      <c r="I2832" s="1127">
        <v>0.0</v>
      </c>
      <c r="J2832" s="1127">
        <v>0.0</v>
      </c>
      <c r="K2832" s="1124"/>
    </row>
    <row r="2833" ht="15.75" customHeight="1">
      <c r="A2833" s="1119">
        <v>91929.0</v>
      </c>
      <c r="B2833" s="1125" t="s">
        <v>13111</v>
      </c>
      <c r="C2833" s="1126" t="s">
        <v>1731</v>
      </c>
      <c r="D2833" s="1119">
        <v>7.26</v>
      </c>
      <c r="E2833" s="1120">
        <v>1.72</v>
      </c>
      <c r="F2833" s="1121">
        <f t="shared" si="1"/>
        <v>5.54</v>
      </c>
      <c r="G2833" s="1120">
        <v>5.54</v>
      </c>
      <c r="H2833" s="1127">
        <v>0.0</v>
      </c>
      <c r="I2833" s="1127">
        <v>0.0</v>
      </c>
      <c r="J2833" s="1127">
        <v>0.0</v>
      </c>
      <c r="K2833" s="1124"/>
    </row>
    <row r="2834" ht="15.75" customHeight="1">
      <c r="A2834" s="1119">
        <v>91930.0</v>
      </c>
      <c r="B2834" s="1125" t="s">
        <v>13112</v>
      </c>
      <c r="C2834" s="1126" t="s">
        <v>1731</v>
      </c>
      <c r="D2834" s="1119">
        <v>9.51</v>
      </c>
      <c r="E2834" s="1120">
        <v>2.25</v>
      </c>
      <c r="F2834" s="1121">
        <f t="shared" si="1"/>
        <v>7.24</v>
      </c>
      <c r="G2834" s="1120">
        <v>7.24</v>
      </c>
      <c r="H2834" s="1127">
        <v>0.0</v>
      </c>
      <c r="I2834" s="1127">
        <v>0.0</v>
      </c>
      <c r="J2834" s="1127">
        <v>0.0</v>
      </c>
      <c r="K2834" s="1124"/>
    </row>
    <row r="2835" ht="15.75" customHeight="1">
      <c r="A2835" s="1119">
        <v>91931.0</v>
      </c>
      <c r="B2835" s="1125" t="s">
        <v>13113</v>
      </c>
      <c r="C2835" s="1126" t="s">
        <v>1731</v>
      </c>
      <c r="D2835" s="1119">
        <v>10.23</v>
      </c>
      <c r="E2835" s="1120">
        <v>2.25</v>
      </c>
      <c r="F2835" s="1121">
        <f t="shared" si="1"/>
        <v>7.96</v>
      </c>
      <c r="G2835" s="1120">
        <v>7.96</v>
      </c>
      <c r="H2835" s="1127">
        <v>0.0</v>
      </c>
      <c r="I2835" s="1127">
        <v>0.0</v>
      </c>
      <c r="J2835" s="1127">
        <v>0.0</v>
      </c>
      <c r="K2835" s="1124"/>
    </row>
    <row r="2836" ht="15.75" customHeight="1">
      <c r="A2836" s="1119">
        <v>91932.0</v>
      </c>
      <c r="B2836" s="1125" t="s">
        <v>13114</v>
      </c>
      <c r="C2836" s="1126" t="s">
        <v>1731</v>
      </c>
      <c r="D2836" s="1119">
        <v>16.84</v>
      </c>
      <c r="E2836" s="1120">
        <v>3.36</v>
      </c>
      <c r="F2836" s="1121">
        <f t="shared" si="1"/>
        <v>13.48</v>
      </c>
      <c r="G2836" s="1120">
        <v>13.48</v>
      </c>
      <c r="H2836" s="1127">
        <v>0.0</v>
      </c>
      <c r="I2836" s="1127">
        <v>0.0</v>
      </c>
      <c r="J2836" s="1127">
        <v>0.0</v>
      </c>
      <c r="K2836" s="1124"/>
    </row>
    <row r="2837" ht="15.75" customHeight="1">
      <c r="A2837" s="1119">
        <v>91933.0</v>
      </c>
      <c r="B2837" s="1125" t="s">
        <v>13115</v>
      </c>
      <c r="C2837" s="1126" t="s">
        <v>1731</v>
      </c>
      <c r="D2837" s="1119">
        <v>16.27</v>
      </c>
      <c r="E2837" s="1120">
        <v>3.36</v>
      </c>
      <c r="F2837" s="1121">
        <f t="shared" si="1"/>
        <v>12.91</v>
      </c>
      <c r="G2837" s="1120">
        <v>12.91</v>
      </c>
      <c r="H2837" s="1127">
        <v>0.0</v>
      </c>
      <c r="I2837" s="1127">
        <v>0.0</v>
      </c>
      <c r="J2837" s="1127">
        <v>0.0</v>
      </c>
      <c r="K2837" s="1124"/>
    </row>
    <row r="2838" ht="15.75" customHeight="1">
      <c r="A2838" s="1119">
        <v>91934.0</v>
      </c>
      <c r="B2838" s="1125" t="s">
        <v>13116</v>
      </c>
      <c r="C2838" s="1126" t="s">
        <v>1731</v>
      </c>
      <c r="D2838" s="1119">
        <v>24.38</v>
      </c>
      <c r="E2838" s="1120">
        <v>5.05</v>
      </c>
      <c r="F2838" s="1121">
        <f t="shared" si="1"/>
        <v>19.34</v>
      </c>
      <c r="G2838" s="1120">
        <v>19.34</v>
      </c>
      <c r="H2838" s="1127">
        <v>0.0</v>
      </c>
      <c r="I2838" s="1127">
        <v>0.0</v>
      </c>
      <c r="J2838" s="1127">
        <v>0.0</v>
      </c>
      <c r="K2838" s="1124"/>
    </row>
    <row r="2839" ht="15.75" customHeight="1">
      <c r="A2839" s="1119">
        <v>91935.0</v>
      </c>
      <c r="B2839" s="1125" t="s">
        <v>13117</v>
      </c>
      <c r="C2839" s="1126" t="s">
        <v>1731</v>
      </c>
      <c r="D2839" s="1119">
        <v>25.48</v>
      </c>
      <c r="E2839" s="1120">
        <v>5.04</v>
      </c>
      <c r="F2839" s="1121">
        <f t="shared" si="1"/>
        <v>20.44</v>
      </c>
      <c r="G2839" s="1120">
        <v>20.44</v>
      </c>
      <c r="H2839" s="1127">
        <v>0.0</v>
      </c>
      <c r="I2839" s="1127">
        <v>0.0</v>
      </c>
      <c r="J2839" s="1127">
        <v>0.0</v>
      </c>
      <c r="K2839" s="1124"/>
    </row>
    <row r="2840" ht="15.75" customHeight="1">
      <c r="A2840" s="1119">
        <v>92979.0</v>
      </c>
      <c r="B2840" s="1125" t="s">
        <v>13118</v>
      </c>
      <c r="C2840" s="1126" t="s">
        <v>1731</v>
      </c>
      <c r="D2840" s="1119">
        <v>10.69</v>
      </c>
      <c r="E2840" s="1120">
        <v>0.37</v>
      </c>
      <c r="F2840" s="1121">
        <f t="shared" si="1"/>
        <v>10.31</v>
      </c>
      <c r="G2840" s="1120">
        <v>10.31</v>
      </c>
      <c r="H2840" s="1127">
        <v>0.0</v>
      </c>
      <c r="I2840" s="1127">
        <v>0.0</v>
      </c>
      <c r="J2840" s="1127">
        <v>0.0</v>
      </c>
      <c r="K2840" s="1124"/>
    </row>
    <row r="2841" ht="15.75" customHeight="1">
      <c r="A2841" s="1119">
        <v>92980.0</v>
      </c>
      <c r="B2841" s="1125" t="s">
        <v>13119</v>
      </c>
      <c r="C2841" s="1126" t="s">
        <v>1731</v>
      </c>
      <c r="D2841" s="1119">
        <v>10.22</v>
      </c>
      <c r="E2841" s="1120">
        <v>0.37</v>
      </c>
      <c r="F2841" s="1121">
        <f t="shared" si="1"/>
        <v>9.84</v>
      </c>
      <c r="G2841" s="1120">
        <v>9.84</v>
      </c>
      <c r="H2841" s="1127">
        <v>0.0</v>
      </c>
      <c r="I2841" s="1127">
        <v>0.0</v>
      </c>
      <c r="J2841" s="1127">
        <v>0.0</v>
      </c>
      <c r="K2841" s="1124"/>
    </row>
    <row r="2842" ht="15.75" customHeight="1">
      <c r="A2842" s="1119">
        <v>92981.0</v>
      </c>
      <c r="B2842" s="1125" t="s">
        <v>13120</v>
      </c>
      <c r="C2842" s="1126" t="s">
        <v>1731</v>
      </c>
      <c r="D2842" s="1119">
        <v>15.28</v>
      </c>
      <c r="E2842" s="1120">
        <v>0.56</v>
      </c>
      <c r="F2842" s="1121">
        <f t="shared" si="1"/>
        <v>14.72</v>
      </c>
      <c r="G2842" s="1120">
        <v>14.72</v>
      </c>
      <c r="H2842" s="1127">
        <v>0.0</v>
      </c>
      <c r="I2842" s="1127">
        <v>0.0</v>
      </c>
      <c r="J2842" s="1127">
        <v>0.0</v>
      </c>
      <c r="K2842" s="1124"/>
    </row>
    <row r="2843" ht="15.75" customHeight="1">
      <c r="A2843" s="1119">
        <v>92982.0</v>
      </c>
      <c r="B2843" s="1125" t="s">
        <v>13121</v>
      </c>
      <c r="C2843" s="1126" t="s">
        <v>1731</v>
      </c>
      <c r="D2843" s="1119">
        <v>16.18</v>
      </c>
      <c r="E2843" s="1120">
        <v>0.56</v>
      </c>
      <c r="F2843" s="1121">
        <f t="shared" si="1"/>
        <v>15.62</v>
      </c>
      <c r="G2843" s="1120">
        <v>15.62</v>
      </c>
      <c r="H2843" s="1127">
        <v>0.0</v>
      </c>
      <c r="I2843" s="1127">
        <v>0.0</v>
      </c>
      <c r="J2843" s="1127">
        <v>0.0</v>
      </c>
      <c r="K2843" s="1124"/>
    </row>
    <row r="2844" ht="15.75" customHeight="1">
      <c r="A2844" s="1119">
        <v>92984.0</v>
      </c>
      <c r="B2844" s="1125" t="s">
        <v>13122</v>
      </c>
      <c r="C2844" s="1126" t="s">
        <v>1731</v>
      </c>
      <c r="D2844" s="1119">
        <v>27.24</v>
      </c>
      <c r="E2844" s="1120">
        <v>2.67</v>
      </c>
      <c r="F2844" s="1121">
        <f t="shared" si="1"/>
        <v>24.58</v>
      </c>
      <c r="G2844" s="1120">
        <v>24.58</v>
      </c>
      <c r="H2844" s="1127">
        <v>0.0</v>
      </c>
      <c r="I2844" s="1127">
        <v>0.0</v>
      </c>
      <c r="J2844" s="1127">
        <v>0.0</v>
      </c>
      <c r="K2844" s="1124"/>
    </row>
    <row r="2845" ht="15.75" customHeight="1">
      <c r="A2845" s="1119">
        <v>92986.0</v>
      </c>
      <c r="B2845" s="1125" t="s">
        <v>13123</v>
      </c>
      <c r="C2845" s="1126" t="s">
        <v>1731</v>
      </c>
      <c r="D2845" s="1119">
        <v>37.51</v>
      </c>
      <c r="E2845" s="1120">
        <v>3.07</v>
      </c>
      <c r="F2845" s="1121">
        <f t="shared" si="1"/>
        <v>34.44</v>
      </c>
      <c r="G2845" s="1120">
        <v>34.44</v>
      </c>
      <c r="H2845" s="1127">
        <v>0.0</v>
      </c>
      <c r="I2845" s="1127">
        <v>0.0</v>
      </c>
      <c r="J2845" s="1127">
        <v>0.0</v>
      </c>
      <c r="K2845" s="1124"/>
    </row>
    <row r="2846" ht="15.75" customHeight="1">
      <c r="A2846" s="1119">
        <v>92988.0</v>
      </c>
      <c r="B2846" s="1125" t="s">
        <v>13124</v>
      </c>
      <c r="C2846" s="1126" t="s">
        <v>1731</v>
      </c>
      <c r="D2846" s="1119">
        <v>54.25</v>
      </c>
      <c r="E2846" s="1120">
        <v>3.65</v>
      </c>
      <c r="F2846" s="1121">
        <f t="shared" si="1"/>
        <v>50.59</v>
      </c>
      <c r="G2846" s="1120">
        <v>50.59</v>
      </c>
      <c r="H2846" s="1127">
        <v>0.0</v>
      </c>
      <c r="I2846" s="1127">
        <v>0.0</v>
      </c>
      <c r="J2846" s="1127">
        <v>0.0</v>
      </c>
      <c r="K2846" s="1124"/>
    </row>
    <row r="2847" ht="15.75" customHeight="1">
      <c r="A2847" s="1119">
        <v>92990.0</v>
      </c>
      <c r="B2847" s="1125" t="s">
        <v>13125</v>
      </c>
      <c r="C2847" s="1126" t="s">
        <v>1731</v>
      </c>
      <c r="D2847" s="1119">
        <v>74.96</v>
      </c>
      <c r="E2847" s="1120">
        <v>4.45</v>
      </c>
      <c r="F2847" s="1121">
        <f t="shared" si="1"/>
        <v>70.51</v>
      </c>
      <c r="G2847" s="1120">
        <v>70.51</v>
      </c>
      <c r="H2847" s="1127">
        <v>0.0</v>
      </c>
      <c r="I2847" s="1127">
        <v>0.0</v>
      </c>
      <c r="J2847" s="1127">
        <v>0.0</v>
      </c>
      <c r="K2847" s="1124"/>
    </row>
    <row r="2848" ht="15.75" customHeight="1">
      <c r="A2848" s="1119">
        <v>92992.0</v>
      </c>
      <c r="B2848" s="1125" t="s">
        <v>13126</v>
      </c>
      <c r="C2848" s="1126" t="s">
        <v>1731</v>
      </c>
      <c r="D2848" s="1119">
        <v>96.85</v>
      </c>
      <c r="E2848" s="1120">
        <v>5.41</v>
      </c>
      <c r="F2848" s="1121">
        <f t="shared" si="1"/>
        <v>91.44</v>
      </c>
      <c r="G2848" s="1120">
        <v>91.44</v>
      </c>
      <c r="H2848" s="1127">
        <v>0.0</v>
      </c>
      <c r="I2848" s="1127">
        <v>0.0</v>
      </c>
      <c r="J2848" s="1127">
        <v>0.0</v>
      </c>
      <c r="K2848" s="1124"/>
    </row>
    <row r="2849" ht="15.75" customHeight="1">
      <c r="A2849" s="1119">
        <v>92994.0</v>
      </c>
      <c r="B2849" s="1125" t="s">
        <v>13127</v>
      </c>
      <c r="C2849" s="1126" t="s">
        <v>1731</v>
      </c>
      <c r="D2849" s="1119">
        <v>125.7</v>
      </c>
      <c r="E2849" s="1120">
        <v>6.4</v>
      </c>
      <c r="F2849" s="1121">
        <f t="shared" si="1"/>
        <v>119.31</v>
      </c>
      <c r="G2849" s="1120">
        <v>119.31</v>
      </c>
      <c r="H2849" s="1127">
        <v>0.0</v>
      </c>
      <c r="I2849" s="1127">
        <v>0.0</v>
      </c>
      <c r="J2849" s="1127">
        <v>0.0</v>
      </c>
      <c r="K2849" s="1124"/>
    </row>
    <row r="2850" ht="15.75" customHeight="1">
      <c r="A2850" s="1119">
        <v>92996.0</v>
      </c>
      <c r="B2850" s="1125" t="s">
        <v>13128</v>
      </c>
      <c r="C2850" s="1126" t="s">
        <v>1731</v>
      </c>
      <c r="D2850" s="1119">
        <v>152.05</v>
      </c>
      <c r="E2850" s="1120">
        <v>7.58</v>
      </c>
      <c r="F2850" s="1121">
        <f t="shared" si="1"/>
        <v>144.46</v>
      </c>
      <c r="G2850" s="1120">
        <v>144.46</v>
      </c>
      <c r="H2850" s="1127">
        <v>0.0</v>
      </c>
      <c r="I2850" s="1127">
        <v>0.0</v>
      </c>
      <c r="J2850" s="1127">
        <v>0.0</v>
      </c>
      <c r="K2850" s="1124"/>
    </row>
    <row r="2851" ht="15.75" customHeight="1">
      <c r="A2851" s="1119">
        <v>92998.0</v>
      </c>
      <c r="B2851" s="1125" t="s">
        <v>13129</v>
      </c>
      <c r="C2851" s="1126" t="s">
        <v>1731</v>
      </c>
      <c r="D2851" s="1119">
        <v>186.26</v>
      </c>
      <c r="E2851" s="1120">
        <v>8.96</v>
      </c>
      <c r="F2851" s="1121">
        <f t="shared" si="1"/>
        <v>177.32</v>
      </c>
      <c r="G2851" s="1120">
        <v>177.32</v>
      </c>
      <c r="H2851" s="1127">
        <v>0.0</v>
      </c>
      <c r="I2851" s="1127">
        <v>0.0</v>
      </c>
      <c r="J2851" s="1127">
        <v>0.0</v>
      </c>
      <c r="K2851" s="1124"/>
    </row>
    <row r="2852" ht="15.75" customHeight="1">
      <c r="A2852" s="1119">
        <v>93000.0</v>
      </c>
      <c r="B2852" s="1125" t="s">
        <v>13130</v>
      </c>
      <c r="C2852" s="1126" t="s">
        <v>1731</v>
      </c>
      <c r="D2852" s="1119">
        <v>246.42</v>
      </c>
      <c r="E2852" s="1120">
        <v>11.11</v>
      </c>
      <c r="F2852" s="1121">
        <f t="shared" si="1"/>
        <v>235.32</v>
      </c>
      <c r="G2852" s="1120">
        <v>235.32</v>
      </c>
      <c r="H2852" s="1127">
        <v>0.0</v>
      </c>
      <c r="I2852" s="1127">
        <v>0.0</v>
      </c>
      <c r="J2852" s="1127">
        <v>0.0</v>
      </c>
      <c r="K2852" s="1124"/>
    </row>
    <row r="2853" ht="15.75" customHeight="1">
      <c r="A2853" s="1119">
        <v>93002.0</v>
      </c>
      <c r="B2853" s="1125" t="s">
        <v>13131</v>
      </c>
      <c r="C2853" s="1126" t="s">
        <v>1731</v>
      </c>
      <c r="D2853" s="1119">
        <v>318.43</v>
      </c>
      <c r="E2853" s="1120">
        <v>13.46</v>
      </c>
      <c r="F2853" s="1121">
        <f t="shared" si="1"/>
        <v>304.99</v>
      </c>
      <c r="G2853" s="1120">
        <v>304.99</v>
      </c>
      <c r="H2853" s="1127">
        <v>0.0</v>
      </c>
      <c r="I2853" s="1127">
        <v>0.0</v>
      </c>
      <c r="J2853" s="1127">
        <v>0.0</v>
      </c>
      <c r="K2853" s="1124"/>
    </row>
    <row r="2854" ht="15.75" customHeight="1">
      <c r="A2854" s="1119">
        <v>101884.0</v>
      </c>
      <c r="B2854" s="1125" t="s">
        <v>13132</v>
      </c>
      <c r="C2854" s="1126" t="s">
        <v>1731</v>
      </c>
      <c r="D2854" s="1119">
        <v>10.38</v>
      </c>
      <c r="E2854" s="1120">
        <v>0.16</v>
      </c>
      <c r="F2854" s="1121">
        <f t="shared" si="1"/>
        <v>10.23</v>
      </c>
      <c r="G2854" s="1120">
        <v>10.23</v>
      </c>
      <c r="H2854" s="1127">
        <v>0.0</v>
      </c>
      <c r="I2854" s="1127">
        <v>0.0</v>
      </c>
      <c r="J2854" s="1127">
        <v>0.0</v>
      </c>
      <c r="K2854" s="1124"/>
    </row>
    <row r="2855" ht="15.75" customHeight="1">
      <c r="A2855" s="1119">
        <v>101885.0</v>
      </c>
      <c r="B2855" s="1125" t="s">
        <v>13133</v>
      </c>
      <c r="C2855" s="1126" t="s">
        <v>1731</v>
      </c>
      <c r="D2855" s="1119">
        <v>9.91</v>
      </c>
      <c r="E2855" s="1120">
        <v>0.16</v>
      </c>
      <c r="F2855" s="1121">
        <f t="shared" si="1"/>
        <v>9.76</v>
      </c>
      <c r="G2855" s="1120">
        <v>9.76</v>
      </c>
      <c r="H2855" s="1127">
        <v>0.0</v>
      </c>
      <c r="I2855" s="1127">
        <v>0.0</v>
      </c>
      <c r="J2855" s="1127">
        <v>0.0</v>
      </c>
      <c r="K2855" s="1124"/>
    </row>
    <row r="2856" ht="15.75" customHeight="1">
      <c r="A2856" s="1119">
        <v>101886.0</v>
      </c>
      <c r="B2856" s="1125" t="s">
        <v>13134</v>
      </c>
      <c r="C2856" s="1126" t="s">
        <v>1731</v>
      </c>
      <c r="D2856" s="1119">
        <v>14.93</v>
      </c>
      <c r="E2856" s="1120">
        <v>0.3</v>
      </c>
      <c r="F2856" s="1121">
        <f t="shared" si="1"/>
        <v>14.63</v>
      </c>
      <c r="G2856" s="1120">
        <v>14.63</v>
      </c>
      <c r="H2856" s="1127">
        <v>0.0</v>
      </c>
      <c r="I2856" s="1127">
        <v>0.0</v>
      </c>
      <c r="J2856" s="1127">
        <v>0.0</v>
      </c>
      <c r="K2856" s="1124"/>
    </row>
    <row r="2857" ht="15.75" customHeight="1">
      <c r="A2857" s="1119">
        <v>101887.0</v>
      </c>
      <c r="B2857" s="1125" t="s">
        <v>13135</v>
      </c>
      <c r="C2857" s="1126" t="s">
        <v>1731</v>
      </c>
      <c r="D2857" s="1119">
        <v>15.83</v>
      </c>
      <c r="E2857" s="1120">
        <v>0.3</v>
      </c>
      <c r="F2857" s="1121">
        <f t="shared" si="1"/>
        <v>15.53</v>
      </c>
      <c r="G2857" s="1120">
        <v>15.53</v>
      </c>
      <c r="H2857" s="1127">
        <v>0.0</v>
      </c>
      <c r="I2857" s="1127">
        <v>0.0</v>
      </c>
      <c r="J2857" s="1127">
        <v>0.0</v>
      </c>
      <c r="K2857" s="1124"/>
    </row>
    <row r="2858" ht="15.75" customHeight="1">
      <c r="A2858" s="1119">
        <v>101888.0</v>
      </c>
      <c r="B2858" s="1125" t="s">
        <v>13136</v>
      </c>
      <c r="C2858" s="1126" t="s">
        <v>1731</v>
      </c>
      <c r="D2858" s="1119">
        <v>23.41</v>
      </c>
      <c r="E2858" s="1120">
        <v>0.5</v>
      </c>
      <c r="F2858" s="1121">
        <f t="shared" si="1"/>
        <v>22.92</v>
      </c>
      <c r="G2858" s="1120">
        <v>22.92</v>
      </c>
      <c r="H2858" s="1127">
        <v>0.0</v>
      </c>
      <c r="I2858" s="1127">
        <v>0.0</v>
      </c>
      <c r="J2858" s="1127">
        <v>0.0</v>
      </c>
      <c r="K2858" s="1124"/>
    </row>
    <row r="2859" ht="15.75" customHeight="1">
      <c r="A2859" s="1119">
        <v>101889.0</v>
      </c>
      <c r="B2859" s="1125" t="s">
        <v>13137</v>
      </c>
      <c r="C2859" s="1126" t="s">
        <v>1731</v>
      </c>
      <c r="D2859" s="1119">
        <v>24.59</v>
      </c>
      <c r="E2859" s="1120">
        <v>0.5</v>
      </c>
      <c r="F2859" s="1121">
        <f t="shared" si="1"/>
        <v>24.1</v>
      </c>
      <c r="G2859" s="1120">
        <v>24.1</v>
      </c>
      <c r="H2859" s="1127">
        <v>0.0</v>
      </c>
      <c r="I2859" s="1127">
        <v>0.0</v>
      </c>
      <c r="J2859" s="1127">
        <v>0.0</v>
      </c>
      <c r="K2859" s="1124"/>
    </row>
    <row r="2860" ht="15.75" customHeight="1">
      <c r="A2860" s="1119">
        <v>91936.0</v>
      </c>
      <c r="B2860" s="1125" t="s">
        <v>13138</v>
      </c>
      <c r="C2860" s="1126" t="s">
        <v>1788</v>
      </c>
      <c r="D2860" s="1119">
        <v>21.94</v>
      </c>
      <c r="E2860" s="1120">
        <v>9.82</v>
      </c>
      <c r="F2860" s="1121">
        <f t="shared" si="1"/>
        <v>12.12</v>
      </c>
      <c r="G2860" s="1120">
        <v>12.12</v>
      </c>
      <c r="H2860" s="1127">
        <v>0.0</v>
      </c>
      <c r="I2860" s="1127">
        <v>0.0</v>
      </c>
      <c r="J2860" s="1127">
        <v>0.0</v>
      </c>
      <c r="K2860" s="1124"/>
    </row>
    <row r="2861" ht="15.75" customHeight="1">
      <c r="A2861" s="1119">
        <v>91937.0</v>
      </c>
      <c r="B2861" s="1125" t="s">
        <v>13139</v>
      </c>
      <c r="C2861" s="1126" t="s">
        <v>1788</v>
      </c>
      <c r="D2861" s="1119">
        <v>19.28</v>
      </c>
      <c r="E2861" s="1120">
        <v>9.84</v>
      </c>
      <c r="F2861" s="1121">
        <f t="shared" si="1"/>
        <v>9.46</v>
      </c>
      <c r="G2861" s="1120">
        <v>9.46</v>
      </c>
      <c r="H2861" s="1127">
        <v>0.0</v>
      </c>
      <c r="I2861" s="1127">
        <v>0.0</v>
      </c>
      <c r="J2861" s="1127">
        <v>0.0</v>
      </c>
      <c r="K2861" s="1124"/>
    </row>
    <row r="2862" ht="15.75" customHeight="1">
      <c r="A2862" s="1119">
        <v>91939.0</v>
      </c>
      <c r="B2862" s="1125" t="s">
        <v>13140</v>
      </c>
      <c r="C2862" s="1126" t="s">
        <v>1788</v>
      </c>
      <c r="D2862" s="1119">
        <v>36.94</v>
      </c>
      <c r="E2862" s="1120">
        <v>24.56</v>
      </c>
      <c r="F2862" s="1121">
        <f t="shared" si="1"/>
        <v>12.38</v>
      </c>
      <c r="G2862" s="1120">
        <v>12.38</v>
      </c>
      <c r="H2862" s="1127">
        <v>0.0</v>
      </c>
      <c r="I2862" s="1127">
        <v>0.0</v>
      </c>
      <c r="J2862" s="1127">
        <v>0.0</v>
      </c>
      <c r="K2862" s="1124"/>
    </row>
    <row r="2863" ht="15.75" customHeight="1">
      <c r="A2863" s="1119">
        <v>91940.0</v>
      </c>
      <c r="B2863" s="1125" t="s">
        <v>13141</v>
      </c>
      <c r="C2863" s="1126" t="s">
        <v>1788</v>
      </c>
      <c r="D2863" s="1119">
        <v>21.39</v>
      </c>
      <c r="E2863" s="1120">
        <v>13.04</v>
      </c>
      <c r="F2863" s="1121">
        <f t="shared" si="1"/>
        <v>8.35</v>
      </c>
      <c r="G2863" s="1120">
        <v>8.35</v>
      </c>
      <c r="H2863" s="1127">
        <v>0.0</v>
      </c>
      <c r="I2863" s="1127">
        <v>0.0</v>
      </c>
      <c r="J2863" s="1127">
        <v>0.0</v>
      </c>
      <c r="K2863" s="1124"/>
    </row>
    <row r="2864" ht="15.75" customHeight="1">
      <c r="A2864" s="1119">
        <v>91941.0</v>
      </c>
      <c r="B2864" s="1125" t="s">
        <v>13142</v>
      </c>
      <c r="C2864" s="1126" t="s">
        <v>1788</v>
      </c>
      <c r="D2864" s="1119">
        <v>13.77</v>
      </c>
      <c r="E2864" s="1120">
        <v>7.43</v>
      </c>
      <c r="F2864" s="1121">
        <f t="shared" si="1"/>
        <v>6.34</v>
      </c>
      <c r="G2864" s="1120">
        <v>6.34</v>
      </c>
      <c r="H2864" s="1127">
        <v>0.0</v>
      </c>
      <c r="I2864" s="1127">
        <v>0.0</v>
      </c>
      <c r="J2864" s="1127">
        <v>0.0</v>
      </c>
      <c r="K2864" s="1124"/>
    </row>
    <row r="2865" ht="15.75" customHeight="1">
      <c r="A2865" s="1119">
        <v>91942.0</v>
      </c>
      <c r="B2865" s="1125" t="s">
        <v>13143</v>
      </c>
      <c r="C2865" s="1126" t="s">
        <v>1788</v>
      </c>
      <c r="D2865" s="1119">
        <v>41.57</v>
      </c>
      <c r="E2865" s="1120">
        <v>25.45</v>
      </c>
      <c r="F2865" s="1121">
        <f t="shared" si="1"/>
        <v>16.12</v>
      </c>
      <c r="G2865" s="1120">
        <v>16.12</v>
      </c>
      <c r="H2865" s="1127">
        <v>0.0</v>
      </c>
      <c r="I2865" s="1127">
        <v>0.0</v>
      </c>
      <c r="J2865" s="1127">
        <v>0.0</v>
      </c>
      <c r="K2865" s="1124"/>
    </row>
    <row r="2866" ht="15.75" customHeight="1">
      <c r="A2866" s="1119">
        <v>91943.0</v>
      </c>
      <c r="B2866" s="1125" t="s">
        <v>13144</v>
      </c>
      <c r="C2866" s="1126" t="s">
        <v>1788</v>
      </c>
      <c r="D2866" s="1119">
        <v>25.49</v>
      </c>
      <c r="E2866" s="1120">
        <v>13.54</v>
      </c>
      <c r="F2866" s="1121">
        <f t="shared" si="1"/>
        <v>11.96</v>
      </c>
      <c r="G2866" s="1120">
        <v>11.96</v>
      </c>
      <c r="H2866" s="1127">
        <v>0.0</v>
      </c>
      <c r="I2866" s="1127">
        <v>0.0</v>
      </c>
      <c r="J2866" s="1127">
        <v>0.0</v>
      </c>
      <c r="K2866" s="1124"/>
    </row>
    <row r="2867" ht="15.75" customHeight="1">
      <c r="A2867" s="1119">
        <v>91944.0</v>
      </c>
      <c r="B2867" s="1125" t="s">
        <v>13145</v>
      </c>
      <c r="C2867" s="1126" t="s">
        <v>1788</v>
      </c>
      <c r="D2867" s="1119">
        <v>17.57</v>
      </c>
      <c r="E2867" s="1120">
        <v>7.67</v>
      </c>
      <c r="F2867" s="1121">
        <f t="shared" si="1"/>
        <v>9.9</v>
      </c>
      <c r="G2867" s="1120">
        <v>9.9</v>
      </c>
      <c r="H2867" s="1127">
        <v>0.0</v>
      </c>
      <c r="I2867" s="1127">
        <v>0.0</v>
      </c>
      <c r="J2867" s="1127">
        <v>0.0</v>
      </c>
      <c r="K2867" s="1124"/>
    </row>
    <row r="2868" ht="15.75" customHeight="1">
      <c r="A2868" s="1119">
        <v>92865.0</v>
      </c>
      <c r="B2868" s="1125" t="s">
        <v>13146</v>
      </c>
      <c r="C2868" s="1126" t="s">
        <v>1788</v>
      </c>
      <c r="D2868" s="1119">
        <v>16.55</v>
      </c>
      <c r="E2868" s="1120">
        <v>9.84</v>
      </c>
      <c r="F2868" s="1121">
        <f t="shared" si="1"/>
        <v>6.71</v>
      </c>
      <c r="G2868" s="1120">
        <v>6.71</v>
      </c>
      <c r="H2868" s="1127">
        <v>0.0</v>
      </c>
      <c r="I2868" s="1127">
        <v>0.0</v>
      </c>
      <c r="J2868" s="1127">
        <v>0.0</v>
      </c>
      <c r="K2868" s="1124"/>
    </row>
    <row r="2869" ht="15.75" customHeight="1">
      <c r="A2869" s="1119">
        <v>92866.0</v>
      </c>
      <c r="B2869" s="1125" t="s">
        <v>13147</v>
      </c>
      <c r="C2869" s="1126" t="s">
        <v>1788</v>
      </c>
      <c r="D2869" s="1119">
        <v>14.79</v>
      </c>
      <c r="E2869" s="1120">
        <v>9.84</v>
      </c>
      <c r="F2869" s="1121">
        <f t="shared" si="1"/>
        <v>4.95</v>
      </c>
      <c r="G2869" s="1120">
        <v>4.95</v>
      </c>
      <c r="H2869" s="1127">
        <v>0.0</v>
      </c>
      <c r="I2869" s="1127">
        <v>0.0</v>
      </c>
      <c r="J2869" s="1127">
        <v>0.0</v>
      </c>
      <c r="K2869" s="1124"/>
    </row>
    <row r="2870" ht="15.75" customHeight="1">
      <c r="A2870" s="1119">
        <v>92867.0</v>
      </c>
      <c r="B2870" s="1125" t="s">
        <v>13148</v>
      </c>
      <c r="C2870" s="1126" t="s">
        <v>1788</v>
      </c>
      <c r="D2870" s="1119">
        <v>35.13</v>
      </c>
      <c r="E2870" s="1120">
        <v>24.57</v>
      </c>
      <c r="F2870" s="1121">
        <f t="shared" si="1"/>
        <v>10.56</v>
      </c>
      <c r="G2870" s="1120">
        <v>10.56</v>
      </c>
      <c r="H2870" s="1127">
        <v>0.0</v>
      </c>
      <c r="I2870" s="1127">
        <v>0.0</v>
      </c>
      <c r="J2870" s="1127">
        <v>0.0</v>
      </c>
      <c r="K2870" s="1124"/>
    </row>
    <row r="2871" ht="15.75" customHeight="1">
      <c r="A2871" s="1119">
        <v>92868.0</v>
      </c>
      <c r="B2871" s="1125" t="s">
        <v>13149</v>
      </c>
      <c r="C2871" s="1126" t="s">
        <v>1788</v>
      </c>
      <c r="D2871" s="1119">
        <v>19.58</v>
      </c>
      <c r="E2871" s="1120">
        <v>13.05</v>
      </c>
      <c r="F2871" s="1121">
        <f t="shared" si="1"/>
        <v>6.53</v>
      </c>
      <c r="G2871" s="1120">
        <v>6.53</v>
      </c>
      <c r="H2871" s="1127">
        <v>0.0</v>
      </c>
      <c r="I2871" s="1127">
        <v>0.0</v>
      </c>
      <c r="J2871" s="1127">
        <v>0.0</v>
      </c>
      <c r="K2871" s="1124"/>
    </row>
    <row r="2872" ht="15.75" customHeight="1">
      <c r="A2872" s="1119">
        <v>92869.0</v>
      </c>
      <c r="B2872" s="1125" t="s">
        <v>13150</v>
      </c>
      <c r="C2872" s="1126" t="s">
        <v>1788</v>
      </c>
      <c r="D2872" s="1119">
        <v>11.96</v>
      </c>
      <c r="E2872" s="1120">
        <v>7.44</v>
      </c>
      <c r="F2872" s="1121">
        <f t="shared" si="1"/>
        <v>4.52</v>
      </c>
      <c r="G2872" s="1120">
        <v>4.52</v>
      </c>
      <c r="H2872" s="1127">
        <v>0.0</v>
      </c>
      <c r="I2872" s="1127">
        <v>0.0</v>
      </c>
      <c r="J2872" s="1127">
        <v>0.0</v>
      </c>
      <c r="K2872" s="1124"/>
    </row>
    <row r="2873" ht="15.75" customHeight="1">
      <c r="A2873" s="1119">
        <v>92870.0</v>
      </c>
      <c r="B2873" s="1125" t="s">
        <v>13151</v>
      </c>
      <c r="C2873" s="1126" t="s">
        <v>1788</v>
      </c>
      <c r="D2873" s="1119">
        <v>38.17</v>
      </c>
      <c r="E2873" s="1120">
        <v>25.46</v>
      </c>
      <c r="F2873" s="1121">
        <f t="shared" si="1"/>
        <v>12.71</v>
      </c>
      <c r="G2873" s="1120">
        <v>12.71</v>
      </c>
      <c r="H2873" s="1127">
        <v>0.0</v>
      </c>
      <c r="I2873" s="1127">
        <v>0.0</v>
      </c>
      <c r="J2873" s="1127">
        <v>0.0</v>
      </c>
      <c r="K2873" s="1124"/>
    </row>
    <row r="2874" ht="15.75" customHeight="1">
      <c r="A2874" s="1119">
        <v>92871.0</v>
      </c>
      <c r="B2874" s="1125" t="s">
        <v>13152</v>
      </c>
      <c r="C2874" s="1126" t="s">
        <v>1788</v>
      </c>
      <c r="D2874" s="1119">
        <v>22.09</v>
      </c>
      <c r="E2874" s="1120">
        <v>13.55</v>
      </c>
      <c r="F2874" s="1121">
        <f t="shared" si="1"/>
        <v>8.54</v>
      </c>
      <c r="G2874" s="1120">
        <v>8.54</v>
      </c>
      <c r="H2874" s="1127">
        <v>0.0</v>
      </c>
      <c r="I2874" s="1127">
        <v>0.0</v>
      </c>
      <c r="J2874" s="1127">
        <v>0.0</v>
      </c>
      <c r="K2874" s="1124"/>
    </row>
    <row r="2875" ht="15.75" customHeight="1">
      <c r="A2875" s="1119">
        <v>92872.0</v>
      </c>
      <c r="B2875" s="1125" t="s">
        <v>13153</v>
      </c>
      <c r="C2875" s="1126" t="s">
        <v>1788</v>
      </c>
      <c r="D2875" s="1119">
        <v>14.17</v>
      </c>
      <c r="E2875" s="1120">
        <v>7.69</v>
      </c>
      <c r="F2875" s="1121">
        <f t="shared" si="1"/>
        <v>6.48</v>
      </c>
      <c r="G2875" s="1120">
        <v>6.48</v>
      </c>
      <c r="H2875" s="1127">
        <v>0.0</v>
      </c>
      <c r="I2875" s="1127">
        <v>0.0</v>
      </c>
      <c r="J2875" s="1127">
        <v>0.0</v>
      </c>
      <c r="K2875" s="1124"/>
    </row>
    <row r="2876" ht="15.75" customHeight="1">
      <c r="A2876" s="1119">
        <v>95777.0</v>
      </c>
      <c r="B2876" s="1125" t="s">
        <v>13154</v>
      </c>
      <c r="C2876" s="1126" t="s">
        <v>1788</v>
      </c>
      <c r="D2876" s="1119">
        <v>30.01</v>
      </c>
      <c r="E2876" s="1120">
        <v>10.19</v>
      </c>
      <c r="F2876" s="1121">
        <f t="shared" si="1"/>
        <v>19.82</v>
      </c>
      <c r="G2876" s="1120">
        <v>19.82</v>
      </c>
      <c r="H2876" s="1127">
        <v>0.0</v>
      </c>
      <c r="I2876" s="1127">
        <v>0.0</v>
      </c>
      <c r="J2876" s="1127">
        <v>0.0</v>
      </c>
      <c r="K2876" s="1124"/>
    </row>
    <row r="2877" ht="15.75" customHeight="1">
      <c r="A2877" s="1119">
        <v>95778.0</v>
      </c>
      <c r="B2877" s="1125" t="s">
        <v>13155</v>
      </c>
      <c r="C2877" s="1126" t="s">
        <v>1788</v>
      </c>
      <c r="D2877" s="1119">
        <v>33.5</v>
      </c>
      <c r="E2877" s="1120">
        <v>12.07</v>
      </c>
      <c r="F2877" s="1121">
        <f t="shared" si="1"/>
        <v>21.44</v>
      </c>
      <c r="G2877" s="1120">
        <v>21.44</v>
      </c>
      <c r="H2877" s="1127">
        <v>0.0</v>
      </c>
      <c r="I2877" s="1127">
        <v>0.0</v>
      </c>
      <c r="J2877" s="1127">
        <v>0.0</v>
      </c>
      <c r="K2877" s="1124"/>
    </row>
    <row r="2878" ht="15.75" customHeight="1">
      <c r="A2878" s="1119">
        <v>95779.0</v>
      </c>
      <c r="B2878" s="1125" t="s">
        <v>13156</v>
      </c>
      <c r="C2878" s="1126" t="s">
        <v>1788</v>
      </c>
      <c r="D2878" s="1119">
        <v>27.78</v>
      </c>
      <c r="E2878" s="1120">
        <v>10.19</v>
      </c>
      <c r="F2878" s="1121">
        <f t="shared" si="1"/>
        <v>17.59</v>
      </c>
      <c r="G2878" s="1120">
        <v>17.59</v>
      </c>
      <c r="H2878" s="1127">
        <v>0.0</v>
      </c>
      <c r="I2878" s="1127">
        <v>0.0</v>
      </c>
      <c r="J2878" s="1127">
        <v>0.0</v>
      </c>
      <c r="K2878" s="1124"/>
    </row>
    <row r="2879" ht="15.75" customHeight="1">
      <c r="A2879" s="1119">
        <v>95780.0</v>
      </c>
      <c r="B2879" s="1125" t="s">
        <v>13157</v>
      </c>
      <c r="C2879" s="1126" t="s">
        <v>1788</v>
      </c>
      <c r="D2879" s="1119">
        <v>35.92</v>
      </c>
      <c r="E2879" s="1120">
        <v>11.29</v>
      </c>
      <c r="F2879" s="1121">
        <f t="shared" si="1"/>
        <v>24.62</v>
      </c>
      <c r="G2879" s="1120">
        <v>24.62</v>
      </c>
      <c r="H2879" s="1127">
        <v>0.0</v>
      </c>
      <c r="I2879" s="1127">
        <v>0.0</v>
      </c>
      <c r="J2879" s="1127">
        <v>0.0</v>
      </c>
      <c r="K2879" s="1124"/>
    </row>
    <row r="2880" ht="15.75" customHeight="1">
      <c r="A2880" s="1119">
        <v>95781.0</v>
      </c>
      <c r="B2880" s="1125" t="s">
        <v>13158</v>
      </c>
      <c r="C2880" s="1126" t="s">
        <v>1788</v>
      </c>
      <c r="D2880" s="1119">
        <v>40.66</v>
      </c>
      <c r="E2880" s="1120">
        <v>14.3</v>
      </c>
      <c r="F2880" s="1121">
        <f t="shared" si="1"/>
        <v>26.38</v>
      </c>
      <c r="G2880" s="1120">
        <v>26.38</v>
      </c>
      <c r="H2880" s="1127">
        <v>0.0</v>
      </c>
      <c r="I2880" s="1127">
        <v>0.0</v>
      </c>
      <c r="J2880" s="1127">
        <v>0.0</v>
      </c>
      <c r="K2880" s="1124"/>
    </row>
    <row r="2881" ht="15.75" customHeight="1">
      <c r="A2881" s="1119">
        <v>95782.0</v>
      </c>
      <c r="B2881" s="1125" t="s">
        <v>13159</v>
      </c>
      <c r="C2881" s="1126" t="s">
        <v>1788</v>
      </c>
      <c r="D2881" s="1119">
        <v>38.46</v>
      </c>
      <c r="E2881" s="1120">
        <v>11.29</v>
      </c>
      <c r="F2881" s="1121">
        <f t="shared" si="1"/>
        <v>27.16</v>
      </c>
      <c r="G2881" s="1120">
        <v>27.16</v>
      </c>
      <c r="H2881" s="1127">
        <v>0.0</v>
      </c>
      <c r="I2881" s="1127">
        <v>0.0</v>
      </c>
      <c r="J2881" s="1127">
        <v>0.0</v>
      </c>
      <c r="K2881" s="1124"/>
    </row>
    <row r="2882" ht="15.75" customHeight="1">
      <c r="A2882" s="1119">
        <v>95785.0</v>
      </c>
      <c r="B2882" s="1125" t="s">
        <v>13160</v>
      </c>
      <c r="C2882" s="1126" t="s">
        <v>1788</v>
      </c>
      <c r="D2882" s="1119">
        <v>45.67</v>
      </c>
      <c r="E2882" s="1120">
        <v>12.82</v>
      </c>
      <c r="F2882" s="1121">
        <f t="shared" si="1"/>
        <v>32.85</v>
      </c>
      <c r="G2882" s="1120">
        <v>32.85</v>
      </c>
      <c r="H2882" s="1127">
        <v>0.0</v>
      </c>
      <c r="I2882" s="1127">
        <v>0.0</v>
      </c>
      <c r="J2882" s="1127">
        <v>0.0</v>
      </c>
      <c r="K2882" s="1124"/>
    </row>
    <row r="2883" ht="15.75" customHeight="1">
      <c r="A2883" s="1119">
        <v>95787.0</v>
      </c>
      <c r="B2883" s="1125" t="s">
        <v>13161</v>
      </c>
      <c r="C2883" s="1126" t="s">
        <v>1788</v>
      </c>
      <c r="D2883" s="1119">
        <v>33.35</v>
      </c>
      <c r="E2883" s="1120">
        <v>13.97</v>
      </c>
      <c r="F2883" s="1121">
        <f t="shared" si="1"/>
        <v>19.38</v>
      </c>
      <c r="G2883" s="1120">
        <v>19.38</v>
      </c>
      <c r="H2883" s="1127">
        <v>0.0</v>
      </c>
      <c r="I2883" s="1127">
        <v>0.0</v>
      </c>
      <c r="J2883" s="1127">
        <v>0.0</v>
      </c>
      <c r="K2883" s="1124"/>
    </row>
    <row r="2884" ht="15.75" customHeight="1">
      <c r="A2884" s="1119">
        <v>95789.0</v>
      </c>
      <c r="B2884" s="1125" t="s">
        <v>13162</v>
      </c>
      <c r="C2884" s="1126" t="s">
        <v>1788</v>
      </c>
      <c r="D2884" s="1119">
        <v>45.81</v>
      </c>
      <c r="E2884" s="1120">
        <v>17.29</v>
      </c>
      <c r="F2884" s="1121">
        <f t="shared" si="1"/>
        <v>28.53</v>
      </c>
      <c r="G2884" s="1120">
        <v>28.53</v>
      </c>
      <c r="H2884" s="1127">
        <v>0.0</v>
      </c>
      <c r="I2884" s="1127">
        <v>0.0</v>
      </c>
      <c r="J2884" s="1127">
        <v>0.0</v>
      </c>
      <c r="K2884" s="1124"/>
    </row>
    <row r="2885" ht="15.75" customHeight="1">
      <c r="A2885" s="1119">
        <v>95791.0</v>
      </c>
      <c r="B2885" s="1125" t="s">
        <v>13163</v>
      </c>
      <c r="C2885" s="1126" t="s">
        <v>1788</v>
      </c>
      <c r="D2885" s="1119">
        <v>64.12</v>
      </c>
      <c r="E2885" s="1120">
        <v>21.91</v>
      </c>
      <c r="F2885" s="1121">
        <f t="shared" si="1"/>
        <v>42.21</v>
      </c>
      <c r="G2885" s="1120">
        <v>42.21</v>
      </c>
      <c r="H2885" s="1127">
        <v>0.0</v>
      </c>
      <c r="I2885" s="1127">
        <v>0.0</v>
      </c>
      <c r="J2885" s="1127">
        <v>0.0</v>
      </c>
      <c r="K2885" s="1124"/>
    </row>
    <row r="2886" ht="15.75" customHeight="1">
      <c r="A2886" s="1119">
        <v>95795.0</v>
      </c>
      <c r="B2886" s="1125" t="s">
        <v>13164</v>
      </c>
      <c r="C2886" s="1126" t="s">
        <v>1788</v>
      </c>
      <c r="D2886" s="1119">
        <v>38.05</v>
      </c>
      <c r="E2886" s="1120">
        <v>15.87</v>
      </c>
      <c r="F2886" s="1121">
        <f t="shared" si="1"/>
        <v>22.18</v>
      </c>
      <c r="G2886" s="1120">
        <v>22.18</v>
      </c>
      <c r="H2886" s="1127">
        <v>0.0</v>
      </c>
      <c r="I2886" s="1127">
        <v>0.0</v>
      </c>
      <c r="J2886" s="1127">
        <v>0.0</v>
      </c>
      <c r="K2886" s="1124"/>
    </row>
    <row r="2887" ht="15.75" customHeight="1">
      <c r="A2887" s="1119">
        <v>95796.0</v>
      </c>
      <c r="B2887" s="1125" t="s">
        <v>13165</v>
      </c>
      <c r="C2887" s="1126" t="s">
        <v>1788</v>
      </c>
      <c r="D2887" s="1119">
        <v>53.85</v>
      </c>
      <c r="E2887" s="1120">
        <v>20.27</v>
      </c>
      <c r="F2887" s="1121">
        <f t="shared" si="1"/>
        <v>33.58</v>
      </c>
      <c r="G2887" s="1120">
        <v>33.58</v>
      </c>
      <c r="H2887" s="1127">
        <v>0.0</v>
      </c>
      <c r="I2887" s="1127">
        <v>0.0</v>
      </c>
      <c r="J2887" s="1127">
        <v>0.0</v>
      </c>
      <c r="K2887" s="1124"/>
    </row>
    <row r="2888" ht="15.75" customHeight="1">
      <c r="A2888" s="1119">
        <v>95797.0</v>
      </c>
      <c r="B2888" s="1125" t="s">
        <v>13166</v>
      </c>
      <c r="C2888" s="1126" t="s">
        <v>1788</v>
      </c>
      <c r="D2888" s="1119">
        <v>74.82</v>
      </c>
      <c r="E2888" s="1120">
        <v>26.45</v>
      </c>
      <c r="F2888" s="1121">
        <f t="shared" si="1"/>
        <v>48.37</v>
      </c>
      <c r="G2888" s="1120">
        <v>48.37</v>
      </c>
      <c r="H2888" s="1127">
        <v>0.0</v>
      </c>
      <c r="I2888" s="1127">
        <v>0.0</v>
      </c>
      <c r="J2888" s="1127">
        <v>0.0</v>
      </c>
      <c r="K2888" s="1124"/>
    </row>
    <row r="2889" ht="15.75" customHeight="1">
      <c r="A2889" s="1119">
        <v>95801.0</v>
      </c>
      <c r="B2889" s="1125" t="s">
        <v>13167</v>
      </c>
      <c r="C2889" s="1126" t="s">
        <v>1788</v>
      </c>
      <c r="D2889" s="1119">
        <v>45.76</v>
      </c>
      <c r="E2889" s="1120">
        <v>17.75</v>
      </c>
      <c r="F2889" s="1121">
        <f t="shared" si="1"/>
        <v>28</v>
      </c>
      <c r="G2889" s="1120">
        <v>28.0</v>
      </c>
      <c r="H2889" s="1127">
        <v>0.0</v>
      </c>
      <c r="I2889" s="1127">
        <v>0.0</v>
      </c>
      <c r="J2889" s="1127">
        <v>0.0</v>
      </c>
      <c r="K2889" s="1124"/>
    </row>
    <row r="2890" ht="15.75" customHeight="1">
      <c r="A2890" s="1119">
        <v>95802.0</v>
      </c>
      <c r="B2890" s="1125" t="s">
        <v>13168</v>
      </c>
      <c r="C2890" s="1126" t="s">
        <v>1788</v>
      </c>
      <c r="D2890" s="1119">
        <v>56.8</v>
      </c>
      <c r="E2890" s="1120">
        <v>23.27</v>
      </c>
      <c r="F2890" s="1121">
        <f t="shared" si="1"/>
        <v>33.54</v>
      </c>
      <c r="G2890" s="1120">
        <v>33.54</v>
      </c>
      <c r="H2890" s="1127">
        <v>0.0</v>
      </c>
      <c r="I2890" s="1127">
        <v>0.0</v>
      </c>
      <c r="J2890" s="1127">
        <v>0.0</v>
      </c>
      <c r="K2890" s="1124"/>
    </row>
    <row r="2891" ht="15.75" customHeight="1">
      <c r="A2891" s="1119">
        <v>95803.0</v>
      </c>
      <c r="B2891" s="1125" t="s">
        <v>13169</v>
      </c>
      <c r="C2891" s="1126" t="s">
        <v>1788</v>
      </c>
      <c r="D2891" s="1119">
        <v>83.17</v>
      </c>
      <c r="E2891" s="1120">
        <v>31.0</v>
      </c>
      <c r="F2891" s="1121">
        <f t="shared" si="1"/>
        <v>52.19</v>
      </c>
      <c r="G2891" s="1120">
        <v>52.19</v>
      </c>
      <c r="H2891" s="1127">
        <v>0.0</v>
      </c>
      <c r="I2891" s="1127">
        <v>0.0</v>
      </c>
      <c r="J2891" s="1127">
        <v>0.0</v>
      </c>
      <c r="K2891" s="1124"/>
    </row>
    <row r="2892" ht="15.75" customHeight="1">
      <c r="A2892" s="1119">
        <v>95804.0</v>
      </c>
      <c r="B2892" s="1125" t="s">
        <v>13170</v>
      </c>
      <c r="C2892" s="1126" t="s">
        <v>1788</v>
      </c>
      <c r="D2892" s="1119">
        <v>27.39</v>
      </c>
      <c r="E2892" s="1120">
        <v>9.51</v>
      </c>
      <c r="F2892" s="1121">
        <f t="shared" si="1"/>
        <v>17.88</v>
      </c>
      <c r="G2892" s="1120">
        <v>17.88</v>
      </c>
      <c r="H2892" s="1127">
        <v>0.0</v>
      </c>
      <c r="I2892" s="1127">
        <v>0.0</v>
      </c>
      <c r="J2892" s="1127">
        <v>0.0</v>
      </c>
      <c r="K2892" s="1124"/>
    </row>
    <row r="2893" ht="15.75" customHeight="1">
      <c r="A2893" s="1119">
        <v>95805.0</v>
      </c>
      <c r="B2893" s="1125" t="s">
        <v>13171</v>
      </c>
      <c r="C2893" s="1126" t="s">
        <v>1788</v>
      </c>
      <c r="D2893" s="1119">
        <v>28.88</v>
      </c>
      <c r="E2893" s="1120">
        <v>10.61</v>
      </c>
      <c r="F2893" s="1121">
        <f t="shared" si="1"/>
        <v>18.27</v>
      </c>
      <c r="G2893" s="1120">
        <v>18.27</v>
      </c>
      <c r="H2893" s="1127">
        <v>0.0</v>
      </c>
      <c r="I2893" s="1127">
        <v>0.0</v>
      </c>
      <c r="J2893" s="1127">
        <v>0.0</v>
      </c>
      <c r="K2893" s="1124"/>
    </row>
    <row r="2894" ht="15.75" customHeight="1">
      <c r="A2894" s="1119">
        <v>95806.0</v>
      </c>
      <c r="B2894" s="1125" t="s">
        <v>13172</v>
      </c>
      <c r="C2894" s="1126" t="s">
        <v>1788</v>
      </c>
      <c r="D2894" s="1119">
        <v>31.63</v>
      </c>
      <c r="E2894" s="1120">
        <v>12.16</v>
      </c>
      <c r="F2894" s="1121">
        <f t="shared" si="1"/>
        <v>19.46</v>
      </c>
      <c r="G2894" s="1120">
        <v>19.46</v>
      </c>
      <c r="H2894" s="1127">
        <v>0.0</v>
      </c>
      <c r="I2894" s="1127">
        <v>0.0</v>
      </c>
      <c r="J2894" s="1127">
        <v>0.0</v>
      </c>
      <c r="K2894" s="1124"/>
    </row>
    <row r="2895" ht="15.75" customHeight="1">
      <c r="A2895" s="1119">
        <v>95807.0</v>
      </c>
      <c r="B2895" s="1125" t="s">
        <v>13173</v>
      </c>
      <c r="C2895" s="1126" t="s">
        <v>1788</v>
      </c>
      <c r="D2895" s="1119">
        <v>32.11</v>
      </c>
      <c r="E2895" s="1120">
        <v>11.95</v>
      </c>
      <c r="F2895" s="1121">
        <f t="shared" si="1"/>
        <v>20.18</v>
      </c>
      <c r="G2895" s="1120">
        <v>20.18</v>
      </c>
      <c r="H2895" s="1127">
        <v>0.0</v>
      </c>
      <c r="I2895" s="1127">
        <v>0.0</v>
      </c>
      <c r="J2895" s="1127">
        <v>0.0</v>
      </c>
      <c r="K2895" s="1124"/>
    </row>
    <row r="2896" ht="15.75" customHeight="1">
      <c r="A2896" s="1119">
        <v>95808.0</v>
      </c>
      <c r="B2896" s="1125" t="s">
        <v>13174</v>
      </c>
      <c r="C2896" s="1126" t="s">
        <v>1788</v>
      </c>
      <c r="D2896" s="1119">
        <v>36.59</v>
      </c>
      <c r="E2896" s="1120">
        <v>15.25</v>
      </c>
      <c r="F2896" s="1121">
        <f t="shared" si="1"/>
        <v>21.35</v>
      </c>
      <c r="G2896" s="1120">
        <v>21.35</v>
      </c>
      <c r="H2896" s="1127">
        <v>0.0</v>
      </c>
      <c r="I2896" s="1127">
        <v>0.0</v>
      </c>
      <c r="J2896" s="1127">
        <v>0.0</v>
      </c>
      <c r="K2896" s="1124"/>
    </row>
    <row r="2897" ht="15.75" customHeight="1">
      <c r="A2897" s="1119">
        <v>95809.0</v>
      </c>
      <c r="B2897" s="1125" t="s">
        <v>13175</v>
      </c>
      <c r="C2897" s="1126" t="s">
        <v>1788</v>
      </c>
      <c r="D2897" s="1119">
        <v>45.41</v>
      </c>
      <c r="E2897" s="1120">
        <v>19.88</v>
      </c>
      <c r="F2897" s="1121">
        <f t="shared" si="1"/>
        <v>25.54</v>
      </c>
      <c r="G2897" s="1120">
        <v>25.54</v>
      </c>
      <c r="H2897" s="1127">
        <v>0.0</v>
      </c>
      <c r="I2897" s="1127">
        <v>0.0</v>
      </c>
      <c r="J2897" s="1127">
        <v>0.0</v>
      </c>
      <c r="K2897" s="1124"/>
    </row>
    <row r="2898" ht="15.75" customHeight="1">
      <c r="A2898" s="1119">
        <v>95810.0</v>
      </c>
      <c r="B2898" s="1125" t="s">
        <v>13176</v>
      </c>
      <c r="C2898" s="1126" t="s">
        <v>1788</v>
      </c>
      <c r="D2898" s="1119">
        <v>20.38</v>
      </c>
      <c r="E2898" s="1120">
        <v>3.61</v>
      </c>
      <c r="F2898" s="1121">
        <f t="shared" si="1"/>
        <v>16.76</v>
      </c>
      <c r="G2898" s="1120">
        <v>16.76</v>
      </c>
      <c r="H2898" s="1127">
        <v>0.0</v>
      </c>
      <c r="I2898" s="1127">
        <v>0.0</v>
      </c>
      <c r="J2898" s="1127">
        <v>0.0</v>
      </c>
      <c r="K2898" s="1124"/>
    </row>
    <row r="2899" ht="15.75" customHeight="1">
      <c r="A2899" s="1119">
        <v>95811.0</v>
      </c>
      <c r="B2899" s="1125" t="s">
        <v>13177</v>
      </c>
      <c r="C2899" s="1126" t="s">
        <v>1788</v>
      </c>
      <c r="D2899" s="1119">
        <v>24.87</v>
      </c>
      <c r="E2899" s="1120">
        <v>6.95</v>
      </c>
      <c r="F2899" s="1121">
        <f t="shared" si="1"/>
        <v>17.92</v>
      </c>
      <c r="G2899" s="1120">
        <v>17.92</v>
      </c>
      <c r="H2899" s="1127">
        <v>0.0</v>
      </c>
      <c r="I2899" s="1127">
        <v>0.0</v>
      </c>
      <c r="J2899" s="1127">
        <v>0.0</v>
      </c>
      <c r="K2899" s="1124"/>
    </row>
    <row r="2900" ht="15.75" customHeight="1">
      <c r="A2900" s="1119">
        <v>95812.0</v>
      </c>
      <c r="B2900" s="1125" t="s">
        <v>13178</v>
      </c>
      <c r="C2900" s="1126" t="s">
        <v>1788</v>
      </c>
      <c r="D2900" s="1119">
        <v>33.68</v>
      </c>
      <c r="E2900" s="1120">
        <v>11.58</v>
      </c>
      <c r="F2900" s="1121">
        <f t="shared" si="1"/>
        <v>22.1</v>
      </c>
      <c r="G2900" s="1120">
        <v>22.1</v>
      </c>
      <c r="H2900" s="1127">
        <v>0.0</v>
      </c>
      <c r="I2900" s="1127">
        <v>0.0</v>
      </c>
      <c r="J2900" s="1127">
        <v>0.0</v>
      </c>
      <c r="K2900" s="1124"/>
    </row>
    <row r="2901" ht="15.75" customHeight="1">
      <c r="A2901" s="1119">
        <v>95813.0</v>
      </c>
      <c r="B2901" s="1125" t="s">
        <v>13179</v>
      </c>
      <c r="C2901" s="1126" t="s">
        <v>1788</v>
      </c>
      <c r="D2901" s="1119">
        <v>23.63</v>
      </c>
      <c r="E2901" s="1120">
        <v>4.84</v>
      </c>
      <c r="F2901" s="1121">
        <f t="shared" si="1"/>
        <v>18.79</v>
      </c>
      <c r="G2901" s="1120">
        <v>18.79</v>
      </c>
      <c r="H2901" s="1127">
        <v>0.0</v>
      </c>
      <c r="I2901" s="1127">
        <v>0.0</v>
      </c>
      <c r="J2901" s="1127">
        <v>0.0</v>
      </c>
      <c r="K2901" s="1124"/>
    </row>
    <row r="2902" ht="15.75" customHeight="1">
      <c r="A2902" s="1119">
        <v>95814.0</v>
      </c>
      <c r="B2902" s="1125" t="s">
        <v>13180</v>
      </c>
      <c r="C2902" s="1126" t="s">
        <v>1788</v>
      </c>
      <c r="D2902" s="1119">
        <v>29.61</v>
      </c>
      <c r="E2902" s="1120">
        <v>9.28</v>
      </c>
      <c r="F2902" s="1121">
        <f t="shared" si="1"/>
        <v>20.34</v>
      </c>
      <c r="G2902" s="1120">
        <v>20.34</v>
      </c>
      <c r="H2902" s="1127">
        <v>0.0</v>
      </c>
      <c r="I2902" s="1127">
        <v>0.0</v>
      </c>
      <c r="J2902" s="1127">
        <v>0.0</v>
      </c>
      <c r="K2902" s="1124"/>
    </row>
    <row r="2903" ht="15.75" customHeight="1">
      <c r="A2903" s="1119">
        <v>95815.0</v>
      </c>
      <c r="B2903" s="1125" t="s">
        <v>13181</v>
      </c>
      <c r="C2903" s="1126" t="s">
        <v>1788</v>
      </c>
      <c r="D2903" s="1119">
        <v>43.41</v>
      </c>
      <c r="E2903" s="1120">
        <v>15.46</v>
      </c>
      <c r="F2903" s="1121">
        <f t="shared" si="1"/>
        <v>27.96</v>
      </c>
      <c r="G2903" s="1120">
        <v>27.96</v>
      </c>
      <c r="H2903" s="1127">
        <v>0.0</v>
      </c>
      <c r="I2903" s="1127">
        <v>0.0</v>
      </c>
      <c r="J2903" s="1127">
        <v>0.0</v>
      </c>
      <c r="K2903" s="1124"/>
    </row>
    <row r="2904" ht="15.75" customHeight="1">
      <c r="A2904" s="1119">
        <v>95816.0</v>
      </c>
      <c r="B2904" s="1125" t="s">
        <v>13182</v>
      </c>
      <c r="C2904" s="1126" t="s">
        <v>1788</v>
      </c>
      <c r="D2904" s="1119">
        <v>38.93</v>
      </c>
      <c r="E2904" s="1120">
        <v>14.38</v>
      </c>
      <c r="F2904" s="1121">
        <f t="shared" si="1"/>
        <v>24.55</v>
      </c>
      <c r="G2904" s="1120">
        <v>24.55</v>
      </c>
      <c r="H2904" s="1127">
        <v>0.0</v>
      </c>
      <c r="I2904" s="1127">
        <v>0.0</v>
      </c>
      <c r="J2904" s="1127">
        <v>0.0</v>
      </c>
      <c r="K2904" s="1124"/>
    </row>
    <row r="2905" ht="15.75" customHeight="1">
      <c r="A2905" s="1119">
        <v>95817.0</v>
      </c>
      <c r="B2905" s="1125" t="s">
        <v>13183</v>
      </c>
      <c r="C2905" s="1126" t="s">
        <v>1788</v>
      </c>
      <c r="D2905" s="1119">
        <v>45.77</v>
      </c>
      <c r="E2905" s="1120">
        <v>19.88</v>
      </c>
      <c r="F2905" s="1121">
        <f t="shared" si="1"/>
        <v>25.9</v>
      </c>
      <c r="G2905" s="1120">
        <v>25.9</v>
      </c>
      <c r="H2905" s="1127">
        <v>0.0</v>
      </c>
      <c r="I2905" s="1127">
        <v>0.0</v>
      </c>
      <c r="J2905" s="1127">
        <v>0.0</v>
      </c>
      <c r="K2905" s="1124"/>
    </row>
    <row r="2906" ht="15.75" customHeight="1">
      <c r="A2906" s="1119">
        <v>95818.0</v>
      </c>
      <c r="B2906" s="1125" t="s">
        <v>13184</v>
      </c>
      <c r="C2906" s="1126" t="s">
        <v>1788</v>
      </c>
      <c r="D2906" s="1119">
        <v>63.59</v>
      </c>
      <c r="E2906" s="1120">
        <v>27.61</v>
      </c>
      <c r="F2906" s="1121">
        <f t="shared" si="1"/>
        <v>35.99</v>
      </c>
      <c r="G2906" s="1120">
        <v>35.99</v>
      </c>
      <c r="H2906" s="1127">
        <v>0.0</v>
      </c>
      <c r="I2906" s="1127">
        <v>0.0</v>
      </c>
      <c r="J2906" s="1127">
        <v>0.0</v>
      </c>
      <c r="K2906" s="1124"/>
    </row>
    <row r="2907" ht="15.75" customHeight="1">
      <c r="A2907" s="1119">
        <v>97881.0</v>
      </c>
      <c r="B2907" s="1125" t="s">
        <v>13185</v>
      </c>
      <c r="C2907" s="1126" t="s">
        <v>1788</v>
      </c>
      <c r="D2907" s="1119">
        <v>108.38</v>
      </c>
      <c r="E2907" s="1120">
        <v>23.26</v>
      </c>
      <c r="F2907" s="1121">
        <f t="shared" si="1"/>
        <v>85.13</v>
      </c>
      <c r="G2907" s="1120">
        <v>85.0</v>
      </c>
      <c r="H2907" s="1127">
        <v>0.11</v>
      </c>
      <c r="I2907" s="1127">
        <v>0.0</v>
      </c>
      <c r="J2907" s="1127">
        <v>0.02</v>
      </c>
      <c r="K2907" s="1124"/>
    </row>
    <row r="2908" ht="15.75" customHeight="1">
      <c r="A2908" s="1119">
        <v>97882.0</v>
      </c>
      <c r="B2908" s="1125" t="s">
        <v>13186</v>
      </c>
      <c r="C2908" s="1126" t="s">
        <v>1788</v>
      </c>
      <c r="D2908" s="1119">
        <v>168.87</v>
      </c>
      <c r="E2908" s="1120">
        <v>33.21</v>
      </c>
      <c r="F2908" s="1121">
        <f t="shared" si="1"/>
        <v>135.66</v>
      </c>
      <c r="G2908" s="1120">
        <v>135.4</v>
      </c>
      <c r="H2908" s="1127">
        <v>0.22</v>
      </c>
      <c r="I2908" s="1127">
        <v>0.0</v>
      </c>
      <c r="J2908" s="1127">
        <v>0.04</v>
      </c>
      <c r="K2908" s="1124"/>
    </row>
    <row r="2909" ht="15.75" customHeight="1">
      <c r="A2909" s="1119">
        <v>97883.0</v>
      </c>
      <c r="B2909" s="1125" t="s">
        <v>13187</v>
      </c>
      <c r="C2909" s="1126" t="s">
        <v>1788</v>
      </c>
      <c r="D2909" s="1119">
        <v>324.64</v>
      </c>
      <c r="E2909" s="1120">
        <v>57.76</v>
      </c>
      <c r="F2909" s="1121">
        <f t="shared" si="1"/>
        <v>266.92</v>
      </c>
      <c r="G2909" s="1120">
        <v>262.63</v>
      </c>
      <c r="H2909" s="1127">
        <v>4.21</v>
      </c>
      <c r="I2909" s="1127">
        <v>0.0</v>
      </c>
      <c r="J2909" s="1127">
        <v>0.08</v>
      </c>
      <c r="K2909" s="1124"/>
    </row>
    <row r="2910" ht="15.75" customHeight="1">
      <c r="A2910" s="1119">
        <v>97884.0</v>
      </c>
      <c r="B2910" s="1125" t="s">
        <v>13188</v>
      </c>
      <c r="C2910" s="1126" t="s">
        <v>1788</v>
      </c>
      <c r="D2910" s="1119">
        <v>626.95</v>
      </c>
      <c r="E2910" s="1120">
        <v>96.81</v>
      </c>
      <c r="F2910" s="1121">
        <f t="shared" si="1"/>
        <v>530.11</v>
      </c>
      <c r="G2910" s="1120">
        <v>523.77</v>
      </c>
      <c r="H2910" s="1127">
        <v>6.19</v>
      </c>
      <c r="I2910" s="1127">
        <v>0.0</v>
      </c>
      <c r="J2910" s="1127">
        <v>0.15</v>
      </c>
      <c r="K2910" s="1124"/>
    </row>
    <row r="2911" ht="15.75" customHeight="1">
      <c r="A2911" s="1119">
        <v>97885.0</v>
      </c>
      <c r="B2911" s="1125" t="s">
        <v>13189</v>
      </c>
      <c r="C2911" s="1126" t="s">
        <v>1788</v>
      </c>
      <c r="D2911" s="1119">
        <v>955.61</v>
      </c>
      <c r="E2911" s="1120">
        <v>131.11</v>
      </c>
      <c r="F2911" s="1121">
        <f t="shared" si="1"/>
        <v>824.54</v>
      </c>
      <c r="G2911" s="1120">
        <v>812.0</v>
      </c>
      <c r="H2911" s="1127">
        <v>12.29</v>
      </c>
      <c r="I2911" s="1127">
        <v>0.0</v>
      </c>
      <c r="J2911" s="1127">
        <v>0.25</v>
      </c>
      <c r="K2911" s="1124"/>
    </row>
    <row r="2912" ht="15.75" customHeight="1">
      <c r="A2912" s="1119">
        <v>97886.0</v>
      </c>
      <c r="B2912" s="1125" t="s">
        <v>13190</v>
      </c>
      <c r="C2912" s="1126" t="s">
        <v>1788</v>
      </c>
      <c r="D2912" s="1119">
        <v>179.24</v>
      </c>
      <c r="E2912" s="1120">
        <v>86.24</v>
      </c>
      <c r="F2912" s="1121">
        <f t="shared" si="1"/>
        <v>93.03</v>
      </c>
      <c r="G2912" s="1120">
        <v>92.69</v>
      </c>
      <c r="H2912" s="1127">
        <v>0.28</v>
      </c>
      <c r="I2912" s="1127">
        <v>0.0</v>
      </c>
      <c r="J2912" s="1127">
        <v>0.06</v>
      </c>
      <c r="K2912" s="1124"/>
    </row>
    <row r="2913" ht="15.75" customHeight="1">
      <c r="A2913" s="1119">
        <v>97887.0</v>
      </c>
      <c r="B2913" s="1125" t="s">
        <v>13191</v>
      </c>
      <c r="C2913" s="1126" t="s">
        <v>1788</v>
      </c>
      <c r="D2913" s="1119">
        <v>282.87</v>
      </c>
      <c r="E2913" s="1120">
        <v>135.18</v>
      </c>
      <c r="F2913" s="1121">
        <f t="shared" si="1"/>
        <v>147.74</v>
      </c>
      <c r="G2913" s="1120">
        <v>147.17</v>
      </c>
      <c r="H2913" s="1127">
        <v>0.45</v>
      </c>
      <c r="I2913" s="1127">
        <v>0.0</v>
      </c>
      <c r="J2913" s="1127">
        <v>0.12</v>
      </c>
      <c r="K2913" s="1124"/>
    </row>
    <row r="2914" ht="15.75" customHeight="1">
      <c r="A2914" s="1119">
        <v>97888.0</v>
      </c>
      <c r="B2914" s="1125" t="s">
        <v>13192</v>
      </c>
      <c r="C2914" s="1126" t="s">
        <v>1788</v>
      </c>
      <c r="D2914" s="1119">
        <v>545.62</v>
      </c>
      <c r="E2914" s="1120">
        <v>252.05</v>
      </c>
      <c r="F2914" s="1121">
        <f t="shared" si="1"/>
        <v>293.61</v>
      </c>
      <c r="G2914" s="1120">
        <v>291.74</v>
      </c>
      <c r="H2914" s="1127">
        <v>1.68</v>
      </c>
      <c r="I2914" s="1127">
        <v>0.0</v>
      </c>
      <c r="J2914" s="1127">
        <v>0.19</v>
      </c>
      <c r="K2914" s="1124"/>
    </row>
    <row r="2915" ht="15.75" customHeight="1">
      <c r="A2915" s="1119">
        <v>97889.0</v>
      </c>
      <c r="B2915" s="1125" t="s">
        <v>13193</v>
      </c>
      <c r="C2915" s="1126" t="s">
        <v>1788</v>
      </c>
      <c r="D2915" s="1119">
        <v>738.66</v>
      </c>
      <c r="E2915" s="1120">
        <v>342.96</v>
      </c>
      <c r="F2915" s="1121">
        <f t="shared" si="1"/>
        <v>395.74</v>
      </c>
      <c r="G2915" s="1120">
        <v>392.83</v>
      </c>
      <c r="H2915" s="1127">
        <v>2.62</v>
      </c>
      <c r="I2915" s="1127">
        <v>0.0</v>
      </c>
      <c r="J2915" s="1127">
        <v>0.29</v>
      </c>
      <c r="K2915" s="1124"/>
    </row>
    <row r="2916" ht="15.75" customHeight="1">
      <c r="A2916" s="1119">
        <v>97890.0</v>
      </c>
      <c r="B2916" s="1125" t="s">
        <v>13194</v>
      </c>
      <c r="C2916" s="1126" t="s">
        <v>1788</v>
      </c>
      <c r="D2916" s="1119">
        <v>832.95</v>
      </c>
      <c r="E2916" s="1120">
        <v>349.85</v>
      </c>
      <c r="F2916" s="1121">
        <f t="shared" si="1"/>
        <v>483.12</v>
      </c>
      <c r="G2916" s="1120">
        <v>475.6</v>
      </c>
      <c r="H2916" s="1127">
        <v>7.27</v>
      </c>
      <c r="I2916" s="1127">
        <v>0.0</v>
      </c>
      <c r="J2916" s="1127">
        <v>0.25</v>
      </c>
      <c r="K2916" s="1124"/>
    </row>
    <row r="2917" ht="15.75" customHeight="1">
      <c r="A2917" s="1119">
        <v>97891.0</v>
      </c>
      <c r="B2917" s="1125" t="s">
        <v>13195</v>
      </c>
      <c r="C2917" s="1126" t="s">
        <v>1788</v>
      </c>
      <c r="D2917" s="1119">
        <v>211.2</v>
      </c>
      <c r="E2917" s="1120">
        <v>105.51</v>
      </c>
      <c r="F2917" s="1121">
        <f t="shared" si="1"/>
        <v>105.75</v>
      </c>
      <c r="G2917" s="1120">
        <v>105.23</v>
      </c>
      <c r="H2917" s="1127">
        <v>0.42</v>
      </c>
      <c r="I2917" s="1127">
        <v>0.0</v>
      </c>
      <c r="J2917" s="1127">
        <v>0.1</v>
      </c>
      <c r="K2917" s="1124"/>
    </row>
    <row r="2918" ht="15.75" customHeight="1">
      <c r="A2918" s="1119">
        <v>97892.0</v>
      </c>
      <c r="B2918" s="1125" t="s">
        <v>13196</v>
      </c>
      <c r="C2918" s="1126" t="s">
        <v>1788</v>
      </c>
      <c r="D2918" s="1119">
        <v>394.11</v>
      </c>
      <c r="E2918" s="1120">
        <v>189.29</v>
      </c>
      <c r="F2918" s="1121">
        <f t="shared" si="1"/>
        <v>204.87</v>
      </c>
      <c r="G2918" s="1120">
        <v>203.1</v>
      </c>
      <c r="H2918" s="1127">
        <v>1.61</v>
      </c>
      <c r="I2918" s="1127">
        <v>0.0</v>
      </c>
      <c r="J2918" s="1127">
        <v>0.16</v>
      </c>
      <c r="K2918" s="1124"/>
    </row>
    <row r="2919" ht="15.75" customHeight="1">
      <c r="A2919" s="1119">
        <v>97893.0</v>
      </c>
      <c r="B2919" s="1125" t="s">
        <v>13197</v>
      </c>
      <c r="C2919" s="1126" t="s">
        <v>1788</v>
      </c>
      <c r="D2919" s="1119">
        <v>545.43</v>
      </c>
      <c r="E2919" s="1120">
        <v>262.95</v>
      </c>
      <c r="F2919" s="1121">
        <f t="shared" si="1"/>
        <v>282.53</v>
      </c>
      <c r="G2919" s="1120">
        <v>279.75</v>
      </c>
      <c r="H2919" s="1127">
        <v>2.53</v>
      </c>
      <c r="I2919" s="1127">
        <v>0.0</v>
      </c>
      <c r="J2919" s="1127">
        <v>0.25</v>
      </c>
      <c r="K2919" s="1124"/>
    </row>
    <row r="2920" ht="15.75" customHeight="1">
      <c r="A2920" s="1119">
        <v>97894.0</v>
      </c>
      <c r="B2920" s="1125" t="s">
        <v>13198</v>
      </c>
      <c r="C2920" s="1126" t="s">
        <v>1788</v>
      </c>
      <c r="D2920" s="1119">
        <v>598.8</v>
      </c>
      <c r="E2920" s="1120">
        <v>252.84</v>
      </c>
      <c r="F2920" s="1121">
        <f t="shared" si="1"/>
        <v>345.99</v>
      </c>
      <c r="G2920" s="1120">
        <v>338.6</v>
      </c>
      <c r="H2920" s="1127">
        <v>7.19</v>
      </c>
      <c r="I2920" s="1127">
        <v>0.0</v>
      </c>
      <c r="J2920" s="1127">
        <v>0.2</v>
      </c>
      <c r="K2920" s="1124"/>
    </row>
    <row r="2921" ht="15.75" customHeight="1">
      <c r="A2921" s="1119">
        <v>104396.0</v>
      </c>
      <c r="B2921" s="1125" t="s">
        <v>13199</v>
      </c>
      <c r="C2921" s="1126" t="s">
        <v>1788</v>
      </c>
      <c r="D2921" s="1119">
        <v>27.17</v>
      </c>
      <c r="E2921" s="1120">
        <v>10.62</v>
      </c>
      <c r="F2921" s="1121">
        <f t="shared" si="1"/>
        <v>16.56</v>
      </c>
      <c r="G2921" s="1120">
        <v>16.56</v>
      </c>
      <c r="H2921" s="1127">
        <v>0.0</v>
      </c>
      <c r="I2921" s="1127">
        <v>0.0</v>
      </c>
      <c r="J2921" s="1127">
        <v>0.0</v>
      </c>
      <c r="K2921" s="1124"/>
    </row>
    <row r="2922" ht="15.75" customHeight="1">
      <c r="A2922" s="1119">
        <v>104397.0</v>
      </c>
      <c r="B2922" s="1125" t="s">
        <v>13200</v>
      </c>
      <c r="C2922" s="1126" t="s">
        <v>1788</v>
      </c>
      <c r="D2922" s="1119">
        <v>32.45</v>
      </c>
      <c r="E2922" s="1120">
        <v>12.16</v>
      </c>
      <c r="F2922" s="1121">
        <f t="shared" si="1"/>
        <v>20.28</v>
      </c>
      <c r="G2922" s="1120">
        <v>20.28</v>
      </c>
      <c r="H2922" s="1127">
        <v>0.0</v>
      </c>
      <c r="I2922" s="1127">
        <v>0.0</v>
      </c>
      <c r="J2922" s="1127">
        <v>0.0</v>
      </c>
      <c r="K2922" s="1124"/>
    </row>
    <row r="2923" ht="15.75" customHeight="1">
      <c r="A2923" s="1119">
        <v>104398.0</v>
      </c>
      <c r="B2923" s="1125" t="s">
        <v>13201</v>
      </c>
      <c r="C2923" s="1126" t="s">
        <v>1788</v>
      </c>
      <c r="D2923" s="1119">
        <v>32.09</v>
      </c>
      <c r="E2923" s="1120">
        <v>11.95</v>
      </c>
      <c r="F2923" s="1121">
        <f t="shared" si="1"/>
        <v>20.16</v>
      </c>
      <c r="G2923" s="1120">
        <v>20.16</v>
      </c>
      <c r="H2923" s="1127">
        <v>0.0</v>
      </c>
      <c r="I2923" s="1127">
        <v>0.0</v>
      </c>
      <c r="J2923" s="1127">
        <v>0.0</v>
      </c>
      <c r="K2923" s="1124"/>
    </row>
    <row r="2924" ht="15.75" customHeight="1">
      <c r="A2924" s="1119">
        <v>104399.0</v>
      </c>
      <c r="B2924" s="1125" t="s">
        <v>13202</v>
      </c>
      <c r="C2924" s="1126" t="s">
        <v>1788</v>
      </c>
      <c r="D2924" s="1119">
        <v>34.87</v>
      </c>
      <c r="E2924" s="1120">
        <v>15.25</v>
      </c>
      <c r="F2924" s="1121">
        <f t="shared" si="1"/>
        <v>19.63</v>
      </c>
      <c r="G2924" s="1120">
        <v>19.63</v>
      </c>
      <c r="H2924" s="1127">
        <v>0.0</v>
      </c>
      <c r="I2924" s="1127">
        <v>0.0</v>
      </c>
      <c r="J2924" s="1127">
        <v>0.0</v>
      </c>
      <c r="K2924" s="1124"/>
    </row>
    <row r="2925" ht="15.75" customHeight="1">
      <c r="A2925" s="1119">
        <v>104400.0</v>
      </c>
      <c r="B2925" s="1125" t="s">
        <v>13203</v>
      </c>
      <c r="C2925" s="1126" t="s">
        <v>1788</v>
      </c>
      <c r="D2925" s="1119">
        <v>44.67</v>
      </c>
      <c r="E2925" s="1120">
        <v>19.88</v>
      </c>
      <c r="F2925" s="1121">
        <f t="shared" si="1"/>
        <v>24.8</v>
      </c>
      <c r="G2925" s="1120">
        <v>24.8</v>
      </c>
      <c r="H2925" s="1127">
        <v>0.0</v>
      </c>
      <c r="I2925" s="1127">
        <v>0.0</v>
      </c>
      <c r="J2925" s="1127">
        <v>0.0</v>
      </c>
      <c r="K2925" s="1124"/>
    </row>
    <row r="2926" ht="15.75" customHeight="1">
      <c r="A2926" s="1119">
        <v>104401.0</v>
      </c>
      <c r="B2926" s="1125" t="s">
        <v>13204</v>
      </c>
      <c r="C2926" s="1126" t="s">
        <v>1788</v>
      </c>
      <c r="D2926" s="1119">
        <v>30.45</v>
      </c>
      <c r="E2926" s="1120">
        <v>10.73</v>
      </c>
      <c r="F2926" s="1121">
        <f t="shared" si="1"/>
        <v>19.71</v>
      </c>
      <c r="G2926" s="1120">
        <v>19.71</v>
      </c>
      <c r="H2926" s="1127">
        <v>0.0</v>
      </c>
      <c r="I2926" s="1127">
        <v>0.0</v>
      </c>
      <c r="J2926" s="1127">
        <v>0.0</v>
      </c>
      <c r="K2926" s="1124"/>
    </row>
    <row r="2927" ht="15.75" customHeight="1">
      <c r="A2927" s="1119">
        <v>104402.0</v>
      </c>
      <c r="B2927" s="1125" t="s">
        <v>13205</v>
      </c>
      <c r="C2927" s="1126" t="s">
        <v>1788</v>
      </c>
      <c r="D2927" s="1119">
        <v>31.74</v>
      </c>
      <c r="E2927" s="1120">
        <v>12.93</v>
      </c>
      <c r="F2927" s="1121">
        <f t="shared" si="1"/>
        <v>18.81</v>
      </c>
      <c r="G2927" s="1120">
        <v>18.81</v>
      </c>
      <c r="H2927" s="1127">
        <v>0.0</v>
      </c>
      <c r="I2927" s="1127">
        <v>0.0</v>
      </c>
      <c r="J2927" s="1127">
        <v>0.0</v>
      </c>
      <c r="K2927" s="1124"/>
    </row>
    <row r="2928" ht="15.75" customHeight="1">
      <c r="A2928" s="1119">
        <v>104403.0</v>
      </c>
      <c r="B2928" s="1125" t="s">
        <v>13206</v>
      </c>
      <c r="C2928" s="1126" t="s">
        <v>1788</v>
      </c>
      <c r="D2928" s="1119">
        <v>39.45</v>
      </c>
      <c r="E2928" s="1120">
        <v>16.02</v>
      </c>
      <c r="F2928" s="1121">
        <f t="shared" si="1"/>
        <v>23.42</v>
      </c>
      <c r="G2928" s="1120">
        <v>23.42</v>
      </c>
      <c r="H2928" s="1127">
        <v>0.0</v>
      </c>
      <c r="I2928" s="1127">
        <v>0.0</v>
      </c>
      <c r="J2928" s="1127">
        <v>0.0</v>
      </c>
      <c r="K2928" s="1124"/>
    </row>
    <row r="2929" ht="15.75" customHeight="1">
      <c r="A2929" s="1119">
        <v>104404.0</v>
      </c>
      <c r="B2929" s="1125" t="s">
        <v>13207</v>
      </c>
      <c r="C2929" s="1126" t="s">
        <v>1788</v>
      </c>
      <c r="D2929" s="1119">
        <v>40.8</v>
      </c>
      <c r="E2929" s="1120">
        <v>17.57</v>
      </c>
      <c r="F2929" s="1121">
        <f t="shared" si="1"/>
        <v>23.24</v>
      </c>
      <c r="G2929" s="1120">
        <v>23.24</v>
      </c>
      <c r="H2929" s="1127">
        <v>0.0</v>
      </c>
      <c r="I2929" s="1127">
        <v>0.0</v>
      </c>
      <c r="J2929" s="1127">
        <v>0.0</v>
      </c>
      <c r="K2929" s="1124"/>
    </row>
    <row r="2930" ht="15.75" customHeight="1">
      <c r="A2930" s="1119">
        <v>104405.0</v>
      </c>
      <c r="B2930" s="1125" t="s">
        <v>13208</v>
      </c>
      <c r="C2930" s="1126" t="s">
        <v>1788</v>
      </c>
      <c r="D2930" s="1119">
        <v>55.13</v>
      </c>
      <c r="E2930" s="1120">
        <v>23.73</v>
      </c>
      <c r="F2930" s="1121">
        <f t="shared" si="1"/>
        <v>31.39</v>
      </c>
      <c r="G2930" s="1120">
        <v>31.39</v>
      </c>
      <c r="H2930" s="1127">
        <v>0.0</v>
      </c>
      <c r="I2930" s="1127">
        <v>0.0</v>
      </c>
      <c r="J2930" s="1127">
        <v>0.0</v>
      </c>
      <c r="K2930" s="1124"/>
    </row>
    <row r="2931" ht="15.75" customHeight="1">
      <c r="A2931" s="1119">
        <v>93653.0</v>
      </c>
      <c r="B2931" s="1125" t="s">
        <v>13209</v>
      </c>
      <c r="C2931" s="1126" t="s">
        <v>1788</v>
      </c>
      <c r="D2931" s="1119">
        <v>12.28</v>
      </c>
      <c r="E2931" s="1120">
        <v>1.55</v>
      </c>
      <c r="F2931" s="1121">
        <f t="shared" si="1"/>
        <v>10.73</v>
      </c>
      <c r="G2931" s="1120">
        <v>10.73</v>
      </c>
      <c r="H2931" s="1127">
        <v>0.0</v>
      </c>
      <c r="I2931" s="1127">
        <v>0.0</v>
      </c>
      <c r="J2931" s="1127">
        <v>0.0</v>
      </c>
      <c r="K2931" s="1124"/>
    </row>
    <row r="2932" ht="15.75" customHeight="1">
      <c r="A2932" s="1119">
        <v>93654.0</v>
      </c>
      <c r="B2932" s="1125" t="s">
        <v>13210</v>
      </c>
      <c r="C2932" s="1126" t="s">
        <v>1788</v>
      </c>
      <c r="D2932" s="1119">
        <v>13.02</v>
      </c>
      <c r="E2932" s="1120">
        <v>2.08</v>
      </c>
      <c r="F2932" s="1121">
        <f t="shared" si="1"/>
        <v>10.95</v>
      </c>
      <c r="G2932" s="1120">
        <v>10.95</v>
      </c>
      <c r="H2932" s="1127">
        <v>0.0</v>
      </c>
      <c r="I2932" s="1127">
        <v>0.0</v>
      </c>
      <c r="J2932" s="1127">
        <v>0.0</v>
      </c>
      <c r="K2932" s="1124"/>
    </row>
    <row r="2933" ht="15.75" customHeight="1">
      <c r="A2933" s="1119">
        <v>93655.0</v>
      </c>
      <c r="B2933" s="1125" t="s">
        <v>13211</v>
      </c>
      <c r="C2933" s="1126" t="s">
        <v>1788</v>
      </c>
      <c r="D2933" s="1119">
        <v>14.45</v>
      </c>
      <c r="E2933" s="1120">
        <v>2.93</v>
      </c>
      <c r="F2933" s="1121">
        <f t="shared" si="1"/>
        <v>11.51</v>
      </c>
      <c r="G2933" s="1120">
        <v>11.51</v>
      </c>
      <c r="H2933" s="1127">
        <v>0.0</v>
      </c>
      <c r="I2933" s="1127">
        <v>0.0</v>
      </c>
      <c r="J2933" s="1127">
        <v>0.0</v>
      </c>
      <c r="K2933" s="1124"/>
    </row>
    <row r="2934" ht="15.75" customHeight="1">
      <c r="A2934" s="1119">
        <v>93656.0</v>
      </c>
      <c r="B2934" s="1125" t="s">
        <v>13212</v>
      </c>
      <c r="C2934" s="1126" t="s">
        <v>1788</v>
      </c>
      <c r="D2934" s="1119">
        <v>14.45</v>
      </c>
      <c r="E2934" s="1120">
        <v>2.93</v>
      </c>
      <c r="F2934" s="1121">
        <f t="shared" si="1"/>
        <v>11.51</v>
      </c>
      <c r="G2934" s="1120">
        <v>11.51</v>
      </c>
      <c r="H2934" s="1127">
        <v>0.0</v>
      </c>
      <c r="I2934" s="1127">
        <v>0.0</v>
      </c>
      <c r="J2934" s="1127">
        <v>0.0</v>
      </c>
      <c r="K2934" s="1124"/>
    </row>
    <row r="2935" ht="15.75" customHeight="1">
      <c r="A2935" s="1119">
        <v>93657.0</v>
      </c>
      <c r="B2935" s="1125" t="s">
        <v>13213</v>
      </c>
      <c r="C2935" s="1126" t="s">
        <v>1788</v>
      </c>
      <c r="D2935" s="1119">
        <v>16.19</v>
      </c>
      <c r="E2935" s="1120">
        <v>4.03</v>
      </c>
      <c r="F2935" s="1121">
        <f t="shared" si="1"/>
        <v>12.16</v>
      </c>
      <c r="G2935" s="1120">
        <v>12.16</v>
      </c>
      <c r="H2935" s="1127">
        <v>0.0</v>
      </c>
      <c r="I2935" s="1127">
        <v>0.0</v>
      </c>
      <c r="J2935" s="1127">
        <v>0.0</v>
      </c>
      <c r="K2935" s="1124"/>
    </row>
    <row r="2936" ht="15.75" customHeight="1">
      <c r="A2936" s="1119">
        <v>93658.0</v>
      </c>
      <c r="B2936" s="1125" t="s">
        <v>13214</v>
      </c>
      <c r="C2936" s="1126" t="s">
        <v>1788</v>
      </c>
      <c r="D2936" s="1119">
        <v>23.38</v>
      </c>
      <c r="E2936" s="1120">
        <v>5.98</v>
      </c>
      <c r="F2936" s="1121">
        <f t="shared" si="1"/>
        <v>17.41</v>
      </c>
      <c r="G2936" s="1120">
        <v>17.41</v>
      </c>
      <c r="H2936" s="1127">
        <v>0.0</v>
      </c>
      <c r="I2936" s="1127">
        <v>0.0</v>
      </c>
      <c r="J2936" s="1127">
        <v>0.0</v>
      </c>
      <c r="K2936" s="1124"/>
    </row>
    <row r="2937" ht="15.75" customHeight="1">
      <c r="A2937" s="1119">
        <v>93659.0</v>
      </c>
      <c r="B2937" s="1125" t="s">
        <v>13215</v>
      </c>
      <c r="C2937" s="1126" t="s">
        <v>1788</v>
      </c>
      <c r="D2937" s="1119">
        <v>26.93</v>
      </c>
      <c r="E2937" s="1120">
        <v>8.37</v>
      </c>
      <c r="F2937" s="1121">
        <f t="shared" si="1"/>
        <v>18.56</v>
      </c>
      <c r="G2937" s="1120">
        <v>18.56</v>
      </c>
      <c r="H2937" s="1127">
        <v>0.0</v>
      </c>
      <c r="I2937" s="1127">
        <v>0.0</v>
      </c>
      <c r="J2937" s="1127">
        <v>0.0</v>
      </c>
      <c r="K2937" s="1124"/>
    </row>
    <row r="2938" ht="15.75" customHeight="1">
      <c r="A2938" s="1119">
        <v>93660.0</v>
      </c>
      <c r="B2938" s="1125" t="s">
        <v>13216</v>
      </c>
      <c r="C2938" s="1126" t="s">
        <v>1788</v>
      </c>
      <c r="D2938" s="1119">
        <v>58.86</v>
      </c>
      <c r="E2938" s="1120">
        <v>3.09</v>
      </c>
      <c r="F2938" s="1121">
        <f t="shared" si="1"/>
        <v>55.77</v>
      </c>
      <c r="G2938" s="1120">
        <v>55.77</v>
      </c>
      <c r="H2938" s="1127">
        <v>0.0</v>
      </c>
      <c r="I2938" s="1127">
        <v>0.0</v>
      </c>
      <c r="J2938" s="1127">
        <v>0.0</v>
      </c>
      <c r="K2938" s="1124"/>
    </row>
    <row r="2939" ht="15.75" customHeight="1">
      <c r="A2939" s="1119">
        <v>93661.0</v>
      </c>
      <c r="B2939" s="1125" t="s">
        <v>13217</v>
      </c>
      <c r="C2939" s="1126" t="s">
        <v>1788</v>
      </c>
      <c r="D2939" s="1119">
        <v>60.35</v>
      </c>
      <c r="E2939" s="1120">
        <v>4.18</v>
      </c>
      <c r="F2939" s="1121">
        <f t="shared" si="1"/>
        <v>56.16</v>
      </c>
      <c r="G2939" s="1120">
        <v>56.16</v>
      </c>
      <c r="H2939" s="1127">
        <v>0.0</v>
      </c>
      <c r="I2939" s="1127">
        <v>0.0</v>
      </c>
      <c r="J2939" s="1127">
        <v>0.0</v>
      </c>
      <c r="K2939" s="1124"/>
    </row>
    <row r="2940" ht="15.75" customHeight="1">
      <c r="A2940" s="1119">
        <v>93662.0</v>
      </c>
      <c r="B2940" s="1125" t="s">
        <v>13218</v>
      </c>
      <c r="C2940" s="1126" t="s">
        <v>1788</v>
      </c>
      <c r="D2940" s="1119">
        <v>63.19</v>
      </c>
      <c r="E2940" s="1120">
        <v>5.84</v>
      </c>
      <c r="F2940" s="1121">
        <f t="shared" si="1"/>
        <v>57.34</v>
      </c>
      <c r="G2940" s="1120">
        <v>57.34</v>
      </c>
      <c r="H2940" s="1127">
        <v>0.0</v>
      </c>
      <c r="I2940" s="1127">
        <v>0.0</v>
      </c>
      <c r="J2940" s="1127">
        <v>0.0</v>
      </c>
      <c r="K2940" s="1124"/>
    </row>
    <row r="2941" ht="15.75" customHeight="1">
      <c r="A2941" s="1119">
        <v>93663.0</v>
      </c>
      <c r="B2941" s="1125" t="s">
        <v>13219</v>
      </c>
      <c r="C2941" s="1126" t="s">
        <v>1788</v>
      </c>
      <c r="D2941" s="1119">
        <v>63.19</v>
      </c>
      <c r="E2941" s="1120">
        <v>5.84</v>
      </c>
      <c r="F2941" s="1121">
        <f t="shared" si="1"/>
        <v>57.34</v>
      </c>
      <c r="G2941" s="1120">
        <v>57.34</v>
      </c>
      <c r="H2941" s="1127">
        <v>0.0</v>
      </c>
      <c r="I2941" s="1127">
        <v>0.0</v>
      </c>
      <c r="J2941" s="1127">
        <v>0.0</v>
      </c>
      <c r="K2941" s="1124"/>
    </row>
    <row r="2942" ht="15.75" customHeight="1">
      <c r="A2942" s="1119">
        <v>93664.0</v>
      </c>
      <c r="B2942" s="1125" t="s">
        <v>13220</v>
      </c>
      <c r="C2942" s="1126" t="s">
        <v>1788</v>
      </c>
      <c r="D2942" s="1119">
        <v>66.68</v>
      </c>
      <c r="E2942" s="1120">
        <v>8.06</v>
      </c>
      <c r="F2942" s="1121">
        <f t="shared" si="1"/>
        <v>58.62</v>
      </c>
      <c r="G2942" s="1120">
        <v>58.62</v>
      </c>
      <c r="H2942" s="1127">
        <v>0.0</v>
      </c>
      <c r="I2942" s="1127">
        <v>0.0</v>
      </c>
      <c r="J2942" s="1127">
        <v>0.0</v>
      </c>
      <c r="K2942" s="1124"/>
    </row>
    <row r="2943" ht="15.75" customHeight="1">
      <c r="A2943" s="1119">
        <v>93665.0</v>
      </c>
      <c r="B2943" s="1125" t="s">
        <v>13221</v>
      </c>
      <c r="C2943" s="1126" t="s">
        <v>1788</v>
      </c>
      <c r="D2943" s="1119">
        <v>71.4</v>
      </c>
      <c r="E2943" s="1120">
        <v>11.97</v>
      </c>
      <c r="F2943" s="1121">
        <f t="shared" si="1"/>
        <v>59.44</v>
      </c>
      <c r="G2943" s="1120">
        <v>59.44</v>
      </c>
      <c r="H2943" s="1127">
        <v>0.0</v>
      </c>
      <c r="I2943" s="1127">
        <v>0.0</v>
      </c>
      <c r="J2943" s="1127">
        <v>0.0</v>
      </c>
      <c r="K2943" s="1124"/>
    </row>
    <row r="2944" ht="15.75" customHeight="1">
      <c r="A2944" s="1119">
        <v>93666.0</v>
      </c>
      <c r="B2944" s="1125" t="s">
        <v>13222</v>
      </c>
      <c r="C2944" s="1126" t="s">
        <v>1788</v>
      </c>
      <c r="D2944" s="1119">
        <v>78.49</v>
      </c>
      <c r="E2944" s="1120">
        <v>16.75</v>
      </c>
      <c r="F2944" s="1121">
        <f t="shared" si="1"/>
        <v>61.75</v>
      </c>
      <c r="G2944" s="1120">
        <v>61.75</v>
      </c>
      <c r="H2944" s="1127">
        <v>0.0</v>
      </c>
      <c r="I2944" s="1127">
        <v>0.0</v>
      </c>
      <c r="J2944" s="1127">
        <v>0.0</v>
      </c>
      <c r="K2944" s="1124"/>
    </row>
    <row r="2945" ht="15.75" customHeight="1">
      <c r="A2945" s="1119">
        <v>93667.0</v>
      </c>
      <c r="B2945" s="1125" t="s">
        <v>13223</v>
      </c>
      <c r="C2945" s="1126" t="s">
        <v>1788</v>
      </c>
      <c r="D2945" s="1119">
        <v>73.82</v>
      </c>
      <c r="E2945" s="1120">
        <v>4.64</v>
      </c>
      <c r="F2945" s="1121">
        <f t="shared" si="1"/>
        <v>69.17</v>
      </c>
      <c r="G2945" s="1120">
        <v>69.17</v>
      </c>
      <c r="H2945" s="1127">
        <v>0.0</v>
      </c>
      <c r="I2945" s="1127">
        <v>0.0</v>
      </c>
      <c r="J2945" s="1127">
        <v>0.0</v>
      </c>
      <c r="K2945" s="1124"/>
    </row>
    <row r="2946" ht="15.75" customHeight="1">
      <c r="A2946" s="1119">
        <v>93668.0</v>
      </c>
      <c r="B2946" s="1125" t="s">
        <v>13224</v>
      </c>
      <c r="C2946" s="1126" t="s">
        <v>1788</v>
      </c>
      <c r="D2946" s="1119">
        <v>76.06</v>
      </c>
      <c r="E2946" s="1120">
        <v>6.3</v>
      </c>
      <c r="F2946" s="1121">
        <f t="shared" si="1"/>
        <v>69.76</v>
      </c>
      <c r="G2946" s="1120">
        <v>69.76</v>
      </c>
      <c r="H2946" s="1127">
        <v>0.0</v>
      </c>
      <c r="I2946" s="1127">
        <v>0.0</v>
      </c>
      <c r="J2946" s="1127">
        <v>0.0</v>
      </c>
      <c r="K2946" s="1124"/>
    </row>
    <row r="2947" ht="15.75" customHeight="1">
      <c r="A2947" s="1119">
        <v>93669.0</v>
      </c>
      <c r="B2947" s="1125" t="s">
        <v>13225</v>
      </c>
      <c r="C2947" s="1126" t="s">
        <v>1788</v>
      </c>
      <c r="D2947" s="1119">
        <v>80.32</v>
      </c>
      <c r="E2947" s="1120">
        <v>8.79</v>
      </c>
      <c r="F2947" s="1121">
        <f t="shared" si="1"/>
        <v>71.54</v>
      </c>
      <c r="G2947" s="1120">
        <v>71.54</v>
      </c>
      <c r="H2947" s="1127">
        <v>0.0</v>
      </c>
      <c r="I2947" s="1127">
        <v>0.0</v>
      </c>
      <c r="J2947" s="1127">
        <v>0.0</v>
      </c>
      <c r="K2947" s="1124"/>
    </row>
    <row r="2948" ht="15.75" customHeight="1">
      <c r="A2948" s="1119">
        <v>93670.0</v>
      </c>
      <c r="B2948" s="1125" t="s">
        <v>13226</v>
      </c>
      <c r="C2948" s="1126" t="s">
        <v>1788</v>
      </c>
      <c r="D2948" s="1119">
        <v>80.32</v>
      </c>
      <c r="E2948" s="1120">
        <v>8.79</v>
      </c>
      <c r="F2948" s="1121">
        <f t="shared" si="1"/>
        <v>71.54</v>
      </c>
      <c r="G2948" s="1120">
        <v>71.54</v>
      </c>
      <c r="H2948" s="1127">
        <v>0.0</v>
      </c>
      <c r="I2948" s="1127">
        <v>0.0</v>
      </c>
      <c r="J2948" s="1127">
        <v>0.0</v>
      </c>
      <c r="K2948" s="1124"/>
    </row>
    <row r="2949" ht="15.75" customHeight="1">
      <c r="A2949" s="1119">
        <v>93671.0</v>
      </c>
      <c r="B2949" s="1125" t="s">
        <v>13227</v>
      </c>
      <c r="C2949" s="1126" t="s">
        <v>1788</v>
      </c>
      <c r="D2949" s="1119">
        <v>85.54</v>
      </c>
      <c r="E2949" s="1120">
        <v>12.09</v>
      </c>
      <c r="F2949" s="1121">
        <f t="shared" si="1"/>
        <v>73.46</v>
      </c>
      <c r="G2949" s="1120">
        <v>73.46</v>
      </c>
      <c r="H2949" s="1127">
        <v>0.0</v>
      </c>
      <c r="I2949" s="1127">
        <v>0.0</v>
      </c>
      <c r="J2949" s="1127">
        <v>0.0</v>
      </c>
      <c r="K2949" s="1124"/>
    </row>
    <row r="2950" ht="15.75" customHeight="1">
      <c r="A2950" s="1119">
        <v>93672.0</v>
      </c>
      <c r="B2950" s="1125" t="s">
        <v>13228</v>
      </c>
      <c r="C2950" s="1126" t="s">
        <v>1788</v>
      </c>
      <c r="D2950" s="1119">
        <v>93.84</v>
      </c>
      <c r="E2950" s="1120">
        <v>17.96</v>
      </c>
      <c r="F2950" s="1121">
        <f t="shared" si="1"/>
        <v>75.89</v>
      </c>
      <c r="G2950" s="1120">
        <v>75.89</v>
      </c>
      <c r="H2950" s="1127">
        <v>0.0</v>
      </c>
      <c r="I2950" s="1127">
        <v>0.0</v>
      </c>
      <c r="J2950" s="1127">
        <v>0.0</v>
      </c>
      <c r="K2950" s="1124"/>
    </row>
    <row r="2951" ht="15.75" customHeight="1">
      <c r="A2951" s="1119">
        <v>93673.0</v>
      </c>
      <c r="B2951" s="1125" t="s">
        <v>13229</v>
      </c>
      <c r="C2951" s="1126" t="s">
        <v>1788</v>
      </c>
      <c r="D2951" s="1119">
        <v>104.5</v>
      </c>
      <c r="E2951" s="1120">
        <v>25.14</v>
      </c>
      <c r="F2951" s="1121">
        <f t="shared" si="1"/>
        <v>79.36</v>
      </c>
      <c r="G2951" s="1120">
        <v>79.36</v>
      </c>
      <c r="H2951" s="1127">
        <v>0.0</v>
      </c>
      <c r="I2951" s="1127">
        <v>0.0</v>
      </c>
      <c r="J2951" s="1127">
        <v>0.0</v>
      </c>
      <c r="K2951" s="1124"/>
    </row>
    <row r="2952" ht="15.75" customHeight="1">
      <c r="A2952" s="1119">
        <v>97359.0</v>
      </c>
      <c r="B2952" s="1125" t="s">
        <v>13230</v>
      </c>
      <c r="C2952" s="1126" t="s">
        <v>1788</v>
      </c>
      <c r="D2952" s="1128">
        <v>4179.91</v>
      </c>
      <c r="E2952" s="1120">
        <v>162.1</v>
      </c>
      <c r="F2952" s="1121">
        <f t="shared" si="1"/>
        <v>4017.82</v>
      </c>
      <c r="G2952" s="1120">
        <v>4017.82</v>
      </c>
      <c r="H2952" s="1127">
        <v>0.0</v>
      </c>
      <c r="I2952" s="1127">
        <v>0.0</v>
      </c>
      <c r="J2952" s="1127">
        <v>0.0</v>
      </c>
      <c r="K2952" s="1124"/>
    </row>
    <row r="2953" ht="15.75" customHeight="1">
      <c r="A2953" s="1119">
        <v>97360.0</v>
      </c>
      <c r="B2953" s="1125" t="s">
        <v>13231</v>
      </c>
      <c r="C2953" s="1126" t="s">
        <v>1788</v>
      </c>
      <c r="D2953" s="1128">
        <v>8052.0</v>
      </c>
      <c r="E2953" s="1120">
        <v>243.16</v>
      </c>
      <c r="F2953" s="1121">
        <f t="shared" si="1"/>
        <v>7808.85</v>
      </c>
      <c r="G2953" s="1120">
        <v>7808.85</v>
      </c>
      <c r="H2953" s="1127">
        <v>0.0</v>
      </c>
      <c r="I2953" s="1127">
        <v>0.0</v>
      </c>
      <c r="J2953" s="1127">
        <v>0.0</v>
      </c>
      <c r="K2953" s="1124"/>
    </row>
    <row r="2954" ht="15.75" customHeight="1">
      <c r="A2954" s="1119">
        <v>97361.0</v>
      </c>
      <c r="B2954" s="1125" t="s">
        <v>13232</v>
      </c>
      <c r="C2954" s="1126" t="s">
        <v>1788</v>
      </c>
      <c r="D2954" s="1128">
        <v>10736.01</v>
      </c>
      <c r="E2954" s="1120">
        <v>324.22</v>
      </c>
      <c r="F2954" s="1121">
        <f t="shared" si="1"/>
        <v>10411.81</v>
      </c>
      <c r="G2954" s="1120">
        <v>10411.81</v>
      </c>
      <c r="H2954" s="1127">
        <v>0.0</v>
      </c>
      <c r="I2954" s="1127">
        <v>0.0</v>
      </c>
      <c r="J2954" s="1127">
        <v>0.0</v>
      </c>
      <c r="K2954" s="1124"/>
    </row>
    <row r="2955" ht="15.75" customHeight="1">
      <c r="A2955" s="1119">
        <v>97362.0</v>
      </c>
      <c r="B2955" s="1125" t="s">
        <v>13233</v>
      </c>
      <c r="C2955" s="1126" t="s">
        <v>1788</v>
      </c>
      <c r="D2955" s="1128">
        <v>1764.48</v>
      </c>
      <c r="E2955" s="1120">
        <v>37.55</v>
      </c>
      <c r="F2955" s="1121">
        <f t="shared" si="1"/>
        <v>1726.92</v>
      </c>
      <c r="G2955" s="1120">
        <v>1726.92</v>
      </c>
      <c r="H2955" s="1127">
        <v>0.0</v>
      </c>
      <c r="I2955" s="1127">
        <v>0.0</v>
      </c>
      <c r="J2955" s="1127">
        <v>0.0</v>
      </c>
      <c r="K2955" s="1124"/>
    </row>
    <row r="2956" ht="15.75" customHeight="1">
      <c r="A2956" s="1119">
        <v>101875.0</v>
      </c>
      <c r="B2956" s="1125" t="s">
        <v>13234</v>
      </c>
      <c r="C2956" s="1126" t="s">
        <v>1788</v>
      </c>
      <c r="D2956" s="1119">
        <v>384.1</v>
      </c>
      <c r="E2956" s="1120">
        <v>23.57</v>
      </c>
      <c r="F2956" s="1121">
        <f t="shared" si="1"/>
        <v>360.53</v>
      </c>
      <c r="G2956" s="1120">
        <v>360.53</v>
      </c>
      <c r="H2956" s="1127">
        <v>0.0</v>
      </c>
      <c r="I2956" s="1127">
        <v>0.0</v>
      </c>
      <c r="J2956" s="1127">
        <v>0.0</v>
      </c>
      <c r="K2956" s="1124"/>
    </row>
    <row r="2957" ht="15.75" customHeight="1">
      <c r="A2957" s="1119">
        <v>101876.0</v>
      </c>
      <c r="B2957" s="1125" t="s">
        <v>13235</v>
      </c>
      <c r="C2957" s="1126" t="s">
        <v>1788</v>
      </c>
      <c r="D2957" s="1119">
        <v>94.22</v>
      </c>
      <c r="E2957" s="1120">
        <v>15.28</v>
      </c>
      <c r="F2957" s="1121">
        <f t="shared" si="1"/>
        <v>78.95</v>
      </c>
      <c r="G2957" s="1120">
        <v>78.95</v>
      </c>
      <c r="H2957" s="1127">
        <v>0.0</v>
      </c>
      <c r="I2957" s="1127">
        <v>0.0</v>
      </c>
      <c r="J2957" s="1127">
        <v>0.0</v>
      </c>
      <c r="K2957" s="1124"/>
    </row>
    <row r="2958" ht="15.75" customHeight="1">
      <c r="A2958" s="1119">
        <v>101877.0</v>
      </c>
      <c r="B2958" s="1125" t="s">
        <v>13236</v>
      </c>
      <c r="C2958" s="1126" t="s">
        <v>1788</v>
      </c>
      <c r="D2958" s="1119">
        <v>65.17</v>
      </c>
      <c r="E2958" s="1120">
        <v>13.55</v>
      </c>
      <c r="F2958" s="1121">
        <f t="shared" si="1"/>
        <v>51.61</v>
      </c>
      <c r="G2958" s="1120">
        <v>51.61</v>
      </c>
      <c r="H2958" s="1127">
        <v>0.0</v>
      </c>
      <c r="I2958" s="1127">
        <v>0.0</v>
      </c>
      <c r="J2958" s="1127">
        <v>0.0</v>
      </c>
      <c r="K2958" s="1124"/>
    </row>
    <row r="2959" ht="15.75" customHeight="1">
      <c r="A2959" s="1119">
        <v>101878.0</v>
      </c>
      <c r="B2959" s="1125" t="s">
        <v>13237</v>
      </c>
      <c r="C2959" s="1126" t="s">
        <v>1788</v>
      </c>
      <c r="D2959" s="1119">
        <v>541.71</v>
      </c>
      <c r="E2959" s="1120">
        <v>67.45</v>
      </c>
      <c r="F2959" s="1121">
        <f t="shared" si="1"/>
        <v>474.26</v>
      </c>
      <c r="G2959" s="1120">
        <v>474.26</v>
      </c>
      <c r="H2959" s="1127">
        <v>0.0</v>
      </c>
      <c r="I2959" s="1127">
        <v>0.0</v>
      </c>
      <c r="J2959" s="1127">
        <v>0.0</v>
      </c>
      <c r="K2959" s="1124"/>
    </row>
    <row r="2960" ht="15.75" customHeight="1">
      <c r="A2960" s="1119">
        <v>101879.0</v>
      </c>
      <c r="B2960" s="1125" t="s">
        <v>13238</v>
      </c>
      <c r="C2960" s="1126" t="s">
        <v>1788</v>
      </c>
      <c r="D2960" s="1119">
        <v>553.28</v>
      </c>
      <c r="E2960" s="1120">
        <v>26.46</v>
      </c>
      <c r="F2960" s="1121">
        <f t="shared" si="1"/>
        <v>526.8</v>
      </c>
      <c r="G2960" s="1120">
        <v>526.8</v>
      </c>
      <c r="H2960" s="1127">
        <v>0.0</v>
      </c>
      <c r="I2960" s="1127">
        <v>0.0</v>
      </c>
      <c r="J2960" s="1127">
        <v>0.0</v>
      </c>
      <c r="K2960" s="1124"/>
    </row>
    <row r="2961" ht="15.75" customHeight="1">
      <c r="A2961" s="1119">
        <v>101880.0</v>
      </c>
      <c r="B2961" s="1125" t="s">
        <v>13239</v>
      </c>
      <c r="C2961" s="1126" t="s">
        <v>1788</v>
      </c>
      <c r="D2961" s="1119">
        <v>637.6</v>
      </c>
      <c r="E2961" s="1120">
        <v>31.79</v>
      </c>
      <c r="F2961" s="1121">
        <f t="shared" si="1"/>
        <v>605.81</v>
      </c>
      <c r="G2961" s="1120">
        <v>605.81</v>
      </c>
      <c r="H2961" s="1127">
        <v>0.0</v>
      </c>
      <c r="I2961" s="1127">
        <v>0.0</v>
      </c>
      <c r="J2961" s="1127">
        <v>0.0</v>
      </c>
      <c r="K2961" s="1124"/>
    </row>
    <row r="2962" ht="15.75" customHeight="1">
      <c r="A2962" s="1119">
        <v>101881.0</v>
      </c>
      <c r="B2962" s="1125" t="s">
        <v>13240</v>
      </c>
      <c r="C2962" s="1126" t="s">
        <v>1788</v>
      </c>
      <c r="D2962" s="1119">
        <v>911.71</v>
      </c>
      <c r="E2962" s="1120">
        <v>31.93</v>
      </c>
      <c r="F2962" s="1121">
        <f t="shared" si="1"/>
        <v>879.77</v>
      </c>
      <c r="G2962" s="1120">
        <v>879.77</v>
      </c>
      <c r="H2962" s="1127">
        <v>0.0</v>
      </c>
      <c r="I2962" s="1127">
        <v>0.0</v>
      </c>
      <c r="J2962" s="1127">
        <v>0.0</v>
      </c>
      <c r="K2962" s="1124"/>
    </row>
    <row r="2963" ht="15.75" customHeight="1">
      <c r="A2963" s="1119">
        <v>101882.0</v>
      </c>
      <c r="B2963" s="1125" t="s">
        <v>13241</v>
      </c>
      <c r="C2963" s="1126" t="s">
        <v>1788</v>
      </c>
      <c r="D2963" s="1128">
        <v>1289.41</v>
      </c>
      <c r="E2963" s="1120">
        <v>31.86</v>
      </c>
      <c r="F2963" s="1121">
        <f t="shared" si="1"/>
        <v>1257.56</v>
      </c>
      <c r="G2963" s="1120">
        <v>1257.56</v>
      </c>
      <c r="H2963" s="1127">
        <v>0.0</v>
      </c>
      <c r="I2963" s="1127">
        <v>0.0</v>
      </c>
      <c r="J2963" s="1127">
        <v>0.0</v>
      </c>
      <c r="K2963" s="1124"/>
    </row>
    <row r="2964" ht="15.75" customHeight="1">
      <c r="A2964" s="1119">
        <v>101883.0</v>
      </c>
      <c r="B2964" s="1125" t="s">
        <v>13242</v>
      </c>
      <c r="C2964" s="1126" t="s">
        <v>1788</v>
      </c>
      <c r="D2964" s="1119">
        <v>527.76</v>
      </c>
      <c r="E2964" s="1120">
        <v>26.22</v>
      </c>
      <c r="F2964" s="1121">
        <f t="shared" si="1"/>
        <v>501.55</v>
      </c>
      <c r="G2964" s="1120">
        <v>501.55</v>
      </c>
      <c r="H2964" s="1127">
        <v>0.0</v>
      </c>
      <c r="I2964" s="1127">
        <v>0.0</v>
      </c>
      <c r="J2964" s="1127">
        <v>0.0</v>
      </c>
      <c r="K2964" s="1124"/>
    </row>
    <row r="2965" ht="15.75" customHeight="1">
      <c r="A2965" s="1119">
        <v>101890.0</v>
      </c>
      <c r="B2965" s="1125" t="s">
        <v>13243</v>
      </c>
      <c r="C2965" s="1126" t="s">
        <v>1788</v>
      </c>
      <c r="D2965" s="1119">
        <v>17.16</v>
      </c>
      <c r="E2965" s="1120">
        <v>2.93</v>
      </c>
      <c r="F2965" s="1121">
        <f t="shared" si="1"/>
        <v>14.23</v>
      </c>
      <c r="G2965" s="1120">
        <v>14.23</v>
      </c>
      <c r="H2965" s="1127">
        <v>0.0</v>
      </c>
      <c r="I2965" s="1127">
        <v>0.0</v>
      </c>
      <c r="J2965" s="1127">
        <v>0.0</v>
      </c>
      <c r="K2965" s="1124"/>
    </row>
    <row r="2966" ht="15.75" customHeight="1">
      <c r="A2966" s="1119">
        <v>101891.0</v>
      </c>
      <c r="B2966" s="1125" t="s">
        <v>13244</v>
      </c>
      <c r="C2966" s="1126" t="s">
        <v>1788</v>
      </c>
      <c r="D2966" s="1119">
        <v>29.72</v>
      </c>
      <c r="E2966" s="1120">
        <v>5.97</v>
      </c>
      <c r="F2966" s="1121">
        <f t="shared" si="1"/>
        <v>23.75</v>
      </c>
      <c r="G2966" s="1120">
        <v>23.75</v>
      </c>
      <c r="H2966" s="1127">
        <v>0.0</v>
      </c>
      <c r="I2966" s="1127">
        <v>0.0</v>
      </c>
      <c r="J2966" s="1127">
        <v>0.0</v>
      </c>
      <c r="K2966" s="1124"/>
    </row>
    <row r="2967" ht="15.75" customHeight="1">
      <c r="A2967" s="1119">
        <v>101892.0</v>
      </c>
      <c r="B2967" s="1125" t="s">
        <v>13245</v>
      </c>
      <c r="C2967" s="1126" t="s">
        <v>1788</v>
      </c>
      <c r="D2967" s="1119">
        <v>74.56</v>
      </c>
      <c r="E2967" s="1120">
        <v>5.84</v>
      </c>
      <c r="F2967" s="1121">
        <f t="shared" si="1"/>
        <v>68.71</v>
      </c>
      <c r="G2967" s="1120">
        <v>68.71</v>
      </c>
      <c r="H2967" s="1127">
        <v>0.0</v>
      </c>
      <c r="I2967" s="1127">
        <v>0.0</v>
      </c>
      <c r="J2967" s="1127">
        <v>0.0</v>
      </c>
      <c r="K2967" s="1124"/>
    </row>
    <row r="2968" ht="15.75" customHeight="1">
      <c r="A2968" s="1119">
        <v>101893.0</v>
      </c>
      <c r="B2968" s="1125" t="s">
        <v>13246</v>
      </c>
      <c r="C2968" s="1126" t="s">
        <v>1788</v>
      </c>
      <c r="D2968" s="1119">
        <v>95.67</v>
      </c>
      <c r="E2968" s="1120">
        <v>8.79</v>
      </c>
      <c r="F2968" s="1121">
        <f t="shared" si="1"/>
        <v>86.89</v>
      </c>
      <c r="G2968" s="1120">
        <v>86.89</v>
      </c>
      <c r="H2968" s="1127">
        <v>0.0</v>
      </c>
      <c r="I2968" s="1127">
        <v>0.0</v>
      </c>
      <c r="J2968" s="1127">
        <v>0.0</v>
      </c>
      <c r="K2968" s="1124"/>
    </row>
    <row r="2969" ht="15.75" customHeight="1">
      <c r="A2969" s="1119">
        <v>101894.0</v>
      </c>
      <c r="B2969" s="1125" t="s">
        <v>13247</v>
      </c>
      <c r="C2969" s="1126" t="s">
        <v>1788</v>
      </c>
      <c r="D2969" s="1119">
        <v>167.71</v>
      </c>
      <c r="E2969" s="1120">
        <v>34.66</v>
      </c>
      <c r="F2969" s="1121">
        <f t="shared" si="1"/>
        <v>133.05</v>
      </c>
      <c r="G2969" s="1120">
        <v>133.05</v>
      </c>
      <c r="H2969" s="1127">
        <v>0.0</v>
      </c>
      <c r="I2969" s="1127">
        <v>0.0</v>
      </c>
      <c r="J2969" s="1127">
        <v>0.0</v>
      </c>
      <c r="K2969" s="1124"/>
    </row>
    <row r="2970" ht="15.75" customHeight="1">
      <c r="A2970" s="1119">
        <v>101895.0</v>
      </c>
      <c r="B2970" s="1125" t="s">
        <v>13248</v>
      </c>
      <c r="C2970" s="1126" t="s">
        <v>1788</v>
      </c>
      <c r="D2970" s="1119">
        <v>447.38</v>
      </c>
      <c r="E2970" s="1120">
        <v>58.6</v>
      </c>
      <c r="F2970" s="1121">
        <f t="shared" si="1"/>
        <v>388.79</v>
      </c>
      <c r="G2970" s="1120">
        <v>388.79</v>
      </c>
      <c r="H2970" s="1127">
        <v>0.0</v>
      </c>
      <c r="I2970" s="1127">
        <v>0.0</v>
      </c>
      <c r="J2970" s="1127">
        <v>0.0</v>
      </c>
      <c r="K2970" s="1124"/>
    </row>
    <row r="2971" ht="15.75" customHeight="1">
      <c r="A2971" s="1119">
        <v>101896.0</v>
      </c>
      <c r="B2971" s="1125" t="s">
        <v>13249</v>
      </c>
      <c r="C2971" s="1126" t="s">
        <v>1788</v>
      </c>
      <c r="D2971" s="1119">
        <v>664.34</v>
      </c>
      <c r="E2971" s="1120">
        <v>58.59</v>
      </c>
      <c r="F2971" s="1121">
        <f t="shared" si="1"/>
        <v>605.76</v>
      </c>
      <c r="G2971" s="1120">
        <v>605.76</v>
      </c>
      <c r="H2971" s="1127">
        <v>0.0</v>
      </c>
      <c r="I2971" s="1127">
        <v>0.0</v>
      </c>
      <c r="J2971" s="1127">
        <v>0.0</v>
      </c>
      <c r="K2971" s="1124"/>
    </row>
    <row r="2972" ht="15.75" customHeight="1">
      <c r="A2972" s="1119">
        <v>101897.0</v>
      </c>
      <c r="B2972" s="1125" t="s">
        <v>13250</v>
      </c>
      <c r="C2972" s="1126" t="s">
        <v>1788</v>
      </c>
      <c r="D2972" s="1128">
        <v>1052.38</v>
      </c>
      <c r="E2972" s="1120">
        <v>58.59</v>
      </c>
      <c r="F2972" s="1121">
        <f t="shared" si="1"/>
        <v>993.8</v>
      </c>
      <c r="G2972" s="1120">
        <v>993.8</v>
      </c>
      <c r="H2972" s="1127">
        <v>0.0</v>
      </c>
      <c r="I2972" s="1127">
        <v>0.0</v>
      </c>
      <c r="J2972" s="1127">
        <v>0.0</v>
      </c>
      <c r="K2972" s="1124"/>
    </row>
    <row r="2973" ht="15.75" customHeight="1">
      <c r="A2973" s="1119">
        <v>101898.0</v>
      </c>
      <c r="B2973" s="1125" t="s">
        <v>13251</v>
      </c>
      <c r="C2973" s="1126" t="s">
        <v>1788</v>
      </c>
      <c r="D2973" s="1128">
        <v>1403.01</v>
      </c>
      <c r="E2973" s="1120">
        <v>58.59</v>
      </c>
      <c r="F2973" s="1121">
        <f t="shared" si="1"/>
        <v>1344.43</v>
      </c>
      <c r="G2973" s="1120">
        <v>1344.43</v>
      </c>
      <c r="H2973" s="1127">
        <v>0.0</v>
      </c>
      <c r="I2973" s="1127">
        <v>0.0</v>
      </c>
      <c r="J2973" s="1127">
        <v>0.0</v>
      </c>
      <c r="K2973" s="1124"/>
    </row>
    <row r="2974" ht="15.75" customHeight="1">
      <c r="A2974" s="1119">
        <v>101899.0</v>
      </c>
      <c r="B2974" s="1125" t="s">
        <v>13252</v>
      </c>
      <c r="C2974" s="1126" t="s">
        <v>1788</v>
      </c>
      <c r="D2974" s="1128">
        <v>2237.03</v>
      </c>
      <c r="E2974" s="1120">
        <v>58.59</v>
      </c>
      <c r="F2974" s="1121">
        <f t="shared" si="1"/>
        <v>2178.45</v>
      </c>
      <c r="G2974" s="1120">
        <v>2178.45</v>
      </c>
      <c r="H2974" s="1127">
        <v>0.0</v>
      </c>
      <c r="I2974" s="1127">
        <v>0.0</v>
      </c>
      <c r="J2974" s="1127">
        <v>0.0</v>
      </c>
      <c r="K2974" s="1124"/>
    </row>
    <row r="2975" ht="15.75" customHeight="1">
      <c r="A2975" s="1119">
        <v>101900.0</v>
      </c>
      <c r="B2975" s="1125" t="s">
        <v>13253</v>
      </c>
      <c r="C2975" s="1126" t="s">
        <v>1788</v>
      </c>
      <c r="D2975" s="1128">
        <v>4652.7</v>
      </c>
      <c r="E2975" s="1120">
        <v>58.59</v>
      </c>
      <c r="F2975" s="1121">
        <f t="shared" si="1"/>
        <v>4594.12</v>
      </c>
      <c r="G2975" s="1120">
        <v>4594.12</v>
      </c>
      <c r="H2975" s="1127">
        <v>0.0</v>
      </c>
      <c r="I2975" s="1127">
        <v>0.0</v>
      </c>
      <c r="J2975" s="1127">
        <v>0.0</v>
      </c>
      <c r="K2975" s="1124"/>
    </row>
    <row r="2976" ht="15.75" customHeight="1">
      <c r="A2976" s="1119">
        <v>101901.0</v>
      </c>
      <c r="B2976" s="1125" t="s">
        <v>13254</v>
      </c>
      <c r="C2976" s="1126" t="s">
        <v>1788</v>
      </c>
      <c r="D2976" s="1119">
        <v>118.44</v>
      </c>
      <c r="E2976" s="1120">
        <v>6.3</v>
      </c>
      <c r="F2976" s="1121">
        <f t="shared" si="1"/>
        <v>112.14</v>
      </c>
      <c r="G2976" s="1120">
        <v>112.14</v>
      </c>
      <c r="H2976" s="1127">
        <v>0.0</v>
      </c>
      <c r="I2976" s="1127">
        <v>0.0</v>
      </c>
      <c r="J2976" s="1127">
        <v>0.0</v>
      </c>
      <c r="K2976" s="1124"/>
    </row>
    <row r="2977" ht="15.75" customHeight="1">
      <c r="A2977" s="1119">
        <v>101902.0</v>
      </c>
      <c r="B2977" s="1125" t="s">
        <v>13255</v>
      </c>
      <c r="C2977" s="1126" t="s">
        <v>1788</v>
      </c>
      <c r="D2977" s="1119">
        <v>146.88</v>
      </c>
      <c r="E2977" s="1120">
        <v>8.79</v>
      </c>
      <c r="F2977" s="1121">
        <f t="shared" si="1"/>
        <v>138.1</v>
      </c>
      <c r="G2977" s="1120">
        <v>138.1</v>
      </c>
      <c r="H2977" s="1127">
        <v>0.0</v>
      </c>
      <c r="I2977" s="1127">
        <v>0.0</v>
      </c>
      <c r="J2977" s="1127">
        <v>0.0</v>
      </c>
      <c r="K2977" s="1124"/>
    </row>
    <row r="2978" ht="15.75" customHeight="1">
      <c r="A2978" s="1119">
        <v>101903.0</v>
      </c>
      <c r="B2978" s="1125" t="s">
        <v>13256</v>
      </c>
      <c r="C2978" s="1126" t="s">
        <v>1788</v>
      </c>
      <c r="D2978" s="1119">
        <v>305.46</v>
      </c>
      <c r="E2978" s="1120">
        <v>17.95</v>
      </c>
      <c r="F2978" s="1121">
        <f t="shared" si="1"/>
        <v>287.52</v>
      </c>
      <c r="G2978" s="1120">
        <v>287.52</v>
      </c>
      <c r="H2978" s="1127">
        <v>0.0</v>
      </c>
      <c r="I2978" s="1127">
        <v>0.0</v>
      </c>
      <c r="J2978" s="1127">
        <v>0.0</v>
      </c>
      <c r="K2978" s="1124"/>
    </row>
    <row r="2979" ht="15.75" customHeight="1">
      <c r="A2979" s="1119">
        <v>101904.0</v>
      </c>
      <c r="B2979" s="1125" t="s">
        <v>13257</v>
      </c>
      <c r="C2979" s="1126" t="s">
        <v>1788</v>
      </c>
      <c r="D2979" s="1128">
        <v>1105.57</v>
      </c>
      <c r="E2979" s="1120">
        <v>34.65</v>
      </c>
      <c r="F2979" s="1121">
        <f t="shared" si="1"/>
        <v>1070.92</v>
      </c>
      <c r="G2979" s="1120">
        <v>1070.92</v>
      </c>
      <c r="H2979" s="1127">
        <v>0.0</v>
      </c>
      <c r="I2979" s="1127">
        <v>0.0</v>
      </c>
      <c r="J2979" s="1127">
        <v>0.0</v>
      </c>
      <c r="K2979" s="1124"/>
    </row>
    <row r="2980" ht="15.75" customHeight="1">
      <c r="A2980" s="1119">
        <v>101938.0</v>
      </c>
      <c r="B2980" s="1125" t="s">
        <v>13258</v>
      </c>
      <c r="C2980" s="1126" t="s">
        <v>1788</v>
      </c>
      <c r="D2980" s="1119">
        <v>126.13</v>
      </c>
      <c r="E2980" s="1120">
        <v>19.16</v>
      </c>
      <c r="F2980" s="1121">
        <f t="shared" si="1"/>
        <v>106.98</v>
      </c>
      <c r="G2980" s="1120">
        <v>106.98</v>
      </c>
      <c r="H2980" s="1127">
        <v>0.0</v>
      </c>
      <c r="I2980" s="1127">
        <v>0.0</v>
      </c>
      <c r="J2980" s="1127">
        <v>0.0</v>
      </c>
      <c r="K2980" s="1124"/>
    </row>
    <row r="2981" ht="15.75" customHeight="1">
      <c r="A2981" s="1119">
        <v>101946.0</v>
      </c>
      <c r="B2981" s="1125" t="s">
        <v>13259</v>
      </c>
      <c r="C2981" s="1126" t="s">
        <v>1788</v>
      </c>
      <c r="D2981" s="1119">
        <v>188.9</v>
      </c>
      <c r="E2981" s="1120">
        <v>67.47</v>
      </c>
      <c r="F2981" s="1121">
        <f t="shared" si="1"/>
        <v>121.44</v>
      </c>
      <c r="G2981" s="1120">
        <v>121.44</v>
      </c>
      <c r="H2981" s="1127">
        <v>0.0</v>
      </c>
      <c r="I2981" s="1127">
        <v>0.0</v>
      </c>
      <c r="J2981" s="1127">
        <v>0.0</v>
      </c>
      <c r="K2981" s="1124"/>
    </row>
    <row r="2982" ht="15.75" customHeight="1">
      <c r="A2982" s="1119">
        <v>91945.0</v>
      </c>
      <c r="B2982" s="1125" t="s">
        <v>13260</v>
      </c>
      <c r="C2982" s="1126" t="s">
        <v>1788</v>
      </c>
      <c r="D2982" s="1119">
        <v>15.99</v>
      </c>
      <c r="E2982" s="1120">
        <v>8.3</v>
      </c>
      <c r="F2982" s="1121">
        <f t="shared" si="1"/>
        <v>7.7</v>
      </c>
      <c r="G2982" s="1120">
        <v>7.7</v>
      </c>
      <c r="H2982" s="1127">
        <v>0.0</v>
      </c>
      <c r="I2982" s="1127">
        <v>0.0</v>
      </c>
      <c r="J2982" s="1127">
        <v>0.0</v>
      </c>
      <c r="K2982" s="1124"/>
    </row>
    <row r="2983" ht="15.75" customHeight="1">
      <c r="A2983" s="1119">
        <v>91946.0</v>
      </c>
      <c r="B2983" s="1125" t="s">
        <v>13261</v>
      </c>
      <c r="C2983" s="1126" t="s">
        <v>1788</v>
      </c>
      <c r="D2983" s="1119">
        <v>12.44</v>
      </c>
      <c r="E2983" s="1120">
        <v>5.68</v>
      </c>
      <c r="F2983" s="1121">
        <f t="shared" si="1"/>
        <v>6.78</v>
      </c>
      <c r="G2983" s="1120">
        <v>6.78</v>
      </c>
      <c r="H2983" s="1127">
        <v>0.0</v>
      </c>
      <c r="I2983" s="1127">
        <v>0.0</v>
      </c>
      <c r="J2983" s="1127">
        <v>0.0</v>
      </c>
      <c r="K2983" s="1124"/>
    </row>
    <row r="2984" ht="15.75" customHeight="1">
      <c r="A2984" s="1119">
        <v>91947.0</v>
      </c>
      <c r="B2984" s="1125" t="s">
        <v>13262</v>
      </c>
      <c r="C2984" s="1126" t="s">
        <v>1788</v>
      </c>
      <c r="D2984" s="1119">
        <v>10.22</v>
      </c>
      <c r="E2984" s="1120">
        <v>4.04</v>
      </c>
      <c r="F2984" s="1121">
        <f t="shared" si="1"/>
        <v>6.19</v>
      </c>
      <c r="G2984" s="1120">
        <v>6.19</v>
      </c>
      <c r="H2984" s="1127">
        <v>0.0</v>
      </c>
      <c r="I2984" s="1127">
        <v>0.0</v>
      </c>
      <c r="J2984" s="1127">
        <v>0.0</v>
      </c>
      <c r="K2984" s="1124"/>
    </row>
    <row r="2985" ht="15.75" customHeight="1">
      <c r="A2985" s="1119">
        <v>91949.0</v>
      </c>
      <c r="B2985" s="1125" t="s">
        <v>13263</v>
      </c>
      <c r="C2985" s="1126" t="s">
        <v>1788</v>
      </c>
      <c r="D2985" s="1119">
        <v>22.34</v>
      </c>
      <c r="E2985" s="1120">
        <v>9.82</v>
      </c>
      <c r="F2985" s="1121">
        <f t="shared" si="1"/>
        <v>12.52</v>
      </c>
      <c r="G2985" s="1120">
        <v>12.52</v>
      </c>
      <c r="H2985" s="1127">
        <v>0.0</v>
      </c>
      <c r="I2985" s="1127">
        <v>0.0</v>
      </c>
      <c r="J2985" s="1127">
        <v>0.0</v>
      </c>
      <c r="K2985" s="1124"/>
    </row>
    <row r="2986" ht="15.75" customHeight="1">
      <c r="A2986" s="1119">
        <v>91950.0</v>
      </c>
      <c r="B2986" s="1125" t="s">
        <v>13264</v>
      </c>
      <c r="C2986" s="1126" t="s">
        <v>1788</v>
      </c>
      <c r="D2986" s="1119">
        <v>18.02</v>
      </c>
      <c r="E2986" s="1120">
        <v>6.65</v>
      </c>
      <c r="F2986" s="1121">
        <f t="shared" si="1"/>
        <v>11.38</v>
      </c>
      <c r="G2986" s="1120">
        <v>11.38</v>
      </c>
      <c r="H2986" s="1127">
        <v>0.0</v>
      </c>
      <c r="I2986" s="1127">
        <v>0.0</v>
      </c>
      <c r="J2986" s="1127">
        <v>0.0</v>
      </c>
      <c r="K2986" s="1124"/>
    </row>
    <row r="2987" ht="15.75" customHeight="1">
      <c r="A2987" s="1119">
        <v>91951.0</v>
      </c>
      <c r="B2987" s="1125" t="s">
        <v>13265</v>
      </c>
      <c r="C2987" s="1126" t="s">
        <v>1788</v>
      </c>
      <c r="D2987" s="1119">
        <v>15.44</v>
      </c>
      <c r="E2987" s="1120">
        <v>4.73</v>
      </c>
      <c r="F2987" s="1121">
        <f t="shared" si="1"/>
        <v>10.72</v>
      </c>
      <c r="G2987" s="1120">
        <v>10.72</v>
      </c>
      <c r="H2987" s="1127">
        <v>0.0</v>
      </c>
      <c r="I2987" s="1127">
        <v>0.0</v>
      </c>
      <c r="J2987" s="1127">
        <v>0.0</v>
      </c>
      <c r="K2987" s="1124"/>
    </row>
    <row r="2988" ht="15.75" customHeight="1">
      <c r="A2988" s="1119">
        <v>91952.0</v>
      </c>
      <c r="B2988" s="1125" t="s">
        <v>13266</v>
      </c>
      <c r="C2988" s="1126" t="s">
        <v>1788</v>
      </c>
      <c r="D2988" s="1119">
        <v>21.31</v>
      </c>
      <c r="E2988" s="1120">
        <v>10.29</v>
      </c>
      <c r="F2988" s="1121">
        <f t="shared" si="1"/>
        <v>11.02</v>
      </c>
      <c r="G2988" s="1120">
        <v>11.02</v>
      </c>
      <c r="H2988" s="1127">
        <v>0.0</v>
      </c>
      <c r="I2988" s="1127">
        <v>0.0</v>
      </c>
      <c r="J2988" s="1127">
        <v>0.0</v>
      </c>
      <c r="K2988" s="1124"/>
    </row>
    <row r="2989" ht="15.75" customHeight="1">
      <c r="A2989" s="1119">
        <v>91953.0</v>
      </c>
      <c r="B2989" s="1125" t="s">
        <v>13267</v>
      </c>
      <c r="C2989" s="1126" t="s">
        <v>1788</v>
      </c>
      <c r="D2989" s="1119">
        <v>33.75</v>
      </c>
      <c r="E2989" s="1120">
        <v>15.98</v>
      </c>
      <c r="F2989" s="1121">
        <f t="shared" si="1"/>
        <v>17.79</v>
      </c>
      <c r="G2989" s="1120">
        <v>17.79</v>
      </c>
      <c r="H2989" s="1127">
        <v>0.0</v>
      </c>
      <c r="I2989" s="1127">
        <v>0.0</v>
      </c>
      <c r="J2989" s="1127">
        <v>0.0</v>
      </c>
      <c r="K2989" s="1124"/>
    </row>
    <row r="2990" ht="15.75" customHeight="1">
      <c r="A2990" s="1119">
        <v>91954.0</v>
      </c>
      <c r="B2990" s="1125" t="s">
        <v>13268</v>
      </c>
      <c r="C2990" s="1126" t="s">
        <v>1788</v>
      </c>
      <c r="D2990" s="1119">
        <v>28.65</v>
      </c>
      <c r="E2990" s="1120">
        <v>14.02</v>
      </c>
      <c r="F2990" s="1121">
        <f t="shared" si="1"/>
        <v>14.63</v>
      </c>
      <c r="G2990" s="1120">
        <v>14.63</v>
      </c>
      <c r="H2990" s="1127">
        <v>0.0</v>
      </c>
      <c r="I2990" s="1127">
        <v>0.0</v>
      </c>
      <c r="J2990" s="1127">
        <v>0.0</v>
      </c>
      <c r="K2990" s="1124"/>
    </row>
    <row r="2991" ht="15.75" customHeight="1">
      <c r="A2991" s="1119">
        <v>91955.0</v>
      </c>
      <c r="B2991" s="1125" t="s">
        <v>13269</v>
      </c>
      <c r="C2991" s="1126" t="s">
        <v>1788</v>
      </c>
      <c r="D2991" s="1119">
        <v>41.09</v>
      </c>
      <c r="E2991" s="1120">
        <v>19.71</v>
      </c>
      <c r="F2991" s="1121">
        <f t="shared" si="1"/>
        <v>21.4</v>
      </c>
      <c r="G2991" s="1120">
        <v>21.4</v>
      </c>
      <c r="H2991" s="1127">
        <v>0.0</v>
      </c>
      <c r="I2991" s="1127">
        <v>0.0</v>
      </c>
      <c r="J2991" s="1127">
        <v>0.0</v>
      </c>
      <c r="K2991" s="1124"/>
    </row>
    <row r="2992" ht="15.75" customHeight="1">
      <c r="A2992" s="1119">
        <v>91956.0</v>
      </c>
      <c r="B2992" s="1125" t="s">
        <v>13270</v>
      </c>
      <c r="C2992" s="1126" t="s">
        <v>1788</v>
      </c>
      <c r="D2992" s="1119">
        <v>46.2</v>
      </c>
      <c r="E2992" s="1120">
        <v>21.53</v>
      </c>
      <c r="F2992" s="1121">
        <f t="shared" si="1"/>
        <v>24.66</v>
      </c>
      <c r="G2992" s="1120">
        <v>24.66</v>
      </c>
      <c r="H2992" s="1127">
        <v>0.0</v>
      </c>
      <c r="I2992" s="1127">
        <v>0.0</v>
      </c>
      <c r="J2992" s="1127">
        <v>0.0</v>
      </c>
      <c r="K2992" s="1124"/>
    </row>
    <row r="2993" ht="15.75" customHeight="1">
      <c r="A2993" s="1119">
        <v>91957.0</v>
      </c>
      <c r="B2993" s="1125" t="s">
        <v>13271</v>
      </c>
      <c r="C2993" s="1126" t="s">
        <v>1788</v>
      </c>
      <c r="D2993" s="1119">
        <v>58.64</v>
      </c>
      <c r="E2993" s="1120">
        <v>27.22</v>
      </c>
      <c r="F2993" s="1121">
        <f t="shared" si="1"/>
        <v>31.44</v>
      </c>
      <c r="G2993" s="1120">
        <v>31.44</v>
      </c>
      <c r="H2993" s="1127">
        <v>0.0</v>
      </c>
      <c r="I2993" s="1127">
        <v>0.0</v>
      </c>
      <c r="J2993" s="1127">
        <v>0.0</v>
      </c>
      <c r="K2993" s="1124"/>
    </row>
    <row r="2994" ht="15.75" customHeight="1">
      <c r="A2994" s="1119">
        <v>91958.0</v>
      </c>
      <c r="B2994" s="1125" t="s">
        <v>13272</v>
      </c>
      <c r="C2994" s="1126" t="s">
        <v>1788</v>
      </c>
      <c r="D2994" s="1119">
        <v>38.91</v>
      </c>
      <c r="E2994" s="1120">
        <v>17.81</v>
      </c>
      <c r="F2994" s="1121">
        <f t="shared" si="1"/>
        <v>21.1</v>
      </c>
      <c r="G2994" s="1120">
        <v>21.1</v>
      </c>
      <c r="H2994" s="1127">
        <v>0.0</v>
      </c>
      <c r="I2994" s="1127">
        <v>0.0</v>
      </c>
      <c r="J2994" s="1127">
        <v>0.0</v>
      </c>
      <c r="K2994" s="1124"/>
    </row>
    <row r="2995" ht="15.75" customHeight="1">
      <c r="A2995" s="1119">
        <v>91959.0</v>
      </c>
      <c r="B2995" s="1125" t="s">
        <v>13273</v>
      </c>
      <c r="C2995" s="1126" t="s">
        <v>1788</v>
      </c>
      <c r="D2995" s="1119">
        <v>51.35</v>
      </c>
      <c r="E2995" s="1120">
        <v>23.49</v>
      </c>
      <c r="F2995" s="1121">
        <f t="shared" si="1"/>
        <v>27.87</v>
      </c>
      <c r="G2995" s="1120">
        <v>27.87</v>
      </c>
      <c r="H2995" s="1127">
        <v>0.0</v>
      </c>
      <c r="I2995" s="1127">
        <v>0.0</v>
      </c>
      <c r="J2995" s="1127">
        <v>0.0</v>
      </c>
      <c r="K2995" s="1124"/>
    </row>
    <row r="2996" ht="15.75" customHeight="1">
      <c r="A2996" s="1119">
        <v>91960.0</v>
      </c>
      <c r="B2996" s="1125" t="s">
        <v>13274</v>
      </c>
      <c r="C2996" s="1126" t="s">
        <v>1788</v>
      </c>
      <c r="D2996" s="1119">
        <v>53.59</v>
      </c>
      <c r="E2996" s="1120">
        <v>25.33</v>
      </c>
      <c r="F2996" s="1121">
        <f t="shared" si="1"/>
        <v>28.27</v>
      </c>
      <c r="G2996" s="1120">
        <v>28.27</v>
      </c>
      <c r="H2996" s="1127">
        <v>0.0</v>
      </c>
      <c r="I2996" s="1127">
        <v>0.0</v>
      </c>
      <c r="J2996" s="1127">
        <v>0.0</v>
      </c>
      <c r="K2996" s="1124"/>
    </row>
    <row r="2997" ht="15.75" customHeight="1">
      <c r="A2997" s="1119">
        <v>91961.0</v>
      </c>
      <c r="B2997" s="1125" t="s">
        <v>13275</v>
      </c>
      <c r="C2997" s="1126" t="s">
        <v>1788</v>
      </c>
      <c r="D2997" s="1119">
        <v>66.03</v>
      </c>
      <c r="E2997" s="1120">
        <v>31.01</v>
      </c>
      <c r="F2997" s="1121">
        <f t="shared" si="1"/>
        <v>35.04</v>
      </c>
      <c r="G2997" s="1120">
        <v>35.04</v>
      </c>
      <c r="H2997" s="1127">
        <v>0.0</v>
      </c>
      <c r="I2997" s="1127">
        <v>0.0</v>
      </c>
      <c r="J2997" s="1127">
        <v>0.0</v>
      </c>
      <c r="K2997" s="1124"/>
    </row>
    <row r="2998" ht="15.75" customHeight="1">
      <c r="A2998" s="1119">
        <v>91962.0</v>
      </c>
      <c r="B2998" s="1125" t="s">
        <v>13276</v>
      </c>
      <c r="C2998" s="1126" t="s">
        <v>1788</v>
      </c>
      <c r="D2998" s="1119">
        <v>71.14</v>
      </c>
      <c r="E2998" s="1120">
        <v>32.83</v>
      </c>
      <c r="F2998" s="1121">
        <f t="shared" si="1"/>
        <v>38.31</v>
      </c>
      <c r="G2998" s="1120">
        <v>38.31</v>
      </c>
      <c r="H2998" s="1127">
        <v>0.0</v>
      </c>
      <c r="I2998" s="1127">
        <v>0.0</v>
      </c>
      <c r="J2998" s="1127">
        <v>0.0</v>
      </c>
      <c r="K2998" s="1124"/>
    </row>
    <row r="2999" ht="15.75" customHeight="1">
      <c r="A2999" s="1119">
        <v>91963.0</v>
      </c>
      <c r="B2999" s="1125" t="s">
        <v>13277</v>
      </c>
      <c r="C2999" s="1126" t="s">
        <v>1788</v>
      </c>
      <c r="D2999" s="1119">
        <v>83.58</v>
      </c>
      <c r="E2999" s="1120">
        <v>38.51</v>
      </c>
      <c r="F2999" s="1121">
        <f t="shared" si="1"/>
        <v>45.08</v>
      </c>
      <c r="G2999" s="1120">
        <v>45.08</v>
      </c>
      <c r="H2999" s="1127">
        <v>0.0</v>
      </c>
      <c r="I2999" s="1127">
        <v>0.0</v>
      </c>
      <c r="J2999" s="1127">
        <v>0.0</v>
      </c>
      <c r="K2999" s="1124"/>
    </row>
    <row r="3000" ht="15.75" customHeight="1">
      <c r="A3000" s="1119">
        <v>91964.0</v>
      </c>
      <c r="B3000" s="1125" t="s">
        <v>13278</v>
      </c>
      <c r="C3000" s="1126" t="s">
        <v>1788</v>
      </c>
      <c r="D3000" s="1119">
        <v>63.8</v>
      </c>
      <c r="E3000" s="1120">
        <v>29.07</v>
      </c>
      <c r="F3000" s="1121">
        <f t="shared" si="1"/>
        <v>34.73</v>
      </c>
      <c r="G3000" s="1120">
        <v>34.73</v>
      </c>
      <c r="H3000" s="1127">
        <v>0.0</v>
      </c>
      <c r="I3000" s="1127">
        <v>0.0</v>
      </c>
      <c r="J3000" s="1127">
        <v>0.0</v>
      </c>
      <c r="K3000" s="1124"/>
    </row>
    <row r="3001" ht="15.75" customHeight="1">
      <c r="A3001" s="1119">
        <v>91965.0</v>
      </c>
      <c r="B3001" s="1125" t="s">
        <v>13279</v>
      </c>
      <c r="C3001" s="1126" t="s">
        <v>1788</v>
      </c>
      <c r="D3001" s="1119">
        <v>76.24</v>
      </c>
      <c r="E3001" s="1120">
        <v>34.75</v>
      </c>
      <c r="F3001" s="1121">
        <f t="shared" si="1"/>
        <v>41.5</v>
      </c>
      <c r="G3001" s="1120">
        <v>41.5</v>
      </c>
      <c r="H3001" s="1127">
        <v>0.0</v>
      </c>
      <c r="I3001" s="1127">
        <v>0.0</v>
      </c>
      <c r="J3001" s="1127">
        <v>0.0</v>
      </c>
      <c r="K3001" s="1124"/>
    </row>
    <row r="3002" ht="15.75" customHeight="1">
      <c r="A3002" s="1119">
        <v>91966.0</v>
      </c>
      <c r="B3002" s="1125" t="s">
        <v>13280</v>
      </c>
      <c r="C3002" s="1126" t="s">
        <v>1788</v>
      </c>
      <c r="D3002" s="1119">
        <v>56.51</v>
      </c>
      <c r="E3002" s="1120">
        <v>25.33</v>
      </c>
      <c r="F3002" s="1121">
        <f t="shared" si="1"/>
        <v>31.19</v>
      </c>
      <c r="G3002" s="1120">
        <v>31.19</v>
      </c>
      <c r="H3002" s="1127">
        <v>0.0</v>
      </c>
      <c r="I3002" s="1127">
        <v>0.0</v>
      </c>
      <c r="J3002" s="1127">
        <v>0.0</v>
      </c>
      <c r="K3002" s="1124"/>
    </row>
    <row r="3003" ht="15.75" customHeight="1">
      <c r="A3003" s="1119">
        <v>91967.0</v>
      </c>
      <c r="B3003" s="1125" t="s">
        <v>13281</v>
      </c>
      <c r="C3003" s="1126" t="s">
        <v>1788</v>
      </c>
      <c r="D3003" s="1119">
        <v>68.95</v>
      </c>
      <c r="E3003" s="1120">
        <v>31.01</v>
      </c>
      <c r="F3003" s="1121">
        <f t="shared" si="1"/>
        <v>37.96</v>
      </c>
      <c r="G3003" s="1120">
        <v>37.96</v>
      </c>
      <c r="H3003" s="1127">
        <v>0.0</v>
      </c>
      <c r="I3003" s="1127">
        <v>0.0</v>
      </c>
      <c r="J3003" s="1127">
        <v>0.0</v>
      </c>
      <c r="K3003" s="1124"/>
    </row>
    <row r="3004" ht="15.75" customHeight="1">
      <c r="A3004" s="1119">
        <v>91968.0</v>
      </c>
      <c r="B3004" s="1125" t="s">
        <v>13282</v>
      </c>
      <c r="C3004" s="1126" t="s">
        <v>1788</v>
      </c>
      <c r="D3004" s="1119">
        <v>78.48</v>
      </c>
      <c r="E3004" s="1120">
        <v>36.57</v>
      </c>
      <c r="F3004" s="1121">
        <f t="shared" si="1"/>
        <v>41.91</v>
      </c>
      <c r="G3004" s="1120">
        <v>41.91</v>
      </c>
      <c r="H3004" s="1127">
        <v>0.0</v>
      </c>
      <c r="I3004" s="1127">
        <v>0.0</v>
      </c>
      <c r="J3004" s="1127">
        <v>0.0</v>
      </c>
      <c r="K3004" s="1124"/>
    </row>
    <row r="3005" ht="15.75" customHeight="1">
      <c r="A3005" s="1119">
        <v>91969.0</v>
      </c>
      <c r="B3005" s="1125" t="s">
        <v>13283</v>
      </c>
      <c r="C3005" s="1126" t="s">
        <v>1788</v>
      </c>
      <c r="D3005" s="1119">
        <v>90.92</v>
      </c>
      <c r="E3005" s="1120">
        <v>42.26</v>
      </c>
      <c r="F3005" s="1121">
        <f t="shared" si="1"/>
        <v>48.68</v>
      </c>
      <c r="G3005" s="1120">
        <v>48.68</v>
      </c>
      <c r="H3005" s="1127">
        <v>0.0</v>
      </c>
      <c r="I3005" s="1127">
        <v>0.0</v>
      </c>
      <c r="J3005" s="1127">
        <v>0.0</v>
      </c>
      <c r="K3005" s="1124"/>
    </row>
    <row r="3006" ht="15.75" customHeight="1">
      <c r="A3006" s="1119">
        <v>91970.0</v>
      </c>
      <c r="B3006" s="1125" t="s">
        <v>13284</v>
      </c>
      <c r="C3006" s="1126" t="s">
        <v>1788</v>
      </c>
      <c r="D3006" s="1119">
        <v>81.82</v>
      </c>
      <c r="E3006" s="1120">
        <v>36.91</v>
      </c>
      <c r="F3006" s="1121">
        <f t="shared" si="1"/>
        <v>44.91</v>
      </c>
      <c r="G3006" s="1120">
        <v>44.91</v>
      </c>
      <c r="H3006" s="1127">
        <v>0.0</v>
      </c>
      <c r="I3006" s="1127">
        <v>0.0</v>
      </c>
      <c r="J3006" s="1127">
        <v>0.0</v>
      </c>
      <c r="K3006" s="1124"/>
    </row>
    <row r="3007" ht="15.75" customHeight="1">
      <c r="A3007" s="1119">
        <v>91971.0</v>
      </c>
      <c r="B3007" s="1125" t="s">
        <v>13285</v>
      </c>
      <c r="C3007" s="1126" t="s">
        <v>1788</v>
      </c>
      <c r="D3007" s="1119">
        <v>99.84</v>
      </c>
      <c r="E3007" s="1120">
        <v>43.57</v>
      </c>
      <c r="F3007" s="1121">
        <f t="shared" si="1"/>
        <v>56.28</v>
      </c>
      <c r="G3007" s="1120">
        <v>56.28</v>
      </c>
      <c r="H3007" s="1127">
        <v>0.0</v>
      </c>
      <c r="I3007" s="1127">
        <v>0.0</v>
      </c>
      <c r="J3007" s="1127">
        <v>0.0</v>
      </c>
      <c r="K3007" s="1124"/>
    </row>
    <row r="3008" ht="15.75" customHeight="1">
      <c r="A3008" s="1119">
        <v>91972.0</v>
      </c>
      <c r="B3008" s="1125" t="s">
        <v>13286</v>
      </c>
      <c r="C3008" s="1126" t="s">
        <v>1788</v>
      </c>
      <c r="D3008" s="1119">
        <v>89.22</v>
      </c>
      <c r="E3008" s="1120">
        <v>40.71</v>
      </c>
      <c r="F3008" s="1121">
        <f t="shared" si="1"/>
        <v>48.53</v>
      </c>
      <c r="G3008" s="1120">
        <v>48.53</v>
      </c>
      <c r="H3008" s="1127">
        <v>0.0</v>
      </c>
      <c r="I3008" s="1127">
        <v>0.0</v>
      </c>
      <c r="J3008" s="1127">
        <v>0.0</v>
      </c>
      <c r="K3008" s="1124"/>
    </row>
    <row r="3009" ht="15.75" customHeight="1">
      <c r="A3009" s="1119">
        <v>91973.0</v>
      </c>
      <c r="B3009" s="1125" t="s">
        <v>13287</v>
      </c>
      <c r="C3009" s="1126" t="s">
        <v>1788</v>
      </c>
      <c r="D3009" s="1119">
        <v>107.24</v>
      </c>
      <c r="E3009" s="1120">
        <v>47.36</v>
      </c>
      <c r="F3009" s="1121">
        <f t="shared" si="1"/>
        <v>59.9</v>
      </c>
      <c r="G3009" s="1120">
        <v>59.9</v>
      </c>
      <c r="H3009" s="1127">
        <v>0.0</v>
      </c>
      <c r="I3009" s="1127">
        <v>0.0</v>
      </c>
      <c r="J3009" s="1127">
        <v>0.0</v>
      </c>
      <c r="K3009" s="1124"/>
    </row>
    <row r="3010" ht="15.75" customHeight="1">
      <c r="A3010" s="1119">
        <v>91974.0</v>
      </c>
      <c r="B3010" s="1125" t="s">
        <v>13288</v>
      </c>
      <c r="C3010" s="1126" t="s">
        <v>1788</v>
      </c>
      <c r="D3010" s="1119">
        <v>74.48</v>
      </c>
      <c r="E3010" s="1120">
        <v>33.13</v>
      </c>
      <c r="F3010" s="1121">
        <f t="shared" si="1"/>
        <v>41.35</v>
      </c>
      <c r="G3010" s="1120">
        <v>41.35</v>
      </c>
      <c r="H3010" s="1127">
        <v>0.0</v>
      </c>
      <c r="I3010" s="1127">
        <v>0.0</v>
      </c>
      <c r="J3010" s="1127">
        <v>0.0</v>
      </c>
      <c r="K3010" s="1124"/>
    </row>
    <row r="3011" ht="15.75" customHeight="1">
      <c r="A3011" s="1119">
        <v>91975.0</v>
      </c>
      <c r="B3011" s="1125" t="s">
        <v>13289</v>
      </c>
      <c r="C3011" s="1126" t="s">
        <v>1788</v>
      </c>
      <c r="D3011" s="1119">
        <v>92.5</v>
      </c>
      <c r="E3011" s="1120">
        <v>39.78</v>
      </c>
      <c r="F3011" s="1121">
        <f t="shared" si="1"/>
        <v>52.72</v>
      </c>
      <c r="G3011" s="1120">
        <v>52.72</v>
      </c>
      <c r="H3011" s="1127">
        <v>0.0</v>
      </c>
      <c r="I3011" s="1127">
        <v>0.0</v>
      </c>
      <c r="J3011" s="1127">
        <v>0.0</v>
      </c>
      <c r="K3011" s="1124"/>
    </row>
    <row r="3012" ht="15.75" customHeight="1">
      <c r="A3012" s="1119">
        <v>91976.0</v>
      </c>
      <c r="B3012" s="1125" t="s">
        <v>13290</v>
      </c>
      <c r="C3012" s="1126" t="s">
        <v>1788</v>
      </c>
      <c r="D3012" s="1119">
        <v>109.74</v>
      </c>
      <c r="E3012" s="1120">
        <v>48.24</v>
      </c>
      <c r="F3012" s="1121">
        <f t="shared" si="1"/>
        <v>61.51</v>
      </c>
      <c r="G3012" s="1120">
        <v>61.51</v>
      </c>
      <c r="H3012" s="1127">
        <v>0.0</v>
      </c>
      <c r="I3012" s="1127">
        <v>0.0</v>
      </c>
      <c r="J3012" s="1127">
        <v>0.0</v>
      </c>
      <c r="K3012" s="1124"/>
    </row>
    <row r="3013" ht="15.75" customHeight="1">
      <c r="A3013" s="1119">
        <v>91977.0</v>
      </c>
      <c r="B3013" s="1125" t="s">
        <v>13291</v>
      </c>
      <c r="C3013" s="1126" t="s">
        <v>1788</v>
      </c>
      <c r="D3013" s="1119">
        <v>127.76</v>
      </c>
      <c r="E3013" s="1120">
        <v>54.89</v>
      </c>
      <c r="F3013" s="1121">
        <f t="shared" si="1"/>
        <v>72.88</v>
      </c>
      <c r="G3013" s="1120">
        <v>72.88</v>
      </c>
      <c r="H3013" s="1127">
        <v>0.0</v>
      </c>
      <c r="I3013" s="1127">
        <v>0.0</v>
      </c>
      <c r="J3013" s="1127">
        <v>0.0</v>
      </c>
      <c r="K3013" s="1124"/>
    </row>
    <row r="3014" ht="15.75" customHeight="1">
      <c r="A3014" s="1119">
        <v>91978.0</v>
      </c>
      <c r="B3014" s="1125" t="s">
        <v>13292</v>
      </c>
      <c r="C3014" s="1126" t="s">
        <v>1788</v>
      </c>
      <c r="D3014" s="1119">
        <v>44.59</v>
      </c>
      <c r="E3014" s="1120">
        <v>17.8</v>
      </c>
      <c r="F3014" s="1121">
        <f t="shared" si="1"/>
        <v>26.79</v>
      </c>
      <c r="G3014" s="1120">
        <v>26.79</v>
      </c>
      <c r="H3014" s="1127">
        <v>0.0</v>
      </c>
      <c r="I3014" s="1127">
        <v>0.0</v>
      </c>
      <c r="J3014" s="1127">
        <v>0.0</v>
      </c>
      <c r="K3014" s="1124"/>
    </row>
    <row r="3015" ht="15.75" customHeight="1">
      <c r="A3015" s="1119">
        <v>91979.0</v>
      </c>
      <c r="B3015" s="1125" t="s">
        <v>13293</v>
      </c>
      <c r="C3015" s="1126" t="s">
        <v>1788</v>
      </c>
      <c r="D3015" s="1119">
        <v>57.03</v>
      </c>
      <c r="E3015" s="1120">
        <v>23.49</v>
      </c>
      <c r="F3015" s="1121">
        <f t="shared" si="1"/>
        <v>33.56</v>
      </c>
      <c r="G3015" s="1120">
        <v>33.56</v>
      </c>
      <c r="H3015" s="1127">
        <v>0.0</v>
      </c>
      <c r="I3015" s="1127">
        <v>0.0</v>
      </c>
      <c r="J3015" s="1127">
        <v>0.0</v>
      </c>
      <c r="K3015" s="1124"/>
    </row>
    <row r="3016" ht="15.75" customHeight="1">
      <c r="A3016" s="1119">
        <v>91980.0</v>
      </c>
      <c r="B3016" s="1125" t="s">
        <v>13294</v>
      </c>
      <c r="C3016" s="1126" t="s">
        <v>1788</v>
      </c>
      <c r="D3016" s="1119">
        <v>43.29</v>
      </c>
      <c r="E3016" s="1120">
        <v>17.81</v>
      </c>
      <c r="F3016" s="1121">
        <f t="shared" si="1"/>
        <v>25.49</v>
      </c>
      <c r="G3016" s="1120">
        <v>25.49</v>
      </c>
      <c r="H3016" s="1127">
        <v>0.0</v>
      </c>
      <c r="I3016" s="1127">
        <v>0.0</v>
      </c>
      <c r="J3016" s="1127">
        <v>0.0</v>
      </c>
      <c r="K3016" s="1124"/>
    </row>
    <row r="3017" ht="15.75" customHeight="1">
      <c r="A3017" s="1119">
        <v>91981.0</v>
      </c>
      <c r="B3017" s="1125" t="s">
        <v>13295</v>
      </c>
      <c r="C3017" s="1126" t="s">
        <v>1788</v>
      </c>
      <c r="D3017" s="1119">
        <v>55.73</v>
      </c>
      <c r="E3017" s="1120">
        <v>23.49</v>
      </c>
      <c r="F3017" s="1121">
        <f t="shared" si="1"/>
        <v>32.26</v>
      </c>
      <c r="G3017" s="1120">
        <v>32.26</v>
      </c>
      <c r="H3017" s="1127">
        <v>0.0</v>
      </c>
      <c r="I3017" s="1127">
        <v>0.0</v>
      </c>
      <c r="J3017" s="1127">
        <v>0.0</v>
      </c>
      <c r="K3017" s="1124"/>
    </row>
    <row r="3018" ht="15.75" customHeight="1">
      <c r="A3018" s="1119">
        <v>91982.0</v>
      </c>
      <c r="B3018" s="1125" t="s">
        <v>13296</v>
      </c>
      <c r="C3018" s="1126" t="s">
        <v>1788</v>
      </c>
      <c r="D3018" s="1119">
        <v>96.31</v>
      </c>
      <c r="E3018" s="1120">
        <v>10.26</v>
      </c>
      <c r="F3018" s="1121">
        <f t="shared" si="1"/>
        <v>86.06</v>
      </c>
      <c r="G3018" s="1120">
        <v>86.06</v>
      </c>
      <c r="H3018" s="1127">
        <v>0.0</v>
      </c>
      <c r="I3018" s="1127">
        <v>0.0</v>
      </c>
      <c r="J3018" s="1127">
        <v>0.0</v>
      </c>
      <c r="K3018" s="1124"/>
    </row>
    <row r="3019" ht="15.75" customHeight="1">
      <c r="A3019" s="1119">
        <v>91983.0</v>
      </c>
      <c r="B3019" s="1125" t="s">
        <v>13297</v>
      </c>
      <c r="C3019" s="1126" t="s">
        <v>1788</v>
      </c>
      <c r="D3019" s="1119">
        <v>108.75</v>
      </c>
      <c r="E3019" s="1120">
        <v>15.93</v>
      </c>
      <c r="F3019" s="1121">
        <f t="shared" si="1"/>
        <v>92.84</v>
      </c>
      <c r="G3019" s="1120">
        <v>92.84</v>
      </c>
      <c r="H3019" s="1127">
        <v>0.0</v>
      </c>
      <c r="I3019" s="1127">
        <v>0.0</v>
      </c>
      <c r="J3019" s="1127">
        <v>0.0</v>
      </c>
      <c r="K3019" s="1124"/>
    </row>
    <row r="3020" ht="15.75" customHeight="1">
      <c r="A3020" s="1119">
        <v>91984.0</v>
      </c>
      <c r="B3020" s="1125" t="s">
        <v>13298</v>
      </c>
      <c r="C3020" s="1126" t="s">
        <v>1788</v>
      </c>
      <c r="D3020" s="1119">
        <v>20.11</v>
      </c>
      <c r="E3020" s="1120">
        <v>10.31</v>
      </c>
      <c r="F3020" s="1121">
        <f t="shared" si="1"/>
        <v>9.82</v>
      </c>
      <c r="G3020" s="1120">
        <v>9.82</v>
      </c>
      <c r="H3020" s="1127">
        <v>0.0</v>
      </c>
      <c r="I3020" s="1127">
        <v>0.0</v>
      </c>
      <c r="J3020" s="1127">
        <v>0.0</v>
      </c>
      <c r="K3020" s="1124"/>
    </row>
    <row r="3021" ht="15.75" customHeight="1">
      <c r="A3021" s="1119">
        <v>91985.0</v>
      </c>
      <c r="B3021" s="1125" t="s">
        <v>13299</v>
      </c>
      <c r="C3021" s="1126" t="s">
        <v>1788</v>
      </c>
      <c r="D3021" s="1119">
        <v>32.55</v>
      </c>
      <c r="E3021" s="1120">
        <v>15.98</v>
      </c>
      <c r="F3021" s="1121">
        <f t="shared" si="1"/>
        <v>16.59</v>
      </c>
      <c r="G3021" s="1120">
        <v>16.59</v>
      </c>
      <c r="H3021" s="1127">
        <v>0.0</v>
      </c>
      <c r="I3021" s="1127">
        <v>0.0</v>
      </c>
      <c r="J3021" s="1127">
        <v>0.0</v>
      </c>
      <c r="K3021" s="1124"/>
    </row>
    <row r="3022" ht="15.75" customHeight="1">
      <c r="A3022" s="1119">
        <v>91986.0</v>
      </c>
      <c r="B3022" s="1125" t="s">
        <v>13300</v>
      </c>
      <c r="C3022" s="1126" t="s">
        <v>1788</v>
      </c>
      <c r="D3022" s="1119">
        <v>41.49</v>
      </c>
      <c r="E3022" s="1120">
        <v>15.97</v>
      </c>
      <c r="F3022" s="1121">
        <f t="shared" si="1"/>
        <v>25.51</v>
      </c>
      <c r="G3022" s="1120">
        <v>25.51</v>
      </c>
      <c r="H3022" s="1127">
        <v>0.0</v>
      </c>
      <c r="I3022" s="1127">
        <v>0.0</v>
      </c>
      <c r="J3022" s="1127">
        <v>0.0</v>
      </c>
      <c r="K3022" s="1124"/>
    </row>
    <row r="3023" ht="15.75" customHeight="1">
      <c r="A3023" s="1119">
        <v>91987.0</v>
      </c>
      <c r="B3023" s="1125" t="s">
        <v>13301</v>
      </c>
      <c r="C3023" s="1126" t="s">
        <v>1788</v>
      </c>
      <c r="D3023" s="1119">
        <v>53.93</v>
      </c>
      <c r="E3023" s="1120">
        <v>21.66</v>
      </c>
      <c r="F3023" s="1121">
        <f t="shared" si="1"/>
        <v>32.28</v>
      </c>
      <c r="G3023" s="1120">
        <v>32.28</v>
      </c>
      <c r="H3023" s="1127">
        <v>0.0</v>
      </c>
      <c r="I3023" s="1127">
        <v>0.0</v>
      </c>
      <c r="J3023" s="1127">
        <v>0.0</v>
      </c>
      <c r="K3023" s="1124"/>
    </row>
    <row r="3024" ht="15.75" customHeight="1">
      <c r="A3024" s="1119">
        <v>91988.0</v>
      </c>
      <c r="B3024" s="1125" t="s">
        <v>13302</v>
      </c>
      <c r="C3024" s="1126" t="s">
        <v>1788</v>
      </c>
      <c r="D3024" s="1119">
        <v>24.47</v>
      </c>
      <c r="E3024" s="1120">
        <v>10.29</v>
      </c>
      <c r="F3024" s="1121">
        <f t="shared" si="1"/>
        <v>14.19</v>
      </c>
      <c r="G3024" s="1120">
        <v>14.19</v>
      </c>
      <c r="H3024" s="1127">
        <v>0.0</v>
      </c>
      <c r="I3024" s="1127">
        <v>0.0</v>
      </c>
      <c r="J3024" s="1127">
        <v>0.0</v>
      </c>
      <c r="K3024" s="1124"/>
    </row>
    <row r="3025" ht="15.75" customHeight="1">
      <c r="A3025" s="1119">
        <v>91989.0</v>
      </c>
      <c r="B3025" s="1125" t="s">
        <v>13303</v>
      </c>
      <c r="C3025" s="1126" t="s">
        <v>1788</v>
      </c>
      <c r="D3025" s="1119">
        <v>36.91</v>
      </c>
      <c r="E3025" s="1120">
        <v>15.97</v>
      </c>
      <c r="F3025" s="1121">
        <f t="shared" si="1"/>
        <v>20.96</v>
      </c>
      <c r="G3025" s="1120">
        <v>20.96</v>
      </c>
      <c r="H3025" s="1127">
        <v>0.0</v>
      </c>
      <c r="I3025" s="1127">
        <v>0.0</v>
      </c>
      <c r="J3025" s="1127">
        <v>0.0</v>
      </c>
      <c r="K3025" s="1124"/>
    </row>
    <row r="3026" ht="15.75" customHeight="1">
      <c r="A3026" s="1119">
        <v>91990.0</v>
      </c>
      <c r="B3026" s="1125" t="s">
        <v>13304</v>
      </c>
      <c r="C3026" s="1126" t="s">
        <v>1788</v>
      </c>
      <c r="D3026" s="1119">
        <v>39.07</v>
      </c>
      <c r="E3026" s="1120">
        <v>22.67</v>
      </c>
      <c r="F3026" s="1121">
        <f t="shared" si="1"/>
        <v>16.41</v>
      </c>
      <c r="G3026" s="1120">
        <v>16.41</v>
      </c>
      <c r="H3026" s="1127">
        <v>0.0</v>
      </c>
      <c r="I3026" s="1127">
        <v>0.0</v>
      </c>
      <c r="J3026" s="1127">
        <v>0.0</v>
      </c>
      <c r="K3026" s="1124"/>
    </row>
    <row r="3027" ht="15.75" customHeight="1">
      <c r="A3027" s="1119">
        <v>91991.0</v>
      </c>
      <c r="B3027" s="1125" t="s">
        <v>13305</v>
      </c>
      <c r="C3027" s="1126" t="s">
        <v>1788</v>
      </c>
      <c r="D3027" s="1119">
        <v>41.43</v>
      </c>
      <c r="E3027" s="1120">
        <v>22.66</v>
      </c>
      <c r="F3027" s="1121">
        <f t="shared" si="1"/>
        <v>18.77</v>
      </c>
      <c r="G3027" s="1120">
        <v>18.77</v>
      </c>
      <c r="H3027" s="1127">
        <v>0.0</v>
      </c>
      <c r="I3027" s="1127">
        <v>0.0</v>
      </c>
      <c r="J3027" s="1127">
        <v>0.0</v>
      </c>
      <c r="K3027" s="1124"/>
    </row>
    <row r="3028" ht="15.75" customHeight="1">
      <c r="A3028" s="1119">
        <v>91992.0</v>
      </c>
      <c r="B3028" s="1125" t="s">
        <v>13306</v>
      </c>
      <c r="C3028" s="1126" t="s">
        <v>1788</v>
      </c>
      <c r="D3028" s="1119">
        <v>51.51</v>
      </c>
      <c r="E3028" s="1120">
        <v>28.35</v>
      </c>
      <c r="F3028" s="1121">
        <f t="shared" si="1"/>
        <v>23.18</v>
      </c>
      <c r="G3028" s="1120">
        <v>23.18</v>
      </c>
      <c r="H3028" s="1127">
        <v>0.0</v>
      </c>
      <c r="I3028" s="1127">
        <v>0.0</v>
      </c>
      <c r="J3028" s="1127">
        <v>0.0</v>
      </c>
      <c r="K3028" s="1124"/>
    </row>
    <row r="3029" ht="15.75" customHeight="1">
      <c r="A3029" s="1119">
        <v>91993.0</v>
      </c>
      <c r="B3029" s="1125" t="s">
        <v>13307</v>
      </c>
      <c r="C3029" s="1126" t="s">
        <v>1788</v>
      </c>
      <c r="D3029" s="1119">
        <v>53.87</v>
      </c>
      <c r="E3029" s="1120">
        <v>28.35</v>
      </c>
      <c r="F3029" s="1121">
        <f t="shared" si="1"/>
        <v>25.55</v>
      </c>
      <c r="G3029" s="1120">
        <v>25.55</v>
      </c>
      <c r="H3029" s="1127">
        <v>0.0</v>
      </c>
      <c r="I3029" s="1127">
        <v>0.0</v>
      </c>
      <c r="J3029" s="1127">
        <v>0.0</v>
      </c>
      <c r="K3029" s="1124"/>
    </row>
    <row r="3030" ht="15.75" customHeight="1">
      <c r="A3030" s="1119">
        <v>91994.0</v>
      </c>
      <c r="B3030" s="1125" t="s">
        <v>13308</v>
      </c>
      <c r="C3030" s="1126" t="s">
        <v>1788</v>
      </c>
      <c r="D3030" s="1119">
        <v>27.43</v>
      </c>
      <c r="E3030" s="1120">
        <v>14.04</v>
      </c>
      <c r="F3030" s="1121">
        <f t="shared" si="1"/>
        <v>13.41</v>
      </c>
      <c r="G3030" s="1120">
        <v>13.41</v>
      </c>
      <c r="H3030" s="1127">
        <v>0.0</v>
      </c>
      <c r="I3030" s="1127">
        <v>0.0</v>
      </c>
      <c r="J3030" s="1127">
        <v>0.0</v>
      </c>
      <c r="K3030" s="1124"/>
    </row>
    <row r="3031" ht="15.75" customHeight="1">
      <c r="A3031" s="1119">
        <v>91995.0</v>
      </c>
      <c r="B3031" s="1125" t="s">
        <v>13309</v>
      </c>
      <c r="C3031" s="1126" t="s">
        <v>1788</v>
      </c>
      <c r="D3031" s="1119">
        <v>29.79</v>
      </c>
      <c r="E3031" s="1120">
        <v>14.02</v>
      </c>
      <c r="F3031" s="1121">
        <f t="shared" si="1"/>
        <v>15.77</v>
      </c>
      <c r="G3031" s="1120">
        <v>15.77</v>
      </c>
      <c r="H3031" s="1127">
        <v>0.0</v>
      </c>
      <c r="I3031" s="1127">
        <v>0.0</v>
      </c>
      <c r="J3031" s="1127">
        <v>0.0</v>
      </c>
      <c r="K3031" s="1124"/>
    </row>
    <row r="3032" ht="15.75" customHeight="1">
      <c r="A3032" s="1119">
        <v>91996.0</v>
      </c>
      <c r="B3032" s="1125" t="s">
        <v>13310</v>
      </c>
      <c r="C3032" s="1126" t="s">
        <v>1788</v>
      </c>
      <c r="D3032" s="1119">
        <v>39.87</v>
      </c>
      <c r="E3032" s="1120">
        <v>19.71</v>
      </c>
      <c r="F3032" s="1121">
        <f t="shared" si="1"/>
        <v>20.17</v>
      </c>
      <c r="G3032" s="1120">
        <v>20.17</v>
      </c>
      <c r="H3032" s="1127">
        <v>0.0</v>
      </c>
      <c r="I3032" s="1127">
        <v>0.0</v>
      </c>
      <c r="J3032" s="1127">
        <v>0.0</v>
      </c>
      <c r="K3032" s="1124"/>
    </row>
    <row r="3033" ht="15.75" customHeight="1">
      <c r="A3033" s="1119">
        <v>91997.0</v>
      </c>
      <c r="B3033" s="1125" t="s">
        <v>13311</v>
      </c>
      <c r="C3033" s="1126" t="s">
        <v>1788</v>
      </c>
      <c r="D3033" s="1119">
        <v>42.23</v>
      </c>
      <c r="E3033" s="1120">
        <v>19.71</v>
      </c>
      <c r="F3033" s="1121">
        <f t="shared" si="1"/>
        <v>22.54</v>
      </c>
      <c r="G3033" s="1120">
        <v>22.54</v>
      </c>
      <c r="H3033" s="1127">
        <v>0.0</v>
      </c>
      <c r="I3033" s="1127">
        <v>0.0</v>
      </c>
      <c r="J3033" s="1127">
        <v>0.0</v>
      </c>
      <c r="K3033" s="1124"/>
    </row>
    <row r="3034" ht="15.75" customHeight="1">
      <c r="A3034" s="1119">
        <v>91998.0</v>
      </c>
      <c r="B3034" s="1125" t="s">
        <v>13312</v>
      </c>
      <c r="C3034" s="1126" t="s">
        <v>1788</v>
      </c>
      <c r="D3034" s="1119">
        <v>22.93</v>
      </c>
      <c r="E3034" s="1120">
        <v>10.74</v>
      </c>
      <c r="F3034" s="1121">
        <f t="shared" si="1"/>
        <v>12.2</v>
      </c>
      <c r="G3034" s="1120">
        <v>12.2</v>
      </c>
      <c r="H3034" s="1127">
        <v>0.0</v>
      </c>
      <c r="I3034" s="1127">
        <v>0.0</v>
      </c>
      <c r="J3034" s="1127">
        <v>0.0</v>
      </c>
      <c r="K3034" s="1124"/>
    </row>
    <row r="3035" ht="15.75" customHeight="1">
      <c r="A3035" s="1119">
        <v>91999.0</v>
      </c>
      <c r="B3035" s="1125" t="s">
        <v>13313</v>
      </c>
      <c r="C3035" s="1126" t="s">
        <v>1788</v>
      </c>
      <c r="D3035" s="1119">
        <v>25.29</v>
      </c>
      <c r="E3035" s="1120">
        <v>10.73</v>
      </c>
      <c r="F3035" s="1121">
        <f t="shared" si="1"/>
        <v>14.56</v>
      </c>
      <c r="G3035" s="1120">
        <v>14.56</v>
      </c>
      <c r="H3035" s="1127">
        <v>0.0</v>
      </c>
      <c r="I3035" s="1127">
        <v>0.0</v>
      </c>
      <c r="J3035" s="1127">
        <v>0.0</v>
      </c>
      <c r="K3035" s="1124"/>
    </row>
    <row r="3036" ht="15.75" customHeight="1">
      <c r="A3036" s="1119">
        <v>92000.0</v>
      </c>
      <c r="B3036" s="1125" t="s">
        <v>13314</v>
      </c>
      <c r="C3036" s="1126" t="s">
        <v>1788</v>
      </c>
      <c r="D3036" s="1119">
        <v>35.37</v>
      </c>
      <c r="E3036" s="1120">
        <v>16.42</v>
      </c>
      <c r="F3036" s="1121">
        <f t="shared" si="1"/>
        <v>18.97</v>
      </c>
      <c r="G3036" s="1120">
        <v>18.97</v>
      </c>
      <c r="H3036" s="1127">
        <v>0.0</v>
      </c>
      <c r="I3036" s="1127">
        <v>0.0</v>
      </c>
      <c r="J3036" s="1127">
        <v>0.0</v>
      </c>
      <c r="K3036" s="1124"/>
    </row>
    <row r="3037" ht="15.75" customHeight="1">
      <c r="A3037" s="1119">
        <v>92001.0</v>
      </c>
      <c r="B3037" s="1125" t="s">
        <v>13315</v>
      </c>
      <c r="C3037" s="1126" t="s">
        <v>1788</v>
      </c>
      <c r="D3037" s="1119">
        <v>37.73</v>
      </c>
      <c r="E3037" s="1120">
        <v>16.42</v>
      </c>
      <c r="F3037" s="1121">
        <f t="shared" si="1"/>
        <v>21.33</v>
      </c>
      <c r="G3037" s="1120">
        <v>21.33</v>
      </c>
      <c r="H3037" s="1127">
        <v>0.0</v>
      </c>
      <c r="I3037" s="1127">
        <v>0.0</v>
      </c>
      <c r="J3037" s="1127">
        <v>0.0</v>
      </c>
      <c r="K3037" s="1124"/>
    </row>
    <row r="3038" ht="15.75" customHeight="1">
      <c r="A3038" s="1119">
        <v>92002.0</v>
      </c>
      <c r="B3038" s="1125" t="s">
        <v>13316</v>
      </c>
      <c r="C3038" s="1126" t="s">
        <v>1788</v>
      </c>
      <c r="D3038" s="1119">
        <v>51.15</v>
      </c>
      <c r="E3038" s="1120">
        <v>25.33</v>
      </c>
      <c r="F3038" s="1121">
        <f t="shared" si="1"/>
        <v>25.83</v>
      </c>
      <c r="G3038" s="1120">
        <v>25.83</v>
      </c>
      <c r="H3038" s="1127">
        <v>0.0</v>
      </c>
      <c r="I3038" s="1127">
        <v>0.0</v>
      </c>
      <c r="J3038" s="1127">
        <v>0.0</v>
      </c>
      <c r="K3038" s="1124"/>
    </row>
    <row r="3039" ht="15.75" customHeight="1">
      <c r="A3039" s="1119">
        <v>92003.0</v>
      </c>
      <c r="B3039" s="1125" t="s">
        <v>13317</v>
      </c>
      <c r="C3039" s="1126" t="s">
        <v>1788</v>
      </c>
      <c r="D3039" s="1119">
        <v>55.87</v>
      </c>
      <c r="E3039" s="1120">
        <v>25.33</v>
      </c>
      <c r="F3039" s="1121">
        <f t="shared" si="1"/>
        <v>30.55</v>
      </c>
      <c r="G3039" s="1120">
        <v>30.55</v>
      </c>
      <c r="H3039" s="1127">
        <v>0.0</v>
      </c>
      <c r="I3039" s="1127">
        <v>0.0</v>
      </c>
      <c r="J3039" s="1127">
        <v>0.0</v>
      </c>
      <c r="K3039" s="1124"/>
    </row>
    <row r="3040" ht="15.75" customHeight="1">
      <c r="A3040" s="1119">
        <v>92004.0</v>
      </c>
      <c r="B3040" s="1125" t="s">
        <v>13318</v>
      </c>
      <c r="C3040" s="1126" t="s">
        <v>1788</v>
      </c>
      <c r="D3040" s="1119">
        <v>63.59</v>
      </c>
      <c r="E3040" s="1120">
        <v>31.01</v>
      </c>
      <c r="F3040" s="1121">
        <f t="shared" si="1"/>
        <v>32.6</v>
      </c>
      <c r="G3040" s="1120">
        <v>32.6</v>
      </c>
      <c r="H3040" s="1127">
        <v>0.0</v>
      </c>
      <c r="I3040" s="1127">
        <v>0.0</v>
      </c>
      <c r="J3040" s="1127">
        <v>0.0</v>
      </c>
      <c r="K3040" s="1124"/>
    </row>
    <row r="3041" ht="15.75" customHeight="1">
      <c r="A3041" s="1119">
        <v>92005.0</v>
      </c>
      <c r="B3041" s="1125" t="s">
        <v>13319</v>
      </c>
      <c r="C3041" s="1126" t="s">
        <v>1788</v>
      </c>
      <c r="D3041" s="1119">
        <v>68.31</v>
      </c>
      <c r="E3041" s="1120">
        <v>31.01</v>
      </c>
      <c r="F3041" s="1121">
        <f t="shared" si="1"/>
        <v>37.32</v>
      </c>
      <c r="G3041" s="1120">
        <v>37.32</v>
      </c>
      <c r="H3041" s="1127">
        <v>0.0</v>
      </c>
      <c r="I3041" s="1127">
        <v>0.0</v>
      </c>
      <c r="J3041" s="1127">
        <v>0.0</v>
      </c>
      <c r="K3041" s="1124"/>
    </row>
    <row r="3042" ht="15.75" customHeight="1">
      <c r="A3042" s="1119">
        <v>92006.0</v>
      </c>
      <c r="B3042" s="1125" t="s">
        <v>13320</v>
      </c>
      <c r="C3042" s="1126" t="s">
        <v>1788</v>
      </c>
      <c r="D3042" s="1119">
        <v>42.1</v>
      </c>
      <c r="E3042" s="1120">
        <v>18.66</v>
      </c>
      <c r="F3042" s="1121">
        <f t="shared" si="1"/>
        <v>23.43</v>
      </c>
      <c r="G3042" s="1120">
        <v>23.43</v>
      </c>
      <c r="H3042" s="1127">
        <v>0.0</v>
      </c>
      <c r="I3042" s="1127">
        <v>0.0</v>
      </c>
      <c r="J3042" s="1127">
        <v>0.0</v>
      </c>
      <c r="K3042" s="1124"/>
    </row>
    <row r="3043" ht="15.75" customHeight="1">
      <c r="A3043" s="1119">
        <v>92007.0</v>
      </c>
      <c r="B3043" s="1125" t="s">
        <v>13321</v>
      </c>
      <c r="C3043" s="1126" t="s">
        <v>1788</v>
      </c>
      <c r="D3043" s="1119">
        <v>46.82</v>
      </c>
      <c r="E3043" s="1120">
        <v>18.66</v>
      </c>
      <c r="F3043" s="1121">
        <f t="shared" si="1"/>
        <v>28.16</v>
      </c>
      <c r="G3043" s="1120">
        <v>28.16</v>
      </c>
      <c r="H3043" s="1127">
        <v>0.0</v>
      </c>
      <c r="I3043" s="1127">
        <v>0.0</v>
      </c>
      <c r="J3043" s="1127">
        <v>0.0</v>
      </c>
      <c r="K3043" s="1124"/>
    </row>
    <row r="3044" ht="15.75" customHeight="1">
      <c r="A3044" s="1119">
        <v>92008.0</v>
      </c>
      <c r="B3044" s="1125" t="s">
        <v>13322</v>
      </c>
      <c r="C3044" s="1126" t="s">
        <v>1788</v>
      </c>
      <c r="D3044" s="1119">
        <v>54.54</v>
      </c>
      <c r="E3044" s="1120">
        <v>24.35</v>
      </c>
      <c r="F3044" s="1121">
        <f t="shared" si="1"/>
        <v>30.2</v>
      </c>
      <c r="G3044" s="1120">
        <v>30.2</v>
      </c>
      <c r="H3044" s="1127">
        <v>0.0</v>
      </c>
      <c r="I3044" s="1127">
        <v>0.0</v>
      </c>
      <c r="J3044" s="1127">
        <v>0.0</v>
      </c>
      <c r="K3044" s="1124"/>
    </row>
    <row r="3045" ht="15.75" customHeight="1">
      <c r="A3045" s="1119">
        <v>92009.0</v>
      </c>
      <c r="B3045" s="1125" t="s">
        <v>13323</v>
      </c>
      <c r="C3045" s="1126" t="s">
        <v>1788</v>
      </c>
      <c r="D3045" s="1119">
        <v>59.26</v>
      </c>
      <c r="E3045" s="1120">
        <v>24.34</v>
      </c>
      <c r="F3045" s="1121">
        <f t="shared" si="1"/>
        <v>34.93</v>
      </c>
      <c r="G3045" s="1120">
        <v>34.93</v>
      </c>
      <c r="H3045" s="1127">
        <v>0.0</v>
      </c>
      <c r="I3045" s="1127">
        <v>0.0</v>
      </c>
      <c r="J3045" s="1127">
        <v>0.0</v>
      </c>
      <c r="K3045" s="1124"/>
    </row>
    <row r="3046" ht="15.75" customHeight="1">
      <c r="A3046" s="1119">
        <v>92010.0</v>
      </c>
      <c r="B3046" s="1125" t="s">
        <v>13324</v>
      </c>
      <c r="C3046" s="1126" t="s">
        <v>1788</v>
      </c>
      <c r="D3046" s="1119">
        <v>74.82</v>
      </c>
      <c r="E3046" s="1120">
        <v>36.57</v>
      </c>
      <c r="F3046" s="1121">
        <f t="shared" si="1"/>
        <v>38.25</v>
      </c>
      <c r="G3046" s="1120">
        <v>38.25</v>
      </c>
      <c r="H3046" s="1127">
        <v>0.0</v>
      </c>
      <c r="I3046" s="1127">
        <v>0.0</v>
      </c>
      <c r="J3046" s="1127">
        <v>0.0</v>
      </c>
      <c r="K3046" s="1124"/>
    </row>
    <row r="3047" ht="15.75" customHeight="1">
      <c r="A3047" s="1119">
        <v>92011.0</v>
      </c>
      <c r="B3047" s="1125" t="s">
        <v>13325</v>
      </c>
      <c r="C3047" s="1126" t="s">
        <v>1788</v>
      </c>
      <c r="D3047" s="1119">
        <v>81.9</v>
      </c>
      <c r="E3047" s="1120">
        <v>36.57</v>
      </c>
      <c r="F3047" s="1121">
        <f t="shared" si="1"/>
        <v>45.33</v>
      </c>
      <c r="G3047" s="1120">
        <v>45.33</v>
      </c>
      <c r="H3047" s="1127">
        <v>0.0</v>
      </c>
      <c r="I3047" s="1127">
        <v>0.0</v>
      </c>
      <c r="J3047" s="1127">
        <v>0.0</v>
      </c>
      <c r="K3047" s="1124"/>
    </row>
    <row r="3048" ht="15.75" customHeight="1">
      <c r="A3048" s="1119">
        <v>92012.0</v>
      </c>
      <c r="B3048" s="1125" t="s">
        <v>13326</v>
      </c>
      <c r="C3048" s="1126" t="s">
        <v>1788</v>
      </c>
      <c r="D3048" s="1119">
        <v>87.26</v>
      </c>
      <c r="E3048" s="1120">
        <v>42.26</v>
      </c>
      <c r="F3048" s="1121">
        <f t="shared" si="1"/>
        <v>45.02</v>
      </c>
      <c r="G3048" s="1120">
        <v>45.02</v>
      </c>
      <c r="H3048" s="1127">
        <v>0.0</v>
      </c>
      <c r="I3048" s="1127">
        <v>0.0</v>
      </c>
      <c r="J3048" s="1127">
        <v>0.0</v>
      </c>
      <c r="K3048" s="1124"/>
    </row>
    <row r="3049" ht="15.75" customHeight="1">
      <c r="A3049" s="1119">
        <v>92013.0</v>
      </c>
      <c r="B3049" s="1125" t="s">
        <v>13327</v>
      </c>
      <c r="C3049" s="1126" t="s">
        <v>1788</v>
      </c>
      <c r="D3049" s="1119">
        <v>94.34</v>
      </c>
      <c r="E3049" s="1120">
        <v>42.26</v>
      </c>
      <c r="F3049" s="1121">
        <f t="shared" si="1"/>
        <v>52.1</v>
      </c>
      <c r="G3049" s="1120">
        <v>52.1</v>
      </c>
      <c r="H3049" s="1127">
        <v>0.0</v>
      </c>
      <c r="I3049" s="1127">
        <v>0.0</v>
      </c>
      <c r="J3049" s="1127">
        <v>0.0</v>
      </c>
      <c r="K3049" s="1124"/>
    </row>
    <row r="3050" ht="15.75" customHeight="1">
      <c r="A3050" s="1119">
        <v>92014.0</v>
      </c>
      <c r="B3050" s="1125" t="s">
        <v>13328</v>
      </c>
      <c r="C3050" s="1126" t="s">
        <v>1788</v>
      </c>
      <c r="D3050" s="1119">
        <v>61.26</v>
      </c>
      <c r="E3050" s="1120">
        <v>26.58</v>
      </c>
      <c r="F3050" s="1121">
        <f t="shared" si="1"/>
        <v>34.68</v>
      </c>
      <c r="G3050" s="1120">
        <v>34.68</v>
      </c>
      <c r="H3050" s="1127">
        <v>0.0</v>
      </c>
      <c r="I3050" s="1127">
        <v>0.0</v>
      </c>
      <c r="J3050" s="1127">
        <v>0.0</v>
      </c>
      <c r="K3050" s="1124"/>
    </row>
    <row r="3051" ht="15.75" customHeight="1">
      <c r="A3051" s="1119">
        <v>92015.0</v>
      </c>
      <c r="B3051" s="1125" t="s">
        <v>13329</v>
      </c>
      <c r="C3051" s="1126" t="s">
        <v>1788</v>
      </c>
      <c r="D3051" s="1119">
        <v>68.34</v>
      </c>
      <c r="E3051" s="1120">
        <v>26.58</v>
      </c>
      <c r="F3051" s="1121">
        <f t="shared" si="1"/>
        <v>41.76</v>
      </c>
      <c r="G3051" s="1120">
        <v>41.76</v>
      </c>
      <c r="H3051" s="1127">
        <v>0.0</v>
      </c>
      <c r="I3051" s="1127">
        <v>0.0</v>
      </c>
      <c r="J3051" s="1127">
        <v>0.0</v>
      </c>
      <c r="K3051" s="1124"/>
    </row>
    <row r="3052" ht="15.75" customHeight="1">
      <c r="A3052" s="1119">
        <v>92016.0</v>
      </c>
      <c r="B3052" s="1125" t="s">
        <v>13330</v>
      </c>
      <c r="C3052" s="1126" t="s">
        <v>1788</v>
      </c>
      <c r="D3052" s="1119">
        <v>73.7</v>
      </c>
      <c r="E3052" s="1120">
        <v>32.26</v>
      </c>
      <c r="F3052" s="1121">
        <f t="shared" si="1"/>
        <v>41.45</v>
      </c>
      <c r="G3052" s="1120">
        <v>41.45</v>
      </c>
      <c r="H3052" s="1127">
        <v>0.0</v>
      </c>
      <c r="I3052" s="1127">
        <v>0.0</v>
      </c>
      <c r="J3052" s="1127">
        <v>0.0</v>
      </c>
      <c r="K3052" s="1124"/>
    </row>
    <row r="3053" ht="15.75" customHeight="1">
      <c r="A3053" s="1119">
        <v>92017.0</v>
      </c>
      <c r="B3053" s="1125" t="s">
        <v>13331</v>
      </c>
      <c r="C3053" s="1126" t="s">
        <v>1788</v>
      </c>
      <c r="D3053" s="1119">
        <v>80.78</v>
      </c>
      <c r="E3053" s="1120">
        <v>32.26</v>
      </c>
      <c r="F3053" s="1121">
        <f t="shared" si="1"/>
        <v>48.54</v>
      </c>
      <c r="G3053" s="1120">
        <v>48.54</v>
      </c>
      <c r="H3053" s="1127">
        <v>0.0</v>
      </c>
      <c r="I3053" s="1127">
        <v>0.0</v>
      </c>
      <c r="J3053" s="1127">
        <v>0.0</v>
      </c>
      <c r="K3053" s="1124"/>
    </row>
    <row r="3054" ht="15.75" customHeight="1">
      <c r="A3054" s="1119">
        <v>92018.0</v>
      </c>
      <c r="B3054" s="1125" t="s">
        <v>13332</v>
      </c>
      <c r="C3054" s="1126" t="s">
        <v>1788</v>
      </c>
      <c r="D3054" s="1119">
        <v>81.08</v>
      </c>
      <c r="E3054" s="1120">
        <v>34.99</v>
      </c>
      <c r="F3054" s="1121">
        <f t="shared" si="1"/>
        <v>46.09</v>
      </c>
      <c r="G3054" s="1120">
        <v>46.09</v>
      </c>
      <c r="H3054" s="1127">
        <v>0.0</v>
      </c>
      <c r="I3054" s="1127">
        <v>0.0</v>
      </c>
      <c r="J3054" s="1127">
        <v>0.0</v>
      </c>
      <c r="K3054" s="1124"/>
    </row>
    <row r="3055" ht="15.75" customHeight="1">
      <c r="A3055" s="1119">
        <v>92019.0</v>
      </c>
      <c r="B3055" s="1125" t="s">
        <v>13333</v>
      </c>
      <c r="C3055" s="1126" t="s">
        <v>1788</v>
      </c>
      <c r="D3055" s="1119">
        <v>99.1</v>
      </c>
      <c r="E3055" s="1120">
        <v>41.64</v>
      </c>
      <c r="F3055" s="1121">
        <f t="shared" si="1"/>
        <v>57.47</v>
      </c>
      <c r="G3055" s="1120">
        <v>57.47</v>
      </c>
      <c r="H3055" s="1127">
        <v>0.0</v>
      </c>
      <c r="I3055" s="1127">
        <v>0.0</v>
      </c>
      <c r="J3055" s="1127">
        <v>0.0</v>
      </c>
      <c r="K3055" s="1124"/>
    </row>
    <row r="3056" ht="15.75" customHeight="1">
      <c r="A3056" s="1119">
        <v>92020.0</v>
      </c>
      <c r="B3056" s="1125" t="s">
        <v>13334</v>
      </c>
      <c r="C3056" s="1126" t="s">
        <v>1788</v>
      </c>
      <c r="D3056" s="1119">
        <v>119.71</v>
      </c>
      <c r="E3056" s="1120">
        <v>51.07</v>
      </c>
      <c r="F3056" s="1121">
        <f t="shared" si="1"/>
        <v>68.64</v>
      </c>
      <c r="G3056" s="1120">
        <v>68.64</v>
      </c>
      <c r="H3056" s="1127">
        <v>0.0</v>
      </c>
      <c r="I3056" s="1127">
        <v>0.0</v>
      </c>
      <c r="J3056" s="1127">
        <v>0.0</v>
      </c>
      <c r="K3056" s="1124"/>
    </row>
    <row r="3057" ht="15.75" customHeight="1">
      <c r="A3057" s="1119">
        <v>92021.0</v>
      </c>
      <c r="B3057" s="1125" t="s">
        <v>13335</v>
      </c>
      <c r="C3057" s="1126" t="s">
        <v>1788</v>
      </c>
      <c r="D3057" s="1119">
        <v>137.73</v>
      </c>
      <c r="E3057" s="1120">
        <v>57.73</v>
      </c>
      <c r="F3057" s="1121">
        <f t="shared" si="1"/>
        <v>80.02</v>
      </c>
      <c r="G3057" s="1120">
        <v>80.02</v>
      </c>
      <c r="H3057" s="1127">
        <v>0.0</v>
      </c>
      <c r="I3057" s="1127">
        <v>0.0</v>
      </c>
      <c r="J3057" s="1127">
        <v>0.0</v>
      </c>
      <c r="K3057" s="1124"/>
    </row>
    <row r="3058" ht="15.75" customHeight="1">
      <c r="A3058" s="1119">
        <v>92022.0</v>
      </c>
      <c r="B3058" s="1125" t="s">
        <v>13336</v>
      </c>
      <c r="C3058" s="1126" t="s">
        <v>1788</v>
      </c>
      <c r="D3058" s="1119">
        <v>44.98</v>
      </c>
      <c r="E3058" s="1120">
        <v>21.53</v>
      </c>
      <c r="F3058" s="1121">
        <f t="shared" si="1"/>
        <v>23.44</v>
      </c>
      <c r="G3058" s="1120">
        <v>23.44</v>
      </c>
      <c r="H3058" s="1127">
        <v>0.0</v>
      </c>
      <c r="I3058" s="1127">
        <v>0.0</v>
      </c>
      <c r="J3058" s="1127">
        <v>0.0</v>
      </c>
      <c r="K3058" s="1124"/>
    </row>
    <row r="3059" ht="15.75" customHeight="1">
      <c r="A3059" s="1119">
        <v>92023.0</v>
      </c>
      <c r="B3059" s="1125" t="s">
        <v>13337</v>
      </c>
      <c r="C3059" s="1126" t="s">
        <v>1788</v>
      </c>
      <c r="D3059" s="1119">
        <v>57.42</v>
      </c>
      <c r="E3059" s="1120">
        <v>27.22</v>
      </c>
      <c r="F3059" s="1121">
        <f t="shared" si="1"/>
        <v>30.21</v>
      </c>
      <c r="G3059" s="1120">
        <v>30.21</v>
      </c>
      <c r="H3059" s="1127">
        <v>0.0</v>
      </c>
      <c r="I3059" s="1127">
        <v>0.0</v>
      </c>
      <c r="J3059" s="1127">
        <v>0.0</v>
      </c>
      <c r="K3059" s="1124"/>
    </row>
    <row r="3060" ht="15.75" customHeight="1">
      <c r="A3060" s="1119">
        <v>92024.0</v>
      </c>
      <c r="B3060" s="1125" t="s">
        <v>13338</v>
      </c>
      <c r="C3060" s="1126" t="s">
        <v>1788</v>
      </c>
      <c r="D3060" s="1119">
        <v>68.7</v>
      </c>
      <c r="E3060" s="1120">
        <v>32.83</v>
      </c>
      <c r="F3060" s="1121">
        <f t="shared" si="1"/>
        <v>35.87</v>
      </c>
      <c r="G3060" s="1120">
        <v>35.87</v>
      </c>
      <c r="H3060" s="1127">
        <v>0.0</v>
      </c>
      <c r="I3060" s="1127">
        <v>0.0</v>
      </c>
      <c r="J3060" s="1127">
        <v>0.0</v>
      </c>
      <c r="K3060" s="1124"/>
    </row>
    <row r="3061" ht="15.75" customHeight="1">
      <c r="A3061" s="1119">
        <v>92025.0</v>
      </c>
      <c r="B3061" s="1125" t="s">
        <v>13339</v>
      </c>
      <c r="C3061" s="1126" t="s">
        <v>1788</v>
      </c>
      <c r="D3061" s="1119">
        <v>81.14</v>
      </c>
      <c r="E3061" s="1120">
        <v>38.52</v>
      </c>
      <c r="F3061" s="1121">
        <f t="shared" si="1"/>
        <v>42.64</v>
      </c>
      <c r="G3061" s="1120">
        <v>42.64</v>
      </c>
      <c r="H3061" s="1127">
        <v>0.0</v>
      </c>
      <c r="I3061" s="1127">
        <v>0.0</v>
      </c>
      <c r="J3061" s="1127">
        <v>0.0</v>
      </c>
      <c r="K3061" s="1124"/>
    </row>
    <row r="3062" ht="15.75" customHeight="1">
      <c r="A3062" s="1119">
        <v>92026.0</v>
      </c>
      <c r="B3062" s="1125" t="s">
        <v>13340</v>
      </c>
      <c r="C3062" s="1126" t="s">
        <v>1788</v>
      </c>
      <c r="D3062" s="1119">
        <v>62.58</v>
      </c>
      <c r="E3062" s="1120">
        <v>29.07</v>
      </c>
      <c r="F3062" s="1121">
        <f t="shared" si="1"/>
        <v>33.51</v>
      </c>
      <c r="G3062" s="1120">
        <v>33.51</v>
      </c>
      <c r="H3062" s="1127">
        <v>0.0</v>
      </c>
      <c r="I3062" s="1127">
        <v>0.0</v>
      </c>
      <c r="J3062" s="1127">
        <v>0.0</v>
      </c>
      <c r="K3062" s="1124"/>
    </row>
    <row r="3063" ht="15.75" customHeight="1">
      <c r="A3063" s="1119">
        <v>92027.0</v>
      </c>
      <c r="B3063" s="1125" t="s">
        <v>13341</v>
      </c>
      <c r="C3063" s="1126" t="s">
        <v>1788</v>
      </c>
      <c r="D3063" s="1119">
        <v>75.02</v>
      </c>
      <c r="E3063" s="1120">
        <v>34.76</v>
      </c>
      <c r="F3063" s="1121">
        <f t="shared" si="1"/>
        <v>40.28</v>
      </c>
      <c r="G3063" s="1120">
        <v>40.28</v>
      </c>
      <c r="H3063" s="1127">
        <v>0.0</v>
      </c>
      <c r="I3063" s="1127">
        <v>0.0</v>
      </c>
      <c r="J3063" s="1127">
        <v>0.0</v>
      </c>
      <c r="K3063" s="1124"/>
    </row>
    <row r="3064" ht="15.75" customHeight="1">
      <c r="A3064" s="1119">
        <v>92028.0</v>
      </c>
      <c r="B3064" s="1125" t="s">
        <v>13342</v>
      </c>
      <c r="C3064" s="1126" t="s">
        <v>1788</v>
      </c>
      <c r="D3064" s="1119">
        <v>52.37</v>
      </c>
      <c r="E3064" s="1120">
        <v>25.33</v>
      </c>
      <c r="F3064" s="1121">
        <f t="shared" si="1"/>
        <v>27.05</v>
      </c>
      <c r="G3064" s="1120">
        <v>27.05</v>
      </c>
      <c r="H3064" s="1127">
        <v>0.0</v>
      </c>
      <c r="I3064" s="1127">
        <v>0.0</v>
      </c>
      <c r="J3064" s="1127">
        <v>0.0</v>
      </c>
      <c r="K3064" s="1124"/>
    </row>
    <row r="3065" ht="15.75" customHeight="1">
      <c r="A3065" s="1119">
        <v>92029.0</v>
      </c>
      <c r="B3065" s="1125" t="s">
        <v>13343</v>
      </c>
      <c r="C3065" s="1126" t="s">
        <v>1788</v>
      </c>
      <c r="D3065" s="1119">
        <v>64.81</v>
      </c>
      <c r="E3065" s="1120">
        <v>31.01</v>
      </c>
      <c r="F3065" s="1121">
        <f t="shared" si="1"/>
        <v>33.82</v>
      </c>
      <c r="G3065" s="1120">
        <v>33.82</v>
      </c>
      <c r="H3065" s="1127">
        <v>0.0</v>
      </c>
      <c r="I3065" s="1127">
        <v>0.0</v>
      </c>
      <c r="J3065" s="1127">
        <v>0.0</v>
      </c>
      <c r="K3065" s="1124"/>
    </row>
    <row r="3066" ht="15.75" customHeight="1">
      <c r="A3066" s="1119">
        <v>92030.0</v>
      </c>
      <c r="B3066" s="1125" t="s">
        <v>13344</v>
      </c>
      <c r="C3066" s="1126" t="s">
        <v>1788</v>
      </c>
      <c r="D3066" s="1119">
        <v>76.04</v>
      </c>
      <c r="E3066" s="1120">
        <v>36.57</v>
      </c>
      <c r="F3066" s="1121">
        <f t="shared" si="1"/>
        <v>39.47</v>
      </c>
      <c r="G3066" s="1120">
        <v>39.47</v>
      </c>
      <c r="H3066" s="1127">
        <v>0.0</v>
      </c>
      <c r="I3066" s="1127">
        <v>0.0</v>
      </c>
      <c r="J3066" s="1127">
        <v>0.0</v>
      </c>
      <c r="K3066" s="1124"/>
    </row>
    <row r="3067" ht="15.75" customHeight="1">
      <c r="A3067" s="1119">
        <v>92031.0</v>
      </c>
      <c r="B3067" s="1125" t="s">
        <v>13345</v>
      </c>
      <c r="C3067" s="1126" t="s">
        <v>1788</v>
      </c>
      <c r="D3067" s="1119">
        <v>88.48</v>
      </c>
      <c r="E3067" s="1120">
        <v>42.26</v>
      </c>
      <c r="F3067" s="1121">
        <f t="shared" si="1"/>
        <v>46.24</v>
      </c>
      <c r="G3067" s="1120">
        <v>46.24</v>
      </c>
      <c r="H3067" s="1127">
        <v>0.0</v>
      </c>
      <c r="I3067" s="1127">
        <v>0.0</v>
      </c>
      <c r="J3067" s="1127">
        <v>0.0</v>
      </c>
      <c r="K3067" s="1124"/>
    </row>
    <row r="3068" ht="15.75" customHeight="1">
      <c r="A3068" s="1119">
        <v>92032.0</v>
      </c>
      <c r="B3068" s="1125" t="s">
        <v>13346</v>
      </c>
      <c r="C3068" s="1126" t="s">
        <v>1788</v>
      </c>
      <c r="D3068" s="1119">
        <v>77.26</v>
      </c>
      <c r="E3068" s="1120">
        <v>36.57</v>
      </c>
      <c r="F3068" s="1121">
        <f t="shared" si="1"/>
        <v>40.69</v>
      </c>
      <c r="G3068" s="1120">
        <v>40.69</v>
      </c>
      <c r="H3068" s="1127">
        <v>0.0</v>
      </c>
      <c r="I3068" s="1127">
        <v>0.0</v>
      </c>
      <c r="J3068" s="1127">
        <v>0.0</v>
      </c>
      <c r="K3068" s="1124"/>
    </row>
    <row r="3069" ht="15.75" customHeight="1">
      <c r="A3069" s="1119">
        <v>92033.0</v>
      </c>
      <c r="B3069" s="1125" t="s">
        <v>13347</v>
      </c>
      <c r="C3069" s="1126" t="s">
        <v>1788</v>
      </c>
      <c r="D3069" s="1119">
        <v>89.7</v>
      </c>
      <c r="E3069" s="1120">
        <v>42.26</v>
      </c>
      <c r="F3069" s="1121">
        <f t="shared" si="1"/>
        <v>47.46</v>
      </c>
      <c r="G3069" s="1120">
        <v>47.46</v>
      </c>
      <c r="H3069" s="1127">
        <v>0.0</v>
      </c>
      <c r="I3069" s="1127">
        <v>0.0</v>
      </c>
      <c r="J3069" s="1127">
        <v>0.0</v>
      </c>
      <c r="K3069" s="1124"/>
    </row>
    <row r="3070" ht="15.75" customHeight="1">
      <c r="A3070" s="1119">
        <v>92034.0</v>
      </c>
      <c r="B3070" s="1125" t="s">
        <v>13348</v>
      </c>
      <c r="C3070" s="1126" t="s">
        <v>1788</v>
      </c>
      <c r="D3070" s="1119">
        <v>69.92</v>
      </c>
      <c r="E3070" s="1120">
        <v>32.83</v>
      </c>
      <c r="F3070" s="1121">
        <f t="shared" si="1"/>
        <v>37.09</v>
      </c>
      <c r="G3070" s="1120">
        <v>37.09</v>
      </c>
      <c r="H3070" s="1127">
        <v>0.0</v>
      </c>
      <c r="I3070" s="1127">
        <v>0.0</v>
      </c>
      <c r="J3070" s="1127">
        <v>0.0</v>
      </c>
      <c r="K3070" s="1124"/>
    </row>
    <row r="3071" ht="15.75" customHeight="1">
      <c r="A3071" s="1119">
        <v>92035.0</v>
      </c>
      <c r="B3071" s="1125" t="s">
        <v>13349</v>
      </c>
      <c r="C3071" s="1126" t="s">
        <v>1788</v>
      </c>
      <c r="D3071" s="1119">
        <v>82.36</v>
      </c>
      <c r="E3071" s="1120">
        <v>38.52</v>
      </c>
      <c r="F3071" s="1121">
        <f t="shared" si="1"/>
        <v>43.86</v>
      </c>
      <c r="G3071" s="1120">
        <v>43.86</v>
      </c>
      <c r="H3071" s="1127">
        <v>0.0</v>
      </c>
      <c r="I3071" s="1127">
        <v>0.0</v>
      </c>
      <c r="J3071" s="1127">
        <v>0.0</v>
      </c>
      <c r="K3071" s="1124"/>
    </row>
    <row r="3072" ht="15.75" customHeight="1">
      <c r="A3072" s="1119">
        <v>97583.0</v>
      </c>
      <c r="B3072" s="1125" t="s">
        <v>13350</v>
      </c>
      <c r="C3072" s="1126" t="s">
        <v>1788</v>
      </c>
      <c r="D3072" s="1119">
        <v>83.56</v>
      </c>
      <c r="E3072" s="1120">
        <v>12.04</v>
      </c>
      <c r="F3072" s="1121">
        <f t="shared" si="1"/>
        <v>71.51</v>
      </c>
      <c r="G3072" s="1120">
        <v>71.51</v>
      </c>
      <c r="H3072" s="1127">
        <v>0.0</v>
      </c>
      <c r="I3072" s="1127">
        <v>0.0</v>
      </c>
      <c r="J3072" s="1127">
        <v>0.0</v>
      </c>
      <c r="K3072" s="1124"/>
    </row>
    <row r="3073" ht="15.75" customHeight="1">
      <c r="A3073" s="1119">
        <v>97584.0</v>
      </c>
      <c r="B3073" s="1125" t="s">
        <v>13351</v>
      </c>
      <c r="C3073" s="1126" t="s">
        <v>1788</v>
      </c>
      <c r="D3073" s="1119">
        <v>115.62</v>
      </c>
      <c r="E3073" s="1120">
        <v>12.04</v>
      </c>
      <c r="F3073" s="1121">
        <f t="shared" si="1"/>
        <v>103.57</v>
      </c>
      <c r="G3073" s="1120">
        <v>103.57</v>
      </c>
      <c r="H3073" s="1127">
        <v>0.0</v>
      </c>
      <c r="I3073" s="1127">
        <v>0.0</v>
      </c>
      <c r="J3073" s="1127">
        <v>0.0</v>
      </c>
      <c r="K3073" s="1124"/>
    </row>
    <row r="3074" ht="15.75" customHeight="1">
      <c r="A3074" s="1119">
        <v>97585.0</v>
      </c>
      <c r="B3074" s="1125" t="s">
        <v>13352</v>
      </c>
      <c r="C3074" s="1126" t="s">
        <v>1788</v>
      </c>
      <c r="D3074" s="1119">
        <v>111.78</v>
      </c>
      <c r="E3074" s="1120">
        <v>13.69</v>
      </c>
      <c r="F3074" s="1121">
        <f t="shared" si="1"/>
        <v>98.09</v>
      </c>
      <c r="G3074" s="1120">
        <v>98.09</v>
      </c>
      <c r="H3074" s="1127">
        <v>0.0</v>
      </c>
      <c r="I3074" s="1127">
        <v>0.0</v>
      </c>
      <c r="J3074" s="1127">
        <v>0.0</v>
      </c>
      <c r="K3074" s="1124"/>
    </row>
    <row r="3075" ht="15.75" customHeight="1">
      <c r="A3075" s="1119">
        <v>97586.0</v>
      </c>
      <c r="B3075" s="1125" t="s">
        <v>13353</v>
      </c>
      <c r="C3075" s="1126" t="s">
        <v>1788</v>
      </c>
      <c r="D3075" s="1119">
        <v>150.5</v>
      </c>
      <c r="E3075" s="1120">
        <v>13.69</v>
      </c>
      <c r="F3075" s="1121">
        <f t="shared" si="1"/>
        <v>136.81</v>
      </c>
      <c r="G3075" s="1120">
        <v>136.81</v>
      </c>
      <c r="H3075" s="1127">
        <v>0.0</v>
      </c>
      <c r="I3075" s="1127">
        <v>0.0</v>
      </c>
      <c r="J3075" s="1127">
        <v>0.0</v>
      </c>
      <c r="K3075" s="1124"/>
    </row>
    <row r="3076" ht="15.75" customHeight="1">
      <c r="A3076" s="1119">
        <v>97587.0</v>
      </c>
      <c r="B3076" s="1125" t="s">
        <v>13354</v>
      </c>
      <c r="C3076" s="1126" t="s">
        <v>1788</v>
      </c>
      <c r="D3076" s="1119">
        <v>271.12</v>
      </c>
      <c r="E3076" s="1120">
        <v>11.73</v>
      </c>
      <c r="F3076" s="1121">
        <f t="shared" si="1"/>
        <v>259.39</v>
      </c>
      <c r="G3076" s="1120">
        <v>259.39</v>
      </c>
      <c r="H3076" s="1127">
        <v>0.0</v>
      </c>
      <c r="I3076" s="1127">
        <v>0.0</v>
      </c>
      <c r="J3076" s="1127">
        <v>0.0</v>
      </c>
      <c r="K3076" s="1124"/>
    </row>
    <row r="3077" ht="15.75" customHeight="1">
      <c r="A3077" s="1119">
        <v>97589.0</v>
      </c>
      <c r="B3077" s="1125" t="s">
        <v>13355</v>
      </c>
      <c r="C3077" s="1126" t="s">
        <v>1788</v>
      </c>
      <c r="D3077" s="1119">
        <v>44.9</v>
      </c>
      <c r="E3077" s="1120">
        <v>17.72</v>
      </c>
      <c r="F3077" s="1121">
        <f t="shared" si="1"/>
        <v>27.19</v>
      </c>
      <c r="G3077" s="1120">
        <v>27.19</v>
      </c>
      <c r="H3077" s="1127">
        <v>0.0</v>
      </c>
      <c r="I3077" s="1127">
        <v>0.0</v>
      </c>
      <c r="J3077" s="1127">
        <v>0.0</v>
      </c>
      <c r="K3077" s="1124"/>
    </row>
    <row r="3078" ht="15.75" customHeight="1">
      <c r="A3078" s="1119">
        <v>97590.0</v>
      </c>
      <c r="B3078" s="1125" t="s">
        <v>13356</v>
      </c>
      <c r="C3078" s="1126" t="s">
        <v>1788</v>
      </c>
      <c r="D3078" s="1119">
        <v>98.4</v>
      </c>
      <c r="E3078" s="1120">
        <v>17.71</v>
      </c>
      <c r="F3078" s="1121">
        <f t="shared" si="1"/>
        <v>80.71</v>
      </c>
      <c r="G3078" s="1120">
        <v>80.71</v>
      </c>
      <c r="H3078" s="1127">
        <v>0.0</v>
      </c>
      <c r="I3078" s="1127">
        <v>0.0</v>
      </c>
      <c r="J3078" s="1127">
        <v>0.0</v>
      </c>
      <c r="K3078" s="1124"/>
    </row>
    <row r="3079" ht="15.75" customHeight="1">
      <c r="A3079" s="1119">
        <v>97591.0</v>
      </c>
      <c r="B3079" s="1125" t="s">
        <v>13357</v>
      </c>
      <c r="C3079" s="1126" t="s">
        <v>1788</v>
      </c>
      <c r="D3079" s="1119">
        <v>129.67</v>
      </c>
      <c r="E3079" s="1120">
        <v>22.89</v>
      </c>
      <c r="F3079" s="1121">
        <f t="shared" si="1"/>
        <v>106.77</v>
      </c>
      <c r="G3079" s="1120">
        <v>106.77</v>
      </c>
      <c r="H3079" s="1127">
        <v>0.0</v>
      </c>
      <c r="I3079" s="1127">
        <v>0.0</v>
      </c>
      <c r="J3079" s="1127">
        <v>0.0</v>
      </c>
      <c r="K3079" s="1124"/>
    </row>
    <row r="3080" ht="15.75" customHeight="1">
      <c r="A3080" s="1119">
        <v>97593.0</v>
      </c>
      <c r="B3080" s="1125" t="s">
        <v>13358</v>
      </c>
      <c r="C3080" s="1126" t="s">
        <v>1788</v>
      </c>
      <c r="D3080" s="1119">
        <v>138.66</v>
      </c>
      <c r="E3080" s="1120">
        <v>14.84</v>
      </c>
      <c r="F3080" s="1121">
        <f t="shared" si="1"/>
        <v>123.83</v>
      </c>
      <c r="G3080" s="1120">
        <v>123.83</v>
      </c>
      <c r="H3080" s="1127">
        <v>0.0</v>
      </c>
      <c r="I3080" s="1127">
        <v>0.0</v>
      </c>
      <c r="J3080" s="1127">
        <v>0.0</v>
      </c>
      <c r="K3080" s="1124"/>
    </row>
    <row r="3081" ht="15.75" customHeight="1">
      <c r="A3081" s="1119">
        <v>97594.0</v>
      </c>
      <c r="B3081" s="1125" t="s">
        <v>13359</v>
      </c>
      <c r="C3081" s="1126" t="s">
        <v>1788</v>
      </c>
      <c r="D3081" s="1119">
        <v>129.27</v>
      </c>
      <c r="E3081" s="1120">
        <v>19.3</v>
      </c>
      <c r="F3081" s="1121">
        <f t="shared" si="1"/>
        <v>109.96</v>
      </c>
      <c r="G3081" s="1120">
        <v>109.96</v>
      </c>
      <c r="H3081" s="1127">
        <v>0.0</v>
      </c>
      <c r="I3081" s="1127">
        <v>0.0</v>
      </c>
      <c r="J3081" s="1127">
        <v>0.0</v>
      </c>
      <c r="K3081" s="1124"/>
    </row>
    <row r="3082" ht="15.75" customHeight="1">
      <c r="A3082" s="1119">
        <v>97595.0</v>
      </c>
      <c r="B3082" s="1125" t="s">
        <v>13360</v>
      </c>
      <c r="C3082" s="1126" t="s">
        <v>1788</v>
      </c>
      <c r="D3082" s="1119">
        <v>100.69</v>
      </c>
      <c r="E3082" s="1120">
        <v>18.67</v>
      </c>
      <c r="F3082" s="1121">
        <f t="shared" si="1"/>
        <v>82.03</v>
      </c>
      <c r="G3082" s="1120">
        <v>82.03</v>
      </c>
      <c r="H3082" s="1127">
        <v>0.0</v>
      </c>
      <c r="I3082" s="1127">
        <v>0.0</v>
      </c>
      <c r="J3082" s="1127">
        <v>0.0</v>
      </c>
      <c r="K3082" s="1124"/>
    </row>
    <row r="3083" ht="15.75" customHeight="1">
      <c r="A3083" s="1119">
        <v>97596.0</v>
      </c>
      <c r="B3083" s="1125" t="s">
        <v>13361</v>
      </c>
      <c r="C3083" s="1126" t="s">
        <v>1788</v>
      </c>
      <c r="D3083" s="1119">
        <v>71.79</v>
      </c>
      <c r="E3083" s="1120">
        <v>18.67</v>
      </c>
      <c r="F3083" s="1121">
        <f t="shared" si="1"/>
        <v>53.13</v>
      </c>
      <c r="G3083" s="1120">
        <v>53.13</v>
      </c>
      <c r="H3083" s="1127">
        <v>0.0</v>
      </c>
      <c r="I3083" s="1127">
        <v>0.0</v>
      </c>
      <c r="J3083" s="1127">
        <v>0.0</v>
      </c>
      <c r="K3083" s="1124"/>
    </row>
    <row r="3084" ht="15.75" customHeight="1">
      <c r="A3084" s="1119">
        <v>97597.0</v>
      </c>
      <c r="B3084" s="1125" t="s">
        <v>13362</v>
      </c>
      <c r="C3084" s="1126" t="s">
        <v>1788</v>
      </c>
      <c r="D3084" s="1119">
        <v>69.33</v>
      </c>
      <c r="E3084" s="1120">
        <v>12.43</v>
      </c>
      <c r="F3084" s="1121">
        <f t="shared" si="1"/>
        <v>56.91</v>
      </c>
      <c r="G3084" s="1120">
        <v>56.91</v>
      </c>
      <c r="H3084" s="1127">
        <v>0.0</v>
      </c>
      <c r="I3084" s="1127">
        <v>0.0</v>
      </c>
      <c r="J3084" s="1127">
        <v>0.0</v>
      </c>
      <c r="K3084" s="1124"/>
    </row>
    <row r="3085" ht="15.75" customHeight="1">
      <c r="A3085" s="1119">
        <v>97598.0</v>
      </c>
      <c r="B3085" s="1125" t="s">
        <v>13363</v>
      </c>
      <c r="C3085" s="1126" t="s">
        <v>1788</v>
      </c>
      <c r="D3085" s="1119">
        <v>65.64</v>
      </c>
      <c r="E3085" s="1120">
        <v>12.43</v>
      </c>
      <c r="F3085" s="1121">
        <f t="shared" si="1"/>
        <v>53.22</v>
      </c>
      <c r="G3085" s="1120">
        <v>53.22</v>
      </c>
      <c r="H3085" s="1127">
        <v>0.0</v>
      </c>
      <c r="I3085" s="1127">
        <v>0.0</v>
      </c>
      <c r="J3085" s="1127">
        <v>0.0</v>
      </c>
      <c r="K3085" s="1124"/>
    </row>
    <row r="3086" ht="15.75" customHeight="1">
      <c r="A3086" s="1119">
        <v>97599.0</v>
      </c>
      <c r="B3086" s="1125" t="s">
        <v>13364</v>
      </c>
      <c r="C3086" s="1126" t="s">
        <v>1788</v>
      </c>
      <c r="D3086" s="1119">
        <v>26.77</v>
      </c>
      <c r="E3086" s="1120">
        <v>5.93</v>
      </c>
      <c r="F3086" s="1121">
        <f t="shared" si="1"/>
        <v>20.84</v>
      </c>
      <c r="G3086" s="1120">
        <v>20.84</v>
      </c>
      <c r="H3086" s="1127">
        <v>0.0</v>
      </c>
      <c r="I3086" s="1127">
        <v>0.0</v>
      </c>
      <c r="J3086" s="1127">
        <v>0.0</v>
      </c>
      <c r="K3086" s="1124"/>
    </row>
    <row r="3087" ht="15.75" customHeight="1">
      <c r="A3087" s="1119">
        <v>97609.0</v>
      </c>
      <c r="B3087" s="1125" t="s">
        <v>13365</v>
      </c>
      <c r="C3087" s="1126" t="s">
        <v>1788</v>
      </c>
      <c r="D3087" s="1119">
        <v>17.28</v>
      </c>
      <c r="E3087" s="1120">
        <v>5.47</v>
      </c>
      <c r="F3087" s="1121">
        <f t="shared" si="1"/>
        <v>11.81</v>
      </c>
      <c r="G3087" s="1120">
        <v>11.81</v>
      </c>
      <c r="H3087" s="1127">
        <v>0.0</v>
      </c>
      <c r="I3087" s="1127">
        <v>0.0</v>
      </c>
      <c r="J3087" s="1127">
        <v>0.0</v>
      </c>
      <c r="K3087" s="1124"/>
    </row>
    <row r="3088" ht="15.75" customHeight="1">
      <c r="A3088" s="1119">
        <v>97610.0</v>
      </c>
      <c r="B3088" s="1125" t="s">
        <v>13366</v>
      </c>
      <c r="C3088" s="1126" t="s">
        <v>1788</v>
      </c>
      <c r="D3088" s="1119">
        <v>18.26</v>
      </c>
      <c r="E3088" s="1120">
        <v>5.47</v>
      </c>
      <c r="F3088" s="1121">
        <f t="shared" si="1"/>
        <v>12.79</v>
      </c>
      <c r="G3088" s="1120">
        <v>12.79</v>
      </c>
      <c r="H3088" s="1127">
        <v>0.0</v>
      </c>
      <c r="I3088" s="1127">
        <v>0.0</v>
      </c>
      <c r="J3088" s="1127">
        <v>0.0</v>
      </c>
      <c r="K3088" s="1124"/>
    </row>
    <row r="3089" ht="15.75" customHeight="1">
      <c r="A3089" s="1119">
        <v>97611.0</v>
      </c>
      <c r="B3089" s="1125" t="s">
        <v>13367</v>
      </c>
      <c r="C3089" s="1126" t="s">
        <v>1788</v>
      </c>
      <c r="D3089" s="1119">
        <v>25.65</v>
      </c>
      <c r="E3089" s="1120">
        <v>5.46</v>
      </c>
      <c r="F3089" s="1121">
        <f t="shared" si="1"/>
        <v>20.19</v>
      </c>
      <c r="G3089" s="1120">
        <v>20.19</v>
      </c>
      <c r="H3089" s="1127">
        <v>0.0</v>
      </c>
      <c r="I3089" s="1127">
        <v>0.0</v>
      </c>
      <c r="J3089" s="1127">
        <v>0.0</v>
      </c>
      <c r="K3089" s="1124"/>
    </row>
    <row r="3090" ht="15.75" customHeight="1">
      <c r="A3090" s="1119">
        <v>97612.0</v>
      </c>
      <c r="B3090" s="1125" t="s">
        <v>13368</v>
      </c>
      <c r="C3090" s="1126" t="s">
        <v>1788</v>
      </c>
      <c r="D3090" s="1119">
        <v>27.75</v>
      </c>
      <c r="E3090" s="1120">
        <v>5.46</v>
      </c>
      <c r="F3090" s="1121">
        <f t="shared" si="1"/>
        <v>22.29</v>
      </c>
      <c r="G3090" s="1120">
        <v>22.29</v>
      </c>
      <c r="H3090" s="1127">
        <v>0.0</v>
      </c>
      <c r="I3090" s="1127">
        <v>0.0</v>
      </c>
      <c r="J3090" s="1127">
        <v>0.0</v>
      </c>
      <c r="K3090" s="1124"/>
    </row>
    <row r="3091" ht="15.75" customHeight="1">
      <c r="A3091" s="1119">
        <v>97613.0</v>
      </c>
      <c r="B3091" s="1125" t="s">
        <v>13369</v>
      </c>
      <c r="C3091" s="1126" t="s">
        <v>1788</v>
      </c>
      <c r="D3091" s="1119">
        <v>34.72</v>
      </c>
      <c r="E3091" s="1120">
        <v>5.46</v>
      </c>
      <c r="F3091" s="1121">
        <f t="shared" si="1"/>
        <v>29.26</v>
      </c>
      <c r="G3091" s="1120">
        <v>29.26</v>
      </c>
      <c r="H3091" s="1127">
        <v>0.0</v>
      </c>
      <c r="I3091" s="1127">
        <v>0.0</v>
      </c>
      <c r="J3091" s="1127">
        <v>0.0</v>
      </c>
      <c r="K3091" s="1124"/>
    </row>
    <row r="3092" ht="15.75" customHeight="1">
      <c r="A3092" s="1119">
        <v>97614.0</v>
      </c>
      <c r="B3092" s="1125" t="s">
        <v>13370</v>
      </c>
      <c r="C3092" s="1126" t="s">
        <v>1788</v>
      </c>
      <c r="D3092" s="1119">
        <v>59.88</v>
      </c>
      <c r="E3092" s="1120">
        <v>5.45</v>
      </c>
      <c r="F3092" s="1121">
        <f t="shared" si="1"/>
        <v>54.43</v>
      </c>
      <c r="G3092" s="1120">
        <v>54.43</v>
      </c>
      <c r="H3092" s="1127">
        <v>0.0</v>
      </c>
      <c r="I3092" s="1127">
        <v>0.0</v>
      </c>
      <c r="J3092" s="1127">
        <v>0.0</v>
      </c>
      <c r="K3092" s="1124"/>
    </row>
    <row r="3093" ht="15.75" customHeight="1">
      <c r="A3093" s="1119">
        <v>97615.0</v>
      </c>
      <c r="B3093" s="1125" t="s">
        <v>13371</v>
      </c>
      <c r="C3093" s="1126" t="s">
        <v>1788</v>
      </c>
      <c r="D3093" s="1119">
        <v>54.47</v>
      </c>
      <c r="E3093" s="1120">
        <v>8.19</v>
      </c>
      <c r="F3093" s="1121">
        <f t="shared" si="1"/>
        <v>46.28</v>
      </c>
      <c r="G3093" s="1120">
        <v>46.28</v>
      </c>
      <c r="H3093" s="1127">
        <v>0.0</v>
      </c>
      <c r="I3093" s="1127">
        <v>0.0</v>
      </c>
      <c r="J3093" s="1127">
        <v>0.0</v>
      </c>
      <c r="K3093" s="1124"/>
    </row>
    <row r="3094" ht="15.75" customHeight="1">
      <c r="A3094" s="1119">
        <v>97616.0</v>
      </c>
      <c r="B3094" s="1125" t="s">
        <v>13372</v>
      </c>
      <c r="C3094" s="1126" t="s">
        <v>1788</v>
      </c>
      <c r="D3094" s="1119">
        <v>61.91</v>
      </c>
      <c r="E3094" s="1120">
        <v>8.19</v>
      </c>
      <c r="F3094" s="1121">
        <f t="shared" si="1"/>
        <v>53.73</v>
      </c>
      <c r="G3094" s="1120">
        <v>53.73</v>
      </c>
      <c r="H3094" s="1127">
        <v>0.0</v>
      </c>
      <c r="I3094" s="1127">
        <v>0.0</v>
      </c>
      <c r="J3094" s="1127">
        <v>0.0</v>
      </c>
      <c r="K3094" s="1124"/>
    </row>
    <row r="3095" ht="15.75" customHeight="1">
      <c r="A3095" s="1119">
        <v>97617.0</v>
      </c>
      <c r="B3095" s="1125" t="s">
        <v>13373</v>
      </c>
      <c r="C3095" s="1126" t="s">
        <v>1788</v>
      </c>
      <c r="D3095" s="1119">
        <v>61.58</v>
      </c>
      <c r="E3095" s="1120">
        <v>8.19</v>
      </c>
      <c r="F3095" s="1121">
        <f t="shared" si="1"/>
        <v>53.4</v>
      </c>
      <c r="G3095" s="1120">
        <v>53.4</v>
      </c>
      <c r="H3095" s="1127">
        <v>0.0</v>
      </c>
      <c r="I3095" s="1127">
        <v>0.0</v>
      </c>
      <c r="J3095" s="1127">
        <v>0.0</v>
      </c>
      <c r="K3095" s="1124"/>
    </row>
    <row r="3096" ht="15.75" customHeight="1">
      <c r="A3096" s="1119">
        <v>97618.0</v>
      </c>
      <c r="B3096" s="1125" t="s">
        <v>13374</v>
      </c>
      <c r="C3096" s="1126" t="s">
        <v>1788</v>
      </c>
      <c r="D3096" s="1119">
        <v>57.42</v>
      </c>
      <c r="E3096" s="1120">
        <v>8.19</v>
      </c>
      <c r="F3096" s="1121">
        <f t="shared" si="1"/>
        <v>49.23</v>
      </c>
      <c r="G3096" s="1120">
        <v>49.23</v>
      </c>
      <c r="H3096" s="1127">
        <v>0.0</v>
      </c>
      <c r="I3096" s="1127">
        <v>0.0</v>
      </c>
      <c r="J3096" s="1127">
        <v>0.0</v>
      </c>
      <c r="K3096" s="1124"/>
    </row>
    <row r="3097" ht="15.75" customHeight="1">
      <c r="A3097" s="1119">
        <v>100902.0</v>
      </c>
      <c r="B3097" s="1125" t="s">
        <v>13375</v>
      </c>
      <c r="C3097" s="1126" t="s">
        <v>1788</v>
      </c>
      <c r="D3097" s="1119">
        <v>27.87</v>
      </c>
      <c r="E3097" s="1120">
        <v>8.2</v>
      </c>
      <c r="F3097" s="1121">
        <f t="shared" si="1"/>
        <v>19.67</v>
      </c>
      <c r="G3097" s="1120">
        <v>19.67</v>
      </c>
      <c r="H3097" s="1127">
        <v>0.0</v>
      </c>
      <c r="I3097" s="1127">
        <v>0.0</v>
      </c>
      <c r="J3097" s="1127">
        <v>0.0</v>
      </c>
      <c r="K3097" s="1124"/>
    </row>
    <row r="3098" ht="15.75" customHeight="1">
      <c r="A3098" s="1119">
        <v>100903.0</v>
      </c>
      <c r="B3098" s="1125" t="s">
        <v>13376</v>
      </c>
      <c r="C3098" s="1126" t="s">
        <v>1788</v>
      </c>
      <c r="D3098" s="1119">
        <v>32.23</v>
      </c>
      <c r="E3098" s="1120">
        <v>8.2</v>
      </c>
      <c r="F3098" s="1121">
        <f t="shared" si="1"/>
        <v>24.04</v>
      </c>
      <c r="G3098" s="1120">
        <v>24.04</v>
      </c>
      <c r="H3098" s="1127">
        <v>0.0</v>
      </c>
      <c r="I3098" s="1127">
        <v>0.0</v>
      </c>
      <c r="J3098" s="1127">
        <v>0.0</v>
      </c>
      <c r="K3098" s="1124"/>
    </row>
    <row r="3099" ht="15.75" customHeight="1">
      <c r="A3099" s="1119">
        <v>100904.0</v>
      </c>
      <c r="B3099" s="1125" t="s">
        <v>13377</v>
      </c>
      <c r="C3099" s="1126" t="s">
        <v>1788</v>
      </c>
      <c r="D3099" s="1119">
        <v>83.56</v>
      </c>
      <c r="E3099" s="1120">
        <v>12.04</v>
      </c>
      <c r="F3099" s="1121">
        <f t="shared" si="1"/>
        <v>71.51</v>
      </c>
      <c r="G3099" s="1120">
        <v>71.51</v>
      </c>
      <c r="H3099" s="1127">
        <v>0.0</v>
      </c>
      <c r="I3099" s="1127">
        <v>0.0</v>
      </c>
      <c r="J3099" s="1127">
        <v>0.0</v>
      </c>
      <c r="K3099" s="1124"/>
    </row>
    <row r="3100" ht="15.75" customHeight="1">
      <c r="A3100" s="1119">
        <v>100905.0</v>
      </c>
      <c r="B3100" s="1125" t="s">
        <v>13378</v>
      </c>
      <c r="C3100" s="1126" t="s">
        <v>1788</v>
      </c>
      <c r="D3100" s="1119">
        <v>223.56</v>
      </c>
      <c r="E3100" s="1120">
        <v>27.4</v>
      </c>
      <c r="F3100" s="1121">
        <f t="shared" si="1"/>
        <v>196.15</v>
      </c>
      <c r="G3100" s="1120">
        <v>196.15</v>
      </c>
      <c r="H3100" s="1127">
        <v>0.0</v>
      </c>
      <c r="I3100" s="1127">
        <v>0.0</v>
      </c>
      <c r="J3100" s="1127">
        <v>0.0</v>
      </c>
      <c r="K3100" s="1124"/>
    </row>
    <row r="3101" ht="15.75" customHeight="1">
      <c r="A3101" s="1119">
        <v>100906.0</v>
      </c>
      <c r="B3101" s="1125" t="s">
        <v>13379</v>
      </c>
      <c r="C3101" s="1126" t="s">
        <v>1788</v>
      </c>
      <c r="D3101" s="1119">
        <v>301.0</v>
      </c>
      <c r="E3101" s="1120">
        <v>27.4</v>
      </c>
      <c r="F3101" s="1121">
        <f t="shared" si="1"/>
        <v>273.59</v>
      </c>
      <c r="G3101" s="1120">
        <v>273.59</v>
      </c>
      <c r="H3101" s="1127">
        <v>0.0</v>
      </c>
      <c r="I3101" s="1127">
        <v>0.0</v>
      </c>
      <c r="J3101" s="1127">
        <v>0.0</v>
      </c>
      <c r="K3101" s="1124"/>
    </row>
    <row r="3102" ht="15.75" customHeight="1">
      <c r="A3102" s="1119">
        <v>100919.0</v>
      </c>
      <c r="B3102" s="1125" t="s">
        <v>13380</v>
      </c>
      <c r="C3102" s="1126" t="s">
        <v>1788</v>
      </c>
      <c r="D3102" s="1119">
        <v>68.11</v>
      </c>
      <c r="E3102" s="1120">
        <v>5.45</v>
      </c>
      <c r="F3102" s="1121">
        <f t="shared" si="1"/>
        <v>62.66</v>
      </c>
      <c r="G3102" s="1120">
        <v>62.66</v>
      </c>
      <c r="H3102" s="1127">
        <v>0.0</v>
      </c>
      <c r="I3102" s="1127">
        <v>0.0</v>
      </c>
      <c r="J3102" s="1127">
        <v>0.0</v>
      </c>
      <c r="K3102" s="1124"/>
    </row>
    <row r="3103" ht="15.75" customHeight="1">
      <c r="A3103" s="1119">
        <v>100920.0</v>
      </c>
      <c r="B3103" s="1125" t="s">
        <v>13381</v>
      </c>
      <c r="C3103" s="1126" t="s">
        <v>1788</v>
      </c>
      <c r="D3103" s="1119">
        <v>114.53</v>
      </c>
      <c r="E3103" s="1120">
        <v>5.45</v>
      </c>
      <c r="F3103" s="1121">
        <f t="shared" si="1"/>
        <v>109.08</v>
      </c>
      <c r="G3103" s="1120">
        <v>109.08</v>
      </c>
      <c r="H3103" s="1127">
        <v>0.0</v>
      </c>
      <c r="I3103" s="1127">
        <v>0.0</v>
      </c>
      <c r="J3103" s="1127">
        <v>0.0</v>
      </c>
      <c r="K3103" s="1124"/>
    </row>
    <row r="3104" ht="15.75" customHeight="1">
      <c r="A3104" s="1119">
        <v>100921.0</v>
      </c>
      <c r="B3104" s="1125" t="s">
        <v>13382</v>
      </c>
      <c r="C3104" s="1126" t="s">
        <v>1788</v>
      </c>
      <c r="D3104" s="1119">
        <v>68.11</v>
      </c>
      <c r="E3104" s="1120">
        <v>22.8</v>
      </c>
      <c r="F3104" s="1121">
        <f t="shared" si="1"/>
        <v>45.32</v>
      </c>
      <c r="G3104" s="1120">
        <v>45.32</v>
      </c>
      <c r="H3104" s="1127">
        <v>0.0</v>
      </c>
      <c r="I3104" s="1127">
        <v>0.0</v>
      </c>
      <c r="J3104" s="1127">
        <v>0.0</v>
      </c>
      <c r="K3104" s="1124"/>
    </row>
    <row r="3105" ht="15.75" customHeight="1">
      <c r="A3105" s="1119">
        <v>100922.0</v>
      </c>
      <c r="B3105" s="1125" t="s">
        <v>13383</v>
      </c>
      <c r="C3105" s="1126" t="s">
        <v>1788</v>
      </c>
      <c r="D3105" s="1119">
        <v>48.71</v>
      </c>
      <c r="E3105" s="1120">
        <v>15.69</v>
      </c>
      <c r="F3105" s="1121">
        <f t="shared" si="1"/>
        <v>33.02</v>
      </c>
      <c r="G3105" s="1120">
        <v>33.02</v>
      </c>
      <c r="H3105" s="1127">
        <v>0.0</v>
      </c>
      <c r="I3105" s="1127">
        <v>0.0</v>
      </c>
      <c r="J3105" s="1127">
        <v>0.0</v>
      </c>
      <c r="K3105" s="1124"/>
    </row>
    <row r="3106" ht="15.75" customHeight="1">
      <c r="A3106" s="1119">
        <v>100923.0</v>
      </c>
      <c r="B3106" s="1125" t="s">
        <v>13384</v>
      </c>
      <c r="C3106" s="1126" t="s">
        <v>1788</v>
      </c>
      <c r="D3106" s="1119">
        <v>55.62</v>
      </c>
      <c r="E3106" s="1120">
        <v>15.69</v>
      </c>
      <c r="F3106" s="1121">
        <f t="shared" si="1"/>
        <v>39.94</v>
      </c>
      <c r="G3106" s="1120">
        <v>39.94</v>
      </c>
      <c r="H3106" s="1127">
        <v>0.0</v>
      </c>
      <c r="I3106" s="1127">
        <v>0.0</v>
      </c>
      <c r="J3106" s="1127">
        <v>0.0</v>
      </c>
      <c r="K3106" s="1124"/>
    </row>
    <row r="3107" ht="15.75" customHeight="1">
      <c r="A3107" s="1119">
        <v>103782.0</v>
      </c>
      <c r="B3107" s="1125" t="s">
        <v>13385</v>
      </c>
      <c r="C3107" s="1126" t="s">
        <v>1788</v>
      </c>
      <c r="D3107" s="1119">
        <v>39.43</v>
      </c>
      <c r="E3107" s="1120">
        <v>16.39</v>
      </c>
      <c r="F3107" s="1121">
        <f t="shared" si="1"/>
        <v>23.04</v>
      </c>
      <c r="G3107" s="1120">
        <v>23.04</v>
      </c>
      <c r="H3107" s="1127">
        <v>0.0</v>
      </c>
      <c r="I3107" s="1127">
        <v>0.0</v>
      </c>
      <c r="J3107" s="1127">
        <v>0.0</v>
      </c>
      <c r="K3107" s="1124"/>
    </row>
    <row r="3108" ht="15.75" customHeight="1">
      <c r="A3108" s="1119">
        <v>101489.0</v>
      </c>
      <c r="B3108" s="1125" t="s">
        <v>13386</v>
      </c>
      <c r="C3108" s="1126" t="s">
        <v>1788</v>
      </c>
      <c r="D3108" s="1128">
        <v>1504.63</v>
      </c>
      <c r="E3108" s="1120">
        <v>379.34</v>
      </c>
      <c r="F3108" s="1121">
        <f t="shared" si="1"/>
        <v>1125.3</v>
      </c>
      <c r="G3108" s="1120">
        <v>1118.8</v>
      </c>
      <c r="H3108" s="1127">
        <v>6.5</v>
      </c>
      <c r="I3108" s="1127">
        <v>0.0</v>
      </c>
      <c r="J3108" s="1127">
        <v>0.0</v>
      </c>
      <c r="K3108" s="1124"/>
    </row>
    <row r="3109" ht="15.75" customHeight="1">
      <c r="A3109" s="1119">
        <v>101490.0</v>
      </c>
      <c r="B3109" s="1125" t="s">
        <v>13387</v>
      </c>
      <c r="C3109" s="1126" t="s">
        <v>1788</v>
      </c>
      <c r="D3109" s="1128">
        <v>1605.94</v>
      </c>
      <c r="E3109" s="1120">
        <v>397.87</v>
      </c>
      <c r="F3109" s="1121">
        <f t="shared" si="1"/>
        <v>1208.09</v>
      </c>
      <c r="G3109" s="1120">
        <v>1201.59</v>
      </c>
      <c r="H3109" s="1127">
        <v>6.5</v>
      </c>
      <c r="I3109" s="1127">
        <v>0.0</v>
      </c>
      <c r="J3109" s="1127">
        <v>0.0</v>
      </c>
      <c r="K3109" s="1124"/>
    </row>
    <row r="3110" ht="15.75" customHeight="1">
      <c r="A3110" s="1119">
        <v>101491.0</v>
      </c>
      <c r="B3110" s="1125" t="s">
        <v>13388</v>
      </c>
      <c r="C3110" s="1126" t="s">
        <v>1788</v>
      </c>
      <c r="D3110" s="1128">
        <v>1625.3</v>
      </c>
      <c r="E3110" s="1120">
        <v>371.78</v>
      </c>
      <c r="F3110" s="1121">
        <f t="shared" si="1"/>
        <v>1253.61</v>
      </c>
      <c r="G3110" s="1120">
        <v>1247.12</v>
      </c>
      <c r="H3110" s="1127">
        <v>6.49</v>
      </c>
      <c r="I3110" s="1127">
        <v>0.0</v>
      </c>
      <c r="J3110" s="1127">
        <v>0.0</v>
      </c>
      <c r="K3110" s="1124"/>
    </row>
    <row r="3111" ht="15.75" customHeight="1">
      <c r="A3111" s="1119">
        <v>101492.0</v>
      </c>
      <c r="B3111" s="1125" t="s">
        <v>13389</v>
      </c>
      <c r="C3111" s="1126" t="s">
        <v>1788</v>
      </c>
      <c r="D3111" s="1128">
        <v>1775.72</v>
      </c>
      <c r="E3111" s="1120">
        <v>386.46</v>
      </c>
      <c r="F3111" s="1121">
        <f t="shared" si="1"/>
        <v>1389.31</v>
      </c>
      <c r="G3111" s="1120">
        <v>1382.82</v>
      </c>
      <c r="H3111" s="1127">
        <v>6.49</v>
      </c>
      <c r="I3111" s="1127">
        <v>0.0</v>
      </c>
      <c r="J3111" s="1127">
        <v>0.0</v>
      </c>
      <c r="K3111" s="1124"/>
    </row>
    <row r="3112" ht="15.75" customHeight="1">
      <c r="A3112" s="1119">
        <v>101493.0</v>
      </c>
      <c r="B3112" s="1125" t="s">
        <v>13390</v>
      </c>
      <c r="C3112" s="1126" t="s">
        <v>1788</v>
      </c>
      <c r="D3112" s="1128">
        <v>1485.39</v>
      </c>
      <c r="E3112" s="1120">
        <v>362.87</v>
      </c>
      <c r="F3112" s="1121">
        <f t="shared" si="1"/>
        <v>1122.53</v>
      </c>
      <c r="G3112" s="1120">
        <v>1116.03</v>
      </c>
      <c r="H3112" s="1127">
        <v>6.5</v>
      </c>
      <c r="I3112" s="1127">
        <v>0.0</v>
      </c>
      <c r="J3112" s="1127">
        <v>0.0</v>
      </c>
      <c r="K3112" s="1124"/>
    </row>
    <row r="3113" ht="15.75" customHeight="1">
      <c r="A3113" s="1119">
        <v>101494.0</v>
      </c>
      <c r="B3113" s="1125" t="s">
        <v>13391</v>
      </c>
      <c r="C3113" s="1126" t="s">
        <v>1788</v>
      </c>
      <c r="D3113" s="1128">
        <v>1586.7</v>
      </c>
      <c r="E3113" s="1120">
        <v>381.4</v>
      </c>
      <c r="F3113" s="1121">
        <f t="shared" si="1"/>
        <v>1205.32</v>
      </c>
      <c r="G3113" s="1120">
        <v>1198.82</v>
      </c>
      <c r="H3113" s="1127">
        <v>6.5</v>
      </c>
      <c r="I3113" s="1127">
        <v>0.0</v>
      </c>
      <c r="J3113" s="1127">
        <v>0.0</v>
      </c>
      <c r="K3113" s="1124"/>
    </row>
    <row r="3114" ht="15.75" customHeight="1">
      <c r="A3114" s="1119">
        <v>101495.0</v>
      </c>
      <c r="B3114" s="1125" t="s">
        <v>13392</v>
      </c>
      <c r="C3114" s="1126" t="s">
        <v>1788</v>
      </c>
      <c r="D3114" s="1128">
        <v>1606.06</v>
      </c>
      <c r="E3114" s="1120">
        <v>355.31</v>
      </c>
      <c r="F3114" s="1121">
        <f t="shared" si="1"/>
        <v>1250.83</v>
      </c>
      <c r="G3114" s="1120">
        <v>1244.34</v>
      </c>
      <c r="H3114" s="1127">
        <v>6.49</v>
      </c>
      <c r="I3114" s="1127">
        <v>0.0</v>
      </c>
      <c r="J3114" s="1127">
        <v>0.0</v>
      </c>
      <c r="K3114" s="1124"/>
    </row>
    <row r="3115" ht="15.75" customHeight="1">
      <c r="A3115" s="1119">
        <v>101496.0</v>
      </c>
      <c r="B3115" s="1125" t="s">
        <v>13393</v>
      </c>
      <c r="C3115" s="1126" t="s">
        <v>1788</v>
      </c>
      <c r="D3115" s="1128">
        <v>1756.48</v>
      </c>
      <c r="E3115" s="1120">
        <v>369.99</v>
      </c>
      <c r="F3115" s="1121">
        <f t="shared" si="1"/>
        <v>1386.55</v>
      </c>
      <c r="G3115" s="1120">
        <v>1380.05</v>
      </c>
      <c r="H3115" s="1127">
        <v>6.5</v>
      </c>
      <c r="I3115" s="1127">
        <v>0.0</v>
      </c>
      <c r="J3115" s="1127">
        <v>0.0</v>
      </c>
      <c r="K3115" s="1124"/>
    </row>
    <row r="3116" ht="15.75" customHeight="1">
      <c r="A3116" s="1119">
        <v>101497.0</v>
      </c>
      <c r="B3116" s="1125" t="s">
        <v>13394</v>
      </c>
      <c r="C3116" s="1126" t="s">
        <v>1788</v>
      </c>
      <c r="D3116" s="1128">
        <v>1780.53</v>
      </c>
      <c r="E3116" s="1120">
        <v>406.7</v>
      </c>
      <c r="F3116" s="1121">
        <f t="shared" si="1"/>
        <v>1373.87</v>
      </c>
      <c r="G3116" s="1120">
        <v>1367.37</v>
      </c>
      <c r="H3116" s="1127">
        <v>6.5</v>
      </c>
      <c r="I3116" s="1127">
        <v>0.0</v>
      </c>
      <c r="J3116" s="1127">
        <v>0.0</v>
      </c>
      <c r="K3116" s="1124"/>
    </row>
    <row r="3117" ht="15.75" customHeight="1">
      <c r="A3117" s="1119">
        <v>101498.0</v>
      </c>
      <c r="B3117" s="1125" t="s">
        <v>13395</v>
      </c>
      <c r="C3117" s="1126" t="s">
        <v>1788</v>
      </c>
      <c r="D3117" s="1128">
        <v>1933.88</v>
      </c>
      <c r="E3117" s="1120">
        <v>434.75</v>
      </c>
      <c r="F3117" s="1121">
        <f t="shared" si="1"/>
        <v>1499.17</v>
      </c>
      <c r="G3117" s="1120">
        <v>1492.67</v>
      </c>
      <c r="H3117" s="1127">
        <v>6.5</v>
      </c>
      <c r="I3117" s="1127">
        <v>0.0</v>
      </c>
      <c r="J3117" s="1127">
        <v>0.0</v>
      </c>
      <c r="K3117" s="1124"/>
    </row>
    <row r="3118" ht="15.75" customHeight="1">
      <c r="A3118" s="1119">
        <v>101499.0</v>
      </c>
      <c r="B3118" s="1125" t="s">
        <v>13396</v>
      </c>
      <c r="C3118" s="1126" t="s">
        <v>1788</v>
      </c>
      <c r="D3118" s="1128">
        <v>1963.18</v>
      </c>
      <c r="E3118" s="1120">
        <v>395.27</v>
      </c>
      <c r="F3118" s="1121">
        <f t="shared" si="1"/>
        <v>1568.07</v>
      </c>
      <c r="G3118" s="1120">
        <v>1561.58</v>
      </c>
      <c r="H3118" s="1127">
        <v>6.49</v>
      </c>
      <c r="I3118" s="1127">
        <v>0.0</v>
      </c>
      <c r="J3118" s="1127">
        <v>0.0</v>
      </c>
      <c r="K3118" s="1124"/>
    </row>
    <row r="3119" ht="15.75" customHeight="1">
      <c r="A3119" s="1119">
        <v>101500.0</v>
      </c>
      <c r="B3119" s="1125" t="s">
        <v>13397</v>
      </c>
      <c r="C3119" s="1126" t="s">
        <v>1788</v>
      </c>
      <c r="D3119" s="1128">
        <v>2171.63</v>
      </c>
      <c r="E3119" s="1120">
        <v>412.23</v>
      </c>
      <c r="F3119" s="1121">
        <f t="shared" si="1"/>
        <v>1759.48</v>
      </c>
      <c r="G3119" s="1120">
        <v>1752.98</v>
      </c>
      <c r="H3119" s="1127">
        <v>6.5</v>
      </c>
      <c r="I3119" s="1127">
        <v>0.0</v>
      </c>
      <c r="J3119" s="1127">
        <v>0.0</v>
      </c>
      <c r="K3119" s="1124"/>
    </row>
    <row r="3120" ht="15.75" customHeight="1">
      <c r="A3120" s="1119">
        <v>101501.0</v>
      </c>
      <c r="B3120" s="1125" t="s">
        <v>13398</v>
      </c>
      <c r="C3120" s="1126" t="s">
        <v>1788</v>
      </c>
      <c r="D3120" s="1128">
        <v>1769.51</v>
      </c>
      <c r="E3120" s="1120">
        <v>393.66</v>
      </c>
      <c r="F3120" s="1121">
        <f t="shared" si="1"/>
        <v>1375.89</v>
      </c>
      <c r="G3120" s="1120">
        <v>1369.39</v>
      </c>
      <c r="H3120" s="1127">
        <v>6.5</v>
      </c>
      <c r="I3120" s="1127">
        <v>0.0</v>
      </c>
      <c r="J3120" s="1127">
        <v>0.0</v>
      </c>
      <c r="K3120" s="1124"/>
    </row>
    <row r="3121" ht="15.75" customHeight="1">
      <c r="A3121" s="1119">
        <v>101502.0</v>
      </c>
      <c r="B3121" s="1125" t="s">
        <v>13399</v>
      </c>
      <c r="C3121" s="1126" t="s">
        <v>1788</v>
      </c>
      <c r="D3121" s="1128">
        <v>1922.86</v>
      </c>
      <c r="E3121" s="1120">
        <v>421.7</v>
      </c>
      <c r="F3121" s="1121">
        <f t="shared" si="1"/>
        <v>1501.19</v>
      </c>
      <c r="G3121" s="1120">
        <v>1494.69</v>
      </c>
      <c r="H3121" s="1127">
        <v>6.5</v>
      </c>
      <c r="I3121" s="1127">
        <v>0.0</v>
      </c>
      <c r="J3121" s="1127">
        <v>0.0</v>
      </c>
      <c r="K3121" s="1124"/>
    </row>
    <row r="3122" ht="15.75" customHeight="1">
      <c r="A3122" s="1119">
        <v>101503.0</v>
      </c>
      <c r="B3122" s="1125" t="s">
        <v>13400</v>
      </c>
      <c r="C3122" s="1126" t="s">
        <v>1788</v>
      </c>
      <c r="D3122" s="1128">
        <v>1952.16</v>
      </c>
      <c r="E3122" s="1120">
        <v>382.22</v>
      </c>
      <c r="F3122" s="1121">
        <f t="shared" si="1"/>
        <v>1570.09</v>
      </c>
      <c r="G3122" s="1120">
        <v>1563.6</v>
      </c>
      <c r="H3122" s="1127">
        <v>6.49</v>
      </c>
      <c r="I3122" s="1127">
        <v>0.0</v>
      </c>
      <c r="J3122" s="1127">
        <v>0.0</v>
      </c>
      <c r="K3122" s="1124"/>
    </row>
    <row r="3123" ht="15.75" customHeight="1">
      <c r="A3123" s="1119">
        <v>101504.0</v>
      </c>
      <c r="B3123" s="1125" t="s">
        <v>13401</v>
      </c>
      <c r="C3123" s="1126" t="s">
        <v>1788</v>
      </c>
      <c r="D3123" s="1128">
        <v>2160.61</v>
      </c>
      <c r="E3123" s="1120">
        <v>399.18</v>
      </c>
      <c r="F3123" s="1121">
        <f t="shared" si="1"/>
        <v>1761.49</v>
      </c>
      <c r="G3123" s="1120">
        <v>1754.99</v>
      </c>
      <c r="H3123" s="1127">
        <v>6.5</v>
      </c>
      <c r="I3123" s="1127">
        <v>0.0</v>
      </c>
      <c r="J3123" s="1127">
        <v>0.0</v>
      </c>
      <c r="K3123" s="1124"/>
    </row>
    <row r="3124" ht="15.75" customHeight="1">
      <c r="A3124" s="1119">
        <v>101505.0</v>
      </c>
      <c r="B3124" s="1125" t="s">
        <v>13402</v>
      </c>
      <c r="C3124" s="1126" t="s">
        <v>1788</v>
      </c>
      <c r="D3124" s="1128">
        <v>1896.84</v>
      </c>
      <c r="E3124" s="1120">
        <v>433.79</v>
      </c>
      <c r="F3124" s="1121">
        <f t="shared" si="1"/>
        <v>1463.09</v>
      </c>
      <c r="G3124" s="1120">
        <v>1456.59</v>
      </c>
      <c r="H3124" s="1127">
        <v>6.5</v>
      </c>
      <c r="I3124" s="1127">
        <v>0.0</v>
      </c>
      <c r="J3124" s="1127">
        <v>0.0</v>
      </c>
      <c r="K3124" s="1124"/>
    </row>
    <row r="3125" ht="15.75" customHeight="1">
      <c r="A3125" s="1119">
        <v>101506.0</v>
      </c>
      <c r="B3125" s="1125" t="s">
        <v>13403</v>
      </c>
      <c r="C3125" s="1126" t="s">
        <v>1788</v>
      </c>
      <c r="D3125" s="1128">
        <v>2101.3</v>
      </c>
      <c r="E3125" s="1120">
        <v>471.18</v>
      </c>
      <c r="F3125" s="1121">
        <f t="shared" si="1"/>
        <v>1630.17</v>
      </c>
      <c r="G3125" s="1120">
        <v>1623.67</v>
      </c>
      <c r="H3125" s="1127">
        <v>6.5</v>
      </c>
      <c r="I3125" s="1127">
        <v>0.0</v>
      </c>
      <c r="J3125" s="1127">
        <v>0.0</v>
      </c>
      <c r="K3125" s="1124"/>
    </row>
    <row r="3126" ht="15.75" customHeight="1">
      <c r="A3126" s="1119">
        <v>101507.0</v>
      </c>
      <c r="B3126" s="1125" t="s">
        <v>13404</v>
      </c>
      <c r="C3126" s="1126" t="s">
        <v>1788</v>
      </c>
      <c r="D3126" s="1128">
        <v>2140.37</v>
      </c>
      <c r="E3126" s="1120">
        <v>418.54</v>
      </c>
      <c r="F3126" s="1121">
        <f t="shared" si="1"/>
        <v>1722.04</v>
      </c>
      <c r="G3126" s="1120">
        <v>1715.54</v>
      </c>
      <c r="H3126" s="1127">
        <v>6.5</v>
      </c>
      <c r="I3126" s="1127">
        <v>0.0</v>
      </c>
      <c r="J3126" s="1127">
        <v>0.0</v>
      </c>
      <c r="K3126" s="1124"/>
    </row>
    <row r="3127" ht="15.75" customHeight="1">
      <c r="A3127" s="1119">
        <v>101508.0</v>
      </c>
      <c r="B3127" s="1125" t="s">
        <v>13405</v>
      </c>
      <c r="C3127" s="1126" t="s">
        <v>1788</v>
      </c>
      <c r="D3127" s="1128">
        <v>2405.82</v>
      </c>
      <c r="E3127" s="1120">
        <v>437.72</v>
      </c>
      <c r="F3127" s="1121">
        <f t="shared" si="1"/>
        <v>1968.17</v>
      </c>
      <c r="G3127" s="1120">
        <v>1961.67</v>
      </c>
      <c r="H3127" s="1127">
        <v>6.5</v>
      </c>
      <c r="I3127" s="1127">
        <v>0.0</v>
      </c>
      <c r="J3127" s="1127">
        <v>0.0</v>
      </c>
      <c r="K3127" s="1124"/>
    </row>
    <row r="3128" ht="15.75" customHeight="1">
      <c r="A3128" s="1119">
        <v>101509.0</v>
      </c>
      <c r="B3128" s="1125" t="s">
        <v>13406</v>
      </c>
      <c r="C3128" s="1126" t="s">
        <v>1788</v>
      </c>
      <c r="D3128" s="1128">
        <v>1918.59</v>
      </c>
      <c r="E3128" s="1120">
        <v>421.3</v>
      </c>
      <c r="F3128" s="1121">
        <f t="shared" si="1"/>
        <v>1497.35</v>
      </c>
      <c r="G3128" s="1120">
        <v>1490.85</v>
      </c>
      <c r="H3128" s="1127">
        <v>6.5</v>
      </c>
      <c r="I3128" s="1127">
        <v>0.0</v>
      </c>
      <c r="J3128" s="1127">
        <v>0.0</v>
      </c>
      <c r="K3128" s="1124"/>
    </row>
    <row r="3129" ht="15.75" customHeight="1">
      <c r="A3129" s="1119">
        <v>101510.0</v>
      </c>
      <c r="B3129" s="1125" t="s">
        <v>13407</v>
      </c>
      <c r="C3129" s="1126" t="s">
        <v>1788</v>
      </c>
      <c r="D3129" s="1128">
        <v>2123.05</v>
      </c>
      <c r="E3129" s="1120">
        <v>458.68</v>
      </c>
      <c r="F3129" s="1121">
        <f t="shared" si="1"/>
        <v>1664.43</v>
      </c>
      <c r="G3129" s="1120">
        <v>1657.93</v>
      </c>
      <c r="H3129" s="1127">
        <v>6.5</v>
      </c>
      <c r="I3129" s="1127">
        <v>0.0</v>
      </c>
      <c r="J3129" s="1127">
        <v>0.0</v>
      </c>
      <c r="K3129" s="1124"/>
    </row>
    <row r="3130" ht="15.75" customHeight="1">
      <c r="A3130" s="1119">
        <v>101511.0</v>
      </c>
      <c r="B3130" s="1125" t="s">
        <v>13408</v>
      </c>
      <c r="C3130" s="1126" t="s">
        <v>1788</v>
      </c>
      <c r="D3130" s="1128">
        <v>2162.12</v>
      </c>
      <c r="E3130" s="1120">
        <v>406.04</v>
      </c>
      <c r="F3130" s="1121">
        <f t="shared" si="1"/>
        <v>1756.3</v>
      </c>
      <c r="G3130" s="1120">
        <v>1749.8</v>
      </c>
      <c r="H3130" s="1127">
        <v>6.5</v>
      </c>
      <c r="I3130" s="1127">
        <v>0.0</v>
      </c>
      <c r="J3130" s="1127">
        <v>0.0</v>
      </c>
      <c r="K3130" s="1124"/>
    </row>
    <row r="3131" ht="15.75" customHeight="1">
      <c r="A3131" s="1119">
        <v>101512.0</v>
      </c>
      <c r="B3131" s="1125" t="s">
        <v>13409</v>
      </c>
      <c r="C3131" s="1126" t="s">
        <v>1788</v>
      </c>
      <c r="D3131" s="1128">
        <v>2427.57</v>
      </c>
      <c r="E3131" s="1120">
        <v>425.23</v>
      </c>
      <c r="F3131" s="1121">
        <f t="shared" si="1"/>
        <v>2002.42</v>
      </c>
      <c r="G3131" s="1120">
        <v>1995.92</v>
      </c>
      <c r="H3131" s="1127">
        <v>6.5</v>
      </c>
      <c r="I3131" s="1127">
        <v>0.0</v>
      </c>
      <c r="J3131" s="1127">
        <v>0.0</v>
      </c>
      <c r="K3131" s="1124"/>
    </row>
    <row r="3132" ht="15.75" customHeight="1">
      <c r="A3132" s="1119">
        <v>101513.0</v>
      </c>
      <c r="B3132" s="1125" t="s">
        <v>13410</v>
      </c>
      <c r="C3132" s="1126" t="s">
        <v>1788</v>
      </c>
      <c r="D3132" s="1119">
        <v>819.38</v>
      </c>
      <c r="E3132" s="1120">
        <v>163.55</v>
      </c>
      <c r="F3132" s="1121">
        <f t="shared" si="1"/>
        <v>655.86</v>
      </c>
      <c r="G3132" s="1120">
        <v>655.86</v>
      </c>
      <c r="H3132" s="1127">
        <v>0.0</v>
      </c>
      <c r="I3132" s="1127">
        <v>0.0</v>
      </c>
      <c r="J3132" s="1127">
        <v>0.0</v>
      </c>
      <c r="K3132" s="1124"/>
    </row>
    <row r="3133" ht="15.75" customHeight="1">
      <c r="A3133" s="1119">
        <v>101514.0</v>
      </c>
      <c r="B3133" s="1125" t="s">
        <v>13411</v>
      </c>
      <c r="C3133" s="1126" t="s">
        <v>1788</v>
      </c>
      <c r="D3133" s="1119">
        <v>940.95</v>
      </c>
      <c r="E3133" s="1120">
        <v>185.77</v>
      </c>
      <c r="F3133" s="1121">
        <f t="shared" si="1"/>
        <v>755.21</v>
      </c>
      <c r="G3133" s="1120">
        <v>755.21</v>
      </c>
      <c r="H3133" s="1127">
        <v>0.0</v>
      </c>
      <c r="I3133" s="1127">
        <v>0.0</v>
      </c>
      <c r="J3133" s="1127">
        <v>0.0</v>
      </c>
      <c r="K3133" s="1124"/>
    </row>
    <row r="3134" ht="15.75" customHeight="1">
      <c r="A3134" s="1119">
        <v>101515.0</v>
      </c>
      <c r="B3134" s="1125" t="s">
        <v>13412</v>
      </c>
      <c r="C3134" s="1126" t="s">
        <v>1788</v>
      </c>
      <c r="D3134" s="1119">
        <v>964.18</v>
      </c>
      <c r="E3134" s="1120">
        <v>154.45</v>
      </c>
      <c r="F3134" s="1121">
        <f t="shared" si="1"/>
        <v>809.86</v>
      </c>
      <c r="G3134" s="1120">
        <v>809.86</v>
      </c>
      <c r="H3134" s="1127">
        <v>0.0</v>
      </c>
      <c r="I3134" s="1127">
        <v>0.0</v>
      </c>
      <c r="J3134" s="1127">
        <v>0.0</v>
      </c>
      <c r="K3134" s="1124"/>
    </row>
    <row r="3135" ht="15.75" customHeight="1">
      <c r="A3135" s="1119">
        <v>101516.0</v>
      </c>
      <c r="B3135" s="1125" t="s">
        <v>13413</v>
      </c>
      <c r="C3135" s="1126" t="s">
        <v>1788</v>
      </c>
      <c r="D3135" s="1128">
        <v>1099.75</v>
      </c>
      <c r="E3135" s="1120">
        <v>159.75</v>
      </c>
      <c r="F3135" s="1121">
        <f t="shared" si="1"/>
        <v>940</v>
      </c>
      <c r="G3135" s="1120">
        <v>940.0</v>
      </c>
      <c r="H3135" s="1127">
        <v>0.0</v>
      </c>
      <c r="I3135" s="1127">
        <v>0.0</v>
      </c>
      <c r="J3135" s="1127">
        <v>0.0</v>
      </c>
      <c r="K3135" s="1124"/>
    </row>
    <row r="3136" ht="15.75" customHeight="1">
      <c r="A3136" s="1119">
        <v>101517.0</v>
      </c>
      <c r="B3136" s="1125" t="s">
        <v>13414</v>
      </c>
      <c r="C3136" s="1126" t="s">
        <v>1788</v>
      </c>
      <c r="D3136" s="1119">
        <v>800.14</v>
      </c>
      <c r="E3136" s="1120">
        <v>147.06</v>
      </c>
      <c r="F3136" s="1121">
        <f t="shared" si="1"/>
        <v>653.1</v>
      </c>
      <c r="G3136" s="1120">
        <v>653.1</v>
      </c>
      <c r="H3136" s="1127">
        <v>0.0</v>
      </c>
      <c r="I3136" s="1127">
        <v>0.0</v>
      </c>
      <c r="J3136" s="1127">
        <v>0.0</v>
      </c>
      <c r="K3136" s="1124"/>
    </row>
    <row r="3137" ht="15.75" customHeight="1">
      <c r="A3137" s="1119">
        <v>101518.0</v>
      </c>
      <c r="B3137" s="1125" t="s">
        <v>13415</v>
      </c>
      <c r="C3137" s="1126" t="s">
        <v>1788</v>
      </c>
      <c r="D3137" s="1119">
        <v>921.71</v>
      </c>
      <c r="E3137" s="1120">
        <v>169.29</v>
      </c>
      <c r="F3137" s="1121">
        <f t="shared" si="1"/>
        <v>752.45</v>
      </c>
      <c r="G3137" s="1120">
        <v>752.45</v>
      </c>
      <c r="H3137" s="1127">
        <v>0.0</v>
      </c>
      <c r="I3137" s="1127">
        <v>0.0</v>
      </c>
      <c r="J3137" s="1127">
        <v>0.0</v>
      </c>
      <c r="K3137" s="1124"/>
    </row>
    <row r="3138" ht="15.75" customHeight="1">
      <c r="A3138" s="1119">
        <v>101519.0</v>
      </c>
      <c r="B3138" s="1125" t="s">
        <v>13416</v>
      </c>
      <c r="C3138" s="1126" t="s">
        <v>1788</v>
      </c>
      <c r="D3138" s="1119">
        <v>944.94</v>
      </c>
      <c r="E3138" s="1120">
        <v>137.97</v>
      </c>
      <c r="F3138" s="1121">
        <f t="shared" si="1"/>
        <v>807.1</v>
      </c>
      <c r="G3138" s="1120">
        <v>807.1</v>
      </c>
      <c r="H3138" s="1127">
        <v>0.0</v>
      </c>
      <c r="I3138" s="1127">
        <v>0.0</v>
      </c>
      <c r="J3138" s="1127">
        <v>0.0</v>
      </c>
      <c r="K3138" s="1124"/>
    </row>
    <row r="3139" ht="15.75" customHeight="1">
      <c r="A3139" s="1119">
        <v>101520.0</v>
      </c>
      <c r="B3139" s="1125" t="s">
        <v>13417</v>
      </c>
      <c r="C3139" s="1126" t="s">
        <v>1788</v>
      </c>
      <c r="D3139" s="1128">
        <v>1080.51</v>
      </c>
      <c r="E3139" s="1120">
        <v>143.27</v>
      </c>
      <c r="F3139" s="1121">
        <f t="shared" si="1"/>
        <v>937.23</v>
      </c>
      <c r="G3139" s="1120">
        <v>937.23</v>
      </c>
      <c r="H3139" s="1127">
        <v>0.0</v>
      </c>
      <c r="I3139" s="1127">
        <v>0.0</v>
      </c>
      <c r="J3139" s="1127">
        <v>0.0</v>
      </c>
      <c r="K3139" s="1124"/>
    </row>
    <row r="3140" ht="15.75" customHeight="1">
      <c r="A3140" s="1119">
        <v>101521.0</v>
      </c>
      <c r="B3140" s="1125" t="s">
        <v>13418</v>
      </c>
      <c r="C3140" s="1126" t="s">
        <v>1788</v>
      </c>
      <c r="D3140" s="1128">
        <v>1110.74</v>
      </c>
      <c r="E3140" s="1120">
        <v>194.08</v>
      </c>
      <c r="F3140" s="1121">
        <f t="shared" si="1"/>
        <v>916.71</v>
      </c>
      <c r="G3140" s="1120">
        <v>916.71</v>
      </c>
      <c r="H3140" s="1127">
        <v>0.0</v>
      </c>
      <c r="I3140" s="1127">
        <v>0.0</v>
      </c>
      <c r="J3140" s="1127">
        <v>0.0</v>
      </c>
      <c r="K3140" s="1124"/>
    </row>
    <row r="3141" ht="15.75" customHeight="1">
      <c r="A3141" s="1119">
        <v>101522.0</v>
      </c>
      <c r="B3141" s="1125" t="s">
        <v>13419</v>
      </c>
      <c r="C3141" s="1126" t="s">
        <v>1788</v>
      </c>
      <c r="D3141" s="1128">
        <v>1293.1</v>
      </c>
      <c r="E3141" s="1120">
        <v>227.42</v>
      </c>
      <c r="F3141" s="1121">
        <f t="shared" si="1"/>
        <v>1065.75</v>
      </c>
      <c r="G3141" s="1120">
        <v>1065.75</v>
      </c>
      <c r="H3141" s="1127">
        <v>0.0</v>
      </c>
      <c r="I3141" s="1127">
        <v>0.0</v>
      </c>
      <c r="J3141" s="1127">
        <v>0.0</v>
      </c>
      <c r="K3141" s="1124"/>
    </row>
    <row r="3142" ht="15.75" customHeight="1">
      <c r="A3142" s="1119">
        <v>101523.0</v>
      </c>
      <c r="B3142" s="1125" t="s">
        <v>13420</v>
      </c>
      <c r="C3142" s="1126" t="s">
        <v>1788</v>
      </c>
      <c r="D3142" s="1128">
        <v>1327.95</v>
      </c>
      <c r="E3142" s="1120">
        <v>180.47</v>
      </c>
      <c r="F3142" s="1121">
        <f t="shared" si="1"/>
        <v>1147.69</v>
      </c>
      <c r="G3142" s="1120">
        <v>1147.69</v>
      </c>
      <c r="H3142" s="1127">
        <v>0.0</v>
      </c>
      <c r="I3142" s="1127">
        <v>0.0</v>
      </c>
      <c r="J3142" s="1127">
        <v>0.0</v>
      </c>
      <c r="K3142" s="1124"/>
    </row>
    <row r="3143" ht="15.75" customHeight="1">
      <c r="A3143" s="1119">
        <v>101524.0</v>
      </c>
      <c r="B3143" s="1125" t="s">
        <v>13421</v>
      </c>
      <c r="C3143" s="1126" t="s">
        <v>1788</v>
      </c>
      <c r="D3143" s="1128">
        <v>1531.29</v>
      </c>
      <c r="E3143" s="1120">
        <v>188.42</v>
      </c>
      <c r="F3143" s="1121">
        <f t="shared" si="1"/>
        <v>1342.9</v>
      </c>
      <c r="G3143" s="1120">
        <v>1342.9</v>
      </c>
      <c r="H3143" s="1127">
        <v>0.0</v>
      </c>
      <c r="I3143" s="1127">
        <v>0.0</v>
      </c>
      <c r="J3143" s="1127">
        <v>0.0</v>
      </c>
      <c r="K3143" s="1124"/>
    </row>
    <row r="3144" ht="15.75" customHeight="1">
      <c r="A3144" s="1119">
        <v>101525.0</v>
      </c>
      <c r="B3144" s="1125" t="s">
        <v>13422</v>
      </c>
      <c r="C3144" s="1126" t="s">
        <v>1788</v>
      </c>
      <c r="D3144" s="1128">
        <v>1099.73</v>
      </c>
      <c r="E3144" s="1120">
        <v>181.02</v>
      </c>
      <c r="F3144" s="1121">
        <f t="shared" si="1"/>
        <v>918.75</v>
      </c>
      <c r="G3144" s="1120">
        <v>918.75</v>
      </c>
      <c r="H3144" s="1127">
        <v>0.0</v>
      </c>
      <c r="I3144" s="1127">
        <v>0.0</v>
      </c>
      <c r="J3144" s="1127">
        <v>0.0</v>
      </c>
      <c r="K3144" s="1124"/>
    </row>
    <row r="3145" ht="15.75" customHeight="1">
      <c r="A3145" s="1119">
        <v>101526.0</v>
      </c>
      <c r="B3145" s="1125" t="s">
        <v>13423</v>
      </c>
      <c r="C3145" s="1126" t="s">
        <v>1788</v>
      </c>
      <c r="D3145" s="1128">
        <v>1282.09</v>
      </c>
      <c r="E3145" s="1120">
        <v>214.36</v>
      </c>
      <c r="F3145" s="1121">
        <f t="shared" si="1"/>
        <v>1067.78</v>
      </c>
      <c r="G3145" s="1120">
        <v>1067.78</v>
      </c>
      <c r="H3145" s="1127">
        <v>0.0</v>
      </c>
      <c r="I3145" s="1127">
        <v>0.0</v>
      </c>
      <c r="J3145" s="1127">
        <v>0.0</v>
      </c>
      <c r="K3145" s="1124"/>
    </row>
    <row r="3146" ht="15.75" customHeight="1">
      <c r="A3146" s="1119">
        <v>101527.0</v>
      </c>
      <c r="B3146" s="1125" t="s">
        <v>13424</v>
      </c>
      <c r="C3146" s="1126" t="s">
        <v>1788</v>
      </c>
      <c r="D3146" s="1128">
        <v>1316.94</v>
      </c>
      <c r="E3146" s="1120">
        <v>167.41</v>
      </c>
      <c r="F3146" s="1121">
        <f t="shared" si="1"/>
        <v>1149.71</v>
      </c>
      <c r="G3146" s="1120">
        <v>1149.71</v>
      </c>
      <c r="H3146" s="1127">
        <v>0.0</v>
      </c>
      <c r="I3146" s="1127">
        <v>0.0</v>
      </c>
      <c r="J3146" s="1127">
        <v>0.0</v>
      </c>
      <c r="K3146" s="1124"/>
    </row>
    <row r="3147" ht="15.75" customHeight="1">
      <c r="A3147" s="1119">
        <v>101528.0</v>
      </c>
      <c r="B3147" s="1125" t="s">
        <v>13425</v>
      </c>
      <c r="C3147" s="1126" t="s">
        <v>1788</v>
      </c>
      <c r="D3147" s="1128">
        <v>1520.28</v>
      </c>
      <c r="E3147" s="1120">
        <v>175.37</v>
      </c>
      <c r="F3147" s="1121">
        <f t="shared" si="1"/>
        <v>1344.93</v>
      </c>
      <c r="G3147" s="1120">
        <v>1344.93</v>
      </c>
      <c r="H3147" s="1127">
        <v>0.0</v>
      </c>
      <c r="I3147" s="1127">
        <v>0.0</v>
      </c>
      <c r="J3147" s="1127">
        <v>0.0</v>
      </c>
      <c r="K3147" s="1124"/>
    </row>
    <row r="3148" ht="15.75" customHeight="1">
      <c r="A3148" s="1119">
        <v>101529.0</v>
      </c>
      <c r="B3148" s="1125" t="s">
        <v>13426</v>
      </c>
      <c r="C3148" s="1126" t="s">
        <v>1788</v>
      </c>
      <c r="D3148" s="1128">
        <v>1244.13</v>
      </c>
      <c r="E3148" s="1120">
        <v>224.68</v>
      </c>
      <c r="F3148" s="1121">
        <f t="shared" si="1"/>
        <v>1019.5</v>
      </c>
      <c r="G3148" s="1120">
        <v>1019.5</v>
      </c>
      <c r="H3148" s="1127">
        <v>0.0</v>
      </c>
      <c r="I3148" s="1127">
        <v>0.0</v>
      </c>
      <c r="J3148" s="1127">
        <v>0.0</v>
      </c>
      <c r="K3148" s="1124"/>
    </row>
    <row r="3149" ht="15.75" customHeight="1">
      <c r="A3149" s="1119">
        <v>101530.0</v>
      </c>
      <c r="B3149" s="1125" t="s">
        <v>13427</v>
      </c>
      <c r="C3149" s="1126" t="s">
        <v>1788</v>
      </c>
      <c r="D3149" s="1128">
        <v>1487.28</v>
      </c>
      <c r="E3149" s="1120">
        <v>269.15</v>
      </c>
      <c r="F3149" s="1121">
        <f t="shared" si="1"/>
        <v>1218.21</v>
      </c>
      <c r="G3149" s="1120">
        <v>1218.21</v>
      </c>
      <c r="H3149" s="1127">
        <v>0.0</v>
      </c>
      <c r="I3149" s="1127">
        <v>0.0</v>
      </c>
      <c r="J3149" s="1127">
        <v>0.0</v>
      </c>
      <c r="K3149" s="1124"/>
    </row>
    <row r="3150" ht="15.75" customHeight="1">
      <c r="A3150" s="1119">
        <v>101531.0</v>
      </c>
      <c r="B3150" s="1125" t="s">
        <v>13428</v>
      </c>
      <c r="C3150" s="1126" t="s">
        <v>1788</v>
      </c>
      <c r="D3150" s="1128">
        <v>1533.74</v>
      </c>
      <c r="E3150" s="1120">
        <v>206.53</v>
      </c>
      <c r="F3150" s="1121">
        <f t="shared" si="1"/>
        <v>1327.46</v>
      </c>
      <c r="G3150" s="1120">
        <v>1327.46</v>
      </c>
      <c r="H3150" s="1127">
        <v>0.0</v>
      </c>
      <c r="I3150" s="1127">
        <v>0.0</v>
      </c>
      <c r="J3150" s="1127">
        <v>0.0</v>
      </c>
      <c r="K3150" s="1124"/>
    </row>
    <row r="3151" ht="15.75" customHeight="1">
      <c r="A3151" s="1119">
        <v>101532.0</v>
      </c>
      <c r="B3151" s="1125" t="s">
        <v>13429</v>
      </c>
      <c r="C3151" s="1126" t="s">
        <v>1788</v>
      </c>
      <c r="D3151" s="1128">
        <v>1804.87</v>
      </c>
      <c r="E3151" s="1120">
        <v>217.15</v>
      </c>
      <c r="F3151" s="1121">
        <f t="shared" si="1"/>
        <v>1587.75</v>
      </c>
      <c r="G3151" s="1120">
        <v>1587.75</v>
      </c>
      <c r="H3151" s="1127">
        <v>0.0</v>
      </c>
      <c r="I3151" s="1127">
        <v>0.0</v>
      </c>
      <c r="J3151" s="1127">
        <v>0.0</v>
      </c>
      <c r="K3151" s="1124"/>
    </row>
    <row r="3152" ht="15.75" customHeight="1">
      <c r="A3152" s="1119">
        <v>101533.0</v>
      </c>
      <c r="B3152" s="1125" t="s">
        <v>13430</v>
      </c>
      <c r="C3152" s="1126" t="s">
        <v>1788</v>
      </c>
      <c r="D3152" s="1128">
        <v>1265.89</v>
      </c>
      <c r="E3152" s="1120">
        <v>212.17</v>
      </c>
      <c r="F3152" s="1121">
        <f t="shared" si="1"/>
        <v>1053.77</v>
      </c>
      <c r="G3152" s="1120">
        <v>1053.77</v>
      </c>
      <c r="H3152" s="1127">
        <v>0.0</v>
      </c>
      <c r="I3152" s="1127">
        <v>0.0</v>
      </c>
      <c r="J3152" s="1127">
        <v>0.0</v>
      </c>
      <c r="K3152" s="1124"/>
    </row>
    <row r="3153" ht="15.75" customHeight="1">
      <c r="A3153" s="1119">
        <v>101534.0</v>
      </c>
      <c r="B3153" s="1125" t="s">
        <v>13431</v>
      </c>
      <c r="C3153" s="1126" t="s">
        <v>1788</v>
      </c>
      <c r="D3153" s="1128">
        <v>1509.04</v>
      </c>
      <c r="E3153" s="1120">
        <v>256.63</v>
      </c>
      <c r="F3153" s="1121">
        <f t="shared" si="1"/>
        <v>1252.48</v>
      </c>
      <c r="G3153" s="1120">
        <v>1252.48</v>
      </c>
      <c r="H3153" s="1127">
        <v>0.0</v>
      </c>
      <c r="I3153" s="1127">
        <v>0.0</v>
      </c>
      <c r="J3153" s="1127">
        <v>0.0</v>
      </c>
      <c r="K3153" s="1124"/>
    </row>
    <row r="3154" ht="15.75" customHeight="1">
      <c r="A3154" s="1119">
        <v>101535.0</v>
      </c>
      <c r="B3154" s="1125" t="s">
        <v>13432</v>
      </c>
      <c r="C3154" s="1126" t="s">
        <v>1788</v>
      </c>
      <c r="D3154" s="1128">
        <v>1555.5</v>
      </c>
      <c r="E3154" s="1120">
        <v>194.03</v>
      </c>
      <c r="F3154" s="1121">
        <f t="shared" si="1"/>
        <v>1361.73</v>
      </c>
      <c r="G3154" s="1120">
        <v>1361.73</v>
      </c>
      <c r="H3154" s="1127">
        <v>0.0</v>
      </c>
      <c r="I3154" s="1127">
        <v>0.0</v>
      </c>
      <c r="J3154" s="1127">
        <v>0.0</v>
      </c>
      <c r="K3154" s="1124"/>
    </row>
    <row r="3155" ht="15.75" customHeight="1">
      <c r="A3155" s="1119">
        <v>101536.0</v>
      </c>
      <c r="B3155" s="1125" t="s">
        <v>13433</v>
      </c>
      <c r="C3155" s="1126" t="s">
        <v>1788</v>
      </c>
      <c r="D3155" s="1128">
        <v>1826.63</v>
      </c>
      <c r="E3155" s="1120">
        <v>204.64</v>
      </c>
      <c r="F3155" s="1121">
        <f t="shared" si="1"/>
        <v>1622.01</v>
      </c>
      <c r="G3155" s="1120">
        <v>1622.01</v>
      </c>
      <c r="H3155" s="1127">
        <v>0.0</v>
      </c>
      <c r="I3155" s="1127">
        <v>0.0</v>
      </c>
      <c r="J3155" s="1127">
        <v>0.0</v>
      </c>
      <c r="K3155" s="1124"/>
    </row>
    <row r="3156" ht="15.75" customHeight="1">
      <c r="A3156" s="1119">
        <v>101537.0</v>
      </c>
      <c r="B3156" s="1125" t="s">
        <v>13434</v>
      </c>
      <c r="C3156" s="1126" t="s">
        <v>1788</v>
      </c>
      <c r="D3156" s="1119">
        <v>130.8</v>
      </c>
      <c r="E3156" s="1120">
        <v>36.27</v>
      </c>
      <c r="F3156" s="1121">
        <f t="shared" si="1"/>
        <v>94.54</v>
      </c>
      <c r="G3156" s="1120">
        <v>94.54</v>
      </c>
      <c r="H3156" s="1127">
        <v>0.0</v>
      </c>
      <c r="I3156" s="1127">
        <v>0.0</v>
      </c>
      <c r="J3156" s="1127">
        <v>0.0</v>
      </c>
      <c r="K3156" s="1124"/>
    </row>
    <row r="3157" ht="15.75" customHeight="1">
      <c r="A3157" s="1119">
        <v>101538.0</v>
      </c>
      <c r="B3157" s="1125" t="s">
        <v>13435</v>
      </c>
      <c r="C3157" s="1126" t="s">
        <v>1788</v>
      </c>
      <c r="D3157" s="1119">
        <v>38.08</v>
      </c>
      <c r="E3157" s="1120">
        <v>10.16</v>
      </c>
      <c r="F3157" s="1121">
        <f t="shared" si="1"/>
        <v>27.92</v>
      </c>
      <c r="G3157" s="1120">
        <v>27.92</v>
      </c>
      <c r="H3157" s="1127">
        <v>0.0</v>
      </c>
      <c r="I3157" s="1127">
        <v>0.0</v>
      </c>
      <c r="J3157" s="1127">
        <v>0.0</v>
      </c>
      <c r="K3157" s="1124"/>
    </row>
    <row r="3158" ht="15.75" customHeight="1">
      <c r="A3158" s="1119">
        <v>101539.0</v>
      </c>
      <c r="B3158" s="1125" t="s">
        <v>13436</v>
      </c>
      <c r="C3158" s="1126" t="s">
        <v>1788</v>
      </c>
      <c r="D3158" s="1119">
        <v>65.8</v>
      </c>
      <c r="E3158" s="1120">
        <v>20.32</v>
      </c>
      <c r="F3158" s="1121">
        <f t="shared" si="1"/>
        <v>45.48</v>
      </c>
      <c r="G3158" s="1120">
        <v>45.48</v>
      </c>
      <c r="H3158" s="1127">
        <v>0.0</v>
      </c>
      <c r="I3158" s="1127">
        <v>0.0</v>
      </c>
      <c r="J3158" s="1127">
        <v>0.0</v>
      </c>
      <c r="K3158" s="1124"/>
    </row>
    <row r="3159" ht="15.75" customHeight="1">
      <c r="A3159" s="1119">
        <v>101540.0</v>
      </c>
      <c r="B3159" s="1125" t="s">
        <v>13437</v>
      </c>
      <c r="C3159" s="1126" t="s">
        <v>1788</v>
      </c>
      <c r="D3159" s="1119">
        <v>107.93</v>
      </c>
      <c r="E3159" s="1120">
        <v>30.49</v>
      </c>
      <c r="F3159" s="1121">
        <f t="shared" si="1"/>
        <v>77.44</v>
      </c>
      <c r="G3159" s="1120">
        <v>77.44</v>
      </c>
      <c r="H3159" s="1127">
        <v>0.0</v>
      </c>
      <c r="I3159" s="1127">
        <v>0.0</v>
      </c>
      <c r="J3159" s="1127">
        <v>0.0</v>
      </c>
      <c r="K3159" s="1124"/>
    </row>
    <row r="3160" ht="15.75" customHeight="1">
      <c r="A3160" s="1119">
        <v>101541.0</v>
      </c>
      <c r="B3160" s="1125" t="s">
        <v>13438</v>
      </c>
      <c r="C3160" s="1126" t="s">
        <v>1788</v>
      </c>
      <c r="D3160" s="1119">
        <v>141.48</v>
      </c>
      <c r="E3160" s="1120">
        <v>40.66</v>
      </c>
      <c r="F3160" s="1121">
        <f t="shared" si="1"/>
        <v>100.83</v>
      </c>
      <c r="G3160" s="1120">
        <v>100.83</v>
      </c>
      <c r="H3160" s="1127">
        <v>0.0</v>
      </c>
      <c r="I3160" s="1127">
        <v>0.0</v>
      </c>
      <c r="J3160" s="1127">
        <v>0.0</v>
      </c>
      <c r="K3160" s="1124"/>
    </row>
    <row r="3161" ht="15.75" customHeight="1">
      <c r="A3161" s="1119">
        <v>101542.0</v>
      </c>
      <c r="B3161" s="1125" t="s">
        <v>13439</v>
      </c>
      <c r="C3161" s="1126" t="s">
        <v>1788</v>
      </c>
      <c r="D3161" s="1119">
        <v>29.78</v>
      </c>
      <c r="E3161" s="1120">
        <v>8.48</v>
      </c>
      <c r="F3161" s="1121">
        <f t="shared" si="1"/>
        <v>21.3</v>
      </c>
      <c r="G3161" s="1120">
        <v>21.3</v>
      </c>
      <c r="H3161" s="1127">
        <v>0.0</v>
      </c>
      <c r="I3161" s="1127">
        <v>0.0</v>
      </c>
      <c r="J3161" s="1127">
        <v>0.0</v>
      </c>
      <c r="K3161" s="1124"/>
    </row>
    <row r="3162" ht="15.75" customHeight="1">
      <c r="A3162" s="1119">
        <v>101543.0</v>
      </c>
      <c r="B3162" s="1125" t="s">
        <v>13440</v>
      </c>
      <c r="C3162" s="1126" t="s">
        <v>1788</v>
      </c>
      <c r="D3162" s="1119">
        <v>54.56</v>
      </c>
      <c r="E3162" s="1120">
        <v>16.95</v>
      </c>
      <c r="F3162" s="1121">
        <f t="shared" si="1"/>
        <v>37.6</v>
      </c>
      <c r="G3162" s="1120">
        <v>37.6</v>
      </c>
      <c r="H3162" s="1127">
        <v>0.0</v>
      </c>
      <c r="I3162" s="1127">
        <v>0.0</v>
      </c>
      <c r="J3162" s="1127">
        <v>0.0</v>
      </c>
      <c r="K3162" s="1124"/>
    </row>
    <row r="3163" ht="15.75" customHeight="1">
      <c r="A3163" s="1119">
        <v>101544.0</v>
      </c>
      <c r="B3163" s="1125" t="s">
        <v>13441</v>
      </c>
      <c r="C3163" s="1126" t="s">
        <v>1788</v>
      </c>
      <c r="D3163" s="1119">
        <v>85.84</v>
      </c>
      <c r="E3163" s="1120">
        <v>25.43</v>
      </c>
      <c r="F3163" s="1121">
        <f t="shared" si="1"/>
        <v>60.4</v>
      </c>
      <c r="G3163" s="1120">
        <v>60.4</v>
      </c>
      <c r="H3163" s="1127">
        <v>0.0</v>
      </c>
      <c r="I3163" s="1127">
        <v>0.0</v>
      </c>
      <c r="J3163" s="1127">
        <v>0.0</v>
      </c>
      <c r="K3163" s="1124"/>
    </row>
    <row r="3164" ht="15.75" customHeight="1">
      <c r="A3164" s="1119">
        <v>101545.0</v>
      </c>
      <c r="B3164" s="1125" t="s">
        <v>13442</v>
      </c>
      <c r="C3164" s="1126" t="s">
        <v>1788</v>
      </c>
      <c r="D3164" s="1119">
        <v>122.0</v>
      </c>
      <c r="E3164" s="1120">
        <v>33.91</v>
      </c>
      <c r="F3164" s="1121">
        <f t="shared" si="1"/>
        <v>88.09</v>
      </c>
      <c r="G3164" s="1120">
        <v>88.09</v>
      </c>
      <c r="H3164" s="1127">
        <v>0.0</v>
      </c>
      <c r="I3164" s="1127">
        <v>0.0</v>
      </c>
      <c r="J3164" s="1127">
        <v>0.0</v>
      </c>
      <c r="K3164" s="1124"/>
    </row>
    <row r="3165" ht="15.75" customHeight="1">
      <c r="A3165" s="1119">
        <v>101546.0</v>
      </c>
      <c r="B3165" s="1125" t="s">
        <v>13443</v>
      </c>
      <c r="C3165" s="1126" t="s">
        <v>1788</v>
      </c>
      <c r="D3165" s="1119">
        <v>29.21</v>
      </c>
      <c r="E3165" s="1120">
        <v>1.66</v>
      </c>
      <c r="F3165" s="1121">
        <f t="shared" si="1"/>
        <v>27.55</v>
      </c>
      <c r="G3165" s="1120">
        <v>27.55</v>
      </c>
      <c r="H3165" s="1127">
        <v>0.0</v>
      </c>
      <c r="I3165" s="1127">
        <v>0.0</v>
      </c>
      <c r="J3165" s="1127">
        <v>0.0</v>
      </c>
      <c r="K3165" s="1124"/>
    </row>
    <row r="3166" ht="15.75" customHeight="1">
      <c r="A3166" s="1119">
        <v>101547.0</v>
      </c>
      <c r="B3166" s="1125" t="s">
        <v>13444</v>
      </c>
      <c r="C3166" s="1126" t="s">
        <v>1788</v>
      </c>
      <c r="D3166" s="1119">
        <v>90.42</v>
      </c>
      <c r="E3166" s="1120">
        <v>1.66</v>
      </c>
      <c r="F3166" s="1121">
        <f t="shared" si="1"/>
        <v>88.76</v>
      </c>
      <c r="G3166" s="1120">
        <v>88.76</v>
      </c>
      <c r="H3166" s="1127">
        <v>0.0</v>
      </c>
      <c r="I3166" s="1127">
        <v>0.0</v>
      </c>
      <c r="J3166" s="1127">
        <v>0.0</v>
      </c>
      <c r="K3166" s="1124"/>
    </row>
    <row r="3167" ht="15.75" customHeight="1">
      <c r="A3167" s="1119">
        <v>101548.0</v>
      </c>
      <c r="B3167" s="1125" t="s">
        <v>13445</v>
      </c>
      <c r="C3167" s="1126" t="s">
        <v>1788</v>
      </c>
      <c r="D3167" s="1119">
        <v>7.62</v>
      </c>
      <c r="E3167" s="1120">
        <v>1.67</v>
      </c>
      <c r="F3167" s="1121">
        <f t="shared" si="1"/>
        <v>5.95</v>
      </c>
      <c r="G3167" s="1120">
        <v>5.95</v>
      </c>
      <c r="H3167" s="1127">
        <v>0.0</v>
      </c>
      <c r="I3167" s="1127">
        <v>0.0</v>
      </c>
      <c r="J3167" s="1127">
        <v>0.0</v>
      </c>
      <c r="K3167" s="1124"/>
    </row>
    <row r="3168" ht="15.75" customHeight="1">
      <c r="A3168" s="1119">
        <v>101549.0</v>
      </c>
      <c r="B3168" s="1125" t="s">
        <v>13446</v>
      </c>
      <c r="C3168" s="1126" t="s">
        <v>1788</v>
      </c>
      <c r="D3168" s="1119">
        <v>19.51</v>
      </c>
      <c r="E3168" s="1120">
        <v>5.45</v>
      </c>
      <c r="F3168" s="1121">
        <f t="shared" si="1"/>
        <v>14.05</v>
      </c>
      <c r="G3168" s="1120">
        <v>14.05</v>
      </c>
      <c r="H3168" s="1127">
        <v>0.0</v>
      </c>
      <c r="I3168" s="1127">
        <v>0.0</v>
      </c>
      <c r="J3168" s="1127">
        <v>0.0</v>
      </c>
      <c r="K3168" s="1124"/>
    </row>
    <row r="3169" ht="15.75" customHeight="1">
      <c r="A3169" s="1119">
        <v>101553.0</v>
      </c>
      <c r="B3169" s="1125" t="s">
        <v>13447</v>
      </c>
      <c r="C3169" s="1126" t="s">
        <v>1788</v>
      </c>
      <c r="D3169" s="1119">
        <v>13.05</v>
      </c>
      <c r="E3169" s="1120">
        <v>4.28</v>
      </c>
      <c r="F3169" s="1121">
        <f t="shared" si="1"/>
        <v>8.77</v>
      </c>
      <c r="G3169" s="1120">
        <v>8.77</v>
      </c>
      <c r="H3169" s="1127">
        <v>0.0</v>
      </c>
      <c r="I3169" s="1127">
        <v>0.0</v>
      </c>
      <c r="J3169" s="1127">
        <v>0.0</v>
      </c>
      <c r="K3169" s="1124"/>
    </row>
    <row r="3170" ht="15.75" customHeight="1">
      <c r="A3170" s="1119">
        <v>101554.0</v>
      </c>
      <c r="B3170" s="1125" t="s">
        <v>13448</v>
      </c>
      <c r="C3170" s="1126" t="s">
        <v>1788</v>
      </c>
      <c r="D3170" s="1119">
        <v>10.11</v>
      </c>
      <c r="E3170" s="1120">
        <v>4.29</v>
      </c>
      <c r="F3170" s="1121">
        <f t="shared" si="1"/>
        <v>5.82</v>
      </c>
      <c r="G3170" s="1120">
        <v>5.82</v>
      </c>
      <c r="H3170" s="1127">
        <v>0.0</v>
      </c>
      <c r="I3170" s="1127">
        <v>0.0</v>
      </c>
      <c r="J3170" s="1127">
        <v>0.0</v>
      </c>
      <c r="K3170" s="1124"/>
    </row>
    <row r="3171" ht="15.75" customHeight="1">
      <c r="A3171" s="1119">
        <v>101555.0</v>
      </c>
      <c r="B3171" s="1125" t="s">
        <v>13449</v>
      </c>
      <c r="C3171" s="1126" t="s">
        <v>1788</v>
      </c>
      <c r="D3171" s="1119">
        <v>7.43</v>
      </c>
      <c r="E3171" s="1120">
        <v>4.31</v>
      </c>
      <c r="F3171" s="1121">
        <f t="shared" si="1"/>
        <v>3.12</v>
      </c>
      <c r="G3171" s="1120">
        <v>3.12</v>
      </c>
      <c r="H3171" s="1127">
        <v>0.0</v>
      </c>
      <c r="I3171" s="1127">
        <v>0.0</v>
      </c>
      <c r="J3171" s="1127">
        <v>0.0</v>
      </c>
      <c r="K3171" s="1124"/>
    </row>
    <row r="3172" ht="15.75" customHeight="1">
      <c r="A3172" s="1119">
        <v>101556.0</v>
      </c>
      <c r="B3172" s="1125" t="s">
        <v>13450</v>
      </c>
      <c r="C3172" s="1126" t="s">
        <v>1788</v>
      </c>
      <c r="D3172" s="1119">
        <v>7.01</v>
      </c>
      <c r="E3172" s="1120">
        <v>4.31</v>
      </c>
      <c r="F3172" s="1121">
        <f t="shared" si="1"/>
        <v>2.7</v>
      </c>
      <c r="G3172" s="1120">
        <v>2.7</v>
      </c>
      <c r="H3172" s="1127">
        <v>0.0</v>
      </c>
      <c r="I3172" s="1127">
        <v>0.0</v>
      </c>
      <c r="J3172" s="1127">
        <v>0.0</v>
      </c>
      <c r="K3172" s="1124"/>
    </row>
    <row r="3173" ht="15.75" customHeight="1">
      <c r="A3173" s="1119">
        <v>101560.0</v>
      </c>
      <c r="B3173" s="1125" t="s">
        <v>13451</v>
      </c>
      <c r="C3173" s="1126" t="s">
        <v>1731</v>
      </c>
      <c r="D3173" s="1119">
        <v>9.86</v>
      </c>
      <c r="E3173" s="1120">
        <v>0.07</v>
      </c>
      <c r="F3173" s="1121">
        <f t="shared" si="1"/>
        <v>9.79</v>
      </c>
      <c r="G3173" s="1120">
        <v>9.79</v>
      </c>
      <c r="H3173" s="1127">
        <v>0.0</v>
      </c>
      <c r="I3173" s="1127">
        <v>0.0</v>
      </c>
      <c r="J3173" s="1127">
        <v>0.0</v>
      </c>
      <c r="K3173" s="1124"/>
    </row>
    <row r="3174" ht="15.75" customHeight="1">
      <c r="A3174" s="1119">
        <v>101561.0</v>
      </c>
      <c r="B3174" s="1125" t="s">
        <v>13452</v>
      </c>
      <c r="C3174" s="1126" t="s">
        <v>1731</v>
      </c>
      <c r="D3174" s="1119">
        <v>15.66</v>
      </c>
      <c r="E3174" s="1120">
        <v>0.07</v>
      </c>
      <c r="F3174" s="1121">
        <f t="shared" si="1"/>
        <v>15.59</v>
      </c>
      <c r="G3174" s="1120">
        <v>15.59</v>
      </c>
      <c r="H3174" s="1127">
        <v>0.0</v>
      </c>
      <c r="I3174" s="1127">
        <v>0.0</v>
      </c>
      <c r="J3174" s="1127">
        <v>0.0</v>
      </c>
      <c r="K3174" s="1124"/>
    </row>
    <row r="3175" ht="15.75" customHeight="1">
      <c r="A3175" s="1119">
        <v>101562.0</v>
      </c>
      <c r="B3175" s="1125" t="s">
        <v>13453</v>
      </c>
      <c r="C3175" s="1126" t="s">
        <v>1731</v>
      </c>
      <c r="D3175" s="1119">
        <v>24.24</v>
      </c>
      <c r="E3175" s="1120">
        <v>0.07</v>
      </c>
      <c r="F3175" s="1121">
        <f t="shared" si="1"/>
        <v>24.17</v>
      </c>
      <c r="G3175" s="1120">
        <v>24.17</v>
      </c>
      <c r="H3175" s="1127">
        <v>0.0</v>
      </c>
      <c r="I3175" s="1127">
        <v>0.0</v>
      </c>
      <c r="J3175" s="1127">
        <v>0.0</v>
      </c>
      <c r="K3175" s="1124"/>
    </row>
    <row r="3176" ht="15.75" customHeight="1">
      <c r="A3176" s="1119">
        <v>101563.0</v>
      </c>
      <c r="B3176" s="1125" t="s">
        <v>13454</v>
      </c>
      <c r="C3176" s="1126" t="s">
        <v>1731</v>
      </c>
      <c r="D3176" s="1119">
        <v>34.21</v>
      </c>
      <c r="E3176" s="1120">
        <v>0.07</v>
      </c>
      <c r="F3176" s="1121">
        <f t="shared" si="1"/>
        <v>34.14</v>
      </c>
      <c r="G3176" s="1120">
        <v>34.14</v>
      </c>
      <c r="H3176" s="1127">
        <v>0.0</v>
      </c>
      <c r="I3176" s="1127">
        <v>0.0</v>
      </c>
      <c r="J3176" s="1127">
        <v>0.0</v>
      </c>
      <c r="K3176" s="1124"/>
    </row>
    <row r="3177" ht="15.75" customHeight="1">
      <c r="A3177" s="1119">
        <v>101564.0</v>
      </c>
      <c r="B3177" s="1125" t="s">
        <v>13455</v>
      </c>
      <c r="C3177" s="1126" t="s">
        <v>1731</v>
      </c>
      <c r="D3177" s="1119">
        <v>50.55</v>
      </c>
      <c r="E3177" s="1120">
        <v>0.07</v>
      </c>
      <c r="F3177" s="1121">
        <f t="shared" si="1"/>
        <v>50.48</v>
      </c>
      <c r="G3177" s="1120">
        <v>50.48</v>
      </c>
      <c r="H3177" s="1127">
        <v>0.0</v>
      </c>
      <c r="I3177" s="1127">
        <v>0.0</v>
      </c>
      <c r="J3177" s="1127">
        <v>0.0</v>
      </c>
      <c r="K3177" s="1124"/>
    </row>
    <row r="3178" ht="15.75" customHeight="1">
      <c r="A3178" s="1119">
        <v>101565.0</v>
      </c>
      <c r="B3178" s="1125" t="s">
        <v>13456</v>
      </c>
      <c r="C3178" s="1126" t="s">
        <v>1731</v>
      </c>
      <c r="D3178" s="1119">
        <v>70.7</v>
      </c>
      <c r="E3178" s="1120">
        <v>0.07</v>
      </c>
      <c r="F3178" s="1121">
        <f t="shared" si="1"/>
        <v>70.63</v>
      </c>
      <c r="G3178" s="1120">
        <v>70.63</v>
      </c>
      <c r="H3178" s="1127">
        <v>0.0</v>
      </c>
      <c r="I3178" s="1127">
        <v>0.0</v>
      </c>
      <c r="J3178" s="1127">
        <v>0.0</v>
      </c>
      <c r="K3178" s="1124"/>
    </row>
    <row r="3179" ht="15.75" customHeight="1">
      <c r="A3179" s="1119">
        <v>101567.0</v>
      </c>
      <c r="B3179" s="1125" t="s">
        <v>13457</v>
      </c>
      <c r="C3179" s="1126" t="s">
        <v>1731</v>
      </c>
      <c r="D3179" s="1119">
        <v>91.76</v>
      </c>
      <c r="E3179" s="1120">
        <v>0.07</v>
      </c>
      <c r="F3179" s="1121">
        <f t="shared" si="1"/>
        <v>91.69</v>
      </c>
      <c r="G3179" s="1120">
        <v>91.69</v>
      </c>
      <c r="H3179" s="1127">
        <v>0.0</v>
      </c>
      <c r="I3179" s="1127">
        <v>0.0</v>
      </c>
      <c r="J3179" s="1127">
        <v>0.0</v>
      </c>
      <c r="K3179" s="1124"/>
    </row>
    <row r="3180" ht="15.75" customHeight="1">
      <c r="A3180" s="1119">
        <v>101568.0</v>
      </c>
      <c r="B3180" s="1125" t="s">
        <v>13458</v>
      </c>
      <c r="C3180" s="1126" t="s">
        <v>1731</v>
      </c>
      <c r="D3180" s="1119">
        <v>119.97</v>
      </c>
      <c r="E3180" s="1120">
        <v>0.07</v>
      </c>
      <c r="F3180" s="1121">
        <f t="shared" si="1"/>
        <v>119.9</v>
      </c>
      <c r="G3180" s="1120">
        <v>119.9</v>
      </c>
      <c r="H3180" s="1127">
        <v>0.0</v>
      </c>
      <c r="I3180" s="1127">
        <v>0.0</v>
      </c>
      <c r="J3180" s="1127">
        <v>0.0</v>
      </c>
      <c r="K3180" s="1124"/>
    </row>
    <row r="3181" ht="15.75" customHeight="1">
      <c r="A3181" s="1119">
        <v>101626.0</v>
      </c>
      <c r="B3181" s="1125" t="s">
        <v>13459</v>
      </c>
      <c r="C3181" s="1126" t="s">
        <v>1788</v>
      </c>
      <c r="D3181" s="1119">
        <v>160.83</v>
      </c>
      <c r="E3181" s="1120">
        <v>8.59</v>
      </c>
      <c r="F3181" s="1121">
        <f t="shared" si="1"/>
        <v>152.24</v>
      </c>
      <c r="G3181" s="1120">
        <v>152.24</v>
      </c>
      <c r="H3181" s="1127">
        <v>0.0</v>
      </c>
      <c r="I3181" s="1127">
        <v>0.0</v>
      </c>
      <c r="J3181" s="1127">
        <v>0.0</v>
      </c>
      <c r="K3181" s="1124"/>
    </row>
    <row r="3182" ht="15.75" customHeight="1">
      <c r="A3182" s="1119">
        <v>101627.0</v>
      </c>
      <c r="B3182" s="1125" t="s">
        <v>13460</v>
      </c>
      <c r="C3182" s="1126" t="s">
        <v>1788</v>
      </c>
      <c r="D3182" s="1119">
        <v>248.5</v>
      </c>
      <c r="E3182" s="1120">
        <v>8.59</v>
      </c>
      <c r="F3182" s="1121">
        <f t="shared" si="1"/>
        <v>239.91</v>
      </c>
      <c r="G3182" s="1120">
        <v>239.91</v>
      </c>
      <c r="H3182" s="1127">
        <v>0.0</v>
      </c>
      <c r="I3182" s="1127">
        <v>0.0</v>
      </c>
      <c r="J3182" s="1127">
        <v>0.0</v>
      </c>
      <c r="K3182" s="1124"/>
    </row>
    <row r="3183" ht="15.75" customHeight="1">
      <c r="A3183" s="1119">
        <v>101628.0</v>
      </c>
      <c r="B3183" s="1125" t="s">
        <v>13461</v>
      </c>
      <c r="C3183" s="1126" t="s">
        <v>1788</v>
      </c>
      <c r="D3183" s="1119">
        <v>120.28</v>
      </c>
      <c r="E3183" s="1120">
        <v>8.59</v>
      </c>
      <c r="F3183" s="1121">
        <f t="shared" si="1"/>
        <v>111.69</v>
      </c>
      <c r="G3183" s="1120">
        <v>111.69</v>
      </c>
      <c r="H3183" s="1127">
        <v>0.0</v>
      </c>
      <c r="I3183" s="1127">
        <v>0.0</v>
      </c>
      <c r="J3183" s="1127">
        <v>0.0</v>
      </c>
      <c r="K3183" s="1124"/>
    </row>
    <row r="3184" ht="15.75" customHeight="1">
      <c r="A3184" s="1119">
        <v>101629.0</v>
      </c>
      <c r="B3184" s="1125" t="s">
        <v>13462</v>
      </c>
      <c r="C3184" s="1126" t="s">
        <v>1788</v>
      </c>
      <c r="D3184" s="1119">
        <v>141.16</v>
      </c>
      <c r="E3184" s="1120">
        <v>8.59</v>
      </c>
      <c r="F3184" s="1121">
        <f t="shared" si="1"/>
        <v>132.57</v>
      </c>
      <c r="G3184" s="1120">
        <v>132.57</v>
      </c>
      <c r="H3184" s="1127">
        <v>0.0</v>
      </c>
      <c r="I3184" s="1127">
        <v>0.0</v>
      </c>
      <c r="J3184" s="1127">
        <v>0.0</v>
      </c>
      <c r="K3184" s="1124"/>
    </row>
    <row r="3185" ht="15.75" customHeight="1">
      <c r="A3185" s="1119">
        <v>101630.0</v>
      </c>
      <c r="B3185" s="1125" t="s">
        <v>13463</v>
      </c>
      <c r="C3185" s="1126" t="s">
        <v>1788</v>
      </c>
      <c r="D3185" s="1119">
        <v>73.92</v>
      </c>
      <c r="E3185" s="1120">
        <v>19.04</v>
      </c>
      <c r="F3185" s="1121">
        <f t="shared" si="1"/>
        <v>54.9</v>
      </c>
      <c r="G3185" s="1120">
        <v>34.66</v>
      </c>
      <c r="H3185" s="1127">
        <v>20.24</v>
      </c>
      <c r="I3185" s="1127">
        <v>0.0</v>
      </c>
      <c r="J3185" s="1127">
        <v>0.0</v>
      </c>
      <c r="K3185" s="1124"/>
    </row>
    <row r="3186" ht="15.75" customHeight="1">
      <c r="A3186" s="1119">
        <v>101631.0</v>
      </c>
      <c r="B3186" s="1125" t="s">
        <v>13464</v>
      </c>
      <c r="C3186" s="1126" t="s">
        <v>1788</v>
      </c>
      <c r="D3186" s="1119">
        <v>40.76</v>
      </c>
      <c r="E3186" s="1120">
        <v>8.6</v>
      </c>
      <c r="F3186" s="1121">
        <f t="shared" si="1"/>
        <v>32.16</v>
      </c>
      <c r="G3186" s="1120">
        <v>32.16</v>
      </c>
      <c r="H3186" s="1127">
        <v>0.0</v>
      </c>
      <c r="I3186" s="1127">
        <v>0.0</v>
      </c>
      <c r="J3186" s="1127">
        <v>0.0</v>
      </c>
      <c r="K3186" s="1124"/>
    </row>
    <row r="3187" ht="15.75" customHeight="1">
      <c r="A3187" s="1119">
        <v>101632.0</v>
      </c>
      <c r="B3187" s="1125" t="s">
        <v>13465</v>
      </c>
      <c r="C3187" s="1126" t="s">
        <v>1788</v>
      </c>
      <c r="D3187" s="1119">
        <v>35.39</v>
      </c>
      <c r="E3187" s="1120">
        <v>0.73</v>
      </c>
      <c r="F3187" s="1121">
        <f t="shared" si="1"/>
        <v>34.67</v>
      </c>
      <c r="G3187" s="1120">
        <v>34.67</v>
      </c>
      <c r="H3187" s="1127">
        <v>0.0</v>
      </c>
      <c r="I3187" s="1127">
        <v>0.0</v>
      </c>
      <c r="J3187" s="1127">
        <v>0.0</v>
      </c>
      <c r="K3187" s="1124"/>
    </row>
    <row r="3188" ht="15.75" customHeight="1">
      <c r="A3188" s="1119">
        <v>101633.0</v>
      </c>
      <c r="B3188" s="1125" t="s">
        <v>13466</v>
      </c>
      <c r="C3188" s="1126" t="s">
        <v>1788</v>
      </c>
      <c r="D3188" s="1119">
        <v>93.66</v>
      </c>
      <c r="E3188" s="1120">
        <v>8.19</v>
      </c>
      <c r="F3188" s="1121">
        <f t="shared" si="1"/>
        <v>85.47</v>
      </c>
      <c r="G3188" s="1120">
        <v>65.24</v>
      </c>
      <c r="H3188" s="1127">
        <v>20.23</v>
      </c>
      <c r="I3188" s="1127">
        <v>0.0</v>
      </c>
      <c r="J3188" s="1127">
        <v>0.0</v>
      </c>
      <c r="K3188" s="1124"/>
    </row>
    <row r="3189" ht="15.75" customHeight="1">
      <c r="A3189" s="1119">
        <v>101636.0</v>
      </c>
      <c r="B3189" s="1125" t="s">
        <v>13467</v>
      </c>
      <c r="C3189" s="1126" t="s">
        <v>1788</v>
      </c>
      <c r="D3189" s="1119">
        <v>148.21</v>
      </c>
      <c r="E3189" s="1120">
        <v>36.54</v>
      </c>
      <c r="F3189" s="1121">
        <f t="shared" si="1"/>
        <v>111.67</v>
      </c>
      <c r="G3189" s="1120">
        <v>91.45</v>
      </c>
      <c r="H3189" s="1127">
        <v>20.22</v>
      </c>
      <c r="I3189" s="1127">
        <v>0.0</v>
      </c>
      <c r="J3189" s="1127">
        <v>0.0</v>
      </c>
      <c r="K3189" s="1124"/>
    </row>
    <row r="3190" ht="15.75" customHeight="1">
      <c r="A3190" s="1119">
        <v>101637.0</v>
      </c>
      <c r="B3190" s="1125" t="s">
        <v>13468</v>
      </c>
      <c r="C3190" s="1126" t="s">
        <v>1788</v>
      </c>
      <c r="D3190" s="1119">
        <v>143.07</v>
      </c>
      <c r="E3190" s="1120">
        <v>36.55</v>
      </c>
      <c r="F3190" s="1121">
        <f t="shared" si="1"/>
        <v>106.53</v>
      </c>
      <c r="G3190" s="1120">
        <v>86.31</v>
      </c>
      <c r="H3190" s="1127">
        <v>20.22</v>
      </c>
      <c r="I3190" s="1127">
        <v>0.0</v>
      </c>
      <c r="J3190" s="1127">
        <v>0.0</v>
      </c>
      <c r="K3190" s="1124"/>
    </row>
    <row r="3191" ht="15.75" customHeight="1">
      <c r="A3191" s="1119">
        <v>101640.0</v>
      </c>
      <c r="B3191" s="1125" t="s">
        <v>13469</v>
      </c>
      <c r="C3191" s="1126" t="s">
        <v>1788</v>
      </c>
      <c r="D3191" s="1119">
        <v>97.77</v>
      </c>
      <c r="E3191" s="1120">
        <v>1.19</v>
      </c>
      <c r="F3191" s="1121">
        <f t="shared" si="1"/>
        <v>96.56</v>
      </c>
      <c r="G3191" s="1120">
        <v>96.56</v>
      </c>
      <c r="H3191" s="1127">
        <v>0.0</v>
      </c>
      <c r="I3191" s="1127">
        <v>0.0</v>
      </c>
      <c r="J3191" s="1127">
        <v>0.0</v>
      </c>
      <c r="K3191" s="1124"/>
    </row>
    <row r="3192" ht="15.75" customHeight="1">
      <c r="A3192" s="1119">
        <v>101641.0</v>
      </c>
      <c r="B3192" s="1125" t="s">
        <v>13470</v>
      </c>
      <c r="C3192" s="1126" t="s">
        <v>1788</v>
      </c>
      <c r="D3192" s="1119">
        <v>50.76</v>
      </c>
      <c r="E3192" s="1120">
        <v>1.19</v>
      </c>
      <c r="F3192" s="1121">
        <f t="shared" si="1"/>
        <v>49.55</v>
      </c>
      <c r="G3192" s="1120">
        <v>49.55</v>
      </c>
      <c r="H3192" s="1127">
        <v>0.0</v>
      </c>
      <c r="I3192" s="1127">
        <v>0.0</v>
      </c>
      <c r="J3192" s="1127">
        <v>0.0</v>
      </c>
      <c r="K3192" s="1124"/>
    </row>
    <row r="3193" ht="15.75" customHeight="1">
      <c r="A3193" s="1119">
        <v>101642.0</v>
      </c>
      <c r="B3193" s="1125" t="s">
        <v>13471</v>
      </c>
      <c r="C3193" s="1126" t="s">
        <v>1788</v>
      </c>
      <c r="D3193" s="1119">
        <v>25.6</v>
      </c>
      <c r="E3193" s="1120">
        <v>1.19</v>
      </c>
      <c r="F3193" s="1121">
        <f t="shared" si="1"/>
        <v>24.39</v>
      </c>
      <c r="G3193" s="1120">
        <v>24.39</v>
      </c>
      <c r="H3193" s="1127">
        <v>0.0</v>
      </c>
      <c r="I3193" s="1127">
        <v>0.0</v>
      </c>
      <c r="J3193" s="1127">
        <v>0.0</v>
      </c>
      <c r="K3193" s="1124"/>
    </row>
    <row r="3194" ht="15.75" customHeight="1">
      <c r="A3194" s="1119">
        <v>101643.0</v>
      </c>
      <c r="B3194" s="1125" t="s">
        <v>13472</v>
      </c>
      <c r="C3194" s="1126" t="s">
        <v>1788</v>
      </c>
      <c r="D3194" s="1119">
        <v>44.34</v>
      </c>
      <c r="E3194" s="1120">
        <v>1.19</v>
      </c>
      <c r="F3194" s="1121">
        <f t="shared" si="1"/>
        <v>43.13</v>
      </c>
      <c r="G3194" s="1120">
        <v>43.13</v>
      </c>
      <c r="H3194" s="1127">
        <v>0.0</v>
      </c>
      <c r="I3194" s="1127">
        <v>0.0</v>
      </c>
      <c r="J3194" s="1127">
        <v>0.0</v>
      </c>
      <c r="K3194" s="1124"/>
    </row>
    <row r="3195" ht="15.75" customHeight="1">
      <c r="A3195" s="1119">
        <v>101644.0</v>
      </c>
      <c r="B3195" s="1125" t="s">
        <v>13473</v>
      </c>
      <c r="C3195" s="1126" t="s">
        <v>1788</v>
      </c>
      <c r="D3195" s="1119">
        <v>59.91</v>
      </c>
      <c r="E3195" s="1120">
        <v>1.19</v>
      </c>
      <c r="F3195" s="1121">
        <f t="shared" si="1"/>
        <v>58.7</v>
      </c>
      <c r="G3195" s="1120">
        <v>58.7</v>
      </c>
      <c r="H3195" s="1127">
        <v>0.0</v>
      </c>
      <c r="I3195" s="1127">
        <v>0.0</v>
      </c>
      <c r="J3195" s="1127">
        <v>0.0</v>
      </c>
      <c r="K3195" s="1124"/>
    </row>
    <row r="3196" ht="15.75" customHeight="1">
      <c r="A3196" s="1119">
        <v>101645.0</v>
      </c>
      <c r="B3196" s="1125" t="s">
        <v>13474</v>
      </c>
      <c r="C3196" s="1126" t="s">
        <v>1788</v>
      </c>
      <c r="D3196" s="1119">
        <v>28.5</v>
      </c>
      <c r="E3196" s="1120">
        <v>1.19</v>
      </c>
      <c r="F3196" s="1121">
        <f t="shared" si="1"/>
        <v>27.29</v>
      </c>
      <c r="G3196" s="1120">
        <v>27.29</v>
      </c>
      <c r="H3196" s="1127">
        <v>0.0</v>
      </c>
      <c r="I3196" s="1127">
        <v>0.0</v>
      </c>
      <c r="J3196" s="1127">
        <v>0.0</v>
      </c>
      <c r="K3196" s="1124"/>
    </row>
    <row r="3197" ht="15.75" customHeight="1">
      <c r="A3197" s="1119">
        <v>101646.0</v>
      </c>
      <c r="B3197" s="1125" t="s">
        <v>13475</v>
      </c>
      <c r="C3197" s="1126" t="s">
        <v>1788</v>
      </c>
      <c r="D3197" s="1119">
        <v>37.76</v>
      </c>
      <c r="E3197" s="1120">
        <v>1.19</v>
      </c>
      <c r="F3197" s="1121">
        <f t="shared" si="1"/>
        <v>36.55</v>
      </c>
      <c r="G3197" s="1120">
        <v>36.55</v>
      </c>
      <c r="H3197" s="1127">
        <v>0.0</v>
      </c>
      <c r="I3197" s="1127">
        <v>0.0</v>
      </c>
      <c r="J3197" s="1127">
        <v>0.0</v>
      </c>
      <c r="K3197" s="1124"/>
    </row>
    <row r="3198" ht="15.75" customHeight="1">
      <c r="A3198" s="1119">
        <v>101647.0</v>
      </c>
      <c r="B3198" s="1125" t="s">
        <v>13476</v>
      </c>
      <c r="C3198" s="1126" t="s">
        <v>1788</v>
      </c>
      <c r="D3198" s="1119">
        <v>69.14</v>
      </c>
      <c r="E3198" s="1120">
        <v>1.19</v>
      </c>
      <c r="F3198" s="1121">
        <f t="shared" si="1"/>
        <v>67.93</v>
      </c>
      <c r="G3198" s="1120">
        <v>67.93</v>
      </c>
      <c r="H3198" s="1127">
        <v>0.0</v>
      </c>
      <c r="I3198" s="1127">
        <v>0.0</v>
      </c>
      <c r="J3198" s="1127">
        <v>0.0</v>
      </c>
      <c r="K3198" s="1124"/>
    </row>
    <row r="3199" ht="15.75" customHeight="1">
      <c r="A3199" s="1119">
        <v>101648.0</v>
      </c>
      <c r="B3199" s="1125" t="s">
        <v>13477</v>
      </c>
      <c r="C3199" s="1126" t="s">
        <v>1788</v>
      </c>
      <c r="D3199" s="1119">
        <v>53.53</v>
      </c>
      <c r="E3199" s="1120">
        <v>1.19</v>
      </c>
      <c r="F3199" s="1121">
        <f t="shared" si="1"/>
        <v>52.32</v>
      </c>
      <c r="G3199" s="1120">
        <v>52.32</v>
      </c>
      <c r="H3199" s="1127">
        <v>0.0</v>
      </c>
      <c r="I3199" s="1127">
        <v>0.0</v>
      </c>
      <c r="J3199" s="1127">
        <v>0.0</v>
      </c>
      <c r="K3199" s="1124"/>
    </row>
    <row r="3200" ht="15.75" customHeight="1">
      <c r="A3200" s="1119">
        <v>101649.0</v>
      </c>
      <c r="B3200" s="1125" t="s">
        <v>13478</v>
      </c>
      <c r="C3200" s="1126" t="s">
        <v>1788</v>
      </c>
      <c r="D3200" s="1119">
        <v>61.64</v>
      </c>
      <c r="E3200" s="1120">
        <v>1.19</v>
      </c>
      <c r="F3200" s="1121">
        <f t="shared" si="1"/>
        <v>60.43</v>
      </c>
      <c r="G3200" s="1120">
        <v>60.43</v>
      </c>
      <c r="H3200" s="1127">
        <v>0.0</v>
      </c>
      <c r="I3200" s="1127">
        <v>0.0</v>
      </c>
      <c r="J3200" s="1127">
        <v>0.0</v>
      </c>
      <c r="K3200" s="1124"/>
    </row>
    <row r="3201" ht="15.75" customHeight="1">
      <c r="A3201" s="1119">
        <v>101650.0</v>
      </c>
      <c r="B3201" s="1125" t="s">
        <v>13479</v>
      </c>
      <c r="C3201" s="1126" t="s">
        <v>1788</v>
      </c>
      <c r="D3201" s="1119">
        <v>71.6</v>
      </c>
      <c r="E3201" s="1120">
        <v>1.19</v>
      </c>
      <c r="F3201" s="1121">
        <f t="shared" si="1"/>
        <v>70.39</v>
      </c>
      <c r="G3201" s="1120">
        <v>70.39</v>
      </c>
      <c r="H3201" s="1127">
        <v>0.0</v>
      </c>
      <c r="I3201" s="1127">
        <v>0.0</v>
      </c>
      <c r="J3201" s="1127">
        <v>0.0</v>
      </c>
      <c r="K3201" s="1124"/>
    </row>
    <row r="3202" ht="15.75" customHeight="1">
      <c r="A3202" s="1119">
        <v>101651.0</v>
      </c>
      <c r="B3202" s="1125" t="s">
        <v>13480</v>
      </c>
      <c r="C3202" s="1126" t="s">
        <v>1788</v>
      </c>
      <c r="D3202" s="1119">
        <v>60.77</v>
      </c>
      <c r="E3202" s="1120">
        <v>9.3</v>
      </c>
      <c r="F3202" s="1121">
        <f t="shared" si="1"/>
        <v>51.48</v>
      </c>
      <c r="G3202" s="1120">
        <v>31.24</v>
      </c>
      <c r="H3202" s="1127">
        <v>20.24</v>
      </c>
      <c r="I3202" s="1127">
        <v>0.0</v>
      </c>
      <c r="J3202" s="1127">
        <v>0.0</v>
      </c>
      <c r="K3202" s="1124"/>
    </row>
    <row r="3203" ht="15.75" customHeight="1">
      <c r="A3203" s="1119">
        <v>101652.0</v>
      </c>
      <c r="B3203" s="1125" t="s">
        <v>13481</v>
      </c>
      <c r="C3203" s="1126" t="s">
        <v>1788</v>
      </c>
      <c r="D3203" s="1119">
        <v>483.07</v>
      </c>
      <c r="E3203" s="1120">
        <v>42.61</v>
      </c>
      <c r="F3203" s="1121">
        <f t="shared" si="1"/>
        <v>440.47</v>
      </c>
      <c r="G3203" s="1120">
        <v>420.27</v>
      </c>
      <c r="H3203" s="1127">
        <v>20.2</v>
      </c>
      <c r="I3203" s="1127">
        <v>0.0</v>
      </c>
      <c r="J3203" s="1127">
        <v>0.0</v>
      </c>
      <c r="K3203" s="1124"/>
    </row>
    <row r="3204" ht="15.75" customHeight="1">
      <c r="A3204" s="1119">
        <v>101653.0</v>
      </c>
      <c r="B3204" s="1125" t="s">
        <v>13482</v>
      </c>
      <c r="C3204" s="1126" t="s">
        <v>1788</v>
      </c>
      <c r="D3204" s="1119">
        <v>277.72</v>
      </c>
      <c r="E3204" s="1120">
        <v>72.44</v>
      </c>
      <c r="F3204" s="1121">
        <f t="shared" si="1"/>
        <v>205.29</v>
      </c>
      <c r="G3204" s="1120">
        <v>185.09</v>
      </c>
      <c r="H3204" s="1127">
        <v>20.2</v>
      </c>
      <c r="I3204" s="1127">
        <v>0.0</v>
      </c>
      <c r="J3204" s="1127">
        <v>0.0</v>
      </c>
      <c r="K3204" s="1124"/>
    </row>
    <row r="3205" ht="15.75" customHeight="1">
      <c r="A3205" s="1119">
        <v>101654.0</v>
      </c>
      <c r="B3205" s="1125" t="s">
        <v>13483</v>
      </c>
      <c r="C3205" s="1126" t="s">
        <v>1788</v>
      </c>
      <c r="D3205" s="1119">
        <v>264.88</v>
      </c>
      <c r="E3205" s="1120">
        <v>17.26</v>
      </c>
      <c r="F3205" s="1121">
        <f t="shared" si="1"/>
        <v>247.65</v>
      </c>
      <c r="G3205" s="1120">
        <v>227.44</v>
      </c>
      <c r="H3205" s="1127">
        <v>20.21</v>
      </c>
      <c r="I3205" s="1127">
        <v>0.0</v>
      </c>
      <c r="J3205" s="1127">
        <v>0.0</v>
      </c>
      <c r="K3205" s="1124"/>
    </row>
    <row r="3206" ht="15.75" customHeight="1">
      <c r="A3206" s="1119">
        <v>101655.0</v>
      </c>
      <c r="B3206" s="1125" t="s">
        <v>13484</v>
      </c>
      <c r="C3206" s="1126" t="s">
        <v>1788</v>
      </c>
      <c r="D3206" s="1119">
        <v>428.25</v>
      </c>
      <c r="E3206" s="1120">
        <v>17.26</v>
      </c>
      <c r="F3206" s="1121">
        <f t="shared" si="1"/>
        <v>411.02</v>
      </c>
      <c r="G3206" s="1120">
        <v>390.82</v>
      </c>
      <c r="H3206" s="1127">
        <v>20.2</v>
      </c>
      <c r="I3206" s="1127">
        <v>0.0</v>
      </c>
      <c r="J3206" s="1127">
        <v>0.0</v>
      </c>
      <c r="K3206" s="1124"/>
    </row>
    <row r="3207" ht="15.75" customHeight="1">
      <c r="A3207" s="1119">
        <v>101656.0</v>
      </c>
      <c r="B3207" s="1125" t="s">
        <v>13485</v>
      </c>
      <c r="C3207" s="1126" t="s">
        <v>1788</v>
      </c>
      <c r="D3207" s="1119">
        <v>466.4</v>
      </c>
      <c r="E3207" s="1120">
        <v>17.26</v>
      </c>
      <c r="F3207" s="1121">
        <f t="shared" si="1"/>
        <v>449.17</v>
      </c>
      <c r="G3207" s="1120">
        <v>428.97</v>
      </c>
      <c r="H3207" s="1127">
        <v>20.2</v>
      </c>
      <c r="I3207" s="1127">
        <v>0.0</v>
      </c>
      <c r="J3207" s="1127">
        <v>0.0</v>
      </c>
      <c r="K3207" s="1124"/>
    </row>
    <row r="3208" ht="15.75" customHeight="1">
      <c r="A3208" s="1119">
        <v>101657.0</v>
      </c>
      <c r="B3208" s="1125" t="s">
        <v>13486</v>
      </c>
      <c r="C3208" s="1126" t="s">
        <v>1788</v>
      </c>
      <c r="D3208" s="1119">
        <v>547.65</v>
      </c>
      <c r="E3208" s="1120">
        <v>17.26</v>
      </c>
      <c r="F3208" s="1121">
        <f t="shared" si="1"/>
        <v>530.42</v>
      </c>
      <c r="G3208" s="1120">
        <v>510.22</v>
      </c>
      <c r="H3208" s="1127">
        <v>20.2</v>
      </c>
      <c r="I3208" s="1127">
        <v>0.0</v>
      </c>
      <c r="J3208" s="1127">
        <v>0.0</v>
      </c>
      <c r="K3208" s="1124"/>
    </row>
    <row r="3209" ht="15.75" customHeight="1">
      <c r="A3209" s="1119">
        <v>101658.0</v>
      </c>
      <c r="B3209" s="1125" t="s">
        <v>13487</v>
      </c>
      <c r="C3209" s="1126" t="s">
        <v>1788</v>
      </c>
      <c r="D3209" s="1119">
        <v>714.72</v>
      </c>
      <c r="E3209" s="1120">
        <v>17.26</v>
      </c>
      <c r="F3209" s="1121">
        <f t="shared" si="1"/>
        <v>697.49</v>
      </c>
      <c r="G3209" s="1120">
        <v>677.29</v>
      </c>
      <c r="H3209" s="1127">
        <v>20.2</v>
      </c>
      <c r="I3209" s="1127">
        <v>0.0</v>
      </c>
      <c r="J3209" s="1127">
        <v>0.0</v>
      </c>
      <c r="K3209" s="1124"/>
    </row>
    <row r="3210" ht="15.75" customHeight="1">
      <c r="A3210" s="1119">
        <v>101659.0</v>
      </c>
      <c r="B3210" s="1125" t="s">
        <v>13488</v>
      </c>
      <c r="C3210" s="1126" t="s">
        <v>1788</v>
      </c>
      <c r="D3210" s="1119">
        <v>818.64</v>
      </c>
      <c r="E3210" s="1120">
        <v>17.26</v>
      </c>
      <c r="F3210" s="1121">
        <f t="shared" si="1"/>
        <v>801.41</v>
      </c>
      <c r="G3210" s="1120">
        <v>781.21</v>
      </c>
      <c r="H3210" s="1127">
        <v>20.2</v>
      </c>
      <c r="I3210" s="1127">
        <v>0.0</v>
      </c>
      <c r="J3210" s="1127">
        <v>0.0</v>
      </c>
      <c r="K3210" s="1124"/>
    </row>
    <row r="3211" ht="15.75" customHeight="1">
      <c r="A3211" s="1119">
        <v>101660.0</v>
      </c>
      <c r="B3211" s="1125" t="s">
        <v>13489</v>
      </c>
      <c r="C3211" s="1126" t="s">
        <v>1788</v>
      </c>
      <c r="D3211" s="1128">
        <v>1309.17</v>
      </c>
      <c r="E3211" s="1120">
        <v>17.26</v>
      </c>
      <c r="F3211" s="1121">
        <f t="shared" si="1"/>
        <v>1291.94</v>
      </c>
      <c r="G3211" s="1120">
        <v>1271.74</v>
      </c>
      <c r="H3211" s="1127">
        <v>20.2</v>
      </c>
      <c r="I3211" s="1127">
        <v>0.0</v>
      </c>
      <c r="J3211" s="1127">
        <v>0.0</v>
      </c>
      <c r="K3211" s="1124"/>
    </row>
    <row r="3212" ht="15.75" customHeight="1">
      <c r="A3212" s="1119">
        <v>101661.0</v>
      </c>
      <c r="B3212" s="1125" t="s">
        <v>13490</v>
      </c>
      <c r="C3212" s="1126" t="s">
        <v>1788</v>
      </c>
      <c r="D3212" s="1119">
        <v>120.19</v>
      </c>
      <c r="E3212" s="1120">
        <v>53.2</v>
      </c>
      <c r="F3212" s="1121">
        <f t="shared" si="1"/>
        <v>67</v>
      </c>
      <c r="G3212" s="1120">
        <v>46.78</v>
      </c>
      <c r="H3212" s="1127">
        <v>20.22</v>
      </c>
      <c r="I3212" s="1127">
        <v>0.0</v>
      </c>
      <c r="J3212" s="1127">
        <v>0.0</v>
      </c>
      <c r="K3212" s="1124"/>
    </row>
    <row r="3213" ht="15.75" customHeight="1">
      <c r="A3213" s="1119">
        <v>101662.0</v>
      </c>
      <c r="B3213" s="1125" t="s">
        <v>13491</v>
      </c>
      <c r="C3213" s="1126" t="s">
        <v>1788</v>
      </c>
      <c r="D3213" s="1119">
        <v>668.59</v>
      </c>
      <c r="E3213" s="1120">
        <v>52.44</v>
      </c>
      <c r="F3213" s="1121">
        <f t="shared" si="1"/>
        <v>616.17</v>
      </c>
      <c r="G3213" s="1120">
        <v>595.97</v>
      </c>
      <c r="H3213" s="1127">
        <v>20.2</v>
      </c>
      <c r="I3213" s="1127">
        <v>0.0</v>
      </c>
      <c r="J3213" s="1127">
        <v>0.0</v>
      </c>
      <c r="K3213" s="1124"/>
    </row>
    <row r="3214" ht="15.75" customHeight="1">
      <c r="A3214" s="1119">
        <v>101663.0</v>
      </c>
      <c r="B3214" s="1125" t="s">
        <v>13492</v>
      </c>
      <c r="C3214" s="1126" t="s">
        <v>1788</v>
      </c>
      <c r="D3214" s="1119">
        <v>30.63</v>
      </c>
      <c r="E3214" s="1120">
        <v>16.31</v>
      </c>
      <c r="F3214" s="1121">
        <f t="shared" si="1"/>
        <v>14.34</v>
      </c>
      <c r="G3214" s="1120">
        <v>14.34</v>
      </c>
      <c r="H3214" s="1127">
        <v>0.0</v>
      </c>
      <c r="I3214" s="1127">
        <v>0.0</v>
      </c>
      <c r="J3214" s="1127">
        <v>0.0</v>
      </c>
      <c r="K3214" s="1124"/>
    </row>
    <row r="3215" ht="15.75" customHeight="1">
      <c r="A3215" s="1119">
        <v>101664.0</v>
      </c>
      <c r="B3215" s="1125" t="s">
        <v>13493</v>
      </c>
      <c r="C3215" s="1126" t="s">
        <v>1788</v>
      </c>
      <c r="D3215" s="1119">
        <v>31.89</v>
      </c>
      <c r="E3215" s="1120">
        <v>16.31</v>
      </c>
      <c r="F3215" s="1121">
        <f t="shared" si="1"/>
        <v>15.6</v>
      </c>
      <c r="G3215" s="1120">
        <v>15.6</v>
      </c>
      <c r="H3215" s="1127">
        <v>0.0</v>
      </c>
      <c r="I3215" s="1127">
        <v>0.0</v>
      </c>
      <c r="J3215" s="1127">
        <v>0.0</v>
      </c>
      <c r="K3215" s="1124"/>
    </row>
    <row r="3216" ht="15.75" customHeight="1">
      <c r="A3216" s="1119">
        <v>101665.0</v>
      </c>
      <c r="B3216" s="1125" t="s">
        <v>13494</v>
      </c>
      <c r="C3216" s="1126" t="s">
        <v>1788</v>
      </c>
      <c r="D3216" s="1119">
        <v>37.27</v>
      </c>
      <c r="E3216" s="1120">
        <v>16.29</v>
      </c>
      <c r="F3216" s="1121">
        <f t="shared" si="1"/>
        <v>20.99</v>
      </c>
      <c r="G3216" s="1120">
        <v>20.99</v>
      </c>
      <c r="H3216" s="1127">
        <v>0.0</v>
      </c>
      <c r="I3216" s="1127">
        <v>0.0</v>
      </c>
      <c r="J3216" s="1127">
        <v>0.0</v>
      </c>
      <c r="K3216" s="1124"/>
    </row>
    <row r="3217" ht="15.75" customHeight="1">
      <c r="A3217" s="1119">
        <v>101666.0</v>
      </c>
      <c r="B3217" s="1125" t="s">
        <v>13495</v>
      </c>
      <c r="C3217" s="1126" t="s">
        <v>1788</v>
      </c>
      <c r="D3217" s="1119">
        <v>385.13</v>
      </c>
      <c r="E3217" s="1120">
        <v>26.06</v>
      </c>
      <c r="F3217" s="1121">
        <f t="shared" si="1"/>
        <v>359.08</v>
      </c>
      <c r="G3217" s="1120">
        <v>359.08</v>
      </c>
      <c r="H3217" s="1127">
        <v>0.0</v>
      </c>
      <c r="I3217" s="1127">
        <v>0.0</v>
      </c>
      <c r="J3217" s="1127">
        <v>0.0</v>
      </c>
      <c r="K3217" s="1124"/>
    </row>
    <row r="3218" ht="15.75" customHeight="1">
      <c r="A3218" s="1119">
        <v>102085.0</v>
      </c>
      <c r="B3218" s="1125" t="s">
        <v>13496</v>
      </c>
      <c r="C3218" s="1126" t="s">
        <v>1788</v>
      </c>
      <c r="D3218" s="1119">
        <v>193.71</v>
      </c>
      <c r="E3218" s="1120">
        <v>29.62</v>
      </c>
      <c r="F3218" s="1121">
        <f t="shared" si="1"/>
        <v>164.1</v>
      </c>
      <c r="G3218" s="1120">
        <v>164.1</v>
      </c>
      <c r="H3218" s="1127">
        <v>0.0</v>
      </c>
      <c r="I3218" s="1127">
        <v>0.0</v>
      </c>
      <c r="J3218" s="1127">
        <v>0.0</v>
      </c>
      <c r="K3218" s="1124"/>
    </row>
    <row r="3219" ht="15.75" customHeight="1">
      <c r="A3219" s="1119">
        <v>100578.0</v>
      </c>
      <c r="B3219" s="1125" t="s">
        <v>13497</v>
      </c>
      <c r="C3219" s="1126" t="s">
        <v>1788</v>
      </c>
      <c r="D3219" s="1119">
        <v>506.17</v>
      </c>
      <c r="E3219" s="1120">
        <v>126.4</v>
      </c>
      <c r="F3219" s="1121">
        <f t="shared" si="1"/>
        <v>379.77</v>
      </c>
      <c r="G3219" s="1120">
        <v>373.28</v>
      </c>
      <c r="H3219" s="1127">
        <v>6.49</v>
      </c>
      <c r="I3219" s="1127">
        <v>0.0</v>
      </c>
      <c r="J3219" s="1127">
        <v>0.0</v>
      </c>
      <c r="K3219" s="1124"/>
    </row>
    <row r="3220" ht="15.75" customHeight="1">
      <c r="A3220" s="1119">
        <v>100579.0</v>
      </c>
      <c r="B3220" s="1125" t="s">
        <v>13498</v>
      </c>
      <c r="C3220" s="1126" t="s">
        <v>1788</v>
      </c>
      <c r="D3220" s="1119">
        <v>554.78</v>
      </c>
      <c r="E3220" s="1120">
        <v>135.87</v>
      </c>
      <c r="F3220" s="1121">
        <f t="shared" si="1"/>
        <v>418.92</v>
      </c>
      <c r="G3220" s="1120">
        <v>412.35</v>
      </c>
      <c r="H3220" s="1127">
        <v>6.57</v>
      </c>
      <c r="I3220" s="1127">
        <v>0.0</v>
      </c>
      <c r="J3220" s="1127">
        <v>0.0</v>
      </c>
      <c r="K3220" s="1124"/>
    </row>
    <row r="3221" ht="15.75" customHeight="1">
      <c r="A3221" s="1119">
        <v>100580.0</v>
      </c>
      <c r="B3221" s="1125" t="s">
        <v>13499</v>
      </c>
      <c r="C3221" s="1126" t="s">
        <v>1788</v>
      </c>
      <c r="D3221" s="1119">
        <v>611.63</v>
      </c>
      <c r="E3221" s="1120">
        <v>177.03</v>
      </c>
      <c r="F3221" s="1121">
        <f t="shared" si="1"/>
        <v>434.59</v>
      </c>
      <c r="G3221" s="1120">
        <v>427.17</v>
      </c>
      <c r="H3221" s="1127">
        <v>7.42</v>
      </c>
      <c r="I3221" s="1127">
        <v>0.0</v>
      </c>
      <c r="J3221" s="1127">
        <v>0.0</v>
      </c>
      <c r="K3221" s="1124"/>
    </row>
    <row r="3222" ht="15.75" customHeight="1">
      <c r="A3222" s="1119">
        <v>100581.0</v>
      </c>
      <c r="B3222" s="1125" t="s">
        <v>13500</v>
      </c>
      <c r="C3222" s="1126" t="s">
        <v>1788</v>
      </c>
      <c r="D3222" s="1119">
        <v>578.87</v>
      </c>
      <c r="E3222" s="1120">
        <v>140.51</v>
      </c>
      <c r="F3222" s="1121">
        <f t="shared" si="1"/>
        <v>438.35</v>
      </c>
      <c r="G3222" s="1120">
        <v>431.78</v>
      </c>
      <c r="H3222" s="1127">
        <v>6.57</v>
      </c>
      <c r="I3222" s="1127">
        <v>0.0</v>
      </c>
      <c r="J3222" s="1127">
        <v>0.0</v>
      </c>
      <c r="K3222" s="1124"/>
    </row>
    <row r="3223" ht="15.75" customHeight="1">
      <c r="A3223" s="1119">
        <v>100582.0</v>
      </c>
      <c r="B3223" s="1125" t="s">
        <v>13501</v>
      </c>
      <c r="C3223" s="1126" t="s">
        <v>1788</v>
      </c>
      <c r="D3223" s="1119">
        <v>681.43</v>
      </c>
      <c r="E3223" s="1120">
        <v>215.12</v>
      </c>
      <c r="F3223" s="1121">
        <f t="shared" si="1"/>
        <v>466.33</v>
      </c>
      <c r="G3223" s="1120">
        <v>458.41</v>
      </c>
      <c r="H3223" s="1127">
        <v>7.92</v>
      </c>
      <c r="I3223" s="1127">
        <v>0.0</v>
      </c>
      <c r="J3223" s="1127">
        <v>0.0</v>
      </c>
      <c r="K3223" s="1124"/>
    </row>
    <row r="3224" ht="15.75" customHeight="1">
      <c r="A3224" s="1119">
        <v>100583.0</v>
      </c>
      <c r="B3224" s="1125" t="s">
        <v>13502</v>
      </c>
      <c r="C3224" s="1126" t="s">
        <v>1788</v>
      </c>
      <c r="D3224" s="1119">
        <v>604.78</v>
      </c>
      <c r="E3224" s="1120">
        <v>146.37</v>
      </c>
      <c r="F3224" s="1121">
        <f t="shared" si="1"/>
        <v>458.42</v>
      </c>
      <c r="G3224" s="1120">
        <v>451.77</v>
      </c>
      <c r="H3224" s="1127">
        <v>6.65</v>
      </c>
      <c r="I3224" s="1127">
        <v>0.0</v>
      </c>
      <c r="J3224" s="1127">
        <v>0.0</v>
      </c>
      <c r="K3224" s="1124"/>
    </row>
    <row r="3225" ht="15.75" customHeight="1">
      <c r="A3225" s="1119">
        <v>100584.0</v>
      </c>
      <c r="B3225" s="1125" t="s">
        <v>13503</v>
      </c>
      <c r="C3225" s="1126" t="s">
        <v>1788</v>
      </c>
      <c r="D3225" s="1119">
        <v>666.39</v>
      </c>
      <c r="E3225" s="1120">
        <v>190.96</v>
      </c>
      <c r="F3225" s="1121">
        <f t="shared" si="1"/>
        <v>475.42</v>
      </c>
      <c r="G3225" s="1120">
        <v>467.82</v>
      </c>
      <c r="H3225" s="1127">
        <v>7.6</v>
      </c>
      <c r="I3225" s="1127">
        <v>0.0</v>
      </c>
      <c r="J3225" s="1127">
        <v>0.0</v>
      </c>
      <c r="K3225" s="1124"/>
    </row>
    <row r="3226" ht="15.75" customHeight="1">
      <c r="A3226" s="1119">
        <v>100585.0</v>
      </c>
      <c r="B3226" s="1125" t="s">
        <v>13504</v>
      </c>
      <c r="C3226" s="1126" t="s">
        <v>1788</v>
      </c>
      <c r="D3226" s="1119">
        <v>655.07</v>
      </c>
      <c r="E3226" s="1120">
        <v>157.08</v>
      </c>
      <c r="F3226" s="1121">
        <f t="shared" si="1"/>
        <v>497.98</v>
      </c>
      <c r="G3226" s="1120">
        <v>491.25</v>
      </c>
      <c r="H3226" s="1127">
        <v>6.73</v>
      </c>
      <c r="I3226" s="1127">
        <v>0.0</v>
      </c>
      <c r="J3226" s="1127">
        <v>0.0</v>
      </c>
      <c r="K3226" s="1124"/>
    </row>
    <row r="3227" ht="15.75" customHeight="1">
      <c r="A3227" s="1119">
        <v>100586.0</v>
      </c>
      <c r="B3227" s="1125" t="s">
        <v>13505</v>
      </c>
      <c r="C3227" s="1126" t="s">
        <v>1788</v>
      </c>
      <c r="D3227" s="1119">
        <v>753.15</v>
      </c>
      <c r="E3227" s="1120">
        <v>227.87</v>
      </c>
      <c r="F3227" s="1121">
        <f t="shared" si="1"/>
        <v>525.28</v>
      </c>
      <c r="G3227" s="1120">
        <v>516.94</v>
      </c>
      <c r="H3227" s="1127">
        <v>8.34</v>
      </c>
      <c r="I3227" s="1127">
        <v>0.0</v>
      </c>
      <c r="J3227" s="1127">
        <v>0.0</v>
      </c>
      <c r="K3227" s="1124"/>
    </row>
    <row r="3228" ht="15.75" customHeight="1">
      <c r="A3228" s="1119">
        <v>100587.0</v>
      </c>
      <c r="B3228" s="1125" t="s">
        <v>13506</v>
      </c>
      <c r="C3228" s="1126" t="s">
        <v>1788</v>
      </c>
      <c r="D3228" s="1119">
        <v>707.31</v>
      </c>
      <c r="E3228" s="1120">
        <v>169.27</v>
      </c>
      <c r="F3228" s="1121">
        <f t="shared" si="1"/>
        <v>538.05</v>
      </c>
      <c r="G3228" s="1120">
        <v>531.22</v>
      </c>
      <c r="H3228" s="1127">
        <v>6.83</v>
      </c>
      <c r="I3228" s="1127">
        <v>0.0</v>
      </c>
      <c r="J3228" s="1127">
        <v>0.0</v>
      </c>
      <c r="K3228" s="1124"/>
    </row>
    <row r="3229" ht="15.75" customHeight="1">
      <c r="A3229" s="1119">
        <v>100588.0</v>
      </c>
      <c r="B3229" s="1125" t="s">
        <v>13507</v>
      </c>
      <c r="C3229" s="1126" t="s">
        <v>1788</v>
      </c>
      <c r="D3229" s="1119">
        <v>783.54</v>
      </c>
      <c r="E3229" s="1120">
        <v>224.26</v>
      </c>
      <c r="F3229" s="1121">
        <f t="shared" si="1"/>
        <v>559.29</v>
      </c>
      <c r="G3229" s="1120">
        <v>551.2</v>
      </c>
      <c r="H3229" s="1127">
        <v>8.09</v>
      </c>
      <c r="I3229" s="1127">
        <v>0.0</v>
      </c>
      <c r="J3229" s="1127">
        <v>0.0</v>
      </c>
      <c r="K3229" s="1124"/>
    </row>
    <row r="3230" ht="15.75" customHeight="1">
      <c r="A3230" s="1119">
        <v>100589.0</v>
      </c>
      <c r="B3230" s="1125" t="s">
        <v>13508</v>
      </c>
      <c r="C3230" s="1126" t="s">
        <v>1788</v>
      </c>
      <c r="D3230" s="1119">
        <v>786.56</v>
      </c>
      <c r="E3230" s="1120">
        <v>214.46</v>
      </c>
      <c r="F3230" s="1121">
        <f t="shared" si="1"/>
        <v>572.13</v>
      </c>
      <c r="G3230" s="1120">
        <v>564.81</v>
      </c>
      <c r="H3230" s="1127">
        <v>7.32</v>
      </c>
      <c r="I3230" s="1127">
        <v>0.0</v>
      </c>
      <c r="J3230" s="1127">
        <v>0.0</v>
      </c>
      <c r="K3230" s="1124"/>
    </row>
    <row r="3231" ht="15.75" customHeight="1">
      <c r="A3231" s="1119">
        <v>100590.0</v>
      </c>
      <c r="B3231" s="1125" t="s">
        <v>13509</v>
      </c>
      <c r="C3231" s="1126" t="s">
        <v>1788</v>
      </c>
      <c r="D3231" s="1119">
        <v>862.11</v>
      </c>
      <c r="E3231" s="1120">
        <v>269.52</v>
      </c>
      <c r="F3231" s="1121">
        <f t="shared" si="1"/>
        <v>592.59</v>
      </c>
      <c r="G3231" s="1120">
        <v>584.34</v>
      </c>
      <c r="H3231" s="1127">
        <v>8.25</v>
      </c>
      <c r="I3231" s="1127">
        <v>0.0</v>
      </c>
      <c r="J3231" s="1127">
        <v>0.0</v>
      </c>
      <c r="K3231" s="1124"/>
    </row>
    <row r="3232" ht="15.75" customHeight="1">
      <c r="A3232" s="1119">
        <v>100591.0</v>
      </c>
      <c r="B3232" s="1125" t="s">
        <v>13510</v>
      </c>
      <c r="C3232" s="1126" t="s">
        <v>1788</v>
      </c>
      <c r="D3232" s="1119">
        <v>779.42</v>
      </c>
      <c r="E3232" s="1120">
        <v>195.47</v>
      </c>
      <c r="F3232" s="1121">
        <f t="shared" si="1"/>
        <v>583.95</v>
      </c>
      <c r="G3232" s="1120">
        <v>576.53</v>
      </c>
      <c r="H3232" s="1127">
        <v>7.42</v>
      </c>
      <c r="I3232" s="1127">
        <v>0.0</v>
      </c>
      <c r="J3232" s="1127">
        <v>0.0</v>
      </c>
      <c r="K3232" s="1124"/>
    </row>
    <row r="3233" ht="15.75" customHeight="1">
      <c r="A3233" s="1119">
        <v>100592.0</v>
      </c>
      <c r="B3233" s="1125" t="s">
        <v>13511</v>
      </c>
      <c r="C3233" s="1126" t="s">
        <v>1788</v>
      </c>
      <c r="D3233" s="1119">
        <v>841.98</v>
      </c>
      <c r="E3233" s="1120">
        <v>240.95</v>
      </c>
      <c r="F3233" s="1121">
        <f t="shared" si="1"/>
        <v>601.03</v>
      </c>
      <c r="G3233" s="1120">
        <v>592.78</v>
      </c>
      <c r="H3233" s="1127">
        <v>8.25</v>
      </c>
      <c r="I3233" s="1127">
        <v>0.0</v>
      </c>
      <c r="J3233" s="1127">
        <v>0.0</v>
      </c>
      <c r="K3233" s="1124"/>
    </row>
    <row r="3234" ht="15.75" customHeight="1">
      <c r="A3234" s="1119">
        <v>100593.0</v>
      </c>
      <c r="B3234" s="1125" t="s">
        <v>13512</v>
      </c>
      <c r="C3234" s="1126" t="s">
        <v>1788</v>
      </c>
      <c r="D3234" s="1119">
        <v>835.07</v>
      </c>
      <c r="E3234" s="1120">
        <v>210.07</v>
      </c>
      <c r="F3234" s="1121">
        <f t="shared" si="1"/>
        <v>625.01</v>
      </c>
      <c r="G3234" s="1120">
        <v>617.41</v>
      </c>
      <c r="H3234" s="1127">
        <v>7.6</v>
      </c>
      <c r="I3234" s="1127">
        <v>0.0</v>
      </c>
      <c r="J3234" s="1127">
        <v>0.0</v>
      </c>
      <c r="K3234" s="1124"/>
    </row>
    <row r="3235" ht="15.75" customHeight="1">
      <c r="A3235" s="1119">
        <v>100594.0</v>
      </c>
      <c r="B3235" s="1125" t="s">
        <v>13513</v>
      </c>
      <c r="C3235" s="1126" t="s">
        <v>1788</v>
      </c>
      <c r="D3235" s="1119">
        <v>940.96</v>
      </c>
      <c r="E3235" s="1120">
        <v>286.56</v>
      </c>
      <c r="F3235" s="1121">
        <f t="shared" si="1"/>
        <v>654.41</v>
      </c>
      <c r="G3235" s="1120">
        <v>645.13</v>
      </c>
      <c r="H3235" s="1127">
        <v>9.28</v>
      </c>
      <c r="I3235" s="1127">
        <v>0.0</v>
      </c>
      <c r="J3235" s="1127">
        <v>0.0</v>
      </c>
      <c r="K3235" s="1124"/>
    </row>
    <row r="3236" ht="15.75" customHeight="1">
      <c r="A3236" s="1119">
        <v>100595.0</v>
      </c>
      <c r="B3236" s="1125" t="s">
        <v>13514</v>
      </c>
      <c r="C3236" s="1126" t="s">
        <v>1788</v>
      </c>
      <c r="D3236" s="1128">
        <v>1002.1</v>
      </c>
      <c r="E3236" s="1120">
        <v>254.23</v>
      </c>
      <c r="F3236" s="1121">
        <f t="shared" si="1"/>
        <v>747.89</v>
      </c>
      <c r="G3236" s="1120">
        <v>739.97</v>
      </c>
      <c r="H3236" s="1127">
        <v>7.92</v>
      </c>
      <c r="I3236" s="1127">
        <v>0.0</v>
      </c>
      <c r="J3236" s="1127">
        <v>0.0</v>
      </c>
      <c r="K3236" s="1124"/>
    </row>
    <row r="3237" ht="15.75" customHeight="1">
      <c r="A3237" s="1119">
        <v>100596.0</v>
      </c>
      <c r="B3237" s="1125" t="s">
        <v>13515</v>
      </c>
      <c r="C3237" s="1126" t="s">
        <v>1788</v>
      </c>
      <c r="D3237" s="1128">
        <v>1144.8</v>
      </c>
      <c r="E3237" s="1120">
        <v>356.83</v>
      </c>
      <c r="F3237" s="1121">
        <f t="shared" si="1"/>
        <v>787.97</v>
      </c>
      <c r="G3237" s="1120">
        <v>777.5</v>
      </c>
      <c r="H3237" s="1127">
        <v>10.47</v>
      </c>
      <c r="I3237" s="1127">
        <v>0.0</v>
      </c>
      <c r="J3237" s="1127">
        <v>0.0</v>
      </c>
      <c r="K3237" s="1124"/>
    </row>
    <row r="3238" ht="15.75" customHeight="1">
      <c r="A3238" s="1119">
        <v>100597.0</v>
      </c>
      <c r="B3238" s="1125" t="s">
        <v>13516</v>
      </c>
      <c r="C3238" s="1126" t="s">
        <v>1788</v>
      </c>
      <c r="D3238" s="1128">
        <v>1162.04</v>
      </c>
      <c r="E3238" s="1120">
        <v>318.73</v>
      </c>
      <c r="F3238" s="1121">
        <f t="shared" si="1"/>
        <v>843.31</v>
      </c>
      <c r="G3238" s="1120">
        <v>834.37</v>
      </c>
      <c r="H3238" s="1127">
        <v>8.94</v>
      </c>
      <c r="I3238" s="1127">
        <v>0.0</v>
      </c>
      <c r="J3238" s="1127">
        <v>0.0</v>
      </c>
      <c r="K3238" s="1124"/>
    </row>
    <row r="3239" ht="15.75" customHeight="1">
      <c r="A3239" s="1119">
        <v>100598.0</v>
      </c>
      <c r="B3239" s="1125" t="s">
        <v>13517</v>
      </c>
      <c r="C3239" s="1126" t="s">
        <v>1788</v>
      </c>
      <c r="D3239" s="1128">
        <v>1279.68</v>
      </c>
      <c r="E3239" s="1120">
        <v>403.29</v>
      </c>
      <c r="F3239" s="1121">
        <f t="shared" si="1"/>
        <v>876.41</v>
      </c>
      <c r="G3239" s="1120">
        <v>865.35</v>
      </c>
      <c r="H3239" s="1127">
        <v>11.06</v>
      </c>
      <c r="I3239" s="1127">
        <v>0.0</v>
      </c>
      <c r="J3239" s="1127">
        <v>0.0</v>
      </c>
      <c r="K3239" s="1124"/>
    </row>
    <row r="3240" ht="15.75" customHeight="1">
      <c r="A3240" s="1119">
        <v>100599.0</v>
      </c>
      <c r="B3240" s="1125" t="s">
        <v>13518</v>
      </c>
      <c r="C3240" s="1126" t="s">
        <v>1788</v>
      </c>
      <c r="D3240" s="1119">
        <v>518.25</v>
      </c>
      <c r="E3240" s="1120">
        <v>104.98</v>
      </c>
      <c r="F3240" s="1121">
        <f t="shared" si="1"/>
        <v>413.3</v>
      </c>
      <c r="G3240" s="1120">
        <v>406.99</v>
      </c>
      <c r="H3240" s="1127">
        <v>6.23</v>
      </c>
      <c r="I3240" s="1127">
        <v>0.0</v>
      </c>
      <c r="J3240" s="1127">
        <v>0.08</v>
      </c>
      <c r="K3240" s="1124"/>
    </row>
    <row r="3241" ht="15.75" customHeight="1">
      <c r="A3241" s="1119">
        <v>100600.0</v>
      </c>
      <c r="B3241" s="1125" t="s">
        <v>13519</v>
      </c>
      <c r="C3241" s="1126" t="s">
        <v>1788</v>
      </c>
      <c r="D3241" s="1119">
        <v>618.14</v>
      </c>
      <c r="E3241" s="1120">
        <v>153.1</v>
      </c>
      <c r="F3241" s="1121">
        <f t="shared" si="1"/>
        <v>465.04</v>
      </c>
      <c r="G3241" s="1120">
        <v>458.31</v>
      </c>
      <c r="H3241" s="1127">
        <v>6.57</v>
      </c>
      <c r="I3241" s="1127">
        <v>0.0</v>
      </c>
      <c r="J3241" s="1127">
        <v>0.16</v>
      </c>
      <c r="K3241" s="1124"/>
    </row>
    <row r="3242" ht="15.75" customHeight="1">
      <c r="A3242" s="1119">
        <v>100601.0</v>
      </c>
      <c r="B3242" s="1125" t="s">
        <v>13520</v>
      </c>
      <c r="C3242" s="1126" t="s">
        <v>1788</v>
      </c>
      <c r="D3242" s="1119">
        <v>785.1</v>
      </c>
      <c r="E3242" s="1120">
        <v>224.79</v>
      </c>
      <c r="F3242" s="1121">
        <f t="shared" si="1"/>
        <v>560.32</v>
      </c>
      <c r="G3242" s="1120">
        <v>553.25</v>
      </c>
      <c r="H3242" s="1127">
        <v>6.76</v>
      </c>
      <c r="I3242" s="1127">
        <v>0.0</v>
      </c>
      <c r="J3242" s="1127">
        <v>0.31</v>
      </c>
      <c r="K3242" s="1124"/>
    </row>
    <row r="3243" ht="15.75" customHeight="1">
      <c r="A3243" s="1119">
        <v>100602.0</v>
      </c>
      <c r="B3243" s="1125" t="s">
        <v>13521</v>
      </c>
      <c r="C3243" s="1126" t="s">
        <v>1788</v>
      </c>
      <c r="D3243" s="1119">
        <v>993.39</v>
      </c>
      <c r="E3243" s="1120">
        <v>314.32</v>
      </c>
      <c r="F3243" s="1121">
        <f t="shared" si="1"/>
        <v>679.08</v>
      </c>
      <c r="G3243" s="1120">
        <v>671.61</v>
      </c>
      <c r="H3243" s="1127">
        <v>6.97</v>
      </c>
      <c r="I3243" s="1127">
        <v>0.0</v>
      </c>
      <c r="J3243" s="1127">
        <v>0.5</v>
      </c>
      <c r="K3243" s="1124"/>
    </row>
    <row r="3244" ht="15.75" customHeight="1">
      <c r="A3244" s="1119">
        <v>100603.0</v>
      </c>
      <c r="B3244" s="1125" t="s">
        <v>13522</v>
      </c>
      <c r="C3244" s="1126" t="s">
        <v>1788</v>
      </c>
      <c r="D3244" s="1128">
        <v>1529.8</v>
      </c>
      <c r="E3244" s="1120">
        <v>547.94</v>
      </c>
      <c r="F3244" s="1121">
        <f t="shared" si="1"/>
        <v>981.87</v>
      </c>
      <c r="G3244" s="1120">
        <v>973.12</v>
      </c>
      <c r="H3244" s="1127">
        <v>7.78</v>
      </c>
      <c r="I3244" s="1127">
        <v>0.0</v>
      </c>
      <c r="J3244" s="1127">
        <v>0.97</v>
      </c>
      <c r="K3244" s="1124"/>
    </row>
    <row r="3245" ht="15.75" customHeight="1">
      <c r="A3245" s="1119">
        <v>100604.0</v>
      </c>
      <c r="B3245" s="1125" t="s">
        <v>13523</v>
      </c>
      <c r="C3245" s="1126" t="s">
        <v>1788</v>
      </c>
      <c r="D3245" s="1119">
        <v>656.63</v>
      </c>
      <c r="E3245" s="1120">
        <v>158.02</v>
      </c>
      <c r="F3245" s="1121">
        <f t="shared" si="1"/>
        <v>498.61</v>
      </c>
      <c r="G3245" s="1120">
        <v>491.73</v>
      </c>
      <c r="H3245" s="1127">
        <v>6.73</v>
      </c>
      <c r="I3245" s="1127">
        <v>0.0</v>
      </c>
      <c r="J3245" s="1127">
        <v>0.15</v>
      </c>
      <c r="K3245" s="1124"/>
    </row>
    <row r="3246" ht="15.75" customHeight="1">
      <c r="A3246" s="1119">
        <v>100605.0</v>
      </c>
      <c r="B3246" s="1125" t="s">
        <v>13524</v>
      </c>
      <c r="C3246" s="1126" t="s">
        <v>1788</v>
      </c>
      <c r="D3246" s="1128">
        <v>1042.4</v>
      </c>
      <c r="E3246" s="1120">
        <v>327.34</v>
      </c>
      <c r="F3246" s="1121">
        <f t="shared" si="1"/>
        <v>715.05</v>
      </c>
      <c r="G3246" s="1120">
        <v>707.43</v>
      </c>
      <c r="H3246" s="1127">
        <v>7.13</v>
      </c>
      <c r="I3246" s="1127">
        <v>0.0</v>
      </c>
      <c r="J3246" s="1127">
        <v>0.49</v>
      </c>
      <c r="K3246" s="1124"/>
    </row>
    <row r="3247" ht="15.75" customHeight="1">
      <c r="A3247" s="1119">
        <v>100606.0</v>
      </c>
      <c r="B3247" s="1125" t="s">
        <v>13525</v>
      </c>
      <c r="C3247" s="1126" t="s">
        <v>1788</v>
      </c>
      <c r="D3247" s="1128">
        <v>1592.49</v>
      </c>
      <c r="E3247" s="1120">
        <v>571.81</v>
      </c>
      <c r="F3247" s="1121">
        <f t="shared" si="1"/>
        <v>1020.68</v>
      </c>
      <c r="G3247" s="1120">
        <v>1011.87</v>
      </c>
      <c r="H3247" s="1127">
        <v>7.85</v>
      </c>
      <c r="I3247" s="1127">
        <v>0.0</v>
      </c>
      <c r="J3247" s="1127">
        <v>0.96</v>
      </c>
      <c r="K3247" s="1124"/>
    </row>
    <row r="3248" ht="15.75" customHeight="1">
      <c r="A3248" s="1119">
        <v>100607.0</v>
      </c>
      <c r="B3248" s="1125" t="s">
        <v>13526</v>
      </c>
      <c r="C3248" s="1126" t="s">
        <v>1788</v>
      </c>
      <c r="D3248" s="1119">
        <v>674.98</v>
      </c>
      <c r="E3248" s="1120">
        <v>160.29</v>
      </c>
      <c r="F3248" s="1121">
        <f t="shared" si="1"/>
        <v>514.7</v>
      </c>
      <c r="G3248" s="1120">
        <v>507.84</v>
      </c>
      <c r="H3248" s="1127">
        <v>6.72</v>
      </c>
      <c r="I3248" s="1127">
        <v>0.0</v>
      </c>
      <c r="J3248" s="1127">
        <v>0.14</v>
      </c>
      <c r="K3248" s="1124"/>
    </row>
    <row r="3249" ht="15.75" customHeight="1">
      <c r="A3249" s="1119">
        <v>100608.0</v>
      </c>
      <c r="B3249" s="1125" t="s">
        <v>13527</v>
      </c>
      <c r="C3249" s="1126" t="s">
        <v>1788</v>
      </c>
      <c r="D3249" s="1128">
        <v>1066.59</v>
      </c>
      <c r="E3249" s="1120">
        <v>333.75</v>
      </c>
      <c r="F3249" s="1121">
        <f t="shared" si="1"/>
        <v>732.83</v>
      </c>
      <c r="G3249" s="1120">
        <v>725.22</v>
      </c>
      <c r="H3249" s="1127">
        <v>7.13</v>
      </c>
      <c r="I3249" s="1127">
        <v>0.0</v>
      </c>
      <c r="J3249" s="1127">
        <v>0.48</v>
      </c>
      <c r="K3249" s="1124"/>
    </row>
    <row r="3250" ht="15.75" customHeight="1">
      <c r="A3250" s="1119">
        <v>100609.0</v>
      </c>
      <c r="B3250" s="1125" t="s">
        <v>13528</v>
      </c>
      <c r="C3250" s="1126" t="s">
        <v>1788</v>
      </c>
      <c r="D3250" s="1128">
        <v>1626.03</v>
      </c>
      <c r="E3250" s="1120">
        <v>585.17</v>
      </c>
      <c r="F3250" s="1121">
        <f t="shared" si="1"/>
        <v>1040.88</v>
      </c>
      <c r="G3250" s="1120">
        <v>1031.89</v>
      </c>
      <c r="H3250" s="1127">
        <v>8.03</v>
      </c>
      <c r="I3250" s="1127">
        <v>0.0</v>
      </c>
      <c r="J3250" s="1127">
        <v>0.96</v>
      </c>
      <c r="K3250" s="1124"/>
    </row>
    <row r="3251" ht="15.75" customHeight="1">
      <c r="A3251" s="1119">
        <v>100610.0</v>
      </c>
      <c r="B3251" s="1125" t="s">
        <v>13529</v>
      </c>
      <c r="C3251" s="1126" t="s">
        <v>1788</v>
      </c>
      <c r="D3251" s="1119">
        <v>693.22</v>
      </c>
      <c r="E3251" s="1120">
        <v>162.29</v>
      </c>
      <c r="F3251" s="1121">
        <f t="shared" si="1"/>
        <v>530.93</v>
      </c>
      <c r="G3251" s="1120">
        <v>524.01</v>
      </c>
      <c r="H3251" s="1127">
        <v>6.78</v>
      </c>
      <c r="I3251" s="1127">
        <v>0.0</v>
      </c>
      <c r="J3251" s="1127">
        <v>0.14</v>
      </c>
      <c r="K3251" s="1124"/>
    </row>
    <row r="3252" ht="15.75" customHeight="1">
      <c r="A3252" s="1119">
        <v>100611.0</v>
      </c>
      <c r="B3252" s="1125" t="s">
        <v>13530</v>
      </c>
      <c r="C3252" s="1126" t="s">
        <v>1788</v>
      </c>
      <c r="D3252" s="1119">
        <v>869.49</v>
      </c>
      <c r="E3252" s="1120">
        <v>241.18</v>
      </c>
      <c r="F3252" s="1121">
        <f t="shared" si="1"/>
        <v>628.3</v>
      </c>
      <c r="G3252" s="1120">
        <v>621.04</v>
      </c>
      <c r="H3252" s="1127">
        <v>6.97</v>
      </c>
      <c r="I3252" s="1127">
        <v>0.0</v>
      </c>
      <c r="J3252" s="1127">
        <v>0.29</v>
      </c>
      <c r="K3252" s="1124"/>
    </row>
    <row r="3253" ht="15.75" customHeight="1">
      <c r="A3253" s="1119">
        <v>100612.0</v>
      </c>
      <c r="B3253" s="1125" t="s">
        <v>13531</v>
      </c>
      <c r="C3253" s="1126" t="s">
        <v>1788</v>
      </c>
      <c r="D3253" s="1128">
        <v>1090.31</v>
      </c>
      <c r="E3253" s="1120">
        <v>339.9</v>
      </c>
      <c r="F3253" s="1121">
        <f t="shared" si="1"/>
        <v>750.42</v>
      </c>
      <c r="G3253" s="1120">
        <v>742.74</v>
      </c>
      <c r="H3253" s="1127">
        <v>7.2</v>
      </c>
      <c r="I3253" s="1127">
        <v>0.0</v>
      </c>
      <c r="J3253" s="1127">
        <v>0.48</v>
      </c>
      <c r="K3253" s="1124"/>
    </row>
    <row r="3254" ht="15.75" customHeight="1">
      <c r="A3254" s="1119">
        <v>100613.0</v>
      </c>
      <c r="B3254" s="1125" t="s">
        <v>13532</v>
      </c>
      <c r="C3254" s="1126" t="s">
        <v>1788</v>
      </c>
      <c r="D3254" s="1128">
        <v>1658.89</v>
      </c>
      <c r="E3254" s="1120">
        <v>598.38</v>
      </c>
      <c r="F3254" s="1121">
        <f t="shared" si="1"/>
        <v>1060.51</v>
      </c>
      <c r="G3254" s="1120">
        <v>1051.47</v>
      </c>
      <c r="H3254" s="1127">
        <v>8.09</v>
      </c>
      <c r="I3254" s="1127">
        <v>0.0</v>
      </c>
      <c r="J3254" s="1127">
        <v>0.95</v>
      </c>
      <c r="K3254" s="1124"/>
    </row>
    <row r="3255" ht="15.75" customHeight="1">
      <c r="A3255" s="1119">
        <v>100614.0</v>
      </c>
      <c r="B3255" s="1125" t="s">
        <v>13533</v>
      </c>
      <c r="C3255" s="1126" t="s">
        <v>1788</v>
      </c>
      <c r="D3255" s="1119">
        <v>910.89</v>
      </c>
      <c r="E3255" s="1120">
        <v>248.92</v>
      </c>
      <c r="F3255" s="1121">
        <f t="shared" si="1"/>
        <v>661.99</v>
      </c>
      <c r="G3255" s="1120">
        <v>654.58</v>
      </c>
      <c r="H3255" s="1127">
        <v>7.13</v>
      </c>
      <c r="I3255" s="1127">
        <v>0.0</v>
      </c>
      <c r="J3255" s="1127">
        <v>0.28</v>
      </c>
      <c r="K3255" s="1124"/>
    </row>
    <row r="3256" ht="15.75" customHeight="1">
      <c r="A3256" s="1119">
        <v>100615.0</v>
      </c>
      <c r="B3256" s="1125" t="s">
        <v>13534</v>
      </c>
      <c r="C3256" s="1126" t="s">
        <v>1788</v>
      </c>
      <c r="D3256" s="1128">
        <v>1137.4</v>
      </c>
      <c r="E3256" s="1120">
        <v>352.11</v>
      </c>
      <c r="F3256" s="1121">
        <f t="shared" si="1"/>
        <v>785.3</v>
      </c>
      <c r="G3256" s="1120">
        <v>777.47</v>
      </c>
      <c r="H3256" s="1127">
        <v>7.36</v>
      </c>
      <c r="I3256" s="1127">
        <v>0.0</v>
      </c>
      <c r="J3256" s="1127">
        <v>0.47</v>
      </c>
      <c r="K3256" s="1124"/>
    </row>
    <row r="3257" ht="15.75" customHeight="1">
      <c r="A3257" s="1119">
        <v>100616.0</v>
      </c>
      <c r="B3257" s="1125" t="s">
        <v>13535</v>
      </c>
      <c r="C3257" s="1126" t="s">
        <v>1788</v>
      </c>
      <c r="D3257" s="1128">
        <v>1727.98</v>
      </c>
      <c r="E3257" s="1120">
        <v>627.08</v>
      </c>
      <c r="F3257" s="1121">
        <f t="shared" si="1"/>
        <v>1100.91</v>
      </c>
      <c r="G3257" s="1120">
        <v>1091.46</v>
      </c>
      <c r="H3257" s="1127">
        <v>8.51</v>
      </c>
      <c r="I3257" s="1127">
        <v>0.0</v>
      </c>
      <c r="J3257" s="1127">
        <v>0.94</v>
      </c>
      <c r="K3257" s="1124"/>
    </row>
    <row r="3258" ht="15.75" customHeight="1">
      <c r="A3258" s="1119">
        <v>100617.0</v>
      </c>
      <c r="B3258" s="1125" t="s">
        <v>13536</v>
      </c>
      <c r="C3258" s="1126" t="s">
        <v>1788</v>
      </c>
      <c r="D3258" s="1128">
        <v>1184.34</v>
      </c>
      <c r="E3258" s="1120">
        <v>364.41</v>
      </c>
      <c r="F3258" s="1121">
        <f t="shared" si="1"/>
        <v>819.91</v>
      </c>
      <c r="G3258" s="1120">
        <v>811.94</v>
      </c>
      <c r="H3258" s="1127">
        <v>7.52</v>
      </c>
      <c r="I3258" s="1127">
        <v>0.0</v>
      </c>
      <c r="J3258" s="1127">
        <v>0.45</v>
      </c>
      <c r="K3258" s="1124"/>
    </row>
    <row r="3259" ht="15.75" customHeight="1">
      <c r="A3259" s="1119">
        <v>100618.0</v>
      </c>
      <c r="B3259" s="1125" t="s">
        <v>13537</v>
      </c>
      <c r="C3259" s="1126" t="s">
        <v>1788</v>
      </c>
      <c r="D3259" s="1128">
        <v>1801.43</v>
      </c>
      <c r="E3259" s="1120">
        <v>653.43</v>
      </c>
      <c r="F3259" s="1121">
        <f t="shared" si="1"/>
        <v>1148</v>
      </c>
      <c r="G3259" s="1120">
        <v>1138.54</v>
      </c>
      <c r="H3259" s="1127">
        <v>8.52</v>
      </c>
      <c r="I3259" s="1127">
        <v>0.0</v>
      </c>
      <c r="J3259" s="1127">
        <v>0.94</v>
      </c>
      <c r="K3259" s="1124"/>
    </row>
    <row r="3260" ht="15.75" customHeight="1">
      <c r="A3260" s="1119">
        <v>100619.0</v>
      </c>
      <c r="B3260" s="1125" t="s">
        <v>13538</v>
      </c>
      <c r="C3260" s="1126" t="s">
        <v>1788</v>
      </c>
      <c r="D3260" s="1119">
        <v>613.57</v>
      </c>
      <c r="E3260" s="1120">
        <v>106.55</v>
      </c>
      <c r="F3260" s="1121">
        <f t="shared" si="1"/>
        <v>507.04</v>
      </c>
      <c r="G3260" s="1120">
        <v>507.04</v>
      </c>
      <c r="H3260" s="1127">
        <v>0.0</v>
      </c>
      <c r="I3260" s="1127">
        <v>0.0</v>
      </c>
      <c r="J3260" s="1127">
        <v>0.0</v>
      </c>
      <c r="K3260" s="1124"/>
    </row>
    <row r="3261" ht="15.75" customHeight="1">
      <c r="A3261" s="1119">
        <v>100620.0</v>
      </c>
      <c r="B3261" s="1125" t="s">
        <v>13539</v>
      </c>
      <c r="C3261" s="1126" t="s">
        <v>1788</v>
      </c>
      <c r="D3261" s="1128">
        <v>3632.37</v>
      </c>
      <c r="E3261" s="1120">
        <v>69.63</v>
      </c>
      <c r="F3261" s="1121">
        <f t="shared" si="1"/>
        <v>3562.73</v>
      </c>
      <c r="G3261" s="1120">
        <v>3547.5</v>
      </c>
      <c r="H3261" s="1127">
        <v>15.23</v>
      </c>
      <c r="I3261" s="1127">
        <v>0.0</v>
      </c>
      <c r="J3261" s="1127">
        <v>0.0</v>
      </c>
      <c r="K3261" s="1124"/>
    </row>
    <row r="3262" ht="15.75" customHeight="1">
      <c r="A3262" s="1119">
        <v>100621.0</v>
      </c>
      <c r="B3262" s="1125" t="s">
        <v>13540</v>
      </c>
      <c r="C3262" s="1126" t="s">
        <v>1788</v>
      </c>
      <c r="D3262" s="1128">
        <v>4096.4</v>
      </c>
      <c r="E3262" s="1120">
        <v>98.82</v>
      </c>
      <c r="F3262" s="1121">
        <f t="shared" si="1"/>
        <v>3997.56</v>
      </c>
      <c r="G3262" s="1120">
        <v>3982.33</v>
      </c>
      <c r="H3262" s="1127">
        <v>15.23</v>
      </c>
      <c r="I3262" s="1127">
        <v>0.0</v>
      </c>
      <c r="J3262" s="1127">
        <v>0.0</v>
      </c>
      <c r="K3262" s="1124"/>
    </row>
    <row r="3263" ht="15.75" customHeight="1">
      <c r="A3263" s="1119">
        <v>100622.0</v>
      </c>
      <c r="B3263" s="1125" t="s">
        <v>13541</v>
      </c>
      <c r="C3263" s="1126" t="s">
        <v>1788</v>
      </c>
      <c r="D3263" s="1128">
        <v>2523.29</v>
      </c>
      <c r="E3263" s="1120">
        <v>116.33</v>
      </c>
      <c r="F3263" s="1121">
        <f t="shared" si="1"/>
        <v>2406.96</v>
      </c>
      <c r="G3263" s="1120">
        <v>2397.59</v>
      </c>
      <c r="H3263" s="1127">
        <v>9.37</v>
      </c>
      <c r="I3263" s="1127">
        <v>0.0</v>
      </c>
      <c r="J3263" s="1127">
        <v>0.0</v>
      </c>
      <c r="K3263" s="1124"/>
    </row>
    <row r="3264" ht="15.75" customHeight="1">
      <c r="A3264" s="1119">
        <v>100623.0</v>
      </c>
      <c r="B3264" s="1125" t="s">
        <v>13542</v>
      </c>
      <c r="C3264" s="1126" t="s">
        <v>1788</v>
      </c>
      <c r="D3264" s="1128">
        <v>2709.95</v>
      </c>
      <c r="E3264" s="1120">
        <v>145.47</v>
      </c>
      <c r="F3264" s="1121">
        <f t="shared" si="1"/>
        <v>2564.49</v>
      </c>
      <c r="G3264" s="1120">
        <v>2555.12</v>
      </c>
      <c r="H3264" s="1127">
        <v>9.37</v>
      </c>
      <c r="I3264" s="1127">
        <v>0.0</v>
      </c>
      <c r="J3264" s="1127">
        <v>0.0</v>
      </c>
      <c r="K3264" s="1124"/>
    </row>
    <row r="3265" ht="15.75" customHeight="1">
      <c r="A3265" s="1119">
        <v>97600.0</v>
      </c>
      <c r="B3265" s="1125" t="s">
        <v>13543</v>
      </c>
      <c r="C3265" s="1126" t="s">
        <v>1788</v>
      </c>
      <c r="D3265" s="1119">
        <v>320.34</v>
      </c>
      <c r="E3265" s="1120">
        <v>13.76</v>
      </c>
      <c r="F3265" s="1121">
        <f t="shared" si="1"/>
        <v>306.58</v>
      </c>
      <c r="G3265" s="1120">
        <v>306.58</v>
      </c>
      <c r="H3265" s="1127">
        <v>0.0</v>
      </c>
      <c r="I3265" s="1127">
        <v>0.0</v>
      </c>
      <c r="J3265" s="1127">
        <v>0.0</v>
      </c>
      <c r="K3265" s="1124"/>
    </row>
    <row r="3266" ht="15.75" customHeight="1">
      <c r="A3266" s="1119">
        <v>97601.0</v>
      </c>
      <c r="B3266" s="1125" t="s">
        <v>13544</v>
      </c>
      <c r="C3266" s="1126" t="s">
        <v>1788</v>
      </c>
      <c r="D3266" s="1119">
        <v>339.08</v>
      </c>
      <c r="E3266" s="1120">
        <v>13.76</v>
      </c>
      <c r="F3266" s="1121">
        <f t="shared" si="1"/>
        <v>325.32</v>
      </c>
      <c r="G3266" s="1120">
        <v>325.32</v>
      </c>
      <c r="H3266" s="1127">
        <v>0.0</v>
      </c>
      <c r="I3266" s="1127">
        <v>0.0</v>
      </c>
      <c r="J3266" s="1127">
        <v>0.0</v>
      </c>
      <c r="K3266" s="1124"/>
    </row>
    <row r="3267" ht="15.75" customHeight="1">
      <c r="A3267" s="1119">
        <v>97605.0</v>
      </c>
      <c r="B3267" s="1125" t="s">
        <v>13545</v>
      </c>
      <c r="C3267" s="1126" t="s">
        <v>1788</v>
      </c>
      <c r="D3267" s="1119">
        <v>90.55</v>
      </c>
      <c r="E3267" s="1120">
        <v>15.65</v>
      </c>
      <c r="F3267" s="1121">
        <f t="shared" si="1"/>
        <v>74.89</v>
      </c>
      <c r="G3267" s="1120">
        <v>74.89</v>
      </c>
      <c r="H3267" s="1127">
        <v>0.0</v>
      </c>
      <c r="I3267" s="1127">
        <v>0.0</v>
      </c>
      <c r="J3267" s="1127">
        <v>0.0</v>
      </c>
      <c r="K3267" s="1124"/>
    </row>
    <row r="3268" ht="15.75" customHeight="1">
      <c r="A3268" s="1119">
        <v>97606.0</v>
      </c>
      <c r="B3268" s="1125" t="s">
        <v>13546</v>
      </c>
      <c r="C3268" s="1126" t="s">
        <v>1788</v>
      </c>
      <c r="D3268" s="1119">
        <v>98.92</v>
      </c>
      <c r="E3268" s="1120">
        <v>15.65</v>
      </c>
      <c r="F3268" s="1121">
        <f t="shared" si="1"/>
        <v>83.26</v>
      </c>
      <c r="G3268" s="1120">
        <v>83.26</v>
      </c>
      <c r="H3268" s="1127">
        <v>0.0</v>
      </c>
      <c r="I3268" s="1127">
        <v>0.0</v>
      </c>
      <c r="J3268" s="1127">
        <v>0.0</v>
      </c>
      <c r="K3268" s="1124"/>
    </row>
    <row r="3269" ht="15.75" customHeight="1">
      <c r="A3269" s="1119">
        <v>97607.0</v>
      </c>
      <c r="B3269" s="1125" t="s">
        <v>13547</v>
      </c>
      <c r="C3269" s="1126" t="s">
        <v>1788</v>
      </c>
      <c r="D3269" s="1119">
        <v>109.04</v>
      </c>
      <c r="E3269" s="1120">
        <v>18.24</v>
      </c>
      <c r="F3269" s="1121">
        <f t="shared" si="1"/>
        <v>90.79</v>
      </c>
      <c r="G3269" s="1120">
        <v>90.79</v>
      </c>
      <c r="H3269" s="1127">
        <v>0.0</v>
      </c>
      <c r="I3269" s="1127">
        <v>0.0</v>
      </c>
      <c r="J3269" s="1127">
        <v>0.0</v>
      </c>
      <c r="K3269" s="1124"/>
    </row>
    <row r="3270" ht="15.75" customHeight="1">
      <c r="A3270" s="1129" t="s">
        <v>13548</v>
      </c>
      <c r="B3270" s="1125" t="s">
        <v>13549</v>
      </c>
      <c r="C3270" s="1126" t="s">
        <v>1788</v>
      </c>
      <c r="D3270" s="1119">
        <v>117.41</v>
      </c>
      <c r="E3270" s="1120">
        <v>18.24</v>
      </c>
      <c r="F3270" s="1121">
        <f t="shared" si="1"/>
        <v>99.16</v>
      </c>
      <c r="G3270" s="1120">
        <v>99.16</v>
      </c>
      <c r="H3270" s="1127">
        <v>0.0</v>
      </c>
      <c r="I3270" s="1127">
        <v>0.0</v>
      </c>
      <c r="J3270" s="1127">
        <v>0.0</v>
      </c>
      <c r="K3270" s="1124"/>
    </row>
    <row r="3271" ht="15.75" customHeight="1">
      <c r="A3271" s="1119">
        <v>102102.0</v>
      </c>
      <c r="B3271" s="1125" t="s">
        <v>13550</v>
      </c>
      <c r="C3271" s="1126" t="s">
        <v>1788</v>
      </c>
      <c r="D3271" s="1128">
        <v>10297.48</v>
      </c>
      <c r="E3271" s="1120">
        <v>390.57</v>
      </c>
      <c r="F3271" s="1121">
        <f t="shared" si="1"/>
        <v>9906.91</v>
      </c>
      <c r="G3271" s="1120">
        <v>9893.95</v>
      </c>
      <c r="H3271" s="1127">
        <v>12.96</v>
      </c>
      <c r="I3271" s="1127">
        <v>0.0</v>
      </c>
      <c r="J3271" s="1127">
        <v>0.0</v>
      </c>
      <c r="K3271" s="1124"/>
    </row>
    <row r="3272" ht="15.75" customHeight="1">
      <c r="A3272" s="1119">
        <v>102103.0</v>
      </c>
      <c r="B3272" s="1125" t="s">
        <v>13551</v>
      </c>
      <c r="C3272" s="1126" t="s">
        <v>1788</v>
      </c>
      <c r="D3272" s="1128">
        <v>11450.06</v>
      </c>
      <c r="E3272" s="1120">
        <v>397.32</v>
      </c>
      <c r="F3272" s="1121">
        <f t="shared" si="1"/>
        <v>11052.72</v>
      </c>
      <c r="G3272" s="1120">
        <v>11037.84</v>
      </c>
      <c r="H3272" s="1127">
        <v>14.88</v>
      </c>
      <c r="I3272" s="1127">
        <v>0.0</v>
      </c>
      <c r="J3272" s="1127">
        <v>0.0</v>
      </c>
      <c r="K3272" s="1124"/>
    </row>
    <row r="3273" ht="15.75" customHeight="1">
      <c r="A3273" s="1119">
        <v>102104.0</v>
      </c>
      <c r="B3273" s="1125" t="s">
        <v>13552</v>
      </c>
      <c r="C3273" s="1126" t="s">
        <v>1788</v>
      </c>
      <c r="D3273" s="1128">
        <v>14662.35</v>
      </c>
      <c r="E3273" s="1120">
        <v>408.91</v>
      </c>
      <c r="F3273" s="1121">
        <f t="shared" si="1"/>
        <v>14253.46</v>
      </c>
      <c r="G3273" s="1120">
        <v>14235.31</v>
      </c>
      <c r="H3273" s="1127">
        <v>18.15</v>
      </c>
      <c r="I3273" s="1127">
        <v>0.0</v>
      </c>
      <c r="J3273" s="1127">
        <v>0.0</v>
      </c>
      <c r="K3273" s="1124"/>
    </row>
    <row r="3274" ht="15.75" customHeight="1">
      <c r="A3274" s="1119">
        <v>102105.0</v>
      </c>
      <c r="B3274" s="1125" t="s">
        <v>13553</v>
      </c>
      <c r="C3274" s="1126" t="s">
        <v>1788</v>
      </c>
      <c r="D3274" s="1128">
        <v>17999.95</v>
      </c>
      <c r="E3274" s="1120">
        <v>420.49</v>
      </c>
      <c r="F3274" s="1121">
        <f t="shared" si="1"/>
        <v>17579.45</v>
      </c>
      <c r="G3274" s="1120">
        <v>17558.03</v>
      </c>
      <c r="H3274" s="1127">
        <v>21.42</v>
      </c>
      <c r="I3274" s="1127">
        <v>0.0</v>
      </c>
      <c r="J3274" s="1127">
        <v>0.0</v>
      </c>
      <c r="K3274" s="1124"/>
    </row>
    <row r="3275" ht="15.75" customHeight="1">
      <c r="A3275" s="1119">
        <v>102106.0</v>
      </c>
      <c r="B3275" s="1125" t="s">
        <v>13554</v>
      </c>
      <c r="C3275" s="1126" t="s">
        <v>1788</v>
      </c>
      <c r="D3275" s="1128">
        <v>22553.74</v>
      </c>
      <c r="E3275" s="1120">
        <v>427.24</v>
      </c>
      <c r="F3275" s="1121">
        <f t="shared" si="1"/>
        <v>22126.48</v>
      </c>
      <c r="G3275" s="1120">
        <v>22103.14</v>
      </c>
      <c r="H3275" s="1127">
        <v>23.34</v>
      </c>
      <c r="I3275" s="1127">
        <v>0.0</v>
      </c>
      <c r="J3275" s="1127">
        <v>0.0</v>
      </c>
      <c r="K3275" s="1124"/>
    </row>
    <row r="3276" ht="15.75" customHeight="1">
      <c r="A3276" s="1119">
        <v>102107.0</v>
      </c>
      <c r="B3276" s="1125" t="s">
        <v>13555</v>
      </c>
      <c r="C3276" s="1126" t="s">
        <v>1788</v>
      </c>
      <c r="D3276" s="1128">
        <v>31434.82</v>
      </c>
      <c r="E3276" s="1120">
        <v>452.33</v>
      </c>
      <c r="F3276" s="1121">
        <f t="shared" si="1"/>
        <v>30982.48</v>
      </c>
      <c r="G3276" s="1120">
        <v>30952.05</v>
      </c>
      <c r="H3276" s="1127">
        <v>30.43</v>
      </c>
      <c r="I3276" s="1127">
        <v>0.0</v>
      </c>
      <c r="J3276" s="1127">
        <v>0.0</v>
      </c>
      <c r="K3276" s="1124"/>
    </row>
    <row r="3277" ht="15.75" customHeight="1">
      <c r="A3277" s="1119">
        <v>102108.0</v>
      </c>
      <c r="B3277" s="1125" t="s">
        <v>13556</v>
      </c>
      <c r="C3277" s="1126" t="s">
        <v>1788</v>
      </c>
      <c r="D3277" s="1128">
        <v>36591.03</v>
      </c>
      <c r="E3277" s="1120">
        <v>467.78</v>
      </c>
      <c r="F3277" s="1121">
        <f t="shared" si="1"/>
        <v>36123.26</v>
      </c>
      <c r="G3277" s="1120">
        <v>36088.46</v>
      </c>
      <c r="H3277" s="1127">
        <v>34.8</v>
      </c>
      <c r="I3277" s="1127">
        <v>0.0</v>
      </c>
      <c r="J3277" s="1127">
        <v>0.0</v>
      </c>
      <c r="K3277" s="1124"/>
    </row>
    <row r="3278" ht="15.75" customHeight="1">
      <c r="A3278" s="1119">
        <v>102109.0</v>
      </c>
      <c r="B3278" s="1125" t="s">
        <v>13557</v>
      </c>
      <c r="C3278" s="1126" t="s">
        <v>1788</v>
      </c>
      <c r="D3278" s="1119">
        <v>51.7</v>
      </c>
      <c r="E3278" s="1120">
        <v>19.63</v>
      </c>
      <c r="F3278" s="1121">
        <f t="shared" si="1"/>
        <v>32.07</v>
      </c>
      <c r="G3278" s="1120">
        <v>32.07</v>
      </c>
      <c r="H3278" s="1127">
        <v>0.0</v>
      </c>
      <c r="I3278" s="1127">
        <v>0.0</v>
      </c>
      <c r="J3278" s="1127">
        <v>0.0</v>
      </c>
      <c r="K3278" s="1124"/>
    </row>
    <row r="3279" ht="15.75" customHeight="1">
      <c r="A3279" s="1119">
        <v>102110.0</v>
      </c>
      <c r="B3279" s="1125" t="s">
        <v>13558</v>
      </c>
      <c r="C3279" s="1126" t="s">
        <v>1788</v>
      </c>
      <c r="D3279" s="1119">
        <v>136.02</v>
      </c>
      <c r="E3279" s="1120">
        <v>19.62</v>
      </c>
      <c r="F3279" s="1121">
        <f t="shared" si="1"/>
        <v>116.4</v>
      </c>
      <c r="G3279" s="1120">
        <v>116.4</v>
      </c>
      <c r="H3279" s="1127">
        <v>0.0</v>
      </c>
      <c r="I3279" s="1127">
        <v>0.0</v>
      </c>
      <c r="J3279" s="1127">
        <v>0.0</v>
      </c>
      <c r="K3279" s="1124"/>
    </row>
    <row r="3280" ht="15.75" customHeight="1">
      <c r="A3280" s="1119">
        <v>103654.0</v>
      </c>
      <c r="B3280" s="1125" t="s">
        <v>13559</v>
      </c>
      <c r="C3280" s="1126" t="s">
        <v>1788</v>
      </c>
      <c r="D3280" s="1128">
        <v>59195.92</v>
      </c>
      <c r="E3280" s="1120">
        <v>467.99</v>
      </c>
      <c r="F3280" s="1121">
        <f t="shared" si="1"/>
        <v>58727.93</v>
      </c>
      <c r="G3280" s="1120">
        <v>58711.0</v>
      </c>
      <c r="H3280" s="1127">
        <v>16.93</v>
      </c>
      <c r="I3280" s="1127">
        <v>0.0</v>
      </c>
      <c r="J3280" s="1127">
        <v>0.0</v>
      </c>
      <c r="K3280" s="1124"/>
    </row>
    <row r="3281" ht="15.75" customHeight="1">
      <c r="A3281" s="1119">
        <v>103655.0</v>
      </c>
      <c r="B3281" s="1125" t="s">
        <v>13560</v>
      </c>
      <c r="C3281" s="1126" t="s">
        <v>1788</v>
      </c>
      <c r="D3281" s="1128">
        <v>81068.08</v>
      </c>
      <c r="E3281" s="1120">
        <v>547.91</v>
      </c>
      <c r="F3281" s="1121">
        <f t="shared" si="1"/>
        <v>80520.18</v>
      </c>
      <c r="G3281" s="1120">
        <v>80499.42</v>
      </c>
      <c r="H3281" s="1127">
        <v>20.76</v>
      </c>
      <c r="I3281" s="1127">
        <v>0.0</v>
      </c>
      <c r="J3281" s="1127">
        <v>0.0</v>
      </c>
      <c r="K3281" s="1124"/>
    </row>
    <row r="3282" ht="15.75" customHeight="1">
      <c r="A3282" s="1119">
        <v>103656.0</v>
      </c>
      <c r="B3282" s="1125" t="s">
        <v>13561</v>
      </c>
      <c r="C3282" s="1126" t="s">
        <v>1788</v>
      </c>
      <c r="D3282" s="1128">
        <v>113311.15</v>
      </c>
      <c r="E3282" s="1120">
        <v>627.31</v>
      </c>
      <c r="F3282" s="1121">
        <f t="shared" si="1"/>
        <v>112683.84</v>
      </c>
      <c r="G3282" s="1120">
        <v>112659.23</v>
      </c>
      <c r="H3282" s="1127">
        <v>24.61</v>
      </c>
      <c r="I3282" s="1127">
        <v>0.0</v>
      </c>
      <c r="J3282" s="1127">
        <v>0.0</v>
      </c>
      <c r="K3282" s="1124"/>
    </row>
    <row r="3283" ht="15.75" customHeight="1">
      <c r="A3283" s="1119">
        <v>104473.0</v>
      </c>
      <c r="B3283" s="1125" t="s">
        <v>13562</v>
      </c>
      <c r="C3283" s="1126" t="s">
        <v>1788</v>
      </c>
      <c r="D3283" s="1119">
        <v>187.78</v>
      </c>
      <c r="E3283" s="1120">
        <v>91.85</v>
      </c>
      <c r="F3283" s="1121">
        <f t="shared" si="1"/>
        <v>96.09</v>
      </c>
      <c r="G3283" s="1120">
        <v>96.09</v>
      </c>
      <c r="H3283" s="1127">
        <v>0.0</v>
      </c>
      <c r="I3283" s="1127">
        <v>0.0</v>
      </c>
      <c r="J3283" s="1127">
        <v>0.0</v>
      </c>
      <c r="K3283" s="1124"/>
    </row>
    <row r="3284" ht="15.75" customHeight="1">
      <c r="A3284" s="1119">
        <v>104474.0</v>
      </c>
      <c r="B3284" s="1125" t="s">
        <v>13563</v>
      </c>
      <c r="C3284" s="1126" t="s">
        <v>1788</v>
      </c>
      <c r="D3284" s="1119">
        <v>399.03</v>
      </c>
      <c r="E3284" s="1120">
        <v>187.42</v>
      </c>
      <c r="F3284" s="1121">
        <f t="shared" si="1"/>
        <v>212</v>
      </c>
      <c r="G3284" s="1120">
        <v>212.0</v>
      </c>
      <c r="H3284" s="1127">
        <v>0.0</v>
      </c>
      <c r="I3284" s="1127">
        <v>0.0</v>
      </c>
      <c r="J3284" s="1127">
        <v>0.0</v>
      </c>
      <c r="K3284" s="1124"/>
    </row>
    <row r="3285" ht="15.75" customHeight="1">
      <c r="A3285" s="1119">
        <v>104475.0</v>
      </c>
      <c r="B3285" s="1125" t="s">
        <v>13564</v>
      </c>
      <c r="C3285" s="1126" t="s">
        <v>1788</v>
      </c>
      <c r="D3285" s="1119">
        <v>157.77</v>
      </c>
      <c r="E3285" s="1120">
        <v>72.78</v>
      </c>
      <c r="F3285" s="1121">
        <f t="shared" si="1"/>
        <v>85.06</v>
      </c>
      <c r="G3285" s="1120">
        <v>85.06</v>
      </c>
      <c r="H3285" s="1127">
        <v>0.0</v>
      </c>
      <c r="I3285" s="1127">
        <v>0.0</v>
      </c>
      <c r="J3285" s="1127">
        <v>0.0</v>
      </c>
      <c r="K3285" s="1124"/>
    </row>
    <row r="3286" ht="15.75" customHeight="1">
      <c r="A3286" s="1119">
        <v>104476.0</v>
      </c>
      <c r="B3286" s="1125" t="s">
        <v>13565</v>
      </c>
      <c r="C3286" s="1126" t="s">
        <v>1788</v>
      </c>
      <c r="D3286" s="1119">
        <v>201.83</v>
      </c>
      <c r="E3286" s="1120">
        <v>99.85</v>
      </c>
      <c r="F3286" s="1121">
        <f t="shared" si="1"/>
        <v>102.03</v>
      </c>
      <c r="G3286" s="1120">
        <v>102.03</v>
      </c>
      <c r="H3286" s="1127">
        <v>0.0</v>
      </c>
      <c r="I3286" s="1127">
        <v>0.0</v>
      </c>
      <c r="J3286" s="1127">
        <v>0.0</v>
      </c>
      <c r="K3286" s="1124"/>
    </row>
    <row r="3287" ht="15.75" customHeight="1">
      <c r="A3287" s="1119">
        <v>104477.0</v>
      </c>
      <c r="B3287" s="1125" t="s">
        <v>13566</v>
      </c>
      <c r="C3287" s="1126" t="s">
        <v>1788</v>
      </c>
      <c r="D3287" s="1119">
        <v>158.09</v>
      </c>
      <c r="E3287" s="1120">
        <v>70.3</v>
      </c>
      <c r="F3287" s="1121">
        <f t="shared" si="1"/>
        <v>87.97</v>
      </c>
      <c r="G3287" s="1120">
        <v>87.97</v>
      </c>
      <c r="H3287" s="1127">
        <v>0.0</v>
      </c>
      <c r="I3287" s="1127">
        <v>0.0</v>
      </c>
      <c r="J3287" s="1127">
        <v>0.0</v>
      </c>
      <c r="K3287" s="1124"/>
    </row>
    <row r="3288" ht="15.75" customHeight="1">
      <c r="A3288" s="1119">
        <v>104478.0</v>
      </c>
      <c r="B3288" s="1125" t="s">
        <v>13567</v>
      </c>
      <c r="C3288" s="1126" t="s">
        <v>1788</v>
      </c>
      <c r="D3288" s="1119">
        <v>346.48</v>
      </c>
      <c r="E3288" s="1120">
        <v>149.34</v>
      </c>
      <c r="F3288" s="1121">
        <f t="shared" si="1"/>
        <v>197.56</v>
      </c>
      <c r="G3288" s="1120">
        <v>197.56</v>
      </c>
      <c r="H3288" s="1127">
        <v>0.0</v>
      </c>
      <c r="I3288" s="1127">
        <v>0.0</v>
      </c>
      <c r="J3288" s="1127">
        <v>0.0</v>
      </c>
      <c r="K3288" s="1124"/>
    </row>
    <row r="3289" ht="15.75" customHeight="1">
      <c r="A3289" s="1119">
        <v>104479.0</v>
      </c>
      <c r="B3289" s="1125" t="s">
        <v>13568</v>
      </c>
      <c r="C3289" s="1126" t="s">
        <v>1788</v>
      </c>
      <c r="D3289" s="1119">
        <v>136.64</v>
      </c>
      <c r="E3289" s="1120">
        <v>57.43</v>
      </c>
      <c r="F3289" s="1121">
        <f t="shared" si="1"/>
        <v>79.27</v>
      </c>
      <c r="G3289" s="1120">
        <v>79.27</v>
      </c>
      <c r="H3289" s="1127">
        <v>0.0</v>
      </c>
      <c r="I3289" s="1127">
        <v>0.0</v>
      </c>
      <c r="J3289" s="1127">
        <v>0.0</v>
      </c>
      <c r="K3289" s="1124"/>
    </row>
    <row r="3290" ht="15.75" customHeight="1">
      <c r="A3290" s="1119">
        <v>104480.0</v>
      </c>
      <c r="B3290" s="1125" t="s">
        <v>13569</v>
      </c>
      <c r="C3290" s="1126" t="s">
        <v>1788</v>
      </c>
      <c r="D3290" s="1119">
        <v>155.59</v>
      </c>
      <c r="E3290" s="1120">
        <v>66.35</v>
      </c>
      <c r="F3290" s="1121">
        <f t="shared" si="1"/>
        <v>89.31</v>
      </c>
      <c r="G3290" s="1120">
        <v>89.31</v>
      </c>
      <c r="H3290" s="1127">
        <v>0.0</v>
      </c>
      <c r="I3290" s="1127">
        <v>0.0</v>
      </c>
      <c r="J3290" s="1127">
        <v>0.0</v>
      </c>
      <c r="K3290" s="1124"/>
    </row>
    <row r="3291" ht="15.75" customHeight="1">
      <c r="A3291" s="1119">
        <v>104481.0</v>
      </c>
      <c r="B3291" s="1125" t="s">
        <v>13570</v>
      </c>
      <c r="C3291" s="1126" t="s">
        <v>1788</v>
      </c>
      <c r="D3291" s="1119">
        <v>362.17</v>
      </c>
      <c r="E3291" s="1120">
        <v>143.89</v>
      </c>
      <c r="F3291" s="1121">
        <f t="shared" si="1"/>
        <v>218.4</v>
      </c>
      <c r="G3291" s="1120">
        <v>218.4</v>
      </c>
      <c r="H3291" s="1127">
        <v>0.0</v>
      </c>
      <c r="I3291" s="1127">
        <v>0.0</v>
      </c>
      <c r="J3291" s="1127">
        <v>0.0</v>
      </c>
      <c r="K3291" s="1124"/>
    </row>
    <row r="3292" ht="15.75" customHeight="1">
      <c r="A3292" s="1119">
        <v>96971.0</v>
      </c>
      <c r="B3292" s="1125" t="s">
        <v>13571</v>
      </c>
      <c r="C3292" s="1126" t="s">
        <v>1731</v>
      </c>
      <c r="D3292" s="1119">
        <v>37.03</v>
      </c>
      <c r="E3292" s="1120">
        <v>11.24</v>
      </c>
      <c r="F3292" s="1121">
        <f t="shared" si="1"/>
        <v>25.8</v>
      </c>
      <c r="G3292" s="1120">
        <v>25.8</v>
      </c>
      <c r="H3292" s="1127">
        <v>0.0</v>
      </c>
      <c r="I3292" s="1127">
        <v>0.0</v>
      </c>
      <c r="J3292" s="1127">
        <v>0.0</v>
      </c>
      <c r="K3292" s="1124"/>
    </row>
    <row r="3293" ht="15.75" customHeight="1">
      <c r="A3293" s="1119">
        <v>96972.0</v>
      </c>
      <c r="B3293" s="1125" t="s">
        <v>13572</v>
      </c>
      <c r="C3293" s="1126" t="s">
        <v>1731</v>
      </c>
      <c r="D3293" s="1119">
        <v>50.04</v>
      </c>
      <c r="E3293" s="1120">
        <v>15.21</v>
      </c>
      <c r="F3293" s="1121">
        <f t="shared" si="1"/>
        <v>34.83</v>
      </c>
      <c r="G3293" s="1120">
        <v>34.83</v>
      </c>
      <c r="H3293" s="1127">
        <v>0.0</v>
      </c>
      <c r="I3293" s="1127">
        <v>0.0</v>
      </c>
      <c r="J3293" s="1127">
        <v>0.0</v>
      </c>
      <c r="K3293" s="1124"/>
    </row>
    <row r="3294" ht="15.75" customHeight="1">
      <c r="A3294" s="1119">
        <v>96973.0</v>
      </c>
      <c r="B3294" s="1125" t="s">
        <v>13573</v>
      </c>
      <c r="C3294" s="1126" t="s">
        <v>1731</v>
      </c>
      <c r="D3294" s="1119">
        <v>66.18</v>
      </c>
      <c r="E3294" s="1120">
        <v>18.23</v>
      </c>
      <c r="F3294" s="1121">
        <f t="shared" si="1"/>
        <v>47.97</v>
      </c>
      <c r="G3294" s="1120">
        <v>47.97</v>
      </c>
      <c r="H3294" s="1127">
        <v>0.0</v>
      </c>
      <c r="I3294" s="1127">
        <v>0.0</v>
      </c>
      <c r="J3294" s="1127">
        <v>0.0</v>
      </c>
      <c r="K3294" s="1124"/>
    </row>
    <row r="3295" ht="15.75" customHeight="1">
      <c r="A3295" s="1119">
        <v>96974.0</v>
      </c>
      <c r="B3295" s="1125" t="s">
        <v>13574</v>
      </c>
      <c r="C3295" s="1126" t="s">
        <v>1731</v>
      </c>
      <c r="D3295" s="1119">
        <v>86.46</v>
      </c>
      <c r="E3295" s="1120">
        <v>21.39</v>
      </c>
      <c r="F3295" s="1121">
        <f t="shared" si="1"/>
        <v>65.08</v>
      </c>
      <c r="G3295" s="1120">
        <v>65.08</v>
      </c>
      <c r="H3295" s="1127">
        <v>0.0</v>
      </c>
      <c r="I3295" s="1127">
        <v>0.0</v>
      </c>
      <c r="J3295" s="1127">
        <v>0.0</v>
      </c>
      <c r="K3295" s="1124"/>
    </row>
    <row r="3296" ht="15.75" customHeight="1">
      <c r="A3296" s="1119">
        <v>96975.0</v>
      </c>
      <c r="B3296" s="1125" t="s">
        <v>13575</v>
      </c>
      <c r="C3296" s="1126" t="s">
        <v>1731</v>
      </c>
      <c r="D3296" s="1119">
        <v>107.7</v>
      </c>
      <c r="E3296" s="1120">
        <v>24.39</v>
      </c>
      <c r="F3296" s="1121">
        <f t="shared" si="1"/>
        <v>83.32</v>
      </c>
      <c r="G3296" s="1120">
        <v>83.32</v>
      </c>
      <c r="H3296" s="1127">
        <v>0.0</v>
      </c>
      <c r="I3296" s="1127">
        <v>0.0</v>
      </c>
      <c r="J3296" s="1127">
        <v>0.0</v>
      </c>
      <c r="K3296" s="1124"/>
    </row>
    <row r="3297" ht="15.75" customHeight="1">
      <c r="A3297" s="1119">
        <v>96976.0</v>
      </c>
      <c r="B3297" s="1125" t="s">
        <v>13576</v>
      </c>
      <c r="C3297" s="1126" t="s">
        <v>1731</v>
      </c>
      <c r="D3297" s="1119">
        <v>142.41</v>
      </c>
      <c r="E3297" s="1120">
        <v>27.11</v>
      </c>
      <c r="F3297" s="1121">
        <f t="shared" si="1"/>
        <v>115.31</v>
      </c>
      <c r="G3297" s="1120">
        <v>115.31</v>
      </c>
      <c r="H3297" s="1127">
        <v>0.0</v>
      </c>
      <c r="I3297" s="1127">
        <v>0.0</v>
      </c>
      <c r="J3297" s="1127">
        <v>0.0</v>
      </c>
      <c r="K3297" s="1124"/>
    </row>
    <row r="3298" ht="15.75" customHeight="1">
      <c r="A3298" s="1119">
        <v>96977.0</v>
      </c>
      <c r="B3298" s="1125" t="s">
        <v>13577</v>
      </c>
      <c r="C3298" s="1126" t="s">
        <v>1731</v>
      </c>
      <c r="D3298" s="1119">
        <v>58.14</v>
      </c>
      <c r="E3298" s="1120">
        <v>1.48</v>
      </c>
      <c r="F3298" s="1121">
        <f t="shared" si="1"/>
        <v>56.66</v>
      </c>
      <c r="G3298" s="1120">
        <v>56.66</v>
      </c>
      <c r="H3298" s="1127">
        <v>0.0</v>
      </c>
      <c r="I3298" s="1127">
        <v>0.0</v>
      </c>
      <c r="J3298" s="1127">
        <v>0.0</v>
      </c>
      <c r="K3298" s="1124"/>
    </row>
    <row r="3299" ht="15.75" customHeight="1">
      <c r="A3299" s="1119">
        <v>96978.0</v>
      </c>
      <c r="B3299" s="1125" t="s">
        <v>13578</v>
      </c>
      <c r="C3299" s="1126" t="s">
        <v>1731</v>
      </c>
      <c r="D3299" s="1119">
        <v>76.56</v>
      </c>
      <c r="E3299" s="1120">
        <v>1.78</v>
      </c>
      <c r="F3299" s="1121">
        <f t="shared" si="1"/>
        <v>74.78</v>
      </c>
      <c r="G3299" s="1120">
        <v>74.78</v>
      </c>
      <c r="H3299" s="1127">
        <v>0.0</v>
      </c>
      <c r="I3299" s="1127">
        <v>0.0</v>
      </c>
      <c r="J3299" s="1127">
        <v>0.0</v>
      </c>
      <c r="K3299" s="1124"/>
    </row>
    <row r="3300" ht="15.75" customHeight="1">
      <c r="A3300" s="1119">
        <v>96979.0</v>
      </c>
      <c r="B3300" s="1125" t="s">
        <v>13579</v>
      </c>
      <c r="C3300" s="1126" t="s">
        <v>1731</v>
      </c>
      <c r="D3300" s="1119">
        <v>109.44</v>
      </c>
      <c r="E3300" s="1120">
        <v>2.07</v>
      </c>
      <c r="F3300" s="1121">
        <f t="shared" si="1"/>
        <v>107.36</v>
      </c>
      <c r="G3300" s="1120">
        <v>107.36</v>
      </c>
      <c r="H3300" s="1127">
        <v>0.0</v>
      </c>
      <c r="I3300" s="1127">
        <v>0.0</v>
      </c>
      <c r="J3300" s="1127">
        <v>0.0</v>
      </c>
      <c r="K3300" s="1124"/>
    </row>
    <row r="3301" ht="15.75" customHeight="1">
      <c r="A3301" s="1119">
        <v>96984.0</v>
      </c>
      <c r="B3301" s="1125" t="s">
        <v>13580</v>
      </c>
      <c r="C3301" s="1126" t="s">
        <v>1788</v>
      </c>
      <c r="D3301" s="1119">
        <v>76.12</v>
      </c>
      <c r="E3301" s="1120">
        <v>36.71</v>
      </c>
      <c r="F3301" s="1121">
        <f t="shared" si="1"/>
        <v>39.42</v>
      </c>
      <c r="G3301" s="1120">
        <v>39.42</v>
      </c>
      <c r="H3301" s="1127">
        <v>0.0</v>
      </c>
      <c r="I3301" s="1127">
        <v>0.0</v>
      </c>
      <c r="J3301" s="1127">
        <v>0.0</v>
      </c>
      <c r="K3301" s="1124"/>
    </row>
    <row r="3302" ht="15.75" customHeight="1">
      <c r="A3302" s="1119">
        <v>96985.0</v>
      </c>
      <c r="B3302" s="1125" t="s">
        <v>13581</v>
      </c>
      <c r="C3302" s="1126" t="s">
        <v>1788</v>
      </c>
      <c r="D3302" s="1119">
        <v>78.43</v>
      </c>
      <c r="E3302" s="1120">
        <v>11.2</v>
      </c>
      <c r="F3302" s="1121">
        <f t="shared" si="1"/>
        <v>67.24</v>
      </c>
      <c r="G3302" s="1120">
        <v>67.24</v>
      </c>
      <c r="H3302" s="1127">
        <v>0.0</v>
      </c>
      <c r="I3302" s="1127">
        <v>0.0</v>
      </c>
      <c r="J3302" s="1127">
        <v>0.0</v>
      </c>
      <c r="K3302" s="1124"/>
    </row>
    <row r="3303" ht="15.75" customHeight="1">
      <c r="A3303" s="1119">
        <v>96986.0</v>
      </c>
      <c r="B3303" s="1125" t="s">
        <v>13582</v>
      </c>
      <c r="C3303" s="1126" t="s">
        <v>1788</v>
      </c>
      <c r="D3303" s="1119">
        <v>117.32</v>
      </c>
      <c r="E3303" s="1120">
        <v>17.5</v>
      </c>
      <c r="F3303" s="1121">
        <f t="shared" si="1"/>
        <v>99.81</v>
      </c>
      <c r="G3303" s="1120">
        <v>99.81</v>
      </c>
      <c r="H3303" s="1127">
        <v>0.0</v>
      </c>
      <c r="I3303" s="1127">
        <v>0.0</v>
      </c>
      <c r="J3303" s="1127">
        <v>0.0</v>
      </c>
      <c r="K3303" s="1124"/>
    </row>
    <row r="3304" ht="15.75" customHeight="1">
      <c r="A3304" s="1119">
        <v>96987.0</v>
      </c>
      <c r="B3304" s="1125" t="s">
        <v>13583</v>
      </c>
      <c r="C3304" s="1126" t="s">
        <v>1788</v>
      </c>
      <c r="D3304" s="1119">
        <v>118.0</v>
      </c>
      <c r="E3304" s="1120">
        <v>50.17</v>
      </c>
      <c r="F3304" s="1121">
        <f t="shared" si="1"/>
        <v>67.83</v>
      </c>
      <c r="G3304" s="1120">
        <v>67.83</v>
      </c>
      <c r="H3304" s="1127">
        <v>0.0</v>
      </c>
      <c r="I3304" s="1127">
        <v>0.0</v>
      </c>
      <c r="J3304" s="1127">
        <v>0.0</v>
      </c>
      <c r="K3304" s="1124"/>
    </row>
    <row r="3305" ht="15.75" customHeight="1">
      <c r="A3305" s="1119">
        <v>96988.0</v>
      </c>
      <c r="B3305" s="1125" t="s">
        <v>13584</v>
      </c>
      <c r="C3305" s="1126" t="s">
        <v>1788</v>
      </c>
      <c r="D3305" s="1119">
        <v>157.33</v>
      </c>
      <c r="E3305" s="1120">
        <v>6.99</v>
      </c>
      <c r="F3305" s="1121">
        <f t="shared" si="1"/>
        <v>150.34</v>
      </c>
      <c r="G3305" s="1120">
        <v>150.34</v>
      </c>
      <c r="H3305" s="1127">
        <v>0.0</v>
      </c>
      <c r="I3305" s="1127">
        <v>0.0</v>
      </c>
      <c r="J3305" s="1127">
        <v>0.0</v>
      </c>
      <c r="K3305" s="1124"/>
    </row>
    <row r="3306" ht="15.75" customHeight="1">
      <c r="A3306" s="1119">
        <v>96989.0</v>
      </c>
      <c r="B3306" s="1125" t="s">
        <v>13585</v>
      </c>
      <c r="C3306" s="1126" t="s">
        <v>1788</v>
      </c>
      <c r="D3306" s="1119">
        <v>131.58</v>
      </c>
      <c r="E3306" s="1120">
        <v>5.58</v>
      </c>
      <c r="F3306" s="1121">
        <f t="shared" si="1"/>
        <v>125.99</v>
      </c>
      <c r="G3306" s="1120">
        <v>125.99</v>
      </c>
      <c r="H3306" s="1127">
        <v>0.0</v>
      </c>
      <c r="I3306" s="1127">
        <v>0.0</v>
      </c>
      <c r="J3306" s="1127">
        <v>0.0</v>
      </c>
      <c r="K3306" s="1124"/>
    </row>
    <row r="3307" ht="15.75" customHeight="1">
      <c r="A3307" s="1119">
        <v>98463.0</v>
      </c>
      <c r="B3307" s="1125" t="s">
        <v>13586</v>
      </c>
      <c r="C3307" s="1126" t="s">
        <v>1788</v>
      </c>
      <c r="D3307" s="1119">
        <v>26.79</v>
      </c>
      <c r="E3307" s="1120">
        <v>14.02</v>
      </c>
      <c r="F3307" s="1121">
        <f t="shared" si="1"/>
        <v>12.78</v>
      </c>
      <c r="G3307" s="1120">
        <v>12.78</v>
      </c>
      <c r="H3307" s="1127">
        <v>0.0</v>
      </c>
      <c r="I3307" s="1127">
        <v>0.0</v>
      </c>
      <c r="J3307" s="1127">
        <v>0.0</v>
      </c>
      <c r="K3307" s="1124"/>
    </row>
    <row r="3308" ht="15.75" customHeight="1">
      <c r="A3308" s="1119">
        <v>103490.0</v>
      </c>
      <c r="B3308" s="1125" t="s">
        <v>13587</v>
      </c>
      <c r="C3308" s="1126" t="s">
        <v>2178</v>
      </c>
      <c r="D3308" s="1128">
        <v>3393.3</v>
      </c>
      <c r="E3308" s="1120">
        <v>1873.58</v>
      </c>
      <c r="F3308" s="1121">
        <f t="shared" si="1"/>
        <v>1519.9</v>
      </c>
      <c r="G3308" s="1120">
        <v>1498.47</v>
      </c>
      <c r="H3308" s="1127">
        <v>17.61</v>
      </c>
      <c r="I3308" s="1127">
        <v>0.0</v>
      </c>
      <c r="J3308" s="1127">
        <v>3.82</v>
      </c>
      <c r="K3308" s="1124"/>
    </row>
    <row r="3309" ht="15.75" customHeight="1">
      <c r="A3309" s="1119">
        <v>103491.0</v>
      </c>
      <c r="B3309" s="1125" t="s">
        <v>13588</v>
      </c>
      <c r="C3309" s="1126" t="s">
        <v>2178</v>
      </c>
      <c r="D3309" s="1119">
        <v>860.89</v>
      </c>
      <c r="E3309" s="1120">
        <v>417.4</v>
      </c>
      <c r="F3309" s="1121">
        <f t="shared" si="1"/>
        <v>443.49</v>
      </c>
      <c r="G3309" s="1120">
        <v>443.49</v>
      </c>
      <c r="H3309" s="1127">
        <v>0.0</v>
      </c>
      <c r="I3309" s="1127">
        <v>0.0</v>
      </c>
      <c r="J3309" s="1127">
        <v>0.0</v>
      </c>
      <c r="K3309" s="1124"/>
    </row>
    <row r="3310" ht="15.75" customHeight="1">
      <c r="A3310" s="1119">
        <v>96765.0</v>
      </c>
      <c r="B3310" s="1125" t="s">
        <v>13589</v>
      </c>
      <c r="C3310" s="1126" t="s">
        <v>1788</v>
      </c>
      <c r="D3310" s="1128">
        <v>1660.1</v>
      </c>
      <c r="E3310" s="1120">
        <v>131.85</v>
      </c>
      <c r="F3310" s="1121">
        <f t="shared" si="1"/>
        <v>1528.25</v>
      </c>
      <c r="G3310" s="1120">
        <v>1528.25</v>
      </c>
      <c r="H3310" s="1127">
        <v>0.0</v>
      </c>
      <c r="I3310" s="1127">
        <v>0.0</v>
      </c>
      <c r="J3310" s="1127">
        <v>0.0</v>
      </c>
      <c r="K3310" s="1124"/>
    </row>
    <row r="3311" ht="15.75" customHeight="1">
      <c r="A3311" s="1119">
        <v>101905.0</v>
      </c>
      <c r="B3311" s="1125" t="s">
        <v>13590</v>
      </c>
      <c r="C3311" s="1126" t="s">
        <v>1788</v>
      </c>
      <c r="D3311" s="1119">
        <v>201.08</v>
      </c>
      <c r="E3311" s="1120">
        <v>19.84</v>
      </c>
      <c r="F3311" s="1121">
        <f t="shared" si="1"/>
        <v>181.25</v>
      </c>
      <c r="G3311" s="1120">
        <v>181.25</v>
      </c>
      <c r="H3311" s="1127">
        <v>0.0</v>
      </c>
      <c r="I3311" s="1127">
        <v>0.0</v>
      </c>
      <c r="J3311" s="1127">
        <v>0.0</v>
      </c>
      <c r="K3311" s="1124"/>
    </row>
    <row r="3312" ht="15.75" customHeight="1">
      <c r="A3312" s="1119">
        <v>101906.0</v>
      </c>
      <c r="B3312" s="1125" t="s">
        <v>13591</v>
      </c>
      <c r="C3312" s="1126" t="s">
        <v>1788</v>
      </c>
      <c r="D3312" s="1119">
        <v>576.13</v>
      </c>
      <c r="E3312" s="1120">
        <v>19.84</v>
      </c>
      <c r="F3312" s="1121">
        <f t="shared" si="1"/>
        <v>556.3</v>
      </c>
      <c r="G3312" s="1120">
        <v>556.3</v>
      </c>
      <c r="H3312" s="1127">
        <v>0.0</v>
      </c>
      <c r="I3312" s="1127">
        <v>0.0</v>
      </c>
      <c r="J3312" s="1127">
        <v>0.0</v>
      </c>
      <c r="K3312" s="1124"/>
    </row>
    <row r="3313" ht="15.75" customHeight="1">
      <c r="A3313" s="1119">
        <v>101907.0</v>
      </c>
      <c r="B3313" s="1125" t="s">
        <v>13592</v>
      </c>
      <c r="C3313" s="1126" t="s">
        <v>1788</v>
      </c>
      <c r="D3313" s="1119">
        <v>621.83</v>
      </c>
      <c r="E3313" s="1120">
        <v>19.84</v>
      </c>
      <c r="F3313" s="1121">
        <f t="shared" si="1"/>
        <v>602</v>
      </c>
      <c r="G3313" s="1120">
        <v>602.0</v>
      </c>
      <c r="H3313" s="1127">
        <v>0.0</v>
      </c>
      <c r="I3313" s="1127">
        <v>0.0</v>
      </c>
      <c r="J3313" s="1127">
        <v>0.0</v>
      </c>
      <c r="K3313" s="1124"/>
    </row>
    <row r="3314" ht="15.75" customHeight="1">
      <c r="A3314" s="1119">
        <v>101908.0</v>
      </c>
      <c r="B3314" s="1125" t="s">
        <v>13593</v>
      </c>
      <c r="C3314" s="1126" t="s">
        <v>1788</v>
      </c>
      <c r="D3314" s="1119">
        <v>195.36</v>
      </c>
      <c r="E3314" s="1120">
        <v>19.84</v>
      </c>
      <c r="F3314" s="1121">
        <f t="shared" si="1"/>
        <v>175.53</v>
      </c>
      <c r="G3314" s="1120">
        <v>175.53</v>
      </c>
      <c r="H3314" s="1127">
        <v>0.0</v>
      </c>
      <c r="I3314" s="1127">
        <v>0.0</v>
      </c>
      <c r="J3314" s="1127">
        <v>0.0</v>
      </c>
      <c r="K3314" s="1124"/>
    </row>
    <row r="3315" ht="15.75" customHeight="1">
      <c r="A3315" s="1119">
        <v>101909.0</v>
      </c>
      <c r="B3315" s="1125" t="s">
        <v>13594</v>
      </c>
      <c r="C3315" s="1126" t="s">
        <v>1788</v>
      </c>
      <c r="D3315" s="1119">
        <v>225.83</v>
      </c>
      <c r="E3315" s="1120">
        <v>19.84</v>
      </c>
      <c r="F3315" s="1121">
        <f t="shared" si="1"/>
        <v>206</v>
      </c>
      <c r="G3315" s="1120">
        <v>206.0</v>
      </c>
      <c r="H3315" s="1127">
        <v>0.0</v>
      </c>
      <c r="I3315" s="1127">
        <v>0.0</v>
      </c>
      <c r="J3315" s="1127">
        <v>0.0</v>
      </c>
      <c r="K3315" s="1124"/>
    </row>
    <row r="3316" ht="15.75" customHeight="1">
      <c r="A3316" s="1119">
        <v>101910.0</v>
      </c>
      <c r="B3316" s="1125" t="s">
        <v>13595</v>
      </c>
      <c r="C3316" s="1126" t="s">
        <v>1788</v>
      </c>
      <c r="D3316" s="1119">
        <v>263.9</v>
      </c>
      <c r="E3316" s="1120">
        <v>19.84</v>
      </c>
      <c r="F3316" s="1121">
        <f t="shared" si="1"/>
        <v>244.07</v>
      </c>
      <c r="G3316" s="1120">
        <v>244.07</v>
      </c>
      <c r="H3316" s="1127">
        <v>0.0</v>
      </c>
      <c r="I3316" s="1127">
        <v>0.0</v>
      </c>
      <c r="J3316" s="1127">
        <v>0.0</v>
      </c>
      <c r="K3316" s="1124"/>
    </row>
    <row r="3317" ht="15.75" customHeight="1">
      <c r="A3317" s="1119">
        <v>101911.0</v>
      </c>
      <c r="B3317" s="1125" t="s">
        <v>13596</v>
      </c>
      <c r="C3317" s="1126" t="s">
        <v>1788</v>
      </c>
      <c r="D3317" s="1119">
        <v>301.98</v>
      </c>
      <c r="E3317" s="1120">
        <v>19.84</v>
      </c>
      <c r="F3317" s="1121">
        <f t="shared" si="1"/>
        <v>282.15</v>
      </c>
      <c r="G3317" s="1120">
        <v>282.15</v>
      </c>
      <c r="H3317" s="1127">
        <v>0.0</v>
      </c>
      <c r="I3317" s="1127">
        <v>0.0</v>
      </c>
      <c r="J3317" s="1127">
        <v>0.0</v>
      </c>
      <c r="K3317" s="1124"/>
    </row>
    <row r="3318" ht="15.75" customHeight="1">
      <c r="A3318" s="1119">
        <v>101912.0</v>
      </c>
      <c r="B3318" s="1125" t="s">
        <v>13597</v>
      </c>
      <c r="C3318" s="1126" t="s">
        <v>1788</v>
      </c>
      <c r="D3318" s="1128">
        <v>2006.71</v>
      </c>
      <c r="E3318" s="1120">
        <v>140.21</v>
      </c>
      <c r="F3318" s="1121">
        <f t="shared" si="1"/>
        <v>1866.51</v>
      </c>
      <c r="G3318" s="1120">
        <v>1866.51</v>
      </c>
      <c r="H3318" s="1127">
        <v>0.0</v>
      </c>
      <c r="I3318" s="1127">
        <v>0.0</v>
      </c>
      <c r="J3318" s="1127">
        <v>0.0</v>
      </c>
      <c r="K3318" s="1124"/>
    </row>
    <row r="3319" ht="15.75" customHeight="1">
      <c r="A3319" s="1119">
        <v>101913.0</v>
      </c>
      <c r="B3319" s="1125" t="s">
        <v>13598</v>
      </c>
      <c r="C3319" s="1126" t="s">
        <v>1788</v>
      </c>
      <c r="D3319" s="1119">
        <v>428.27</v>
      </c>
      <c r="E3319" s="1120">
        <v>46.93</v>
      </c>
      <c r="F3319" s="1121">
        <f t="shared" si="1"/>
        <v>381.33</v>
      </c>
      <c r="G3319" s="1120">
        <v>381.33</v>
      </c>
      <c r="H3319" s="1127">
        <v>0.0</v>
      </c>
      <c r="I3319" s="1127">
        <v>0.0</v>
      </c>
      <c r="J3319" s="1127">
        <v>0.0</v>
      </c>
      <c r="K3319" s="1124"/>
    </row>
    <row r="3320" ht="15.75" customHeight="1">
      <c r="A3320" s="1119">
        <v>101914.0</v>
      </c>
      <c r="B3320" s="1125" t="s">
        <v>13599</v>
      </c>
      <c r="C3320" s="1126" t="s">
        <v>1788</v>
      </c>
      <c r="D3320" s="1119">
        <v>544.15</v>
      </c>
      <c r="E3320" s="1120">
        <v>58.78</v>
      </c>
      <c r="F3320" s="1121">
        <f t="shared" si="1"/>
        <v>485.38</v>
      </c>
      <c r="G3320" s="1120">
        <v>485.38</v>
      </c>
      <c r="H3320" s="1127">
        <v>0.0</v>
      </c>
      <c r="I3320" s="1127">
        <v>0.0</v>
      </c>
      <c r="J3320" s="1127">
        <v>0.0</v>
      </c>
      <c r="K3320" s="1124"/>
    </row>
    <row r="3321" ht="15.75" customHeight="1">
      <c r="A3321" s="1119">
        <v>101915.0</v>
      </c>
      <c r="B3321" s="1125" t="s">
        <v>13600</v>
      </c>
      <c r="C3321" s="1126" t="s">
        <v>1788</v>
      </c>
      <c r="D3321" s="1119">
        <v>303.18</v>
      </c>
      <c r="E3321" s="1120">
        <v>6.12</v>
      </c>
      <c r="F3321" s="1121">
        <f t="shared" si="1"/>
        <v>297.05</v>
      </c>
      <c r="G3321" s="1120">
        <v>297.05</v>
      </c>
      <c r="H3321" s="1127">
        <v>0.0</v>
      </c>
      <c r="I3321" s="1127">
        <v>0.0</v>
      </c>
      <c r="J3321" s="1127">
        <v>0.0</v>
      </c>
      <c r="K3321" s="1124"/>
    </row>
    <row r="3322" ht="15.75" customHeight="1">
      <c r="A3322" s="1119">
        <v>101916.0</v>
      </c>
      <c r="B3322" s="1125" t="s">
        <v>13601</v>
      </c>
      <c r="C3322" s="1126" t="s">
        <v>1788</v>
      </c>
      <c r="D3322" s="1128">
        <v>3624.12</v>
      </c>
      <c r="E3322" s="1120">
        <v>192.69</v>
      </c>
      <c r="F3322" s="1121">
        <f t="shared" si="1"/>
        <v>3431.42</v>
      </c>
      <c r="G3322" s="1120">
        <v>3431.42</v>
      </c>
      <c r="H3322" s="1127">
        <v>0.0</v>
      </c>
      <c r="I3322" s="1127">
        <v>0.0</v>
      </c>
      <c r="J3322" s="1127">
        <v>0.0</v>
      </c>
      <c r="K3322" s="1124"/>
    </row>
    <row r="3323" ht="15.75" customHeight="1">
      <c r="A3323" s="1119">
        <v>101917.0</v>
      </c>
      <c r="B3323" s="1125" t="s">
        <v>13602</v>
      </c>
      <c r="C3323" s="1126" t="s">
        <v>1788</v>
      </c>
      <c r="D3323" s="1119">
        <v>163.31</v>
      </c>
      <c r="E3323" s="1120">
        <v>36.58</v>
      </c>
      <c r="F3323" s="1121">
        <f t="shared" si="1"/>
        <v>126.73</v>
      </c>
      <c r="G3323" s="1120">
        <v>126.73</v>
      </c>
      <c r="H3323" s="1127">
        <v>0.0</v>
      </c>
      <c r="I3323" s="1127">
        <v>0.0</v>
      </c>
      <c r="J3323" s="1127">
        <v>0.0</v>
      </c>
      <c r="K3323" s="1124"/>
    </row>
    <row r="3324" ht="15.75" customHeight="1">
      <c r="A3324" s="1119">
        <v>98261.0</v>
      </c>
      <c r="B3324" s="1125" t="s">
        <v>13603</v>
      </c>
      <c r="C3324" s="1126" t="s">
        <v>1731</v>
      </c>
      <c r="D3324" s="1119">
        <v>4.41</v>
      </c>
      <c r="E3324" s="1120">
        <v>2.74</v>
      </c>
      <c r="F3324" s="1121">
        <f t="shared" si="1"/>
        <v>1.68</v>
      </c>
      <c r="G3324" s="1120">
        <v>1.68</v>
      </c>
      <c r="H3324" s="1127">
        <v>0.0</v>
      </c>
      <c r="I3324" s="1127">
        <v>0.0</v>
      </c>
      <c r="J3324" s="1127">
        <v>0.0</v>
      </c>
      <c r="K3324" s="1124"/>
    </row>
    <row r="3325" ht="15.75" customHeight="1">
      <c r="A3325" s="1119">
        <v>98262.0</v>
      </c>
      <c r="B3325" s="1125" t="s">
        <v>13604</v>
      </c>
      <c r="C3325" s="1126" t="s">
        <v>1731</v>
      </c>
      <c r="D3325" s="1119">
        <v>5.28</v>
      </c>
      <c r="E3325" s="1120">
        <v>2.86</v>
      </c>
      <c r="F3325" s="1121">
        <f t="shared" si="1"/>
        <v>2.42</v>
      </c>
      <c r="G3325" s="1120">
        <v>2.42</v>
      </c>
      <c r="H3325" s="1127">
        <v>0.0</v>
      </c>
      <c r="I3325" s="1127">
        <v>0.0</v>
      </c>
      <c r="J3325" s="1127">
        <v>0.0</v>
      </c>
      <c r="K3325" s="1124"/>
    </row>
    <row r="3326" ht="15.75" customHeight="1">
      <c r="A3326" s="1119">
        <v>98263.0</v>
      </c>
      <c r="B3326" s="1125" t="s">
        <v>13605</v>
      </c>
      <c r="C3326" s="1126" t="s">
        <v>1731</v>
      </c>
      <c r="D3326" s="1119">
        <v>5.52</v>
      </c>
      <c r="E3326" s="1120">
        <v>2.98</v>
      </c>
      <c r="F3326" s="1121">
        <f t="shared" si="1"/>
        <v>2.54</v>
      </c>
      <c r="G3326" s="1120">
        <v>2.54</v>
      </c>
      <c r="H3326" s="1127">
        <v>0.0</v>
      </c>
      <c r="I3326" s="1127">
        <v>0.0</v>
      </c>
      <c r="J3326" s="1127">
        <v>0.0</v>
      </c>
      <c r="K3326" s="1124"/>
    </row>
    <row r="3327" ht="15.75" customHeight="1">
      <c r="A3327" s="1119">
        <v>98264.0</v>
      </c>
      <c r="B3327" s="1125" t="s">
        <v>13606</v>
      </c>
      <c r="C3327" s="1126" t="s">
        <v>1731</v>
      </c>
      <c r="D3327" s="1119">
        <v>6.43</v>
      </c>
      <c r="E3327" s="1120">
        <v>3.06</v>
      </c>
      <c r="F3327" s="1121">
        <f t="shared" si="1"/>
        <v>3.37</v>
      </c>
      <c r="G3327" s="1120">
        <v>3.37</v>
      </c>
      <c r="H3327" s="1127">
        <v>0.0</v>
      </c>
      <c r="I3327" s="1127">
        <v>0.0</v>
      </c>
      <c r="J3327" s="1127">
        <v>0.0</v>
      </c>
      <c r="K3327" s="1124"/>
    </row>
    <row r="3328" ht="15.75" customHeight="1">
      <c r="A3328" s="1119">
        <v>98265.0</v>
      </c>
      <c r="B3328" s="1125" t="s">
        <v>13607</v>
      </c>
      <c r="C3328" s="1126" t="s">
        <v>1731</v>
      </c>
      <c r="D3328" s="1119">
        <v>7.04</v>
      </c>
      <c r="E3328" s="1120">
        <v>3.1</v>
      </c>
      <c r="F3328" s="1121">
        <f t="shared" si="1"/>
        <v>3.94</v>
      </c>
      <c r="G3328" s="1120">
        <v>3.94</v>
      </c>
      <c r="H3328" s="1127">
        <v>0.0</v>
      </c>
      <c r="I3328" s="1127">
        <v>0.0</v>
      </c>
      <c r="J3328" s="1127">
        <v>0.0</v>
      </c>
      <c r="K3328" s="1124"/>
    </row>
    <row r="3329" ht="15.75" customHeight="1">
      <c r="A3329" s="1119">
        <v>98266.0</v>
      </c>
      <c r="B3329" s="1125" t="s">
        <v>13608</v>
      </c>
      <c r="C3329" s="1126" t="s">
        <v>1731</v>
      </c>
      <c r="D3329" s="1119">
        <v>7.86</v>
      </c>
      <c r="E3329" s="1120">
        <v>3.15</v>
      </c>
      <c r="F3329" s="1121">
        <f t="shared" si="1"/>
        <v>4.71</v>
      </c>
      <c r="G3329" s="1120">
        <v>4.71</v>
      </c>
      <c r="H3329" s="1127">
        <v>0.0</v>
      </c>
      <c r="I3329" s="1127">
        <v>0.0</v>
      </c>
      <c r="J3329" s="1127">
        <v>0.0</v>
      </c>
      <c r="K3329" s="1124"/>
    </row>
    <row r="3330" ht="15.75" customHeight="1">
      <c r="A3330" s="1119">
        <v>98267.0</v>
      </c>
      <c r="B3330" s="1125" t="s">
        <v>13609</v>
      </c>
      <c r="C3330" s="1126" t="s">
        <v>1731</v>
      </c>
      <c r="D3330" s="1119">
        <v>12.1</v>
      </c>
      <c r="E3330" s="1120">
        <v>4.07</v>
      </c>
      <c r="F3330" s="1121">
        <f t="shared" si="1"/>
        <v>8.03</v>
      </c>
      <c r="G3330" s="1120">
        <v>8.03</v>
      </c>
      <c r="H3330" s="1127">
        <v>0.0</v>
      </c>
      <c r="I3330" s="1127">
        <v>0.0</v>
      </c>
      <c r="J3330" s="1127">
        <v>0.0</v>
      </c>
      <c r="K3330" s="1124"/>
    </row>
    <row r="3331" ht="15.75" customHeight="1">
      <c r="A3331" s="1119">
        <v>98268.0</v>
      </c>
      <c r="B3331" s="1125" t="s">
        <v>13610</v>
      </c>
      <c r="C3331" s="1126" t="s">
        <v>1731</v>
      </c>
      <c r="D3331" s="1119">
        <v>18.78</v>
      </c>
      <c r="E3331" s="1120">
        <v>4.61</v>
      </c>
      <c r="F3331" s="1121">
        <f t="shared" si="1"/>
        <v>14.17</v>
      </c>
      <c r="G3331" s="1120">
        <v>14.17</v>
      </c>
      <c r="H3331" s="1127">
        <v>0.0</v>
      </c>
      <c r="I3331" s="1127">
        <v>0.0</v>
      </c>
      <c r="J3331" s="1127">
        <v>0.0</v>
      </c>
      <c r="K3331" s="1124"/>
    </row>
    <row r="3332" ht="15.75" customHeight="1">
      <c r="A3332" s="1119">
        <v>98269.0</v>
      </c>
      <c r="B3332" s="1125" t="s">
        <v>13611</v>
      </c>
      <c r="C3332" s="1126" t="s">
        <v>1731</v>
      </c>
      <c r="D3332" s="1119">
        <v>25.21</v>
      </c>
      <c r="E3332" s="1120">
        <v>5.06</v>
      </c>
      <c r="F3332" s="1121">
        <f t="shared" si="1"/>
        <v>20.16</v>
      </c>
      <c r="G3332" s="1120">
        <v>20.16</v>
      </c>
      <c r="H3332" s="1127">
        <v>0.0</v>
      </c>
      <c r="I3332" s="1127">
        <v>0.0</v>
      </c>
      <c r="J3332" s="1127">
        <v>0.0</v>
      </c>
      <c r="K3332" s="1124"/>
    </row>
    <row r="3333" ht="15.75" customHeight="1">
      <c r="A3333" s="1119">
        <v>98270.0</v>
      </c>
      <c r="B3333" s="1125" t="s">
        <v>13612</v>
      </c>
      <c r="C3333" s="1126" t="s">
        <v>1731</v>
      </c>
      <c r="D3333" s="1119">
        <v>37.29</v>
      </c>
      <c r="E3333" s="1120">
        <v>5.59</v>
      </c>
      <c r="F3333" s="1121">
        <f t="shared" si="1"/>
        <v>31.7</v>
      </c>
      <c r="G3333" s="1120">
        <v>31.7</v>
      </c>
      <c r="H3333" s="1127">
        <v>0.0</v>
      </c>
      <c r="I3333" s="1127">
        <v>0.0</v>
      </c>
      <c r="J3333" s="1127">
        <v>0.0</v>
      </c>
      <c r="K3333" s="1124"/>
    </row>
    <row r="3334" ht="15.75" customHeight="1">
      <c r="A3334" s="1119">
        <v>98271.0</v>
      </c>
      <c r="B3334" s="1125" t="s">
        <v>13613</v>
      </c>
      <c r="C3334" s="1126" t="s">
        <v>1731</v>
      </c>
      <c r="D3334" s="1119">
        <v>51.8</v>
      </c>
      <c r="E3334" s="1120">
        <v>6.14</v>
      </c>
      <c r="F3334" s="1121">
        <f t="shared" si="1"/>
        <v>45.66</v>
      </c>
      <c r="G3334" s="1120">
        <v>45.66</v>
      </c>
      <c r="H3334" s="1127">
        <v>0.0</v>
      </c>
      <c r="I3334" s="1127">
        <v>0.0</v>
      </c>
      <c r="J3334" s="1127">
        <v>0.0</v>
      </c>
      <c r="K3334" s="1124"/>
    </row>
    <row r="3335" ht="15.75" customHeight="1">
      <c r="A3335" s="1119">
        <v>98272.0</v>
      </c>
      <c r="B3335" s="1125" t="s">
        <v>13614</v>
      </c>
      <c r="C3335" s="1126" t="s">
        <v>1731</v>
      </c>
      <c r="D3335" s="1119">
        <v>116.75</v>
      </c>
      <c r="E3335" s="1120">
        <v>8.38</v>
      </c>
      <c r="F3335" s="1121">
        <f t="shared" si="1"/>
        <v>108.36</v>
      </c>
      <c r="G3335" s="1120">
        <v>108.36</v>
      </c>
      <c r="H3335" s="1127">
        <v>0.0</v>
      </c>
      <c r="I3335" s="1127">
        <v>0.0</v>
      </c>
      <c r="J3335" s="1127">
        <v>0.0</v>
      </c>
      <c r="K3335" s="1124"/>
    </row>
    <row r="3336" ht="15.75" customHeight="1">
      <c r="A3336" s="1119">
        <v>98273.0</v>
      </c>
      <c r="B3336" s="1125" t="s">
        <v>13615</v>
      </c>
      <c r="C3336" s="1126" t="s">
        <v>1731</v>
      </c>
      <c r="D3336" s="1119">
        <v>2.81</v>
      </c>
      <c r="E3336" s="1120">
        <v>0.36</v>
      </c>
      <c r="F3336" s="1121">
        <f t="shared" si="1"/>
        <v>2.46</v>
      </c>
      <c r="G3336" s="1120">
        <v>2.46</v>
      </c>
      <c r="H3336" s="1127">
        <v>0.0</v>
      </c>
      <c r="I3336" s="1127">
        <v>0.0</v>
      </c>
      <c r="J3336" s="1127">
        <v>0.0</v>
      </c>
      <c r="K3336" s="1124"/>
    </row>
    <row r="3337" ht="15.75" customHeight="1">
      <c r="A3337" s="1119">
        <v>98274.0</v>
      </c>
      <c r="B3337" s="1125" t="s">
        <v>13616</v>
      </c>
      <c r="C3337" s="1126" t="s">
        <v>1731</v>
      </c>
      <c r="D3337" s="1119">
        <v>3.42</v>
      </c>
      <c r="E3337" s="1120">
        <v>0.42</v>
      </c>
      <c r="F3337" s="1121">
        <f t="shared" si="1"/>
        <v>3.01</v>
      </c>
      <c r="G3337" s="1120">
        <v>3.01</v>
      </c>
      <c r="H3337" s="1127">
        <v>0.0</v>
      </c>
      <c r="I3337" s="1127">
        <v>0.0</v>
      </c>
      <c r="J3337" s="1127">
        <v>0.0</v>
      </c>
      <c r="K3337" s="1124"/>
    </row>
    <row r="3338" ht="15.75" customHeight="1">
      <c r="A3338" s="1119">
        <v>98275.0</v>
      </c>
      <c r="B3338" s="1125" t="s">
        <v>13617</v>
      </c>
      <c r="C3338" s="1126" t="s">
        <v>1731</v>
      </c>
      <c r="D3338" s="1119">
        <v>4.24</v>
      </c>
      <c r="E3338" s="1120">
        <v>0.46</v>
      </c>
      <c r="F3338" s="1121">
        <f t="shared" si="1"/>
        <v>3.78</v>
      </c>
      <c r="G3338" s="1120">
        <v>3.78</v>
      </c>
      <c r="H3338" s="1127">
        <v>0.0</v>
      </c>
      <c r="I3338" s="1127">
        <v>0.0</v>
      </c>
      <c r="J3338" s="1127">
        <v>0.0</v>
      </c>
      <c r="K3338" s="1124"/>
    </row>
    <row r="3339" ht="15.75" customHeight="1">
      <c r="A3339" s="1119">
        <v>98276.0</v>
      </c>
      <c r="B3339" s="1125" t="s">
        <v>13618</v>
      </c>
      <c r="C3339" s="1126" t="s">
        <v>1731</v>
      </c>
      <c r="D3339" s="1119">
        <v>8.49</v>
      </c>
      <c r="E3339" s="1120">
        <v>1.39</v>
      </c>
      <c r="F3339" s="1121">
        <f t="shared" si="1"/>
        <v>7.11</v>
      </c>
      <c r="G3339" s="1120">
        <v>7.11</v>
      </c>
      <c r="H3339" s="1127">
        <v>0.0</v>
      </c>
      <c r="I3339" s="1127">
        <v>0.0</v>
      </c>
      <c r="J3339" s="1127">
        <v>0.0</v>
      </c>
      <c r="K3339" s="1124"/>
    </row>
    <row r="3340" ht="15.75" customHeight="1">
      <c r="A3340" s="1119">
        <v>98277.0</v>
      </c>
      <c r="B3340" s="1125" t="s">
        <v>13619</v>
      </c>
      <c r="C3340" s="1126" t="s">
        <v>1731</v>
      </c>
      <c r="D3340" s="1119">
        <v>15.16</v>
      </c>
      <c r="E3340" s="1120">
        <v>1.94</v>
      </c>
      <c r="F3340" s="1121">
        <f t="shared" si="1"/>
        <v>13.25</v>
      </c>
      <c r="G3340" s="1120">
        <v>13.25</v>
      </c>
      <c r="H3340" s="1127">
        <v>0.0</v>
      </c>
      <c r="I3340" s="1127">
        <v>0.0</v>
      </c>
      <c r="J3340" s="1127">
        <v>0.0</v>
      </c>
      <c r="K3340" s="1124"/>
    </row>
    <row r="3341" ht="15.75" customHeight="1">
      <c r="A3341" s="1119">
        <v>98278.0</v>
      </c>
      <c r="B3341" s="1125" t="s">
        <v>13620</v>
      </c>
      <c r="C3341" s="1126" t="s">
        <v>1731</v>
      </c>
      <c r="D3341" s="1119">
        <v>21.6</v>
      </c>
      <c r="E3341" s="1120">
        <v>2.37</v>
      </c>
      <c r="F3341" s="1121">
        <f t="shared" si="1"/>
        <v>19.22</v>
      </c>
      <c r="G3341" s="1120">
        <v>19.22</v>
      </c>
      <c r="H3341" s="1127">
        <v>0.0</v>
      </c>
      <c r="I3341" s="1127">
        <v>0.0</v>
      </c>
      <c r="J3341" s="1127">
        <v>0.0</v>
      </c>
      <c r="K3341" s="1124"/>
    </row>
    <row r="3342" ht="15.75" customHeight="1">
      <c r="A3342" s="1119">
        <v>98279.0</v>
      </c>
      <c r="B3342" s="1125" t="s">
        <v>13621</v>
      </c>
      <c r="C3342" s="1126" t="s">
        <v>1731</v>
      </c>
      <c r="D3342" s="1119">
        <v>33.67</v>
      </c>
      <c r="E3342" s="1120">
        <v>2.92</v>
      </c>
      <c r="F3342" s="1121">
        <f t="shared" si="1"/>
        <v>30.74</v>
      </c>
      <c r="G3342" s="1120">
        <v>30.74</v>
      </c>
      <c r="H3342" s="1127">
        <v>0.0</v>
      </c>
      <c r="I3342" s="1127">
        <v>0.0</v>
      </c>
      <c r="J3342" s="1127">
        <v>0.0</v>
      </c>
      <c r="K3342" s="1124"/>
    </row>
    <row r="3343" ht="15.75" customHeight="1">
      <c r="A3343" s="1119">
        <v>98280.0</v>
      </c>
      <c r="B3343" s="1125" t="s">
        <v>13622</v>
      </c>
      <c r="C3343" s="1126" t="s">
        <v>1731</v>
      </c>
      <c r="D3343" s="1119">
        <v>9.07</v>
      </c>
      <c r="E3343" s="1120">
        <v>6.21</v>
      </c>
      <c r="F3343" s="1121">
        <f t="shared" si="1"/>
        <v>2.86</v>
      </c>
      <c r="G3343" s="1120">
        <v>2.86</v>
      </c>
      <c r="H3343" s="1127">
        <v>0.0</v>
      </c>
      <c r="I3343" s="1127">
        <v>0.0</v>
      </c>
      <c r="J3343" s="1127">
        <v>0.0</v>
      </c>
      <c r="K3343" s="1124"/>
    </row>
    <row r="3344" ht="15.75" customHeight="1">
      <c r="A3344" s="1119">
        <v>98281.0</v>
      </c>
      <c r="B3344" s="1125" t="s">
        <v>13623</v>
      </c>
      <c r="C3344" s="1126" t="s">
        <v>1731</v>
      </c>
      <c r="D3344" s="1119">
        <v>9.93</v>
      </c>
      <c r="E3344" s="1120">
        <v>6.29</v>
      </c>
      <c r="F3344" s="1121">
        <f t="shared" si="1"/>
        <v>3.64</v>
      </c>
      <c r="G3344" s="1120">
        <v>3.64</v>
      </c>
      <c r="H3344" s="1127">
        <v>0.0</v>
      </c>
      <c r="I3344" s="1127">
        <v>0.0</v>
      </c>
      <c r="J3344" s="1127">
        <v>0.0</v>
      </c>
      <c r="K3344" s="1124"/>
    </row>
    <row r="3345" ht="15.75" customHeight="1">
      <c r="A3345" s="1119">
        <v>98282.0</v>
      </c>
      <c r="B3345" s="1125" t="s">
        <v>13624</v>
      </c>
      <c r="C3345" s="1126" t="s">
        <v>1731</v>
      </c>
      <c r="D3345" s="1119">
        <v>10.16</v>
      </c>
      <c r="E3345" s="1120">
        <v>6.4</v>
      </c>
      <c r="F3345" s="1121">
        <f t="shared" si="1"/>
        <v>3.77</v>
      </c>
      <c r="G3345" s="1120">
        <v>3.77</v>
      </c>
      <c r="H3345" s="1127">
        <v>0.0</v>
      </c>
      <c r="I3345" s="1127">
        <v>0.0</v>
      </c>
      <c r="J3345" s="1127">
        <v>0.0</v>
      </c>
      <c r="K3345" s="1124"/>
    </row>
    <row r="3346" ht="15.75" customHeight="1">
      <c r="A3346" s="1119">
        <v>98283.0</v>
      </c>
      <c r="B3346" s="1125" t="s">
        <v>13625</v>
      </c>
      <c r="C3346" s="1126" t="s">
        <v>1731</v>
      </c>
      <c r="D3346" s="1119">
        <v>11.08</v>
      </c>
      <c r="E3346" s="1120">
        <v>6.49</v>
      </c>
      <c r="F3346" s="1121">
        <f t="shared" si="1"/>
        <v>4.58</v>
      </c>
      <c r="G3346" s="1120">
        <v>4.58</v>
      </c>
      <c r="H3346" s="1127">
        <v>0.0</v>
      </c>
      <c r="I3346" s="1127">
        <v>0.0</v>
      </c>
      <c r="J3346" s="1127">
        <v>0.0</v>
      </c>
      <c r="K3346" s="1124"/>
    </row>
    <row r="3347" ht="15.75" customHeight="1">
      <c r="A3347" s="1119">
        <v>98284.0</v>
      </c>
      <c r="B3347" s="1125" t="s">
        <v>13626</v>
      </c>
      <c r="C3347" s="1126" t="s">
        <v>1731</v>
      </c>
      <c r="D3347" s="1119">
        <v>11.68</v>
      </c>
      <c r="E3347" s="1120">
        <v>6.57</v>
      </c>
      <c r="F3347" s="1121">
        <f t="shared" si="1"/>
        <v>5.11</v>
      </c>
      <c r="G3347" s="1120">
        <v>5.11</v>
      </c>
      <c r="H3347" s="1127">
        <v>0.0</v>
      </c>
      <c r="I3347" s="1127">
        <v>0.0</v>
      </c>
      <c r="J3347" s="1127">
        <v>0.0</v>
      </c>
      <c r="K3347" s="1124"/>
    </row>
    <row r="3348" ht="15.75" customHeight="1">
      <c r="A3348" s="1119">
        <v>98285.0</v>
      </c>
      <c r="B3348" s="1125" t="s">
        <v>13627</v>
      </c>
      <c r="C3348" s="1126" t="s">
        <v>1731</v>
      </c>
      <c r="D3348" s="1119">
        <v>12.51</v>
      </c>
      <c r="E3348" s="1120">
        <v>6.61</v>
      </c>
      <c r="F3348" s="1121">
        <f t="shared" si="1"/>
        <v>5.91</v>
      </c>
      <c r="G3348" s="1120">
        <v>5.91</v>
      </c>
      <c r="H3348" s="1127">
        <v>0.0</v>
      </c>
      <c r="I3348" s="1127">
        <v>0.0</v>
      </c>
      <c r="J3348" s="1127">
        <v>0.0</v>
      </c>
      <c r="K3348" s="1124"/>
    </row>
    <row r="3349" ht="15.75" customHeight="1">
      <c r="A3349" s="1119">
        <v>98286.0</v>
      </c>
      <c r="B3349" s="1125" t="s">
        <v>13628</v>
      </c>
      <c r="C3349" s="1126" t="s">
        <v>1731</v>
      </c>
      <c r="D3349" s="1119">
        <v>16.76</v>
      </c>
      <c r="E3349" s="1120">
        <v>7.51</v>
      </c>
      <c r="F3349" s="1121">
        <f t="shared" si="1"/>
        <v>9.26</v>
      </c>
      <c r="G3349" s="1120">
        <v>9.26</v>
      </c>
      <c r="H3349" s="1127">
        <v>0.0</v>
      </c>
      <c r="I3349" s="1127">
        <v>0.0</v>
      </c>
      <c r="J3349" s="1127">
        <v>0.0</v>
      </c>
      <c r="K3349" s="1124"/>
    </row>
    <row r="3350" ht="15.75" customHeight="1">
      <c r="A3350" s="1119">
        <v>98287.0</v>
      </c>
      <c r="B3350" s="1125" t="s">
        <v>13629</v>
      </c>
      <c r="C3350" s="1126" t="s">
        <v>1731</v>
      </c>
      <c r="D3350" s="1119">
        <v>1.63</v>
      </c>
      <c r="E3350" s="1120">
        <v>0.66</v>
      </c>
      <c r="F3350" s="1121">
        <f t="shared" si="1"/>
        <v>0.98</v>
      </c>
      <c r="G3350" s="1120">
        <v>0.98</v>
      </c>
      <c r="H3350" s="1127">
        <v>0.0</v>
      </c>
      <c r="I3350" s="1127">
        <v>0.0</v>
      </c>
      <c r="J3350" s="1127">
        <v>0.0</v>
      </c>
      <c r="K3350" s="1124"/>
    </row>
    <row r="3351" ht="15.75" customHeight="1">
      <c r="A3351" s="1119">
        <v>98288.0</v>
      </c>
      <c r="B3351" s="1125" t="s">
        <v>13630</v>
      </c>
      <c r="C3351" s="1126" t="s">
        <v>1731</v>
      </c>
      <c r="D3351" s="1119">
        <v>2.48</v>
      </c>
      <c r="E3351" s="1120">
        <v>0.77</v>
      </c>
      <c r="F3351" s="1121">
        <f t="shared" si="1"/>
        <v>1.71</v>
      </c>
      <c r="G3351" s="1120">
        <v>1.71</v>
      </c>
      <c r="H3351" s="1127">
        <v>0.0</v>
      </c>
      <c r="I3351" s="1127">
        <v>0.0</v>
      </c>
      <c r="J3351" s="1127">
        <v>0.0</v>
      </c>
      <c r="K3351" s="1124"/>
    </row>
    <row r="3352" ht="15.75" customHeight="1">
      <c r="A3352" s="1119">
        <v>98289.0</v>
      </c>
      <c r="B3352" s="1125" t="s">
        <v>13631</v>
      </c>
      <c r="C3352" s="1126" t="s">
        <v>1731</v>
      </c>
      <c r="D3352" s="1119">
        <v>2.73</v>
      </c>
      <c r="E3352" s="1120">
        <v>0.89</v>
      </c>
      <c r="F3352" s="1121">
        <f t="shared" si="1"/>
        <v>1.84</v>
      </c>
      <c r="G3352" s="1120">
        <v>1.84</v>
      </c>
      <c r="H3352" s="1127">
        <v>0.0</v>
      </c>
      <c r="I3352" s="1127">
        <v>0.0</v>
      </c>
      <c r="J3352" s="1127">
        <v>0.0</v>
      </c>
      <c r="K3352" s="1124"/>
    </row>
    <row r="3353" ht="15.75" customHeight="1">
      <c r="A3353" s="1119">
        <v>98290.0</v>
      </c>
      <c r="B3353" s="1125" t="s">
        <v>13632</v>
      </c>
      <c r="C3353" s="1126" t="s">
        <v>1731</v>
      </c>
      <c r="D3353" s="1119">
        <v>3.63</v>
      </c>
      <c r="E3353" s="1120">
        <v>0.97</v>
      </c>
      <c r="F3353" s="1121">
        <f t="shared" si="1"/>
        <v>2.66</v>
      </c>
      <c r="G3353" s="1120">
        <v>2.66</v>
      </c>
      <c r="H3353" s="1127">
        <v>0.0</v>
      </c>
      <c r="I3353" s="1127">
        <v>0.0</v>
      </c>
      <c r="J3353" s="1127">
        <v>0.0</v>
      </c>
      <c r="K3353" s="1124"/>
    </row>
    <row r="3354" ht="15.75" customHeight="1">
      <c r="A3354" s="1119">
        <v>98291.0</v>
      </c>
      <c r="B3354" s="1125" t="s">
        <v>13633</v>
      </c>
      <c r="C3354" s="1126" t="s">
        <v>1731</v>
      </c>
      <c r="D3354" s="1119">
        <v>4.25</v>
      </c>
      <c r="E3354" s="1120">
        <v>1.04</v>
      </c>
      <c r="F3354" s="1121">
        <f t="shared" si="1"/>
        <v>3.22</v>
      </c>
      <c r="G3354" s="1120">
        <v>3.22</v>
      </c>
      <c r="H3354" s="1127">
        <v>0.0</v>
      </c>
      <c r="I3354" s="1127">
        <v>0.0</v>
      </c>
      <c r="J3354" s="1127">
        <v>0.0</v>
      </c>
      <c r="K3354" s="1124"/>
    </row>
    <row r="3355" ht="15.75" customHeight="1">
      <c r="A3355" s="1119">
        <v>98292.0</v>
      </c>
      <c r="B3355" s="1125" t="s">
        <v>13634</v>
      </c>
      <c r="C3355" s="1126" t="s">
        <v>1731</v>
      </c>
      <c r="D3355" s="1119">
        <v>5.07</v>
      </c>
      <c r="E3355" s="1120">
        <v>1.08</v>
      </c>
      <c r="F3355" s="1121">
        <f t="shared" si="1"/>
        <v>3.99</v>
      </c>
      <c r="G3355" s="1120">
        <v>3.99</v>
      </c>
      <c r="H3355" s="1127">
        <v>0.0</v>
      </c>
      <c r="I3355" s="1127">
        <v>0.0</v>
      </c>
      <c r="J3355" s="1127">
        <v>0.0</v>
      </c>
      <c r="K3355" s="1124"/>
    </row>
    <row r="3356" ht="15.75" customHeight="1">
      <c r="A3356" s="1119">
        <v>98293.0</v>
      </c>
      <c r="B3356" s="1125" t="s">
        <v>13635</v>
      </c>
      <c r="C3356" s="1126" t="s">
        <v>1731</v>
      </c>
      <c r="D3356" s="1119">
        <v>9.31</v>
      </c>
      <c r="E3356" s="1120">
        <v>2.0</v>
      </c>
      <c r="F3356" s="1121">
        <f t="shared" si="1"/>
        <v>7.31</v>
      </c>
      <c r="G3356" s="1120">
        <v>7.31</v>
      </c>
      <c r="H3356" s="1127">
        <v>0.0</v>
      </c>
      <c r="I3356" s="1127">
        <v>0.0</v>
      </c>
      <c r="J3356" s="1127">
        <v>0.0</v>
      </c>
      <c r="K3356" s="1124"/>
    </row>
    <row r="3357" ht="15.75" customHeight="1">
      <c r="A3357" s="1119">
        <v>98400.0</v>
      </c>
      <c r="B3357" s="1125" t="s">
        <v>13636</v>
      </c>
      <c r="C3357" s="1126" t="s">
        <v>1731</v>
      </c>
      <c r="D3357" s="1119">
        <v>14.54</v>
      </c>
      <c r="E3357" s="1120">
        <v>4.06</v>
      </c>
      <c r="F3357" s="1121">
        <f t="shared" si="1"/>
        <v>10.48</v>
      </c>
      <c r="G3357" s="1120">
        <v>10.48</v>
      </c>
      <c r="H3357" s="1127">
        <v>0.0</v>
      </c>
      <c r="I3357" s="1127">
        <v>0.0</v>
      </c>
      <c r="J3357" s="1127">
        <v>0.0</v>
      </c>
      <c r="K3357" s="1124"/>
    </row>
    <row r="3358" ht="15.75" customHeight="1">
      <c r="A3358" s="1119">
        <v>98401.0</v>
      </c>
      <c r="B3358" s="1125" t="s">
        <v>13637</v>
      </c>
      <c r="C3358" s="1126" t="s">
        <v>1731</v>
      </c>
      <c r="D3358" s="1119">
        <v>22.15</v>
      </c>
      <c r="E3358" s="1120">
        <v>4.61</v>
      </c>
      <c r="F3358" s="1121">
        <f t="shared" si="1"/>
        <v>17.54</v>
      </c>
      <c r="G3358" s="1120">
        <v>17.54</v>
      </c>
      <c r="H3358" s="1127">
        <v>0.0</v>
      </c>
      <c r="I3358" s="1127">
        <v>0.0</v>
      </c>
      <c r="J3358" s="1127">
        <v>0.0</v>
      </c>
      <c r="K3358" s="1124"/>
    </row>
    <row r="3359" ht="15.75" customHeight="1">
      <c r="A3359" s="1119">
        <v>98402.0</v>
      </c>
      <c r="B3359" s="1125" t="s">
        <v>13638</v>
      </c>
      <c r="C3359" s="1126" t="s">
        <v>1731</v>
      </c>
      <c r="D3359" s="1119">
        <v>25.73</v>
      </c>
      <c r="E3359" s="1120">
        <v>5.06</v>
      </c>
      <c r="F3359" s="1121">
        <f t="shared" si="1"/>
        <v>20.68</v>
      </c>
      <c r="G3359" s="1120">
        <v>20.68</v>
      </c>
      <c r="H3359" s="1127">
        <v>0.0</v>
      </c>
      <c r="I3359" s="1127">
        <v>0.0</v>
      </c>
      <c r="J3359" s="1127">
        <v>0.0</v>
      </c>
      <c r="K3359" s="1124"/>
    </row>
    <row r="3360" ht="15.75" customHeight="1">
      <c r="A3360" s="1119">
        <v>100556.0</v>
      </c>
      <c r="B3360" s="1125" t="s">
        <v>13639</v>
      </c>
      <c r="C3360" s="1126" t="s">
        <v>1788</v>
      </c>
      <c r="D3360" s="1119">
        <v>42.59</v>
      </c>
      <c r="E3360" s="1120">
        <v>15.32</v>
      </c>
      <c r="F3360" s="1121">
        <f t="shared" si="1"/>
        <v>27.26</v>
      </c>
      <c r="G3360" s="1120">
        <v>27.26</v>
      </c>
      <c r="H3360" s="1127">
        <v>0.0</v>
      </c>
      <c r="I3360" s="1127">
        <v>0.0</v>
      </c>
      <c r="J3360" s="1127">
        <v>0.0</v>
      </c>
      <c r="K3360" s="1124"/>
    </row>
    <row r="3361" ht="15.75" customHeight="1">
      <c r="A3361" s="1119">
        <v>100557.0</v>
      </c>
      <c r="B3361" s="1125" t="s">
        <v>13640</v>
      </c>
      <c r="C3361" s="1126" t="s">
        <v>1788</v>
      </c>
      <c r="D3361" s="1119">
        <v>469.96</v>
      </c>
      <c r="E3361" s="1120">
        <v>45.79</v>
      </c>
      <c r="F3361" s="1121">
        <f t="shared" si="1"/>
        <v>424.17</v>
      </c>
      <c r="G3361" s="1120">
        <v>424.17</v>
      </c>
      <c r="H3361" s="1127">
        <v>0.0</v>
      </c>
      <c r="I3361" s="1127">
        <v>0.0</v>
      </c>
      <c r="J3361" s="1127">
        <v>0.0</v>
      </c>
      <c r="K3361" s="1124"/>
    </row>
    <row r="3362" ht="15.75" customHeight="1">
      <c r="A3362" s="1119">
        <v>100560.0</v>
      </c>
      <c r="B3362" s="1125" t="s">
        <v>13641</v>
      </c>
      <c r="C3362" s="1126" t="s">
        <v>1788</v>
      </c>
      <c r="D3362" s="1119">
        <v>115.1</v>
      </c>
      <c r="E3362" s="1120">
        <v>39.82</v>
      </c>
      <c r="F3362" s="1121">
        <f t="shared" si="1"/>
        <v>75.29</v>
      </c>
      <c r="G3362" s="1120">
        <v>75.29</v>
      </c>
      <c r="H3362" s="1127">
        <v>0.0</v>
      </c>
      <c r="I3362" s="1127">
        <v>0.0</v>
      </c>
      <c r="J3362" s="1127">
        <v>0.0</v>
      </c>
      <c r="K3362" s="1124"/>
    </row>
    <row r="3363" ht="15.75" customHeight="1">
      <c r="A3363" s="1119">
        <v>100561.0</v>
      </c>
      <c r="B3363" s="1125" t="s">
        <v>13642</v>
      </c>
      <c r="C3363" s="1126" t="s">
        <v>1788</v>
      </c>
      <c r="D3363" s="1119">
        <v>198.99</v>
      </c>
      <c r="E3363" s="1120">
        <v>45.47</v>
      </c>
      <c r="F3363" s="1121">
        <f t="shared" si="1"/>
        <v>153.5</v>
      </c>
      <c r="G3363" s="1120">
        <v>153.5</v>
      </c>
      <c r="H3363" s="1127">
        <v>0.0</v>
      </c>
      <c r="I3363" s="1127">
        <v>0.0</v>
      </c>
      <c r="J3363" s="1127">
        <v>0.0</v>
      </c>
      <c r="K3363" s="1124"/>
    </row>
    <row r="3364" ht="15.75" customHeight="1">
      <c r="A3364" s="1119">
        <v>100562.0</v>
      </c>
      <c r="B3364" s="1125" t="s">
        <v>13643</v>
      </c>
      <c r="C3364" s="1126" t="s">
        <v>1788</v>
      </c>
      <c r="D3364" s="1119">
        <v>300.45</v>
      </c>
      <c r="E3364" s="1120">
        <v>51.88</v>
      </c>
      <c r="F3364" s="1121">
        <f t="shared" si="1"/>
        <v>248.58</v>
      </c>
      <c r="G3364" s="1120">
        <v>248.58</v>
      </c>
      <c r="H3364" s="1127">
        <v>0.0</v>
      </c>
      <c r="I3364" s="1127">
        <v>0.0</v>
      </c>
      <c r="J3364" s="1127">
        <v>0.0</v>
      </c>
      <c r="K3364" s="1124"/>
    </row>
    <row r="3365" ht="15.75" customHeight="1">
      <c r="A3365" s="1119">
        <v>100563.0</v>
      </c>
      <c r="B3365" s="1125" t="s">
        <v>13644</v>
      </c>
      <c r="C3365" s="1126" t="s">
        <v>1788</v>
      </c>
      <c r="D3365" s="1119">
        <v>426.71</v>
      </c>
      <c r="E3365" s="1120">
        <v>59.1</v>
      </c>
      <c r="F3365" s="1121">
        <f t="shared" si="1"/>
        <v>367.62</v>
      </c>
      <c r="G3365" s="1120">
        <v>367.62</v>
      </c>
      <c r="H3365" s="1127">
        <v>0.0</v>
      </c>
      <c r="I3365" s="1127">
        <v>0.0</v>
      </c>
      <c r="J3365" s="1127">
        <v>0.0</v>
      </c>
      <c r="K3365" s="1124"/>
    </row>
    <row r="3366" ht="15.75" customHeight="1">
      <c r="A3366" s="1119">
        <v>101795.0</v>
      </c>
      <c r="B3366" s="1125" t="s">
        <v>13645</v>
      </c>
      <c r="C3366" s="1126" t="s">
        <v>1788</v>
      </c>
      <c r="D3366" s="1119">
        <v>589.93</v>
      </c>
      <c r="E3366" s="1120">
        <v>235.83</v>
      </c>
      <c r="F3366" s="1121">
        <f t="shared" si="1"/>
        <v>354.14</v>
      </c>
      <c r="G3366" s="1120">
        <v>348.54</v>
      </c>
      <c r="H3366" s="1127">
        <v>5.27</v>
      </c>
      <c r="I3366" s="1127">
        <v>0.0</v>
      </c>
      <c r="J3366" s="1127">
        <v>0.33</v>
      </c>
      <c r="K3366" s="1124"/>
    </row>
    <row r="3367" ht="15.75" customHeight="1">
      <c r="A3367" s="1119">
        <v>101798.0</v>
      </c>
      <c r="B3367" s="1125" t="s">
        <v>13646</v>
      </c>
      <c r="C3367" s="1126" t="s">
        <v>1788</v>
      </c>
      <c r="D3367" s="1119">
        <v>400.47</v>
      </c>
      <c r="E3367" s="1120">
        <v>38.95</v>
      </c>
      <c r="F3367" s="1121">
        <f t="shared" si="1"/>
        <v>361.51</v>
      </c>
      <c r="G3367" s="1120">
        <v>361.51</v>
      </c>
      <c r="H3367" s="1127">
        <v>0.0</v>
      </c>
      <c r="I3367" s="1127">
        <v>0.0</v>
      </c>
      <c r="J3367" s="1127">
        <v>0.0</v>
      </c>
      <c r="K3367" s="1124"/>
    </row>
    <row r="3368" ht="15.75" customHeight="1">
      <c r="A3368" s="1119">
        <v>101799.0</v>
      </c>
      <c r="B3368" s="1125" t="s">
        <v>13647</v>
      </c>
      <c r="C3368" s="1126" t="s">
        <v>1788</v>
      </c>
      <c r="D3368" s="1119">
        <v>967.15</v>
      </c>
      <c r="E3368" s="1120">
        <v>64.29</v>
      </c>
      <c r="F3368" s="1121">
        <f t="shared" si="1"/>
        <v>902.87</v>
      </c>
      <c r="G3368" s="1120">
        <v>902.87</v>
      </c>
      <c r="H3368" s="1127">
        <v>0.0</v>
      </c>
      <c r="I3368" s="1127">
        <v>0.0</v>
      </c>
      <c r="J3368" s="1127">
        <v>0.0</v>
      </c>
      <c r="K3368" s="1124"/>
    </row>
    <row r="3369" ht="15.75" customHeight="1">
      <c r="A3369" s="1119">
        <v>98397.0</v>
      </c>
      <c r="B3369" s="1125" t="s">
        <v>13648</v>
      </c>
      <c r="C3369" s="1126" t="s">
        <v>1814</v>
      </c>
      <c r="D3369" s="1119">
        <v>14.13</v>
      </c>
      <c r="E3369" s="1120">
        <v>6.08</v>
      </c>
      <c r="F3369" s="1121">
        <f t="shared" si="1"/>
        <v>8.07</v>
      </c>
      <c r="G3369" s="1120">
        <v>8.07</v>
      </c>
      <c r="H3369" s="1127">
        <v>0.0</v>
      </c>
      <c r="I3369" s="1127">
        <v>0.0</v>
      </c>
      <c r="J3369" s="1127">
        <v>0.0</v>
      </c>
      <c r="K3369" s="1124"/>
    </row>
    <row r="3370" ht="15.75" customHeight="1">
      <c r="A3370" s="1119">
        <v>103244.0</v>
      </c>
      <c r="B3370" s="1125" t="s">
        <v>13649</v>
      </c>
      <c r="C3370" s="1126" t="s">
        <v>1788</v>
      </c>
      <c r="D3370" s="1128">
        <v>2170.2</v>
      </c>
      <c r="E3370" s="1120">
        <v>108.0</v>
      </c>
      <c r="F3370" s="1121">
        <f t="shared" si="1"/>
        <v>2062.21</v>
      </c>
      <c r="G3370" s="1120">
        <v>115.41</v>
      </c>
      <c r="H3370" s="1127">
        <v>1946.8</v>
      </c>
      <c r="I3370" s="1127">
        <v>0.0</v>
      </c>
      <c r="J3370" s="1127">
        <v>0.0</v>
      </c>
      <c r="K3370" s="1124"/>
    </row>
    <row r="3371" ht="15.75" customHeight="1">
      <c r="A3371" s="1119">
        <v>103245.0</v>
      </c>
      <c r="B3371" s="1125" t="s">
        <v>13650</v>
      </c>
      <c r="C3371" s="1126" t="s">
        <v>1788</v>
      </c>
      <c r="D3371" s="1128">
        <v>1722.14</v>
      </c>
      <c r="E3371" s="1120">
        <v>108.0</v>
      </c>
      <c r="F3371" s="1121">
        <f t="shared" si="1"/>
        <v>1614.15</v>
      </c>
      <c r="G3371" s="1120">
        <v>115.41</v>
      </c>
      <c r="H3371" s="1127">
        <v>1498.74</v>
      </c>
      <c r="I3371" s="1127">
        <v>0.0</v>
      </c>
      <c r="J3371" s="1127">
        <v>0.0</v>
      </c>
      <c r="K3371" s="1124"/>
    </row>
    <row r="3372" ht="15.75" customHeight="1">
      <c r="A3372" s="1119">
        <v>103246.0</v>
      </c>
      <c r="B3372" s="1125" t="s">
        <v>13651</v>
      </c>
      <c r="C3372" s="1126" t="s">
        <v>1788</v>
      </c>
      <c r="D3372" s="1128">
        <v>1873.67</v>
      </c>
      <c r="E3372" s="1120">
        <v>108.0</v>
      </c>
      <c r="F3372" s="1121">
        <f t="shared" si="1"/>
        <v>1765.68</v>
      </c>
      <c r="G3372" s="1120">
        <v>115.41</v>
      </c>
      <c r="H3372" s="1127">
        <v>1650.27</v>
      </c>
      <c r="I3372" s="1127">
        <v>0.0</v>
      </c>
      <c r="J3372" s="1127">
        <v>0.0</v>
      </c>
      <c r="K3372" s="1124"/>
    </row>
    <row r="3373" ht="15.75" customHeight="1">
      <c r="A3373" s="1119">
        <v>103247.0</v>
      </c>
      <c r="B3373" s="1125" t="s">
        <v>13652</v>
      </c>
      <c r="C3373" s="1126" t="s">
        <v>1788</v>
      </c>
      <c r="D3373" s="1128">
        <v>2403.25</v>
      </c>
      <c r="E3373" s="1120">
        <v>108.0</v>
      </c>
      <c r="F3373" s="1121">
        <f t="shared" si="1"/>
        <v>2295.26</v>
      </c>
      <c r="G3373" s="1120">
        <v>115.41</v>
      </c>
      <c r="H3373" s="1127">
        <v>2179.85</v>
      </c>
      <c r="I3373" s="1127">
        <v>0.0</v>
      </c>
      <c r="J3373" s="1127">
        <v>0.0</v>
      </c>
      <c r="K3373" s="1124"/>
    </row>
    <row r="3374" ht="15.75" customHeight="1">
      <c r="A3374" s="1119">
        <v>103248.0</v>
      </c>
      <c r="B3374" s="1125" t="s">
        <v>13653</v>
      </c>
      <c r="C3374" s="1126" t="s">
        <v>1788</v>
      </c>
      <c r="D3374" s="1128">
        <v>1972.88</v>
      </c>
      <c r="E3374" s="1120">
        <v>108.0</v>
      </c>
      <c r="F3374" s="1121">
        <f t="shared" si="1"/>
        <v>1864.89</v>
      </c>
      <c r="G3374" s="1120">
        <v>115.41</v>
      </c>
      <c r="H3374" s="1127">
        <v>1749.48</v>
      </c>
      <c r="I3374" s="1127">
        <v>0.0</v>
      </c>
      <c r="J3374" s="1127">
        <v>0.0</v>
      </c>
      <c r="K3374" s="1124"/>
    </row>
    <row r="3375" ht="15.75" customHeight="1">
      <c r="A3375" s="1119">
        <v>103249.0</v>
      </c>
      <c r="B3375" s="1125" t="s">
        <v>13654</v>
      </c>
      <c r="C3375" s="1126" t="s">
        <v>1788</v>
      </c>
      <c r="D3375" s="1128">
        <v>2115.88</v>
      </c>
      <c r="E3375" s="1120">
        <v>108.0</v>
      </c>
      <c r="F3375" s="1121">
        <f t="shared" si="1"/>
        <v>2007.89</v>
      </c>
      <c r="G3375" s="1120">
        <v>115.41</v>
      </c>
      <c r="H3375" s="1127">
        <v>1892.48</v>
      </c>
      <c r="I3375" s="1127">
        <v>0.0</v>
      </c>
      <c r="J3375" s="1127">
        <v>0.0</v>
      </c>
      <c r="K3375" s="1124"/>
    </row>
    <row r="3376" ht="15.75" customHeight="1">
      <c r="A3376" s="1119">
        <v>103250.0</v>
      </c>
      <c r="B3376" s="1125" t="s">
        <v>13655</v>
      </c>
      <c r="C3376" s="1126" t="s">
        <v>1788</v>
      </c>
      <c r="D3376" s="1128">
        <v>3471.16</v>
      </c>
      <c r="E3376" s="1120">
        <v>116.77</v>
      </c>
      <c r="F3376" s="1121">
        <f t="shared" si="1"/>
        <v>3354.38</v>
      </c>
      <c r="G3376" s="1120">
        <v>118.33</v>
      </c>
      <c r="H3376" s="1127">
        <v>3236.05</v>
      </c>
      <c r="I3376" s="1127">
        <v>0.0</v>
      </c>
      <c r="J3376" s="1127">
        <v>0.0</v>
      </c>
      <c r="K3376" s="1124"/>
    </row>
    <row r="3377" ht="15.75" customHeight="1">
      <c r="A3377" s="1119">
        <v>103251.0</v>
      </c>
      <c r="B3377" s="1125" t="s">
        <v>13656</v>
      </c>
      <c r="C3377" s="1126" t="s">
        <v>1788</v>
      </c>
      <c r="D3377" s="1128">
        <v>2752.38</v>
      </c>
      <c r="E3377" s="1120">
        <v>116.77</v>
      </c>
      <c r="F3377" s="1121">
        <f t="shared" si="1"/>
        <v>2635.6</v>
      </c>
      <c r="G3377" s="1120">
        <v>118.33</v>
      </c>
      <c r="H3377" s="1127">
        <v>2517.27</v>
      </c>
      <c r="I3377" s="1127">
        <v>0.0</v>
      </c>
      <c r="J3377" s="1127">
        <v>0.0</v>
      </c>
      <c r="K3377" s="1124"/>
    </row>
    <row r="3378" ht="15.75" customHeight="1">
      <c r="A3378" s="1119">
        <v>103252.0</v>
      </c>
      <c r="B3378" s="1125" t="s">
        <v>13657</v>
      </c>
      <c r="C3378" s="1126" t="s">
        <v>1788</v>
      </c>
      <c r="D3378" s="1128">
        <v>3042.24</v>
      </c>
      <c r="E3378" s="1120">
        <v>116.77</v>
      </c>
      <c r="F3378" s="1121">
        <f t="shared" si="1"/>
        <v>2925.46</v>
      </c>
      <c r="G3378" s="1120">
        <v>118.33</v>
      </c>
      <c r="H3378" s="1127">
        <v>2807.13</v>
      </c>
      <c r="I3378" s="1127">
        <v>0.0</v>
      </c>
      <c r="J3378" s="1127">
        <v>0.0</v>
      </c>
      <c r="K3378" s="1124"/>
    </row>
    <row r="3379" ht="15.75" customHeight="1">
      <c r="A3379" s="1119">
        <v>103253.0</v>
      </c>
      <c r="B3379" s="1125" t="s">
        <v>13658</v>
      </c>
      <c r="C3379" s="1126" t="s">
        <v>1788</v>
      </c>
      <c r="D3379" s="1128">
        <v>4714.44</v>
      </c>
      <c r="E3379" s="1120">
        <v>121.88</v>
      </c>
      <c r="F3379" s="1121">
        <f t="shared" si="1"/>
        <v>4592.55</v>
      </c>
      <c r="G3379" s="1120">
        <v>120.09</v>
      </c>
      <c r="H3379" s="1127">
        <v>4472.46</v>
      </c>
      <c r="I3379" s="1127">
        <v>0.0</v>
      </c>
      <c r="J3379" s="1127">
        <v>0.0</v>
      </c>
      <c r="K3379" s="1124"/>
    </row>
    <row r="3380" ht="15.75" customHeight="1">
      <c r="A3380" s="1119">
        <v>103254.0</v>
      </c>
      <c r="B3380" s="1125" t="s">
        <v>13659</v>
      </c>
      <c r="C3380" s="1126" t="s">
        <v>1788</v>
      </c>
      <c r="D3380" s="1128">
        <v>3539.31</v>
      </c>
      <c r="E3380" s="1120">
        <v>121.88</v>
      </c>
      <c r="F3380" s="1121">
        <f t="shared" si="1"/>
        <v>3417.42</v>
      </c>
      <c r="G3380" s="1120">
        <v>120.09</v>
      </c>
      <c r="H3380" s="1127">
        <v>3297.33</v>
      </c>
      <c r="I3380" s="1127">
        <v>0.0</v>
      </c>
      <c r="J3380" s="1127">
        <v>0.0</v>
      </c>
      <c r="K3380" s="1124"/>
    </row>
    <row r="3381" ht="15.75" customHeight="1">
      <c r="A3381" s="1119">
        <v>103255.0</v>
      </c>
      <c r="B3381" s="1125" t="s">
        <v>13660</v>
      </c>
      <c r="C3381" s="1126" t="s">
        <v>1788</v>
      </c>
      <c r="D3381" s="1128">
        <v>3953.93</v>
      </c>
      <c r="E3381" s="1120">
        <v>121.88</v>
      </c>
      <c r="F3381" s="1121">
        <f t="shared" si="1"/>
        <v>3832.04</v>
      </c>
      <c r="G3381" s="1120">
        <v>120.09</v>
      </c>
      <c r="H3381" s="1127">
        <v>3711.95</v>
      </c>
      <c r="I3381" s="1127">
        <v>0.0</v>
      </c>
      <c r="J3381" s="1127">
        <v>0.0</v>
      </c>
      <c r="K3381" s="1124"/>
    </row>
    <row r="3382" ht="15.75" customHeight="1">
      <c r="A3382" s="1119">
        <v>103256.0</v>
      </c>
      <c r="B3382" s="1125" t="s">
        <v>13661</v>
      </c>
      <c r="C3382" s="1126" t="s">
        <v>1788</v>
      </c>
      <c r="D3382" s="1128">
        <v>8729.45</v>
      </c>
      <c r="E3382" s="1120">
        <v>179.12</v>
      </c>
      <c r="F3382" s="1121">
        <f t="shared" si="1"/>
        <v>8550.33</v>
      </c>
      <c r="G3382" s="1120">
        <v>158.08</v>
      </c>
      <c r="H3382" s="1127">
        <v>8392.25</v>
      </c>
      <c r="I3382" s="1127">
        <v>0.0</v>
      </c>
      <c r="J3382" s="1127">
        <v>0.0</v>
      </c>
      <c r="K3382" s="1124"/>
    </row>
    <row r="3383" ht="15.75" customHeight="1">
      <c r="A3383" s="1119">
        <v>103257.0</v>
      </c>
      <c r="B3383" s="1125" t="s">
        <v>13662</v>
      </c>
      <c r="C3383" s="1126" t="s">
        <v>1788</v>
      </c>
      <c r="D3383" s="1128">
        <v>5018.56</v>
      </c>
      <c r="E3383" s="1120">
        <v>179.12</v>
      </c>
      <c r="F3383" s="1121">
        <f t="shared" si="1"/>
        <v>4839.44</v>
      </c>
      <c r="G3383" s="1120">
        <v>149.78</v>
      </c>
      <c r="H3383" s="1127">
        <v>4689.66</v>
      </c>
      <c r="I3383" s="1127">
        <v>0.0</v>
      </c>
      <c r="J3383" s="1127">
        <v>0.0</v>
      </c>
      <c r="K3383" s="1124"/>
    </row>
    <row r="3384" ht="15.75" customHeight="1">
      <c r="A3384" s="1119">
        <v>103258.0</v>
      </c>
      <c r="B3384" s="1125" t="s">
        <v>13663</v>
      </c>
      <c r="C3384" s="1126" t="s">
        <v>1788</v>
      </c>
      <c r="D3384" s="1128">
        <v>9751.95</v>
      </c>
      <c r="E3384" s="1120">
        <v>183.88</v>
      </c>
      <c r="F3384" s="1121">
        <f t="shared" si="1"/>
        <v>9568.06</v>
      </c>
      <c r="G3384" s="1120">
        <v>159.65</v>
      </c>
      <c r="H3384" s="1127">
        <v>9408.41</v>
      </c>
      <c r="I3384" s="1127">
        <v>0.0</v>
      </c>
      <c r="J3384" s="1127">
        <v>0.0</v>
      </c>
      <c r="K3384" s="1124"/>
    </row>
    <row r="3385" ht="15.75" customHeight="1">
      <c r="A3385" s="1119">
        <v>103259.0</v>
      </c>
      <c r="B3385" s="1125" t="s">
        <v>13664</v>
      </c>
      <c r="C3385" s="1126" t="s">
        <v>1788</v>
      </c>
      <c r="D3385" s="1128">
        <v>5290.2</v>
      </c>
      <c r="E3385" s="1120">
        <v>183.88</v>
      </c>
      <c r="F3385" s="1121">
        <f t="shared" si="1"/>
        <v>5106.31</v>
      </c>
      <c r="G3385" s="1120">
        <v>159.65</v>
      </c>
      <c r="H3385" s="1127">
        <v>4946.66</v>
      </c>
      <c r="I3385" s="1127">
        <v>0.0</v>
      </c>
      <c r="J3385" s="1127">
        <v>0.0</v>
      </c>
      <c r="K3385" s="1124"/>
    </row>
    <row r="3386" ht="15.75" customHeight="1">
      <c r="A3386" s="1119">
        <v>103260.0</v>
      </c>
      <c r="B3386" s="1125" t="s">
        <v>13665</v>
      </c>
      <c r="C3386" s="1126" t="s">
        <v>1788</v>
      </c>
      <c r="D3386" s="1128">
        <v>5432.19</v>
      </c>
      <c r="E3386" s="1120">
        <v>183.88</v>
      </c>
      <c r="F3386" s="1121">
        <f t="shared" si="1"/>
        <v>5248.3</v>
      </c>
      <c r="G3386" s="1120">
        <v>159.65</v>
      </c>
      <c r="H3386" s="1127">
        <v>5088.65</v>
      </c>
      <c r="I3386" s="1127">
        <v>0.0</v>
      </c>
      <c r="J3386" s="1127">
        <v>0.0</v>
      </c>
      <c r="K3386" s="1124"/>
    </row>
    <row r="3387" ht="15.75" customHeight="1">
      <c r="A3387" s="1119">
        <v>103261.0</v>
      </c>
      <c r="B3387" s="1125" t="s">
        <v>13666</v>
      </c>
      <c r="C3387" s="1126" t="s">
        <v>1788</v>
      </c>
      <c r="D3387" s="1128">
        <v>10997.09</v>
      </c>
      <c r="E3387" s="1120">
        <v>201.88</v>
      </c>
      <c r="F3387" s="1121">
        <f t="shared" si="1"/>
        <v>10795.21</v>
      </c>
      <c r="G3387" s="1120">
        <v>165.76</v>
      </c>
      <c r="H3387" s="1127">
        <v>10629.45</v>
      </c>
      <c r="I3387" s="1127">
        <v>0.0</v>
      </c>
      <c r="J3387" s="1127">
        <v>0.0</v>
      </c>
      <c r="K3387" s="1124"/>
    </row>
    <row r="3388" ht="15.75" customHeight="1">
      <c r="A3388" s="1119">
        <v>103262.0</v>
      </c>
      <c r="B3388" s="1125" t="s">
        <v>13667</v>
      </c>
      <c r="C3388" s="1126" t="s">
        <v>1788</v>
      </c>
      <c r="D3388" s="1128">
        <v>6931.84</v>
      </c>
      <c r="E3388" s="1120">
        <v>201.88</v>
      </c>
      <c r="F3388" s="1121">
        <f t="shared" si="1"/>
        <v>6729.96</v>
      </c>
      <c r="G3388" s="1120">
        <v>165.76</v>
      </c>
      <c r="H3388" s="1127">
        <v>6564.2</v>
      </c>
      <c r="I3388" s="1127">
        <v>0.0</v>
      </c>
      <c r="J3388" s="1127">
        <v>0.0</v>
      </c>
      <c r="K3388" s="1124"/>
    </row>
    <row r="3389" ht="15.75" customHeight="1">
      <c r="A3389" s="1119">
        <v>103263.0</v>
      </c>
      <c r="B3389" s="1125" t="s">
        <v>13668</v>
      </c>
      <c r="C3389" s="1126" t="s">
        <v>1788</v>
      </c>
      <c r="D3389" s="1128">
        <v>15291.7</v>
      </c>
      <c r="E3389" s="1120">
        <v>310.19</v>
      </c>
      <c r="F3389" s="1121">
        <f t="shared" si="1"/>
        <v>14981.52</v>
      </c>
      <c r="G3389" s="1120">
        <v>117.82</v>
      </c>
      <c r="H3389" s="1127">
        <v>14861.99</v>
      </c>
      <c r="I3389" s="1127">
        <v>0.0</v>
      </c>
      <c r="J3389" s="1127">
        <v>1.71</v>
      </c>
      <c r="K3389" s="1124"/>
    </row>
    <row r="3390" ht="15.75" customHeight="1">
      <c r="A3390" s="1119">
        <v>103264.0</v>
      </c>
      <c r="B3390" s="1125" t="s">
        <v>13669</v>
      </c>
      <c r="C3390" s="1126" t="s">
        <v>1788</v>
      </c>
      <c r="D3390" s="1128">
        <v>8635.71</v>
      </c>
      <c r="E3390" s="1120">
        <v>310.19</v>
      </c>
      <c r="F3390" s="1121">
        <f t="shared" si="1"/>
        <v>8325.53</v>
      </c>
      <c r="G3390" s="1120">
        <v>117.82</v>
      </c>
      <c r="H3390" s="1127">
        <v>8206.0</v>
      </c>
      <c r="I3390" s="1127">
        <v>0.0</v>
      </c>
      <c r="J3390" s="1127">
        <v>1.71</v>
      </c>
      <c r="K3390" s="1124"/>
    </row>
    <row r="3391" ht="15.75" customHeight="1">
      <c r="A3391" s="1119">
        <v>103265.0</v>
      </c>
      <c r="B3391" s="1125" t="s">
        <v>13670</v>
      </c>
      <c r="C3391" s="1126" t="s">
        <v>1788</v>
      </c>
      <c r="D3391" s="1128">
        <v>18407.24</v>
      </c>
      <c r="E3391" s="1120">
        <v>310.19</v>
      </c>
      <c r="F3391" s="1121">
        <f t="shared" si="1"/>
        <v>18097.06</v>
      </c>
      <c r="G3391" s="1120">
        <v>117.82</v>
      </c>
      <c r="H3391" s="1127">
        <v>17977.53</v>
      </c>
      <c r="I3391" s="1127">
        <v>0.0</v>
      </c>
      <c r="J3391" s="1127">
        <v>1.71</v>
      </c>
      <c r="K3391" s="1124"/>
    </row>
    <row r="3392" ht="15.75" customHeight="1">
      <c r="A3392" s="1119">
        <v>103266.0</v>
      </c>
      <c r="B3392" s="1125" t="s">
        <v>13671</v>
      </c>
      <c r="C3392" s="1126" t="s">
        <v>1788</v>
      </c>
      <c r="D3392" s="1128">
        <v>9628.55</v>
      </c>
      <c r="E3392" s="1120">
        <v>310.19</v>
      </c>
      <c r="F3392" s="1121">
        <f t="shared" si="1"/>
        <v>9318.37</v>
      </c>
      <c r="G3392" s="1120">
        <v>117.82</v>
      </c>
      <c r="H3392" s="1127">
        <v>9198.84</v>
      </c>
      <c r="I3392" s="1127">
        <v>0.0</v>
      </c>
      <c r="J3392" s="1127">
        <v>1.71</v>
      </c>
      <c r="K3392" s="1124"/>
    </row>
    <row r="3393" ht="15.75" customHeight="1">
      <c r="A3393" s="1119">
        <v>103267.0</v>
      </c>
      <c r="B3393" s="1125" t="s">
        <v>13672</v>
      </c>
      <c r="C3393" s="1126" t="s">
        <v>1788</v>
      </c>
      <c r="D3393" s="1128">
        <v>5482.77</v>
      </c>
      <c r="E3393" s="1120">
        <v>183.8</v>
      </c>
      <c r="F3393" s="1121">
        <f t="shared" si="1"/>
        <v>5298.97</v>
      </c>
      <c r="G3393" s="1120">
        <v>154.75</v>
      </c>
      <c r="H3393" s="1127">
        <v>5144.22</v>
      </c>
      <c r="I3393" s="1127">
        <v>0.0</v>
      </c>
      <c r="J3393" s="1127">
        <v>0.0</v>
      </c>
      <c r="K3393" s="1124"/>
    </row>
    <row r="3394" ht="15.75" customHeight="1">
      <c r="A3394" s="1119">
        <v>103268.0</v>
      </c>
      <c r="B3394" s="1125" t="s">
        <v>13673</v>
      </c>
      <c r="C3394" s="1126" t="s">
        <v>1788</v>
      </c>
      <c r="D3394" s="1128">
        <v>6494.07</v>
      </c>
      <c r="E3394" s="1120">
        <v>183.8</v>
      </c>
      <c r="F3394" s="1121">
        <f t="shared" si="1"/>
        <v>6310.27</v>
      </c>
      <c r="G3394" s="1120">
        <v>154.75</v>
      </c>
      <c r="H3394" s="1127">
        <v>6155.52</v>
      </c>
      <c r="I3394" s="1127">
        <v>0.0</v>
      </c>
      <c r="J3394" s="1127">
        <v>0.0</v>
      </c>
      <c r="K3394" s="1124"/>
    </row>
    <row r="3395" ht="15.75" customHeight="1">
      <c r="A3395" s="1119">
        <v>103269.0</v>
      </c>
      <c r="B3395" s="1125" t="s">
        <v>13674</v>
      </c>
      <c r="C3395" s="1126" t="s">
        <v>1788</v>
      </c>
      <c r="D3395" s="1128">
        <v>6723.8</v>
      </c>
      <c r="E3395" s="1120">
        <v>191.08</v>
      </c>
      <c r="F3395" s="1121">
        <f t="shared" si="1"/>
        <v>6532.72</v>
      </c>
      <c r="G3395" s="1120">
        <v>157.2</v>
      </c>
      <c r="H3395" s="1127">
        <v>6375.52</v>
      </c>
      <c r="I3395" s="1127">
        <v>0.0</v>
      </c>
      <c r="J3395" s="1127">
        <v>0.0</v>
      </c>
      <c r="K3395" s="1124"/>
    </row>
    <row r="3396" ht="15.75" customHeight="1">
      <c r="A3396" s="1119">
        <v>103270.0</v>
      </c>
      <c r="B3396" s="1125" t="s">
        <v>13675</v>
      </c>
      <c r="C3396" s="1126" t="s">
        <v>1788</v>
      </c>
      <c r="D3396" s="1128">
        <v>6976.43</v>
      </c>
      <c r="E3396" s="1120">
        <v>191.08</v>
      </c>
      <c r="F3396" s="1121">
        <f t="shared" si="1"/>
        <v>6785.35</v>
      </c>
      <c r="G3396" s="1120">
        <v>157.2</v>
      </c>
      <c r="H3396" s="1127">
        <v>6628.15</v>
      </c>
      <c r="I3396" s="1127">
        <v>0.0</v>
      </c>
      <c r="J3396" s="1127">
        <v>0.0</v>
      </c>
      <c r="K3396" s="1124"/>
    </row>
    <row r="3397" ht="15.75" customHeight="1">
      <c r="A3397" s="1119">
        <v>103271.0</v>
      </c>
      <c r="B3397" s="1125" t="s">
        <v>13676</v>
      </c>
      <c r="C3397" s="1126" t="s">
        <v>1788</v>
      </c>
      <c r="D3397" s="1128">
        <v>9860.72</v>
      </c>
      <c r="E3397" s="1120">
        <v>219.97</v>
      </c>
      <c r="F3397" s="1121">
        <f t="shared" si="1"/>
        <v>9640.72</v>
      </c>
      <c r="G3397" s="1120">
        <v>166.91</v>
      </c>
      <c r="H3397" s="1127">
        <v>9473.81</v>
      </c>
      <c r="I3397" s="1127">
        <v>0.0</v>
      </c>
      <c r="J3397" s="1127">
        <v>0.0</v>
      </c>
      <c r="K3397" s="1124"/>
    </row>
    <row r="3398" ht="15.75" customHeight="1">
      <c r="A3398" s="1119">
        <v>103272.0</v>
      </c>
      <c r="B3398" s="1125" t="s">
        <v>13677</v>
      </c>
      <c r="C3398" s="1126" t="s">
        <v>1788</v>
      </c>
      <c r="D3398" s="1128">
        <v>10181.99</v>
      </c>
      <c r="E3398" s="1120">
        <v>219.97</v>
      </c>
      <c r="F3398" s="1121">
        <f t="shared" si="1"/>
        <v>9961.99</v>
      </c>
      <c r="G3398" s="1120">
        <v>166.91</v>
      </c>
      <c r="H3398" s="1127">
        <v>9795.08</v>
      </c>
      <c r="I3398" s="1127">
        <v>0.0</v>
      </c>
      <c r="J3398" s="1127">
        <v>0.0</v>
      </c>
      <c r="K3398" s="1124"/>
    </row>
    <row r="3399" ht="15.75" customHeight="1">
      <c r="A3399" s="1119">
        <v>103273.0</v>
      </c>
      <c r="B3399" s="1125" t="s">
        <v>13678</v>
      </c>
      <c r="C3399" s="1126" t="s">
        <v>1788</v>
      </c>
      <c r="D3399" s="1128">
        <v>10525.23</v>
      </c>
      <c r="E3399" s="1120">
        <v>330.29</v>
      </c>
      <c r="F3399" s="1121">
        <f t="shared" si="1"/>
        <v>10194.93</v>
      </c>
      <c r="G3399" s="1120">
        <v>119.7</v>
      </c>
      <c r="H3399" s="1127">
        <v>10073.52</v>
      </c>
      <c r="I3399" s="1127">
        <v>0.0</v>
      </c>
      <c r="J3399" s="1127">
        <v>1.71</v>
      </c>
      <c r="K3399" s="1124"/>
    </row>
    <row r="3400" ht="15.75" customHeight="1">
      <c r="A3400" s="1119">
        <v>103274.0</v>
      </c>
      <c r="B3400" s="1125" t="s">
        <v>13679</v>
      </c>
      <c r="C3400" s="1126" t="s">
        <v>1788</v>
      </c>
      <c r="D3400" s="1128">
        <v>12036.21</v>
      </c>
      <c r="E3400" s="1120">
        <v>330.29</v>
      </c>
      <c r="F3400" s="1121">
        <f t="shared" si="1"/>
        <v>11705.91</v>
      </c>
      <c r="G3400" s="1120">
        <v>119.7</v>
      </c>
      <c r="H3400" s="1127">
        <v>11584.5</v>
      </c>
      <c r="I3400" s="1127">
        <v>0.0</v>
      </c>
      <c r="J3400" s="1127">
        <v>1.71</v>
      </c>
      <c r="K3400" s="1124"/>
    </row>
    <row r="3401" ht="15.75" customHeight="1">
      <c r="A3401" s="1119">
        <v>103275.0</v>
      </c>
      <c r="B3401" s="1125" t="s">
        <v>13680</v>
      </c>
      <c r="C3401" s="1126" t="s">
        <v>1788</v>
      </c>
      <c r="D3401" s="1128">
        <v>11974.53</v>
      </c>
      <c r="E3401" s="1120">
        <v>330.29</v>
      </c>
      <c r="F3401" s="1121">
        <f t="shared" si="1"/>
        <v>11644.23</v>
      </c>
      <c r="G3401" s="1120">
        <v>119.7</v>
      </c>
      <c r="H3401" s="1127">
        <v>11522.82</v>
      </c>
      <c r="I3401" s="1127">
        <v>0.0</v>
      </c>
      <c r="J3401" s="1127">
        <v>1.71</v>
      </c>
      <c r="K3401" s="1124"/>
    </row>
    <row r="3402" ht="15.75" customHeight="1">
      <c r="A3402" s="1119">
        <v>103276.0</v>
      </c>
      <c r="B3402" s="1125" t="s">
        <v>13681</v>
      </c>
      <c r="C3402" s="1126" t="s">
        <v>1788</v>
      </c>
      <c r="D3402" s="1128">
        <v>12558.92</v>
      </c>
      <c r="E3402" s="1120">
        <v>330.29</v>
      </c>
      <c r="F3402" s="1121">
        <f t="shared" si="1"/>
        <v>12228.62</v>
      </c>
      <c r="G3402" s="1120">
        <v>119.7</v>
      </c>
      <c r="H3402" s="1127">
        <v>12107.21</v>
      </c>
      <c r="I3402" s="1127">
        <v>0.0</v>
      </c>
      <c r="J3402" s="1127">
        <v>1.71</v>
      </c>
      <c r="K3402" s="1124"/>
    </row>
    <row r="3403" ht="15.75" customHeight="1">
      <c r="A3403" s="1119">
        <v>103277.0</v>
      </c>
      <c r="B3403" s="1125" t="s">
        <v>13682</v>
      </c>
      <c r="C3403" s="1126" t="s">
        <v>1788</v>
      </c>
      <c r="D3403" s="1128">
        <v>23135.96</v>
      </c>
      <c r="E3403" s="1120">
        <v>444.97</v>
      </c>
      <c r="F3403" s="1121">
        <f t="shared" si="1"/>
        <v>22690.99</v>
      </c>
      <c r="G3403" s="1120">
        <v>116.22</v>
      </c>
      <c r="H3403" s="1127">
        <v>22571.35</v>
      </c>
      <c r="I3403" s="1127">
        <v>0.0</v>
      </c>
      <c r="J3403" s="1127">
        <v>3.42</v>
      </c>
      <c r="K3403" s="1124"/>
    </row>
    <row r="3404" ht="15.75" customHeight="1">
      <c r="A3404" s="1119">
        <v>103278.0</v>
      </c>
      <c r="B3404" s="1125" t="s">
        <v>13683</v>
      </c>
      <c r="C3404" s="1126" t="s">
        <v>1788</v>
      </c>
      <c r="D3404" s="1128">
        <v>29559.35</v>
      </c>
      <c r="E3404" s="1120">
        <v>454.51</v>
      </c>
      <c r="F3404" s="1121">
        <f t="shared" si="1"/>
        <v>29104.87</v>
      </c>
      <c r="G3404" s="1120">
        <v>119.41</v>
      </c>
      <c r="H3404" s="1127">
        <v>28982.04</v>
      </c>
      <c r="I3404" s="1127">
        <v>0.0</v>
      </c>
      <c r="J3404" s="1127">
        <v>3.42</v>
      </c>
      <c r="K3404" s="1124"/>
    </row>
    <row r="3405" ht="15.75" customHeight="1">
      <c r="A3405" s="1119">
        <v>103288.0</v>
      </c>
      <c r="B3405" s="1125" t="s">
        <v>13684</v>
      </c>
      <c r="C3405" s="1126" t="s">
        <v>1788</v>
      </c>
      <c r="D3405" s="1119">
        <v>20.75</v>
      </c>
      <c r="E3405" s="1120">
        <v>15.4</v>
      </c>
      <c r="F3405" s="1121">
        <f t="shared" si="1"/>
        <v>5.35</v>
      </c>
      <c r="G3405" s="1120">
        <v>5.35</v>
      </c>
      <c r="H3405" s="1127">
        <v>0.0</v>
      </c>
      <c r="I3405" s="1127">
        <v>0.0</v>
      </c>
      <c r="J3405" s="1127">
        <v>0.0</v>
      </c>
      <c r="K3405" s="1124"/>
    </row>
    <row r="3406" ht="15.75" customHeight="1">
      <c r="A3406" s="1119">
        <v>103289.0</v>
      </c>
      <c r="B3406" s="1125" t="s">
        <v>13685</v>
      </c>
      <c r="C3406" s="1126" t="s">
        <v>1731</v>
      </c>
      <c r="D3406" s="1119">
        <v>32.2</v>
      </c>
      <c r="E3406" s="1120">
        <v>4.53</v>
      </c>
      <c r="F3406" s="1121">
        <f t="shared" si="1"/>
        <v>27.7</v>
      </c>
      <c r="G3406" s="1120">
        <v>27.7</v>
      </c>
      <c r="H3406" s="1127">
        <v>0.0</v>
      </c>
      <c r="I3406" s="1127">
        <v>0.0</v>
      </c>
      <c r="J3406" s="1127">
        <v>0.0</v>
      </c>
      <c r="K3406" s="1124"/>
    </row>
    <row r="3407" ht="15.75" customHeight="1">
      <c r="A3407" s="1119">
        <v>103290.0</v>
      </c>
      <c r="B3407" s="1125" t="s">
        <v>13686</v>
      </c>
      <c r="C3407" s="1126" t="s">
        <v>1731</v>
      </c>
      <c r="D3407" s="1119">
        <v>50.96</v>
      </c>
      <c r="E3407" s="1120">
        <v>4.78</v>
      </c>
      <c r="F3407" s="1121">
        <f t="shared" si="1"/>
        <v>46.19</v>
      </c>
      <c r="G3407" s="1120">
        <v>46.19</v>
      </c>
      <c r="H3407" s="1127">
        <v>0.0</v>
      </c>
      <c r="I3407" s="1127">
        <v>0.0</v>
      </c>
      <c r="J3407" s="1127">
        <v>0.0</v>
      </c>
      <c r="K3407" s="1124"/>
    </row>
    <row r="3408" ht="15.75" customHeight="1">
      <c r="A3408" s="1119">
        <v>103291.0</v>
      </c>
      <c r="B3408" s="1125" t="s">
        <v>13687</v>
      </c>
      <c r="C3408" s="1126" t="s">
        <v>1731</v>
      </c>
      <c r="D3408" s="1119">
        <v>63.25</v>
      </c>
      <c r="E3408" s="1120">
        <v>5.04</v>
      </c>
      <c r="F3408" s="1121">
        <f t="shared" si="1"/>
        <v>58.23</v>
      </c>
      <c r="G3408" s="1120">
        <v>58.23</v>
      </c>
      <c r="H3408" s="1127">
        <v>0.0</v>
      </c>
      <c r="I3408" s="1127">
        <v>0.0</v>
      </c>
      <c r="J3408" s="1127">
        <v>0.0</v>
      </c>
      <c r="K3408" s="1124"/>
    </row>
    <row r="3409" ht="15.75" customHeight="1">
      <c r="A3409" s="1119">
        <v>103292.0</v>
      </c>
      <c r="B3409" s="1125" t="s">
        <v>13688</v>
      </c>
      <c r="C3409" s="1126" t="s">
        <v>1731</v>
      </c>
      <c r="D3409" s="1119">
        <v>76.21</v>
      </c>
      <c r="E3409" s="1120">
        <v>5.21</v>
      </c>
      <c r="F3409" s="1121">
        <f t="shared" si="1"/>
        <v>71.01</v>
      </c>
      <c r="G3409" s="1120">
        <v>71.01</v>
      </c>
      <c r="H3409" s="1127">
        <v>0.0</v>
      </c>
      <c r="I3409" s="1127">
        <v>0.0</v>
      </c>
      <c r="J3409" s="1127">
        <v>0.0</v>
      </c>
      <c r="K3409" s="1124"/>
    </row>
    <row r="3410" ht="15.75" customHeight="1">
      <c r="A3410" s="1119">
        <v>101936.0</v>
      </c>
      <c r="B3410" s="1125" t="s">
        <v>13689</v>
      </c>
      <c r="C3410" s="1126" t="s">
        <v>1788</v>
      </c>
      <c r="D3410" s="1128">
        <v>9183.0</v>
      </c>
      <c r="E3410" s="1120">
        <v>3206.6</v>
      </c>
      <c r="F3410" s="1121">
        <f t="shared" si="1"/>
        <v>5976.39</v>
      </c>
      <c r="G3410" s="1120">
        <v>5976.39</v>
      </c>
      <c r="H3410" s="1127">
        <v>0.0</v>
      </c>
      <c r="I3410" s="1127">
        <v>0.0</v>
      </c>
      <c r="J3410" s="1127">
        <v>0.0</v>
      </c>
      <c r="K3410" s="1124"/>
    </row>
    <row r="3411" ht="15.75" customHeight="1">
      <c r="A3411" s="1119">
        <v>101937.0</v>
      </c>
      <c r="B3411" s="1125" t="s">
        <v>13690</v>
      </c>
      <c r="C3411" s="1126" t="s">
        <v>1788</v>
      </c>
      <c r="D3411" s="1128">
        <v>16756.23</v>
      </c>
      <c r="E3411" s="1120">
        <v>6934.61</v>
      </c>
      <c r="F3411" s="1121">
        <f t="shared" si="1"/>
        <v>9821.62</v>
      </c>
      <c r="G3411" s="1120">
        <v>9821.62</v>
      </c>
      <c r="H3411" s="1127">
        <v>0.0</v>
      </c>
      <c r="I3411" s="1127">
        <v>0.0</v>
      </c>
      <c r="J3411" s="1127">
        <v>0.0</v>
      </c>
      <c r="K3411" s="1124"/>
    </row>
    <row r="3412" ht="15.75" customHeight="1">
      <c r="A3412" s="1119">
        <v>98294.0</v>
      </c>
      <c r="B3412" s="1125" t="s">
        <v>13691</v>
      </c>
      <c r="C3412" s="1126" t="s">
        <v>1731</v>
      </c>
      <c r="D3412" s="1119">
        <v>6.83</v>
      </c>
      <c r="E3412" s="1120">
        <v>0.73</v>
      </c>
      <c r="F3412" s="1121">
        <f t="shared" si="1"/>
        <v>6.1</v>
      </c>
      <c r="G3412" s="1120">
        <v>6.1</v>
      </c>
      <c r="H3412" s="1127">
        <v>0.0</v>
      </c>
      <c r="I3412" s="1127">
        <v>0.0</v>
      </c>
      <c r="J3412" s="1127">
        <v>0.0</v>
      </c>
      <c r="K3412" s="1124"/>
    </row>
    <row r="3413" ht="15.75" customHeight="1">
      <c r="A3413" s="1119">
        <v>98295.0</v>
      </c>
      <c r="B3413" s="1125" t="s">
        <v>13692</v>
      </c>
      <c r="C3413" s="1126" t="s">
        <v>1731</v>
      </c>
      <c r="D3413" s="1119">
        <v>5.99</v>
      </c>
      <c r="E3413" s="1120">
        <v>0.11</v>
      </c>
      <c r="F3413" s="1121">
        <f t="shared" si="1"/>
        <v>5.88</v>
      </c>
      <c r="G3413" s="1120">
        <v>5.88</v>
      </c>
      <c r="H3413" s="1127">
        <v>0.0</v>
      </c>
      <c r="I3413" s="1127">
        <v>0.0</v>
      </c>
      <c r="J3413" s="1127">
        <v>0.0</v>
      </c>
      <c r="K3413" s="1124"/>
    </row>
    <row r="3414" ht="15.75" customHeight="1">
      <c r="A3414" s="1119">
        <v>98296.0</v>
      </c>
      <c r="B3414" s="1125" t="s">
        <v>13693</v>
      </c>
      <c r="C3414" s="1126" t="s">
        <v>1731</v>
      </c>
      <c r="D3414" s="1119">
        <v>10.0</v>
      </c>
      <c r="E3414" s="1120">
        <v>1.16</v>
      </c>
      <c r="F3414" s="1121">
        <f t="shared" si="1"/>
        <v>8.83</v>
      </c>
      <c r="G3414" s="1120">
        <v>8.83</v>
      </c>
      <c r="H3414" s="1127">
        <v>0.0</v>
      </c>
      <c r="I3414" s="1127">
        <v>0.0</v>
      </c>
      <c r="J3414" s="1127">
        <v>0.0</v>
      </c>
      <c r="K3414" s="1124"/>
    </row>
    <row r="3415" ht="15.75" customHeight="1">
      <c r="A3415" s="1119">
        <v>98297.0</v>
      </c>
      <c r="B3415" s="1125" t="s">
        <v>13694</v>
      </c>
      <c r="C3415" s="1126" t="s">
        <v>1731</v>
      </c>
      <c r="D3415" s="1119">
        <v>8.66</v>
      </c>
      <c r="E3415" s="1120">
        <v>0.18</v>
      </c>
      <c r="F3415" s="1121">
        <f t="shared" si="1"/>
        <v>8.47</v>
      </c>
      <c r="G3415" s="1120">
        <v>8.47</v>
      </c>
      <c r="H3415" s="1127">
        <v>0.0</v>
      </c>
      <c r="I3415" s="1127">
        <v>0.0</v>
      </c>
      <c r="J3415" s="1127">
        <v>0.0</v>
      </c>
      <c r="K3415" s="1124"/>
    </row>
    <row r="3416" ht="15.75" customHeight="1">
      <c r="A3416" s="1119">
        <v>98298.0</v>
      </c>
      <c r="B3416" s="1125" t="s">
        <v>13695</v>
      </c>
      <c r="C3416" s="1126" t="s">
        <v>1731</v>
      </c>
      <c r="D3416" s="1119">
        <v>24.11</v>
      </c>
      <c r="E3416" s="1120">
        <v>1.45</v>
      </c>
      <c r="F3416" s="1121">
        <f t="shared" si="1"/>
        <v>22.66</v>
      </c>
      <c r="G3416" s="1120">
        <v>22.66</v>
      </c>
      <c r="H3416" s="1127">
        <v>0.0</v>
      </c>
      <c r="I3416" s="1127">
        <v>0.0</v>
      </c>
      <c r="J3416" s="1127">
        <v>0.0</v>
      </c>
      <c r="K3416" s="1124"/>
    </row>
    <row r="3417" ht="15.75" customHeight="1">
      <c r="A3417" s="1119">
        <v>98299.0</v>
      </c>
      <c r="B3417" s="1125" t="s">
        <v>13696</v>
      </c>
      <c r="C3417" s="1126" t="s">
        <v>1731</v>
      </c>
      <c r="D3417" s="1119">
        <v>22.45</v>
      </c>
      <c r="E3417" s="1120">
        <v>0.23</v>
      </c>
      <c r="F3417" s="1121">
        <f t="shared" si="1"/>
        <v>22.23</v>
      </c>
      <c r="G3417" s="1120">
        <v>22.23</v>
      </c>
      <c r="H3417" s="1127">
        <v>0.0</v>
      </c>
      <c r="I3417" s="1127">
        <v>0.0</v>
      </c>
      <c r="J3417" s="1127">
        <v>0.0</v>
      </c>
      <c r="K3417" s="1124"/>
    </row>
    <row r="3418" ht="15.75" customHeight="1">
      <c r="A3418" s="1119">
        <v>98300.0</v>
      </c>
      <c r="B3418" s="1125" t="s">
        <v>13697</v>
      </c>
      <c r="C3418" s="1126" t="s">
        <v>1731</v>
      </c>
      <c r="D3418" s="1119">
        <v>6.48</v>
      </c>
      <c r="E3418" s="1120">
        <v>3.34</v>
      </c>
      <c r="F3418" s="1121">
        <f t="shared" si="1"/>
        <v>3.16</v>
      </c>
      <c r="G3418" s="1120">
        <v>3.16</v>
      </c>
      <c r="H3418" s="1127">
        <v>0.0</v>
      </c>
      <c r="I3418" s="1127">
        <v>0.0</v>
      </c>
      <c r="J3418" s="1127">
        <v>0.0</v>
      </c>
      <c r="K3418" s="1124"/>
    </row>
    <row r="3419" ht="15.75" customHeight="1">
      <c r="A3419" s="1119">
        <v>98301.0</v>
      </c>
      <c r="B3419" s="1125" t="s">
        <v>13698</v>
      </c>
      <c r="C3419" s="1126" t="s">
        <v>1788</v>
      </c>
      <c r="D3419" s="1119">
        <v>834.04</v>
      </c>
      <c r="E3419" s="1120">
        <v>274.62</v>
      </c>
      <c r="F3419" s="1121">
        <f t="shared" si="1"/>
        <v>559.41</v>
      </c>
      <c r="G3419" s="1120">
        <v>559.41</v>
      </c>
      <c r="H3419" s="1127">
        <v>0.0</v>
      </c>
      <c r="I3419" s="1127">
        <v>0.0</v>
      </c>
      <c r="J3419" s="1127">
        <v>0.0</v>
      </c>
      <c r="K3419" s="1124"/>
    </row>
    <row r="3420" ht="15.75" customHeight="1">
      <c r="A3420" s="1119">
        <v>98302.0</v>
      </c>
      <c r="B3420" s="1125" t="s">
        <v>13699</v>
      </c>
      <c r="C3420" s="1126" t="s">
        <v>1788</v>
      </c>
      <c r="D3420" s="1128">
        <v>1609.21</v>
      </c>
      <c r="E3420" s="1120">
        <v>274.61</v>
      </c>
      <c r="F3420" s="1121">
        <f t="shared" si="1"/>
        <v>1334.59</v>
      </c>
      <c r="G3420" s="1120">
        <v>1334.59</v>
      </c>
      <c r="H3420" s="1127">
        <v>0.0</v>
      </c>
      <c r="I3420" s="1127">
        <v>0.0</v>
      </c>
      <c r="J3420" s="1127">
        <v>0.0</v>
      </c>
      <c r="K3420" s="1124"/>
    </row>
    <row r="3421" ht="15.75" customHeight="1">
      <c r="A3421" s="1119">
        <v>98304.0</v>
      </c>
      <c r="B3421" s="1125" t="s">
        <v>13700</v>
      </c>
      <c r="C3421" s="1126" t="s">
        <v>1788</v>
      </c>
      <c r="D3421" s="1128">
        <v>5099.74</v>
      </c>
      <c r="E3421" s="1120">
        <v>545.8</v>
      </c>
      <c r="F3421" s="1121">
        <f t="shared" si="1"/>
        <v>4553.94</v>
      </c>
      <c r="G3421" s="1120">
        <v>4553.94</v>
      </c>
      <c r="H3421" s="1127">
        <v>0.0</v>
      </c>
      <c r="I3421" s="1127">
        <v>0.0</v>
      </c>
      <c r="J3421" s="1127">
        <v>0.0</v>
      </c>
      <c r="K3421" s="1124"/>
    </row>
    <row r="3422" ht="15.75" customHeight="1">
      <c r="A3422" s="1119">
        <v>98305.0</v>
      </c>
      <c r="B3422" s="1125" t="s">
        <v>13701</v>
      </c>
      <c r="C3422" s="1126" t="s">
        <v>1788</v>
      </c>
      <c r="D3422" s="1128">
        <v>3820.75</v>
      </c>
      <c r="E3422" s="1120">
        <v>45.41</v>
      </c>
      <c r="F3422" s="1121">
        <f t="shared" si="1"/>
        <v>3775.33</v>
      </c>
      <c r="G3422" s="1120">
        <v>3775.33</v>
      </c>
      <c r="H3422" s="1127">
        <v>0.0</v>
      </c>
      <c r="I3422" s="1127">
        <v>0.0</v>
      </c>
      <c r="J3422" s="1127">
        <v>0.0</v>
      </c>
      <c r="K3422" s="1124"/>
    </row>
    <row r="3423" ht="15.75" customHeight="1">
      <c r="A3423" s="1119">
        <v>98306.0</v>
      </c>
      <c r="B3423" s="1125" t="s">
        <v>13702</v>
      </c>
      <c r="C3423" s="1126" t="s">
        <v>1788</v>
      </c>
      <c r="D3423" s="1119">
        <v>81.8</v>
      </c>
      <c r="E3423" s="1120">
        <v>30.22</v>
      </c>
      <c r="F3423" s="1121">
        <f t="shared" si="1"/>
        <v>51.58</v>
      </c>
      <c r="G3423" s="1120">
        <v>51.58</v>
      </c>
      <c r="H3423" s="1127">
        <v>0.0</v>
      </c>
      <c r="I3423" s="1127">
        <v>0.0</v>
      </c>
      <c r="J3423" s="1127">
        <v>0.0</v>
      </c>
      <c r="K3423" s="1124"/>
    </row>
    <row r="3424" ht="15.75" customHeight="1">
      <c r="A3424" s="1119">
        <v>98307.0</v>
      </c>
      <c r="B3424" s="1125" t="s">
        <v>13703</v>
      </c>
      <c r="C3424" s="1126" t="s">
        <v>1788</v>
      </c>
      <c r="D3424" s="1119">
        <v>50.87</v>
      </c>
      <c r="E3424" s="1120">
        <v>9.12</v>
      </c>
      <c r="F3424" s="1121">
        <f t="shared" si="1"/>
        <v>41.76</v>
      </c>
      <c r="G3424" s="1120">
        <v>41.76</v>
      </c>
      <c r="H3424" s="1127">
        <v>0.0</v>
      </c>
      <c r="I3424" s="1127">
        <v>0.0</v>
      </c>
      <c r="J3424" s="1127">
        <v>0.0</v>
      </c>
      <c r="K3424" s="1124"/>
    </row>
    <row r="3425" ht="15.75" customHeight="1">
      <c r="A3425" s="1119">
        <v>98308.0</v>
      </c>
      <c r="B3425" s="1125" t="s">
        <v>13704</v>
      </c>
      <c r="C3425" s="1126" t="s">
        <v>1788</v>
      </c>
      <c r="D3425" s="1119">
        <v>34.18</v>
      </c>
      <c r="E3425" s="1120">
        <v>9.12</v>
      </c>
      <c r="F3425" s="1121">
        <f t="shared" si="1"/>
        <v>25.07</v>
      </c>
      <c r="G3425" s="1120">
        <v>25.07</v>
      </c>
      <c r="H3425" s="1127">
        <v>0.0</v>
      </c>
      <c r="I3425" s="1127">
        <v>0.0</v>
      </c>
      <c r="J3425" s="1127">
        <v>0.0</v>
      </c>
      <c r="K3425" s="1124"/>
    </row>
    <row r="3426" ht="15.75" customHeight="1">
      <c r="A3426" s="1119">
        <v>98593.0</v>
      </c>
      <c r="B3426" s="1125" t="s">
        <v>13705</v>
      </c>
      <c r="C3426" s="1126" t="s">
        <v>1788</v>
      </c>
      <c r="D3426" s="1128">
        <v>3519.15</v>
      </c>
      <c r="E3426" s="1120">
        <v>545.81</v>
      </c>
      <c r="F3426" s="1121">
        <f t="shared" si="1"/>
        <v>2973.34</v>
      </c>
      <c r="G3426" s="1120">
        <v>2973.34</v>
      </c>
      <c r="H3426" s="1127">
        <v>0.0</v>
      </c>
      <c r="I3426" s="1127">
        <v>0.0</v>
      </c>
      <c r="J3426" s="1127">
        <v>0.0</v>
      </c>
      <c r="K3426" s="1124"/>
    </row>
    <row r="3427" ht="15.75" customHeight="1">
      <c r="A3427" s="1119">
        <v>100553.0</v>
      </c>
      <c r="B3427" s="1125" t="s">
        <v>13706</v>
      </c>
      <c r="C3427" s="1126" t="s">
        <v>1731</v>
      </c>
      <c r="D3427" s="1119">
        <v>26.14</v>
      </c>
      <c r="E3427" s="1120">
        <v>3.36</v>
      </c>
      <c r="F3427" s="1121">
        <f t="shared" si="1"/>
        <v>22.79</v>
      </c>
      <c r="G3427" s="1120">
        <v>22.79</v>
      </c>
      <c r="H3427" s="1127">
        <v>0.0</v>
      </c>
      <c r="I3427" s="1127">
        <v>0.0</v>
      </c>
      <c r="J3427" s="1127">
        <v>0.0</v>
      </c>
      <c r="K3427" s="1124"/>
    </row>
    <row r="3428" ht="15.75" customHeight="1">
      <c r="A3428" s="1119">
        <v>100554.0</v>
      </c>
      <c r="B3428" s="1125" t="s">
        <v>13707</v>
      </c>
      <c r="C3428" s="1126" t="s">
        <v>1731</v>
      </c>
      <c r="D3428" s="1119">
        <v>6.18</v>
      </c>
      <c r="E3428" s="1120">
        <v>3.16</v>
      </c>
      <c r="F3428" s="1121">
        <f t="shared" si="1"/>
        <v>3.04</v>
      </c>
      <c r="G3428" s="1120">
        <v>3.04</v>
      </c>
      <c r="H3428" s="1127">
        <v>0.0</v>
      </c>
      <c r="I3428" s="1127">
        <v>0.0</v>
      </c>
      <c r="J3428" s="1127">
        <v>0.0</v>
      </c>
      <c r="K3428" s="1124"/>
    </row>
    <row r="3429" ht="15.75" customHeight="1">
      <c r="A3429" s="1119">
        <v>100555.0</v>
      </c>
      <c r="B3429" s="1125" t="s">
        <v>13708</v>
      </c>
      <c r="C3429" s="1126" t="s">
        <v>1788</v>
      </c>
      <c r="D3429" s="1128">
        <v>1908.99</v>
      </c>
      <c r="E3429" s="1120">
        <v>45.42</v>
      </c>
      <c r="F3429" s="1121">
        <f t="shared" si="1"/>
        <v>1863.56</v>
      </c>
      <c r="G3429" s="1120">
        <v>1863.56</v>
      </c>
      <c r="H3429" s="1127">
        <v>0.0</v>
      </c>
      <c r="I3429" s="1127">
        <v>0.0</v>
      </c>
      <c r="J3429" s="1127">
        <v>0.0</v>
      </c>
      <c r="K3429" s="1124"/>
    </row>
    <row r="3430" ht="15.75" customHeight="1">
      <c r="A3430" s="1119">
        <v>89355.0</v>
      </c>
      <c r="B3430" s="1125" t="s">
        <v>13709</v>
      </c>
      <c r="C3430" s="1126" t="s">
        <v>1731</v>
      </c>
      <c r="D3430" s="1119">
        <v>23.13</v>
      </c>
      <c r="E3430" s="1120">
        <v>14.25</v>
      </c>
      <c r="F3430" s="1121">
        <f t="shared" si="1"/>
        <v>8.89</v>
      </c>
      <c r="G3430" s="1120">
        <v>8.89</v>
      </c>
      <c r="H3430" s="1127">
        <v>0.0</v>
      </c>
      <c r="I3430" s="1127">
        <v>0.0</v>
      </c>
      <c r="J3430" s="1127">
        <v>0.0</v>
      </c>
      <c r="K3430" s="1124"/>
    </row>
    <row r="3431" ht="15.75" customHeight="1">
      <c r="A3431" s="1119">
        <v>89356.0</v>
      </c>
      <c r="B3431" s="1125" t="s">
        <v>13710</v>
      </c>
      <c r="C3431" s="1126" t="s">
        <v>1731</v>
      </c>
      <c r="D3431" s="1119">
        <v>26.7</v>
      </c>
      <c r="E3431" s="1120">
        <v>16.52</v>
      </c>
      <c r="F3431" s="1121">
        <f t="shared" si="1"/>
        <v>10.18</v>
      </c>
      <c r="G3431" s="1120">
        <v>10.18</v>
      </c>
      <c r="H3431" s="1127">
        <v>0.0</v>
      </c>
      <c r="I3431" s="1127">
        <v>0.0</v>
      </c>
      <c r="J3431" s="1127">
        <v>0.0</v>
      </c>
      <c r="K3431" s="1124"/>
    </row>
    <row r="3432" ht="15.75" customHeight="1">
      <c r="A3432" s="1119">
        <v>89357.0</v>
      </c>
      <c r="B3432" s="1125" t="s">
        <v>13711</v>
      </c>
      <c r="C3432" s="1126" t="s">
        <v>1731</v>
      </c>
      <c r="D3432" s="1119">
        <v>36.25</v>
      </c>
      <c r="E3432" s="1120">
        <v>19.7</v>
      </c>
      <c r="F3432" s="1121">
        <f t="shared" si="1"/>
        <v>16.54</v>
      </c>
      <c r="G3432" s="1120">
        <v>16.54</v>
      </c>
      <c r="H3432" s="1127">
        <v>0.0</v>
      </c>
      <c r="I3432" s="1127">
        <v>0.0</v>
      </c>
      <c r="J3432" s="1127">
        <v>0.0</v>
      </c>
      <c r="K3432" s="1124"/>
    </row>
    <row r="3433" ht="15.75" customHeight="1">
      <c r="A3433" s="1119">
        <v>89401.0</v>
      </c>
      <c r="B3433" s="1125" t="s">
        <v>13712</v>
      </c>
      <c r="C3433" s="1126" t="s">
        <v>1731</v>
      </c>
      <c r="D3433" s="1119">
        <v>11.98</v>
      </c>
      <c r="E3433" s="1120">
        <v>5.96</v>
      </c>
      <c r="F3433" s="1121">
        <f t="shared" si="1"/>
        <v>6.03</v>
      </c>
      <c r="G3433" s="1120">
        <v>6.03</v>
      </c>
      <c r="H3433" s="1127">
        <v>0.0</v>
      </c>
      <c r="I3433" s="1127">
        <v>0.0</v>
      </c>
      <c r="J3433" s="1127">
        <v>0.0</v>
      </c>
      <c r="K3433" s="1124"/>
    </row>
    <row r="3434" ht="15.75" customHeight="1">
      <c r="A3434" s="1119">
        <v>89402.0</v>
      </c>
      <c r="B3434" s="1125" t="s">
        <v>13713</v>
      </c>
      <c r="C3434" s="1126" t="s">
        <v>1731</v>
      </c>
      <c r="D3434" s="1119">
        <v>13.79</v>
      </c>
      <c r="E3434" s="1120">
        <v>6.88</v>
      </c>
      <c r="F3434" s="1121">
        <f t="shared" si="1"/>
        <v>6.91</v>
      </c>
      <c r="G3434" s="1120">
        <v>6.91</v>
      </c>
      <c r="H3434" s="1127">
        <v>0.0</v>
      </c>
      <c r="I3434" s="1127">
        <v>0.0</v>
      </c>
      <c r="J3434" s="1127">
        <v>0.0</v>
      </c>
      <c r="K3434" s="1124"/>
    </row>
    <row r="3435" ht="15.75" customHeight="1">
      <c r="A3435" s="1119">
        <v>89403.0</v>
      </c>
      <c r="B3435" s="1125" t="s">
        <v>13714</v>
      </c>
      <c r="C3435" s="1126" t="s">
        <v>1731</v>
      </c>
      <c r="D3435" s="1119">
        <v>20.86</v>
      </c>
      <c r="E3435" s="1120">
        <v>8.2</v>
      </c>
      <c r="F3435" s="1121">
        <f t="shared" si="1"/>
        <v>12.66</v>
      </c>
      <c r="G3435" s="1120">
        <v>12.66</v>
      </c>
      <c r="H3435" s="1127">
        <v>0.0</v>
      </c>
      <c r="I3435" s="1127">
        <v>0.0</v>
      </c>
      <c r="J3435" s="1127">
        <v>0.0</v>
      </c>
      <c r="K3435" s="1124"/>
    </row>
    <row r="3436" ht="15.75" customHeight="1">
      <c r="A3436" s="1119">
        <v>89446.0</v>
      </c>
      <c r="B3436" s="1125" t="s">
        <v>13715</v>
      </c>
      <c r="C3436" s="1126" t="s">
        <v>1731</v>
      </c>
      <c r="D3436" s="1119">
        <v>5.67</v>
      </c>
      <c r="E3436" s="1120">
        <v>0.83</v>
      </c>
      <c r="F3436" s="1121">
        <f t="shared" si="1"/>
        <v>4.85</v>
      </c>
      <c r="G3436" s="1120">
        <v>4.85</v>
      </c>
      <c r="H3436" s="1127">
        <v>0.0</v>
      </c>
      <c r="I3436" s="1127">
        <v>0.0</v>
      </c>
      <c r="J3436" s="1127">
        <v>0.0</v>
      </c>
      <c r="K3436" s="1124"/>
    </row>
    <row r="3437" ht="15.75" customHeight="1">
      <c r="A3437" s="1119">
        <v>89447.0</v>
      </c>
      <c r="B3437" s="1125" t="s">
        <v>13716</v>
      </c>
      <c r="C3437" s="1126" t="s">
        <v>1731</v>
      </c>
      <c r="D3437" s="1119">
        <v>11.21</v>
      </c>
      <c r="E3437" s="1120">
        <v>1.0</v>
      </c>
      <c r="F3437" s="1121">
        <f t="shared" si="1"/>
        <v>10.22</v>
      </c>
      <c r="G3437" s="1120">
        <v>10.22</v>
      </c>
      <c r="H3437" s="1127">
        <v>0.0</v>
      </c>
      <c r="I3437" s="1127">
        <v>0.0</v>
      </c>
      <c r="J3437" s="1127">
        <v>0.0</v>
      </c>
      <c r="K3437" s="1124"/>
    </row>
    <row r="3438" ht="15.75" customHeight="1">
      <c r="A3438" s="1119">
        <v>89448.0</v>
      </c>
      <c r="B3438" s="1125" t="s">
        <v>13717</v>
      </c>
      <c r="C3438" s="1126" t="s">
        <v>1731</v>
      </c>
      <c r="D3438" s="1119">
        <v>17.09</v>
      </c>
      <c r="E3438" s="1120">
        <v>1.21</v>
      </c>
      <c r="F3438" s="1121">
        <f t="shared" si="1"/>
        <v>15.9</v>
      </c>
      <c r="G3438" s="1120">
        <v>15.9</v>
      </c>
      <c r="H3438" s="1127">
        <v>0.0</v>
      </c>
      <c r="I3438" s="1127">
        <v>0.0</v>
      </c>
      <c r="J3438" s="1127">
        <v>0.0</v>
      </c>
      <c r="K3438" s="1124"/>
    </row>
    <row r="3439" ht="15.75" customHeight="1">
      <c r="A3439" s="1119">
        <v>89449.0</v>
      </c>
      <c r="B3439" s="1125" t="s">
        <v>13718</v>
      </c>
      <c r="C3439" s="1126" t="s">
        <v>1731</v>
      </c>
      <c r="D3439" s="1119">
        <v>18.93</v>
      </c>
      <c r="E3439" s="1120">
        <v>1.47</v>
      </c>
      <c r="F3439" s="1121">
        <f t="shared" si="1"/>
        <v>17.46</v>
      </c>
      <c r="G3439" s="1120">
        <v>17.46</v>
      </c>
      <c r="H3439" s="1127">
        <v>0.0</v>
      </c>
      <c r="I3439" s="1127">
        <v>0.0</v>
      </c>
      <c r="J3439" s="1127">
        <v>0.0</v>
      </c>
      <c r="K3439" s="1124"/>
    </row>
    <row r="3440" ht="15.75" customHeight="1">
      <c r="A3440" s="1119">
        <v>89450.0</v>
      </c>
      <c r="B3440" s="1125" t="s">
        <v>13719</v>
      </c>
      <c r="C3440" s="1126" t="s">
        <v>1731</v>
      </c>
      <c r="D3440" s="1119">
        <v>30.23</v>
      </c>
      <c r="E3440" s="1120">
        <v>1.71</v>
      </c>
      <c r="F3440" s="1121">
        <f t="shared" si="1"/>
        <v>28.5</v>
      </c>
      <c r="G3440" s="1120">
        <v>28.5</v>
      </c>
      <c r="H3440" s="1127">
        <v>0.0</v>
      </c>
      <c r="I3440" s="1127">
        <v>0.0</v>
      </c>
      <c r="J3440" s="1127">
        <v>0.0</v>
      </c>
      <c r="K3440" s="1124"/>
    </row>
    <row r="3441" ht="15.75" customHeight="1">
      <c r="A3441" s="1119">
        <v>89451.0</v>
      </c>
      <c r="B3441" s="1125" t="s">
        <v>13720</v>
      </c>
      <c r="C3441" s="1126" t="s">
        <v>1731</v>
      </c>
      <c r="D3441" s="1119">
        <v>49.12</v>
      </c>
      <c r="E3441" s="1120">
        <v>2.13</v>
      </c>
      <c r="F3441" s="1121">
        <f t="shared" si="1"/>
        <v>47</v>
      </c>
      <c r="G3441" s="1120">
        <v>47.0</v>
      </c>
      <c r="H3441" s="1127">
        <v>0.0</v>
      </c>
      <c r="I3441" s="1127">
        <v>0.0</v>
      </c>
      <c r="J3441" s="1127">
        <v>0.0</v>
      </c>
      <c r="K3441" s="1124"/>
    </row>
    <row r="3442" ht="15.75" customHeight="1">
      <c r="A3442" s="1119">
        <v>89452.0</v>
      </c>
      <c r="B3442" s="1125" t="s">
        <v>13721</v>
      </c>
      <c r="C3442" s="1126" t="s">
        <v>1731</v>
      </c>
      <c r="D3442" s="1119">
        <v>67.54</v>
      </c>
      <c r="E3442" s="1120">
        <v>2.38</v>
      </c>
      <c r="F3442" s="1121">
        <f t="shared" si="1"/>
        <v>65.16</v>
      </c>
      <c r="G3442" s="1120">
        <v>65.16</v>
      </c>
      <c r="H3442" s="1127">
        <v>0.0</v>
      </c>
      <c r="I3442" s="1127">
        <v>0.0</v>
      </c>
      <c r="J3442" s="1127">
        <v>0.0</v>
      </c>
      <c r="K3442" s="1124"/>
    </row>
    <row r="3443" ht="15.75" customHeight="1">
      <c r="A3443" s="1119">
        <v>89508.0</v>
      </c>
      <c r="B3443" s="1125" t="s">
        <v>13722</v>
      </c>
      <c r="C3443" s="1126" t="s">
        <v>1731</v>
      </c>
      <c r="D3443" s="1119">
        <v>19.31</v>
      </c>
      <c r="E3443" s="1120">
        <v>6.45</v>
      </c>
      <c r="F3443" s="1121">
        <f t="shared" si="1"/>
        <v>12.88</v>
      </c>
      <c r="G3443" s="1120">
        <v>12.88</v>
      </c>
      <c r="H3443" s="1127">
        <v>0.0</v>
      </c>
      <c r="I3443" s="1127">
        <v>0.0</v>
      </c>
      <c r="J3443" s="1127">
        <v>0.0</v>
      </c>
      <c r="K3443" s="1124"/>
    </row>
    <row r="3444" ht="15.75" customHeight="1">
      <c r="A3444" s="1119">
        <v>89509.0</v>
      </c>
      <c r="B3444" s="1125" t="s">
        <v>13723</v>
      </c>
      <c r="C3444" s="1126" t="s">
        <v>1731</v>
      </c>
      <c r="D3444" s="1119">
        <v>26.11</v>
      </c>
      <c r="E3444" s="1120">
        <v>8.23</v>
      </c>
      <c r="F3444" s="1121">
        <f t="shared" si="1"/>
        <v>17.88</v>
      </c>
      <c r="G3444" s="1120">
        <v>17.88</v>
      </c>
      <c r="H3444" s="1127">
        <v>0.0</v>
      </c>
      <c r="I3444" s="1127">
        <v>0.0</v>
      </c>
      <c r="J3444" s="1127">
        <v>0.0</v>
      </c>
      <c r="K3444" s="1124"/>
    </row>
    <row r="3445" ht="15.75" customHeight="1">
      <c r="A3445" s="1119">
        <v>89511.0</v>
      </c>
      <c r="B3445" s="1125" t="s">
        <v>13724</v>
      </c>
      <c r="C3445" s="1126" t="s">
        <v>1731</v>
      </c>
      <c r="D3445" s="1119">
        <v>44.46</v>
      </c>
      <c r="E3445" s="1120">
        <v>12.75</v>
      </c>
      <c r="F3445" s="1121">
        <f t="shared" si="1"/>
        <v>31.71</v>
      </c>
      <c r="G3445" s="1120">
        <v>31.71</v>
      </c>
      <c r="H3445" s="1127">
        <v>0.0</v>
      </c>
      <c r="I3445" s="1127">
        <v>0.0</v>
      </c>
      <c r="J3445" s="1127">
        <v>0.0</v>
      </c>
      <c r="K3445" s="1124"/>
    </row>
    <row r="3446" ht="15.75" customHeight="1">
      <c r="A3446" s="1119">
        <v>89512.0</v>
      </c>
      <c r="B3446" s="1125" t="s">
        <v>13725</v>
      </c>
      <c r="C3446" s="1126" t="s">
        <v>1731</v>
      </c>
      <c r="D3446" s="1119">
        <v>56.42</v>
      </c>
      <c r="E3446" s="1120">
        <v>17.48</v>
      </c>
      <c r="F3446" s="1121">
        <f t="shared" si="1"/>
        <v>38.94</v>
      </c>
      <c r="G3446" s="1120">
        <v>38.94</v>
      </c>
      <c r="H3446" s="1127">
        <v>0.0</v>
      </c>
      <c r="I3446" s="1127">
        <v>0.0</v>
      </c>
      <c r="J3446" s="1127">
        <v>0.0</v>
      </c>
      <c r="K3446" s="1124"/>
    </row>
    <row r="3447" ht="15.75" customHeight="1">
      <c r="A3447" s="1119">
        <v>89576.0</v>
      </c>
      <c r="B3447" s="1125" t="s">
        <v>13726</v>
      </c>
      <c r="C3447" s="1126" t="s">
        <v>1731</v>
      </c>
      <c r="D3447" s="1119">
        <v>30.28</v>
      </c>
      <c r="E3447" s="1120">
        <v>2.08</v>
      </c>
      <c r="F3447" s="1121">
        <f t="shared" si="1"/>
        <v>28.2</v>
      </c>
      <c r="G3447" s="1120">
        <v>28.2</v>
      </c>
      <c r="H3447" s="1127">
        <v>0.0</v>
      </c>
      <c r="I3447" s="1127">
        <v>0.0</v>
      </c>
      <c r="J3447" s="1127">
        <v>0.0</v>
      </c>
      <c r="K3447" s="1124"/>
    </row>
    <row r="3448" ht="15.75" customHeight="1">
      <c r="A3448" s="1119">
        <v>89578.0</v>
      </c>
      <c r="B3448" s="1125" t="s">
        <v>13727</v>
      </c>
      <c r="C3448" s="1126" t="s">
        <v>1731</v>
      </c>
      <c r="D3448" s="1119">
        <v>37.58</v>
      </c>
      <c r="E3448" s="1120">
        <v>3.28</v>
      </c>
      <c r="F3448" s="1121">
        <f t="shared" si="1"/>
        <v>34.32</v>
      </c>
      <c r="G3448" s="1120">
        <v>34.32</v>
      </c>
      <c r="H3448" s="1127">
        <v>0.0</v>
      </c>
      <c r="I3448" s="1127">
        <v>0.0</v>
      </c>
      <c r="J3448" s="1127">
        <v>0.0</v>
      </c>
      <c r="K3448" s="1124"/>
    </row>
    <row r="3449" ht="15.75" customHeight="1">
      <c r="A3449" s="1119">
        <v>89580.0</v>
      </c>
      <c r="B3449" s="1125" t="s">
        <v>13728</v>
      </c>
      <c r="C3449" s="1126" t="s">
        <v>1731</v>
      </c>
      <c r="D3449" s="1119">
        <v>77.71</v>
      </c>
      <c r="E3449" s="1120">
        <v>5.66</v>
      </c>
      <c r="F3449" s="1121">
        <f t="shared" si="1"/>
        <v>72.04</v>
      </c>
      <c r="G3449" s="1120">
        <v>72.04</v>
      </c>
      <c r="H3449" s="1127">
        <v>0.0</v>
      </c>
      <c r="I3449" s="1127">
        <v>0.0</v>
      </c>
      <c r="J3449" s="1127">
        <v>0.0</v>
      </c>
      <c r="K3449" s="1124"/>
    </row>
    <row r="3450" ht="15.75" customHeight="1">
      <c r="A3450" s="1119">
        <v>89633.0</v>
      </c>
      <c r="B3450" s="1125" t="s">
        <v>13729</v>
      </c>
      <c r="C3450" s="1126" t="s">
        <v>1731</v>
      </c>
      <c r="D3450" s="1119">
        <v>28.49</v>
      </c>
      <c r="E3450" s="1120">
        <v>11.99</v>
      </c>
      <c r="F3450" s="1121">
        <f t="shared" si="1"/>
        <v>16.49</v>
      </c>
      <c r="G3450" s="1120">
        <v>16.49</v>
      </c>
      <c r="H3450" s="1127">
        <v>0.0</v>
      </c>
      <c r="I3450" s="1127">
        <v>0.0</v>
      </c>
      <c r="J3450" s="1127">
        <v>0.0</v>
      </c>
      <c r="K3450" s="1124"/>
    </row>
    <row r="3451" ht="15.75" customHeight="1">
      <c r="A3451" s="1119">
        <v>89634.0</v>
      </c>
      <c r="B3451" s="1125" t="s">
        <v>13730</v>
      </c>
      <c r="C3451" s="1126" t="s">
        <v>1731</v>
      </c>
      <c r="D3451" s="1119">
        <v>40.2</v>
      </c>
      <c r="E3451" s="1120">
        <v>15.14</v>
      </c>
      <c r="F3451" s="1121">
        <f t="shared" si="1"/>
        <v>25.07</v>
      </c>
      <c r="G3451" s="1120">
        <v>25.07</v>
      </c>
      <c r="H3451" s="1127">
        <v>0.0</v>
      </c>
      <c r="I3451" s="1127">
        <v>0.0</v>
      </c>
      <c r="J3451" s="1127">
        <v>0.0</v>
      </c>
      <c r="K3451" s="1124"/>
    </row>
    <row r="3452" ht="15.75" customHeight="1">
      <c r="A3452" s="1119">
        <v>89635.0</v>
      </c>
      <c r="B3452" s="1125" t="s">
        <v>13731</v>
      </c>
      <c r="C3452" s="1126" t="s">
        <v>1731</v>
      </c>
      <c r="D3452" s="1119">
        <v>58.31</v>
      </c>
      <c r="E3452" s="1120">
        <v>17.86</v>
      </c>
      <c r="F3452" s="1121">
        <f t="shared" si="1"/>
        <v>40.45</v>
      </c>
      <c r="G3452" s="1120">
        <v>40.45</v>
      </c>
      <c r="H3452" s="1127">
        <v>0.0</v>
      </c>
      <c r="I3452" s="1127">
        <v>0.0</v>
      </c>
      <c r="J3452" s="1127">
        <v>0.0</v>
      </c>
      <c r="K3452" s="1124"/>
    </row>
    <row r="3453" ht="15.75" customHeight="1">
      <c r="A3453" s="1119">
        <v>89636.0</v>
      </c>
      <c r="B3453" s="1125" t="s">
        <v>13732</v>
      </c>
      <c r="C3453" s="1126" t="s">
        <v>1731</v>
      </c>
      <c r="D3453" s="1119">
        <v>73.11</v>
      </c>
      <c r="E3453" s="1120">
        <v>21.02</v>
      </c>
      <c r="F3453" s="1121">
        <f t="shared" si="1"/>
        <v>52.09</v>
      </c>
      <c r="G3453" s="1120">
        <v>52.09</v>
      </c>
      <c r="H3453" s="1127">
        <v>0.0</v>
      </c>
      <c r="I3453" s="1127">
        <v>0.0</v>
      </c>
      <c r="J3453" s="1127">
        <v>0.0</v>
      </c>
      <c r="K3453" s="1124"/>
    </row>
    <row r="3454" ht="15.75" customHeight="1">
      <c r="A3454" s="1119">
        <v>89711.0</v>
      </c>
      <c r="B3454" s="1125" t="s">
        <v>13733</v>
      </c>
      <c r="C3454" s="1126" t="s">
        <v>1731</v>
      </c>
      <c r="D3454" s="1119">
        <v>24.79</v>
      </c>
      <c r="E3454" s="1120">
        <v>12.73</v>
      </c>
      <c r="F3454" s="1121">
        <f t="shared" si="1"/>
        <v>12.07</v>
      </c>
      <c r="G3454" s="1120">
        <v>12.07</v>
      </c>
      <c r="H3454" s="1127">
        <v>0.0</v>
      </c>
      <c r="I3454" s="1127">
        <v>0.0</v>
      </c>
      <c r="J3454" s="1127">
        <v>0.0</v>
      </c>
      <c r="K3454" s="1124"/>
    </row>
    <row r="3455" ht="15.75" customHeight="1">
      <c r="A3455" s="1119">
        <v>89712.0</v>
      </c>
      <c r="B3455" s="1125" t="s">
        <v>13734</v>
      </c>
      <c r="C3455" s="1126" t="s">
        <v>1731</v>
      </c>
      <c r="D3455" s="1119">
        <v>31.34</v>
      </c>
      <c r="E3455" s="1120">
        <v>13.81</v>
      </c>
      <c r="F3455" s="1121">
        <f t="shared" si="1"/>
        <v>17.53</v>
      </c>
      <c r="G3455" s="1120">
        <v>17.53</v>
      </c>
      <c r="H3455" s="1127">
        <v>0.0</v>
      </c>
      <c r="I3455" s="1127">
        <v>0.0</v>
      </c>
      <c r="J3455" s="1127">
        <v>0.0</v>
      </c>
      <c r="K3455" s="1124"/>
    </row>
    <row r="3456" ht="15.75" customHeight="1">
      <c r="A3456" s="1119">
        <v>89713.0</v>
      </c>
      <c r="B3456" s="1125" t="s">
        <v>13735</v>
      </c>
      <c r="C3456" s="1126" t="s">
        <v>1731</v>
      </c>
      <c r="D3456" s="1119">
        <v>39.04</v>
      </c>
      <c r="E3456" s="1120">
        <v>16.56</v>
      </c>
      <c r="F3456" s="1121">
        <f t="shared" si="1"/>
        <v>22.48</v>
      </c>
      <c r="G3456" s="1120">
        <v>22.48</v>
      </c>
      <c r="H3456" s="1127">
        <v>0.0</v>
      </c>
      <c r="I3456" s="1127">
        <v>0.0</v>
      </c>
      <c r="J3456" s="1127">
        <v>0.0</v>
      </c>
      <c r="K3456" s="1124"/>
    </row>
    <row r="3457" ht="15.75" customHeight="1">
      <c r="A3457" s="1119">
        <v>89714.0</v>
      </c>
      <c r="B3457" s="1125" t="s">
        <v>13736</v>
      </c>
      <c r="C3457" s="1126" t="s">
        <v>1731</v>
      </c>
      <c r="D3457" s="1119">
        <v>43.65</v>
      </c>
      <c r="E3457" s="1120">
        <v>19.3</v>
      </c>
      <c r="F3457" s="1121">
        <f t="shared" si="1"/>
        <v>24.36</v>
      </c>
      <c r="G3457" s="1120">
        <v>24.36</v>
      </c>
      <c r="H3457" s="1127">
        <v>0.0</v>
      </c>
      <c r="I3457" s="1127">
        <v>0.0</v>
      </c>
      <c r="J3457" s="1127">
        <v>0.0</v>
      </c>
      <c r="K3457" s="1124"/>
    </row>
    <row r="3458" ht="15.75" customHeight="1">
      <c r="A3458" s="1119">
        <v>89716.0</v>
      </c>
      <c r="B3458" s="1125" t="s">
        <v>13737</v>
      </c>
      <c r="C3458" s="1126" t="s">
        <v>1731</v>
      </c>
      <c r="D3458" s="1119">
        <v>28.46</v>
      </c>
      <c r="E3458" s="1120">
        <v>6.3</v>
      </c>
      <c r="F3458" s="1121">
        <f t="shared" si="1"/>
        <v>22.16</v>
      </c>
      <c r="G3458" s="1120">
        <v>22.16</v>
      </c>
      <c r="H3458" s="1127">
        <v>0.0</v>
      </c>
      <c r="I3458" s="1127">
        <v>0.0</v>
      </c>
      <c r="J3458" s="1127">
        <v>0.0</v>
      </c>
      <c r="K3458" s="1124"/>
    </row>
    <row r="3459" ht="15.75" customHeight="1">
      <c r="A3459" s="1119">
        <v>89717.0</v>
      </c>
      <c r="B3459" s="1125" t="s">
        <v>13738</v>
      </c>
      <c r="C3459" s="1126" t="s">
        <v>1731</v>
      </c>
      <c r="D3459" s="1119">
        <v>44.46</v>
      </c>
      <c r="E3459" s="1120">
        <v>7.44</v>
      </c>
      <c r="F3459" s="1121">
        <f t="shared" si="1"/>
        <v>37.02</v>
      </c>
      <c r="G3459" s="1120">
        <v>37.02</v>
      </c>
      <c r="H3459" s="1127">
        <v>0.0</v>
      </c>
      <c r="I3459" s="1127">
        <v>0.0</v>
      </c>
      <c r="J3459" s="1127">
        <v>0.0</v>
      </c>
      <c r="K3459" s="1124"/>
    </row>
    <row r="3460" ht="15.75" customHeight="1">
      <c r="A3460" s="1119">
        <v>89770.0</v>
      </c>
      <c r="B3460" s="1125" t="s">
        <v>13739</v>
      </c>
      <c r="C3460" s="1126" t="s">
        <v>1731</v>
      </c>
      <c r="D3460" s="1119">
        <v>46.55</v>
      </c>
      <c r="E3460" s="1120">
        <v>1.05</v>
      </c>
      <c r="F3460" s="1121">
        <f t="shared" si="1"/>
        <v>45.5</v>
      </c>
      <c r="G3460" s="1120">
        <v>45.5</v>
      </c>
      <c r="H3460" s="1127">
        <v>0.0</v>
      </c>
      <c r="I3460" s="1127">
        <v>0.0</v>
      </c>
      <c r="J3460" s="1127">
        <v>0.0</v>
      </c>
      <c r="K3460" s="1124"/>
    </row>
    <row r="3461" ht="15.75" customHeight="1">
      <c r="A3461" s="1119">
        <v>89771.0</v>
      </c>
      <c r="B3461" s="1125" t="s">
        <v>13740</v>
      </c>
      <c r="C3461" s="1126" t="s">
        <v>1731</v>
      </c>
      <c r="D3461" s="1119">
        <v>62.1</v>
      </c>
      <c r="E3461" s="1120">
        <v>1.26</v>
      </c>
      <c r="F3461" s="1121">
        <f t="shared" si="1"/>
        <v>60.84</v>
      </c>
      <c r="G3461" s="1120">
        <v>60.84</v>
      </c>
      <c r="H3461" s="1127">
        <v>0.0</v>
      </c>
      <c r="I3461" s="1127">
        <v>0.0</v>
      </c>
      <c r="J3461" s="1127">
        <v>0.0</v>
      </c>
      <c r="K3461" s="1124"/>
    </row>
    <row r="3462" ht="15.75" customHeight="1">
      <c r="A3462" s="1119">
        <v>89773.0</v>
      </c>
      <c r="B3462" s="1125" t="s">
        <v>13741</v>
      </c>
      <c r="C3462" s="1126" t="s">
        <v>1731</v>
      </c>
      <c r="D3462" s="1119">
        <v>145.77</v>
      </c>
      <c r="E3462" s="1120">
        <v>2.08</v>
      </c>
      <c r="F3462" s="1121">
        <f t="shared" si="1"/>
        <v>143.69</v>
      </c>
      <c r="G3462" s="1120">
        <v>143.69</v>
      </c>
      <c r="H3462" s="1127">
        <v>0.0</v>
      </c>
      <c r="I3462" s="1127">
        <v>0.0</v>
      </c>
      <c r="J3462" s="1127">
        <v>0.0</v>
      </c>
      <c r="K3462" s="1124"/>
    </row>
    <row r="3463" ht="15.75" customHeight="1">
      <c r="A3463" s="1119">
        <v>89775.0</v>
      </c>
      <c r="B3463" s="1125" t="s">
        <v>13742</v>
      </c>
      <c r="C3463" s="1126" t="s">
        <v>1731</v>
      </c>
      <c r="D3463" s="1119">
        <v>227.78</v>
      </c>
      <c r="E3463" s="1120">
        <v>2.48</v>
      </c>
      <c r="F3463" s="1121">
        <f t="shared" si="1"/>
        <v>225.29</v>
      </c>
      <c r="G3463" s="1120">
        <v>225.29</v>
      </c>
      <c r="H3463" s="1127">
        <v>0.0</v>
      </c>
      <c r="I3463" s="1127">
        <v>0.0</v>
      </c>
      <c r="J3463" s="1127">
        <v>0.0</v>
      </c>
      <c r="K3463" s="1124"/>
    </row>
    <row r="3464" ht="15.75" customHeight="1">
      <c r="A3464" s="1119">
        <v>89798.0</v>
      </c>
      <c r="B3464" s="1125" t="s">
        <v>13743</v>
      </c>
      <c r="C3464" s="1126" t="s">
        <v>1731</v>
      </c>
      <c r="D3464" s="1119">
        <v>15.35</v>
      </c>
      <c r="E3464" s="1120">
        <v>1.78</v>
      </c>
      <c r="F3464" s="1121">
        <f t="shared" si="1"/>
        <v>13.57</v>
      </c>
      <c r="G3464" s="1120">
        <v>13.57</v>
      </c>
      <c r="H3464" s="1127">
        <v>0.0</v>
      </c>
      <c r="I3464" s="1127">
        <v>0.0</v>
      </c>
      <c r="J3464" s="1127">
        <v>0.0</v>
      </c>
      <c r="K3464" s="1124"/>
    </row>
    <row r="3465" ht="15.75" customHeight="1">
      <c r="A3465" s="1119">
        <v>89799.0</v>
      </c>
      <c r="B3465" s="1125" t="s">
        <v>13744</v>
      </c>
      <c r="C3465" s="1126" t="s">
        <v>1731</v>
      </c>
      <c r="D3465" s="1119">
        <v>25.78</v>
      </c>
      <c r="E3465" s="1120">
        <v>6.61</v>
      </c>
      <c r="F3465" s="1121">
        <f t="shared" si="1"/>
        <v>19.17</v>
      </c>
      <c r="G3465" s="1120">
        <v>19.17</v>
      </c>
      <c r="H3465" s="1127">
        <v>0.0</v>
      </c>
      <c r="I3465" s="1127">
        <v>0.0</v>
      </c>
      <c r="J3465" s="1127">
        <v>0.0</v>
      </c>
      <c r="K3465" s="1124"/>
    </row>
    <row r="3466" ht="15.75" customHeight="1">
      <c r="A3466" s="1119">
        <v>89800.0</v>
      </c>
      <c r="B3466" s="1125" t="s">
        <v>13745</v>
      </c>
      <c r="C3466" s="1126" t="s">
        <v>1731</v>
      </c>
      <c r="D3466" s="1119">
        <v>33.16</v>
      </c>
      <c r="E3466" s="1120">
        <v>11.42</v>
      </c>
      <c r="F3466" s="1121">
        <f t="shared" si="1"/>
        <v>21.74</v>
      </c>
      <c r="G3466" s="1120">
        <v>21.74</v>
      </c>
      <c r="H3466" s="1127">
        <v>0.0</v>
      </c>
      <c r="I3466" s="1127">
        <v>0.0</v>
      </c>
      <c r="J3466" s="1127">
        <v>0.0</v>
      </c>
      <c r="K3466" s="1124"/>
    </row>
    <row r="3467" ht="15.75" customHeight="1">
      <c r="A3467" s="1119">
        <v>89848.0</v>
      </c>
      <c r="B3467" s="1125" t="s">
        <v>13746</v>
      </c>
      <c r="C3467" s="1126" t="s">
        <v>1731</v>
      </c>
      <c r="D3467" s="1119">
        <v>31.79</v>
      </c>
      <c r="E3467" s="1120">
        <v>10.4</v>
      </c>
      <c r="F3467" s="1121">
        <f t="shared" si="1"/>
        <v>21.39</v>
      </c>
      <c r="G3467" s="1120">
        <v>21.39</v>
      </c>
      <c r="H3467" s="1127">
        <v>0.0</v>
      </c>
      <c r="I3467" s="1127">
        <v>0.0</v>
      </c>
      <c r="J3467" s="1127">
        <v>0.0</v>
      </c>
      <c r="K3467" s="1124"/>
    </row>
    <row r="3468" ht="15.75" customHeight="1">
      <c r="A3468" s="1119">
        <v>89849.0</v>
      </c>
      <c r="B3468" s="1125" t="s">
        <v>13747</v>
      </c>
      <c r="C3468" s="1126" t="s">
        <v>1731</v>
      </c>
      <c r="D3468" s="1119">
        <v>64.88</v>
      </c>
      <c r="E3468" s="1120">
        <v>13.52</v>
      </c>
      <c r="F3468" s="1121">
        <f t="shared" si="1"/>
        <v>51.37</v>
      </c>
      <c r="G3468" s="1120">
        <v>51.37</v>
      </c>
      <c r="H3468" s="1127">
        <v>0.0</v>
      </c>
      <c r="I3468" s="1127">
        <v>0.0</v>
      </c>
      <c r="J3468" s="1127">
        <v>0.0</v>
      </c>
      <c r="K3468" s="1124"/>
    </row>
    <row r="3469" ht="15.75" customHeight="1">
      <c r="A3469" s="1119">
        <v>89865.0</v>
      </c>
      <c r="B3469" s="1125" t="s">
        <v>13748</v>
      </c>
      <c r="C3469" s="1126" t="s">
        <v>1731</v>
      </c>
      <c r="D3469" s="1119">
        <v>19.35</v>
      </c>
      <c r="E3469" s="1120">
        <v>11.11</v>
      </c>
      <c r="F3469" s="1121">
        <f t="shared" si="1"/>
        <v>8.24</v>
      </c>
      <c r="G3469" s="1120">
        <v>8.24</v>
      </c>
      <c r="H3469" s="1127">
        <v>0.0</v>
      </c>
      <c r="I3469" s="1127">
        <v>0.0</v>
      </c>
      <c r="J3469" s="1127">
        <v>0.0</v>
      </c>
      <c r="K3469" s="1124"/>
    </row>
    <row r="3470" ht="15.75" customHeight="1">
      <c r="A3470" s="1119">
        <v>91784.0</v>
      </c>
      <c r="B3470" s="1125" t="s">
        <v>13749</v>
      </c>
      <c r="C3470" s="1126" t="s">
        <v>1731</v>
      </c>
      <c r="D3470" s="1119">
        <v>53.12</v>
      </c>
      <c r="E3470" s="1120">
        <v>31.99</v>
      </c>
      <c r="F3470" s="1121">
        <f t="shared" si="1"/>
        <v>21.15</v>
      </c>
      <c r="G3470" s="1120">
        <v>21.15</v>
      </c>
      <c r="H3470" s="1127">
        <v>0.0</v>
      </c>
      <c r="I3470" s="1127">
        <v>0.0</v>
      </c>
      <c r="J3470" s="1127">
        <v>0.0</v>
      </c>
      <c r="K3470" s="1124"/>
    </row>
    <row r="3471" ht="15.75" customHeight="1">
      <c r="A3471" s="1119">
        <v>91785.0</v>
      </c>
      <c r="B3471" s="1125" t="s">
        <v>13750</v>
      </c>
      <c r="C3471" s="1126" t="s">
        <v>1731</v>
      </c>
      <c r="D3471" s="1119">
        <v>51.85</v>
      </c>
      <c r="E3471" s="1120">
        <v>31.14</v>
      </c>
      <c r="F3471" s="1121">
        <f t="shared" si="1"/>
        <v>20.76</v>
      </c>
      <c r="G3471" s="1120">
        <v>20.76</v>
      </c>
      <c r="H3471" s="1127">
        <v>0.0</v>
      </c>
      <c r="I3471" s="1127">
        <v>0.0</v>
      </c>
      <c r="J3471" s="1127">
        <v>0.0</v>
      </c>
      <c r="K3471" s="1124"/>
    </row>
    <row r="3472" ht="15.75" customHeight="1">
      <c r="A3472" s="1119">
        <v>91786.0</v>
      </c>
      <c r="B3472" s="1125" t="s">
        <v>13751</v>
      </c>
      <c r="C3472" s="1126" t="s">
        <v>1731</v>
      </c>
      <c r="D3472" s="1119">
        <v>34.58</v>
      </c>
      <c r="E3472" s="1120">
        <v>13.61</v>
      </c>
      <c r="F3472" s="1121">
        <f t="shared" si="1"/>
        <v>21.02</v>
      </c>
      <c r="G3472" s="1120">
        <v>21.02</v>
      </c>
      <c r="H3472" s="1127">
        <v>0.0</v>
      </c>
      <c r="I3472" s="1127">
        <v>0.0</v>
      </c>
      <c r="J3472" s="1127">
        <v>0.0</v>
      </c>
      <c r="K3472" s="1124"/>
    </row>
    <row r="3473" ht="15.75" customHeight="1">
      <c r="A3473" s="1119">
        <v>91787.0</v>
      </c>
      <c r="B3473" s="1125" t="s">
        <v>13752</v>
      </c>
      <c r="C3473" s="1126" t="s">
        <v>1731</v>
      </c>
      <c r="D3473" s="1119">
        <v>35.97</v>
      </c>
      <c r="E3473" s="1120">
        <v>6.07</v>
      </c>
      <c r="F3473" s="1121">
        <f t="shared" si="1"/>
        <v>29.98</v>
      </c>
      <c r="G3473" s="1120">
        <v>29.98</v>
      </c>
      <c r="H3473" s="1127">
        <v>0.0</v>
      </c>
      <c r="I3473" s="1127">
        <v>0.0</v>
      </c>
      <c r="J3473" s="1127">
        <v>0.0</v>
      </c>
      <c r="K3473" s="1124"/>
    </row>
    <row r="3474" ht="15.75" customHeight="1">
      <c r="A3474" s="1119">
        <v>91788.0</v>
      </c>
      <c r="B3474" s="1125" t="s">
        <v>13753</v>
      </c>
      <c r="C3474" s="1126" t="s">
        <v>1731</v>
      </c>
      <c r="D3474" s="1119">
        <v>44.62</v>
      </c>
      <c r="E3474" s="1120">
        <v>10.0</v>
      </c>
      <c r="F3474" s="1121">
        <f t="shared" si="1"/>
        <v>34.63</v>
      </c>
      <c r="G3474" s="1120">
        <v>34.63</v>
      </c>
      <c r="H3474" s="1127">
        <v>0.0</v>
      </c>
      <c r="I3474" s="1127">
        <v>0.0</v>
      </c>
      <c r="J3474" s="1127">
        <v>0.0</v>
      </c>
      <c r="K3474" s="1124"/>
    </row>
    <row r="3475" ht="15.75" customHeight="1">
      <c r="A3475" s="1119">
        <v>91789.0</v>
      </c>
      <c r="B3475" s="1125" t="s">
        <v>13754</v>
      </c>
      <c r="C3475" s="1126" t="s">
        <v>1731</v>
      </c>
      <c r="D3475" s="1119">
        <v>56.13</v>
      </c>
      <c r="E3475" s="1120">
        <v>8.53</v>
      </c>
      <c r="F3475" s="1121">
        <f t="shared" si="1"/>
        <v>47.59</v>
      </c>
      <c r="G3475" s="1120">
        <v>47.59</v>
      </c>
      <c r="H3475" s="1127">
        <v>0.0</v>
      </c>
      <c r="I3475" s="1127">
        <v>0.0</v>
      </c>
      <c r="J3475" s="1127">
        <v>0.0</v>
      </c>
      <c r="K3475" s="1124"/>
    </row>
    <row r="3476" ht="15.75" customHeight="1">
      <c r="A3476" s="1119">
        <v>91790.0</v>
      </c>
      <c r="B3476" s="1125" t="s">
        <v>13755</v>
      </c>
      <c r="C3476" s="1126" t="s">
        <v>1731</v>
      </c>
      <c r="D3476" s="1119">
        <v>65.93</v>
      </c>
      <c r="E3476" s="1120">
        <v>15.13</v>
      </c>
      <c r="F3476" s="1121">
        <f t="shared" si="1"/>
        <v>50.79</v>
      </c>
      <c r="G3476" s="1120">
        <v>50.79</v>
      </c>
      <c r="H3476" s="1127">
        <v>0.0</v>
      </c>
      <c r="I3476" s="1127">
        <v>0.0</v>
      </c>
      <c r="J3476" s="1127">
        <v>0.0</v>
      </c>
      <c r="K3476" s="1124"/>
    </row>
    <row r="3477" ht="15.75" customHeight="1">
      <c r="A3477" s="1119">
        <v>91791.0</v>
      </c>
      <c r="B3477" s="1125" t="s">
        <v>13756</v>
      </c>
      <c r="C3477" s="1126" t="s">
        <v>1731</v>
      </c>
      <c r="D3477" s="1119">
        <v>84.62</v>
      </c>
      <c r="E3477" s="1120">
        <v>7.01</v>
      </c>
      <c r="F3477" s="1121">
        <f t="shared" si="1"/>
        <v>77.58</v>
      </c>
      <c r="G3477" s="1120">
        <v>77.58</v>
      </c>
      <c r="H3477" s="1127">
        <v>0.0</v>
      </c>
      <c r="I3477" s="1127">
        <v>0.0</v>
      </c>
      <c r="J3477" s="1127">
        <v>0.0</v>
      </c>
      <c r="K3477" s="1124"/>
    </row>
    <row r="3478" ht="15.75" customHeight="1">
      <c r="A3478" s="1119">
        <v>91792.0</v>
      </c>
      <c r="B3478" s="1125" t="s">
        <v>13757</v>
      </c>
      <c r="C3478" s="1126" t="s">
        <v>1731</v>
      </c>
      <c r="D3478" s="1119">
        <v>73.85</v>
      </c>
      <c r="E3478" s="1120">
        <v>41.18</v>
      </c>
      <c r="F3478" s="1121">
        <f t="shared" si="1"/>
        <v>32.73</v>
      </c>
      <c r="G3478" s="1120">
        <v>32.73</v>
      </c>
      <c r="H3478" s="1127">
        <v>0.0</v>
      </c>
      <c r="I3478" s="1127">
        <v>0.0</v>
      </c>
      <c r="J3478" s="1127">
        <v>0.0</v>
      </c>
      <c r="K3478" s="1124"/>
    </row>
    <row r="3479" ht="15.75" customHeight="1">
      <c r="A3479" s="1119">
        <v>91793.0</v>
      </c>
      <c r="B3479" s="1125" t="s">
        <v>13758</v>
      </c>
      <c r="C3479" s="1126" t="s">
        <v>1731</v>
      </c>
      <c r="D3479" s="1119">
        <v>108.04</v>
      </c>
      <c r="E3479" s="1120">
        <v>47.38</v>
      </c>
      <c r="F3479" s="1121">
        <f t="shared" si="1"/>
        <v>60.7</v>
      </c>
      <c r="G3479" s="1120">
        <v>60.7</v>
      </c>
      <c r="H3479" s="1127">
        <v>0.0</v>
      </c>
      <c r="I3479" s="1127">
        <v>0.0</v>
      </c>
      <c r="J3479" s="1127">
        <v>0.0</v>
      </c>
      <c r="K3479" s="1124"/>
    </row>
    <row r="3480" ht="15.75" customHeight="1">
      <c r="A3480" s="1119">
        <v>91794.0</v>
      </c>
      <c r="B3480" s="1125" t="s">
        <v>13759</v>
      </c>
      <c r="C3480" s="1126" t="s">
        <v>1731</v>
      </c>
      <c r="D3480" s="1119">
        <v>50.63</v>
      </c>
      <c r="E3480" s="1120">
        <v>16.0</v>
      </c>
      <c r="F3480" s="1121">
        <f t="shared" si="1"/>
        <v>34.68</v>
      </c>
      <c r="G3480" s="1120">
        <v>34.68</v>
      </c>
      <c r="H3480" s="1127">
        <v>0.0</v>
      </c>
      <c r="I3480" s="1127">
        <v>0.0</v>
      </c>
      <c r="J3480" s="1127">
        <v>0.0</v>
      </c>
      <c r="K3480" s="1124"/>
    </row>
    <row r="3481" ht="15.75" customHeight="1">
      <c r="A3481" s="1119">
        <v>91795.0</v>
      </c>
      <c r="B3481" s="1125" t="s">
        <v>13760</v>
      </c>
      <c r="C3481" s="1126" t="s">
        <v>1731</v>
      </c>
      <c r="D3481" s="1119">
        <v>79.75</v>
      </c>
      <c r="E3481" s="1120">
        <v>28.24</v>
      </c>
      <c r="F3481" s="1121">
        <f t="shared" si="1"/>
        <v>51.59</v>
      </c>
      <c r="G3481" s="1120">
        <v>51.59</v>
      </c>
      <c r="H3481" s="1127">
        <v>0.0</v>
      </c>
      <c r="I3481" s="1127">
        <v>0.0</v>
      </c>
      <c r="J3481" s="1127">
        <v>0.0</v>
      </c>
      <c r="K3481" s="1124"/>
    </row>
    <row r="3482" ht="15.75" customHeight="1">
      <c r="A3482" s="1119">
        <v>91796.0</v>
      </c>
      <c r="B3482" s="1125" t="s">
        <v>13761</v>
      </c>
      <c r="C3482" s="1126" t="s">
        <v>1731</v>
      </c>
      <c r="D3482" s="1119">
        <v>81.92</v>
      </c>
      <c r="E3482" s="1120">
        <v>22.49</v>
      </c>
      <c r="F3482" s="1121">
        <f t="shared" si="1"/>
        <v>59.43</v>
      </c>
      <c r="G3482" s="1120">
        <v>59.43</v>
      </c>
      <c r="H3482" s="1127">
        <v>0.0</v>
      </c>
      <c r="I3482" s="1127">
        <v>0.0</v>
      </c>
      <c r="J3482" s="1127">
        <v>0.0</v>
      </c>
      <c r="K3482" s="1124"/>
    </row>
    <row r="3483" ht="15.75" customHeight="1">
      <c r="A3483" s="1119">
        <v>92275.0</v>
      </c>
      <c r="B3483" s="1125" t="s">
        <v>13762</v>
      </c>
      <c r="C3483" s="1126" t="s">
        <v>1731</v>
      </c>
      <c r="D3483" s="1119">
        <v>55.52</v>
      </c>
      <c r="E3483" s="1120">
        <v>1.89</v>
      </c>
      <c r="F3483" s="1121">
        <f t="shared" si="1"/>
        <v>53.63</v>
      </c>
      <c r="G3483" s="1120">
        <v>53.63</v>
      </c>
      <c r="H3483" s="1127">
        <v>0.0</v>
      </c>
      <c r="I3483" s="1127">
        <v>0.0</v>
      </c>
      <c r="J3483" s="1127">
        <v>0.0</v>
      </c>
      <c r="K3483" s="1124"/>
    </row>
    <row r="3484" ht="15.75" customHeight="1">
      <c r="A3484" s="1119">
        <v>92276.0</v>
      </c>
      <c r="B3484" s="1125" t="s">
        <v>13763</v>
      </c>
      <c r="C3484" s="1126" t="s">
        <v>1731</v>
      </c>
      <c r="D3484" s="1119">
        <v>70.53</v>
      </c>
      <c r="E3484" s="1120">
        <v>2.43</v>
      </c>
      <c r="F3484" s="1121">
        <f t="shared" si="1"/>
        <v>68.08</v>
      </c>
      <c r="G3484" s="1120">
        <v>68.08</v>
      </c>
      <c r="H3484" s="1127">
        <v>0.0</v>
      </c>
      <c r="I3484" s="1127">
        <v>0.0</v>
      </c>
      <c r="J3484" s="1127">
        <v>0.0</v>
      </c>
      <c r="K3484" s="1124"/>
    </row>
    <row r="3485" ht="15.75" customHeight="1">
      <c r="A3485" s="1119">
        <v>92277.0</v>
      </c>
      <c r="B3485" s="1125" t="s">
        <v>13764</v>
      </c>
      <c r="C3485" s="1126" t="s">
        <v>1731</v>
      </c>
      <c r="D3485" s="1119">
        <v>101.79</v>
      </c>
      <c r="E3485" s="1120">
        <v>3.09</v>
      </c>
      <c r="F3485" s="1121">
        <f t="shared" si="1"/>
        <v>98.72</v>
      </c>
      <c r="G3485" s="1120">
        <v>98.72</v>
      </c>
      <c r="H3485" s="1127">
        <v>0.0</v>
      </c>
      <c r="I3485" s="1127">
        <v>0.0</v>
      </c>
      <c r="J3485" s="1127">
        <v>0.0</v>
      </c>
      <c r="K3485" s="1124"/>
    </row>
    <row r="3486" ht="15.75" customHeight="1">
      <c r="A3486" s="1119">
        <v>92278.0</v>
      </c>
      <c r="B3486" s="1125" t="s">
        <v>13765</v>
      </c>
      <c r="C3486" s="1126" t="s">
        <v>1731</v>
      </c>
      <c r="D3486" s="1119">
        <v>136.87</v>
      </c>
      <c r="E3486" s="1120">
        <v>3.72</v>
      </c>
      <c r="F3486" s="1121">
        <f t="shared" si="1"/>
        <v>133.15</v>
      </c>
      <c r="G3486" s="1120">
        <v>133.15</v>
      </c>
      <c r="H3486" s="1127">
        <v>0.0</v>
      </c>
      <c r="I3486" s="1127">
        <v>0.0</v>
      </c>
      <c r="J3486" s="1127">
        <v>0.0</v>
      </c>
      <c r="K3486" s="1124"/>
    </row>
    <row r="3487" ht="15.75" customHeight="1">
      <c r="A3487" s="1119">
        <v>92279.0</v>
      </c>
      <c r="B3487" s="1125" t="s">
        <v>13766</v>
      </c>
      <c r="C3487" s="1126" t="s">
        <v>1731</v>
      </c>
      <c r="D3487" s="1119">
        <v>197.72</v>
      </c>
      <c r="E3487" s="1120">
        <v>4.83</v>
      </c>
      <c r="F3487" s="1121">
        <f t="shared" si="1"/>
        <v>192.88</v>
      </c>
      <c r="G3487" s="1120">
        <v>192.88</v>
      </c>
      <c r="H3487" s="1127">
        <v>0.0</v>
      </c>
      <c r="I3487" s="1127">
        <v>0.0</v>
      </c>
      <c r="J3487" s="1127">
        <v>0.0</v>
      </c>
      <c r="K3487" s="1124"/>
    </row>
    <row r="3488" ht="15.75" customHeight="1">
      <c r="A3488" s="1119">
        <v>92280.0</v>
      </c>
      <c r="B3488" s="1125" t="s">
        <v>13767</v>
      </c>
      <c r="C3488" s="1126" t="s">
        <v>1731</v>
      </c>
      <c r="D3488" s="1119">
        <v>277.4</v>
      </c>
      <c r="E3488" s="1120">
        <v>5.94</v>
      </c>
      <c r="F3488" s="1121">
        <f t="shared" si="1"/>
        <v>271.45</v>
      </c>
      <c r="G3488" s="1120">
        <v>271.45</v>
      </c>
      <c r="H3488" s="1127">
        <v>0.0</v>
      </c>
      <c r="I3488" s="1127">
        <v>0.0</v>
      </c>
      <c r="J3488" s="1127">
        <v>0.0</v>
      </c>
      <c r="K3488" s="1124"/>
    </row>
    <row r="3489" ht="15.75" customHeight="1">
      <c r="A3489" s="1119">
        <v>92281.0</v>
      </c>
      <c r="B3489" s="1125" t="s">
        <v>13768</v>
      </c>
      <c r="C3489" s="1126" t="s">
        <v>1731</v>
      </c>
      <c r="D3489" s="1119">
        <v>128.37</v>
      </c>
      <c r="E3489" s="1120">
        <v>2.79</v>
      </c>
      <c r="F3489" s="1121">
        <f t="shared" si="1"/>
        <v>125.58</v>
      </c>
      <c r="G3489" s="1120">
        <v>125.58</v>
      </c>
      <c r="H3489" s="1127">
        <v>0.0</v>
      </c>
      <c r="I3489" s="1127">
        <v>0.0</v>
      </c>
      <c r="J3489" s="1127">
        <v>0.0</v>
      </c>
      <c r="K3489" s="1124"/>
    </row>
    <row r="3490" ht="15.75" customHeight="1">
      <c r="A3490" s="1119">
        <v>92282.0</v>
      </c>
      <c r="B3490" s="1125" t="s">
        <v>13769</v>
      </c>
      <c r="C3490" s="1126" t="s">
        <v>1731</v>
      </c>
      <c r="D3490" s="1119">
        <v>146.35</v>
      </c>
      <c r="E3490" s="1120">
        <v>3.34</v>
      </c>
      <c r="F3490" s="1121">
        <f t="shared" si="1"/>
        <v>142.99</v>
      </c>
      <c r="G3490" s="1120">
        <v>142.99</v>
      </c>
      <c r="H3490" s="1127">
        <v>0.0</v>
      </c>
      <c r="I3490" s="1127">
        <v>0.0</v>
      </c>
      <c r="J3490" s="1127">
        <v>0.0</v>
      </c>
      <c r="K3490" s="1124"/>
    </row>
    <row r="3491" ht="15.75" customHeight="1">
      <c r="A3491" s="1119">
        <v>92283.0</v>
      </c>
      <c r="B3491" s="1125" t="s">
        <v>13770</v>
      </c>
      <c r="C3491" s="1126" t="s">
        <v>1731</v>
      </c>
      <c r="D3491" s="1119">
        <v>197.54</v>
      </c>
      <c r="E3491" s="1120">
        <v>3.99</v>
      </c>
      <c r="F3491" s="1121">
        <f t="shared" si="1"/>
        <v>193.56</v>
      </c>
      <c r="G3491" s="1120">
        <v>193.56</v>
      </c>
      <c r="H3491" s="1127">
        <v>0.0</v>
      </c>
      <c r="I3491" s="1127">
        <v>0.0</v>
      </c>
      <c r="J3491" s="1127">
        <v>0.0</v>
      </c>
      <c r="K3491" s="1124"/>
    </row>
    <row r="3492" ht="15.75" customHeight="1">
      <c r="A3492" s="1119">
        <v>92284.0</v>
      </c>
      <c r="B3492" s="1125" t="s">
        <v>13771</v>
      </c>
      <c r="C3492" s="1126" t="s">
        <v>1731</v>
      </c>
      <c r="D3492" s="1119">
        <v>245.97</v>
      </c>
      <c r="E3492" s="1120">
        <v>4.62</v>
      </c>
      <c r="F3492" s="1121">
        <f t="shared" si="1"/>
        <v>241.34</v>
      </c>
      <c r="G3492" s="1120">
        <v>241.34</v>
      </c>
      <c r="H3492" s="1127">
        <v>0.0</v>
      </c>
      <c r="I3492" s="1127">
        <v>0.0</v>
      </c>
      <c r="J3492" s="1127">
        <v>0.0</v>
      </c>
      <c r="K3492" s="1124"/>
    </row>
    <row r="3493" ht="15.75" customHeight="1">
      <c r="A3493" s="1119">
        <v>92285.0</v>
      </c>
      <c r="B3493" s="1125" t="s">
        <v>13772</v>
      </c>
      <c r="C3493" s="1126" t="s">
        <v>1731</v>
      </c>
      <c r="D3493" s="1119">
        <v>328.05</v>
      </c>
      <c r="E3493" s="1120">
        <v>5.74</v>
      </c>
      <c r="F3493" s="1121">
        <f t="shared" si="1"/>
        <v>322.31</v>
      </c>
      <c r="G3493" s="1120">
        <v>322.31</v>
      </c>
      <c r="H3493" s="1127">
        <v>0.0</v>
      </c>
      <c r="I3493" s="1127">
        <v>0.0</v>
      </c>
      <c r="J3493" s="1127">
        <v>0.0</v>
      </c>
      <c r="K3493" s="1124"/>
    </row>
    <row r="3494" ht="15.75" customHeight="1">
      <c r="A3494" s="1119">
        <v>92286.0</v>
      </c>
      <c r="B3494" s="1125" t="s">
        <v>13773</v>
      </c>
      <c r="C3494" s="1126" t="s">
        <v>1731</v>
      </c>
      <c r="D3494" s="1119">
        <v>409.55</v>
      </c>
      <c r="E3494" s="1120">
        <v>6.84</v>
      </c>
      <c r="F3494" s="1121">
        <f t="shared" si="1"/>
        <v>402.72</v>
      </c>
      <c r="G3494" s="1120">
        <v>402.72</v>
      </c>
      <c r="H3494" s="1127">
        <v>0.0</v>
      </c>
      <c r="I3494" s="1127">
        <v>0.0</v>
      </c>
      <c r="J3494" s="1127">
        <v>0.0</v>
      </c>
      <c r="K3494" s="1124"/>
    </row>
    <row r="3495" ht="15.75" customHeight="1">
      <c r="A3495" s="1119">
        <v>92305.0</v>
      </c>
      <c r="B3495" s="1125" t="s">
        <v>13774</v>
      </c>
      <c r="C3495" s="1126" t="s">
        <v>1731</v>
      </c>
      <c r="D3495" s="1119">
        <v>38.65</v>
      </c>
      <c r="E3495" s="1120">
        <v>5.9</v>
      </c>
      <c r="F3495" s="1121">
        <f t="shared" si="1"/>
        <v>32.75</v>
      </c>
      <c r="G3495" s="1120">
        <v>32.75</v>
      </c>
      <c r="H3495" s="1127">
        <v>0.0</v>
      </c>
      <c r="I3495" s="1127">
        <v>0.0</v>
      </c>
      <c r="J3495" s="1127">
        <v>0.0</v>
      </c>
      <c r="K3495" s="1124"/>
    </row>
    <row r="3496" ht="15.75" customHeight="1">
      <c r="A3496" s="1119">
        <v>92306.0</v>
      </c>
      <c r="B3496" s="1125" t="s">
        <v>13775</v>
      </c>
      <c r="C3496" s="1126" t="s">
        <v>1731</v>
      </c>
      <c r="D3496" s="1119">
        <v>62.04</v>
      </c>
      <c r="E3496" s="1120">
        <v>6.79</v>
      </c>
      <c r="F3496" s="1121">
        <f t="shared" si="1"/>
        <v>55.25</v>
      </c>
      <c r="G3496" s="1120">
        <v>55.25</v>
      </c>
      <c r="H3496" s="1127">
        <v>0.0</v>
      </c>
      <c r="I3496" s="1127">
        <v>0.0</v>
      </c>
      <c r="J3496" s="1127">
        <v>0.0</v>
      </c>
      <c r="K3496" s="1124"/>
    </row>
    <row r="3497" ht="15.75" customHeight="1">
      <c r="A3497" s="1119">
        <v>92307.0</v>
      </c>
      <c r="B3497" s="1125" t="s">
        <v>13776</v>
      </c>
      <c r="C3497" s="1126" t="s">
        <v>1731</v>
      </c>
      <c r="D3497" s="1119">
        <v>77.35</v>
      </c>
      <c r="E3497" s="1120">
        <v>7.55</v>
      </c>
      <c r="F3497" s="1121">
        <f t="shared" si="1"/>
        <v>69.77</v>
      </c>
      <c r="G3497" s="1120">
        <v>69.77</v>
      </c>
      <c r="H3497" s="1127">
        <v>0.0</v>
      </c>
      <c r="I3497" s="1127">
        <v>0.0</v>
      </c>
      <c r="J3497" s="1127">
        <v>0.0</v>
      </c>
      <c r="K3497" s="1124"/>
    </row>
    <row r="3498" ht="15.75" customHeight="1">
      <c r="A3498" s="1119">
        <v>92308.0</v>
      </c>
      <c r="B3498" s="1125" t="s">
        <v>13777</v>
      </c>
      <c r="C3498" s="1126" t="s">
        <v>1731</v>
      </c>
      <c r="D3498" s="1119">
        <v>57.59</v>
      </c>
      <c r="E3498" s="1120">
        <v>9.23</v>
      </c>
      <c r="F3498" s="1121">
        <f t="shared" si="1"/>
        <v>48.37</v>
      </c>
      <c r="G3498" s="1120">
        <v>48.37</v>
      </c>
      <c r="H3498" s="1127">
        <v>0.0</v>
      </c>
      <c r="I3498" s="1127">
        <v>0.0</v>
      </c>
      <c r="J3498" s="1127">
        <v>0.0</v>
      </c>
      <c r="K3498" s="1124"/>
    </row>
    <row r="3499" ht="15.75" customHeight="1">
      <c r="A3499" s="1119">
        <v>92309.0</v>
      </c>
      <c r="B3499" s="1125" t="s">
        <v>13778</v>
      </c>
      <c r="C3499" s="1126" t="s">
        <v>1731</v>
      </c>
      <c r="D3499" s="1119">
        <v>138.13</v>
      </c>
      <c r="E3499" s="1120">
        <v>10.12</v>
      </c>
      <c r="F3499" s="1121">
        <f t="shared" si="1"/>
        <v>128</v>
      </c>
      <c r="G3499" s="1120">
        <v>128.0</v>
      </c>
      <c r="H3499" s="1127">
        <v>0.0</v>
      </c>
      <c r="I3499" s="1127">
        <v>0.0</v>
      </c>
      <c r="J3499" s="1127">
        <v>0.0</v>
      </c>
      <c r="K3499" s="1124"/>
    </row>
    <row r="3500" ht="15.75" customHeight="1">
      <c r="A3500" s="1119">
        <v>92310.0</v>
      </c>
      <c r="B3500" s="1125" t="s">
        <v>13779</v>
      </c>
      <c r="C3500" s="1126" t="s">
        <v>1731</v>
      </c>
      <c r="D3500" s="1119">
        <v>156.41</v>
      </c>
      <c r="E3500" s="1120">
        <v>10.9</v>
      </c>
      <c r="F3500" s="1121">
        <f t="shared" si="1"/>
        <v>145.52</v>
      </c>
      <c r="G3500" s="1120">
        <v>145.52</v>
      </c>
      <c r="H3500" s="1127">
        <v>0.0</v>
      </c>
      <c r="I3500" s="1127">
        <v>0.0</v>
      </c>
      <c r="J3500" s="1127">
        <v>0.0</v>
      </c>
      <c r="K3500" s="1124"/>
    </row>
    <row r="3501" ht="15.75" customHeight="1">
      <c r="A3501" s="1119">
        <v>92320.0</v>
      </c>
      <c r="B3501" s="1125" t="s">
        <v>13780</v>
      </c>
      <c r="C3501" s="1126" t="s">
        <v>1731</v>
      </c>
      <c r="D3501" s="1119">
        <v>52.04</v>
      </c>
      <c r="E3501" s="1120">
        <v>15.96</v>
      </c>
      <c r="F3501" s="1121">
        <f t="shared" si="1"/>
        <v>36.07</v>
      </c>
      <c r="G3501" s="1120">
        <v>36.07</v>
      </c>
      <c r="H3501" s="1127">
        <v>0.0</v>
      </c>
      <c r="I3501" s="1127">
        <v>0.0</v>
      </c>
      <c r="J3501" s="1127">
        <v>0.0</v>
      </c>
      <c r="K3501" s="1124"/>
    </row>
    <row r="3502" ht="15.75" customHeight="1">
      <c r="A3502" s="1119">
        <v>92321.0</v>
      </c>
      <c r="B3502" s="1125" t="s">
        <v>13781</v>
      </c>
      <c r="C3502" s="1126" t="s">
        <v>1731</v>
      </c>
      <c r="D3502" s="1119">
        <v>85.11</v>
      </c>
      <c r="E3502" s="1120">
        <v>24.14</v>
      </c>
      <c r="F3502" s="1121">
        <f t="shared" si="1"/>
        <v>60.97</v>
      </c>
      <c r="G3502" s="1120">
        <v>60.97</v>
      </c>
      <c r="H3502" s="1127">
        <v>0.0</v>
      </c>
      <c r="I3502" s="1127">
        <v>0.0</v>
      </c>
      <c r="J3502" s="1127">
        <v>0.0</v>
      </c>
      <c r="K3502" s="1124"/>
    </row>
    <row r="3503" ht="15.75" customHeight="1">
      <c r="A3503" s="1119">
        <v>92322.0</v>
      </c>
      <c r="B3503" s="1125" t="s">
        <v>13782</v>
      </c>
      <c r="C3503" s="1126" t="s">
        <v>1731</v>
      </c>
      <c r="D3503" s="1119">
        <v>108.71</v>
      </c>
      <c r="E3503" s="1120">
        <v>31.15</v>
      </c>
      <c r="F3503" s="1121">
        <f t="shared" si="1"/>
        <v>77.57</v>
      </c>
      <c r="G3503" s="1120">
        <v>77.57</v>
      </c>
      <c r="H3503" s="1127">
        <v>0.0</v>
      </c>
      <c r="I3503" s="1127">
        <v>0.0</v>
      </c>
      <c r="J3503" s="1127">
        <v>0.0</v>
      </c>
      <c r="K3503" s="1124"/>
    </row>
    <row r="3504" ht="15.75" customHeight="1">
      <c r="A3504" s="1119">
        <v>92323.0</v>
      </c>
      <c r="B3504" s="1125" t="s">
        <v>13783</v>
      </c>
      <c r="C3504" s="1126" t="s">
        <v>1731</v>
      </c>
      <c r="D3504" s="1119">
        <v>67.77</v>
      </c>
      <c r="E3504" s="1120">
        <v>16.88</v>
      </c>
      <c r="F3504" s="1121">
        <f t="shared" si="1"/>
        <v>50.89</v>
      </c>
      <c r="G3504" s="1120">
        <v>50.89</v>
      </c>
      <c r="H3504" s="1127">
        <v>0.0</v>
      </c>
      <c r="I3504" s="1127">
        <v>0.0</v>
      </c>
      <c r="J3504" s="1127">
        <v>0.0</v>
      </c>
      <c r="K3504" s="1124"/>
    </row>
    <row r="3505" ht="15.75" customHeight="1">
      <c r="A3505" s="1119">
        <v>92324.0</v>
      </c>
      <c r="B3505" s="1125" t="s">
        <v>13784</v>
      </c>
      <c r="C3505" s="1126" t="s">
        <v>1731</v>
      </c>
      <c r="D3505" s="1119">
        <v>157.99</v>
      </c>
      <c r="E3505" s="1120">
        <v>25.04</v>
      </c>
      <c r="F3505" s="1121">
        <f t="shared" si="1"/>
        <v>132.95</v>
      </c>
      <c r="G3505" s="1120">
        <v>132.95</v>
      </c>
      <c r="H3505" s="1127">
        <v>0.0</v>
      </c>
      <c r="I3505" s="1127">
        <v>0.0</v>
      </c>
      <c r="J3505" s="1127">
        <v>0.0</v>
      </c>
      <c r="K3505" s="1124"/>
    </row>
    <row r="3506" ht="15.75" customHeight="1">
      <c r="A3506" s="1119">
        <v>92325.0</v>
      </c>
      <c r="B3506" s="1125" t="s">
        <v>13785</v>
      </c>
      <c r="C3506" s="1126" t="s">
        <v>1731</v>
      </c>
      <c r="D3506" s="1119">
        <v>184.57</v>
      </c>
      <c r="E3506" s="1120">
        <v>32.06</v>
      </c>
      <c r="F3506" s="1121">
        <f t="shared" si="1"/>
        <v>152.5</v>
      </c>
      <c r="G3506" s="1120">
        <v>152.5</v>
      </c>
      <c r="H3506" s="1127">
        <v>0.0</v>
      </c>
      <c r="I3506" s="1127">
        <v>0.0</v>
      </c>
      <c r="J3506" s="1127">
        <v>0.0</v>
      </c>
      <c r="K3506" s="1124"/>
    </row>
    <row r="3507" ht="15.75" customHeight="1">
      <c r="A3507" s="1119">
        <v>92335.0</v>
      </c>
      <c r="B3507" s="1125" t="s">
        <v>13786</v>
      </c>
      <c r="C3507" s="1126" t="s">
        <v>1731</v>
      </c>
      <c r="D3507" s="1119">
        <v>92.17</v>
      </c>
      <c r="E3507" s="1120">
        <v>11.51</v>
      </c>
      <c r="F3507" s="1121">
        <f t="shared" si="1"/>
        <v>80.67</v>
      </c>
      <c r="G3507" s="1120">
        <v>80.67</v>
      </c>
      <c r="H3507" s="1127">
        <v>0.0</v>
      </c>
      <c r="I3507" s="1127">
        <v>0.0</v>
      </c>
      <c r="J3507" s="1127">
        <v>0.0</v>
      </c>
      <c r="K3507" s="1124"/>
    </row>
    <row r="3508" ht="15.75" customHeight="1">
      <c r="A3508" s="1119">
        <v>92336.0</v>
      </c>
      <c r="B3508" s="1125" t="s">
        <v>13787</v>
      </c>
      <c r="C3508" s="1126" t="s">
        <v>1731</v>
      </c>
      <c r="D3508" s="1119">
        <v>113.02</v>
      </c>
      <c r="E3508" s="1120">
        <v>13.27</v>
      </c>
      <c r="F3508" s="1121">
        <f t="shared" si="1"/>
        <v>99.76</v>
      </c>
      <c r="G3508" s="1120">
        <v>99.76</v>
      </c>
      <c r="H3508" s="1127">
        <v>0.0</v>
      </c>
      <c r="I3508" s="1127">
        <v>0.0</v>
      </c>
      <c r="J3508" s="1127">
        <v>0.0</v>
      </c>
      <c r="K3508" s="1124"/>
    </row>
    <row r="3509" ht="15.75" customHeight="1">
      <c r="A3509" s="1119">
        <v>92337.0</v>
      </c>
      <c r="B3509" s="1125" t="s">
        <v>13788</v>
      </c>
      <c r="C3509" s="1126" t="s">
        <v>1731</v>
      </c>
      <c r="D3509" s="1119">
        <v>148.29</v>
      </c>
      <c r="E3509" s="1120">
        <v>15.0</v>
      </c>
      <c r="F3509" s="1121">
        <f t="shared" si="1"/>
        <v>133.29</v>
      </c>
      <c r="G3509" s="1120">
        <v>133.29</v>
      </c>
      <c r="H3509" s="1127">
        <v>0.0</v>
      </c>
      <c r="I3509" s="1127">
        <v>0.0</v>
      </c>
      <c r="J3509" s="1127">
        <v>0.0</v>
      </c>
      <c r="K3509" s="1124"/>
    </row>
    <row r="3510" ht="15.75" customHeight="1">
      <c r="A3510" s="1119">
        <v>92338.0</v>
      </c>
      <c r="B3510" s="1125" t="s">
        <v>13789</v>
      </c>
      <c r="C3510" s="1126" t="s">
        <v>1731</v>
      </c>
      <c r="D3510" s="1119">
        <v>158.96</v>
      </c>
      <c r="E3510" s="1120">
        <v>25.89</v>
      </c>
      <c r="F3510" s="1121">
        <f t="shared" si="1"/>
        <v>133.08</v>
      </c>
      <c r="G3510" s="1120">
        <v>133.08</v>
      </c>
      <c r="H3510" s="1127">
        <v>0.0</v>
      </c>
      <c r="I3510" s="1127">
        <v>0.0</v>
      </c>
      <c r="J3510" s="1127">
        <v>0.0</v>
      </c>
      <c r="K3510" s="1124"/>
    </row>
    <row r="3511" ht="15.75" customHeight="1">
      <c r="A3511" s="1119">
        <v>92339.0</v>
      </c>
      <c r="B3511" s="1125" t="s">
        <v>13790</v>
      </c>
      <c r="C3511" s="1126" t="s">
        <v>1731</v>
      </c>
      <c r="D3511" s="1119">
        <v>239.85</v>
      </c>
      <c r="E3511" s="1120">
        <v>28.69</v>
      </c>
      <c r="F3511" s="1121">
        <f t="shared" si="1"/>
        <v>211.15</v>
      </c>
      <c r="G3511" s="1120">
        <v>211.15</v>
      </c>
      <c r="H3511" s="1127">
        <v>0.0</v>
      </c>
      <c r="I3511" s="1127">
        <v>0.0</v>
      </c>
      <c r="J3511" s="1127">
        <v>0.0</v>
      </c>
      <c r="K3511" s="1124"/>
    </row>
    <row r="3512" ht="15.75" customHeight="1">
      <c r="A3512" s="1119">
        <v>92341.0</v>
      </c>
      <c r="B3512" s="1125" t="s">
        <v>13791</v>
      </c>
      <c r="C3512" s="1126" t="s">
        <v>1731</v>
      </c>
      <c r="D3512" s="1119">
        <v>104.45</v>
      </c>
      <c r="E3512" s="1120">
        <v>20.74</v>
      </c>
      <c r="F3512" s="1121">
        <f t="shared" si="1"/>
        <v>83.71</v>
      </c>
      <c r="G3512" s="1120">
        <v>83.71</v>
      </c>
      <c r="H3512" s="1127">
        <v>0.0</v>
      </c>
      <c r="I3512" s="1127">
        <v>0.0</v>
      </c>
      <c r="J3512" s="1127">
        <v>0.0</v>
      </c>
      <c r="K3512" s="1124"/>
    </row>
    <row r="3513" ht="15.75" customHeight="1">
      <c r="A3513" s="1119">
        <v>92342.0</v>
      </c>
      <c r="B3513" s="1125" t="s">
        <v>13792</v>
      </c>
      <c r="C3513" s="1126" t="s">
        <v>1731</v>
      </c>
      <c r="D3513" s="1119">
        <v>125.4</v>
      </c>
      <c r="E3513" s="1120">
        <v>22.56</v>
      </c>
      <c r="F3513" s="1121">
        <f t="shared" si="1"/>
        <v>102.83</v>
      </c>
      <c r="G3513" s="1120">
        <v>102.83</v>
      </c>
      <c r="H3513" s="1127">
        <v>0.0</v>
      </c>
      <c r="I3513" s="1127">
        <v>0.0</v>
      </c>
      <c r="J3513" s="1127">
        <v>0.0</v>
      </c>
      <c r="K3513" s="1124"/>
    </row>
    <row r="3514" ht="15.75" customHeight="1">
      <c r="A3514" s="1119">
        <v>92343.0</v>
      </c>
      <c r="B3514" s="1125" t="s">
        <v>13793</v>
      </c>
      <c r="C3514" s="1126" t="s">
        <v>1731</v>
      </c>
      <c r="D3514" s="1119">
        <v>160.78</v>
      </c>
      <c r="E3514" s="1120">
        <v>24.4</v>
      </c>
      <c r="F3514" s="1121">
        <f t="shared" si="1"/>
        <v>136.4</v>
      </c>
      <c r="G3514" s="1120">
        <v>136.4</v>
      </c>
      <c r="H3514" s="1127">
        <v>0.0</v>
      </c>
      <c r="I3514" s="1127">
        <v>0.0</v>
      </c>
      <c r="J3514" s="1127">
        <v>0.0</v>
      </c>
      <c r="K3514" s="1124"/>
    </row>
    <row r="3515" ht="15.75" customHeight="1">
      <c r="A3515" s="1119">
        <v>92359.0</v>
      </c>
      <c r="B3515" s="1125" t="s">
        <v>13794</v>
      </c>
      <c r="C3515" s="1126" t="s">
        <v>1731</v>
      </c>
      <c r="D3515" s="1119">
        <v>73.96</v>
      </c>
      <c r="E3515" s="1120">
        <v>3.4</v>
      </c>
      <c r="F3515" s="1121">
        <f t="shared" si="1"/>
        <v>70.56</v>
      </c>
      <c r="G3515" s="1120">
        <v>70.56</v>
      </c>
      <c r="H3515" s="1127">
        <v>0.0</v>
      </c>
      <c r="I3515" s="1127">
        <v>0.0</v>
      </c>
      <c r="J3515" s="1127">
        <v>0.0</v>
      </c>
      <c r="K3515" s="1124"/>
    </row>
    <row r="3516" ht="15.75" customHeight="1">
      <c r="A3516" s="1119">
        <v>92360.0</v>
      </c>
      <c r="B3516" s="1125" t="s">
        <v>13795</v>
      </c>
      <c r="C3516" s="1126" t="s">
        <v>1731</v>
      </c>
      <c r="D3516" s="1119">
        <v>98.84</v>
      </c>
      <c r="E3516" s="1120">
        <v>4.35</v>
      </c>
      <c r="F3516" s="1121">
        <f t="shared" si="1"/>
        <v>94.49</v>
      </c>
      <c r="G3516" s="1120">
        <v>94.49</v>
      </c>
      <c r="H3516" s="1127">
        <v>0.0</v>
      </c>
      <c r="I3516" s="1127">
        <v>0.0</v>
      </c>
      <c r="J3516" s="1127">
        <v>0.0</v>
      </c>
      <c r="K3516" s="1124"/>
    </row>
    <row r="3517" ht="15.75" customHeight="1">
      <c r="A3517" s="1119">
        <v>92361.0</v>
      </c>
      <c r="B3517" s="1125" t="s">
        <v>13796</v>
      </c>
      <c r="C3517" s="1126" t="s">
        <v>1731</v>
      </c>
      <c r="D3517" s="1119">
        <v>133.49</v>
      </c>
      <c r="E3517" s="1120">
        <v>6.83</v>
      </c>
      <c r="F3517" s="1121">
        <f t="shared" si="1"/>
        <v>126.66</v>
      </c>
      <c r="G3517" s="1120">
        <v>126.66</v>
      </c>
      <c r="H3517" s="1127">
        <v>0.0</v>
      </c>
      <c r="I3517" s="1127">
        <v>0.0</v>
      </c>
      <c r="J3517" s="1127">
        <v>0.0</v>
      </c>
      <c r="K3517" s="1124"/>
    </row>
    <row r="3518" ht="15.75" customHeight="1">
      <c r="A3518" s="1119">
        <v>92362.0</v>
      </c>
      <c r="B3518" s="1125" t="s">
        <v>13797</v>
      </c>
      <c r="C3518" s="1126" t="s">
        <v>1731</v>
      </c>
      <c r="D3518" s="1119">
        <v>213.37</v>
      </c>
      <c r="E3518" s="1120">
        <v>8.87</v>
      </c>
      <c r="F3518" s="1121">
        <f t="shared" si="1"/>
        <v>204.48</v>
      </c>
      <c r="G3518" s="1120">
        <v>204.48</v>
      </c>
      <c r="H3518" s="1127">
        <v>0.0</v>
      </c>
      <c r="I3518" s="1127">
        <v>0.0</v>
      </c>
      <c r="J3518" s="1127">
        <v>0.0</v>
      </c>
      <c r="K3518" s="1124"/>
    </row>
    <row r="3519" ht="15.75" customHeight="1">
      <c r="A3519" s="1119">
        <v>92364.0</v>
      </c>
      <c r="B3519" s="1125" t="s">
        <v>13798</v>
      </c>
      <c r="C3519" s="1126" t="s">
        <v>1731</v>
      </c>
      <c r="D3519" s="1119">
        <v>56.13</v>
      </c>
      <c r="E3519" s="1120">
        <v>7.71</v>
      </c>
      <c r="F3519" s="1121">
        <f t="shared" si="1"/>
        <v>48.43</v>
      </c>
      <c r="G3519" s="1120">
        <v>48.43</v>
      </c>
      <c r="H3519" s="1127">
        <v>0.0</v>
      </c>
      <c r="I3519" s="1127">
        <v>0.0</v>
      </c>
      <c r="J3519" s="1127">
        <v>0.0</v>
      </c>
      <c r="K3519" s="1124"/>
    </row>
    <row r="3520" ht="15.75" customHeight="1">
      <c r="A3520" s="1119">
        <v>92365.0</v>
      </c>
      <c r="B3520" s="1125" t="s">
        <v>13799</v>
      </c>
      <c r="C3520" s="1126" t="s">
        <v>1731</v>
      </c>
      <c r="D3520" s="1119">
        <v>64.47</v>
      </c>
      <c r="E3520" s="1120">
        <v>8.4</v>
      </c>
      <c r="F3520" s="1121">
        <f t="shared" si="1"/>
        <v>56.07</v>
      </c>
      <c r="G3520" s="1120">
        <v>56.07</v>
      </c>
      <c r="H3520" s="1127">
        <v>0.0</v>
      </c>
      <c r="I3520" s="1127">
        <v>0.0</v>
      </c>
      <c r="J3520" s="1127">
        <v>0.0</v>
      </c>
      <c r="K3520" s="1124"/>
    </row>
    <row r="3521" ht="15.75" customHeight="1">
      <c r="A3521" s="1119">
        <v>92366.0</v>
      </c>
      <c r="B3521" s="1125" t="s">
        <v>13800</v>
      </c>
      <c r="C3521" s="1126" t="s">
        <v>1731</v>
      </c>
      <c r="D3521" s="1119">
        <v>89.25</v>
      </c>
      <c r="E3521" s="1120">
        <v>9.32</v>
      </c>
      <c r="F3521" s="1121">
        <f t="shared" si="1"/>
        <v>79.93</v>
      </c>
      <c r="G3521" s="1120">
        <v>79.93</v>
      </c>
      <c r="H3521" s="1127">
        <v>0.0</v>
      </c>
      <c r="I3521" s="1127">
        <v>0.0</v>
      </c>
      <c r="J3521" s="1127">
        <v>0.0</v>
      </c>
      <c r="K3521" s="1124"/>
    </row>
    <row r="3522" ht="15.75" customHeight="1">
      <c r="A3522" s="1119">
        <v>92367.0</v>
      </c>
      <c r="B3522" s="1125" t="s">
        <v>13801</v>
      </c>
      <c r="C3522" s="1126" t="s">
        <v>1731</v>
      </c>
      <c r="D3522" s="1119">
        <v>109.5</v>
      </c>
      <c r="E3522" s="1120">
        <v>10.62</v>
      </c>
      <c r="F3522" s="1121">
        <f t="shared" si="1"/>
        <v>98.87</v>
      </c>
      <c r="G3522" s="1120">
        <v>98.87</v>
      </c>
      <c r="H3522" s="1127">
        <v>0.0</v>
      </c>
      <c r="I3522" s="1127">
        <v>0.0</v>
      </c>
      <c r="J3522" s="1127">
        <v>0.0</v>
      </c>
      <c r="K3522" s="1124"/>
    </row>
    <row r="3523" ht="15.75" customHeight="1">
      <c r="A3523" s="1119">
        <v>92368.0</v>
      </c>
      <c r="B3523" s="1125" t="s">
        <v>13802</v>
      </c>
      <c r="C3523" s="1126" t="s">
        <v>1731</v>
      </c>
      <c r="D3523" s="1119">
        <v>144.25</v>
      </c>
      <c r="E3523" s="1120">
        <v>11.97</v>
      </c>
      <c r="F3523" s="1121">
        <f t="shared" si="1"/>
        <v>132.29</v>
      </c>
      <c r="G3523" s="1120">
        <v>132.29</v>
      </c>
      <c r="H3523" s="1127">
        <v>0.0</v>
      </c>
      <c r="I3523" s="1127">
        <v>0.0</v>
      </c>
      <c r="J3523" s="1127">
        <v>0.0</v>
      </c>
      <c r="K3523" s="1124"/>
    </row>
    <row r="3524" ht="15.75" customHeight="1">
      <c r="A3524" s="1119">
        <v>92645.0</v>
      </c>
      <c r="B3524" s="1125" t="s">
        <v>13803</v>
      </c>
      <c r="C3524" s="1126" t="s">
        <v>1731</v>
      </c>
      <c r="D3524" s="1119">
        <v>78.54</v>
      </c>
      <c r="E3524" s="1120">
        <v>6.83</v>
      </c>
      <c r="F3524" s="1121">
        <f t="shared" si="1"/>
        <v>71.71</v>
      </c>
      <c r="G3524" s="1120">
        <v>71.71</v>
      </c>
      <c r="H3524" s="1127">
        <v>0.0</v>
      </c>
      <c r="I3524" s="1127">
        <v>0.0</v>
      </c>
      <c r="J3524" s="1127">
        <v>0.0</v>
      </c>
      <c r="K3524" s="1124"/>
    </row>
    <row r="3525" ht="15.75" customHeight="1">
      <c r="A3525" s="1119">
        <v>92646.0</v>
      </c>
      <c r="B3525" s="1125" t="s">
        <v>13804</v>
      </c>
      <c r="C3525" s="1126" t="s">
        <v>1731</v>
      </c>
      <c r="D3525" s="1119">
        <v>103.42</v>
      </c>
      <c r="E3525" s="1120">
        <v>7.78</v>
      </c>
      <c r="F3525" s="1121">
        <f t="shared" si="1"/>
        <v>95.64</v>
      </c>
      <c r="G3525" s="1120">
        <v>95.64</v>
      </c>
      <c r="H3525" s="1127">
        <v>0.0</v>
      </c>
      <c r="I3525" s="1127">
        <v>0.0</v>
      </c>
      <c r="J3525" s="1127">
        <v>0.0</v>
      </c>
      <c r="K3525" s="1124"/>
    </row>
    <row r="3526" ht="15.75" customHeight="1">
      <c r="A3526" s="1119">
        <v>92648.0</v>
      </c>
      <c r="B3526" s="1125" t="s">
        <v>13805</v>
      </c>
      <c r="C3526" s="1126" t="s">
        <v>1731</v>
      </c>
      <c r="D3526" s="1119">
        <v>113.23</v>
      </c>
      <c r="E3526" s="1120">
        <v>8.87</v>
      </c>
      <c r="F3526" s="1121">
        <f t="shared" si="1"/>
        <v>104.34</v>
      </c>
      <c r="G3526" s="1120">
        <v>104.34</v>
      </c>
      <c r="H3526" s="1127">
        <v>0.0</v>
      </c>
      <c r="I3526" s="1127">
        <v>0.0</v>
      </c>
      <c r="J3526" s="1127">
        <v>0.0</v>
      </c>
      <c r="K3526" s="1124"/>
    </row>
    <row r="3527" ht="15.75" customHeight="1">
      <c r="A3527" s="1119">
        <v>92649.0</v>
      </c>
      <c r="B3527" s="1125" t="s">
        <v>13806</v>
      </c>
      <c r="C3527" s="1126" t="s">
        <v>1731</v>
      </c>
      <c r="D3527" s="1119">
        <v>138.07</v>
      </c>
      <c r="E3527" s="1120">
        <v>10.26</v>
      </c>
      <c r="F3527" s="1121">
        <f t="shared" si="1"/>
        <v>127.83</v>
      </c>
      <c r="G3527" s="1120">
        <v>127.83</v>
      </c>
      <c r="H3527" s="1127">
        <v>0.0</v>
      </c>
      <c r="I3527" s="1127">
        <v>0.0</v>
      </c>
      <c r="J3527" s="1127">
        <v>0.0</v>
      </c>
      <c r="K3527" s="1124"/>
    </row>
    <row r="3528" ht="15.75" customHeight="1">
      <c r="A3528" s="1119">
        <v>92650.0</v>
      </c>
      <c r="B3528" s="1125" t="s">
        <v>13807</v>
      </c>
      <c r="C3528" s="1126" t="s">
        <v>1731</v>
      </c>
      <c r="D3528" s="1119">
        <v>217.95</v>
      </c>
      <c r="E3528" s="1120">
        <v>12.31</v>
      </c>
      <c r="F3528" s="1121">
        <f t="shared" si="1"/>
        <v>205.64</v>
      </c>
      <c r="G3528" s="1120">
        <v>205.64</v>
      </c>
      <c r="H3528" s="1127">
        <v>0.0</v>
      </c>
      <c r="I3528" s="1127">
        <v>0.0</v>
      </c>
      <c r="J3528" s="1127">
        <v>0.0</v>
      </c>
      <c r="K3528" s="1124"/>
    </row>
    <row r="3529" ht="15.75" customHeight="1">
      <c r="A3529" s="1119">
        <v>92652.0</v>
      </c>
      <c r="B3529" s="1125" t="s">
        <v>13808</v>
      </c>
      <c r="C3529" s="1126" t="s">
        <v>1731</v>
      </c>
      <c r="D3529" s="1119">
        <v>61.75</v>
      </c>
      <c r="E3529" s="1120">
        <v>11.94</v>
      </c>
      <c r="F3529" s="1121">
        <f t="shared" si="1"/>
        <v>49.82</v>
      </c>
      <c r="G3529" s="1120">
        <v>49.82</v>
      </c>
      <c r="H3529" s="1127">
        <v>0.0</v>
      </c>
      <c r="I3529" s="1127">
        <v>0.0</v>
      </c>
      <c r="J3529" s="1127">
        <v>0.0</v>
      </c>
      <c r="K3529" s="1124"/>
    </row>
    <row r="3530" ht="15.75" customHeight="1">
      <c r="A3530" s="1119">
        <v>92653.0</v>
      </c>
      <c r="B3530" s="1125" t="s">
        <v>13809</v>
      </c>
      <c r="C3530" s="1126" t="s">
        <v>1731</v>
      </c>
      <c r="D3530" s="1119">
        <v>70.14</v>
      </c>
      <c r="E3530" s="1120">
        <v>12.66</v>
      </c>
      <c r="F3530" s="1121">
        <f t="shared" si="1"/>
        <v>57.48</v>
      </c>
      <c r="G3530" s="1120">
        <v>57.48</v>
      </c>
      <c r="H3530" s="1127">
        <v>0.0</v>
      </c>
      <c r="I3530" s="1127">
        <v>0.0</v>
      </c>
      <c r="J3530" s="1127">
        <v>0.0</v>
      </c>
      <c r="K3530" s="1124"/>
    </row>
    <row r="3531" ht="15.75" customHeight="1">
      <c r="A3531" s="1119">
        <v>92654.0</v>
      </c>
      <c r="B3531" s="1125" t="s">
        <v>13810</v>
      </c>
      <c r="C3531" s="1126" t="s">
        <v>1731</v>
      </c>
      <c r="D3531" s="1119">
        <v>94.92</v>
      </c>
      <c r="E3531" s="1120">
        <v>13.58</v>
      </c>
      <c r="F3531" s="1121">
        <f t="shared" si="1"/>
        <v>81.34</v>
      </c>
      <c r="G3531" s="1120">
        <v>81.34</v>
      </c>
      <c r="H3531" s="1127">
        <v>0.0</v>
      </c>
      <c r="I3531" s="1127">
        <v>0.0</v>
      </c>
      <c r="J3531" s="1127">
        <v>0.0</v>
      </c>
      <c r="K3531" s="1124"/>
    </row>
    <row r="3532" ht="15.75" customHeight="1">
      <c r="A3532" s="1119">
        <v>92655.0</v>
      </c>
      <c r="B3532" s="1125" t="s">
        <v>13811</v>
      </c>
      <c r="C3532" s="1126" t="s">
        <v>1731</v>
      </c>
      <c r="D3532" s="1119">
        <v>115.28</v>
      </c>
      <c r="E3532" s="1120">
        <v>14.96</v>
      </c>
      <c r="F3532" s="1121">
        <f t="shared" si="1"/>
        <v>100.31</v>
      </c>
      <c r="G3532" s="1120">
        <v>100.31</v>
      </c>
      <c r="H3532" s="1127">
        <v>0.0</v>
      </c>
      <c r="I3532" s="1127">
        <v>0.0</v>
      </c>
      <c r="J3532" s="1127">
        <v>0.0</v>
      </c>
      <c r="K3532" s="1124"/>
    </row>
    <row r="3533" ht="15.75" customHeight="1">
      <c r="A3533" s="1119">
        <v>92656.0</v>
      </c>
      <c r="B3533" s="1125" t="s">
        <v>13812</v>
      </c>
      <c r="C3533" s="1126" t="s">
        <v>1731</v>
      </c>
      <c r="D3533" s="1119">
        <v>150.03</v>
      </c>
      <c r="E3533" s="1120">
        <v>16.3</v>
      </c>
      <c r="F3533" s="1121">
        <f t="shared" si="1"/>
        <v>133.73</v>
      </c>
      <c r="G3533" s="1120">
        <v>133.73</v>
      </c>
      <c r="H3533" s="1127">
        <v>0.0</v>
      </c>
      <c r="I3533" s="1127">
        <v>0.0</v>
      </c>
      <c r="J3533" s="1127">
        <v>0.0</v>
      </c>
      <c r="K3533" s="1124"/>
    </row>
    <row r="3534" ht="15.75" customHeight="1">
      <c r="A3534" s="1119">
        <v>92687.0</v>
      </c>
      <c r="B3534" s="1125" t="s">
        <v>13813</v>
      </c>
      <c r="C3534" s="1126" t="s">
        <v>1731</v>
      </c>
      <c r="D3534" s="1119">
        <v>29.35</v>
      </c>
      <c r="E3534" s="1120">
        <v>7.5</v>
      </c>
      <c r="F3534" s="1121">
        <f t="shared" si="1"/>
        <v>21.86</v>
      </c>
      <c r="G3534" s="1120">
        <v>21.86</v>
      </c>
      <c r="H3534" s="1127">
        <v>0.0</v>
      </c>
      <c r="I3534" s="1127">
        <v>0.0</v>
      </c>
      <c r="J3534" s="1127">
        <v>0.0</v>
      </c>
      <c r="K3534" s="1124"/>
    </row>
    <row r="3535" ht="15.75" customHeight="1">
      <c r="A3535" s="1119">
        <v>92688.0</v>
      </c>
      <c r="B3535" s="1125" t="s">
        <v>13814</v>
      </c>
      <c r="C3535" s="1126" t="s">
        <v>1731</v>
      </c>
      <c r="D3535" s="1119">
        <v>41.67</v>
      </c>
      <c r="E3535" s="1120">
        <v>12.9</v>
      </c>
      <c r="F3535" s="1121">
        <f t="shared" si="1"/>
        <v>28.77</v>
      </c>
      <c r="G3535" s="1120">
        <v>28.77</v>
      </c>
      <c r="H3535" s="1127">
        <v>0.0</v>
      </c>
      <c r="I3535" s="1127">
        <v>0.0</v>
      </c>
      <c r="J3535" s="1127">
        <v>0.0</v>
      </c>
      <c r="K3535" s="1124"/>
    </row>
    <row r="3536" ht="15.75" customHeight="1">
      <c r="A3536" s="1119">
        <v>92689.0</v>
      </c>
      <c r="B3536" s="1125" t="s">
        <v>13815</v>
      </c>
      <c r="C3536" s="1126" t="s">
        <v>1731</v>
      </c>
      <c r="D3536" s="1119">
        <v>55.62</v>
      </c>
      <c r="E3536" s="1120">
        <v>7.79</v>
      </c>
      <c r="F3536" s="1121">
        <f t="shared" si="1"/>
        <v>47.83</v>
      </c>
      <c r="G3536" s="1120">
        <v>47.83</v>
      </c>
      <c r="H3536" s="1127">
        <v>0.0</v>
      </c>
      <c r="I3536" s="1127">
        <v>0.0</v>
      </c>
      <c r="J3536" s="1127">
        <v>0.0</v>
      </c>
      <c r="K3536" s="1124"/>
    </row>
    <row r="3537" ht="15.75" customHeight="1">
      <c r="A3537" s="1119">
        <v>92690.0</v>
      </c>
      <c r="B3537" s="1125" t="s">
        <v>13816</v>
      </c>
      <c r="C3537" s="1126" t="s">
        <v>1731</v>
      </c>
      <c r="D3537" s="1119">
        <v>79.6</v>
      </c>
      <c r="E3537" s="1120">
        <v>13.42</v>
      </c>
      <c r="F3537" s="1121">
        <f t="shared" si="1"/>
        <v>66.19</v>
      </c>
      <c r="G3537" s="1120">
        <v>66.19</v>
      </c>
      <c r="H3537" s="1127">
        <v>0.0</v>
      </c>
      <c r="I3537" s="1127">
        <v>0.0</v>
      </c>
      <c r="J3537" s="1127">
        <v>0.0</v>
      </c>
      <c r="K3537" s="1124"/>
    </row>
    <row r="3538" ht="15.75" customHeight="1">
      <c r="A3538" s="1119">
        <v>92691.0</v>
      </c>
      <c r="B3538" s="1125" t="s">
        <v>13817</v>
      </c>
      <c r="C3538" s="1126" t="s">
        <v>1731</v>
      </c>
      <c r="D3538" s="1119">
        <v>104.38</v>
      </c>
      <c r="E3538" s="1120">
        <v>26.18</v>
      </c>
      <c r="F3538" s="1121">
        <f t="shared" si="1"/>
        <v>78.2</v>
      </c>
      <c r="G3538" s="1120">
        <v>78.2</v>
      </c>
      <c r="H3538" s="1127">
        <v>0.0</v>
      </c>
      <c r="I3538" s="1127">
        <v>0.0</v>
      </c>
      <c r="J3538" s="1127">
        <v>0.0</v>
      </c>
      <c r="K3538" s="1124"/>
    </row>
    <row r="3539" ht="15.75" customHeight="1">
      <c r="A3539" s="1119">
        <v>94462.0</v>
      </c>
      <c r="B3539" s="1125" t="s">
        <v>13818</v>
      </c>
      <c r="C3539" s="1126" t="s">
        <v>1731</v>
      </c>
      <c r="D3539" s="1119">
        <v>104.35</v>
      </c>
      <c r="E3539" s="1120">
        <v>25.17</v>
      </c>
      <c r="F3539" s="1121">
        <f t="shared" si="1"/>
        <v>79.19</v>
      </c>
      <c r="G3539" s="1120">
        <v>79.19</v>
      </c>
      <c r="H3539" s="1127">
        <v>0.0</v>
      </c>
      <c r="I3539" s="1127">
        <v>0.0</v>
      </c>
      <c r="J3539" s="1127">
        <v>0.0</v>
      </c>
      <c r="K3539" s="1124"/>
    </row>
    <row r="3540" ht="15.75" customHeight="1">
      <c r="A3540" s="1119">
        <v>94463.0</v>
      </c>
      <c r="B3540" s="1125" t="s">
        <v>13819</v>
      </c>
      <c r="C3540" s="1126" t="s">
        <v>1731</v>
      </c>
      <c r="D3540" s="1119">
        <v>121.43</v>
      </c>
      <c r="E3540" s="1120">
        <v>25.17</v>
      </c>
      <c r="F3540" s="1121">
        <f t="shared" si="1"/>
        <v>96.27</v>
      </c>
      <c r="G3540" s="1120">
        <v>96.27</v>
      </c>
      <c r="H3540" s="1127">
        <v>0.0</v>
      </c>
      <c r="I3540" s="1127">
        <v>0.0</v>
      </c>
      <c r="J3540" s="1127">
        <v>0.0</v>
      </c>
      <c r="K3540" s="1124"/>
    </row>
    <row r="3541" ht="15.75" customHeight="1">
      <c r="A3541" s="1119">
        <v>94464.0</v>
      </c>
      <c r="B3541" s="1125" t="s">
        <v>13820</v>
      </c>
      <c r="C3541" s="1126" t="s">
        <v>1731</v>
      </c>
      <c r="D3541" s="1119">
        <v>170.2</v>
      </c>
      <c r="E3541" s="1120">
        <v>31.46</v>
      </c>
      <c r="F3541" s="1121">
        <f t="shared" si="1"/>
        <v>138.75</v>
      </c>
      <c r="G3541" s="1120">
        <v>138.75</v>
      </c>
      <c r="H3541" s="1127">
        <v>0.0</v>
      </c>
      <c r="I3541" s="1127">
        <v>0.0</v>
      </c>
      <c r="J3541" s="1127">
        <v>0.0</v>
      </c>
      <c r="K3541" s="1124"/>
    </row>
    <row r="3542" ht="15.75" customHeight="1">
      <c r="A3542" s="1119">
        <v>94602.0</v>
      </c>
      <c r="B3542" s="1125" t="s">
        <v>13821</v>
      </c>
      <c r="C3542" s="1126" t="s">
        <v>1731</v>
      </c>
      <c r="D3542" s="1119">
        <v>217.5</v>
      </c>
      <c r="E3542" s="1120">
        <v>29.61</v>
      </c>
      <c r="F3542" s="1121">
        <f t="shared" si="1"/>
        <v>187.9</v>
      </c>
      <c r="G3542" s="1120">
        <v>187.9</v>
      </c>
      <c r="H3542" s="1127">
        <v>0.0</v>
      </c>
      <c r="I3542" s="1127">
        <v>0.0</v>
      </c>
      <c r="J3542" s="1127">
        <v>0.0</v>
      </c>
      <c r="K3542" s="1124"/>
    </row>
    <row r="3543" ht="15.75" customHeight="1">
      <c r="A3543" s="1119">
        <v>94603.0</v>
      </c>
      <c r="B3543" s="1125" t="s">
        <v>13822</v>
      </c>
      <c r="C3543" s="1126" t="s">
        <v>1731</v>
      </c>
      <c r="D3543" s="1119">
        <v>290.3</v>
      </c>
      <c r="E3543" s="1120">
        <v>29.6</v>
      </c>
      <c r="F3543" s="1121">
        <f t="shared" si="1"/>
        <v>260.71</v>
      </c>
      <c r="G3543" s="1120">
        <v>260.71</v>
      </c>
      <c r="H3543" s="1127">
        <v>0.0</v>
      </c>
      <c r="I3543" s="1127">
        <v>0.0</v>
      </c>
      <c r="J3543" s="1127">
        <v>0.0</v>
      </c>
      <c r="K3543" s="1124"/>
    </row>
    <row r="3544" ht="15.75" customHeight="1">
      <c r="A3544" s="1119">
        <v>94604.0</v>
      </c>
      <c r="B3544" s="1125" t="s">
        <v>13823</v>
      </c>
      <c r="C3544" s="1126" t="s">
        <v>1731</v>
      </c>
      <c r="D3544" s="1119">
        <v>395.06</v>
      </c>
      <c r="E3544" s="1120">
        <v>32.25</v>
      </c>
      <c r="F3544" s="1121">
        <f t="shared" si="1"/>
        <v>362.84</v>
      </c>
      <c r="G3544" s="1120">
        <v>362.84</v>
      </c>
      <c r="H3544" s="1127">
        <v>0.0</v>
      </c>
      <c r="I3544" s="1127">
        <v>0.0</v>
      </c>
      <c r="J3544" s="1127">
        <v>0.0</v>
      </c>
      <c r="K3544" s="1124"/>
    </row>
    <row r="3545" ht="15.75" customHeight="1">
      <c r="A3545" s="1119">
        <v>94605.0</v>
      </c>
      <c r="B3545" s="1125" t="s">
        <v>13824</v>
      </c>
      <c r="C3545" s="1126" t="s">
        <v>1731</v>
      </c>
      <c r="D3545" s="1119">
        <v>562.17</v>
      </c>
      <c r="E3545" s="1120">
        <v>32.25</v>
      </c>
      <c r="F3545" s="1121">
        <f t="shared" si="1"/>
        <v>529.95</v>
      </c>
      <c r="G3545" s="1120">
        <v>529.95</v>
      </c>
      <c r="H3545" s="1127">
        <v>0.0</v>
      </c>
      <c r="I3545" s="1127">
        <v>0.0</v>
      </c>
      <c r="J3545" s="1127">
        <v>0.0</v>
      </c>
      <c r="K3545" s="1124"/>
    </row>
    <row r="3546" ht="15.75" customHeight="1">
      <c r="A3546" s="1119">
        <v>94648.0</v>
      </c>
      <c r="B3546" s="1125" t="s">
        <v>13825</v>
      </c>
      <c r="C3546" s="1126" t="s">
        <v>1731</v>
      </c>
      <c r="D3546" s="1119">
        <v>12.2</v>
      </c>
      <c r="E3546" s="1120">
        <v>5.77</v>
      </c>
      <c r="F3546" s="1121">
        <f t="shared" si="1"/>
        <v>6.43</v>
      </c>
      <c r="G3546" s="1120">
        <v>6.43</v>
      </c>
      <c r="H3546" s="1127">
        <v>0.0</v>
      </c>
      <c r="I3546" s="1127">
        <v>0.0</v>
      </c>
      <c r="J3546" s="1127">
        <v>0.0</v>
      </c>
      <c r="K3546" s="1124"/>
    </row>
    <row r="3547" ht="15.75" customHeight="1">
      <c r="A3547" s="1119">
        <v>94649.0</v>
      </c>
      <c r="B3547" s="1125" t="s">
        <v>13826</v>
      </c>
      <c r="C3547" s="1126" t="s">
        <v>1731</v>
      </c>
      <c r="D3547" s="1119">
        <v>17.46</v>
      </c>
      <c r="E3547" s="1120">
        <v>5.76</v>
      </c>
      <c r="F3547" s="1121">
        <f t="shared" si="1"/>
        <v>11.7</v>
      </c>
      <c r="G3547" s="1120">
        <v>11.7</v>
      </c>
      <c r="H3547" s="1127">
        <v>0.0</v>
      </c>
      <c r="I3547" s="1127">
        <v>0.0</v>
      </c>
      <c r="J3547" s="1127">
        <v>0.0</v>
      </c>
      <c r="K3547" s="1124"/>
    </row>
    <row r="3548" ht="15.75" customHeight="1">
      <c r="A3548" s="1119">
        <v>94650.0</v>
      </c>
      <c r="B3548" s="1125" t="s">
        <v>13827</v>
      </c>
      <c r="C3548" s="1126" t="s">
        <v>1731</v>
      </c>
      <c r="D3548" s="1119">
        <v>26.06</v>
      </c>
      <c r="E3548" s="1120">
        <v>8.2</v>
      </c>
      <c r="F3548" s="1121">
        <f t="shared" si="1"/>
        <v>17.86</v>
      </c>
      <c r="G3548" s="1120">
        <v>17.86</v>
      </c>
      <c r="H3548" s="1127">
        <v>0.0</v>
      </c>
      <c r="I3548" s="1127">
        <v>0.0</v>
      </c>
      <c r="J3548" s="1127">
        <v>0.0</v>
      </c>
      <c r="K3548" s="1124"/>
    </row>
    <row r="3549" ht="15.75" customHeight="1">
      <c r="A3549" s="1119">
        <v>94651.0</v>
      </c>
      <c r="B3549" s="1125" t="s">
        <v>13828</v>
      </c>
      <c r="C3549" s="1126" t="s">
        <v>1731</v>
      </c>
      <c r="D3549" s="1119">
        <v>27.53</v>
      </c>
      <c r="E3549" s="1120">
        <v>8.2</v>
      </c>
      <c r="F3549" s="1121">
        <f t="shared" si="1"/>
        <v>19.33</v>
      </c>
      <c r="G3549" s="1120">
        <v>19.33</v>
      </c>
      <c r="H3549" s="1127">
        <v>0.0</v>
      </c>
      <c r="I3549" s="1127">
        <v>0.0</v>
      </c>
      <c r="J3549" s="1127">
        <v>0.0</v>
      </c>
      <c r="K3549" s="1124"/>
    </row>
    <row r="3550" ht="15.75" customHeight="1">
      <c r="A3550" s="1119">
        <v>94652.0</v>
      </c>
      <c r="B3550" s="1125" t="s">
        <v>13829</v>
      </c>
      <c r="C3550" s="1126" t="s">
        <v>1731</v>
      </c>
      <c r="D3550" s="1119">
        <v>44.12</v>
      </c>
      <c r="E3550" s="1120">
        <v>13.32</v>
      </c>
      <c r="F3550" s="1121">
        <f t="shared" si="1"/>
        <v>30.79</v>
      </c>
      <c r="G3550" s="1120">
        <v>30.79</v>
      </c>
      <c r="H3550" s="1127">
        <v>0.0</v>
      </c>
      <c r="I3550" s="1127">
        <v>0.0</v>
      </c>
      <c r="J3550" s="1127">
        <v>0.0</v>
      </c>
      <c r="K3550" s="1124"/>
    </row>
    <row r="3551" ht="15.75" customHeight="1">
      <c r="A3551" s="1119">
        <v>94653.0</v>
      </c>
      <c r="B3551" s="1125" t="s">
        <v>13830</v>
      </c>
      <c r="C3551" s="1126" t="s">
        <v>1731</v>
      </c>
      <c r="D3551" s="1119">
        <v>61.44</v>
      </c>
      <c r="E3551" s="1120">
        <v>13.32</v>
      </c>
      <c r="F3551" s="1121">
        <f t="shared" si="1"/>
        <v>48.12</v>
      </c>
      <c r="G3551" s="1120">
        <v>48.12</v>
      </c>
      <c r="H3551" s="1127">
        <v>0.0</v>
      </c>
      <c r="I3551" s="1127">
        <v>0.0</v>
      </c>
      <c r="J3551" s="1127">
        <v>0.0</v>
      </c>
      <c r="K3551" s="1124"/>
    </row>
    <row r="3552" ht="15.75" customHeight="1">
      <c r="A3552" s="1119">
        <v>94654.0</v>
      </c>
      <c r="B3552" s="1125" t="s">
        <v>13831</v>
      </c>
      <c r="C3552" s="1126" t="s">
        <v>1731</v>
      </c>
      <c r="D3552" s="1119">
        <v>88.91</v>
      </c>
      <c r="E3552" s="1120">
        <v>23.36</v>
      </c>
      <c r="F3552" s="1121">
        <f t="shared" si="1"/>
        <v>65.54</v>
      </c>
      <c r="G3552" s="1120">
        <v>65.54</v>
      </c>
      <c r="H3552" s="1127">
        <v>0.0</v>
      </c>
      <c r="I3552" s="1127">
        <v>0.0</v>
      </c>
      <c r="J3552" s="1127">
        <v>0.0</v>
      </c>
      <c r="K3552" s="1124"/>
    </row>
    <row r="3553" ht="15.75" customHeight="1">
      <c r="A3553" s="1119">
        <v>94655.0</v>
      </c>
      <c r="B3553" s="1125" t="s">
        <v>13832</v>
      </c>
      <c r="C3553" s="1126" t="s">
        <v>1731</v>
      </c>
      <c r="D3553" s="1119">
        <v>121.54</v>
      </c>
      <c r="E3553" s="1120">
        <v>23.36</v>
      </c>
      <c r="F3553" s="1121">
        <f t="shared" si="1"/>
        <v>98.18</v>
      </c>
      <c r="G3553" s="1120">
        <v>98.18</v>
      </c>
      <c r="H3553" s="1127">
        <v>0.0</v>
      </c>
      <c r="I3553" s="1127">
        <v>0.0</v>
      </c>
      <c r="J3553" s="1127">
        <v>0.0</v>
      </c>
      <c r="K3553" s="1124"/>
    </row>
    <row r="3554" ht="15.75" customHeight="1">
      <c r="A3554" s="1119">
        <v>94716.0</v>
      </c>
      <c r="B3554" s="1125" t="s">
        <v>13833</v>
      </c>
      <c r="C3554" s="1126" t="s">
        <v>1731</v>
      </c>
      <c r="D3554" s="1119">
        <v>26.79</v>
      </c>
      <c r="E3554" s="1120">
        <v>5.38</v>
      </c>
      <c r="F3554" s="1121">
        <f t="shared" si="1"/>
        <v>21.42</v>
      </c>
      <c r="G3554" s="1120">
        <v>21.42</v>
      </c>
      <c r="H3554" s="1127">
        <v>0.0</v>
      </c>
      <c r="I3554" s="1127">
        <v>0.0</v>
      </c>
      <c r="J3554" s="1127">
        <v>0.0</v>
      </c>
      <c r="K3554" s="1124"/>
    </row>
    <row r="3555" ht="15.75" customHeight="1">
      <c r="A3555" s="1119">
        <v>94717.0</v>
      </c>
      <c r="B3555" s="1125" t="s">
        <v>13834</v>
      </c>
      <c r="C3555" s="1126" t="s">
        <v>1731</v>
      </c>
      <c r="D3555" s="1119">
        <v>40.97</v>
      </c>
      <c r="E3555" s="1120">
        <v>5.38</v>
      </c>
      <c r="F3555" s="1121">
        <f t="shared" si="1"/>
        <v>35.6</v>
      </c>
      <c r="G3555" s="1120">
        <v>35.6</v>
      </c>
      <c r="H3555" s="1127">
        <v>0.0</v>
      </c>
      <c r="I3555" s="1127">
        <v>0.0</v>
      </c>
      <c r="J3555" s="1127">
        <v>0.0</v>
      </c>
      <c r="K3555" s="1124"/>
    </row>
    <row r="3556" ht="15.75" customHeight="1">
      <c r="A3556" s="1119">
        <v>94718.0</v>
      </c>
      <c r="B3556" s="1125" t="s">
        <v>13835</v>
      </c>
      <c r="C3556" s="1126" t="s">
        <v>1731</v>
      </c>
      <c r="D3556" s="1119">
        <v>53.03</v>
      </c>
      <c r="E3556" s="1120">
        <v>7.11</v>
      </c>
      <c r="F3556" s="1121">
        <f t="shared" si="1"/>
        <v>45.93</v>
      </c>
      <c r="G3556" s="1120">
        <v>45.93</v>
      </c>
      <c r="H3556" s="1127">
        <v>0.0</v>
      </c>
      <c r="I3556" s="1127">
        <v>0.0</v>
      </c>
      <c r="J3556" s="1127">
        <v>0.0</v>
      </c>
      <c r="K3556" s="1124"/>
    </row>
    <row r="3557" ht="15.75" customHeight="1">
      <c r="A3557" s="1119">
        <v>94719.0</v>
      </c>
      <c r="B3557" s="1125" t="s">
        <v>13836</v>
      </c>
      <c r="C3557" s="1126" t="s">
        <v>1731</v>
      </c>
      <c r="D3557" s="1119">
        <v>67.79</v>
      </c>
      <c r="E3557" s="1120">
        <v>7.11</v>
      </c>
      <c r="F3557" s="1121">
        <f t="shared" si="1"/>
        <v>60.69</v>
      </c>
      <c r="G3557" s="1120">
        <v>60.69</v>
      </c>
      <c r="H3557" s="1127">
        <v>0.0</v>
      </c>
      <c r="I3557" s="1127">
        <v>0.0</v>
      </c>
      <c r="J3557" s="1127">
        <v>0.0</v>
      </c>
      <c r="K3557" s="1124"/>
    </row>
    <row r="3558" ht="15.75" customHeight="1">
      <c r="A3558" s="1119">
        <v>94720.0</v>
      </c>
      <c r="B3558" s="1125" t="s">
        <v>13837</v>
      </c>
      <c r="C3558" s="1126" t="s">
        <v>1731</v>
      </c>
      <c r="D3558" s="1119">
        <v>99.16</v>
      </c>
      <c r="E3558" s="1120">
        <v>12.3</v>
      </c>
      <c r="F3558" s="1121">
        <f t="shared" si="1"/>
        <v>86.85</v>
      </c>
      <c r="G3558" s="1120">
        <v>86.85</v>
      </c>
      <c r="H3558" s="1127">
        <v>0.0</v>
      </c>
      <c r="I3558" s="1127">
        <v>0.0</v>
      </c>
      <c r="J3558" s="1127">
        <v>0.0</v>
      </c>
      <c r="K3558" s="1124"/>
    </row>
    <row r="3559" ht="15.75" customHeight="1">
      <c r="A3559" s="1119">
        <v>94721.0</v>
      </c>
      <c r="B3559" s="1125" t="s">
        <v>13838</v>
      </c>
      <c r="C3559" s="1126" t="s">
        <v>1731</v>
      </c>
      <c r="D3559" s="1119">
        <v>150.22</v>
      </c>
      <c r="E3559" s="1120">
        <v>12.3</v>
      </c>
      <c r="F3559" s="1121">
        <f t="shared" si="1"/>
        <v>137.91</v>
      </c>
      <c r="G3559" s="1120">
        <v>137.91</v>
      </c>
      <c r="H3559" s="1127">
        <v>0.0</v>
      </c>
      <c r="I3559" s="1127">
        <v>0.0</v>
      </c>
      <c r="J3559" s="1127">
        <v>0.0</v>
      </c>
      <c r="K3559" s="1124"/>
    </row>
    <row r="3560" ht="15.75" customHeight="1">
      <c r="A3560" s="1119">
        <v>94722.0</v>
      </c>
      <c r="B3560" s="1125" t="s">
        <v>13839</v>
      </c>
      <c r="C3560" s="1126" t="s">
        <v>1731</v>
      </c>
      <c r="D3560" s="1119">
        <v>260.17</v>
      </c>
      <c r="E3560" s="1120">
        <v>24.94</v>
      </c>
      <c r="F3560" s="1121">
        <f t="shared" si="1"/>
        <v>235.23</v>
      </c>
      <c r="G3560" s="1120">
        <v>235.23</v>
      </c>
      <c r="H3560" s="1127">
        <v>0.0</v>
      </c>
      <c r="I3560" s="1127">
        <v>0.0</v>
      </c>
      <c r="J3560" s="1127">
        <v>0.0</v>
      </c>
      <c r="K3560" s="1124"/>
    </row>
    <row r="3561" ht="15.75" customHeight="1">
      <c r="A3561" s="1119">
        <v>94723.0</v>
      </c>
      <c r="B3561" s="1125" t="s">
        <v>13840</v>
      </c>
      <c r="C3561" s="1126" t="s">
        <v>1731</v>
      </c>
      <c r="D3561" s="1119">
        <v>465.15</v>
      </c>
      <c r="E3561" s="1120">
        <v>24.94</v>
      </c>
      <c r="F3561" s="1121">
        <f t="shared" si="1"/>
        <v>440.21</v>
      </c>
      <c r="G3561" s="1120">
        <v>440.21</v>
      </c>
      <c r="H3561" s="1127">
        <v>0.0</v>
      </c>
      <c r="I3561" s="1127">
        <v>0.0</v>
      </c>
      <c r="J3561" s="1127">
        <v>0.0</v>
      </c>
      <c r="K3561" s="1124"/>
    </row>
    <row r="3562" ht="15.75" customHeight="1">
      <c r="A3562" s="1119">
        <v>95697.0</v>
      </c>
      <c r="B3562" s="1125" t="s">
        <v>13841</v>
      </c>
      <c r="C3562" s="1126" t="s">
        <v>1731</v>
      </c>
      <c r="D3562" s="1119">
        <v>108.65</v>
      </c>
      <c r="E3562" s="1120">
        <v>5.45</v>
      </c>
      <c r="F3562" s="1121">
        <f t="shared" si="1"/>
        <v>103.18</v>
      </c>
      <c r="G3562" s="1120">
        <v>103.18</v>
      </c>
      <c r="H3562" s="1127">
        <v>0.0</v>
      </c>
      <c r="I3562" s="1127">
        <v>0.0</v>
      </c>
      <c r="J3562" s="1127">
        <v>0.0</v>
      </c>
      <c r="K3562" s="1124"/>
    </row>
    <row r="3563" ht="15.75" customHeight="1">
      <c r="A3563" s="1119">
        <v>96635.0</v>
      </c>
      <c r="B3563" s="1125" t="s">
        <v>13842</v>
      </c>
      <c r="C3563" s="1126" t="s">
        <v>1731</v>
      </c>
      <c r="D3563" s="1119">
        <v>46.91</v>
      </c>
      <c r="E3563" s="1120">
        <v>23.4</v>
      </c>
      <c r="F3563" s="1121">
        <f t="shared" si="1"/>
        <v>23.53</v>
      </c>
      <c r="G3563" s="1120">
        <v>23.3</v>
      </c>
      <c r="H3563" s="1127">
        <v>0.08</v>
      </c>
      <c r="I3563" s="1127">
        <v>0.0</v>
      </c>
      <c r="J3563" s="1127">
        <v>0.15</v>
      </c>
      <c r="K3563" s="1124"/>
    </row>
    <row r="3564" ht="15.75" customHeight="1">
      <c r="A3564" s="1119">
        <v>96636.0</v>
      </c>
      <c r="B3564" s="1125" t="s">
        <v>13843</v>
      </c>
      <c r="C3564" s="1126" t="s">
        <v>1731</v>
      </c>
      <c r="D3564" s="1119">
        <v>49.72</v>
      </c>
      <c r="E3564" s="1120">
        <v>24.06</v>
      </c>
      <c r="F3564" s="1121">
        <f t="shared" si="1"/>
        <v>25.66</v>
      </c>
      <c r="G3564" s="1120">
        <v>25.4</v>
      </c>
      <c r="H3564" s="1127">
        <v>0.1</v>
      </c>
      <c r="I3564" s="1127">
        <v>0.0</v>
      </c>
      <c r="J3564" s="1127">
        <v>0.16</v>
      </c>
      <c r="K3564" s="1124"/>
    </row>
    <row r="3565" ht="15.75" customHeight="1">
      <c r="A3565" s="1119">
        <v>96644.0</v>
      </c>
      <c r="B3565" s="1125" t="s">
        <v>13844</v>
      </c>
      <c r="C3565" s="1126" t="s">
        <v>1731</v>
      </c>
      <c r="D3565" s="1119">
        <v>25.51</v>
      </c>
      <c r="E3565" s="1120">
        <v>7.42</v>
      </c>
      <c r="F3565" s="1121">
        <f t="shared" si="1"/>
        <v>18.08</v>
      </c>
      <c r="G3565" s="1120">
        <v>18.03</v>
      </c>
      <c r="H3565" s="1127">
        <v>0.0</v>
      </c>
      <c r="I3565" s="1127">
        <v>0.0</v>
      </c>
      <c r="J3565" s="1127">
        <v>0.05</v>
      </c>
      <c r="K3565" s="1124"/>
    </row>
    <row r="3566" ht="15.75" customHeight="1">
      <c r="A3566" s="1119">
        <v>96645.0</v>
      </c>
      <c r="B3566" s="1125" t="s">
        <v>13845</v>
      </c>
      <c r="C3566" s="1126" t="s">
        <v>1731</v>
      </c>
      <c r="D3566" s="1119">
        <v>22.63</v>
      </c>
      <c r="E3566" s="1120">
        <v>7.36</v>
      </c>
      <c r="F3566" s="1121">
        <f t="shared" si="1"/>
        <v>15.28</v>
      </c>
      <c r="G3566" s="1120">
        <v>15.24</v>
      </c>
      <c r="H3566" s="1127">
        <v>0.0</v>
      </c>
      <c r="I3566" s="1127">
        <v>0.0</v>
      </c>
      <c r="J3566" s="1127">
        <v>0.04</v>
      </c>
      <c r="K3566" s="1124"/>
    </row>
    <row r="3567" ht="15.75" customHeight="1">
      <c r="A3567" s="1119">
        <v>96646.0</v>
      </c>
      <c r="B3567" s="1125" t="s">
        <v>13846</v>
      </c>
      <c r="C3567" s="1126" t="s">
        <v>1731</v>
      </c>
      <c r="D3567" s="1119">
        <v>27.64</v>
      </c>
      <c r="E3567" s="1120">
        <v>7.77</v>
      </c>
      <c r="F3567" s="1121">
        <f t="shared" si="1"/>
        <v>19.88</v>
      </c>
      <c r="G3567" s="1120">
        <v>19.83</v>
      </c>
      <c r="H3567" s="1127">
        <v>0.0</v>
      </c>
      <c r="I3567" s="1127">
        <v>0.0</v>
      </c>
      <c r="J3567" s="1127">
        <v>0.05</v>
      </c>
      <c r="K3567" s="1124"/>
    </row>
    <row r="3568" ht="15.75" customHeight="1">
      <c r="A3568" s="1119">
        <v>96647.0</v>
      </c>
      <c r="B3568" s="1125" t="s">
        <v>13847</v>
      </c>
      <c r="C3568" s="1126" t="s">
        <v>1731</v>
      </c>
      <c r="D3568" s="1119">
        <v>27.7</v>
      </c>
      <c r="E3568" s="1120">
        <v>7.64</v>
      </c>
      <c r="F3568" s="1121">
        <f t="shared" si="1"/>
        <v>20.06</v>
      </c>
      <c r="G3568" s="1120">
        <v>20.01</v>
      </c>
      <c r="H3568" s="1127">
        <v>0.0</v>
      </c>
      <c r="I3568" s="1127">
        <v>0.0</v>
      </c>
      <c r="J3568" s="1127">
        <v>0.05</v>
      </c>
      <c r="K3568" s="1124"/>
    </row>
    <row r="3569" ht="15.75" customHeight="1">
      <c r="A3569" s="1119">
        <v>96648.0</v>
      </c>
      <c r="B3569" s="1125" t="s">
        <v>13848</v>
      </c>
      <c r="C3569" s="1126" t="s">
        <v>1731</v>
      </c>
      <c r="D3569" s="1119">
        <v>34.14</v>
      </c>
      <c r="E3569" s="1120">
        <v>8.04</v>
      </c>
      <c r="F3569" s="1121">
        <f t="shared" si="1"/>
        <v>26.1</v>
      </c>
      <c r="G3569" s="1120">
        <v>26.03</v>
      </c>
      <c r="H3569" s="1127">
        <v>0.02</v>
      </c>
      <c r="I3569" s="1127">
        <v>0.0</v>
      </c>
      <c r="J3569" s="1127">
        <v>0.05</v>
      </c>
      <c r="K3569" s="1124"/>
    </row>
    <row r="3570" ht="15.75" customHeight="1">
      <c r="A3570" s="1119">
        <v>96649.0</v>
      </c>
      <c r="B3570" s="1125" t="s">
        <v>13849</v>
      </c>
      <c r="C3570" s="1126" t="s">
        <v>1731</v>
      </c>
      <c r="D3570" s="1119">
        <v>45.1</v>
      </c>
      <c r="E3570" s="1120">
        <v>8.48</v>
      </c>
      <c r="F3570" s="1121">
        <f t="shared" si="1"/>
        <v>36.61</v>
      </c>
      <c r="G3570" s="1120">
        <v>36.54</v>
      </c>
      <c r="H3570" s="1127">
        <v>0.02</v>
      </c>
      <c r="I3570" s="1127">
        <v>0.0</v>
      </c>
      <c r="J3570" s="1127">
        <v>0.05</v>
      </c>
      <c r="K3570" s="1124"/>
    </row>
    <row r="3571" ht="15.75" customHeight="1">
      <c r="A3571" s="1119">
        <v>96668.0</v>
      </c>
      <c r="B3571" s="1125" t="s">
        <v>13850</v>
      </c>
      <c r="C3571" s="1126" t="s">
        <v>1731</v>
      </c>
      <c r="D3571" s="1119">
        <v>19.83</v>
      </c>
      <c r="E3571" s="1120">
        <v>3.18</v>
      </c>
      <c r="F3571" s="1121">
        <f t="shared" si="1"/>
        <v>16.66</v>
      </c>
      <c r="G3571" s="1120">
        <v>16.64</v>
      </c>
      <c r="H3571" s="1127">
        <v>0.0</v>
      </c>
      <c r="I3571" s="1127">
        <v>0.0</v>
      </c>
      <c r="J3571" s="1127">
        <v>0.02</v>
      </c>
      <c r="K3571" s="1124"/>
    </row>
    <row r="3572" ht="15.75" customHeight="1">
      <c r="A3572" s="1119">
        <v>96669.0</v>
      </c>
      <c r="B3572" s="1125" t="s">
        <v>13851</v>
      </c>
      <c r="C3572" s="1126" t="s">
        <v>1731</v>
      </c>
      <c r="D3572" s="1119">
        <v>19.6</v>
      </c>
      <c r="E3572" s="1120">
        <v>5.09</v>
      </c>
      <c r="F3572" s="1121">
        <f t="shared" si="1"/>
        <v>14.51</v>
      </c>
      <c r="G3572" s="1120">
        <v>14.48</v>
      </c>
      <c r="H3572" s="1127">
        <v>0.0</v>
      </c>
      <c r="I3572" s="1127">
        <v>0.0</v>
      </c>
      <c r="J3572" s="1127">
        <v>0.03</v>
      </c>
      <c r="K3572" s="1124"/>
    </row>
    <row r="3573" ht="15.75" customHeight="1">
      <c r="A3573" s="1119">
        <v>96670.0</v>
      </c>
      <c r="B3573" s="1125" t="s">
        <v>13852</v>
      </c>
      <c r="C3573" s="1126" t="s">
        <v>1731</v>
      </c>
      <c r="D3573" s="1119">
        <v>25.46</v>
      </c>
      <c r="E3573" s="1120">
        <v>6.13</v>
      </c>
      <c r="F3573" s="1121">
        <f t="shared" si="1"/>
        <v>19.33</v>
      </c>
      <c r="G3573" s="1120">
        <v>19.29</v>
      </c>
      <c r="H3573" s="1127">
        <v>0.0</v>
      </c>
      <c r="I3573" s="1127">
        <v>0.0</v>
      </c>
      <c r="J3573" s="1127">
        <v>0.04</v>
      </c>
      <c r="K3573" s="1124"/>
    </row>
    <row r="3574" ht="15.75" customHeight="1">
      <c r="A3574" s="1119">
        <v>96671.0</v>
      </c>
      <c r="B3574" s="1125" t="s">
        <v>13853</v>
      </c>
      <c r="C3574" s="1126" t="s">
        <v>1731</v>
      </c>
      <c r="D3574" s="1119">
        <v>38.47</v>
      </c>
      <c r="E3574" s="1120">
        <v>7.44</v>
      </c>
      <c r="F3574" s="1121">
        <f t="shared" si="1"/>
        <v>31.02</v>
      </c>
      <c r="G3574" s="1120">
        <v>30.97</v>
      </c>
      <c r="H3574" s="1127">
        <v>0.0</v>
      </c>
      <c r="I3574" s="1127">
        <v>0.0</v>
      </c>
      <c r="J3574" s="1127">
        <v>0.05</v>
      </c>
      <c r="K3574" s="1124"/>
    </row>
    <row r="3575" ht="15.75" customHeight="1">
      <c r="A3575" s="1119">
        <v>96672.0</v>
      </c>
      <c r="B3575" s="1125" t="s">
        <v>13854</v>
      </c>
      <c r="C3575" s="1126" t="s">
        <v>1731</v>
      </c>
      <c r="D3575" s="1119">
        <v>58.53</v>
      </c>
      <c r="E3575" s="1120">
        <v>9.14</v>
      </c>
      <c r="F3575" s="1121">
        <f t="shared" si="1"/>
        <v>49.4</v>
      </c>
      <c r="G3575" s="1120">
        <v>49.32</v>
      </c>
      <c r="H3575" s="1127">
        <v>0.02</v>
      </c>
      <c r="I3575" s="1127">
        <v>0.0</v>
      </c>
      <c r="J3575" s="1127">
        <v>0.06</v>
      </c>
      <c r="K3575" s="1124"/>
    </row>
    <row r="3576" ht="15.75" customHeight="1">
      <c r="A3576" s="1119">
        <v>96673.0</v>
      </c>
      <c r="B3576" s="1125" t="s">
        <v>13855</v>
      </c>
      <c r="C3576" s="1126" t="s">
        <v>1731</v>
      </c>
      <c r="D3576" s="1119">
        <v>73.76</v>
      </c>
      <c r="E3576" s="1120">
        <v>10.72</v>
      </c>
      <c r="F3576" s="1121">
        <f t="shared" si="1"/>
        <v>63.05</v>
      </c>
      <c r="G3576" s="1120">
        <v>62.91</v>
      </c>
      <c r="H3576" s="1127">
        <v>0.04</v>
      </c>
      <c r="I3576" s="1127">
        <v>0.0</v>
      </c>
      <c r="J3576" s="1127">
        <v>0.1</v>
      </c>
      <c r="K3576" s="1124"/>
    </row>
    <row r="3577" ht="15.75" customHeight="1">
      <c r="A3577" s="1119">
        <v>96674.0</v>
      </c>
      <c r="B3577" s="1125" t="s">
        <v>13856</v>
      </c>
      <c r="C3577" s="1126" t="s">
        <v>1731</v>
      </c>
      <c r="D3577" s="1119">
        <v>119.06</v>
      </c>
      <c r="E3577" s="1120">
        <v>12.66</v>
      </c>
      <c r="F3577" s="1121">
        <f t="shared" si="1"/>
        <v>106.4</v>
      </c>
      <c r="G3577" s="1120">
        <v>106.22</v>
      </c>
      <c r="H3577" s="1127">
        <v>0.06</v>
      </c>
      <c r="I3577" s="1127">
        <v>0.0</v>
      </c>
      <c r="J3577" s="1127">
        <v>0.12</v>
      </c>
      <c r="K3577" s="1124"/>
    </row>
    <row r="3578" ht="15.75" customHeight="1">
      <c r="A3578" s="1119">
        <v>96675.0</v>
      </c>
      <c r="B3578" s="1125" t="s">
        <v>13857</v>
      </c>
      <c r="C3578" s="1126" t="s">
        <v>1731</v>
      </c>
      <c r="D3578" s="1119">
        <v>173.01</v>
      </c>
      <c r="E3578" s="1120">
        <v>15.28</v>
      </c>
      <c r="F3578" s="1121">
        <f t="shared" si="1"/>
        <v>157.73</v>
      </c>
      <c r="G3578" s="1120">
        <v>157.52</v>
      </c>
      <c r="H3578" s="1127">
        <v>0.07</v>
      </c>
      <c r="I3578" s="1127">
        <v>0.0</v>
      </c>
      <c r="J3578" s="1127">
        <v>0.14</v>
      </c>
      <c r="K3578" s="1124"/>
    </row>
    <row r="3579" ht="15.75" customHeight="1">
      <c r="A3579" s="1119">
        <v>96676.0</v>
      </c>
      <c r="B3579" s="1125" t="s">
        <v>13858</v>
      </c>
      <c r="C3579" s="1126" t="s">
        <v>1731</v>
      </c>
      <c r="D3579" s="1119">
        <v>25.09</v>
      </c>
      <c r="E3579" s="1120">
        <v>5.7</v>
      </c>
      <c r="F3579" s="1121">
        <f t="shared" si="1"/>
        <v>19.39</v>
      </c>
      <c r="G3579" s="1120">
        <v>19.36</v>
      </c>
      <c r="H3579" s="1127">
        <v>0.0</v>
      </c>
      <c r="I3579" s="1127">
        <v>0.0</v>
      </c>
      <c r="J3579" s="1127">
        <v>0.03</v>
      </c>
      <c r="K3579" s="1124"/>
    </row>
    <row r="3580" ht="15.75" customHeight="1">
      <c r="A3580" s="1119">
        <v>96677.0</v>
      </c>
      <c r="B3580" s="1125" t="s">
        <v>13859</v>
      </c>
      <c r="C3580" s="1126" t="s">
        <v>1731</v>
      </c>
      <c r="D3580" s="1119">
        <v>32.68</v>
      </c>
      <c r="E3580" s="1120">
        <v>6.94</v>
      </c>
      <c r="F3580" s="1121">
        <f t="shared" si="1"/>
        <v>25.73</v>
      </c>
      <c r="G3580" s="1120">
        <v>25.69</v>
      </c>
      <c r="H3580" s="1127">
        <v>0.0</v>
      </c>
      <c r="I3580" s="1127">
        <v>0.0</v>
      </c>
      <c r="J3580" s="1127">
        <v>0.04</v>
      </c>
      <c r="K3580" s="1124"/>
    </row>
    <row r="3581" ht="15.75" customHeight="1">
      <c r="A3581" s="1119">
        <v>96678.0</v>
      </c>
      <c r="B3581" s="1125" t="s">
        <v>13860</v>
      </c>
      <c r="C3581" s="1126" t="s">
        <v>1731</v>
      </c>
      <c r="D3581" s="1119">
        <v>44.93</v>
      </c>
      <c r="E3581" s="1120">
        <v>8.36</v>
      </c>
      <c r="F3581" s="1121">
        <f t="shared" si="1"/>
        <v>36.58</v>
      </c>
      <c r="G3581" s="1120">
        <v>36.51</v>
      </c>
      <c r="H3581" s="1127">
        <v>0.02</v>
      </c>
      <c r="I3581" s="1127">
        <v>0.0</v>
      </c>
      <c r="J3581" s="1127">
        <v>0.05</v>
      </c>
      <c r="K3581" s="1124"/>
    </row>
    <row r="3582" ht="15.75" customHeight="1">
      <c r="A3582" s="1119">
        <v>96679.0</v>
      </c>
      <c r="B3582" s="1125" t="s">
        <v>13861</v>
      </c>
      <c r="C3582" s="1126" t="s">
        <v>1731</v>
      </c>
      <c r="D3582" s="1119">
        <v>66.9</v>
      </c>
      <c r="E3582" s="1120">
        <v>10.15</v>
      </c>
      <c r="F3582" s="1121">
        <f t="shared" si="1"/>
        <v>56.74</v>
      </c>
      <c r="G3582" s="1120">
        <v>56.66</v>
      </c>
      <c r="H3582" s="1127">
        <v>0.02</v>
      </c>
      <c r="I3582" s="1127">
        <v>0.0</v>
      </c>
      <c r="J3582" s="1127">
        <v>0.06</v>
      </c>
      <c r="K3582" s="1124"/>
    </row>
    <row r="3583" ht="15.75" customHeight="1">
      <c r="A3583" s="1119">
        <v>96680.0</v>
      </c>
      <c r="B3583" s="1125" t="s">
        <v>13862</v>
      </c>
      <c r="C3583" s="1126" t="s">
        <v>1731</v>
      </c>
      <c r="D3583" s="1119">
        <v>110.5</v>
      </c>
      <c r="E3583" s="1120">
        <v>12.46</v>
      </c>
      <c r="F3583" s="1121">
        <f t="shared" si="1"/>
        <v>98.02</v>
      </c>
      <c r="G3583" s="1120">
        <v>97.91</v>
      </c>
      <c r="H3583" s="1127">
        <v>0.03</v>
      </c>
      <c r="I3583" s="1127">
        <v>0.0</v>
      </c>
      <c r="J3583" s="1127">
        <v>0.08</v>
      </c>
      <c r="K3583" s="1124"/>
    </row>
    <row r="3584" ht="15.75" customHeight="1">
      <c r="A3584" s="1119">
        <v>96681.0</v>
      </c>
      <c r="B3584" s="1125" t="s">
        <v>13863</v>
      </c>
      <c r="C3584" s="1126" t="s">
        <v>1731</v>
      </c>
      <c r="D3584" s="1119">
        <v>148.58</v>
      </c>
      <c r="E3584" s="1120">
        <v>14.62</v>
      </c>
      <c r="F3584" s="1121">
        <f t="shared" si="1"/>
        <v>133.96</v>
      </c>
      <c r="G3584" s="1120">
        <v>133.76</v>
      </c>
      <c r="H3584" s="1127">
        <v>0.07</v>
      </c>
      <c r="I3584" s="1127">
        <v>0.0</v>
      </c>
      <c r="J3584" s="1127">
        <v>0.13</v>
      </c>
      <c r="K3584" s="1124"/>
    </row>
    <row r="3585" ht="15.75" customHeight="1">
      <c r="A3585" s="1119">
        <v>96682.0</v>
      </c>
      <c r="B3585" s="1125" t="s">
        <v>13864</v>
      </c>
      <c r="C3585" s="1126" t="s">
        <v>1731</v>
      </c>
      <c r="D3585" s="1119">
        <v>244.89</v>
      </c>
      <c r="E3585" s="1120">
        <v>17.28</v>
      </c>
      <c r="F3585" s="1121">
        <f t="shared" si="1"/>
        <v>227.62</v>
      </c>
      <c r="G3585" s="1120">
        <v>227.36</v>
      </c>
      <c r="H3585" s="1127">
        <v>0.1</v>
      </c>
      <c r="I3585" s="1127">
        <v>0.0</v>
      </c>
      <c r="J3585" s="1127">
        <v>0.16</v>
      </c>
      <c r="K3585" s="1124"/>
    </row>
    <row r="3586" ht="15.75" customHeight="1">
      <c r="A3586" s="1119">
        <v>96683.0</v>
      </c>
      <c r="B3586" s="1125" t="s">
        <v>13865</v>
      </c>
      <c r="C3586" s="1126" t="s">
        <v>1731</v>
      </c>
      <c r="D3586" s="1119">
        <v>336.03</v>
      </c>
      <c r="E3586" s="1120">
        <v>20.86</v>
      </c>
      <c r="F3586" s="1121">
        <f t="shared" si="1"/>
        <v>315.17</v>
      </c>
      <c r="G3586" s="1120">
        <v>314.88</v>
      </c>
      <c r="H3586" s="1127">
        <v>0.1</v>
      </c>
      <c r="I3586" s="1127">
        <v>0.0</v>
      </c>
      <c r="J3586" s="1127">
        <v>0.19</v>
      </c>
      <c r="K3586" s="1124"/>
    </row>
    <row r="3587" ht="15.75" customHeight="1">
      <c r="A3587" s="1119">
        <v>96718.0</v>
      </c>
      <c r="B3587" s="1125" t="s">
        <v>13866</v>
      </c>
      <c r="C3587" s="1126" t="s">
        <v>1731</v>
      </c>
      <c r="D3587" s="1119">
        <v>11.47</v>
      </c>
      <c r="E3587" s="1120">
        <v>0.28</v>
      </c>
      <c r="F3587" s="1121">
        <f t="shared" si="1"/>
        <v>11.17</v>
      </c>
      <c r="G3587" s="1120">
        <v>11.17</v>
      </c>
      <c r="H3587" s="1127">
        <v>0.0</v>
      </c>
      <c r="I3587" s="1127">
        <v>0.0</v>
      </c>
      <c r="J3587" s="1127">
        <v>0.0</v>
      </c>
      <c r="K3587" s="1124"/>
    </row>
    <row r="3588" ht="15.75" customHeight="1">
      <c r="A3588" s="1119">
        <v>96719.0</v>
      </c>
      <c r="B3588" s="1125" t="s">
        <v>13867</v>
      </c>
      <c r="C3588" s="1126" t="s">
        <v>1731</v>
      </c>
      <c r="D3588" s="1119">
        <v>22.56</v>
      </c>
      <c r="E3588" s="1120">
        <v>5.68</v>
      </c>
      <c r="F3588" s="1121">
        <f t="shared" si="1"/>
        <v>16.89</v>
      </c>
      <c r="G3588" s="1120">
        <v>16.89</v>
      </c>
      <c r="H3588" s="1127">
        <v>0.0</v>
      </c>
      <c r="I3588" s="1127">
        <v>0.0</v>
      </c>
      <c r="J3588" s="1127">
        <v>0.0</v>
      </c>
      <c r="K3588" s="1124"/>
    </row>
    <row r="3589" ht="15.75" customHeight="1">
      <c r="A3589" s="1119">
        <v>96720.0</v>
      </c>
      <c r="B3589" s="1125" t="s">
        <v>13868</v>
      </c>
      <c r="C3589" s="1126" t="s">
        <v>1731</v>
      </c>
      <c r="D3589" s="1119">
        <v>21.03</v>
      </c>
      <c r="E3589" s="1120">
        <v>6.64</v>
      </c>
      <c r="F3589" s="1121">
        <f t="shared" si="1"/>
        <v>14.4</v>
      </c>
      <c r="G3589" s="1120">
        <v>14.4</v>
      </c>
      <c r="H3589" s="1127">
        <v>0.0</v>
      </c>
      <c r="I3589" s="1127">
        <v>0.0</v>
      </c>
      <c r="J3589" s="1127">
        <v>0.0</v>
      </c>
      <c r="K3589" s="1124"/>
    </row>
    <row r="3590" ht="15.75" customHeight="1">
      <c r="A3590" s="1119">
        <v>96721.0</v>
      </c>
      <c r="B3590" s="1125" t="s">
        <v>13869</v>
      </c>
      <c r="C3590" s="1126" t="s">
        <v>1731</v>
      </c>
      <c r="D3590" s="1119">
        <v>25.29</v>
      </c>
      <c r="E3590" s="1120">
        <v>6.63</v>
      </c>
      <c r="F3590" s="1121">
        <f t="shared" si="1"/>
        <v>18.67</v>
      </c>
      <c r="G3590" s="1120">
        <v>18.67</v>
      </c>
      <c r="H3590" s="1127">
        <v>0.0</v>
      </c>
      <c r="I3590" s="1127">
        <v>0.0</v>
      </c>
      <c r="J3590" s="1127">
        <v>0.0</v>
      </c>
      <c r="K3590" s="1124"/>
    </row>
    <row r="3591" ht="15.75" customHeight="1">
      <c r="A3591" s="1119">
        <v>96722.0</v>
      </c>
      <c r="B3591" s="1125" t="s">
        <v>13870</v>
      </c>
      <c r="C3591" s="1126" t="s">
        <v>1731</v>
      </c>
      <c r="D3591" s="1119">
        <v>40.41</v>
      </c>
      <c r="E3591" s="1120">
        <v>10.1</v>
      </c>
      <c r="F3591" s="1121">
        <f t="shared" si="1"/>
        <v>30.29</v>
      </c>
      <c r="G3591" s="1120">
        <v>30.29</v>
      </c>
      <c r="H3591" s="1127">
        <v>0.0</v>
      </c>
      <c r="I3591" s="1127">
        <v>0.0</v>
      </c>
      <c r="J3591" s="1127">
        <v>0.0</v>
      </c>
      <c r="K3591" s="1124"/>
    </row>
    <row r="3592" ht="15.75" customHeight="1">
      <c r="A3592" s="1119">
        <v>96723.0</v>
      </c>
      <c r="B3592" s="1125" t="s">
        <v>13871</v>
      </c>
      <c r="C3592" s="1126" t="s">
        <v>1731</v>
      </c>
      <c r="D3592" s="1119">
        <v>57.23</v>
      </c>
      <c r="E3592" s="1120">
        <v>10.1</v>
      </c>
      <c r="F3592" s="1121">
        <f t="shared" si="1"/>
        <v>47.12</v>
      </c>
      <c r="G3592" s="1120">
        <v>47.12</v>
      </c>
      <c r="H3592" s="1127">
        <v>0.0</v>
      </c>
      <c r="I3592" s="1127">
        <v>0.0</v>
      </c>
      <c r="J3592" s="1127">
        <v>0.0</v>
      </c>
      <c r="K3592" s="1124"/>
    </row>
    <row r="3593" ht="15.75" customHeight="1">
      <c r="A3593" s="1119">
        <v>96724.0</v>
      </c>
      <c r="B3593" s="1125" t="s">
        <v>13872</v>
      </c>
      <c r="C3593" s="1126" t="s">
        <v>1731</v>
      </c>
      <c r="D3593" s="1119">
        <v>77.03</v>
      </c>
      <c r="E3593" s="1120">
        <v>16.67</v>
      </c>
      <c r="F3593" s="1121">
        <f t="shared" si="1"/>
        <v>60.38</v>
      </c>
      <c r="G3593" s="1120">
        <v>60.38</v>
      </c>
      <c r="H3593" s="1127">
        <v>0.0</v>
      </c>
      <c r="I3593" s="1127">
        <v>0.0</v>
      </c>
      <c r="J3593" s="1127">
        <v>0.0</v>
      </c>
      <c r="K3593" s="1124"/>
    </row>
    <row r="3594" ht="15.75" customHeight="1">
      <c r="A3594" s="1119">
        <v>96725.0</v>
      </c>
      <c r="B3594" s="1125" t="s">
        <v>13873</v>
      </c>
      <c r="C3594" s="1126" t="s">
        <v>1731</v>
      </c>
      <c r="D3594" s="1119">
        <v>116.47</v>
      </c>
      <c r="E3594" s="1120">
        <v>16.66</v>
      </c>
      <c r="F3594" s="1121">
        <f t="shared" si="1"/>
        <v>99.82</v>
      </c>
      <c r="G3594" s="1120">
        <v>99.82</v>
      </c>
      <c r="H3594" s="1127">
        <v>0.0</v>
      </c>
      <c r="I3594" s="1127">
        <v>0.0</v>
      </c>
      <c r="J3594" s="1127">
        <v>0.0</v>
      </c>
      <c r="K3594" s="1124"/>
    </row>
    <row r="3595" ht="15.75" customHeight="1">
      <c r="A3595" s="1119">
        <v>96726.0</v>
      </c>
      <c r="B3595" s="1125" t="s">
        <v>13874</v>
      </c>
      <c r="C3595" s="1126" t="s">
        <v>1731</v>
      </c>
      <c r="D3595" s="1119">
        <v>165.71</v>
      </c>
      <c r="E3595" s="1120">
        <v>26.18</v>
      </c>
      <c r="F3595" s="1121">
        <f t="shared" si="1"/>
        <v>139.54</v>
      </c>
      <c r="G3595" s="1120">
        <v>139.54</v>
      </c>
      <c r="H3595" s="1127">
        <v>0.0</v>
      </c>
      <c r="I3595" s="1127">
        <v>0.0</v>
      </c>
      <c r="J3595" s="1127">
        <v>0.0</v>
      </c>
      <c r="K3595" s="1124"/>
    </row>
    <row r="3596" ht="15.75" customHeight="1">
      <c r="A3596" s="1119">
        <v>96727.0</v>
      </c>
      <c r="B3596" s="1125" t="s">
        <v>13875</v>
      </c>
      <c r="C3596" s="1126" t="s">
        <v>1731</v>
      </c>
      <c r="D3596" s="1119">
        <v>20.42</v>
      </c>
      <c r="E3596" s="1120">
        <v>6.2</v>
      </c>
      <c r="F3596" s="1121">
        <f t="shared" si="1"/>
        <v>14.23</v>
      </c>
      <c r="G3596" s="1120">
        <v>14.23</v>
      </c>
      <c r="H3596" s="1127">
        <v>0.0</v>
      </c>
      <c r="I3596" s="1127">
        <v>0.0</v>
      </c>
      <c r="J3596" s="1127">
        <v>0.0</v>
      </c>
      <c r="K3596" s="1124"/>
    </row>
    <row r="3597" ht="15.75" customHeight="1">
      <c r="A3597" s="1119">
        <v>96728.0</v>
      </c>
      <c r="B3597" s="1125" t="s">
        <v>13876</v>
      </c>
      <c r="C3597" s="1126" t="s">
        <v>1731</v>
      </c>
      <c r="D3597" s="1119">
        <v>25.07</v>
      </c>
      <c r="E3597" s="1120">
        <v>6.19</v>
      </c>
      <c r="F3597" s="1121">
        <f t="shared" si="1"/>
        <v>18.88</v>
      </c>
      <c r="G3597" s="1120">
        <v>18.88</v>
      </c>
      <c r="H3597" s="1127">
        <v>0.0</v>
      </c>
      <c r="I3597" s="1127">
        <v>0.0</v>
      </c>
      <c r="J3597" s="1127">
        <v>0.0</v>
      </c>
      <c r="K3597" s="1124"/>
    </row>
    <row r="3598" ht="15.75" customHeight="1">
      <c r="A3598" s="1119">
        <v>96729.0</v>
      </c>
      <c r="B3598" s="1125" t="s">
        <v>13877</v>
      </c>
      <c r="C3598" s="1126" t="s">
        <v>1731</v>
      </c>
      <c r="D3598" s="1119">
        <v>32.86</v>
      </c>
      <c r="E3598" s="1120">
        <v>7.94</v>
      </c>
      <c r="F3598" s="1121">
        <f t="shared" si="1"/>
        <v>24.92</v>
      </c>
      <c r="G3598" s="1120">
        <v>24.92</v>
      </c>
      <c r="H3598" s="1127">
        <v>0.0</v>
      </c>
      <c r="I3598" s="1127">
        <v>0.0</v>
      </c>
      <c r="J3598" s="1127">
        <v>0.0</v>
      </c>
      <c r="K3598" s="1124"/>
    </row>
    <row r="3599" ht="15.75" customHeight="1">
      <c r="A3599" s="1119">
        <v>96730.0</v>
      </c>
      <c r="B3599" s="1125" t="s">
        <v>13878</v>
      </c>
      <c r="C3599" s="1126" t="s">
        <v>1731</v>
      </c>
      <c r="D3599" s="1119">
        <v>42.73</v>
      </c>
      <c r="E3599" s="1120">
        <v>7.94</v>
      </c>
      <c r="F3599" s="1121">
        <f t="shared" si="1"/>
        <v>34.79</v>
      </c>
      <c r="G3599" s="1120">
        <v>34.79</v>
      </c>
      <c r="H3599" s="1127">
        <v>0.0</v>
      </c>
      <c r="I3599" s="1127">
        <v>0.0</v>
      </c>
      <c r="J3599" s="1127">
        <v>0.0</v>
      </c>
      <c r="K3599" s="1124"/>
    </row>
    <row r="3600" ht="15.75" customHeight="1">
      <c r="A3600" s="1119">
        <v>96731.0</v>
      </c>
      <c r="B3600" s="1125" t="s">
        <v>13879</v>
      </c>
      <c r="C3600" s="1126" t="s">
        <v>1731</v>
      </c>
      <c r="D3600" s="1119">
        <v>66.5</v>
      </c>
      <c r="E3600" s="1120">
        <v>12.1</v>
      </c>
      <c r="F3600" s="1121">
        <f t="shared" si="1"/>
        <v>54.41</v>
      </c>
      <c r="G3600" s="1120">
        <v>54.41</v>
      </c>
      <c r="H3600" s="1127">
        <v>0.0</v>
      </c>
      <c r="I3600" s="1127">
        <v>0.0</v>
      </c>
      <c r="J3600" s="1127">
        <v>0.0</v>
      </c>
      <c r="K3600" s="1124"/>
    </row>
    <row r="3601" ht="15.75" customHeight="1">
      <c r="A3601" s="1119">
        <v>96732.0</v>
      </c>
      <c r="B3601" s="1125" t="s">
        <v>13880</v>
      </c>
      <c r="C3601" s="1126" t="s">
        <v>1731</v>
      </c>
      <c r="D3601" s="1119">
        <v>104.8</v>
      </c>
      <c r="E3601" s="1120">
        <v>12.1</v>
      </c>
      <c r="F3601" s="1121">
        <f t="shared" si="1"/>
        <v>92.71</v>
      </c>
      <c r="G3601" s="1120">
        <v>92.71</v>
      </c>
      <c r="H3601" s="1127">
        <v>0.0</v>
      </c>
      <c r="I3601" s="1127">
        <v>0.0</v>
      </c>
      <c r="J3601" s="1127">
        <v>0.0</v>
      </c>
      <c r="K3601" s="1124"/>
    </row>
    <row r="3602" ht="15.75" customHeight="1">
      <c r="A3602" s="1119">
        <v>96733.0</v>
      </c>
      <c r="B3602" s="1125" t="s">
        <v>13881</v>
      </c>
      <c r="C3602" s="1126" t="s">
        <v>1731</v>
      </c>
      <c r="D3602" s="1119">
        <v>145.77</v>
      </c>
      <c r="E3602" s="1120">
        <v>20.0</v>
      </c>
      <c r="F3602" s="1121">
        <f t="shared" si="1"/>
        <v>125.77</v>
      </c>
      <c r="G3602" s="1120">
        <v>125.77</v>
      </c>
      <c r="H3602" s="1127">
        <v>0.0</v>
      </c>
      <c r="I3602" s="1127">
        <v>0.0</v>
      </c>
      <c r="J3602" s="1127">
        <v>0.0</v>
      </c>
      <c r="K3602" s="1124"/>
    </row>
    <row r="3603" ht="15.75" customHeight="1">
      <c r="A3603" s="1119">
        <v>96734.0</v>
      </c>
      <c r="B3603" s="1125" t="s">
        <v>13882</v>
      </c>
      <c r="C3603" s="1126" t="s">
        <v>1731</v>
      </c>
      <c r="D3603" s="1119">
        <v>231.47</v>
      </c>
      <c r="E3603" s="1120">
        <v>19.99</v>
      </c>
      <c r="F3603" s="1121">
        <f t="shared" si="1"/>
        <v>211.48</v>
      </c>
      <c r="G3603" s="1120">
        <v>211.48</v>
      </c>
      <c r="H3603" s="1127">
        <v>0.0</v>
      </c>
      <c r="I3603" s="1127">
        <v>0.0</v>
      </c>
      <c r="J3603" s="1127">
        <v>0.0</v>
      </c>
      <c r="K3603" s="1124"/>
    </row>
    <row r="3604" ht="15.75" customHeight="1">
      <c r="A3604" s="1119">
        <v>96735.0</v>
      </c>
      <c r="B3604" s="1125" t="s">
        <v>13883</v>
      </c>
      <c r="C3604" s="1126" t="s">
        <v>1731</v>
      </c>
      <c r="D3604" s="1119">
        <v>306.2</v>
      </c>
      <c r="E3604" s="1120">
        <v>31.38</v>
      </c>
      <c r="F3604" s="1121">
        <f t="shared" si="1"/>
        <v>274.83</v>
      </c>
      <c r="G3604" s="1120">
        <v>274.83</v>
      </c>
      <c r="H3604" s="1127">
        <v>0.0</v>
      </c>
      <c r="I3604" s="1127">
        <v>0.0</v>
      </c>
      <c r="J3604" s="1127">
        <v>0.0</v>
      </c>
      <c r="K3604" s="1124"/>
    </row>
    <row r="3605" ht="15.75" customHeight="1">
      <c r="A3605" s="1119">
        <v>96798.0</v>
      </c>
      <c r="B3605" s="1125" t="s">
        <v>13884</v>
      </c>
      <c r="C3605" s="1126" t="s">
        <v>1731</v>
      </c>
      <c r="D3605" s="1119">
        <v>9.25</v>
      </c>
      <c r="E3605" s="1120">
        <v>2.57</v>
      </c>
      <c r="F3605" s="1121">
        <f t="shared" si="1"/>
        <v>6.69</v>
      </c>
      <c r="G3605" s="1120">
        <v>6.69</v>
      </c>
      <c r="H3605" s="1127">
        <v>0.0</v>
      </c>
      <c r="I3605" s="1127">
        <v>0.0</v>
      </c>
      <c r="J3605" s="1127">
        <v>0.0</v>
      </c>
      <c r="K3605" s="1124"/>
    </row>
    <row r="3606" ht="15.75" customHeight="1">
      <c r="A3606" s="1119">
        <v>96799.0</v>
      </c>
      <c r="B3606" s="1125" t="s">
        <v>13885</v>
      </c>
      <c r="C3606" s="1126" t="s">
        <v>1731</v>
      </c>
      <c r="D3606" s="1119">
        <v>11.85</v>
      </c>
      <c r="E3606" s="1120">
        <v>3.24</v>
      </c>
      <c r="F3606" s="1121">
        <f t="shared" si="1"/>
        <v>8.6</v>
      </c>
      <c r="G3606" s="1120">
        <v>8.6</v>
      </c>
      <c r="H3606" s="1127">
        <v>0.0</v>
      </c>
      <c r="I3606" s="1127">
        <v>0.0</v>
      </c>
      <c r="J3606" s="1127">
        <v>0.0</v>
      </c>
      <c r="K3606" s="1124"/>
    </row>
    <row r="3607" ht="15.75" customHeight="1">
      <c r="A3607" s="1119">
        <v>96800.0</v>
      </c>
      <c r="B3607" s="1125" t="s">
        <v>13886</v>
      </c>
      <c r="C3607" s="1126" t="s">
        <v>1731</v>
      </c>
      <c r="D3607" s="1119">
        <v>16.17</v>
      </c>
      <c r="E3607" s="1120">
        <v>4.09</v>
      </c>
      <c r="F3607" s="1121">
        <f t="shared" si="1"/>
        <v>12.07</v>
      </c>
      <c r="G3607" s="1120">
        <v>12.07</v>
      </c>
      <c r="H3607" s="1127">
        <v>0.0</v>
      </c>
      <c r="I3607" s="1127">
        <v>0.0</v>
      </c>
      <c r="J3607" s="1127">
        <v>0.0</v>
      </c>
      <c r="K3607" s="1124"/>
    </row>
    <row r="3608" ht="15.75" customHeight="1">
      <c r="A3608" s="1119">
        <v>96801.0</v>
      </c>
      <c r="B3608" s="1125" t="s">
        <v>13887</v>
      </c>
      <c r="C3608" s="1126" t="s">
        <v>1731</v>
      </c>
      <c r="D3608" s="1119">
        <v>24.57</v>
      </c>
      <c r="E3608" s="1120">
        <v>5.26</v>
      </c>
      <c r="F3608" s="1121">
        <f t="shared" si="1"/>
        <v>19.3</v>
      </c>
      <c r="G3608" s="1120">
        <v>19.3</v>
      </c>
      <c r="H3608" s="1127">
        <v>0.0</v>
      </c>
      <c r="I3608" s="1127">
        <v>0.0</v>
      </c>
      <c r="J3608" s="1127">
        <v>0.0</v>
      </c>
      <c r="K3608" s="1124"/>
    </row>
    <row r="3609" ht="15.75" customHeight="1">
      <c r="A3609" s="1119">
        <v>97327.0</v>
      </c>
      <c r="B3609" s="1125" t="s">
        <v>13888</v>
      </c>
      <c r="C3609" s="1126" t="s">
        <v>1731</v>
      </c>
      <c r="D3609" s="1119">
        <v>27.65</v>
      </c>
      <c r="E3609" s="1120">
        <v>2.24</v>
      </c>
      <c r="F3609" s="1121">
        <f t="shared" si="1"/>
        <v>25.4</v>
      </c>
      <c r="G3609" s="1120">
        <v>25.4</v>
      </c>
      <c r="H3609" s="1127">
        <v>0.0</v>
      </c>
      <c r="I3609" s="1127">
        <v>0.0</v>
      </c>
      <c r="J3609" s="1127">
        <v>0.0</v>
      </c>
      <c r="K3609" s="1124"/>
    </row>
    <row r="3610" ht="15.75" customHeight="1">
      <c r="A3610" s="1119">
        <v>97328.0</v>
      </c>
      <c r="B3610" s="1125" t="s">
        <v>13889</v>
      </c>
      <c r="C3610" s="1126" t="s">
        <v>1731</v>
      </c>
      <c r="D3610" s="1119">
        <v>46.35</v>
      </c>
      <c r="E3610" s="1120">
        <v>2.45</v>
      </c>
      <c r="F3610" s="1121">
        <f t="shared" si="1"/>
        <v>43.89</v>
      </c>
      <c r="G3610" s="1120">
        <v>43.89</v>
      </c>
      <c r="H3610" s="1127">
        <v>0.0</v>
      </c>
      <c r="I3610" s="1127">
        <v>0.0</v>
      </c>
      <c r="J3610" s="1127">
        <v>0.0</v>
      </c>
      <c r="K3610" s="1124"/>
    </row>
    <row r="3611" ht="15.75" customHeight="1">
      <c r="A3611" s="1119">
        <v>97329.0</v>
      </c>
      <c r="B3611" s="1125" t="s">
        <v>13890</v>
      </c>
      <c r="C3611" s="1126" t="s">
        <v>1731</v>
      </c>
      <c r="D3611" s="1119">
        <v>58.52</v>
      </c>
      <c r="E3611" s="1120">
        <v>2.63</v>
      </c>
      <c r="F3611" s="1121">
        <f t="shared" si="1"/>
        <v>55.89</v>
      </c>
      <c r="G3611" s="1120">
        <v>55.89</v>
      </c>
      <c r="H3611" s="1127">
        <v>0.0</v>
      </c>
      <c r="I3611" s="1127">
        <v>0.0</v>
      </c>
      <c r="J3611" s="1127">
        <v>0.0</v>
      </c>
      <c r="K3611" s="1124"/>
    </row>
    <row r="3612" ht="15.75" customHeight="1">
      <c r="A3612" s="1119">
        <v>97330.0</v>
      </c>
      <c r="B3612" s="1125" t="s">
        <v>13891</v>
      </c>
      <c r="C3612" s="1126" t="s">
        <v>1731</v>
      </c>
      <c r="D3612" s="1119">
        <v>71.42</v>
      </c>
      <c r="E3612" s="1120">
        <v>2.76</v>
      </c>
      <c r="F3612" s="1121">
        <f t="shared" si="1"/>
        <v>68.66</v>
      </c>
      <c r="G3612" s="1120">
        <v>68.66</v>
      </c>
      <c r="H3612" s="1127">
        <v>0.0</v>
      </c>
      <c r="I3612" s="1127">
        <v>0.0</v>
      </c>
      <c r="J3612" s="1127">
        <v>0.0</v>
      </c>
      <c r="K3612" s="1124"/>
    </row>
    <row r="3613" ht="15.75" customHeight="1">
      <c r="A3613" s="1119">
        <v>97331.0</v>
      </c>
      <c r="B3613" s="1125" t="s">
        <v>13892</v>
      </c>
      <c r="C3613" s="1126" t="s">
        <v>1731</v>
      </c>
      <c r="D3613" s="1119">
        <v>28.05</v>
      </c>
      <c r="E3613" s="1120">
        <v>2.55</v>
      </c>
      <c r="F3613" s="1121">
        <f t="shared" si="1"/>
        <v>25.52</v>
      </c>
      <c r="G3613" s="1120">
        <v>25.52</v>
      </c>
      <c r="H3613" s="1127">
        <v>0.0</v>
      </c>
      <c r="I3613" s="1127">
        <v>0.0</v>
      </c>
      <c r="J3613" s="1127">
        <v>0.0</v>
      </c>
      <c r="K3613" s="1124"/>
    </row>
    <row r="3614" ht="15.75" customHeight="1">
      <c r="A3614" s="1119">
        <v>97332.0</v>
      </c>
      <c r="B3614" s="1125" t="s">
        <v>13893</v>
      </c>
      <c r="C3614" s="1126" t="s">
        <v>1731</v>
      </c>
      <c r="D3614" s="1119">
        <v>46.81</v>
      </c>
      <c r="E3614" s="1120">
        <v>2.8</v>
      </c>
      <c r="F3614" s="1121">
        <f t="shared" si="1"/>
        <v>44.01</v>
      </c>
      <c r="G3614" s="1120">
        <v>44.01</v>
      </c>
      <c r="H3614" s="1127">
        <v>0.0</v>
      </c>
      <c r="I3614" s="1127">
        <v>0.0</v>
      </c>
      <c r="J3614" s="1127">
        <v>0.0</v>
      </c>
      <c r="K3614" s="1124"/>
    </row>
    <row r="3615" ht="15.75" customHeight="1">
      <c r="A3615" s="1119">
        <v>97333.0</v>
      </c>
      <c r="B3615" s="1125" t="s">
        <v>13894</v>
      </c>
      <c r="C3615" s="1126" t="s">
        <v>1731</v>
      </c>
      <c r="D3615" s="1119">
        <v>59.1</v>
      </c>
      <c r="E3615" s="1120">
        <v>3.07</v>
      </c>
      <c r="F3615" s="1121">
        <f t="shared" si="1"/>
        <v>56.04</v>
      </c>
      <c r="G3615" s="1120">
        <v>56.04</v>
      </c>
      <c r="H3615" s="1127">
        <v>0.0</v>
      </c>
      <c r="I3615" s="1127">
        <v>0.0</v>
      </c>
      <c r="J3615" s="1127">
        <v>0.0</v>
      </c>
      <c r="K3615" s="1124"/>
    </row>
    <row r="3616" ht="15.75" customHeight="1">
      <c r="A3616" s="1119">
        <v>97334.0</v>
      </c>
      <c r="B3616" s="1125" t="s">
        <v>13895</v>
      </c>
      <c r="C3616" s="1126" t="s">
        <v>1731</v>
      </c>
      <c r="D3616" s="1119">
        <v>72.06</v>
      </c>
      <c r="E3616" s="1120">
        <v>3.24</v>
      </c>
      <c r="F3616" s="1121">
        <f t="shared" si="1"/>
        <v>68.82</v>
      </c>
      <c r="G3616" s="1120">
        <v>68.82</v>
      </c>
      <c r="H3616" s="1127">
        <v>0.0</v>
      </c>
      <c r="I3616" s="1127">
        <v>0.0</v>
      </c>
      <c r="J3616" s="1127">
        <v>0.0</v>
      </c>
      <c r="K3616" s="1124"/>
    </row>
    <row r="3617" ht="15.75" customHeight="1">
      <c r="A3617" s="1119">
        <v>97335.0</v>
      </c>
      <c r="B3617" s="1125" t="s">
        <v>13896</v>
      </c>
      <c r="C3617" s="1126" t="s">
        <v>1731</v>
      </c>
      <c r="D3617" s="1119">
        <v>79.7</v>
      </c>
      <c r="E3617" s="1120">
        <v>1.89</v>
      </c>
      <c r="F3617" s="1121">
        <f t="shared" si="1"/>
        <v>77.81</v>
      </c>
      <c r="G3617" s="1120">
        <v>77.81</v>
      </c>
      <c r="H3617" s="1127">
        <v>0.0</v>
      </c>
      <c r="I3617" s="1127">
        <v>0.0</v>
      </c>
      <c r="J3617" s="1127">
        <v>0.0</v>
      </c>
      <c r="K3617" s="1124"/>
    </row>
    <row r="3618" ht="15.75" customHeight="1">
      <c r="A3618" s="1119">
        <v>97336.0</v>
      </c>
      <c r="B3618" s="1125" t="s">
        <v>13897</v>
      </c>
      <c r="C3618" s="1126" t="s">
        <v>1731</v>
      </c>
      <c r="D3618" s="1119">
        <v>101.45</v>
      </c>
      <c r="E3618" s="1120">
        <v>2.43</v>
      </c>
      <c r="F3618" s="1121">
        <f t="shared" si="1"/>
        <v>99</v>
      </c>
      <c r="G3618" s="1120">
        <v>99.0</v>
      </c>
      <c r="H3618" s="1127">
        <v>0.0</v>
      </c>
      <c r="I3618" s="1127">
        <v>0.0</v>
      </c>
      <c r="J3618" s="1127">
        <v>0.0</v>
      </c>
      <c r="K3618" s="1124"/>
    </row>
    <row r="3619" ht="15.75" customHeight="1">
      <c r="A3619" s="1119">
        <v>97337.0</v>
      </c>
      <c r="B3619" s="1125" t="s">
        <v>13898</v>
      </c>
      <c r="C3619" s="1126" t="s">
        <v>1731</v>
      </c>
      <c r="D3619" s="1119">
        <v>152.4</v>
      </c>
      <c r="E3619" s="1120">
        <v>3.09</v>
      </c>
      <c r="F3619" s="1121">
        <f t="shared" si="1"/>
        <v>149.33</v>
      </c>
      <c r="G3619" s="1120">
        <v>149.33</v>
      </c>
      <c r="H3619" s="1127">
        <v>0.0</v>
      </c>
      <c r="I3619" s="1127">
        <v>0.0</v>
      </c>
      <c r="J3619" s="1127">
        <v>0.0</v>
      </c>
      <c r="K3619" s="1124"/>
    </row>
    <row r="3620" ht="15.75" customHeight="1">
      <c r="A3620" s="1119">
        <v>97338.0</v>
      </c>
      <c r="B3620" s="1125" t="s">
        <v>13899</v>
      </c>
      <c r="C3620" s="1126" t="s">
        <v>1731</v>
      </c>
      <c r="D3620" s="1119">
        <v>183.38</v>
      </c>
      <c r="E3620" s="1120">
        <v>3.72</v>
      </c>
      <c r="F3620" s="1121">
        <f t="shared" si="1"/>
        <v>179.66</v>
      </c>
      <c r="G3620" s="1120">
        <v>179.66</v>
      </c>
      <c r="H3620" s="1127">
        <v>0.0</v>
      </c>
      <c r="I3620" s="1127">
        <v>0.0</v>
      </c>
      <c r="J3620" s="1127">
        <v>0.0</v>
      </c>
      <c r="K3620" s="1124"/>
    </row>
    <row r="3621" ht="15.75" customHeight="1">
      <c r="A3621" s="1119">
        <v>97339.0</v>
      </c>
      <c r="B3621" s="1125" t="s">
        <v>13900</v>
      </c>
      <c r="C3621" s="1126" t="s">
        <v>1731</v>
      </c>
      <c r="D3621" s="1119">
        <v>197.72</v>
      </c>
      <c r="E3621" s="1120">
        <v>4.83</v>
      </c>
      <c r="F3621" s="1121">
        <f t="shared" si="1"/>
        <v>192.88</v>
      </c>
      <c r="G3621" s="1120">
        <v>192.88</v>
      </c>
      <c r="H3621" s="1127">
        <v>0.0</v>
      </c>
      <c r="I3621" s="1127">
        <v>0.0</v>
      </c>
      <c r="J3621" s="1127">
        <v>0.0</v>
      </c>
      <c r="K3621" s="1124"/>
    </row>
    <row r="3622" ht="15.75" customHeight="1">
      <c r="A3622" s="1119">
        <v>97340.0</v>
      </c>
      <c r="B3622" s="1125" t="s">
        <v>13901</v>
      </c>
      <c r="C3622" s="1126" t="s">
        <v>1731</v>
      </c>
      <c r="D3622" s="1119">
        <v>199.2</v>
      </c>
      <c r="E3622" s="1120">
        <v>5.94</v>
      </c>
      <c r="F3622" s="1121">
        <f t="shared" si="1"/>
        <v>193.25</v>
      </c>
      <c r="G3622" s="1120">
        <v>193.25</v>
      </c>
      <c r="H3622" s="1127">
        <v>0.0</v>
      </c>
      <c r="I3622" s="1127">
        <v>0.0</v>
      </c>
      <c r="J3622" s="1127">
        <v>0.0</v>
      </c>
      <c r="K3622" s="1124"/>
    </row>
    <row r="3623" ht="15.75" customHeight="1">
      <c r="A3623" s="1119">
        <v>97347.0</v>
      </c>
      <c r="B3623" s="1125" t="s">
        <v>13902</v>
      </c>
      <c r="C3623" s="1126" t="s">
        <v>1731</v>
      </c>
      <c r="D3623" s="1119">
        <v>95.96</v>
      </c>
      <c r="E3623" s="1120">
        <v>2.02</v>
      </c>
      <c r="F3623" s="1121">
        <f t="shared" si="1"/>
        <v>93.95</v>
      </c>
      <c r="G3623" s="1120">
        <v>93.95</v>
      </c>
      <c r="H3623" s="1127">
        <v>0.0</v>
      </c>
      <c r="I3623" s="1127">
        <v>0.0</v>
      </c>
      <c r="J3623" s="1127">
        <v>0.0</v>
      </c>
      <c r="K3623" s="1124"/>
    </row>
    <row r="3624" ht="15.75" customHeight="1">
      <c r="A3624" s="1119">
        <v>97348.0</v>
      </c>
      <c r="B3624" s="1125" t="s">
        <v>13903</v>
      </c>
      <c r="C3624" s="1126" t="s">
        <v>1731</v>
      </c>
      <c r="D3624" s="1119">
        <v>132.43</v>
      </c>
      <c r="E3624" s="1120">
        <v>2.41</v>
      </c>
      <c r="F3624" s="1121">
        <f t="shared" si="1"/>
        <v>130.02</v>
      </c>
      <c r="G3624" s="1120">
        <v>130.02</v>
      </c>
      <c r="H3624" s="1127">
        <v>0.0</v>
      </c>
      <c r="I3624" s="1127">
        <v>0.0</v>
      </c>
      <c r="J3624" s="1127">
        <v>0.0</v>
      </c>
      <c r="K3624" s="1124"/>
    </row>
    <row r="3625" ht="15.75" customHeight="1">
      <c r="A3625" s="1119">
        <v>97349.0</v>
      </c>
      <c r="B3625" s="1125" t="s">
        <v>13904</v>
      </c>
      <c r="C3625" s="1126" t="s">
        <v>1731</v>
      </c>
      <c r="D3625" s="1119">
        <v>190.69</v>
      </c>
      <c r="E3625" s="1120">
        <v>2.84</v>
      </c>
      <c r="F3625" s="1121">
        <f t="shared" si="1"/>
        <v>187.85</v>
      </c>
      <c r="G3625" s="1120">
        <v>187.85</v>
      </c>
      <c r="H3625" s="1127">
        <v>0.0</v>
      </c>
      <c r="I3625" s="1127">
        <v>0.0</v>
      </c>
      <c r="J3625" s="1127">
        <v>0.0</v>
      </c>
      <c r="K3625" s="1124"/>
    </row>
    <row r="3626" ht="15.75" customHeight="1">
      <c r="A3626" s="1119">
        <v>97350.0</v>
      </c>
      <c r="B3626" s="1125" t="s">
        <v>13905</v>
      </c>
      <c r="C3626" s="1126" t="s">
        <v>1731</v>
      </c>
      <c r="D3626" s="1119">
        <v>231.47</v>
      </c>
      <c r="E3626" s="1120">
        <v>3.28</v>
      </c>
      <c r="F3626" s="1121">
        <f t="shared" si="1"/>
        <v>228.18</v>
      </c>
      <c r="G3626" s="1120">
        <v>228.18</v>
      </c>
      <c r="H3626" s="1127">
        <v>0.0</v>
      </c>
      <c r="I3626" s="1127">
        <v>0.0</v>
      </c>
      <c r="J3626" s="1127">
        <v>0.0</v>
      </c>
      <c r="K3626" s="1124"/>
    </row>
    <row r="3627" ht="15.75" customHeight="1">
      <c r="A3627" s="1119">
        <v>97351.0</v>
      </c>
      <c r="B3627" s="1125" t="s">
        <v>13906</v>
      </c>
      <c r="C3627" s="1126" t="s">
        <v>1731</v>
      </c>
      <c r="D3627" s="1119">
        <v>319.9</v>
      </c>
      <c r="E3627" s="1120">
        <v>4.07</v>
      </c>
      <c r="F3627" s="1121">
        <f t="shared" si="1"/>
        <v>315.85</v>
      </c>
      <c r="G3627" s="1120">
        <v>315.85</v>
      </c>
      <c r="H3627" s="1127">
        <v>0.0</v>
      </c>
      <c r="I3627" s="1127">
        <v>0.0</v>
      </c>
      <c r="J3627" s="1127">
        <v>0.0</v>
      </c>
      <c r="K3627" s="1124"/>
    </row>
    <row r="3628" ht="15.75" customHeight="1">
      <c r="A3628" s="1119">
        <v>97352.0</v>
      </c>
      <c r="B3628" s="1125" t="s">
        <v>13907</v>
      </c>
      <c r="C3628" s="1126" t="s">
        <v>1731</v>
      </c>
      <c r="D3628" s="1119">
        <v>414.43</v>
      </c>
      <c r="E3628" s="1120">
        <v>4.8</v>
      </c>
      <c r="F3628" s="1121">
        <f t="shared" si="1"/>
        <v>409.63</v>
      </c>
      <c r="G3628" s="1120">
        <v>409.63</v>
      </c>
      <c r="H3628" s="1127">
        <v>0.0</v>
      </c>
      <c r="I3628" s="1127">
        <v>0.0</v>
      </c>
      <c r="J3628" s="1127">
        <v>0.0</v>
      </c>
      <c r="K3628" s="1124"/>
    </row>
    <row r="3629" ht="15.75" customHeight="1">
      <c r="A3629" s="1119">
        <v>97353.0</v>
      </c>
      <c r="B3629" s="1125" t="s">
        <v>13908</v>
      </c>
      <c r="C3629" s="1126" t="s">
        <v>1731</v>
      </c>
      <c r="D3629" s="1119">
        <v>64.44</v>
      </c>
      <c r="E3629" s="1120">
        <v>5.41</v>
      </c>
      <c r="F3629" s="1121">
        <f t="shared" si="1"/>
        <v>59.03</v>
      </c>
      <c r="G3629" s="1120">
        <v>59.03</v>
      </c>
      <c r="H3629" s="1127">
        <v>0.0</v>
      </c>
      <c r="I3629" s="1127">
        <v>0.0</v>
      </c>
      <c r="J3629" s="1127">
        <v>0.0</v>
      </c>
      <c r="K3629" s="1124"/>
    </row>
    <row r="3630" ht="15.75" customHeight="1">
      <c r="A3630" s="1119">
        <v>97354.0</v>
      </c>
      <c r="B3630" s="1125" t="s">
        <v>13909</v>
      </c>
      <c r="C3630" s="1126" t="s">
        <v>1731</v>
      </c>
      <c r="D3630" s="1119">
        <v>101.56</v>
      </c>
      <c r="E3630" s="1120">
        <v>6.23</v>
      </c>
      <c r="F3630" s="1121">
        <f t="shared" si="1"/>
        <v>95.33</v>
      </c>
      <c r="G3630" s="1120">
        <v>95.33</v>
      </c>
      <c r="H3630" s="1127">
        <v>0.0</v>
      </c>
      <c r="I3630" s="1127">
        <v>0.0</v>
      </c>
      <c r="J3630" s="1127">
        <v>0.0</v>
      </c>
      <c r="K3630" s="1124"/>
    </row>
    <row r="3631" ht="15.75" customHeight="1">
      <c r="A3631" s="1119">
        <v>97355.0</v>
      </c>
      <c r="B3631" s="1125" t="s">
        <v>13910</v>
      </c>
      <c r="C3631" s="1126" t="s">
        <v>1731</v>
      </c>
      <c r="D3631" s="1119">
        <v>138.44</v>
      </c>
      <c r="E3631" s="1120">
        <v>6.93</v>
      </c>
      <c r="F3631" s="1121">
        <f t="shared" si="1"/>
        <v>131.51</v>
      </c>
      <c r="G3631" s="1120">
        <v>131.51</v>
      </c>
      <c r="H3631" s="1127">
        <v>0.0</v>
      </c>
      <c r="I3631" s="1127">
        <v>0.0</v>
      </c>
      <c r="J3631" s="1127">
        <v>0.0</v>
      </c>
      <c r="K3631" s="1124"/>
    </row>
    <row r="3632" ht="15.75" customHeight="1">
      <c r="A3632" s="1119">
        <v>97356.0</v>
      </c>
      <c r="B3632" s="1125" t="s">
        <v>13911</v>
      </c>
      <c r="C3632" s="1126" t="s">
        <v>1731</v>
      </c>
      <c r="D3632" s="1119">
        <v>76.75</v>
      </c>
      <c r="E3632" s="1120">
        <v>14.66</v>
      </c>
      <c r="F3632" s="1121">
        <f t="shared" si="1"/>
        <v>62.08</v>
      </c>
      <c r="G3632" s="1120">
        <v>62.08</v>
      </c>
      <c r="H3632" s="1127">
        <v>0.0</v>
      </c>
      <c r="I3632" s="1127">
        <v>0.0</v>
      </c>
      <c r="J3632" s="1127">
        <v>0.0</v>
      </c>
      <c r="K3632" s="1124"/>
    </row>
    <row r="3633" ht="15.75" customHeight="1">
      <c r="A3633" s="1119">
        <v>97357.0</v>
      </c>
      <c r="B3633" s="1125" t="s">
        <v>13912</v>
      </c>
      <c r="C3633" s="1126" t="s">
        <v>1731</v>
      </c>
      <c r="D3633" s="1119">
        <v>122.72</v>
      </c>
      <c r="E3633" s="1120">
        <v>22.13</v>
      </c>
      <c r="F3633" s="1121">
        <f t="shared" si="1"/>
        <v>100.59</v>
      </c>
      <c r="G3633" s="1120">
        <v>100.59</v>
      </c>
      <c r="H3633" s="1127">
        <v>0.0</v>
      </c>
      <c r="I3633" s="1127">
        <v>0.0</v>
      </c>
      <c r="J3633" s="1127">
        <v>0.0</v>
      </c>
      <c r="K3633" s="1124"/>
    </row>
    <row r="3634" ht="15.75" customHeight="1">
      <c r="A3634" s="1119">
        <v>97358.0</v>
      </c>
      <c r="B3634" s="1125" t="s">
        <v>13913</v>
      </c>
      <c r="C3634" s="1126" t="s">
        <v>1731</v>
      </c>
      <c r="D3634" s="1119">
        <v>167.28</v>
      </c>
      <c r="E3634" s="1120">
        <v>28.6</v>
      </c>
      <c r="F3634" s="1121">
        <f t="shared" si="1"/>
        <v>138.68</v>
      </c>
      <c r="G3634" s="1120">
        <v>138.68</v>
      </c>
      <c r="H3634" s="1127">
        <v>0.0</v>
      </c>
      <c r="I3634" s="1127">
        <v>0.0</v>
      </c>
      <c r="J3634" s="1127">
        <v>0.0</v>
      </c>
      <c r="K3634" s="1124"/>
    </row>
    <row r="3635" ht="15.75" customHeight="1">
      <c r="A3635" s="1119">
        <v>97498.0</v>
      </c>
      <c r="B3635" s="1125" t="s">
        <v>13914</v>
      </c>
      <c r="C3635" s="1126" t="s">
        <v>1731</v>
      </c>
      <c r="D3635" s="1119">
        <v>45.78</v>
      </c>
      <c r="E3635" s="1120">
        <v>7.06</v>
      </c>
      <c r="F3635" s="1121">
        <f t="shared" si="1"/>
        <v>38.72</v>
      </c>
      <c r="G3635" s="1120">
        <v>38.72</v>
      </c>
      <c r="H3635" s="1127">
        <v>0.0</v>
      </c>
      <c r="I3635" s="1127">
        <v>0.0</v>
      </c>
      <c r="J3635" s="1127">
        <v>0.0</v>
      </c>
      <c r="K3635" s="1124"/>
    </row>
    <row r="3636" ht="15.75" customHeight="1">
      <c r="A3636" s="1119">
        <v>97535.0</v>
      </c>
      <c r="B3636" s="1125" t="s">
        <v>13915</v>
      </c>
      <c r="C3636" s="1126" t="s">
        <v>1731</v>
      </c>
      <c r="D3636" s="1119">
        <v>51.39</v>
      </c>
      <c r="E3636" s="1120">
        <v>11.27</v>
      </c>
      <c r="F3636" s="1121">
        <f t="shared" si="1"/>
        <v>40.1</v>
      </c>
      <c r="G3636" s="1120">
        <v>40.1</v>
      </c>
      <c r="H3636" s="1127">
        <v>0.0</v>
      </c>
      <c r="I3636" s="1127">
        <v>0.0</v>
      </c>
      <c r="J3636" s="1127">
        <v>0.0</v>
      </c>
      <c r="K3636" s="1124"/>
    </row>
    <row r="3637" ht="15.75" customHeight="1">
      <c r="A3637" s="1119">
        <v>97536.0</v>
      </c>
      <c r="B3637" s="1125" t="s">
        <v>13916</v>
      </c>
      <c r="C3637" s="1126" t="s">
        <v>1731</v>
      </c>
      <c r="D3637" s="1119">
        <v>64.28</v>
      </c>
      <c r="E3637" s="1120">
        <v>20.96</v>
      </c>
      <c r="F3637" s="1121">
        <f t="shared" si="1"/>
        <v>43.32</v>
      </c>
      <c r="G3637" s="1120">
        <v>43.32</v>
      </c>
      <c r="H3637" s="1127">
        <v>0.0</v>
      </c>
      <c r="I3637" s="1127">
        <v>0.0</v>
      </c>
      <c r="J3637" s="1127">
        <v>0.0</v>
      </c>
      <c r="K3637" s="1124"/>
    </row>
    <row r="3638" ht="15.75" customHeight="1">
      <c r="A3638" s="1119">
        <v>100788.0</v>
      </c>
      <c r="B3638" s="1125" t="s">
        <v>13917</v>
      </c>
      <c r="C3638" s="1126" t="s">
        <v>1788</v>
      </c>
      <c r="D3638" s="1119">
        <v>794.53</v>
      </c>
      <c r="E3638" s="1120">
        <v>164.61</v>
      </c>
      <c r="F3638" s="1121">
        <f t="shared" si="1"/>
        <v>629.93</v>
      </c>
      <c r="G3638" s="1120">
        <v>629.93</v>
      </c>
      <c r="H3638" s="1127">
        <v>0.0</v>
      </c>
      <c r="I3638" s="1127">
        <v>0.0</v>
      </c>
      <c r="J3638" s="1127">
        <v>0.0</v>
      </c>
      <c r="K3638" s="1124"/>
    </row>
    <row r="3639" ht="15.75" customHeight="1">
      <c r="A3639" s="1119">
        <v>100791.0</v>
      </c>
      <c r="B3639" s="1125" t="s">
        <v>13918</v>
      </c>
      <c r="C3639" s="1126" t="s">
        <v>1731</v>
      </c>
      <c r="D3639" s="1119">
        <v>20.05</v>
      </c>
      <c r="E3639" s="1120">
        <v>6.9</v>
      </c>
      <c r="F3639" s="1121">
        <f t="shared" si="1"/>
        <v>13.16</v>
      </c>
      <c r="G3639" s="1120">
        <v>13.16</v>
      </c>
      <c r="H3639" s="1127">
        <v>0.0</v>
      </c>
      <c r="I3639" s="1127">
        <v>0.0</v>
      </c>
      <c r="J3639" s="1127">
        <v>0.0</v>
      </c>
      <c r="K3639" s="1124"/>
    </row>
    <row r="3640" ht="15.75" customHeight="1">
      <c r="A3640" s="1119">
        <v>100792.0</v>
      </c>
      <c r="B3640" s="1125" t="s">
        <v>13919</v>
      </c>
      <c r="C3640" s="1126" t="s">
        <v>1731</v>
      </c>
      <c r="D3640" s="1119">
        <v>28.78</v>
      </c>
      <c r="E3640" s="1120">
        <v>8.18</v>
      </c>
      <c r="F3640" s="1121">
        <f t="shared" si="1"/>
        <v>20.6</v>
      </c>
      <c r="G3640" s="1120">
        <v>20.6</v>
      </c>
      <c r="H3640" s="1127">
        <v>0.0</v>
      </c>
      <c r="I3640" s="1127">
        <v>0.0</v>
      </c>
      <c r="J3640" s="1127">
        <v>0.0</v>
      </c>
      <c r="K3640" s="1124"/>
    </row>
    <row r="3641" ht="15.75" customHeight="1">
      <c r="A3641" s="1119">
        <v>100793.0</v>
      </c>
      <c r="B3641" s="1125" t="s">
        <v>13920</v>
      </c>
      <c r="C3641" s="1126" t="s">
        <v>1731</v>
      </c>
      <c r="D3641" s="1119">
        <v>37.82</v>
      </c>
      <c r="E3641" s="1120">
        <v>9.78</v>
      </c>
      <c r="F3641" s="1121">
        <f t="shared" si="1"/>
        <v>28.06</v>
      </c>
      <c r="G3641" s="1120">
        <v>28.06</v>
      </c>
      <c r="H3641" s="1127">
        <v>0.0</v>
      </c>
      <c r="I3641" s="1127">
        <v>0.0</v>
      </c>
      <c r="J3641" s="1127">
        <v>0.0</v>
      </c>
      <c r="K3641" s="1124"/>
    </row>
    <row r="3642" ht="15.75" customHeight="1">
      <c r="A3642" s="1119">
        <v>100794.0</v>
      </c>
      <c r="B3642" s="1125" t="s">
        <v>13921</v>
      </c>
      <c r="C3642" s="1126" t="s">
        <v>1731</v>
      </c>
      <c r="D3642" s="1119">
        <v>50.64</v>
      </c>
      <c r="E3642" s="1120">
        <v>12.02</v>
      </c>
      <c r="F3642" s="1121">
        <f t="shared" si="1"/>
        <v>38.62</v>
      </c>
      <c r="G3642" s="1120">
        <v>38.62</v>
      </c>
      <c r="H3642" s="1127">
        <v>0.0</v>
      </c>
      <c r="I3642" s="1127">
        <v>0.0</v>
      </c>
      <c r="J3642" s="1127">
        <v>0.0</v>
      </c>
      <c r="K3642" s="1124"/>
    </row>
    <row r="3643" ht="15.75" customHeight="1">
      <c r="A3643" s="1119">
        <v>100799.0</v>
      </c>
      <c r="B3643" s="1125" t="s">
        <v>13922</v>
      </c>
      <c r="C3643" s="1126" t="s">
        <v>1731</v>
      </c>
      <c r="D3643" s="1119">
        <v>20.62</v>
      </c>
      <c r="E3643" s="1120">
        <v>7.33</v>
      </c>
      <c r="F3643" s="1121">
        <f t="shared" si="1"/>
        <v>13.29</v>
      </c>
      <c r="G3643" s="1120">
        <v>13.29</v>
      </c>
      <c r="H3643" s="1127">
        <v>0.0</v>
      </c>
      <c r="I3643" s="1127">
        <v>0.0</v>
      </c>
      <c r="J3643" s="1127">
        <v>0.0</v>
      </c>
      <c r="K3643" s="1124"/>
    </row>
    <row r="3644" ht="15.75" customHeight="1">
      <c r="A3644" s="1119">
        <v>100800.0</v>
      </c>
      <c r="B3644" s="1125" t="s">
        <v>13923</v>
      </c>
      <c r="C3644" s="1126" t="s">
        <v>1731</v>
      </c>
      <c r="D3644" s="1119">
        <v>29.36</v>
      </c>
      <c r="E3644" s="1120">
        <v>8.61</v>
      </c>
      <c r="F3644" s="1121">
        <f t="shared" si="1"/>
        <v>20.73</v>
      </c>
      <c r="G3644" s="1120">
        <v>20.73</v>
      </c>
      <c r="H3644" s="1127">
        <v>0.0</v>
      </c>
      <c r="I3644" s="1127">
        <v>0.0</v>
      </c>
      <c r="J3644" s="1127">
        <v>0.0</v>
      </c>
      <c r="K3644" s="1124"/>
    </row>
    <row r="3645" ht="15.75" customHeight="1">
      <c r="A3645" s="1119">
        <v>100801.0</v>
      </c>
      <c r="B3645" s="1125" t="s">
        <v>13924</v>
      </c>
      <c r="C3645" s="1126" t="s">
        <v>1731</v>
      </c>
      <c r="D3645" s="1119">
        <v>38.4</v>
      </c>
      <c r="E3645" s="1120">
        <v>10.22</v>
      </c>
      <c r="F3645" s="1121">
        <f t="shared" si="1"/>
        <v>28.18</v>
      </c>
      <c r="G3645" s="1120">
        <v>28.18</v>
      </c>
      <c r="H3645" s="1127">
        <v>0.0</v>
      </c>
      <c r="I3645" s="1127">
        <v>0.0</v>
      </c>
      <c r="J3645" s="1127">
        <v>0.0</v>
      </c>
      <c r="K3645" s="1124"/>
    </row>
    <row r="3646" ht="15.75" customHeight="1">
      <c r="A3646" s="1119">
        <v>100802.0</v>
      </c>
      <c r="B3646" s="1125" t="s">
        <v>13925</v>
      </c>
      <c r="C3646" s="1126" t="s">
        <v>1731</v>
      </c>
      <c r="D3646" s="1119">
        <v>51.22</v>
      </c>
      <c r="E3646" s="1120">
        <v>12.47</v>
      </c>
      <c r="F3646" s="1121">
        <f t="shared" si="1"/>
        <v>38.76</v>
      </c>
      <c r="G3646" s="1120">
        <v>38.76</v>
      </c>
      <c r="H3646" s="1127">
        <v>0.0</v>
      </c>
      <c r="I3646" s="1127">
        <v>0.0</v>
      </c>
      <c r="J3646" s="1127">
        <v>0.0</v>
      </c>
      <c r="K3646" s="1124"/>
    </row>
    <row r="3647" ht="15.75" customHeight="1">
      <c r="A3647" s="1119">
        <v>100803.0</v>
      </c>
      <c r="B3647" s="1125" t="s">
        <v>13926</v>
      </c>
      <c r="C3647" s="1126" t="s">
        <v>1731</v>
      </c>
      <c r="D3647" s="1119">
        <v>18.88</v>
      </c>
      <c r="E3647" s="1120">
        <v>6.0</v>
      </c>
      <c r="F3647" s="1121">
        <f t="shared" si="1"/>
        <v>12.88</v>
      </c>
      <c r="G3647" s="1120">
        <v>12.88</v>
      </c>
      <c r="H3647" s="1127">
        <v>0.0</v>
      </c>
      <c r="I3647" s="1127">
        <v>0.0</v>
      </c>
      <c r="J3647" s="1127">
        <v>0.0</v>
      </c>
      <c r="K3647" s="1124"/>
    </row>
    <row r="3648" ht="15.75" customHeight="1">
      <c r="A3648" s="1119">
        <v>100804.0</v>
      </c>
      <c r="B3648" s="1125" t="s">
        <v>13927</v>
      </c>
      <c r="C3648" s="1126" t="s">
        <v>1731</v>
      </c>
      <c r="D3648" s="1119">
        <v>27.39</v>
      </c>
      <c r="E3648" s="1120">
        <v>7.11</v>
      </c>
      <c r="F3648" s="1121">
        <f t="shared" si="1"/>
        <v>20.27</v>
      </c>
      <c r="G3648" s="1120">
        <v>20.27</v>
      </c>
      <c r="H3648" s="1127">
        <v>0.0</v>
      </c>
      <c r="I3648" s="1127">
        <v>0.0</v>
      </c>
      <c r="J3648" s="1127">
        <v>0.0</v>
      </c>
      <c r="K3648" s="1124"/>
    </row>
    <row r="3649" ht="15.75" customHeight="1">
      <c r="A3649" s="1119">
        <v>100805.0</v>
      </c>
      <c r="B3649" s="1125" t="s">
        <v>13928</v>
      </c>
      <c r="C3649" s="1126" t="s">
        <v>1731</v>
      </c>
      <c r="D3649" s="1119">
        <v>36.16</v>
      </c>
      <c r="E3649" s="1120">
        <v>8.5</v>
      </c>
      <c r="F3649" s="1121">
        <f t="shared" si="1"/>
        <v>27.66</v>
      </c>
      <c r="G3649" s="1120">
        <v>27.66</v>
      </c>
      <c r="H3649" s="1127">
        <v>0.0</v>
      </c>
      <c r="I3649" s="1127">
        <v>0.0</v>
      </c>
      <c r="J3649" s="1127">
        <v>0.0</v>
      </c>
      <c r="K3649" s="1124"/>
    </row>
    <row r="3650" ht="15.75" customHeight="1">
      <c r="A3650" s="1119">
        <v>100806.0</v>
      </c>
      <c r="B3650" s="1125" t="s">
        <v>13929</v>
      </c>
      <c r="C3650" s="1126" t="s">
        <v>1731</v>
      </c>
      <c r="D3650" s="1119">
        <v>48.6</v>
      </c>
      <c r="E3650" s="1120">
        <v>10.46</v>
      </c>
      <c r="F3650" s="1121">
        <f t="shared" si="1"/>
        <v>38.14</v>
      </c>
      <c r="G3650" s="1120">
        <v>38.14</v>
      </c>
      <c r="H3650" s="1127">
        <v>0.0</v>
      </c>
      <c r="I3650" s="1127">
        <v>0.0</v>
      </c>
      <c r="J3650" s="1127">
        <v>0.0</v>
      </c>
      <c r="K3650" s="1124"/>
    </row>
    <row r="3651" ht="15.75" customHeight="1">
      <c r="A3651" s="1119">
        <v>100807.0</v>
      </c>
      <c r="B3651" s="1125" t="s">
        <v>13930</v>
      </c>
      <c r="C3651" s="1126" t="s">
        <v>1731</v>
      </c>
      <c r="D3651" s="1119">
        <v>27.3</v>
      </c>
      <c r="E3651" s="1120">
        <v>12.45</v>
      </c>
      <c r="F3651" s="1121">
        <f t="shared" si="1"/>
        <v>14.86</v>
      </c>
      <c r="G3651" s="1120">
        <v>14.86</v>
      </c>
      <c r="H3651" s="1127">
        <v>0.0</v>
      </c>
      <c r="I3651" s="1127">
        <v>0.0</v>
      </c>
      <c r="J3651" s="1127">
        <v>0.0</v>
      </c>
      <c r="K3651" s="1124"/>
    </row>
    <row r="3652" ht="15.75" customHeight="1">
      <c r="A3652" s="1119">
        <v>100808.0</v>
      </c>
      <c r="B3652" s="1125" t="s">
        <v>13931</v>
      </c>
      <c r="C3652" s="1126" t="s">
        <v>1731</v>
      </c>
      <c r="D3652" s="1119">
        <v>37.28</v>
      </c>
      <c r="E3652" s="1120">
        <v>14.68</v>
      </c>
      <c r="F3652" s="1121">
        <f t="shared" si="1"/>
        <v>22.61</v>
      </c>
      <c r="G3652" s="1120">
        <v>22.61</v>
      </c>
      <c r="H3652" s="1127">
        <v>0.0</v>
      </c>
      <c r="I3652" s="1127">
        <v>0.0</v>
      </c>
      <c r="J3652" s="1127">
        <v>0.0</v>
      </c>
      <c r="K3652" s="1124"/>
    </row>
    <row r="3653" ht="15.75" customHeight="1">
      <c r="A3653" s="1119">
        <v>100809.0</v>
      </c>
      <c r="B3653" s="1125" t="s">
        <v>13932</v>
      </c>
      <c r="C3653" s="1126" t="s">
        <v>1731</v>
      </c>
      <c r="D3653" s="1119">
        <v>47.88</v>
      </c>
      <c r="E3653" s="1120">
        <v>17.47</v>
      </c>
      <c r="F3653" s="1121">
        <f t="shared" si="1"/>
        <v>30.41</v>
      </c>
      <c r="G3653" s="1120">
        <v>30.41</v>
      </c>
      <c r="H3653" s="1127">
        <v>0.0</v>
      </c>
      <c r="I3653" s="1127">
        <v>0.0</v>
      </c>
      <c r="J3653" s="1127">
        <v>0.0</v>
      </c>
      <c r="K3653" s="1124"/>
    </row>
    <row r="3654" ht="15.75" customHeight="1">
      <c r="A3654" s="1119">
        <v>100810.0</v>
      </c>
      <c r="B3654" s="1125" t="s">
        <v>13933</v>
      </c>
      <c r="C3654" s="1126" t="s">
        <v>1731</v>
      </c>
      <c r="D3654" s="1119">
        <v>62.88</v>
      </c>
      <c r="E3654" s="1120">
        <v>21.38</v>
      </c>
      <c r="F3654" s="1121">
        <f t="shared" si="1"/>
        <v>41.5</v>
      </c>
      <c r="G3654" s="1120">
        <v>41.5</v>
      </c>
      <c r="H3654" s="1127">
        <v>0.0</v>
      </c>
      <c r="I3654" s="1127">
        <v>0.0</v>
      </c>
      <c r="J3654" s="1127">
        <v>0.0</v>
      </c>
      <c r="K3654" s="1124"/>
    </row>
    <row r="3655" ht="15.75" customHeight="1">
      <c r="A3655" s="1119">
        <v>101918.0</v>
      </c>
      <c r="B3655" s="1125" t="s">
        <v>13934</v>
      </c>
      <c r="C3655" s="1126" t="s">
        <v>1731</v>
      </c>
      <c r="D3655" s="1119">
        <v>212.65</v>
      </c>
      <c r="E3655" s="1120">
        <v>26.97</v>
      </c>
      <c r="F3655" s="1121">
        <f t="shared" si="1"/>
        <v>185.68</v>
      </c>
      <c r="G3655" s="1120">
        <v>185.68</v>
      </c>
      <c r="H3655" s="1127">
        <v>0.0</v>
      </c>
      <c r="I3655" s="1127">
        <v>0.0</v>
      </c>
      <c r="J3655" s="1127">
        <v>0.0</v>
      </c>
      <c r="K3655" s="1124"/>
    </row>
    <row r="3656" ht="15.75" customHeight="1">
      <c r="A3656" s="1119">
        <v>101919.0</v>
      </c>
      <c r="B3656" s="1125" t="s">
        <v>13935</v>
      </c>
      <c r="C3656" s="1126" t="s">
        <v>1788</v>
      </c>
      <c r="D3656" s="1119">
        <v>449.25</v>
      </c>
      <c r="E3656" s="1120">
        <v>36.39</v>
      </c>
      <c r="F3656" s="1121">
        <f t="shared" si="1"/>
        <v>412.84</v>
      </c>
      <c r="G3656" s="1120">
        <v>412.84</v>
      </c>
      <c r="H3656" s="1127">
        <v>0.0</v>
      </c>
      <c r="I3656" s="1127">
        <v>0.0</v>
      </c>
      <c r="J3656" s="1127">
        <v>0.0</v>
      </c>
      <c r="K3656" s="1124"/>
    </row>
    <row r="3657" ht="15.75" customHeight="1">
      <c r="A3657" s="1119">
        <v>101920.0</v>
      </c>
      <c r="B3657" s="1125" t="s">
        <v>13936</v>
      </c>
      <c r="C3657" s="1126" t="s">
        <v>1788</v>
      </c>
      <c r="D3657" s="1119">
        <v>215.84</v>
      </c>
      <c r="E3657" s="1120">
        <v>36.4</v>
      </c>
      <c r="F3657" s="1121">
        <f t="shared" si="1"/>
        <v>179.42</v>
      </c>
      <c r="G3657" s="1120">
        <v>179.42</v>
      </c>
      <c r="H3657" s="1127">
        <v>0.0</v>
      </c>
      <c r="I3657" s="1127">
        <v>0.0</v>
      </c>
      <c r="J3657" s="1127">
        <v>0.0</v>
      </c>
      <c r="K3657" s="1124"/>
    </row>
    <row r="3658" ht="15.75" customHeight="1">
      <c r="A3658" s="1119">
        <v>101921.0</v>
      </c>
      <c r="B3658" s="1125" t="s">
        <v>13937</v>
      </c>
      <c r="C3658" s="1126" t="s">
        <v>1788</v>
      </c>
      <c r="D3658" s="1119">
        <v>245.89</v>
      </c>
      <c r="E3658" s="1120">
        <v>36.4</v>
      </c>
      <c r="F3658" s="1121">
        <f t="shared" si="1"/>
        <v>209.47</v>
      </c>
      <c r="G3658" s="1120">
        <v>209.47</v>
      </c>
      <c r="H3658" s="1127">
        <v>0.0</v>
      </c>
      <c r="I3658" s="1127">
        <v>0.0</v>
      </c>
      <c r="J3658" s="1127">
        <v>0.0</v>
      </c>
      <c r="K3658" s="1124"/>
    </row>
    <row r="3659" ht="15.75" customHeight="1">
      <c r="A3659" s="1119">
        <v>101922.0</v>
      </c>
      <c r="B3659" s="1125" t="s">
        <v>13938</v>
      </c>
      <c r="C3659" s="1126" t="s">
        <v>1788</v>
      </c>
      <c r="D3659" s="1119">
        <v>245.89</v>
      </c>
      <c r="E3659" s="1120">
        <v>36.4</v>
      </c>
      <c r="F3659" s="1121">
        <f t="shared" si="1"/>
        <v>209.47</v>
      </c>
      <c r="G3659" s="1120">
        <v>209.47</v>
      </c>
      <c r="H3659" s="1127">
        <v>0.0</v>
      </c>
      <c r="I3659" s="1127">
        <v>0.0</v>
      </c>
      <c r="J3659" s="1127">
        <v>0.0</v>
      </c>
      <c r="K3659" s="1124"/>
    </row>
    <row r="3660" ht="15.75" customHeight="1">
      <c r="A3660" s="1119">
        <v>101923.0</v>
      </c>
      <c r="B3660" s="1125" t="s">
        <v>13939</v>
      </c>
      <c r="C3660" s="1126" t="s">
        <v>1788</v>
      </c>
      <c r="D3660" s="1119">
        <v>245.89</v>
      </c>
      <c r="E3660" s="1120">
        <v>36.4</v>
      </c>
      <c r="F3660" s="1121">
        <f t="shared" si="1"/>
        <v>209.47</v>
      </c>
      <c r="G3660" s="1120">
        <v>209.47</v>
      </c>
      <c r="H3660" s="1127">
        <v>0.0</v>
      </c>
      <c r="I3660" s="1127">
        <v>0.0</v>
      </c>
      <c r="J3660" s="1127">
        <v>0.0</v>
      </c>
      <c r="K3660" s="1124"/>
    </row>
    <row r="3661" ht="15.75" customHeight="1">
      <c r="A3661" s="1119">
        <v>101924.0</v>
      </c>
      <c r="B3661" s="1125" t="s">
        <v>13940</v>
      </c>
      <c r="C3661" s="1126" t="s">
        <v>1788</v>
      </c>
      <c r="D3661" s="1119">
        <v>203.26</v>
      </c>
      <c r="E3661" s="1120">
        <v>36.4</v>
      </c>
      <c r="F3661" s="1121">
        <f t="shared" si="1"/>
        <v>166.84</v>
      </c>
      <c r="G3661" s="1120">
        <v>166.84</v>
      </c>
      <c r="H3661" s="1127">
        <v>0.0</v>
      </c>
      <c r="I3661" s="1127">
        <v>0.0</v>
      </c>
      <c r="J3661" s="1127">
        <v>0.0</v>
      </c>
      <c r="K3661" s="1124"/>
    </row>
    <row r="3662" ht="15.75" customHeight="1">
      <c r="A3662" s="1119">
        <v>101925.0</v>
      </c>
      <c r="B3662" s="1125" t="s">
        <v>13941</v>
      </c>
      <c r="C3662" s="1126" t="s">
        <v>1788</v>
      </c>
      <c r="D3662" s="1119">
        <v>339.46</v>
      </c>
      <c r="E3662" s="1120">
        <v>54.61</v>
      </c>
      <c r="F3662" s="1121">
        <f t="shared" si="1"/>
        <v>284.85</v>
      </c>
      <c r="G3662" s="1120">
        <v>284.85</v>
      </c>
      <c r="H3662" s="1127">
        <v>0.0</v>
      </c>
      <c r="I3662" s="1127">
        <v>0.0</v>
      </c>
      <c r="J3662" s="1127">
        <v>0.0</v>
      </c>
      <c r="K3662" s="1124"/>
    </row>
    <row r="3663" ht="15.75" customHeight="1">
      <c r="A3663" s="1119">
        <v>101926.0</v>
      </c>
      <c r="B3663" s="1125" t="s">
        <v>13942</v>
      </c>
      <c r="C3663" s="1126" t="s">
        <v>1788</v>
      </c>
      <c r="D3663" s="1119">
        <v>437.84</v>
      </c>
      <c r="E3663" s="1120">
        <v>72.82</v>
      </c>
      <c r="F3663" s="1121">
        <f t="shared" si="1"/>
        <v>365.02</v>
      </c>
      <c r="G3663" s="1120">
        <v>365.02</v>
      </c>
      <c r="H3663" s="1127">
        <v>0.0</v>
      </c>
      <c r="I3663" s="1127">
        <v>0.0</v>
      </c>
      <c r="J3663" s="1127">
        <v>0.0</v>
      </c>
      <c r="K3663" s="1124"/>
    </row>
    <row r="3664" ht="15.75" customHeight="1">
      <c r="A3664" s="1119">
        <v>101927.0</v>
      </c>
      <c r="B3664" s="1125" t="s">
        <v>13943</v>
      </c>
      <c r="C3664" s="1126" t="s">
        <v>1731</v>
      </c>
      <c r="D3664" s="1119">
        <v>195.16</v>
      </c>
      <c r="E3664" s="1120">
        <v>13.82</v>
      </c>
      <c r="F3664" s="1121">
        <f t="shared" si="1"/>
        <v>181.34</v>
      </c>
      <c r="G3664" s="1120">
        <v>181.34</v>
      </c>
      <c r="H3664" s="1127">
        <v>0.0</v>
      </c>
      <c r="I3664" s="1127">
        <v>0.0</v>
      </c>
      <c r="J3664" s="1127">
        <v>0.0</v>
      </c>
      <c r="K3664" s="1124"/>
    </row>
    <row r="3665" ht="15.75" customHeight="1">
      <c r="A3665" s="1119">
        <v>101928.0</v>
      </c>
      <c r="B3665" s="1125" t="s">
        <v>13944</v>
      </c>
      <c r="C3665" s="1126" t="s">
        <v>1788</v>
      </c>
      <c r="D3665" s="1119">
        <v>455.94</v>
      </c>
      <c r="E3665" s="1120">
        <v>41.42</v>
      </c>
      <c r="F3665" s="1121">
        <f t="shared" si="1"/>
        <v>414.51</v>
      </c>
      <c r="G3665" s="1120">
        <v>414.51</v>
      </c>
      <c r="H3665" s="1127">
        <v>0.0</v>
      </c>
      <c r="I3665" s="1127">
        <v>0.0</v>
      </c>
      <c r="J3665" s="1127">
        <v>0.0</v>
      </c>
      <c r="K3665" s="1124"/>
    </row>
    <row r="3666" ht="15.75" customHeight="1">
      <c r="A3666" s="1119">
        <v>101929.0</v>
      </c>
      <c r="B3666" s="1125" t="s">
        <v>13945</v>
      </c>
      <c r="C3666" s="1126" t="s">
        <v>1788</v>
      </c>
      <c r="D3666" s="1119">
        <v>222.53</v>
      </c>
      <c r="E3666" s="1120">
        <v>41.43</v>
      </c>
      <c r="F3666" s="1121">
        <f t="shared" si="1"/>
        <v>181.09</v>
      </c>
      <c r="G3666" s="1120">
        <v>181.09</v>
      </c>
      <c r="H3666" s="1127">
        <v>0.0</v>
      </c>
      <c r="I3666" s="1127">
        <v>0.0</v>
      </c>
      <c r="J3666" s="1127">
        <v>0.0</v>
      </c>
      <c r="K3666" s="1124"/>
    </row>
    <row r="3667" ht="15.75" customHeight="1">
      <c r="A3667" s="1119">
        <v>101930.0</v>
      </c>
      <c r="B3667" s="1125" t="s">
        <v>13946</v>
      </c>
      <c r="C3667" s="1126" t="s">
        <v>1788</v>
      </c>
      <c r="D3667" s="1119">
        <v>252.58</v>
      </c>
      <c r="E3667" s="1120">
        <v>41.43</v>
      </c>
      <c r="F3667" s="1121">
        <f t="shared" si="1"/>
        <v>211.14</v>
      </c>
      <c r="G3667" s="1120">
        <v>211.14</v>
      </c>
      <c r="H3667" s="1127">
        <v>0.0</v>
      </c>
      <c r="I3667" s="1127">
        <v>0.0</v>
      </c>
      <c r="J3667" s="1127">
        <v>0.0</v>
      </c>
      <c r="K3667" s="1124"/>
    </row>
    <row r="3668" ht="15.75" customHeight="1">
      <c r="A3668" s="1119">
        <v>101931.0</v>
      </c>
      <c r="B3668" s="1125" t="s">
        <v>13947</v>
      </c>
      <c r="C3668" s="1126" t="s">
        <v>1788</v>
      </c>
      <c r="D3668" s="1119">
        <v>252.58</v>
      </c>
      <c r="E3668" s="1120">
        <v>41.43</v>
      </c>
      <c r="F3668" s="1121">
        <f t="shared" si="1"/>
        <v>211.14</v>
      </c>
      <c r="G3668" s="1120">
        <v>211.14</v>
      </c>
      <c r="H3668" s="1127">
        <v>0.0</v>
      </c>
      <c r="I3668" s="1127">
        <v>0.0</v>
      </c>
      <c r="J3668" s="1127">
        <v>0.0</v>
      </c>
      <c r="K3668" s="1124"/>
    </row>
    <row r="3669" ht="15.75" customHeight="1">
      <c r="A3669" s="1119">
        <v>101932.0</v>
      </c>
      <c r="B3669" s="1125" t="s">
        <v>13948</v>
      </c>
      <c r="C3669" s="1126" t="s">
        <v>1788</v>
      </c>
      <c r="D3669" s="1119">
        <v>252.58</v>
      </c>
      <c r="E3669" s="1120">
        <v>41.43</v>
      </c>
      <c r="F3669" s="1121">
        <f t="shared" si="1"/>
        <v>211.14</v>
      </c>
      <c r="G3669" s="1120">
        <v>211.14</v>
      </c>
      <c r="H3669" s="1127">
        <v>0.0</v>
      </c>
      <c r="I3669" s="1127">
        <v>0.0</v>
      </c>
      <c r="J3669" s="1127">
        <v>0.0</v>
      </c>
      <c r="K3669" s="1124"/>
    </row>
    <row r="3670" ht="15.75" customHeight="1">
      <c r="A3670" s="1119">
        <v>101933.0</v>
      </c>
      <c r="B3670" s="1125" t="s">
        <v>13949</v>
      </c>
      <c r="C3670" s="1126" t="s">
        <v>1788</v>
      </c>
      <c r="D3670" s="1119">
        <v>209.95</v>
      </c>
      <c r="E3670" s="1120">
        <v>41.43</v>
      </c>
      <c r="F3670" s="1121">
        <f t="shared" si="1"/>
        <v>168.51</v>
      </c>
      <c r="G3670" s="1120">
        <v>168.51</v>
      </c>
      <c r="H3670" s="1127">
        <v>0.0</v>
      </c>
      <c r="I3670" s="1127">
        <v>0.0</v>
      </c>
      <c r="J3670" s="1127">
        <v>0.0</v>
      </c>
      <c r="K3670" s="1124"/>
    </row>
    <row r="3671" ht="15.75" customHeight="1">
      <c r="A3671" s="1119">
        <v>101934.0</v>
      </c>
      <c r="B3671" s="1125" t="s">
        <v>13950</v>
      </c>
      <c r="C3671" s="1126" t="s">
        <v>1788</v>
      </c>
      <c r="D3671" s="1119">
        <v>349.5</v>
      </c>
      <c r="E3671" s="1120">
        <v>62.15</v>
      </c>
      <c r="F3671" s="1121">
        <f t="shared" si="1"/>
        <v>287.35</v>
      </c>
      <c r="G3671" s="1120">
        <v>287.35</v>
      </c>
      <c r="H3671" s="1127">
        <v>0.0</v>
      </c>
      <c r="I3671" s="1127">
        <v>0.0</v>
      </c>
      <c r="J3671" s="1127">
        <v>0.0</v>
      </c>
      <c r="K3671" s="1124"/>
    </row>
    <row r="3672" ht="15.75" customHeight="1">
      <c r="A3672" s="1119">
        <v>101935.0</v>
      </c>
      <c r="B3672" s="1125" t="s">
        <v>13951</v>
      </c>
      <c r="C3672" s="1126" t="s">
        <v>1788</v>
      </c>
      <c r="D3672" s="1119">
        <v>451.23</v>
      </c>
      <c r="E3672" s="1120">
        <v>82.87</v>
      </c>
      <c r="F3672" s="1121">
        <f t="shared" si="1"/>
        <v>368.35</v>
      </c>
      <c r="G3672" s="1120">
        <v>368.35</v>
      </c>
      <c r="H3672" s="1127">
        <v>0.0</v>
      </c>
      <c r="I3672" s="1127">
        <v>0.0</v>
      </c>
      <c r="J3672" s="1127">
        <v>0.0</v>
      </c>
      <c r="K3672" s="1124"/>
    </row>
    <row r="3673" ht="15.75" customHeight="1">
      <c r="A3673" s="1119">
        <v>103802.0</v>
      </c>
      <c r="B3673" s="1125" t="s">
        <v>13952</v>
      </c>
      <c r="C3673" s="1126" t="s">
        <v>1731</v>
      </c>
      <c r="D3673" s="1119">
        <v>41.21</v>
      </c>
      <c r="E3673" s="1120">
        <v>7.82</v>
      </c>
      <c r="F3673" s="1121">
        <f t="shared" si="1"/>
        <v>33.39</v>
      </c>
      <c r="G3673" s="1120">
        <v>33.39</v>
      </c>
      <c r="H3673" s="1127">
        <v>0.0</v>
      </c>
      <c r="I3673" s="1127">
        <v>0.0</v>
      </c>
      <c r="J3673" s="1127">
        <v>0.0</v>
      </c>
      <c r="K3673" s="1124"/>
    </row>
    <row r="3674" ht="15.75" customHeight="1">
      <c r="A3674" s="1119">
        <v>103803.0</v>
      </c>
      <c r="B3674" s="1125" t="s">
        <v>13953</v>
      </c>
      <c r="C3674" s="1126" t="s">
        <v>1731</v>
      </c>
      <c r="D3674" s="1119">
        <v>70.84</v>
      </c>
      <c r="E3674" s="1120">
        <v>13.4</v>
      </c>
      <c r="F3674" s="1121">
        <f t="shared" si="1"/>
        <v>57.43</v>
      </c>
      <c r="G3674" s="1120">
        <v>57.43</v>
      </c>
      <c r="H3674" s="1127">
        <v>0.0</v>
      </c>
      <c r="I3674" s="1127">
        <v>0.0</v>
      </c>
      <c r="J3674" s="1127">
        <v>0.0</v>
      </c>
      <c r="K3674" s="1124"/>
    </row>
    <row r="3675" ht="15.75" customHeight="1">
      <c r="A3675" s="1119">
        <v>103804.0</v>
      </c>
      <c r="B3675" s="1125" t="s">
        <v>13954</v>
      </c>
      <c r="C3675" s="1126" t="s">
        <v>1731</v>
      </c>
      <c r="D3675" s="1119">
        <v>85.11</v>
      </c>
      <c r="E3675" s="1120">
        <v>13.4</v>
      </c>
      <c r="F3675" s="1121">
        <f t="shared" si="1"/>
        <v>71.7</v>
      </c>
      <c r="G3675" s="1120">
        <v>71.7</v>
      </c>
      <c r="H3675" s="1127">
        <v>0.0</v>
      </c>
      <c r="I3675" s="1127">
        <v>0.0</v>
      </c>
      <c r="J3675" s="1127">
        <v>0.0</v>
      </c>
      <c r="K3675" s="1124"/>
    </row>
    <row r="3676" ht="15.75" customHeight="1">
      <c r="A3676" s="1119">
        <v>103835.0</v>
      </c>
      <c r="B3676" s="1125" t="s">
        <v>13955</v>
      </c>
      <c r="C3676" s="1126" t="s">
        <v>1731</v>
      </c>
      <c r="D3676" s="1119">
        <v>64.49</v>
      </c>
      <c r="E3676" s="1120">
        <v>12.61</v>
      </c>
      <c r="F3676" s="1121">
        <f t="shared" si="1"/>
        <v>51.89</v>
      </c>
      <c r="G3676" s="1120">
        <v>51.89</v>
      </c>
      <c r="H3676" s="1127">
        <v>0.0</v>
      </c>
      <c r="I3676" s="1127">
        <v>0.0</v>
      </c>
      <c r="J3676" s="1127">
        <v>0.0</v>
      </c>
      <c r="K3676" s="1124"/>
    </row>
    <row r="3677" ht="15.75" customHeight="1">
      <c r="A3677" s="1119">
        <v>103836.0</v>
      </c>
      <c r="B3677" s="1125" t="s">
        <v>13956</v>
      </c>
      <c r="C3677" s="1126" t="s">
        <v>1731</v>
      </c>
      <c r="D3677" s="1119">
        <v>99.57</v>
      </c>
      <c r="E3677" s="1120">
        <v>16.83</v>
      </c>
      <c r="F3677" s="1121">
        <f t="shared" si="1"/>
        <v>82.75</v>
      </c>
      <c r="G3677" s="1120">
        <v>82.75</v>
      </c>
      <c r="H3677" s="1127">
        <v>0.0</v>
      </c>
      <c r="I3677" s="1127">
        <v>0.0</v>
      </c>
      <c r="J3677" s="1127">
        <v>0.0</v>
      </c>
      <c r="K3677" s="1124"/>
    </row>
    <row r="3678" ht="15.75" customHeight="1">
      <c r="A3678" s="1119">
        <v>103837.0</v>
      </c>
      <c r="B3678" s="1125" t="s">
        <v>13957</v>
      </c>
      <c r="C3678" s="1126" t="s">
        <v>1731</v>
      </c>
      <c r="D3678" s="1119">
        <v>125.38</v>
      </c>
      <c r="E3678" s="1120">
        <v>20.42</v>
      </c>
      <c r="F3678" s="1121">
        <f t="shared" si="1"/>
        <v>104.96</v>
      </c>
      <c r="G3678" s="1120">
        <v>104.96</v>
      </c>
      <c r="H3678" s="1127">
        <v>0.0</v>
      </c>
      <c r="I3678" s="1127">
        <v>0.0</v>
      </c>
      <c r="J3678" s="1127">
        <v>0.0</v>
      </c>
      <c r="K3678" s="1124"/>
    </row>
    <row r="3679" ht="15.75" customHeight="1">
      <c r="A3679" s="1119">
        <v>103868.0</v>
      </c>
      <c r="B3679" s="1125" t="s">
        <v>13958</v>
      </c>
      <c r="C3679" s="1126" t="s">
        <v>1731</v>
      </c>
      <c r="D3679" s="1119">
        <v>52.76</v>
      </c>
      <c r="E3679" s="1120">
        <v>16.5</v>
      </c>
      <c r="F3679" s="1121">
        <f t="shared" si="1"/>
        <v>36.27</v>
      </c>
      <c r="G3679" s="1120">
        <v>36.27</v>
      </c>
      <c r="H3679" s="1127">
        <v>0.0</v>
      </c>
      <c r="I3679" s="1127">
        <v>0.0</v>
      </c>
      <c r="J3679" s="1127">
        <v>0.0</v>
      </c>
      <c r="K3679" s="1124"/>
    </row>
    <row r="3680" ht="15.75" customHeight="1">
      <c r="A3680" s="1119">
        <v>103869.0</v>
      </c>
      <c r="B3680" s="1125" t="s">
        <v>13959</v>
      </c>
      <c r="C3680" s="1126" t="s">
        <v>1731</v>
      </c>
      <c r="D3680" s="1119">
        <v>78.93</v>
      </c>
      <c r="E3680" s="1120">
        <v>19.48</v>
      </c>
      <c r="F3680" s="1121">
        <f t="shared" si="1"/>
        <v>59.45</v>
      </c>
      <c r="G3680" s="1120">
        <v>59.45</v>
      </c>
      <c r="H3680" s="1127">
        <v>0.0</v>
      </c>
      <c r="I3680" s="1127">
        <v>0.0</v>
      </c>
      <c r="J3680" s="1127">
        <v>0.0</v>
      </c>
      <c r="K3680" s="1124"/>
    </row>
    <row r="3681" ht="15.75" customHeight="1">
      <c r="A3681" s="1119">
        <v>103870.0</v>
      </c>
      <c r="B3681" s="1125" t="s">
        <v>13960</v>
      </c>
      <c r="C3681" s="1126" t="s">
        <v>1731</v>
      </c>
      <c r="D3681" s="1119">
        <v>96.61</v>
      </c>
      <c r="E3681" s="1120">
        <v>22.04</v>
      </c>
      <c r="F3681" s="1121">
        <f t="shared" si="1"/>
        <v>74.56</v>
      </c>
      <c r="G3681" s="1120">
        <v>74.56</v>
      </c>
      <c r="H3681" s="1127">
        <v>0.0</v>
      </c>
      <c r="I3681" s="1127">
        <v>0.0</v>
      </c>
      <c r="J3681" s="1127">
        <v>0.0</v>
      </c>
      <c r="K3681" s="1124"/>
    </row>
    <row r="3682" ht="15.75" customHeight="1">
      <c r="A3682" s="1119">
        <v>103871.0</v>
      </c>
      <c r="B3682" s="1125" t="s">
        <v>13961</v>
      </c>
      <c r="C3682" s="1126" t="s">
        <v>1731</v>
      </c>
      <c r="D3682" s="1119">
        <v>68.37</v>
      </c>
      <c r="E3682" s="1120">
        <v>17.33</v>
      </c>
      <c r="F3682" s="1121">
        <f t="shared" si="1"/>
        <v>51.04</v>
      </c>
      <c r="G3682" s="1120">
        <v>51.04</v>
      </c>
      <c r="H3682" s="1127">
        <v>0.0</v>
      </c>
      <c r="I3682" s="1127">
        <v>0.0</v>
      </c>
      <c r="J3682" s="1127">
        <v>0.0</v>
      </c>
      <c r="K3682" s="1124"/>
    </row>
    <row r="3683" ht="15.75" customHeight="1">
      <c r="A3683" s="1119">
        <v>103872.0</v>
      </c>
      <c r="B3683" s="1125" t="s">
        <v>13962</v>
      </c>
      <c r="C3683" s="1126" t="s">
        <v>1731</v>
      </c>
      <c r="D3683" s="1119">
        <v>151.68</v>
      </c>
      <c r="E3683" s="1120">
        <v>20.3</v>
      </c>
      <c r="F3683" s="1121">
        <f t="shared" si="1"/>
        <v>131.38</v>
      </c>
      <c r="G3683" s="1120">
        <v>131.38</v>
      </c>
      <c r="H3683" s="1127">
        <v>0.0</v>
      </c>
      <c r="I3683" s="1127">
        <v>0.0</v>
      </c>
      <c r="J3683" s="1127">
        <v>0.0</v>
      </c>
      <c r="K3683" s="1124"/>
    </row>
    <row r="3684" ht="15.75" customHeight="1">
      <c r="A3684" s="1119">
        <v>103873.0</v>
      </c>
      <c r="B3684" s="1125" t="s">
        <v>13963</v>
      </c>
      <c r="C3684" s="1126" t="s">
        <v>1731</v>
      </c>
      <c r="D3684" s="1119">
        <v>172.33</v>
      </c>
      <c r="E3684" s="1120">
        <v>22.86</v>
      </c>
      <c r="F3684" s="1121">
        <f t="shared" si="1"/>
        <v>149.47</v>
      </c>
      <c r="G3684" s="1120">
        <v>149.47</v>
      </c>
      <c r="H3684" s="1127">
        <v>0.0</v>
      </c>
      <c r="I3684" s="1127">
        <v>0.0</v>
      </c>
      <c r="J3684" s="1127">
        <v>0.0</v>
      </c>
      <c r="K3684" s="1124"/>
    </row>
    <row r="3685" ht="15.75" customHeight="1">
      <c r="A3685" s="1119">
        <v>103978.0</v>
      </c>
      <c r="B3685" s="1125" t="s">
        <v>13964</v>
      </c>
      <c r="C3685" s="1126" t="s">
        <v>1731</v>
      </c>
      <c r="D3685" s="1119">
        <v>28.45</v>
      </c>
      <c r="E3685" s="1120">
        <v>9.72</v>
      </c>
      <c r="F3685" s="1121">
        <f t="shared" si="1"/>
        <v>18.73</v>
      </c>
      <c r="G3685" s="1120">
        <v>18.73</v>
      </c>
      <c r="H3685" s="1127">
        <v>0.0</v>
      </c>
      <c r="I3685" s="1127">
        <v>0.0</v>
      </c>
      <c r="J3685" s="1127">
        <v>0.0</v>
      </c>
      <c r="K3685" s="1124"/>
    </row>
    <row r="3686" ht="15.75" customHeight="1">
      <c r="A3686" s="1119">
        <v>103979.0</v>
      </c>
      <c r="B3686" s="1125" t="s">
        <v>13965</v>
      </c>
      <c r="C3686" s="1126" t="s">
        <v>1731</v>
      </c>
      <c r="D3686" s="1119">
        <v>32.49</v>
      </c>
      <c r="E3686" s="1120">
        <v>11.63</v>
      </c>
      <c r="F3686" s="1121">
        <f t="shared" si="1"/>
        <v>20.86</v>
      </c>
      <c r="G3686" s="1120">
        <v>20.86</v>
      </c>
      <c r="H3686" s="1127">
        <v>0.0</v>
      </c>
      <c r="I3686" s="1127">
        <v>0.0</v>
      </c>
      <c r="J3686" s="1127">
        <v>0.0</v>
      </c>
      <c r="K3686" s="1124"/>
    </row>
    <row r="3687" ht="15.75" customHeight="1">
      <c r="A3687" s="1119">
        <v>104021.0</v>
      </c>
      <c r="B3687" s="1125" t="s">
        <v>13966</v>
      </c>
      <c r="C3687" s="1126" t="s">
        <v>1731</v>
      </c>
      <c r="D3687" s="1119">
        <v>73.86</v>
      </c>
      <c r="E3687" s="1120">
        <v>10.09</v>
      </c>
      <c r="F3687" s="1121">
        <f t="shared" si="1"/>
        <v>63.78</v>
      </c>
      <c r="G3687" s="1120">
        <v>63.78</v>
      </c>
      <c r="H3687" s="1127">
        <v>0.0</v>
      </c>
      <c r="I3687" s="1127">
        <v>0.0</v>
      </c>
      <c r="J3687" s="1127">
        <v>0.0</v>
      </c>
      <c r="K3687" s="1124"/>
    </row>
    <row r="3688" ht="15.75" customHeight="1">
      <c r="A3688" s="1119">
        <v>104166.0</v>
      </c>
      <c r="B3688" s="1125" t="s">
        <v>13967</v>
      </c>
      <c r="C3688" s="1126" t="s">
        <v>1731</v>
      </c>
      <c r="D3688" s="1119">
        <v>84.66</v>
      </c>
      <c r="E3688" s="1120">
        <v>10.98</v>
      </c>
      <c r="F3688" s="1121">
        <f t="shared" si="1"/>
        <v>73.69</v>
      </c>
      <c r="G3688" s="1120">
        <v>73.69</v>
      </c>
      <c r="H3688" s="1127">
        <v>0.0</v>
      </c>
      <c r="I3688" s="1127">
        <v>0.0</v>
      </c>
      <c r="J3688" s="1127">
        <v>0.0</v>
      </c>
      <c r="K3688" s="1124"/>
    </row>
    <row r="3689" ht="15.75" customHeight="1">
      <c r="A3689" s="1119">
        <v>104194.0</v>
      </c>
      <c r="B3689" s="1125" t="s">
        <v>13968</v>
      </c>
      <c r="C3689" s="1126" t="s">
        <v>1731</v>
      </c>
      <c r="D3689" s="1119">
        <v>24.63</v>
      </c>
      <c r="E3689" s="1120">
        <v>9.82</v>
      </c>
      <c r="F3689" s="1121">
        <f t="shared" si="1"/>
        <v>14.81</v>
      </c>
      <c r="G3689" s="1120">
        <v>14.73</v>
      </c>
      <c r="H3689" s="1127">
        <v>0.02</v>
      </c>
      <c r="I3689" s="1127">
        <v>0.0</v>
      </c>
      <c r="J3689" s="1127">
        <v>0.06</v>
      </c>
      <c r="K3689" s="1124"/>
    </row>
    <row r="3690" ht="15.75" customHeight="1">
      <c r="A3690" s="1119">
        <v>104195.0</v>
      </c>
      <c r="B3690" s="1125" t="s">
        <v>13969</v>
      </c>
      <c r="C3690" s="1126" t="s">
        <v>1731</v>
      </c>
      <c r="D3690" s="1119">
        <v>26.15</v>
      </c>
      <c r="E3690" s="1120">
        <v>10.1</v>
      </c>
      <c r="F3690" s="1121">
        <f t="shared" si="1"/>
        <v>16.05</v>
      </c>
      <c r="G3690" s="1120">
        <v>15.97</v>
      </c>
      <c r="H3690" s="1127">
        <v>0.02</v>
      </c>
      <c r="I3690" s="1127">
        <v>0.0</v>
      </c>
      <c r="J3690" s="1127">
        <v>0.06</v>
      </c>
      <c r="K3690" s="1124"/>
    </row>
    <row r="3691" ht="15.75" customHeight="1">
      <c r="A3691" s="1119">
        <v>104315.0</v>
      </c>
      <c r="B3691" s="1125" t="s">
        <v>13970</v>
      </c>
      <c r="C3691" s="1126" t="s">
        <v>1731</v>
      </c>
      <c r="D3691" s="1119">
        <v>18.08</v>
      </c>
      <c r="E3691" s="1120">
        <v>10.57</v>
      </c>
      <c r="F3691" s="1121">
        <f t="shared" si="1"/>
        <v>7.52</v>
      </c>
      <c r="G3691" s="1120">
        <v>7.52</v>
      </c>
      <c r="H3691" s="1127">
        <v>0.0</v>
      </c>
      <c r="I3691" s="1127">
        <v>0.0</v>
      </c>
      <c r="J3691" s="1127">
        <v>0.0</v>
      </c>
      <c r="K3691" s="1124"/>
    </row>
    <row r="3692" ht="15.75" customHeight="1">
      <c r="A3692" s="1119">
        <v>104316.0</v>
      </c>
      <c r="B3692" s="1125" t="s">
        <v>13971</v>
      </c>
      <c r="C3692" s="1126" t="s">
        <v>1731</v>
      </c>
      <c r="D3692" s="1119">
        <v>25.69</v>
      </c>
      <c r="E3692" s="1120">
        <v>11.86</v>
      </c>
      <c r="F3692" s="1121">
        <f t="shared" si="1"/>
        <v>13.84</v>
      </c>
      <c r="G3692" s="1120">
        <v>13.84</v>
      </c>
      <c r="H3692" s="1127">
        <v>0.0</v>
      </c>
      <c r="I3692" s="1127">
        <v>0.0</v>
      </c>
      <c r="J3692" s="1127">
        <v>0.0</v>
      </c>
      <c r="K3692" s="1124"/>
    </row>
    <row r="3693" ht="15.75" customHeight="1">
      <c r="A3693" s="1119">
        <v>89358.0</v>
      </c>
      <c r="B3693" s="1125" t="s">
        <v>13972</v>
      </c>
      <c r="C3693" s="1126" t="s">
        <v>1788</v>
      </c>
      <c r="D3693" s="1119">
        <v>9.03</v>
      </c>
      <c r="E3693" s="1120">
        <v>5.72</v>
      </c>
      <c r="F3693" s="1121">
        <f t="shared" si="1"/>
        <v>3.32</v>
      </c>
      <c r="G3693" s="1120">
        <v>3.32</v>
      </c>
      <c r="H3693" s="1127">
        <v>0.0</v>
      </c>
      <c r="I3693" s="1127">
        <v>0.0</v>
      </c>
      <c r="J3693" s="1127">
        <v>0.0</v>
      </c>
      <c r="K3693" s="1124"/>
    </row>
    <row r="3694" ht="15.75" customHeight="1">
      <c r="A3694" s="1119">
        <v>89359.0</v>
      </c>
      <c r="B3694" s="1125" t="s">
        <v>13973</v>
      </c>
      <c r="C3694" s="1126" t="s">
        <v>1788</v>
      </c>
      <c r="D3694" s="1119">
        <v>9.59</v>
      </c>
      <c r="E3694" s="1120">
        <v>5.72</v>
      </c>
      <c r="F3694" s="1121">
        <f t="shared" si="1"/>
        <v>3.88</v>
      </c>
      <c r="G3694" s="1120">
        <v>3.88</v>
      </c>
      <c r="H3694" s="1127">
        <v>0.0</v>
      </c>
      <c r="I3694" s="1127">
        <v>0.0</v>
      </c>
      <c r="J3694" s="1127">
        <v>0.0</v>
      </c>
      <c r="K3694" s="1124"/>
    </row>
    <row r="3695" ht="15.75" customHeight="1">
      <c r="A3695" s="1119">
        <v>89360.0</v>
      </c>
      <c r="B3695" s="1125" t="s">
        <v>13974</v>
      </c>
      <c r="C3695" s="1126" t="s">
        <v>1788</v>
      </c>
      <c r="D3695" s="1119">
        <v>10.62</v>
      </c>
      <c r="E3695" s="1120">
        <v>5.71</v>
      </c>
      <c r="F3695" s="1121">
        <f t="shared" si="1"/>
        <v>4.93</v>
      </c>
      <c r="G3695" s="1120">
        <v>4.93</v>
      </c>
      <c r="H3695" s="1127">
        <v>0.0</v>
      </c>
      <c r="I3695" s="1127">
        <v>0.0</v>
      </c>
      <c r="J3695" s="1127">
        <v>0.0</v>
      </c>
      <c r="K3695" s="1124"/>
    </row>
    <row r="3696" ht="15.75" customHeight="1">
      <c r="A3696" s="1119">
        <v>89361.0</v>
      </c>
      <c r="B3696" s="1125" t="s">
        <v>13975</v>
      </c>
      <c r="C3696" s="1126" t="s">
        <v>1788</v>
      </c>
      <c r="D3696" s="1119">
        <v>10.7</v>
      </c>
      <c r="E3696" s="1120">
        <v>5.71</v>
      </c>
      <c r="F3696" s="1121">
        <f t="shared" si="1"/>
        <v>5.01</v>
      </c>
      <c r="G3696" s="1120">
        <v>5.01</v>
      </c>
      <c r="H3696" s="1127">
        <v>0.0</v>
      </c>
      <c r="I3696" s="1127">
        <v>0.0</v>
      </c>
      <c r="J3696" s="1127">
        <v>0.0</v>
      </c>
      <c r="K3696" s="1124"/>
    </row>
    <row r="3697" ht="15.75" customHeight="1">
      <c r="A3697" s="1119">
        <v>89362.0</v>
      </c>
      <c r="B3697" s="1125" t="s">
        <v>13976</v>
      </c>
      <c r="C3697" s="1126" t="s">
        <v>1788</v>
      </c>
      <c r="D3697" s="1119">
        <v>10.73</v>
      </c>
      <c r="E3697" s="1120">
        <v>6.62</v>
      </c>
      <c r="F3697" s="1121">
        <f t="shared" si="1"/>
        <v>4.11</v>
      </c>
      <c r="G3697" s="1120">
        <v>4.11</v>
      </c>
      <c r="H3697" s="1127">
        <v>0.0</v>
      </c>
      <c r="I3697" s="1127">
        <v>0.0</v>
      </c>
      <c r="J3697" s="1127">
        <v>0.0</v>
      </c>
      <c r="K3697" s="1124"/>
    </row>
    <row r="3698" ht="15.75" customHeight="1">
      <c r="A3698" s="1119">
        <v>89363.0</v>
      </c>
      <c r="B3698" s="1125" t="s">
        <v>13977</v>
      </c>
      <c r="C3698" s="1126" t="s">
        <v>1788</v>
      </c>
      <c r="D3698" s="1119">
        <v>11.54</v>
      </c>
      <c r="E3698" s="1120">
        <v>6.62</v>
      </c>
      <c r="F3698" s="1121">
        <f t="shared" si="1"/>
        <v>4.92</v>
      </c>
      <c r="G3698" s="1120">
        <v>4.92</v>
      </c>
      <c r="H3698" s="1127">
        <v>0.0</v>
      </c>
      <c r="I3698" s="1127">
        <v>0.0</v>
      </c>
      <c r="J3698" s="1127">
        <v>0.0</v>
      </c>
      <c r="K3698" s="1124"/>
    </row>
    <row r="3699" ht="15.75" customHeight="1">
      <c r="A3699" s="1119">
        <v>89364.0</v>
      </c>
      <c r="B3699" s="1125" t="s">
        <v>13978</v>
      </c>
      <c r="C3699" s="1126" t="s">
        <v>1788</v>
      </c>
      <c r="D3699" s="1119">
        <v>13.1</v>
      </c>
      <c r="E3699" s="1120">
        <v>6.62</v>
      </c>
      <c r="F3699" s="1121">
        <f t="shared" si="1"/>
        <v>6.49</v>
      </c>
      <c r="G3699" s="1120">
        <v>6.49</v>
      </c>
      <c r="H3699" s="1127">
        <v>0.0</v>
      </c>
      <c r="I3699" s="1127">
        <v>0.0</v>
      </c>
      <c r="J3699" s="1127">
        <v>0.0</v>
      </c>
      <c r="K3699" s="1124"/>
    </row>
    <row r="3700" ht="15.75" customHeight="1">
      <c r="A3700" s="1119">
        <v>89365.0</v>
      </c>
      <c r="B3700" s="1125" t="s">
        <v>13979</v>
      </c>
      <c r="C3700" s="1126" t="s">
        <v>1788</v>
      </c>
      <c r="D3700" s="1119">
        <v>12.54</v>
      </c>
      <c r="E3700" s="1120">
        <v>6.62</v>
      </c>
      <c r="F3700" s="1121">
        <f t="shared" si="1"/>
        <v>5.93</v>
      </c>
      <c r="G3700" s="1120">
        <v>5.93</v>
      </c>
      <c r="H3700" s="1127">
        <v>0.0</v>
      </c>
      <c r="I3700" s="1127">
        <v>0.0</v>
      </c>
      <c r="J3700" s="1127">
        <v>0.0</v>
      </c>
      <c r="K3700" s="1124"/>
    </row>
    <row r="3701" ht="15.75" customHeight="1">
      <c r="A3701" s="1119">
        <v>89366.0</v>
      </c>
      <c r="B3701" s="1125" t="s">
        <v>13980</v>
      </c>
      <c r="C3701" s="1126" t="s">
        <v>1788</v>
      </c>
      <c r="D3701" s="1119">
        <v>17.65</v>
      </c>
      <c r="E3701" s="1120">
        <v>6.14</v>
      </c>
      <c r="F3701" s="1121">
        <f t="shared" si="1"/>
        <v>11.5</v>
      </c>
      <c r="G3701" s="1120">
        <v>11.5</v>
      </c>
      <c r="H3701" s="1127">
        <v>0.0</v>
      </c>
      <c r="I3701" s="1127">
        <v>0.0</v>
      </c>
      <c r="J3701" s="1127">
        <v>0.0</v>
      </c>
      <c r="K3701" s="1124"/>
    </row>
    <row r="3702" ht="15.75" customHeight="1">
      <c r="A3702" s="1119">
        <v>89367.0</v>
      </c>
      <c r="B3702" s="1125" t="s">
        <v>13981</v>
      </c>
      <c r="C3702" s="1126" t="s">
        <v>1788</v>
      </c>
      <c r="D3702" s="1119">
        <v>14.6</v>
      </c>
      <c r="E3702" s="1120">
        <v>7.9</v>
      </c>
      <c r="F3702" s="1121">
        <f t="shared" si="1"/>
        <v>6.7</v>
      </c>
      <c r="G3702" s="1120">
        <v>6.7</v>
      </c>
      <c r="H3702" s="1127">
        <v>0.0</v>
      </c>
      <c r="I3702" s="1127">
        <v>0.0</v>
      </c>
      <c r="J3702" s="1127">
        <v>0.0</v>
      </c>
      <c r="K3702" s="1124"/>
    </row>
    <row r="3703" ht="15.75" customHeight="1">
      <c r="A3703" s="1119">
        <v>89368.0</v>
      </c>
      <c r="B3703" s="1125" t="s">
        <v>13982</v>
      </c>
      <c r="C3703" s="1126" t="s">
        <v>1788</v>
      </c>
      <c r="D3703" s="1119">
        <v>16.4</v>
      </c>
      <c r="E3703" s="1120">
        <v>7.88</v>
      </c>
      <c r="F3703" s="1121">
        <f t="shared" si="1"/>
        <v>8.51</v>
      </c>
      <c r="G3703" s="1120">
        <v>8.51</v>
      </c>
      <c r="H3703" s="1127">
        <v>0.0</v>
      </c>
      <c r="I3703" s="1127">
        <v>0.0</v>
      </c>
      <c r="J3703" s="1127">
        <v>0.0</v>
      </c>
      <c r="K3703" s="1124"/>
    </row>
    <row r="3704" ht="15.75" customHeight="1">
      <c r="A3704" s="1119">
        <v>89369.0</v>
      </c>
      <c r="B3704" s="1125" t="s">
        <v>13983</v>
      </c>
      <c r="C3704" s="1126" t="s">
        <v>1788</v>
      </c>
      <c r="D3704" s="1119">
        <v>18.82</v>
      </c>
      <c r="E3704" s="1120">
        <v>7.88</v>
      </c>
      <c r="F3704" s="1121">
        <f t="shared" si="1"/>
        <v>10.94</v>
      </c>
      <c r="G3704" s="1120">
        <v>10.94</v>
      </c>
      <c r="H3704" s="1127">
        <v>0.0</v>
      </c>
      <c r="I3704" s="1127">
        <v>0.0</v>
      </c>
      <c r="J3704" s="1127">
        <v>0.0</v>
      </c>
      <c r="K3704" s="1124"/>
    </row>
    <row r="3705" ht="15.75" customHeight="1">
      <c r="A3705" s="1119">
        <v>89370.0</v>
      </c>
      <c r="B3705" s="1125" t="s">
        <v>13984</v>
      </c>
      <c r="C3705" s="1126" t="s">
        <v>1788</v>
      </c>
      <c r="D3705" s="1119">
        <v>16.74</v>
      </c>
      <c r="E3705" s="1120">
        <v>7.88</v>
      </c>
      <c r="F3705" s="1121">
        <f t="shared" si="1"/>
        <v>8.85</v>
      </c>
      <c r="G3705" s="1120">
        <v>8.85</v>
      </c>
      <c r="H3705" s="1127">
        <v>0.0</v>
      </c>
      <c r="I3705" s="1127">
        <v>0.0</v>
      </c>
      <c r="J3705" s="1127">
        <v>0.0</v>
      </c>
      <c r="K3705" s="1124"/>
    </row>
    <row r="3706" ht="15.75" customHeight="1">
      <c r="A3706" s="1119">
        <v>89371.0</v>
      </c>
      <c r="B3706" s="1125" t="s">
        <v>13985</v>
      </c>
      <c r="C3706" s="1126" t="s">
        <v>1788</v>
      </c>
      <c r="D3706" s="1119">
        <v>6.7</v>
      </c>
      <c r="E3706" s="1120">
        <v>3.83</v>
      </c>
      <c r="F3706" s="1121">
        <f t="shared" si="1"/>
        <v>2.88</v>
      </c>
      <c r="G3706" s="1120">
        <v>2.88</v>
      </c>
      <c r="H3706" s="1127">
        <v>0.0</v>
      </c>
      <c r="I3706" s="1127">
        <v>0.0</v>
      </c>
      <c r="J3706" s="1127">
        <v>0.0</v>
      </c>
      <c r="K3706" s="1124"/>
    </row>
    <row r="3707" ht="15.75" customHeight="1">
      <c r="A3707" s="1119">
        <v>89372.0</v>
      </c>
      <c r="B3707" s="1125" t="s">
        <v>13986</v>
      </c>
      <c r="C3707" s="1126" t="s">
        <v>1788</v>
      </c>
      <c r="D3707" s="1119">
        <v>16.99</v>
      </c>
      <c r="E3707" s="1120">
        <v>3.79</v>
      </c>
      <c r="F3707" s="1121">
        <f t="shared" si="1"/>
        <v>13.21</v>
      </c>
      <c r="G3707" s="1120">
        <v>13.21</v>
      </c>
      <c r="H3707" s="1127">
        <v>0.0</v>
      </c>
      <c r="I3707" s="1127">
        <v>0.0</v>
      </c>
      <c r="J3707" s="1127">
        <v>0.0</v>
      </c>
      <c r="K3707" s="1124"/>
    </row>
    <row r="3708" ht="15.75" customHeight="1">
      <c r="A3708" s="1119">
        <v>89373.0</v>
      </c>
      <c r="B3708" s="1125" t="s">
        <v>13987</v>
      </c>
      <c r="C3708" s="1126" t="s">
        <v>1788</v>
      </c>
      <c r="D3708" s="1119">
        <v>7.94</v>
      </c>
      <c r="E3708" s="1120">
        <v>4.12</v>
      </c>
      <c r="F3708" s="1121">
        <f t="shared" si="1"/>
        <v>3.84</v>
      </c>
      <c r="G3708" s="1120">
        <v>3.84</v>
      </c>
      <c r="H3708" s="1127">
        <v>0.0</v>
      </c>
      <c r="I3708" s="1127">
        <v>0.0</v>
      </c>
      <c r="J3708" s="1127">
        <v>0.0</v>
      </c>
      <c r="K3708" s="1124"/>
    </row>
    <row r="3709" ht="15.75" customHeight="1">
      <c r="A3709" s="1119">
        <v>89374.0</v>
      </c>
      <c r="B3709" s="1125" t="s">
        <v>13988</v>
      </c>
      <c r="C3709" s="1126" t="s">
        <v>1788</v>
      </c>
      <c r="D3709" s="1119">
        <v>10.9</v>
      </c>
      <c r="E3709" s="1120">
        <v>3.49</v>
      </c>
      <c r="F3709" s="1121">
        <f t="shared" si="1"/>
        <v>7.41</v>
      </c>
      <c r="G3709" s="1120">
        <v>7.41</v>
      </c>
      <c r="H3709" s="1127">
        <v>0.0</v>
      </c>
      <c r="I3709" s="1127">
        <v>0.0</v>
      </c>
      <c r="J3709" s="1127">
        <v>0.0</v>
      </c>
      <c r="K3709" s="1124"/>
    </row>
    <row r="3710" ht="15.75" customHeight="1">
      <c r="A3710" s="1119">
        <v>89375.0</v>
      </c>
      <c r="B3710" s="1125" t="s">
        <v>13989</v>
      </c>
      <c r="C3710" s="1126" t="s">
        <v>1788</v>
      </c>
      <c r="D3710" s="1119">
        <v>12.83</v>
      </c>
      <c r="E3710" s="1120">
        <v>3.79</v>
      </c>
      <c r="F3710" s="1121">
        <f t="shared" si="1"/>
        <v>9.04</v>
      </c>
      <c r="G3710" s="1120">
        <v>9.04</v>
      </c>
      <c r="H3710" s="1127">
        <v>0.0</v>
      </c>
      <c r="I3710" s="1127">
        <v>0.0</v>
      </c>
      <c r="J3710" s="1127">
        <v>0.0</v>
      </c>
      <c r="K3710" s="1124"/>
    </row>
    <row r="3711" ht="15.75" customHeight="1">
      <c r="A3711" s="1119">
        <v>89376.0</v>
      </c>
      <c r="B3711" s="1125" t="s">
        <v>13990</v>
      </c>
      <c r="C3711" s="1126" t="s">
        <v>1788</v>
      </c>
      <c r="D3711" s="1119">
        <v>6.34</v>
      </c>
      <c r="E3711" s="1120">
        <v>3.51</v>
      </c>
      <c r="F3711" s="1121">
        <f t="shared" si="1"/>
        <v>2.82</v>
      </c>
      <c r="G3711" s="1120">
        <v>2.82</v>
      </c>
      <c r="H3711" s="1127">
        <v>0.0</v>
      </c>
      <c r="I3711" s="1127">
        <v>0.0</v>
      </c>
      <c r="J3711" s="1127">
        <v>0.0</v>
      </c>
      <c r="K3711" s="1124"/>
    </row>
    <row r="3712" ht="15.75" customHeight="1">
      <c r="A3712" s="1119">
        <v>89377.0</v>
      </c>
      <c r="B3712" s="1125" t="s">
        <v>13991</v>
      </c>
      <c r="C3712" s="1126" t="s">
        <v>1788</v>
      </c>
      <c r="D3712" s="1119">
        <v>11.05</v>
      </c>
      <c r="E3712" s="1120">
        <v>3.8</v>
      </c>
      <c r="F3712" s="1121">
        <f t="shared" si="1"/>
        <v>7.26</v>
      </c>
      <c r="G3712" s="1120">
        <v>7.26</v>
      </c>
      <c r="H3712" s="1127">
        <v>0.0</v>
      </c>
      <c r="I3712" s="1127">
        <v>0.0</v>
      </c>
      <c r="J3712" s="1127">
        <v>0.0</v>
      </c>
      <c r="K3712" s="1124"/>
    </row>
    <row r="3713" ht="15.75" customHeight="1">
      <c r="A3713" s="1119">
        <v>89378.0</v>
      </c>
      <c r="B3713" s="1125" t="s">
        <v>13992</v>
      </c>
      <c r="C3713" s="1126" t="s">
        <v>1788</v>
      </c>
      <c r="D3713" s="1119">
        <v>7.9</v>
      </c>
      <c r="E3713" s="1120">
        <v>4.42</v>
      </c>
      <c r="F3713" s="1121">
        <f t="shared" si="1"/>
        <v>3.48</v>
      </c>
      <c r="G3713" s="1120">
        <v>3.48</v>
      </c>
      <c r="H3713" s="1127">
        <v>0.0</v>
      </c>
      <c r="I3713" s="1127">
        <v>0.0</v>
      </c>
      <c r="J3713" s="1127">
        <v>0.0</v>
      </c>
      <c r="K3713" s="1124"/>
    </row>
    <row r="3714" ht="15.75" customHeight="1">
      <c r="A3714" s="1119">
        <v>89379.0</v>
      </c>
      <c r="B3714" s="1125" t="s">
        <v>13993</v>
      </c>
      <c r="C3714" s="1126" t="s">
        <v>1788</v>
      </c>
      <c r="D3714" s="1119">
        <v>19.97</v>
      </c>
      <c r="E3714" s="1120">
        <v>4.39</v>
      </c>
      <c r="F3714" s="1121">
        <f t="shared" si="1"/>
        <v>15.58</v>
      </c>
      <c r="G3714" s="1120">
        <v>15.58</v>
      </c>
      <c r="H3714" s="1127">
        <v>0.0</v>
      </c>
      <c r="I3714" s="1127">
        <v>0.0</v>
      </c>
      <c r="J3714" s="1127">
        <v>0.0</v>
      </c>
      <c r="K3714" s="1124"/>
    </row>
    <row r="3715" ht="15.75" customHeight="1">
      <c r="A3715" s="1119">
        <v>89380.0</v>
      </c>
      <c r="B3715" s="1125" t="s">
        <v>13994</v>
      </c>
      <c r="C3715" s="1126" t="s">
        <v>1788</v>
      </c>
      <c r="D3715" s="1119">
        <v>11.05</v>
      </c>
      <c r="E3715" s="1120">
        <v>4.83</v>
      </c>
      <c r="F3715" s="1121">
        <f t="shared" si="1"/>
        <v>6.23</v>
      </c>
      <c r="G3715" s="1120">
        <v>6.23</v>
      </c>
      <c r="H3715" s="1127">
        <v>0.0</v>
      </c>
      <c r="I3715" s="1127">
        <v>0.0</v>
      </c>
      <c r="J3715" s="1127">
        <v>0.0</v>
      </c>
      <c r="K3715" s="1124"/>
    </row>
    <row r="3716" ht="15.75" customHeight="1">
      <c r="A3716" s="1119">
        <v>89381.0</v>
      </c>
      <c r="B3716" s="1125" t="s">
        <v>13995</v>
      </c>
      <c r="C3716" s="1126" t="s">
        <v>1788</v>
      </c>
      <c r="D3716" s="1119">
        <v>13.35</v>
      </c>
      <c r="E3716" s="1120">
        <v>4.1</v>
      </c>
      <c r="F3716" s="1121">
        <f t="shared" si="1"/>
        <v>9.26</v>
      </c>
      <c r="G3716" s="1120">
        <v>9.26</v>
      </c>
      <c r="H3716" s="1127">
        <v>0.0</v>
      </c>
      <c r="I3716" s="1127">
        <v>0.0</v>
      </c>
      <c r="J3716" s="1127">
        <v>0.0</v>
      </c>
      <c r="K3716" s="1124"/>
    </row>
    <row r="3717" ht="15.75" customHeight="1">
      <c r="A3717" s="1119">
        <v>89382.0</v>
      </c>
      <c r="B3717" s="1125" t="s">
        <v>13996</v>
      </c>
      <c r="C3717" s="1126" t="s">
        <v>1788</v>
      </c>
      <c r="D3717" s="1119">
        <v>15.41</v>
      </c>
      <c r="E3717" s="1120">
        <v>4.39</v>
      </c>
      <c r="F3717" s="1121">
        <f t="shared" si="1"/>
        <v>11.02</v>
      </c>
      <c r="G3717" s="1120">
        <v>11.02</v>
      </c>
      <c r="H3717" s="1127">
        <v>0.0</v>
      </c>
      <c r="I3717" s="1127">
        <v>0.0</v>
      </c>
      <c r="J3717" s="1127">
        <v>0.0</v>
      </c>
      <c r="K3717" s="1124"/>
    </row>
    <row r="3718" ht="15.75" customHeight="1">
      <c r="A3718" s="1119">
        <v>89383.0</v>
      </c>
      <c r="B3718" s="1125" t="s">
        <v>13997</v>
      </c>
      <c r="C3718" s="1126" t="s">
        <v>1788</v>
      </c>
      <c r="D3718" s="1119">
        <v>7.4</v>
      </c>
      <c r="E3718" s="1120">
        <v>4.12</v>
      </c>
      <c r="F3718" s="1121">
        <f t="shared" si="1"/>
        <v>3.28</v>
      </c>
      <c r="G3718" s="1120">
        <v>3.28</v>
      </c>
      <c r="H3718" s="1127">
        <v>0.0</v>
      </c>
      <c r="I3718" s="1127">
        <v>0.0</v>
      </c>
      <c r="J3718" s="1127">
        <v>0.0</v>
      </c>
      <c r="K3718" s="1124"/>
    </row>
    <row r="3719" ht="15.75" customHeight="1">
      <c r="A3719" s="1119">
        <v>89384.0</v>
      </c>
      <c r="B3719" s="1125" t="s">
        <v>13998</v>
      </c>
      <c r="C3719" s="1126" t="s">
        <v>1788</v>
      </c>
      <c r="D3719" s="1119">
        <v>14.04</v>
      </c>
      <c r="E3719" s="1120">
        <v>4.4</v>
      </c>
      <c r="F3719" s="1121">
        <f t="shared" si="1"/>
        <v>9.65</v>
      </c>
      <c r="G3719" s="1120">
        <v>9.65</v>
      </c>
      <c r="H3719" s="1127">
        <v>0.0</v>
      </c>
      <c r="I3719" s="1127">
        <v>0.0</v>
      </c>
      <c r="J3719" s="1127">
        <v>0.0</v>
      </c>
      <c r="K3719" s="1124"/>
    </row>
    <row r="3720" ht="15.75" customHeight="1">
      <c r="A3720" s="1119">
        <v>89385.0</v>
      </c>
      <c r="B3720" s="1125" t="s">
        <v>13999</v>
      </c>
      <c r="C3720" s="1126" t="s">
        <v>1788</v>
      </c>
      <c r="D3720" s="1119">
        <v>8.06</v>
      </c>
      <c r="E3720" s="1120">
        <v>4.12</v>
      </c>
      <c r="F3720" s="1121">
        <f t="shared" si="1"/>
        <v>3.96</v>
      </c>
      <c r="G3720" s="1120">
        <v>3.96</v>
      </c>
      <c r="H3720" s="1127">
        <v>0.0</v>
      </c>
      <c r="I3720" s="1127">
        <v>0.0</v>
      </c>
      <c r="J3720" s="1127">
        <v>0.0</v>
      </c>
      <c r="K3720" s="1124"/>
    </row>
    <row r="3721" ht="15.75" customHeight="1">
      <c r="A3721" s="1119">
        <v>89386.0</v>
      </c>
      <c r="B3721" s="1125" t="s">
        <v>14000</v>
      </c>
      <c r="C3721" s="1126" t="s">
        <v>1788</v>
      </c>
      <c r="D3721" s="1119">
        <v>10.66</v>
      </c>
      <c r="E3721" s="1120">
        <v>5.27</v>
      </c>
      <c r="F3721" s="1121">
        <f t="shared" si="1"/>
        <v>5.39</v>
      </c>
      <c r="G3721" s="1120">
        <v>5.39</v>
      </c>
      <c r="H3721" s="1127">
        <v>0.0</v>
      </c>
      <c r="I3721" s="1127">
        <v>0.0</v>
      </c>
      <c r="J3721" s="1127">
        <v>0.0</v>
      </c>
      <c r="K3721" s="1124"/>
    </row>
    <row r="3722" ht="15.75" customHeight="1">
      <c r="A3722" s="1119">
        <v>89387.0</v>
      </c>
      <c r="B3722" s="1125" t="s">
        <v>14001</v>
      </c>
      <c r="C3722" s="1126" t="s">
        <v>1788</v>
      </c>
      <c r="D3722" s="1119">
        <v>31.52</v>
      </c>
      <c r="E3722" s="1120">
        <v>5.24</v>
      </c>
      <c r="F3722" s="1121">
        <f t="shared" si="1"/>
        <v>26.28</v>
      </c>
      <c r="G3722" s="1120">
        <v>26.28</v>
      </c>
      <c r="H3722" s="1127">
        <v>0.0</v>
      </c>
      <c r="I3722" s="1127">
        <v>0.0</v>
      </c>
      <c r="J3722" s="1127">
        <v>0.0</v>
      </c>
      <c r="K3722" s="1124"/>
    </row>
    <row r="3723" ht="15.75" customHeight="1">
      <c r="A3723" s="1119">
        <v>89389.0</v>
      </c>
      <c r="B3723" s="1125" t="s">
        <v>14002</v>
      </c>
      <c r="C3723" s="1126" t="s">
        <v>1788</v>
      </c>
      <c r="D3723" s="1119">
        <v>12.52</v>
      </c>
      <c r="E3723" s="1120">
        <v>4.82</v>
      </c>
      <c r="F3723" s="1121">
        <f t="shared" si="1"/>
        <v>7.7</v>
      </c>
      <c r="G3723" s="1120">
        <v>7.7</v>
      </c>
      <c r="H3723" s="1127">
        <v>0.0</v>
      </c>
      <c r="I3723" s="1127">
        <v>0.0</v>
      </c>
      <c r="J3723" s="1127">
        <v>0.0</v>
      </c>
      <c r="K3723" s="1124"/>
    </row>
    <row r="3724" ht="15.75" customHeight="1">
      <c r="A3724" s="1119">
        <v>89390.0</v>
      </c>
      <c r="B3724" s="1125" t="s">
        <v>14003</v>
      </c>
      <c r="C3724" s="1126" t="s">
        <v>1788</v>
      </c>
      <c r="D3724" s="1119">
        <v>22.66</v>
      </c>
      <c r="E3724" s="1120">
        <v>5.25</v>
      </c>
      <c r="F3724" s="1121">
        <f t="shared" si="1"/>
        <v>17.42</v>
      </c>
      <c r="G3724" s="1120">
        <v>17.42</v>
      </c>
      <c r="H3724" s="1127">
        <v>0.0</v>
      </c>
      <c r="I3724" s="1127">
        <v>0.0</v>
      </c>
      <c r="J3724" s="1127">
        <v>0.0</v>
      </c>
      <c r="K3724" s="1124"/>
    </row>
    <row r="3725" ht="15.75" customHeight="1">
      <c r="A3725" s="1119">
        <v>89391.0</v>
      </c>
      <c r="B3725" s="1125" t="s">
        <v>14004</v>
      </c>
      <c r="C3725" s="1126" t="s">
        <v>1788</v>
      </c>
      <c r="D3725" s="1119">
        <v>9.68</v>
      </c>
      <c r="E3725" s="1120">
        <v>4.83</v>
      </c>
      <c r="F3725" s="1121">
        <f t="shared" si="1"/>
        <v>4.85</v>
      </c>
      <c r="G3725" s="1120">
        <v>4.85</v>
      </c>
      <c r="H3725" s="1127">
        <v>0.0</v>
      </c>
      <c r="I3725" s="1127">
        <v>0.0</v>
      </c>
      <c r="J3725" s="1127">
        <v>0.0</v>
      </c>
      <c r="K3725" s="1124"/>
    </row>
    <row r="3726" ht="15.75" customHeight="1">
      <c r="A3726" s="1119">
        <v>89392.0</v>
      </c>
      <c r="B3726" s="1125" t="s">
        <v>14005</v>
      </c>
      <c r="C3726" s="1126" t="s">
        <v>1788</v>
      </c>
      <c r="D3726" s="1119">
        <v>25.85</v>
      </c>
      <c r="E3726" s="1120">
        <v>5.24</v>
      </c>
      <c r="F3726" s="1121">
        <f t="shared" si="1"/>
        <v>20.61</v>
      </c>
      <c r="G3726" s="1120">
        <v>20.61</v>
      </c>
      <c r="H3726" s="1127">
        <v>0.0</v>
      </c>
      <c r="I3726" s="1127">
        <v>0.0</v>
      </c>
      <c r="J3726" s="1127">
        <v>0.0</v>
      </c>
      <c r="K3726" s="1124"/>
    </row>
    <row r="3727" ht="15.75" customHeight="1">
      <c r="A3727" s="1119">
        <v>89393.0</v>
      </c>
      <c r="B3727" s="1125" t="s">
        <v>14006</v>
      </c>
      <c r="C3727" s="1126" t="s">
        <v>1788</v>
      </c>
      <c r="D3727" s="1119">
        <v>12.49</v>
      </c>
      <c r="E3727" s="1120">
        <v>7.61</v>
      </c>
      <c r="F3727" s="1121">
        <f t="shared" si="1"/>
        <v>4.88</v>
      </c>
      <c r="G3727" s="1120">
        <v>4.88</v>
      </c>
      <c r="H3727" s="1127">
        <v>0.0</v>
      </c>
      <c r="I3727" s="1127">
        <v>0.0</v>
      </c>
      <c r="J3727" s="1127">
        <v>0.0</v>
      </c>
      <c r="K3727" s="1124"/>
    </row>
    <row r="3728" ht="15.75" customHeight="1">
      <c r="A3728" s="1119">
        <v>89394.0</v>
      </c>
      <c r="B3728" s="1125" t="s">
        <v>14007</v>
      </c>
      <c r="C3728" s="1126" t="s">
        <v>1788</v>
      </c>
      <c r="D3728" s="1119">
        <v>20.17</v>
      </c>
      <c r="E3728" s="1120">
        <v>6.99</v>
      </c>
      <c r="F3728" s="1121">
        <f t="shared" si="1"/>
        <v>13.19</v>
      </c>
      <c r="G3728" s="1120">
        <v>13.19</v>
      </c>
      <c r="H3728" s="1127">
        <v>0.0</v>
      </c>
      <c r="I3728" s="1127">
        <v>0.0</v>
      </c>
      <c r="J3728" s="1127">
        <v>0.0</v>
      </c>
      <c r="K3728" s="1124"/>
    </row>
    <row r="3729" ht="15.75" customHeight="1">
      <c r="A3729" s="1119">
        <v>89395.0</v>
      </c>
      <c r="B3729" s="1125" t="s">
        <v>14008</v>
      </c>
      <c r="C3729" s="1126" t="s">
        <v>1788</v>
      </c>
      <c r="D3729" s="1119">
        <v>14.73</v>
      </c>
      <c r="E3729" s="1120">
        <v>8.82</v>
      </c>
      <c r="F3729" s="1121">
        <f t="shared" si="1"/>
        <v>5.92</v>
      </c>
      <c r="G3729" s="1120">
        <v>5.92</v>
      </c>
      <c r="H3729" s="1127">
        <v>0.0</v>
      </c>
      <c r="I3729" s="1127">
        <v>0.0</v>
      </c>
      <c r="J3729" s="1127">
        <v>0.0</v>
      </c>
      <c r="K3729" s="1124"/>
    </row>
    <row r="3730" ht="15.75" customHeight="1">
      <c r="A3730" s="1119">
        <v>89396.0</v>
      </c>
      <c r="B3730" s="1125" t="s">
        <v>14009</v>
      </c>
      <c r="C3730" s="1126" t="s">
        <v>1788</v>
      </c>
      <c r="D3730" s="1119">
        <v>22.11</v>
      </c>
      <c r="E3730" s="1120">
        <v>7.59</v>
      </c>
      <c r="F3730" s="1121">
        <f t="shared" si="1"/>
        <v>14.53</v>
      </c>
      <c r="G3730" s="1120">
        <v>14.53</v>
      </c>
      <c r="H3730" s="1127">
        <v>0.0</v>
      </c>
      <c r="I3730" s="1127">
        <v>0.0</v>
      </c>
      <c r="J3730" s="1127">
        <v>0.0</v>
      </c>
      <c r="K3730" s="1124"/>
    </row>
    <row r="3731" ht="15.75" customHeight="1">
      <c r="A3731" s="1119">
        <v>89397.0</v>
      </c>
      <c r="B3731" s="1125" t="s">
        <v>14010</v>
      </c>
      <c r="C3731" s="1126" t="s">
        <v>1788</v>
      </c>
      <c r="D3731" s="1119">
        <v>16.45</v>
      </c>
      <c r="E3731" s="1120">
        <v>8.18</v>
      </c>
      <c r="F3731" s="1121">
        <f t="shared" si="1"/>
        <v>8.27</v>
      </c>
      <c r="G3731" s="1120">
        <v>8.27</v>
      </c>
      <c r="H3731" s="1127">
        <v>0.0</v>
      </c>
      <c r="I3731" s="1127">
        <v>0.0</v>
      </c>
      <c r="J3731" s="1127">
        <v>0.0</v>
      </c>
      <c r="K3731" s="1124"/>
    </row>
    <row r="3732" ht="15.75" customHeight="1">
      <c r="A3732" s="1119">
        <v>89398.0</v>
      </c>
      <c r="B3732" s="1125" t="s">
        <v>14011</v>
      </c>
      <c r="C3732" s="1126" t="s">
        <v>1788</v>
      </c>
      <c r="D3732" s="1119">
        <v>20.31</v>
      </c>
      <c r="E3732" s="1120">
        <v>10.52</v>
      </c>
      <c r="F3732" s="1121">
        <f t="shared" si="1"/>
        <v>9.8</v>
      </c>
      <c r="G3732" s="1120">
        <v>9.8</v>
      </c>
      <c r="H3732" s="1127">
        <v>0.0</v>
      </c>
      <c r="I3732" s="1127">
        <v>0.0</v>
      </c>
      <c r="J3732" s="1127">
        <v>0.0</v>
      </c>
      <c r="K3732" s="1124"/>
    </row>
    <row r="3733" ht="15.75" customHeight="1">
      <c r="A3733" s="1119">
        <v>89399.0</v>
      </c>
      <c r="B3733" s="1125" t="s">
        <v>14012</v>
      </c>
      <c r="C3733" s="1126" t="s">
        <v>1788</v>
      </c>
      <c r="D3733" s="1119">
        <v>26.74</v>
      </c>
      <c r="E3733" s="1120">
        <v>8.6</v>
      </c>
      <c r="F3733" s="1121">
        <f t="shared" si="1"/>
        <v>18.12</v>
      </c>
      <c r="G3733" s="1120">
        <v>18.12</v>
      </c>
      <c r="H3733" s="1127">
        <v>0.0</v>
      </c>
      <c r="I3733" s="1127">
        <v>0.0</v>
      </c>
      <c r="J3733" s="1127">
        <v>0.0</v>
      </c>
      <c r="K3733" s="1124"/>
    </row>
    <row r="3734" ht="15.75" customHeight="1">
      <c r="A3734" s="1119">
        <v>89400.0</v>
      </c>
      <c r="B3734" s="1125" t="s">
        <v>14013</v>
      </c>
      <c r="C3734" s="1126" t="s">
        <v>1788</v>
      </c>
      <c r="D3734" s="1119">
        <v>21.94</v>
      </c>
      <c r="E3734" s="1120">
        <v>9.64</v>
      </c>
      <c r="F3734" s="1121">
        <f t="shared" si="1"/>
        <v>12.3</v>
      </c>
      <c r="G3734" s="1120">
        <v>12.3</v>
      </c>
      <c r="H3734" s="1127">
        <v>0.0</v>
      </c>
      <c r="I3734" s="1127">
        <v>0.0</v>
      </c>
      <c r="J3734" s="1127">
        <v>0.0</v>
      </c>
      <c r="K3734" s="1124"/>
    </row>
    <row r="3735" ht="15.75" customHeight="1">
      <c r="A3735" s="1119">
        <v>89404.0</v>
      </c>
      <c r="B3735" s="1125" t="s">
        <v>14014</v>
      </c>
      <c r="C3735" s="1126" t="s">
        <v>1788</v>
      </c>
      <c r="D3735" s="1119">
        <v>8.22</v>
      </c>
      <c r="E3735" s="1120">
        <v>5.12</v>
      </c>
      <c r="F3735" s="1121">
        <f t="shared" si="1"/>
        <v>3.1</v>
      </c>
      <c r="G3735" s="1120">
        <v>3.1</v>
      </c>
      <c r="H3735" s="1127">
        <v>0.0</v>
      </c>
      <c r="I3735" s="1127">
        <v>0.0</v>
      </c>
      <c r="J3735" s="1127">
        <v>0.0</v>
      </c>
      <c r="K3735" s="1124"/>
    </row>
    <row r="3736" ht="15.75" customHeight="1">
      <c r="A3736" s="1119">
        <v>89405.0</v>
      </c>
      <c r="B3736" s="1125" t="s">
        <v>14015</v>
      </c>
      <c r="C3736" s="1126" t="s">
        <v>1788</v>
      </c>
      <c r="D3736" s="1119">
        <v>8.78</v>
      </c>
      <c r="E3736" s="1120">
        <v>5.12</v>
      </c>
      <c r="F3736" s="1121">
        <f t="shared" si="1"/>
        <v>3.67</v>
      </c>
      <c r="G3736" s="1120">
        <v>3.67</v>
      </c>
      <c r="H3736" s="1127">
        <v>0.0</v>
      </c>
      <c r="I3736" s="1127">
        <v>0.0</v>
      </c>
      <c r="J3736" s="1127">
        <v>0.0</v>
      </c>
      <c r="K3736" s="1124"/>
    </row>
    <row r="3737" ht="15.75" customHeight="1">
      <c r="A3737" s="1119">
        <v>89406.0</v>
      </c>
      <c r="B3737" s="1125" t="s">
        <v>14016</v>
      </c>
      <c r="C3737" s="1126" t="s">
        <v>1788</v>
      </c>
      <c r="D3737" s="1119">
        <v>9.81</v>
      </c>
      <c r="E3737" s="1120">
        <v>5.11</v>
      </c>
      <c r="F3737" s="1121">
        <f t="shared" si="1"/>
        <v>4.71</v>
      </c>
      <c r="G3737" s="1120">
        <v>4.71</v>
      </c>
      <c r="H3737" s="1127">
        <v>0.0</v>
      </c>
      <c r="I3737" s="1127">
        <v>0.0</v>
      </c>
      <c r="J3737" s="1127">
        <v>0.0</v>
      </c>
      <c r="K3737" s="1124"/>
    </row>
    <row r="3738" ht="15.75" customHeight="1">
      <c r="A3738" s="1119">
        <v>89407.0</v>
      </c>
      <c r="B3738" s="1125" t="s">
        <v>14017</v>
      </c>
      <c r="C3738" s="1126" t="s">
        <v>1788</v>
      </c>
      <c r="D3738" s="1119">
        <v>9.89</v>
      </c>
      <c r="E3738" s="1120">
        <v>5.11</v>
      </c>
      <c r="F3738" s="1121">
        <f t="shared" si="1"/>
        <v>4.79</v>
      </c>
      <c r="G3738" s="1120">
        <v>4.79</v>
      </c>
      <c r="H3738" s="1127">
        <v>0.0</v>
      </c>
      <c r="I3738" s="1127">
        <v>0.0</v>
      </c>
      <c r="J3738" s="1127">
        <v>0.0</v>
      </c>
      <c r="K3738" s="1124"/>
    </row>
    <row r="3739" ht="15.75" customHeight="1">
      <c r="A3739" s="1119">
        <v>89408.0</v>
      </c>
      <c r="B3739" s="1125" t="s">
        <v>14018</v>
      </c>
      <c r="C3739" s="1126" t="s">
        <v>1788</v>
      </c>
      <c r="D3739" s="1119">
        <v>9.79</v>
      </c>
      <c r="E3739" s="1120">
        <v>5.94</v>
      </c>
      <c r="F3739" s="1121">
        <f t="shared" si="1"/>
        <v>3.85</v>
      </c>
      <c r="G3739" s="1120">
        <v>3.85</v>
      </c>
      <c r="H3739" s="1127">
        <v>0.0</v>
      </c>
      <c r="I3739" s="1127">
        <v>0.0</v>
      </c>
      <c r="J3739" s="1127">
        <v>0.0</v>
      </c>
      <c r="K3739" s="1124"/>
    </row>
    <row r="3740" ht="15.75" customHeight="1">
      <c r="A3740" s="1119">
        <v>89409.0</v>
      </c>
      <c r="B3740" s="1125" t="s">
        <v>14019</v>
      </c>
      <c r="C3740" s="1126" t="s">
        <v>1788</v>
      </c>
      <c r="D3740" s="1119">
        <v>10.6</v>
      </c>
      <c r="E3740" s="1120">
        <v>5.94</v>
      </c>
      <c r="F3740" s="1121">
        <f t="shared" si="1"/>
        <v>4.66</v>
      </c>
      <c r="G3740" s="1120">
        <v>4.66</v>
      </c>
      <c r="H3740" s="1127">
        <v>0.0</v>
      </c>
      <c r="I3740" s="1127">
        <v>0.0</v>
      </c>
      <c r="J3740" s="1127">
        <v>0.0</v>
      </c>
      <c r="K3740" s="1124"/>
    </row>
    <row r="3741" ht="15.75" customHeight="1">
      <c r="A3741" s="1119">
        <v>89410.0</v>
      </c>
      <c r="B3741" s="1125" t="s">
        <v>14020</v>
      </c>
      <c r="C3741" s="1126" t="s">
        <v>1788</v>
      </c>
      <c r="D3741" s="1119">
        <v>12.16</v>
      </c>
      <c r="E3741" s="1120">
        <v>5.92</v>
      </c>
      <c r="F3741" s="1121">
        <f t="shared" si="1"/>
        <v>6.24</v>
      </c>
      <c r="G3741" s="1120">
        <v>6.24</v>
      </c>
      <c r="H3741" s="1127">
        <v>0.0</v>
      </c>
      <c r="I3741" s="1127">
        <v>0.0</v>
      </c>
      <c r="J3741" s="1127">
        <v>0.0</v>
      </c>
      <c r="K3741" s="1124"/>
    </row>
    <row r="3742" ht="15.75" customHeight="1">
      <c r="A3742" s="1119">
        <v>89411.0</v>
      </c>
      <c r="B3742" s="1125" t="s">
        <v>14021</v>
      </c>
      <c r="C3742" s="1126" t="s">
        <v>1788</v>
      </c>
      <c r="D3742" s="1119">
        <v>11.6</v>
      </c>
      <c r="E3742" s="1120">
        <v>5.94</v>
      </c>
      <c r="F3742" s="1121">
        <f t="shared" si="1"/>
        <v>5.68</v>
      </c>
      <c r="G3742" s="1120">
        <v>5.68</v>
      </c>
      <c r="H3742" s="1127">
        <v>0.0</v>
      </c>
      <c r="I3742" s="1127">
        <v>0.0</v>
      </c>
      <c r="J3742" s="1127">
        <v>0.0</v>
      </c>
      <c r="K3742" s="1124"/>
    </row>
    <row r="3743" ht="15.75" customHeight="1">
      <c r="A3743" s="1119">
        <v>89412.0</v>
      </c>
      <c r="B3743" s="1125" t="s">
        <v>14022</v>
      </c>
      <c r="C3743" s="1126" t="s">
        <v>1788</v>
      </c>
      <c r="D3743" s="1119">
        <v>10.86</v>
      </c>
      <c r="E3743" s="1120">
        <v>5.53</v>
      </c>
      <c r="F3743" s="1121">
        <f t="shared" si="1"/>
        <v>5.35</v>
      </c>
      <c r="G3743" s="1120">
        <v>5.35</v>
      </c>
      <c r="H3743" s="1127">
        <v>0.0</v>
      </c>
      <c r="I3743" s="1127">
        <v>0.0</v>
      </c>
      <c r="J3743" s="1127">
        <v>0.0</v>
      </c>
      <c r="K3743" s="1124"/>
    </row>
    <row r="3744" ht="15.75" customHeight="1">
      <c r="A3744" s="1119">
        <v>89413.0</v>
      </c>
      <c r="B3744" s="1125" t="s">
        <v>14023</v>
      </c>
      <c r="C3744" s="1126" t="s">
        <v>1788</v>
      </c>
      <c r="D3744" s="1119">
        <v>13.48</v>
      </c>
      <c r="E3744" s="1120">
        <v>7.06</v>
      </c>
      <c r="F3744" s="1121">
        <f t="shared" si="1"/>
        <v>6.44</v>
      </c>
      <c r="G3744" s="1120">
        <v>6.44</v>
      </c>
      <c r="H3744" s="1127">
        <v>0.0</v>
      </c>
      <c r="I3744" s="1127">
        <v>0.0</v>
      </c>
      <c r="J3744" s="1127">
        <v>0.0</v>
      </c>
      <c r="K3744" s="1124"/>
    </row>
    <row r="3745" ht="15.75" customHeight="1">
      <c r="A3745" s="1119">
        <v>89414.0</v>
      </c>
      <c r="B3745" s="1125" t="s">
        <v>14024</v>
      </c>
      <c r="C3745" s="1126" t="s">
        <v>1788</v>
      </c>
      <c r="D3745" s="1119">
        <v>15.28</v>
      </c>
      <c r="E3745" s="1120">
        <v>7.04</v>
      </c>
      <c r="F3745" s="1121">
        <f t="shared" si="1"/>
        <v>8.24</v>
      </c>
      <c r="G3745" s="1120">
        <v>8.24</v>
      </c>
      <c r="H3745" s="1127">
        <v>0.0</v>
      </c>
      <c r="I3745" s="1127">
        <v>0.0</v>
      </c>
      <c r="J3745" s="1127">
        <v>0.0</v>
      </c>
      <c r="K3745" s="1124"/>
    </row>
    <row r="3746" ht="15.75" customHeight="1">
      <c r="A3746" s="1119">
        <v>89415.0</v>
      </c>
      <c r="B3746" s="1125" t="s">
        <v>14025</v>
      </c>
      <c r="C3746" s="1126" t="s">
        <v>1788</v>
      </c>
      <c r="D3746" s="1119">
        <v>17.7</v>
      </c>
      <c r="E3746" s="1120">
        <v>7.04</v>
      </c>
      <c r="F3746" s="1121">
        <f t="shared" si="1"/>
        <v>10.66</v>
      </c>
      <c r="G3746" s="1120">
        <v>10.66</v>
      </c>
      <c r="H3746" s="1127">
        <v>0.0</v>
      </c>
      <c r="I3746" s="1127">
        <v>0.0</v>
      </c>
      <c r="J3746" s="1127">
        <v>0.0</v>
      </c>
      <c r="K3746" s="1124"/>
    </row>
    <row r="3747" ht="15.75" customHeight="1">
      <c r="A3747" s="1119">
        <v>89416.0</v>
      </c>
      <c r="B3747" s="1125" t="s">
        <v>14026</v>
      </c>
      <c r="C3747" s="1126" t="s">
        <v>1788</v>
      </c>
      <c r="D3747" s="1119">
        <v>15.62</v>
      </c>
      <c r="E3747" s="1120">
        <v>7.04</v>
      </c>
      <c r="F3747" s="1121">
        <f t="shared" si="1"/>
        <v>8.58</v>
      </c>
      <c r="G3747" s="1120">
        <v>8.58</v>
      </c>
      <c r="H3747" s="1127">
        <v>0.0</v>
      </c>
      <c r="I3747" s="1127">
        <v>0.0</v>
      </c>
      <c r="J3747" s="1127">
        <v>0.0</v>
      </c>
      <c r="K3747" s="1124"/>
    </row>
    <row r="3748" ht="15.75" customHeight="1">
      <c r="A3748" s="1119">
        <v>89417.0</v>
      </c>
      <c r="B3748" s="1125" t="s">
        <v>14027</v>
      </c>
      <c r="C3748" s="1126" t="s">
        <v>1788</v>
      </c>
      <c r="D3748" s="1119">
        <v>6.16</v>
      </c>
      <c r="E3748" s="1120">
        <v>3.43</v>
      </c>
      <c r="F3748" s="1121">
        <f t="shared" si="1"/>
        <v>2.72</v>
      </c>
      <c r="G3748" s="1120">
        <v>2.72</v>
      </c>
      <c r="H3748" s="1127">
        <v>0.0</v>
      </c>
      <c r="I3748" s="1127">
        <v>0.0</v>
      </c>
      <c r="J3748" s="1127">
        <v>0.0</v>
      </c>
      <c r="K3748" s="1124"/>
    </row>
    <row r="3749" ht="15.75" customHeight="1">
      <c r="A3749" s="1119">
        <v>89418.0</v>
      </c>
      <c r="B3749" s="1125" t="s">
        <v>14028</v>
      </c>
      <c r="C3749" s="1126" t="s">
        <v>1788</v>
      </c>
      <c r="D3749" s="1119">
        <v>16.45</v>
      </c>
      <c r="E3749" s="1120">
        <v>3.39</v>
      </c>
      <c r="F3749" s="1121">
        <f t="shared" si="1"/>
        <v>13.05</v>
      </c>
      <c r="G3749" s="1120">
        <v>13.05</v>
      </c>
      <c r="H3749" s="1127">
        <v>0.0</v>
      </c>
      <c r="I3749" s="1127">
        <v>0.0</v>
      </c>
      <c r="J3749" s="1127">
        <v>0.0</v>
      </c>
      <c r="K3749" s="1124"/>
    </row>
    <row r="3750" ht="15.75" customHeight="1">
      <c r="A3750" s="1119">
        <v>89419.0</v>
      </c>
      <c r="B3750" s="1125" t="s">
        <v>14029</v>
      </c>
      <c r="C3750" s="1126" t="s">
        <v>1788</v>
      </c>
      <c r="D3750" s="1119">
        <v>7.35</v>
      </c>
      <c r="E3750" s="1120">
        <v>3.69</v>
      </c>
      <c r="F3750" s="1121">
        <f t="shared" si="1"/>
        <v>3.67</v>
      </c>
      <c r="G3750" s="1120">
        <v>3.67</v>
      </c>
      <c r="H3750" s="1127">
        <v>0.0</v>
      </c>
      <c r="I3750" s="1127">
        <v>0.0</v>
      </c>
      <c r="J3750" s="1127">
        <v>0.0</v>
      </c>
      <c r="K3750" s="1124"/>
    </row>
    <row r="3751" ht="15.75" customHeight="1">
      <c r="A3751" s="1119">
        <v>89421.0</v>
      </c>
      <c r="B3751" s="1125" t="s">
        <v>14030</v>
      </c>
      <c r="C3751" s="1126" t="s">
        <v>1788</v>
      </c>
      <c r="D3751" s="1119">
        <v>12.29</v>
      </c>
      <c r="E3751" s="1120">
        <v>3.39</v>
      </c>
      <c r="F3751" s="1121">
        <f t="shared" si="1"/>
        <v>8.89</v>
      </c>
      <c r="G3751" s="1120">
        <v>8.89</v>
      </c>
      <c r="H3751" s="1127">
        <v>0.0</v>
      </c>
      <c r="I3751" s="1127">
        <v>0.0</v>
      </c>
      <c r="J3751" s="1127">
        <v>0.0</v>
      </c>
      <c r="K3751" s="1124"/>
    </row>
    <row r="3752" ht="15.75" customHeight="1">
      <c r="A3752" s="1119">
        <v>89423.0</v>
      </c>
      <c r="B3752" s="1125" t="s">
        <v>14031</v>
      </c>
      <c r="C3752" s="1126" t="s">
        <v>1788</v>
      </c>
      <c r="D3752" s="1119">
        <v>10.51</v>
      </c>
      <c r="E3752" s="1120">
        <v>3.4</v>
      </c>
      <c r="F3752" s="1121">
        <f t="shared" si="1"/>
        <v>7.1</v>
      </c>
      <c r="G3752" s="1120">
        <v>7.1</v>
      </c>
      <c r="H3752" s="1127">
        <v>0.0</v>
      </c>
      <c r="I3752" s="1127">
        <v>0.0</v>
      </c>
      <c r="J3752" s="1127">
        <v>0.0</v>
      </c>
      <c r="K3752" s="1124"/>
    </row>
    <row r="3753" ht="15.75" customHeight="1">
      <c r="A3753" s="1119">
        <v>89424.0</v>
      </c>
      <c r="B3753" s="1125" t="s">
        <v>14032</v>
      </c>
      <c r="C3753" s="1126" t="s">
        <v>1788</v>
      </c>
      <c r="D3753" s="1119">
        <v>7.27</v>
      </c>
      <c r="E3753" s="1120">
        <v>3.96</v>
      </c>
      <c r="F3753" s="1121">
        <f t="shared" si="1"/>
        <v>3.31</v>
      </c>
      <c r="G3753" s="1120">
        <v>3.31</v>
      </c>
      <c r="H3753" s="1127">
        <v>0.0</v>
      </c>
      <c r="I3753" s="1127">
        <v>0.0</v>
      </c>
      <c r="J3753" s="1127">
        <v>0.0</v>
      </c>
      <c r="K3753" s="1124"/>
    </row>
    <row r="3754" ht="15.75" customHeight="1">
      <c r="A3754" s="1119">
        <v>89425.0</v>
      </c>
      <c r="B3754" s="1125" t="s">
        <v>14033</v>
      </c>
      <c r="C3754" s="1126" t="s">
        <v>1788</v>
      </c>
      <c r="D3754" s="1119">
        <v>19.34</v>
      </c>
      <c r="E3754" s="1120">
        <v>3.93</v>
      </c>
      <c r="F3754" s="1121">
        <f t="shared" si="1"/>
        <v>15.42</v>
      </c>
      <c r="G3754" s="1120">
        <v>15.42</v>
      </c>
      <c r="H3754" s="1127">
        <v>0.0</v>
      </c>
      <c r="I3754" s="1127">
        <v>0.0</v>
      </c>
      <c r="J3754" s="1127">
        <v>0.0</v>
      </c>
      <c r="K3754" s="1124"/>
    </row>
    <row r="3755" ht="15.75" customHeight="1">
      <c r="A3755" s="1119">
        <v>89426.0</v>
      </c>
      <c r="B3755" s="1125" t="s">
        <v>14034</v>
      </c>
      <c r="C3755" s="1126" t="s">
        <v>1788</v>
      </c>
      <c r="D3755" s="1119">
        <v>10.37</v>
      </c>
      <c r="E3755" s="1120">
        <v>4.32</v>
      </c>
      <c r="F3755" s="1121">
        <f t="shared" si="1"/>
        <v>6.07</v>
      </c>
      <c r="G3755" s="1120">
        <v>6.07</v>
      </c>
      <c r="H3755" s="1127">
        <v>0.0</v>
      </c>
      <c r="I3755" s="1127">
        <v>0.0</v>
      </c>
      <c r="J3755" s="1127">
        <v>0.0</v>
      </c>
      <c r="K3755" s="1124"/>
    </row>
    <row r="3756" ht="15.75" customHeight="1">
      <c r="A3756" s="1119">
        <v>89427.0</v>
      </c>
      <c r="B3756" s="1125" t="s">
        <v>14035</v>
      </c>
      <c r="C3756" s="1126" t="s">
        <v>1788</v>
      </c>
      <c r="D3756" s="1119">
        <v>12.76</v>
      </c>
      <c r="E3756" s="1120">
        <v>3.65</v>
      </c>
      <c r="F3756" s="1121">
        <f t="shared" si="1"/>
        <v>9.09</v>
      </c>
      <c r="G3756" s="1120">
        <v>9.09</v>
      </c>
      <c r="H3756" s="1127">
        <v>0.0</v>
      </c>
      <c r="I3756" s="1127">
        <v>0.0</v>
      </c>
      <c r="J3756" s="1127">
        <v>0.0</v>
      </c>
      <c r="K3756" s="1124"/>
    </row>
    <row r="3757" ht="15.75" customHeight="1">
      <c r="A3757" s="1119">
        <v>89428.0</v>
      </c>
      <c r="B3757" s="1125" t="s">
        <v>14036</v>
      </c>
      <c r="C3757" s="1126" t="s">
        <v>1788</v>
      </c>
      <c r="D3757" s="1119">
        <v>14.78</v>
      </c>
      <c r="E3757" s="1120">
        <v>3.93</v>
      </c>
      <c r="F3757" s="1121">
        <f t="shared" si="1"/>
        <v>10.86</v>
      </c>
      <c r="G3757" s="1120">
        <v>10.86</v>
      </c>
      <c r="H3757" s="1127">
        <v>0.0</v>
      </c>
      <c r="I3757" s="1127">
        <v>0.0</v>
      </c>
      <c r="J3757" s="1127">
        <v>0.0</v>
      </c>
      <c r="K3757" s="1124"/>
    </row>
    <row r="3758" ht="15.75" customHeight="1">
      <c r="A3758" s="1119">
        <v>89429.0</v>
      </c>
      <c r="B3758" s="1125" t="s">
        <v>14037</v>
      </c>
      <c r="C3758" s="1126" t="s">
        <v>1788</v>
      </c>
      <c r="D3758" s="1119">
        <v>6.81</v>
      </c>
      <c r="E3758" s="1120">
        <v>3.69</v>
      </c>
      <c r="F3758" s="1121">
        <f t="shared" si="1"/>
        <v>3.11</v>
      </c>
      <c r="G3758" s="1120">
        <v>3.11</v>
      </c>
      <c r="H3758" s="1127">
        <v>0.0</v>
      </c>
      <c r="I3758" s="1127">
        <v>0.0</v>
      </c>
      <c r="J3758" s="1127">
        <v>0.0</v>
      </c>
      <c r="K3758" s="1124"/>
    </row>
    <row r="3759" ht="15.75" customHeight="1">
      <c r="A3759" s="1119">
        <v>89430.0</v>
      </c>
      <c r="B3759" s="1125" t="s">
        <v>14038</v>
      </c>
      <c r="C3759" s="1126" t="s">
        <v>1788</v>
      </c>
      <c r="D3759" s="1119">
        <v>13.41</v>
      </c>
      <c r="E3759" s="1120">
        <v>3.94</v>
      </c>
      <c r="F3759" s="1121">
        <f t="shared" si="1"/>
        <v>9.48</v>
      </c>
      <c r="G3759" s="1120">
        <v>9.48</v>
      </c>
      <c r="H3759" s="1127">
        <v>0.0</v>
      </c>
      <c r="I3759" s="1127">
        <v>0.0</v>
      </c>
      <c r="J3759" s="1127">
        <v>0.0</v>
      </c>
      <c r="K3759" s="1124"/>
    </row>
    <row r="3760" ht="15.75" customHeight="1">
      <c r="A3760" s="1119">
        <v>89431.0</v>
      </c>
      <c r="B3760" s="1125" t="s">
        <v>14039</v>
      </c>
      <c r="C3760" s="1126" t="s">
        <v>1788</v>
      </c>
      <c r="D3760" s="1119">
        <v>9.91</v>
      </c>
      <c r="E3760" s="1120">
        <v>4.71</v>
      </c>
      <c r="F3760" s="1121">
        <f t="shared" si="1"/>
        <v>5.2</v>
      </c>
      <c r="G3760" s="1120">
        <v>5.2</v>
      </c>
      <c r="H3760" s="1127">
        <v>0.0</v>
      </c>
      <c r="I3760" s="1127">
        <v>0.0</v>
      </c>
      <c r="J3760" s="1127">
        <v>0.0</v>
      </c>
      <c r="K3760" s="1124"/>
    </row>
    <row r="3761" ht="15.75" customHeight="1">
      <c r="A3761" s="1119">
        <v>89432.0</v>
      </c>
      <c r="B3761" s="1125" t="s">
        <v>14040</v>
      </c>
      <c r="C3761" s="1126" t="s">
        <v>1788</v>
      </c>
      <c r="D3761" s="1119">
        <v>30.77</v>
      </c>
      <c r="E3761" s="1120">
        <v>4.68</v>
      </c>
      <c r="F3761" s="1121">
        <f t="shared" si="1"/>
        <v>26.08</v>
      </c>
      <c r="G3761" s="1120">
        <v>26.08</v>
      </c>
      <c r="H3761" s="1127">
        <v>0.0</v>
      </c>
      <c r="I3761" s="1127">
        <v>0.0</v>
      </c>
      <c r="J3761" s="1127">
        <v>0.0</v>
      </c>
      <c r="K3761" s="1124"/>
    </row>
    <row r="3762" ht="15.75" customHeight="1">
      <c r="A3762" s="1119">
        <v>89433.0</v>
      </c>
      <c r="B3762" s="1125" t="s">
        <v>14041</v>
      </c>
      <c r="C3762" s="1126" t="s">
        <v>1788</v>
      </c>
      <c r="D3762" s="1119">
        <v>14.16</v>
      </c>
      <c r="E3762" s="1120">
        <v>5.14</v>
      </c>
      <c r="F3762" s="1121">
        <f t="shared" si="1"/>
        <v>9.03</v>
      </c>
      <c r="G3762" s="1120">
        <v>9.03</v>
      </c>
      <c r="H3762" s="1127">
        <v>0.0</v>
      </c>
      <c r="I3762" s="1127">
        <v>0.0</v>
      </c>
      <c r="J3762" s="1127">
        <v>0.0</v>
      </c>
      <c r="K3762" s="1124"/>
    </row>
    <row r="3763" ht="15.75" customHeight="1">
      <c r="A3763" s="1119">
        <v>89434.0</v>
      </c>
      <c r="B3763" s="1125" t="s">
        <v>14042</v>
      </c>
      <c r="C3763" s="1126" t="s">
        <v>1788</v>
      </c>
      <c r="D3763" s="1119">
        <v>11.84</v>
      </c>
      <c r="E3763" s="1120">
        <v>4.31</v>
      </c>
      <c r="F3763" s="1121">
        <f t="shared" si="1"/>
        <v>7.54</v>
      </c>
      <c r="G3763" s="1120">
        <v>7.54</v>
      </c>
      <c r="H3763" s="1127">
        <v>0.0</v>
      </c>
      <c r="I3763" s="1127">
        <v>0.0</v>
      </c>
      <c r="J3763" s="1127">
        <v>0.0</v>
      </c>
      <c r="K3763" s="1124"/>
    </row>
    <row r="3764" ht="15.75" customHeight="1">
      <c r="A3764" s="1119">
        <v>89435.0</v>
      </c>
      <c r="B3764" s="1125" t="s">
        <v>14043</v>
      </c>
      <c r="C3764" s="1126" t="s">
        <v>1788</v>
      </c>
      <c r="D3764" s="1119">
        <v>21.91</v>
      </c>
      <c r="E3764" s="1120">
        <v>4.68</v>
      </c>
      <c r="F3764" s="1121">
        <f t="shared" si="1"/>
        <v>17.22</v>
      </c>
      <c r="G3764" s="1120">
        <v>17.22</v>
      </c>
      <c r="H3764" s="1127">
        <v>0.0</v>
      </c>
      <c r="I3764" s="1127">
        <v>0.0</v>
      </c>
      <c r="J3764" s="1127">
        <v>0.0</v>
      </c>
      <c r="K3764" s="1124"/>
    </row>
    <row r="3765" ht="15.75" customHeight="1">
      <c r="A3765" s="1119">
        <v>89436.0</v>
      </c>
      <c r="B3765" s="1125" t="s">
        <v>14044</v>
      </c>
      <c r="C3765" s="1126" t="s">
        <v>1788</v>
      </c>
      <c r="D3765" s="1119">
        <v>9.0</v>
      </c>
      <c r="E3765" s="1120">
        <v>4.32</v>
      </c>
      <c r="F3765" s="1121">
        <f t="shared" si="1"/>
        <v>4.69</v>
      </c>
      <c r="G3765" s="1120">
        <v>4.69</v>
      </c>
      <c r="H3765" s="1127">
        <v>0.0</v>
      </c>
      <c r="I3765" s="1127">
        <v>0.0</v>
      </c>
      <c r="J3765" s="1127">
        <v>0.0</v>
      </c>
      <c r="K3765" s="1124"/>
    </row>
    <row r="3766" ht="15.75" customHeight="1">
      <c r="A3766" s="1119">
        <v>89437.0</v>
      </c>
      <c r="B3766" s="1125" t="s">
        <v>14045</v>
      </c>
      <c r="C3766" s="1126" t="s">
        <v>1788</v>
      </c>
      <c r="D3766" s="1119">
        <v>25.1</v>
      </c>
      <c r="E3766" s="1120">
        <v>4.68</v>
      </c>
      <c r="F3766" s="1121">
        <f t="shared" si="1"/>
        <v>20.41</v>
      </c>
      <c r="G3766" s="1120">
        <v>20.41</v>
      </c>
      <c r="H3766" s="1127">
        <v>0.0</v>
      </c>
      <c r="I3766" s="1127">
        <v>0.0</v>
      </c>
      <c r="J3766" s="1127">
        <v>0.0</v>
      </c>
      <c r="K3766" s="1124"/>
    </row>
    <row r="3767" ht="15.75" customHeight="1">
      <c r="A3767" s="1119">
        <v>89438.0</v>
      </c>
      <c r="B3767" s="1125" t="s">
        <v>14046</v>
      </c>
      <c r="C3767" s="1126" t="s">
        <v>1788</v>
      </c>
      <c r="D3767" s="1119">
        <v>11.41</v>
      </c>
      <c r="E3767" s="1120">
        <v>6.8</v>
      </c>
      <c r="F3767" s="1121">
        <f t="shared" si="1"/>
        <v>4.61</v>
      </c>
      <c r="G3767" s="1120">
        <v>4.61</v>
      </c>
      <c r="H3767" s="1127">
        <v>0.0</v>
      </c>
      <c r="I3767" s="1127">
        <v>0.0</v>
      </c>
      <c r="J3767" s="1127">
        <v>0.0</v>
      </c>
      <c r="K3767" s="1124"/>
    </row>
    <row r="3768" ht="15.75" customHeight="1">
      <c r="A3768" s="1119">
        <v>89439.0</v>
      </c>
      <c r="B3768" s="1125" t="s">
        <v>14047</v>
      </c>
      <c r="C3768" s="1126" t="s">
        <v>1788</v>
      </c>
      <c r="D3768" s="1119">
        <v>12.96</v>
      </c>
      <c r="E3768" s="1120">
        <v>6.8</v>
      </c>
      <c r="F3768" s="1121">
        <f t="shared" si="1"/>
        <v>6.18</v>
      </c>
      <c r="G3768" s="1120">
        <v>6.18</v>
      </c>
      <c r="H3768" s="1127">
        <v>0.0</v>
      </c>
      <c r="I3768" s="1127">
        <v>0.0</v>
      </c>
      <c r="J3768" s="1127">
        <v>0.0</v>
      </c>
      <c r="K3768" s="1124"/>
    </row>
    <row r="3769" ht="15.75" customHeight="1">
      <c r="A3769" s="1119">
        <v>89440.0</v>
      </c>
      <c r="B3769" s="1125" t="s">
        <v>14048</v>
      </c>
      <c r="C3769" s="1126" t="s">
        <v>1788</v>
      </c>
      <c r="D3769" s="1119">
        <v>13.49</v>
      </c>
      <c r="E3769" s="1120">
        <v>7.9</v>
      </c>
      <c r="F3769" s="1121">
        <f t="shared" si="1"/>
        <v>5.59</v>
      </c>
      <c r="G3769" s="1120">
        <v>5.59</v>
      </c>
      <c r="H3769" s="1127">
        <v>0.0</v>
      </c>
      <c r="I3769" s="1127">
        <v>0.0</v>
      </c>
      <c r="J3769" s="1127">
        <v>0.0</v>
      </c>
      <c r="K3769" s="1124"/>
    </row>
    <row r="3770" ht="15.75" customHeight="1">
      <c r="A3770" s="1119">
        <v>89442.0</v>
      </c>
      <c r="B3770" s="1125" t="s">
        <v>14049</v>
      </c>
      <c r="C3770" s="1126" t="s">
        <v>1788</v>
      </c>
      <c r="D3770" s="1119">
        <v>15.3</v>
      </c>
      <c r="E3770" s="1120">
        <v>7.33</v>
      </c>
      <c r="F3770" s="1121">
        <f t="shared" si="1"/>
        <v>7.97</v>
      </c>
      <c r="G3770" s="1120">
        <v>7.97</v>
      </c>
      <c r="H3770" s="1127">
        <v>0.0</v>
      </c>
      <c r="I3770" s="1127">
        <v>0.0</v>
      </c>
      <c r="J3770" s="1127">
        <v>0.0</v>
      </c>
      <c r="K3770" s="1124"/>
    </row>
    <row r="3771" ht="15.75" customHeight="1">
      <c r="A3771" s="1119">
        <v>89443.0</v>
      </c>
      <c r="B3771" s="1125" t="s">
        <v>14050</v>
      </c>
      <c r="C3771" s="1126" t="s">
        <v>1788</v>
      </c>
      <c r="D3771" s="1119">
        <v>18.82</v>
      </c>
      <c r="E3771" s="1120">
        <v>9.41</v>
      </c>
      <c r="F3771" s="1121">
        <f t="shared" si="1"/>
        <v>9.42</v>
      </c>
      <c r="G3771" s="1120">
        <v>9.42</v>
      </c>
      <c r="H3771" s="1127">
        <v>0.0</v>
      </c>
      <c r="I3771" s="1127">
        <v>0.0</v>
      </c>
      <c r="J3771" s="1127">
        <v>0.0</v>
      </c>
      <c r="K3771" s="1124"/>
    </row>
    <row r="3772" ht="15.75" customHeight="1">
      <c r="A3772" s="1119">
        <v>89444.0</v>
      </c>
      <c r="B3772" s="1125" t="s">
        <v>14051</v>
      </c>
      <c r="C3772" s="1126" t="s">
        <v>1788</v>
      </c>
      <c r="D3772" s="1119">
        <v>26.01</v>
      </c>
      <c r="E3772" s="1120">
        <v>8.08</v>
      </c>
      <c r="F3772" s="1121">
        <f t="shared" si="1"/>
        <v>17.94</v>
      </c>
      <c r="G3772" s="1120">
        <v>17.94</v>
      </c>
      <c r="H3772" s="1127">
        <v>0.0</v>
      </c>
      <c r="I3772" s="1127">
        <v>0.0</v>
      </c>
      <c r="J3772" s="1127">
        <v>0.0</v>
      </c>
      <c r="K3772" s="1124"/>
    </row>
    <row r="3773" ht="15.75" customHeight="1">
      <c r="A3773" s="1119">
        <v>89445.0</v>
      </c>
      <c r="B3773" s="1125" t="s">
        <v>14052</v>
      </c>
      <c r="C3773" s="1126" t="s">
        <v>1788</v>
      </c>
      <c r="D3773" s="1119">
        <v>20.56</v>
      </c>
      <c r="E3773" s="1120">
        <v>8.62</v>
      </c>
      <c r="F3773" s="1121">
        <f t="shared" si="1"/>
        <v>11.95</v>
      </c>
      <c r="G3773" s="1120">
        <v>11.95</v>
      </c>
      <c r="H3773" s="1127">
        <v>0.0</v>
      </c>
      <c r="I3773" s="1127">
        <v>0.0</v>
      </c>
      <c r="J3773" s="1127">
        <v>0.0</v>
      </c>
      <c r="K3773" s="1124"/>
    </row>
    <row r="3774" ht="15.75" customHeight="1">
      <c r="A3774" s="1119">
        <v>89481.0</v>
      </c>
      <c r="B3774" s="1125" t="s">
        <v>14053</v>
      </c>
      <c r="C3774" s="1126" t="s">
        <v>1788</v>
      </c>
      <c r="D3774" s="1119">
        <v>5.97</v>
      </c>
      <c r="E3774" s="1120">
        <v>3.08</v>
      </c>
      <c r="F3774" s="1121">
        <f t="shared" si="1"/>
        <v>2.91</v>
      </c>
      <c r="G3774" s="1120">
        <v>2.91</v>
      </c>
      <c r="H3774" s="1127">
        <v>0.0</v>
      </c>
      <c r="I3774" s="1127">
        <v>0.0</v>
      </c>
      <c r="J3774" s="1127">
        <v>0.0</v>
      </c>
      <c r="K3774" s="1124"/>
    </row>
    <row r="3775" ht="15.75" customHeight="1">
      <c r="A3775" s="1119">
        <v>89485.0</v>
      </c>
      <c r="B3775" s="1125" t="s">
        <v>14054</v>
      </c>
      <c r="C3775" s="1126" t="s">
        <v>1788</v>
      </c>
      <c r="D3775" s="1119">
        <v>6.78</v>
      </c>
      <c r="E3775" s="1120">
        <v>3.06</v>
      </c>
      <c r="F3775" s="1121">
        <f t="shared" si="1"/>
        <v>3.72</v>
      </c>
      <c r="G3775" s="1120">
        <v>3.72</v>
      </c>
      <c r="H3775" s="1127">
        <v>0.0</v>
      </c>
      <c r="I3775" s="1127">
        <v>0.0</v>
      </c>
      <c r="J3775" s="1127">
        <v>0.0</v>
      </c>
      <c r="K3775" s="1124"/>
    </row>
    <row r="3776" ht="15.75" customHeight="1">
      <c r="A3776" s="1119">
        <v>89489.0</v>
      </c>
      <c r="B3776" s="1125" t="s">
        <v>14055</v>
      </c>
      <c r="C3776" s="1126" t="s">
        <v>1788</v>
      </c>
      <c r="D3776" s="1119">
        <v>8.34</v>
      </c>
      <c r="E3776" s="1120">
        <v>3.06</v>
      </c>
      <c r="F3776" s="1121">
        <f t="shared" si="1"/>
        <v>5.29</v>
      </c>
      <c r="G3776" s="1120">
        <v>5.29</v>
      </c>
      <c r="H3776" s="1127">
        <v>0.0</v>
      </c>
      <c r="I3776" s="1127">
        <v>0.0</v>
      </c>
      <c r="J3776" s="1127">
        <v>0.0</v>
      </c>
      <c r="K3776" s="1124"/>
    </row>
    <row r="3777" ht="15.75" customHeight="1">
      <c r="A3777" s="1119">
        <v>89490.0</v>
      </c>
      <c r="B3777" s="1125" t="s">
        <v>14056</v>
      </c>
      <c r="C3777" s="1126" t="s">
        <v>1788</v>
      </c>
      <c r="D3777" s="1119">
        <v>7.78</v>
      </c>
      <c r="E3777" s="1120">
        <v>3.06</v>
      </c>
      <c r="F3777" s="1121">
        <f t="shared" si="1"/>
        <v>4.73</v>
      </c>
      <c r="G3777" s="1120">
        <v>4.73</v>
      </c>
      <c r="H3777" s="1127">
        <v>0.0</v>
      </c>
      <c r="I3777" s="1127">
        <v>0.0</v>
      </c>
      <c r="J3777" s="1127">
        <v>0.0</v>
      </c>
      <c r="K3777" s="1124"/>
    </row>
    <row r="3778" ht="15.75" customHeight="1">
      <c r="A3778" s="1119">
        <v>89492.0</v>
      </c>
      <c r="B3778" s="1125" t="s">
        <v>14057</v>
      </c>
      <c r="C3778" s="1126" t="s">
        <v>1788</v>
      </c>
      <c r="D3778" s="1119">
        <v>9.03</v>
      </c>
      <c r="E3778" s="1120">
        <v>3.74</v>
      </c>
      <c r="F3778" s="1121">
        <f t="shared" si="1"/>
        <v>5.29</v>
      </c>
      <c r="G3778" s="1120">
        <v>5.29</v>
      </c>
      <c r="H3778" s="1127">
        <v>0.0</v>
      </c>
      <c r="I3778" s="1127">
        <v>0.0</v>
      </c>
      <c r="J3778" s="1127">
        <v>0.0</v>
      </c>
      <c r="K3778" s="1124"/>
    </row>
    <row r="3779" ht="15.75" customHeight="1">
      <c r="A3779" s="1119">
        <v>89493.0</v>
      </c>
      <c r="B3779" s="1125" t="s">
        <v>14058</v>
      </c>
      <c r="C3779" s="1126" t="s">
        <v>1788</v>
      </c>
      <c r="D3779" s="1119">
        <v>10.83</v>
      </c>
      <c r="E3779" s="1120">
        <v>3.73</v>
      </c>
      <c r="F3779" s="1121">
        <f t="shared" si="1"/>
        <v>7.1</v>
      </c>
      <c r="G3779" s="1120">
        <v>7.1</v>
      </c>
      <c r="H3779" s="1127">
        <v>0.0</v>
      </c>
      <c r="I3779" s="1127">
        <v>0.0</v>
      </c>
      <c r="J3779" s="1127">
        <v>0.0</v>
      </c>
      <c r="K3779" s="1124"/>
    </row>
    <row r="3780" ht="15.75" customHeight="1">
      <c r="A3780" s="1119">
        <v>89494.0</v>
      </c>
      <c r="B3780" s="1125" t="s">
        <v>14059</v>
      </c>
      <c r="C3780" s="1126" t="s">
        <v>1788</v>
      </c>
      <c r="D3780" s="1119">
        <v>13.25</v>
      </c>
      <c r="E3780" s="1120">
        <v>3.72</v>
      </c>
      <c r="F3780" s="1121">
        <f t="shared" si="1"/>
        <v>9.52</v>
      </c>
      <c r="G3780" s="1120">
        <v>9.52</v>
      </c>
      <c r="H3780" s="1127">
        <v>0.0</v>
      </c>
      <c r="I3780" s="1127">
        <v>0.0</v>
      </c>
      <c r="J3780" s="1127">
        <v>0.0</v>
      </c>
      <c r="K3780" s="1124"/>
    </row>
    <row r="3781" ht="15.75" customHeight="1">
      <c r="A3781" s="1119">
        <v>89496.0</v>
      </c>
      <c r="B3781" s="1125" t="s">
        <v>14060</v>
      </c>
      <c r="C3781" s="1126" t="s">
        <v>1788</v>
      </c>
      <c r="D3781" s="1119">
        <v>11.17</v>
      </c>
      <c r="E3781" s="1120">
        <v>3.73</v>
      </c>
      <c r="F3781" s="1121">
        <f t="shared" si="1"/>
        <v>7.44</v>
      </c>
      <c r="G3781" s="1120">
        <v>7.44</v>
      </c>
      <c r="H3781" s="1127">
        <v>0.0</v>
      </c>
      <c r="I3781" s="1127">
        <v>0.0</v>
      </c>
      <c r="J3781" s="1127">
        <v>0.0</v>
      </c>
      <c r="K3781" s="1124"/>
    </row>
    <row r="3782" ht="15.75" customHeight="1">
      <c r="A3782" s="1119">
        <v>89497.0</v>
      </c>
      <c r="B3782" s="1125" t="s">
        <v>14061</v>
      </c>
      <c r="C3782" s="1126" t="s">
        <v>1788</v>
      </c>
      <c r="D3782" s="1119">
        <v>14.17</v>
      </c>
      <c r="E3782" s="1120">
        <v>4.54</v>
      </c>
      <c r="F3782" s="1121">
        <f t="shared" si="1"/>
        <v>9.63</v>
      </c>
      <c r="G3782" s="1120">
        <v>9.63</v>
      </c>
      <c r="H3782" s="1127">
        <v>0.0</v>
      </c>
      <c r="I3782" s="1127">
        <v>0.0</v>
      </c>
      <c r="J3782" s="1127">
        <v>0.0</v>
      </c>
      <c r="K3782" s="1124"/>
    </row>
    <row r="3783" ht="15.75" customHeight="1">
      <c r="A3783" s="1119">
        <v>89498.0</v>
      </c>
      <c r="B3783" s="1125" t="s">
        <v>14062</v>
      </c>
      <c r="C3783" s="1126" t="s">
        <v>1788</v>
      </c>
      <c r="D3783" s="1119">
        <v>14.23</v>
      </c>
      <c r="E3783" s="1120">
        <v>4.54</v>
      </c>
      <c r="F3783" s="1121">
        <f t="shared" si="1"/>
        <v>9.69</v>
      </c>
      <c r="G3783" s="1120">
        <v>9.69</v>
      </c>
      <c r="H3783" s="1127">
        <v>0.0</v>
      </c>
      <c r="I3783" s="1127">
        <v>0.0</v>
      </c>
      <c r="J3783" s="1127">
        <v>0.0</v>
      </c>
      <c r="K3783" s="1124"/>
    </row>
    <row r="3784" ht="15.75" customHeight="1">
      <c r="A3784" s="1119">
        <v>89499.0</v>
      </c>
      <c r="B3784" s="1125" t="s">
        <v>14063</v>
      </c>
      <c r="C3784" s="1126" t="s">
        <v>1788</v>
      </c>
      <c r="D3784" s="1119">
        <v>20.58</v>
      </c>
      <c r="E3784" s="1120">
        <v>4.53</v>
      </c>
      <c r="F3784" s="1121">
        <f t="shared" si="1"/>
        <v>16.05</v>
      </c>
      <c r="G3784" s="1120">
        <v>16.05</v>
      </c>
      <c r="H3784" s="1127">
        <v>0.0</v>
      </c>
      <c r="I3784" s="1127">
        <v>0.0</v>
      </c>
      <c r="J3784" s="1127">
        <v>0.0</v>
      </c>
      <c r="K3784" s="1124"/>
    </row>
    <row r="3785" ht="15.75" customHeight="1">
      <c r="A3785" s="1119">
        <v>89500.0</v>
      </c>
      <c r="B3785" s="1125" t="s">
        <v>14064</v>
      </c>
      <c r="C3785" s="1126" t="s">
        <v>1788</v>
      </c>
      <c r="D3785" s="1119">
        <v>13.67</v>
      </c>
      <c r="E3785" s="1120">
        <v>4.54</v>
      </c>
      <c r="F3785" s="1121">
        <f t="shared" si="1"/>
        <v>9.13</v>
      </c>
      <c r="G3785" s="1120">
        <v>9.13</v>
      </c>
      <c r="H3785" s="1127">
        <v>0.0</v>
      </c>
      <c r="I3785" s="1127">
        <v>0.0</v>
      </c>
      <c r="J3785" s="1127">
        <v>0.0</v>
      </c>
      <c r="K3785" s="1124"/>
    </row>
    <row r="3786" ht="15.75" customHeight="1">
      <c r="A3786" s="1119">
        <v>89501.0</v>
      </c>
      <c r="B3786" s="1125" t="s">
        <v>14065</v>
      </c>
      <c r="C3786" s="1126" t="s">
        <v>1788</v>
      </c>
      <c r="D3786" s="1119">
        <v>15.49</v>
      </c>
      <c r="E3786" s="1120">
        <v>5.52</v>
      </c>
      <c r="F3786" s="1121">
        <f t="shared" si="1"/>
        <v>9.97</v>
      </c>
      <c r="G3786" s="1120">
        <v>9.97</v>
      </c>
      <c r="H3786" s="1127">
        <v>0.0</v>
      </c>
      <c r="I3786" s="1127">
        <v>0.0</v>
      </c>
      <c r="J3786" s="1127">
        <v>0.0</v>
      </c>
      <c r="K3786" s="1124"/>
    </row>
    <row r="3787" ht="15.75" customHeight="1">
      <c r="A3787" s="1119">
        <v>89502.0</v>
      </c>
      <c r="B3787" s="1125" t="s">
        <v>14066</v>
      </c>
      <c r="C3787" s="1126" t="s">
        <v>1788</v>
      </c>
      <c r="D3787" s="1119">
        <v>18.1</v>
      </c>
      <c r="E3787" s="1120">
        <v>5.51</v>
      </c>
      <c r="F3787" s="1121">
        <f t="shared" si="1"/>
        <v>12.58</v>
      </c>
      <c r="G3787" s="1120">
        <v>12.58</v>
      </c>
      <c r="H3787" s="1127">
        <v>0.0</v>
      </c>
      <c r="I3787" s="1127">
        <v>0.0</v>
      </c>
      <c r="J3787" s="1127">
        <v>0.0</v>
      </c>
      <c r="K3787" s="1124"/>
    </row>
    <row r="3788" ht="15.75" customHeight="1">
      <c r="A3788" s="1119">
        <v>89503.0</v>
      </c>
      <c r="B3788" s="1125" t="s">
        <v>14067</v>
      </c>
      <c r="C3788" s="1126" t="s">
        <v>1788</v>
      </c>
      <c r="D3788" s="1119">
        <v>23.92</v>
      </c>
      <c r="E3788" s="1120">
        <v>5.51</v>
      </c>
      <c r="F3788" s="1121">
        <f t="shared" si="1"/>
        <v>18.41</v>
      </c>
      <c r="G3788" s="1120">
        <v>18.41</v>
      </c>
      <c r="H3788" s="1127">
        <v>0.0</v>
      </c>
      <c r="I3788" s="1127">
        <v>0.0</v>
      </c>
      <c r="J3788" s="1127">
        <v>0.0</v>
      </c>
      <c r="K3788" s="1124"/>
    </row>
    <row r="3789" ht="15.75" customHeight="1">
      <c r="A3789" s="1119">
        <v>89504.0</v>
      </c>
      <c r="B3789" s="1125" t="s">
        <v>14068</v>
      </c>
      <c r="C3789" s="1126" t="s">
        <v>1788</v>
      </c>
      <c r="D3789" s="1119">
        <v>19.97</v>
      </c>
      <c r="E3789" s="1120">
        <v>5.51</v>
      </c>
      <c r="F3789" s="1121">
        <f t="shared" si="1"/>
        <v>14.46</v>
      </c>
      <c r="G3789" s="1120">
        <v>14.46</v>
      </c>
      <c r="H3789" s="1127">
        <v>0.0</v>
      </c>
      <c r="I3789" s="1127">
        <v>0.0</v>
      </c>
      <c r="J3789" s="1127">
        <v>0.0</v>
      </c>
      <c r="K3789" s="1124"/>
    </row>
    <row r="3790" ht="15.75" customHeight="1">
      <c r="A3790" s="1119">
        <v>89505.0</v>
      </c>
      <c r="B3790" s="1125" t="s">
        <v>14069</v>
      </c>
      <c r="C3790" s="1126" t="s">
        <v>1788</v>
      </c>
      <c r="D3790" s="1119">
        <v>42.89</v>
      </c>
      <c r="E3790" s="1120">
        <v>6.52</v>
      </c>
      <c r="F3790" s="1121">
        <f t="shared" si="1"/>
        <v>36.38</v>
      </c>
      <c r="G3790" s="1120">
        <v>36.38</v>
      </c>
      <c r="H3790" s="1127">
        <v>0.0</v>
      </c>
      <c r="I3790" s="1127">
        <v>0.0</v>
      </c>
      <c r="J3790" s="1127">
        <v>0.0</v>
      </c>
      <c r="K3790" s="1124"/>
    </row>
    <row r="3791" ht="15.75" customHeight="1">
      <c r="A3791" s="1119">
        <v>89506.0</v>
      </c>
      <c r="B3791" s="1125" t="s">
        <v>14070</v>
      </c>
      <c r="C3791" s="1126" t="s">
        <v>1788</v>
      </c>
      <c r="D3791" s="1119">
        <v>41.06</v>
      </c>
      <c r="E3791" s="1120">
        <v>6.52</v>
      </c>
      <c r="F3791" s="1121">
        <f t="shared" si="1"/>
        <v>34.55</v>
      </c>
      <c r="G3791" s="1120">
        <v>34.55</v>
      </c>
      <c r="H3791" s="1127">
        <v>0.0</v>
      </c>
      <c r="I3791" s="1127">
        <v>0.0</v>
      </c>
      <c r="J3791" s="1127">
        <v>0.0</v>
      </c>
      <c r="K3791" s="1124"/>
    </row>
    <row r="3792" ht="15.75" customHeight="1">
      <c r="A3792" s="1119">
        <v>89507.0</v>
      </c>
      <c r="B3792" s="1125" t="s">
        <v>14071</v>
      </c>
      <c r="C3792" s="1126" t="s">
        <v>1788</v>
      </c>
      <c r="D3792" s="1119">
        <v>48.28</v>
      </c>
      <c r="E3792" s="1120">
        <v>6.52</v>
      </c>
      <c r="F3792" s="1121">
        <f t="shared" si="1"/>
        <v>41.77</v>
      </c>
      <c r="G3792" s="1120">
        <v>41.77</v>
      </c>
      <c r="H3792" s="1127">
        <v>0.0</v>
      </c>
      <c r="I3792" s="1127">
        <v>0.0</v>
      </c>
      <c r="J3792" s="1127">
        <v>0.0</v>
      </c>
      <c r="K3792" s="1124"/>
    </row>
    <row r="3793" ht="15.75" customHeight="1">
      <c r="A3793" s="1119">
        <v>89510.0</v>
      </c>
      <c r="B3793" s="1125" t="s">
        <v>14072</v>
      </c>
      <c r="C3793" s="1126" t="s">
        <v>1788</v>
      </c>
      <c r="D3793" s="1119">
        <v>28.25</v>
      </c>
      <c r="E3793" s="1120">
        <v>6.53</v>
      </c>
      <c r="F3793" s="1121">
        <f t="shared" si="1"/>
        <v>21.73</v>
      </c>
      <c r="G3793" s="1120">
        <v>21.73</v>
      </c>
      <c r="H3793" s="1127">
        <v>0.0</v>
      </c>
      <c r="I3793" s="1127">
        <v>0.0</v>
      </c>
      <c r="J3793" s="1127">
        <v>0.0</v>
      </c>
      <c r="K3793" s="1124"/>
    </row>
    <row r="3794" ht="15.75" customHeight="1">
      <c r="A3794" s="1119">
        <v>89513.0</v>
      </c>
      <c r="B3794" s="1125" t="s">
        <v>14073</v>
      </c>
      <c r="C3794" s="1126" t="s">
        <v>1788</v>
      </c>
      <c r="D3794" s="1119">
        <v>105.89</v>
      </c>
      <c r="E3794" s="1120">
        <v>8.01</v>
      </c>
      <c r="F3794" s="1121">
        <f t="shared" si="1"/>
        <v>97.88</v>
      </c>
      <c r="G3794" s="1120">
        <v>97.88</v>
      </c>
      <c r="H3794" s="1127">
        <v>0.0</v>
      </c>
      <c r="I3794" s="1127">
        <v>0.0</v>
      </c>
      <c r="J3794" s="1127">
        <v>0.0</v>
      </c>
      <c r="K3794" s="1124"/>
    </row>
    <row r="3795" ht="15.75" customHeight="1">
      <c r="A3795" s="1119">
        <v>89514.0</v>
      </c>
      <c r="B3795" s="1125" t="s">
        <v>14074</v>
      </c>
      <c r="C3795" s="1126" t="s">
        <v>1788</v>
      </c>
      <c r="D3795" s="1119">
        <v>9.15</v>
      </c>
      <c r="E3795" s="1120">
        <v>2.05</v>
      </c>
      <c r="F3795" s="1121">
        <f t="shared" si="1"/>
        <v>7.1</v>
      </c>
      <c r="G3795" s="1120">
        <v>7.1</v>
      </c>
      <c r="H3795" s="1127">
        <v>0.0</v>
      </c>
      <c r="I3795" s="1127">
        <v>0.0</v>
      </c>
      <c r="J3795" s="1127">
        <v>0.0</v>
      </c>
      <c r="K3795" s="1124"/>
    </row>
    <row r="3796" ht="15.75" customHeight="1">
      <c r="A3796" s="1119">
        <v>89515.0</v>
      </c>
      <c r="B3796" s="1125" t="s">
        <v>14075</v>
      </c>
      <c r="C3796" s="1126" t="s">
        <v>1788</v>
      </c>
      <c r="D3796" s="1119">
        <v>84.78</v>
      </c>
      <c r="E3796" s="1120">
        <v>8.01</v>
      </c>
      <c r="F3796" s="1121">
        <f t="shared" si="1"/>
        <v>76.77</v>
      </c>
      <c r="G3796" s="1120">
        <v>76.77</v>
      </c>
      <c r="H3796" s="1127">
        <v>0.0</v>
      </c>
      <c r="I3796" s="1127">
        <v>0.0</v>
      </c>
      <c r="J3796" s="1127">
        <v>0.0</v>
      </c>
      <c r="K3796" s="1124"/>
    </row>
    <row r="3797" ht="15.75" customHeight="1">
      <c r="A3797" s="1119">
        <v>89516.0</v>
      </c>
      <c r="B3797" s="1125" t="s">
        <v>14076</v>
      </c>
      <c r="C3797" s="1126" t="s">
        <v>1788</v>
      </c>
      <c r="D3797" s="1119">
        <v>9.24</v>
      </c>
      <c r="E3797" s="1120">
        <v>2.05</v>
      </c>
      <c r="F3797" s="1121">
        <f t="shared" si="1"/>
        <v>7.19</v>
      </c>
      <c r="G3797" s="1120">
        <v>7.19</v>
      </c>
      <c r="H3797" s="1127">
        <v>0.0</v>
      </c>
      <c r="I3797" s="1127">
        <v>0.0</v>
      </c>
      <c r="J3797" s="1127">
        <v>0.0</v>
      </c>
      <c r="K3797" s="1124"/>
    </row>
    <row r="3798" ht="15.75" customHeight="1">
      <c r="A3798" s="1119">
        <v>89517.0</v>
      </c>
      <c r="B3798" s="1125" t="s">
        <v>14077</v>
      </c>
      <c r="C3798" s="1126" t="s">
        <v>1788</v>
      </c>
      <c r="D3798" s="1119">
        <v>71.3</v>
      </c>
      <c r="E3798" s="1120">
        <v>8.01</v>
      </c>
      <c r="F3798" s="1121">
        <f t="shared" si="1"/>
        <v>63.29</v>
      </c>
      <c r="G3798" s="1120">
        <v>63.29</v>
      </c>
      <c r="H3798" s="1127">
        <v>0.0</v>
      </c>
      <c r="I3798" s="1127">
        <v>0.0</v>
      </c>
      <c r="J3798" s="1127">
        <v>0.0</v>
      </c>
      <c r="K3798" s="1124"/>
    </row>
    <row r="3799" ht="15.75" customHeight="1">
      <c r="A3799" s="1119">
        <v>89518.0</v>
      </c>
      <c r="B3799" s="1125" t="s">
        <v>14078</v>
      </c>
      <c r="C3799" s="1126" t="s">
        <v>1788</v>
      </c>
      <c r="D3799" s="1119">
        <v>15.68</v>
      </c>
      <c r="E3799" s="1120">
        <v>2.62</v>
      </c>
      <c r="F3799" s="1121">
        <f t="shared" si="1"/>
        <v>13.07</v>
      </c>
      <c r="G3799" s="1120">
        <v>13.07</v>
      </c>
      <c r="H3799" s="1127">
        <v>0.0</v>
      </c>
      <c r="I3799" s="1127">
        <v>0.0</v>
      </c>
      <c r="J3799" s="1127">
        <v>0.0</v>
      </c>
      <c r="K3799" s="1124"/>
    </row>
    <row r="3800" ht="15.75" customHeight="1">
      <c r="A3800" s="1119">
        <v>89519.0</v>
      </c>
      <c r="B3800" s="1125" t="s">
        <v>14079</v>
      </c>
      <c r="C3800" s="1126" t="s">
        <v>1788</v>
      </c>
      <c r="D3800" s="1119">
        <v>48.89</v>
      </c>
      <c r="E3800" s="1120">
        <v>8.01</v>
      </c>
      <c r="F3800" s="1121">
        <f t="shared" si="1"/>
        <v>40.88</v>
      </c>
      <c r="G3800" s="1120">
        <v>40.88</v>
      </c>
      <c r="H3800" s="1127">
        <v>0.0</v>
      </c>
      <c r="I3800" s="1127">
        <v>0.0</v>
      </c>
      <c r="J3800" s="1127">
        <v>0.0</v>
      </c>
      <c r="K3800" s="1124"/>
    </row>
    <row r="3801" ht="15.75" customHeight="1">
      <c r="A3801" s="1119">
        <v>89520.0</v>
      </c>
      <c r="B3801" s="1125" t="s">
        <v>14080</v>
      </c>
      <c r="C3801" s="1126" t="s">
        <v>1788</v>
      </c>
      <c r="D3801" s="1119">
        <v>16.5</v>
      </c>
      <c r="E3801" s="1120">
        <v>2.62</v>
      </c>
      <c r="F3801" s="1121">
        <f t="shared" si="1"/>
        <v>13.9</v>
      </c>
      <c r="G3801" s="1120">
        <v>13.9</v>
      </c>
      <c r="H3801" s="1127">
        <v>0.0</v>
      </c>
      <c r="I3801" s="1127">
        <v>0.0</v>
      </c>
      <c r="J3801" s="1127">
        <v>0.0</v>
      </c>
      <c r="K3801" s="1124"/>
    </row>
    <row r="3802" ht="15.75" customHeight="1">
      <c r="A3802" s="1119">
        <v>89521.0</v>
      </c>
      <c r="B3802" s="1125" t="s">
        <v>14081</v>
      </c>
      <c r="C3802" s="1126" t="s">
        <v>1788</v>
      </c>
      <c r="D3802" s="1119">
        <v>126.13</v>
      </c>
      <c r="E3802" s="1120">
        <v>8.98</v>
      </c>
      <c r="F3802" s="1121">
        <f t="shared" si="1"/>
        <v>117.16</v>
      </c>
      <c r="G3802" s="1120">
        <v>117.16</v>
      </c>
      <c r="H3802" s="1127">
        <v>0.0</v>
      </c>
      <c r="I3802" s="1127">
        <v>0.0</v>
      </c>
      <c r="J3802" s="1127">
        <v>0.0</v>
      </c>
      <c r="K3802" s="1124"/>
    </row>
    <row r="3803" ht="15.75" customHeight="1">
      <c r="A3803" s="1119">
        <v>89522.0</v>
      </c>
      <c r="B3803" s="1125" t="s">
        <v>14082</v>
      </c>
      <c r="C3803" s="1126" t="s">
        <v>1788</v>
      </c>
      <c r="D3803" s="1119">
        <v>31.57</v>
      </c>
      <c r="E3803" s="1120">
        <v>4.07</v>
      </c>
      <c r="F3803" s="1121">
        <f t="shared" si="1"/>
        <v>27.52</v>
      </c>
      <c r="G3803" s="1120">
        <v>27.52</v>
      </c>
      <c r="H3803" s="1127">
        <v>0.0</v>
      </c>
      <c r="I3803" s="1127">
        <v>0.0</v>
      </c>
      <c r="J3803" s="1127">
        <v>0.0</v>
      </c>
      <c r="K3803" s="1124"/>
    </row>
    <row r="3804" ht="15.75" customHeight="1">
      <c r="A3804" s="1119">
        <v>89523.0</v>
      </c>
      <c r="B3804" s="1125" t="s">
        <v>14083</v>
      </c>
      <c r="C3804" s="1126" t="s">
        <v>1788</v>
      </c>
      <c r="D3804" s="1119">
        <v>103.52</v>
      </c>
      <c r="E3804" s="1120">
        <v>8.98</v>
      </c>
      <c r="F3804" s="1121">
        <f t="shared" si="1"/>
        <v>94.55</v>
      </c>
      <c r="G3804" s="1120">
        <v>94.55</v>
      </c>
      <c r="H3804" s="1127">
        <v>0.0</v>
      </c>
      <c r="I3804" s="1127">
        <v>0.0</v>
      </c>
      <c r="J3804" s="1127">
        <v>0.0</v>
      </c>
      <c r="K3804" s="1124"/>
    </row>
    <row r="3805" ht="15.75" customHeight="1">
      <c r="A3805" s="1119">
        <v>89524.0</v>
      </c>
      <c r="B3805" s="1125" t="s">
        <v>14084</v>
      </c>
      <c r="C3805" s="1126" t="s">
        <v>1788</v>
      </c>
      <c r="D3805" s="1119">
        <v>32.09</v>
      </c>
      <c r="E3805" s="1120">
        <v>4.07</v>
      </c>
      <c r="F3805" s="1121">
        <f t="shared" si="1"/>
        <v>28.04</v>
      </c>
      <c r="G3805" s="1120">
        <v>28.04</v>
      </c>
      <c r="H3805" s="1127">
        <v>0.0</v>
      </c>
      <c r="I3805" s="1127">
        <v>0.0</v>
      </c>
      <c r="J3805" s="1127">
        <v>0.0</v>
      </c>
      <c r="K3805" s="1124"/>
    </row>
    <row r="3806" ht="15.75" customHeight="1">
      <c r="A3806" s="1119">
        <v>89525.0</v>
      </c>
      <c r="B3806" s="1125" t="s">
        <v>14085</v>
      </c>
      <c r="C3806" s="1126" t="s">
        <v>1788</v>
      </c>
      <c r="D3806" s="1119">
        <v>89.47</v>
      </c>
      <c r="E3806" s="1120">
        <v>8.98</v>
      </c>
      <c r="F3806" s="1121">
        <f t="shared" si="1"/>
        <v>80.5</v>
      </c>
      <c r="G3806" s="1120">
        <v>80.5</v>
      </c>
      <c r="H3806" s="1127">
        <v>0.0</v>
      </c>
      <c r="I3806" s="1127">
        <v>0.0</v>
      </c>
      <c r="J3806" s="1127">
        <v>0.0</v>
      </c>
      <c r="K3806" s="1124"/>
    </row>
    <row r="3807" ht="15.75" customHeight="1">
      <c r="A3807" s="1119">
        <v>89526.0</v>
      </c>
      <c r="B3807" s="1125" t="s">
        <v>14086</v>
      </c>
      <c r="C3807" s="1126" t="s">
        <v>1788</v>
      </c>
      <c r="D3807" s="1119">
        <v>41.69</v>
      </c>
      <c r="E3807" s="1120">
        <v>4.07</v>
      </c>
      <c r="F3807" s="1121">
        <f t="shared" si="1"/>
        <v>37.64</v>
      </c>
      <c r="G3807" s="1120">
        <v>37.64</v>
      </c>
      <c r="H3807" s="1127">
        <v>0.0</v>
      </c>
      <c r="I3807" s="1127">
        <v>0.0</v>
      </c>
      <c r="J3807" s="1127">
        <v>0.0</v>
      </c>
      <c r="K3807" s="1124"/>
    </row>
    <row r="3808" ht="15.75" customHeight="1">
      <c r="A3808" s="1119">
        <v>89527.0</v>
      </c>
      <c r="B3808" s="1125" t="s">
        <v>14087</v>
      </c>
      <c r="C3808" s="1126" t="s">
        <v>1788</v>
      </c>
      <c r="D3808" s="1119">
        <v>58.8</v>
      </c>
      <c r="E3808" s="1120">
        <v>8.99</v>
      </c>
      <c r="F3808" s="1121">
        <f t="shared" si="1"/>
        <v>49.82</v>
      </c>
      <c r="G3808" s="1120">
        <v>49.82</v>
      </c>
      <c r="H3808" s="1127">
        <v>0.0</v>
      </c>
      <c r="I3808" s="1127">
        <v>0.0</v>
      </c>
      <c r="J3808" s="1127">
        <v>0.0</v>
      </c>
      <c r="K3808" s="1124"/>
    </row>
    <row r="3809" ht="15.75" customHeight="1">
      <c r="A3809" s="1119">
        <v>89528.0</v>
      </c>
      <c r="B3809" s="1125" t="s">
        <v>14088</v>
      </c>
      <c r="C3809" s="1126" t="s">
        <v>1788</v>
      </c>
      <c r="D3809" s="1119">
        <v>4.71</v>
      </c>
      <c r="E3809" s="1120">
        <v>2.05</v>
      </c>
      <c r="F3809" s="1121">
        <f t="shared" si="1"/>
        <v>2.66</v>
      </c>
      <c r="G3809" s="1120">
        <v>2.66</v>
      </c>
      <c r="H3809" s="1127">
        <v>0.0</v>
      </c>
      <c r="I3809" s="1127">
        <v>0.0</v>
      </c>
      <c r="J3809" s="1127">
        <v>0.0</v>
      </c>
      <c r="K3809" s="1124"/>
    </row>
    <row r="3810" ht="15.75" customHeight="1">
      <c r="A3810" s="1119">
        <v>89529.0</v>
      </c>
      <c r="B3810" s="1125" t="s">
        <v>14089</v>
      </c>
      <c r="C3810" s="1126" t="s">
        <v>1788</v>
      </c>
      <c r="D3810" s="1119">
        <v>39.11</v>
      </c>
      <c r="E3810" s="1120">
        <v>5.58</v>
      </c>
      <c r="F3810" s="1121">
        <f t="shared" si="1"/>
        <v>33.52</v>
      </c>
      <c r="G3810" s="1120">
        <v>33.52</v>
      </c>
      <c r="H3810" s="1127">
        <v>0.0</v>
      </c>
      <c r="I3810" s="1127">
        <v>0.0</v>
      </c>
      <c r="J3810" s="1127">
        <v>0.0</v>
      </c>
      <c r="K3810" s="1124"/>
    </row>
    <row r="3811" ht="15.75" customHeight="1">
      <c r="A3811" s="1119">
        <v>89530.0</v>
      </c>
      <c r="B3811" s="1125" t="s">
        <v>14090</v>
      </c>
      <c r="C3811" s="1126" t="s">
        <v>1788</v>
      </c>
      <c r="D3811" s="1119">
        <v>16.78</v>
      </c>
      <c r="E3811" s="1120">
        <v>2.03</v>
      </c>
      <c r="F3811" s="1121">
        <f t="shared" si="1"/>
        <v>14.75</v>
      </c>
      <c r="G3811" s="1120">
        <v>14.75</v>
      </c>
      <c r="H3811" s="1127">
        <v>0.0</v>
      </c>
      <c r="I3811" s="1127">
        <v>0.0</v>
      </c>
      <c r="J3811" s="1127">
        <v>0.0</v>
      </c>
      <c r="K3811" s="1124"/>
    </row>
    <row r="3812" ht="15.75" customHeight="1">
      <c r="A3812" s="1119">
        <v>89531.0</v>
      </c>
      <c r="B3812" s="1125" t="s">
        <v>14091</v>
      </c>
      <c r="C3812" s="1126" t="s">
        <v>1788</v>
      </c>
      <c r="D3812" s="1119">
        <v>40.28</v>
      </c>
      <c r="E3812" s="1120">
        <v>5.58</v>
      </c>
      <c r="F3812" s="1121">
        <f t="shared" si="1"/>
        <v>34.69</v>
      </c>
      <c r="G3812" s="1120">
        <v>34.69</v>
      </c>
      <c r="H3812" s="1127">
        <v>0.0</v>
      </c>
      <c r="I3812" s="1127">
        <v>0.0</v>
      </c>
      <c r="J3812" s="1127">
        <v>0.0</v>
      </c>
      <c r="K3812" s="1124"/>
    </row>
    <row r="3813" ht="15.75" customHeight="1">
      <c r="A3813" s="1119">
        <v>89532.0</v>
      </c>
      <c r="B3813" s="1125" t="s">
        <v>14092</v>
      </c>
      <c r="C3813" s="1126" t="s">
        <v>1788</v>
      </c>
      <c r="D3813" s="1119">
        <v>7.61</v>
      </c>
      <c r="E3813" s="1120">
        <v>2.27</v>
      </c>
      <c r="F3813" s="1121">
        <f t="shared" si="1"/>
        <v>5.33</v>
      </c>
      <c r="G3813" s="1120">
        <v>5.33</v>
      </c>
      <c r="H3813" s="1127">
        <v>0.0</v>
      </c>
      <c r="I3813" s="1127">
        <v>0.0</v>
      </c>
      <c r="J3813" s="1127">
        <v>0.0</v>
      </c>
      <c r="K3813" s="1124"/>
    </row>
    <row r="3814" ht="15.75" customHeight="1">
      <c r="A3814" s="1119">
        <v>89535.0</v>
      </c>
      <c r="B3814" s="1125" t="s">
        <v>14093</v>
      </c>
      <c r="C3814" s="1126" t="s">
        <v>1788</v>
      </c>
      <c r="D3814" s="1119">
        <v>45.3</v>
      </c>
      <c r="E3814" s="1120">
        <v>5.58</v>
      </c>
      <c r="F3814" s="1121">
        <f t="shared" si="1"/>
        <v>39.71</v>
      </c>
      <c r="G3814" s="1120">
        <v>39.71</v>
      </c>
      <c r="H3814" s="1127">
        <v>0.0</v>
      </c>
      <c r="I3814" s="1127">
        <v>0.0</v>
      </c>
      <c r="J3814" s="1127">
        <v>0.0</v>
      </c>
      <c r="K3814" s="1124"/>
    </row>
    <row r="3815" ht="15.75" customHeight="1">
      <c r="A3815" s="1119">
        <v>89536.0</v>
      </c>
      <c r="B3815" s="1125" t="s">
        <v>14094</v>
      </c>
      <c r="C3815" s="1126" t="s">
        <v>1788</v>
      </c>
      <c r="D3815" s="1119">
        <v>12.22</v>
      </c>
      <c r="E3815" s="1120">
        <v>2.04</v>
      </c>
      <c r="F3815" s="1121">
        <f t="shared" si="1"/>
        <v>10.19</v>
      </c>
      <c r="G3815" s="1120">
        <v>10.19</v>
      </c>
      <c r="H3815" s="1127">
        <v>0.0</v>
      </c>
      <c r="I3815" s="1127">
        <v>0.0</v>
      </c>
      <c r="J3815" s="1127">
        <v>0.0</v>
      </c>
      <c r="K3815" s="1124"/>
    </row>
    <row r="3816" ht="15.75" customHeight="1">
      <c r="A3816" s="1119">
        <v>89540.0</v>
      </c>
      <c r="B3816" s="1125" t="s">
        <v>14095</v>
      </c>
      <c r="C3816" s="1126" t="s">
        <v>1788</v>
      </c>
      <c r="D3816" s="1119">
        <v>10.85</v>
      </c>
      <c r="E3816" s="1120">
        <v>2.04</v>
      </c>
      <c r="F3816" s="1121">
        <f t="shared" si="1"/>
        <v>8.82</v>
      </c>
      <c r="G3816" s="1120">
        <v>8.82</v>
      </c>
      <c r="H3816" s="1127">
        <v>0.0</v>
      </c>
      <c r="I3816" s="1127">
        <v>0.0</v>
      </c>
      <c r="J3816" s="1127">
        <v>0.0</v>
      </c>
      <c r="K3816" s="1124"/>
    </row>
    <row r="3817" ht="15.75" customHeight="1">
      <c r="A3817" s="1119">
        <v>89541.0</v>
      </c>
      <c r="B3817" s="1125" t="s">
        <v>14096</v>
      </c>
      <c r="C3817" s="1126" t="s">
        <v>1788</v>
      </c>
      <c r="D3817" s="1119">
        <v>6.95</v>
      </c>
      <c r="E3817" s="1120">
        <v>2.51</v>
      </c>
      <c r="F3817" s="1121">
        <f t="shared" si="1"/>
        <v>4.43</v>
      </c>
      <c r="G3817" s="1120">
        <v>4.43</v>
      </c>
      <c r="H3817" s="1127">
        <v>0.0</v>
      </c>
      <c r="I3817" s="1127">
        <v>0.0</v>
      </c>
      <c r="J3817" s="1127">
        <v>0.0</v>
      </c>
      <c r="K3817" s="1124"/>
    </row>
    <row r="3818" ht="15.75" customHeight="1">
      <c r="A3818" s="1119">
        <v>89542.0</v>
      </c>
      <c r="B3818" s="1125" t="s">
        <v>14097</v>
      </c>
      <c r="C3818" s="1126" t="s">
        <v>1788</v>
      </c>
      <c r="D3818" s="1119">
        <v>27.81</v>
      </c>
      <c r="E3818" s="1120">
        <v>2.48</v>
      </c>
      <c r="F3818" s="1121">
        <f t="shared" si="1"/>
        <v>25.32</v>
      </c>
      <c r="G3818" s="1120">
        <v>25.32</v>
      </c>
      <c r="H3818" s="1127">
        <v>0.0</v>
      </c>
      <c r="I3818" s="1127">
        <v>0.0</v>
      </c>
      <c r="J3818" s="1127">
        <v>0.0</v>
      </c>
      <c r="K3818" s="1124"/>
    </row>
    <row r="3819" ht="15.75" customHeight="1">
      <c r="A3819" s="1119">
        <v>89544.0</v>
      </c>
      <c r="B3819" s="1125" t="s">
        <v>14098</v>
      </c>
      <c r="C3819" s="1126" t="s">
        <v>1788</v>
      </c>
      <c r="D3819" s="1119">
        <v>9.35</v>
      </c>
      <c r="E3819" s="1120">
        <v>1.36</v>
      </c>
      <c r="F3819" s="1121">
        <f t="shared" si="1"/>
        <v>8</v>
      </c>
      <c r="G3819" s="1120">
        <v>8.0</v>
      </c>
      <c r="H3819" s="1127">
        <v>0.0</v>
      </c>
      <c r="I3819" s="1127">
        <v>0.0</v>
      </c>
      <c r="J3819" s="1127">
        <v>0.0</v>
      </c>
      <c r="K3819" s="1124"/>
    </row>
    <row r="3820" ht="15.75" customHeight="1">
      <c r="A3820" s="1119">
        <v>89545.0</v>
      </c>
      <c r="B3820" s="1125" t="s">
        <v>14099</v>
      </c>
      <c r="C3820" s="1126" t="s">
        <v>1788</v>
      </c>
      <c r="D3820" s="1119">
        <v>17.95</v>
      </c>
      <c r="E3820" s="1120">
        <v>1.73</v>
      </c>
      <c r="F3820" s="1121">
        <f t="shared" si="1"/>
        <v>16.21</v>
      </c>
      <c r="G3820" s="1120">
        <v>16.21</v>
      </c>
      <c r="H3820" s="1127">
        <v>0.0</v>
      </c>
      <c r="I3820" s="1127">
        <v>0.0</v>
      </c>
      <c r="J3820" s="1127">
        <v>0.0</v>
      </c>
      <c r="K3820" s="1124"/>
    </row>
    <row r="3821" ht="15.75" customHeight="1">
      <c r="A3821" s="1119">
        <v>89546.0</v>
      </c>
      <c r="B3821" s="1125" t="s">
        <v>14100</v>
      </c>
      <c r="C3821" s="1126" t="s">
        <v>1788</v>
      </c>
      <c r="D3821" s="1119">
        <v>11.75</v>
      </c>
      <c r="E3821" s="1120">
        <v>1.55</v>
      </c>
      <c r="F3821" s="1121">
        <f t="shared" si="1"/>
        <v>10.2</v>
      </c>
      <c r="G3821" s="1120">
        <v>10.2</v>
      </c>
      <c r="H3821" s="1127">
        <v>0.0</v>
      </c>
      <c r="I3821" s="1127">
        <v>0.0</v>
      </c>
      <c r="J3821" s="1127">
        <v>0.0</v>
      </c>
      <c r="K3821" s="1124"/>
    </row>
    <row r="3822" ht="15.75" customHeight="1">
      <c r="A3822" s="1119">
        <v>89547.0</v>
      </c>
      <c r="B3822" s="1125" t="s">
        <v>14101</v>
      </c>
      <c r="C3822" s="1126" t="s">
        <v>1788</v>
      </c>
      <c r="D3822" s="1119">
        <v>23.83</v>
      </c>
      <c r="E3822" s="1120">
        <v>2.7</v>
      </c>
      <c r="F3822" s="1121">
        <f t="shared" si="1"/>
        <v>21.13</v>
      </c>
      <c r="G3822" s="1120">
        <v>21.13</v>
      </c>
      <c r="H3822" s="1127">
        <v>0.0</v>
      </c>
      <c r="I3822" s="1127">
        <v>0.0</v>
      </c>
      <c r="J3822" s="1127">
        <v>0.0</v>
      </c>
      <c r="K3822" s="1124"/>
    </row>
    <row r="3823" ht="15.75" customHeight="1">
      <c r="A3823" s="1119">
        <v>89548.0</v>
      </c>
      <c r="B3823" s="1125" t="s">
        <v>14102</v>
      </c>
      <c r="C3823" s="1126" t="s">
        <v>1788</v>
      </c>
      <c r="D3823" s="1119">
        <v>23.99</v>
      </c>
      <c r="E3823" s="1120">
        <v>2.7</v>
      </c>
      <c r="F3823" s="1121">
        <f t="shared" si="1"/>
        <v>21.29</v>
      </c>
      <c r="G3823" s="1120">
        <v>21.29</v>
      </c>
      <c r="H3823" s="1127">
        <v>0.0</v>
      </c>
      <c r="I3823" s="1127">
        <v>0.0</v>
      </c>
      <c r="J3823" s="1127">
        <v>0.0</v>
      </c>
      <c r="K3823" s="1124"/>
    </row>
    <row r="3824" ht="15.75" customHeight="1">
      <c r="A3824" s="1119">
        <v>89549.0</v>
      </c>
      <c r="B3824" s="1125" t="s">
        <v>14103</v>
      </c>
      <c r="C3824" s="1126" t="s">
        <v>1788</v>
      </c>
      <c r="D3824" s="1119">
        <v>19.76</v>
      </c>
      <c r="E3824" s="1120">
        <v>2.22</v>
      </c>
      <c r="F3824" s="1121">
        <f t="shared" si="1"/>
        <v>17.52</v>
      </c>
      <c r="G3824" s="1120">
        <v>17.52</v>
      </c>
      <c r="H3824" s="1127">
        <v>0.0</v>
      </c>
      <c r="I3824" s="1127">
        <v>0.0</v>
      </c>
      <c r="J3824" s="1127">
        <v>0.0</v>
      </c>
      <c r="K3824" s="1124"/>
    </row>
    <row r="3825" ht="15.75" customHeight="1">
      <c r="A3825" s="1119">
        <v>89550.0</v>
      </c>
      <c r="B3825" s="1125" t="s">
        <v>14104</v>
      </c>
      <c r="C3825" s="1126" t="s">
        <v>1788</v>
      </c>
      <c r="D3825" s="1119">
        <v>44.09</v>
      </c>
      <c r="E3825" s="1120">
        <v>2.7</v>
      </c>
      <c r="F3825" s="1121">
        <f t="shared" si="1"/>
        <v>41.39</v>
      </c>
      <c r="G3825" s="1120">
        <v>41.39</v>
      </c>
      <c r="H3825" s="1127">
        <v>0.0</v>
      </c>
      <c r="I3825" s="1127">
        <v>0.0</v>
      </c>
      <c r="J3825" s="1127">
        <v>0.0</v>
      </c>
      <c r="K3825" s="1124"/>
    </row>
    <row r="3826" ht="15.75" customHeight="1">
      <c r="A3826" s="1119">
        <v>89551.0</v>
      </c>
      <c r="B3826" s="1125" t="s">
        <v>14105</v>
      </c>
      <c r="C3826" s="1126" t="s">
        <v>1788</v>
      </c>
      <c r="D3826" s="1119">
        <v>9.08</v>
      </c>
      <c r="E3826" s="1120">
        <v>2.27</v>
      </c>
      <c r="F3826" s="1121">
        <f t="shared" si="1"/>
        <v>6.8</v>
      </c>
      <c r="G3826" s="1120">
        <v>6.8</v>
      </c>
      <c r="H3826" s="1127">
        <v>0.0</v>
      </c>
      <c r="I3826" s="1127">
        <v>0.0</v>
      </c>
      <c r="J3826" s="1127">
        <v>0.0</v>
      </c>
      <c r="K3826" s="1124"/>
    </row>
    <row r="3827" ht="15.75" customHeight="1">
      <c r="A3827" s="1119">
        <v>89552.0</v>
      </c>
      <c r="B3827" s="1125" t="s">
        <v>14106</v>
      </c>
      <c r="C3827" s="1126" t="s">
        <v>1788</v>
      </c>
      <c r="D3827" s="1119">
        <v>18.95</v>
      </c>
      <c r="E3827" s="1120">
        <v>2.49</v>
      </c>
      <c r="F3827" s="1121">
        <f t="shared" si="1"/>
        <v>16.45</v>
      </c>
      <c r="G3827" s="1120">
        <v>16.45</v>
      </c>
      <c r="H3827" s="1127">
        <v>0.0</v>
      </c>
      <c r="I3827" s="1127">
        <v>0.0</v>
      </c>
      <c r="J3827" s="1127">
        <v>0.0</v>
      </c>
      <c r="K3827" s="1124"/>
    </row>
    <row r="3828" ht="15.75" customHeight="1">
      <c r="A3828" s="1119">
        <v>89553.0</v>
      </c>
      <c r="B3828" s="1125" t="s">
        <v>14107</v>
      </c>
      <c r="C3828" s="1126" t="s">
        <v>1788</v>
      </c>
      <c r="D3828" s="1119">
        <v>6.24</v>
      </c>
      <c r="E3828" s="1120">
        <v>2.28</v>
      </c>
      <c r="F3828" s="1121">
        <f t="shared" si="1"/>
        <v>3.95</v>
      </c>
      <c r="G3828" s="1120">
        <v>3.95</v>
      </c>
      <c r="H3828" s="1127">
        <v>0.0</v>
      </c>
      <c r="I3828" s="1127">
        <v>0.0</v>
      </c>
      <c r="J3828" s="1127">
        <v>0.0</v>
      </c>
      <c r="K3828" s="1124"/>
    </row>
    <row r="3829" ht="15.75" customHeight="1">
      <c r="A3829" s="1119">
        <v>89554.0</v>
      </c>
      <c r="B3829" s="1125" t="s">
        <v>14108</v>
      </c>
      <c r="C3829" s="1126" t="s">
        <v>1788</v>
      </c>
      <c r="D3829" s="1119">
        <v>30.12</v>
      </c>
      <c r="E3829" s="1120">
        <v>3.71</v>
      </c>
      <c r="F3829" s="1121">
        <f t="shared" si="1"/>
        <v>26.41</v>
      </c>
      <c r="G3829" s="1120">
        <v>26.41</v>
      </c>
      <c r="H3829" s="1127">
        <v>0.0</v>
      </c>
      <c r="I3829" s="1127">
        <v>0.0</v>
      </c>
      <c r="J3829" s="1127">
        <v>0.0</v>
      </c>
      <c r="K3829" s="1124"/>
    </row>
    <row r="3830" ht="15.75" customHeight="1">
      <c r="A3830" s="1119">
        <v>89555.0</v>
      </c>
      <c r="B3830" s="1125" t="s">
        <v>14109</v>
      </c>
      <c r="C3830" s="1126" t="s">
        <v>1788</v>
      </c>
      <c r="D3830" s="1119">
        <v>22.14</v>
      </c>
      <c r="E3830" s="1120">
        <v>2.49</v>
      </c>
      <c r="F3830" s="1121">
        <f t="shared" si="1"/>
        <v>19.65</v>
      </c>
      <c r="G3830" s="1120">
        <v>19.65</v>
      </c>
      <c r="H3830" s="1127">
        <v>0.0</v>
      </c>
      <c r="I3830" s="1127">
        <v>0.0</v>
      </c>
      <c r="J3830" s="1127">
        <v>0.0</v>
      </c>
      <c r="K3830" s="1124"/>
    </row>
    <row r="3831" ht="15.75" customHeight="1">
      <c r="A3831" s="1119">
        <v>89556.0</v>
      </c>
      <c r="B3831" s="1125" t="s">
        <v>14110</v>
      </c>
      <c r="C3831" s="1126" t="s">
        <v>1788</v>
      </c>
      <c r="D3831" s="1119">
        <v>42.43</v>
      </c>
      <c r="E3831" s="1120">
        <v>3.7</v>
      </c>
      <c r="F3831" s="1121">
        <f t="shared" si="1"/>
        <v>38.72</v>
      </c>
      <c r="G3831" s="1120">
        <v>38.72</v>
      </c>
      <c r="H3831" s="1127">
        <v>0.0</v>
      </c>
      <c r="I3831" s="1127">
        <v>0.0</v>
      </c>
      <c r="J3831" s="1127">
        <v>0.0</v>
      </c>
      <c r="K3831" s="1124"/>
    </row>
    <row r="3832" ht="15.75" customHeight="1">
      <c r="A3832" s="1119">
        <v>89557.0</v>
      </c>
      <c r="B3832" s="1125" t="s">
        <v>14111</v>
      </c>
      <c r="C3832" s="1126" t="s">
        <v>1788</v>
      </c>
      <c r="D3832" s="1119">
        <v>33.54</v>
      </c>
      <c r="E3832" s="1120">
        <v>3.21</v>
      </c>
      <c r="F3832" s="1121">
        <f t="shared" si="1"/>
        <v>30.34</v>
      </c>
      <c r="G3832" s="1120">
        <v>30.34</v>
      </c>
      <c r="H3832" s="1127">
        <v>0.0</v>
      </c>
      <c r="I3832" s="1127">
        <v>0.0</v>
      </c>
      <c r="J3832" s="1127">
        <v>0.0</v>
      </c>
      <c r="K3832" s="1124"/>
    </row>
    <row r="3833" ht="15.75" customHeight="1">
      <c r="A3833" s="1119">
        <v>89558.0</v>
      </c>
      <c r="B3833" s="1125" t="s">
        <v>14112</v>
      </c>
      <c r="C3833" s="1126" t="s">
        <v>1788</v>
      </c>
      <c r="D3833" s="1119">
        <v>10.41</v>
      </c>
      <c r="E3833" s="1120">
        <v>3.01</v>
      </c>
      <c r="F3833" s="1121">
        <f t="shared" si="1"/>
        <v>7.41</v>
      </c>
      <c r="G3833" s="1120">
        <v>7.41</v>
      </c>
      <c r="H3833" s="1127">
        <v>0.0</v>
      </c>
      <c r="I3833" s="1127">
        <v>0.0</v>
      </c>
      <c r="J3833" s="1127">
        <v>0.0</v>
      </c>
      <c r="K3833" s="1124"/>
    </row>
    <row r="3834" ht="15.75" customHeight="1">
      <c r="A3834" s="1119">
        <v>89559.0</v>
      </c>
      <c r="B3834" s="1125" t="s">
        <v>14113</v>
      </c>
      <c r="C3834" s="1126" t="s">
        <v>1788</v>
      </c>
      <c r="D3834" s="1119">
        <v>72.15</v>
      </c>
      <c r="E3834" s="1120">
        <v>3.7</v>
      </c>
      <c r="F3834" s="1121">
        <f t="shared" si="1"/>
        <v>68.44</v>
      </c>
      <c r="G3834" s="1120">
        <v>68.44</v>
      </c>
      <c r="H3834" s="1127">
        <v>0.0</v>
      </c>
      <c r="I3834" s="1127">
        <v>0.0</v>
      </c>
      <c r="J3834" s="1127">
        <v>0.0</v>
      </c>
      <c r="K3834" s="1124"/>
    </row>
    <row r="3835" ht="15.75" customHeight="1">
      <c r="A3835" s="1119">
        <v>89560.0</v>
      </c>
      <c r="B3835" s="1125" t="s">
        <v>14114</v>
      </c>
      <c r="C3835" s="1126" t="s">
        <v>1788</v>
      </c>
      <c r="D3835" s="1119">
        <v>35.61</v>
      </c>
      <c r="E3835" s="1120">
        <v>3.0</v>
      </c>
      <c r="F3835" s="1121">
        <f t="shared" si="1"/>
        <v>32.62</v>
      </c>
      <c r="G3835" s="1120">
        <v>32.62</v>
      </c>
      <c r="H3835" s="1127">
        <v>0.0</v>
      </c>
      <c r="I3835" s="1127">
        <v>0.0</v>
      </c>
      <c r="J3835" s="1127">
        <v>0.0</v>
      </c>
      <c r="K3835" s="1124"/>
    </row>
    <row r="3836" ht="15.75" customHeight="1">
      <c r="A3836" s="1119">
        <v>89561.0</v>
      </c>
      <c r="B3836" s="1125" t="s">
        <v>14115</v>
      </c>
      <c r="C3836" s="1126" t="s">
        <v>1788</v>
      </c>
      <c r="D3836" s="1119">
        <v>16.31</v>
      </c>
      <c r="E3836" s="1120">
        <v>2.73</v>
      </c>
      <c r="F3836" s="1121">
        <f t="shared" si="1"/>
        <v>13.58</v>
      </c>
      <c r="G3836" s="1120">
        <v>13.58</v>
      </c>
      <c r="H3836" s="1127">
        <v>0.0</v>
      </c>
      <c r="I3836" s="1127">
        <v>0.0</v>
      </c>
      <c r="J3836" s="1127">
        <v>0.0</v>
      </c>
      <c r="K3836" s="1124"/>
    </row>
    <row r="3837" ht="15.75" customHeight="1">
      <c r="A3837" s="1119">
        <v>89562.0</v>
      </c>
      <c r="B3837" s="1125" t="s">
        <v>14116</v>
      </c>
      <c r="C3837" s="1126" t="s">
        <v>1788</v>
      </c>
      <c r="D3837" s="1119">
        <v>10.95</v>
      </c>
      <c r="E3837" s="1120">
        <v>2.75</v>
      </c>
      <c r="F3837" s="1121">
        <f t="shared" si="1"/>
        <v>8.21</v>
      </c>
      <c r="G3837" s="1120">
        <v>8.21</v>
      </c>
      <c r="H3837" s="1127">
        <v>0.0</v>
      </c>
      <c r="I3837" s="1127">
        <v>0.0</v>
      </c>
      <c r="J3837" s="1127">
        <v>0.0</v>
      </c>
      <c r="K3837" s="1124"/>
    </row>
    <row r="3838" ht="15.75" customHeight="1">
      <c r="A3838" s="1119">
        <v>89563.0</v>
      </c>
      <c r="B3838" s="1125" t="s">
        <v>14117</v>
      </c>
      <c r="C3838" s="1126" t="s">
        <v>1788</v>
      </c>
      <c r="D3838" s="1119">
        <v>36.66</v>
      </c>
      <c r="E3838" s="1120">
        <v>3.49</v>
      </c>
      <c r="F3838" s="1121">
        <f t="shared" si="1"/>
        <v>33.16</v>
      </c>
      <c r="G3838" s="1120">
        <v>33.16</v>
      </c>
      <c r="H3838" s="1127">
        <v>0.0</v>
      </c>
      <c r="I3838" s="1127">
        <v>0.0</v>
      </c>
      <c r="J3838" s="1127">
        <v>0.0</v>
      </c>
      <c r="K3838" s="1124"/>
    </row>
    <row r="3839" ht="15.75" customHeight="1">
      <c r="A3839" s="1119">
        <v>89564.0</v>
      </c>
      <c r="B3839" s="1125" t="s">
        <v>14118</v>
      </c>
      <c r="C3839" s="1126" t="s">
        <v>1788</v>
      </c>
      <c r="D3839" s="1119">
        <v>16.21</v>
      </c>
      <c r="E3839" s="1120">
        <v>2.74</v>
      </c>
      <c r="F3839" s="1121">
        <f t="shared" si="1"/>
        <v>13.47</v>
      </c>
      <c r="G3839" s="1120">
        <v>13.47</v>
      </c>
      <c r="H3839" s="1127">
        <v>0.0</v>
      </c>
      <c r="I3839" s="1127">
        <v>0.0</v>
      </c>
      <c r="J3839" s="1127">
        <v>0.0</v>
      </c>
      <c r="K3839" s="1124"/>
    </row>
    <row r="3840" ht="15.75" customHeight="1">
      <c r="A3840" s="1119">
        <v>89565.0</v>
      </c>
      <c r="B3840" s="1125" t="s">
        <v>14119</v>
      </c>
      <c r="C3840" s="1126" t="s">
        <v>1788</v>
      </c>
      <c r="D3840" s="1119">
        <v>59.79</v>
      </c>
      <c r="E3840" s="1120">
        <v>5.42</v>
      </c>
      <c r="F3840" s="1121">
        <f t="shared" si="1"/>
        <v>54.37</v>
      </c>
      <c r="G3840" s="1120">
        <v>54.37</v>
      </c>
      <c r="H3840" s="1127">
        <v>0.0</v>
      </c>
      <c r="I3840" s="1127">
        <v>0.0</v>
      </c>
      <c r="J3840" s="1127">
        <v>0.0</v>
      </c>
      <c r="K3840" s="1124"/>
    </row>
    <row r="3841" ht="15.75" customHeight="1">
      <c r="A3841" s="1119">
        <v>89566.0</v>
      </c>
      <c r="B3841" s="1125" t="s">
        <v>14120</v>
      </c>
      <c r="C3841" s="1126" t="s">
        <v>1788</v>
      </c>
      <c r="D3841" s="1119">
        <v>50.36</v>
      </c>
      <c r="E3841" s="1120">
        <v>5.42</v>
      </c>
      <c r="F3841" s="1121">
        <f t="shared" si="1"/>
        <v>44.94</v>
      </c>
      <c r="G3841" s="1120">
        <v>44.94</v>
      </c>
      <c r="H3841" s="1127">
        <v>0.0</v>
      </c>
      <c r="I3841" s="1127">
        <v>0.0</v>
      </c>
      <c r="J3841" s="1127">
        <v>0.0</v>
      </c>
      <c r="K3841" s="1124"/>
    </row>
    <row r="3842" ht="15.75" customHeight="1">
      <c r="A3842" s="1119">
        <v>89567.0</v>
      </c>
      <c r="B3842" s="1125" t="s">
        <v>14121</v>
      </c>
      <c r="C3842" s="1126" t="s">
        <v>1788</v>
      </c>
      <c r="D3842" s="1119">
        <v>86.0</v>
      </c>
      <c r="E3842" s="1120">
        <v>7.43</v>
      </c>
      <c r="F3842" s="1121">
        <f t="shared" si="1"/>
        <v>78.57</v>
      </c>
      <c r="G3842" s="1120">
        <v>78.57</v>
      </c>
      <c r="H3842" s="1127">
        <v>0.0</v>
      </c>
      <c r="I3842" s="1127">
        <v>0.0</v>
      </c>
      <c r="J3842" s="1127">
        <v>0.0</v>
      </c>
      <c r="K3842" s="1124"/>
    </row>
    <row r="3843" ht="15.75" customHeight="1">
      <c r="A3843" s="1119">
        <v>89568.0</v>
      </c>
      <c r="B3843" s="1125" t="s">
        <v>14122</v>
      </c>
      <c r="C3843" s="1126" t="s">
        <v>1788</v>
      </c>
      <c r="D3843" s="1119">
        <v>33.06</v>
      </c>
      <c r="E3843" s="1120">
        <v>3.0</v>
      </c>
      <c r="F3843" s="1121">
        <f t="shared" si="1"/>
        <v>30.07</v>
      </c>
      <c r="G3843" s="1120">
        <v>30.07</v>
      </c>
      <c r="H3843" s="1127">
        <v>0.0</v>
      </c>
      <c r="I3843" s="1127">
        <v>0.0</v>
      </c>
      <c r="J3843" s="1127">
        <v>0.0</v>
      </c>
      <c r="K3843" s="1124"/>
    </row>
    <row r="3844" ht="15.75" customHeight="1">
      <c r="A3844" s="1119">
        <v>89569.0</v>
      </c>
      <c r="B3844" s="1125" t="s">
        <v>14123</v>
      </c>
      <c r="C3844" s="1126" t="s">
        <v>1788</v>
      </c>
      <c r="D3844" s="1119">
        <v>101.08</v>
      </c>
      <c r="E3844" s="1120">
        <v>6.77</v>
      </c>
      <c r="F3844" s="1121">
        <f t="shared" si="1"/>
        <v>94.32</v>
      </c>
      <c r="G3844" s="1120">
        <v>94.32</v>
      </c>
      <c r="H3844" s="1127">
        <v>0.0</v>
      </c>
      <c r="I3844" s="1127">
        <v>0.0</v>
      </c>
      <c r="J3844" s="1127">
        <v>0.0</v>
      </c>
      <c r="K3844" s="1124"/>
    </row>
    <row r="3845" ht="15.75" customHeight="1">
      <c r="A3845" s="1119">
        <v>89570.0</v>
      </c>
      <c r="B3845" s="1125" t="s">
        <v>14124</v>
      </c>
      <c r="C3845" s="1126" t="s">
        <v>1788</v>
      </c>
      <c r="D3845" s="1119">
        <v>12.06</v>
      </c>
      <c r="E3845" s="1120">
        <v>2.85</v>
      </c>
      <c r="F3845" s="1121">
        <f t="shared" si="1"/>
        <v>9.22</v>
      </c>
      <c r="G3845" s="1120">
        <v>9.22</v>
      </c>
      <c r="H3845" s="1127">
        <v>0.0</v>
      </c>
      <c r="I3845" s="1127">
        <v>0.0</v>
      </c>
      <c r="J3845" s="1127">
        <v>0.0</v>
      </c>
      <c r="K3845" s="1124"/>
    </row>
    <row r="3846" ht="15.75" customHeight="1">
      <c r="A3846" s="1119">
        <v>89571.0</v>
      </c>
      <c r="B3846" s="1125" t="s">
        <v>14125</v>
      </c>
      <c r="C3846" s="1126" t="s">
        <v>1788</v>
      </c>
      <c r="D3846" s="1119">
        <v>74.13</v>
      </c>
      <c r="E3846" s="1120">
        <v>7.43</v>
      </c>
      <c r="F3846" s="1121">
        <f t="shared" si="1"/>
        <v>66.7</v>
      </c>
      <c r="G3846" s="1120">
        <v>66.7</v>
      </c>
      <c r="H3846" s="1127">
        <v>0.0</v>
      </c>
      <c r="I3846" s="1127">
        <v>0.0</v>
      </c>
      <c r="J3846" s="1127">
        <v>0.0</v>
      </c>
      <c r="K3846" s="1124"/>
    </row>
    <row r="3847" ht="15.75" customHeight="1">
      <c r="A3847" s="1119">
        <v>89572.0</v>
      </c>
      <c r="B3847" s="1125" t="s">
        <v>14126</v>
      </c>
      <c r="C3847" s="1126" t="s">
        <v>1788</v>
      </c>
      <c r="D3847" s="1119">
        <v>9.28</v>
      </c>
      <c r="E3847" s="1120">
        <v>2.75</v>
      </c>
      <c r="F3847" s="1121">
        <f t="shared" si="1"/>
        <v>6.53</v>
      </c>
      <c r="G3847" s="1120">
        <v>6.53</v>
      </c>
      <c r="H3847" s="1127">
        <v>0.0</v>
      </c>
      <c r="I3847" s="1127">
        <v>0.0</v>
      </c>
      <c r="J3847" s="1127">
        <v>0.0</v>
      </c>
      <c r="K3847" s="1124"/>
    </row>
    <row r="3848" ht="15.75" customHeight="1">
      <c r="A3848" s="1119">
        <v>89573.0</v>
      </c>
      <c r="B3848" s="1125" t="s">
        <v>14127</v>
      </c>
      <c r="C3848" s="1126" t="s">
        <v>1788</v>
      </c>
      <c r="D3848" s="1119">
        <v>81.86</v>
      </c>
      <c r="E3848" s="1120">
        <v>6.77</v>
      </c>
      <c r="F3848" s="1121">
        <f t="shared" si="1"/>
        <v>75.1</v>
      </c>
      <c r="G3848" s="1120">
        <v>75.1</v>
      </c>
      <c r="H3848" s="1127">
        <v>0.0</v>
      </c>
      <c r="I3848" s="1127">
        <v>0.0</v>
      </c>
      <c r="J3848" s="1127">
        <v>0.0</v>
      </c>
      <c r="K3848" s="1124"/>
    </row>
    <row r="3849" ht="15.75" customHeight="1">
      <c r="A3849" s="1119">
        <v>89574.0</v>
      </c>
      <c r="B3849" s="1125" t="s">
        <v>14128</v>
      </c>
      <c r="C3849" s="1126" t="s">
        <v>1788</v>
      </c>
      <c r="D3849" s="1119">
        <v>167.67</v>
      </c>
      <c r="E3849" s="1120">
        <v>11.15</v>
      </c>
      <c r="F3849" s="1121">
        <f t="shared" si="1"/>
        <v>156.51</v>
      </c>
      <c r="G3849" s="1120">
        <v>156.51</v>
      </c>
      <c r="H3849" s="1127">
        <v>0.0</v>
      </c>
      <c r="I3849" s="1127">
        <v>0.0</v>
      </c>
      <c r="J3849" s="1127">
        <v>0.0</v>
      </c>
      <c r="K3849" s="1124"/>
    </row>
    <row r="3850" ht="15.75" customHeight="1">
      <c r="A3850" s="1119">
        <v>89575.0</v>
      </c>
      <c r="B3850" s="1125" t="s">
        <v>14129</v>
      </c>
      <c r="C3850" s="1126" t="s">
        <v>1788</v>
      </c>
      <c r="D3850" s="1119">
        <v>12.38</v>
      </c>
      <c r="E3850" s="1120">
        <v>3.67</v>
      </c>
      <c r="F3850" s="1121">
        <f t="shared" si="1"/>
        <v>8.71</v>
      </c>
      <c r="G3850" s="1120">
        <v>8.71</v>
      </c>
      <c r="H3850" s="1127">
        <v>0.0</v>
      </c>
      <c r="I3850" s="1127">
        <v>0.0</v>
      </c>
      <c r="J3850" s="1127">
        <v>0.0</v>
      </c>
      <c r="K3850" s="1124"/>
    </row>
    <row r="3851" ht="15.75" customHeight="1">
      <c r="A3851" s="1119">
        <v>89577.0</v>
      </c>
      <c r="B3851" s="1125" t="s">
        <v>14130</v>
      </c>
      <c r="C3851" s="1126" t="s">
        <v>1788</v>
      </c>
      <c r="D3851" s="1119">
        <v>37.72</v>
      </c>
      <c r="E3851" s="1120">
        <v>3.65</v>
      </c>
      <c r="F3851" s="1121">
        <f t="shared" si="1"/>
        <v>34.06</v>
      </c>
      <c r="G3851" s="1120">
        <v>34.06</v>
      </c>
      <c r="H3851" s="1127">
        <v>0.0</v>
      </c>
      <c r="I3851" s="1127">
        <v>0.0</v>
      </c>
      <c r="J3851" s="1127">
        <v>0.0</v>
      </c>
      <c r="K3851" s="1124"/>
    </row>
    <row r="3852" ht="15.75" customHeight="1">
      <c r="A3852" s="1119">
        <v>89579.0</v>
      </c>
      <c r="B3852" s="1125" t="s">
        <v>14131</v>
      </c>
      <c r="C3852" s="1126" t="s">
        <v>1788</v>
      </c>
      <c r="D3852" s="1119">
        <v>12.35</v>
      </c>
      <c r="E3852" s="1120">
        <v>2.85</v>
      </c>
      <c r="F3852" s="1121">
        <f t="shared" si="1"/>
        <v>9.51</v>
      </c>
      <c r="G3852" s="1120">
        <v>9.51</v>
      </c>
      <c r="H3852" s="1127">
        <v>0.0</v>
      </c>
      <c r="I3852" s="1127">
        <v>0.0</v>
      </c>
      <c r="J3852" s="1127">
        <v>0.0</v>
      </c>
      <c r="K3852" s="1124"/>
    </row>
    <row r="3853" ht="15.75" customHeight="1">
      <c r="A3853" s="1119">
        <v>89581.0</v>
      </c>
      <c r="B3853" s="1125" t="s">
        <v>14132</v>
      </c>
      <c r="C3853" s="1126" t="s">
        <v>1788</v>
      </c>
      <c r="D3853" s="1119">
        <v>36.17</v>
      </c>
      <c r="E3853" s="1120">
        <v>7.53</v>
      </c>
      <c r="F3853" s="1121">
        <f t="shared" si="1"/>
        <v>28.64</v>
      </c>
      <c r="G3853" s="1120">
        <v>28.64</v>
      </c>
      <c r="H3853" s="1127">
        <v>0.0</v>
      </c>
      <c r="I3853" s="1127">
        <v>0.0</v>
      </c>
      <c r="J3853" s="1127">
        <v>0.0</v>
      </c>
      <c r="K3853" s="1124"/>
    </row>
    <row r="3854" ht="15.75" customHeight="1">
      <c r="A3854" s="1119">
        <v>89582.0</v>
      </c>
      <c r="B3854" s="1125" t="s">
        <v>14133</v>
      </c>
      <c r="C3854" s="1126" t="s">
        <v>1788</v>
      </c>
      <c r="D3854" s="1119">
        <v>36.69</v>
      </c>
      <c r="E3854" s="1120">
        <v>7.53</v>
      </c>
      <c r="F3854" s="1121">
        <f t="shared" si="1"/>
        <v>29.16</v>
      </c>
      <c r="G3854" s="1120">
        <v>29.16</v>
      </c>
      <c r="H3854" s="1127">
        <v>0.0</v>
      </c>
      <c r="I3854" s="1127">
        <v>0.0</v>
      </c>
      <c r="J3854" s="1127">
        <v>0.0</v>
      </c>
      <c r="K3854" s="1124"/>
    </row>
    <row r="3855" ht="15.75" customHeight="1">
      <c r="A3855" s="1119">
        <v>89583.0</v>
      </c>
      <c r="B3855" s="1125" t="s">
        <v>14134</v>
      </c>
      <c r="C3855" s="1126" t="s">
        <v>1788</v>
      </c>
      <c r="D3855" s="1119">
        <v>46.29</v>
      </c>
      <c r="E3855" s="1120">
        <v>7.52</v>
      </c>
      <c r="F3855" s="1121">
        <f t="shared" si="1"/>
        <v>38.76</v>
      </c>
      <c r="G3855" s="1120">
        <v>38.76</v>
      </c>
      <c r="H3855" s="1127">
        <v>0.0</v>
      </c>
      <c r="I3855" s="1127">
        <v>0.0</v>
      </c>
      <c r="J3855" s="1127">
        <v>0.0</v>
      </c>
      <c r="K3855" s="1124"/>
    </row>
    <row r="3856" ht="15.75" customHeight="1">
      <c r="A3856" s="1119">
        <v>89584.0</v>
      </c>
      <c r="B3856" s="1125" t="s">
        <v>14135</v>
      </c>
      <c r="C3856" s="1126" t="s">
        <v>1788</v>
      </c>
      <c r="D3856" s="1119">
        <v>47.43</v>
      </c>
      <c r="E3856" s="1120">
        <v>11.85</v>
      </c>
      <c r="F3856" s="1121">
        <f t="shared" si="1"/>
        <v>35.6</v>
      </c>
      <c r="G3856" s="1120">
        <v>35.6</v>
      </c>
      <c r="H3856" s="1127">
        <v>0.0</v>
      </c>
      <c r="I3856" s="1127">
        <v>0.0</v>
      </c>
      <c r="J3856" s="1127">
        <v>0.0</v>
      </c>
      <c r="K3856" s="1124"/>
    </row>
    <row r="3857" ht="15.75" customHeight="1">
      <c r="A3857" s="1119">
        <v>89585.0</v>
      </c>
      <c r="B3857" s="1125" t="s">
        <v>14136</v>
      </c>
      <c r="C3857" s="1126" t="s">
        <v>1788</v>
      </c>
      <c r="D3857" s="1119">
        <v>48.6</v>
      </c>
      <c r="E3857" s="1120">
        <v>11.85</v>
      </c>
      <c r="F3857" s="1121">
        <f t="shared" si="1"/>
        <v>36.77</v>
      </c>
      <c r="G3857" s="1120">
        <v>36.77</v>
      </c>
      <c r="H3857" s="1127">
        <v>0.0</v>
      </c>
      <c r="I3857" s="1127">
        <v>0.0</v>
      </c>
      <c r="J3857" s="1127">
        <v>0.0</v>
      </c>
      <c r="K3857" s="1124"/>
    </row>
    <row r="3858" ht="15.75" customHeight="1">
      <c r="A3858" s="1119">
        <v>89587.0</v>
      </c>
      <c r="B3858" s="1125" t="s">
        <v>14137</v>
      </c>
      <c r="C3858" s="1126" t="s">
        <v>1788</v>
      </c>
      <c r="D3858" s="1119">
        <v>53.62</v>
      </c>
      <c r="E3858" s="1120">
        <v>11.85</v>
      </c>
      <c r="F3858" s="1121">
        <f t="shared" si="1"/>
        <v>41.79</v>
      </c>
      <c r="G3858" s="1120">
        <v>41.79</v>
      </c>
      <c r="H3858" s="1127">
        <v>0.0</v>
      </c>
      <c r="I3858" s="1127">
        <v>0.0</v>
      </c>
      <c r="J3858" s="1127">
        <v>0.0</v>
      </c>
      <c r="K3858" s="1124"/>
    </row>
    <row r="3859" ht="15.75" customHeight="1">
      <c r="A3859" s="1119">
        <v>89590.0</v>
      </c>
      <c r="B3859" s="1125" t="s">
        <v>14138</v>
      </c>
      <c r="C3859" s="1126" t="s">
        <v>1788</v>
      </c>
      <c r="D3859" s="1119">
        <v>141.68</v>
      </c>
      <c r="E3859" s="1120">
        <v>20.45</v>
      </c>
      <c r="F3859" s="1121">
        <f t="shared" si="1"/>
        <v>121.23</v>
      </c>
      <c r="G3859" s="1120">
        <v>121.23</v>
      </c>
      <c r="H3859" s="1127">
        <v>0.0</v>
      </c>
      <c r="I3859" s="1127">
        <v>0.0</v>
      </c>
      <c r="J3859" s="1127">
        <v>0.0</v>
      </c>
      <c r="K3859" s="1124"/>
    </row>
    <row r="3860" ht="15.75" customHeight="1">
      <c r="A3860" s="1119">
        <v>89591.0</v>
      </c>
      <c r="B3860" s="1125" t="s">
        <v>14139</v>
      </c>
      <c r="C3860" s="1126" t="s">
        <v>1788</v>
      </c>
      <c r="D3860" s="1119">
        <v>138.1</v>
      </c>
      <c r="E3860" s="1120">
        <v>20.45</v>
      </c>
      <c r="F3860" s="1121">
        <f t="shared" si="1"/>
        <v>117.65</v>
      </c>
      <c r="G3860" s="1120">
        <v>117.65</v>
      </c>
      <c r="H3860" s="1127">
        <v>0.0</v>
      </c>
      <c r="I3860" s="1127">
        <v>0.0</v>
      </c>
      <c r="J3860" s="1127">
        <v>0.0</v>
      </c>
      <c r="K3860" s="1124"/>
    </row>
    <row r="3861" ht="15.75" customHeight="1">
      <c r="A3861" s="1119">
        <v>89592.0</v>
      </c>
      <c r="B3861" s="1125" t="s">
        <v>14140</v>
      </c>
      <c r="C3861" s="1126" t="s">
        <v>1788</v>
      </c>
      <c r="D3861" s="1119">
        <v>169.54</v>
      </c>
      <c r="E3861" s="1120">
        <v>20.45</v>
      </c>
      <c r="F3861" s="1121">
        <f t="shared" si="1"/>
        <v>149.09</v>
      </c>
      <c r="G3861" s="1120">
        <v>149.09</v>
      </c>
      <c r="H3861" s="1127">
        <v>0.0</v>
      </c>
      <c r="I3861" s="1127">
        <v>0.0</v>
      </c>
      <c r="J3861" s="1127">
        <v>0.0</v>
      </c>
      <c r="K3861" s="1124"/>
    </row>
    <row r="3862" ht="15.75" customHeight="1">
      <c r="A3862" s="1119">
        <v>89593.0</v>
      </c>
      <c r="B3862" s="1125" t="s">
        <v>14141</v>
      </c>
      <c r="C3862" s="1126" t="s">
        <v>1788</v>
      </c>
      <c r="D3862" s="1119">
        <v>25.61</v>
      </c>
      <c r="E3862" s="1120">
        <v>3.17</v>
      </c>
      <c r="F3862" s="1121">
        <f t="shared" si="1"/>
        <v>22.43</v>
      </c>
      <c r="G3862" s="1120">
        <v>22.43</v>
      </c>
      <c r="H3862" s="1127">
        <v>0.0</v>
      </c>
      <c r="I3862" s="1127">
        <v>0.0</v>
      </c>
      <c r="J3862" s="1127">
        <v>0.0</v>
      </c>
      <c r="K3862" s="1124"/>
    </row>
    <row r="3863" ht="15.75" customHeight="1">
      <c r="A3863" s="1119">
        <v>89594.0</v>
      </c>
      <c r="B3863" s="1125" t="s">
        <v>14142</v>
      </c>
      <c r="C3863" s="1126" t="s">
        <v>1788</v>
      </c>
      <c r="D3863" s="1119">
        <v>36.75</v>
      </c>
      <c r="E3863" s="1120">
        <v>3.65</v>
      </c>
      <c r="F3863" s="1121">
        <f t="shared" si="1"/>
        <v>33.09</v>
      </c>
      <c r="G3863" s="1120">
        <v>33.09</v>
      </c>
      <c r="H3863" s="1127">
        <v>0.0</v>
      </c>
      <c r="I3863" s="1127">
        <v>0.0</v>
      </c>
      <c r="J3863" s="1127">
        <v>0.0</v>
      </c>
      <c r="K3863" s="1124"/>
    </row>
    <row r="3864" ht="15.75" customHeight="1">
      <c r="A3864" s="1119">
        <v>89595.0</v>
      </c>
      <c r="B3864" s="1125" t="s">
        <v>14143</v>
      </c>
      <c r="C3864" s="1126" t="s">
        <v>1788</v>
      </c>
      <c r="D3864" s="1119">
        <v>15.16</v>
      </c>
      <c r="E3864" s="1120">
        <v>3.08</v>
      </c>
      <c r="F3864" s="1121">
        <f t="shared" si="1"/>
        <v>12.08</v>
      </c>
      <c r="G3864" s="1120">
        <v>12.08</v>
      </c>
      <c r="H3864" s="1127">
        <v>0.0</v>
      </c>
      <c r="I3864" s="1127">
        <v>0.0</v>
      </c>
      <c r="J3864" s="1127">
        <v>0.0</v>
      </c>
      <c r="K3864" s="1124"/>
    </row>
    <row r="3865" ht="15.75" customHeight="1">
      <c r="A3865" s="1119">
        <v>89596.0</v>
      </c>
      <c r="B3865" s="1125" t="s">
        <v>14144</v>
      </c>
      <c r="C3865" s="1126" t="s">
        <v>1788</v>
      </c>
      <c r="D3865" s="1119">
        <v>11.14</v>
      </c>
      <c r="E3865" s="1120">
        <v>3.19</v>
      </c>
      <c r="F3865" s="1121">
        <f t="shared" si="1"/>
        <v>7.95</v>
      </c>
      <c r="G3865" s="1120">
        <v>7.95</v>
      </c>
      <c r="H3865" s="1127">
        <v>0.0</v>
      </c>
      <c r="I3865" s="1127">
        <v>0.0</v>
      </c>
      <c r="J3865" s="1127">
        <v>0.0</v>
      </c>
      <c r="K3865" s="1124"/>
    </row>
    <row r="3866" ht="15.75" customHeight="1">
      <c r="A3866" s="1119">
        <v>89597.0</v>
      </c>
      <c r="B3866" s="1125" t="s">
        <v>14145</v>
      </c>
      <c r="C3866" s="1126" t="s">
        <v>1788</v>
      </c>
      <c r="D3866" s="1119">
        <v>23.64</v>
      </c>
      <c r="E3866" s="1120">
        <v>4.33</v>
      </c>
      <c r="F3866" s="1121">
        <f t="shared" si="1"/>
        <v>19.31</v>
      </c>
      <c r="G3866" s="1120">
        <v>19.31</v>
      </c>
      <c r="H3866" s="1127">
        <v>0.0</v>
      </c>
      <c r="I3866" s="1127">
        <v>0.0</v>
      </c>
      <c r="J3866" s="1127">
        <v>0.0</v>
      </c>
      <c r="K3866" s="1124"/>
    </row>
    <row r="3867" ht="15.75" customHeight="1">
      <c r="A3867" s="1119">
        <v>89598.0</v>
      </c>
      <c r="B3867" s="1125" t="s">
        <v>14146</v>
      </c>
      <c r="C3867" s="1126" t="s">
        <v>1788</v>
      </c>
      <c r="D3867" s="1119">
        <v>50.77</v>
      </c>
      <c r="E3867" s="1120">
        <v>4.32</v>
      </c>
      <c r="F3867" s="1121">
        <f t="shared" si="1"/>
        <v>46.45</v>
      </c>
      <c r="G3867" s="1120">
        <v>46.45</v>
      </c>
      <c r="H3867" s="1127">
        <v>0.0</v>
      </c>
      <c r="I3867" s="1127">
        <v>0.0</v>
      </c>
      <c r="J3867" s="1127">
        <v>0.0</v>
      </c>
      <c r="K3867" s="1124"/>
    </row>
    <row r="3868" ht="15.75" customHeight="1">
      <c r="A3868" s="1119">
        <v>89599.0</v>
      </c>
      <c r="B3868" s="1125" t="s">
        <v>14147</v>
      </c>
      <c r="C3868" s="1126" t="s">
        <v>1788</v>
      </c>
      <c r="D3868" s="1119">
        <v>26.91</v>
      </c>
      <c r="E3868" s="1120">
        <v>5.02</v>
      </c>
      <c r="F3868" s="1121">
        <f t="shared" si="1"/>
        <v>21.88</v>
      </c>
      <c r="G3868" s="1120">
        <v>21.88</v>
      </c>
      <c r="H3868" s="1127">
        <v>0.0</v>
      </c>
      <c r="I3868" s="1127">
        <v>0.0</v>
      </c>
      <c r="J3868" s="1127">
        <v>0.0</v>
      </c>
      <c r="K3868" s="1124"/>
    </row>
    <row r="3869" ht="15.75" customHeight="1">
      <c r="A3869" s="1119">
        <v>89600.0</v>
      </c>
      <c r="B3869" s="1125" t="s">
        <v>14148</v>
      </c>
      <c r="C3869" s="1126" t="s">
        <v>1788</v>
      </c>
      <c r="D3869" s="1119">
        <v>27.06</v>
      </c>
      <c r="E3869" s="1120">
        <v>5.02</v>
      </c>
      <c r="F3869" s="1121">
        <f t="shared" si="1"/>
        <v>22.03</v>
      </c>
      <c r="G3869" s="1120">
        <v>22.03</v>
      </c>
      <c r="H3869" s="1127">
        <v>0.0</v>
      </c>
      <c r="I3869" s="1127">
        <v>0.0</v>
      </c>
      <c r="J3869" s="1127">
        <v>0.0</v>
      </c>
      <c r="K3869" s="1124"/>
    </row>
    <row r="3870" ht="15.75" customHeight="1">
      <c r="A3870" s="1119">
        <v>89605.0</v>
      </c>
      <c r="B3870" s="1125" t="s">
        <v>14149</v>
      </c>
      <c r="C3870" s="1126" t="s">
        <v>1788</v>
      </c>
      <c r="D3870" s="1119">
        <v>21.54</v>
      </c>
      <c r="E3870" s="1120">
        <v>4.01</v>
      </c>
      <c r="F3870" s="1121">
        <f t="shared" si="1"/>
        <v>17.54</v>
      </c>
      <c r="G3870" s="1120">
        <v>17.54</v>
      </c>
      <c r="H3870" s="1127">
        <v>0.0</v>
      </c>
      <c r="I3870" s="1127">
        <v>0.0</v>
      </c>
      <c r="J3870" s="1127">
        <v>0.0</v>
      </c>
      <c r="K3870" s="1124"/>
    </row>
    <row r="3871" ht="15.75" customHeight="1">
      <c r="A3871" s="1119">
        <v>89609.0</v>
      </c>
      <c r="B3871" s="1125" t="s">
        <v>14150</v>
      </c>
      <c r="C3871" s="1126" t="s">
        <v>1788</v>
      </c>
      <c r="D3871" s="1119">
        <v>84.96</v>
      </c>
      <c r="E3871" s="1120">
        <v>4.32</v>
      </c>
      <c r="F3871" s="1121">
        <f t="shared" si="1"/>
        <v>80.64</v>
      </c>
      <c r="G3871" s="1120">
        <v>80.64</v>
      </c>
      <c r="H3871" s="1127">
        <v>0.0</v>
      </c>
      <c r="I3871" s="1127">
        <v>0.0</v>
      </c>
      <c r="J3871" s="1127">
        <v>0.0</v>
      </c>
      <c r="K3871" s="1124"/>
    </row>
    <row r="3872" ht="15.75" customHeight="1">
      <c r="A3872" s="1119">
        <v>89610.0</v>
      </c>
      <c r="B3872" s="1125" t="s">
        <v>14151</v>
      </c>
      <c r="C3872" s="1126" t="s">
        <v>1788</v>
      </c>
      <c r="D3872" s="1119">
        <v>20.43</v>
      </c>
      <c r="E3872" s="1120">
        <v>4.01</v>
      </c>
      <c r="F3872" s="1121">
        <f t="shared" si="1"/>
        <v>16.43</v>
      </c>
      <c r="G3872" s="1120">
        <v>16.43</v>
      </c>
      <c r="H3872" s="1127">
        <v>0.0</v>
      </c>
      <c r="I3872" s="1127">
        <v>0.0</v>
      </c>
      <c r="J3872" s="1127">
        <v>0.0</v>
      </c>
      <c r="K3872" s="1124"/>
    </row>
    <row r="3873" ht="15.75" customHeight="1">
      <c r="A3873" s="1119">
        <v>89611.0</v>
      </c>
      <c r="B3873" s="1125" t="s">
        <v>14152</v>
      </c>
      <c r="C3873" s="1126" t="s">
        <v>1788</v>
      </c>
      <c r="D3873" s="1119">
        <v>33.33</v>
      </c>
      <c r="E3873" s="1120">
        <v>5.31</v>
      </c>
      <c r="F3873" s="1121">
        <f t="shared" si="1"/>
        <v>28.03</v>
      </c>
      <c r="G3873" s="1120">
        <v>28.03</v>
      </c>
      <c r="H3873" s="1127">
        <v>0.0</v>
      </c>
      <c r="I3873" s="1127">
        <v>0.0</v>
      </c>
      <c r="J3873" s="1127">
        <v>0.0</v>
      </c>
      <c r="K3873" s="1124"/>
    </row>
    <row r="3874" ht="15.75" customHeight="1">
      <c r="A3874" s="1119">
        <v>89612.0</v>
      </c>
      <c r="B3874" s="1125" t="s">
        <v>14153</v>
      </c>
      <c r="C3874" s="1126" t="s">
        <v>1788</v>
      </c>
      <c r="D3874" s="1119">
        <v>166.24</v>
      </c>
      <c r="E3874" s="1120">
        <v>5.3</v>
      </c>
      <c r="F3874" s="1121">
        <f t="shared" si="1"/>
        <v>160.95</v>
      </c>
      <c r="G3874" s="1120">
        <v>160.95</v>
      </c>
      <c r="H3874" s="1127">
        <v>0.0</v>
      </c>
      <c r="I3874" s="1127">
        <v>0.0</v>
      </c>
      <c r="J3874" s="1127">
        <v>0.0</v>
      </c>
      <c r="K3874" s="1124"/>
    </row>
    <row r="3875" ht="15.75" customHeight="1">
      <c r="A3875" s="1119">
        <v>89613.0</v>
      </c>
      <c r="B3875" s="1125" t="s">
        <v>14154</v>
      </c>
      <c r="C3875" s="1126" t="s">
        <v>1788</v>
      </c>
      <c r="D3875" s="1119">
        <v>31.62</v>
      </c>
      <c r="E3875" s="1120">
        <v>4.82</v>
      </c>
      <c r="F3875" s="1121">
        <f t="shared" si="1"/>
        <v>26.8</v>
      </c>
      <c r="G3875" s="1120">
        <v>26.8</v>
      </c>
      <c r="H3875" s="1127">
        <v>0.0</v>
      </c>
      <c r="I3875" s="1127">
        <v>0.0</v>
      </c>
      <c r="J3875" s="1127">
        <v>0.0</v>
      </c>
      <c r="K3875" s="1124"/>
    </row>
    <row r="3876" ht="15.75" customHeight="1">
      <c r="A3876" s="1119">
        <v>89614.0</v>
      </c>
      <c r="B3876" s="1125" t="s">
        <v>14155</v>
      </c>
      <c r="C3876" s="1126" t="s">
        <v>1788</v>
      </c>
      <c r="D3876" s="1119">
        <v>61.14</v>
      </c>
      <c r="E3876" s="1120">
        <v>5.96</v>
      </c>
      <c r="F3876" s="1121">
        <f t="shared" si="1"/>
        <v>55.18</v>
      </c>
      <c r="G3876" s="1120">
        <v>55.18</v>
      </c>
      <c r="H3876" s="1127">
        <v>0.0</v>
      </c>
      <c r="I3876" s="1127">
        <v>0.0</v>
      </c>
      <c r="J3876" s="1127">
        <v>0.0</v>
      </c>
      <c r="K3876" s="1124"/>
    </row>
    <row r="3877" ht="15.75" customHeight="1">
      <c r="A3877" s="1119">
        <v>89615.0</v>
      </c>
      <c r="B3877" s="1125" t="s">
        <v>14156</v>
      </c>
      <c r="C3877" s="1126" t="s">
        <v>1788</v>
      </c>
      <c r="D3877" s="1119">
        <v>196.29</v>
      </c>
      <c r="E3877" s="1120">
        <v>5.96</v>
      </c>
      <c r="F3877" s="1121">
        <f t="shared" si="1"/>
        <v>190.33</v>
      </c>
      <c r="G3877" s="1120">
        <v>190.33</v>
      </c>
      <c r="H3877" s="1127">
        <v>0.0</v>
      </c>
      <c r="I3877" s="1127">
        <v>0.0</v>
      </c>
      <c r="J3877" s="1127">
        <v>0.0</v>
      </c>
      <c r="K3877" s="1124"/>
    </row>
    <row r="3878" ht="15.75" customHeight="1">
      <c r="A3878" s="1119">
        <v>89616.0</v>
      </c>
      <c r="B3878" s="1125" t="s">
        <v>14157</v>
      </c>
      <c r="C3878" s="1126" t="s">
        <v>1788</v>
      </c>
      <c r="D3878" s="1119">
        <v>42.11</v>
      </c>
      <c r="E3878" s="1120">
        <v>5.62</v>
      </c>
      <c r="F3878" s="1121">
        <f t="shared" si="1"/>
        <v>36.48</v>
      </c>
      <c r="G3878" s="1120">
        <v>36.48</v>
      </c>
      <c r="H3878" s="1127">
        <v>0.0</v>
      </c>
      <c r="I3878" s="1127">
        <v>0.0</v>
      </c>
      <c r="J3878" s="1127">
        <v>0.0</v>
      </c>
      <c r="K3878" s="1124"/>
    </row>
    <row r="3879" ht="15.75" customHeight="1">
      <c r="A3879" s="1119">
        <v>89617.0</v>
      </c>
      <c r="B3879" s="1125" t="s">
        <v>14158</v>
      </c>
      <c r="C3879" s="1126" t="s">
        <v>1788</v>
      </c>
      <c r="D3879" s="1119">
        <v>8.39</v>
      </c>
      <c r="E3879" s="1120">
        <v>4.09</v>
      </c>
      <c r="F3879" s="1121">
        <f t="shared" si="1"/>
        <v>4.31</v>
      </c>
      <c r="G3879" s="1120">
        <v>4.31</v>
      </c>
      <c r="H3879" s="1127">
        <v>0.0</v>
      </c>
      <c r="I3879" s="1127">
        <v>0.0</v>
      </c>
      <c r="J3879" s="1127">
        <v>0.0</v>
      </c>
      <c r="K3879" s="1124"/>
    </row>
    <row r="3880" ht="15.75" customHeight="1">
      <c r="A3880" s="1119">
        <v>89620.0</v>
      </c>
      <c r="B3880" s="1125" t="s">
        <v>14159</v>
      </c>
      <c r="C3880" s="1126" t="s">
        <v>1788</v>
      </c>
      <c r="D3880" s="1119">
        <v>12.92</v>
      </c>
      <c r="E3880" s="1120">
        <v>5.02</v>
      </c>
      <c r="F3880" s="1121">
        <f t="shared" si="1"/>
        <v>7.91</v>
      </c>
      <c r="G3880" s="1120">
        <v>7.91</v>
      </c>
      <c r="H3880" s="1127">
        <v>0.0</v>
      </c>
      <c r="I3880" s="1127">
        <v>0.0</v>
      </c>
      <c r="J3880" s="1127">
        <v>0.0</v>
      </c>
      <c r="K3880" s="1124"/>
    </row>
    <row r="3881" ht="15.75" customHeight="1">
      <c r="A3881" s="1119">
        <v>89622.0</v>
      </c>
      <c r="B3881" s="1125" t="s">
        <v>14160</v>
      </c>
      <c r="C3881" s="1126" t="s">
        <v>1788</v>
      </c>
      <c r="D3881" s="1119">
        <v>15.06</v>
      </c>
      <c r="E3881" s="1120">
        <v>4.54</v>
      </c>
      <c r="F3881" s="1121">
        <f t="shared" si="1"/>
        <v>10.52</v>
      </c>
      <c r="G3881" s="1120">
        <v>10.52</v>
      </c>
      <c r="H3881" s="1127">
        <v>0.0</v>
      </c>
      <c r="I3881" s="1127">
        <v>0.0</v>
      </c>
      <c r="J3881" s="1127">
        <v>0.0</v>
      </c>
      <c r="K3881" s="1124"/>
    </row>
    <row r="3882" ht="15.75" customHeight="1">
      <c r="A3882" s="1119">
        <v>89623.0</v>
      </c>
      <c r="B3882" s="1125" t="s">
        <v>14161</v>
      </c>
      <c r="C3882" s="1126" t="s">
        <v>1788</v>
      </c>
      <c r="D3882" s="1119">
        <v>20.68</v>
      </c>
      <c r="E3882" s="1120">
        <v>6.08</v>
      </c>
      <c r="F3882" s="1121">
        <f t="shared" si="1"/>
        <v>14.59</v>
      </c>
      <c r="G3882" s="1120">
        <v>14.59</v>
      </c>
      <c r="H3882" s="1127">
        <v>0.0</v>
      </c>
      <c r="I3882" s="1127">
        <v>0.0</v>
      </c>
      <c r="J3882" s="1127">
        <v>0.0</v>
      </c>
      <c r="K3882" s="1124"/>
    </row>
    <row r="3883" ht="15.75" customHeight="1">
      <c r="A3883" s="1119">
        <v>89624.0</v>
      </c>
      <c r="B3883" s="1125" t="s">
        <v>14162</v>
      </c>
      <c r="C3883" s="1126" t="s">
        <v>1788</v>
      </c>
      <c r="D3883" s="1119">
        <v>19.07</v>
      </c>
      <c r="E3883" s="1120">
        <v>5.54</v>
      </c>
      <c r="F3883" s="1121">
        <f t="shared" si="1"/>
        <v>13.54</v>
      </c>
      <c r="G3883" s="1120">
        <v>13.54</v>
      </c>
      <c r="H3883" s="1127">
        <v>0.0</v>
      </c>
      <c r="I3883" s="1127">
        <v>0.0</v>
      </c>
      <c r="J3883" s="1127">
        <v>0.0</v>
      </c>
      <c r="K3883" s="1124"/>
    </row>
    <row r="3884" ht="15.75" customHeight="1">
      <c r="A3884" s="1119">
        <v>89625.0</v>
      </c>
      <c r="B3884" s="1125" t="s">
        <v>14163</v>
      </c>
      <c r="C3884" s="1126" t="s">
        <v>1788</v>
      </c>
      <c r="D3884" s="1119">
        <v>24.26</v>
      </c>
      <c r="E3884" s="1120">
        <v>7.35</v>
      </c>
      <c r="F3884" s="1121">
        <f t="shared" si="1"/>
        <v>16.92</v>
      </c>
      <c r="G3884" s="1120">
        <v>16.92</v>
      </c>
      <c r="H3884" s="1127">
        <v>0.0</v>
      </c>
      <c r="I3884" s="1127">
        <v>0.0</v>
      </c>
      <c r="J3884" s="1127">
        <v>0.0</v>
      </c>
      <c r="K3884" s="1124"/>
    </row>
    <row r="3885" ht="15.75" customHeight="1">
      <c r="A3885" s="1119">
        <v>89626.0</v>
      </c>
      <c r="B3885" s="1125" t="s">
        <v>14164</v>
      </c>
      <c r="C3885" s="1126" t="s">
        <v>1788</v>
      </c>
      <c r="D3885" s="1119">
        <v>31.53</v>
      </c>
      <c r="E3885" s="1120">
        <v>6.7</v>
      </c>
      <c r="F3885" s="1121">
        <f t="shared" si="1"/>
        <v>24.82</v>
      </c>
      <c r="G3885" s="1120">
        <v>24.82</v>
      </c>
      <c r="H3885" s="1127">
        <v>0.0</v>
      </c>
      <c r="I3885" s="1127">
        <v>0.0</v>
      </c>
      <c r="J3885" s="1127">
        <v>0.0</v>
      </c>
      <c r="K3885" s="1124"/>
    </row>
    <row r="3886" ht="15.75" customHeight="1">
      <c r="A3886" s="1119">
        <v>89627.0</v>
      </c>
      <c r="B3886" s="1125" t="s">
        <v>14165</v>
      </c>
      <c r="C3886" s="1126" t="s">
        <v>1788</v>
      </c>
      <c r="D3886" s="1119">
        <v>21.3</v>
      </c>
      <c r="E3886" s="1120">
        <v>5.71</v>
      </c>
      <c r="F3886" s="1121">
        <f t="shared" si="1"/>
        <v>15.6</v>
      </c>
      <c r="G3886" s="1120">
        <v>15.6</v>
      </c>
      <c r="H3886" s="1127">
        <v>0.0</v>
      </c>
      <c r="I3886" s="1127">
        <v>0.0</v>
      </c>
      <c r="J3886" s="1127">
        <v>0.0</v>
      </c>
      <c r="K3886" s="1124"/>
    </row>
    <row r="3887" ht="15.75" customHeight="1">
      <c r="A3887" s="1119">
        <v>89628.0</v>
      </c>
      <c r="B3887" s="1125" t="s">
        <v>14166</v>
      </c>
      <c r="C3887" s="1126" t="s">
        <v>1788</v>
      </c>
      <c r="D3887" s="1119">
        <v>49.8</v>
      </c>
      <c r="E3887" s="1120">
        <v>8.68</v>
      </c>
      <c r="F3887" s="1121">
        <f t="shared" si="1"/>
        <v>41.13</v>
      </c>
      <c r="G3887" s="1120">
        <v>41.13</v>
      </c>
      <c r="H3887" s="1127">
        <v>0.0</v>
      </c>
      <c r="I3887" s="1127">
        <v>0.0</v>
      </c>
      <c r="J3887" s="1127">
        <v>0.0</v>
      </c>
      <c r="K3887" s="1124"/>
    </row>
    <row r="3888" ht="15.75" customHeight="1">
      <c r="A3888" s="1119">
        <v>89629.0</v>
      </c>
      <c r="B3888" s="1125" t="s">
        <v>14167</v>
      </c>
      <c r="C3888" s="1126" t="s">
        <v>1788</v>
      </c>
      <c r="D3888" s="1119">
        <v>83.05</v>
      </c>
      <c r="E3888" s="1120">
        <v>10.66</v>
      </c>
      <c r="F3888" s="1121">
        <f t="shared" si="1"/>
        <v>72.4</v>
      </c>
      <c r="G3888" s="1120">
        <v>72.4</v>
      </c>
      <c r="H3888" s="1127">
        <v>0.0</v>
      </c>
      <c r="I3888" s="1127">
        <v>0.0</v>
      </c>
      <c r="J3888" s="1127">
        <v>0.0</v>
      </c>
      <c r="K3888" s="1124"/>
    </row>
    <row r="3889" ht="15.75" customHeight="1">
      <c r="A3889" s="1119">
        <v>89630.0</v>
      </c>
      <c r="B3889" s="1125" t="s">
        <v>14168</v>
      </c>
      <c r="C3889" s="1126" t="s">
        <v>1788</v>
      </c>
      <c r="D3889" s="1119">
        <v>63.15</v>
      </c>
      <c r="E3889" s="1120">
        <v>9.01</v>
      </c>
      <c r="F3889" s="1121">
        <f t="shared" si="1"/>
        <v>54.13</v>
      </c>
      <c r="G3889" s="1120">
        <v>54.13</v>
      </c>
      <c r="H3889" s="1127">
        <v>0.0</v>
      </c>
      <c r="I3889" s="1127">
        <v>0.0</v>
      </c>
      <c r="J3889" s="1127">
        <v>0.0</v>
      </c>
      <c r="K3889" s="1124"/>
    </row>
    <row r="3890" ht="15.75" customHeight="1">
      <c r="A3890" s="1119">
        <v>89631.0</v>
      </c>
      <c r="B3890" s="1125" t="s">
        <v>14169</v>
      </c>
      <c r="C3890" s="1126" t="s">
        <v>1788</v>
      </c>
      <c r="D3890" s="1119">
        <v>108.65</v>
      </c>
      <c r="E3890" s="1120">
        <v>11.99</v>
      </c>
      <c r="F3890" s="1121">
        <f t="shared" si="1"/>
        <v>96.66</v>
      </c>
      <c r="G3890" s="1120">
        <v>96.66</v>
      </c>
      <c r="H3890" s="1127">
        <v>0.0</v>
      </c>
      <c r="I3890" s="1127">
        <v>0.0</v>
      </c>
      <c r="J3890" s="1127">
        <v>0.0</v>
      </c>
      <c r="K3890" s="1124"/>
    </row>
    <row r="3891" ht="15.75" customHeight="1">
      <c r="A3891" s="1119">
        <v>89632.0</v>
      </c>
      <c r="B3891" s="1125" t="s">
        <v>14170</v>
      </c>
      <c r="C3891" s="1126" t="s">
        <v>1788</v>
      </c>
      <c r="D3891" s="1119">
        <v>125.21</v>
      </c>
      <c r="E3891" s="1120">
        <v>10.33</v>
      </c>
      <c r="F3891" s="1121">
        <f t="shared" si="1"/>
        <v>114.88</v>
      </c>
      <c r="G3891" s="1120">
        <v>114.88</v>
      </c>
      <c r="H3891" s="1127">
        <v>0.0</v>
      </c>
      <c r="I3891" s="1127">
        <v>0.0</v>
      </c>
      <c r="J3891" s="1127">
        <v>0.0</v>
      </c>
      <c r="K3891" s="1124"/>
    </row>
    <row r="3892" ht="15.75" customHeight="1">
      <c r="A3892" s="1119">
        <v>89637.0</v>
      </c>
      <c r="B3892" s="1125" t="s">
        <v>14171</v>
      </c>
      <c r="C3892" s="1126" t="s">
        <v>1788</v>
      </c>
      <c r="D3892" s="1119">
        <v>11.82</v>
      </c>
      <c r="E3892" s="1120">
        <v>4.79</v>
      </c>
      <c r="F3892" s="1121">
        <f t="shared" si="1"/>
        <v>7.04</v>
      </c>
      <c r="G3892" s="1120">
        <v>7.04</v>
      </c>
      <c r="H3892" s="1127">
        <v>0.0</v>
      </c>
      <c r="I3892" s="1127">
        <v>0.0</v>
      </c>
      <c r="J3892" s="1127">
        <v>0.0</v>
      </c>
      <c r="K3892" s="1124"/>
    </row>
    <row r="3893" ht="15.75" customHeight="1">
      <c r="A3893" s="1119">
        <v>89638.0</v>
      </c>
      <c r="B3893" s="1125" t="s">
        <v>14172</v>
      </c>
      <c r="C3893" s="1126" t="s">
        <v>1788</v>
      </c>
      <c r="D3893" s="1119">
        <v>12.74</v>
      </c>
      <c r="E3893" s="1120">
        <v>4.79</v>
      </c>
      <c r="F3893" s="1121">
        <f t="shared" si="1"/>
        <v>7.96</v>
      </c>
      <c r="G3893" s="1120">
        <v>7.96</v>
      </c>
      <c r="H3893" s="1127">
        <v>0.0</v>
      </c>
      <c r="I3893" s="1127">
        <v>0.0</v>
      </c>
      <c r="J3893" s="1127">
        <v>0.0</v>
      </c>
      <c r="K3893" s="1124"/>
    </row>
    <row r="3894" ht="15.75" customHeight="1">
      <c r="A3894" s="1119">
        <v>89639.0</v>
      </c>
      <c r="B3894" s="1125" t="s">
        <v>14173</v>
      </c>
      <c r="C3894" s="1126" t="s">
        <v>1788</v>
      </c>
      <c r="D3894" s="1119">
        <v>13.39</v>
      </c>
      <c r="E3894" s="1120">
        <v>4.78</v>
      </c>
      <c r="F3894" s="1121">
        <f t="shared" si="1"/>
        <v>8.61</v>
      </c>
      <c r="G3894" s="1120">
        <v>8.61</v>
      </c>
      <c r="H3894" s="1127">
        <v>0.0</v>
      </c>
      <c r="I3894" s="1127">
        <v>0.0</v>
      </c>
      <c r="J3894" s="1127">
        <v>0.0</v>
      </c>
      <c r="K3894" s="1124"/>
    </row>
    <row r="3895" ht="15.75" customHeight="1">
      <c r="A3895" s="1119">
        <v>89640.0</v>
      </c>
      <c r="B3895" s="1125" t="s">
        <v>14174</v>
      </c>
      <c r="C3895" s="1126" t="s">
        <v>1788</v>
      </c>
      <c r="D3895" s="1119">
        <v>20.38</v>
      </c>
      <c r="E3895" s="1120">
        <v>4.77</v>
      </c>
      <c r="F3895" s="1121">
        <f t="shared" si="1"/>
        <v>15.61</v>
      </c>
      <c r="G3895" s="1120">
        <v>15.61</v>
      </c>
      <c r="H3895" s="1127">
        <v>0.0</v>
      </c>
      <c r="I3895" s="1127">
        <v>0.0</v>
      </c>
      <c r="J3895" s="1127">
        <v>0.0</v>
      </c>
      <c r="K3895" s="1124"/>
    </row>
    <row r="3896" ht="15.75" customHeight="1">
      <c r="A3896" s="1119">
        <v>89641.0</v>
      </c>
      <c r="B3896" s="1125" t="s">
        <v>14175</v>
      </c>
      <c r="C3896" s="1126" t="s">
        <v>1788</v>
      </c>
      <c r="D3896" s="1119">
        <v>15.29</v>
      </c>
      <c r="E3896" s="1120">
        <v>6.06</v>
      </c>
      <c r="F3896" s="1121">
        <f t="shared" si="1"/>
        <v>9.22</v>
      </c>
      <c r="G3896" s="1120">
        <v>9.22</v>
      </c>
      <c r="H3896" s="1127">
        <v>0.0</v>
      </c>
      <c r="I3896" s="1127">
        <v>0.0</v>
      </c>
      <c r="J3896" s="1127">
        <v>0.0</v>
      </c>
      <c r="K3896" s="1124"/>
    </row>
    <row r="3897" ht="15.75" customHeight="1">
      <c r="A3897" s="1119">
        <v>89642.0</v>
      </c>
      <c r="B3897" s="1125" t="s">
        <v>14176</v>
      </c>
      <c r="C3897" s="1126" t="s">
        <v>1788</v>
      </c>
      <c r="D3897" s="1119">
        <v>16.9</v>
      </c>
      <c r="E3897" s="1120">
        <v>6.06</v>
      </c>
      <c r="F3897" s="1121">
        <f t="shared" si="1"/>
        <v>10.84</v>
      </c>
      <c r="G3897" s="1120">
        <v>10.84</v>
      </c>
      <c r="H3897" s="1127">
        <v>0.0</v>
      </c>
      <c r="I3897" s="1127">
        <v>0.0</v>
      </c>
      <c r="J3897" s="1127">
        <v>0.0</v>
      </c>
      <c r="K3897" s="1124"/>
    </row>
    <row r="3898" ht="15.75" customHeight="1">
      <c r="A3898" s="1119">
        <v>89643.0</v>
      </c>
      <c r="B3898" s="1125" t="s">
        <v>14177</v>
      </c>
      <c r="C3898" s="1126" t="s">
        <v>1788</v>
      </c>
      <c r="D3898" s="1119">
        <v>18.19</v>
      </c>
      <c r="E3898" s="1120">
        <v>6.06</v>
      </c>
      <c r="F3898" s="1121">
        <f t="shared" si="1"/>
        <v>12.13</v>
      </c>
      <c r="G3898" s="1120">
        <v>12.13</v>
      </c>
      <c r="H3898" s="1127">
        <v>0.0</v>
      </c>
      <c r="I3898" s="1127">
        <v>0.0</v>
      </c>
      <c r="J3898" s="1127">
        <v>0.0</v>
      </c>
      <c r="K3898" s="1124"/>
    </row>
    <row r="3899" ht="15.75" customHeight="1">
      <c r="A3899" s="1119">
        <v>89644.0</v>
      </c>
      <c r="B3899" s="1125" t="s">
        <v>14178</v>
      </c>
      <c r="C3899" s="1126" t="s">
        <v>1788</v>
      </c>
      <c r="D3899" s="1119">
        <v>24.79</v>
      </c>
      <c r="E3899" s="1120">
        <v>5.41</v>
      </c>
      <c r="F3899" s="1121">
        <f t="shared" si="1"/>
        <v>19.38</v>
      </c>
      <c r="G3899" s="1120">
        <v>19.38</v>
      </c>
      <c r="H3899" s="1127">
        <v>0.0</v>
      </c>
      <c r="I3899" s="1127">
        <v>0.0</v>
      </c>
      <c r="J3899" s="1127">
        <v>0.0</v>
      </c>
      <c r="K3899" s="1124"/>
    </row>
    <row r="3900" ht="15.75" customHeight="1">
      <c r="A3900" s="1119">
        <v>89645.0</v>
      </c>
      <c r="B3900" s="1125" t="s">
        <v>14179</v>
      </c>
      <c r="C3900" s="1126" t="s">
        <v>1788</v>
      </c>
      <c r="D3900" s="1119">
        <v>34.24</v>
      </c>
      <c r="E3900" s="1120">
        <v>5.87</v>
      </c>
      <c r="F3900" s="1121">
        <f t="shared" si="1"/>
        <v>28.37</v>
      </c>
      <c r="G3900" s="1120">
        <v>28.37</v>
      </c>
      <c r="H3900" s="1127">
        <v>0.0</v>
      </c>
      <c r="I3900" s="1127">
        <v>0.0</v>
      </c>
      <c r="J3900" s="1127">
        <v>0.0</v>
      </c>
      <c r="K3900" s="1124"/>
    </row>
    <row r="3901" ht="15.75" customHeight="1">
      <c r="A3901" s="1119">
        <v>89646.0</v>
      </c>
      <c r="B3901" s="1125" t="s">
        <v>14180</v>
      </c>
      <c r="C3901" s="1126" t="s">
        <v>1788</v>
      </c>
      <c r="D3901" s="1119">
        <v>22.61</v>
      </c>
      <c r="E3901" s="1120">
        <v>7.13</v>
      </c>
      <c r="F3901" s="1121">
        <f t="shared" si="1"/>
        <v>15.49</v>
      </c>
      <c r="G3901" s="1120">
        <v>15.49</v>
      </c>
      <c r="H3901" s="1127">
        <v>0.0</v>
      </c>
      <c r="I3901" s="1127">
        <v>0.0</v>
      </c>
      <c r="J3901" s="1127">
        <v>0.0</v>
      </c>
      <c r="K3901" s="1124"/>
    </row>
    <row r="3902" ht="15.75" customHeight="1">
      <c r="A3902" s="1119">
        <v>89647.0</v>
      </c>
      <c r="B3902" s="1125" t="s">
        <v>14181</v>
      </c>
      <c r="C3902" s="1126" t="s">
        <v>1788</v>
      </c>
      <c r="D3902" s="1119">
        <v>21.94</v>
      </c>
      <c r="E3902" s="1120">
        <v>7.13</v>
      </c>
      <c r="F3902" s="1121">
        <f t="shared" si="1"/>
        <v>14.82</v>
      </c>
      <c r="G3902" s="1120">
        <v>14.82</v>
      </c>
      <c r="H3902" s="1127">
        <v>0.0</v>
      </c>
      <c r="I3902" s="1127">
        <v>0.0</v>
      </c>
      <c r="J3902" s="1127">
        <v>0.0</v>
      </c>
      <c r="K3902" s="1124"/>
    </row>
    <row r="3903" ht="15.75" customHeight="1">
      <c r="A3903" s="1119">
        <v>89648.0</v>
      </c>
      <c r="B3903" s="1125" t="s">
        <v>14182</v>
      </c>
      <c r="C3903" s="1126" t="s">
        <v>1788</v>
      </c>
      <c r="D3903" s="1119">
        <v>26.98</v>
      </c>
      <c r="E3903" s="1120">
        <v>7.13</v>
      </c>
      <c r="F3903" s="1121">
        <f t="shared" si="1"/>
        <v>19.86</v>
      </c>
      <c r="G3903" s="1120">
        <v>19.86</v>
      </c>
      <c r="H3903" s="1127">
        <v>0.0</v>
      </c>
      <c r="I3903" s="1127">
        <v>0.0</v>
      </c>
      <c r="J3903" s="1127">
        <v>0.0</v>
      </c>
      <c r="K3903" s="1124"/>
    </row>
    <row r="3904" ht="15.75" customHeight="1">
      <c r="A3904" s="1119">
        <v>89649.0</v>
      </c>
      <c r="B3904" s="1125" t="s">
        <v>14183</v>
      </c>
      <c r="C3904" s="1126" t="s">
        <v>1788</v>
      </c>
      <c r="D3904" s="1119">
        <v>32.77</v>
      </c>
      <c r="E3904" s="1120">
        <v>8.39</v>
      </c>
      <c r="F3904" s="1121">
        <f t="shared" si="1"/>
        <v>24.38</v>
      </c>
      <c r="G3904" s="1120">
        <v>24.38</v>
      </c>
      <c r="H3904" s="1127">
        <v>0.0</v>
      </c>
      <c r="I3904" s="1127">
        <v>0.0</v>
      </c>
      <c r="J3904" s="1127">
        <v>0.0</v>
      </c>
      <c r="K3904" s="1124"/>
    </row>
    <row r="3905" ht="15.75" customHeight="1">
      <c r="A3905" s="1119">
        <v>89650.0</v>
      </c>
      <c r="B3905" s="1125" t="s">
        <v>14184</v>
      </c>
      <c r="C3905" s="1126" t="s">
        <v>1788</v>
      </c>
      <c r="D3905" s="1119">
        <v>31.12</v>
      </c>
      <c r="E3905" s="1120">
        <v>8.39</v>
      </c>
      <c r="F3905" s="1121">
        <f t="shared" si="1"/>
        <v>22.73</v>
      </c>
      <c r="G3905" s="1120">
        <v>22.73</v>
      </c>
      <c r="H3905" s="1127">
        <v>0.0</v>
      </c>
      <c r="I3905" s="1127">
        <v>0.0</v>
      </c>
      <c r="J3905" s="1127">
        <v>0.0</v>
      </c>
      <c r="K3905" s="1124"/>
    </row>
    <row r="3906" ht="15.75" customHeight="1">
      <c r="A3906" s="1119">
        <v>89651.0</v>
      </c>
      <c r="B3906" s="1125" t="s">
        <v>14185</v>
      </c>
      <c r="C3906" s="1126" t="s">
        <v>1788</v>
      </c>
      <c r="D3906" s="1119">
        <v>8.02</v>
      </c>
      <c r="E3906" s="1120">
        <v>3.19</v>
      </c>
      <c r="F3906" s="1121">
        <f t="shared" si="1"/>
        <v>4.82</v>
      </c>
      <c r="G3906" s="1120">
        <v>4.82</v>
      </c>
      <c r="H3906" s="1127">
        <v>0.0</v>
      </c>
      <c r="I3906" s="1127">
        <v>0.0</v>
      </c>
      <c r="J3906" s="1127">
        <v>0.0</v>
      </c>
      <c r="K3906" s="1124"/>
    </row>
    <row r="3907" ht="15.75" customHeight="1">
      <c r="A3907" s="1119">
        <v>89652.0</v>
      </c>
      <c r="B3907" s="1125" t="s">
        <v>14186</v>
      </c>
      <c r="C3907" s="1126" t="s">
        <v>1788</v>
      </c>
      <c r="D3907" s="1119">
        <v>13.15</v>
      </c>
      <c r="E3907" s="1120">
        <v>3.18</v>
      </c>
      <c r="F3907" s="1121">
        <f t="shared" si="1"/>
        <v>9.96</v>
      </c>
      <c r="G3907" s="1120">
        <v>9.96</v>
      </c>
      <c r="H3907" s="1127">
        <v>0.0</v>
      </c>
      <c r="I3907" s="1127">
        <v>0.0</v>
      </c>
      <c r="J3907" s="1127">
        <v>0.0</v>
      </c>
      <c r="K3907" s="1124"/>
    </row>
    <row r="3908" ht="15.75" customHeight="1">
      <c r="A3908" s="1119">
        <v>89653.0</v>
      </c>
      <c r="B3908" s="1125" t="s">
        <v>14187</v>
      </c>
      <c r="C3908" s="1126" t="s">
        <v>1788</v>
      </c>
      <c r="D3908" s="1119">
        <v>18.35</v>
      </c>
      <c r="E3908" s="1120">
        <v>3.18</v>
      </c>
      <c r="F3908" s="1121">
        <f t="shared" si="1"/>
        <v>15.17</v>
      </c>
      <c r="G3908" s="1120">
        <v>15.17</v>
      </c>
      <c r="H3908" s="1127">
        <v>0.0</v>
      </c>
      <c r="I3908" s="1127">
        <v>0.0</v>
      </c>
      <c r="J3908" s="1127">
        <v>0.0</v>
      </c>
      <c r="K3908" s="1124"/>
    </row>
    <row r="3909" ht="15.75" customHeight="1">
      <c r="A3909" s="1119">
        <v>89654.0</v>
      </c>
      <c r="B3909" s="1125" t="s">
        <v>14188</v>
      </c>
      <c r="C3909" s="1126" t="s">
        <v>1788</v>
      </c>
      <c r="D3909" s="1119">
        <v>21.13</v>
      </c>
      <c r="E3909" s="1120">
        <v>3.18</v>
      </c>
      <c r="F3909" s="1121">
        <f t="shared" si="1"/>
        <v>17.95</v>
      </c>
      <c r="G3909" s="1120">
        <v>17.95</v>
      </c>
      <c r="H3909" s="1127">
        <v>0.0</v>
      </c>
      <c r="I3909" s="1127">
        <v>0.0</v>
      </c>
      <c r="J3909" s="1127">
        <v>0.0</v>
      </c>
      <c r="K3909" s="1124"/>
    </row>
    <row r="3910" ht="15.75" customHeight="1">
      <c r="A3910" s="1119">
        <v>89655.0</v>
      </c>
      <c r="B3910" s="1125" t="s">
        <v>14189</v>
      </c>
      <c r="C3910" s="1126" t="s">
        <v>1788</v>
      </c>
      <c r="D3910" s="1119">
        <v>25.03</v>
      </c>
      <c r="E3910" s="1120">
        <v>3.17</v>
      </c>
      <c r="F3910" s="1121">
        <f t="shared" si="1"/>
        <v>21.85</v>
      </c>
      <c r="G3910" s="1120">
        <v>21.85</v>
      </c>
      <c r="H3910" s="1127">
        <v>0.0</v>
      </c>
      <c r="I3910" s="1127">
        <v>0.0</v>
      </c>
      <c r="J3910" s="1127">
        <v>0.0</v>
      </c>
      <c r="K3910" s="1124"/>
    </row>
    <row r="3911" ht="15.75" customHeight="1">
      <c r="A3911" s="1119">
        <v>89656.0</v>
      </c>
      <c r="B3911" s="1125" t="s">
        <v>14190</v>
      </c>
      <c r="C3911" s="1126" t="s">
        <v>1788</v>
      </c>
      <c r="D3911" s="1119">
        <v>23.38</v>
      </c>
      <c r="E3911" s="1120">
        <v>3.17</v>
      </c>
      <c r="F3911" s="1121">
        <f t="shared" si="1"/>
        <v>20.2</v>
      </c>
      <c r="G3911" s="1120">
        <v>20.2</v>
      </c>
      <c r="H3911" s="1127">
        <v>0.0</v>
      </c>
      <c r="I3911" s="1127">
        <v>0.0</v>
      </c>
      <c r="J3911" s="1127">
        <v>0.0</v>
      </c>
      <c r="K3911" s="1124"/>
    </row>
    <row r="3912" ht="15.75" customHeight="1">
      <c r="A3912" s="1119">
        <v>89657.0</v>
      </c>
      <c r="B3912" s="1125" t="s">
        <v>14191</v>
      </c>
      <c r="C3912" s="1126" t="s">
        <v>1788</v>
      </c>
      <c r="D3912" s="1119">
        <v>14.79</v>
      </c>
      <c r="E3912" s="1120">
        <v>3.18</v>
      </c>
      <c r="F3912" s="1121">
        <f t="shared" si="1"/>
        <v>11.6</v>
      </c>
      <c r="G3912" s="1120">
        <v>11.6</v>
      </c>
      <c r="H3912" s="1127">
        <v>0.0</v>
      </c>
      <c r="I3912" s="1127">
        <v>0.0</v>
      </c>
      <c r="J3912" s="1127">
        <v>0.0</v>
      </c>
      <c r="K3912" s="1124"/>
    </row>
    <row r="3913" ht="15.75" customHeight="1">
      <c r="A3913" s="1119">
        <v>89658.0</v>
      </c>
      <c r="B3913" s="1125" t="s">
        <v>14192</v>
      </c>
      <c r="C3913" s="1126" t="s">
        <v>1788</v>
      </c>
      <c r="D3913" s="1119">
        <v>10.65</v>
      </c>
      <c r="E3913" s="1120">
        <v>4.05</v>
      </c>
      <c r="F3913" s="1121">
        <f t="shared" si="1"/>
        <v>6.61</v>
      </c>
      <c r="G3913" s="1120">
        <v>6.61</v>
      </c>
      <c r="H3913" s="1127">
        <v>0.0</v>
      </c>
      <c r="I3913" s="1127">
        <v>0.0</v>
      </c>
      <c r="J3913" s="1127">
        <v>0.0</v>
      </c>
      <c r="K3913" s="1124"/>
    </row>
    <row r="3914" ht="15.75" customHeight="1">
      <c r="A3914" s="1119">
        <v>89659.0</v>
      </c>
      <c r="B3914" s="1125" t="s">
        <v>14193</v>
      </c>
      <c r="C3914" s="1126" t="s">
        <v>1788</v>
      </c>
      <c r="D3914" s="1119">
        <v>18.39</v>
      </c>
      <c r="E3914" s="1120">
        <v>4.03</v>
      </c>
      <c r="F3914" s="1121">
        <f t="shared" si="1"/>
        <v>14.37</v>
      </c>
      <c r="G3914" s="1120">
        <v>14.37</v>
      </c>
      <c r="H3914" s="1127">
        <v>0.0</v>
      </c>
      <c r="I3914" s="1127">
        <v>0.0</v>
      </c>
      <c r="J3914" s="1127">
        <v>0.0</v>
      </c>
      <c r="K3914" s="1124"/>
    </row>
    <row r="3915" ht="15.75" customHeight="1">
      <c r="A3915" s="1119">
        <v>89660.0</v>
      </c>
      <c r="B3915" s="1125" t="s">
        <v>14194</v>
      </c>
      <c r="C3915" s="1126" t="s">
        <v>1788</v>
      </c>
      <c r="D3915" s="1119">
        <v>10.85</v>
      </c>
      <c r="E3915" s="1120">
        <v>4.22</v>
      </c>
      <c r="F3915" s="1121">
        <f t="shared" si="1"/>
        <v>6.65</v>
      </c>
      <c r="G3915" s="1120">
        <v>6.65</v>
      </c>
      <c r="H3915" s="1127">
        <v>0.0</v>
      </c>
      <c r="I3915" s="1127">
        <v>0.0</v>
      </c>
      <c r="J3915" s="1127">
        <v>0.0</v>
      </c>
      <c r="K3915" s="1124"/>
    </row>
    <row r="3916" ht="15.75" customHeight="1">
      <c r="A3916" s="1119">
        <v>89661.0</v>
      </c>
      <c r="B3916" s="1125" t="s">
        <v>14195</v>
      </c>
      <c r="C3916" s="1126" t="s">
        <v>1788</v>
      </c>
      <c r="D3916" s="1119">
        <v>24.75</v>
      </c>
      <c r="E3916" s="1120">
        <v>4.03</v>
      </c>
      <c r="F3916" s="1121">
        <f t="shared" si="1"/>
        <v>20.73</v>
      </c>
      <c r="G3916" s="1120">
        <v>20.73</v>
      </c>
      <c r="H3916" s="1127">
        <v>0.0</v>
      </c>
      <c r="I3916" s="1127">
        <v>0.0</v>
      </c>
      <c r="J3916" s="1127">
        <v>0.0</v>
      </c>
      <c r="K3916" s="1124"/>
    </row>
    <row r="3917" ht="15.75" customHeight="1">
      <c r="A3917" s="1119">
        <v>89662.0</v>
      </c>
      <c r="B3917" s="1125" t="s">
        <v>14196</v>
      </c>
      <c r="C3917" s="1126" t="s">
        <v>1788</v>
      </c>
      <c r="D3917" s="1119">
        <v>32.28</v>
      </c>
      <c r="E3917" s="1120">
        <v>3.59</v>
      </c>
      <c r="F3917" s="1121">
        <f t="shared" si="1"/>
        <v>28.69</v>
      </c>
      <c r="G3917" s="1120">
        <v>28.69</v>
      </c>
      <c r="H3917" s="1127">
        <v>0.0</v>
      </c>
      <c r="I3917" s="1127">
        <v>0.0</v>
      </c>
      <c r="J3917" s="1127">
        <v>0.0</v>
      </c>
      <c r="K3917" s="1124"/>
    </row>
    <row r="3918" ht="15.75" customHeight="1">
      <c r="A3918" s="1119">
        <v>89663.0</v>
      </c>
      <c r="B3918" s="1125" t="s">
        <v>14197</v>
      </c>
      <c r="C3918" s="1126" t="s">
        <v>1788</v>
      </c>
      <c r="D3918" s="1119">
        <v>31.29</v>
      </c>
      <c r="E3918" s="1120">
        <v>4.03</v>
      </c>
      <c r="F3918" s="1121">
        <f t="shared" si="1"/>
        <v>27.27</v>
      </c>
      <c r="G3918" s="1120">
        <v>27.27</v>
      </c>
      <c r="H3918" s="1127">
        <v>0.0</v>
      </c>
      <c r="I3918" s="1127">
        <v>0.0</v>
      </c>
      <c r="J3918" s="1127">
        <v>0.0</v>
      </c>
      <c r="K3918" s="1124"/>
    </row>
    <row r="3919" ht="15.75" customHeight="1">
      <c r="A3919" s="1119">
        <v>89664.0</v>
      </c>
      <c r="B3919" s="1125" t="s">
        <v>14198</v>
      </c>
      <c r="C3919" s="1126" t="s">
        <v>1788</v>
      </c>
      <c r="D3919" s="1119">
        <v>18.32</v>
      </c>
      <c r="E3919" s="1120">
        <v>4.03</v>
      </c>
      <c r="F3919" s="1121">
        <f t="shared" si="1"/>
        <v>14.3</v>
      </c>
      <c r="G3919" s="1120">
        <v>14.3</v>
      </c>
      <c r="H3919" s="1127">
        <v>0.0</v>
      </c>
      <c r="I3919" s="1127">
        <v>0.0</v>
      </c>
      <c r="J3919" s="1127">
        <v>0.0</v>
      </c>
      <c r="K3919" s="1124"/>
    </row>
    <row r="3920" ht="15.75" customHeight="1">
      <c r="A3920" s="1119">
        <v>89666.0</v>
      </c>
      <c r="B3920" s="1125" t="s">
        <v>14199</v>
      </c>
      <c r="C3920" s="1126" t="s">
        <v>1788</v>
      </c>
      <c r="D3920" s="1119">
        <v>8.36</v>
      </c>
      <c r="E3920" s="1120">
        <v>3.62</v>
      </c>
      <c r="F3920" s="1121">
        <f t="shared" si="1"/>
        <v>4.75</v>
      </c>
      <c r="G3920" s="1120">
        <v>4.75</v>
      </c>
      <c r="H3920" s="1127">
        <v>0.0</v>
      </c>
      <c r="I3920" s="1127">
        <v>0.0</v>
      </c>
      <c r="J3920" s="1127">
        <v>0.0</v>
      </c>
      <c r="K3920" s="1124"/>
    </row>
    <row r="3921" ht="15.75" customHeight="1">
      <c r="A3921" s="1119">
        <v>89667.0</v>
      </c>
      <c r="B3921" s="1125" t="s">
        <v>14200</v>
      </c>
      <c r="C3921" s="1126" t="s">
        <v>1788</v>
      </c>
      <c r="D3921" s="1119">
        <v>47.16</v>
      </c>
      <c r="E3921" s="1120">
        <v>5.01</v>
      </c>
      <c r="F3921" s="1121">
        <f t="shared" si="1"/>
        <v>42.14</v>
      </c>
      <c r="G3921" s="1120">
        <v>42.14</v>
      </c>
      <c r="H3921" s="1127">
        <v>0.0</v>
      </c>
      <c r="I3921" s="1127">
        <v>0.0</v>
      </c>
      <c r="J3921" s="1127">
        <v>0.0</v>
      </c>
      <c r="K3921" s="1124"/>
    </row>
    <row r="3922" ht="15.75" customHeight="1">
      <c r="A3922" s="1119">
        <v>89668.0</v>
      </c>
      <c r="B3922" s="1125" t="s">
        <v>14201</v>
      </c>
      <c r="C3922" s="1126" t="s">
        <v>1788</v>
      </c>
      <c r="D3922" s="1119">
        <v>30.54</v>
      </c>
      <c r="E3922" s="1120">
        <v>3.9</v>
      </c>
      <c r="F3922" s="1121">
        <f t="shared" si="1"/>
        <v>26.66</v>
      </c>
      <c r="G3922" s="1120">
        <v>26.66</v>
      </c>
      <c r="H3922" s="1127">
        <v>0.0</v>
      </c>
      <c r="I3922" s="1127">
        <v>0.0</v>
      </c>
      <c r="J3922" s="1127">
        <v>0.0</v>
      </c>
      <c r="K3922" s="1124"/>
    </row>
    <row r="3923" ht="15.75" customHeight="1">
      <c r="A3923" s="1119">
        <v>89669.0</v>
      </c>
      <c r="B3923" s="1125" t="s">
        <v>14202</v>
      </c>
      <c r="C3923" s="1126" t="s">
        <v>1788</v>
      </c>
      <c r="D3923" s="1119">
        <v>35.71</v>
      </c>
      <c r="E3923" s="1120">
        <v>7.9</v>
      </c>
      <c r="F3923" s="1121">
        <f t="shared" si="1"/>
        <v>27.82</v>
      </c>
      <c r="G3923" s="1120">
        <v>27.82</v>
      </c>
      <c r="H3923" s="1127">
        <v>0.0</v>
      </c>
      <c r="I3923" s="1127">
        <v>0.0</v>
      </c>
      <c r="J3923" s="1127">
        <v>0.0</v>
      </c>
      <c r="K3923" s="1124"/>
    </row>
    <row r="3924" ht="15.75" customHeight="1">
      <c r="A3924" s="1119">
        <v>89670.0</v>
      </c>
      <c r="B3924" s="1125" t="s">
        <v>14203</v>
      </c>
      <c r="C3924" s="1126" t="s">
        <v>1788</v>
      </c>
      <c r="D3924" s="1119">
        <v>15.54</v>
      </c>
      <c r="E3924" s="1120">
        <v>4.75</v>
      </c>
      <c r="F3924" s="1121">
        <f t="shared" si="1"/>
        <v>10.78</v>
      </c>
      <c r="G3924" s="1120">
        <v>10.78</v>
      </c>
      <c r="H3924" s="1127">
        <v>0.0</v>
      </c>
      <c r="I3924" s="1127">
        <v>0.0</v>
      </c>
      <c r="J3924" s="1127">
        <v>0.0</v>
      </c>
      <c r="K3924" s="1124"/>
    </row>
    <row r="3925" ht="15.75" customHeight="1">
      <c r="A3925" s="1119">
        <v>89671.0</v>
      </c>
      <c r="B3925" s="1125" t="s">
        <v>14204</v>
      </c>
      <c r="C3925" s="1126" t="s">
        <v>1788</v>
      </c>
      <c r="D3925" s="1119">
        <v>47.99</v>
      </c>
      <c r="E3925" s="1120">
        <v>7.9</v>
      </c>
      <c r="F3925" s="1121">
        <f t="shared" si="1"/>
        <v>40.1</v>
      </c>
      <c r="G3925" s="1120">
        <v>40.1</v>
      </c>
      <c r="H3925" s="1127">
        <v>0.0</v>
      </c>
      <c r="I3925" s="1127">
        <v>0.0</v>
      </c>
      <c r="J3925" s="1127">
        <v>0.0</v>
      </c>
      <c r="K3925" s="1124"/>
    </row>
    <row r="3926" ht="15.75" customHeight="1">
      <c r="A3926" s="1119">
        <v>89672.0</v>
      </c>
      <c r="B3926" s="1125" t="s">
        <v>14205</v>
      </c>
      <c r="C3926" s="1126" t="s">
        <v>1788</v>
      </c>
      <c r="D3926" s="1119">
        <v>25.18</v>
      </c>
      <c r="E3926" s="1120">
        <v>4.74</v>
      </c>
      <c r="F3926" s="1121">
        <f t="shared" si="1"/>
        <v>20.42</v>
      </c>
      <c r="G3926" s="1120">
        <v>20.42</v>
      </c>
      <c r="H3926" s="1127">
        <v>0.0</v>
      </c>
      <c r="I3926" s="1127">
        <v>0.0</v>
      </c>
      <c r="J3926" s="1127">
        <v>0.0</v>
      </c>
      <c r="K3926" s="1124"/>
    </row>
    <row r="3927" ht="15.75" customHeight="1">
      <c r="A3927" s="1119">
        <v>89673.0</v>
      </c>
      <c r="B3927" s="1125" t="s">
        <v>14206</v>
      </c>
      <c r="C3927" s="1126" t="s">
        <v>1788</v>
      </c>
      <c r="D3927" s="1119">
        <v>37.85</v>
      </c>
      <c r="E3927" s="1120">
        <v>6.46</v>
      </c>
      <c r="F3927" s="1121">
        <f t="shared" si="1"/>
        <v>31.39</v>
      </c>
      <c r="G3927" s="1120">
        <v>31.39</v>
      </c>
      <c r="H3927" s="1127">
        <v>0.0</v>
      </c>
      <c r="I3927" s="1127">
        <v>0.0</v>
      </c>
      <c r="J3927" s="1127">
        <v>0.0</v>
      </c>
      <c r="K3927" s="1124"/>
    </row>
    <row r="3928" ht="15.75" customHeight="1">
      <c r="A3928" s="1119">
        <v>89674.0</v>
      </c>
      <c r="B3928" s="1125" t="s">
        <v>14207</v>
      </c>
      <c r="C3928" s="1126" t="s">
        <v>1788</v>
      </c>
      <c r="D3928" s="1119">
        <v>32.15</v>
      </c>
      <c r="E3928" s="1120">
        <v>4.74</v>
      </c>
      <c r="F3928" s="1121">
        <f t="shared" si="1"/>
        <v>27.4</v>
      </c>
      <c r="G3928" s="1120">
        <v>27.4</v>
      </c>
      <c r="H3928" s="1127">
        <v>0.0</v>
      </c>
      <c r="I3928" s="1127">
        <v>0.0</v>
      </c>
      <c r="J3928" s="1127">
        <v>0.0</v>
      </c>
      <c r="K3928" s="1124"/>
    </row>
    <row r="3929" ht="15.75" customHeight="1">
      <c r="A3929" s="1119">
        <v>89675.0</v>
      </c>
      <c r="B3929" s="1125" t="s">
        <v>14208</v>
      </c>
      <c r="C3929" s="1126" t="s">
        <v>1788</v>
      </c>
      <c r="D3929" s="1119">
        <v>77.71</v>
      </c>
      <c r="E3929" s="1120">
        <v>7.89</v>
      </c>
      <c r="F3929" s="1121">
        <f t="shared" si="1"/>
        <v>69.83</v>
      </c>
      <c r="G3929" s="1120">
        <v>69.83</v>
      </c>
      <c r="H3929" s="1127">
        <v>0.0</v>
      </c>
      <c r="I3929" s="1127">
        <v>0.0</v>
      </c>
      <c r="J3929" s="1127">
        <v>0.0</v>
      </c>
      <c r="K3929" s="1124"/>
    </row>
    <row r="3930" ht="15.75" customHeight="1">
      <c r="A3930" s="1119">
        <v>89676.0</v>
      </c>
      <c r="B3930" s="1125" t="s">
        <v>14209</v>
      </c>
      <c r="C3930" s="1126" t="s">
        <v>1788</v>
      </c>
      <c r="D3930" s="1119">
        <v>38.38</v>
      </c>
      <c r="E3930" s="1120">
        <v>4.55</v>
      </c>
      <c r="F3930" s="1121">
        <f t="shared" si="1"/>
        <v>33.81</v>
      </c>
      <c r="G3930" s="1120">
        <v>33.81</v>
      </c>
      <c r="H3930" s="1127">
        <v>0.0</v>
      </c>
      <c r="I3930" s="1127">
        <v>0.0</v>
      </c>
      <c r="J3930" s="1127">
        <v>0.0</v>
      </c>
      <c r="K3930" s="1124"/>
    </row>
    <row r="3931" ht="15.75" customHeight="1">
      <c r="A3931" s="1119">
        <v>89677.0</v>
      </c>
      <c r="B3931" s="1125" t="s">
        <v>14210</v>
      </c>
      <c r="C3931" s="1126" t="s">
        <v>1788</v>
      </c>
      <c r="D3931" s="1119">
        <v>82.33</v>
      </c>
      <c r="E3931" s="1120">
        <v>13.62</v>
      </c>
      <c r="F3931" s="1121">
        <f t="shared" si="1"/>
        <v>68.7</v>
      </c>
      <c r="G3931" s="1120">
        <v>68.7</v>
      </c>
      <c r="H3931" s="1127">
        <v>0.0</v>
      </c>
      <c r="I3931" s="1127">
        <v>0.0</v>
      </c>
      <c r="J3931" s="1127">
        <v>0.0</v>
      </c>
      <c r="K3931" s="1124"/>
    </row>
    <row r="3932" ht="15.75" customHeight="1">
      <c r="A3932" s="1119">
        <v>89678.0</v>
      </c>
      <c r="B3932" s="1125" t="s">
        <v>14211</v>
      </c>
      <c r="C3932" s="1126" t="s">
        <v>1788</v>
      </c>
      <c r="D3932" s="1119">
        <v>13.3</v>
      </c>
      <c r="E3932" s="1120">
        <v>4.4</v>
      </c>
      <c r="F3932" s="1121">
        <f t="shared" si="1"/>
        <v>8.9</v>
      </c>
      <c r="G3932" s="1120">
        <v>8.9</v>
      </c>
      <c r="H3932" s="1127">
        <v>0.0</v>
      </c>
      <c r="I3932" s="1127">
        <v>0.0</v>
      </c>
      <c r="J3932" s="1127">
        <v>0.0</v>
      </c>
      <c r="K3932" s="1124"/>
    </row>
    <row r="3933" ht="15.75" customHeight="1">
      <c r="A3933" s="1119">
        <v>89679.0</v>
      </c>
      <c r="B3933" s="1125" t="s">
        <v>14212</v>
      </c>
      <c r="C3933" s="1126" t="s">
        <v>1788</v>
      </c>
      <c r="D3933" s="1119">
        <v>130.06</v>
      </c>
      <c r="E3933" s="1120">
        <v>13.62</v>
      </c>
      <c r="F3933" s="1121">
        <f t="shared" si="1"/>
        <v>116.43</v>
      </c>
      <c r="G3933" s="1120">
        <v>116.43</v>
      </c>
      <c r="H3933" s="1127">
        <v>0.0</v>
      </c>
      <c r="I3933" s="1127">
        <v>0.0</v>
      </c>
      <c r="J3933" s="1127">
        <v>0.0</v>
      </c>
      <c r="K3933" s="1124"/>
    </row>
    <row r="3934" ht="15.75" customHeight="1">
      <c r="A3934" s="1119">
        <v>89680.0</v>
      </c>
      <c r="B3934" s="1125" t="s">
        <v>14213</v>
      </c>
      <c r="C3934" s="1126" t="s">
        <v>1788</v>
      </c>
      <c r="D3934" s="1119">
        <v>24.24</v>
      </c>
      <c r="E3934" s="1120">
        <v>5.59</v>
      </c>
      <c r="F3934" s="1121">
        <f t="shared" si="1"/>
        <v>18.65</v>
      </c>
      <c r="G3934" s="1120">
        <v>18.65</v>
      </c>
      <c r="H3934" s="1127">
        <v>0.0</v>
      </c>
      <c r="I3934" s="1127">
        <v>0.0</v>
      </c>
      <c r="J3934" s="1127">
        <v>0.0</v>
      </c>
      <c r="K3934" s="1124"/>
    </row>
    <row r="3935" ht="15.75" customHeight="1">
      <c r="A3935" s="1119">
        <v>89681.0</v>
      </c>
      <c r="B3935" s="1125" t="s">
        <v>14214</v>
      </c>
      <c r="C3935" s="1126" t="s">
        <v>1788</v>
      </c>
      <c r="D3935" s="1119">
        <v>95.38</v>
      </c>
      <c r="E3935" s="1120">
        <v>10.76</v>
      </c>
      <c r="F3935" s="1121">
        <f t="shared" si="1"/>
        <v>84.63</v>
      </c>
      <c r="G3935" s="1120">
        <v>84.63</v>
      </c>
      <c r="H3935" s="1127">
        <v>0.0</v>
      </c>
      <c r="I3935" s="1127">
        <v>0.0</v>
      </c>
      <c r="J3935" s="1127">
        <v>0.0</v>
      </c>
      <c r="K3935" s="1124"/>
    </row>
    <row r="3936" ht="15.75" customHeight="1">
      <c r="A3936" s="1119">
        <v>89682.0</v>
      </c>
      <c r="B3936" s="1125" t="s">
        <v>14215</v>
      </c>
      <c r="C3936" s="1126" t="s">
        <v>1788</v>
      </c>
      <c r="D3936" s="1119">
        <v>33.34</v>
      </c>
      <c r="E3936" s="1120">
        <v>5.59</v>
      </c>
      <c r="F3936" s="1121">
        <f t="shared" si="1"/>
        <v>27.75</v>
      </c>
      <c r="G3936" s="1120">
        <v>27.75</v>
      </c>
      <c r="H3936" s="1127">
        <v>0.0</v>
      </c>
      <c r="I3936" s="1127">
        <v>0.0</v>
      </c>
      <c r="J3936" s="1127">
        <v>0.0</v>
      </c>
      <c r="K3936" s="1124"/>
    </row>
    <row r="3937" ht="15.75" customHeight="1">
      <c r="A3937" s="1119">
        <v>89683.0</v>
      </c>
      <c r="B3937" s="1125" t="s">
        <v>14216</v>
      </c>
      <c r="C3937" s="1126" t="s">
        <v>1788</v>
      </c>
      <c r="D3937" s="1119">
        <v>306.4</v>
      </c>
      <c r="E3937" s="1120">
        <v>13.62</v>
      </c>
      <c r="F3937" s="1121">
        <f t="shared" si="1"/>
        <v>292.77</v>
      </c>
      <c r="G3937" s="1120">
        <v>292.77</v>
      </c>
      <c r="H3937" s="1127">
        <v>0.0</v>
      </c>
      <c r="I3937" s="1127">
        <v>0.0</v>
      </c>
      <c r="J3937" s="1127">
        <v>0.0</v>
      </c>
      <c r="K3937" s="1124"/>
    </row>
    <row r="3938" ht="15.75" customHeight="1">
      <c r="A3938" s="1119">
        <v>89684.0</v>
      </c>
      <c r="B3938" s="1125" t="s">
        <v>14217</v>
      </c>
      <c r="C3938" s="1126" t="s">
        <v>1788</v>
      </c>
      <c r="D3938" s="1119">
        <v>46.36</v>
      </c>
      <c r="E3938" s="1120">
        <v>5.58</v>
      </c>
      <c r="F3938" s="1121">
        <f t="shared" si="1"/>
        <v>40.78</v>
      </c>
      <c r="G3938" s="1120">
        <v>40.78</v>
      </c>
      <c r="H3938" s="1127">
        <v>0.0</v>
      </c>
      <c r="I3938" s="1127">
        <v>0.0</v>
      </c>
      <c r="J3938" s="1127">
        <v>0.0</v>
      </c>
      <c r="K3938" s="1124"/>
    </row>
    <row r="3939" ht="15.75" customHeight="1">
      <c r="A3939" s="1119">
        <v>89685.0</v>
      </c>
      <c r="B3939" s="1125" t="s">
        <v>14218</v>
      </c>
      <c r="C3939" s="1126" t="s">
        <v>1788</v>
      </c>
      <c r="D3939" s="1119">
        <v>65.93</v>
      </c>
      <c r="E3939" s="1120">
        <v>10.04</v>
      </c>
      <c r="F3939" s="1121">
        <f t="shared" si="1"/>
        <v>55.88</v>
      </c>
      <c r="G3939" s="1120">
        <v>55.88</v>
      </c>
      <c r="H3939" s="1127">
        <v>0.0</v>
      </c>
      <c r="I3939" s="1127">
        <v>0.0</v>
      </c>
      <c r="J3939" s="1127">
        <v>0.0</v>
      </c>
      <c r="K3939" s="1124"/>
    </row>
    <row r="3940" ht="15.75" customHeight="1">
      <c r="A3940" s="1119">
        <v>89686.0</v>
      </c>
      <c r="B3940" s="1125" t="s">
        <v>14219</v>
      </c>
      <c r="C3940" s="1126" t="s">
        <v>1788</v>
      </c>
      <c r="D3940" s="1119">
        <v>58.32</v>
      </c>
      <c r="E3940" s="1120">
        <v>5.41</v>
      </c>
      <c r="F3940" s="1121">
        <f t="shared" si="1"/>
        <v>52.91</v>
      </c>
      <c r="G3940" s="1120">
        <v>52.91</v>
      </c>
      <c r="H3940" s="1127">
        <v>0.0</v>
      </c>
      <c r="I3940" s="1127">
        <v>0.0</v>
      </c>
      <c r="J3940" s="1127">
        <v>0.0</v>
      </c>
      <c r="K3940" s="1124"/>
    </row>
    <row r="3941" ht="15.75" customHeight="1">
      <c r="A3941" s="1119">
        <v>89687.0</v>
      </c>
      <c r="B3941" s="1125" t="s">
        <v>14220</v>
      </c>
      <c r="C3941" s="1126" t="s">
        <v>1788</v>
      </c>
      <c r="D3941" s="1119">
        <v>56.5</v>
      </c>
      <c r="E3941" s="1120">
        <v>10.04</v>
      </c>
      <c r="F3941" s="1121">
        <f t="shared" si="1"/>
        <v>46.45</v>
      </c>
      <c r="G3941" s="1120">
        <v>46.45</v>
      </c>
      <c r="H3941" s="1127">
        <v>0.0</v>
      </c>
      <c r="I3941" s="1127">
        <v>0.0</v>
      </c>
      <c r="J3941" s="1127">
        <v>0.0</v>
      </c>
      <c r="K3941" s="1124"/>
    </row>
    <row r="3942" ht="15.75" customHeight="1">
      <c r="A3942" s="1119">
        <v>89689.0</v>
      </c>
      <c r="B3942" s="1125" t="s">
        <v>14221</v>
      </c>
      <c r="C3942" s="1126" t="s">
        <v>1788</v>
      </c>
      <c r="D3942" s="1119">
        <v>39.34</v>
      </c>
      <c r="E3942" s="1120">
        <v>5.17</v>
      </c>
      <c r="F3942" s="1121">
        <f t="shared" si="1"/>
        <v>34.18</v>
      </c>
      <c r="G3942" s="1120">
        <v>34.18</v>
      </c>
      <c r="H3942" s="1127">
        <v>0.0</v>
      </c>
      <c r="I3942" s="1127">
        <v>0.0</v>
      </c>
      <c r="J3942" s="1127">
        <v>0.0</v>
      </c>
      <c r="K3942" s="1124"/>
    </row>
    <row r="3943" ht="15.75" customHeight="1">
      <c r="A3943" s="1119">
        <v>89690.0</v>
      </c>
      <c r="B3943" s="1125" t="s">
        <v>14222</v>
      </c>
      <c r="C3943" s="1126" t="s">
        <v>1788</v>
      </c>
      <c r="D3943" s="1119">
        <v>97.11</v>
      </c>
      <c r="E3943" s="1120">
        <v>15.79</v>
      </c>
      <c r="F3943" s="1121">
        <f t="shared" si="1"/>
        <v>81.33</v>
      </c>
      <c r="G3943" s="1120">
        <v>81.33</v>
      </c>
      <c r="H3943" s="1127">
        <v>0.0</v>
      </c>
      <c r="I3943" s="1127">
        <v>0.0</v>
      </c>
      <c r="J3943" s="1127">
        <v>0.0</v>
      </c>
      <c r="K3943" s="1124"/>
    </row>
    <row r="3944" ht="15.75" customHeight="1">
      <c r="A3944" s="1119">
        <v>89691.0</v>
      </c>
      <c r="B3944" s="1125" t="s">
        <v>14223</v>
      </c>
      <c r="C3944" s="1126" t="s">
        <v>1788</v>
      </c>
      <c r="D3944" s="1119">
        <v>15.31</v>
      </c>
      <c r="E3944" s="1120">
        <v>6.39</v>
      </c>
      <c r="F3944" s="1121">
        <f t="shared" si="1"/>
        <v>8.91</v>
      </c>
      <c r="G3944" s="1120">
        <v>8.91</v>
      </c>
      <c r="H3944" s="1127">
        <v>0.0</v>
      </c>
      <c r="I3944" s="1127">
        <v>0.0</v>
      </c>
      <c r="J3944" s="1127">
        <v>0.0</v>
      </c>
      <c r="K3944" s="1124"/>
    </row>
    <row r="3945" ht="15.75" customHeight="1">
      <c r="A3945" s="1119">
        <v>89692.0</v>
      </c>
      <c r="B3945" s="1125" t="s">
        <v>14224</v>
      </c>
      <c r="C3945" s="1126" t="s">
        <v>1788</v>
      </c>
      <c r="D3945" s="1119">
        <v>110.53</v>
      </c>
      <c r="E3945" s="1120">
        <v>13.86</v>
      </c>
      <c r="F3945" s="1121">
        <f t="shared" si="1"/>
        <v>96.66</v>
      </c>
      <c r="G3945" s="1120">
        <v>96.66</v>
      </c>
      <c r="H3945" s="1127">
        <v>0.0</v>
      </c>
      <c r="I3945" s="1127">
        <v>0.0</v>
      </c>
      <c r="J3945" s="1127">
        <v>0.0</v>
      </c>
      <c r="K3945" s="1124"/>
    </row>
    <row r="3946" ht="15.75" customHeight="1">
      <c r="A3946" s="1119">
        <v>89693.0</v>
      </c>
      <c r="B3946" s="1125" t="s">
        <v>14225</v>
      </c>
      <c r="C3946" s="1126" t="s">
        <v>1788</v>
      </c>
      <c r="D3946" s="1119">
        <v>85.24</v>
      </c>
      <c r="E3946" s="1120">
        <v>15.79</v>
      </c>
      <c r="F3946" s="1121">
        <f t="shared" si="1"/>
        <v>69.46</v>
      </c>
      <c r="G3946" s="1120">
        <v>69.46</v>
      </c>
      <c r="H3946" s="1127">
        <v>0.0</v>
      </c>
      <c r="I3946" s="1127">
        <v>0.0</v>
      </c>
      <c r="J3946" s="1127">
        <v>0.0</v>
      </c>
      <c r="K3946" s="1124"/>
    </row>
    <row r="3947" ht="15.75" customHeight="1">
      <c r="A3947" s="1119">
        <v>89694.0</v>
      </c>
      <c r="B3947" s="1125" t="s">
        <v>14226</v>
      </c>
      <c r="C3947" s="1126" t="s">
        <v>1788</v>
      </c>
      <c r="D3947" s="1119">
        <v>21.9</v>
      </c>
      <c r="E3947" s="1120">
        <v>6.38</v>
      </c>
      <c r="F3947" s="1121">
        <f t="shared" si="1"/>
        <v>15.51</v>
      </c>
      <c r="G3947" s="1120">
        <v>15.51</v>
      </c>
      <c r="H3947" s="1127">
        <v>0.0</v>
      </c>
      <c r="I3947" s="1127">
        <v>0.0</v>
      </c>
      <c r="J3947" s="1127">
        <v>0.0</v>
      </c>
      <c r="K3947" s="1124"/>
    </row>
    <row r="3948" ht="15.75" customHeight="1">
      <c r="A3948" s="1119">
        <v>89695.0</v>
      </c>
      <c r="B3948" s="1125" t="s">
        <v>14227</v>
      </c>
      <c r="C3948" s="1126" t="s">
        <v>1788</v>
      </c>
      <c r="D3948" s="1119">
        <v>18.86</v>
      </c>
      <c r="E3948" s="1120">
        <v>6.39</v>
      </c>
      <c r="F3948" s="1121">
        <f t="shared" si="1"/>
        <v>12.47</v>
      </c>
      <c r="G3948" s="1120">
        <v>12.47</v>
      </c>
      <c r="H3948" s="1127">
        <v>0.0</v>
      </c>
      <c r="I3948" s="1127">
        <v>0.0</v>
      </c>
      <c r="J3948" s="1127">
        <v>0.0</v>
      </c>
      <c r="K3948" s="1124"/>
    </row>
    <row r="3949" ht="15.75" customHeight="1">
      <c r="A3949" s="1119">
        <v>89696.0</v>
      </c>
      <c r="B3949" s="1125" t="s">
        <v>14228</v>
      </c>
      <c r="C3949" s="1126" t="s">
        <v>1788</v>
      </c>
      <c r="D3949" s="1119">
        <v>91.31</v>
      </c>
      <c r="E3949" s="1120">
        <v>13.86</v>
      </c>
      <c r="F3949" s="1121">
        <f t="shared" si="1"/>
        <v>77.44</v>
      </c>
      <c r="G3949" s="1120">
        <v>77.44</v>
      </c>
      <c r="H3949" s="1127">
        <v>0.0</v>
      </c>
      <c r="I3949" s="1127">
        <v>0.0</v>
      </c>
      <c r="J3949" s="1127">
        <v>0.0</v>
      </c>
      <c r="K3949" s="1124"/>
    </row>
    <row r="3950" ht="15.75" customHeight="1">
      <c r="A3950" s="1119">
        <v>89697.0</v>
      </c>
      <c r="B3950" s="1125" t="s">
        <v>14229</v>
      </c>
      <c r="C3950" s="1126" t="s">
        <v>1788</v>
      </c>
      <c r="D3950" s="1119">
        <v>19.97</v>
      </c>
      <c r="E3950" s="1120">
        <v>8.09</v>
      </c>
      <c r="F3950" s="1121">
        <f t="shared" si="1"/>
        <v>11.89</v>
      </c>
      <c r="G3950" s="1120">
        <v>11.89</v>
      </c>
      <c r="H3950" s="1127">
        <v>0.0</v>
      </c>
      <c r="I3950" s="1127">
        <v>0.0</v>
      </c>
      <c r="J3950" s="1127">
        <v>0.0</v>
      </c>
      <c r="K3950" s="1124"/>
    </row>
    <row r="3951" ht="15.75" customHeight="1">
      <c r="A3951" s="1119">
        <v>89698.0</v>
      </c>
      <c r="B3951" s="1125" t="s">
        <v>14230</v>
      </c>
      <c r="C3951" s="1126" t="s">
        <v>1788</v>
      </c>
      <c r="D3951" s="1119">
        <v>284.6</v>
      </c>
      <c r="E3951" s="1120">
        <v>27.27</v>
      </c>
      <c r="F3951" s="1121">
        <f t="shared" si="1"/>
        <v>257.33</v>
      </c>
      <c r="G3951" s="1120">
        <v>257.33</v>
      </c>
      <c r="H3951" s="1127">
        <v>0.0</v>
      </c>
      <c r="I3951" s="1127">
        <v>0.0</v>
      </c>
      <c r="J3951" s="1127">
        <v>0.0</v>
      </c>
      <c r="K3951" s="1124"/>
    </row>
    <row r="3952" ht="15.75" customHeight="1">
      <c r="A3952" s="1119">
        <v>89699.0</v>
      </c>
      <c r="B3952" s="1125" t="s">
        <v>14231</v>
      </c>
      <c r="C3952" s="1126" t="s">
        <v>1788</v>
      </c>
      <c r="D3952" s="1119">
        <v>215.03</v>
      </c>
      <c r="E3952" s="1120">
        <v>23.44</v>
      </c>
      <c r="F3952" s="1121">
        <f t="shared" si="1"/>
        <v>191.59</v>
      </c>
      <c r="G3952" s="1120">
        <v>191.59</v>
      </c>
      <c r="H3952" s="1127">
        <v>0.0</v>
      </c>
      <c r="I3952" s="1127">
        <v>0.0</v>
      </c>
      <c r="J3952" s="1127">
        <v>0.0</v>
      </c>
      <c r="K3952" s="1124"/>
    </row>
    <row r="3953" ht="15.75" customHeight="1">
      <c r="A3953" s="1119">
        <v>89700.0</v>
      </c>
      <c r="B3953" s="1125" t="s">
        <v>14232</v>
      </c>
      <c r="C3953" s="1126" t="s">
        <v>1788</v>
      </c>
      <c r="D3953" s="1119">
        <v>25.05</v>
      </c>
      <c r="E3953" s="1120">
        <v>7.23</v>
      </c>
      <c r="F3953" s="1121">
        <f t="shared" si="1"/>
        <v>17.82</v>
      </c>
      <c r="G3953" s="1120">
        <v>17.82</v>
      </c>
      <c r="H3953" s="1127">
        <v>0.0</v>
      </c>
      <c r="I3953" s="1127">
        <v>0.0</v>
      </c>
      <c r="J3953" s="1127">
        <v>0.0</v>
      </c>
      <c r="K3953" s="1124"/>
    </row>
    <row r="3954" ht="15.75" customHeight="1">
      <c r="A3954" s="1119">
        <v>89701.0</v>
      </c>
      <c r="B3954" s="1125" t="s">
        <v>14233</v>
      </c>
      <c r="C3954" s="1126" t="s">
        <v>1788</v>
      </c>
      <c r="D3954" s="1119">
        <v>208.37</v>
      </c>
      <c r="E3954" s="1120">
        <v>27.27</v>
      </c>
      <c r="F3954" s="1121">
        <f t="shared" si="1"/>
        <v>181.1</v>
      </c>
      <c r="G3954" s="1120">
        <v>181.1</v>
      </c>
      <c r="H3954" s="1127">
        <v>0.0</v>
      </c>
      <c r="I3954" s="1127">
        <v>0.0</v>
      </c>
      <c r="J3954" s="1127">
        <v>0.0</v>
      </c>
      <c r="K3954" s="1124"/>
    </row>
    <row r="3955" ht="15.75" customHeight="1">
      <c r="A3955" s="1119">
        <v>89702.0</v>
      </c>
      <c r="B3955" s="1125" t="s">
        <v>14234</v>
      </c>
      <c r="C3955" s="1126" t="s">
        <v>1788</v>
      </c>
      <c r="D3955" s="1119">
        <v>24.28</v>
      </c>
      <c r="E3955" s="1120">
        <v>8.08</v>
      </c>
      <c r="F3955" s="1121">
        <f t="shared" si="1"/>
        <v>16.2</v>
      </c>
      <c r="G3955" s="1120">
        <v>16.2</v>
      </c>
      <c r="H3955" s="1127">
        <v>0.0</v>
      </c>
      <c r="I3955" s="1127">
        <v>0.0</v>
      </c>
      <c r="J3955" s="1127">
        <v>0.0</v>
      </c>
      <c r="K3955" s="1124"/>
    </row>
    <row r="3956" ht="15.75" customHeight="1">
      <c r="A3956" s="1119">
        <v>89703.0</v>
      </c>
      <c r="B3956" s="1125" t="s">
        <v>14235</v>
      </c>
      <c r="C3956" s="1126" t="s">
        <v>1788</v>
      </c>
      <c r="D3956" s="1119">
        <v>50.22</v>
      </c>
      <c r="E3956" s="1120">
        <v>7.82</v>
      </c>
      <c r="F3956" s="1121">
        <f t="shared" si="1"/>
        <v>42.4</v>
      </c>
      <c r="G3956" s="1120">
        <v>42.4</v>
      </c>
      <c r="H3956" s="1127">
        <v>0.0</v>
      </c>
      <c r="I3956" s="1127">
        <v>0.0</v>
      </c>
      <c r="J3956" s="1127">
        <v>0.0</v>
      </c>
      <c r="K3956" s="1124"/>
    </row>
    <row r="3957" ht="15.75" customHeight="1">
      <c r="A3957" s="1119">
        <v>89704.0</v>
      </c>
      <c r="B3957" s="1125" t="s">
        <v>14236</v>
      </c>
      <c r="C3957" s="1126" t="s">
        <v>1788</v>
      </c>
      <c r="D3957" s="1119">
        <v>161.29</v>
      </c>
      <c r="E3957" s="1120">
        <v>23.45</v>
      </c>
      <c r="F3957" s="1121">
        <f t="shared" si="1"/>
        <v>137.84</v>
      </c>
      <c r="G3957" s="1120">
        <v>137.84</v>
      </c>
      <c r="H3957" s="1127">
        <v>0.0</v>
      </c>
      <c r="I3957" s="1127">
        <v>0.0</v>
      </c>
      <c r="J3957" s="1127">
        <v>0.0</v>
      </c>
      <c r="K3957" s="1124"/>
    </row>
    <row r="3958" ht="15.75" customHeight="1">
      <c r="A3958" s="1119">
        <v>89705.0</v>
      </c>
      <c r="B3958" s="1125" t="s">
        <v>14237</v>
      </c>
      <c r="C3958" s="1126" t="s">
        <v>1788</v>
      </c>
      <c r="D3958" s="1119">
        <v>28.29</v>
      </c>
      <c r="E3958" s="1120">
        <v>9.51</v>
      </c>
      <c r="F3958" s="1121">
        <f t="shared" si="1"/>
        <v>18.77</v>
      </c>
      <c r="G3958" s="1120">
        <v>18.77</v>
      </c>
      <c r="H3958" s="1127">
        <v>0.0</v>
      </c>
      <c r="I3958" s="1127">
        <v>0.0</v>
      </c>
      <c r="J3958" s="1127">
        <v>0.0</v>
      </c>
      <c r="K3958" s="1124"/>
    </row>
    <row r="3959" ht="15.75" customHeight="1">
      <c r="A3959" s="1119">
        <v>89706.0</v>
      </c>
      <c r="B3959" s="1125" t="s">
        <v>14238</v>
      </c>
      <c r="C3959" s="1126" t="s">
        <v>1788</v>
      </c>
      <c r="D3959" s="1119">
        <v>59.81</v>
      </c>
      <c r="E3959" s="1120">
        <v>11.2</v>
      </c>
      <c r="F3959" s="1121">
        <f t="shared" si="1"/>
        <v>48.61</v>
      </c>
      <c r="G3959" s="1120">
        <v>48.61</v>
      </c>
      <c r="H3959" s="1127">
        <v>0.0</v>
      </c>
      <c r="I3959" s="1127">
        <v>0.0</v>
      </c>
      <c r="J3959" s="1127">
        <v>0.0</v>
      </c>
      <c r="K3959" s="1124"/>
    </row>
    <row r="3960" ht="15.75" customHeight="1">
      <c r="A3960" s="1119">
        <v>89718.0</v>
      </c>
      <c r="B3960" s="1125" t="s">
        <v>14239</v>
      </c>
      <c r="C3960" s="1126" t="s">
        <v>1731</v>
      </c>
      <c r="D3960" s="1119">
        <v>56.8</v>
      </c>
      <c r="E3960" s="1120">
        <v>8.76</v>
      </c>
      <c r="F3960" s="1121">
        <f t="shared" si="1"/>
        <v>48.05</v>
      </c>
      <c r="G3960" s="1120">
        <v>48.05</v>
      </c>
      <c r="H3960" s="1127">
        <v>0.0</v>
      </c>
      <c r="I3960" s="1127">
        <v>0.0</v>
      </c>
      <c r="J3960" s="1127">
        <v>0.0</v>
      </c>
      <c r="K3960" s="1124"/>
    </row>
    <row r="3961" ht="15.75" customHeight="1">
      <c r="A3961" s="1119">
        <v>89719.0</v>
      </c>
      <c r="B3961" s="1125" t="s">
        <v>14240</v>
      </c>
      <c r="C3961" s="1126" t="s">
        <v>1788</v>
      </c>
      <c r="D3961" s="1119">
        <v>14.44</v>
      </c>
      <c r="E3961" s="1120">
        <v>5.43</v>
      </c>
      <c r="F3961" s="1121">
        <f t="shared" si="1"/>
        <v>9.03</v>
      </c>
      <c r="G3961" s="1120">
        <v>9.03</v>
      </c>
      <c r="H3961" s="1127">
        <v>0.0</v>
      </c>
      <c r="I3961" s="1127">
        <v>0.0</v>
      </c>
      <c r="J3961" s="1127">
        <v>0.0</v>
      </c>
      <c r="K3961" s="1124"/>
    </row>
    <row r="3962" ht="15.75" customHeight="1">
      <c r="A3962" s="1119">
        <v>89720.0</v>
      </c>
      <c r="B3962" s="1125" t="s">
        <v>14241</v>
      </c>
      <c r="C3962" s="1126" t="s">
        <v>1788</v>
      </c>
      <c r="D3962" s="1119">
        <v>16.05</v>
      </c>
      <c r="E3962" s="1120">
        <v>5.42</v>
      </c>
      <c r="F3962" s="1121">
        <f t="shared" si="1"/>
        <v>10.64</v>
      </c>
      <c r="G3962" s="1120">
        <v>10.64</v>
      </c>
      <c r="H3962" s="1127">
        <v>0.0</v>
      </c>
      <c r="I3962" s="1127">
        <v>0.0</v>
      </c>
      <c r="J3962" s="1127">
        <v>0.0</v>
      </c>
      <c r="K3962" s="1124"/>
    </row>
    <row r="3963" ht="15.75" customHeight="1">
      <c r="A3963" s="1119">
        <v>89721.0</v>
      </c>
      <c r="B3963" s="1125" t="s">
        <v>14242</v>
      </c>
      <c r="C3963" s="1126" t="s">
        <v>1788</v>
      </c>
      <c r="D3963" s="1119">
        <v>17.34</v>
      </c>
      <c r="E3963" s="1120">
        <v>5.42</v>
      </c>
      <c r="F3963" s="1121">
        <f t="shared" si="1"/>
        <v>11.94</v>
      </c>
      <c r="G3963" s="1120">
        <v>11.94</v>
      </c>
      <c r="H3963" s="1127">
        <v>0.0</v>
      </c>
      <c r="I3963" s="1127">
        <v>0.0</v>
      </c>
      <c r="J3963" s="1127">
        <v>0.0</v>
      </c>
      <c r="K3963" s="1124"/>
    </row>
    <row r="3964" ht="15.75" customHeight="1">
      <c r="A3964" s="1119">
        <v>89723.0</v>
      </c>
      <c r="B3964" s="1125" t="s">
        <v>14243</v>
      </c>
      <c r="C3964" s="1126" t="s">
        <v>1788</v>
      </c>
      <c r="D3964" s="1119">
        <v>21.61</v>
      </c>
      <c r="E3964" s="1120">
        <v>6.39</v>
      </c>
      <c r="F3964" s="1121">
        <f t="shared" si="1"/>
        <v>15.22</v>
      </c>
      <c r="G3964" s="1120">
        <v>15.22</v>
      </c>
      <c r="H3964" s="1127">
        <v>0.0</v>
      </c>
      <c r="I3964" s="1127">
        <v>0.0</v>
      </c>
      <c r="J3964" s="1127">
        <v>0.0</v>
      </c>
      <c r="K3964" s="1124"/>
    </row>
    <row r="3965" ht="15.75" customHeight="1">
      <c r="A3965" s="1119">
        <v>89724.0</v>
      </c>
      <c r="B3965" s="1125" t="s">
        <v>14244</v>
      </c>
      <c r="C3965" s="1126" t="s">
        <v>1788</v>
      </c>
      <c r="D3965" s="1119">
        <v>11.62</v>
      </c>
      <c r="E3965" s="1120">
        <v>5.52</v>
      </c>
      <c r="F3965" s="1121">
        <f t="shared" si="1"/>
        <v>6.1</v>
      </c>
      <c r="G3965" s="1120">
        <v>6.1</v>
      </c>
      <c r="H3965" s="1127">
        <v>0.0</v>
      </c>
      <c r="I3965" s="1127">
        <v>0.0</v>
      </c>
      <c r="J3965" s="1127">
        <v>0.0</v>
      </c>
      <c r="K3965" s="1124"/>
    </row>
    <row r="3966" ht="15.75" customHeight="1">
      <c r="A3966" s="1119">
        <v>89725.0</v>
      </c>
      <c r="B3966" s="1125" t="s">
        <v>14245</v>
      </c>
      <c r="C3966" s="1126" t="s">
        <v>1788</v>
      </c>
      <c r="D3966" s="1119">
        <v>20.94</v>
      </c>
      <c r="E3966" s="1120">
        <v>6.39</v>
      </c>
      <c r="F3966" s="1121">
        <f t="shared" si="1"/>
        <v>14.55</v>
      </c>
      <c r="G3966" s="1120">
        <v>14.55</v>
      </c>
      <c r="H3966" s="1127">
        <v>0.0</v>
      </c>
      <c r="I3966" s="1127">
        <v>0.0</v>
      </c>
      <c r="J3966" s="1127">
        <v>0.0</v>
      </c>
      <c r="K3966" s="1124"/>
    </row>
    <row r="3967" ht="15.75" customHeight="1">
      <c r="A3967" s="1119">
        <v>89726.0</v>
      </c>
      <c r="B3967" s="1125" t="s">
        <v>14246</v>
      </c>
      <c r="C3967" s="1126" t="s">
        <v>1788</v>
      </c>
      <c r="D3967" s="1119">
        <v>11.88</v>
      </c>
      <c r="E3967" s="1120">
        <v>5.52</v>
      </c>
      <c r="F3967" s="1121">
        <f t="shared" si="1"/>
        <v>6.36</v>
      </c>
      <c r="G3967" s="1120">
        <v>6.36</v>
      </c>
      <c r="H3967" s="1127">
        <v>0.0</v>
      </c>
      <c r="I3967" s="1127">
        <v>0.0</v>
      </c>
      <c r="J3967" s="1127">
        <v>0.0</v>
      </c>
      <c r="K3967" s="1124"/>
    </row>
    <row r="3968" ht="15.75" customHeight="1">
      <c r="A3968" s="1119">
        <v>89727.0</v>
      </c>
      <c r="B3968" s="1125" t="s">
        <v>14247</v>
      </c>
      <c r="C3968" s="1126" t="s">
        <v>1788</v>
      </c>
      <c r="D3968" s="1119">
        <v>25.98</v>
      </c>
      <c r="E3968" s="1120">
        <v>6.38</v>
      </c>
      <c r="F3968" s="1121">
        <f t="shared" si="1"/>
        <v>19.6</v>
      </c>
      <c r="G3968" s="1120">
        <v>19.6</v>
      </c>
      <c r="H3968" s="1127">
        <v>0.0</v>
      </c>
      <c r="I3968" s="1127">
        <v>0.0</v>
      </c>
      <c r="J3968" s="1127">
        <v>0.0</v>
      </c>
      <c r="K3968" s="1124"/>
    </row>
    <row r="3969" ht="15.75" customHeight="1">
      <c r="A3969" s="1119">
        <v>89728.0</v>
      </c>
      <c r="B3969" s="1125" t="s">
        <v>14248</v>
      </c>
      <c r="C3969" s="1126" t="s">
        <v>1788</v>
      </c>
      <c r="D3969" s="1119">
        <v>14.94</v>
      </c>
      <c r="E3969" s="1120">
        <v>5.51</v>
      </c>
      <c r="F3969" s="1121">
        <f t="shared" si="1"/>
        <v>9.43</v>
      </c>
      <c r="G3969" s="1120">
        <v>9.43</v>
      </c>
      <c r="H3969" s="1127">
        <v>0.0</v>
      </c>
      <c r="I3969" s="1127">
        <v>0.0</v>
      </c>
      <c r="J3969" s="1127">
        <v>0.0</v>
      </c>
      <c r="K3969" s="1124"/>
    </row>
    <row r="3970" ht="15.75" customHeight="1">
      <c r="A3970" s="1119">
        <v>89729.0</v>
      </c>
      <c r="B3970" s="1125" t="s">
        <v>14249</v>
      </c>
      <c r="C3970" s="1126" t="s">
        <v>1788</v>
      </c>
      <c r="D3970" s="1119">
        <v>31.59</v>
      </c>
      <c r="E3970" s="1120">
        <v>7.51</v>
      </c>
      <c r="F3970" s="1121">
        <f t="shared" si="1"/>
        <v>24.08</v>
      </c>
      <c r="G3970" s="1120">
        <v>24.08</v>
      </c>
      <c r="H3970" s="1127">
        <v>0.0</v>
      </c>
      <c r="I3970" s="1127">
        <v>0.0</v>
      </c>
      <c r="J3970" s="1127">
        <v>0.0</v>
      </c>
      <c r="K3970" s="1124"/>
    </row>
    <row r="3971" ht="15.75" customHeight="1">
      <c r="A3971" s="1119">
        <v>89730.0</v>
      </c>
      <c r="B3971" s="1125" t="s">
        <v>14250</v>
      </c>
      <c r="C3971" s="1126" t="s">
        <v>1788</v>
      </c>
      <c r="D3971" s="1119">
        <v>17.1</v>
      </c>
      <c r="E3971" s="1120">
        <v>5.51</v>
      </c>
      <c r="F3971" s="1121">
        <f t="shared" si="1"/>
        <v>11.59</v>
      </c>
      <c r="G3971" s="1120">
        <v>11.59</v>
      </c>
      <c r="H3971" s="1127">
        <v>0.0</v>
      </c>
      <c r="I3971" s="1127">
        <v>0.0</v>
      </c>
      <c r="J3971" s="1127">
        <v>0.0</v>
      </c>
      <c r="K3971" s="1124"/>
    </row>
    <row r="3972" ht="15.75" customHeight="1">
      <c r="A3972" s="1119">
        <v>89731.0</v>
      </c>
      <c r="B3972" s="1125" t="s">
        <v>14251</v>
      </c>
      <c r="C3972" s="1126" t="s">
        <v>1788</v>
      </c>
      <c r="D3972" s="1119">
        <v>15.87</v>
      </c>
      <c r="E3972" s="1120">
        <v>6.0</v>
      </c>
      <c r="F3972" s="1121">
        <f t="shared" si="1"/>
        <v>9.87</v>
      </c>
      <c r="G3972" s="1120">
        <v>9.87</v>
      </c>
      <c r="H3972" s="1127">
        <v>0.0</v>
      </c>
      <c r="I3972" s="1127">
        <v>0.0</v>
      </c>
      <c r="J3972" s="1127">
        <v>0.0</v>
      </c>
      <c r="K3972" s="1124"/>
    </row>
    <row r="3973" ht="15.75" customHeight="1">
      <c r="A3973" s="1119">
        <v>89732.0</v>
      </c>
      <c r="B3973" s="1125" t="s">
        <v>14252</v>
      </c>
      <c r="C3973" s="1126" t="s">
        <v>1788</v>
      </c>
      <c r="D3973" s="1119">
        <v>16.7</v>
      </c>
      <c r="E3973" s="1120">
        <v>6.0</v>
      </c>
      <c r="F3973" s="1121">
        <f t="shared" si="1"/>
        <v>10.7</v>
      </c>
      <c r="G3973" s="1120">
        <v>10.7</v>
      </c>
      <c r="H3973" s="1127">
        <v>0.0</v>
      </c>
      <c r="I3973" s="1127">
        <v>0.0</v>
      </c>
      <c r="J3973" s="1127">
        <v>0.0</v>
      </c>
      <c r="K3973" s="1124"/>
    </row>
    <row r="3974" ht="15.75" customHeight="1">
      <c r="A3974" s="1119">
        <v>89733.0</v>
      </c>
      <c r="B3974" s="1125" t="s">
        <v>14253</v>
      </c>
      <c r="C3974" s="1126" t="s">
        <v>1788</v>
      </c>
      <c r="D3974" s="1119">
        <v>25.5</v>
      </c>
      <c r="E3974" s="1120">
        <v>5.99</v>
      </c>
      <c r="F3974" s="1121">
        <f t="shared" si="1"/>
        <v>19.51</v>
      </c>
      <c r="G3974" s="1120">
        <v>19.51</v>
      </c>
      <c r="H3974" s="1127">
        <v>0.0</v>
      </c>
      <c r="I3974" s="1127">
        <v>0.0</v>
      </c>
      <c r="J3974" s="1127">
        <v>0.0</v>
      </c>
      <c r="K3974" s="1124"/>
    </row>
    <row r="3975" ht="15.75" customHeight="1">
      <c r="A3975" s="1119">
        <v>89734.0</v>
      </c>
      <c r="B3975" s="1125" t="s">
        <v>14254</v>
      </c>
      <c r="C3975" s="1126" t="s">
        <v>1788</v>
      </c>
      <c r="D3975" s="1119">
        <v>29.94</v>
      </c>
      <c r="E3975" s="1120">
        <v>7.52</v>
      </c>
      <c r="F3975" s="1121">
        <f t="shared" si="1"/>
        <v>22.43</v>
      </c>
      <c r="G3975" s="1120">
        <v>22.43</v>
      </c>
      <c r="H3975" s="1127">
        <v>0.0</v>
      </c>
      <c r="I3975" s="1127">
        <v>0.0</v>
      </c>
      <c r="J3975" s="1127">
        <v>0.0</v>
      </c>
      <c r="K3975" s="1124"/>
    </row>
    <row r="3976" ht="15.75" customHeight="1">
      <c r="A3976" s="1119">
        <v>89735.0</v>
      </c>
      <c r="B3976" s="1125" t="s">
        <v>14255</v>
      </c>
      <c r="C3976" s="1126" t="s">
        <v>1788</v>
      </c>
      <c r="D3976" s="1119">
        <v>27.98</v>
      </c>
      <c r="E3976" s="1120">
        <v>5.98</v>
      </c>
      <c r="F3976" s="1121">
        <f t="shared" si="1"/>
        <v>21.99</v>
      </c>
      <c r="G3976" s="1120">
        <v>21.99</v>
      </c>
      <c r="H3976" s="1127">
        <v>0.0</v>
      </c>
      <c r="I3976" s="1127">
        <v>0.0</v>
      </c>
      <c r="J3976" s="1127">
        <v>0.0</v>
      </c>
      <c r="K3976" s="1124"/>
    </row>
    <row r="3977" ht="15.75" customHeight="1">
      <c r="A3977" s="1119">
        <v>89736.0</v>
      </c>
      <c r="B3977" s="1125" t="s">
        <v>14256</v>
      </c>
      <c r="C3977" s="1126" t="s">
        <v>1788</v>
      </c>
      <c r="D3977" s="1119">
        <v>10.09</v>
      </c>
      <c r="E3977" s="1120">
        <v>3.6</v>
      </c>
      <c r="F3977" s="1121">
        <f t="shared" si="1"/>
        <v>6.48</v>
      </c>
      <c r="G3977" s="1120">
        <v>6.48</v>
      </c>
      <c r="H3977" s="1127">
        <v>0.0</v>
      </c>
      <c r="I3977" s="1127">
        <v>0.0</v>
      </c>
      <c r="J3977" s="1127">
        <v>0.0</v>
      </c>
      <c r="K3977" s="1124"/>
    </row>
    <row r="3978" ht="15.75" customHeight="1">
      <c r="A3978" s="1119">
        <v>89737.0</v>
      </c>
      <c r="B3978" s="1125" t="s">
        <v>14257</v>
      </c>
      <c r="C3978" s="1126" t="s">
        <v>1788</v>
      </c>
      <c r="D3978" s="1119">
        <v>24.03</v>
      </c>
      <c r="E3978" s="1120">
        <v>7.17</v>
      </c>
      <c r="F3978" s="1121">
        <f t="shared" si="1"/>
        <v>16.87</v>
      </c>
      <c r="G3978" s="1120">
        <v>16.87</v>
      </c>
      <c r="H3978" s="1127">
        <v>0.0</v>
      </c>
      <c r="I3978" s="1127">
        <v>0.0</v>
      </c>
      <c r="J3978" s="1127">
        <v>0.0</v>
      </c>
      <c r="K3978" s="1124"/>
    </row>
    <row r="3979" ht="15.75" customHeight="1">
      <c r="A3979" s="1119">
        <v>89738.0</v>
      </c>
      <c r="B3979" s="1125" t="s">
        <v>14258</v>
      </c>
      <c r="C3979" s="1126" t="s">
        <v>1788</v>
      </c>
      <c r="D3979" s="1119">
        <v>17.83</v>
      </c>
      <c r="E3979" s="1120">
        <v>3.59</v>
      </c>
      <c r="F3979" s="1121">
        <f t="shared" si="1"/>
        <v>14.22</v>
      </c>
      <c r="G3979" s="1120">
        <v>14.22</v>
      </c>
      <c r="H3979" s="1127">
        <v>0.0</v>
      </c>
      <c r="I3979" s="1127">
        <v>0.0</v>
      </c>
      <c r="J3979" s="1127">
        <v>0.0</v>
      </c>
      <c r="K3979" s="1124"/>
    </row>
    <row r="3980" ht="15.75" customHeight="1">
      <c r="A3980" s="1119">
        <v>89739.0</v>
      </c>
      <c r="B3980" s="1125" t="s">
        <v>14259</v>
      </c>
      <c r="C3980" s="1126" t="s">
        <v>1788</v>
      </c>
      <c r="D3980" s="1119">
        <v>25.14</v>
      </c>
      <c r="E3980" s="1120">
        <v>7.16</v>
      </c>
      <c r="F3980" s="1121">
        <f t="shared" si="1"/>
        <v>17.98</v>
      </c>
      <c r="G3980" s="1120">
        <v>17.98</v>
      </c>
      <c r="H3980" s="1127">
        <v>0.0</v>
      </c>
      <c r="I3980" s="1127">
        <v>0.0</v>
      </c>
      <c r="J3980" s="1127">
        <v>0.0</v>
      </c>
      <c r="K3980" s="1124"/>
    </row>
    <row r="3981" ht="15.75" customHeight="1">
      <c r="A3981" s="1119">
        <v>89740.0</v>
      </c>
      <c r="B3981" s="1125" t="s">
        <v>14260</v>
      </c>
      <c r="C3981" s="1126" t="s">
        <v>1788</v>
      </c>
      <c r="D3981" s="1119">
        <v>10.27</v>
      </c>
      <c r="E3981" s="1120">
        <v>3.78</v>
      </c>
      <c r="F3981" s="1121">
        <f t="shared" si="1"/>
        <v>6.48</v>
      </c>
      <c r="G3981" s="1120">
        <v>6.48</v>
      </c>
      <c r="H3981" s="1127">
        <v>0.0</v>
      </c>
      <c r="I3981" s="1127">
        <v>0.0</v>
      </c>
      <c r="J3981" s="1127">
        <v>0.0</v>
      </c>
      <c r="K3981" s="1124"/>
    </row>
    <row r="3982" ht="15.75" customHeight="1">
      <c r="A3982" s="1119">
        <v>89741.0</v>
      </c>
      <c r="B3982" s="1125" t="s">
        <v>14261</v>
      </c>
      <c r="C3982" s="1126" t="s">
        <v>1788</v>
      </c>
      <c r="D3982" s="1119">
        <v>24.19</v>
      </c>
      <c r="E3982" s="1120">
        <v>3.59</v>
      </c>
      <c r="F3982" s="1121">
        <f t="shared" si="1"/>
        <v>20.59</v>
      </c>
      <c r="G3982" s="1120">
        <v>20.59</v>
      </c>
      <c r="H3982" s="1127">
        <v>0.0</v>
      </c>
      <c r="I3982" s="1127">
        <v>0.0</v>
      </c>
      <c r="J3982" s="1127">
        <v>0.0</v>
      </c>
      <c r="K3982" s="1124"/>
    </row>
    <row r="3983" ht="15.75" customHeight="1">
      <c r="A3983" s="1119">
        <v>89742.0</v>
      </c>
      <c r="B3983" s="1125" t="s">
        <v>14262</v>
      </c>
      <c r="C3983" s="1126" t="s">
        <v>1788</v>
      </c>
      <c r="D3983" s="1119">
        <v>43.47</v>
      </c>
      <c r="E3983" s="1120">
        <v>7.16</v>
      </c>
      <c r="F3983" s="1121">
        <f t="shared" si="1"/>
        <v>36.31</v>
      </c>
      <c r="G3983" s="1120">
        <v>36.31</v>
      </c>
      <c r="H3983" s="1127">
        <v>0.0</v>
      </c>
      <c r="I3983" s="1127">
        <v>0.0</v>
      </c>
      <c r="J3983" s="1127">
        <v>0.0</v>
      </c>
      <c r="K3983" s="1124"/>
    </row>
    <row r="3984" ht="15.75" customHeight="1">
      <c r="A3984" s="1119">
        <v>89743.0</v>
      </c>
      <c r="B3984" s="1125" t="s">
        <v>14263</v>
      </c>
      <c r="C3984" s="1126" t="s">
        <v>1788</v>
      </c>
      <c r="D3984" s="1119">
        <v>66.9</v>
      </c>
      <c r="E3984" s="1120">
        <v>7.15</v>
      </c>
      <c r="F3984" s="1121">
        <f t="shared" si="1"/>
        <v>59.75</v>
      </c>
      <c r="G3984" s="1120">
        <v>59.75</v>
      </c>
      <c r="H3984" s="1127">
        <v>0.0</v>
      </c>
      <c r="I3984" s="1127">
        <v>0.0</v>
      </c>
      <c r="J3984" s="1127">
        <v>0.0</v>
      </c>
      <c r="K3984" s="1124"/>
    </row>
    <row r="3985" ht="15.75" customHeight="1">
      <c r="A3985" s="1119">
        <v>89744.0</v>
      </c>
      <c r="B3985" s="1125" t="s">
        <v>14264</v>
      </c>
      <c r="C3985" s="1126" t="s">
        <v>1788</v>
      </c>
      <c r="D3985" s="1119">
        <v>29.21</v>
      </c>
      <c r="E3985" s="1120">
        <v>8.36</v>
      </c>
      <c r="F3985" s="1121">
        <f t="shared" si="1"/>
        <v>20.86</v>
      </c>
      <c r="G3985" s="1120">
        <v>20.86</v>
      </c>
      <c r="H3985" s="1127">
        <v>0.0</v>
      </c>
      <c r="I3985" s="1127">
        <v>0.0</v>
      </c>
      <c r="J3985" s="1127">
        <v>0.0</v>
      </c>
      <c r="K3985" s="1124"/>
    </row>
    <row r="3986" ht="15.75" customHeight="1">
      <c r="A3986" s="1119">
        <v>89746.0</v>
      </c>
      <c r="B3986" s="1125" t="s">
        <v>14265</v>
      </c>
      <c r="C3986" s="1126" t="s">
        <v>1788</v>
      </c>
      <c r="D3986" s="1119">
        <v>30.16</v>
      </c>
      <c r="E3986" s="1120">
        <v>8.36</v>
      </c>
      <c r="F3986" s="1121">
        <f t="shared" si="1"/>
        <v>21.81</v>
      </c>
      <c r="G3986" s="1120">
        <v>21.81</v>
      </c>
      <c r="H3986" s="1127">
        <v>0.0</v>
      </c>
      <c r="I3986" s="1127">
        <v>0.0</v>
      </c>
      <c r="J3986" s="1127">
        <v>0.0</v>
      </c>
      <c r="K3986" s="1124"/>
    </row>
    <row r="3987" ht="15.75" customHeight="1">
      <c r="A3987" s="1119">
        <v>89747.0</v>
      </c>
      <c r="B3987" s="1125" t="s">
        <v>14266</v>
      </c>
      <c r="C3987" s="1126" t="s">
        <v>1788</v>
      </c>
      <c r="D3987" s="1119">
        <v>30.73</v>
      </c>
      <c r="E3987" s="1120">
        <v>3.58</v>
      </c>
      <c r="F3987" s="1121">
        <f t="shared" si="1"/>
        <v>27.13</v>
      </c>
      <c r="G3987" s="1120">
        <v>27.13</v>
      </c>
      <c r="H3987" s="1127">
        <v>0.0</v>
      </c>
      <c r="I3987" s="1127">
        <v>0.0</v>
      </c>
      <c r="J3987" s="1127">
        <v>0.0</v>
      </c>
      <c r="K3987" s="1124"/>
    </row>
    <row r="3988" ht="15.75" customHeight="1">
      <c r="A3988" s="1119">
        <v>89748.0</v>
      </c>
      <c r="B3988" s="1125" t="s">
        <v>14267</v>
      </c>
      <c r="C3988" s="1126" t="s">
        <v>1788</v>
      </c>
      <c r="D3988" s="1119">
        <v>46.33</v>
      </c>
      <c r="E3988" s="1120">
        <v>8.35</v>
      </c>
      <c r="F3988" s="1121">
        <f t="shared" si="1"/>
        <v>37.99</v>
      </c>
      <c r="G3988" s="1120">
        <v>37.99</v>
      </c>
      <c r="H3988" s="1127">
        <v>0.0</v>
      </c>
      <c r="I3988" s="1127">
        <v>0.0</v>
      </c>
      <c r="J3988" s="1127">
        <v>0.0</v>
      </c>
      <c r="K3988" s="1124"/>
    </row>
    <row r="3989" ht="15.75" customHeight="1">
      <c r="A3989" s="1119">
        <v>89749.0</v>
      </c>
      <c r="B3989" s="1125" t="s">
        <v>14268</v>
      </c>
      <c r="C3989" s="1126" t="s">
        <v>1788</v>
      </c>
      <c r="D3989" s="1119">
        <v>17.76</v>
      </c>
      <c r="E3989" s="1120">
        <v>3.59</v>
      </c>
      <c r="F3989" s="1121">
        <f t="shared" si="1"/>
        <v>14.15</v>
      </c>
      <c r="G3989" s="1120">
        <v>14.15</v>
      </c>
      <c r="H3989" s="1127">
        <v>0.0</v>
      </c>
      <c r="I3989" s="1127">
        <v>0.0</v>
      </c>
      <c r="J3989" s="1127">
        <v>0.0</v>
      </c>
      <c r="K3989" s="1124"/>
    </row>
    <row r="3990" ht="15.75" customHeight="1">
      <c r="A3990" s="1119">
        <v>89750.0</v>
      </c>
      <c r="B3990" s="1125" t="s">
        <v>14269</v>
      </c>
      <c r="C3990" s="1126" t="s">
        <v>1788</v>
      </c>
      <c r="D3990" s="1119">
        <v>86.22</v>
      </c>
      <c r="E3990" s="1120">
        <v>8.34</v>
      </c>
      <c r="F3990" s="1121">
        <f t="shared" si="1"/>
        <v>77.89</v>
      </c>
      <c r="G3990" s="1120">
        <v>77.89</v>
      </c>
      <c r="H3990" s="1127">
        <v>0.0</v>
      </c>
      <c r="I3990" s="1127">
        <v>0.0</v>
      </c>
      <c r="J3990" s="1127">
        <v>0.0</v>
      </c>
      <c r="K3990" s="1124"/>
    </row>
    <row r="3991" ht="15.75" customHeight="1">
      <c r="A3991" s="1119">
        <v>89752.0</v>
      </c>
      <c r="B3991" s="1125" t="s">
        <v>14270</v>
      </c>
      <c r="C3991" s="1126" t="s">
        <v>1788</v>
      </c>
      <c r="D3991" s="1119">
        <v>8.58</v>
      </c>
      <c r="E3991" s="1120">
        <v>3.68</v>
      </c>
      <c r="F3991" s="1121">
        <f t="shared" si="1"/>
        <v>4.91</v>
      </c>
      <c r="G3991" s="1120">
        <v>4.91</v>
      </c>
      <c r="H3991" s="1127">
        <v>0.0</v>
      </c>
      <c r="I3991" s="1127">
        <v>0.0</v>
      </c>
      <c r="J3991" s="1127">
        <v>0.0</v>
      </c>
      <c r="K3991" s="1124"/>
    </row>
    <row r="3992" ht="15.75" customHeight="1">
      <c r="A3992" s="1119">
        <v>89753.0</v>
      </c>
      <c r="B3992" s="1125" t="s">
        <v>14271</v>
      </c>
      <c r="C3992" s="1126" t="s">
        <v>1788</v>
      </c>
      <c r="D3992" s="1119">
        <v>10.52</v>
      </c>
      <c r="E3992" s="1120">
        <v>4.0</v>
      </c>
      <c r="F3992" s="1121">
        <f t="shared" si="1"/>
        <v>6.51</v>
      </c>
      <c r="G3992" s="1120">
        <v>6.51</v>
      </c>
      <c r="H3992" s="1127">
        <v>0.0</v>
      </c>
      <c r="I3992" s="1127">
        <v>0.0</v>
      </c>
      <c r="J3992" s="1127">
        <v>0.0</v>
      </c>
      <c r="K3992" s="1124"/>
    </row>
    <row r="3993" ht="15.75" customHeight="1">
      <c r="A3993" s="1119">
        <v>89754.0</v>
      </c>
      <c r="B3993" s="1125" t="s">
        <v>14272</v>
      </c>
      <c r="C3993" s="1126" t="s">
        <v>1788</v>
      </c>
      <c r="D3993" s="1119">
        <v>22.56</v>
      </c>
      <c r="E3993" s="1120">
        <v>3.98</v>
      </c>
      <c r="F3993" s="1121">
        <f t="shared" si="1"/>
        <v>18.57</v>
      </c>
      <c r="G3993" s="1120">
        <v>18.57</v>
      </c>
      <c r="H3993" s="1127">
        <v>0.0</v>
      </c>
      <c r="I3993" s="1127">
        <v>0.0</v>
      </c>
      <c r="J3993" s="1127">
        <v>0.0</v>
      </c>
      <c r="K3993" s="1124"/>
    </row>
    <row r="3994" ht="15.75" customHeight="1">
      <c r="A3994" s="1119">
        <v>89755.0</v>
      </c>
      <c r="B3994" s="1125" t="s">
        <v>14273</v>
      </c>
      <c r="C3994" s="1126" t="s">
        <v>1788</v>
      </c>
      <c r="D3994" s="1119">
        <v>14.87</v>
      </c>
      <c r="E3994" s="1120">
        <v>4.25</v>
      </c>
      <c r="F3994" s="1121">
        <f t="shared" si="1"/>
        <v>10.62</v>
      </c>
      <c r="G3994" s="1120">
        <v>10.62</v>
      </c>
      <c r="H3994" s="1127">
        <v>0.0</v>
      </c>
      <c r="I3994" s="1127">
        <v>0.0</v>
      </c>
      <c r="J3994" s="1127">
        <v>0.0</v>
      </c>
      <c r="K3994" s="1124"/>
    </row>
    <row r="3995" ht="15.75" customHeight="1">
      <c r="A3995" s="1119">
        <v>89756.0</v>
      </c>
      <c r="B3995" s="1125" t="s">
        <v>14274</v>
      </c>
      <c r="C3995" s="1126" t="s">
        <v>1788</v>
      </c>
      <c r="D3995" s="1119">
        <v>24.51</v>
      </c>
      <c r="E3995" s="1120">
        <v>4.25</v>
      </c>
      <c r="F3995" s="1121">
        <f t="shared" si="1"/>
        <v>20.27</v>
      </c>
      <c r="G3995" s="1120">
        <v>20.27</v>
      </c>
      <c r="H3995" s="1127">
        <v>0.0</v>
      </c>
      <c r="I3995" s="1127">
        <v>0.0</v>
      </c>
      <c r="J3995" s="1127">
        <v>0.0</v>
      </c>
      <c r="K3995" s="1124"/>
    </row>
    <row r="3996" ht="15.75" customHeight="1">
      <c r="A3996" s="1119">
        <v>89757.0</v>
      </c>
      <c r="B3996" s="1125" t="s">
        <v>14275</v>
      </c>
      <c r="C3996" s="1126" t="s">
        <v>1788</v>
      </c>
      <c r="D3996" s="1119">
        <v>31.48</v>
      </c>
      <c r="E3996" s="1120">
        <v>4.24</v>
      </c>
      <c r="F3996" s="1121">
        <f t="shared" si="1"/>
        <v>27.24</v>
      </c>
      <c r="G3996" s="1120">
        <v>27.24</v>
      </c>
      <c r="H3996" s="1127">
        <v>0.0</v>
      </c>
      <c r="I3996" s="1127">
        <v>0.0</v>
      </c>
      <c r="J3996" s="1127">
        <v>0.0</v>
      </c>
      <c r="K3996" s="1124"/>
    </row>
    <row r="3997" ht="15.75" customHeight="1">
      <c r="A3997" s="1119">
        <v>89758.0</v>
      </c>
      <c r="B3997" s="1125" t="s">
        <v>14276</v>
      </c>
      <c r="C3997" s="1126" t="s">
        <v>1788</v>
      </c>
      <c r="D3997" s="1119">
        <v>38.22</v>
      </c>
      <c r="E3997" s="1120">
        <v>4.08</v>
      </c>
      <c r="F3997" s="1121">
        <f t="shared" si="1"/>
        <v>34.15</v>
      </c>
      <c r="G3997" s="1120">
        <v>34.15</v>
      </c>
      <c r="H3997" s="1127">
        <v>0.0</v>
      </c>
      <c r="I3997" s="1127">
        <v>0.0</v>
      </c>
      <c r="J3997" s="1127">
        <v>0.0</v>
      </c>
      <c r="K3997" s="1124"/>
    </row>
    <row r="3998" ht="15.75" customHeight="1">
      <c r="A3998" s="1119">
        <v>89759.0</v>
      </c>
      <c r="B3998" s="1125" t="s">
        <v>14277</v>
      </c>
      <c r="C3998" s="1126" t="s">
        <v>1788</v>
      </c>
      <c r="D3998" s="1119">
        <v>12.68</v>
      </c>
      <c r="E3998" s="1120">
        <v>3.94</v>
      </c>
      <c r="F3998" s="1121">
        <f t="shared" si="1"/>
        <v>8.75</v>
      </c>
      <c r="G3998" s="1120">
        <v>8.75</v>
      </c>
      <c r="H3998" s="1127">
        <v>0.0</v>
      </c>
      <c r="I3998" s="1127">
        <v>0.0</v>
      </c>
      <c r="J3998" s="1127">
        <v>0.0</v>
      </c>
      <c r="K3998" s="1124"/>
    </row>
    <row r="3999" ht="15.75" customHeight="1">
      <c r="A3999" s="1119">
        <v>89760.0</v>
      </c>
      <c r="B3999" s="1125" t="s">
        <v>14278</v>
      </c>
      <c r="C3999" s="1126" t="s">
        <v>1788</v>
      </c>
      <c r="D3999" s="1119">
        <v>23.46</v>
      </c>
      <c r="E3999" s="1120">
        <v>5.01</v>
      </c>
      <c r="F3999" s="1121">
        <f t="shared" si="1"/>
        <v>18.46</v>
      </c>
      <c r="G3999" s="1120">
        <v>18.46</v>
      </c>
      <c r="H3999" s="1127">
        <v>0.0</v>
      </c>
      <c r="I3999" s="1127">
        <v>0.0</v>
      </c>
      <c r="J3999" s="1127">
        <v>0.0</v>
      </c>
      <c r="K3999" s="1124"/>
    </row>
    <row r="4000" ht="15.75" customHeight="1">
      <c r="A4000" s="1119">
        <v>89761.0</v>
      </c>
      <c r="B4000" s="1125" t="s">
        <v>14279</v>
      </c>
      <c r="C4000" s="1126" t="s">
        <v>1788</v>
      </c>
      <c r="D4000" s="1119">
        <v>32.56</v>
      </c>
      <c r="E4000" s="1120">
        <v>5.0</v>
      </c>
      <c r="F4000" s="1121">
        <f t="shared" si="1"/>
        <v>27.56</v>
      </c>
      <c r="G4000" s="1120">
        <v>27.56</v>
      </c>
      <c r="H4000" s="1127">
        <v>0.0</v>
      </c>
      <c r="I4000" s="1127">
        <v>0.0</v>
      </c>
      <c r="J4000" s="1127">
        <v>0.0</v>
      </c>
      <c r="K4000" s="1124"/>
    </row>
    <row r="4001" ht="15.75" customHeight="1">
      <c r="A4001" s="1119">
        <v>89762.0</v>
      </c>
      <c r="B4001" s="1125" t="s">
        <v>14280</v>
      </c>
      <c r="C4001" s="1126" t="s">
        <v>1788</v>
      </c>
      <c r="D4001" s="1119">
        <v>45.58</v>
      </c>
      <c r="E4001" s="1120">
        <v>5.0</v>
      </c>
      <c r="F4001" s="1121">
        <f t="shared" si="1"/>
        <v>40.59</v>
      </c>
      <c r="G4001" s="1120">
        <v>40.59</v>
      </c>
      <c r="H4001" s="1127">
        <v>0.0</v>
      </c>
      <c r="I4001" s="1127">
        <v>0.0</v>
      </c>
      <c r="J4001" s="1127">
        <v>0.0</v>
      </c>
      <c r="K4001" s="1124"/>
    </row>
    <row r="4002" ht="15.75" customHeight="1">
      <c r="A4002" s="1119">
        <v>89763.0</v>
      </c>
      <c r="B4002" s="1125" t="s">
        <v>14281</v>
      </c>
      <c r="C4002" s="1126" t="s">
        <v>1788</v>
      </c>
      <c r="D4002" s="1119">
        <v>57.55</v>
      </c>
      <c r="E4002" s="1120">
        <v>4.83</v>
      </c>
      <c r="F4002" s="1121">
        <f t="shared" si="1"/>
        <v>52.71</v>
      </c>
      <c r="G4002" s="1120">
        <v>52.71</v>
      </c>
      <c r="H4002" s="1127">
        <v>0.0</v>
      </c>
      <c r="I4002" s="1127">
        <v>0.0</v>
      </c>
      <c r="J4002" s="1127">
        <v>0.0</v>
      </c>
      <c r="K4002" s="1124"/>
    </row>
    <row r="4003" ht="15.75" customHeight="1">
      <c r="A4003" s="1119">
        <v>89764.0</v>
      </c>
      <c r="B4003" s="1125" t="s">
        <v>14282</v>
      </c>
      <c r="C4003" s="1126" t="s">
        <v>1788</v>
      </c>
      <c r="D4003" s="1119">
        <v>38.61</v>
      </c>
      <c r="E4003" s="1120">
        <v>4.61</v>
      </c>
      <c r="F4003" s="1121">
        <f t="shared" si="1"/>
        <v>33.99</v>
      </c>
      <c r="G4003" s="1120">
        <v>33.99</v>
      </c>
      <c r="H4003" s="1127">
        <v>0.0</v>
      </c>
      <c r="I4003" s="1127">
        <v>0.0</v>
      </c>
      <c r="J4003" s="1127">
        <v>0.0</v>
      </c>
      <c r="K4003" s="1124"/>
    </row>
    <row r="4004" ht="15.75" customHeight="1">
      <c r="A4004" s="1119">
        <v>89765.0</v>
      </c>
      <c r="B4004" s="1125" t="s">
        <v>14283</v>
      </c>
      <c r="C4004" s="1126" t="s">
        <v>1788</v>
      </c>
      <c r="D4004" s="1119">
        <v>18.83</v>
      </c>
      <c r="E4004" s="1120">
        <v>7.23</v>
      </c>
      <c r="F4004" s="1121">
        <f t="shared" si="1"/>
        <v>11.61</v>
      </c>
      <c r="G4004" s="1120">
        <v>11.61</v>
      </c>
      <c r="H4004" s="1127">
        <v>0.0</v>
      </c>
      <c r="I4004" s="1127">
        <v>0.0</v>
      </c>
      <c r="J4004" s="1127">
        <v>0.0</v>
      </c>
      <c r="K4004" s="1124"/>
    </row>
    <row r="4005" ht="15.75" customHeight="1">
      <c r="A4005" s="1119">
        <v>89767.0</v>
      </c>
      <c r="B4005" s="1125" t="s">
        <v>14284</v>
      </c>
      <c r="C4005" s="1126" t="s">
        <v>1788</v>
      </c>
      <c r="D4005" s="1119">
        <v>23.14</v>
      </c>
      <c r="E4005" s="1120">
        <v>7.22</v>
      </c>
      <c r="F4005" s="1121">
        <f t="shared" si="1"/>
        <v>15.93</v>
      </c>
      <c r="G4005" s="1120">
        <v>15.93</v>
      </c>
      <c r="H4005" s="1127">
        <v>0.0</v>
      </c>
      <c r="I4005" s="1127">
        <v>0.0</v>
      </c>
      <c r="J4005" s="1127">
        <v>0.0</v>
      </c>
      <c r="K4005" s="1124"/>
    </row>
    <row r="4006" ht="15.75" customHeight="1">
      <c r="A4006" s="1119">
        <v>89768.0</v>
      </c>
      <c r="B4006" s="1125" t="s">
        <v>14285</v>
      </c>
      <c r="C4006" s="1126" t="s">
        <v>1788</v>
      </c>
      <c r="D4006" s="1119">
        <v>26.95</v>
      </c>
      <c r="E4006" s="1120">
        <v>8.51</v>
      </c>
      <c r="F4006" s="1121">
        <f t="shared" si="1"/>
        <v>18.44</v>
      </c>
      <c r="G4006" s="1120">
        <v>18.44</v>
      </c>
      <c r="H4006" s="1127">
        <v>0.0</v>
      </c>
      <c r="I4006" s="1127">
        <v>0.0</v>
      </c>
      <c r="J4006" s="1127">
        <v>0.0</v>
      </c>
      <c r="K4006" s="1124"/>
    </row>
    <row r="4007" ht="15.75" customHeight="1">
      <c r="A4007" s="1119">
        <v>89769.0</v>
      </c>
      <c r="B4007" s="1125" t="s">
        <v>14286</v>
      </c>
      <c r="C4007" s="1126" t="s">
        <v>1788</v>
      </c>
      <c r="D4007" s="1119">
        <v>58.24</v>
      </c>
      <c r="E4007" s="1120">
        <v>10.03</v>
      </c>
      <c r="F4007" s="1121">
        <f t="shared" si="1"/>
        <v>48.21</v>
      </c>
      <c r="G4007" s="1120">
        <v>48.21</v>
      </c>
      <c r="H4007" s="1127">
        <v>0.0</v>
      </c>
      <c r="I4007" s="1127">
        <v>0.0</v>
      </c>
      <c r="J4007" s="1127">
        <v>0.0</v>
      </c>
      <c r="K4007" s="1124"/>
    </row>
    <row r="4008" ht="15.75" customHeight="1">
      <c r="A4008" s="1119">
        <v>89772.0</v>
      </c>
      <c r="B4008" s="1125" t="s">
        <v>14287</v>
      </c>
      <c r="C4008" s="1126" t="s">
        <v>1731</v>
      </c>
      <c r="D4008" s="1119">
        <v>90.53</v>
      </c>
      <c r="E4008" s="1120">
        <v>1.57</v>
      </c>
      <c r="F4008" s="1121">
        <f t="shared" si="1"/>
        <v>88.96</v>
      </c>
      <c r="G4008" s="1120">
        <v>88.96</v>
      </c>
      <c r="H4008" s="1127">
        <v>0.0</v>
      </c>
      <c r="I4008" s="1127">
        <v>0.0</v>
      </c>
      <c r="J4008" s="1127">
        <v>0.0</v>
      </c>
      <c r="K4008" s="1124"/>
    </row>
    <row r="4009" ht="15.75" customHeight="1">
      <c r="A4009" s="1119">
        <v>89774.0</v>
      </c>
      <c r="B4009" s="1125" t="s">
        <v>14288</v>
      </c>
      <c r="C4009" s="1126" t="s">
        <v>1788</v>
      </c>
      <c r="D4009" s="1119">
        <v>17.31</v>
      </c>
      <c r="E4009" s="1120">
        <v>4.78</v>
      </c>
      <c r="F4009" s="1121">
        <f t="shared" si="1"/>
        <v>12.53</v>
      </c>
      <c r="G4009" s="1120">
        <v>12.53</v>
      </c>
      <c r="H4009" s="1127">
        <v>0.0</v>
      </c>
      <c r="I4009" s="1127">
        <v>0.0</v>
      </c>
      <c r="J4009" s="1127">
        <v>0.0</v>
      </c>
      <c r="K4009" s="1124"/>
    </row>
    <row r="4010" ht="15.75" customHeight="1">
      <c r="A4010" s="1119">
        <v>89776.0</v>
      </c>
      <c r="B4010" s="1125" t="s">
        <v>14289</v>
      </c>
      <c r="C4010" s="1126" t="s">
        <v>1788</v>
      </c>
      <c r="D4010" s="1119">
        <v>27.17</v>
      </c>
      <c r="E4010" s="1120">
        <v>4.77</v>
      </c>
      <c r="F4010" s="1121">
        <f t="shared" si="1"/>
        <v>22.39</v>
      </c>
      <c r="G4010" s="1120">
        <v>22.39</v>
      </c>
      <c r="H4010" s="1127">
        <v>0.0</v>
      </c>
      <c r="I4010" s="1127">
        <v>0.0</v>
      </c>
      <c r="J4010" s="1127">
        <v>0.0</v>
      </c>
      <c r="K4010" s="1124"/>
    </row>
    <row r="4011" ht="15.75" customHeight="1">
      <c r="A4011" s="1119">
        <v>89777.0</v>
      </c>
      <c r="B4011" s="1125" t="s">
        <v>14290</v>
      </c>
      <c r="C4011" s="1126" t="s">
        <v>1788</v>
      </c>
      <c r="D4011" s="1119">
        <v>26.95</v>
      </c>
      <c r="E4011" s="1120">
        <v>4.03</v>
      </c>
      <c r="F4011" s="1121">
        <f t="shared" si="1"/>
        <v>22.93</v>
      </c>
      <c r="G4011" s="1120">
        <v>22.93</v>
      </c>
      <c r="H4011" s="1127">
        <v>0.0</v>
      </c>
      <c r="I4011" s="1127">
        <v>0.0</v>
      </c>
      <c r="J4011" s="1127">
        <v>0.0</v>
      </c>
      <c r="K4011" s="1124"/>
    </row>
    <row r="4012" ht="15.75" customHeight="1">
      <c r="A4012" s="1119">
        <v>89778.0</v>
      </c>
      <c r="B4012" s="1125" t="s">
        <v>14291</v>
      </c>
      <c r="C4012" s="1126" t="s">
        <v>1788</v>
      </c>
      <c r="D4012" s="1119">
        <v>19.76</v>
      </c>
      <c r="E4012" s="1120">
        <v>5.57</v>
      </c>
      <c r="F4012" s="1121">
        <f t="shared" si="1"/>
        <v>14.19</v>
      </c>
      <c r="G4012" s="1120">
        <v>14.19</v>
      </c>
      <c r="H4012" s="1127">
        <v>0.0</v>
      </c>
      <c r="I4012" s="1127">
        <v>0.0</v>
      </c>
      <c r="J4012" s="1127">
        <v>0.0</v>
      </c>
      <c r="K4012" s="1124"/>
    </row>
    <row r="4013" ht="15.75" customHeight="1">
      <c r="A4013" s="1119">
        <v>89779.0</v>
      </c>
      <c r="B4013" s="1125" t="s">
        <v>14292</v>
      </c>
      <c r="C4013" s="1126" t="s">
        <v>1788</v>
      </c>
      <c r="D4013" s="1119">
        <v>37.07</v>
      </c>
      <c r="E4013" s="1120">
        <v>5.57</v>
      </c>
      <c r="F4013" s="1121">
        <f t="shared" si="1"/>
        <v>31.51</v>
      </c>
      <c r="G4013" s="1120">
        <v>31.51</v>
      </c>
      <c r="H4013" s="1127">
        <v>0.0</v>
      </c>
      <c r="I4013" s="1127">
        <v>0.0</v>
      </c>
      <c r="J4013" s="1127">
        <v>0.0</v>
      </c>
      <c r="K4013" s="1124"/>
    </row>
    <row r="4014" ht="15.75" customHeight="1">
      <c r="A4014" s="1119">
        <v>89780.0</v>
      </c>
      <c r="B4014" s="1125" t="s">
        <v>14293</v>
      </c>
      <c r="C4014" s="1126" t="s">
        <v>1788</v>
      </c>
      <c r="D4014" s="1119">
        <v>25.3</v>
      </c>
      <c r="E4014" s="1120">
        <v>4.03</v>
      </c>
      <c r="F4014" s="1121">
        <f t="shared" si="1"/>
        <v>21.28</v>
      </c>
      <c r="G4014" s="1120">
        <v>21.28</v>
      </c>
      <c r="H4014" s="1127">
        <v>0.0</v>
      </c>
      <c r="I4014" s="1127">
        <v>0.0</v>
      </c>
      <c r="J4014" s="1127">
        <v>0.0</v>
      </c>
      <c r="K4014" s="1124"/>
    </row>
    <row r="4015" ht="15.75" customHeight="1">
      <c r="A4015" s="1119">
        <v>89781.0</v>
      </c>
      <c r="B4015" s="1125" t="s">
        <v>14294</v>
      </c>
      <c r="C4015" s="1126" t="s">
        <v>1788</v>
      </c>
      <c r="D4015" s="1119">
        <v>37.95</v>
      </c>
      <c r="E4015" s="1120">
        <v>4.73</v>
      </c>
      <c r="F4015" s="1121">
        <f t="shared" si="1"/>
        <v>33.22</v>
      </c>
      <c r="G4015" s="1120">
        <v>33.22</v>
      </c>
      <c r="H4015" s="1127">
        <v>0.0</v>
      </c>
      <c r="I4015" s="1127">
        <v>0.0</v>
      </c>
      <c r="J4015" s="1127">
        <v>0.0</v>
      </c>
      <c r="K4015" s="1124"/>
    </row>
    <row r="4016" ht="15.75" customHeight="1">
      <c r="A4016" s="1119">
        <v>89782.0</v>
      </c>
      <c r="B4016" s="1125" t="s">
        <v>14295</v>
      </c>
      <c r="C4016" s="1126" t="s">
        <v>1788</v>
      </c>
      <c r="D4016" s="1119">
        <v>16.8</v>
      </c>
      <c r="E4016" s="1120">
        <v>7.34</v>
      </c>
      <c r="F4016" s="1121">
        <f t="shared" si="1"/>
        <v>9.45</v>
      </c>
      <c r="G4016" s="1120">
        <v>9.45</v>
      </c>
      <c r="H4016" s="1127">
        <v>0.0</v>
      </c>
      <c r="I4016" s="1127">
        <v>0.0</v>
      </c>
      <c r="J4016" s="1127">
        <v>0.0</v>
      </c>
      <c r="K4016" s="1124"/>
    </row>
    <row r="4017" ht="15.75" customHeight="1">
      <c r="A4017" s="1119">
        <v>89783.0</v>
      </c>
      <c r="B4017" s="1125" t="s">
        <v>14296</v>
      </c>
      <c r="C4017" s="1126" t="s">
        <v>1788</v>
      </c>
      <c r="D4017" s="1119">
        <v>16.91</v>
      </c>
      <c r="E4017" s="1120">
        <v>7.34</v>
      </c>
      <c r="F4017" s="1121">
        <f t="shared" si="1"/>
        <v>9.56</v>
      </c>
      <c r="G4017" s="1120">
        <v>9.56</v>
      </c>
      <c r="H4017" s="1127">
        <v>0.0</v>
      </c>
      <c r="I4017" s="1127">
        <v>0.0</v>
      </c>
      <c r="J4017" s="1127">
        <v>0.0</v>
      </c>
      <c r="K4017" s="1124"/>
    </row>
    <row r="4018" ht="15.75" customHeight="1">
      <c r="A4018" s="1119">
        <v>89784.0</v>
      </c>
      <c r="B4018" s="1125" t="s">
        <v>14297</v>
      </c>
      <c r="C4018" s="1126" t="s">
        <v>1788</v>
      </c>
      <c r="D4018" s="1119">
        <v>25.82</v>
      </c>
      <c r="E4018" s="1120">
        <v>7.99</v>
      </c>
      <c r="F4018" s="1121">
        <f t="shared" si="1"/>
        <v>17.84</v>
      </c>
      <c r="G4018" s="1120">
        <v>17.84</v>
      </c>
      <c r="H4018" s="1127">
        <v>0.0</v>
      </c>
      <c r="I4018" s="1127">
        <v>0.0</v>
      </c>
      <c r="J4018" s="1127">
        <v>0.0</v>
      </c>
      <c r="K4018" s="1124"/>
    </row>
    <row r="4019" ht="15.75" customHeight="1">
      <c r="A4019" s="1119">
        <v>89785.0</v>
      </c>
      <c r="B4019" s="1125" t="s">
        <v>14298</v>
      </c>
      <c r="C4019" s="1126" t="s">
        <v>1788</v>
      </c>
      <c r="D4019" s="1119">
        <v>28.49</v>
      </c>
      <c r="E4019" s="1120">
        <v>7.99</v>
      </c>
      <c r="F4019" s="1121">
        <f t="shared" si="1"/>
        <v>20.51</v>
      </c>
      <c r="G4019" s="1120">
        <v>20.51</v>
      </c>
      <c r="H4019" s="1127">
        <v>0.0</v>
      </c>
      <c r="I4019" s="1127">
        <v>0.0</v>
      </c>
      <c r="J4019" s="1127">
        <v>0.0</v>
      </c>
      <c r="K4019" s="1124"/>
    </row>
    <row r="4020" ht="15.75" customHeight="1">
      <c r="A4020" s="1119">
        <v>89786.0</v>
      </c>
      <c r="B4020" s="1125" t="s">
        <v>14299</v>
      </c>
      <c r="C4020" s="1126" t="s">
        <v>1788</v>
      </c>
      <c r="D4020" s="1119">
        <v>41.51</v>
      </c>
      <c r="E4020" s="1120">
        <v>9.56</v>
      </c>
      <c r="F4020" s="1121">
        <f t="shared" si="1"/>
        <v>31.95</v>
      </c>
      <c r="G4020" s="1120">
        <v>31.95</v>
      </c>
      <c r="H4020" s="1127">
        <v>0.0</v>
      </c>
      <c r="I4020" s="1127">
        <v>0.0</v>
      </c>
      <c r="J4020" s="1127">
        <v>0.0</v>
      </c>
      <c r="K4020" s="1124"/>
    </row>
    <row r="4021" ht="15.75" customHeight="1">
      <c r="A4021" s="1119">
        <v>89787.0</v>
      </c>
      <c r="B4021" s="1125" t="s">
        <v>14300</v>
      </c>
      <c r="C4021" s="1126" t="s">
        <v>1788</v>
      </c>
      <c r="D4021" s="1119">
        <v>37.54</v>
      </c>
      <c r="E4021" s="1120">
        <v>4.73</v>
      </c>
      <c r="F4021" s="1121">
        <f t="shared" si="1"/>
        <v>32.81</v>
      </c>
      <c r="G4021" s="1120">
        <v>32.81</v>
      </c>
      <c r="H4021" s="1127">
        <v>0.0</v>
      </c>
      <c r="I4021" s="1127">
        <v>0.0</v>
      </c>
      <c r="J4021" s="1127">
        <v>0.0</v>
      </c>
      <c r="K4021" s="1124"/>
    </row>
    <row r="4022" ht="15.75" customHeight="1">
      <c r="A4022" s="1119">
        <v>89788.0</v>
      </c>
      <c r="B4022" s="1125" t="s">
        <v>14301</v>
      </c>
      <c r="C4022" s="1126" t="s">
        <v>1788</v>
      </c>
      <c r="D4022" s="1119">
        <v>81.25</v>
      </c>
      <c r="E4022" s="1120">
        <v>5.91</v>
      </c>
      <c r="F4022" s="1121">
        <f t="shared" si="1"/>
        <v>75.33</v>
      </c>
      <c r="G4022" s="1120">
        <v>75.33</v>
      </c>
      <c r="H4022" s="1127">
        <v>0.0</v>
      </c>
      <c r="I4022" s="1127">
        <v>0.0</v>
      </c>
      <c r="J4022" s="1127">
        <v>0.0</v>
      </c>
      <c r="K4022" s="1124"/>
    </row>
    <row r="4023" ht="15.75" customHeight="1">
      <c r="A4023" s="1119">
        <v>89789.0</v>
      </c>
      <c r="B4023" s="1125" t="s">
        <v>14302</v>
      </c>
      <c r="C4023" s="1126" t="s">
        <v>1788</v>
      </c>
      <c r="D4023" s="1119">
        <v>69.19</v>
      </c>
      <c r="E4023" s="1120">
        <v>5.91</v>
      </c>
      <c r="F4023" s="1121">
        <f t="shared" si="1"/>
        <v>63.27</v>
      </c>
      <c r="G4023" s="1120">
        <v>63.27</v>
      </c>
      <c r="H4023" s="1127">
        <v>0.0</v>
      </c>
      <c r="I4023" s="1127">
        <v>0.0</v>
      </c>
      <c r="J4023" s="1127">
        <v>0.0</v>
      </c>
      <c r="K4023" s="1124"/>
    </row>
    <row r="4024" ht="15.75" customHeight="1">
      <c r="A4024" s="1119">
        <v>89790.0</v>
      </c>
      <c r="B4024" s="1125" t="s">
        <v>14303</v>
      </c>
      <c r="C4024" s="1126" t="s">
        <v>1788</v>
      </c>
      <c r="D4024" s="1119">
        <v>161.29</v>
      </c>
      <c r="E4024" s="1120">
        <v>7.8</v>
      </c>
      <c r="F4024" s="1121">
        <f t="shared" si="1"/>
        <v>153.49</v>
      </c>
      <c r="G4024" s="1120">
        <v>153.49</v>
      </c>
      <c r="H4024" s="1127">
        <v>0.0</v>
      </c>
      <c r="I4024" s="1127">
        <v>0.0</v>
      </c>
      <c r="J4024" s="1127">
        <v>0.0</v>
      </c>
      <c r="K4024" s="1124"/>
    </row>
    <row r="4025" ht="15.75" customHeight="1">
      <c r="A4025" s="1119">
        <v>89791.0</v>
      </c>
      <c r="B4025" s="1125" t="s">
        <v>14304</v>
      </c>
      <c r="C4025" s="1126" t="s">
        <v>1788</v>
      </c>
      <c r="D4025" s="1119">
        <v>155.84</v>
      </c>
      <c r="E4025" s="1120">
        <v>7.8</v>
      </c>
      <c r="F4025" s="1121">
        <f t="shared" si="1"/>
        <v>148.04</v>
      </c>
      <c r="G4025" s="1120">
        <v>148.04</v>
      </c>
      <c r="H4025" s="1127">
        <v>0.0</v>
      </c>
      <c r="I4025" s="1127">
        <v>0.0</v>
      </c>
      <c r="J4025" s="1127">
        <v>0.0</v>
      </c>
      <c r="K4025" s="1124"/>
    </row>
    <row r="4026" ht="15.75" customHeight="1">
      <c r="A4026" s="1119">
        <v>89792.0</v>
      </c>
      <c r="B4026" s="1125" t="s">
        <v>14305</v>
      </c>
      <c r="C4026" s="1126" t="s">
        <v>1788</v>
      </c>
      <c r="D4026" s="1119">
        <v>190.89</v>
      </c>
      <c r="E4026" s="1120">
        <v>9.38</v>
      </c>
      <c r="F4026" s="1121">
        <f t="shared" si="1"/>
        <v>181.51</v>
      </c>
      <c r="G4026" s="1120">
        <v>181.51</v>
      </c>
      <c r="H4026" s="1127">
        <v>0.0</v>
      </c>
      <c r="I4026" s="1127">
        <v>0.0</v>
      </c>
      <c r="J4026" s="1127">
        <v>0.0</v>
      </c>
      <c r="K4026" s="1124"/>
    </row>
    <row r="4027" ht="15.75" customHeight="1">
      <c r="A4027" s="1119">
        <v>89793.0</v>
      </c>
      <c r="B4027" s="1125" t="s">
        <v>14306</v>
      </c>
      <c r="C4027" s="1126" t="s">
        <v>1788</v>
      </c>
      <c r="D4027" s="1119">
        <v>224.82</v>
      </c>
      <c r="E4027" s="1120">
        <v>9.38</v>
      </c>
      <c r="F4027" s="1121">
        <f t="shared" si="1"/>
        <v>215.44</v>
      </c>
      <c r="G4027" s="1120">
        <v>215.44</v>
      </c>
      <c r="H4027" s="1127">
        <v>0.0</v>
      </c>
      <c r="I4027" s="1127">
        <v>0.0</v>
      </c>
      <c r="J4027" s="1127">
        <v>0.0</v>
      </c>
      <c r="K4027" s="1124"/>
    </row>
    <row r="4028" ht="15.75" customHeight="1">
      <c r="A4028" s="1119">
        <v>89794.0</v>
      </c>
      <c r="B4028" s="1125" t="s">
        <v>14307</v>
      </c>
      <c r="C4028" s="1126" t="s">
        <v>1788</v>
      </c>
      <c r="D4028" s="1119">
        <v>20.39</v>
      </c>
      <c r="E4028" s="1120">
        <v>2.69</v>
      </c>
      <c r="F4028" s="1121">
        <f t="shared" si="1"/>
        <v>17.71</v>
      </c>
      <c r="G4028" s="1120">
        <v>17.71</v>
      </c>
      <c r="H4028" s="1127">
        <v>0.0</v>
      </c>
      <c r="I4028" s="1127">
        <v>0.0</v>
      </c>
      <c r="J4028" s="1127">
        <v>0.0</v>
      </c>
      <c r="K4028" s="1124"/>
    </row>
    <row r="4029" ht="15.75" customHeight="1">
      <c r="A4029" s="1119">
        <v>89795.0</v>
      </c>
      <c r="B4029" s="1125" t="s">
        <v>14308</v>
      </c>
      <c r="C4029" s="1126" t="s">
        <v>1788</v>
      </c>
      <c r="D4029" s="1119">
        <v>43.87</v>
      </c>
      <c r="E4029" s="1120">
        <v>9.56</v>
      </c>
      <c r="F4029" s="1121">
        <f t="shared" si="1"/>
        <v>34.31</v>
      </c>
      <c r="G4029" s="1120">
        <v>34.31</v>
      </c>
      <c r="H4029" s="1127">
        <v>0.0</v>
      </c>
      <c r="I4029" s="1127">
        <v>0.0</v>
      </c>
      <c r="J4029" s="1127">
        <v>0.0</v>
      </c>
      <c r="K4029" s="1124"/>
    </row>
    <row r="4030" ht="15.75" customHeight="1">
      <c r="A4030" s="1119">
        <v>89796.0</v>
      </c>
      <c r="B4030" s="1125" t="s">
        <v>14309</v>
      </c>
      <c r="C4030" s="1126" t="s">
        <v>1788</v>
      </c>
      <c r="D4030" s="1119">
        <v>45.99</v>
      </c>
      <c r="E4030" s="1120">
        <v>11.14</v>
      </c>
      <c r="F4030" s="1121">
        <f t="shared" si="1"/>
        <v>34.85</v>
      </c>
      <c r="G4030" s="1120">
        <v>34.85</v>
      </c>
      <c r="H4030" s="1127">
        <v>0.0</v>
      </c>
      <c r="I4030" s="1127">
        <v>0.0</v>
      </c>
      <c r="J4030" s="1127">
        <v>0.0</v>
      </c>
      <c r="K4030" s="1124"/>
    </row>
    <row r="4031" ht="15.75" customHeight="1">
      <c r="A4031" s="1119">
        <v>89797.0</v>
      </c>
      <c r="B4031" s="1125" t="s">
        <v>14310</v>
      </c>
      <c r="C4031" s="1126" t="s">
        <v>1788</v>
      </c>
      <c r="D4031" s="1119">
        <v>55.14</v>
      </c>
      <c r="E4031" s="1120">
        <v>11.14</v>
      </c>
      <c r="F4031" s="1121">
        <f t="shared" si="1"/>
        <v>44</v>
      </c>
      <c r="G4031" s="1120">
        <v>44.0</v>
      </c>
      <c r="H4031" s="1127">
        <v>0.0</v>
      </c>
      <c r="I4031" s="1127">
        <v>0.0</v>
      </c>
      <c r="J4031" s="1127">
        <v>0.0</v>
      </c>
      <c r="K4031" s="1124"/>
    </row>
    <row r="4032" ht="15.75" customHeight="1">
      <c r="A4032" s="1119">
        <v>89801.0</v>
      </c>
      <c r="B4032" s="1125" t="s">
        <v>14311</v>
      </c>
      <c r="C4032" s="1126" t="s">
        <v>1788</v>
      </c>
      <c r="D4032" s="1119">
        <v>9.89</v>
      </c>
      <c r="E4032" s="1120">
        <v>1.48</v>
      </c>
      <c r="F4032" s="1121">
        <f t="shared" si="1"/>
        <v>8.4</v>
      </c>
      <c r="G4032" s="1120">
        <v>8.4</v>
      </c>
      <c r="H4032" s="1127">
        <v>0.0</v>
      </c>
      <c r="I4032" s="1127">
        <v>0.0</v>
      </c>
      <c r="J4032" s="1127">
        <v>0.0</v>
      </c>
      <c r="K4032" s="1124"/>
    </row>
    <row r="4033" ht="15.75" customHeight="1">
      <c r="A4033" s="1119">
        <v>89802.0</v>
      </c>
      <c r="B4033" s="1125" t="s">
        <v>14312</v>
      </c>
      <c r="C4033" s="1126" t="s">
        <v>1788</v>
      </c>
      <c r="D4033" s="1119">
        <v>10.72</v>
      </c>
      <c r="E4033" s="1120">
        <v>1.48</v>
      </c>
      <c r="F4033" s="1121">
        <f t="shared" si="1"/>
        <v>9.24</v>
      </c>
      <c r="G4033" s="1120">
        <v>9.24</v>
      </c>
      <c r="H4033" s="1127">
        <v>0.0</v>
      </c>
      <c r="I4033" s="1127">
        <v>0.0</v>
      </c>
      <c r="J4033" s="1127">
        <v>0.0</v>
      </c>
      <c r="K4033" s="1124"/>
    </row>
    <row r="4034" ht="15.75" customHeight="1">
      <c r="A4034" s="1119">
        <v>89803.0</v>
      </c>
      <c r="B4034" s="1125" t="s">
        <v>14313</v>
      </c>
      <c r="C4034" s="1126" t="s">
        <v>1788</v>
      </c>
      <c r="D4034" s="1119">
        <v>19.52</v>
      </c>
      <c r="E4034" s="1120">
        <v>1.47</v>
      </c>
      <c r="F4034" s="1121">
        <f t="shared" si="1"/>
        <v>18.04</v>
      </c>
      <c r="G4034" s="1120">
        <v>18.04</v>
      </c>
      <c r="H4034" s="1127">
        <v>0.0</v>
      </c>
      <c r="I4034" s="1127">
        <v>0.0</v>
      </c>
      <c r="J4034" s="1127">
        <v>0.0</v>
      </c>
      <c r="K4034" s="1124"/>
    </row>
    <row r="4035" ht="15.75" customHeight="1">
      <c r="A4035" s="1119">
        <v>89804.0</v>
      </c>
      <c r="B4035" s="1125" t="s">
        <v>14314</v>
      </c>
      <c r="C4035" s="1126" t="s">
        <v>1788</v>
      </c>
      <c r="D4035" s="1119">
        <v>22.0</v>
      </c>
      <c r="E4035" s="1120">
        <v>1.47</v>
      </c>
      <c r="F4035" s="1121">
        <f t="shared" si="1"/>
        <v>20.52</v>
      </c>
      <c r="G4035" s="1120">
        <v>20.52</v>
      </c>
      <c r="H4035" s="1127">
        <v>0.0</v>
      </c>
      <c r="I4035" s="1127">
        <v>0.0</v>
      </c>
      <c r="J4035" s="1127">
        <v>0.0</v>
      </c>
      <c r="K4035" s="1124"/>
    </row>
    <row r="4036" ht="15.75" customHeight="1">
      <c r="A4036" s="1119">
        <v>89805.0</v>
      </c>
      <c r="B4036" s="1125" t="s">
        <v>14315</v>
      </c>
      <c r="C4036" s="1126" t="s">
        <v>1788</v>
      </c>
      <c r="D4036" s="1119">
        <v>21.74</v>
      </c>
      <c r="E4036" s="1120">
        <v>5.45</v>
      </c>
      <c r="F4036" s="1121">
        <f t="shared" si="1"/>
        <v>16.3</v>
      </c>
      <c r="G4036" s="1120">
        <v>16.3</v>
      </c>
      <c r="H4036" s="1127">
        <v>0.0</v>
      </c>
      <c r="I4036" s="1127">
        <v>0.0</v>
      </c>
      <c r="J4036" s="1127">
        <v>0.0</v>
      </c>
      <c r="K4036" s="1124"/>
    </row>
    <row r="4037" ht="15.75" customHeight="1">
      <c r="A4037" s="1119">
        <v>89806.0</v>
      </c>
      <c r="B4037" s="1125" t="s">
        <v>14316</v>
      </c>
      <c r="C4037" s="1126" t="s">
        <v>1788</v>
      </c>
      <c r="D4037" s="1119">
        <v>22.85</v>
      </c>
      <c r="E4037" s="1120">
        <v>5.45</v>
      </c>
      <c r="F4037" s="1121">
        <f t="shared" si="1"/>
        <v>17.41</v>
      </c>
      <c r="G4037" s="1120">
        <v>17.41</v>
      </c>
      <c r="H4037" s="1127">
        <v>0.0</v>
      </c>
      <c r="I4037" s="1127">
        <v>0.0</v>
      </c>
      <c r="J4037" s="1127">
        <v>0.0</v>
      </c>
      <c r="K4037" s="1124"/>
    </row>
    <row r="4038" ht="15.75" customHeight="1">
      <c r="A4038" s="1119">
        <v>89807.0</v>
      </c>
      <c r="B4038" s="1125" t="s">
        <v>14317</v>
      </c>
      <c r="C4038" s="1126" t="s">
        <v>1788</v>
      </c>
      <c r="D4038" s="1119">
        <v>41.18</v>
      </c>
      <c r="E4038" s="1120">
        <v>5.44</v>
      </c>
      <c r="F4038" s="1121">
        <f t="shared" si="1"/>
        <v>35.75</v>
      </c>
      <c r="G4038" s="1120">
        <v>35.75</v>
      </c>
      <c r="H4038" s="1127">
        <v>0.0</v>
      </c>
      <c r="I4038" s="1127">
        <v>0.0</v>
      </c>
      <c r="J4038" s="1127">
        <v>0.0</v>
      </c>
      <c r="K4038" s="1124"/>
    </row>
    <row r="4039" ht="15.75" customHeight="1">
      <c r="A4039" s="1119">
        <v>89808.0</v>
      </c>
      <c r="B4039" s="1125" t="s">
        <v>14318</v>
      </c>
      <c r="C4039" s="1126" t="s">
        <v>1788</v>
      </c>
      <c r="D4039" s="1119">
        <v>64.61</v>
      </c>
      <c r="E4039" s="1120">
        <v>5.44</v>
      </c>
      <c r="F4039" s="1121">
        <f t="shared" si="1"/>
        <v>59.18</v>
      </c>
      <c r="G4039" s="1120">
        <v>59.18</v>
      </c>
      <c r="H4039" s="1127">
        <v>0.0</v>
      </c>
      <c r="I4039" s="1127">
        <v>0.0</v>
      </c>
      <c r="J4039" s="1127">
        <v>0.0</v>
      </c>
      <c r="K4039" s="1124"/>
    </row>
    <row r="4040" ht="15.75" customHeight="1">
      <c r="A4040" s="1119">
        <v>89809.0</v>
      </c>
      <c r="B4040" s="1125" t="s">
        <v>14319</v>
      </c>
      <c r="C4040" s="1126" t="s">
        <v>1788</v>
      </c>
      <c r="D4040" s="1119">
        <v>30.63</v>
      </c>
      <c r="E4040" s="1120">
        <v>9.43</v>
      </c>
      <c r="F4040" s="1121">
        <f t="shared" si="1"/>
        <v>21.2</v>
      </c>
      <c r="G4040" s="1120">
        <v>21.2</v>
      </c>
      <c r="H4040" s="1127">
        <v>0.0</v>
      </c>
      <c r="I4040" s="1127">
        <v>0.0</v>
      </c>
      <c r="J4040" s="1127">
        <v>0.0</v>
      </c>
      <c r="K4040" s="1124"/>
    </row>
    <row r="4041" ht="15.75" customHeight="1">
      <c r="A4041" s="1119">
        <v>89810.0</v>
      </c>
      <c r="B4041" s="1125" t="s">
        <v>14320</v>
      </c>
      <c r="C4041" s="1126" t="s">
        <v>1788</v>
      </c>
      <c r="D4041" s="1119">
        <v>31.58</v>
      </c>
      <c r="E4041" s="1120">
        <v>9.43</v>
      </c>
      <c r="F4041" s="1121">
        <f t="shared" si="1"/>
        <v>22.15</v>
      </c>
      <c r="G4041" s="1120">
        <v>22.15</v>
      </c>
      <c r="H4041" s="1127">
        <v>0.0</v>
      </c>
      <c r="I4041" s="1127">
        <v>0.0</v>
      </c>
      <c r="J4041" s="1127">
        <v>0.0</v>
      </c>
      <c r="K4041" s="1124"/>
    </row>
    <row r="4042" ht="15.75" customHeight="1">
      <c r="A4042" s="1119">
        <v>89811.0</v>
      </c>
      <c r="B4042" s="1125" t="s">
        <v>14321</v>
      </c>
      <c r="C4042" s="1126" t="s">
        <v>1788</v>
      </c>
      <c r="D4042" s="1119">
        <v>47.75</v>
      </c>
      <c r="E4042" s="1120">
        <v>9.42</v>
      </c>
      <c r="F4042" s="1121">
        <f t="shared" si="1"/>
        <v>38.33</v>
      </c>
      <c r="G4042" s="1120">
        <v>38.33</v>
      </c>
      <c r="H4042" s="1127">
        <v>0.0</v>
      </c>
      <c r="I4042" s="1127">
        <v>0.0</v>
      </c>
      <c r="J4042" s="1127">
        <v>0.0</v>
      </c>
      <c r="K4042" s="1124"/>
    </row>
    <row r="4043" ht="15.75" customHeight="1">
      <c r="A4043" s="1119">
        <v>89812.0</v>
      </c>
      <c r="B4043" s="1125" t="s">
        <v>14322</v>
      </c>
      <c r="C4043" s="1126" t="s">
        <v>1788</v>
      </c>
      <c r="D4043" s="1119">
        <v>87.64</v>
      </c>
      <c r="E4043" s="1120">
        <v>9.41</v>
      </c>
      <c r="F4043" s="1121">
        <f t="shared" si="1"/>
        <v>78.23</v>
      </c>
      <c r="G4043" s="1120">
        <v>78.23</v>
      </c>
      <c r="H4043" s="1127">
        <v>0.0</v>
      </c>
      <c r="I4043" s="1127">
        <v>0.0</v>
      </c>
      <c r="J4043" s="1127">
        <v>0.0</v>
      </c>
      <c r="K4043" s="1124"/>
    </row>
    <row r="4044" ht="15.75" customHeight="1">
      <c r="A4044" s="1119">
        <v>89813.0</v>
      </c>
      <c r="B4044" s="1125" t="s">
        <v>14323</v>
      </c>
      <c r="C4044" s="1126" t="s">
        <v>1788</v>
      </c>
      <c r="D4044" s="1119">
        <v>6.45</v>
      </c>
      <c r="E4044" s="1120">
        <v>0.99</v>
      </c>
      <c r="F4044" s="1121">
        <f t="shared" si="1"/>
        <v>5.47</v>
      </c>
      <c r="G4044" s="1120">
        <v>5.47</v>
      </c>
      <c r="H4044" s="1127">
        <v>0.0</v>
      </c>
      <c r="I4044" s="1127">
        <v>0.0</v>
      </c>
      <c r="J4044" s="1127">
        <v>0.0</v>
      </c>
      <c r="K4044" s="1124"/>
    </row>
    <row r="4045" ht="15.75" customHeight="1">
      <c r="A4045" s="1119">
        <v>89814.0</v>
      </c>
      <c r="B4045" s="1125" t="s">
        <v>14324</v>
      </c>
      <c r="C4045" s="1126" t="s">
        <v>1788</v>
      </c>
      <c r="D4045" s="1119">
        <v>18.56</v>
      </c>
      <c r="E4045" s="1120">
        <v>0.98</v>
      </c>
      <c r="F4045" s="1121">
        <f t="shared" si="1"/>
        <v>17.59</v>
      </c>
      <c r="G4045" s="1120">
        <v>17.59</v>
      </c>
      <c r="H4045" s="1127">
        <v>0.0</v>
      </c>
      <c r="I4045" s="1127">
        <v>0.0</v>
      </c>
      <c r="J4045" s="1127">
        <v>0.0</v>
      </c>
      <c r="K4045" s="1124"/>
    </row>
    <row r="4046" ht="15.75" customHeight="1">
      <c r="A4046" s="1119">
        <v>89815.0</v>
      </c>
      <c r="B4046" s="1125" t="s">
        <v>14325</v>
      </c>
      <c r="C4046" s="1126" t="s">
        <v>1788</v>
      </c>
      <c r="D4046" s="1119">
        <v>29.49</v>
      </c>
      <c r="E4046" s="1120">
        <v>2.69</v>
      </c>
      <c r="F4046" s="1121">
        <f t="shared" si="1"/>
        <v>26.81</v>
      </c>
      <c r="G4046" s="1120">
        <v>26.81</v>
      </c>
      <c r="H4046" s="1127">
        <v>0.0</v>
      </c>
      <c r="I4046" s="1127">
        <v>0.0</v>
      </c>
      <c r="J4046" s="1127">
        <v>0.0</v>
      </c>
      <c r="K4046" s="1124"/>
    </row>
    <row r="4047" ht="15.75" customHeight="1">
      <c r="A4047" s="1119">
        <v>89816.0</v>
      </c>
      <c r="B4047" s="1125" t="s">
        <v>14326</v>
      </c>
      <c r="C4047" s="1126" t="s">
        <v>1788</v>
      </c>
      <c r="D4047" s="1119">
        <v>42.51</v>
      </c>
      <c r="E4047" s="1120">
        <v>2.69</v>
      </c>
      <c r="F4047" s="1121">
        <f t="shared" si="1"/>
        <v>39.83</v>
      </c>
      <c r="G4047" s="1120">
        <v>39.83</v>
      </c>
      <c r="H4047" s="1127">
        <v>0.0</v>
      </c>
      <c r="I4047" s="1127">
        <v>0.0</v>
      </c>
      <c r="J4047" s="1127">
        <v>0.0</v>
      </c>
      <c r="K4047" s="1124"/>
    </row>
    <row r="4048" ht="15.75" customHeight="1">
      <c r="A4048" s="1119">
        <v>89817.0</v>
      </c>
      <c r="B4048" s="1125" t="s">
        <v>14327</v>
      </c>
      <c r="C4048" s="1126" t="s">
        <v>1788</v>
      </c>
      <c r="D4048" s="1119">
        <v>15.75</v>
      </c>
      <c r="E4048" s="1120">
        <v>3.62</v>
      </c>
      <c r="F4048" s="1121">
        <f t="shared" si="1"/>
        <v>12.12</v>
      </c>
      <c r="G4048" s="1120">
        <v>12.12</v>
      </c>
      <c r="H4048" s="1127">
        <v>0.0</v>
      </c>
      <c r="I4048" s="1127">
        <v>0.0</v>
      </c>
      <c r="J4048" s="1127">
        <v>0.0</v>
      </c>
      <c r="K4048" s="1124"/>
    </row>
    <row r="4049" ht="15.75" customHeight="1">
      <c r="A4049" s="1119">
        <v>89818.0</v>
      </c>
      <c r="B4049" s="1125" t="s">
        <v>14328</v>
      </c>
      <c r="C4049" s="1126" t="s">
        <v>1788</v>
      </c>
      <c r="D4049" s="1119">
        <v>54.56</v>
      </c>
      <c r="E4049" s="1120">
        <v>2.58</v>
      </c>
      <c r="F4049" s="1121">
        <f t="shared" si="1"/>
        <v>51.98</v>
      </c>
      <c r="G4049" s="1120">
        <v>51.98</v>
      </c>
      <c r="H4049" s="1127">
        <v>0.0</v>
      </c>
      <c r="I4049" s="1127">
        <v>0.0</v>
      </c>
      <c r="J4049" s="1127">
        <v>0.0</v>
      </c>
      <c r="K4049" s="1124"/>
    </row>
    <row r="4050" ht="15.75" customHeight="1">
      <c r="A4050" s="1119">
        <v>89819.0</v>
      </c>
      <c r="B4050" s="1125" t="s">
        <v>14329</v>
      </c>
      <c r="C4050" s="1126" t="s">
        <v>1788</v>
      </c>
      <c r="D4050" s="1119">
        <v>25.64</v>
      </c>
      <c r="E4050" s="1120">
        <v>3.62</v>
      </c>
      <c r="F4050" s="1121">
        <f t="shared" si="1"/>
        <v>22.02</v>
      </c>
      <c r="G4050" s="1120">
        <v>22.02</v>
      </c>
      <c r="H4050" s="1127">
        <v>0.0</v>
      </c>
      <c r="I4050" s="1127">
        <v>0.0</v>
      </c>
      <c r="J4050" s="1127">
        <v>0.0</v>
      </c>
      <c r="K4050" s="1124"/>
    </row>
    <row r="4051" ht="15.75" customHeight="1">
      <c r="A4051" s="1119">
        <v>89821.0</v>
      </c>
      <c r="B4051" s="1125" t="s">
        <v>14330</v>
      </c>
      <c r="C4051" s="1126" t="s">
        <v>1788</v>
      </c>
      <c r="D4051" s="1119">
        <v>20.71</v>
      </c>
      <c r="E4051" s="1120">
        <v>6.28</v>
      </c>
      <c r="F4051" s="1121">
        <f t="shared" si="1"/>
        <v>14.43</v>
      </c>
      <c r="G4051" s="1120">
        <v>14.43</v>
      </c>
      <c r="H4051" s="1127">
        <v>0.0</v>
      </c>
      <c r="I4051" s="1127">
        <v>0.0</v>
      </c>
      <c r="J4051" s="1127">
        <v>0.0</v>
      </c>
      <c r="K4051" s="1124"/>
    </row>
    <row r="4052" ht="15.75" customHeight="1">
      <c r="A4052" s="1119">
        <v>89822.0</v>
      </c>
      <c r="B4052" s="1125" t="s">
        <v>14331</v>
      </c>
      <c r="C4052" s="1126" t="s">
        <v>1788</v>
      </c>
      <c r="D4052" s="1119">
        <v>26.57</v>
      </c>
      <c r="E4052" s="1120">
        <v>3.15</v>
      </c>
      <c r="F4052" s="1121">
        <f t="shared" si="1"/>
        <v>23.43</v>
      </c>
      <c r="G4052" s="1120">
        <v>23.43</v>
      </c>
      <c r="H4052" s="1127">
        <v>0.0</v>
      </c>
      <c r="I4052" s="1127">
        <v>0.0</v>
      </c>
      <c r="J4052" s="1127">
        <v>0.0</v>
      </c>
      <c r="K4052" s="1124"/>
    </row>
    <row r="4053" ht="15.75" customHeight="1">
      <c r="A4053" s="1119">
        <v>89823.0</v>
      </c>
      <c r="B4053" s="1125" t="s">
        <v>14332</v>
      </c>
      <c r="C4053" s="1126" t="s">
        <v>1788</v>
      </c>
      <c r="D4053" s="1119">
        <v>38.02</v>
      </c>
      <c r="E4053" s="1120">
        <v>6.27</v>
      </c>
      <c r="F4053" s="1121">
        <f t="shared" si="1"/>
        <v>31.75</v>
      </c>
      <c r="G4053" s="1120">
        <v>31.75</v>
      </c>
      <c r="H4053" s="1127">
        <v>0.0</v>
      </c>
      <c r="I4053" s="1127">
        <v>0.0</v>
      </c>
      <c r="J4053" s="1127">
        <v>0.0</v>
      </c>
      <c r="K4053" s="1124"/>
    </row>
    <row r="4054" ht="15.75" customHeight="1">
      <c r="A4054" s="1119">
        <v>89824.0</v>
      </c>
      <c r="B4054" s="1125" t="s">
        <v>14333</v>
      </c>
      <c r="C4054" s="1126" t="s">
        <v>1788</v>
      </c>
      <c r="D4054" s="1119">
        <v>39.94</v>
      </c>
      <c r="E4054" s="1120">
        <v>3.15</v>
      </c>
      <c r="F4054" s="1121">
        <f t="shared" si="1"/>
        <v>36.8</v>
      </c>
      <c r="G4054" s="1120">
        <v>36.8</v>
      </c>
      <c r="H4054" s="1127">
        <v>0.0</v>
      </c>
      <c r="I4054" s="1127">
        <v>0.0</v>
      </c>
      <c r="J4054" s="1127">
        <v>0.0</v>
      </c>
      <c r="K4054" s="1124"/>
    </row>
    <row r="4055" ht="15.75" customHeight="1">
      <c r="A4055" s="1119">
        <v>89825.0</v>
      </c>
      <c r="B4055" s="1125" t="s">
        <v>14334</v>
      </c>
      <c r="C4055" s="1126" t="s">
        <v>1788</v>
      </c>
      <c r="D4055" s="1119">
        <v>17.83</v>
      </c>
      <c r="E4055" s="1120">
        <v>1.97</v>
      </c>
      <c r="F4055" s="1121">
        <f t="shared" si="1"/>
        <v>15.87</v>
      </c>
      <c r="G4055" s="1120">
        <v>15.87</v>
      </c>
      <c r="H4055" s="1127">
        <v>0.0</v>
      </c>
      <c r="I4055" s="1127">
        <v>0.0</v>
      </c>
      <c r="J4055" s="1127">
        <v>0.0</v>
      </c>
      <c r="K4055" s="1124"/>
    </row>
    <row r="4056" ht="15.75" customHeight="1">
      <c r="A4056" s="1119">
        <v>89826.0</v>
      </c>
      <c r="B4056" s="1125" t="s">
        <v>14335</v>
      </c>
      <c r="C4056" s="1126" t="s">
        <v>1788</v>
      </c>
      <c r="D4056" s="1119">
        <v>128.55</v>
      </c>
      <c r="E4056" s="1120">
        <v>2.93</v>
      </c>
      <c r="F4056" s="1121">
        <f t="shared" si="1"/>
        <v>125.63</v>
      </c>
      <c r="G4056" s="1120">
        <v>125.63</v>
      </c>
      <c r="H4056" s="1127">
        <v>0.0</v>
      </c>
      <c r="I4056" s="1127">
        <v>0.0</v>
      </c>
      <c r="J4056" s="1127">
        <v>0.0</v>
      </c>
      <c r="K4056" s="1124"/>
    </row>
    <row r="4057" ht="15.75" customHeight="1">
      <c r="A4057" s="1119">
        <v>89827.0</v>
      </c>
      <c r="B4057" s="1125" t="s">
        <v>14336</v>
      </c>
      <c r="C4057" s="1126" t="s">
        <v>1788</v>
      </c>
      <c r="D4057" s="1119">
        <v>20.5</v>
      </c>
      <c r="E4057" s="1120">
        <v>1.97</v>
      </c>
      <c r="F4057" s="1121">
        <f t="shared" si="1"/>
        <v>18.54</v>
      </c>
      <c r="G4057" s="1120">
        <v>18.54</v>
      </c>
      <c r="H4057" s="1127">
        <v>0.0</v>
      </c>
      <c r="I4057" s="1127">
        <v>0.0</v>
      </c>
      <c r="J4057" s="1127">
        <v>0.0</v>
      </c>
      <c r="K4057" s="1124"/>
    </row>
    <row r="4058" ht="15.75" customHeight="1">
      <c r="A4058" s="1119">
        <v>89828.0</v>
      </c>
      <c r="B4058" s="1125" t="s">
        <v>14337</v>
      </c>
      <c r="C4058" s="1126" t="s">
        <v>1788</v>
      </c>
      <c r="D4058" s="1119">
        <v>61.73</v>
      </c>
      <c r="E4058" s="1120">
        <v>3.15</v>
      </c>
      <c r="F4058" s="1121">
        <f t="shared" si="1"/>
        <v>58.59</v>
      </c>
      <c r="G4058" s="1120">
        <v>58.59</v>
      </c>
      <c r="H4058" s="1127">
        <v>0.0</v>
      </c>
      <c r="I4058" s="1127">
        <v>0.0</v>
      </c>
      <c r="J4058" s="1127">
        <v>0.0</v>
      </c>
      <c r="K4058" s="1124"/>
    </row>
    <row r="4059" ht="15.75" customHeight="1">
      <c r="A4059" s="1119">
        <v>89829.0</v>
      </c>
      <c r="B4059" s="1125" t="s">
        <v>14338</v>
      </c>
      <c r="C4059" s="1126" t="s">
        <v>1788</v>
      </c>
      <c r="D4059" s="1119">
        <v>38.45</v>
      </c>
      <c r="E4059" s="1120">
        <v>7.26</v>
      </c>
      <c r="F4059" s="1121">
        <f t="shared" si="1"/>
        <v>31.19</v>
      </c>
      <c r="G4059" s="1120">
        <v>31.19</v>
      </c>
      <c r="H4059" s="1127">
        <v>0.0</v>
      </c>
      <c r="I4059" s="1127">
        <v>0.0</v>
      </c>
      <c r="J4059" s="1127">
        <v>0.0</v>
      </c>
      <c r="K4059" s="1124"/>
    </row>
    <row r="4060" ht="15.75" customHeight="1">
      <c r="A4060" s="1119">
        <v>89830.0</v>
      </c>
      <c r="B4060" s="1125" t="s">
        <v>14339</v>
      </c>
      <c r="C4060" s="1126" t="s">
        <v>1788</v>
      </c>
      <c r="D4060" s="1119">
        <v>40.81</v>
      </c>
      <c r="E4060" s="1120">
        <v>7.26</v>
      </c>
      <c r="F4060" s="1121">
        <f t="shared" si="1"/>
        <v>33.56</v>
      </c>
      <c r="G4060" s="1120">
        <v>33.56</v>
      </c>
      <c r="H4060" s="1127">
        <v>0.0</v>
      </c>
      <c r="I4060" s="1127">
        <v>0.0</v>
      </c>
      <c r="J4060" s="1127">
        <v>0.0</v>
      </c>
      <c r="K4060" s="1124"/>
    </row>
    <row r="4061" ht="15.75" customHeight="1">
      <c r="A4061" s="1119">
        <v>89831.0</v>
      </c>
      <c r="B4061" s="1125" t="s">
        <v>14340</v>
      </c>
      <c r="C4061" s="1126" t="s">
        <v>1788</v>
      </c>
      <c r="D4061" s="1119">
        <v>65.89</v>
      </c>
      <c r="E4061" s="1120">
        <v>2.93</v>
      </c>
      <c r="F4061" s="1121">
        <f t="shared" si="1"/>
        <v>62.97</v>
      </c>
      <c r="G4061" s="1120">
        <v>62.97</v>
      </c>
      <c r="H4061" s="1127">
        <v>0.0</v>
      </c>
      <c r="I4061" s="1127">
        <v>0.0</v>
      </c>
      <c r="J4061" s="1127">
        <v>0.0</v>
      </c>
      <c r="K4061" s="1124"/>
    </row>
    <row r="4062" ht="15.75" customHeight="1">
      <c r="A4062" s="1119">
        <v>89832.0</v>
      </c>
      <c r="B4062" s="1125" t="s">
        <v>14341</v>
      </c>
      <c r="C4062" s="1126" t="s">
        <v>1788</v>
      </c>
      <c r="D4062" s="1119">
        <v>42.92</v>
      </c>
      <c r="E4062" s="1120">
        <v>4.67</v>
      </c>
      <c r="F4062" s="1121">
        <f t="shared" si="1"/>
        <v>38.24</v>
      </c>
      <c r="G4062" s="1120">
        <v>38.24</v>
      </c>
      <c r="H4062" s="1127">
        <v>0.0</v>
      </c>
      <c r="I4062" s="1127">
        <v>0.0</v>
      </c>
      <c r="J4062" s="1127">
        <v>0.0</v>
      </c>
      <c r="K4062" s="1124"/>
    </row>
    <row r="4063" ht="15.75" customHeight="1">
      <c r="A4063" s="1119">
        <v>89833.0</v>
      </c>
      <c r="B4063" s="1125" t="s">
        <v>14342</v>
      </c>
      <c r="C4063" s="1126" t="s">
        <v>1788</v>
      </c>
      <c r="D4063" s="1119">
        <v>47.89</v>
      </c>
      <c r="E4063" s="1120">
        <v>12.57</v>
      </c>
      <c r="F4063" s="1121">
        <f t="shared" si="1"/>
        <v>35.33</v>
      </c>
      <c r="G4063" s="1120">
        <v>35.33</v>
      </c>
      <c r="H4063" s="1127">
        <v>0.0</v>
      </c>
      <c r="I4063" s="1127">
        <v>0.0</v>
      </c>
      <c r="J4063" s="1127">
        <v>0.0</v>
      </c>
      <c r="K4063" s="1124"/>
    </row>
    <row r="4064" ht="15.75" customHeight="1">
      <c r="A4064" s="1119">
        <v>89834.0</v>
      </c>
      <c r="B4064" s="1125" t="s">
        <v>14343</v>
      </c>
      <c r="C4064" s="1126" t="s">
        <v>1788</v>
      </c>
      <c r="D4064" s="1119">
        <v>57.04</v>
      </c>
      <c r="E4064" s="1120">
        <v>12.57</v>
      </c>
      <c r="F4064" s="1121">
        <f t="shared" si="1"/>
        <v>44.48</v>
      </c>
      <c r="G4064" s="1120">
        <v>44.48</v>
      </c>
      <c r="H4064" s="1127">
        <v>0.0</v>
      </c>
      <c r="I4064" s="1127">
        <v>0.0</v>
      </c>
      <c r="J4064" s="1127">
        <v>0.0</v>
      </c>
      <c r="K4064" s="1124"/>
    </row>
    <row r="4065" ht="15.75" customHeight="1">
      <c r="A4065" s="1119">
        <v>89835.0</v>
      </c>
      <c r="B4065" s="1125" t="s">
        <v>14344</v>
      </c>
      <c r="C4065" s="1126" t="s">
        <v>1788</v>
      </c>
      <c r="D4065" s="1119">
        <v>45.4</v>
      </c>
      <c r="E4065" s="1120">
        <v>3.92</v>
      </c>
      <c r="F4065" s="1121">
        <f t="shared" si="1"/>
        <v>41.49</v>
      </c>
      <c r="G4065" s="1120">
        <v>41.49</v>
      </c>
      <c r="H4065" s="1127">
        <v>0.0</v>
      </c>
      <c r="I4065" s="1127">
        <v>0.0</v>
      </c>
      <c r="J4065" s="1127">
        <v>0.0</v>
      </c>
      <c r="K4065" s="1124"/>
    </row>
    <row r="4066" ht="15.75" customHeight="1">
      <c r="A4066" s="1119">
        <v>89836.0</v>
      </c>
      <c r="B4066" s="1125" t="s">
        <v>14345</v>
      </c>
      <c r="C4066" s="1126" t="s">
        <v>1788</v>
      </c>
      <c r="D4066" s="1119">
        <v>201.95</v>
      </c>
      <c r="E4066" s="1120">
        <v>3.78</v>
      </c>
      <c r="F4066" s="1121">
        <f t="shared" si="1"/>
        <v>198.17</v>
      </c>
      <c r="G4066" s="1120">
        <v>198.17</v>
      </c>
      <c r="H4066" s="1127">
        <v>0.0</v>
      </c>
      <c r="I4066" s="1127">
        <v>0.0</v>
      </c>
      <c r="J4066" s="1127">
        <v>0.0</v>
      </c>
      <c r="K4066" s="1124"/>
    </row>
    <row r="4067" ht="15.75" customHeight="1">
      <c r="A4067" s="1119">
        <v>89837.0</v>
      </c>
      <c r="B4067" s="1125" t="s">
        <v>14346</v>
      </c>
      <c r="C4067" s="1126" t="s">
        <v>1788</v>
      </c>
      <c r="D4067" s="1119">
        <v>135.75</v>
      </c>
      <c r="E4067" s="1120">
        <v>3.92</v>
      </c>
      <c r="F4067" s="1121">
        <f t="shared" si="1"/>
        <v>131.84</v>
      </c>
      <c r="G4067" s="1120">
        <v>131.84</v>
      </c>
      <c r="H4067" s="1127">
        <v>0.0</v>
      </c>
      <c r="I4067" s="1127">
        <v>0.0</v>
      </c>
      <c r="J4067" s="1127">
        <v>0.0</v>
      </c>
      <c r="K4067" s="1124"/>
    </row>
    <row r="4068" ht="15.75" customHeight="1">
      <c r="A4068" s="1119">
        <v>89838.0</v>
      </c>
      <c r="B4068" s="1125" t="s">
        <v>14347</v>
      </c>
      <c r="C4068" s="1126" t="s">
        <v>1788</v>
      </c>
      <c r="D4068" s="1119">
        <v>155.64</v>
      </c>
      <c r="E4068" s="1120">
        <v>5.19</v>
      </c>
      <c r="F4068" s="1121">
        <f t="shared" si="1"/>
        <v>150.45</v>
      </c>
      <c r="G4068" s="1120">
        <v>150.45</v>
      </c>
      <c r="H4068" s="1127">
        <v>0.0</v>
      </c>
      <c r="I4068" s="1127">
        <v>0.0</v>
      </c>
      <c r="J4068" s="1127">
        <v>0.0</v>
      </c>
      <c r="K4068" s="1124"/>
    </row>
    <row r="4069" ht="15.75" customHeight="1">
      <c r="A4069" s="1119">
        <v>89839.0</v>
      </c>
      <c r="B4069" s="1125" t="s">
        <v>14348</v>
      </c>
      <c r="C4069" s="1126" t="s">
        <v>1788</v>
      </c>
      <c r="D4069" s="1119">
        <v>176.32</v>
      </c>
      <c r="E4069" s="1120">
        <v>5.19</v>
      </c>
      <c r="F4069" s="1121">
        <f t="shared" si="1"/>
        <v>171.13</v>
      </c>
      <c r="G4069" s="1120">
        <v>171.13</v>
      </c>
      <c r="H4069" s="1127">
        <v>0.0</v>
      </c>
      <c r="I4069" s="1127">
        <v>0.0</v>
      </c>
      <c r="J4069" s="1127">
        <v>0.0</v>
      </c>
      <c r="K4069" s="1124"/>
    </row>
    <row r="4070" ht="15.75" customHeight="1">
      <c r="A4070" s="1119">
        <v>89840.0</v>
      </c>
      <c r="B4070" s="1125" t="s">
        <v>14349</v>
      </c>
      <c r="C4070" s="1126" t="s">
        <v>1788</v>
      </c>
      <c r="D4070" s="1119">
        <v>183.64</v>
      </c>
      <c r="E4070" s="1120">
        <v>6.26</v>
      </c>
      <c r="F4070" s="1121">
        <f t="shared" si="1"/>
        <v>177.36</v>
      </c>
      <c r="G4070" s="1120">
        <v>177.36</v>
      </c>
      <c r="H4070" s="1127">
        <v>0.0</v>
      </c>
      <c r="I4070" s="1127">
        <v>0.0</v>
      </c>
      <c r="J4070" s="1127">
        <v>0.0</v>
      </c>
      <c r="K4070" s="1124"/>
    </row>
    <row r="4071" ht="15.75" customHeight="1">
      <c r="A4071" s="1119">
        <v>89841.0</v>
      </c>
      <c r="B4071" s="1125" t="s">
        <v>14350</v>
      </c>
      <c r="C4071" s="1126" t="s">
        <v>1788</v>
      </c>
      <c r="D4071" s="1119">
        <v>267.54</v>
      </c>
      <c r="E4071" s="1120">
        <v>6.26</v>
      </c>
      <c r="F4071" s="1121">
        <f t="shared" si="1"/>
        <v>261.26</v>
      </c>
      <c r="G4071" s="1120">
        <v>261.26</v>
      </c>
      <c r="H4071" s="1127">
        <v>0.0</v>
      </c>
      <c r="I4071" s="1127">
        <v>0.0</v>
      </c>
      <c r="J4071" s="1127">
        <v>0.0</v>
      </c>
      <c r="K4071" s="1124"/>
    </row>
    <row r="4072" ht="15.75" customHeight="1">
      <c r="A4072" s="1119">
        <v>89842.0</v>
      </c>
      <c r="B4072" s="1125" t="s">
        <v>14351</v>
      </c>
      <c r="C4072" s="1126" t="s">
        <v>1788</v>
      </c>
      <c r="D4072" s="1119">
        <v>52.09</v>
      </c>
      <c r="E4072" s="1120">
        <v>5.4</v>
      </c>
      <c r="F4072" s="1121">
        <f t="shared" si="1"/>
        <v>46.71</v>
      </c>
      <c r="G4072" s="1120">
        <v>46.71</v>
      </c>
      <c r="H4072" s="1127">
        <v>0.0</v>
      </c>
      <c r="I4072" s="1127">
        <v>0.0</v>
      </c>
      <c r="J4072" s="1127">
        <v>0.0</v>
      </c>
      <c r="K4072" s="1124"/>
    </row>
    <row r="4073" ht="15.75" customHeight="1">
      <c r="A4073" s="1119">
        <v>89844.0</v>
      </c>
      <c r="B4073" s="1125" t="s">
        <v>14352</v>
      </c>
      <c r="C4073" s="1126" t="s">
        <v>1788</v>
      </c>
      <c r="D4073" s="1119">
        <v>65.49</v>
      </c>
      <c r="E4073" s="1120">
        <v>6.31</v>
      </c>
      <c r="F4073" s="1121">
        <f t="shared" si="1"/>
        <v>59.18</v>
      </c>
      <c r="G4073" s="1120">
        <v>59.18</v>
      </c>
      <c r="H4073" s="1127">
        <v>0.0</v>
      </c>
      <c r="I4073" s="1127">
        <v>0.0</v>
      </c>
      <c r="J4073" s="1127">
        <v>0.0</v>
      </c>
      <c r="K4073" s="1124"/>
    </row>
    <row r="4074" ht="15.75" customHeight="1">
      <c r="A4074" s="1119">
        <v>89845.0</v>
      </c>
      <c r="B4074" s="1125" t="s">
        <v>14353</v>
      </c>
      <c r="C4074" s="1126" t="s">
        <v>1788</v>
      </c>
      <c r="D4074" s="1119">
        <v>102.23</v>
      </c>
      <c r="E4074" s="1120">
        <v>7.91</v>
      </c>
      <c r="F4074" s="1121">
        <f t="shared" si="1"/>
        <v>94.34</v>
      </c>
      <c r="G4074" s="1120">
        <v>94.34</v>
      </c>
      <c r="H4074" s="1127">
        <v>0.0</v>
      </c>
      <c r="I4074" s="1127">
        <v>0.0</v>
      </c>
      <c r="J4074" s="1127">
        <v>0.0</v>
      </c>
      <c r="K4074" s="1124"/>
    </row>
    <row r="4075" ht="15.75" customHeight="1">
      <c r="A4075" s="1119">
        <v>89846.0</v>
      </c>
      <c r="B4075" s="1125" t="s">
        <v>14354</v>
      </c>
      <c r="C4075" s="1126" t="s">
        <v>1788</v>
      </c>
      <c r="D4075" s="1119">
        <v>217.1</v>
      </c>
      <c r="E4075" s="1120">
        <v>10.4</v>
      </c>
      <c r="F4075" s="1121">
        <f t="shared" si="1"/>
        <v>206.7</v>
      </c>
      <c r="G4075" s="1120">
        <v>206.7</v>
      </c>
      <c r="H4075" s="1127">
        <v>0.0</v>
      </c>
      <c r="I4075" s="1127">
        <v>0.0</v>
      </c>
      <c r="J4075" s="1127">
        <v>0.0</v>
      </c>
      <c r="K4075" s="1124"/>
    </row>
    <row r="4076" ht="15.75" customHeight="1">
      <c r="A4076" s="1119">
        <v>89847.0</v>
      </c>
      <c r="B4076" s="1125" t="s">
        <v>14355</v>
      </c>
      <c r="C4076" s="1126" t="s">
        <v>1788</v>
      </c>
      <c r="D4076" s="1119">
        <v>259.48</v>
      </c>
      <c r="E4076" s="1120">
        <v>12.49</v>
      </c>
      <c r="F4076" s="1121">
        <f t="shared" si="1"/>
        <v>246.98</v>
      </c>
      <c r="G4076" s="1120">
        <v>246.98</v>
      </c>
      <c r="H4076" s="1127">
        <v>0.0</v>
      </c>
      <c r="I4076" s="1127">
        <v>0.0</v>
      </c>
      <c r="J4076" s="1127">
        <v>0.0</v>
      </c>
      <c r="K4076" s="1124"/>
    </row>
    <row r="4077" ht="15.75" customHeight="1">
      <c r="A4077" s="1119">
        <v>89850.0</v>
      </c>
      <c r="B4077" s="1125" t="s">
        <v>14356</v>
      </c>
      <c r="C4077" s="1126" t="s">
        <v>1788</v>
      </c>
      <c r="D4077" s="1119">
        <v>34.11</v>
      </c>
      <c r="E4077" s="1120">
        <v>12.04</v>
      </c>
      <c r="F4077" s="1121">
        <f t="shared" si="1"/>
        <v>22.07</v>
      </c>
      <c r="G4077" s="1120">
        <v>22.07</v>
      </c>
      <c r="H4077" s="1127">
        <v>0.0</v>
      </c>
      <c r="I4077" s="1127">
        <v>0.0</v>
      </c>
      <c r="J4077" s="1127">
        <v>0.0</v>
      </c>
      <c r="K4077" s="1124"/>
    </row>
    <row r="4078" ht="15.75" customHeight="1">
      <c r="A4078" s="1119">
        <v>89851.0</v>
      </c>
      <c r="B4078" s="1125" t="s">
        <v>14357</v>
      </c>
      <c r="C4078" s="1126" t="s">
        <v>1788</v>
      </c>
      <c r="D4078" s="1119">
        <v>35.06</v>
      </c>
      <c r="E4078" s="1120">
        <v>12.04</v>
      </c>
      <c r="F4078" s="1121">
        <f t="shared" si="1"/>
        <v>23.02</v>
      </c>
      <c r="G4078" s="1120">
        <v>23.02</v>
      </c>
      <c r="H4078" s="1127">
        <v>0.0</v>
      </c>
      <c r="I4078" s="1127">
        <v>0.0</v>
      </c>
      <c r="J4078" s="1127">
        <v>0.0</v>
      </c>
      <c r="K4078" s="1124"/>
    </row>
    <row r="4079" ht="15.75" customHeight="1">
      <c r="A4079" s="1119">
        <v>89852.0</v>
      </c>
      <c r="B4079" s="1125" t="s">
        <v>14358</v>
      </c>
      <c r="C4079" s="1126" t="s">
        <v>1788</v>
      </c>
      <c r="D4079" s="1119">
        <v>51.23</v>
      </c>
      <c r="E4079" s="1120">
        <v>12.03</v>
      </c>
      <c r="F4079" s="1121">
        <f t="shared" si="1"/>
        <v>39.2</v>
      </c>
      <c r="G4079" s="1120">
        <v>39.2</v>
      </c>
      <c r="H4079" s="1127">
        <v>0.0</v>
      </c>
      <c r="I4079" s="1127">
        <v>0.0</v>
      </c>
      <c r="J4079" s="1127">
        <v>0.0</v>
      </c>
      <c r="K4079" s="1124"/>
    </row>
    <row r="4080" ht="15.75" customHeight="1">
      <c r="A4080" s="1119">
        <v>89853.0</v>
      </c>
      <c r="B4080" s="1125" t="s">
        <v>14359</v>
      </c>
      <c r="C4080" s="1126" t="s">
        <v>1788</v>
      </c>
      <c r="D4080" s="1119">
        <v>91.12</v>
      </c>
      <c r="E4080" s="1120">
        <v>12.03</v>
      </c>
      <c r="F4080" s="1121">
        <f t="shared" si="1"/>
        <v>79.1</v>
      </c>
      <c r="G4080" s="1120">
        <v>79.1</v>
      </c>
      <c r="H4080" s="1127">
        <v>0.0</v>
      </c>
      <c r="I4080" s="1127">
        <v>0.0</v>
      </c>
      <c r="J4080" s="1127">
        <v>0.0</v>
      </c>
      <c r="K4080" s="1124"/>
    </row>
    <row r="4081" ht="15.75" customHeight="1">
      <c r="A4081" s="1119">
        <v>89854.0</v>
      </c>
      <c r="B4081" s="1125" t="s">
        <v>14360</v>
      </c>
      <c r="C4081" s="1126" t="s">
        <v>1788</v>
      </c>
      <c r="D4081" s="1119">
        <v>113.13</v>
      </c>
      <c r="E4081" s="1120">
        <v>15.64</v>
      </c>
      <c r="F4081" s="1121">
        <f t="shared" si="1"/>
        <v>97.49</v>
      </c>
      <c r="G4081" s="1120">
        <v>97.49</v>
      </c>
      <c r="H4081" s="1127">
        <v>0.0</v>
      </c>
      <c r="I4081" s="1127">
        <v>0.0</v>
      </c>
      <c r="J4081" s="1127">
        <v>0.0</v>
      </c>
      <c r="K4081" s="1124"/>
    </row>
    <row r="4082" ht="15.75" customHeight="1">
      <c r="A4082" s="1119">
        <v>89855.0</v>
      </c>
      <c r="B4082" s="1125" t="s">
        <v>14361</v>
      </c>
      <c r="C4082" s="1126" t="s">
        <v>1788</v>
      </c>
      <c r="D4082" s="1119">
        <v>119.06</v>
      </c>
      <c r="E4082" s="1120">
        <v>15.64</v>
      </c>
      <c r="F4082" s="1121">
        <f t="shared" si="1"/>
        <v>103.42</v>
      </c>
      <c r="G4082" s="1120">
        <v>103.42</v>
      </c>
      <c r="H4082" s="1127">
        <v>0.0</v>
      </c>
      <c r="I4082" s="1127">
        <v>0.0</v>
      </c>
      <c r="J4082" s="1127">
        <v>0.0</v>
      </c>
      <c r="K4082" s="1124"/>
    </row>
    <row r="4083" ht="15.75" customHeight="1">
      <c r="A4083" s="1119">
        <v>89856.0</v>
      </c>
      <c r="B4083" s="1125" t="s">
        <v>14362</v>
      </c>
      <c r="C4083" s="1126" t="s">
        <v>1788</v>
      </c>
      <c r="D4083" s="1119">
        <v>23.02</v>
      </c>
      <c r="E4083" s="1120">
        <v>8.03</v>
      </c>
      <c r="F4083" s="1121">
        <f t="shared" si="1"/>
        <v>15.01</v>
      </c>
      <c r="G4083" s="1120">
        <v>15.01</v>
      </c>
      <c r="H4083" s="1127">
        <v>0.0</v>
      </c>
      <c r="I4083" s="1127">
        <v>0.0</v>
      </c>
      <c r="J4083" s="1127">
        <v>0.0</v>
      </c>
      <c r="K4083" s="1124"/>
    </row>
    <row r="4084" ht="15.75" customHeight="1">
      <c r="A4084" s="1119">
        <v>89857.0</v>
      </c>
      <c r="B4084" s="1125" t="s">
        <v>14363</v>
      </c>
      <c r="C4084" s="1126" t="s">
        <v>1788</v>
      </c>
      <c r="D4084" s="1119">
        <v>40.33</v>
      </c>
      <c r="E4084" s="1120">
        <v>8.02</v>
      </c>
      <c r="F4084" s="1121">
        <f t="shared" si="1"/>
        <v>32.33</v>
      </c>
      <c r="G4084" s="1120">
        <v>32.33</v>
      </c>
      <c r="H4084" s="1127">
        <v>0.0</v>
      </c>
      <c r="I4084" s="1127">
        <v>0.0</v>
      </c>
      <c r="J4084" s="1127">
        <v>0.0</v>
      </c>
      <c r="K4084" s="1124"/>
    </row>
    <row r="4085" ht="15.75" customHeight="1">
      <c r="A4085" s="1119">
        <v>89860.0</v>
      </c>
      <c r="B4085" s="1125" t="s">
        <v>14364</v>
      </c>
      <c r="C4085" s="1126" t="s">
        <v>1788</v>
      </c>
      <c r="D4085" s="1119">
        <v>52.52</v>
      </c>
      <c r="E4085" s="1120">
        <v>16.05</v>
      </c>
      <c r="F4085" s="1121">
        <f t="shared" si="1"/>
        <v>36.48</v>
      </c>
      <c r="G4085" s="1120">
        <v>36.48</v>
      </c>
      <c r="H4085" s="1127">
        <v>0.0</v>
      </c>
      <c r="I4085" s="1127">
        <v>0.0</v>
      </c>
      <c r="J4085" s="1127">
        <v>0.0</v>
      </c>
      <c r="K4085" s="1124"/>
    </row>
    <row r="4086" ht="15.75" customHeight="1">
      <c r="A4086" s="1119">
        <v>89861.0</v>
      </c>
      <c r="B4086" s="1125" t="s">
        <v>14365</v>
      </c>
      <c r="C4086" s="1126" t="s">
        <v>1788</v>
      </c>
      <c r="D4086" s="1119">
        <v>61.67</v>
      </c>
      <c r="E4086" s="1120">
        <v>16.05</v>
      </c>
      <c r="F4086" s="1121">
        <f t="shared" si="1"/>
        <v>45.63</v>
      </c>
      <c r="G4086" s="1120">
        <v>45.63</v>
      </c>
      <c r="H4086" s="1127">
        <v>0.0</v>
      </c>
      <c r="I4086" s="1127">
        <v>0.0</v>
      </c>
      <c r="J4086" s="1127">
        <v>0.0</v>
      </c>
      <c r="K4086" s="1124"/>
    </row>
    <row r="4087" ht="15.75" customHeight="1">
      <c r="A4087" s="1119">
        <v>89866.0</v>
      </c>
      <c r="B4087" s="1125" t="s">
        <v>14366</v>
      </c>
      <c r="C4087" s="1126" t="s">
        <v>1788</v>
      </c>
      <c r="D4087" s="1119">
        <v>8.27</v>
      </c>
      <c r="E4087" s="1120">
        <v>4.83</v>
      </c>
      <c r="F4087" s="1121">
        <f t="shared" si="1"/>
        <v>3.44</v>
      </c>
      <c r="G4087" s="1120">
        <v>3.44</v>
      </c>
      <c r="H4087" s="1127">
        <v>0.0</v>
      </c>
      <c r="I4087" s="1127">
        <v>0.0</v>
      </c>
      <c r="J4087" s="1127">
        <v>0.0</v>
      </c>
      <c r="K4087" s="1124"/>
    </row>
    <row r="4088" ht="15.75" customHeight="1">
      <c r="A4088" s="1119">
        <v>89867.0</v>
      </c>
      <c r="B4088" s="1125" t="s">
        <v>14367</v>
      </c>
      <c r="C4088" s="1126" t="s">
        <v>1788</v>
      </c>
      <c r="D4088" s="1119">
        <v>9.08</v>
      </c>
      <c r="E4088" s="1120">
        <v>4.83</v>
      </c>
      <c r="F4088" s="1121">
        <f t="shared" si="1"/>
        <v>4.27</v>
      </c>
      <c r="G4088" s="1120">
        <v>4.27</v>
      </c>
      <c r="H4088" s="1127">
        <v>0.0</v>
      </c>
      <c r="I4088" s="1127">
        <v>0.0</v>
      </c>
      <c r="J4088" s="1127">
        <v>0.0</v>
      </c>
      <c r="K4088" s="1124"/>
    </row>
    <row r="4089" ht="15.75" customHeight="1">
      <c r="A4089" s="1119">
        <v>89868.0</v>
      </c>
      <c r="B4089" s="1125" t="s">
        <v>14368</v>
      </c>
      <c r="C4089" s="1126" t="s">
        <v>1788</v>
      </c>
      <c r="D4089" s="1119">
        <v>6.24</v>
      </c>
      <c r="E4089" s="1120">
        <v>3.22</v>
      </c>
      <c r="F4089" s="1121">
        <f t="shared" si="1"/>
        <v>3.03</v>
      </c>
      <c r="G4089" s="1120">
        <v>3.03</v>
      </c>
      <c r="H4089" s="1127">
        <v>0.0</v>
      </c>
      <c r="I4089" s="1127">
        <v>0.0</v>
      </c>
      <c r="J4089" s="1127">
        <v>0.0</v>
      </c>
      <c r="K4089" s="1124"/>
    </row>
    <row r="4090" ht="15.75" customHeight="1">
      <c r="A4090" s="1119">
        <v>89869.0</v>
      </c>
      <c r="B4090" s="1125" t="s">
        <v>14369</v>
      </c>
      <c r="C4090" s="1126" t="s">
        <v>1788</v>
      </c>
      <c r="D4090" s="1119">
        <v>11.45</v>
      </c>
      <c r="E4090" s="1120">
        <v>6.44</v>
      </c>
      <c r="F4090" s="1121">
        <f t="shared" si="1"/>
        <v>5.02</v>
      </c>
      <c r="G4090" s="1120">
        <v>5.02</v>
      </c>
      <c r="H4090" s="1127">
        <v>0.0</v>
      </c>
      <c r="I4090" s="1127">
        <v>0.0</v>
      </c>
      <c r="J4090" s="1127">
        <v>0.0</v>
      </c>
      <c r="K4090" s="1124"/>
    </row>
    <row r="4091" ht="15.75" customHeight="1">
      <c r="A4091" s="1119">
        <v>89979.0</v>
      </c>
      <c r="B4091" s="1125" t="s">
        <v>14370</v>
      </c>
      <c r="C4091" s="1126" t="s">
        <v>1788</v>
      </c>
      <c r="D4091" s="1119">
        <v>26.0</v>
      </c>
      <c r="E4091" s="1120">
        <v>4.81</v>
      </c>
      <c r="F4091" s="1121">
        <f t="shared" si="1"/>
        <v>21.19</v>
      </c>
      <c r="G4091" s="1120">
        <v>21.19</v>
      </c>
      <c r="H4091" s="1127">
        <v>0.0</v>
      </c>
      <c r="I4091" s="1127">
        <v>0.0</v>
      </c>
      <c r="J4091" s="1127">
        <v>0.0</v>
      </c>
      <c r="K4091" s="1124"/>
    </row>
    <row r="4092" ht="15.75" customHeight="1">
      <c r="A4092" s="1119">
        <v>89981.0</v>
      </c>
      <c r="B4092" s="1125" t="s">
        <v>14371</v>
      </c>
      <c r="C4092" s="1126" t="s">
        <v>1788</v>
      </c>
      <c r="D4092" s="1119">
        <v>22.56</v>
      </c>
      <c r="E4092" s="1120">
        <v>2.25</v>
      </c>
      <c r="F4092" s="1121">
        <f t="shared" si="1"/>
        <v>20.29</v>
      </c>
      <c r="G4092" s="1120">
        <v>20.29</v>
      </c>
      <c r="H4092" s="1127">
        <v>0.0</v>
      </c>
      <c r="I4092" s="1127">
        <v>0.0</v>
      </c>
      <c r="J4092" s="1127">
        <v>0.0</v>
      </c>
      <c r="K4092" s="1124"/>
    </row>
    <row r="4093" ht="15.75" customHeight="1">
      <c r="A4093" s="1119">
        <v>90373.0</v>
      </c>
      <c r="B4093" s="1125" t="s">
        <v>14372</v>
      </c>
      <c r="C4093" s="1126" t="s">
        <v>1788</v>
      </c>
      <c r="D4093" s="1119">
        <v>14.21</v>
      </c>
      <c r="E4093" s="1120">
        <v>5.7</v>
      </c>
      <c r="F4093" s="1121">
        <f t="shared" si="1"/>
        <v>8.5</v>
      </c>
      <c r="G4093" s="1120">
        <v>8.5</v>
      </c>
      <c r="H4093" s="1127">
        <v>0.0</v>
      </c>
      <c r="I4093" s="1127">
        <v>0.0</v>
      </c>
      <c r="J4093" s="1127">
        <v>0.0</v>
      </c>
      <c r="K4093" s="1124"/>
    </row>
    <row r="4094" ht="15.75" customHeight="1">
      <c r="A4094" s="1119">
        <v>90374.0</v>
      </c>
      <c r="B4094" s="1125" t="s">
        <v>14373</v>
      </c>
      <c r="C4094" s="1126" t="s">
        <v>1788</v>
      </c>
      <c r="D4094" s="1119">
        <v>23.97</v>
      </c>
      <c r="E4094" s="1120">
        <v>8.18</v>
      </c>
      <c r="F4094" s="1121">
        <f t="shared" si="1"/>
        <v>15.79</v>
      </c>
      <c r="G4094" s="1120">
        <v>15.79</v>
      </c>
      <c r="H4094" s="1127">
        <v>0.0</v>
      </c>
      <c r="I4094" s="1127">
        <v>0.0</v>
      </c>
      <c r="J4094" s="1127">
        <v>0.0</v>
      </c>
      <c r="K4094" s="1124"/>
    </row>
    <row r="4095" ht="15.75" customHeight="1">
      <c r="A4095" s="1119">
        <v>92287.0</v>
      </c>
      <c r="B4095" s="1125" t="s">
        <v>14374</v>
      </c>
      <c r="C4095" s="1126" t="s">
        <v>1788</v>
      </c>
      <c r="D4095" s="1119">
        <v>18.05</v>
      </c>
      <c r="E4095" s="1120">
        <v>3.86</v>
      </c>
      <c r="F4095" s="1121">
        <f t="shared" si="1"/>
        <v>14.2</v>
      </c>
      <c r="G4095" s="1120">
        <v>14.2</v>
      </c>
      <c r="H4095" s="1127">
        <v>0.0</v>
      </c>
      <c r="I4095" s="1127">
        <v>0.0</v>
      </c>
      <c r="J4095" s="1127">
        <v>0.0</v>
      </c>
      <c r="K4095" s="1124"/>
    </row>
    <row r="4096" ht="15.75" customHeight="1">
      <c r="A4096" s="1119">
        <v>92288.0</v>
      </c>
      <c r="B4096" s="1125" t="s">
        <v>14375</v>
      </c>
      <c r="C4096" s="1126" t="s">
        <v>1788</v>
      </c>
      <c r="D4096" s="1119">
        <v>28.24</v>
      </c>
      <c r="E4096" s="1120">
        <v>4.98</v>
      </c>
      <c r="F4096" s="1121">
        <f t="shared" si="1"/>
        <v>23.27</v>
      </c>
      <c r="G4096" s="1120">
        <v>23.27</v>
      </c>
      <c r="H4096" s="1127">
        <v>0.0</v>
      </c>
      <c r="I4096" s="1127">
        <v>0.0</v>
      </c>
      <c r="J4096" s="1127">
        <v>0.0</v>
      </c>
      <c r="K4096" s="1124"/>
    </row>
    <row r="4097" ht="15.75" customHeight="1">
      <c r="A4097" s="1119">
        <v>92289.0</v>
      </c>
      <c r="B4097" s="1125" t="s">
        <v>14376</v>
      </c>
      <c r="C4097" s="1126" t="s">
        <v>1788</v>
      </c>
      <c r="D4097" s="1119">
        <v>49.54</v>
      </c>
      <c r="E4097" s="1120">
        <v>6.27</v>
      </c>
      <c r="F4097" s="1121">
        <f t="shared" si="1"/>
        <v>43.28</v>
      </c>
      <c r="G4097" s="1120">
        <v>43.28</v>
      </c>
      <c r="H4097" s="1127">
        <v>0.0</v>
      </c>
      <c r="I4097" s="1127">
        <v>0.0</v>
      </c>
      <c r="J4097" s="1127">
        <v>0.0</v>
      </c>
      <c r="K4097" s="1124"/>
    </row>
    <row r="4098" ht="15.75" customHeight="1">
      <c r="A4098" s="1119">
        <v>92290.0</v>
      </c>
      <c r="B4098" s="1125" t="s">
        <v>14377</v>
      </c>
      <c r="C4098" s="1126" t="s">
        <v>1788</v>
      </c>
      <c r="D4098" s="1119">
        <v>74.68</v>
      </c>
      <c r="E4098" s="1120">
        <v>7.57</v>
      </c>
      <c r="F4098" s="1121">
        <f t="shared" si="1"/>
        <v>67.1</v>
      </c>
      <c r="G4098" s="1120">
        <v>67.1</v>
      </c>
      <c r="H4098" s="1127">
        <v>0.0</v>
      </c>
      <c r="I4098" s="1127">
        <v>0.0</v>
      </c>
      <c r="J4098" s="1127">
        <v>0.0</v>
      </c>
      <c r="K4098" s="1124"/>
    </row>
    <row r="4099" ht="15.75" customHeight="1">
      <c r="A4099" s="1119">
        <v>92291.0</v>
      </c>
      <c r="B4099" s="1125" t="s">
        <v>14378</v>
      </c>
      <c r="C4099" s="1126" t="s">
        <v>1788</v>
      </c>
      <c r="D4099" s="1119">
        <v>115.34</v>
      </c>
      <c r="E4099" s="1120">
        <v>9.81</v>
      </c>
      <c r="F4099" s="1121">
        <f t="shared" si="1"/>
        <v>105.53</v>
      </c>
      <c r="G4099" s="1120">
        <v>105.53</v>
      </c>
      <c r="H4099" s="1127">
        <v>0.0</v>
      </c>
      <c r="I4099" s="1127">
        <v>0.0</v>
      </c>
      <c r="J4099" s="1127">
        <v>0.0</v>
      </c>
      <c r="K4099" s="1124"/>
    </row>
    <row r="4100" ht="15.75" customHeight="1">
      <c r="A4100" s="1119">
        <v>92292.0</v>
      </c>
      <c r="B4100" s="1125" t="s">
        <v>14379</v>
      </c>
      <c r="C4100" s="1126" t="s">
        <v>1788</v>
      </c>
      <c r="D4100" s="1119">
        <v>353.59</v>
      </c>
      <c r="E4100" s="1120">
        <v>12.05</v>
      </c>
      <c r="F4100" s="1121">
        <f t="shared" si="1"/>
        <v>341.52</v>
      </c>
      <c r="G4100" s="1120">
        <v>341.52</v>
      </c>
      <c r="H4100" s="1127">
        <v>0.0</v>
      </c>
      <c r="I4100" s="1127">
        <v>0.0</v>
      </c>
      <c r="J4100" s="1127">
        <v>0.0</v>
      </c>
      <c r="K4100" s="1124"/>
    </row>
    <row r="4101" ht="15.75" customHeight="1">
      <c r="A4101" s="1119">
        <v>92293.0</v>
      </c>
      <c r="B4101" s="1125" t="s">
        <v>14380</v>
      </c>
      <c r="C4101" s="1126" t="s">
        <v>1788</v>
      </c>
      <c r="D4101" s="1119">
        <v>10.33</v>
      </c>
      <c r="E4101" s="1120">
        <v>2.57</v>
      </c>
      <c r="F4101" s="1121">
        <f t="shared" si="1"/>
        <v>7.76</v>
      </c>
      <c r="G4101" s="1120">
        <v>7.76</v>
      </c>
      <c r="H4101" s="1127">
        <v>0.0</v>
      </c>
      <c r="I4101" s="1127">
        <v>0.0</v>
      </c>
      <c r="J4101" s="1127">
        <v>0.0</v>
      </c>
      <c r="K4101" s="1124"/>
    </row>
    <row r="4102" ht="15.75" customHeight="1">
      <c r="A4102" s="1119">
        <v>92294.0</v>
      </c>
      <c r="B4102" s="1125" t="s">
        <v>14381</v>
      </c>
      <c r="C4102" s="1126" t="s">
        <v>1788</v>
      </c>
      <c r="D4102" s="1119">
        <v>17.26</v>
      </c>
      <c r="E4102" s="1120">
        <v>3.31</v>
      </c>
      <c r="F4102" s="1121">
        <f t="shared" si="1"/>
        <v>13.96</v>
      </c>
      <c r="G4102" s="1120">
        <v>13.96</v>
      </c>
      <c r="H4102" s="1127">
        <v>0.0</v>
      </c>
      <c r="I4102" s="1127">
        <v>0.0</v>
      </c>
      <c r="J4102" s="1127">
        <v>0.0</v>
      </c>
      <c r="K4102" s="1124"/>
    </row>
    <row r="4103" ht="15.75" customHeight="1">
      <c r="A4103" s="1119">
        <v>92295.0</v>
      </c>
      <c r="B4103" s="1125" t="s">
        <v>14382</v>
      </c>
      <c r="C4103" s="1126" t="s">
        <v>1788</v>
      </c>
      <c r="D4103" s="1119">
        <v>32.16</v>
      </c>
      <c r="E4103" s="1120">
        <v>4.18</v>
      </c>
      <c r="F4103" s="1121">
        <f t="shared" si="1"/>
        <v>27.99</v>
      </c>
      <c r="G4103" s="1120">
        <v>27.99</v>
      </c>
      <c r="H4103" s="1127">
        <v>0.0</v>
      </c>
      <c r="I4103" s="1127">
        <v>0.0</v>
      </c>
      <c r="J4103" s="1127">
        <v>0.0</v>
      </c>
      <c r="K4103" s="1124"/>
    </row>
    <row r="4104" ht="15.75" customHeight="1">
      <c r="A4104" s="1119">
        <v>92296.0</v>
      </c>
      <c r="B4104" s="1125" t="s">
        <v>14383</v>
      </c>
      <c r="C4104" s="1126" t="s">
        <v>1788</v>
      </c>
      <c r="D4104" s="1119">
        <v>42.5</v>
      </c>
      <c r="E4104" s="1120">
        <v>5.04</v>
      </c>
      <c r="F4104" s="1121">
        <f t="shared" si="1"/>
        <v>37.47</v>
      </c>
      <c r="G4104" s="1120">
        <v>37.47</v>
      </c>
      <c r="H4104" s="1127">
        <v>0.0</v>
      </c>
      <c r="I4104" s="1127">
        <v>0.0</v>
      </c>
      <c r="J4104" s="1127">
        <v>0.0</v>
      </c>
      <c r="K4104" s="1124"/>
    </row>
    <row r="4105" ht="15.75" customHeight="1">
      <c r="A4105" s="1119">
        <v>92297.0</v>
      </c>
      <c r="B4105" s="1125" t="s">
        <v>14384</v>
      </c>
      <c r="C4105" s="1126" t="s">
        <v>1788</v>
      </c>
      <c r="D4105" s="1119">
        <v>65.7</v>
      </c>
      <c r="E4105" s="1120">
        <v>6.54</v>
      </c>
      <c r="F4105" s="1121">
        <f t="shared" si="1"/>
        <v>59.16</v>
      </c>
      <c r="G4105" s="1120">
        <v>59.16</v>
      </c>
      <c r="H4105" s="1127">
        <v>0.0</v>
      </c>
      <c r="I4105" s="1127">
        <v>0.0</v>
      </c>
      <c r="J4105" s="1127">
        <v>0.0</v>
      </c>
      <c r="K4105" s="1124"/>
    </row>
    <row r="4106" ht="15.75" customHeight="1">
      <c r="A4106" s="1119">
        <v>92298.0</v>
      </c>
      <c r="B4106" s="1125" t="s">
        <v>14385</v>
      </c>
      <c r="C4106" s="1126" t="s">
        <v>1788</v>
      </c>
      <c r="D4106" s="1119">
        <v>182.52</v>
      </c>
      <c r="E4106" s="1120">
        <v>8.03</v>
      </c>
      <c r="F4106" s="1121">
        <f t="shared" si="1"/>
        <v>174.48</v>
      </c>
      <c r="G4106" s="1120">
        <v>174.48</v>
      </c>
      <c r="H4106" s="1127">
        <v>0.0</v>
      </c>
      <c r="I4106" s="1127">
        <v>0.0</v>
      </c>
      <c r="J4106" s="1127">
        <v>0.0</v>
      </c>
      <c r="K4106" s="1124"/>
    </row>
    <row r="4107" ht="15.75" customHeight="1">
      <c r="A4107" s="1119">
        <v>92299.0</v>
      </c>
      <c r="B4107" s="1125" t="s">
        <v>14386</v>
      </c>
      <c r="C4107" s="1126" t="s">
        <v>1788</v>
      </c>
      <c r="D4107" s="1119">
        <v>23.78</v>
      </c>
      <c r="E4107" s="1120">
        <v>5.15</v>
      </c>
      <c r="F4107" s="1121">
        <f t="shared" si="1"/>
        <v>18.64</v>
      </c>
      <c r="G4107" s="1120">
        <v>18.64</v>
      </c>
      <c r="H4107" s="1127">
        <v>0.0</v>
      </c>
      <c r="I4107" s="1127">
        <v>0.0</v>
      </c>
      <c r="J4107" s="1127">
        <v>0.0</v>
      </c>
      <c r="K4107" s="1124"/>
    </row>
    <row r="4108" ht="15.75" customHeight="1">
      <c r="A4108" s="1119">
        <v>92300.0</v>
      </c>
      <c r="B4108" s="1125" t="s">
        <v>14387</v>
      </c>
      <c r="C4108" s="1126" t="s">
        <v>1788</v>
      </c>
      <c r="D4108" s="1119">
        <v>35.97</v>
      </c>
      <c r="E4108" s="1120">
        <v>6.63</v>
      </c>
      <c r="F4108" s="1121">
        <f t="shared" si="1"/>
        <v>29.35</v>
      </c>
      <c r="G4108" s="1120">
        <v>29.35</v>
      </c>
      <c r="H4108" s="1127">
        <v>0.0</v>
      </c>
      <c r="I4108" s="1127">
        <v>0.0</v>
      </c>
      <c r="J4108" s="1127">
        <v>0.0</v>
      </c>
      <c r="K4108" s="1124"/>
    </row>
    <row r="4109" ht="15.75" customHeight="1">
      <c r="A4109" s="1119">
        <v>92301.0</v>
      </c>
      <c r="B4109" s="1125" t="s">
        <v>14388</v>
      </c>
      <c r="C4109" s="1126" t="s">
        <v>1788</v>
      </c>
      <c r="D4109" s="1119">
        <v>70.26</v>
      </c>
      <c r="E4109" s="1120">
        <v>8.36</v>
      </c>
      <c r="F4109" s="1121">
        <f t="shared" si="1"/>
        <v>61.9</v>
      </c>
      <c r="G4109" s="1120">
        <v>61.9</v>
      </c>
      <c r="H4109" s="1127">
        <v>0.0</v>
      </c>
      <c r="I4109" s="1127">
        <v>0.0</v>
      </c>
      <c r="J4109" s="1127">
        <v>0.0</v>
      </c>
      <c r="K4109" s="1124"/>
    </row>
    <row r="4110" ht="15.75" customHeight="1">
      <c r="A4110" s="1119">
        <v>92302.0</v>
      </c>
      <c r="B4110" s="1125" t="s">
        <v>14389</v>
      </c>
      <c r="C4110" s="1126" t="s">
        <v>1788</v>
      </c>
      <c r="D4110" s="1119">
        <v>92.64</v>
      </c>
      <c r="E4110" s="1120">
        <v>10.1</v>
      </c>
      <c r="F4110" s="1121">
        <f t="shared" si="1"/>
        <v>82.54</v>
      </c>
      <c r="G4110" s="1120">
        <v>82.54</v>
      </c>
      <c r="H4110" s="1127">
        <v>0.0</v>
      </c>
      <c r="I4110" s="1127">
        <v>0.0</v>
      </c>
      <c r="J4110" s="1127">
        <v>0.0</v>
      </c>
      <c r="K4110" s="1124"/>
    </row>
    <row r="4111" ht="15.75" customHeight="1">
      <c r="A4111" s="1119">
        <v>92303.0</v>
      </c>
      <c r="B4111" s="1125" t="s">
        <v>14390</v>
      </c>
      <c r="C4111" s="1126" t="s">
        <v>1788</v>
      </c>
      <c r="D4111" s="1119">
        <v>168.95</v>
      </c>
      <c r="E4111" s="1120">
        <v>13.1</v>
      </c>
      <c r="F4111" s="1121">
        <f t="shared" si="1"/>
        <v>155.85</v>
      </c>
      <c r="G4111" s="1120">
        <v>155.85</v>
      </c>
      <c r="H4111" s="1127">
        <v>0.0</v>
      </c>
      <c r="I4111" s="1127">
        <v>0.0</v>
      </c>
      <c r="J4111" s="1127">
        <v>0.0</v>
      </c>
      <c r="K4111" s="1124"/>
    </row>
    <row r="4112" ht="15.75" customHeight="1">
      <c r="A4112" s="1119">
        <v>92304.0</v>
      </c>
      <c r="B4112" s="1125" t="s">
        <v>14391</v>
      </c>
      <c r="C4112" s="1126" t="s">
        <v>1788</v>
      </c>
      <c r="D4112" s="1119">
        <v>435.01</v>
      </c>
      <c r="E4112" s="1120">
        <v>16.08</v>
      </c>
      <c r="F4112" s="1121">
        <f t="shared" si="1"/>
        <v>418.93</v>
      </c>
      <c r="G4112" s="1120">
        <v>418.93</v>
      </c>
      <c r="H4112" s="1127">
        <v>0.0</v>
      </c>
      <c r="I4112" s="1127">
        <v>0.0</v>
      </c>
      <c r="J4112" s="1127">
        <v>0.0</v>
      </c>
      <c r="K4112" s="1124"/>
    </row>
    <row r="4113" ht="15.75" customHeight="1">
      <c r="A4113" s="1119">
        <v>92311.0</v>
      </c>
      <c r="B4113" s="1125" t="s">
        <v>14392</v>
      </c>
      <c r="C4113" s="1126" t="s">
        <v>1788</v>
      </c>
      <c r="D4113" s="1119">
        <v>14.04</v>
      </c>
      <c r="E4113" s="1120">
        <v>5.97</v>
      </c>
      <c r="F4113" s="1121">
        <f t="shared" si="1"/>
        <v>8.07</v>
      </c>
      <c r="G4113" s="1120">
        <v>8.07</v>
      </c>
      <c r="H4113" s="1127">
        <v>0.0</v>
      </c>
      <c r="I4113" s="1127">
        <v>0.0</v>
      </c>
      <c r="J4113" s="1127">
        <v>0.0</v>
      </c>
      <c r="K4113" s="1124"/>
    </row>
    <row r="4114" ht="15.75" customHeight="1">
      <c r="A4114" s="1119">
        <v>92312.0</v>
      </c>
      <c r="B4114" s="1125" t="s">
        <v>14393</v>
      </c>
      <c r="C4114" s="1126" t="s">
        <v>1788</v>
      </c>
      <c r="D4114" s="1119">
        <v>22.92</v>
      </c>
      <c r="E4114" s="1120">
        <v>7.48</v>
      </c>
      <c r="F4114" s="1121">
        <f t="shared" si="1"/>
        <v>15.43</v>
      </c>
      <c r="G4114" s="1120">
        <v>15.43</v>
      </c>
      <c r="H4114" s="1127">
        <v>0.0</v>
      </c>
      <c r="I4114" s="1127">
        <v>0.0</v>
      </c>
      <c r="J4114" s="1127">
        <v>0.0</v>
      </c>
      <c r="K4114" s="1124"/>
    </row>
    <row r="4115" ht="15.75" customHeight="1">
      <c r="A4115" s="1119">
        <v>92313.0</v>
      </c>
      <c r="B4115" s="1125" t="s">
        <v>14394</v>
      </c>
      <c r="C4115" s="1126" t="s">
        <v>1788</v>
      </c>
      <c r="D4115" s="1119">
        <v>32.74</v>
      </c>
      <c r="E4115" s="1120">
        <v>8.33</v>
      </c>
      <c r="F4115" s="1121">
        <f t="shared" si="1"/>
        <v>24.41</v>
      </c>
      <c r="G4115" s="1120">
        <v>24.41</v>
      </c>
      <c r="H4115" s="1127">
        <v>0.0</v>
      </c>
      <c r="I4115" s="1127">
        <v>0.0</v>
      </c>
      <c r="J4115" s="1127">
        <v>0.0</v>
      </c>
      <c r="K4115" s="1124"/>
    </row>
    <row r="4116" ht="15.75" customHeight="1">
      <c r="A4116" s="1119">
        <v>92314.0</v>
      </c>
      <c r="B4116" s="1125" t="s">
        <v>14395</v>
      </c>
      <c r="C4116" s="1126" t="s">
        <v>1788</v>
      </c>
      <c r="D4116" s="1119">
        <v>9.48</v>
      </c>
      <c r="E4116" s="1120">
        <v>4.33</v>
      </c>
      <c r="F4116" s="1121">
        <f t="shared" si="1"/>
        <v>5.16</v>
      </c>
      <c r="G4116" s="1120">
        <v>5.16</v>
      </c>
      <c r="H4116" s="1127">
        <v>0.0</v>
      </c>
      <c r="I4116" s="1127">
        <v>0.0</v>
      </c>
      <c r="J4116" s="1127">
        <v>0.0</v>
      </c>
      <c r="K4116" s="1124"/>
    </row>
    <row r="4117" ht="15.75" customHeight="1">
      <c r="A4117" s="1119">
        <v>92315.0</v>
      </c>
      <c r="B4117" s="1125" t="s">
        <v>14396</v>
      </c>
      <c r="C4117" s="1126" t="s">
        <v>1788</v>
      </c>
      <c r="D4117" s="1119">
        <v>13.58</v>
      </c>
      <c r="E4117" s="1120">
        <v>4.99</v>
      </c>
      <c r="F4117" s="1121">
        <f t="shared" si="1"/>
        <v>8.59</v>
      </c>
      <c r="G4117" s="1120">
        <v>8.59</v>
      </c>
      <c r="H4117" s="1127">
        <v>0.0</v>
      </c>
      <c r="I4117" s="1127">
        <v>0.0</v>
      </c>
      <c r="J4117" s="1127">
        <v>0.0</v>
      </c>
      <c r="K4117" s="1124"/>
    </row>
    <row r="4118" ht="15.75" customHeight="1">
      <c r="A4118" s="1119">
        <v>92316.0</v>
      </c>
      <c r="B4118" s="1125" t="s">
        <v>14397</v>
      </c>
      <c r="C4118" s="1126" t="s">
        <v>1788</v>
      </c>
      <c r="D4118" s="1119">
        <v>20.28</v>
      </c>
      <c r="E4118" s="1120">
        <v>5.56</v>
      </c>
      <c r="F4118" s="1121">
        <f t="shared" si="1"/>
        <v>14.73</v>
      </c>
      <c r="G4118" s="1120">
        <v>14.73</v>
      </c>
      <c r="H4118" s="1127">
        <v>0.0</v>
      </c>
      <c r="I4118" s="1127">
        <v>0.0</v>
      </c>
      <c r="J4118" s="1127">
        <v>0.0</v>
      </c>
      <c r="K4118" s="1124"/>
    </row>
    <row r="4119" ht="15.75" customHeight="1">
      <c r="A4119" s="1119">
        <v>92317.0</v>
      </c>
      <c r="B4119" s="1125" t="s">
        <v>14398</v>
      </c>
      <c r="C4119" s="1126" t="s">
        <v>1788</v>
      </c>
      <c r="D4119" s="1119">
        <v>19.78</v>
      </c>
      <c r="E4119" s="1120">
        <v>8.65</v>
      </c>
      <c r="F4119" s="1121">
        <f t="shared" si="1"/>
        <v>11.14</v>
      </c>
      <c r="G4119" s="1120">
        <v>11.14</v>
      </c>
      <c r="H4119" s="1127">
        <v>0.0</v>
      </c>
      <c r="I4119" s="1127">
        <v>0.0</v>
      </c>
      <c r="J4119" s="1127">
        <v>0.0</v>
      </c>
      <c r="K4119" s="1124"/>
    </row>
    <row r="4120" ht="15.75" customHeight="1">
      <c r="A4120" s="1119">
        <v>92318.0</v>
      </c>
      <c r="B4120" s="1125" t="s">
        <v>14399</v>
      </c>
      <c r="C4120" s="1126" t="s">
        <v>1788</v>
      </c>
      <c r="D4120" s="1119">
        <v>30.26</v>
      </c>
      <c r="E4120" s="1120">
        <v>9.97</v>
      </c>
      <c r="F4120" s="1121">
        <f t="shared" si="1"/>
        <v>20.3</v>
      </c>
      <c r="G4120" s="1120">
        <v>20.3</v>
      </c>
      <c r="H4120" s="1127">
        <v>0.0</v>
      </c>
      <c r="I4120" s="1127">
        <v>0.0</v>
      </c>
      <c r="J4120" s="1127">
        <v>0.0</v>
      </c>
      <c r="K4120" s="1124"/>
    </row>
    <row r="4121" ht="15.75" customHeight="1">
      <c r="A4121" s="1119">
        <v>92319.0</v>
      </c>
      <c r="B4121" s="1125" t="s">
        <v>14400</v>
      </c>
      <c r="C4121" s="1126" t="s">
        <v>1788</v>
      </c>
      <c r="D4121" s="1119">
        <v>41.98</v>
      </c>
      <c r="E4121" s="1120">
        <v>11.11</v>
      </c>
      <c r="F4121" s="1121">
        <f t="shared" si="1"/>
        <v>30.87</v>
      </c>
      <c r="G4121" s="1120">
        <v>30.87</v>
      </c>
      <c r="H4121" s="1127">
        <v>0.0</v>
      </c>
      <c r="I4121" s="1127">
        <v>0.0</v>
      </c>
      <c r="J4121" s="1127">
        <v>0.0</v>
      </c>
      <c r="K4121" s="1124"/>
    </row>
    <row r="4122" ht="15.75" customHeight="1">
      <c r="A4122" s="1119">
        <v>92326.0</v>
      </c>
      <c r="B4122" s="1125" t="s">
        <v>14401</v>
      </c>
      <c r="C4122" s="1126" t="s">
        <v>1788</v>
      </c>
      <c r="D4122" s="1119">
        <v>14.9</v>
      </c>
      <c r="E4122" s="1120">
        <v>6.72</v>
      </c>
      <c r="F4122" s="1121">
        <f t="shared" si="1"/>
        <v>8.18</v>
      </c>
      <c r="G4122" s="1120">
        <v>8.18</v>
      </c>
      <c r="H4122" s="1127">
        <v>0.0</v>
      </c>
      <c r="I4122" s="1127">
        <v>0.0</v>
      </c>
      <c r="J4122" s="1127">
        <v>0.0</v>
      </c>
      <c r="K4122" s="1124"/>
    </row>
    <row r="4123" ht="15.75" customHeight="1">
      <c r="A4123" s="1119">
        <v>92327.0</v>
      </c>
      <c r="B4123" s="1125" t="s">
        <v>14402</v>
      </c>
      <c r="C4123" s="1126" t="s">
        <v>1788</v>
      </c>
      <c r="D4123" s="1119">
        <v>26.51</v>
      </c>
      <c r="E4123" s="1120">
        <v>10.16</v>
      </c>
      <c r="F4123" s="1121">
        <f t="shared" si="1"/>
        <v>16.35</v>
      </c>
      <c r="G4123" s="1120">
        <v>16.35</v>
      </c>
      <c r="H4123" s="1127">
        <v>0.0</v>
      </c>
      <c r="I4123" s="1127">
        <v>0.0</v>
      </c>
      <c r="J4123" s="1127">
        <v>0.0</v>
      </c>
      <c r="K4123" s="1124"/>
    </row>
    <row r="4124" ht="15.75" customHeight="1">
      <c r="A4124" s="1119">
        <v>92328.0</v>
      </c>
      <c r="B4124" s="1125" t="s">
        <v>14403</v>
      </c>
      <c r="C4124" s="1126" t="s">
        <v>1788</v>
      </c>
      <c r="D4124" s="1119">
        <v>39.16</v>
      </c>
      <c r="E4124" s="1120">
        <v>13.1</v>
      </c>
      <c r="F4124" s="1121">
        <f t="shared" si="1"/>
        <v>26.06</v>
      </c>
      <c r="G4124" s="1120">
        <v>26.06</v>
      </c>
      <c r="H4124" s="1127">
        <v>0.0</v>
      </c>
      <c r="I4124" s="1127">
        <v>0.0</v>
      </c>
      <c r="J4124" s="1127">
        <v>0.0</v>
      </c>
      <c r="K4124" s="1124"/>
    </row>
    <row r="4125" ht="15.75" customHeight="1">
      <c r="A4125" s="1119">
        <v>92329.0</v>
      </c>
      <c r="B4125" s="1125" t="s">
        <v>14404</v>
      </c>
      <c r="C4125" s="1126" t="s">
        <v>1788</v>
      </c>
      <c r="D4125" s="1119">
        <v>9.68</v>
      </c>
      <c r="E4125" s="1120">
        <v>4.48</v>
      </c>
      <c r="F4125" s="1121">
        <f t="shared" si="1"/>
        <v>5.19</v>
      </c>
      <c r="G4125" s="1120">
        <v>5.19</v>
      </c>
      <c r="H4125" s="1127">
        <v>0.0</v>
      </c>
      <c r="I4125" s="1127">
        <v>0.0</v>
      </c>
      <c r="J4125" s="1127">
        <v>0.0</v>
      </c>
      <c r="K4125" s="1124"/>
    </row>
    <row r="4126" ht="15.75" customHeight="1">
      <c r="A4126" s="1119">
        <v>92330.0</v>
      </c>
      <c r="B4126" s="1125" t="s">
        <v>14405</v>
      </c>
      <c r="C4126" s="1126" t="s">
        <v>1788</v>
      </c>
      <c r="D4126" s="1119">
        <v>15.99</v>
      </c>
      <c r="E4126" s="1120">
        <v>6.78</v>
      </c>
      <c r="F4126" s="1121">
        <f t="shared" si="1"/>
        <v>9.22</v>
      </c>
      <c r="G4126" s="1120">
        <v>9.22</v>
      </c>
      <c r="H4126" s="1127">
        <v>0.0</v>
      </c>
      <c r="I4126" s="1127">
        <v>0.0</v>
      </c>
      <c r="J4126" s="1127">
        <v>0.0</v>
      </c>
      <c r="K4126" s="1124"/>
    </row>
    <row r="4127" ht="15.75" customHeight="1">
      <c r="A4127" s="1119">
        <v>92331.0</v>
      </c>
      <c r="B4127" s="1125" t="s">
        <v>14406</v>
      </c>
      <c r="C4127" s="1126" t="s">
        <v>1788</v>
      </c>
      <c r="D4127" s="1119">
        <v>24.58</v>
      </c>
      <c r="E4127" s="1120">
        <v>8.73</v>
      </c>
      <c r="F4127" s="1121">
        <f t="shared" si="1"/>
        <v>15.85</v>
      </c>
      <c r="G4127" s="1120">
        <v>15.85</v>
      </c>
      <c r="H4127" s="1127">
        <v>0.0</v>
      </c>
      <c r="I4127" s="1127">
        <v>0.0</v>
      </c>
      <c r="J4127" s="1127">
        <v>0.0</v>
      </c>
      <c r="K4127" s="1124"/>
    </row>
    <row r="4128" ht="15.75" customHeight="1">
      <c r="A4128" s="1119">
        <v>92332.0</v>
      </c>
      <c r="B4128" s="1125" t="s">
        <v>14407</v>
      </c>
      <c r="C4128" s="1126" t="s">
        <v>1788</v>
      </c>
      <c r="D4128" s="1119">
        <v>20.19</v>
      </c>
      <c r="E4128" s="1120">
        <v>8.97</v>
      </c>
      <c r="F4128" s="1121">
        <f t="shared" si="1"/>
        <v>11.22</v>
      </c>
      <c r="G4128" s="1120">
        <v>11.22</v>
      </c>
      <c r="H4128" s="1127">
        <v>0.0</v>
      </c>
      <c r="I4128" s="1127">
        <v>0.0</v>
      </c>
      <c r="J4128" s="1127">
        <v>0.0</v>
      </c>
      <c r="K4128" s="1124"/>
    </row>
    <row r="4129" ht="15.75" customHeight="1">
      <c r="A4129" s="1119">
        <v>92333.0</v>
      </c>
      <c r="B4129" s="1125" t="s">
        <v>14408</v>
      </c>
      <c r="C4129" s="1126" t="s">
        <v>1788</v>
      </c>
      <c r="D4129" s="1119">
        <v>35.06</v>
      </c>
      <c r="E4129" s="1120">
        <v>13.54</v>
      </c>
      <c r="F4129" s="1121">
        <f t="shared" si="1"/>
        <v>21.52</v>
      </c>
      <c r="G4129" s="1120">
        <v>21.52</v>
      </c>
      <c r="H4129" s="1127">
        <v>0.0</v>
      </c>
      <c r="I4129" s="1127">
        <v>0.0</v>
      </c>
      <c r="J4129" s="1127">
        <v>0.0</v>
      </c>
      <c r="K4129" s="1124"/>
    </row>
    <row r="4130" ht="15.75" customHeight="1">
      <c r="A4130" s="1119">
        <v>92334.0</v>
      </c>
      <c r="B4130" s="1125" t="s">
        <v>14409</v>
      </c>
      <c r="C4130" s="1126" t="s">
        <v>1788</v>
      </c>
      <c r="D4130" s="1119">
        <v>50.54</v>
      </c>
      <c r="E4130" s="1120">
        <v>17.48</v>
      </c>
      <c r="F4130" s="1121">
        <f t="shared" si="1"/>
        <v>33.07</v>
      </c>
      <c r="G4130" s="1120">
        <v>33.07</v>
      </c>
      <c r="H4130" s="1127">
        <v>0.0</v>
      </c>
      <c r="I4130" s="1127">
        <v>0.0</v>
      </c>
      <c r="J4130" s="1127">
        <v>0.0</v>
      </c>
      <c r="K4130" s="1124"/>
    </row>
    <row r="4131" ht="15.75" customHeight="1">
      <c r="A4131" s="1119">
        <v>92344.0</v>
      </c>
      <c r="B4131" s="1125" t="s">
        <v>14410</v>
      </c>
      <c r="C4131" s="1126" t="s">
        <v>1788</v>
      </c>
      <c r="D4131" s="1119">
        <v>76.23</v>
      </c>
      <c r="E4131" s="1120">
        <v>28.0</v>
      </c>
      <c r="F4131" s="1121">
        <f t="shared" si="1"/>
        <v>48.22</v>
      </c>
      <c r="G4131" s="1120">
        <v>48.22</v>
      </c>
      <c r="H4131" s="1127">
        <v>0.0</v>
      </c>
      <c r="I4131" s="1127">
        <v>0.0</v>
      </c>
      <c r="J4131" s="1127">
        <v>0.0</v>
      </c>
      <c r="K4131" s="1124"/>
    </row>
    <row r="4132" ht="15.75" customHeight="1">
      <c r="A4132" s="1119">
        <v>92345.0</v>
      </c>
      <c r="B4132" s="1125" t="s">
        <v>14411</v>
      </c>
      <c r="C4132" s="1126" t="s">
        <v>1788</v>
      </c>
      <c r="D4132" s="1119">
        <v>76.2</v>
      </c>
      <c r="E4132" s="1120">
        <v>28.0</v>
      </c>
      <c r="F4132" s="1121">
        <f t="shared" si="1"/>
        <v>48.19</v>
      </c>
      <c r="G4132" s="1120">
        <v>48.19</v>
      </c>
      <c r="H4132" s="1127">
        <v>0.0</v>
      </c>
      <c r="I4132" s="1127">
        <v>0.0</v>
      </c>
      <c r="J4132" s="1127">
        <v>0.0</v>
      </c>
      <c r="K4132" s="1124"/>
    </row>
    <row r="4133" ht="15.75" customHeight="1">
      <c r="A4133" s="1119">
        <v>92346.0</v>
      </c>
      <c r="B4133" s="1125" t="s">
        <v>14412</v>
      </c>
      <c r="C4133" s="1126" t="s">
        <v>1788</v>
      </c>
      <c r="D4133" s="1119">
        <v>99.99</v>
      </c>
      <c r="E4133" s="1120">
        <v>30.47</v>
      </c>
      <c r="F4133" s="1121">
        <f t="shared" si="1"/>
        <v>69.52</v>
      </c>
      <c r="G4133" s="1120">
        <v>69.52</v>
      </c>
      <c r="H4133" s="1127">
        <v>0.0</v>
      </c>
      <c r="I4133" s="1127">
        <v>0.0</v>
      </c>
      <c r="J4133" s="1127">
        <v>0.0</v>
      </c>
      <c r="K4133" s="1124"/>
    </row>
    <row r="4134" ht="15.75" customHeight="1">
      <c r="A4134" s="1119">
        <v>92347.0</v>
      </c>
      <c r="B4134" s="1125" t="s">
        <v>14413</v>
      </c>
      <c r="C4134" s="1126" t="s">
        <v>1788</v>
      </c>
      <c r="D4134" s="1119">
        <v>111.2</v>
      </c>
      <c r="E4134" s="1120">
        <v>30.47</v>
      </c>
      <c r="F4134" s="1121">
        <f t="shared" si="1"/>
        <v>80.73</v>
      </c>
      <c r="G4134" s="1120">
        <v>80.73</v>
      </c>
      <c r="H4134" s="1127">
        <v>0.0</v>
      </c>
      <c r="I4134" s="1127">
        <v>0.0</v>
      </c>
      <c r="J4134" s="1127">
        <v>0.0</v>
      </c>
      <c r="K4134" s="1124"/>
    </row>
    <row r="4135" ht="15.75" customHeight="1">
      <c r="A4135" s="1119">
        <v>92348.0</v>
      </c>
      <c r="B4135" s="1125" t="s">
        <v>14414</v>
      </c>
      <c r="C4135" s="1126" t="s">
        <v>1788</v>
      </c>
      <c r="D4135" s="1119">
        <v>140.13</v>
      </c>
      <c r="E4135" s="1120">
        <v>32.9</v>
      </c>
      <c r="F4135" s="1121">
        <f t="shared" si="1"/>
        <v>107.23</v>
      </c>
      <c r="G4135" s="1120">
        <v>107.23</v>
      </c>
      <c r="H4135" s="1127">
        <v>0.0</v>
      </c>
      <c r="I4135" s="1127">
        <v>0.0</v>
      </c>
      <c r="J4135" s="1127">
        <v>0.0</v>
      </c>
      <c r="K4135" s="1124"/>
    </row>
    <row r="4136" ht="15.75" customHeight="1">
      <c r="A4136" s="1119">
        <v>92349.0</v>
      </c>
      <c r="B4136" s="1125" t="s">
        <v>14415</v>
      </c>
      <c r="C4136" s="1126" t="s">
        <v>1788</v>
      </c>
      <c r="D4136" s="1119">
        <v>150.1</v>
      </c>
      <c r="E4136" s="1120">
        <v>32.9</v>
      </c>
      <c r="F4136" s="1121">
        <f t="shared" si="1"/>
        <v>117.21</v>
      </c>
      <c r="G4136" s="1120">
        <v>117.21</v>
      </c>
      <c r="H4136" s="1127">
        <v>0.0</v>
      </c>
      <c r="I4136" s="1127">
        <v>0.0</v>
      </c>
      <c r="J4136" s="1127">
        <v>0.0</v>
      </c>
      <c r="K4136" s="1124"/>
    </row>
    <row r="4137" ht="15.75" customHeight="1">
      <c r="A4137" s="1119">
        <v>92350.0</v>
      </c>
      <c r="B4137" s="1125" t="s">
        <v>14416</v>
      </c>
      <c r="C4137" s="1126" t="s">
        <v>1788</v>
      </c>
      <c r="D4137" s="1119">
        <v>113.42</v>
      </c>
      <c r="E4137" s="1120">
        <v>41.99</v>
      </c>
      <c r="F4137" s="1121">
        <f t="shared" si="1"/>
        <v>71.42</v>
      </c>
      <c r="G4137" s="1120">
        <v>71.42</v>
      </c>
      <c r="H4137" s="1127">
        <v>0.0</v>
      </c>
      <c r="I4137" s="1127">
        <v>0.0</v>
      </c>
      <c r="J4137" s="1127">
        <v>0.0</v>
      </c>
      <c r="K4137" s="1124"/>
    </row>
    <row r="4138" ht="15.75" customHeight="1">
      <c r="A4138" s="1119">
        <v>92351.0</v>
      </c>
      <c r="B4138" s="1125" t="s">
        <v>14417</v>
      </c>
      <c r="C4138" s="1126" t="s">
        <v>1788</v>
      </c>
      <c r="D4138" s="1119">
        <v>110.92</v>
      </c>
      <c r="E4138" s="1120">
        <v>42.0</v>
      </c>
      <c r="F4138" s="1121">
        <f t="shared" si="1"/>
        <v>68.92</v>
      </c>
      <c r="G4138" s="1120">
        <v>68.92</v>
      </c>
      <c r="H4138" s="1127">
        <v>0.0</v>
      </c>
      <c r="I4138" s="1127">
        <v>0.0</v>
      </c>
      <c r="J4138" s="1127">
        <v>0.0</v>
      </c>
      <c r="K4138" s="1124"/>
    </row>
    <row r="4139" ht="15.75" customHeight="1">
      <c r="A4139" s="1119">
        <v>92352.0</v>
      </c>
      <c r="B4139" s="1125" t="s">
        <v>14418</v>
      </c>
      <c r="C4139" s="1126" t="s">
        <v>1788</v>
      </c>
      <c r="D4139" s="1119">
        <v>171.55</v>
      </c>
      <c r="E4139" s="1120">
        <v>45.68</v>
      </c>
      <c r="F4139" s="1121">
        <f t="shared" si="1"/>
        <v>125.87</v>
      </c>
      <c r="G4139" s="1120">
        <v>125.87</v>
      </c>
      <c r="H4139" s="1127">
        <v>0.0</v>
      </c>
      <c r="I4139" s="1127">
        <v>0.0</v>
      </c>
      <c r="J4139" s="1127">
        <v>0.0</v>
      </c>
      <c r="K4139" s="1124"/>
    </row>
    <row r="4140" ht="15.75" customHeight="1">
      <c r="A4140" s="1119">
        <v>92353.0</v>
      </c>
      <c r="B4140" s="1125" t="s">
        <v>14419</v>
      </c>
      <c r="C4140" s="1126" t="s">
        <v>1788</v>
      </c>
      <c r="D4140" s="1119">
        <v>160.58</v>
      </c>
      <c r="E4140" s="1120">
        <v>45.68</v>
      </c>
      <c r="F4140" s="1121">
        <f t="shared" si="1"/>
        <v>114.9</v>
      </c>
      <c r="G4140" s="1120">
        <v>114.9</v>
      </c>
      <c r="H4140" s="1127">
        <v>0.0</v>
      </c>
      <c r="I4140" s="1127">
        <v>0.0</v>
      </c>
      <c r="J4140" s="1127">
        <v>0.0</v>
      </c>
      <c r="K4140" s="1124"/>
    </row>
    <row r="4141" ht="15.75" customHeight="1">
      <c r="A4141" s="1119">
        <v>92354.0</v>
      </c>
      <c r="B4141" s="1125" t="s">
        <v>14420</v>
      </c>
      <c r="C4141" s="1126" t="s">
        <v>1788</v>
      </c>
      <c r="D4141" s="1119">
        <v>227.4</v>
      </c>
      <c r="E4141" s="1120">
        <v>49.37</v>
      </c>
      <c r="F4141" s="1121">
        <f t="shared" si="1"/>
        <v>178.03</v>
      </c>
      <c r="G4141" s="1120">
        <v>178.03</v>
      </c>
      <c r="H4141" s="1127">
        <v>0.0</v>
      </c>
      <c r="I4141" s="1127">
        <v>0.0</v>
      </c>
      <c r="J4141" s="1127">
        <v>0.0</v>
      </c>
      <c r="K4141" s="1124"/>
    </row>
    <row r="4142" ht="15.75" customHeight="1">
      <c r="A4142" s="1119">
        <v>92355.0</v>
      </c>
      <c r="B4142" s="1125" t="s">
        <v>14421</v>
      </c>
      <c r="C4142" s="1126" t="s">
        <v>1788</v>
      </c>
      <c r="D4142" s="1119">
        <v>206.26</v>
      </c>
      <c r="E4142" s="1120">
        <v>49.37</v>
      </c>
      <c r="F4142" s="1121">
        <f t="shared" si="1"/>
        <v>156.89</v>
      </c>
      <c r="G4142" s="1120">
        <v>156.89</v>
      </c>
      <c r="H4142" s="1127">
        <v>0.0</v>
      </c>
      <c r="I4142" s="1127">
        <v>0.0</v>
      </c>
      <c r="J4142" s="1127">
        <v>0.0</v>
      </c>
      <c r="K4142" s="1124"/>
    </row>
    <row r="4143" ht="15.75" customHeight="1">
      <c r="A4143" s="1119">
        <v>92356.0</v>
      </c>
      <c r="B4143" s="1125" t="s">
        <v>14422</v>
      </c>
      <c r="C4143" s="1126" t="s">
        <v>1788</v>
      </c>
      <c r="D4143" s="1119">
        <v>147.83</v>
      </c>
      <c r="E4143" s="1120">
        <v>56.01</v>
      </c>
      <c r="F4143" s="1121">
        <f t="shared" si="1"/>
        <v>91.83</v>
      </c>
      <c r="G4143" s="1120">
        <v>91.83</v>
      </c>
      <c r="H4143" s="1127">
        <v>0.0</v>
      </c>
      <c r="I4143" s="1127">
        <v>0.0</v>
      </c>
      <c r="J4143" s="1127">
        <v>0.0</v>
      </c>
      <c r="K4143" s="1124"/>
    </row>
    <row r="4144" ht="15.75" customHeight="1">
      <c r="A4144" s="1119">
        <v>92357.0</v>
      </c>
      <c r="B4144" s="1125" t="s">
        <v>14423</v>
      </c>
      <c r="C4144" s="1126" t="s">
        <v>1788</v>
      </c>
      <c r="D4144" s="1119">
        <v>219.61</v>
      </c>
      <c r="E4144" s="1120">
        <v>60.93</v>
      </c>
      <c r="F4144" s="1121">
        <f t="shared" si="1"/>
        <v>158.68</v>
      </c>
      <c r="G4144" s="1120">
        <v>158.68</v>
      </c>
      <c r="H4144" s="1127">
        <v>0.0</v>
      </c>
      <c r="I4144" s="1127">
        <v>0.0</v>
      </c>
      <c r="J4144" s="1127">
        <v>0.0</v>
      </c>
      <c r="K4144" s="1124"/>
    </row>
    <row r="4145" ht="15.75" customHeight="1">
      <c r="A4145" s="1119">
        <v>92358.0</v>
      </c>
      <c r="B4145" s="1125" t="s">
        <v>14424</v>
      </c>
      <c r="C4145" s="1126" t="s">
        <v>1788</v>
      </c>
      <c r="D4145" s="1119">
        <v>272.96</v>
      </c>
      <c r="E4145" s="1120">
        <v>65.82</v>
      </c>
      <c r="F4145" s="1121">
        <f t="shared" si="1"/>
        <v>207.14</v>
      </c>
      <c r="G4145" s="1120">
        <v>207.14</v>
      </c>
      <c r="H4145" s="1127">
        <v>0.0</v>
      </c>
      <c r="I4145" s="1127">
        <v>0.0</v>
      </c>
      <c r="J4145" s="1127">
        <v>0.0</v>
      </c>
      <c r="K4145" s="1124"/>
    </row>
    <row r="4146" ht="15.75" customHeight="1">
      <c r="A4146" s="1119">
        <v>92369.0</v>
      </c>
      <c r="B4146" s="1125" t="s">
        <v>14425</v>
      </c>
      <c r="C4146" s="1126" t="s">
        <v>1788</v>
      </c>
      <c r="D4146" s="1119">
        <v>41.24</v>
      </c>
      <c r="E4146" s="1120">
        <v>21.3</v>
      </c>
      <c r="F4146" s="1121">
        <f t="shared" si="1"/>
        <v>19.95</v>
      </c>
      <c r="G4146" s="1120">
        <v>19.95</v>
      </c>
      <c r="H4146" s="1127">
        <v>0.0</v>
      </c>
      <c r="I4146" s="1127">
        <v>0.0</v>
      </c>
      <c r="J4146" s="1127">
        <v>0.0</v>
      </c>
      <c r="K4146" s="1124"/>
    </row>
    <row r="4147" ht="15.75" customHeight="1">
      <c r="A4147" s="1119">
        <v>92370.0</v>
      </c>
      <c r="B4147" s="1125" t="s">
        <v>14426</v>
      </c>
      <c r="C4147" s="1126" t="s">
        <v>1788</v>
      </c>
      <c r="D4147" s="1119">
        <v>43.26</v>
      </c>
      <c r="E4147" s="1120">
        <v>21.29</v>
      </c>
      <c r="F4147" s="1121">
        <f t="shared" si="1"/>
        <v>21.97</v>
      </c>
      <c r="G4147" s="1120">
        <v>21.97</v>
      </c>
      <c r="H4147" s="1127">
        <v>0.0</v>
      </c>
      <c r="I4147" s="1127">
        <v>0.0</v>
      </c>
      <c r="J4147" s="1127">
        <v>0.0</v>
      </c>
      <c r="K4147" s="1124"/>
    </row>
    <row r="4148" ht="15.75" customHeight="1">
      <c r="A4148" s="1119">
        <v>92371.0</v>
      </c>
      <c r="B4148" s="1125" t="s">
        <v>14427</v>
      </c>
      <c r="C4148" s="1126" t="s">
        <v>1788</v>
      </c>
      <c r="D4148" s="1119">
        <v>49.79</v>
      </c>
      <c r="E4148" s="1120">
        <v>23.15</v>
      </c>
      <c r="F4148" s="1121">
        <f t="shared" si="1"/>
        <v>26.64</v>
      </c>
      <c r="G4148" s="1120">
        <v>26.64</v>
      </c>
      <c r="H4148" s="1127">
        <v>0.0</v>
      </c>
      <c r="I4148" s="1127">
        <v>0.0</v>
      </c>
      <c r="J4148" s="1127">
        <v>0.0</v>
      </c>
      <c r="K4148" s="1124"/>
    </row>
    <row r="4149" ht="15.75" customHeight="1">
      <c r="A4149" s="1119">
        <v>92372.0</v>
      </c>
      <c r="B4149" s="1125" t="s">
        <v>14428</v>
      </c>
      <c r="C4149" s="1126" t="s">
        <v>1788</v>
      </c>
      <c r="D4149" s="1119">
        <v>51.67</v>
      </c>
      <c r="E4149" s="1120">
        <v>23.15</v>
      </c>
      <c r="F4149" s="1121">
        <f t="shared" si="1"/>
        <v>28.52</v>
      </c>
      <c r="G4149" s="1120">
        <v>28.52</v>
      </c>
      <c r="H4149" s="1127">
        <v>0.0</v>
      </c>
      <c r="I4149" s="1127">
        <v>0.0</v>
      </c>
      <c r="J4149" s="1127">
        <v>0.0</v>
      </c>
      <c r="K4149" s="1124"/>
    </row>
    <row r="4150" ht="15.75" customHeight="1">
      <c r="A4150" s="1119">
        <v>92373.0</v>
      </c>
      <c r="B4150" s="1125" t="s">
        <v>14429</v>
      </c>
      <c r="C4150" s="1126" t="s">
        <v>1788</v>
      </c>
      <c r="D4150" s="1119">
        <v>58.78</v>
      </c>
      <c r="E4150" s="1120">
        <v>25.27</v>
      </c>
      <c r="F4150" s="1121">
        <f t="shared" si="1"/>
        <v>33.51</v>
      </c>
      <c r="G4150" s="1120">
        <v>33.51</v>
      </c>
      <c r="H4150" s="1127">
        <v>0.0</v>
      </c>
      <c r="I4150" s="1127">
        <v>0.0</v>
      </c>
      <c r="J4150" s="1127">
        <v>0.0</v>
      </c>
      <c r="K4150" s="1124"/>
    </row>
    <row r="4151" ht="15.75" customHeight="1">
      <c r="A4151" s="1119">
        <v>92374.0</v>
      </c>
      <c r="B4151" s="1125" t="s">
        <v>14430</v>
      </c>
      <c r="C4151" s="1126" t="s">
        <v>1788</v>
      </c>
      <c r="D4151" s="1119">
        <v>59.15</v>
      </c>
      <c r="E4151" s="1120">
        <v>25.27</v>
      </c>
      <c r="F4151" s="1121">
        <f t="shared" si="1"/>
        <v>33.88</v>
      </c>
      <c r="G4151" s="1120">
        <v>33.88</v>
      </c>
      <c r="H4151" s="1127">
        <v>0.0</v>
      </c>
      <c r="I4151" s="1127">
        <v>0.0</v>
      </c>
      <c r="J4151" s="1127">
        <v>0.0</v>
      </c>
      <c r="K4151" s="1124"/>
    </row>
    <row r="4152" ht="15.75" customHeight="1">
      <c r="A4152" s="1119">
        <v>92375.0</v>
      </c>
      <c r="B4152" s="1125" t="s">
        <v>14431</v>
      </c>
      <c r="C4152" s="1126" t="s">
        <v>1788</v>
      </c>
      <c r="D4152" s="1119">
        <v>76.18</v>
      </c>
      <c r="E4152" s="1120">
        <v>27.96</v>
      </c>
      <c r="F4152" s="1121">
        <f t="shared" si="1"/>
        <v>48.22</v>
      </c>
      <c r="G4152" s="1120">
        <v>48.22</v>
      </c>
      <c r="H4152" s="1127">
        <v>0.0</v>
      </c>
      <c r="I4152" s="1127">
        <v>0.0</v>
      </c>
      <c r="J4152" s="1127">
        <v>0.0</v>
      </c>
      <c r="K4152" s="1124"/>
    </row>
    <row r="4153" ht="15.75" customHeight="1">
      <c r="A4153" s="1119">
        <v>92376.0</v>
      </c>
      <c r="B4153" s="1125" t="s">
        <v>14432</v>
      </c>
      <c r="C4153" s="1126" t="s">
        <v>1788</v>
      </c>
      <c r="D4153" s="1119">
        <v>76.15</v>
      </c>
      <c r="E4153" s="1120">
        <v>27.96</v>
      </c>
      <c r="F4153" s="1121">
        <f t="shared" si="1"/>
        <v>48.19</v>
      </c>
      <c r="G4153" s="1120">
        <v>48.19</v>
      </c>
      <c r="H4153" s="1127">
        <v>0.0</v>
      </c>
      <c r="I4153" s="1127">
        <v>0.0</v>
      </c>
      <c r="J4153" s="1127">
        <v>0.0</v>
      </c>
      <c r="K4153" s="1124"/>
    </row>
    <row r="4154" ht="15.75" customHeight="1">
      <c r="A4154" s="1119">
        <v>92377.0</v>
      </c>
      <c r="B4154" s="1125" t="s">
        <v>14433</v>
      </c>
      <c r="C4154" s="1126" t="s">
        <v>1788</v>
      </c>
      <c r="D4154" s="1119">
        <v>101.96</v>
      </c>
      <c r="E4154" s="1120">
        <v>31.96</v>
      </c>
      <c r="F4154" s="1121">
        <f t="shared" si="1"/>
        <v>70.01</v>
      </c>
      <c r="G4154" s="1120">
        <v>70.01</v>
      </c>
      <c r="H4154" s="1127">
        <v>0.0</v>
      </c>
      <c r="I4154" s="1127">
        <v>0.0</v>
      </c>
      <c r="J4154" s="1127">
        <v>0.0</v>
      </c>
      <c r="K4154" s="1124"/>
    </row>
    <row r="4155" ht="15.75" customHeight="1">
      <c r="A4155" s="1119">
        <v>92378.0</v>
      </c>
      <c r="B4155" s="1125" t="s">
        <v>14434</v>
      </c>
      <c r="C4155" s="1126" t="s">
        <v>1788</v>
      </c>
      <c r="D4155" s="1119">
        <v>113.17</v>
      </c>
      <c r="E4155" s="1120">
        <v>31.96</v>
      </c>
      <c r="F4155" s="1121">
        <f t="shared" si="1"/>
        <v>81.22</v>
      </c>
      <c r="G4155" s="1120">
        <v>81.22</v>
      </c>
      <c r="H4155" s="1127">
        <v>0.0</v>
      </c>
      <c r="I4155" s="1127">
        <v>0.0</v>
      </c>
      <c r="J4155" s="1127">
        <v>0.0</v>
      </c>
      <c r="K4155" s="1124"/>
    </row>
    <row r="4156" ht="15.75" customHeight="1">
      <c r="A4156" s="1119">
        <v>92379.0</v>
      </c>
      <c r="B4156" s="1125" t="s">
        <v>14435</v>
      </c>
      <c r="C4156" s="1126" t="s">
        <v>1788</v>
      </c>
      <c r="D4156" s="1119">
        <v>144.18</v>
      </c>
      <c r="E4156" s="1120">
        <v>35.95</v>
      </c>
      <c r="F4156" s="1121">
        <f t="shared" si="1"/>
        <v>108.24</v>
      </c>
      <c r="G4156" s="1120">
        <v>108.24</v>
      </c>
      <c r="H4156" s="1127">
        <v>0.0</v>
      </c>
      <c r="I4156" s="1127">
        <v>0.0</v>
      </c>
      <c r="J4156" s="1127">
        <v>0.0</v>
      </c>
      <c r="K4156" s="1124"/>
    </row>
    <row r="4157" ht="15.75" customHeight="1">
      <c r="A4157" s="1119">
        <v>92380.0</v>
      </c>
      <c r="B4157" s="1125" t="s">
        <v>14436</v>
      </c>
      <c r="C4157" s="1126" t="s">
        <v>1788</v>
      </c>
      <c r="D4157" s="1119">
        <v>154.15</v>
      </c>
      <c r="E4157" s="1120">
        <v>35.95</v>
      </c>
      <c r="F4157" s="1121">
        <f t="shared" si="1"/>
        <v>118.21</v>
      </c>
      <c r="G4157" s="1120">
        <v>118.21</v>
      </c>
      <c r="H4157" s="1127">
        <v>0.0</v>
      </c>
      <c r="I4157" s="1127">
        <v>0.0</v>
      </c>
      <c r="J4157" s="1127">
        <v>0.0</v>
      </c>
      <c r="K4157" s="1124"/>
    </row>
    <row r="4158" ht="15.75" customHeight="1">
      <c r="A4158" s="1119">
        <v>92381.0</v>
      </c>
      <c r="B4158" s="1125" t="s">
        <v>14437</v>
      </c>
      <c r="C4158" s="1126" t="s">
        <v>1788</v>
      </c>
      <c r="D4158" s="1119">
        <v>62.46</v>
      </c>
      <c r="E4158" s="1120">
        <v>31.93</v>
      </c>
      <c r="F4158" s="1121">
        <f t="shared" si="1"/>
        <v>30.55</v>
      </c>
      <c r="G4158" s="1120">
        <v>30.55</v>
      </c>
      <c r="H4158" s="1127">
        <v>0.0</v>
      </c>
      <c r="I4158" s="1127">
        <v>0.0</v>
      </c>
      <c r="J4158" s="1127">
        <v>0.0</v>
      </c>
      <c r="K4158" s="1124"/>
    </row>
    <row r="4159" ht="15.75" customHeight="1">
      <c r="A4159" s="1119">
        <v>92382.0</v>
      </c>
      <c r="B4159" s="1125" t="s">
        <v>14438</v>
      </c>
      <c r="C4159" s="1126" t="s">
        <v>1788</v>
      </c>
      <c r="D4159" s="1119">
        <v>59.78</v>
      </c>
      <c r="E4159" s="1120">
        <v>31.93</v>
      </c>
      <c r="F4159" s="1121">
        <f t="shared" si="1"/>
        <v>27.87</v>
      </c>
      <c r="G4159" s="1120">
        <v>27.87</v>
      </c>
      <c r="H4159" s="1127">
        <v>0.0</v>
      </c>
      <c r="I4159" s="1127">
        <v>0.0</v>
      </c>
      <c r="J4159" s="1127">
        <v>0.0</v>
      </c>
      <c r="K4159" s="1124"/>
    </row>
    <row r="4160" ht="15.75" customHeight="1">
      <c r="A4160" s="1119">
        <v>92383.0</v>
      </c>
      <c r="B4160" s="1125" t="s">
        <v>14439</v>
      </c>
      <c r="C4160" s="1126" t="s">
        <v>1788</v>
      </c>
      <c r="D4160" s="1119">
        <v>78.56</v>
      </c>
      <c r="E4160" s="1120">
        <v>34.7</v>
      </c>
      <c r="F4160" s="1121">
        <f t="shared" si="1"/>
        <v>43.86</v>
      </c>
      <c r="G4160" s="1120">
        <v>43.86</v>
      </c>
      <c r="H4160" s="1127">
        <v>0.0</v>
      </c>
      <c r="I4160" s="1127">
        <v>0.0</v>
      </c>
      <c r="J4160" s="1127">
        <v>0.0</v>
      </c>
      <c r="K4160" s="1124"/>
    </row>
    <row r="4161" ht="15.75" customHeight="1">
      <c r="A4161" s="1119">
        <v>92384.0</v>
      </c>
      <c r="B4161" s="1125" t="s">
        <v>14440</v>
      </c>
      <c r="C4161" s="1126" t="s">
        <v>1788</v>
      </c>
      <c r="D4161" s="1119">
        <v>73.24</v>
      </c>
      <c r="E4161" s="1120">
        <v>34.71</v>
      </c>
      <c r="F4161" s="1121">
        <f t="shared" si="1"/>
        <v>38.54</v>
      </c>
      <c r="G4161" s="1120">
        <v>38.54</v>
      </c>
      <c r="H4161" s="1127">
        <v>0.0</v>
      </c>
      <c r="I4161" s="1127">
        <v>0.0</v>
      </c>
      <c r="J4161" s="1127">
        <v>0.0</v>
      </c>
      <c r="K4161" s="1124"/>
    </row>
    <row r="4162" ht="15.75" customHeight="1">
      <c r="A4162" s="1119">
        <v>92385.0</v>
      </c>
      <c r="B4162" s="1125" t="s">
        <v>14441</v>
      </c>
      <c r="C4162" s="1126" t="s">
        <v>1788</v>
      </c>
      <c r="D4162" s="1119">
        <v>90.02</v>
      </c>
      <c r="E4162" s="1120">
        <v>37.91</v>
      </c>
      <c r="F4162" s="1121">
        <f t="shared" si="1"/>
        <v>52.11</v>
      </c>
      <c r="G4162" s="1120">
        <v>52.11</v>
      </c>
      <c r="H4162" s="1127">
        <v>0.0</v>
      </c>
      <c r="I4162" s="1127">
        <v>0.0</v>
      </c>
      <c r="J4162" s="1127">
        <v>0.0</v>
      </c>
      <c r="K4162" s="1124"/>
    </row>
    <row r="4163" ht="15.75" customHeight="1">
      <c r="A4163" s="1119">
        <v>92386.0</v>
      </c>
      <c r="B4163" s="1125" t="s">
        <v>14442</v>
      </c>
      <c r="C4163" s="1126" t="s">
        <v>1788</v>
      </c>
      <c r="D4163" s="1119">
        <v>86.35</v>
      </c>
      <c r="E4163" s="1120">
        <v>37.91</v>
      </c>
      <c r="F4163" s="1121">
        <f t="shared" si="1"/>
        <v>48.44</v>
      </c>
      <c r="G4163" s="1120">
        <v>48.44</v>
      </c>
      <c r="H4163" s="1127">
        <v>0.0</v>
      </c>
      <c r="I4163" s="1127">
        <v>0.0</v>
      </c>
      <c r="J4163" s="1127">
        <v>0.0</v>
      </c>
      <c r="K4163" s="1124"/>
    </row>
    <row r="4164" ht="15.75" customHeight="1">
      <c r="A4164" s="1119">
        <v>92387.0</v>
      </c>
      <c r="B4164" s="1125" t="s">
        <v>14443</v>
      </c>
      <c r="C4164" s="1126" t="s">
        <v>1788</v>
      </c>
      <c r="D4164" s="1119">
        <v>113.29</v>
      </c>
      <c r="E4164" s="1120">
        <v>41.9</v>
      </c>
      <c r="F4164" s="1121">
        <f t="shared" si="1"/>
        <v>71.39</v>
      </c>
      <c r="G4164" s="1120">
        <v>71.39</v>
      </c>
      <c r="H4164" s="1127">
        <v>0.0</v>
      </c>
      <c r="I4164" s="1127">
        <v>0.0</v>
      </c>
      <c r="J4164" s="1127">
        <v>0.0</v>
      </c>
      <c r="K4164" s="1124"/>
    </row>
    <row r="4165" ht="15.75" customHeight="1">
      <c r="A4165" s="1119">
        <v>92388.0</v>
      </c>
      <c r="B4165" s="1125" t="s">
        <v>14444</v>
      </c>
      <c r="C4165" s="1126" t="s">
        <v>1788</v>
      </c>
      <c r="D4165" s="1119">
        <v>110.79</v>
      </c>
      <c r="E4165" s="1120">
        <v>41.91</v>
      </c>
      <c r="F4165" s="1121">
        <f t="shared" si="1"/>
        <v>68.89</v>
      </c>
      <c r="G4165" s="1120">
        <v>68.89</v>
      </c>
      <c r="H4165" s="1127">
        <v>0.0</v>
      </c>
      <c r="I4165" s="1127">
        <v>0.0</v>
      </c>
      <c r="J4165" s="1127">
        <v>0.0</v>
      </c>
      <c r="K4165" s="1124"/>
    </row>
    <row r="4166" ht="15.75" customHeight="1">
      <c r="A4166" s="1119">
        <v>92389.0</v>
      </c>
      <c r="B4166" s="1125" t="s">
        <v>14445</v>
      </c>
      <c r="C4166" s="1126" t="s">
        <v>1788</v>
      </c>
      <c r="D4166" s="1119">
        <v>174.55</v>
      </c>
      <c r="E4166" s="1120">
        <v>47.94</v>
      </c>
      <c r="F4166" s="1121">
        <f t="shared" si="1"/>
        <v>126.62</v>
      </c>
      <c r="G4166" s="1120">
        <v>126.62</v>
      </c>
      <c r="H4166" s="1127">
        <v>0.0</v>
      </c>
      <c r="I4166" s="1127">
        <v>0.0</v>
      </c>
      <c r="J4166" s="1127">
        <v>0.0</v>
      </c>
      <c r="K4166" s="1124"/>
    </row>
    <row r="4167" ht="15.75" customHeight="1">
      <c r="A4167" s="1119">
        <v>92390.0</v>
      </c>
      <c r="B4167" s="1125" t="s">
        <v>14446</v>
      </c>
      <c r="C4167" s="1126" t="s">
        <v>1788</v>
      </c>
      <c r="D4167" s="1119">
        <v>163.58</v>
      </c>
      <c r="E4167" s="1120">
        <v>47.94</v>
      </c>
      <c r="F4167" s="1121">
        <f t="shared" si="1"/>
        <v>115.64</v>
      </c>
      <c r="G4167" s="1120">
        <v>115.64</v>
      </c>
      <c r="H4167" s="1127">
        <v>0.0</v>
      </c>
      <c r="I4167" s="1127">
        <v>0.0</v>
      </c>
      <c r="J4167" s="1127">
        <v>0.0</v>
      </c>
      <c r="K4167" s="1124"/>
    </row>
    <row r="4168" ht="15.75" customHeight="1">
      <c r="A4168" s="1119">
        <v>92635.0</v>
      </c>
      <c r="B4168" s="1125" t="s">
        <v>14447</v>
      </c>
      <c r="C4168" s="1126" t="s">
        <v>1788</v>
      </c>
      <c r="D4168" s="1119">
        <v>233.47</v>
      </c>
      <c r="E4168" s="1120">
        <v>53.93</v>
      </c>
      <c r="F4168" s="1121">
        <f t="shared" si="1"/>
        <v>179.55</v>
      </c>
      <c r="G4168" s="1120">
        <v>179.55</v>
      </c>
      <c r="H4168" s="1127">
        <v>0.0</v>
      </c>
      <c r="I4168" s="1127">
        <v>0.0</v>
      </c>
      <c r="J4168" s="1127">
        <v>0.0</v>
      </c>
      <c r="K4168" s="1124"/>
    </row>
    <row r="4169" ht="15.75" customHeight="1">
      <c r="A4169" s="1119">
        <v>92636.0</v>
      </c>
      <c r="B4169" s="1125" t="s">
        <v>14448</v>
      </c>
      <c r="C4169" s="1126" t="s">
        <v>1788</v>
      </c>
      <c r="D4169" s="1119">
        <v>212.33</v>
      </c>
      <c r="E4169" s="1120">
        <v>53.93</v>
      </c>
      <c r="F4169" s="1121">
        <f t="shared" si="1"/>
        <v>158.4</v>
      </c>
      <c r="G4169" s="1120">
        <v>158.4</v>
      </c>
      <c r="H4169" s="1127">
        <v>0.0</v>
      </c>
      <c r="I4169" s="1127">
        <v>0.0</v>
      </c>
      <c r="J4169" s="1127">
        <v>0.0</v>
      </c>
      <c r="K4169" s="1124"/>
    </row>
    <row r="4170" ht="15.75" customHeight="1">
      <c r="A4170" s="1119">
        <v>92637.0</v>
      </c>
      <c r="B4170" s="1125" t="s">
        <v>14449</v>
      </c>
      <c r="C4170" s="1126" t="s">
        <v>1788</v>
      </c>
      <c r="D4170" s="1119">
        <v>80.71</v>
      </c>
      <c r="E4170" s="1120">
        <v>42.58</v>
      </c>
      <c r="F4170" s="1121">
        <f t="shared" si="1"/>
        <v>38.15</v>
      </c>
      <c r="G4170" s="1120">
        <v>38.15</v>
      </c>
      <c r="H4170" s="1127">
        <v>0.0</v>
      </c>
      <c r="I4170" s="1127">
        <v>0.0</v>
      </c>
      <c r="J4170" s="1127">
        <v>0.0</v>
      </c>
      <c r="K4170" s="1124"/>
    </row>
    <row r="4171" ht="15.75" customHeight="1">
      <c r="A4171" s="1119">
        <v>92638.0</v>
      </c>
      <c r="B4171" s="1125" t="s">
        <v>14450</v>
      </c>
      <c r="C4171" s="1126" t="s">
        <v>1788</v>
      </c>
      <c r="D4171" s="1119">
        <v>98.29</v>
      </c>
      <c r="E4171" s="1120">
        <v>46.28</v>
      </c>
      <c r="F4171" s="1121">
        <f t="shared" si="1"/>
        <v>52.01</v>
      </c>
      <c r="G4171" s="1120">
        <v>52.01</v>
      </c>
      <c r="H4171" s="1127">
        <v>0.0</v>
      </c>
      <c r="I4171" s="1127">
        <v>0.0</v>
      </c>
      <c r="J4171" s="1127">
        <v>0.0</v>
      </c>
      <c r="K4171" s="1124"/>
    </row>
    <row r="4172" ht="15.75" customHeight="1">
      <c r="A4172" s="1119">
        <v>92639.0</v>
      </c>
      <c r="B4172" s="1125" t="s">
        <v>14451</v>
      </c>
      <c r="C4172" s="1126" t="s">
        <v>1788</v>
      </c>
      <c r="D4172" s="1119">
        <v>113.7</v>
      </c>
      <c r="E4172" s="1120">
        <v>50.54</v>
      </c>
      <c r="F4172" s="1121">
        <f t="shared" si="1"/>
        <v>63.16</v>
      </c>
      <c r="G4172" s="1120">
        <v>63.16</v>
      </c>
      <c r="H4172" s="1127">
        <v>0.0</v>
      </c>
      <c r="I4172" s="1127">
        <v>0.0</v>
      </c>
      <c r="J4172" s="1127">
        <v>0.0</v>
      </c>
      <c r="K4172" s="1124"/>
    </row>
    <row r="4173" ht="15.75" customHeight="1">
      <c r="A4173" s="1119">
        <v>92640.0</v>
      </c>
      <c r="B4173" s="1125" t="s">
        <v>14452</v>
      </c>
      <c r="C4173" s="1126" t="s">
        <v>1788</v>
      </c>
      <c r="D4173" s="1119">
        <v>147.66</v>
      </c>
      <c r="E4173" s="1120">
        <v>55.89</v>
      </c>
      <c r="F4173" s="1121">
        <f t="shared" si="1"/>
        <v>91.78</v>
      </c>
      <c r="G4173" s="1120">
        <v>91.78</v>
      </c>
      <c r="H4173" s="1127">
        <v>0.0</v>
      </c>
      <c r="I4173" s="1127">
        <v>0.0</v>
      </c>
      <c r="J4173" s="1127">
        <v>0.0</v>
      </c>
      <c r="K4173" s="1124"/>
    </row>
    <row r="4174" ht="15.75" customHeight="1">
      <c r="A4174" s="1119">
        <v>92642.0</v>
      </c>
      <c r="B4174" s="1125" t="s">
        <v>14453</v>
      </c>
      <c r="C4174" s="1126" t="s">
        <v>1788</v>
      </c>
      <c r="D4174" s="1119">
        <v>223.54</v>
      </c>
      <c r="E4174" s="1120">
        <v>63.87</v>
      </c>
      <c r="F4174" s="1121">
        <f t="shared" si="1"/>
        <v>159.67</v>
      </c>
      <c r="G4174" s="1120">
        <v>159.67</v>
      </c>
      <c r="H4174" s="1127">
        <v>0.0</v>
      </c>
      <c r="I4174" s="1127">
        <v>0.0</v>
      </c>
      <c r="J4174" s="1127">
        <v>0.0</v>
      </c>
      <c r="K4174" s="1124"/>
    </row>
    <row r="4175" ht="15.75" customHeight="1">
      <c r="A4175" s="1119">
        <v>92644.0</v>
      </c>
      <c r="B4175" s="1125" t="s">
        <v>14454</v>
      </c>
      <c r="C4175" s="1126" t="s">
        <v>1788</v>
      </c>
      <c r="D4175" s="1119">
        <v>281.05</v>
      </c>
      <c r="E4175" s="1120">
        <v>71.91</v>
      </c>
      <c r="F4175" s="1121">
        <f t="shared" si="1"/>
        <v>209.15</v>
      </c>
      <c r="G4175" s="1120">
        <v>209.15</v>
      </c>
      <c r="H4175" s="1127">
        <v>0.0</v>
      </c>
      <c r="I4175" s="1127">
        <v>0.0</v>
      </c>
      <c r="J4175" s="1127">
        <v>0.0</v>
      </c>
      <c r="K4175" s="1124"/>
    </row>
    <row r="4176" ht="15.75" customHeight="1">
      <c r="A4176" s="1119">
        <v>92657.0</v>
      </c>
      <c r="B4176" s="1125" t="s">
        <v>14455</v>
      </c>
      <c r="C4176" s="1126" t="s">
        <v>1788</v>
      </c>
      <c r="D4176" s="1119">
        <v>30.31</v>
      </c>
      <c r="E4176" s="1120">
        <v>13.07</v>
      </c>
      <c r="F4176" s="1121">
        <f t="shared" si="1"/>
        <v>17.25</v>
      </c>
      <c r="G4176" s="1120">
        <v>17.25</v>
      </c>
      <c r="H4176" s="1127">
        <v>0.0</v>
      </c>
      <c r="I4176" s="1127">
        <v>0.0</v>
      </c>
      <c r="J4176" s="1127">
        <v>0.0</v>
      </c>
      <c r="K4176" s="1124"/>
    </row>
    <row r="4177" ht="15.75" customHeight="1">
      <c r="A4177" s="1119">
        <v>92658.0</v>
      </c>
      <c r="B4177" s="1125" t="s">
        <v>14456</v>
      </c>
      <c r="C4177" s="1126" t="s">
        <v>1788</v>
      </c>
      <c r="D4177" s="1119">
        <v>32.33</v>
      </c>
      <c r="E4177" s="1120">
        <v>13.07</v>
      </c>
      <c r="F4177" s="1121">
        <f t="shared" si="1"/>
        <v>19.27</v>
      </c>
      <c r="G4177" s="1120">
        <v>19.27</v>
      </c>
      <c r="H4177" s="1127">
        <v>0.0</v>
      </c>
      <c r="I4177" s="1127">
        <v>0.0</v>
      </c>
      <c r="J4177" s="1127">
        <v>0.0</v>
      </c>
      <c r="K4177" s="1124"/>
    </row>
    <row r="4178" ht="15.75" customHeight="1">
      <c r="A4178" s="1119">
        <v>92659.0</v>
      </c>
      <c r="B4178" s="1125" t="s">
        <v>14457</v>
      </c>
      <c r="C4178" s="1126" t="s">
        <v>1788</v>
      </c>
      <c r="D4178" s="1119">
        <v>37.36</v>
      </c>
      <c r="E4178" s="1120">
        <v>13.79</v>
      </c>
      <c r="F4178" s="1121">
        <f t="shared" si="1"/>
        <v>23.56</v>
      </c>
      <c r="G4178" s="1120">
        <v>23.56</v>
      </c>
      <c r="H4178" s="1127">
        <v>0.0</v>
      </c>
      <c r="I4178" s="1127">
        <v>0.0</v>
      </c>
      <c r="J4178" s="1127">
        <v>0.0</v>
      </c>
      <c r="K4178" s="1124"/>
    </row>
    <row r="4179" ht="15.75" customHeight="1">
      <c r="A4179" s="1119">
        <v>92660.0</v>
      </c>
      <c r="B4179" s="1125" t="s">
        <v>14458</v>
      </c>
      <c r="C4179" s="1126" t="s">
        <v>1788</v>
      </c>
      <c r="D4179" s="1119">
        <v>39.24</v>
      </c>
      <c r="E4179" s="1120">
        <v>13.79</v>
      </c>
      <c r="F4179" s="1121">
        <f t="shared" si="1"/>
        <v>25.44</v>
      </c>
      <c r="G4179" s="1120">
        <v>25.44</v>
      </c>
      <c r="H4179" s="1127">
        <v>0.0</v>
      </c>
      <c r="I4179" s="1127">
        <v>0.0</v>
      </c>
      <c r="J4179" s="1127">
        <v>0.0</v>
      </c>
      <c r="K4179" s="1124"/>
    </row>
    <row r="4180" ht="15.75" customHeight="1">
      <c r="A4180" s="1119">
        <v>92661.0</v>
      </c>
      <c r="B4180" s="1125" t="s">
        <v>14459</v>
      </c>
      <c r="C4180" s="1126" t="s">
        <v>1788</v>
      </c>
      <c r="D4180" s="1119">
        <v>44.62</v>
      </c>
      <c r="E4180" s="1120">
        <v>14.63</v>
      </c>
      <c r="F4180" s="1121">
        <f t="shared" si="1"/>
        <v>29.99</v>
      </c>
      <c r="G4180" s="1120">
        <v>29.99</v>
      </c>
      <c r="H4180" s="1127">
        <v>0.0</v>
      </c>
      <c r="I4180" s="1127">
        <v>0.0</v>
      </c>
      <c r="J4180" s="1127">
        <v>0.0</v>
      </c>
      <c r="K4180" s="1124"/>
    </row>
    <row r="4181" ht="15.75" customHeight="1">
      <c r="A4181" s="1119">
        <v>92662.0</v>
      </c>
      <c r="B4181" s="1125" t="s">
        <v>14460</v>
      </c>
      <c r="C4181" s="1126" t="s">
        <v>1788</v>
      </c>
      <c r="D4181" s="1119">
        <v>44.99</v>
      </c>
      <c r="E4181" s="1120">
        <v>14.63</v>
      </c>
      <c r="F4181" s="1121">
        <f t="shared" si="1"/>
        <v>30.36</v>
      </c>
      <c r="G4181" s="1120">
        <v>30.36</v>
      </c>
      <c r="H4181" s="1127">
        <v>0.0</v>
      </c>
      <c r="I4181" s="1127">
        <v>0.0</v>
      </c>
      <c r="J4181" s="1127">
        <v>0.0</v>
      </c>
      <c r="K4181" s="1124"/>
    </row>
    <row r="4182" ht="15.75" customHeight="1">
      <c r="A4182" s="1119">
        <v>92663.0</v>
      </c>
      <c r="B4182" s="1125" t="s">
        <v>14461</v>
      </c>
      <c r="C4182" s="1126" t="s">
        <v>1788</v>
      </c>
      <c r="D4182" s="1119">
        <v>59.87</v>
      </c>
      <c r="E4182" s="1120">
        <v>15.71</v>
      </c>
      <c r="F4182" s="1121">
        <f t="shared" si="1"/>
        <v>44.17</v>
      </c>
      <c r="G4182" s="1120">
        <v>44.17</v>
      </c>
      <c r="H4182" s="1127">
        <v>0.0</v>
      </c>
      <c r="I4182" s="1127">
        <v>0.0</v>
      </c>
      <c r="J4182" s="1127">
        <v>0.0</v>
      </c>
      <c r="K4182" s="1124"/>
    </row>
    <row r="4183" ht="15.75" customHeight="1">
      <c r="A4183" s="1119">
        <v>92664.0</v>
      </c>
      <c r="B4183" s="1125" t="s">
        <v>14462</v>
      </c>
      <c r="C4183" s="1126" t="s">
        <v>1788</v>
      </c>
      <c r="D4183" s="1119">
        <v>59.84</v>
      </c>
      <c r="E4183" s="1120">
        <v>15.71</v>
      </c>
      <c r="F4183" s="1121">
        <f t="shared" si="1"/>
        <v>44.14</v>
      </c>
      <c r="G4183" s="1120">
        <v>44.14</v>
      </c>
      <c r="H4183" s="1127">
        <v>0.0</v>
      </c>
      <c r="I4183" s="1127">
        <v>0.0</v>
      </c>
      <c r="J4183" s="1127">
        <v>0.0</v>
      </c>
      <c r="K4183" s="1124"/>
    </row>
    <row r="4184" ht="15.75" customHeight="1">
      <c r="A4184" s="1119">
        <v>92665.0</v>
      </c>
      <c r="B4184" s="1125" t="s">
        <v>14463</v>
      </c>
      <c r="C4184" s="1126" t="s">
        <v>1788</v>
      </c>
      <c r="D4184" s="1119">
        <v>82.43</v>
      </c>
      <c r="E4184" s="1120">
        <v>17.27</v>
      </c>
      <c r="F4184" s="1121">
        <f t="shared" si="1"/>
        <v>65.16</v>
      </c>
      <c r="G4184" s="1120">
        <v>65.16</v>
      </c>
      <c r="H4184" s="1127">
        <v>0.0</v>
      </c>
      <c r="I4184" s="1127">
        <v>0.0</v>
      </c>
      <c r="J4184" s="1127">
        <v>0.0</v>
      </c>
      <c r="K4184" s="1124"/>
    </row>
    <row r="4185" ht="15.75" customHeight="1">
      <c r="A4185" s="1119">
        <v>92666.0</v>
      </c>
      <c r="B4185" s="1125" t="s">
        <v>14464</v>
      </c>
      <c r="C4185" s="1126" t="s">
        <v>1788</v>
      </c>
      <c r="D4185" s="1119">
        <v>93.64</v>
      </c>
      <c r="E4185" s="1120">
        <v>17.27</v>
      </c>
      <c r="F4185" s="1121">
        <f t="shared" si="1"/>
        <v>76.37</v>
      </c>
      <c r="G4185" s="1120">
        <v>76.37</v>
      </c>
      <c r="H4185" s="1127">
        <v>0.0</v>
      </c>
      <c r="I4185" s="1127">
        <v>0.0</v>
      </c>
      <c r="J4185" s="1127">
        <v>0.0</v>
      </c>
      <c r="K4185" s="1124"/>
    </row>
    <row r="4186" ht="15.75" customHeight="1">
      <c r="A4186" s="1119">
        <v>92667.0</v>
      </c>
      <c r="B4186" s="1125" t="s">
        <v>14465</v>
      </c>
      <c r="C4186" s="1126" t="s">
        <v>1788</v>
      </c>
      <c r="D4186" s="1119">
        <v>121.46</v>
      </c>
      <c r="E4186" s="1120">
        <v>18.87</v>
      </c>
      <c r="F4186" s="1121">
        <f t="shared" si="1"/>
        <v>102.59</v>
      </c>
      <c r="G4186" s="1120">
        <v>102.59</v>
      </c>
      <c r="H4186" s="1127">
        <v>0.0</v>
      </c>
      <c r="I4186" s="1127">
        <v>0.0</v>
      </c>
      <c r="J4186" s="1127">
        <v>0.0</v>
      </c>
      <c r="K4186" s="1124"/>
    </row>
    <row r="4187" ht="15.75" customHeight="1">
      <c r="A4187" s="1119">
        <v>92668.0</v>
      </c>
      <c r="B4187" s="1125" t="s">
        <v>14466</v>
      </c>
      <c r="C4187" s="1126" t="s">
        <v>1788</v>
      </c>
      <c r="D4187" s="1119">
        <v>131.43</v>
      </c>
      <c r="E4187" s="1120">
        <v>18.87</v>
      </c>
      <c r="F4187" s="1121">
        <f t="shared" si="1"/>
        <v>112.56</v>
      </c>
      <c r="G4187" s="1120">
        <v>112.56</v>
      </c>
      <c r="H4187" s="1127">
        <v>0.0</v>
      </c>
      <c r="I4187" s="1127">
        <v>0.0</v>
      </c>
      <c r="J4187" s="1127">
        <v>0.0</v>
      </c>
      <c r="K4187" s="1124"/>
    </row>
    <row r="4188" ht="15.75" customHeight="1">
      <c r="A4188" s="1119">
        <v>92669.0</v>
      </c>
      <c r="B4188" s="1125" t="s">
        <v>14467</v>
      </c>
      <c r="C4188" s="1126" t="s">
        <v>1788</v>
      </c>
      <c r="D4188" s="1119">
        <v>46.05</v>
      </c>
      <c r="E4188" s="1120">
        <v>19.59</v>
      </c>
      <c r="F4188" s="1121">
        <f t="shared" si="1"/>
        <v>26.46</v>
      </c>
      <c r="G4188" s="1120">
        <v>26.46</v>
      </c>
      <c r="H4188" s="1127">
        <v>0.0</v>
      </c>
      <c r="I4188" s="1127">
        <v>0.0</v>
      </c>
      <c r="J4188" s="1127">
        <v>0.0</v>
      </c>
      <c r="K4188" s="1124"/>
    </row>
    <row r="4189" ht="15.75" customHeight="1">
      <c r="A4189" s="1119">
        <v>92670.0</v>
      </c>
      <c r="B4189" s="1125" t="s">
        <v>14468</v>
      </c>
      <c r="C4189" s="1126" t="s">
        <v>1788</v>
      </c>
      <c r="D4189" s="1119">
        <v>43.37</v>
      </c>
      <c r="E4189" s="1120">
        <v>19.6</v>
      </c>
      <c r="F4189" s="1121">
        <f t="shared" si="1"/>
        <v>23.78</v>
      </c>
      <c r="G4189" s="1120">
        <v>23.78</v>
      </c>
      <c r="H4189" s="1127">
        <v>0.0</v>
      </c>
      <c r="I4189" s="1127">
        <v>0.0</v>
      </c>
      <c r="J4189" s="1127">
        <v>0.0</v>
      </c>
      <c r="K4189" s="1124"/>
    </row>
    <row r="4190" ht="15.75" customHeight="1">
      <c r="A4190" s="1119">
        <v>92671.0</v>
      </c>
      <c r="B4190" s="1125" t="s">
        <v>14469</v>
      </c>
      <c r="C4190" s="1126" t="s">
        <v>1788</v>
      </c>
      <c r="D4190" s="1119">
        <v>59.94</v>
      </c>
      <c r="E4190" s="1120">
        <v>20.7</v>
      </c>
      <c r="F4190" s="1121">
        <f t="shared" si="1"/>
        <v>39.24</v>
      </c>
      <c r="G4190" s="1120">
        <v>39.24</v>
      </c>
      <c r="H4190" s="1127">
        <v>0.0</v>
      </c>
      <c r="I4190" s="1127">
        <v>0.0</v>
      </c>
      <c r="J4190" s="1127">
        <v>0.0</v>
      </c>
      <c r="K4190" s="1124"/>
    </row>
    <row r="4191" ht="15.75" customHeight="1">
      <c r="A4191" s="1119">
        <v>92672.0</v>
      </c>
      <c r="B4191" s="1125" t="s">
        <v>14470</v>
      </c>
      <c r="C4191" s="1126" t="s">
        <v>1788</v>
      </c>
      <c r="D4191" s="1119">
        <v>54.62</v>
      </c>
      <c r="E4191" s="1120">
        <v>20.7</v>
      </c>
      <c r="F4191" s="1121">
        <f t="shared" si="1"/>
        <v>33.92</v>
      </c>
      <c r="G4191" s="1120">
        <v>33.92</v>
      </c>
      <c r="H4191" s="1127">
        <v>0.0</v>
      </c>
      <c r="I4191" s="1127">
        <v>0.0</v>
      </c>
      <c r="J4191" s="1127">
        <v>0.0</v>
      </c>
      <c r="K4191" s="1124"/>
    </row>
    <row r="4192" ht="15.75" customHeight="1">
      <c r="A4192" s="1119">
        <v>92673.0</v>
      </c>
      <c r="B4192" s="1125" t="s">
        <v>14471</v>
      </c>
      <c r="C4192" s="1126" t="s">
        <v>1788</v>
      </c>
      <c r="D4192" s="1119">
        <v>68.81</v>
      </c>
      <c r="E4192" s="1120">
        <v>21.97</v>
      </c>
      <c r="F4192" s="1121">
        <f t="shared" si="1"/>
        <v>46.84</v>
      </c>
      <c r="G4192" s="1120">
        <v>46.84</v>
      </c>
      <c r="H4192" s="1127">
        <v>0.0</v>
      </c>
      <c r="I4192" s="1127">
        <v>0.0</v>
      </c>
      <c r="J4192" s="1127">
        <v>0.0</v>
      </c>
      <c r="K4192" s="1124"/>
    </row>
    <row r="4193" ht="15.75" customHeight="1">
      <c r="A4193" s="1119">
        <v>92674.0</v>
      </c>
      <c r="B4193" s="1125" t="s">
        <v>14472</v>
      </c>
      <c r="C4193" s="1126" t="s">
        <v>1788</v>
      </c>
      <c r="D4193" s="1119">
        <v>65.14</v>
      </c>
      <c r="E4193" s="1120">
        <v>21.97</v>
      </c>
      <c r="F4193" s="1121">
        <f t="shared" si="1"/>
        <v>43.17</v>
      </c>
      <c r="G4193" s="1120">
        <v>43.17</v>
      </c>
      <c r="H4193" s="1127">
        <v>0.0</v>
      </c>
      <c r="I4193" s="1127">
        <v>0.0</v>
      </c>
      <c r="J4193" s="1127">
        <v>0.0</v>
      </c>
      <c r="K4193" s="1124"/>
    </row>
    <row r="4194" ht="15.75" customHeight="1">
      <c r="A4194" s="1119">
        <v>92675.0</v>
      </c>
      <c r="B4194" s="1125" t="s">
        <v>14473</v>
      </c>
      <c r="C4194" s="1126" t="s">
        <v>1788</v>
      </c>
      <c r="D4194" s="1119">
        <v>88.91</v>
      </c>
      <c r="E4194" s="1120">
        <v>23.58</v>
      </c>
      <c r="F4194" s="1121">
        <f t="shared" si="1"/>
        <v>65.33</v>
      </c>
      <c r="G4194" s="1120">
        <v>65.33</v>
      </c>
      <c r="H4194" s="1127">
        <v>0.0</v>
      </c>
      <c r="I4194" s="1127">
        <v>0.0</v>
      </c>
      <c r="J4194" s="1127">
        <v>0.0</v>
      </c>
      <c r="K4194" s="1124"/>
    </row>
    <row r="4195" ht="15.75" customHeight="1">
      <c r="A4195" s="1119">
        <v>92676.0</v>
      </c>
      <c r="B4195" s="1125" t="s">
        <v>14474</v>
      </c>
      <c r="C4195" s="1126" t="s">
        <v>1788</v>
      </c>
      <c r="D4195" s="1119">
        <v>86.41</v>
      </c>
      <c r="E4195" s="1120">
        <v>23.58</v>
      </c>
      <c r="F4195" s="1121">
        <f t="shared" si="1"/>
        <v>62.83</v>
      </c>
      <c r="G4195" s="1120">
        <v>62.83</v>
      </c>
      <c r="H4195" s="1127">
        <v>0.0</v>
      </c>
      <c r="I4195" s="1127">
        <v>0.0</v>
      </c>
      <c r="J4195" s="1127">
        <v>0.0</v>
      </c>
      <c r="K4195" s="1124"/>
    </row>
    <row r="4196" ht="15.75" customHeight="1">
      <c r="A4196" s="1119">
        <v>92677.0</v>
      </c>
      <c r="B4196" s="1125" t="s">
        <v>14475</v>
      </c>
      <c r="C4196" s="1126" t="s">
        <v>1788</v>
      </c>
      <c r="D4196" s="1119">
        <v>145.31</v>
      </c>
      <c r="E4196" s="1120">
        <v>25.95</v>
      </c>
      <c r="F4196" s="1121">
        <f t="shared" si="1"/>
        <v>119.36</v>
      </c>
      <c r="G4196" s="1120">
        <v>119.36</v>
      </c>
      <c r="H4196" s="1127">
        <v>0.0</v>
      </c>
      <c r="I4196" s="1127">
        <v>0.0</v>
      </c>
      <c r="J4196" s="1127">
        <v>0.0</v>
      </c>
      <c r="K4196" s="1124"/>
    </row>
    <row r="4197" ht="15.75" customHeight="1">
      <c r="A4197" s="1119">
        <v>92678.0</v>
      </c>
      <c r="B4197" s="1125" t="s">
        <v>14476</v>
      </c>
      <c r="C4197" s="1126" t="s">
        <v>1788</v>
      </c>
      <c r="D4197" s="1119">
        <v>134.34</v>
      </c>
      <c r="E4197" s="1120">
        <v>25.95</v>
      </c>
      <c r="F4197" s="1121">
        <f t="shared" si="1"/>
        <v>108.39</v>
      </c>
      <c r="G4197" s="1120">
        <v>108.39</v>
      </c>
      <c r="H4197" s="1127">
        <v>0.0</v>
      </c>
      <c r="I4197" s="1127">
        <v>0.0</v>
      </c>
      <c r="J4197" s="1127">
        <v>0.0</v>
      </c>
      <c r="K4197" s="1124"/>
    </row>
    <row r="4198" ht="15.75" customHeight="1">
      <c r="A4198" s="1119">
        <v>92679.0</v>
      </c>
      <c r="B4198" s="1125" t="s">
        <v>14477</v>
      </c>
      <c r="C4198" s="1126" t="s">
        <v>1788</v>
      </c>
      <c r="D4198" s="1119">
        <v>199.42</v>
      </c>
      <c r="E4198" s="1120">
        <v>28.34</v>
      </c>
      <c r="F4198" s="1121">
        <f t="shared" si="1"/>
        <v>171.08</v>
      </c>
      <c r="G4198" s="1120">
        <v>171.08</v>
      </c>
      <c r="H4198" s="1127">
        <v>0.0</v>
      </c>
      <c r="I4198" s="1127">
        <v>0.0</v>
      </c>
      <c r="J4198" s="1127">
        <v>0.0</v>
      </c>
      <c r="K4198" s="1124"/>
    </row>
    <row r="4199" ht="15.75" customHeight="1">
      <c r="A4199" s="1119">
        <v>92680.0</v>
      </c>
      <c r="B4199" s="1125" t="s">
        <v>14478</v>
      </c>
      <c r="C4199" s="1126" t="s">
        <v>1788</v>
      </c>
      <c r="D4199" s="1119">
        <v>178.28</v>
      </c>
      <c r="E4199" s="1120">
        <v>28.34</v>
      </c>
      <c r="F4199" s="1121">
        <f t="shared" si="1"/>
        <v>149.94</v>
      </c>
      <c r="G4199" s="1120">
        <v>149.94</v>
      </c>
      <c r="H4199" s="1127">
        <v>0.0</v>
      </c>
      <c r="I4199" s="1127">
        <v>0.0</v>
      </c>
      <c r="J4199" s="1127">
        <v>0.0</v>
      </c>
      <c r="K4199" s="1124"/>
    </row>
    <row r="4200" ht="15.75" customHeight="1">
      <c r="A4200" s="1119">
        <v>92681.0</v>
      </c>
      <c r="B4200" s="1125" t="s">
        <v>14479</v>
      </c>
      <c r="C4200" s="1126" t="s">
        <v>1788</v>
      </c>
      <c r="D4200" s="1119">
        <v>58.81</v>
      </c>
      <c r="E4200" s="1120">
        <v>26.11</v>
      </c>
      <c r="F4200" s="1121">
        <f t="shared" si="1"/>
        <v>32.7</v>
      </c>
      <c r="G4200" s="1120">
        <v>32.7</v>
      </c>
      <c r="H4200" s="1127">
        <v>0.0</v>
      </c>
      <c r="I4200" s="1127">
        <v>0.0</v>
      </c>
      <c r="J4200" s="1127">
        <v>0.0</v>
      </c>
      <c r="K4200" s="1124"/>
    </row>
    <row r="4201" ht="15.75" customHeight="1">
      <c r="A4201" s="1119">
        <v>92682.0</v>
      </c>
      <c r="B4201" s="1125" t="s">
        <v>14480</v>
      </c>
      <c r="C4201" s="1126" t="s">
        <v>1788</v>
      </c>
      <c r="D4201" s="1119">
        <v>73.38</v>
      </c>
      <c r="E4201" s="1120">
        <v>27.57</v>
      </c>
      <c r="F4201" s="1121">
        <f t="shared" si="1"/>
        <v>45.81</v>
      </c>
      <c r="G4201" s="1120">
        <v>45.81</v>
      </c>
      <c r="H4201" s="1127">
        <v>0.0</v>
      </c>
      <c r="I4201" s="1127">
        <v>0.0</v>
      </c>
      <c r="J4201" s="1127">
        <v>0.0</v>
      </c>
      <c r="K4201" s="1124"/>
    </row>
    <row r="4202" ht="15.75" customHeight="1">
      <c r="A4202" s="1119">
        <v>92683.0</v>
      </c>
      <c r="B4202" s="1125" t="s">
        <v>14481</v>
      </c>
      <c r="C4202" s="1126" t="s">
        <v>1788</v>
      </c>
      <c r="D4202" s="1119">
        <v>85.43</v>
      </c>
      <c r="E4202" s="1120">
        <v>29.31</v>
      </c>
      <c r="F4202" s="1121">
        <f t="shared" si="1"/>
        <v>56.12</v>
      </c>
      <c r="G4202" s="1120">
        <v>56.12</v>
      </c>
      <c r="H4202" s="1127">
        <v>0.0</v>
      </c>
      <c r="I4202" s="1127">
        <v>0.0</v>
      </c>
      <c r="J4202" s="1127">
        <v>0.0</v>
      </c>
      <c r="K4202" s="1124"/>
    </row>
    <row r="4203" ht="15.75" customHeight="1">
      <c r="A4203" s="1119">
        <v>92684.0</v>
      </c>
      <c r="B4203" s="1125" t="s">
        <v>14482</v>
      </c>
      <c r="C4203" s="1126" t="s">
        <v>1788</v>
      </c>
      <c r="D4203" s="1119">
        <v>115.12</v>
      </c>
      <c r="E4203" s="1120">
        <v>31.42</v>
      </c>
      <c r="F4203" s="1121">
        <f t="shared" si="1"/>
        <v>83.7</v>
      </c>
      <c r="G4203" s="1120">
        <v>83.7</v>
      </c>
      <c r="H4203" s="1127">
        <v>0.0</v>
      </c>
      <c r="I4203" s="1127">
        <v>0.0</v>
      </c>
      <c r="J4203" s="1127">
        <v>0.0</v>
      </c>
      <c r="K4203" s="1124"/>
    </row>
    <row r="4204" ht="15.75" customHeight="1">
      <c r="A4204" s="1119">
        <v>92685.0</v>
      </c>
      <c r="B4204" s="1125" t="s">
        <v>14483</v>
      </c>
      <c r="C4204" s="1126" t="s">
        <v>1788</v>
      </c>
      <c r="D4204" s="1119">
        <v>184.57</v>
      </c>
      <c r="E4204" s="1120">
        <v>34.59</v>
      </c>
      <c r="F4204" s="1121">
        <f t="shared" si="1"/>
        <v>149.98</v>
      </c>
      <c r="G4204" s="1120">
        <v>149.98</v>
      </c>
      <c r="H4204" s="1127">
        <v>0.0</v>
      </c>
      <c r="I4204" s="1127">
        <v>0.0</v>
      </c>
      <c r="J4204" s="1127">
        <v>0.0</v>
      </c>
      <c r="K4204" s="1124"/>
    </row>
    <row r="4205" ht="15.75" customHeight="1">
      <c r="A4205" s="1119">
        <v>92686.0</v>
      </c>
      <c r="B4205" s="1125" t="s">
        <v>14484</v>
      </c>
      <c r="C4205" s="1126" t="s">
        <v>1788</v>
      </c>
      <c r="D4205" s="1119">
        <v>235.61</v>
      </c>
      <c r="E4205" s="1120">
        <v>37.77</v>
      </c>
      <c r="F4205" s="1121">
        <f t="shared" si="1"/>
        <v>197.85</v>
      </c>
      <c r="G4205" s="1120">
        <v>197.85</v>
      </c>
      <c r="H4205" s="1127">
        <v>0.0</v>
      </c>
      <c r="I4205" s="1127">
        <v>0.0</v>
      </c>
      <c r="J4205" s="1127">
        <v>0.0</v>
      </c>
      <c r="K4205" s="1124"/>
    </row>
    <row r="4206" ht="15.75" customHeight="1">
      <c r="A4206" s="1119">
        <v>92692.0</v>
      </c>
      <c r="B4206" s="1125" t="s">
        <v>14485</v>
      </c>
      <c r="C4206" s="1126" t="s">
        <v>1788</v>
      </c>
      <c r="D4206" s="1119">
        <v>16.35</v>
      </c>
      <c r="E4206" s="1120">
        <v>7.51</v>
      </c>
      <c r="F4206" s="1121">
        <f t="shared" si="1"/>
        <v>8.84</v>
      </c>
      <c r="G4206" s="1120">
        <v>8.84</v>
      </c>
      <c r="H4206" s="1127">
        <v>0.0</v>
      </c>
      <c r="I4206" s="1127">
        <v>0.0</v>
      </c>
      <c r="J4206" s="1127">
        <v>0.0</v>
      </c>
      <c r="K4206" s="1124"/>
    </row>
    <row r="4207" ht="15.75" customHeight="1">
      <c r="A4207" s="1119">
        <v>92693.0</v>
      </c>
      <c r="B4207" s="1125" t="s">
        <v>14486</v>
      </c>
      <c r="C4207" s="1126" t="s">
        <v>1788</v>
      </c>
      <c r="D4207" s="1119">
        <v>16.8</v>
      </c>
      <c r="E4207" s="1120">
        <v>7.51</v>
      </c>
      <c r="F4207" s="1121">
        <f t="shared" si="1"/>
        <v>9.29</v>
      </c>
      <c r="G4207" s="1120">
        <v>9.29</v>
      </c>
      <c r="H4207" s="1127">
        <v>0.0</v>
      </c>
      <c r="I4207" s="1127">
        <v>0.0</v>
      </c>
      <c r="J4207" s="1127">
        <v>0.0</v>
      </c>
      <c r="K4207" s="1124"/>
    </row>
    <row r="4208" ht="15.75" customHeight="1">
      <c r="A4208" s="1119">
        <v>92694.0</v>
      </c>
      <c r="B4208" s="1125" t="s">
        <v>14487</v>
      </c>
      <c r="C4208" s="1126" t="s">
        <v>1788</v>
      </c>
      <c r="D4208" s="1119">
        <v>26.0</v>
      </c>
      <c r="E4208" s="1120">
        <v>12.91</v>
      </c>
      <c r="F4208" s="1121">
        <f t="shared" si="1"/>
        <v>13.09</v>
      </c>
      <c r="G4208" s="1120">
        <v>13.09</v>
      </c>
      <c r="H4208" s="1127">
        <v>0.0</v>
      </c>
      <c r="I4208" s="1127">
        <v>0.0</v>
      </c>
      <c r="J4208" s="1127">
        <v>0.0</v>
      </c>
      <c r="K4208" s="1124"/>
    </row>
    <row r="4209" ht="15.75" customHeight="1">
      <c r="A4209" s="1119">
        <v>92695.0</v>
      </c>
      <c r="B4209" s="1125" t="s">
        <v>14488</v>
      </c>
      <c r="C4209" s="1126" t="s">
        <v>1788</v>
      </c>
      <c r="D4209" s="1119">
        <v>26.45</v>
      </c>
      <c r="E4209" s="1120">
        <v>12.91</v>
      </c>
      <c r="F4209" s="1121">
        <f t="shared" si="1"/>
        <v>13.54</v>
      </c>
      <c r="G4209" s="1120">
        <v>13.54</v>
      </c>
      <c r="H4209" s="1127">
        <v>0.0</v>
      </c>
      <c r="I4209" s="1127">
        <v>0.0</v>
      </c>
      <c r="J4209" s="1127">
        <v>0.0</v>
      </c>
      <c r="K4209" s="1124"/>
    </row>
    <row r="4210" ht="15.75" customHeight="1">
      <c r="A4210" s="1119">
        <v>92696.0</v>
      </c>
      <c r="B4210" s="1125" t="s">
        <v>14489</v>
      </c>
      <c r="C4210" s="1126" t="s">
        <v>1788</v>
      </c>
      <c r="D4210" s="1119">
        <v>40.78</v>
      </c>
      <c r="E4210" s="1120">
        <v>20.96</v>
      </c>
      <c r="F4210" s="1121">
        <f t="shared" si="1"/>
        <v>19.84</v>
      </c>
      <c r="G4210" s="1120">
        <v>19.84</v>
      </c>
      <c r="H4210" s="1127">
        <v>0.0</v>
      </c>
      <c r="I4210" s="1127">
        <v>0.0</v>
      </c>
      <c r="J4210" s="1127">
        <v>0.0</v>
      </c>
      <c r="K4210" s="1124"/>
    </row>
    <row r="4211" ht="15.75" customHeight="1">
      <c r="A4211" s="1119">
        <v>92697.0</v>
      </c>
      <c r="B4211" s="1125" t="s">
        <v>14490</v>
      </c>
      <c r="C4211" s="1126" t="s">
        <v>1788</v>
      </c>
      <c r="D4211" s="1119">
        <v>42.8</v>
      </c>
      <c r="E4211" s="1120">
        <v>20.94</v>
      </c>
      <c r="F4211" s="1121">
        <f t="shared" si="1"/>
        <v>21.86</v>
      </c>
      <c r="G4211" s="1120">
        <v>21.86</v>
      </c>
      <c r="H4211" s="1127">
        <v>0.0</v>
      </c>
      <c r="I4211" s="1127">
        <v>0.0</v>
      </c>
      <c r="J4211" s="1127">
        <v>0.0</v>
      </c>
      <c r="K4211" s="1124"/>
    </row>
    <row r="4212" ht="15.75" customHeight="1">
      <c r="A4212" s="1119">
        <v>92698.0</v>
      </c>
      <c r="B4212" s="1125" t="s">
        <v>14491</v>
      </c>
      <c r="C4212" s="1126" t="s">
        <v>1788</v>
      </c>
      <c r="D4212" s="1119">
        <v>24.18</v>
      </c>
      <c r="E4212" s="1120">
        <v>11.24</v>
      </c>
      <c r="F4212" s="1121">
        <f t="shared" si="1"/>
        <v>12.93</v>
      </c>
      <c r="G4212" s="1120">
        <v>12.93</v>
      </c>
      <c r="H4212" s="1127">
        <v>0.0</v>
      </c>
      <c r="I4212" s="1127">
        <v>0.0</v>
      </c>
      <c r="J4212" s="1127">
        <v>0.0</v>
      </c>
      <c r="K4212" s="1124"/>
    </row>
    <row r="4213" ht="15.75" customHeight="1">
      <c r="A4213" s="1119">
        <v>92699.0</v>
      </c>
      <c r="B4213" s="1125" t="s">
        <v>14492</v>
      </c>
      <c r="C4213" s="1126" t="s">
        <v>1788</v>
      </c>
      <c r="D4213" s="1119">
        <v>22.73</v>
      </c>
      <c r="E4213" s="1120">
        <v>11.24</v>
      </c>
      <c r="F4213" s="1121">
        <f t="shared" si="1"/>
        <v>11.48</v>
      </c>
      <c r="G4213" s="1120">
        <v>11.48</v>
      </c>
      <c r="H4213" s="1127">
        <v>0.0</v>
      </c>
      <c r="I4213" s="1127">
        <v>0.0</v>
      </c>
      <c r="J4213" s="1127">
        <v>0.0</v>
      </c>
      <c r="K4213" s="1124"/>
    </row>
    <row r="4214" ht="15.75" customHeight="1">
      <c r="A4214" s="1119">
        <v>92700.0</v>
      </c>
      <c r="B4214" s="1125" t="s">
        <v>14493</v>
      </c>
      <c r="C4214" s="1126" t="s">
        <v>1788</v>
      </c>
      <c r="D4214" s="1119">
        <v>39.49</v>
      </c>
      <c r="E4214" s="1120">
        <v>19.33</v>
      </c>
      <c r="F4214" s="1121">
        <f t="shared" si="1"/>
        <v>20.16</v>
      </c>
      <c r="G4214" s="1120">
        <v>20.16</v>
      </c>
      <c r="H4214" s="1127">
        <v>0.0</v>
      </c>
      <c r="I4214" s="1127">
        <v>0.0</v>
      </c>
      <c r="J4214" s="1127">
        <v>0.0</v>
      </c>
      <c r="K4214" s="1124"/>
    </row>
    <row r="4215" ht="15.75" customHeight="1">
      <c r="A4215" s="1119">
        <v>92701.0</v>
      </c>
      <c r="B4215" s="1125" t="s">
        <v>14494</v>
      </c>
      <c r="C4215" s="1126" t="s">
        <v>1788</v>
      </c>
      <c r="D4215" s="1119">
        <v>37.32</v>
      </c>
      <c r="E4215" s="1120">
        <v>19.35</v>
      </c>
      <c r="F4215" s="1121">
        <f t="shared" si="1"/>
        <v>17.99</v>
      </c>
      <c r="G4215" s="1120">
        <v>17.99</v>
      </c>
      <c r="H4215" s="1127">
        <v>0.0</v>
      </c>
      <c r="I4215" s="1127">
        <v>0.0</v>
      </c>
      <c r="J4215" s="1127">
        <v>0.0</v>
      </c>
      <c r="K4215" s="1124"/>
    </row>
    <row r="4216" ht="15.75" customHeight="1">
      <c r="A4216" s="1119">
        <v>92702.0</v>
      </c>
      <c r="B4216" s="1125" t="s">
        <v>14495</v>
      </c>
      <c r="C4216" s="1126" t="s">
        <v>1788</v>
      </c>
      <c r="D4216" s="1119">
        <v>61.83</v>
      </c>
      <c r="E4216" s="1120">
        <v>31.44</v>
      </c>
      <c r="F4216" s="1121">
        <f t="shared" si="1"/>
        <v>30.4</v>
      </c>
      <c r="G4216" s="1120">
        <v>30.4</v>
      </c>
      <c r="H4216" s="1127">
        <v>0.0</v>
      </c>
      <c r="I4216" s="1127">
        <v>0.0</v>
      </c>
      <c r="J4216" s="1127">
        <v>0.0</v>
      </c>
      <c r="K4216" s="1124"/>
    </row>
    <row r="4217" ht="15.75" customHeight="1">
      <c r="A4217" s="1119">
        <v>92703.0</v>
      </c>
      <c r="B4217" s="1125" t="s">
        <v>14496</v>
      </c>
      <c r="C4217" s="1126" t="s">
        <v>1788</v>
      </c>
      <c r="D4217" s="1119">
        <v>59.15</v>
      </c>
      <c r="E4217" s="1120">
        <v>31.44</v>
      </c>
      <c r="F4217" s="1121">
        <f t="shared" si="1"/>
        <v>27.72</v>
      </c>
      <c r="G4217" s="1120">
        <v>27.72</v>
      </c>
      <c r="H4217" s="1127">
        <v>0.0</v>
      </c>
      <c r="I4217" s="1127">
        <v>0.0</v>
      </c>
      <c r="J4217" s="1127">
        <v>0.0</v>
      </c>
      <c r="K4217" s="1124"/>
    </row>
    <row r="4218" ht="15.75" customHeight="1">
      <c r="A4218" s="1119">
        <v>92704.0</v>
      </c>
      <c r="B4218" s="1125" t="s">
        <v>14497</v>
      </c>
      <c r="C4218" s="1126" t="s">
        <v>1788</v>
      </c>
      <c r="D4218" s="1119">
        <v>30.58</v>
      </c>
      <c r="E4218" s="1120">
        <v>15.02</v>
      </c>
      <c r="F4218" s="1121">
        <f t="shared" si="1"/>
        <v>15.56</v>
      </c>
      <c r="G4218" s="1120">
        <v>15.56</v>
      </c>
      <c r="H4218" s="1127">
        <v>0.0</v>
      </c>
      <c r="I4218" s="1127">
        <v>0.0</v>
      </c>
      <c r="J4218" s="1127">
        <v>0.0</v>
      </c>
      <c r="K4218" s="1124"/>
    </row>
    <row r="4219" ht="15.75" customHeight="1">
      <c r="A4219" s="1119">
        <v>92705.0</v>
      </c>
      <c r="B4219" s="1125" t="s">
        <v>14498</v>
      </c>
      <c r="C4219" s="1126" t="s">
        <v>1788</v>
      </c>
      <c r="D4219" s="1119">
        <v>49.32</v>
      </c>
      <c r="E4219" s="1120">
        <v>25.79</v>
      </c>
      <c r="F4219" s="1121">
        <f t="shared" si="1"/>
        <v>23.55</v>
      </c>
      <c r="G4219" s="1120">
        <v>23.55</v>
      </c>
      <c r="H4219" s="1127">
        <v>0.0</v>
      </c>
      <c r="I4219" s="1127">
        <v>0.0</v>
      </c>
      <c r="J4219" s="1127">
        <v>0.0</v>
      </c>
      <c r="K4219" s="1124"/>
    </row>
    <row r="4220" ht="15.75" customHeight="1">
      <c r="A4220" s="1119">
        <v>92706.0</v>
      </c>
      <c r="B4220" s="1125" t="s">
        <v>14499</v>
      </c>
      <c r="C4220" s="1126" t="s">
        <v>1788</v>
      </c>
      <c r="D4220" s="1119">
        <v>79.84</v>
      </c>
      <c r="E4220" s="1120">
        <v>41.93</v>
      </c>
      <c r="F4220" s="1121">
        <f t="shared" si="1"/>
        <v>37.93</v>
      </c>
      <c r="G4220" s="1120">
        <v>37.93</v>
      </c>
      <c r="H4220" s="1127">
        <v>0.0</v>
      </c>
      <c r="I4220" s="1127">
        <v>0.0</v>
      </c>
      <c r="J4220" s="1127">
        <v>0.0</v>
      </c>
      <c r="K4220" s="1124"/>
    </row>
    <row r="4221" ht="15.75" customHeight="1">
      <c r="A4221" s="1119">
        <v>92889.0</v>
      </c>
      <c r="B4221" s="1125" t="s">
        <v>14500</v>
      </c>
      <c r="C4221" s="1126" t="s">
        <v>1788</v>
      </c>
      <c r="D4221" s="1119">
        <v>148.96</v>
      </c>
      <c r="E4221" s="1120">
        <v>27.99</v>
      </c>
      <c r="F4221" s="1121">
        <f t="shared" si="1"/>
        <v>120.97</v>
      </c>
      <c r="G4221" s="1120">
        <v>120.97</v>
      </c>
      <c r="H4221" s="1127">
        <v>0.0</v>
      </c>
      <c r="I4221" s="1127">
        <v>0.0</v>
      </c>
      <c r="J4221" s="1127">
        <v>0.0</v>
      </c>
      <c r="K4221" s="1124"/>
    </row>
    <row r="4222" ht="15.75" customHeight="1">
      <c r="A4222" s="1119">
        <v>92890.0</v>
      </c>
      <c r="B4222" s="1125" t="s">
        <v>14501</v>
      </c>
      <c r="C4222" s="1126" t="s">
        <v>1788</v>
      </c>
      <c r="D4222" s="1119">
        <v>225.07</v>
      </c>
      <c r="E4222" s="1120">
        <v>30.46</v>
      </c>
      <c r="F4222" s="1121">
        <f t="shared" si="1"/>
        <v>194.61</v>
      </c>
      <c r="G4222" s="1120">
        <v>194.61</v>
      </c>
      <c r="H4222" s="1127">
        <v>0.0</v>
      </c>
      <c r="I4222" s="1127">
        <v>0.0</v>
      </c>
      <c r="J4222" s="1127">
        <v>0.0</v>
      </c>
      <c r="K4222" s="1124"/>
    </row>
    <row r="4223" ht="15.75" customHeight="1">
      <c r="A4223" s="1119">
        <v>92891.0</v>
      </c>
      <c r="B4223" s="1125" t="s">
        <v>14502</v>
      </c>
      <c r="C4223" s="1126" t="s">
        <v>1788</v>
      </c>
      <c r="D4223" s="1119">
        <v>329.36</v>
      </c>
      <c r="E4223" s="1120">
        <v>32.89</v>
      </c>
      <c r="F4223" s="1121">
        <f t="shared" si="1"/>
        <v>296.47</v>
      </c>
      <c r="G4223" s="1120">
        <v>296.47</v>
      </c>
      <c r="H4223" s="1127">
        <v>0.0</v>
      </c>
      <c r="I4223" s="1127">
        <v>0.0</v>
      </c>
      <c r="J4223" s="1127">
        <v>0.0</v>
      </c>
      <c r="K4223" s="1124"/>
    </row>
    <row r="4224" ht="15.75" customHeight="1">
      <c r="A4224" s="1119">
        <v>92892.0</v>
      </c>
      <c r="B4224" s="1125" t="s">
        <v>14503</v>
      </c>
      <c r="C4224" s="1126" t="s">
        <v>1788</v>
      </c>
      <c r="D4224" s="1119">
        <v>64.91</v>
      </c>
      <c r="E4224" s="1120">
        <v>21.28</v>
      </c>
      <c r="F4224" s="1121">
        <f t="shared" si="1"/>
        <v>43.63</v>
      </c>
      <c r="G4224" s="1120">
        <v>43.63</v>
      </c>
      <c r="H4224" s="1127">
        <v>0.0</v>
      </c>
      <c r="I4224" s="1127">
        <v>0.0</v>
      </c>
      <c r="J4224" s="1127">
        <v>0.0</v>
      </c>
      <c r="K4224" s="1124"/>
    </row>
    <row r="4225" ht="15.75" customHeight="1">
      <c r="A4225" s="1119">
        <v>92893.0</v>
      </c>
      <c r="B4225" s="1125" t="s">
        <v>14504</v>
      </c>
      <c r="C4225" s="1126" t="s">
        <v>1788</v>
      </c>
      <c r="D4225" s="1119">
        <v>91.92</v>
      </c>
      <c r="E4225" s="1120">
        <v>23.14</v>
      </c>
      <c r="F4225" s="1121">
        <f t="shared" si="1"/>
        <v>68.79</v>
      </c>
      <c r="G4225" s="1120">
        <v>68.79</v>
      </c>
      <c r="H4225" s="1127">
        <v>0.0</v>
      </c>
      <c r="I4225" s="1127">
        <v>0.0</v>
      </c>
      <c r="J4225" s="1127">
        <v>0.0</v>
      </c>
      <c r="K4225" s="1124"/>
    </row>
    <row r="4226" ht="15.75" customHeight="1">
      <c r="A4226" s="1119">
        <v>92894.0</v>
      </c>
      <c r="B4226" s="1125" t="s">
        <v>14505</v>
      </c>
      <c r="C4226" s="1126" t="s">
        <v>1788</v>
      </c>
      <c r="D4226" s="1119">
        <v>109.66</v>
      </c>
      <c r="E4226" s="1120">
        <v>25.26</v>
      </c>
      <c r="F4226" s="1121">
        <f t="shared" si="1"/>
        <v>84.4</v>
      </c>
      <c r="G4226" s="1120">
        <v>84.4</v>
      </c>
      <c r="H4226" s="1127">
        <v>0.0</v>
      </c>
      <c r="I4226" s="1127">
        <v>0.0</v>
      </c>
      <c r="J4226" s="1127">
        <v>0.0</v>
      </c>
      <c r="K4226" s="1124"/>
    </row>
    <row r="4227" ht="15.75" customHeight="1">
      <c r="A4227" s="1119">
        <v>92895.0</v>
      </c>
      <c r="B4227" s="1125" t="s">
        <v>14506</v>
      </c>
      <c r="C4227" s="1126" t="s">
        <v>1788</v>
      </c>
      <c r="D4227" s="1119">
        <v>148.91</v>
      </c>
      <c r="E4227" s="1120">
        <v>27.95</v>
      </c>
      <c r="F4227" s="1121">
        <f t="shared" si="1"/>
        <v>120.96</v>
      </c>
      <c r="G4227" s="1120">
        <v>120.96</v>
      </c>
      <c r="H4227" s="1127">
        <v>0.0</v>
      </c>
      <c r="I4227" s="1127">
        <v>0.0</v>
      </c>
      <c r="J4227" s="1127">
        <v>0.0</v>
      </c>
      <c r="K4227" s="1124"/>
    </row>
    <row r="4228" ht="15.75" customHeight="1">
      <c r="A4228" s="1119">
        <v>92896.0</v>
      </c>
      <c r="B4228" s="1125" t="s">
        <v>14507</v>
      </c>
      <c r="C4228" s="1126" t="s">
        <v>1788</v>
      </c>
      <c r="D4228" s="1119">
        <v>227.04</v>
      </c>
      <c r="E4228" s="1120">
        <v>31.95</v>
      </c>
      <c r="F4228" s="1121">
        <f t="shared" si="1"/>
        <v>195.1</v>
      </c>
      <c r="G4228" s="1120">
        <v>195.1</v>
      </c>
      <c r="H4228" s="1127">
        <v>0.0</v>
      </c>
      <c r="I4228" s="1127">
        <v>0.0</v>
      </c>
      <c r="J4228" s="1127">
        <v>0.0</v>
      </c>
      <c r="K4228" s="1124"/>
    </row>
    <row r="4229" ht="15.75" customHeight="1">
      <c r="A4229" s="1119">
        <v>92897.0</v>
      </c>
      <c r="B4229" s="1125" t="s">
        <v>14508</v>
      </c>
      <c r="C4229" s="1126" t="s">
        <v>1788</v>
      </c>
      <c r="D4229" s="1119">
        <v>333.41</v>
      </c>
      <c r="E4229" s="1120">
        <v>35.94</v>
      </c>
      <c r="F4229" s="1121">
        <f t="shared" si="1"/>
        <v>297.48</v>
      </c>
      <c r="G4229" s="1120">
        <v>297.48</v>
      </c>
      <c r="H4229" s="1127">
        <v>0.0</v>
      </c>
      <c r="I4229" s="1127">
        <v>0.0</v>
      </c>
      <c r="J4229" s="1127">
        <v>0.0</v>
      </c>
      <c r="K4229" s="1124"/>
    </row>
    <row r="4230" ht="15.75" customHeight="1">
      <c r="A4230" s="1119">
        <v>92898.0</v>
      </c>
      <c r="B4230" s="1125" t="s">
        <v>14509</v>
      </c>
      <c r="C4230" s="1126" t="s">
        <v>1788</v>
      </c>
      <c r="D4230" s="1119">
        <v>53.98</v>
      </c>
      <c r="E4230" s="1120">
        <v>13.06</v>
      </c>
      <c r="F4230" s="1121">
        <f t="shared" si="1"/>
        <v>40.92</v>
      </c>
      <c r="G4230" s="1120">
        <v>40.92</v>
      </c>
      <c r="H4230" s="1127">
        <v>0.0</v>
      </c>
      <c r="I4230" s="1127">
        <v>0.0</v>
      </c>
      <c r="J4230" s="1127">
        <v>0.0</v>
      </c>
      <c r="K4230" s="1124"/>
    </row>
    <row r="4231" ht="15.75" customHeight="1">
      <c r="A4231" s="1119">
        <v>92899.0</v>
      </c>
      <c r="B4231" s="1125" t="s">
        <v>14510</v>
      </c>
      <c r="C4231" s="1126" t="s">
        <v>1788</v>
      </c>
      <c r="D4231" s="1119">
        <v>79.49</v>
      </c>
      <c r="E4231" s="1120">
        <v>13.78</v>
      </c>
      <c r="F4231" s="1121">
        <f t="shared" si="1"/>
        <v>65.7</v>
      </c>
      <c r="G4231" s="1120">
        <v>65.7</v>
      </c>
      <c r="H4231" s="1127">
        <v>0.0</v>
      </c>
      <c r="I4231" s="1127">
        <v>0.0</v>
      </c>
      <c r="J4231" s="1127">
        <v>0.0</v>
      </c>
      <c r="K4231" s="1124"/>
    </row>
    <row r="4232" ht="15.75" customHeight="1">
      <c r="A4232" s="1119">
        <v>92900.0</v>
      </c>
      <c r="B4232" s="1125" t="s">
        <v>14511</v>
      </c>
      <c r="C4232" s="1126" t="s">
        <v>1788</v>
      </c>
      <c r="D4232" s="1119">
        <v>95.5</v>
      </c>
      <c r="E4232" s="1120">
        <v>14.62</v>
      </c>
      <c r="F4232" s="1121">
        <f t="shared" si="1"/>
        <v>80.88</v>
      </c>
      <c r="G4232" s="1120">
        <v>80.88</v>
      </c>
      <c r="H4232" s="1127">
        <v>0.0</v>
      </c>
      <c r="I4232" s="1127">
        <v>0.0</v>
      </c>
      <c r="J4232" s="1127">
        <v>0.0</v>
      </c>
      <c r="K4232" s="1124"/>
    </row>
    <row r="4233" ht="15.75" customHeight="1">
      <c r="A4233" s="1119">
        <v>92901.0</v>
      </c>
      <c r="B4233" s="1125" t="s">
        <v>14512</v>
      </c>
      <c r="C4233" s="1126" t="s">
        <v>1788</v>
      </c>
      <c r="D4233" s="1119">
        <v>132.6</v>
      </c>
      <c r="E4233" s="1120">
        <v>15.7</v>
      </c>
      <c r="F4233" s="1121">
        <f t="shared" si="1"/>
        <v>116.91</v>
      </c>
      <c r="G4233" s="1120">
        <v>116.91</v>
      </c>
      <c r="H4233" s="1127">
        <v>0.0</v>
      </c>
      <c r="I4233" s="1127">
        <v>0.0</v>
      </c>
      <c r="J4233" s="1127">
        <v>0.0</v>
      </c>
      <c r="K4233" s="1124"/>
    </row>
    <row r="4234" ht="15.75" customHeight="1">
      <c r="A4234" s="1119">
        <v>92902.0</v>
      </c>
      <c r="B4234" s="1125" t="s">
        <v>14513</v>
      </c>
      <c r="C4234" s="1126" t="s">
        <v>1788</v>
      </c>
      <c r="D4234" s="1119">
        <v>207.51</v>
      </c>
      <c r="E4234" s="1120">
        <v>17.26</v>
      </c>
      <c r="F4234" s="1121">
        <f t="shared" si="1"/>
        <v>190.25</v>
      </c>
      <c r="G4234" s="1120">
        <v>190.25</v>
      </c>
      <c r="H4234" s="1127">
        <v>0.0</v>
      </c>
      <c r="I4234" s="1127">
        <v>0.0</v>
      </c>
      <c r="J4234" s="1127">
        <v>0.0</v>
      </c>
      <c r="K4234" s="1124"/>
    </row>
    <row r="4235" ht="15.75" customHeight="1">
      <c r="A4235" s="1119">
        <v>92903.0</v>
      </c>
      <c r="B4235" s="1125" t="s">
        <v>14514</v>
      </c>
      <c r="C4235" s="1126" t="s">
        <v>1788</v>
      </c>
      <c r="D4235" s="1119">
        <v>310.69</v>
      </c>
      <c r="E4235" s="1120">
        <v>18.86</v>
      </c>
      <c r="F4235" s="1121">
        <f t="shared" si="1"/>
        <v>291.83</v>
      </c>
      <c r="G4235" s="1120">
        <v>291.83</v>
      </c>
      <c r="H4235" s="1127">
        <v>0.0</v>
      </c>
      <c r="I4235" s="1127">
        <v>0.0</v>
      </c>
      <c r="J4235" s="1127">
        <v>0.0</v>
      </c>
      <c r="K4235" s="1124"/>
    </row>
    <row r="4236" ht="15.75" customHeight="1">
      <c r="A4236" s="1119">
        <v>92904.0</v>
      </c>
      <c r="B4236" s="1125" t="s">
        <v>14515</v>
      </c>
      <c r="C4236" s="1126" t="s">
        <v>1788</v>
      </c>
      <c r="D4236" s="1119">
        <v>36.67</v>
      </c>
      <c r="E4236" s="1120">
        <v>7.49</v>
      </c>
      <c r="F4236" s="1121">
        <f t="shared" si="1"/>
        <v>29.18</v>
      </c>
      <c r="G4236" s="1120">
        <v>29.18</v>
      </c>
      <c r="H4236" s="1127">
        <v>0.0</v>
      </c>
      <c r="I4236" s="1127">
        <v>0.0</v>
      </c>
      <c r="J4236" s="1127">
        <v>0.0</v>
      </c>
      <c r="K4236" s="1124"/>
    </row>
    <row r="4237" ht="15.75" customHeight="1">
      <c r="A4237" s="1119">
        <v>92905.0</v>
      </c>
      <c r="B4237" s="1125" t="s">
        <v>14516</v>
      </c>
      <c r="C4237" s="1126" t="s">
        <v>1788</v>
      </c>
      <c r="D4237" s="1119">
        <v>52.52</v>
      </c>
      <c r="E4237" s="1120">
        <v>12.89</v>
      </c>
      <c r="F4237" s="1121">
        <f t="shared" si="1"/>
        <v>39.63</v>
      </c>
      <c r="G4237" s="1120">
        <v>39.63</v>
      </c>
      <c r="H4237" s="1127">
        <v>0.0</v>
      </c>
      <c r="I4237" s="1127">
        <v>0.0</v>
      </c>
      <c r="J4237" s="1127">
        <v>0.0</v>
      </c>
      <c r="K4237" s="1124"/>
    </row>
    <row r="4238" ht="15.75" customHeight="1">
      <c r="A4238" s="1119">
        <v>92906.0</v>
      </c>
      <c r="B4238" s="1125" t="s">
        <v>14517</v>
      </c>
      <c r="C4238" s="1126" t="s">
        <v>1788</v>
      </c>
      <c r="D4238" s="1119">
        <v>64.45</v>
      </c>
      <c r="E4238" s="1120">
        <v>20.93</v>
      </c>
      <c r="F4238" s="1121">
        <f t="shared" si="1"/>
        <v>43.52</v>
      </c>
      <c r="G4238" s="1120">
        <v>43.52</v>
      </c>
      <c r="H4238" s="1127">
        <v>0.0</v>
      </c>
      <c r="I4238" s="1127">
        <v>0.0</v>
      </c>
      <c r="J4238" s="1127">
        <v>0.0</v>
      </c>
      <c r="K4238" s="1124"/>
    </row>
    <row r="4239" ht="15.75" customHeight="1">
      <c r="A4239" s="1119">
        <v>92907.0</v>
      </c>
      <c r="B4239" s="1125" t="s">
        <v>14518</v>
      </c>
      <c r="C4239" s="1126" t="s">
        <v>1788</v>
      </c>
      <c r="D4239" s="1119">
        <v>80.43</v>
      </c>
      <c r="E4239" s="1120">
        <v>28.0</v>
      </c>
      <c r="F4239" s="1121">
        <f t="shared" si="1"/>
        <v>52.43</v>
      </c>
      <c r="G4239" s="1120">
        <v>52.43</v>
      </c>
      <c r="H4239" s="1127">
        <v>0.0</v>
      </c>
      <c r="I4239" s="1127">
        <v>0.0</v>
      </c>
      <c r="J4239" s="1127">
        <v>0.0</v>
      </c>
      <c r="K4239" s="1124"/>
    </row>
    <row r="4240" ht="15.75" customHeight="1">
      <c r="A4240" s="1119">
        <v>92908.0</v>
      </c>
      <c r="B4240" s="1125" t="s">
        <v>14519</v>
      </c>
      <c r="C4240" s="1126" t="s">
        <v>1788</v>
      </c>
      <c r="D4240" s="1119">
        <v>80.43</v>
      </c>
      <c r="E4240" s="1120">
        <v>28.0</v>
      </c>
      <c r="F4240" s="1121">
        <f t="shared" si="1"/>
        <v>52.43</v>
      </c>
      <c r="G4240" s="1120">
        <v>52.43</v>
      </c>
      <c r="H4240" s="1127">
        <v>0.0</v>
      </c>
      <c r="I4240" s="1127">
        <v>0.0</v>
      </c>
      <c r="J4240" s="1127">
        <v>0.0</v>
      </c>
      <c r="K4240" s="1124"/>
    </row>
    <row r="4241" ht="15.75" customHeight="1">
      <c r="A4241" s="1119">
        <v>92909.0</v>
      </c>
      <c r="B4241" s="1125" t="s">
        <v>14520</v>
      </c>
      <c r="C4241" s="1126" t="s">
        <v>1788</v>
      </c>
      <c r="D4241" s="1119">
        <v>80.43</v>
      </c>
      <c r="E4241" s="1120">
        <v>28.0</v>
      </c>
      <c r="F4241" s="1121">
        <f t="shared" si="1"/>
        <v>52.43</v>
      </c>
      <c r="G4241" s="1120">
        <v>52.43</v>
      </c>
      <c r="H4241" s="1127">
        <v>0.0</v>
      </c>
      <c r="I4241" s="1127">
        <v>0.0</v>
      </c>
      <c r="J4241" s="1127">
        <v>0.0</v>
      </c>
      <c r="K4241" s="1124"/>
    </row>
    <row r="4242" ht="15.75" customHeight="1">
      <c r="A4242" s="1119">
        <v>92910.0</v>
      </c>
      <c r="B4242" s="1125" t="s">
        <v>14521</v>
      </c>
      <c r="C4242" s="1126" t="s">
        <v>1788</v>
      </c>
      <c r="D4242" s="1119">
        <v>115.93</v>
      </c>
      <c r="E4242" s="1120">
        <v>30.47</v>
      </c>
      <c r="F4242" s="1121">
        <f t="shared" si="1"/>
        <v>85.46</v>
      </c>
      <c r="G4242" s="1120">
        <v>85.46</v>
      </c>
      <c r="H4242" s="1127">
        <v>0.0</v>
      </c>
      <c r="I4242" s="1127">
        <v>0.0</v>
      </c>
      <c r="J4242" s="1127">
        <v>0.0</v>
      </c>
      <c r="K4242" s="1124"/>
    </row>
    <row r="4243" ht="15.75" customHeight="1">
      <c r="A4243" s="1119">
        <v>92911.0</v>
      </c>
      <c r="B4243" s="1125" t="s">
        <v>14522</v>
      </c>
      <c r="C4243" s="1126" t="s">
        <v>1788</v>
      </c>
      <c r="D4243" s="1119">
        <v>115.93</v>
      </c>
      <c r="E4243" s="1120">
        <v>30.47</v>
      </c>
      <c r="F4243" s="1121">
        <f t="shared" si="1"/>
        <v>85.46</v>
      </c>
      <c r="G4243" s="1120">
        <v>85.46</v>
      </c>
      <c r="H4243" s="1127">
        <v>0.0</v>
      </c>
      <c r="I4243" s="1127">
        <v>0.0</v>
      </c>
      <c r="J4243" s="1127">
        <v>0.0</v>
      </c>
      <c r="K4243" s="1124"/>
    </row>
    <row r="4244" ht="15.75" customHeight="1">
      <c r="A4244" s="1119">
        <v>92912.0</v>
      </c>
      <c r="B4244" s="1125" t="s">
        <v>14523</v>
      </c>
      <c r="C4244" s="1126" t="s">
        <v>1788</v>
      </c>
      <c r="D4244" s="1119">
        <v>154.99</v>
      </c>
      <c r="E4244" s="1120">
        <v>30.47</v>
      </c>
      <c r="F4244" s="1121">
        <f t="shared" si="1"/>
        <v>124.52</v>
      </c>
      <c r="G4244" s="1120">
        <v>124.52</v>
      </c>
      <c r="H4244" s="1127">
        <v>0.0</v>
      </c>
      <c r="I4244" s="1127">
        <v>0.0</v>
      </c>
      <c r="J4244" s="1127">
        <v>0.0</v>
      </c>
      <c r="K4244" s="1124"/>
    </row>
    <row r="4245" ht="15.75" customHeight="1">
      <c r="A4245" s="1119">
        <v>92913.0</v>
      </c>
      <c r="B4245" s="1125" t="s">
        <v>14524</v>
      </c>
      <c r="C4245" s="1126" t="s">
        <v>1788</v>
      </c>
      <c r="D4245" s="1119">
        <v>158.36</v>
      </c>
      <c r="E4245" s="1120">
        <v>32.9</v>
      </c>
      <c r="F4245" s="1121">
        <f t="shared" si="1"/>
        <v>125.47</v>
      </c>
      <c r="G4245" s="1120">
        <v>125.47</v>
      </c>
      <c r="H4245" s="1127">
        <v>0.0</v>
      </c>
      <c r="I4245" s="1127">
        <v>0.0</v>
      </c>
      <c r="J4245" s="1127">
        <v>0.0</v>
      </c>
      <c r="K4245" s="1124"/>
    </row>
    <row r="4246" ht="15.75" customHeight="1">
      <c r="A4246" s="1119">
        <v>92914.0</v>
      </c>
      <c r="B4246" s="1125" t="s">
        <v>14525</v>
      </c>
      <c r="C4246" s="1126" t="s">
        <v>1788</v>
      </c>
      <c r="D4246" s="1119">
        <v>158.36</v>
      </c>
      <c r="E4246" s="1120">
        <v>32.9</v>
      </c>
      <c r="F4246" s="1121">
        <f t="shared" si="1"/>
        <v>125.47</v>
      </c>
      <c r="G4246" s="1120">
        <v>125.47</v>
      </c>
      <c r="H4246" s="1127">
        <v>0.0</v>
      </c>
      <c r="I4246" s="1127">
        <v>0.0</v>
      </c>
      <c r="J4246" s="1127">
        <v>0.0</v>
      </c>
      <c r="K4246" s="1124"/>
    </row>
    <row r="4247" ht="15.75" customHeight="1">
      <c r="A4247" s="1119">
        <v>92918.0</v>
      </c>
      <c r="B4247" s="1125" t="s">
        <v>14526</v>
      </c>
      <c r="C4247" s="1126" t="s">
        <v>1788</v>
      </c>
      <c r="D4247" s="1119">
        <v>43.09</v>
      </c>
      <c r="E4247" s="1120">
        <v>21.29</v>
      </c>
      <c r="F4247" s="1121">
        <f t="shared" si="1"/>
        <v>21.8</v>
      </c>
      <c r="G4247" s="1120">
        <v>21.8</v>
      </c>
      <c r="H4247" s="1127">
        <v>0.0</v>
      </c>
      <c r="I4247" s="1127">
        <v>0.0</v>
      </c>
      <c r="J4247" s="1127">
        <v>0.0</v>
      </c>
      <c r="K4247" s="1124"/>
    </row>
    <row r="4248" ht="15.75" customHeight="1">
      <c r="A4248" s="1119">
        <v>92920.0</v>
      </c>
      <c r="B4248" s="1125" t="s">
        <v>14527</v>
      </c>
      <c r="C4248" s="1126" t="s">
        <v>1788</v>
      </c>
      <c r="D4248" s="1119">
        <v>43.37</v>
      </c>
      <c r="E4248" s="1120">
        <v>21.29</v>
      </c>
      <c r="F4248" s="1121">
        <f t="shared" si="1"/>
        <v>22.08</v>
      </c>
      <c r="G4248" s="1120">
        <v>22.08</v>
      </c>
      <c r="H4248" s="1127">
        <v>0.0</v>
      </c>
      <c r="I4248" s="1127">
        <v>0.0</v>
      </c>
      <c r="J4248" s="1127">
        <v>0.0</v>
      </c>
      <c r="K4248" s="1124"/>
    </row>
    <row r="4249" ht="15.75" customHeight="1">
      <c r="A4249" s="1119">
        <v>92925.0</v>
      </c>
      <c r="B4249" s="1125" t="s">
        <v>14528</v>
      </c>
      <c r="C4249" s="1126" t="s">
        <v>1788</v>
      </c>
      <c r="D4249" s="1119">
        <v>53.17</v>
      </c>
      <c r="E4249" s="1120">
        <v>23.15</v>
      </c>
      <c r="F4249" s="1121">
        <f t="shared" si="1"/>
        <v>30.02</v>
      </c>
      <c r="G4249" s="1120">
        <v>30.02</v>
      </c>
      <c r="H4249" s="1127">
        <v>0.0</v>
      </c>
      <c r="I4249" s="1127">
        <v>0.0</v>
      </c>
      <c r="J4249" s="1127">
        <v>0.0</v>
      </c>
      <c r="K4249" s="1124"/>
    </row>
    <row r="4250" ht="15.75" customHeight="1">
      <c r="A4250" s="1119">
        <v>92926.0</v>
      </c>
      <c r="B4250" s="1125" t="s">
        <v>14529</v>
      </c>
      <c r="C4250" s="1126" t="s">
        <v>1788</v>
      </c>
      <c r="D4250" s="1119">
        <v>53.15</v>
      </c>
      <c r="E4250" s="1120">
        <v>23.15</v>
      </c>
      <c r="F4250" s="1121">
        <f t="shared" si="1"/>
        <v>30</v>
      </c>
      <c r="G4250" s="1120">
        <v>30.0</v>
      </c>
      <c r="H4250" s="1127">
        <v>0.0</v>
      </c>
      <c r="I4250" s="1127">
        <v>0.0</v>
      </c>
      <c r="J4250" s="1127">
        <v>0.0</v>
      </c>
      <c r="K4250" s="1124"/>
    </row>
    <row r="4251" ht="15.75" customHeight="1">
      <c r="A4251" s="1119">
        <v>92927.0</v>
      </c>
      <c r="B4251" s="1125" t="s">
        <v>14530</v>
      </c>
      <c r="C4251" s="1126" t="s">
        <v>1788</v>
      </c>
      <c r="D4251" s="1119">
        <v>53.15</v>
      </c>
      <c r="E4251" s="1120">
        <v>23.15</v>
      </c>
      <c r="F4251" s="1121">
        <f t="shared" si="1"/>
        <v>30</v>
      </c>
      <c r="G4251" s="1120">
        <v>30.0</v>
      </c>
      <c r="H4251" s="1127">
        <v>0.0</v>
      </c>
      <c r="I4251" s="1127">
        <v>0.0</v>
      </c>
      <c r="J4251" s="1127">
        <v>0.0</v>
      </c>
      <c r="K4251" s="1124"/>
    </row>
    <row r="4252" ht="15.75" customHeight="1">
      <c r="A4252" s="1119">
        <v>92928.0</v>
      </c>
      <c r="B4252" s="1125" t="s">
        <v>14531</v>
      </c>
      <c r="C4252" s="1126" t="s">
        <v>1788</v>
      </c>
      <c r="D4252" s="1119">
        <v>60.7</v>
      </c>
      <c r="E4252" s="1120">
        <v>25.27</v>
      </c>
      <c r="F4252" s="1121">
        <f t="shared" si="1"/>
        <v>35.43</v>
      </c>
      <c r="G4252" s="1120">
        <v>35.43</v>
      </c>
      <c r="H4252" s="1127">
        <v>0.0</v>
      </c>
      <c r="I4252" s="1127">
        <v>0.0</v>
      </c>
      <c r="J4252" s="1127">
        <v>0.0</v>
      </c>
      <c r="K4252" s="1124"/>
    </row>
    <row r="4253" ht="15.75" customHeight="1">
      <c r="A4253" s="1119">
        <v>92929.0</v>
      </c>
      <c r="B4253" s="1125" t="s">
        <v>14532</v>
      </c>
      <c r="C4253" s="1126" t="s">
        <v>1788</v>
      </c>
      <c r="D4253" s="1119">
        <v>60.7</v>
      </c>
      <c r="E4253" s="1120">
        <v>25.27</v>
      </c>
      <c r="F4253" s="1121">
        <f t="shared" si="1"/>
        <v>35.43</v>
      </c>
      <c r="G4253" s="1120">
        <v>35.43</v>
      </c>
      <c r="H4253" s="1127">
        <v>0.0</v>
      </c>
      <c r="I4253" s="1127">
        <v>0.0</v>
      </c>
      <c r="J4253" s="1127">
        <v>0.0</v>
      </c>
      <c r="K4253" s="1124"/>
    </row>
    <row r="4254" ht="15.75" customHeight="1">
      <c r="A4254" s="1119">
        <v>92930.0</v>
      </c>
      <c r="B4254" s="1125" t="s">
        <v>14533</v>
      </c>
      <c r="C4254" s="1126" t="s">
        <v>1788</v>
      </c>
      <c r="D4254" s="1119">
        <v>60.7</v>
      </c>
      <c r="E4254" s="1120">
        <v>25.27</v>
      </c>
      <c r="F4254" s="1121">
        <f t="shared" si="1"/>
        <v>35.43</v>
      </c>
      <c r="G4254" s="1120">
        <v>35.43</v>
      </c>
      <c r="H4254" s="1127">
        <v>0.0</v>
      </c>
      <c r="I4254" s="1127">
        <v>0.0</v>
      </c>
      <c r="J4254" s="1127">
        <v>0.0</v>
      </c>
      <c r="K4254" s="1124"/>
    </row>
    <row r="4255" ht="15.75" customHeight="1">
      <c r="A4255" s="1119">
        <v>92931.0</v>
      </c>
      <c r="B4255" s="1125" t="s">
        <v>14534</v>
      </c>
      <c r="C4255" s="1126" t="s">
        <v>1788</v>
      </c>
      <c r="D4255" s="1119">
        <v>80.38</v>
      </c>
      <c r="E4255" s="1120">
        <v>27.96</v>
      </c>
      <c r="F4255" s="1121">
        <f t="shared" si="1"/>
        <v>52.42</v>
      </c>
      <c r="G4255" s="1120">
        <v>52.42</v>
      </c>
      <c r="H4255" s="1127">
        <v>0.0</v>
      </c>
      <c r="I4255" s="1127">
        <v>0.0</v>
      </c>
      <c r="J4255" s="1127">
        <v>0.0</v>
      </c>
      <c r="K4255" s="1124"/>
    </row>
    <row r="4256" ht="15.75" customHeight="1">
      <c r="A4256" s="1119">
        <v>92932.0</v>
      </c>
      <c r="B4256" s="1125" t="s">
        <v>14535</v>
      </c>
      <c r="C4256" s="1126" t="s">
        <v>1788</v>
      </c>
      <c r="D4256" s="1119">
        <v>80.38</v>
      </c>
      <c r="E4256" s="1120">
        <v>27.96</v>
      </c>
      <c r="F4256" s="1121">
        <f t="shared" si="1"/>
        <v>52.42</v>
      </c>
      <c r="G4256" s="1120">
        <v>52.42</v>
      </c>
      <c r="H4256" s="1127">
        <v>0.0</v>
      </c>
      <c r="I4256" s="1127">
        <v>0.0</v>
      </c>
      <c r="J4256" s="1127">
        <v>0.0</v>
      </c>
      <c r="K4256" s="1124"/>
    </row>
    <row r="4257" ht="15.75" customHeight="1">
      <c r="A4257" s="1119">
        <v>92933.0</v>
      </c>
      <c r="B4257" s="1125" t="s">
        <v>14536</v>
      </c>
      <c r="C4257" s="1126" t="s">
        <v>1788</v>
      </c>
      <c r="D4257" s="1119">
        <v>80.38</v>
      </c>
      <c r="E4257" s="1120">
        <v>27.96</v>
      </c>
      <c r="F4257" s="1121">
        <f t="shared" si="1"/>
        <v>52.42</v>
      </c>
      <c r="G4257" s="1120">
        <v>52.42</v>
      </c>
      <c r="H4257" s="1127">
        <v>0.0</v>
      </c>
      <c r="I4257" s="1127">
        <v>0.0</v>
      </c>
      <c r="J4257" s="1127">
        <v>0.0</v>
      </c>
      <c r="K4257" s="1124"/>
    </row>
    <row r="4258" ht="15.75" customHeight="1">
      <c r="A4258" s="1119">
        <v>92934.0</v>
      </c>
      <c r="B4258" s="1125" t="s">
        <v>14537</v>
      </c>
      <c r="C4258" s="1126" t="s">
        <v>1788</v>
      </c>
      <c r="D4258" s="1119">
        <v>117.9</v>
      </c>
      <c r="E4258" s="1120">
        <v>31.96</v>
      </c>
      <c r="F4258" s="1121">
        <f t="shared" si="1"/>
        <v>85.95</v>
      </c>
      <c r="G4258" s="1120">
        <v>85.95</v>
      </c>
      <c r="H4258" s="1127">
        <v>0.0</v>
      </c>
      <c r="I4258" s="1127">
        <v>0.0</v>
      </c>
      <c r="J4258" s="1127">
        <v>0.0</v>
      </c>
      <c r="K4258" s="1124"/>
    </row>
    <row r="4259" ht="15.75" customHeight="1">
      <c r="A4259" s="1119">
        <v>92935.0</v>
      </c>
      <c r="B4259" s="1125" t="s">
        <v>14538</v>
      </c>
      <c r="C4259" s="1126" t="s">
        <v>1788</v>
      </c>
      <c r="D4259" s="1119">
        <v>117.9</v>
      </c>
      <c r="E4259" s="1120">
        <v>31.96</v>
      </c>
      <c r="F4259" s="1121">
        <f t="shared" si="1"/>
        <v>85.95</v>
      </c>
      <c r="G4259" s="1120">
        <v>85.95</v>
      </c>
      <c r="H4259" s="1127">
        <v>0.0</v>
      </c>
      <c r="I4259" s="1127">
        <v>0.0</v>
      </c>
      <c r="J4259" s="1127">
        <v>0.0</v>
      </c>
      <c r="K4259" s="1124"/>
    </row>
    <row r="4260" ht="15.75" customHeight="1">
      <c r="A4260" s="1119">
        <v>92936.0</v>
      </c>
      <c r="B4260" s="1125" t="s">
        <v>14539</v>
      </c>
      <c r="C4260" s="1126" t="s">
        <v>1788</v>
      </c>
      <c r="D4260" s="1119">
        <v>162.41</v>
      </c>
      <c r="E4260" s="1120">
        <v>35.95</v>
      </c>
      <c r="F4260" s="1121">
        <f t="shared" si="1"/>
        <v>126.47</v>
      </c>
      <c r="G4260" s="1120">
        <v>126.47</v>
      </c>
      <c r="H4260" s="1127">
        <v>0.0</v>
      </c>
      <c r="I4260" s="1127">
        <v>0.0</v>
      </c>
      <c r="J4260" s="1127">
        <v>0.0</v>
      </c>
      <c r="K4260" s="1124"/>
    </row>
    <row r="4261" ht="15.75" customHeight="1">
      <c r="A4261" s="1119">
        <v>92937.0</v>
      </c>
      <c r="B4261" s="1125" t="s">
        <v>14540</v>
      </c>
      <c r="C4261" s="1126" t="s">
        <v>1788</v>
      </c>
      <c r="D4261" s="1119">
        <v>162.41</v>
      </c>
      <c r="E4261" s="1120">
        <v>35.95</v>
      </c>
      <c r="F4261" s="1121">
        <f t="shared" si="1"/>
        <v>126.47</v>
      </c>
      <c r="G4261" s="1120">
        <v>126.47</v>
      </c>
      <c r="H4261" s="1127">
        <v>0.0</v>
      </c>
      <c r="I4261" s="1127">
        <v>0.0</v>
      </c>
      <c r="J4261" s="1127">
        <v>0.0</v>
      </c>
      <c r="K4261" s="1124"/>
    </row>
    <row r="4262" ht="15.75" customHeight="1">
      <c r="A4262" s="1119">
        <v>92938.0</v>
      </c>
      <c r="B4262" s="1125" t="s">
        <v>14541</v>
      </c>
      <c r="C4262" s="1126" t="s">
        <v>1788</v>
      </c>
      <c r="D4262" s="1119">
        <v>32.16</v>
      </c>
      <c r="E4262" s="1120">
        <v>13.07</v>
      </c>
      <c r="F4262" s="1121">
        <f t="shared" si="1"/>
        <v>19.1</v>
      </c>
      <c r="G4262" s="1120">
        <v>19.1</v>
      </c>
      <c r="H4262" s="1127">
        <v>0.0</v>
      </c>
      <c r="I4262" s="1127">
        <v>0.0</v>
      </c>
      <c r="J4262" s="1127">
        <v>0.0</v>
      </c>
      <c r="K4262" s="1124"/>
    </row>
    <row r="4263" ht="15.75" customHeight="1">
      <c r="A4263" s="1119">
        <v>92939.0</v>
      </c>
      <c r="B4263" s="1125" t="s">
        <v>14542</v>
      </c>
      <c r="C4263" s="1126" t="s">
        <v>1788</v>
      </c>
      <c r="D4263" s="1119">
        <v>32.44</v>
      </c>
      <c r="E4263" s="1120">
        <v>13.07</v>
      </c>
      <c r="F4263" s="1121">
        <f t="shared" si="1"/>
        <v>19.38</v>
      </c>
      <c r="G4263" s="1120">
        <v>19.38</v>
      </c>
      <c r="H4263" s="1127">
        <v>0.0</v>
      </c>
      <c r="I4263" s="1127">
        <v>0.0</v>
      </c>
      <c r="J4263" s="1127">
        <v>0.0</v>
      </c>
      <c r="K4263" s="1124"/>
    </row>
    <row r="4264" ht="15.75" customHeight="1">
      <c r="A4264" s="1119">
        <v>92940.0</v>
      </c>
      <c r="B4264" s="1125" t="s">
        <v>14543</v>
      </c>
      <c r="C4264" s="1126" t="s">
        <v>1788</v>
      </c>
      <c r="D4264" s="1119">
        <v>40.74</v>
      </c>
      <c r="E4264" s="1120">
        <v>13.79</v>
      </c>
      <c r="F4264" s="1121">
        <f t="shared" si="1"/>
        <v>26.94</v>
      </c>
      <c r="G4264" s="1120">
        <v>26.94</v>
      </c>
      <c r="H4264" s="1127">
        <v>0.0</v>
      </c>
      <c r="I4264" s="1127">
        <v>0.0</v>
      </c>
      <c r="J4264" s="1127">
        <v>0.0</v>
      </c>
      <c r="K4264" s="1124"/>
    </row>
    <row r="4265" ht="15.75" customHeight="1">
      <c r="A4265" s="1119">
        <v>92941.0</v>
      </c>
      <c r="B4265" s="1125" t="s">
        <v>14544</v>
      </c>
      <c r="C4265" s="1126" t="s">
        <v>1788</v>
      </c>
      <c r="D4265" s="1119">
        <v>40.72</v>
      </c>
      <c r="E4265" s="1120">
        <v>13.79</v>
      </c>
      <c r="F4265" s="1121">
        <f t="shared" si="1"/>
        <v>26.92</v>
      </c>
      <c r="G4265" s="1120">
        <v>26.92</v>
      </c>
      <c r="H4265" s="1127">
        <v>0.0</v>
      </c>
      <c r="I4265" s="1127">
        <v>0.0</v>
      </c>
      <c r="J4265" s="1127">
        <v>0.0</v>
      </c>
      <c r="K4265" s="1124"/>
    </row>
    <row r="4266" ht="15.75" customHeight="1">
      <c r="A4266" s="1119">
        <v>92942.0</v>
      </c>
      <c r="B4266" s="1125" t="s">
        <v>14545</v>
      </c>
      <c r="C4266" s="1126" t="s">
        <v>1788</v>
      </c>
      <c r="D4266" s="1119">
        <v>40.72</v>
      </c>
      <c r="E4266" s="1120">
        <v>13.79</v>
      </c>
      <c r="F4266" s="1121">
        <f t="shared" si="1"/>
        <v>26.92</v>
      </c>
      <c r="G4266" s="1120">
        <v>26.92</v>
      </c>
      <c r="H4266" s="1127">
        <v>0.0</v>
      </c>
      <c r="I4266" s="1127">
        <v>0.0</v>
      </c>
      <c r="J4266" s="1127">
        <v>0.0</v>
      </c>
      <c r="K4266" s="1124"/>
    </row>
    <row r="4267" ht="15.75" customHeight="1">
      <c r="A4267" s="1119">
        <v>92943.0</v>
      </c>
      <c r="B4267" s="1125" t="s">
        <v>14546</v>
      </c>
      <c r="C4267" s="1126" t="s">
        <v>1788</v>
      </c>
      <c r="D4267" s="1119">
        <v>46.54</v>
      </c>
      <c r="E4267" s="1120">
        <v>14.63</v>
      </c>
      <c r="F4267" s="1121">
        <f t="shared" si="1"/>
        <v>31.91</v>
      </c>
      <c r="G4267" s="1120">
        <v>31.91</v>
      </c>
      <c r="H4267" s="1127">
        <v>0.0</v>
      </c>
      <c r="I4267" s="1127">
        <v>0.0</v>
      </c>
      <c r="J4267" s="1127">
        <v>0.0</v>
      </c>
      <c r="K4267" s="1124"/>
    </row>
    <row r="4268" ht="15.75" customHeight="1">
      <c r="A4268" s="1119">
        <v>92944.0</v>
      </c>
      <c r="B4268" s="1125" t="s">
        <v>14547</v>
      </c>
      <c r="C4268" s="1126" t="s">
        <v>1788</v>
      </c>
      <c r="D4268" s="1119">
        <v>46.54</v>
      </c>
      <c r="E4268" s="1120">
        <v>14.63</v>
      </c>
      <c r="F4268" s="1121">
        <f t="shared" si="1"/>
        <v>31.91</v>
      </c>
      <c r="G4268" s="1120">
        <v>31.91</v>
      </c>
      <c r="H4268" s="1127">
        <v>0.0</v>
      </c>
      <c r="I4268" s="1127">
        <v>0.0</v>
      </c>
      <c r="J4268" s="1127">
        <v>0.0</v>
      </c>
      <c r="K4268" s="1124"/>
    </row>
    <row r="4269" ht="15.75" customHeight="1">
      <c r="A4269" s="1119">
        <v>92945.0</v>
      </c>
      <c r="B4269" s="1125" t="s">
        <v>14548</v>
      </c>
      <c r="C4269" s="1126" t="s">
        <v>1788</v>
      </c>
      <c r="D4269" s="1119">
        <v>46.54</v>
      </c>
      <c r="E4269" s="1120">
        <v>14.63</v>
      </c>
      <c r="F4269" s="1121">
        <f t="shared" si="1"/>
        <v>31.91</v>
      </c>
      <c r="G4269" s="1120">
        <v>31.91</v>
      </c>
      <c r="H4269" s="1127">
        <v>0.0</v>
      </c>
      <c r="I4269" s="1127">
        <v>0.0</v>
      </c>
      <c r="J4269" s="1127">
        <v>0.0</v>
      </c>
      <c r="K4269" s="1124"/>
    </row>
    <row r="4270" ht="15.75" customHeight="1">
      <c r="A4270" s="1119">
        <v>92946.0</v>
      </c>
      <c r="B4270" s="1125" t="s">
        <v>14549</v>
      </c>
      <c r="C4270" s="1126" t="s">
        <v>1788</v>
      </c>
      <c r="D4270" s="1119">
        <v>64.07</v>
      </c>
      <c r="E4270" s="1120">
        <v>15.71</v>
      </c>
      <c r="F4270" s="1121">
        <f t="shared" si="1"/>
        <v>48.37</v>
      </c>
      <c r="G4270" s="1120">
        <v>48.37</v>
      </c>
      <c r="H4270" s="1127">
        <v>0.0</v>
      </c>
      <c r="I4270" s="1127">
        <v>0.0</v>
      </c>
      <c r="J4270" s="1127">
        <v>0.0</v>
      </c>
      <c r="K4270" s="1124"/>
    </row>
    <row r="4271" ht="15.75" customHeight="1">
      <c r="A4271" s="1119">
        <v>92947.0</v>
      </c>
      <c r="B4271" s="1125" t="s">
        <v>14550</v>
      </c>
      <c r="C4271" s="1126" t="s">
        <v>1788</v>
      </c>
      <c r="D4271" s="1119">
        <v>64.07</v>
      </c>
      <c r="E4271" s="1120">
        <v>15.71</v>
      </c>
      <c r="F4271" s="1121">
        <f t="shared" si="1"/>
        <v>48.37</v>
      </c>
      <c r="G4271" s="1120">
        <v>48.37</v>
      </c>
      <c r="H4271" s="1127">
        <v>0.0</v>
      </c>
      <c r="I4271" s="1127">
        <v>0.0</v>
      </c>
      <c r="J4271" s="1127">
        <v>0.0</v>
      </c>
      <c r="K4271" s="1124"/>
    </row>
    <row r="4272" ht="15.75" customHeight="1">
      <c r="A4272" s="1119">
        <v>92948.0</v>
      </c>
      <c r="B4272" s="1125" t="s">
        <v>14551</v>
      </c>
      <c r="C4272" s="1126" t="s">
        <v>1788</v>
      </c>
      <c r="D4272" s="1119">
        <v>64.07</v>
      </c>
      <c r="E4272" s="1120">
        <v>15.71</v>
      </c>
      <c r="F4272" s="1121">
        <f t="shared" si="1"/>
        <v>48.37</v>
      </c>
      <c r="G4272" s="1120">
        <v>48.37</v>
      </c>
      <c r="H4272" s="1127">
        <v>0.0</v>
      </c>
      <c r="I4272" s="1127">
        <v>0.0</v>
      </c>
      <c r="J4272" s="1127">
        <v>0.0</v>
      </c>
      <c r="K4272" s="1124"/>
    </row>
    <row r="4273" ht="15.75" customHeight="1">
      <c r="A4273" s="1119">
        <v>92949.0</v>
      </c>
      <c r="B4273" s="1125" t="s">
        <v>14552</v>
      </c>
      <c r="C4273" s="1126" t="s">
        <v>1788</v>
      </c>
      <c r="D4273" s="1119">
        <v>98.37</v>
      </c>
      <c r="E4273" s="1120">
        <v>17.27</v>
      </c>
      <c r="F4273" s="1121">
        <f t="shared" si="1"/>
        <v>81.1</v>
      </c>
      <c r="G4273" s="1120">
        <v>81.1</v>
      </c>
      <c r="H4273" s="1127">
        <v>0.0</v>
      </c>
      <c r="I4273" s="1127">
        <v>0.0</v>
      </c>
      <c r="J4273" s="1127">
        <v>0.0</v>
      </c>
      <c r="K4273" s="1124"/>
    </row>
    <row r="4274" ht="15.75" customHeight="1">
      <c r="A4274" s="1119">
        <v>92950.0</v>
      </c>
      <c r="B4274" s="1125" t="s">
        <v>14553</v>
      </c>
      <c r="C4274" s="1126" t="s">
        <v>1788</v>
      </c>
      <c r="D4274" s="1119">
        <v>98.37</v>
      </c>
      <c r="E4274" s="1120">
        <v>17.27</v>
      </c>
      <c r="F4274" s="1121">
        <f t="shared" si="1"/>
        <v>81.1</v>
      </c>
      <c r="G4274" s="1120">
        <v>81.1</v>
      </c>
      <c r="H4274" s="1127">
        <v>0.0</v>
      </c>
      <c r="I4274" s="1127">
        <v>0.0</v>
      </c>
      <c r="J4274" s="1127">
        <v>0.0</v>
      </c>
      <c r="K4274" s="1124"/>
    </row>
    <row r="4275" ht="15.75" customHeight="1">
      <c r="A4275" s="1119">
        <v>92951.0</v>
      </c>
      <c r="B4275" s="1125" t="s">
        <v>14554</v>
      </c>
      <c r="C4275" s="1126" t="s">
        <v>1788</v>
      </c>
      <c r="D4275" s="1119">
        <v>139.69</v>
      </c>
      <c r="E4275" s="1120">
        <v>18.87</v>
      </c>
      <c r="F4275" s="1121">
        <f t="shared" si="1"/>
        <v>120.82</v>
      </c>
      <c r="G4275" s="1120">
        <v>120.82</v>
      </c>
      <c r="H4275" s="1127">
        <v>0.0</v>
      </c>
      <c r="I4275" s="1127">
        <v>0.0</v>
      </c>
      <c r="J4275" s="1127">
        <v>0.0</v>
      </c>
      <c r="K4275" s="1124"/>
    </row>
    <row r="4276" ht="15.75" customHeight="1">
      <c r="A4276" s="1119">
        <v>92952.0</v>
      </c>
      <c r="B4276" s="1125" t="s">
        <v>14555</v>
      </c>
      <c r="C4276" s="1126" t="s">
        <v>1788</v>
      </c>
      <c r="D4276" s="1119">
        <v>139.69</v>
      </c>
      <c r="E4276" s="1120">
        <v>18.87</v>
      </c>
      <c r="F4276" s="1121">
        <f t="shared" si="1"/>
        <v>120.82</v>
      </c>
      <c r="G4276" s="1120">
        <v>120.82</v>
      </c>
      <c r="H4276" s="1127">
        <v>0.0</v>
      </c>
      <c r="I4276" s="1127">
        <v>0.0</v>
      </c>
      <c r="J4276" s="1127">
        <v>0.0</v>
      </c>
      <c r="K4276" s="1124"/>
    </row>
    <row r="4277" ht="15.75" customHeight="1">
      <c r="A4277" s="1119">
        <v>92953.0</v>
      </c>
      <c r="B4277" s="1125" t="s">
        <v>14556</v>
      </c>
      <c r="C4277" s="1126" t="s">
        <v>1788</v>
      </c>
      <c r="D4277" s="1119">
        <v>27.9</v>
      </c>
      <c r="E4277" s="1120">
        <v>12.91</v>
      </c>
      <c r="F4277" s="1121">
        <f t="shared" si="1"/>
        <v>14.99</v>
      </c>
      <c r="G4277" s="1120">
        <v>14.99</v>
      </c>
      <c r="H4277" s="1127">
        <v>0.0</v>
      </c>
      <c r="I4277" s="1127">
        <v>0.0</v>
      </c>
      <c r="J4277" s="1127">
        <v>0.0</v>
      </c>
      <c r="K4277" s="1124"/>
    </row>
    <row r="4278" ht="15.75" customHeight="1">
      <c r="A4278" s="1119">
        <v>93050.0</v>
      </c>
      <c r="B4278" s="1125" t="s">
        <v>14557</v>
      </c>
      <c r="C4278" s="1126" t="s">
        <v>1788</v>
      </c>
      <c r="D4278" s="1119">
        <v>11.63</v>
      </c>
      <c r="E4278" s="1120">
        <v>2.57</v>
      </c>
      <c r="F4278" s="1121">
        <f t="shared" si="1"/>
        <v>9.06</v>
      </c>
      <c r="G4278" s="1120">
        <v>9.06</v>
      </c>
      <c r="H4278" s="1127">
        <v>0.0</v>
      </c>
      <c r="I4278" s="1127">
        <v>0.0</v>
      </c>
      <c r="J4278" s="1127">
        <v>0.0</v>
      </c>
      <c r="K4278" s="1124"/>
    </row>
    <row r="4279" ht="15.75" customHeight="1">
      <c r="A4279" s="1119">
        <v>93052.0</v>
      </c>
      <c r="B4279" s="1125" t="s">
        <v>14558</v>
      </c>
      <c r="C4279" s="1126" t="s">
        <v>1788</v>
      </c>
      <c r="D4279" s="1119">
        <v>511.09</v>
      </c>
      <c r="E4279" s="1120">
        <v>2.56</v>
      </c>
      <c r="F4279" s="1121">
        <f t="shared" si="1"/>
        <v>508.53</v>
      </c>
      <c r="G4279" s="1120">
        <v>508.53</v>
      </c>
      <c r="H4279" s="1127">
        <v>0.0</v>
      </c>
      <c r="I4279" s="1127">
        <v>0.0</v>
      </c>
      <c r="J4279" s="1127">
        <v>0.0</v>
      </c>
      <c r="K4279" s="1124"/>
    </row>
    <row r="4280" ht="15.75" customHeight="1">
      <c r="A4280" s="1119">
        <v>93054.0</v>
      </c>
      <c r="B4280" s="1125" t="s">
        <v>14559</v>
      </c>
      <c r="C4280" s="1126" t="s">
        <v>1788</v>
      </c>
      <c r="D4280" s="1119">
        <v>22.84</v>
      </c>
      <c r="E4280" s="1120">
        <v>3.66</v>
      </c>
      <c r="F4280" s="1121">
        <f t="shared" si="1"/>
        <v>19.17</v>
      </c>
      <c r="G4280" s="1120">
        <v>19.17</v>
      </c>
      <c r="H4280" s="1127">
        <v>0.0</v>
      </c>
      <c r="I4280" s="1127">
        <v>0.0</v>
      </c>
      <c r="J4280" s="1127">
        <v>0.0</v>
      </c>
      <c r="K4280" s="1124"/>
    </row>
    <row r="4281" ht="15.75" customHeight="1">
      <c r="A4281" s="1119">
        <v>93055.0</v>
      </c>
      <c r="B4281" s="1125" t="s">
        <v>14560</v>
      </c>
      <c r="C4281" s="1126" t="s">
        <v>1788</v>
      </c>
      <c r="D4281" s="1119">
        <v>44.7</v>
      </c>
      <c r="E4281" s="1120">
        <v>2.56</v>
      </c>
      <c r="F4281" s="1121">
        <f t="shared" si="1"/>
        <v>42.14</v>
      </c>
      <c r="G4281" s="1120">
        <v>42.14</v>
      </c>
      <c r="H4281" s="1127">
        <v>0.0</v>
      </c>
      <c r="I4281" s="1127">
        <v>0.0</v>
      </c>
      <c r="J4281" s="1127">
        <v>0.0</v>
      </c>
      <c r="K4281" s="1124"/>
    </row>
    <row r="4282" ht="15.75" customHeight="1">
      <c r="A4282" s="1119">
        <v>93056.0</v>
      </c>
      <c r="B4282" s="1125" t="s">
        <v>14561</v>
      </c>
      <c r="C4282" s="1126" t="s">
        <v>1788</v>
      </c>
      <c r="D4282" s="1119">
        <v>17.26</v>
      </c>
      <c r="E4282" s="1120">
        <v>3.31</v>
      </c>
      <c r="F4282" s="1121">
        <f t="shared" si="1"/>
        <v>13.96</v>
      </c>
      <c r="G4282" s="1120">
        <v>13.96</v>
      </c>
      <c r="H4282" s="1127">
        <v>0.0</v>
      </c>
      <c r="I4282" s="1127">
        <v>0.0</v>
      </c>
      <c r="J4282" s="1127">
        <v>0.0</v>
      </c>
      <c r="K4282" s="1124"/>
    </row>
    <row r="4283" ht="15.75" customHeight="1">
      <c r="A4283" s="1119">
        <v>93057.0</v>
      </c>
      <c r="B4283" s="1125" t="s">
        <v>14562</v>
      </c>
      <c r="C4283" s="1126" t="s">
        <v>1788</v>
      </c>
      <c r="D4283" s="1119">
        <v>14.39</v>
      </c>
      <c r="E4283" s="1120">
        <v>2.94</v>
      </c>
      <c r="F4283" s="1121">
        <f t="shared" si="1"/>
        <v>11.45</v>
      </c>
      <c r="G4283" s="1120">
        <v>11.45</v>
      </c>
      <c r="H4283" s="1127">
        <v>0.0</v>
      </c>
      <c r="I4283" s="1127">
        <v>0.0</v>
      </c>
      <c r="J4283" s="1127">
        <v>0.0</v>
      </c>
      <c r="K4283" s="1124"/>
    </row>
    <row r="4284" ht="15.75" customHeight="1">
      <c r="A4284" s="1119">
        <v>93058.0</v>
      </c>
      <c r="B4284" s="1125" t="s">
        <v>14563</v>
      </c>
      <c r="C4284" s="1126" t="s">
        <v>1788</v>
      </c>
      <c r="D4284" s="1119">
        <v>562.37</v>
      </c>
      <c r="E4284" s="1120">
        <v>3.3</v>
      </c>
      <c r="F4284" s="1121">
        <f t="shared" si="1"/>
        <v>559.08</v>
      </c>
      <c r="G4284" s="1120">
        <v>559.08</v>
      </c>
      <c r="H4284" s="1127">
        <v>0.0</v>
      </c>
      <c r="I4284" s="1127">
        <v>0.0</v>
      </c>
      <c r="J4284" s="1127">
        <v>0.0</v>
      </c>
      <c r="K4284" s="1124"/>
    </row>
    <row r="4285" ht="15.75" customHeight="1">
      <c r="A4285" s="1119">
        <v>93059.0</v>
      </c>
      <c r="B4285" s="1125" t="s">
        <v>14564</v>
      </c>
      <c r="C4285" s="1126" t="s">
        <v>1788</v>
      </c>
      <c r="D4285" s="1119">
        <v>29.46</v>
      </c>
      <c r="E4285" s="1120">
        <v>3.21</v>
      </c>
      <c r="F4285" s="1121">
        <f t="shared" si="1"/>
        <v>26.26</v>
      </c>
      <c r="G4285" s="1120">
        <v>26.26</v>
      </c>
      <c r="H4285" s="1127">
        <v>0.0</v>
      </c>
      <c r="I4285" s="1127">
        <v>0.0</v>
      </c>
      <c r="J4285" s="1127">
        <v>0.0</v>
      </c>
      <c r="K4285" s="1124"/>
    </row>
    <row r="4286" ht="15.75" customHeight="1">
      <c r="A4286" s="1119">
        <v>93060.0</v>
      </c>
      <c r="B4286" s="1125" t="s">
        <v>14565</v>
      </c>
      <c r="C4286" s="1126" t="s">
        <v>1788</v>
      </c>
      <c r="D4286" s="1119">
        <v>78.08</v>
      </c>
      <c r="E4286" s="1120">
        <v>3.3</v>
      </c>
      <c r="F4286" s="1121">
        <f t="shared" si="1"/>
        <v>74.79</v>
      </c>
      <c r="G4286" s="1120">
        <v>74.79</v>
      </c>
      <c r="H4286" s="1127">
        <v>0.0</v>
      </c>
      <c r="I4286" s="1127">
        <v>0.0</v>
      </c>
      <c r="J4286" s="1127">
        <v>0.0</v>
      </c>
      <c r="K4286" s="1124"/>
    </row>
    <row r="4287" ht="15.75" customHeight="1">
      <c r="A4287" s="1119">
        <v>93061.0</v>
      </c>
      <c r="B4287" s="1125" t="s">
        <v>14566</v>
      </c>
      <c r="C4287" s="1126" t="s">
        <v>1788</v>
      </c>
      <c r="D4287" s="1119">
        <v>32.28</v>
      </c>
      <c r="E4287" s="1120">
        <v>4.18</v>
      </c>
      <c r="F4287" s="1121">
        <f t="shared" si="1"/>
        <v>28.11</v>
      </c>
      <c r="G4287" s="1120">
        <v>28.11</v>
      </c>
      <c r="H4287" s="1127">
        <v>0.0</v>
      </c>
      <c r="I4287" s="1127">
        <v>0.0</v>
      </c>
      <c r="J4287" s="1127">
        <v>0.0</v>
      </c>
      <c r="K4287" s="1124"/>
    </row>
    <row r="4288" ht="15.75" customHeight="1">
      <c r="A4288" s="1119">
        <v>93062.0</v>
      </c>
      <c r="B4288" s="1125" t="s">
        <v>14567</v>
      </c>
      <c r="C4288" s="1126" t="s">
        <v>1788</v>
      </c>
      <c r="D4288" s="1119">
        <v>27.28</v>
      </c>
      <c r="E4288" s="1120">
        <v>3.74</v>
      </c>
      <c r="F4288" s="1121">
        <f t="shared" si="1"/>
        <v>23.52</v>
      </c>
      <c r="G4288" s="1120">
        <v>23.52</v>
      </c>
      <c r="H4288" s="1127">
        <v>0.0</v>
      </c>
      <c r="I4288" s="1127">
        <v>0.0</v>
      </c>
      <c r="J4288" s="1127">
        <v>0.0</v>
      </c>
      <c r="K4288" s="1124"/>
    </row>
    <row r="4289" ht="15.75" customHeight="1">
      <c r="A4289" s="1119">
        <v>93063.0</v>
      </c>
      <c r="B4289" s="1125" t="s">
        <v>14568</v>
      </c>
      <c r="C4289" s="1126" t="s">
        <v>1788</v>
      </c>
      <c r="D4289" s="1119">
        <v>644.52</v>
      </c>
      <c r="E4289" s="1120">
        <v>4.18</v>
      </c>
      <c r="F4289" s="1121">
        <f t="shared" si="1"/>
        <v>640.35</v>
      </c>
      <c r="G4289" s="1120">
        <v>640.35</v>
      </c>
      <c r="H4289" s="1127">
        <v>0.0</v>
      </c>
      <c r="I4289" s="1127">
        <v>0.0</v>
      </c>
      <c r="J4289" s="1127">
        <v>0.0</v>
      </c>
      <c r="K4289" s="1124"/>
    </row>
    <row r="4290" ht="15.75" customHeight="1">
      <c r="A4290" s="1119">
        <v>93064.0</v>
      </c>
      <c r="B4290" s="1125" t="s">
        <v>14569</v>
      </c>
      <c r="C4290" s="1126" t="s">
        <v>1788</v>
      </c>
      <c r="D4290" s="1119">
        <v>49.24</v>
      </c>
      <c r="E4290" s="1120">
        <v>5.04</v>
      </c>
      <c r="F4290" s="1121">
        <f t="shared" si="1"/>
        <v>44.21</v>
      </c>
      <c r="G4290" s="1120">
        <v>44.21</v>
      </c>
      <c r="H4290" s="1127">
        <v>0.0</v>
      </c>
      <c r="I4290" s="1127">
        <v>0.0</v>
      </c>
      <c r="J4290" s="1127">
        <v>0.0</v>
      </c>
      <c r="K4290" s="1124"/>
    </row>
    <row r="4291" ht="15.75" customHeight="1">
      <c r="A4291" s="1119">
        <v>93065.0</v>
      </c>
      <c r="B4291" s="1125" t="s">
        <v>14570</v>
      </c>
      <c r="C4291" s="1126" t="s">
        <v>1788</v>
      </c>
      <c r="D4291" s="1119">
        <v>44.24</v>
      </c>
      <c r="E4291" s="1120">
        <v>4.6</v>
      </c>
      <c r="F4291" s="1121">
        <f t="shared" si="1"/>
        <v>39.63</v>
      </c>
      <c r="G4291" s="1120">
        <v>39.63</v>
      </c>
      <c r="H4291" s="1127">
        <v>0.0</v>
      </c>
      <c r="I4291" s="1127">
        <v>0.0</v>
      </c>
      <c r="J4291" s="1127">
        <v>0.0</v>
      </c>
      <c r="K4291" s="1124"/>
    </row>
    <row r="4292" ht="15.75" customHeight="1">
      <c r="A4292" s="1119">
        <v>93066.0</v>
      </c>
      <c r="B4292" s="1125" t="s">
        <v>14571</v>
      </c>
      <c r="C4292" s="1126" t="s">
        <v>1788</v>
      </c>
      <c r="D4292" s="1119">
        <v>808.79</v>
      </c>
      <c r="E4292" s="1120">
        <v>5.04</v>
      </c>
      <c r="F4292" s="1121">
        <f t="shared" si="1"/>
        <v>803.76</v>
      </c>
      <c r="G4292" s="1120">
        <v>803.76</v>
      </c>
      <c r="H4292" s="1127">
        <v>0.0</v>
      </c>
      <c r="I4292" s="1127">
        <v>0.0</v>
      </c>
      <c r="J4292" s="1127">
        <v>0.0</v>
      </c>
      <c r="K4292" s="1124"/>
    </row>
    <row r="4293" ht="15.75" customHeight="1">
      <c r="A4293" s="1119">
        <v>93067.0</v>
      </c>
      <c r="B4293" s="1125" t="s">
        <v>14572</v>
      </c>
      <c r="C4293" s="1126" t="s">
        <v>1788</v>
      </c>
      <c r="D4293" s="1119">
        <v>73.04</v>
      </c>
      <c r="E4293" s="1120">
        <v>6.54</v>
      </c>
      <c r="F4293" s="1121">
        <f t="shared" si="1"/>
        <v>66.5</v>
      </c>
      <c r="G4293" s="1120">
        <v>66.5</v>
      </c>
      <c r="H4293" s="1127">
        <v>0.0</v>
      </c>
      <c r="I4293" s="1127">
        <v>0.0</v>
      </c>
      <c r="J4293" s="1127">
        <v>0.0</v>
      </c>
      <c r="K4293" s="1124"/>
    </row>
    <row r="4294" ht="15.75" customHeight="1">
      <c r="A4294" s="1119">
        <v>93068.0</v>
      </c>
      <c r="B4294" s="1125" t="s">
        <v>14573</v>
      </c>
      <c r="C4294" s="1126" t="s">
        <v>1788</v>
      </c>
      <c r="D4294" s="1119">
        <v>62.16</v>
      </c>
      <c r="E4294" s="1120">
        <v>5.8</v>
      </c>
      <c r="F4294" s="1121">
        <f t="shared" si="1"/>
        <v>56.35</v>
      </c>
      <c r="G4294" s="1120">
        <v>56.35</v>
      </c>
      <c r="H4294" s="1127">
        <v>0.0</v>
      </c>
      <c r="I4294" s="1127">
        <v>0.0</v>
      </c>
      <c r="J4294" s="1127">
        <v>0.0</v>
      </c>
      <c r="K4294" s="1124"/>
    </row>
    <row r="4295" ht="15.75" customHeight="1">
      <c r="A4295" s="1119">
        <v>93069.0</v>
      </c>
      <c r="B4295" s="1125" t="s">
        <v>14574</v>
      </c>
      <c r="C4295" s="1126" t="s">
        <v>1788</v>
      </c>
      <c r="D4295" s="1128">
        <v>1121.02</v>
      </c>
      <c r="E4295" s="1120">
        <v>6.54</v>
      </c>
      <c r="F4295" s="1121">
        <f t="shared" si="1"/>
        <v>1114.48</v>
      </c>
      <c r="G4295" s="1120">
        <v>1114.48</v>
      </c>
      <c r="H4295" s="1127">
        <v>0.0</v>
      </c>
      <c r="I4295" s="1127">
        <v>0.0</v>
      </c>
      <c r="J4295" s="1127">
        <v>0.0</v>
      </c>
      <c r="K4295" s="1124"/>
    </row>
    <row r="4296" ht="15.75" customHeight="1">
      <c r="A4296" s="1119">
        <v>93070.0</v>
      </c>
      <c r="B4296" s="1125" t="s">
        <v>14575</v>
      </c>
      <c r="C4296" s="1126" t="s">
        <v>1788</v>
      </c>
      <c r="D4296" s="1119">
        <v>182.52</v>
      </c>
      <c r="E4296" s="1120">
        <v>8.03</v>
      </c>
      <c r="F4296" s="1121">
        <f t="shared" si="1"/>
        <v>174.48</v>
      </c>
      <c r="G4296" s="1120">
        <v>174.48</v>
      </c>
      <c r="H4296" s="1127">
        <v>0.0</v>
      </c>
      <c r="I4296" s="1127">
        <v>0.0</v>
      </c>
      <c r="J4296" s="1127">
        <v>0.0</v>
      </c>
      <c r="K4296" s="1124"/>
    </row>
    <row r="4297" ht="15.75" customHeight="1">
      <c r="A4297" s="1119">
        <v>93071.0</v>
      </c>
      <c r="B4297" s="1125" t="s">
        <v>14576</v>
      </c>
      <c r="C4297" s="1126" t="s">
        <v>1788</v>
      </c>
      <c r="D4297" s="1119">
        <v>167.77</v>
      </c>
      <c r="E4297" s="1120">
        <v>7.28</v>
      </c>
      <c r="F4297" s="1121">
        <f t="shared" si="1"/>
        <v>160.48</v>
      </c>
      <c r="G4297" s="1120">
        <v>160.48</v>
      </c>
      <c r="H4297" s="1127">
        <v>0.0</v>
      </c>
      <c r="I4297" s="1127">
        <v>0.0</v>
      </c>
      <c r="J4297" s="1127">
        <v>0.0</v>
      </c>
      <c r="K4297" s="1124"/>
    </row>
    <row r="4298" ht="15.75" customHeight="1">
      <c r="A4298" s="1119">
        <v>93072.0</v>
      </c>
      <c r="B4298" s="1125" t="s">
        <v>14577</v>
      </c>
      <c r="C4298" s="1126" t="s">
        <v>1788</v>
      </c>
      <c r="D4298" s="1128">
        <v>1479.32</v>
      </c>
      <c r="E4298" s="1120">
        <v>8.03</v>
      </c>
      <c r="F4298" s="1121">
        <f t="shared" si="1"/>
        <v>1471.28</v>
      </c>
      <c r="G4298" s="1120">
        <v>1471.28</v>
      </c>
      <c r="H4298" s="1127">
        <v>0.0</v>
      </c>
      <c r="I4298" s="1127">
        <v>0.0</v>
      </c>
      <c r="J4298" s="1127">
        <v>0.0</v>
      </c>
      <c r="K4298" s="1124"/>
    </row>
    <row r="4299" ht="15.75" customHeight="1">
      <c r="A4299" s="1119">
        <v>93074.0</v>
      </c>
      <c r="B4299" s="1125" t="s">
        <v>14578</v>
      </c>
      <c r="C4299" s="1126" t="s">
        <v>1788</v>
      </c>
      <c r="D4299" s="1119">
        <v>14.58</v>
      </c>
      <c r="E4299" s="1120">
        <v>6.5</v>
      </c>
      <c r="F4299" s="1121">
        <f t="shared" si="1"/>
        <v>8.09</v>
      </c>
      <c r="G4299" s="1120">
        <v>8.09</v>
      </c>
      <c r="H4299" s="1127">
        <v>0.0</v>
      </c>
      <c r="I4299" s="1127">
        <v>0.0</v>
      </c>
      <c r="J4299" s="1127">
        <v>0.0</v>
      </c>
      <c r="K4299" s="1124"/>
    </row>
    <row r="4300" ht="15.75" customHeight="1">
      <c r="A4300" s="1119">
        <v>93075.0</v>
      </c>
      <c r="B4300" s="1125" t="s">
        <v>14579</v>
      </c>
      <c r="C4300" s="1126" t="s">
        <v>1788</v>
      </c>
      <c r="D4300" s="1119">
        <v>20.4</v>
      </c>
      <c r="E4300" s="1120">
        <v>4.79</v>
      </c>
      <c r="F4300" s="1121">
        <f t="shared" si="1"/>
        <v>15.61</v>
      </c>
      <c r="G4300" s="1120">
        <v>15.61</v>
      </c>
      <c r="H4300" s="1127">
        <v>0.0</v>
      </c>
      <c r="I4300" s="1127">
        <v>0.0</v>
      </c>
      <c r="J4300" s="1127">
        <v>0.0</v>
      </c>
      <c r="K4300" s="1124"/>
    </row>
    <row r="4301" ht="15.75" customHeight="1">
      <c r="A4301" s="1119">
        <v>93076.0</v>
      </c>
      <c r="B4301" s="1125" t="s">
        <v>14580</v>
      </c>
      <c r="C4301" s="1126" t="s">
        <v>1788</v>
      </c>
      <c r="D4301" s="1119">
        <v>22.64</v>
      </c>
      <c r="E4301" s="1120">
        <v>7.48</v>
      </c>
      <c r="F4301" s="1121">
        <f t="shared" si="1"/>
        <v>15.15</v>
      </c>
      <c r="G4301" s="1120">
        <v>15.15</v>
      </c>
      <c r="H4301" s="1127">
        <v>0.0</v>
      </c>
      <c r="I4301" s="1127">
        <v>0.0</v>
      </c>
      <c r="J4301" s="1127">
        <v>0.0</v>
      </c>
      <c r="K4301" s="1124"/>
    </row>
    <row r="4302" ht="15.75" customHeight="1">
      <c r="A4302" s="1119">
        <v>93077.0</v>
      </c>
      <c r="B4302" s="1125" t="s">
        <v>14581</v>
      </c>
      <c r="C4302" s="1126" t="s">
        <v>1788</v>
      </c>
      <c r="D4302" s="1119">
        <v>28.54</v>
      </c>
      <c r="E4302" s="1120">
        <v>5.3</v>
      </c>
      <c r="F4302" s="1121">
        <f t="shared" si="1"/>
        <v>23.26</v>
      </c>
      <c r="G4302" s="1120">
        <v>23.26</v>
      </c>
      <c r="H4302" s="1127">
        <v>0.0</v>
      </c>
      <c r="I4302" s="1127">
        <v>0.0</v>
      </c>
      <c r="J4302" s="1127">
        <v>0.0</v>
      </c>
      <c r="K4302" s="1124"/>
    </row>
    <row r="4303" ht="15.75" customHeight="1">
      <c r="A4303" s="1119">
        <v>93078.0</v>
      </c>
      <c r="B4303" s="1125" t="s">
        <v>14582</v>
      </c>
      <c r="C4303" s="1126" t="s">
        <v>1788</v>
      </c>
      <c r="D4303" s="1119">
        <v>32.17</v>
      </c>
      <c r="E4303" s="1120">
        <v>6.13</v>
      </c>
      <c r="F4303" s="1121">
        <f t="shared" si="1"/>
        <v>26.04</v>
      </c>
      <c r="G4303" s="1120">
        <v>26.04</v>
      </c>
      <c r="H4303" s="1127">
        <v>0.0</v>
      </c>
      <c r="I4303" s="1127">
        <v>0.0</v>
      </c>
      <c r="J4303" s="1127">
        <v>0.0</v>
      </c>
      <c r="K4303" s="1124"/>
    </row>
    <row r="4304" ht="15.75" customHeight="1">
      <c r="A4304" s="1119">
        <v>93079.0</v>
      </c>
      <c r="B4304" s="1125" t="s">
        <v>14583</v>
      </c>
      <c r="C4304" s="1126" t="s">
        <v>1788</v>
      </c>
      <c r="D4304" s="1119">
        <v>31.0</v>
      </c>
      <c r="E4304" s="1120">
        <v>8.33</v>
      </c>
      <c r="F4304" s="1121">
        <f t="shared" si="1"/>
        <v>22.67</v>
      </c>
      <c r="G4304" s="1120">
        <v>22.67</v>
      </c>
      <c r="H4304" s="1127">
        <v>0.0</v>
      </c>
      <c r="I4304" s="1127">
        <v>0.0</v>
      </c>
      <c r="J4304" s="1127">
        <v>0.0</v>
      </c>
      <c r="K4304" s="1124"/>
    </row>
    <row r="4305" ht="15.75" customHeight="1">
      <c r="A4305" s="1119">
        <v>93080.0</v>
      </c>
      <c r="B4305" s="1125" t="s">
        <v>14584</v>
      </c>
      <c r="C4305" s="1126" t="s">
        <v>1788</v>
      </c>
      <c r="D4305" s="1119">
        <v>9.51</v>
      </c>
      <c r="E4305" s="1120">
        <v>4.33</v>
      </c>
      <c r="F4305" s="1121">
        <f t="shared" si="1"/>
        <v>5.19</v>
      </c>
      <c r="G4305" s="1120">
        <v>5.19</v>
      </c>
      <c r="H4305" s="1127">
        <v>0.0</v>
      </c>
      <c r="I4305" s="1127">
        <v>0.0</v>
      </c>
      <c r="J4305" s="1127">
        <v>0.0</v>
      </c>
      <c r="K4305" s="1124"/>
    </row>
    <row r="4306" ht="15.75" customHeight="1">
      <c r="A4306" s="1119">
        <v>93081.0</v>
      </c>
      <c r="B4306" s="1125" t="s">
        <v>14585</v>
      </c>
      <c r="C4306" s="1126" t="s">
        <v>1788</v>
      </c>
      <c r="D4306" s="1119">
        <v>19.07</v>
      </c>
      <c r="E4306" s="1120">
        <v>3.71</v>
      </c>
      <c r="F4306" s="1121">
        <f t="shared" si="1"/>
        <v>15.35</v>
      </c>
      <c r="G4306" s="1120">
        <v>15.35</v>
      </c>
      <c r="H4306" s="1127">
        <v>0.0</v>
      </c>
      <c r="I4306" s="1127">
        <v>0.0</v>
      </c>
      <c r="J4306" s="1127">
        <v>0.0</v>
      </c>
      <c r="K4306" s="1124"/>
    </row>
    <row r="4307" ht="15.75" customHeight="1">
      <c r="A4307" s="1119">
        <v>93082.0</v>
      </c>
      <c r="B4307" s="1125" t="s">
        <v>14586</v>
      </c>
      <c r="C4307" s="1126" t="s">
        <v>1788</v>
      </c>
      <c r="D4307" s="1119">
        <v>24.56</v>
      </c>
      <c r="E4307" s="1120">
        <v>4.32</v>
      </c>
      <c r="F4307" s="1121">
        <f t="shared" si="1"/>
        <v>20.25</v>
      </c>
      <c r="G4307" s="1120">
        <v>20.25</v>
      </c>
      <c r="H4307" s="1127">
        <v>0.0</v>
      </c>
      <c r="I4307" s="1127">
        <v>0.0</v>
      </c>
      <c r="J4307" s="1127">
        <v>0.0</v>
      </c>
      <c r="K4307" s="1124"/>
    </row>
    <row r="4308" ht="15.75" customHeight="1">
      <c r="A4308" s="1119">
        <v>93083.0</v>
      </c>
      <c r="B4308" s="1125" t="s">
        <v>14587</v>
      </c>
      <c r="C4308" s="1126" t="s">
        <v>1788</v>
      </c>
      <c r="D4308" s="1119">
        <v>443.04</v>
      </c>
      <c r="E4308" s="1120">
        <v>4.31</v>
      </c>
      <c r="F4308" s="1121">
        <f t="shared" si="1"/>
        <v>438.74</v>
      </c>
      <c r="G4308" s="1120">
        <v>438.74</v>
      </c>
      <c r="H4308" s="1127">
        <v>0.0</v>
      </c>
      <c r="I4308" s="1127">
        <v>0.0</v>
      </c>
      <c r="J4308" s="1127">
        <v>0.0</v>
      </c>
      <c r="K4308" s="1124"/>
    </row>
    <row r="4309" ht="15.75" customHeight="1">
      <c r="A4309" s="1119">
        <v>93084.0</v>
      </c>
      <c r="B4309" s="1125" t="s">
        <v>14588</v>
      </c>
      <c r="C4309" s="1126" t="s">
        <v>1788</v>
      </c>
      <c r="D4309" s="1119">
        <v>14.88</v>
      </c>
      <c r="E4309" s="1120">
        <v>4.99</v>
      </c>
      <c r="F4309" s="1121">
        <f t="shared" si="1"/>
        <v>9.89</v>
      </c>
      <c r="G4309" s="1120">
        <v>9.89</v>
      </c>
      <c r="H4309" s="1127">
        <v>0.0</v>
      </c>
      <c r="I4309" s="1127">
        <v>0.0</v>
      </c>
      <c r="J4309" s="1127">
        <v>0.0</v>
      </c>
      <c r="K4309" s="1124"/>
    </row>
    <row r="4310" ht="15.75" customHeight="1">
      <c r="A4310" s="1119">
        <v>93085.0</v>
      </c>
      <c r="B4310" s="1125" t="s">
        <v>14589</v>
      </c>
      <c r="C4310" s="1126" t="s">
        <v>1788</v>
      </c>
      <c r="D4310" s="1119">
        <v>16.34</v>
      </c>
      <c r="E4310" s="1120">
        <v>6.98</v>
      </c>
      <c r="F4310" s="1121">
        <f t="shared" si="1"/>
        <v>9.37</v>
      </c>
      <c r="G4310" s="1120">
        <v>9.37</v>
      </c>
      <c r="H4310" s="1127">
        <v>0.0</v>
      </c>
      <c r="I4310" s="1127">
        <v>0.0</v>
      </c>
      <c r="J4310" s="1127">
        <v>0.0</v>
      </c>
      <c r="K4310" s="1124"/>
    </row>
    <row r="4311" ht="15.75" customHeight="1">
      <c r="A4311" s="1119">
        <v>93086.0</v>
      </c>
      <c r="B4311" s="1125" t="s">
        <v>14590</v>
      </c>
      <c r="C4311" s="1126" t="s">
        <v>1788</v>
      </c>
      <c r="D4311" s="1119">
        <v>514.34</v>
      </c>
      <c r="E4311" s="1120">
        <v>4.97</v>
      </c>
      <c r="F4311" s="1121">
        <f t="shared" si="1"/>
        <v>509.37</v>
      </c>
      <c r="G4311" s="1120">
        <v>509.37</v>
      </c>
      <c r="H4311" s="1127">
        <v>0.0</v>
      </c>
      <c r="I4311" s="1127">
        <v>0.0</v>
      </c>
      <c r="J4311" s="1127">
        <v>0.0</v>
      </c>
      <c r="K4311" s="1124"/>
    </row>
    <row r="4312" ht="15.75" customHeight="1">
      <c r="A4312" s="1119">
        <v>93087.0</v>
      </c>
      <c r="B4312" s="1125" t="s">
        <v>14591</v>
      </c>
      <c r="C4312" s="1126" t="s">
        <v>1788</v>
      </c>
      <c r="D4312" s="1119">
        <v>20.01</v>
      </c>
      <c r="E4312" s="1120">
        <v>4.05</v>
      </c>
      <c r="F4312" s="1121">
        <f t="shared" si="1"/>
        <v>15.98</v>
      </c>
      <c r="G4312" s="1120">
        <v>15.98</v>
      </c>
      <c r="H4312" s="1127">
        <v>0.0</v>
      </c>
      <c r="I4312" s="1127">
        <v>0.0</v>
      </c>
      <c r="J4312" s="1127">
        <v>0.0</v>
      </c>
      <c r="K4312" s="1124"/>
    </row>
    <row r="4313" ht="15.75" customHeight="1">
      <c r="A4313" s="1119">
        <v>93088.0</v>
      </c>
      <c r="B4313" s="1125" t="s">
        <v>14592</v>
      </c>
      <c r="C4313" s="1126" t="s">
        <v>1788</v>
      </c>
      <c r="D4313" s="1119">
        <v>24.76</v>
      </c>
      <c r="E4313" s="1120">
        <v>4.88</v>
      </c>
      <c r="F4313" s="1121">
        <f t="shared" si="1"/>
        <v>19.88</v>
      </c>
      <c r="G4313" s="1120">
        <v>19.88</v>
      </c>
      <c r="H4313" s="1127">
        <v>0.0</v>
      </c>
      <c r="I4313" s="1127">
        <v>0.0</v>
      </c>
      <c r="J4313" s="1127">
        <v>0.0</v>
      </c>
      <c r="K4313" s="1124"/>
    </row>
    <row r="4314" ht="15.75" customHeight="1">
      <c r="A4314" s="1119">
        <v>93089.0</v>
      </c>
      <c r="B4314" s="1125" t="s">
        <v>14593</v>
      </c>
      <c r="C4314" s="1126" t="s">
        <v>1788</v>
      </c>
      <c r="D4314" s="1119">
        <v>47.95</v>
      </c>
      <c r="E4314" s="1120">
        <v>4.97</v>
      </c>
      <c r="F4314" s="1121">
        <f t="shared" si="1"/>
        <v>42.98</v>
      </c>
      <c r="G4314" s="1120">
        <v>42.98</v>
      </c>
      <c r="H4314" s="1127">
        <v>0.0</v>
      </c>
      <c r="I4314" s="1127">
        <v>0.0</v>
      </c>
      <c r="J4314" s="1127">
        <v>0.0</v>
      </c>
      <c r="K4314" s="1124"/>
    </row>
    <row r="4315" ht="15.75" customHeight="1">
      <c r="A4315" s="1119">
        <v>93090.0</v>
      </c>
      <c r="B4315" s="1125" t="s">
        <v>14594</v>
      </c>
      <c r="C4315" s="1126" t="s">
        <v>1788</v>
      </c>
      <c r="D4315" s="1119">
        <v>20.28</v>
      </c>
      <c r="E4315" s="1120">
        <v>5.56</v>
      </c>
      <c r="F4315" s="1121">
        <f t="shared" si="1"/>
        <v>14.73</v>
      </c>
      <c r="G4315" s="1120">
        <v>14.73</v>
      </c>
      <c r="H4315" s="1127">
        <v>0.0</v>
      </c>
      <c r="I4315" s="1127">
        <v>0.0</v>
      </c>
      <c r="J4315" s="1127">
        <v>0.0</v>
      </c>
      <c r="K4315" s="1124"/>
    </row>
    <row r="4316" ht="15.75" customHeight="1">
      <c r="A4316" s="1119">
        <v>93091.0</v>
      </c>
      <c r="B4316" s="1125" t="s">
        <v>14595</v>
      </c>
      <c r="C4316" s="1126" t="s">
        <v>1788</v>
      </c>
      <c r="D4316" s="1119">
        <v>17.53</v>
      </c>
      <c r="E4316" s="1120">
        <v>5.28</v>
      </c>
      <c r="F4316" s="1121">
        <f t="shared" si="1"/>
        <v>12.26</v>
      </c>
      <c r="G4316" s="1120">
        <v>12.26</v>
      </c>
      <c r="H4316" s="1127">
        <v>0.0</v>
      </c>
      <c r="I4316" s="1127">
        <v>0.0</v>
      </c>
      <c r="J4316" s="1127">
        <v>0.0</v>
      </c>
      <c r="K4316" s="1124"/>
    </row>
    <row r="4317" ht="15.75" customHeight="1">
      <c r="A4317" s="1119">
        <v>93092.0</v>
      </c>
      <c r="B4317" s="1125" t="s">
        <v>14596</v>
      </c>
      <c r="C4317" s="1126" t="s">
        <v>1788</v>
      </c>
      <c r="D4317" s="1119">
        <v>565.39</v>
      </c>
      <c r="E4317" s="1120">
        <v>5.54</v>
      </c>
      <c r="F4317" s="1121">
        <f t="shared" si="1"/>
        <v>559.85</v>
      </c>
      <c r="G4317" s="1120">
        <v>559.85</v>
      </c>
      <c r="H4317" s="1127">
        <v>0.0</v>
      </c>
      <c r="I4317" s="1127">
        <v>0.0</v>
      </c>
      <c r="J4317" s="1127">
        <v>0.0</v>
      </c>
      <c r="K4317" s="1124"/>
    </row>
    <row r="4318" ht="15.75" customHeight="1">
      <c r="A4318" s="1119">
        <v>93093.0</v>
      </c>
      <c r="B4318" s="1125" t="s">
        <v>14597</v>
      </c>
      <c r="C4318" s="1126" t="s">
        <v>1788</v>
      </c>
      <c r="D4318" s="1119">
        <v>30.97</v>
      </c>
      <c r="E4318" s="1120">
        <v>4.32</v>
      </c>
      <c r="F4318" s="1121">
        <f t="shared" si="1"/>
        <v>26.65</v>
      </c>
      <c r="G4318" s="1120">
        <v>26.65</v>
      </c>
      <c r="H4318" s="1127">
        <v>0.0</v>
      </c>
      <c r="I4318" s="1127">
        <v>0.0</v>
      </c>
      <c r="J4318" s="1127">
        <v>0.0</v>
      </c>
      <c r="K4318" s="1124"/>
    </row>
    <row r="4319" ht="15.75" customHeight="1">
      <c r="A4319" s="1119">
        <v>93094.0</v>
      </c>
      <c r="B4319" s="1125" t="s">
        <v>14598</v>
      </c>
      <c r="C4319" s="1126" t="s">
        <v>1788</v>
      </c>
      <c r="D4319" s="1119">
        <v>81.1</v>
      </c>
      <c r="E4319" s="1120">
        <v>5.54</v>
      </c>
      <c r="F4319" s="1121">
        <f t="shared" si="1"/>
        <v>75.56</v>
      </c>
      <c r="G4319" s="1120">
        <v>75.56</v>
      </c>
      <c r="H4319" s="1127">
        <v>0.0</v>
      </c>
      <c r="I4319" s="1127">
        <v>0.0</v>
      </c>
      <c r="J4319" s="1127">
        <v>0.0</v>
      </c>
      <c r="K4319" s="1124"/>
    </row>
    <row r="4320" ht="15.75" customHeight="1">
      <c r="A4320" s="1119">
        <v>93097.0</v>
      </c>
      <c r="B4320" s="1125" t="s">
        <v>14599</v>
      </c>
      <c r="C4320" s="1126" t="s">
        <v>1788</v>
      </c>
      <c r="D4320" s="1119">
        <v>14.88</v>
      </c>
      <c r="E4320" s="1120">
        <v>6.72</v>
      </c>
      <c r="F4320" s="1121">
        <f t="shared" si="1"/>
        <v>8.16</v>
      </c>
      <c r="G4320" s="1120">
        <v>8.16</v>
      </c>
      <c r="H4320" s="1127">
        <v>0.0</v>
      </c>
      <c r="I4320" s="1127">
        <v>0.0</v>
      </c>
      <c r="J4320" s="1127">
        <v>0.0</v>
      </c>
      <c r="K4320" s="1124"/>
    </row>
    <row r="4321" ht="15.75" customHeight="1">
      <c r="A4321" s="1119">
        <v>93098.0</v>
      </c>
      <c r="B4321" s="1125" t="s">
        <v>14600</v>
      </c>
      <c r="C4321" s="1126" t="s">
        <v>1788</v>
      </c>
      <c r="D4321" s="1119">
        <v>20.56</v>
      </c>
      <c r="E4321" s="1120">
        <v>4.92</v>
      </c>
      <c r="F4321" s="1121">
        <f t="shared" si="1"/>
        <v>15.64</v>
      </c>
      <c r="G4321" s="1120">
        <v>15.64</v>
      </c>
      <c r="H4321" s="1127">
        <v>0.0</v>
      </c>
      <c r="I4321" s="1127">
        <v>0.0</v>
      </c>
      <c r="J4321" s="1127">
        <v>0.0</v>
      </c>
      <c r="K4321" s="1124"/>
    </row>
    <row r="4322" ht="15.75" customHeight="1">
      <c r="A4322" s="1119">
        <v>93099.0</v>
      </c>
      <c r="B4322" s="1125" t="s">
        <v>14601</v>
      </c>
      <c r="C4322" s="1126" t="s">
        <v>1788</v>
      </c>
      <c r="D4322" s="1119">
        <v>26.23</v>
      </c>
      <c r="E4322" s="1120">
        <v>10.16</v>
      </c>
      <c r="F4322" s="1121">
        <f t="shared" si="1"/>
        <v>16.07</v>
      </c>
      <c r="G4322" s="1120">
        <v>16.07</v>
      </c>
      <c r="H4322" s="1127">
        <v>0.0</v>
      </c>
      <c r="I4322" s="1127">
        <v>0.0</v>
      </c>
      <c r="J4322" s="1127">
        <v>0.0</v>
      </c>
      <c r="K4322" s="1124"/>
    </row>
    <row r="4323" ht="15.75" customHeight="1">
      <c r="A4323" s="1119">
        <v>93100.0</v>
      </c>
      <c r="B4323" s="1125" t="s">
        <v>14602</v>
      </c>
      <c r="C4323" s="1126" t="s">
        <v>1788</v>
      </c>
      <c r="D4323" s="1119">
        <v>30.34</v>
      </c>
      <c r="E4323" s="1120">
        <v>6.63</v>
      </c>
      <c r="F4323" s="1121">
        <f t="shared" si="1"/>
        <v>23.72</v>
      </c>
      <c r="G4323" s="1120">
        <v>23.72</v>
      </c>
      <c r="H4323" s="1127">
        <v>0.0</v>
      </c>
      <c r="I4323" s="1127">
        <v>0.0</v>
      </c>
      <c r="J4323" s="1127">
        <v>0.0</v>
      </c>
      <c r="K4323" s="1124"/>
    </row>
    <row r="4324" ht="15.75" customHeight="1">
      <c r="A4324" s="1119">
        <v>93101.0</v>
      </c>
      <c r="B4324" s="1125" t="s">
        <v>14603</v>
      </c>
      <c r="C4324" s="1126" t="s">
        <v>1788</v>
      </c>
      <c r="D4324" s="1119">
        <v>33.97</v>
      </c>
      <c r="E4324" s="1120">
        <v>7.46</v>
      </c>
      <c r="F4324" s="1121">
        <f t="shared" si="1"/>
        <v>26.5</v>
      </c>
      <c r="G4324" s="1120">
        <v>26.5</v>
      </c>
      <c r="H4324" s="1127">
        <v>0.0</v>
      </c>
      <c r="I4324" s="1127">
        <v>0.0</v>
      </c>
      <c r="J4324" s="1127">
        <v>0.0</v>
      </c>
      <c r="K4324" s="1124"/>
    </row>
    <row r="4325" ht="15.75" customHeight="1">
      <c r="A4325" s="1119">
        <v>93102.0</v>
      </c>
      <c r="B4325" s="1125" t="s">
        <v>14604</v>
      </c>
      <c r="C4325" s="1126" t="s">
        <v>1788</v>
      </c>
      <c r="D4325" s="1119">
        <v>37.42</v>
      </c>
      <c r="E4325" s="1120">
        <v>13.1</v>
      </c>
      <c r="F4325" s="1121">
        <f t="shared" si="1"/>
        <v>24.32</v>
      </c>
      <c r="G4325" s="1120">
        <v>24.32</v>
      </c>
      <c r="H4325" s="1127">
        <v>0.0</v>
      </c>
      <c r="I4325" s="1127">
        <v>0.0</v>
      </c>
      <c r="J4325" s="1127">
        <v>0.0</v>
      </c>
      <c r="K4325" s="1124"/>
    </row>
    <row r="4326" ht="15.75" customHeight="1">
      <c r="A4326" s="1119">
        <v>93103.0</v>
      </c>
      <c r="B4326" s="1125" t="s">
        <v>14605</v>
      </c>
      <c r="C4326" s="1126" t="s">
        <v>1788</v>
      </c>
      <c r="D4326" s="1119">
        <v>9.71</v>
      </c>
      <c r="E4326" s="1120">
        <v>4.48</v>
      </c>
      <c r="F4326" s="1121">
        <f t="shared" si="1"/>
        <v>5.22</v>
      </c>
      <c r="G4326" s="1120">
        <v>5.22</v>
      </c>
      <c r="H4326" s="1127">
        <v>0.0</v>
      </c>
      <c r="I4326" s="1127">
        <v>0.0</v>
      </c>
      <c r="J4326" s="1127">
        <v>0.0</v>
      </c>
      <c r="K4326" s="1124"/>
    </row>
    <row r="4327" ht="15.75" customHeight="1">
      <c r="A4327" s="1119">
        <v>93104.0</v>
      </c>
      <c r="B4327" s="1125" t="s">
        <v>14606</v>
      </c>
      <c r="C4327" s="1126" t="s">
        <v>1788</v>
      </c>
      <c r="D4327" s="1119">
        <v>19.17</v>
      </c>
      <c r="E4327" s="1120">
        <v>3.78</v>
      </c>
      <c r="F4327" s="1121">
        <f t="shared" si="1"/>
        <v>15.37</v>
      </c>
      <c r="G4327" s="1120">
        <v>15.37</v>
      </c>
      <c r="H4327" s="1127">
        <v>0.0</v>
      </c>
      <c r="I4327" s="1127">
        <v>0.0</v>
      </c>
      <c r="J4327" s="1127">
        <v>0.0</v>
      </c>
      <c r="K4327" s="1124"/>
    </row>
    <row r="4328" ht="15.75" customHeight="1">
      <c r="A4328" s="1119">
        <v>93105.0</v>
      </c>
      <c r="B4328" s="1125" t="s">
        <v>14607</v>
      </c>
      <c r="C4328" s="1126" t="s">
        <v>1788</v>
      </c>
      <c r="D4328" s="1119">
        <v>24.76</v>
      </c>
      <c r="E4328" s="1120">
        <v>4.46</v>
      </c>
      <c r="F4328" s="1121">
        <f t="shared" si="1"/>
        <v>20.29</v>
      </c>
      <c r="G4328" s="1120">
        <v>20.29</v>
      </c>
      <c r="H4328" s="1127">
        <v>0.0</v>
      </c>
      <c r="I4328" s="1127">
        <v>0.0</v>
      </c>
      <c r="J4328" s="1127">
        <v>0.0</v>
      </c>
      <c r="K4328" s="1124"/>
    </row>
    <row r="4329" ht="15.75" customHeight="1">
      <c r="A4329" s="1119">
        <v>93106.0</v>
      </c>
      <c r="B4329" s="1125" t="s">
        <v>14608</v>
      </c>
      <c r="C4329" s="1126" t="s">
        <v>1788</v>
      </c>
      <c r="D4329" s="1119">
        <v>443.24</v>
      </c>
      <c r="E4329" s="1120">
        <v>4.45</v>
      </c>
      <c r="F4329" s="1121">
        <f t="shared" si="1"/>
        <v>438.77</v>
      </c>
      <c r="G4329" s="1120">
        <v>438.77</v>
      </c>
      <c r="H4329" s="1127">
        <v>0.0</v>
      </c>
      <c r="I4329" s="1127">
        <v>0.0</v>
      </c>
      <c r="J4329" s="1127">
        <v>0.0</v>
      </c>
      <c r="K4329" s="1124"/>
    </row>
    <row r="4330" ht="15.75" customHeight="1">
      <c r="A4330" s="1119">
        <v>93107.0</v>
      </c>
      <c r="B4330" s="1125" t="s">
        <v>14609</v>
      </c>
      <c r="C4330" s="1126" t="s">
        <v>1788</v>
      </c>
      <c r="D4330" s="1119">
        <v>17.29</v>
      </c>
      <c r="E4330" s="1120">
        <v>6.78</v>
      </c>
      <c r="F4330" s="1121">
        <f t="shared" si="1"/>
        <v>10.52</v>
      </c>
      <c r="G4330" s="1120">
        <v>10.52</v>
      </c>
      <c r="H4330" s="1127">
        <v>0.0</v>
      </c>
      <c r="I4330" s="1127">
        <v>0.0</v>
      </c>
      <c r="J4330" s="1127">
        <v>0.0</v>
      </c>
      <c r="K4330" s="1124"/>
    </row>
    <row r="4331" ht="15.75" customHeight="1">
      <c r="A4331" s="1119">
        <v>93108.0</v>
      </c>
      <c r="B4331" s="1125" t="s">
        <v>14610</v>
      </c>
      <c r="C4331" s="1126" t="s">
        <v>1788</v>
      </c>
      <c r="D4331" s="1119">
        <v>14.54</v>
      </c>
      <c r="E4331" s="1120">
        <v>5.61</v>
      </c>
      <c r="F4331" s="1121">
        <f t="shared" si="1"/>
        <v>8.93</v>
      </c>
      <c r="G4331" s="1120">
        <v>8.93</v>
      </c>
      <c r="H4331" s="1127">
        <v>0.0</v>
      </c>
      <c r="I4331" s="1127">
        <v>0.0</v>
      </c>
      <c r="J4331" s="1127">
        <v>0.0</v>
      </c>
      <c r="K4331" s="1124"/>
    </row>
    <row r="4332" ht="15.75" customHeight="1">
      <c r="A4332" s="1119">
        <v>93109.0</v>
      </c>
      <c r="B4332" s="1125" t="s">
        <v>14611</v>
      </c>
      <c r="C4332" s="1126" t="s">
        <v>1788</v>
      </c>
      <c r="D4332" s="1119">
        <v>516.75</v>
      </c>
      <c r="E4332" s="1120">
        <v>6.76</v>
      </c>
      <c r="F4332" s="1121">
        <f t="shared" si="1"/>
        <v>510</v>
      </c>
      <c r="G4332" s="1120">
        <v>510.0</v>
      </c>
      <c r="H4332" s="1127">
        <v>0.0</v>
      </c>
      <c r="I4332" s="1127">
        <v>0.0</v>
      </c>
      <c r="J4332" s="1127">
        <v>0.0</v>
      </c>
      <c r="K4332" s="1124"/>
    </row>
    <row r="4333" ht="15.75" customHeight="1">
      <c r="A4333" s="1119">
        <v>93110.0</v>
      </c>
      <c r="B4333" s="1125" t="s">
        <v>14612</v>
      </c>
      <c r="C4333" s="1126" t="s">
        <v>1788</v>
      </c>
      <c r="D4333" s="1119">
        <v>21.23</v>
      </c>
      <c r="E4333" s="1120">
        <v>4.95</v>
      </c>
      <c r="F4333" s="1121">
        <f t="shared" si="1"/>
        <v>16.28</v>
      </c>
      <c r="G4333" s="1120">
        <v>16.28</v>
      </c>
      <c r="H4333" s="1127">
        <v>0.0</v>
      </c>
      <c r="I4333" s="1127">
        <v>0.0</v>
      </c>
      <c r="J4333" s="1127">
        <v>0.0</v>
      </c>
      <c r="K4333" s="1124"/>
    </row>
    <row r="4334" ht="15.75" customHeight="1">
      <c r="A4334" s="1119">
        <v>93111.0</v>
      </c>
      <c r="B4334" s="1125" t="s">
        <v>14613</v>
      </c>
      <c r="C4334" s="1126" t="s">
        <v>1788</v>
      </c>
      <c r="D4334" s="1119">
        <v>25.68</v>
      </c>
      <c r="E4334" s="1120">
        <v>5.76</v>
      </c>
      <c r="F4334" s="1121">
        <f t="shared" si="1"/>
        <v>19.9</v>
      </c>
      <c r="G4334" s="1120">
        <v>19.9</v>
      </c>
      <c r="H4334" s="1127">
        <v>0.0</v>
      </c>
      <c r="I4334" s="1127">
        <v>0.0</v>
      </c>
      <c r="J4334" s="1127">
        <v>0.0</v>
      </c>
      <c r="K4334" s="1124"/>
    </row>
    <row r="4335" ht="15.75" customHeight="1">
      <c r="A4335" s="1119">
        <v>93112.0</v>
      </c>
      <c r="B4335" s="1125" t="s">
        <v>14614</v>
      </c>
      <c r="C4335" s="1126" t="s">
        <v>1788</v>
      </c>
      <c r="D4335" s="1119">
        <v>50.36</v>
      </c>
      <c r="E4335" s="1120">
        <v>6.76</v>
      </c>
      <c r="F4335" s="1121">
        <f t="shared" si="1"/>
        <v>43.61</v>
      </c>
      <c r="G4335" s="1120">
        <v>43.61</v>
      </c>
      <c r="H4335" s="1127">
        <v>0.0</v>
      </c>
      <c r="I4335" s="1127">
        <v>0.0</v>
      </c>
      <c r="J4335" s="1127">
        <v>0.0</v>
      </c>
      <c r="K4335" s="1124"/>
    </row>
    <row r="4336" ht="15.75" customHeight="1">
      <c r="A4336" s="1119">
        <v>93113.0</v>
      </c>
      <c r="B4336" s="1125" t="s">
        <v>14615</v>
      </c>
      <c r="C4336" s="1126" t="s">
        <v>1788</v>
      </c>
      <c r="D4336" s="1119">
        <v>24.58</v>
      </c>
      <c r="E4336" s="1120">
        <v>8.73</v>
      </c>
      <c r="F4336" s="1121">
        <f t="shared" si="1"/>
        <v>15.85</v>
      </c>
      <c r="G4336" s="1120">
        <v>15.85</v>
      </c>
      <c r="H4336" s="1127">
        <v>0.0</v>
      </c>
      <c r="I4336" s="1127">
        <v>0.0</v>
      </c>
      <c r="J4336" s="1127">
        <v>0.0</v>
      </c>
      <c r="K4336" s="1124"/>
    </row>
    <row r="4337" ht="15.75" customHeight="1">
      <c r="A4337" s="1119">
        <v>93114.0</v>
      </c>
      <c r="B4337" s="1125" t="s">
        <v>14616</v>
      </c>
      <c r="C4337" s="1126" t="s">
        <v>1788</v>
      </c>
      <c r="D4337" s="1119">
        <v>33.13</v>
      </c>
      <c r="E4337" s="1120">
        <v>5.92</v>
      </c>
      <c r="F4337" s="1121">
        <f t="shared" si="1"/>
        <v>27.19</v>
      </c>
      <c r="G4337" s="1120">
        <v>27.19</v>
      </c>
      <c r="H4337" s="1127">
        <v>0.0</v>
      </c>
      <c r="I4337" s="1127">
        <v>0.0</v>
      </c>
      <c r="J4337" s="1127">
        <v>0.0</v>
      </c>
      <c r="K4337" s="1124"/>
    </row>
    <row r="4338" ht="15.75" customHeight="1">
      <c r="A4338" s="1119">
        <v>93115.0</v>
      </c>
      <c r="B4338" s="1125" t="s">
        <v>14617</v>
      </c>
      <c r="C4338" s="1126" t="s">
        <v>1788</v>
      </c>
      <c r="D4338" s="1119">
        <v>85.4</v>
      </c>
      <c r="E4338" s="1120">
        <v>8.71</v>
      </c>
      <c r="F4338" s="1121">
        <f t="shared" si="1"/>
        <v>76.69</v>
      </c>
      <c r="G4338" s="1120">
        <v>76.69</v>
      </c>
      <c r="H4338" s="1127">
        <v>0.0</v>
      </c>
      <c r="I4338" s="1127">
        <v>0.0</v>
      </c>
      <c r="J4338" s="1127">
        <v>0.0</v>
      </c>
      <c r="K4338" s="1124"/>
    </row>
    <row r="4339" ht="15.75" customHeight="1">
      <c r="A4339" s="1119">
        <v>93116.0</v>
      </c>
      <c r="B4339" s="1125" t="s">
        <v>14618</v>
      </c>
      <c r="C4339" s="1126" t="s">
        <v>1788</v>
      </c>
      <c r="D4339" s="1119">
        <v>569.69</v>
      </c>
      <c r="E4339" s="1120">
        <v>8.71</v>
      </c>
      <c r="F4339" s="1121">
        <f t="shared" si="1"/>
        <v>560.98</v>
      </c>
      <c r="G4339" s="1120">
        <v>560.98</v>
      </c>
      <c r="H4339" s="1127">
        <v>0.0</v>
      </c>
      <c r="I4339" s="1127">
        <v>0.0</v>
      </c>
      <c r="J4339" s="1127">
        <v>0.0</v>
      </c>
      <c r="K4339" s="1124"/>
    </row>
    <row r="4340" ht="15.75" customHeight="1">
      <c r="A4340" s="1119">
        <v>93117.0</v>
      </c>
      <c r="B4340" s="1125" t="s">
        <v>14619</v>
      </c>
      <c r="C4340" s="1126" t="s">
        <v>1788</v>
      </c>
      <c r="D4340" s="1119">
        <v>58.38</v>
      </c>
      <c r="E4340" s="1120">
        <v>6.08</v>
      </c>
      <c r="F4340" s="1121">
        <f t="shared" si="1"/>
        <v>52.31</v>
      </c>
      <c r="G4340" s="1120">
        <v>52.31</v>
      </c>
      <c r="H4340" s="1127">
        <v>0.0</v>
      </c>
      <c r="I4340" s="1127">
        <v>0.0</v>
      </c>
      <c r="J4340" s="1127">
        <v>0.0</v>
      </c>
      <c r="K4340" s="1124"/>
    </row>
    <row r="4341" ht="15.75" customHeight="1">
      <c r="A4341" s="1119">
        <v>93118.0</v>
      </c>
      <c r="B4341" s="1125" t="s">
        <v>14620</v>
      </c>
      <c r="C4341" s="1126" t="s">
        <v>1788</v>
      </c>
      <c r="D4341" s="1119">
        <v>86.15</v>
      </c>
      <c r="E4341" s="1120">
        <v>9.28</v>
      </c>
      <c r="F4341" s="1121">
        <f t="shared" si="1"/>
        <v>76.88</v>
      </c>
      <c r="G4341" s="1120">
        <v>76.88</v>
      </c>
      <c r="H4341" s="1127">
        <v>0.0</v>
      </c>
      <c r="I4341" s="1127">
        <v>0.0</v>
      </c>
      <c r="J4341" s="1127">
        <v>0.0</v>
      </c>
      <c r="K4341" s="1124"/>
    </row>
    <row r="4342" ht="15.75" customHeight="1">
      <c r="A4342" s="1119">
        <v>93119.0</v>
      </c>
      <c r="B4342" s="1125" t="s">
        <v>14621</v>
      </c>
      <c r="C4342" s="1126" t="s">
        <v>1788</v>
      </c>
      <c r="D4342" s="1119">
        <v>17.77</v>
      </c>
      <c r="E4342" s="1120">
        <v>3.86</v>
      </c>
      <c r="F4342" s="1121">
        <f t="shared" si="1"/>
        <v>13.92</v>
      </c>
      <c r="G4342" s="1120">
        <v>13.92</v>
      </c>
      <c r="H4342" s="1127">
        <v>0.0</v>
      </c>
      <c r="I4342" s="1127">
        <v>0.0</v>
      </c>
      <c r="J4342" s="1127">
        <v>0.0</v>
      </c>
      <c r="K4342" s="1124"/>
    </row>
    <row r="4343" ht="15.75" customHeight="1">
      <c r="A4343" s="1119">
        <v>93120.0</v>
      </c>
      <c r="B4343" s="1125" t="s">
        <v>14622</v>
      </c>
      <c r="C4343" s="1126" t="s">
        <v>1788</v>
      </c>
      <c r="D4343" s="1119">
        <v>26.11</v>
      </c>
      <c r="E4343" s="1120">
        <v>3.47</v>
      </c>
      <c r="F4343" s="1121">
        <f t="shared" si="1"/>
        <v>22.63</v>
      </c>
      <c r="G4343" s="1120">
        <v>22.63</v>
      </c>
      <c r="H4343" s="1127">
        <v>0.0</v>
      </c>
      <c r="I4343" s="1127">
        <v>0.0</v>
      </c>
      <c r="J4343" s="1127">
        <v>0.0</v>
      </c>
      <c r="K4343" s="1124"/>
    </row>
    <row r="4344" ht="15.75" customHeight="1">
      <c r="A4344" s="1119">
        <v>93121.0</v>
      </c>
      <c r="B4344" s="1125" t="s">
        <v>14623</v>
      </c>
      <c r="C4344" s="1126" t="s">
        <v>1788</v>
      </c>
      <c r="D4344" s="1119">
        <v>29.74</v>
      </c>
      <c r="E4344" s="1120">
        <v>4.31</v>
      </c>
      <c r="F4344" s="1121">
        <f t="shared" si="1"/>
        <v>25.44</v>
      </c>
      <c r="G4344" s="1120">
        <v>25.44</v>
      </c>
      <c r="H4344" s="1127">
        <v>0.0</v>
      </c>
      <c r="I4344" s="1127">
        <v>0.0</v>
      </c>
      <c r="J4344" s="1127">
        <v>0.0</v>
      </c>
      <c r="K4344" s="1124"/>
    </row>
    <row r="4345" ht="15.75" customHeight="1">
      <c r="A4345" s="1119">
        <v>93122.0</v>
      </c>
      <c r="B4345" s="1125" t="s">
        <v>14624</v>
      </c>
      <c r="C4345" s="1126" t="s">
        <v>1788</v>
      </c>
      <c r="D4345" s="1119">
        <v>26.5</v>
      </c>
      <c r="E4345" s="1120">
        <v>4.98</v>
      </c>
      <c r="F4345" s="1121">
        <f t="shared" si="1"/>
        <v>21.53</v>
      </c>
      <c r="G4345" s="1120">
        <v>21.53</v>
      </c>
      <c r="H4345" s="1127">
        <v>0.0</v>
      </c>
      <c r="I4345" s="1127">
        <v>0.0</v>
      </c>
      <c r="J4345" s="1127">
        <v>0.0</v>
      </c>
      <c r="K4345" s="1124"/>
    </row>
    <row r="4346" ht="15.75" customHeight="1">
      <c r="A4346" s="1119">
        <v>93123.0</v>
      </c>
      <c r="B4346" s="1125" t="s">
        <v>14625</v>
      </c>
      <c r="C4346" s="1126" t="s">
        <v>1788</v>
      </c>
      <c r="D4346" s="1119">
        <v>58.07</v>
      </c>
      <c r="E4346" s="1120">
        <v>6.26</v>
      </c>
      <c r="F4346" s="1121">
        <f t="shared" si="1"/>
        <v>51.81</v>
      </c>
      <c r="G4346" s="1120">
        <v>51.81</v>
      </c>
      <c r="H4346" s="1127">
        <v>0.0</v>
      </c>
      <c r="I4346" s="1127">
        <v>0.0</v>
      </c>
      <c r="J4346" s="1127">
        <v>0.0</v>
      </c>
      <c r="K4346" s="1124"/>
    </row>
    <row r="4347" ht="15.75" customHeight="1">
      <c r="A4347" s="1119">
        <v>93124.0</v>
      </c>
      <c r="B4347" s="1125" t="s">
        <v>14626</v>
      </c>
      <c r="C4347" s="1126" t="s">
        <v>1788</v>
      </c>
      <c r="D4347" s="1119">
        <v>90.69</v>
      </c>
      <c r="E4347" s="1120">
        <v>7.57</v>
      </c>
      <c r="F4347" s="1121">
        <f t="shared" si="1"/>
        <v>83.11</v>
      </c>
      <c r="G4347" s="1120">
        <v>83.11</v>
      </c>
      <c r="H4347" s="1127">
        <v>0.0</v>
      </c>
      <c r="I4347" s="1127">
        <v>0.0</v>
      </c>
      <c r="J4347" s="1127">
        <v>0.0</v>
      </c>
      <c r="K4347" s="1124"/>
    </row>
    <row r="4348" ht="15.75" customHeight="1">
      <c r="A4348" s="1119">
        <v>93125.0</v>
      </c>
      <c r="B4348" s="1125" t="s">
        <v>14627</v>
      </c>
      <c r="C4348" s="1126" t="s">
        <v>1788</v>
      </c>
      <c r="D4348" s="1119">
        <v>133.08</v>
      </c>
      <c r="E4348" s="1120">
        <v>9.81</v>
      </c>
      <c r="F4348" s="1121">
        <f t="shared" si="1"/>
        <v>123.27</v>
      </c>
      <c r="G4348" s="1120">
        <v>123.27</v>
      </c>
      <c r="H4348" s="1127">
        <v>0.0</v>
      </c>
      <c r="I4348" s="1127">
        <v>0.0</v>
      </c>
      <c r="J4348" s="1127">
        <v>0.0</v>
      </c>
      <c r="K4348" s="1124"/>
    </row>
    <row r="4349" ht="15.75" customHeight="1">
      <c r="A4349" s="1119">
        <v>93126.0</v>
      </c>
      <c r="B4349" s="1125" t="s">
        <v>14628</v>
      </c>
      <c r="C4349" s="1126" t="s">
        <v>1788</v>
      </c>
      <c r="D4349" s="1119">
        <v>291.89</v>
      </c>
      <c r="E4349" s="1120">
        <v>12.05</v>
      </c>
      <c r="F4349" s="1121">
        <f t="shared" si="1"/>
        <v>279.82</v>
      </c>
      <c r="G4349" s="1120">
        <v>279.82</v>
      </c>
      <c r="H4349" s="1127">
        <v>0.0</v>
      </c>
      <c r="I4349" s="1127">
        <v>0.0</v>
      </c>
      <c r="J4349" s="1127">
        <v>0.0</v>
      </c>
      <c r="K4349" s="1124"/>
    </row>
    <row r="4350" ht="15.75" customHeight="1">
      <c r="A4350" s="1119">
        <v>93133.0</v>
      </c>
      <c r="B4350" s="1125" t="s">
        <v>14629</v>
      </c>
      <c r="C4350" s="1126" t="s">
        <v>1788</v>
      </c>
      <c r="D4350" s="1119">
        <v>20.89</v>
      </c>
      <c r="E4350" s="1120">
        <v>7.75</v>
      </c>
      <c r="F4350" s="1121">
        <f t="shared" si="1"/>
        <v>13.15</v>
      </c>
      <c r="G4350" s="1120">
        <v>13.15</v>
      </c>
      <c r="H4350" s="1127">
        <v>0.0</v>
      </c>
      <c r="I4350" s="1127">
        <v>0.0</v>
      </c>
      <c r="J4350" s="1127">
        <v>0.0</v>
      </c>
      <c r="K4350" s="1124"/>
    </row>
    <row r="4351" ht="15.75" customHeight="1">
      <c r="A4351" s="1119">
        <v>94465.0</v>
      </c>
      <c r="B4351" s="1125" t="s">
        <v>14630</v>
      </c>
      <c r="C4351" s="1126" t="s">
        <v>1788</v>
      </c>
      <c r="D4351" s="1119">
        <v>58.97</v>
      </c>
      <c r="E4351" s="1120">
        <v>15.11</v>
      </c>
      <c r="F4351" s="1121">
        <f t="shared" si="1"/>
        <v>43.87</v>
      </c>
      <c r="G4351" s="1120">
        <v>43.87</v>
      </c>
      <c r="H4351" s="1127">
        <v>0.0</v>
      </c>
      <c r="I4351" s="1127">
        <v>0.0</v>
      </c>
      <c r="J4351" s="1127">
        <v>0.0</v>
      </c>
      <c r="K4351" s="1124"/>
    </row>
    <row r="4352" ht="15.75" customHeight="1">
      <c r="A4352" s="1119">
        <v>94466.0</v>
      </c>
      <c r="B4352" s="1125" t="s">
        <v>14631</v>
      </c>
      <c r="C4352" s="1126" t="s">
        <v>1788</v>
      </c>
      <c r="D4352" s="1119">
        <v>59.0</v>
      </c>
      <c r="E4352" s="1120">
        <v>15.11</v>
      </c>
      <c r="F4352" s="1121">
        <f t="shared" si="1"/>
        <v>43.9</v>
      </c>
      <c r="G4352" s="1120">
        <v>43.9</v>
      </c>
      <c r="H4352" s="1127">
        <v>0.0</v>
      </c>
      <c r="I4352" s="1127">
        <v>0.0</v>
      </c>
      <c r="J4352" s="1127">
        <v>0.0</v>
      </c>
      <c r="K4352" s="1124"/>
    </row>
    <row r="4353" ht="15.75" customHeight="1">
      <c r="A4353" s="1119">
        <v>94467.0</v>
      </c>
      <c r="B4353" s="1125" t="s">
        <v>14632</v>
      </c>
      <c r="C4353" s="1126" t="s">
        <v>1788</v>
      </c>
      <c r="D4353" s="1119">
        <v>90.54</v>
      </c>
      <c r="E4353" s="1120">
        <v>15.1</v>
      </c>
      <c r="F4353" s="1121">
        <f t="shared" si="1"/>
        <v>75.44</v>
      </c>
      <c r="G4353" s="1120">
        <v>75.44</v>
      </c>
      <c r="H4353" s="1127">
        <v>0.0</v>
      </c>
      <c r="I4353" s="1127">
        <v>0.0</v>
      </c>
      <c r="J4353" s="1127">
        <v>0.0</v>
      </c>
      <c r="K4353" s="1124"/>
    </row>
    <row r="4354" ht="15.75" customHeight="1">
      <c r="A4354" s="1119">
        <v>94468.0</v>
      </c>
      <c r="B4354" s="1125" t="s">
        <v>14633</v>
      </c>
      <c r="C4354" s="1126" t="s">
        <v>1788</v>
      </c>
      <c r="D4354" s="1119">
        <v>79.33</v>
      </c>
      <c r="E4354" s="1120">
        <v>15.1</v>
      </c>
      <c r="F4354" s="1121">
        <f t="shared" si="1"/>
        <v>64.23</v>
      </c>
      <c r="G4354" s="1120">
        <v>64.23</v>
      </c>
      <c r="H4354" s="1127">
        <v>0.0</v>
      </c>
      <c r="I4354" s="1127">
        <v>0.0</v>
      </c>
      <c r="J4354" s="1127">
        <v>0.0</v>
      </c>
      <c r="K4354" s="1124"/>
    </row>
    <row r="4355" ht="15.75" customHeight="1">
      <c r="A4355" s="1119">
        <v>94469.0</v>
      </c>
      <c r="B4355" s="1125" t="s">
        <v>14634</v>
      </c>
      <c r="C4355" s="1126" t="s">
        <v>1788</v>
      </c>
      <c r="D4355" s="1119">
        <v>131.27</v>
      </c>
      <c r="E4355" s="1120">
        <v>18.87</v>
      </c>
      <c r="F4355" s="1121">
        <f t="shared" si="1"/>
        <v>112.4</v>
      </c>
      <c r="G4355" s="1120">
        <v>112.4</v>
      </c>
      <c r="H4355" s="1127">
        <v>0.0</v>
      </c>
      <c r="I4355" s="1127">
        <v>0.0</v>
      </c>
      <c r="J4355" s="1127">
        <v>0.0</v>
      </c>
      <c r="K4355" s="1124"/>
    </row>
    <row r="4356" ht="15.75" customHeight="1">
      <c r="A4356" s="1119">
        <v>94470.0</v>
      </c>
      <c r="B4356" s="1125" t="s">
        <v>14635</v>
      </c>
      <c r="C4356" s="1126" t="s">
        <v>1788</v>
      </c>
      <c r="D4356" s="1119">
        <v>121.3</v>
      </c>
      <c r="E4356" s="1120">
        <v>18.87</v>
      </c>
      <c r="F4356" s="1121">
        <f t="shared" si="1"/>
        <v>102.43</v>
      </c>
      <c r="G4356" s="1120">
        <v>102.43</v>
      </c>
      <c r="H4356" s="1127">
        <v>0.0</v>
      </c>
      <c r="I4356" s="1127">
        <v>0.0</v>
      </c>
      <c r="J4356" s="1127">
        <v>0.0</v>
      </c>
      <c r="K4356" s="1124"/>
    </row>
    <row r="4357" ht="15.75" customHeight="1">
      <c r="A4357" s="1119">
        <v>94471.0</v>
      </c>
      <c r="B4357" s="1125" t="s">
        <v>14636</v>
      </c>
      <c r="C4357" s="1126" t="s">
        <v>1788</v>
      </c>
      <c r="D4357" s="1119">
        <v>85.12</v>
      </c>
      <c r="E4357" s="1120">
        <v>22.66</v>
      </c>
      <c r="F4357" s="1121">
        <f t="shared" si="1"/>
        <v>62.46</v>
      </c>
      <c r="G4357" s="1120">
        <v>62.46</v>
      </c>
      <c r="H4357" s="1127">
        <v>0.0</v>
      </c>
      <c r="I4357" s="1127">
        <v>0.0</v>
      </c>
      <c r="J4357" s="1127">
        <v>0.0</v>
      </c>
      <c r="K4357" s="1124"/>
    </row>
    <row r="4358" ht="15.75" customHeight="1">
      <c r="A4358" s="1119">
        <v>94472.0</v>
      </c>
      <c r="B4358" s="1125" t="s">
        <v>14637</v>
      </c>
      <c r="C4358" s="1126" t="s">
        <v>1788</v>
      </c>
      <c r="D4358" s="1119">
        <v>87.62</v>
      </c>
      <c r="E4358" s="1120">
        <v>22.66</v>
      </c>
      <c r="F4358" s="1121">
        <f t="shared" si="1"/>
        <v>64.96</v>
      </c>
      <c r="G4358" s="1120">
        <v>64.96</v>
      </c>
      <c r="H4358" s="1127">
        <v>0.0</v>
      </c>
      <c r="I4358" s="1127">
        <v>0.0</v>
      </c>
      <c r="J4358" s="1127">
        <v>0.0</v>
      </c>
      <c r="K4358" s="1124"/>
    </row>
    <row r="4359" ht="15.75" customHeight="1">
      <c r="A4359" s="1119">
        <v>94473.0</v>
      </c>
      <c r="B4359" s="1125" t="s">
        <v>14638</v>
      </c>
      <c r="C4359" s="1126" t="s">
        <v>1788</v>
      </c>
      <c r="D4359" s="1119">
        <v>129.73</v>
      </c>
      <c r="E4359" s="1120">
        <v>22.65</v>
      </c>
      <c r="F4359" s="1121">
        <f t="shared" si="1"/>
        <v>107.08</v>
      </c>
      <c r="G4359" s="1120">
        <v>107.08</v>
      </c>
      <c r="H4359" s="1127">
        <v>0.0</v>
      </c>
      <c r="I4359" s="1127">
        <v>0.0</v>
      </c>
      <c r="J4359" s="1127">
        <v>0.0</v>
      </c>
      <c r="K4359" s="1124"/>
    </row>
    <row r="4360" ht="15.75" customHeight="1">
      <c r="A4360" s="1119">
        <v>94474.0</v>
      </c>
      <c r="B4360" s="1125" t="s">
        <v>14639</v>
      </c>
      <c r="C4360" s="1126" t="s">
        <v>1788</v>
      </c>
      <c r="D4360" s="1119">
        <v>140.7</v>
      </c>
      <c r="E4360" s="1120">
        <v>22.65</v>
      </c>
      <c r="F4360" s="1121">
        <f t="shared" si="1"/>
        <v>118.05</v>
      </c>
      <c r="G4360" s="1120">
        <v>118.05</v>
      </c>
      <c r="H4360" s="1127">
        <v>0.0</v>
      </c>
      <c r="I4360" s="1127">
        <v>0.0</v>
      </c>
      <c r="J4360" s="1127">
        <v>0.0</v>
      </c>
      <c r="K4360" s="1124"/>
    </row>
    <row r="4361" ht="15.75" customHeight="1">
      <c r="A4361" s="1119">
        <v>94475.0</v>
      </c>
      <c r="B4361" s="1125" t="s">
        <v>14640</v>
      </c>
      <c r="C4361" s="1126" t="s">
        <v>1788</v>
      </c>
      <c r="D4361" s="1119">
        <v>178.06</v>
      </c>
      <c r="E4361" s="1120">
        <v>28.29</v>
      </c>
      <c r="F4361" s="1121">
        <f t="shared" si="1"/>
        <v>149.77</v>
      </c>
      <c r="G4361" s="1120">
        <v>149.77</v>
      </c>
      <c r="H4361" s="1127">
        <v>0.0</v>
      </c>
      <c r="I4361" s="1127">
        <v>0.0</v>
      </c>
      <c r="J4361" s="1127">
        <v>0.0</v>
      </c>
      <c r="K4361" s="1124"/>
    </row>
    <row r="4362" ht="15.75" customHeight="1">
      <c r="A4362" s="1119">
        <v>94476.0</v>
      </c>
      <c r="B4362" s="1125" t="s">
        <v>14641</v>
      </c>
      <c r="C4362" s="1126" t="s">
        <v>1788</v>
      </c>
      <c r="D4362" s="1119">
        <v>199.2</v>
      </c>
      <c r="E4362" s="1120">
        <v>28.29</v>
      </c>
      <c r="F4362" s="1121">
        <f t="shared" si="1"/>
        <v>170.91</v>
      </c>
      <c r="G4362" s="1120">
        <v>170.91</v>
      </c>
      <c r="H4362" s="1127">
        <v>0.0</v>
      </c>
      <c r="I4362" s="1127">
        <v>0.0</v>
      </c>
      <c r="J4362" s="1127">
        <v>0.0</v>
      </c>
      <c r="K4362" s="1124"/>
    </row>
    <row r="4363" ht="15.75" customHeight="1">
      <c r="A4363" s="1119">
        <v>94477.0</v>
      </c>
      <c r="B4363" s="1125" t="s">
        <v>14642</v>
      </c>
      <c r="C4363" s="1126" t="s">
        <v>1788</v>
      </c>
      <c r="D4363" s="1119">
        <v>113.29</v>
      </c>
      <c r="E4363" s="1120">
        <v>30.17</v>
      </c>
      <c r="F4363" s="1121">
        <f t="shared" si="1"/>
        <v>83.12</v>
      </c>
      <c r="G4363" s="1120">
        <v>83.12</v>
      </c>
      <c r="H4363" s="1127">
        <v>0.0</v>
      </c>
      <c r="I4363" s="1127">
        <v>0.0</v>
      </c>
      <c r="J4363" s="1127">
        <v>0.0</v>
      </c>
      <c r="K4363" s="1124"/>
    </row>
    <row r="4364" ht="15.75" customHeight="1">
      <c r="A4364" s="1119">
        <v>94478.0</v>
      </c>
      <c r="B4364" s="1125" t="s">
        <v>14643</v>
      </c>
      <c r="C4364" s="1126" t="s">
        <v>1788</v>
      </c>
      <c r="D4364" s="1119">
        <v>178.3</v>
      </c>
      <c r="E4364" s="1120">
        <v>30.17</v>
      </c>
      <c r="F4364" s="1121">
        <f t="shared" si="1"/>
        <v>148.14</v>
      </c>
      <c r="G4364" s="1120">
        <v>148.14</v>
      </c>
      <c r="H4364" s="1127">
        <v>0.0</v>
      </c>
      <c r="I4364" s="1127">
        <v>0.0</v>
      </c>
      <c r="J4364" s="1127">
        <v>0.0</v>
      </c>
      <c r="K4364" s="1124"/>
    </row>
    <row r="4365" ht="15.75" customHeight="1">
      <c r="A4365" s="1119">
        <v>94479.0</v>
      </c>
      <c r="B4365" s="1125" t="s">
        <v>14644</v>
      </c>
      <c r="C4365" s="1126" t="s">
        <v>1788</v>
      </c>
      <c r="D4365" s="1119">
        <v>235.2</v>
      </c>
      <c r="E4365" s="1120">
        <v>37.72</v>
      </c>
      <c r="F4365" s="1121">
        <f t="shared" si="1"/>
        <v>197.48</v>
      </c>
      <c r="G4365" s="1120">
        <v>197.48</v>
      </c>
      <c r="H4365" s="1127">
        <v>0.0</v>
      </c>
      <c r="I4365" s="1127">
        <v>0.0</v>
      </c>
      <c r="J4365" s="1127">
        <v>0.0</v>
      </c>
      <c r="K4365" s="1124"/>
    </row>
    <row r="4366" ht="15.75" customHeight="1">
      <c r="A4366" s="1119">
        <v>94606.0</v>
      </c>
      <c r="B4366" s="1125" t="s">
        <v>14645</v>
      </c>
      <c r="C4366" s="1126" t="s">
        <v>1788</v>
      </c>
      <c r="D4366" s="1119">
        <v>82.75</v>
      </c>
      <c r="E4366" s="1120">
        <v>17.74</v>
      </c>
      <c r="F4366" s="1121">
        <f t="shared" si="1"/>
        <v>65.01</v>
      </c>
      <c r="G4366" s="1120">
        <v>65.01</v>
      </c>
      <c r="H4366" s="1127">
        <v>0.0</v>
      </c>
      <c r="I4366" s="1127">
        <v>0.0</v>
      </c>
      <c r="J4366" s="1127">
        <v>0.0</v>
      </c>
      <c r="K4366" s="1124"/>
    </row>
    <row r="4367" ht="15.75" customHeight="1">
      <c r="A4367" s="1119">
        <v>94608.0</v>
      </c>
      <c r="B4367" s="1125" t="s">
        <v>14646</v>
      </c>
      <c r="C4367" s="1126" t="s">
        <v>1788</v>
      </c>
      <c r="D4367" s="1119">
        <v>195.78</v>
      </c>
      <c r="E4367" s="1120">
        <v>17.73</v>
      </c>
      <c r="F4367" s="1121">
        <f t="shared" si="1"/>
        <v>178.04</v>
      </c>
      <c r="G4367" s="1120">
        <v>178.04</v>
      </c>
      <c r="H4367" s="1127">
        <v>0.0</v>
      </c>
      <c r="I4367" s="1127">
        <v>0.0</v>
      </c>
      <c r="J4367" s="1127">
        <v>0.0</v>
      </c>
      <c r="K4367" s="1124"/>
    </row>
    <row r="4368" ht="15.75" customHeight="1">
      <c r="A4368" s="1119">
        <v>94610.0</v>
      </c>
      <c r="B4368" s="1125" t="s">
        <v>14647</v>
      </c>
      <c r="C4368" s="1126" t="s">
        <v>1788</v>
      </c>
      <c r="D4368" s="1119">
        <v>288.76</v>
      </c>
      <c r="E4368" s="1120">
        <v>19.36</v>
      </c>
      <c r="F4368" s="1121">
        <f t="shared" si="1"/>
        <v>269.41</v>
      </c>
      <c r="G4368" s="1120">
        <v>269.41</v>
      </c>
      <c r="H4368" s="1127">
        <v>0.0</v>
      </c>
      <c r="I4368" s="1127">
        <v>0.0</v>
      </c>
      <c r="J4368" s="1127">
        <v>0.0</v>
      </c>
      <c r="K4368" s="1124"/>
    </row>
    <row r="4369" ht="15.75" customHeight="1">
      <c r="A4369" s="1119">
        <v>94612.0</v>
      </c>
      <c r="B4369" s="1125" t="s">
        <v>14648</v>
      </c>
      <c r="C4369" s="1126" t="s">
        <v>1788</v>
      </c>
      <c r="D4369" s="1119">
        <v>402.86</v>
      </c>
      <c r="E4369" s="1120">
        <v>19.36</v>
      </c>
      <c r="F4369" s="1121">
        <f t="shared" si="1"/>
        <v>383.51</v>
      </c>
      <c r="G4369" s="1120">
        <v>383.51</v>
      </c>
      <c r="H4369" s="1127">
        <v>0.0</v>
      </c>
      <c r="I4369" s="1127">
        <v>0.0</v>
      </c>
      <c r="J4369" s="1127">
        <v>0.0</v>
      </c>
      <c r="K4369" s="1124"/>
    </row>
    <row r="4370" ht="15.75" customHeight="1">
      <c r="A4370" s="1119">
        <v>94614.0</v>
      </c>
      <c r="B4370" s="1125" t="s">
        <v>14649</v>
      </c>
      <c r="C4370" s="1126" t="s">
        <v>1788</v>
      </c>
      <c r="D4370" s="1119">
        <v>138.97</v>
      </c>
      <c r="E4370" s="1120">
        <v>26.64</v>
      </c>
      <c r="F4370" s="1121">
        <f t="shared" si="1"/>
        <v>112.31</v>
      </c>
      <c r="G4370" s="1120">
        <v>112.31</v>
      </c>
      <c r="H4370" s="1127">
        <v>0.0</v>
      </c>
      <c r="I4370" s="1127">
        <v>0.0</v>
      </c>
      <c r="J4370" s="1127">
        <v>0.0</v>
      </c>
      <c r="K4370" s="1124"/>
    </row>
    <row r="4371" ht="15.75" customHeight="1">
      <c r="A4371" s="1119">
        <v>94615.0</v>
      </c>
      <c r="B4371" s="1125" t="s">
        <v>14650</v>
      </c>
      <c r="C4371" s="1126" t="s">
        <v>1788</v>
      </c>
      <c r="D4371" s="1119">
        <v>156.71</v>
      </c>
      <c r="E4371" s="1120">
        <v>26.64</v>
      </c>
      <c r="F4371" s="1121">
        <f t="shared" si="1"/>
        <v>130.05</v>
      </c>
      <c r="G4371" s="1120">
        <v>130.05</v>
      </c>
      <c r="H4371" s="1127">
        <v>0.0</v>
      </c>
      <c r="I4371" s="1127">
        <v>0.0</v>
      </c>
      <c r="J4371" s="1127">
        <v>0.0</v>
      </c>
      <c r="K4371" s="1124"/>
    </row>
    <row r="4372" ht="15.75" customHeight="1">
      <c r="A4372" s="1119">
        <v>94616.0</v>
      </c>
      <c r="B4372" s="1125" t="s">
        <v>14651</v>
      </c>
      <c r="C4372" s="1126" t="s">
        <v>1788</v>
      </c>
      <c r="D4372" s="1119">
        <v>372.17</v>
      </c>
      <c r="E4372" s="1120">
        <v>26.63</v>
      </c>
      <c r="F4372" s="1121">
        <f t="shared" si="1"/>
        <v>345.52</v>
      </c>
      <c r="G4372" s="1120">
        <v>345.52</v>
      </c>
      <c r="H4372" s="1127">
        <v>0.0</v>
      </c>
      <c r="I4372" s="1127">
        <v>0.0</v>
      </c>
      <c r="J4372" s="1127">
        <v>0.0</v>
      </c>
      <c r="K4372" s="1124"/>
    </row>
    <row r="4373" ht="15.75" customHeight="1">
      <c r="A4373" s="1119">
        <v>94617.0</v>
      </c>
      <c r="B4373" s="1125" t="s">
        <v>14652</v>
      </c>
      <c r="C4373" s="1126" t="s">
        <v>1788</v>
      </c>
      <c r="D4373" s="1119">
        <v>310.47</v>
      </c>
      <c r="E4373" s="1120">
        <v>26.63</v>
      </c>
      <c r="F4373" s="1121">
        <f t="shared" si="1"/>
        <v>283.82</v>
      </c>
      <c r="G4373" s="1120">
        <v>283.82</v>
      </c>
      <c r="H4373" s="1127">
        <v>0.0</v>
      </c>
      <c r="I4373" s="1127">
        <v>0.0</v>
      </c>
      <c r="J4373" s="1127">
        <v>0.0</v>
      </c>
      <c r="K4373" s="1124"/>
    </row>
    <row r="4374" ht="15.75" customHeight="1">
      <c r="A4374" s="1119">
        <v>94618.0</v>
      </c>
      <c r="B4374" s="1125" t="s">
        <v>14653</v>
      </c>
      <c r="C4374" s="1126" t="s">
        <v>1788</v>
      </c>
      <c r="D4374" s="1119">
        <v>366.32</v>
      </c>
      <c r="E4374" s="1120">
        <v>28.99</v>
      </c>
      <c r="F4374" s="1121">
        <f t="shared" si="1"/>
        <v>337.33</v>
      </c>
      <c r="G4374" s="1120">
        <v>337.33</v>
      </c>
      <c r="H4374" s="1127">
        <v>0.0</v>
      </c>
      <c r="I4374" s="1127">
        <v>0.0</v>
      </c>
      <c r="J4374" s="1127">
        <v>0.0</v>
      </c>
      <c r="K4374" s="1124"/>
    </row>
    <row r="4375" ht="15.75" customHeight="1">
      <c r="A4375" s="1119">
        <v>94620.0</v>
      </c>
      <c r="B4375" s="1125" t="s">
        <v>14654</v>
      </c>
      <c r="C4375" s="1126" t="s">
        <v>1788</v>
      </c>
      <c r="D4375" s="1119">
        <v>827.8</v>
      </c>
      <c r="E4375" s="1120">
        <v>28.99</v>
      </c>
      <c r="F4375" s="1121">
        <f t="shared" si="1"/>
        <v>798.81</v>
      </c>
      <c r="G4375" s="1120">
        <v>798.81</v>
      </c>
      <c r="H4375" s="1127">
        <v>0.0</v>
      </c>
      <c r="I4375" s="1127">
        <v>0.0</v>
      </c>
      <c r="J4375" s="1127">
        <v>0.0</v>
      </c>
      <c r="K4375" s="1124"/>
    </row>
    <row r="4376" ht="15.75" customHeight="1">
      <c r="A4376" s="1119">
        <v>94622.0</v>
      </c>
      <c r="B4376" s="1125" t="s">
        <v>14655</v>
      </c>
      <c r="C4376" s="1126" t="s">
        <v>1788</v>
      </c>
      <c r="D4376" s="1119">
        <v>202.28</v>
      </c>
      <c r="E4376" s="1120">
        <v>35.5</v>
      </c>
      <c r="F4376" s="1121">
        <f t="shared" si="1"/>
        <v>166.78</v>
      </c>
      <c r="G4376" s="1120">
        <v>166.78</v>
      </c>
      <c r="H4376" s="1127">
        <v>0.0</v>
      </c>
      <c r="I4376" s="1127">
        <v>0.0</v>
      </c>
      <c r="J4376" s="1127">
        <v>0.0</v>
      </c>
      <c r="K4376" s="1124"/>
    </row>
    <row r="4377" ht="15.75" customHeight="1">
      <c r="A4377" s="1119">
        <v>94623.0</v>
      </c>
      <c r="B4377" s="1125" t="s">
        <v>14656</v>
      </c>
      <c r="C4377" s="1126" t="s">
        <v>1788</v>
      </c>
      <c r="D4377" s="1119">
        <v>461.67</v>
      </c>
      <c r="E4377" s="1120">
        <v>35.49</v>
      </c>
      <c r="F4377" s="1121">
        <f t="shared" si="1"/>
        <v>426.17</v>
      </c>
      <c r="G4377" s="1120">
        <v>426.17</v>
      </c>
      <c r="H4377" s="1127">
        <v>0.0</v>
      </c>
      <c r="I4377" s="1127">
        <v>0.0</v>
      </c>
      <c r="J4377" s="1127">
        <v>0.0</v>
      </c>
      <c r="K4377" s="1124"/>
    </row>
    <row r="4378" ht="15.75" customHeight="1">
      <c r="A4378" s="1119">
        <v>94624.0</v>
      </c>
      <c r="B4378" s="1125" t="s">
        <v>14657</v>
      </c>
      <c r="C4378" s="1126" t="s">
        <v>1788</v>
      </c>
      <c r="D4378" s="1119">
        <v>698.03</v>
      </c>
      <c r="E4378" s="1120">
        <v>38.67</v>
      </c>
      <c r="F4378" s="1121">
        <f t="shared" si="1"/>
        <v>659.36</v>
      </c>
      <c r="G4378" s="1120">
        <v>659.36</v>
      </c>
      <c r="H4378" s="1127">
        <v>0.0</v>
      </c>
      <c r="I4378" s="1127">
        <v>0.0</v>
      </c>
      <c r="J4378" s="1127">
        <v>0.0</v>
      </c>
      <c r="K4378" s="1124"/>
    </row>
    <row r="4379" ht="15.75" customHeight="1">
      <c r="A4379" s="1119">
        <v>94625.0</v>
      </c>
      <c r="B4379" s="1125" t="s">
        <v>14658</v>
      </c>
      <c r="C4379" s="1126" t="s">
        <v>1788</v>
      </c>
      <c r="D4379" s="1128">
        <v>1440.28</v>
      </c>
      <c r="E4379" s="1120">
        <v>38.67</v>
      </c>
      <c r="F4379" s="1121">
        <f t="shared" si="1"/>
        <v>1401.61</v>
      </c>
      <c r="G4379" s="1120">
        <v>1401.61</v>
      </c>
      <c r="H4379" s="1127">
        <v>0.0</v>
      </c>
      <c r="I4379" s="1127">
        <v>0.0</v>
      </c>
      <c r="J4379" s="1127">
        <v>0.0</v>
      </c>
      <c r="K4379" s="1124"/>
    </row>
    <row r="4380" ht="15.75" customHeight="1">
      <c r="A4380" s="1119">
        <v>94656.0</v>
      </c>
      <c r="B4380" s="1125" t="s">
        <v>14659</v>
      </c>
      <c r="C4380" s="1126" t="s">
        <v>1788</v>
      </c>
      <c r="D4380" s="1119">
        <v>7.26</v>
      </c>
      <c r="E4380" s="1120">
        <v>3.48</v>
      </c>
      <c r="F4380" s="1121">
        <f t="shared" si="1"/>
        <v>3.78</v>
      </c>
      <c r="G4380" s="1120">
        <v>3.78</v>
      </c>
      <c r="H4380" s="1127">
        <v>0.0</v>
      </c>
      <c r="I4380" s="1127">
        <v>0.0</v>
      </c>
      <c r="J4380" s="1127">
        <v>0.0</v>
      </c>
      <c r="K4380" s="1124"/>
    </row>
    <row r="4381" ht="15.75" customHeight="1">
      <c r="A4381" s="1119">
        <v>94657.0</v>
      </c>
      <c r="B4381" s="1125" t="s">
        <v>14660</v>
      </c>
      <c r="C4381" s="1126" t="s">
        <v>1788</v>
      </c>
      <c r="D4381" s="1119">
        <v>7.19</v>
      </c>
      <c r="E4381" s="1120">
        <v>3.48</v>
      </c>
      <c r="F4381" s="1121">
        <f t="shared" si="1"/>
        <v>3.71</v>
      </c>
      <c r="G4381" s="1120">
        <v>3.71</v>
      </c>
      <c r="H4381" s="1127">
        <v>0.0</v>
      </c>
      <c r="I4381" s="1127">
        <v>0.0</v>
      </c>
      <c r="J4381" s="1127">
        <v>0.0</v>
      </c>
      <c r="K4381" s="1124"/>
    </row>
    <row r="4382" ht="15.75" customHeight="1">
      <c r="A4382" s="1119">
        <v>94658.0</v>
      </c>
      <c r="B4382" s="1125" t="s">
        <v>14661</v>
      </c>
      <c r="C4382" s="1126" t="s">
        <v>1788</v>
      </c>
      <c r="D4382" s="1119">
        <v>8.21</v>
      </c>
      <c r="E4382" s="1120">
        <v>3.47</v>
      </c>
      <c r="F4382" s="1121">
        <f t="shared" si="1"/>
        <v>4.73</v>
      </c>
      <c r="G4382" s="1120">
        <v>4.73</v>
      </c>
      <c r="H4382" s="1127">
        <v>0.0</v>
      </c>
      <c r="I4382" s="1127">
        <v>0.0</v>
      </c>
      <c r="J4382" s="1127">
        <v>0.0</v>
      </c>
      <c r="K4382" s="1124"/>
    </row>
    <row r="4383" ht="15.75" customHeight="1">
      <c r="A4383" s="1119">
        <v>94659.0</v>
      </c>
      <c r="B4383" s="1125" t="s">
        <v>14662</v>
      </c>
      <c r="C4383" s="1126" t="s">
        <v>1788</v>
      </c>
      <c r="D4383" s="1119">
        <v>8.42</v>
      </c>
      <c r="E4383" s="1120">
        <v>3.47</v>
      </c>
      <c r="F4383" s="1121">
        <f t="shared" si="1"/>
        <v>4.94</v>
      </c>
      <c r="G4383" s="1120">
        <v>4.94</v>
      </c>
      <c r="H4383" s="1127">
        <v>0.0</v>
      </c>
      <c r="I4383" s="1127">
        <v>0.0</v>
      </c>
      <c r="J4383" s="1127">
        <v>0.0</v>
      </c>
      <c r="K4383" s="1124"/>
    </row>
    <row r="4384" ht="15.75" customHeight="1">
      <c r="A4384" s="1119">
        <v>94660.0</v>
      </c>
      <c r="B4384" s="1125" t="s">
        <v>14663</v>
      </c>
      <c r="C4384" s="1126" t="s">
        <v>1788</v>
      </c>
      <c r="D4384" s="1119">
        <v>13.51</v>
      </c>
      <c r="E4384" s="1120">
        <v>4.96</v>
      </c>
      <c r="F4384" s="1121">
        <f t="shared" si="1"/>
        <v>8.55</v>
      </c>
      <c r="G4384" s="1120">
        <v>8.55</v>
      </c>
      <c r="H4384" s="1127">
        <v>0.0</v>
      </c>
      <c r="I4384" s="1127">
        <v>0.0</v>
      </c>
      <c r="J4384" s="1127">
        <v>0.0</v>
      </c>
      <c r="K4384" s="1124"/>
    </row>
    <row r="4385" ht="15.75" customHeight="1">
      <c r="A4385" s="1119">
        <v>94661.0</v>
      </c>
      <c r="B4385" s="1125" t="s">
        <v>14664</v>
      </c>
      <c r="C4385" s="1126" t="s">
        <v>1788</v>
      </c>
      <c r="D4385" s="1119">
        <v>14.09</v>
      </c>
      <c r="E4385" s="1120">
        <v>4.96</v>
      </c>
      <c r="F4385" s="1121">
        <f t="shared" si="1"/>
        <v>9.13</v>
      </c>
      <c r="G4385" s="1120">
        <v>9.13</v>
      </c>
      <c r="H4385" s="1127">
        <v>0.0</v>
      </c>
      <c r="I4385" s="1127">
        <v>0.0</v>
      </c>
      <c r="J4385" s="1127">
        <v>0.0</v>
      </c>
      <c r="K4385" s="1124"/>
    </row>
    <row r="4386" ht="15.75" customHeight="1">
      <c r="A4386" s="1119">
        <v>94662.0</v>
      </c>
      <c r="B4386" s="1125" t="s">
        <v>14665</v>
      </c>
      <c r="C4386" s="1126" t="s">
        <v>1788</v>
      </c>
      <c r="D4386" s="1119">
        <v>14.3</v>
      </c>
      <c r="E4386" s="1120">
        <v>4.96</v>
      </c>
      <c r="F4386" s="1121">
        <f t="shared" si="1"/>
        <v>9.34</v>
      </c>
      <c r="G4386" s="1120">
        <v>9.34</v>
      </c>
      <c r="H4386" s="1127">
        <v>0.0</v>
      </c>
      <c r="I4386" s="1127">
        <v>0.0</v>
      </c>
      <c r="J4386" s="1127">
        <v>0.0</v>
      </c>
      <c r="K4386" s="1124"/>
    </row>
    <row r="4387" ht="15.75" customHeight="1">
      <c r="A4387" s="1119">
        <v>94663.0</v>
      </c>
      <c r="B4387" s="1125" t="s">
        <v>14666</v>
      </c>
      <c r="C4387" s="1126" t="s">
        <v>1788</v>
      </c>
      <c r="D4387" s="1119">
        <v>14.2</v>
      </c>
      <c r="E4387" s="1120">
        <v>4.96</v>
      </c>
      <c r="F4387" s="1121">
        <f t="shared" si="1"/>
        <v>9.24</v>
      </c>
      <c r="G4387" s="1120">
        <v>9.24</v>
      </c>
      <c r="H4387" s="1127">
        <v>0.0</v>
      </c>
      <c r="I4387" s="1127">
        <v>0.0</v>
      </c>
      <c r="J4387" s="1127">
        <v>0.0</v>
      </c>
      <c r="K4387" s="1124"/>
    </row>
    <row r="4388" ht="15.75" customHeight="1">
      <c r="A4388" s="1119">
        <v>94664.0</v>
      </c>
      <c r="B4388" s="1125" t="s">
        <v>14667</v>
      </c>
      <c r="C4388" s="1126" t="s">
        <v>1788</v>
      </c>
      <c r="D4388" s="1119">
        <v>29.09</v>
      </c>
      <c r="E4388" s="1120">
        <v>8.0</v>
      </c>
      <c r="F4388" s="1121">
        <f t="shared" si="1"/>
        <v>21.1</v>
      </c>
      <c r="G4388" s="1120">
        <v>21.1</v>
      </c>
      <c r="H4388" s="1127">
        <v>0.0</v>
      </c>
      <c r="I4388" s="1127">
        <v>0.0</v>
      </c>
      <c r="J4388" s="1127">
        <v>0.0</v>
      </c>
      <c r="K4388" s="1124"/>
    </row>
    <row r="4389" ht="15.75" customHeight="1">
      <c r="A4389" s="1119">
        <v>94665.0</v>
      </c>
      <c r="B4389" s="1125" t="s">
        <v>14668</v>
      </c>
      <c r="C4389" s="1126" t="s">
        <v>1788</v>
      </c>
      <c r="D4389" s="1119">
        <v>31.38</v>
      </c>
      <c r="E4389" s="1120">
        <v>8.0</v>
      </c>
      <c r="F4389" s="1121">
        <f t="shared" si="1"/>
        <v>23.39</v>
      </c>
      <c r="G4389" s="1120">
        <v>23.39</v>
      </c>
      <c r="H4389" s="1127">
        <v>0.0</v>
      </c>
      <c r="I4389" s="1127">
        <v>0.0</v>
      </c>
      <c r="J4389" s="1127">
        <v>0.0</v>
      </c>
      <c r="K4389" s="1124"/>
    </row>
    <row r="4390" ht="15.75" customHeight="1">
      <c r="A4390" s="1119">
        <v>94666.0</v>
      </c>
      <c r="B4390" s="1125" t="s">
        <v>14669</v>
      </c>
      <c r="C4390" s="1126" t="s">
        <v>1788</v>
      </c>
      <c r="D4390" s="1119">
        <v>37.75</v>
      </c>
      <c r="E4390" s="1120">
        <v>7.99</v>
      </c>
      <c r="F4390" s="1121">
        <f t="shared" si="1"/>
        <v>29.76</v>
      </c>
      <c r="G4390" s="1120">
        <v>29.76</v>
      </c>
      <c r="H4390" s="1127">
        <v>0.0</v>
      </c>
      <c r="I4390" s="1127">
        <v>0.0</v>
      </c>
      <c r="J4390" s="1127">
        <v>0.0</v>
      </c>
      <c r="K4390" s="1124"/>
    </row>
    <row r="4391" ht="15.75" customHeight="1">
      <c r="A4391" s="1119">
        <v>94667.0</v>
      </c>
      <c r="B4391" s="1125" t="s">
        <v>14670</v>
      </c>
      <c r="C4391" s="1126" t="s">
        <v>1788</v>
      </c>
      <c r="D4391" s="1119">
        <v>37.85</v>
      </c>
      <c r="E4391" s="1120">
        <v>7.99</v>
      </c>
      <c r="F4391" s="1121">
        <f t="shared" si="1"/>
        <v>29.86</v>
      </c>
      <c r="G4391" s="1120">
        <v>29.86</v>
      </c>
      <c r="H4391" s="1127">
        <v>0.0</v>
      </c>
      <c r="I4391" s="1127">
        <v>0.0</v>
      </c>
      <c r="J4391" s="1127">
        <v>0.0</v>
      </c>
      <c r="K4391" s="1124"/>
    </row>
    <row r="4392" ht="15.75" customHeight="1">
      <c r="A4392" s="1119">
        <v>94668.0</v>
      </c>
      <c r="B4392" s="1125" t="s">
        <v>14671</v>
      </c>
      <c r="C4392" s="1126" t="s">
        <v>1788</v>
      </c>
      <c r="D4392" s="1119">
        <v>59.37</v>
      </c>
      <c r="E4392" s="1120">
        <v>14.01</v>
      </c>
      <c r="F4392" s="1121">
        <f t="shared" si="1"/>
        <v>45.36</v>
      </c>
      <c r="G4392" s="1120">
        <v>45.36</v>
      </c>
      <c r="H4392" s="1127">
        <v>0.0</v>
      </c>
      <c r="I4392" s="1127">
        <v>0.0</v>
      </c>
      <c r="J4392" s="1127">
        <v>0.0</v>
      </c>
      <c r="K4392" s="1124"/>
    </row>
    <row r="4393" ht="15.75" customHeight="1">
      <c r="A4393" s="1119">
        <v>94669.0</v>
      </c>
      <c r="B4393" s="1125" t="s">
        <v>14672</v>
      </c>
      <c r="C4393" s="1126" t="s">
        <v>1788</v>
      </c>
      <c r="D4393" s="1119">
        <v>77.23</v>
      </c>
      <c r="E4393" s="1120">
        <v>14.01</v>
      </c>
      <c r="F4393" s="1121">
        <f t="shared" si="1"/>
        <v>63.22</v>
      </c>
      <c r="G4393" s="1120">
        <v>63.22</v>
      </c>
      <c r="H4393" s="1127">
        <v>0.0</v>
      </c>
      <c r="I4393" s="1127">
        <v>0.0</v>
      </c>
      <c r="J4393" s="1127">
        <v>0.0</v>
      </c>
      <c r="K4393" s="1124"/>
    </row>
    <row r="4394" ht="15.75" customHeight="1">
      <c r="A4394" s="1119">
        <v>94670.0</v>
      </c>
      <c r="B4394" s="1125" t="s">
        <v>14673</v>
      </c>
      <c r="C4394" s="1126" t="s">
        <v>1788</v>
      </c>
      <c r="D4394" s="1119">
        <v>76.61</v>
      </c>
      <c r="E4394" s="1120">
        <v>14.01</v>
      </c>
      <c r="F4394" s="1121">
        <f t="shared" si="1"/>
        <v>62.6</v>
      </c>
      <c r="G4394" s="1120">
        <v>62.6</v>
      </c>
      <c r="H4394" s="1127">
        <v>0.0</v>
      </c>
      <c r="I4394" s="1127">
        <v>0.0</v>
      </c>
      <c r="J4394" s="1127">
        <v>0.0</v>
      </c>
      <c r="K4394" s="1124"/>
    </row>
    <row r="4395" ht="15.75" customHeight="1">
      <c r="A4395" s="1119">
        <v>94671.0</v>
      </c>
      <c r="B4395" s="1125" t="s">
        <v>14674</v>
      </c>
      <c r="C4395" s="1126" t="s">
        <v>1788</v>
      </c>
      <c r="D4395" s="1119">
        <v>109.3</v>
      </c>
      <c r="E4395" s="1120">
        <v>14.01</v>
      </c>
      <c r="F4395" s="1121">
        <f t="shared" si="1"/>
        <v>95.3</v>
      </c>
      <c r="G4395" s="1120">
        <v>95.3</v>
      </c>
      <c r="H4395" s="1127">
        <v>0.0</v>
      </c>
      <c r="I4395" s="1127">
        <v>0.0</v>
      </c>
      <c r="J4395" s="1127">
        <v>0.0</v>
      </c>
      <c r="K4395" s="1124"/>
    </row>
    <row r="4396" ht="15.75" customHeight="1">
      <c r="A4396" s="1119">
        <v>94672.0</v>
      </c>
      <c r="B4396" s="1125" t="s">
        <v>14675</v>
      </c>
      <c r="C4396" s="1126" t="s">
        <v>1788</v>
      </c>
      <c r="D4396" s="1119">
        <v>11.19</v>
      </c>
      <c r="E4396" s="1120">
        <v>5.22</v>
      </c>
      <c r="F4396" s="1121">
        <f t="shared" si="1"/>
        <v>5.97</v>
      </c>
      <c r="G4396" s="1120">
        <v>5.97</v>
      </c>
      <c r="H4396" s="1127">
        <v>0.0</v>
      </c>
      <c r="I4396" s="1127">
        <v>0.0</v>
      </c>
      <c r="J4396" s="1127">
        <v>0.0</v>
      </c>
      <c r="K4396" s="1124"/>
    </row>
    <row r="4397" ht="15.75" customHeight="1">
      <c r="A4397" s="1119">
        <v>94673.0</v>
      </c>
      <c r="B4397" s="1125" t="s">
        <v>14676</v>
      </c>
      <c r="C4397" s="1126" t="s">
        <v>1788</v>
      </c>
      <c r="D4397" s="1119">
        <v>11.78</v>
      </c>
      <c r="E4397" s="1120">
        <v>5.22</v>
      </c>
      <c r="F4397" s="1121">
        <f t="shared" si="1"/>
        <v>6.56</v>
      </c>
      <c r="G4397" s="1120">
        <v>6.56</v>
      </c>
      <c r="H4397" s="1127">
        <v>0.0</v>
      </c>
      <c r="I4397" s="1127">
        <v>0.0</v>
      </c>
      <c r="J4397" s="1127">
        <v>0.0</v>
      </c>
      <c r="K4397" s="1124"/>
    </row>
    <row r="4398" ht="15.75" customHeight="1">
      <c r="A4398" s="1119">
        <v>94674.0</v>
      </c>
      <c r="B4398" s="1125" t="s">
        <v>14677</v>
      </c>
      <c r="C4398" s="1126" t="s">
        <v>1788</v>
      </c>
      <c r="D4398" s="1119">
        <v>11.19</v>
      </c>
      <c r="E4398" s="1120">
        <v>5.22</v>
      </c>
      <c r="F4398" s="1121">
        <f t="shared" si="1"/>
        <v>5.97</v>
      </c>
      <c r="G4398" s="1120">
        <v>5.97</v>
      </c>
      <c r="H4398" s="1127">
        <v>0.0</v>
      </c>
      <c r="I4398" s="1127">
        <v>0.0</v>
      </c>
      <c r="J4398" s="1127">
        <v>0.0</v>
      </c>
      <c r="K4398" s="1124"/>
    </row>
    <row r="4399" ht="15.75" customHeight="1">
      <c r="A4399" s="1119">
        <v>94675.0</v>
      </c>
      <c r="B4399" s="1125" t="s">
        <v>14678</v>
      </c>
      <c r="C4399" s="1126" t="s">
        <v>1788</v>
      </c>
      <c r="D4399" s="1119">
        <v>15.41</v>
      </c>
      <c r="E4399" s="1120">
        <v>5.21</v>
      </c>
      <c r="F4399" s="1121">
        <f t="shared" si="1"/>
        <v>10.2</v>
      </c>
      <c r="G4399" s="1120">
        <v>10.2</v>
      </c>
      <c r="H4399" s="1127">
        <v>0.0</v>
      </c>
      <c r="I4399" s="1127">
        <v>0.0</v>
      </c>
      <c r="J4399" s="1127">
        <v>0.0</v>
      </c>
      <c r="K4399" s="1124"/>
    </row>
    <row r="4400" ht="15.75" customHeight="1">
      <c r="A4400" s="1119">
        <v>94676.0</v>
      </c>
      <c r="B4400" s="1125" t="s">
        <v>14679</v>
      </c>
      <c r="C4400" s="1126" t="s">
        <v>1788</v>
      </c>
      <c r="D4400" s="1119">
        <v>19.11</v>
      </c>
      <c r="E4400" s="1120">
        <v>7.42</v>
      </c>
      <c r="F4400" s="1121">
        <f t="shared" si="1"/>
        <v>11.68</v>
      </c>
      <c r="G4400" s="1120">
        <v>11.68</v>
      </c>
      <c r="H4400" s="1127">
        <v>0.0</v>
      </c>
      <c r="I4400" s="1127">
        <v>0.0</v>
      </c>
      <c r="J4400" s="1127">
        <v>0.0</v>
      </c>
      <c r="K4400" s="1124"/>
    </row>
    <row r="4401" ht="15.75" customHeight="1">
      <c r="A4401" s="1119">
        <v>94677.0</v>
      </c>
      <c r="B4401" s="1125" t="s">
        <v>14680</v>
      </c>
      <c r="C4401" s="1126" t="s">
        <v>1788</v>
      </c>
      <c r="D4401" s="1119">
        <v>25.52</v>
      </c>
      <c r="E4401" s="1120">
        <v>7.42</v>
      </c>
      <c r="F4401" s="1121">
        <f t="shared" si="1"/>
        <v>18.1</v>
      </c>
      <c r="G4401" s="1120">
        <v>18.1</v>
      </c>
      <c r="H4401" s="1127">
        <v>0.0</v>
      </c>
      <c r="I4401" s="1127">
        <v>0.0</v>
      </c>
      <c r="J4401" s="1127">
        <v>0.0</v>
      </c>
      <c r="K4401" s="1124"/>
    </row>
    <row r="4402" ht="15.75" customHeight="1">
      <c r="A4402" s="1119">
        <v>94678.0</v>
      </c>
      <c r="B4402" s="1125" t="s">
        <v>14681</v>
      </c>
      <c r="C4402" s="1126" t="s">
        <v>1788</v>
      </c>
      <c r="D4402" s="1119">
        <v>18.16</v>
      </c>
      <c r="E4402" s="1120">
        <v>7.42</v>
      </c>
      <c r="F4402" s="1121">
        <f t="shared" si="1"/>
        <v>10.73</v>
      </c>
      <c r="G4402" s="1120">
        <v>10.73</v>
      </c>
      <c r="H4402" s="1127">
        <v>0.0</v>
      </c>
      <c r="I4402" s="1127">
        <v>0.0</v>
      </c>
      <c r="J4402" s="1127">
        <v>0.0</v>
      </c>
      <c r="K4402" s="1124"/>
    </row>
    <row r="4403" ht="15.75" customHeight="1">
      <c r="A4403" s="1119">
        <v>94679.0</v>
      </c>
      <c r="B4403" s="1125" t="s">
        <v>14682</v>
      </c>
      <c r="C4403" s="1126" t="s">
        <v>1788</v>
      </c>
      <c r="D4403" s="1119">
        <v>26.59</v>
      </c>
      <c r="E4403" s="1120">
        <v>7.41</v>
      </c>
      <c r="F4403" s="1121">
        <f t="shared" si="1"/>
        <v>19.17</v>
      </c>
      <c r="G4403" s="1120">
        <v>19.17</v>
      </c>
      <c r="H4403" s="1127">
        <v>0.0</v>
      </c>
      <c r="I4403" s="1127">
        <v>0.0</v>
      </c>
      <c r="J4403" s="1127">
        <v>0.0</v>
      </c>
      <c r="K4403" s="1124"/>
    </row>
    <row r="4404" ht="15.75" customHeight="1">
      <c r="A4404" s="1119">
        <v>94680.0</v>
      </c>
      <c r="B4404" s="1125" t="s">
        <v>14683</v>
      </c>
      <c r="C4404" s="1126" t="s">
        <v>1788</v>
      </c>
      <c r="D4404" s="1119">
        <v>53.05</v>
      </c>
      <c r="E4404" s="1120">
        <v>11.99</v>
      </c>
      <c r="F4404" s="1121">
        <f t="shared" si="1"/>
        <v>41.07</v>
      </c>
      <c r="G4404" s="1120">
        <v>41.07</v>
      </c>
      <c r="H4404" s="1127">
        <v>0.0</v>
      </c>
      <c r="I4404" s="1127">
        <v>0.0</v>
      </c>
      <c r="J4404" s="1127">
        <v>0.0</v>
      </c>
      <c r="K4404" s="1124"/>
    </row>
    <row r="4405" ht="15.75" customHeight="1">
      <c r="A4405" s="1119">
        <v>94681.0</v>
      </c>
      <c r="B4405" s="1125" t="s">
        <v>14684</v>
      </c>
      <c r="C4405" s="1126" t="s">
        <v>1788</v>
      </c>
      <c r="D4405" s="1119">
        <v>58.44</v>
      </c>
      <c r="E4405" s="1120">
        <v>11.98</v>
      </c>
      <c r="F4405" s="1121">
        <f t="shared" si="1"/>
        <v>46.47</v>
      </c>
      <c r="G4405" s="1120">
        <v>46.47</v>
      </c>
      <c r="H4405" s="1127">
        <v>0.0</v>
      </c>
      <c r="I4405" s="1127">
        <v>0.0</v>
      </c>
      <c r="J4405" s="1127">
        <v>0.0</v>
      </c>
      <c r="K4405" s="1124"/>
    </row>
    <row r="4406" ht="15.75" customHeight="1">
      <c r="A4406" s="1119">
        <v>94682.0</v>
      </c>
      <c r="B4406" s="1125" t="s">
        <v>14685</v>
      </c>
      <c r="C4406" s="1126" t="s">
        <v>1788</v>
      </c>
      <c r="D4406" s="1119">
        <v>112.15</v>
      </c>
      <c r="E4406" s="1120">
        <v>11.97</v>
      </c>
      <c r="F4406" s="1121">
        <f t="shared" si="1"/>
        <v>100.19</v>
      </c>
      <c r="G4406" s="1120">
        <v>100.19</v>
      </c>
      <c r="H4406" s="1127">
        <v>0.0</v>
      </c>
      <c r="I4406" s="1127">
        <v>0.0</v>
      </c>
      <c r="J4406" s="1127">
        <v>0.0</v>
      </c>
      <c r="K4406" s="1124"/>
    </row>
    <row r="4407" ht="15.75" customHeight="1">
      <c r="A4407" s="1119">
        <v>94683.0</v>
      </c>
      <c r="B4407" s="1125" t="s">
        <v>14686</v>
      </c>
      <c r="C4407" s="1126" t="s">
        <v>1788</v>
      </c>
      <c r="D4407" s="1119">
        <v>77.56</v>
      </c>
      <c r="E4407" s="1120">
        <v>11.98</v>
      </c>
      <c r="F4407" s="1121">
        <f t="shared" si="1"/>
        <v>65.59</v>
      </c>
      <c r="G4407" s="1120">
        <v>65.59</v>
      </c>
      <c r="H4407" s="1127">
        <v>0.0</v>
      </c>
      <c r="I4407" s="1127">
        <v>0.0</v>
      </c>
      <c r="J4407" s="1127">
        <v>0.0</v>
      </c>
      <c r="K4407" s="1124"/>
    </row>
    <row r="4408" ht="15.75" customHeight="1">
      <c r="A4408" s="1119">
        <v>94684.0</v>
      </c>
      <c r="B4408" s="1125" t="s">
        <v>14687</v>
      </c>
      <c r="C4408" s="1126" t="s">
        <v>1788</v>
      </c>
      <c r="D4408" s="1119">
        <v>147.61</v>
      </c>
      <c r="E4408" s="1120">
        <v>21.05</v>
      </c>
      <c r="F4408" s="1121">
        <f t="shared" si="1"/>
        <v>126.57</v>
      </c>
      <c r="G4408" s="1120">
        <v>126.57</v>
      </c>
      <c r="H4408" s="1127">
        <v>0.0</v>
      </c>
      <c r="I4408" s="1127">
        <v>0.0</v>
      </c>
      <c r="J4408" s="1127">
        <v>0.0</v>
      </c>
      <c r="K4408" s="1124"/>
    </row>
    <row r="4409" ht="15.75" customHeight="1">
      <c r="A4409" s="1119">
        <v>94685.0</v>
      </c>
      <c r="B4409" s="1125" t="s">
        <v>14688</v>
      </c>
      <c r="C4409" s="1126" t="s">
        <v>1788</v>
      </c>
      <c r="D4409" s="1119">
        <v>110.95</v>
      </c>
      <c r="E4409" s="1120">
        <v>21.05</v>
      </c>
      <c r="F4409" s="1121">
        <f t="shared" si="1"/>
        <v>89.91</v>
      </c>
      <c r="G4409" s="1120">
        <v>89.91</v>
      </c>
      <c r="H4409" s="1127">
        <v>0.0</v>
      </c>
      <c r="I4409" s="1127">
        <v>0.0</v>
      </c>
      <c r="J4409" s="1127">
        <v>0.0</v>
      </c>
      <c r="K4409" s="1124"/>
    </row>
    <row r="4410" ht="15.75" customHeight="1">
      <c r="A4410" s="1119">
        <v>94686.0</v>
      </c>
      <c r="B4410" s="1125" t="s">
        <v>14689</v>
      </c>
      <c r="C4410" s="1126" t="s">
        <v>1788</v>
      </c>
      <c r="D4410" s="1119">
        <v>257.33</v>
      </c>
      <c r="E4410" s="1120">
        <v>21.04</v>
      </c>
      <c r="F4410" s="1121">
        <f t="shared" si="1"/>
        <v>236.3</v>
      </c>
      <c r="G4410" s="1120">
        <v>236.3</v>
      </c>
      <c r="H4410" s="1127">
        <v>0.0</v>
      </c>
      <c r="I4410" s="1127">
        <v>0.0</v>
      </c>
      <c r="J4410" s="1127">
        <v>0.0</v>
      </c>
      <c r="K4410" s="1124"/>
    </row>
    <row r="4411" ht="15.75" customHeight="1">
      <c r="A4411" s="1119">
        <v>94687.0</v>
      </c>
      <c r="B4411" s="1125" t="s">
        <v>14690</v>
      </c>
      <c r="C4411" s="1126" t="s">
        <v>1788</v>
      </c>
      <c r="D4411" s="1119">
        <v>232.99</v>
      </c>
      <c r="E4411" s="1120">
        <v>21.04</v>
      </c>
      <c r="F4411" s="1121">
        <f t="shared" si="1"/>
        <v>211.96</v>
      </c>
      <c r="G4411" s="1120">
        <v>211.96</v>
      </c>
      <c r="H4411" s="1127">
        <v>0.0</v>
      </c>
      <c r="I4411" s="1127">
        <v>0.0</v>
      </c>
      <c r="J4411" s="1127">
        <v>0.0</v>
      </c>
      <c r="K4411" s="1124"/>
    </row>
    <row r="4412" ht="15.75" customHeight="1">
      <c r="A4412" s="1119">
        <v>94688.0</v>
      </c>
      <c r="B4412" s="1125" t="s">
        <v>14691</v>
      </c>
      <c r="C4412" s="1126" t="s">
        <v>1788</v>
      </c>
      <c r="D4412" s="1119">
        <v>12.95</v>
      </c>
      <c r="E4412" s="1120">
        <v>6.91</v>
      </c>
      <c r="F4412" s="1121">
        <f t="shared" si="1"/>
        <v>6.05</v>
      </c>
      <c r="G4412" s="1120">
        <v>6.05</v>
      </c>
      <c r="H4412" s="1127">
        <v>0.0</v>
      </c>
      <c r="I4412" s="1127">
        <v>0.0</v>
      </c>
      <c r="J4412" s="1127">
        <v>0.0</v>
      </c>
      <c r="K4412" s="1124"/>
    </row>
    <row r="4413" ht="15.75" customHeight="1">
      <c r="A4413" s="1119">
        <v>94689.0</v>
      </c>
      <c r="B4413" s="1125" t="s">
        <v>14692</v>
      </c>
      <c r="C4413" s="1126" t="s">
        <v>1788</v>
      </c>
      <c r="D4413" s="1119">
        <v>16.12</v>
      </c>
      <c r="E4413" s="1120">
        <v>6.89</v>
      </c>
      <c r="F4413" s="1121">
        <f t="shared" si="1"/>
        <v>9.22</v>
      </c>
      <c r="G4413" s="1120">
        <v>9.22</v>
      </c>
      <c r="H4413" s="1127">
        <v>0.0</v>
      </c>
      <c r="I4413" s="1127">
        <v>0.0</v>
      </c>
      <c r="J4413" s="1127">
        <v>0.0</v>
      </c>
      <c r="K4413" s="1124"/>
    </row>
    <row r="4414" ht="15.75" customHeight="1">
      <c r="A4414" s="1119">
        <v>94690.0</v>
      </c>
      <c r="B4414" s="1125" t="s">
        <v>14693</v>
      </c>
      <c r="C4414" s="1126" t="s">
        <v>1788</v>
      </c>
      <c r="D4414" s="1119">
        <v>15.64</v>
      </c>
      <c r="E4414" s="1120">
        <v>6.89</v>
      </c>
      <c r="F4414" s="1121">
        <f t="shared" si="1"/>
        <v>8.74</v>
      </c>
      <c r="G4414" s="1120">
        <v>8.74</v>
      </c>
      <c r="H4414" s="1127">
        <v>0.0</v>
      </c>
      <c r="I4414" s="1127">
        <v>0.0</v>
      </c>
      <c r="J4414" s="1127">
        <v>0.0</v>
      </c>
      <c r="K4414" s="1124"/>
    </row>
    <row r="4415" ht="15.75" customHeight="1">
      <c r="A4415" s="1119">
        <v>94691.0</v>
      </c>
      <c r="B4415" s="1125" t="s">
        <v>14694</v>
      </c>
      <c r="C4415" s="1126" t="s">
        <v>1788</v>
      </c>
      <c r="D4415" s="1119">
        <v>18.69</v>
      </c>
      <c r="E4415" s="1120">
        <v>6.89</v>
      </c>
      <c r="F4415" s="1121">
        <f t="shared" si="1"/>
        <v>11.79</v>
      </c>
      <c r="G4415" s="1120">
        <v>11.79</v>
      </c>
      <c r="H4415" s="1127">
        <v>0.0</v>
      </c>
      <c r="I4415" s="1127">
        <v>0.0</v>
      </c>
      <c r="J4415" s="1127">
        <v>0.0</v>
      </c>
      <c r="K4415" s="1124"/>
    </row>
    <row r="4416" ht="15.75" customHeight="1">
      <c r="A4416" s="1119">
        <v>94692.0</v>
      </c>
      <c r="B4416" s="1125" t="s">
        <v>14695</v>
      </c>
      <c r="C4416" s="1126" t="s">
        <v>1788</v>
      </c>
      <c r="D4416" s="1119">
        <v>27.4</v>
      </c>
      <c r="E4416" s="1120">
        <v>9.86</v>
      </c>
      <c r="F4416" s="1121">
        <f t="shared" si="1"/>
        <v>17.55</v>
      </c>
      <c r="G4416" s="1120">
        <v>17.55</v>
      </c>
      <c r="H4416" s="1127">
        <v>0.0</v>
      </c>
      <c r="I4416" s="1127">
        <v>0.0</v>
      </c>
      <c r="J4416" s="1127">
        <v>0.0</v>
      </c>
      <c r="K4416" s="1124"/>
    </row>
    <row r="4417" ht="15.75" customHeight="1">
      <c r="A4417" s="1119">
        <v>94693.0</v>
      </c>
      <c r="B4417" s="1125" t="s">
        <v>14696</v>
      </c>
      <c r="C4417" s="1126" t="s">
        <v>1788</v>
      </c>
      <c r="D4417" s="1119">
        <v>26.82</v>
      </c>
      <c r="E4417" s="1120">
        <v>9.86</v>
      </c>
      <c r="F4417" s="1121">
        <f t="shared" si="1"/>
        <v>16.97</v>
      </c>
      <c r="G4417" s="1120">
        <v>16.97</v>
      </c>
      <c r="H4417" s="1127">
        <v>0.0</v>
      </c>
      <c r="I4417" s="1127">
        <v>0.0</v>
      </c>
      <c r="J4417" s="1127">
        <v>0.0</v>
      </c>
      <c r="K4417" s="1124"/>
    </row>
    <row r="4418" ht="15.75" customHeight="1">
      <c r="A4418" s="1119">
        <v>94694.0</v>
      </c>
      <c r="B4418" s="1125" t="s">
        <v>14697</v>
      </c>
      <c r="C4418" s="1126" t="s">
        <v>1788</v>
      </c>
      <c r="D4418" s="1119">
        <v>27.84</v>
      </c>
      <c r="E4418" s="1120">
        <v>9.86</v>
      </c>
      <c r="F4418" s="1121">
        <f t="shared" si="1"/>
        <v>17.99</v>
      </c>
      <c r="G4418" s="1120">
        <v>17.99</v>
      </c>
      <c r="H4418" s="1127">
        <v>0.0</v>
      </c>
      <c r="I4418" s="1127">
        <v>0.0</v>
      </c>
      <c r="J4418" s="1127">
        <v>0.0</v>
      </c>
      <c r="K4418" s="1124"/>
    </row>
    <row r="4419" ht="15.75" customHeight="1">
      <c r="A4419" s="1119">
        <v>94695.0</v>
      </c>
      <c r="B4419" s="1125" t="s">
        <v>14698</v>
      </c>
      <c r="C4419" s="1126" t="s">
        <v>1788</v>
      </c>
      <c r="D4419" s="1119">
        <v>36.69</v>
      </c>
      <c r="E4419" s="1120">
        <v>9.85</v>
      </c>
      <c r="F4419" s="1121">
        <f t="shared" si="1"/>
        <v>26.85</v>
      </c>
      <c r="G4419" s="1120">
        <v>26.85</v>
      </c>
      <c r="H4419" s="1127">
        <v>0.0</v>
      </c>
      <c r="I4419" s="1127">
        <v>0.0</v>
      </c>
      <c r="J4419" s="1127">
        <v>0.0</v>
      </c>
      <c r="K4419" s="1124"/>
    </row>
    <row r="4420" ht="15.75" customHeight="1">
      <c r="A4420" s="1119">
        <v>94696.0</v>
      </c>
      <c r="B4420" s="1125" t="s">
        <v>14699</v>
      </c>
      <c r="C4420" s="1126" t="s">
        <v>1788</v>
      </c>
      <c r="D4420" s="1119">
        <v>63.94</v>
      </c>
      <c r="E4420" s="1120">
        <v>15.97</v>
      </c>
      <c r="F4420" s="1121">
        <f t="shared" si="1"/>
        <v>47.96</v>
      </c>
      <c r="G4420" s="1120">
        <v>47.96</v>
      </c>
      <c r="H4420" s="1127">
        <v>0.0</v>
      </c>
      <c r="I4420" s="1127">
        <v>0.0</v>
      </c>
      <c r="J4420" s="1127">
        <v>0.0</v>
      </c>
      <c r="K4420" s="1124"/>
    </row>
    <row r="4421" ht="15.75" customHeight="1">
      <c r="A4421" s="1119">
        <v>94697.0</v>
      </c>
      <c r="B4421" s="1125" t="s">
        <v>14700</v>
      </c>
      <c r="C4421" s="1126" t="s">
        <v>1788</v>
      </c>
      <c r="D4421" s="1119">
        <v>91.67</v>
      </c>
      <c r="E4421" s="1120">
        <v>15.97</v>
      </c>
      <c r="F4421" s="1121">
        <f t="shared" si="1"/>
        <v>75.69</v>
      </c>
      <c r="G4421" s="1120">
        <v>75.69</v>
      </c>
      <c r="H4421" s="1127">
        <v>0.0</v>
      </c>
      <c r="I4421" s="1127">
        <v>0.0</v>
      </c>
      <c r="J4421" s="1127">
        <v>0.0</v>
      </c>
      <c r="K4421" s="1124"/>
    </row>
    <row r="4422" ht="15.75" customHeight="1">
      <c r="A4422" s="1119">
        <v>94698.0</v>
      </c>
      <c r="B4422" s="1125" t="s">
        <v>14701</v>
      </c>
      <c r="C4422" s="1126" t="s">
        <v>1788</v>
      </c>
      <c r="D4422" s="1119">
        <v>76.13</v>
      </c>
      <c r="E4422" s="1120">
        <v>15.97</v>
      </c>
      <c r="F4422" s="1121">
        <f t="shared" si="1"/>
        <v>60.15</v>
      </c>
      <c r="G4422" s="1120">
        <v>60.15</v>
      </c>
      <c r="H4422" s="1127">
        <v>0.0</v>
      </c>
      <c r="I4422" s="1127">
        <v>0.0</v>
      </c>
      <c r="J4422" s="1127">
        <v>0.0</v>
      </c>
      <c r="K4422" s="1124"/>
    </row>
    <row r="4423" ht="15.75" customHeight="1">
      <c r="A4423" s="1119">
        <v>94699.0</v>
      </c>
      <c r="B4423" s="1125" t="s">
        <v>14702</v>
      </c>
      <c r="C4423" s="1126" t="s">
        <v>1788</v>
      </c>
      <c r="D4423" s="1119">
        <v>138.18</v>
      </c>
      <c r="E4423" s="1120">
        <v>28.04</v>
      </c>
      <c r="F4423" s="1121">
        <f t="shared" si="1"/>
        <v>110.13</v>
      </c>
      <c r="G4423" s="1120">
        <v>110.13</v>
      </c>
      <c r="H4423" s="1127">
        <v>0.0</v>
      </c>
      <c r="I4423" s="1127">
        <v>0.0</v>
      </c>
      <c r="J4423" s="1127">
        <v>0.0</v>
      </c>
      <c r="K4423" s="1124"/>
    </row>
    <row r="4424" ht="15.75" customHeight="1">
      <c r="A4424" s="1119">
        <v>94700.0</v>
      </c>
      <c r="B4424" s="1125" t="s">
        <v>14703</v>
      </c>
      <c r="C4424" s="1126" t="s">
        <v>1788</v>
      </c>
      <c r="D4424" s="1119">
        <v>159.48</v>
      </c>
      <c r="E4424" s="1120">
        <v>28.04</v>
      </c>
      <c r="F4424" s="1121">
        <f t="shared" si="1"/>
        <v>131.43</v>
      </c>
      <c r="G4424" s="1120">
        <v>131.43</v>
      </c>
      <c r="H4424" s="1127">
        <v>0.0</v>
      </c>
      <c r="I4424" s="1127">
        <v>0.0</v>
      </c>
      <c r="J4424" s="1127">
        <v>0.0</v>
      </c>
      <c r="K4424" s="1124"/>
    </row>
    <row r="4425" ht="15.75" customHeight="1">
      <c r="A4425" s="1119">
        <v>94701.0</v>
      </c>
      <c r="B4425" s="1125" t="s">
        <v>14704</v>
      </c>
      <c r="C4425" s="1126" t="s">
        <v>1788</v>
      </c>
      <c r="D4425" s="1119">
        <v>232.01</v>
      </c>
      <c r="E4425" s="1120">
        <v>28.03</v>
      </c>
      <c r="F4425" s="1121">
        <f t="shared" si="1"/>
        <v>203.97</v>
      </c>
      <c r="G4425" s="1120">
        <v>203.97</v>
      </c>
      <c r="H4425" s="1127">
        <v>0.0</v>
      </c>
      <c r="I4425" s="1127">
        <v>0.0</v>
      </c>
      <c r="J4425" s="1127">
        <v>0.0</v>
      </c>
      <c r="K4425" s="1124"/>
    </row>
    <row r="4426" ht="15.75" customHeight="1">
      <c r="A4426" s="1119">
        <v>94702.0</v>
      </c>
      <c r="B4426" s="1125" t="s">
        <v>14705</v>
      </c>
      <c r="C4426" s="1126" t="s">
        <v>1788</v>
      </c>
      <c r="D4426" s="1119">
        <v>205.53</v>
      </c>
      <c r="E4426" s="1120">
        <v>28.04</v>
      </c>
      <c r="F4426" s="1121">
        <f t="shared" si="1"/>
        <v>177.49</v>
      </c>
      <c r="G4426" s="1120">
        <v>177.49</v>
      </c>
      <c r="H4426" s="1127">
        <v>0.0</v>
      </c>
      <c r="I4426" s="1127">
        <v>0.0</v>
      </c>
      <c r="J4426" s="1127">
        <v>0.0</v>
      </c>
      <c r="K4426" s="1124"/>
    </row>
    <row r="4427" ht="15.75" customHeight="1">
      <c r="A4427" s="1119">
        <v>94703.0</v>
      </c>
      <c r="B4427" s="1125" t="s">
        <v>14706</v>
      </c>
      <c r="C4427" s="1126" t="s">
        <v>1788</v>
      </c>
      <c r="D4427" s="1119">
        <v>22.67</v>
      </c>
      <c r="E4427" s="1120">
        <v>5.91</v>
      </c>
      <c r="F4427" s="1121">
        <f t="shared" si="1"/>
        <v>16.77</v>
      </c>
      <c r="G4427" s="1120">
        <v>16.77</v>
      </c>
      <c r="H4427" s="1127">
        <v>0.0</v>
      </c>
      <c r="I4427" s="1127">
        <v>0.0</v>
      </c>
      <c r="J4427" s="1127">
        <v>0.0</v>
      </c>
      <c r="K4427" s="1124"/>
    </row>
    <row r="4428" ht="15.75" customHeight="1">
      <c r="A4428" s="1119">
        <v>94704.0</v>
      </c>
      <c r="B4428" s="1125" t="s">
        <v>14707</v>
      </c>
      <c r="C4428" s="1126" t="s">
        <v>1788</v>
      </c>
      <c r="D4428" s="1119">
        <v>29.18</v>
      </c>
      <c r="E4428" s="1120">
        <v>5.9</v>
      </c>
      <c r="F4428" s="1121">
        <f t="shared" si="1"/>
        <v>23.28</v>
      </c>
      <c r="G4428" s="1120">
        <v>23.28</v>
      </c>
      <c r="H4428" s="1127">
        <v>0.0</v>
      </c>
      <c r="I4428" s="1127">
        <v>0.0</v>
      </c>
      <c r="J4428" s="1127">
        <v>0.0</v>
      </c>
      <c r="K4428" s="1124"/>
    </row>
    <row r="4429" ht="15.75" customHeight="1">
      <c r="A4429" s="1119">
        <v>94705.0</v>
      </c>
      <c r="B4429" s="1125" t="s">
        <v>14708</v>
      </c>
      <c r="C4429" s="1126" t="s">
        <v>1788</v>
      </c>
      <c r="D4429" s="1119">
        <v>38.83</v>
      </c>
      <c r="E4429" s="1120">
        <v>5.9</v>
      </c>
      <c r="F4429" s="1121">
        <f t="shared" si="1"/>
        <v>32.93</v>
      </c>
      <c r="G4429" s="1120">
        <v>32.93</v>
      </c>
      <c r="H4429" s="1127">
        <v>0.0</v>
      </c>
      <c r="I4429" s="1127">
        <v>0.0</v>
      </c>
      <c r="J4429" s="1127">
        <v>0.0</v>
      </c>
      <c r="K4429" s="1124"/>
    </row>
    <row r="4430" ht="15.75" customHeight="1">
      <c r="A4430" s="1119">
        <v>94706.0</v>
      </c>
      <c r="B4430" s="1125" t="s">
        <v>14709</v>
      </c>
      <c r="C4430" s="1126" t="s">
        <v>1788</v>
      </c>
      <c r="D4430" s="1119">
        <v>46.47</v>
      </c>
      <c r="E4430" s="1120">
        <v>7.86</v>
      </c>
      <c r="F4430" s="1121">
        <f t="shared" si="1"/>
        <v>38.62</v>
      </c>
      <c r="G4430" s="1120">
        <v>38.62</v>
      </c>
      <c r="H4430" s="1127">
        <v>0.0</v>
      </c>
      <c r="I4430" s="1127">
        <v>0.0</v>
      </c>
      <c r="J4430" s="1127">
        <v>0.0</v>
      </c>
      <c r="K4430" s="1124"/>
    </row>
    <row r="4431" ht="15.75" customHeight="1">
      <c r="A4431" s="1119">
        <v>94707.0</v>
      </c>
      <c r="B4431" s="1125" t="s">
        <v>14710</v>
      </c>
      <c r="C4431" s="1126" t="s">
        <v>1788</v>
      </c>
      <c r="D4431" s="1119">
        <v>66.99</v>
      </c>
      <c r="E4431" s="1120">
        <v>7.85</v>
      </c>
      <c r="F4431" s="1121">
        <f t="shared" si="1"/>
        <v>59.15</v>
      </c>
      <c r="G4431" s="1120">
        <v>59.15</v>
      </c>
      <c r="H4431" s="1127">
        <v>0.0</v>
      </c>
      <c r="I4431" s="1127">
        <v>0.0</v>
      </c>
      <c r="J4431" s="1127">
        <v>0.0</v>
      </c>
      <c r="K4431" s="1124"/>
    </row>
    <row r="4432" ht="15.75" customHeight="1">
      <c r="A4432" s="1119">
        <v>94713.0</v>
      </c>
      <c r="B4432" s="1125" t="s">
        <v>14711</v>
      </c>
      <c r="C4432" s="1126" t="s">
        <v>1788</v>
      </c>
      <c r="D4432" s="1119">
        <v>250.07</v>
      </c>
      <c r="E4432" s="1120">
        <v>13.35</v>
      </c>
      <c r="F4432" s="1121">
        <f t="shared" si="1"/>
        <v>236.7</v>
      </c>
      <c r="G4432" s="1120">
        <v>236.7</v>
      </c>
      <c r="H4432" s="1127">
        <v>0.0</v>
      </c>
      <c r="I4432" s="1127">
        <v>0.0</v>
      </c>
      <c r="J4432" s="1127">
        <v>0.0</v>
      </c>
      <c r="K4432" s="1124"/>
    </row>
    <row r="4433" ht="15.75" customHeight="1">
      <c r="A4433" s="1119">
        <v>94714.0</v>
      </c>
      <c r="B4433" s="1125" t="s">
        <v>14712</v>
      </c>
      <c r="C4433" s="1126" t="s">
        <v>1788</v>
      </c>
      <c r="D4433" s="1119">
        <v>346.19</v>
      </c>
      <c r="E4433" s="1120">
        <v>13.35</v>
      </c>
      <c r="F4433" s="1121">
        <f t="shared" si="1"/>
        <v>332.82</v>
      </c>
      <c r="G4433" s="1120">
        <v>332.82</v>
      </c>
      <c r="H4433" s="1127">
        <v>0.0</v>
      </c>
      <c r="I4433" s="1127">
        <v>0.0</v>
      </c>
      <c r="J4433" s="1127">
        <v>0.0</v>
      </c>
      <c r="K4433" s="1124"/>
    </row>
    <row r="4434" ht="15.75" customHeight="1">
      <c r="A4434" s="1119">
        <v>94715.0</v>
      </c>
      <c r="B4434" s="1125" t="s">
        <v>14713</v>
      </c>
      <c r="C4434" s="1126" t="s">
        <v>1788</v>
      </c>
      <c r="D4434" s="1119">
        <v>306.17</v>
      </c>
      <c r="E4434" s="1120">
        <v>13.35</v>
      </c>
      <c r="F4434" s="1121">
        <f t="shared" si="1"/>
        <v>292.8</v>
      </c>
      <c r="G4434" s="1120">
        <v>292.8</v>
      </c>
      <c r="H4434" s="1127">
        <v>0.0</v>
      </c>
      <c r="I4434" s="1127">
        <v>0.0</v>
      </c>
      <c r="J4434" s="1127">
        <v>0.0</v>
      </c>
      <c r="K4434" s="1124"/>
    </row>
    <row r="4435" ht="15.75" customHeight="1">
      <c r="A4435" s="1119">
        <v>94724.0</v>
      </c>
      <c r="B4435" s="1125" t="s">
        <v>14714</v>
      </c>
      <c r="C4435" s="1126" t="s">
        <v>1788</v>
      </c>
      <c r="D4435" s="1119">
        <v>27.36</v>
      </c>
      <c r="E4435" s="1120">
        <v>3.24</v>
      </c>
      <c r="F4435" s="1121">
        <f t="shared" si="1"/>
        <v>24.12</v>
      </c>
      <c r="G4435" s="1120">
        <v>24.12</v>
      </c>
      <c r="H4435" s="1127">
        <v>0.0</v>
      </c>
      <c r="I4435" s="1127">
        <v>0.0</v>
      </c>
      <c r="J4435" s="1127">
        <v>0.0</v>
      </c>
      <c r="K4435" s="1124"/>
    </row>
    <row r="4436" ht="15.75" customHeight="1">
      <c r="A4436" s="1119">
        <v>94725.0</v>
      </c>
      <c r="B4436" s="1125" t="s">
        <v>14715</v>
      </c>
      <c r="C4436" s="1126" t="s">
        <v>1788</v>
      </c>
      <c r="D4436" s="1119">
        <v>7.31</v>
      </c>
      <c r="E4436" s="1120">
        <v>3.27</v>
      </c>
      <c r="F4436" s="1121">
        <f t="shared" si="1"/>
        <v>4.05</v>
      </c>
      <c r="G4436" s="1120">
        <v>4.05</v>
      </c>
      <c r="H4436" s="1127">
        <v>0.0</v>
      </c>
      <c r="I4436" s="1127">
        <v>0.0</v>
      </c>
      <c r="J4436" s="1127">
        <v>0.0</v>
      </c>
      <c r="K4436" s="1124"/>
    </row>
    <row r="4437" ht="15.75" customHeight="1">
      <c r="A4437" s="1119">
        <v>94726.0</v>
      </c>
      <c r="B4437" s="1125" t="s">
        <v>14716</v>
      </c>
      <c r="C4437" s="1126" t="s">
        <v>1788</v>
      </c>
      <c r="D4437" s="1119">
        <v>33.84</v>
      </c>
      <c r="E4437" s="1120">
        <v>3.24</v>
      </c>
      <c r="F4437" s="1121">
        <f t="shared" si="1"/>
        <v>30.6</v>
      </c>
      <c r="G4437" s="1120">
        <v>30.6</v>
      </c>
      <c r="H4437" s="1127">
        <v>0.0</v>
      </c>
      <c r="I4437" s="1127">
        <v>0.0</v>
      </c>
      <c r="J4437" s="1127">
        <v>0.0</v>
      </c>
      <c r="K4437" s="1124"/>
    </row>
    <row r="4438" ht="15.75" customHeight="1">
      <c r="A4438" s="1119">
        <v>94727.0</v>
      </c>
      <c r="B4438" s="1125" t="s">
        <v>14717</v>
      </c>
      <c r="C4438" s="1126" t="s">
        <v>1788</v>
      </c>
      <c r="D4438" s="1119">
        <v>10.28</v>
      </c>
      <c r="E4438" s="1120">
        <v>3.26</v>
      </c>
      <c r="F4438" s="1121">
        <f t="shared" si="1"/>
        <v>7.02</v>
      </c>
      <c r="G4438" s="1120">
        <v>7.02</v>
      </c>
      <c r="H4438" s="1127">
        <v>0.0</v>
      </c>
      <c r="I4438" s="1127">
        <v>0.0</v>
      </c>
      <c r="J4438" s="1127">
        <v>0.0</v>
      </c>
      <c r="K4438" s="1124"/>
    </row>
    <row r="4439" ht="15.75" customHeight="1">
      <c r="A4439" s="1119">
        <v>94728.0</v>
      </c>
      <c r="B4439" s="1125" t="s">
        <v>14718</v>
      </c>
      <c r="C4439" s="1126" t="s">
        <v>1788</v>
      </c>
      <c r="D4439" s="1119">
        <v>52.95</v>
      </c>
      <c r="E4439" s="1120">
        <v>4.28</v>
      </c>
      <c r="F4439" s="1121">
        <f t="shared" si="1"/>
        <v>48.68</v>
      </c>
      <c r="G4439" s="1120">
        <v>48.68</v>
      </c>
      <c r="H4439" s="1127">
        <v>0.0</v>
      </c>
      <c r="I4439" s="1127">
        <v>0.0</v>
      </c>
      <c r="J4439" s="1127">
        <v>0.0</v>
      </c>
      <c r="K4439" s="1124"/>
    </row>
    <row r="4440" ht="15.75" customHeight="1">
      <c r="A4440" s="1119">
        <v>94729.0</v>
      </c>
      <c r="B4440" s="1125" t="s">
        <v>14719</v>
      </c>
      <c r="C4440" s="1126" t="s">
        <v>1788</v>
      </c>
      <c r="D4440" s="1119">
        <v>18.64</v>
      </c>
      <c r="E4440" s="1120">
        <v>4.29</v>
      </c>
      <c r="F4440" s="1121">
        <f t="shared" si="1"/>
        <v>14.36</v>
      </c>
      <c r="G4440" s="1120">
        <v>14.36</v>
      </c>
      <c r="H4440" s="1127">
        <v>0.0</v>
      </c>
      <c r="I4440" s="1127">
        <v>0.0</v>
      </c>
      <c r="J4440" s="1127">
        <v>0.0</v>
      </c>
      <c r="K4440" s="1124"/>
    </row>
    <row r="4441" ht="15.75" customHeight="1">
      <c r="A4441" s="1119">
        <v>94730.0</v>
      </c>
      <c r="B4441" s="1125" t="s">
        <v>14720</v>
      </c>
      <c r="C4441" s="1126" t="s">
        <v>1788</v>
      </c>
      <c r="D4441" s="1119">
        <v>63.35</v>
      </c>
      <c r="E4441" s="1120">
        <v>4.28</v>
      </c>
      <c r="F4441" s="1121">
        <f t="shared" si="1"/>
        <v>59.08</v>
      </c>
      <c r="G4441" s="1120">
        <v>59.08</v>
      </c>
      <c r="H4441" s="1127">
        <v>0.0</v>
      </c>
      <c r="I4441" s="1127">
        <v>0.0</v>
      </c>
      <c r="J4441" s="1127">
        <v>0.0</v>
      </c>
      <c r="K4441" s="1124"/>
    </row>
    <row r="4442" ht="15.75" customHeight="1">
      <c r="A4442" s="1119">
        <v>94731.0</v>
      </c>
      <c r="B4442" s="1125" t="s">
        <v>14721</v>
      </c>
      <c r="C4442" s="1126" t="s">
        <v>1788</v>
      </c>
      <c r="D4442" s="1119">
        <v>23.26</v>
      </c>
      <c r="E4442" s="1120">
        <v>4.29</v>
      </c>
      <c r="F4442" s="1121">
        <f t="shared" si="1"/>
        <v>18.98</v>
      </c>
      <c r="G4442" s="1120">
        <v>18.98</v>
      </c>
      <c r="H4442" s="1127">
        <v>0.0</v>
      </c>
      <c r="I4442" s="1127">
        <v>0.0</v>
      </c>
      <c r="J4442" s="1127">
        <v>0.0</v>
      </c>
      <c r="K4442" s="1124"/>
    </row>
    <row r="4443" ht="15.75" customHeight="1">
      <c r="A4443" s="1119">
        <v>94732.0</v>
      </c>
      <c r="B4443" s="1125" t="s">
        <v>14722</v>
      </c>
      <c r="C4443" s="1126" t="s">
        <v>1788</v>
      </c>
      <c r="D4443" s="1119">
        <v>103.67</v>
      </c>
      <c r="E4443" s="1120">
        <v>7.4</v>
      </c>
      <c r="F4443" s="1121">
        <f t="shared" si="1"/>
        <v>96.26</v>
      </c>
      <c r="G4443" s="1120">
        <v>96.26</v>
      </c>
      <c r="H4443" s="1127">
        <v>0.0</v>
      </c>
      <c r="I4443" s="1127">
        <v>0.0</v>
      </c>
      <c r="J4443" s="1127">
        <v>0.0</v>
      </c>
      <c r="K4443" s="1124"/>
    </row>
    <row r="4444" ht="15.75" customHeight="1">
      <c r="A4444" s="1119">
        <v>94733.0</v>
      </c>
      <c r="B4444" s="1125" t="s">
        <v>14723</v>
      </c>
      <c r="C4444" s="1126" t="s">
        <v>1788</v>
      </c>
      <c r="D4444" s="1119">
        <v>44.21</v>
      </c>
      <c r="E4444" s="1120">
        <v>7.41</v>
      </c>
      <c r="F4444" s="1121">
        <f t="shared" si="1"/>
        <v>36.8</v>
      </c>
      <c r="G4444" s="1120">
        <v>36.8</v>
      </c>
      <c r="H4444" s="1127">
        <v>0.0</v>
      </c>
      <c r="I4444" s="1127">
        <v>0.0</v>
      </c>
      <c r="J4444" s="1127">
        <v>0.0</v>
      </c>
      <c r="K4444" s="1124"/>
    </row>
    <row r="4445" ht="15.75" customHeight="1">
      <c r="A4445" s="1119">
        <v>94734.0</v>
      </c>
      <c r="B4445" s="1125" t="s">
        <v>14724</v>
      </c>
      <c r="C4445" s="1126" t="s">
        <v>1788</v>
      </c>
      <c r="D4445" s="1119">
        <v>368.0</v>
      </c>
      <c r="E4445" s="1120">
        <v>7.4</v>
      </c>
      <c r="F4445" s="1121">
        <f t="shared" si="1"/>
        <v>360.59</v>
      </c>
      <c r="G4445" s="1120">
        <v>360.59</v>
      </c>
      <c r="H4445" s="1127">
        <v>0.0</v>
      </c>
      <c r="I4445" s="1127">
        <v>0.0</v>
      </c>
      <c r="J4445" s="1127">
        <v>0.0</v>
      </c>
      <c r="K4445" s="1124"/>
    </row>
    <row r="4446" ht="15.75" customHeight="1">
      <c r="A4446" s="1119">
        <v>94736.0</v>
      </c>
      <c r="B4446" s="1125" t="s">
        <v>14725</v>
      </c>
      <c r="C4446" s="1126" t="s">
        <v>1788</v>
      </c>
      <c r="D4446" s="1119">
        <v>539.9</v>
      </c>
      <c r="E4446" s="1120">
        <v>14.96</v>
      </c>
      <c r="F4446" s="1121">
        <f t="shared" si="1"/>
        <v>524.93</v>
      </c>
      <c r="G4446" s="1120">
        <v>524.93</v>
      </c>
      <c r="H4446" s="1127">
        <v>0.0</v>
      </c>
      <c r="I4446" s="1127">
        <v>0.0</v>
      </c>
      <c r="J4446" s="1127">
        <v>0.0</v>
      </c>
      <c r="K4446" s="1124"/>
    </row>
    <row r="4447" ht="15.75" customHeight="1">
      <c r="A4447" s="1119">
        <v>94737.0</v>
      </c>
      <c r="B4447" s="1125" t="s">
        <v>14726</v>
      </c>
      <c r="C4447" s="1126" t="s">
        <v>1788</v>
      </c>
      <c r="D4447" s="1119">
        <v>182.71</v>
      </c>
      <c r="E4447" s="1120">
        <v>14.96</v>
      </c>
      <c r="F4447" s="1121">
        <f t="shared" si="1"/>
        <v>167.74</v>
      </c>
      <c r="G4447" s="1120">
        <v>167.74</v>
      </c>
      <c r="H4447" s="1127">
        <v>0.0</v>
      </c>
      <c r="I4447" s="1127">
        <v>0.0</v>
      </c>
      <c r="J4447" s="1127">
        <v>0.0</v>
      </c>
      <c r="K4447" s="1124"/>
    </row>
    <row r="4448" ht="15.75" customHeight="1">
      <c r="A4448" s="1119">
        <v>94738.0</v>
      </c>
      <c r="B4448" s="1125" t="s">
        <v>14727</v>
      </c>
      <c r="C4448" s="1126" t="s">
        <v>1788</v>
      </c>
      <c r="D4448" s="1128">
        <v>1610.47</v>
      </c>
      <c r="E4448" s="1120">
        <v>14.96</v>
      </c>
      <c r="F4448" s="1121">
        <f t="shared" si="1"/>
        <v>1595.5</v>
      </c>
      <c r="G4448" s="1120">
        <v>1595.5</v>
      </c>
      <c r="H4448" s="1127">
        <v>0.0</v>
      </c>
      <c r="I4448" s="1127">
        <v>0.0</v>
      </c>
      <c r="J4448" s="1127">
        <v>0.0</v>
      </c>
      <c r="K4448" s="1124"/>
    </row>
    <row r="4449" ht="15.75" customHeight="1">
      <c r="A4449" s="1119">
        <v>94739.0</v>
      </c>
      <c r="B4449" s="1125" t="s">
        <v>14728</v>
      </c>
      <c r="C4449" s="1126" t="s">
        <v>1788</v>
      </c>
      <c r="D4449" s="1119">
        <v>208.92</v>
      </c>
      <c r="E4449" s="1120">
        <v>14.96</v>
      </c>
      <c r="F4449" s="1121">
        <f t="shared" si="1"/>
        <v>193.95</v>
      </c>
      <c r="G4449" s="1120">
        <v>193.95</v>
      </c>
      <c r="H4449" s="1127">
        <v>0.0</v>
      </c>
      <c r="I4449" s="1127">
        <v>0.0</v>
      </c>
      <c r="J4449" s="1127">
        <v>0.0</v>
      </c>
      <c r="K4449" s="1124"/>
    </row>
    <row r="4450" ht="15.75" customHeight="1">
      <c r="A4450" s="1119">
        <v>94740.0</v>
      </c>
      <c r="B4450" s="1125" t="s">
        <v>14729</v>
      </c>
      <c r="C4450" s="1126" t="s">
        <v>1788</v>
      </c>
      <c r="D4450" s="1119">
        <v>11.4</v>
      </c>
      <c r="E4450" s="1120">
        <v>4.87</v>
      </c>
      <c r="F4450" s="1121">
        <f t="shared" si="1"/>
        <v>6.52</v>
      </c>
      <c r="G4450" s="1120">
        <v>6.52</v>
      </c>
      <c r="H4450" s="1127">
        <v>0.0</v>
      </c>
      <c r="I4450" s="1127">
        <v>0.0</v>
      </c>
      <c r="J4450" s="1127">
        <v>0.0</v>
      </c>
      <c r="K4450" s="1124"/>
    </row>
    <row r="4451" ht="15.75" customHeight="1">
      <c r="A4451" s="1119">
        <v>94741.0</v>
      </c>
      <c r="B4451" s="1125" t="s">
        <v>14730</v>
      </c>
      <c r="C4451" s="1126" t="s">
        <v>1788</v>
      </c>
      <c r="D4451" s="1119">
        <v>14.3</v>
      </c>
      <c r="E4451" s="1120">
        <v>4.87</v>
      </c>
      <c r="F4451" s="1121">
        <f t="shared" si="1"/>
        <v>9.43</v>
      </c>
      <c r="G4451" s="1120">
        <v>9.43</v>
      </c>
      <c r="H4451" s="1127">
        <v>0.0</v>
      </c>
      <c r="I4451" s="1127">
        <v>0.0</v>
      </c>
      <c r="J4451" s="1127">
        <v>0.0</v>
      </c>
      <c r="K4451" s="1124"/>
    </row>
    <row r="4452" ht="15.75" customHeight="1">
      <c r="A4452" s="1119">
        <v>94742.0</v>
      </c>
      <c r="B4452" s="1125" t="s">
        <v>14731</v>
      </c>
      <c r="C4452" s="1126" t="s">
        <v>1788</v>
      </c>
      <c r="D4452" s="1119">
        <v>16.33</v>
      </c>
      <c r="E4452" s="1120">
        <v>4.86</v>
      </c>
      <c r="F4452" s="1121">
        <f t="shared" si="1"/>
        <v>11.46</v>
      </c>
      <c r="G4452" s="1120">
        <v>11.46</v>
      </c>
      <c r="H4452" s="1127">
        <v>0.0</v>
      </c>
      <c r="I4452" s="1127">
        <v>0.0</v>
      </c>
      <c r="J4452" s="1127">
        <v>0.0</v>
      </c>
      <c r="K4452" s="1124"/>
    </row>
    <row r="4453" ht="15.75" customHeight="1">
      <c r="A4453" s="1119">
        <v>94743.0</v>
      </c>
      <c r="B4453" s="1125" t="s">
        <v>14732</v>
      </c>
      <c r="C4453" s="1126" t="s">
        <v>1788</v>
      </c>
      <c r="D4453" s="1119">
        <v>20.7</v>
      </c>
      <c r="E4453" s="1120">
        <v>4.86</v>
      </c>
      <c r="F4453" s="1121">
        <f t="shared" si="1"/>
        <v>15.84</v>
      </c>
      <c r="G4453" s="1120">
        <v>15.84</v>
      </c>
      <c r="H4453" s="1127">
        <v>0.0</v>
      </c>
      <c r="I4453" s="1127">
        <v>0.0</v>
      </c>
      <c r="J4453" s="1127">
        <v>0.0</v>
      </c>
      <c r="K4453" s="1124"/>
    </row>
    <row r="4454" ht="15.75" customHeight="1">
      <c r="A4454" s="1119">
        <v>94744.0</v>
      </c>
      <c r="B4454" s="1125" t="s">
        <v>14733</v>
      </c>
      <c r="C4454" s="1126" t="s">
        <v>1788</v>
      </c>
      <c r="D4454" s="1119">
        <v>26.22</v>
      </c>
      <c r="E4454" s="1120">
        <v>6.38</v>
      </c>
      <c r="F4454" s="1121">
        <f t="shared" si="1"/>
        <v>19.84</v>
      </c>
      <c r="G4454" s="1120">
        <v>19.84</v>
      </c>
      <c r="H4454" s="1127">
        <v>0.0</v>
      </c>
      <c r="I4454" s="1127">
        <v>0.0</v>
      </c>
      <c r="J4454" s="1127">
        <v>0.0</v>
      </c>
      <c r="K4454" s="1124"/>
    </row>
    <row r="4455" ht="15.75" customHeight="1">
      <c r="A4455" s="1119">
        <v>94746.0</v>
      </c>
      <c r="B4455" s="1125" t="s">
        <v>14734</v>
      </c>
      <c r="C4455" s="1126" t="s">
        <v>1788</v>
      </c>
      <c r="D4455" s="1119">
        <v>35.31</v>
      </c>
      <c r="E4455" s="1120">
        <v>6.37</v>
      </c>
      <c r="F4455" s="1121">
        <f t="shared" si="1"/>
        <v>28.93</v>
      </c>
      <c r="G4455" s="1120">
        <v>28.93</v>
      </c>
      <c r="H4455" s="1127">
        <v>0.0</v>
      </c>
      <c r="I4455" s="1127">
        <v>0.0</v>
      </c>
      <c r="J4455" s="1127">
        <v>0.0</v>
      </c>
      <c r="K4455" s="1124"/>
    </row>
    <row r="4456" ht="15.75" customHeight="1">
      <c r="A4456" s="1119">
        <v>94748.0</v>
      </c>
      <c r="B4456" s="1125" t="s">
        <v>14735</v>
      </c>
      <c r="C4456" s="1126" t="s">
        <v>1788</v>
      </c>
      <c r="D4456" s="1119">
        <v>82.32</v>
      </c>
      <c r="E4456" s="1120">
        <v>11.1</v>
      </c>
      <c r="F4456" s="1121">
        <f t="shared" si="1"/>
        <v>71.25</v>
      </c>
      <c r="G4456" s="1120">
        <v>71.25</v>
      </c>
      <c r="H4456" s="1127">
        <v>0.0</v>
      </c>
      <c r="I4456" s="1127">
        <v>0.0</v>
      </c>
      <c r="J4456" s="1127">
        <v>0.0</v>
      </c>
      <c r="K4456" s="1124"/>
    </row>
    <row r="4457" ht="15.75" customHeight="1">
      <c r="A4457" s="1119">
        <v>94750.0</v>
      </c>
      <c r="B4457" s="1125" t="s">
        <v>14736</v>
      </c>
      <c r="C4457" s="1126" t="s">
        <v>1788</v>
      </c>
      <c r="D4457" s="1119">
        <v>158.41</v>
      </c>
      <c r="E4457" s="1120">
        <v>11.1</v>
      </c>
      <c r="F4457" s="1121">
        <f t="shared" si="1"/>
        <v>147.34</v>
      </c>
      <c r="G4457" s="1120">
        <v>147.34</v>
      </c>
      <c r="H4457" s="1127">
        <v>0.0</v>
      </c>
      <c r="I4457" s="1127">
        <v>0.0</v>
      </c>
      <c r="J4457" s="1127">
        <v>0.0</v>
      </c>
      <c r="K4457" s="1124"/>
    </row>
    <row r="4458" ht="15.75" customHeight="1">
      <c r="A4458" s="1119">
        <v>94752.0</v>
      </c>
      <c r="B4458" s="1125" t="s">
        <v>14737</v>
      </c>
      <c r="C4458" s="1126" t="s">
        <v>1788</v>
      </c>
      <c r="D4458" s="1119">
        <v>195.81</v>
      </c>
      <c r="E4458" s="1120">
        <v>22.47</v>
      </c>
      <c r="F4458" s="1121">
        <f t="shared" si="1"/>
        <v>173.34</v>
      </c>
      <c r="G4458" s="1120">
        <v>173.34</v>
      </c>
      <c r="H4458" s="1127">
        <v>0.0</v>
      </c>
      <c r="I4458" s="1127">
        <v>0.0</v>
      </c>
      <c r="J4458" s="1127">
        <v>0.0</v>
      </c>
      <c r="K4458" s="1124"/>
    </row>
    <row r="4459" ht="15.75" customHeight="1">
      <c r="A4459" s="1119">
        <v>94754.0</v>
      </c>
      <c r="B4459" s="1125" t="s">
        <v>14738</v>
      </c>
      <c r="C4459" s="1126" t="s">
        <v>1788</v>
      </c>
      <c r="D4459" s="1119">
        <v>260.45</v>
      </c>
      <c r="E4459" s="1120">
        <v>22.47</v>
      </c>
      <c r="F4459" s="1121">
        <f t="shared" si="1"/>
        <v>237.98</v>
      </c>
      <c r="G4459" s="1120">
        <v>237.98</v>
      </c>
      <c r="H4459" s="1127">
        <v>0.0</v>
      </c>
      <c r="I4459" s="1127">
        <v>0.0</v>
      </c>
      <c r="J4459" s="1127">
        <v>0.0</v>
      </c>
      <c r="K4459" s="1124"/>
    </row>
    <row r="4460" ht="15.75" customHeight="1">
      <c r="A4460" s="1119">
        <v>94756.0</v>
      </c>
      <c r="B4460" s="1125" t="s">
        <v>14739</v>
      </c>
      <c r="C4460" s="1126" t="s">
        <v>1788</v>
      </c>
      <c r="D4460" s="1119">
        <v>14.37</v>
      </c>
      <c r="E4460" s="1120">
        <v>6.48</v>
      </c>
      <c r="F4460" s="1121">
        <f t="shared" si="1"/>
        <v>7.9</v>
      </c>
      <c r="G4460" s="1120">
        <v>7.9</v>
      </c>
      <c r="H4460" s="1127">
        <v>0.0</v>
      </c>
      <c r="I4460" s="1127">
        <v>0.0</v>
      </c>
      <c r="J4460" s="1127">
        <v>0.0</v>
      </c>
      <c r="K4460" s="1124"/>
    </row>
    <row r="4461" ht="15.75" customHeight="1">
      <c r="A4461" s="1119">
        <v>94757.0</v>
      </c>
      <c r="B4461" s="1125" t="s">
        <v>14740</v>
      </c>
      <c r="C4461" s="1126" t="s">
        <v>1788</v>
      </c>
      <c r="D4461" s="1119">
        <v>19.33</v>
      </c>
      <c r="E4461" s="1120">
        <v>6.47</v>
      </c>
      <c r="F4461" s="1121">
        <f t="shared" si="1"/>
        <v>12.86</v>
      </c>
      <c r="G4461" s="1120">
        <v>12.86</v>
      </c>
      <c r="H4461" s="1127">
        <v>0.0</v>
      </c>
      <c r="I4461" s="1127">
        <v>0.0</v>
      </c>
      <c r="J4461" s="1127">
        <v>0.0</v>
      </c>
      <c r="K4461" s="1124"/>
    </row>
    <row r="4462" ht="15.75" customHeight="1">
      <c r="A4462" s="1119">
        <v>94758.0</v>
      </c>
      <c r="B4462" s="1125" t="s">
        <v>14741</v>
      </c>
      <c r="C4462" s="1126" t="s">
        <v>1788</v>
      </c>
      <c r="D4462" s="1119">
        <v>50.38</v>
      </c>
      <c r="E4462" s="1120">
        <v>8.5</v>
      </c>
      <c r="F4462" s="1121">
        <f t="shared" si="1"/>
        <v>41.88</v>
      </c>
      <c r="G4462" s="1120">
        <v>41.88</v>
      </c>
      <c r="H4462" s="1127">
        <v>0.0</v>
      </c>
      <c r="I4462" s="1127">
        <v>0.0</v>
      </c>
      <c r="J4462" s="1127">
        <v>0.0</v>
      </c>
      <c r="K4462" s="1124"/>
    </row>
    <row r="4463" ht="15.75" customHeight="1">
      <c r="A4463" s="1119">
        <v>94759.0</v>
      </c>
      <c r="B4463" s="1125" t="s">
        <v>14742</v>
      </c>
      <c r="C4463" s="1126" t="s">
        <v>1788</v>
      </c>
      <c r="D4463" s="1119">
        <v>61.13</v>
      </c>
      <c r="E4463" s="1120">
        <v>8.49</v>
      </c>
      <c r="F4463" s="1121">
        <f t="shared" si="1"/>
        <v>52.64</v>
      </c>
      <c r="G4463" s="1120">
        <v>52.64</v>
      </c>
      <c r="H4463" s="1127">
        <v>0.0</v>
      </c>
      <c r="I4463" s="1127">
        <v>0.0</v>
      </c>
      <c r="J4463" s="1127">
        <v>0.0</v>
      </c>
      <c r="K4463" s="1124"/>
    </row>
    <row r="4464" ht="15.75" customHeight="1">
      <c r="A4464" s="1119">
        <v>94760.0</v>
      </c>
      <c r="B4464" s="1125" t="s">
        <v>14743</v>
      </c>
      <c r="C4464" s="1126" t="s">
        <v>1788</v>
      </c>
      <c r="D4464" s="1119">
        <v>102.69</v>
      </c>
      <c r="E4464" s="1120">
        <v>14.8</v>
      </c>
      <c r="F4464" s="1121">
        <f t="shared" si="1"/>
        <v>87.9</v>
      </c>
      <c r="G4464" s="1120">
        <v>87.9</v>
      </c>
      <c r="H4464" s="1127">
        <v>0.0</v>
      </c>
      <c r="I4464" s="1127">
        <v>0.0</v>
      </c>
      <c r="J4464" s="1127">
        <v>0.0</v>
      </c>
      <c r="K4464" s="1124"/>
    </row>
    <row r="4465" ht="15.75" customHeight="1">
      <c r="A4465" s="1119">
        <v>94761.0</v>
      </c>
      <c r="B4465" s="1125" t="s">
        <v>14744</v>
      </c>
      <c r="C4465" s="1126" t="s">
        <v>1788</v>
      </c>
      <c r="D4465" s="1119">
        <v>212.08</v>
      </c>
      <c r="E4465" s="1120">
        <v>14.79</v>
      </c>
      <c r="F4465" s="1121">
        <f t="shared" si="1"/>
        <v>197.29</v>
      </c>
      <c r="G4465" s="1120">
        <v>197.29</v>
      </c>
      <c r="H4465" s="1127">
        <v>0.0</v>
      </c>
      <c r="I4465" s="1127">
        <v>0.0</v>
      </c>
      <c r="J4465" s="1127">
        <v>0.0</v>
      </c>
      <c r="K4465" s="1124"/>
    </row>
    <row r="4466" ht="15.75" customHeight="1">
      <c r="A4466" s="1119">
        <v>94762.0</v>
      </c>
      <c r="B4466" s="1125" t="s">
        <v>14745</v>
      </c>
      <c r="C4466" s="1126" t="s">
        <v>1788</v>
      </c>
      <c r="D4466" s="1119">
        <v>264.03</v>
      </c>
      <c r="E4466" s="1120">
        <v>29.95</v>
      </c>
      <c r="F4466" s="1121">
        <f t="shared" si="1"/>
        <v>234.09</v>
      </c>
      <c r="G4466" s="1120">
        <v>234.09</v>
      </c>
      <c r="H4466" s="1127">
        <v>0.0</v>
      </c>
      <c r="I4466" s="1127">
        <v>0.0</v>
      </c>
      <c r="J4466" s="1127">
        <v>0.0</v>
      </c>
      <c r="K4466" s="1124"/>
    </row>
    <row r="4467" ht="15.75" customHeight="1">
      <c r="A4467" s="1119">
        <v>94763.0</v>
      </c>
      <c r="B4467" s="1125" t="s">
        <v>14746</v>
      </c>
      <c r="C4467" s="1126" t="s">
        <v>1788</v>
      </c>
      <c r="D4467" s="1119">
        <v>319.16</v>
      </c>
      <c r="E4467" s="1120">
        <v>29.95</v>
      </c>
      <c r="F4467" s="1121">
        <f t="shared" si="1"/>
        <v>289.22</v>
      </c>
      <c r="G4467" s="1120">
        <v>289.22</v>
      </c>
      <c r="H4467" s="1127">
        <v>0.0</v>
      </c>
      <c r="I4467" s="1127">
        <v>0.0</v>
      </c>
      <c r="J4467" s="1127">
        <v>0.0</v>
      </c>
      <c r="K4467" s="1124"/>
    </row>
    <row r="4468" ht="15.75" customHeight="1">
      <c r="A4468" s="1119">
        <v>94764.0</v>
      </c>
      <c r="B4468" s="1125" t="s">
        <v>14747</v>
      </c>
      <c r="C4468" s="1126" t="s">
        <v>1788</v>
      </c>
      <c r="D4468" s="1119">
        <v>38.08</v>
      </c>
      <c r="E4468" s="1120">
        <v>6.63</v>
      </c>
      <c r="F4468" s="1121">
        <f t="shared" si="1"/>
        <v>31.46</v>
      </c>
      <c r="G4468" s="1120">
        <v>31.46</v>
      </c>
      <c r="H4468" s="1127">
        <v>0.0</v>
      </c>
      <c r="I4468" s="1127">
        <v>0.0</v>
      </c>
      <c r="J4468" s="1127">
        <v>0.0</v>
      </c>
      <c r="K4468" s="1124"/>
    </row>
    <row r="4469" ht="15.75" customHeight="1">
      <c r="A4469" s="1119">
        <v>94765.0</v>
      </c>
      <c r="B4469" s="1125" t="s">
        <v>14748</v>
      </c>
      <c r="C4469" s="1126" t="s">
        <v>1788</v>
      </c>
      <c r="D4469" s="1119">
        <v>41.21</v>
      </c>
      <c r="E4469" s="1120">
        <v>6.63</v>
      </c>
      <c r="F4469" s="1121">
        <f t="shared" si="1"/>
        <v>34.59</v>
      </c>
      <c r="G4469" s="1120">
        <v>34.59</v>
      </c>
      <c r="H4469" s="1127">
        <v>0.0</v>
      </c>
      <c r="I4469" s="1127">
        <v>0.0</v>
      </c>
      <c r="J4469" s="1127">
        <v>0.0</v>
      </c>
      <c r="K4469" s="1124"/>
    </row>
    <row r="4470" ht="15.75" customHeight="1">
      <c r="A4470" s="1119">
        <v>94766.0</v>
      </c>
      <c r="B4470" s="1125" t="s">
        <v>14749</v>
      </c>
      <c r="C4470" s="1126" t="s">
        <v>1788</v>
      </c>
      <c r="D4470" s="1119">
        <v>45.36</v>
      </c>
      <c r="E4470" s="1120">
        <v>6.63</v>
      </c>
      <c r="F4470" s="1121">
        <f t="shared" si="1"/>
        <v>38.74</v>
      </c>
      <c r="G4470" s="1120">
        <v>38.74</v>
      </c>
      <c r="H4470" s="1127">
        <v>0.0</v>
      </c>
      <c r="I4470" s="1127">
        <v>0.0</v>
      </c>
      <c r="J4470" s="1127">
        <v>0.0</v>
      </c>
      <c r="K4470" s="1124"/>
    </row>
    <row r="4471" ht="15.75" customHeight="1">
      <c r="A4471" s="1119">
        <v>94767.0</v>
      </c>
      <c r="B4471" s="1125" t="s">
        <v>14750</v>
      </c>
      <c r="C4471" s="1126" t="s">
        <v>1788</v>
      </c>
      <c r="D4471" s="1119">
        <v>66.44</v>
      </c>
      <c r="E4471" s="1120">
        <v>6.62</v>
      </c>
      <c r="F4471" s="1121">
        <f t="shared" si="1"/>
        <v>59.83</v>
      </c>
      <c r="G4471" s="1120">
        <v>59.83</v>
      </c>
      <c r="H4471" s="1127">
        <v>0.0</v>
      </c>
      <c r="I4471" s="1127">
        <v>0.0</v>
      </c>
      <c r="J4471" s="1127">
        <v>0.0</v>
      </c>
      <c r="K4471" s="1124"/>
    </row>
    <row r="4472" ht="15.75" customHeight="1">
      <c r="A4472" s="1119">
        <v>94768.0</v>
      </c>
      <c r="B4472" s="1125" t="s">
        <v>14751</v>
      </c>
      <c r="C4472" s="1126" t="s">
        <v>1788</v>
      </c>
      <c r="D4472" s="1119">
        <v>74.62</v>
      </c>
      <c r="E4472" s="1120">
        <v>6.62</v>
      </c>
      <c r="F4472" s="1121">
        <f t="shared" si="1"/>
        <v>68.01</v>
      </c>
      <c r="G4472" s="1120">
        <v>68.01</v>
      </c>
      <c r="H4472" s="1127">
        <v>0.0</v>
      </c>
      <c r="I4472" s="1127">
        <v>0.0</v>
      </c>
      <c r="J4472" s="1127">
        <v>0.0</v>
      </c>
      <c r="K4472" s="1124"/>
    </row>
    <row r="4473" ht="15.75" customHeight="1">
      <c r="A4473" s="1119">
        <v>94769.0</v>
      </c>
      <c r="B4473" s="1125" t="s">
        <v>14752</v>
      </c>
      <c r="C4473" s="1126" t="s">
        <v>1788</v>
      </c>
      <c r="D4473" s="1119">
        <v>102.4</v>
      </c>
      <c r="E4473" s="1120">
        <v>8.83</v>
      </c>
      <c r="F4473" s="1121">
        <f t="shared" si="1"/>
        <v>93.57</v>
      </c>
      <c r="G4473" s="1120">
        <v>93.57</v>
      </c>
      <c r="H4473" s="1127">
        <v>0.0</v>
      </c>
      <c r="I4473" s="1127">
        <v>0.0</v>
      </c>
      <c r="J4473" s="1127">
        <v>0.0</v>
      </c>
      <c r="K4473" s="1124"/>
    </row>
    <row r="4474" ht="15.75" customHeight="1">
      <c r="A4474" s="1119">
        <v>94770.0</v>
      </c>
      <c r="B4474" s="1125" t="s">
        <v>14753</v>
      </c>
      <c r="C4474" s="1126" t="s">
        <v>1788</v>
      </c>
      <c r="D4474" s="1119">
        <v>44.27</v>
      </c>
      <c r="E4474" s="1120">
        <v>11.28</v>
      </c>
      <c r="F4474" s="1121">
        <f t="shared" si="1"/>
        <v>32.98</v>
      </c>
      <c r="G4474" s="1120">
        <v>32.98</v>
      </c>
      <c r="H4474" s="1127">
        <v>0.0</v>
      </c>
      <c r="I4474" s="1127">
        <v>0.0</v>
      </c>
      <c r="J4474" s="1127">
        <v>0.0</v>
      </c>
      <c r="K4474" s="1124"/>
    </row>
    <row r="4475" ht="15.75" customHeight="1">
      <c r="A4475" s="1119">
        <v>94771.0</v>
      </c>
      <c r="B4475" s="1125" t="s">
        <v>14754</v>
      </c>
      <c r="C4475" s="1126" t="s">
        <v>1788</v>
      </c>
      <c r="D4475" s="1119">
        <v>47.4</v>
      </c>
      <c r="E4475" s="1120">
        <v>11.27</v>
      </c>
      <c r="F4475" s="1121">
        <f t="shared" si="1"/>
        <v>36.11</v>
      </c>
      <c r="G4475" s="1120">
        <v>36.11</v>
      </c>
      <c r="H4475" s="1127">
        <v>0.0</v>
      </c>
      <c r="I4475" s="1127">
        <v>0.0</v>
      </c>
      <c r="J4475" s="1127">
        <v>0.0</v>
      </c>
      <c r="K4475" s="1124"/>
    </row>
    <row r="4476" ht="15.75" customHeight="1">
      <c r="A4476" s="1119">
        <v>94772.0</v>
      </c>
      <c r="B4476" s="1125" t="s">
        <v>14755</v>
      </c>
      <c r="C4476" s="1126" t="s">
        <v>1788</v>
      </c>
      <c r="D4476" s="1119">
        <v>51.55</v>
      </c>
      <c r="E4476" s="1120">
        <v>11.27</v>
      </c>
      <c r="F4476" s="1121">
        <f t="shared" si="1"/>
        <v>40.26</v>
      </c>
      <c r="G4476" s="1120">
        <v>40.26</v>
      </c>
      <c r="H4476" s="1127">
        <v>0.0</v>
      </c>
      <c r="I4476" s="1127">
        <v>0.0</v>
      </c>
      <c r="J4476" s="1127">
        <v>0.0</v>
      </c>
      <c r="K4476" s="1124"/>
    </row>
    <row r="4477" ht="15.75" customHeight="1">
      <c r="A4477" s="1119">
        <v>94773.0</v>
      </c>
      <c r="B4477" s="1125" t="s">
        <v>14756</v>
      </c>
      <c r="C4477" s="1126" t="s">
        <v>1788</v>
      </c>
      <c r="D4477" s="1119">
        <v>72.63</v>
      </c>
      <c r="E4477" s="1120">
        <v>11.27</v>
      </c>
      <c r="F4477" s="1121">
        <f t="shared" si="1"/>
        <v>61.35</v>
      </c>
      <c r="G4477" s="1120">
        <v>61.35</v>
      </c>
      <c r="H4477" s="1127">
        <v>0.0</v>
      </c>
      <c r="I4477" s="1127">
        <v>0.0</v>
      </c>
      <c r="J4477" s="1127">
        <v>0.0</v>
      </c>
      <c r="K4477" s="1124"/>
    </row>
    <row r="4478" ht="15.75" customHeight="1">
      <c r="A4478" s="1119">
        <v>94774.0</v>
      </c>
      <c r="B4478" s="1125" t="s">
        <v>14757</v>
      </c>
      <c r="C4478" s="1126" t="s">
        <v>1788</v>
      </c>
      <c r="D4478" s="1119">
        <v>80.81</v>
      </c>
      <c r="E4478" s="1120">
        <v>11.27</v>
      </c>
      <c r="F4478" s="1121">
        <f t="shared" si="1"/>
        <v>69.53</v>
      </c>
      <c r="G4478" s="1120">
        <v>69.53</v>
      </c>
      <c r="H4478" s="1127">
        <v>0.0</v>
      </c>
      <c r="I4478" s="1127">
        <v>0.0</v>
      </c>
      <c r="J4478" s="1127">
        <v>0.0</v>
      </c>
      <c r="K4478" s="1124"/>
    </row>
    <row r="4479" ht="15.75" customHeight="1">
      <c r="A4479" s="1119">
        <v>94775.0</v>
      </c>
      <c r="B4479" s="1125" t="s">
        <v>14758</v>
      </c>
      <c r="C4479" s="1126" t="s">
        <v>1788</v>
      </c>
      <c r="D4479" s="1119">
        <v>110.6</v>
      </c>
      <c r="E4479" s="1120">
        <v>15.0</v>
      </c>
      <c r="F4479" s="1121">
        <f t="shared" si="1"/>
        <v>95.6</v>
      </c>
      <c r="G4479" s="1120">
        <v>95.6</v>
      </c>
      <c r="H4479" s="1127">
        <v>0.0</v>
      </c>
      <c r="I4479" s="1127">
        <v>0.0</v>
      </c>
      <c r="J4479" s="1127">
        <v>0.0</v>
      </c>
      <c r="K4479" s="1124"/>
    </row>
    <row r="4480" ht="15.75" customHeight="1">
      <c r="A4480" s="1119">
        <v>94783.0</v>
      </c>
      <c r="B4480" s="1125" t="s">
        <v>14759</v>
      </c>
      <c r="C4480" s="1126" t="s">
        <v>1788</v>
      </c>
      <c r="D4480" s="1119">
        <v>21.63</v>
      </c>
      <c r="E4480" s="1120">
        <v>5.91</v>
      </c>
      <c r="F4480" s="1121">
        <f t="shared" si="1"/>
        <v>15.73</v>
      </c>
      <c r="G4480" s="1120">
        <v>15.73</v>
      </c>
      <c r="H4480" s="1127">
        <v>0.0</v>
      </c>
      <c r="I4480" s="1127">
        <v>0.0</v>
      </c>
      <c r="J4480" s="1127">
        <v>0.0</v>
      </c>
      <c r="K4480" s="1124"/>
    </row>
    <row r="4481" ht="15.75" customHeight="1">
      <c r="A4481" s="1119">
        <v>94785.0</v>
      </c>
      <c r="B4481" s="1125" t="s">
        <v>14760</v>
      </c>
      <c r="C4481" s="1126" t="s">
        <v>1788</v>
      </c>
      <c r="D4481" s="1119">
        <v>26.64</v>
      </c>
      <c r="E4481" s="1120">
        <v>10.03</v>
      </c>
      <c r="F4481" s="1121">
        <f t="shared" si="1"/>
        <v>16.62</v>
      </c>
      <c r="G4481" s="1120">
        <v>16.62</v>
      </c>
      <c r="H4481" s="1127">
        <v>0.0</v>
      </c>
      <c r="I4481" s="1127">
        <v>0.0</v>
      </c>
      <c r="J4481" s="1127">
        <v>0.0</v>
      </c>
      <c r="K4481" s="1124"/>
    </row>
    <row r="4482" ht="15.75" customHeight="1">
      <c r="A4482" s="1119">
        <v>94789.0</v>
      </c>
      <c r="B4482" s="1125" t="s">
        <v>14761</v>
      </c>
      <c r="C4482" s="1126" t="s">
        <v>1788</v>
      </c>
      <c r="D4482" s="1119">
        <v>239.2</v>
      </c>
      <c r="E4482" s="1120">
        <v>13.35</v>
      </c>
      <c r="F4482" s="1121">
        <f t="shared" si="1"/>
        <v>225.83</v>
      </c>
      <c r="G4482" s="1120">
        <v>225.83</v>
      </c>
      <c r="H4482" s="1127">
        <v>0.0</v>
      </c>
      <c r="I4482" s="1127">
        <v>0.0</v>
      </c>
      <c r="J4482" s="1127">
        <v>0.0</v>
      </c>
      <c r="K4482" s="1124"/>
    </row>
    <row r="4483" ht="15.75" customHeight="1">
      <c r="A4483" s="1119">
        <v>94790.0</v>
      </c>
      <c r="B4483" s="1125" t="s">
        <v>14762</v>
      </c>
      <c r="C4483" s="1126" t="s">
        <v>1788</v>
      </c>
      <c r="D4483" s="1119">
        <v>327.94</v>
      </c>
      <c r="E4483" s="1120">
        <v>13.35</v>
      </c>
      <c r="F4483" s="1121">
        <f t="shared" si="1"/>
        <v>314.57</v>
      </c>
      <c r="G4483" s="1120">
        <v>314.57</v>
      </c>
      <c r="H4483" s="1127">
        <v>0.0</v>
      </c>
      <c r="I4483" s="1127">
        <v>0.0</v>
      </c>
      <c r="J4483" s="1127">
        <v>0.0</v>
      </c>
      <c r="K4483" s="1124"/>
    </row>
    <row r="4484" ht="15.75" customHeight="1">
      <c r="A4484" s="1119">
        <v>94791.0</v>
      </c>
      <c r="B4484" s="1125" t="s">
        <v>14763</v>
      </c>
      <c r="C4484" s="1126" t="s">
        <v>1788</v>
      </c>
      <c r="D4484" s="1119">
        <v>430.79</v>
      </c>
      <c r="E4484" s="1120">
        <v>13.35</v>
      </c>
      <c r="F4484" s="1121">
        <f t="shared" si="1"/>
        <v>417.42</v>
      </c>
      <c r="G4484" s="1120">
        <v>417.42</v>
      </c>
      <c r="H4484" s="1127">
        <v>0.0</v>
      </c>
      <c r="I4484" s="1127">
        <v>0.0</v>
      </c>
      <c r="J4484" s="1127">
        <v>0.0</v>
      </c>
      <c r="K4484" s="1124"/>
    </row>
    <row r="4485" ht="15.75" customHeight="1">
      <c r="A4485" s="1119">
        <v>94863.0</v>
      </c>
      <c r="B4485" s="1125" t="s">
        <v>14764</v>
      </c>
      <c r="C4485" s="1126" t="s">
        <v>1788</v>
      </c>
      <c r="D4485" s="1119">
        <v>151.32</v>
      </c>
      <c r="E4485" s="1120">
        <v>7.4</v>
      </c>
      <c r="F4485" s="1121">
        <f t="shared" si="1"/>
        <v>143.91</v>
      </c>
      <c r="G4485" s="1120">
        <v>143.91</v>
      </c>
      <c r="H4485" s="1127">
        <v>0.0</v>
      </c>
      <c r="I4485" s="1127">
        <v>0.0</v>
      </c>
      <c r="J4485" s="1127">
        <v>0.0</v>
      </c>
      <c r="K4485" s="1124"/>
    </row>
    <row r="4486" ht="15.75" customHeight="1">
      <c r="A4486" s="1119">
        <v>95237.0</v>
      </c>
      <c r="B4486" s="1125" t="s">
        <v>14765</v>
      </c>
      <c r="C4486" s="1126" t="s">
        <v>1788</v>
      </c>
      <c r="D4486" s="1119">
        <v>25.32</v>
      </c>
      <c r="E4486" s="1120">
        <v>4.3</v>
      </c>
      <c r="F4486" s="1121">
        <f t="shared" si="1"/>
        <v>21.03</v>
      </c>
      <c r="G4486" s="1120">
        <v>21.03</v>
      </c>
      <c r="H4486" s="1127">
        <v>0.0</v>
      </c>
      <c r="I4486" s="1127">
        <v>0.0</v>
      </c>
      <c r="J4486" s="1127">
        <v>0.0</v>
      </c>
      <c r="K4486" s="1124"/>
    </row>
    <row r="4487" ht="15.75" customHeight="1">
      <c r="A4487" s="1119">
        <v>95693.0</v>
      </c>
      <c r="B4487" s="1125" t="s">
        <v>14766</v>
      </c>
      <c r="C4487" s="1126" t="s">
        <v>1788</v>
      </c>
      <c r="D4487" s="1119">
        <v>57.39</v>
      </c>
      <c r="E4487" s="1120">
        <v>10.43</v>
      </c>
      <c r="F4487" s="1121">
        <f t="shared" si="1"/>
        <v>46.97</v>
      </c>
      <c r="G4487" s="1120">
        <v>46.97</v>
      </c>
      <c r="H4487" s="1127">
        <v>0.0</v>
      </c>
      <c r="I4487" s="1127">
        <v>0.0</v>
      </c>
      <c r="J4487" s="1127">
        <v>0.0</v>
      </c>
      <c r="K4487" s="1124"/>
    </row>
    <row r="4488" ht="15.75" customHeight="1">
      <c r="A4488" s="1119">
        <v>95694.0</v>
      </c>
      <c r="B4488" s="1125" t="s">
        <v>14767</v>
      </c>
      <c r="C4488" s="1126" t="s">
        <v>1788</v>
      </c>
      <c r="D4488" s="1119">
        <v>57.42</v>
      </c>
      <c r="E4488" s="1120">
        <v>5.58</v>
      </c>
      <c r="F4488" s="1121">
        <f t="shared" si="1"/>
        <v>51.83</v>
      </c>
      <c r="G4488" s="1120">
        <v>51.83</v>
      </c>
      <c r="H4488" s="1127">
        <v>0.0</v>
      </c>
      <c r="I4488" s="1127">
        <v>0.0</v>
      </c>
      <c r="J4488" s="1127">
        <v>0.0</v>
      </c>
      <c r="K4488" s="1124"/>
    </row>
    <row r="4489" ht="15.75" customHeight="1">
      <c r="A4489" s="1119">
        <v>95695.0</v>
      </c>
      <c r="B4489" s="1125" t="s">
        <v>14768</v>
      </c>
      <c r="C4489" s="1126" t="s">
        <v>1788</v>
      </c>
      <c r="D4489" s="1119">
        <v>65.74</v>
      </c>
      <c r="E4489" s="1120">
        <v>11.85</v>
      </c>
      <c r="F4489" s="1121">
        <f t="shared" si="1"/>
        <v>53.91</v>
      </c>
      <c r="G4489" s="1120">
        <v>53.91</v>
      </c>
      <c r="H4489" s="1127">
        <v>0.0</v>
      </c>
      <c r="I4489" s="1127">
        <v>0.0</v>
      </c>
      <c r="J4489" s="1127">
        <v>0.0</v>
      </c>
      <c r="K4489" s="1124"/>
    </row>
    <row r="4490" ht="15.75" customHeight="1">
      <c r="A4490" s="1119">
        <v>95696.0</v>
      </c>
      <c r="B4490" s="1125" t="s">
        <v>14769</v>
      </c>
      <c r="C4490" s="1126" t="s">
        <v>1788</v>
      </c>
      <c r="D4490" s="1119">
        <v>58.78</v>
      </c>
      <c r="E4490" s="1120">
        <v>3.03</v>
      </c>
      <c r="F4490" s="1121">
        <f t="shared" si="1"/>
        <v>55.75</v>
      </c>
      <c r="G4490" s="1120">
        <v>55.75</v>
      </c>
      <c r="H4490" s="1127">
        <v>0.0</v>
      </c>
      <c r="I4490" s="1127">
        <v>0.0</v>
      </c>
      <c r="J4490" s="1127">
        <v>0.0</v>
      </c>
      <c r="K4490" s="1124"/>
    </row>
    <row r="4491" ht="15.75" customHeight="1">
      <c r="A4491" s="1119">
        <v>96637.0</v>
      </c>
      <c r="B4491" s="1125" t="s">
        <v>14770</v>
      </c>
      <c r="C4491" s="1126" t="s">
        <v>1788</v>
      </c>
      <c r="D4491" s="1119">
        <v>17.97</v>
      </c>
      <c r="E4491" s="1120">
        <v>11.34</v>
      </c>
      <c r="F4491" s="1121">
        <f t="shared" si="1"/>
        <v>6.63</v>
      </c>
      <c r="G4491" s="1120">
        <v>6.53</v>
      </c>
      <c r="H4491" s="1127">
        <v>0.03</v>
      </c>
      <c r="I4491" s="1127">
        <v>0.0</v>
      </c>
      <c r="J4491" s="1127">
        <v>0.07</v>
      </c>
      <c r="K4491" s="1124"/>
    </row>
    <row r="4492" ht="15.75" customHeight="1">
      <c r="A4492" s="1119">
        <v>96638.0</v>
      </c>
      <c r="B4492" s="1125" t="s">
        <v>14771</v>
      </c>
      <c r="C4492" s="1126" t="s">
        <v>1788</v>
      </c>
      <c r="D4492" s="1119">
        <v>18.4</v>
      </c>
      <c r="E4492" s="1120">
        <v>11.34</v>
      </c>
      <c r="F4492" s="1121">
        <f t="shared" si="1"/>
        <v>7.06</v>
      </c>
      <c r="G4492" s="1120">
        <v>6.96</v>
      </c>
      <c r="H4492" s="1127">
        <v>0.03</v>
      </c>
      <c r="I4492" s="1127">
        <v>0.0</v>
      </c>
      <c r="J4492" s="1127">
        <v>0.07</v>
      </c>
      <c r="K4492" s="1124"/>
    </row>
    <row r="4493" ht="15.75" customHeight="1">
      <c r="A4493" s="1119">
        <v>96639.0</v>
      </c>
      <c r="B4493" s="1125" t="s">
        <v>14772</v>
      </c>
      <c r="C4493" s="1126" t="s">
        <v>1788</v>
      </c>
      <c r="D4493" s="1119">
        <v>12.5</v>
      </c>
      <c r="E4493" s="1120">
        <v>7.58</v>
      </c>
      <c r="F4493" s="1121">
        <f t="shared" si="1"/>
        <v>4.92</v>
      </c>
      <c r="G4493" s="1120">
        <v>4.87</v>
      </c>
      <c r="H4493" s="1127">
        <v>0.0</v>
      </c>
      <c r="I4493" s="1127">
        <v>0.0</v>
      </c>
      <c r="J4493" s="1127">
        <v>0.05</v>
      </c>
      <c r="K4493" s="1124"/>
    </row>
    <row r="4494" ht="15.75" customHeight="1">
      <c r="A4494" s="1119">
        <v>96640.0</v>
      </c>
      <c r="B4494" s="1125" t="s">
        <v>14773</v>
      </c>
      <c r="C4494" s="1126" t="s">
        <v>1788</v>
      </c>
      <c r="D4494" s="1119">
        <v>28.62</v>
      </c>
      <c r="E4494" s="1120">
        <v>5.34</v>
      </c>
      <c r="F4494" s="1121">
        <f t="shared" si="1"/>
        <v>23.28</v>
      </c>
      <c r="G4494" s="1120">
        <v>23.25</v>
      </c>
      <c r="H4494" s="1127">
        <v>0.0</v>
      </c>
      <c r="I4494" s="1127">
        <v>0.0</v>
      </c>
      <c r="J4494" s="1127">
        <v>0.03</v>
      </c>
      <c r="K4494" s="1124"/>
    </row>
    <row r="4495" ht="15.75" customHeight="1">
      <c r="A4495" s="1119">
        <v>96641.0</v>
      </c>
      <c r="B4495" s="1125" t="s">
        <v>14774</v>
      </c>
      <c r="C4495" s="1126" t="s">
        <v>1788</v>
      </c>
      <c r="D4495" s="1119">
        <v>19.17</v>
      </c>
      <c r="E4495" s="1120">
        <v>5.35</v>
      </c>
      <c r="F4495" s="1121">
        <f t="shared" si="1"/>
        <v>13.82</v>
      </c>
      <c r="G4495" s="1120">
        <v>13.79</v>
      </c>
      <c r="H4495" s="1127">
        <v>0.0</v>
      </c>
      <c r="I4495" s="1127">
        <v>0.0</v>
      </c>
      <c r="J4495" s="1127">
        <v>0.03</v>
      </c>
      <c r="K4495" s="1124"/>
    </row>
    <row r="4496" ht="15.75" customHeight="1">
      <c r="A4496" s="1119">
        <v>96642.0</v>
      </c>
      <c r="B4496" s="1125" t="s">
        <v>14775</v>
      </c>
      <c r="C4496" s="1126" t="s">
        <v>1788</v>
      </c>
      <c r="D4496" s="1119">
        <v>23.66</v>
      </c>
      <c r="E4496" s="1120">
        <v>15.11</v>
      </c>
      <c r="F4496" s="1121">
        <f t="shared" si="1"/>
        <v>8.55</v>
      </c>
      <c r="G4496" s="1120">
        <v>8.42</v>
      </c>
      <c r="H4496" s="1127">
        <v>0.03</v>
      </c>
      <c r="I4496" s="1127">
        <v>0.0</v>
      </c>
      <c r="J4496" s="1127">
        <v>0.1</v>
      </c>
      <c r="K4496" s="1124"/>
    </row>
    <row r="4497" ht="15.75" customHeight="1">
      <c r="A4497" s="1119">
        <v>96643.0</v>
      </c>
      <c r="B4497" s="1125" t="s">
        <v>14776</v>
      </c>
      <c r="C4497" s="1126" t="s">
        <v>1788</v>
      </c>
      <c r="D4497" s="1119">
        <v>50.23</v>
      </c>
      <c r="E4497" s="1120">
        <v>10.7</v>
      </c>
      <c r="F4497" s="1121">
        <f t="shared" si="1"/>
        <v>39.54</v>
      </c>
      <c r="G4497" s="1120">
        <v>39.44</v>
      </c>
      <c r="H4497" s="1127">
        <v>0.03</v>
      </c>
      <c r="I4497" s="1127">
        <v>0.0</v>
      </c>
      <c r="J4497" s="1127">
        <v>0.07</v>
      </c>
      <c r="K4497" s="1124"/>
    </row>
    <row r="4498" ht="15.75" customHeight="1">
      <c r="A4498" s="1119">
        <v>96650.0</v>
      </c>
      <c r="B4498" s="1125" t="s">
        <v>14777</v>
      </c>
      <c r="C4498" s="1126" t="s">
        <v>1788</v>
      </c>
      <c r="D4498" s="1119">
        <v>10.03</v>
      </c>
      <c r="E4498" s="1120">
        <v>5.42</v>
      </c>
      <c r="F4498" s="1121">
        <f t="shared" si="1"/>
        <v>4.61</v>
      </c>
      <c r="G4498" s="1120">
        <v>4.58</v>
      </c>
      <c r="H4498" s="1127">
        <v>0.0</v>
      </c>
      <c r="I4498" s="1127">
        <v>0.0</v>
      </c>
      <c r="J4498" s="1127">
        <v>0.03</v>
      </c>
      <c r="K4498" s="1124"/>
    </row>
    <row r="4499" ht="15.75" customHeight="1">
      <c r="A4499" s="1119">
        <v>96651.0</v>
      </c>
      <c r="B4499" s="1125" t="s">
        <v>14778</v>
      </c>
      <c r="C4499" s="1126" t="s">
        <v>1788</v>
      </c>
      <c r="D4499" s="1119">
        <v>10.46</v>
      </c>
      <c r="E4499" s="1120">
        <v>5.42</v>
      </c>
      <c r="F4499" s="1121">
        <f t="shared" si="1"/>
        <v>5.06</v>
      </c>
      <c r="G4499" s="1120">
        <v>5.03</v>
      </c>
      <c r="H4499" s="1127">
        <v>0.0</v>
      </c>
      <c r="I4499" s="1127">
        <v>0.0</v>
      </c>
      <c r="J4499" s="1127">
        <v>0.03</v>
      </c>
      <c r="K4499" s="1124"/>
    </row>
    <row r="4500" ht="15.75" customHeight="1">
      <c r="A4500" s="1119">
        <v>96652.0</v>
      </c>
      <c r="B4500" s="1125" t="s">
        <v>14779</v>
      </c>
      <c r="C4500" s="1126" t="s">
        <v>1788</v>
      </c>
      <c r="D4500" s="1119">
        <v>11.87</v>
      </c>
      <c r="E4500" s="1120">
        <v>5.68</v>
      </c>
      <c r="F4500" s="1121">
        <f t="shared" si="1"/>
        <v>6.2</v>
      </c>
      <c r="G4500" s="1120">
        <v>6.17</v>
      </c>
      <c r="H4500" s="1127">
        <v>0.0</v>
      </c>
      <c r="I4500" s="1127">
        <v>0.0</v>
      </c>
      <c r="J4500" s="1127">
        <v>0.03</v>
      </c>
      <c r="K4500" s="1124"/>
    </row>
    <row r="4501" ht="15.75" customHeight="1">
      <c r="A4501" s="1119">
        <v>96653.0</v>
      </c>
      <c r="B4501" s="1125" t="s">
        <v>14780</v>
      </c>
      <c r="C4501" s="1126" t="s">
        <v>1788</v>
      </c>
      <c r="D4501" s="1119">
        <v>15.55</v>
      </c>
      <c r="E4501" s="1120">
        <v>5.67</v>
      </c>
      <c r="F4501" s="1121">
        <f t="shared" si="1"/>
        <v>9.89</v>
      </c>
      <c r="G4501" s="1120">
        <v>9.86</v>
      </c>
      <c r="H4501" s="1127">
        <v>0.0</v>
      </c>
      <c r="I4501" s="1127">
        <v>0.0</v>
      </c>
      <c r="J4501" s="1127">
        <v>0.03</v>
      </c>
      <c r="K4501" s="1124"/>
    </row>
    <row r="4502" ht="15.75" customHeight="1">
      <c r="A4502" s="1119">
        <v>96654.0</v>
      </c>
      <c r="B4502" s="1125" t="s">
        <v>14781</v>
      </c>
      <c r="C4502" s="1126" t="s">
        <v>1788</v>
      </c>
      <c r="D4502" s="1119">
        <v>17.68</v>
      </c>
      <c r="E4502" s="1120">
        <v>6.0</v>
      </c>
      <c r="F4502" s="1121">
        <f t="shared" si="1"/>
        <v>11.67</v>
      </c>
      <c r="G4502" s="1120">
        <v>11.63</v>
      </c>
      <c r="H4502" s="1127">
        <v>0.0</v>
      </c>
      <c r="I4502" s="1127">
        <v>0.0</v>
      </c>
      <c r="J4502" s="1127">
        <v>0.04</v>
      </c>
      <c r="K4502" s="1124"/>
    </row>
    <row r="4503" ht="15.75" customHeight="1">
      <c r="A4503" s="1119">
        <v>96655.0</v>
      </c>
      <c r="B4503" s="1125" t="s">
        <v>14782</v>
      </c>
      <c r="C4503" s="1126" t="s">
        <v>1788</v>
      </c>
      <c r="D4503" s="1119">
        <v>23.66</v>
      </c>
      <c r="E4503" s="1120">
        <v>5.99</v>
      </c>
      <c r="F4503" s="1121">
        <f t="shared" si="1"/>
        <v>17.66</v>
      </c>
      <c r="G4503" s="1120">
        <v>17.62</v>
      </c>
      <c r="H4503" s="1127">
        <v>0.0</v>
      </c>
      <c r="I4503" s="1127">
        <v>0.0</v>
      </c>
      <c r="J4503" s="1127">
        <v>0.04</v>
      </c>
      <c r="K4503" s="1124"/>
    </row>
    <row r="4504" ht="15.75" customHeight="1">
      <c r="A4504" s="1119">
        <v>96656.0</v>
      </c>
      <c r="B4504" s="1125" t="s">
        <v>14783</v>
      </c>
      <c r="C4504" s="1126" t="s">
        <v>1788</v>
      </c>
      <c r="D4504" s="1119">
        <v>7.21</v>
      </c>
      <c r="E4504" s="1120">
        <v>3.61</v>
      </c>
      <c r="F4504" s="1121">
        <f t="shared" si="1"/>
        <v>3.61</v>
      </c>
      <c r="G4504" s="1120">
        <v>3.59</v>
      </c>
      <c r="H4504" s="1127">
        <v>0.0</v>
      </c>
      <c r="I4504" s="1127">
        <v>0.0</v>
      </c>
      <c r="J4504" s="1127">
        <v>0.02</v>
      </c>
      <c r="K4504" s="1124"/>
    </row>
    <row r="4505" ht="15.75" customHeight="1">
      <c r="A4505" s="1119">
        <v>96657.0</v>
      </c>
      <c r="B4505" s="1125" t="s">
        <v>14784</v>
      </c>
      <c r="C4505" s="1126" t="s">
        <v>1788</v>
      </c>
      <c r="D4505" s="1119">
        <v>26.26</v>
      </c>
      <c r="E4505" s="1120">
        <v>3.57</v>
      </c>
      <c r="F4505" s="1121">
        <f t="shared" si="1"/>
        <v>22.68</v>
      </c>
      <c r="G4505" s="1120">
        <v>22.66</v>
      </c>
      <c r="H4505" s="1127">
        <v>0.0</v>
      </c>
      <c r="I4505" s="1127">
        <v>0.0</v>
      </c>
      <c r="J4505" s="1127">
        <v>0.02</v>
      </c>
      <c r="K4505" s="1124"/>
    </row>
    <row r="4506" ht="15.75" customHeight="1">
      <c r="A4506" s="1119">
        <v>96658.0</v>
      </c>
      <c r="B4506" s="1125" t="s">
        <v>14785</v>
      </c>
      <c r="C4506" s="1126" t="s">
        <v>1788</v>
      </c>
      <c r="D4506" s="1119">
        <v>16.81</v>
      </c>
      <c r="E4506" s="1120">
        <v>3.57</v>
      </c>
      <c r="F4506" s="1121">
        <f t="shared" si="1"/>
        <v>13.22</v>
      </c>
      <c r="G4506" s="1120">
        <v>13.2</v>
      </c>
      <c r="H4506" s="1127">
        <v>0.0</v>
      </c>
      <c r="I4506" s="1127">
        <v>0.0</v>
      </c>
      <c r="J4506" s="1127">
        <v>0.02</v>
      </c>
      <c r="K4506" s="1124"/>
    </row>
    <row r="4507" ht="15.75" customHeight="1">
      <c r="A4507" s="1119">
        <v>96659.0</v>
      </c>
      <c r="B4507" s="1125" t="s">
        <v>14786</v>
      </c>
      <c r="C4507" s="1126" t="s">
        <v>1788</v>
      </c>
      <c r="D4507" s="1119">
        <v>9.37</v>
      </c>
      <c r="E4507" s="1120">
        <v>3.79</v>
      </c>
      <c r="F4507" s="1121">
        <f t="shared" si="1"/>
        <v>5.57</v>
      </c>
      <c r="G4507" s="1120">
        <v>5.55</v>
      </c>
      <c r="H4507" s="1127">
        <v>0.0</v>
      </c>
      <c r="I4507" s="1127">
        <v>0.0</v>
      </c>
      <c r="J4507" s="1127">
        <v>0.02</v>
      </c>
      <c r="K4507" s="1124"/>
    </row>
    <row r="4508" ht="15.75" customHeight="1">
      <c r="A4508" s="1119">
        <v>96660.0</v>
      </c>
      <c r="B4508" s="1125" t="s">
        <v>14787</v>
      </c>
      <c r="C4508" s="1126" t="s">
        <v>1788</v>
      </c>
      <c r="D4508" s="1119">
        <v>35.62</v>
      </c>
      <c r="E4508" s="1120">
        <v>3.66</v>
      </c>
      <c r="F4508" s="1121">
        <f t="shared" si="1"/>
        <v>31.96</v>
      </c>
      <c r="G4508" s="1120">
        <v>31.94</v>
      </c>
      <c r="H4508" s="1127">
        <v>0.0</v>
      </c>
      <c r="I4508" s="1127">
        <v>0.0</v>
      </c>
      <c r="J4508" s="1127">
        <v>0.02</v>
      </c>
      <c r="K4508" s="1124"/>
    </row>
    <row r="4509" ht="15.75" customHeight="1">
      <c r="A4509" s="1119">
        <v>96661.0</v>
      </c>
      <c r="B4509" s="1125" t="s">
        <v>14788</v>
      </c>
      <c r="C4509" s="1126" t="s">
        <v>1788</v>
      </c>
      <c r="D4509" s="1119">
        <v>35.28</v>
      </c>
      <c r="E4509" s="1120">
        <v>3.66</v>
      </c>
      <c r="F4509" s="1121">
        <f t="shared" si="1"/>
        <v>31.62</v>
      </c>
      <c r="G4509" s="1120">
        <v>31.6</v>
      </c>
      <c r="H4509" s="1127">
        <v>0.0</v>
      </c>
      <c r="I4509" s="1127">
        <v>0.0</v>
      </c>
      <c r="J4509" s="1127">
        <v>0.02</v>
      </c>
      <c r="K4509" s="1124"/>
    </row>
    <row r="4510" ht="15.75" customHeight="1">
      <c r="A4510" s="1119">
        <v>96662.0</v>
      </c>
      <c r="B4510" s="1125" t="s">
        <v>14789</v>
      </c>
      <c r="C4510" s="1126" t="s">
        <v>1788</v>
      </c>
      <c r="D4510" s="1119">
        <v>10.41</v>
      </c>
      <c r="E4510" s="1120">
        <v>3.68</v>
      </c>
      <c r="F4510" s="1121">
        <f t="shared" si="1"/>
        <v>6.73</v>
      </c>
      <c r="G4510" s="1120">
        <v>6.71</v>
      </c>
      <c r="H4510" s="1127">
        <v>0.0</v>
      </c>
      <c r="I4510" s="1127">
        <v>0.0</v>
      </c>
      <c r="J4510" s="1127">
        <v>0.02</v>
      </c>
      <c r="K4510" s="1124"/>
    </row>
    <row r="4511" ht="15.75" customHeight="1">
      <c r="A4511" s="1119">
        <v>96663.0</v>
      </c>
      <c r="B4511" s="1125" t="s">
        <v>14790</v>
      </c>
      <c r="C4511" s="1126" t="s">
        <v>1788</v>
      </c>
      <c r="D4511" s="1119">
        <v>17.64</v>
      </c>
      <c r="E4511" s="1120">
        <v>3.99</v>
      </c>
      <c r="F4511" s="1121">
        <f t="shared" si="1"/>
        <v>13.64</v>
      </c>
      <c r="G4511" s="1120">
        <v>13.62</v>
      </c>
      <c r="H4511" s="1127">
        <v>0.0</v>
      </c>
      <c r="I4511" s="1127">
        <v>0.0</v>
      </c>
      <c r="J4511" s="1127">
        <v>0.02</v>
      </c>
      <c r="K4511" s="1124"/>
    </row>
    <row r="4512" ht="15.75" customHeight="1">
      <c r="A4512" s="1119">
        <v>96664.0</v>
      </c>
      <c r="B4512" s="1125" t="s">
        <v>14791</v>
      </c>
      <c r="C4512" s="1126" t="s">
        <v>1788</v>
      </c>
      <c r="D4512" s="1119">
        <v>19.35</v>
      </c>
      <c r="E4512" s="1120">
        <v>3.78</v>
      </c>
      <c r="F4512" s="1121">
        <f t="shared" si="1"/>
        <v>15.56</v>
      </c>
      <c r="G4512" s="1120">
        <v>15.54</v>
      </c>
      <c r="H4512" s="1127">
        <v>0.0</v>
      </c>
      <c r="I4512" s="1127">
        <v>0.0</v>
      </c>
      <c r="J4512" s="1127">
        <v>0.02</v>
      </c>
      <c r="K4512" s="1124"/>
    </row>
    <row r="4513" ht="15.75" customHeight="1">
      <c r="A4513" s="1119">
        <v>96665.0</v>
      </c>
      <c r="B4513" s="1125" t="s">
        <v>14792</v>
      </c>
      <c r="C4513" s="1126" t="s">
        <v>1788</v>
      </c>
      <c r="D4513" s="1119">
        <v>13.07</v>
      </c>
      <c r="E4513" s="1120">
        <v>7.22</v>
      </c>
      <c r="F4513" s="1121">
        <f t="shared" si="1"/>
        <v>5.85</v>
      </c>
      <c r="G4513" s="1120">
        <v>5.81</v>
      </c>
      <c r="H4513" s="1127">
        <v>0.0</v>
      </c>
      <c r="I4513" s="1127">
        <v>0.0</v>
      </c>
      <c r="J4513" s="1127">
        <v>0.04</v>
      </c>
      <c r="K4513" s="1124"/>
    </row>
    <row r="4514" ht="15.75" customHeight="1">
      <c r="A4514" s="1119">
        <v>96666.0</v>
      </c>
      <c r="B4514" s="1125" t="s">
        <v>14793</v>
      </c>
      <c r="C4514" s="1126" t="s">
        <v>1788</v>
      </c>
      <c r="D4514" s="1119">
        <v>18.71</v>
      </c>
      <c r="E4514" s="1120">
        <v>7.57</v>
      </c>
      <c r="F4514" s="1121">
        <f t="shared" si="1"/>
        <v>11.13</v>
      </c>
      <c r="G4514" s="1120">
        <v>11.08</v>
      </c>
      <c r="H4514" s="1127">
        <v>0.0</v>
      </c>
      <c r="I4514" s="1127">
        <v>0.0</v>
      </c>
      <c r="J4514" s="1127">
        <v>0.05</v>
      </c>
      <c r="K4514" s="1124"/>
    </row>
    <row r="4515" ht="15.75" customHeight="1">
      <c r="A4515" s="1119">
        <v>96667.0</v>
      </c>
      <c r="B4515" s="1125" t="s">
        <v>14794</v>
      </c>
      <c r="C4515" s="1126" t="s">
        <v>1788</v>
      </c>
      <c r="D4515" s="1119">
        <v>26.35</v>
      </c>
      <c r="E4515" s="1120">
        <v>8.0</v>
      </c>
      <c r="F4515" s="1121">
        <f t="shared" si="1"/>
        <v>18.36</v>
      </c>
      <c r="G4515" s="1120">
        <v>18.29</v>
      </c>
      <c r="H4515" s="1127">
        <v>0.02</v>
      </c>
      <c r="I4515" s="1127">
        <v>0.0</v>
      </c>
      <c r="J4515" s="1127">
        <v>0.05</v>
      </c>
      <c r="K4515" s="1124"/>
    </row>
    <row r="4516" ht="15.75" customHeight="1">
      <c r="A4516" s="1119">
        <v>96684.0</v>
      </c>
      <c r="B4516" s="1125" t="s">
        <v>14795</v>
      </c>
      <c r="C4516" s="1126" t="s">
        <v>1788</v>
      </c>
      <c r="D4516" s="1119">
        <v>12.89</v>
      </c>
      <c r="E4516" s="1120">
        <v>7.56</v>
      </c>
      <c r="F4516" s="1121">
        <f t="shared" si="1"/>
        <v>5.33</v>
      </c>
      <c r="G4516" s="1120">
        <v>5.28</v>
      </c>
      <c r="H4516" s="1127">
        <v>0.0</v>
      </c>
      <c r="I4516" s="1127">
        <v>0.0</v>
      </c>
      <c r="J4516" s="1127">
        <v>0.05</v>
      </c>
      <c r="K4516" s="1124"/>
    </row>
    <row r="4517" ht="15.75" customHeight="1">
      <c r="A4517" s="1119">
        <v>96685.0</v>
      </c>
      <c r="B4517" s="1125" t="s">
        <v>14796</v>
      </c>
      <c r="C4517" s="1126" t="s">
        <v>1788</v>
      </c>
      <c r="D4517" s="1119">
        <v>13.32</v>
      </c>
      <c r="E4517" s="1120">
        <v>7.56</v>
      </c>
      <c r="F4517" s="1121">
        <f t="shared" si="1"/>
        <v>5.76</v>
      </c>
      <c r="G4517" s="1120">
        <v>5.71</v>
      </c>
      <c r="H4517" s="1127">
        <v>0.0</v>
      </c>
      <c r="I4517" s="1127">
        <v>0.0</v>
      </c>
      <c r="J4517" s="1127">
        <v>0.05</v>
      </c>
      <c r="K4517" s="1124"/>
    </row>
    <row r="4518" ht="15.75" customHeight="1">
      <c r="A4518" s="1119">
        <v>96686.0</v>
      </c>
      <c r="B4518" s="1125" t="s">
        <v>14797</v>
      </c>
      <c r="C4518" s="1126" t="s">
        <v>1788</v>
      </c>
      <c r="D4518" s="1119">
        <v>16.58</v>
      </c>
      <c r="E4518" s="1120">
        <v>9.19</v>
      </c>
      <c r="F4518" s="1121">
        <f t="shared" si="1"/>
        <v>7.39</v>
      </c>
      <c r="G4518" s="1120">
        <v>7.31</v>
      </c>
      <c r="H4518" s="1127">
        <v>0.02</v>
      </c>
      <c r="I4518" s="1127">
        <v>0.0</v>
      </c>
      <c r="J4518" s="1127">
        <v>0.06</v>
      </c>
      <c r="K4518" s="1124"/>
    </row>
    <row r="4519" ht="15.75" customHeight="1">
      <c r="A4519" s="1119">
        <v>96687.0</v>
      </c>
      <c r="B4519" s="1125" t="s">
        <v>14798</v>
      </c>
      <c r="C4519" s="1126" t="s">
        <v>1788</v>
      </c>
      <c r="D4519" s="1119">
        <v>20.26</v>
      </c>
      <c r="E4519" s="1120">
        <v>9.18</v>
      </c>
      <c r="F4519" s="1121">
        <f t="shared" si="1"/>
        <v>11.08</v>
      </c>
      <c r="G4519" s="1120">
        <v>11.0</v>
      </c>
      <c r="H4519" s="1127">
        <v>0.02</v>
      </c>
      <c r="I4519" s="1127">
        <v>0.0</v>
      </c>
      <c r="J4519" s="1127">
        <v>0.06</v>
      </c>
      <c r="K4519" s="1124"/>
    </row>
    <row r="4520" ht="15.75" customHeight="1">
      <c r="A4520" s="1119">
        <v>96688.0</v>
      </c>
      <c r="B4520" s="1125" t="s">
        <v>14799</v>
      </c>
      <c r="C4520" s="1126" t="s">
        <v>1788</v>
      </c>
      <c r="D4520" s="1119">
        <v>24.48</v>
      </c>
      <c r="E4520" s="1120">
        <v>11.07</v>
      </c>
      <c r="F4520" s="1121">
        <f t="shared" si="1"/>
        <v>13.42</v>
      </c>
      <c r="G4520" s="1120">
        <v>13.32</v>
      </c>
      <c r="H4520" s="1127">
        <v>0.03</v>
      </c>
      <c r="I4520" s="1127">
        <v>0.0</v>
      </c>
      <c r="J4520" s="1127">
        <v>0.07</v>
      </c>
      <c r="K4520" s="1124"/>
    </row>
    <row r="4521" ht="15.75" customHeight="1">
      <c r="A4521" s="1119">
        <v>96689.0</v>
      </c>
      <c r="B4521" s="1125" t="s">
        <v>14800</v>
      </c>
      <c r="C4521" s="1126" t="s">
        <v>1788</v>
      </c>
      <c r="D4521" s="1119">
        <v>30.46</v>
      </c>
      <c r="E4521" s="1120">
        <v>11.06</v>
      </c>
      <c r="F4521" s="1121">
        <f t="shared" si="1"/>
        <v>19.41</v>
      </c>
      <c r="G4521" s="1120">
        <v>19.31</v>
      </c>
      <c r="H4521" s="1127">
        <v>0.03</v>
      </c>
      <c r="I4521" s="1127">
        <v>0.0</v>
      </c>
      <c r="J4521" s="1127">
        <v>0.07</v>
      </c>
      <c r="K4521" s="1124"/>
    </row>
    <row r="4522" ht="15.75" customHeight="1">
      <c r="A4522" s="1119">
        <v>96690.0</v>
      </c>
      <c r="B4522" s="1125" t="s">
        <v>14801</v>
      </c>
      <c r="C4522" s="1126" t="s">
        <v>1788</v>
      </c>
      <c r="D4522" s="1119">
        <v>34.0</v>
      </c>
      <c r="E4522" s="1120">
        <v>13.41</v>
      </c>
      <c r="F4522" s="1121">
        <f t="shared" si="1"/>
        <v>20.58</v>
      </c>
      <c r="G4522" s="1120">
        <v>20.46</v>
      </c>
      <c r="H4522" s="1127">
        <v>0.03</v>
      </c>
      <c r="I4522" s="1127">
        <v>0.0</v>
      </c>
      <c r="J4522" s="1127">
        <v>0.09</v>
      </c>
      <c r="K4522" s="1124"/>
    </row>
    <row r="4523" ht="15.75" customHeight="1">
      <c r="A4523" s="1119">
        <v>96691.0</v>
      </c>
      <c r="B4523" s="1125" t="s">
        <v>14802</v>
      </c>
      <c r="C4523" s="1126" t="s">
        <v>1788</v>
      </c>
      <c r="D4523" s="1119">
        <v>43.46</v>
      </c>
      <c r="E4523" s="1120">
        <v>13.4</v>
      </c>
      <c r="F4523" s="1121">
        <f t="shared" si="1"/>
        <v>30.05</v>
      </c>
      <c r="G4523" s="1120">
        <v>29.93</v>
      </c>
      <c r="H4523" s="1127">
        <v>0.03</v>
      </c>
      <c r="I4523" s="1127">
        <v>0.0</v>
      </c>
      <c r="J4523" s="1127">
        <v>0.09</v>
      </c>
      <c r="K4523" s="1124"/>
    </row>
    <row r="4524" ht="15.75" customHeight="1">
      <c r="A4524" s="1119">
        <v>96692.0</v>
      </c>
      <c r="B4524" s="1125" t="s">
        <v>14803</v>
      </c>
      <c r="C4524" s="1126" t="s">
        <v>1788</v>
      </c>
      <c r="D4524" s="1119">
        <v>48.08</v>
      </c>
      <c r="E4524" s="1120">
        <v>16.48</v>
      </c>
      <c r="F4524" s="1121">
        <f t="shared" si="1"/>
        <v>31.61</v>
      </c>
      <c r="G4524" s="1120">
        <v>31.45</v>
      </c>
      <c r="H4524" s="1127">
        <v>0.05</v>
      </c>
      <c r="I4524" s="1127">
        <v>0.0</v>
      </c>
      <c r="J4524" s="1127">
        <v>0.11</v>
      </c>
      <c r="K4524" s="1124"/>
    </row>
    <row r="4525" ht="15.75" customHeight="1">
      <c r="A4525" s="1119">
        <v>96693.0</v>
      </c>
      <c r="B4525" s="1125" t="s">
        <v>14804</v>
      </c>
      <c r="C4525" s="1126" t="s">
        <v>1788</v>
      </c>
      <c r="D4525" s="1119">
        <v>64.96</v>
      </c>
      <c r="E4525" s="1120">
        <v>16.47</v>
      </c>
      <c r="F4525" s="1121">
        <f t="shared" si="1"/>
        <v>48.5</v>
      </c>
      <c r="G4525" s="1120">
        <v>48.34</v>
      </c>
      <c r="H4525" s="1127">
        <v>0.05</v>
      </c>
      <c r="I4525" s="1127">
        <v>0.0</v>
      </c>
      <c r="J4525" s="1127">
        <v>0.11</v>
      </c>
      <c r="K4525" s="1124"/>
    </row>
    <row r="4526" ht="15.75" customHeight="1">
      <c r="A4526" s="1119">
        <v>96694.0</v>
      </c>
      <c r="B4526" s="1125" t="s">
        <v>14805</v>
      </c>
      <c r="C4526" s="1126" t="s">
        <v>1788</v>
      </c>
      <c r="D4526" s="1119">
        <v>101.36</v>
      </c>
      <c r="E4526" s="1120">
        <v>19.3</v>
      </c>
      <c r="F4526" s="1121">
        <f t="shared" si="1"/>
        <v>82.06</v>
      </c>
      <c r="G4526" s="1120">
        <v>81.78</v>
      </c>
      <c r="H4526" s="1127">
        <v>0.1</v>
      </c>
      <c r="I4526" s="1127">
        <v>0.0</v>
      </c>
      <c r="J4526" s="1127">
        <v>0.18</v>
      </c>
      <c r="K4526" s="1124"/>
    </row>
    <row r="4527" ht="15.75" customHeight="1">
      <c r="A4527" s="1119">
        <v>96695.0</v>
      </c>
      <c r="B4527" s="1125" t="s">
        <v>14806</v>
      </c>
      <c r="C4527" s="1126" t="s">
        <v>1788</v>
      </c>
      <c r="D4527" s="1119">
        <v>111.67</v>
      </c>
      <c r="E4527" s="1120">
        <v>19.3</v>
      </c>
      <c r="F4527" s="1121">
        <f t="shared" si="1"/>
        <v>92.37</v>
      </c>
      <c r="G4527" s="1120">
        <v>92.09</v>
      </c>
      <c r="H4527" s="1127">
        <v>0.1</v>
      </c>
      <c r="I4527" s="1127">
        <v>0.0</v>
      </c>
      <c r="J4527" s="1127">
        <v>0.18</v>
      </c>
      <c r="K4527" s="1124"/>
    </row>
    <row r="4528" ht="15.75" customHeight="1">
      <c r="A4528" s="1119">
        <v>96696.0</v>
      </c>
      <c r="B4528" s="1125" t="s">
        <v>14807</v>
      </c>
      <c r="C4528" s="1126" t="s">
        <v>1788</v>
      </c>
      <c r="D4528" s="1119">
        <v>126.52</v>
      </c>
      <c r="E4528" s="1120">
        <v>22.82</v>
      </c>
      <c r="F4528" s="1121">
        <f t="shared" si="1"/>
        <v>103.71</v>
      </c>
      <c r="G4528" s="1120">
        <v>103.38</v>
      </c>
      <c r="H4528" s="1127">
        <v>0.12</v>
      </c>
      <c r="I4528" s="1127">
        <v>0.0</v>
      </c>
      <c r="J4528" s="1127">
        <v>0.21</v>
      </c>
      <c r="K4528" s="1124"/>
    </row>
    <row r="4529" ht="15.75" customHeight="1">
      <c r="A4529" s="1119">
        <v>96697.0</v>
      </c>
      <c r="B4529" s="1125" t="s">
        <v>14808</v>
      </c>
      <c r="C4529" s="1126" t="s">
        <v>1788</v>
      </c>
      <c r="D4529" s="1119">
        <v>373.1</v>
      </c>
      <c r="E4529" s="1120">
        <v>27.53</v>
      </c>
      <c r="F4529" s="1121">
        <f t="shared" si="1"/>
        <v>345.55</v>
      </c>
      <c r="G4529" s="1120">
        <v>345.14</v>
      </c>
      <c r="H4529" s="1127">
        <v>0.15</v>
      </c>
      <c r="I4529" s="1127">
        <v>0.0</v>
      </c>
      <c r="J4529" s="1127">
        <v>0.26</v>
      </c>
      <c r="K4529" s="1124"/>
    </row>
    <row r="4530" ht="15.75" customHeight="1">
      <c r="A4530" s="1119">
        <v>96698.0</v>
      </c>
      <c r="B4530" s="1125" t="s">
        <v>14809</v>
      </c>
      <c r="C4530" s="1126" t="s">
        <v>1788</v>
      </c>
      <c r="D4530" s="1119">
        <v>9.13</v>
      </c>
      <c r="E4530" s="1120">
        <v>5.06</v>
      </c>
      <c r="F4530" s="1121">
        <f t="shared" si="1"/>
        <v>4.07</v>
      </c>
      <c r="G4530" s="1120">
        <v>4.04</v>
      </c>
      <c r="H4530" s="1127">
        <v>0.0</v>
      </c>
      <c r="I4530" s="1127">
        <v>0.0</v>
      </c>
      <c r="J4530" s="1127">
        <v>0.03</v>
      </c>
      <c r="K4530" s="1124"/>
    </row>
    <row r="4531" ht="15.75" customHeight="1">
      <c r="A4531" s="1119">
        <v>96699.0</v>
      </c>
      <c r="B4531" s="1125" t="s">
        <v>14810</v>
      </c>
      <c r="C4531" s="1126" t="s">
        <v>1788</v>
      </c>
      <c r="D4531" s="1119">
        <v>28.18</v>
      </c>
      <c r="E4531" s="1120">
        <v>5.01</v>
      </c>
      <c r="F4531" s="1121">
        <f t="shared" si="1"/>
        <v>23.18</v>
      </c>
      <c r="G4531" s="1120">
        <v>23.15</v>
      </c>
      <c r="H4531" s="1127">
        <v>0.0</v>
      </c>
      <c r="I4531" s="1127">
        <v>0.0</v>
      </c>
      <c r="J4531" s="1127">
        <v>0.03</v>
      </c>
      <c r="K4531" s="1124"/>
    </row>
    <row r="4532" ht="15.75" customHeight="1">
      <c r="A4532" s="1119">
        <v>96700.0</v>
      </c>
      <c r="B4532" s="1125" t="s">
        <v>14811</v>
      </c>
      <c r="C4532" s="1126" t="s">
        <v>1788</v>
      </c>
      <c r="D4532" s="1119">
        <v>18.73</v>
      </c>
      <c r="E4532" s="1120">
        <v>5.02</v>
      </c>
      <c r="F4532" s="1121">
        <f t="shared" si="1"/>
        <v>13.72</v>
      </c>
      <c r="G4532" s="1120">
        <v>13.69</v>
      </c>
      <c r="H4532" s="1127">
        <v>0.0</v>
      </c>
      <c r="I4532" s="1127">
        <v>0.0</v>
      </c>
      <c r="J4532" s="1127">
        <v>0.03</v>
      </c>
      <c r="K4532" s="1124"/>
    </row>
    <row r="4533" ht="15.75" customHeight="1">
      <c r="A4533" s="1119">
        <v>96701.0</v>
      </c>
      <c r="B4533" s="1125" t="s">
        <v>14812</v>
      </c>
      <c r="C4533" s="1126" t="s">
        <v>1788</v>
      </c>
      <c r="D4533" s="1119">
        <v>12.51</v>
      </c>
      <c r="E4533" s="1120">
        <v>6.13</v>
      </c>
      <c r="F4533" s="1121">
        <f t="shared" si="1"/>
        <v>6.38</v>
      </c>
      <c r="G4533" s="1120">
        <v>6.34</v>
      </c>
      <c r="H4533" s="1127">
        <v>0.0</v>
      </c>
      <c r="I4533" s="1127">
        <v>0.0</v>
      </c>
      <c r="J4533" s="1127">
        <v>0.04</v>
      </c>
      <c r="K4533" s="1124"/>
    </row>
    <row r="4534" ht="15.75" customHeight="1">
      <c r="A4534" s="1119">
        <v>96702.0</v>
      </c>
      <c r="B4534" s="1125" t="s">
        <v>14813</v>
      </c>
      <c r="C4534" s="1126" t="s">
        <v>1788</v>
      </c>
      <c r="D4534" s="1119">
        <v>12.94</v>
      </c>
      <c r="E4534" s="1120">
        <v>5.58</v>
      </c>
      <c r="F4534" s="1121">
        <f t="shared" si="1"/>
        <v>7.37</v>
      </c>
      <c r="G4534" s="1120">
        <v>7.34</v>
      </c>
      <c r="H4534" s="1127">
        <v>0.0</v>
      </c>
      <c r="I4534" s="1127">
        <v>0.0</v>
      </c>
      <c r="J4534" s="1127">
        <v>0.03</v>
      </c>
      <c r="K4534" s="1124"/>
    </row>
    <row r="4535" ht="15.75" customHeight="1">
      <c r="A4535" s="1119">
        <v>96703.0</v>
      </c>
      <c r="B4535" s="1125" t="s">
        <v>14814</v>
      </c>
      <c r="C4535" s="1126" t="s">
        <v>1788</v>
      </c>
      <c r="D4535" s="1119">
        <v>22.16</v>
      </c>
      <c r="E4535" s="1120">
        <v>7.36</v>
      </c>
      <c r="F4535" s="1121">
        <f t="shared" si="1"/>
        <v>14.78</v>
      </c>
      <c r="G4535" s="1120">
        <v>14.74</v>
      </c>
      <c r="H4535" s="1127">
        <v>0.0</v>
      </c>
      <c r="I4535" s="1127">
        <v>0.0</v>
      </c>
      <c r="J4535" s="1127">
        <v>0.04</v>
      </c>
      <c r="K4535" s="1124"/>
    </row>
    <row r="4536" ht="15.75" customHeight="1">
      <c r="A4536" s="1119">
        <v>96704.0</v>
      </c>
      <c r="B4536" s="1125" t="s">
        <v>14815</v>
      </c>
      <c r="C4536" s="1126" t="s">
        <v>1788</v>
      </c>
      <c r="D4536" s="1119">
        <v>22.57</v>
      </c>
      <c r="E4536" s="1120">
        <v>6.19</v>
      </c>
      <c r="F4536" s="1121">
        <f t="shared" si="1"/>
        <v>16.38</v>
      </c>
      <c r="G4536" s="1120">
        <v>16.34</v>
      </c>
      <c r="H4536" s="1127">
        <v>0.0</v>
      </c>
      <c r="I4536" s="1127">
        <v>0.0</v>
      </c>
      <c r="J4536" s="1127">
        <v>0.04</v>
      </c>
      <c r="K4536" s="1124"/>
    </row>
    <row r="4537" ht="15.75" customHeight="1">
      <c r="A4537" s="1119">
        <v>96705.0</v>
      </c>
      <c r="B4537" s="1125" t="s">
        <v>14816</v>
      </c>
      <c r="C4537" s="1126" t="s">
        <v>1788</v>
      </c>
      <c r="D4537" s="1119">
        <v>26.89</v>
      </c>
      <c r="E4537" s="1120">
        <v>8.95</v>
      </c>
      <c r="F4537" s="1121">
        <f t="shared" si="1"/>
        <v>17.95</v>
      </c>
      <c r="G4537" s="1120">
        <v>17.87</v>
      </c>
      <c r="H4537" s="1127">
        <v>0.02</v>
      </c>
      <c r="I4537" s="1127">
        <v>0.0</v>
      </c>
      <c r="J4537" s="1127">
        <v>0.06</v>
      </c>
      <c r="K4537" s="1124"/>
    </row>
    <row r="4538" ht="15.75" customHeight="1">
      <c r="A4538" s="1119">
        <v>96706.0</v>
      </c>
      <c r="B4538" s="1125" t="s">
        <v>14817</v>
      </c>
      <c r="C4538" s="1126" t="s">
        <v>1788</v>
      </c>
      <c r="D4538" s="1119">
        <v>39.75</v>
      </c>
      <c r="E4538" s="1120">
        <v>10.98</v>
      </c>
      <c r="F4538" s="1121">
        <f t="shared" si="1"/>
        <v>28.79</v>
      </c>
      <c r="G4538" s="1120">
        <v>28.69</v>
      </c>
      <c r="H4538" s="1127">
        <v>0.03</v>
      </c>
      <c r="I4538" s="1127">
        <v>0.0</v>
      </c>
      <c r="J4538" s="1127">
        <v>0.07</v>
      </c>
      <c r="K4538" s="1124"/>
    </row>
    <row r="4539" ht="15.75" customHeight="1">
      <c r="A4539" s="1119">
        <v>96707.0</v>
      </c>
      <c r="B4539" s="1125" t="s">
        <v>14818</v>
      </c>
      <c r="C4539" s="1126" t="s">
        <v>1788</v>
      </c>
      <c r="D4539" s="1119">
        <v>63.73</v>
      </c>
      <c r="E4539" s="1120">
        <v>12.86</v>
      </c>
      <c r="F4539" s="1121">
        <f t="shared" si="1"/>
        <v>50.88</v>
      </c>
      <c r="G4539" s="1120">
        <v>50.7</v>
      </c>
      <c r="H4539" s="1127">
        <v>0.06</v>
      </c>
      <c r="I4539" s="1127">
        <v>0.0</v>
      </c>
      <c r="J4539" s="1127">
        <v>0.12</v>
      </c>
      <c r="K4539" s="1124"/>
    </row>
    <row r="4540" ht="15.75" customHeight="1">
      <c r="A4540" s="1119">
        <v>96708.0</v>
      </c>
      <c r="B4540" s="1125" t="s">
        <v>14819</v>
      </c>
      <c r="C4540" s="1126" t="s">
        <v>1788</v>
      </c>
      <c r="D4540" s="1119">
        <v>96.49</v>
      </c>
      <c r="E4540" s="1120">
        <v>15.2</v>
      </c>
      <c r="F4540" s="1121">
        <f t="shared" si="1"/>
        <v>81.29</v>
      </c>
      <c r="G4540" s="1120">
        <v>81.08</v>
      </c>
      <c r="H4540" s="1127">
        <v>0.07</v>
      </c>
      <c r="I4540" s="1127">
        <v>0.0</v>
      </c>
      <c r="J4540" s="1127">
        <v>0.14</v>
      </c>
      <c r="K4540" s="1124"/>
    </row>
    <row r="4541" ht="15.75" customHeight="1">
      <c r="A4541" s="1119">
        <v>96709.0</v>
      </c>
      <c r="B4541" s="1125" t="s">
        <v>14820</v>
      </c>
      <c r="C4541" s="1126" t="s">
        <v>1788</v>
      </c>
      <c r="D4541" s="1119">
        <v>123.08</v>
      </c>
      <c r="E4541" s="1120">
        <v>18.36</v>
      </c>
      <c r="F4541" s="1121">
        <f t="shared" si="1"/>
        <v>104.73</v>
      </c>
      <c r="G4541" s="1120">
        <v>104.46</v>
      </c>
      <c r="H4541" s="1127">
        <v>0.1</v>
      </c>
      <c r="I4541" s="1127">
        <v>0.0</v>
      </c>
      <c r="J4541" s="1127">
        <v>0.17</v>
      </c>
      <c r="K4541" s="1124"/>
    </row>
    <row r="4542" ht="15.75" customHeight="1">
      <c r="A4542" s="1119">
        <v>96710.0</v>
      </c>
      <c r="B4542" s="1125" t="s">
        <v>14821</v>
      </c>
      <c r="C4542" s="1126" t="s">
        <v>1788</v>
      </c>
      <c r="D4542" s="1119">
        <v>16.89</v>
      </c>
      <c r="E4542" s="1120">
        <v>10.07</v>
      </c>
      <c r="F4542" s="1121">
        <f t="shared" si="1"/>
        <v>6.82</v>
      </c>
      <c r="G4542" s="1120">
        <v>6.74</v>
      </c>
      <c r="H4542" s="1127">
        <v>0.02</v>
      </c>
      <c r="I4542" s="1127">
        <v>0.0</v>
      </c>
      <c r="J4542" s="1127">
        <v>0.06</v>
      </c>
      <c r="K4542" s="1124"/>
    </row>
    <row r="4543" ht="15.75" customHeight="1">
      <c r="A4543" s="1119">
        <v>96711.0</v>
      </c>
      <c r="B4543" s="1125" t="s">
        <v>14822</v>
      </c>
      <c r="C4543" s="1126" t="s">
        <v>1788</v>
      </c>
      <c r="D4543" s="1119">
        <v>24.98</v>
      </c>
      <c r="E4543" s="1120">
        <v>12.24</v>
      </c>
      <c r="F4543" s="1121">
        <f t="shared" si="1"/>
        <v>12.74</v>
      </c>
      <c r="G4543" s="1120">
        <v>12.63</v>
      </c>
      <c r="H4543" s="1127">
        <v>0.03</v>
      </c>
      <c r="I4543" s="1127">
        <v>0.0</v>
      </c>
      <c r="J4543" s="1127">
        <v>0.08</v>
      </c>
      <c r="K4543" s="1124"/>
    </row>
    <row r="4544" ht="15.75" customHeight="1">
      <c r="A4544" s="1119">
        <v>96712.0</v>
      </c>
      <c r="B4544" s="1125" t="s">
        <v>14823</v>
      </c>
      <c r="C4544" s="1126" t="s">
        <v>1788</v>
      </c>
      <c r="D4544" s="1119">
        <v>35.41</v>
      </c>
      <c r="E4544" s="1120">
        <v>14.76</v>
      </c>
      <c r="F4544" s="1121">
        <f t="shared" si="1"/>
        <v>20.66</v>
      </c>
      <c r="G4544" s="1120">
        <v>20.54</v>
      </c>
      <c r="H4544" s="1127">
        <v>0.03</v>
      </c>
      <c r="I4544" s="1127">
        <v>0.0</v>
      </c>
      <c r="J4544" s="1127">
        <v>0.09</v>
      </c>
      <c r="K4544" s="1124"/>
    </row>
    <row r="4545" ht="15.75" customHeight="1">
      <c r="A4545" s="1119">
        <v>96713.0</v>
      </c>
      <c r="B4545" s="1125" t="s">
        <v>14824</v>
      </c>
      <c r="C4545" s="1126" t="s">
        <v>1788</v>
      </c>
      <c r="D4545" s="1119">
        <v>54.14</v>
      </c>
      <c r="E4545" s="1120">
        <v>17.89</v>
      </c>
      <c r="F4545" s="1121">
        <f t="shared" si="1"/>
        <v>36.25</v>
      </c>
      <c r="G4545" s="1120">
        <v>36.07</v>
      </c>
      <c r="H4545" s="1127">
        <v>0.06</v>
      </c>
      <c r="I4545" s="1127">
        <v>0.0</v>
      </c>
      <c r="J4545" s="1127">
        <v>0.12</v>
      </c>
      <c r="K4545" s="1124"/>
    </row>
    <row r="4546" ht="15.75" customHeight="1">
      <c r="A4546" s="1119">
        <v>96714.0</v>
      </c>
      <c r="B4546" s="1125" t="s">
        <v>14825</v>
      </c>
      <c r="C4546" s="1126" t="s">
        <v>1788</v>
      </c>
      <c r="D4546" s="1119">
        <v>76.86</v>
      </c>
      <c r="E4546" s="1120">
        <v>21.96</v>
      </c>
      <c r="F4546" s="1121">
        <f t="shared" si="1"/>
        <v>54.89</v>
      </c>
      <c r="G4546" s="1120">
        <v>54.68</v>
      </c>
      <c r="H4546" s="1127">
        <v>0.07</v>
      </c>
      <c r="I4546" s="1127">
        <v>0.0</v>
      </c>
      <c r="J4546" s="1127">
        <v>0.14</v>
      </c>
      <c r="K4546" s="1124"/>
    </row>
    <row r="4547" ht="15.75" customHeight="1">
      <c r="A4547" s="1119">
        <v>96715.0</v>
      </c>
      <c r="B4547" s="1125" t="s">
        <v>14826</v>
      </c>
      <c r="C4547" s="1126" t="s">
        <v>1788</v>
      </c>
      <c r="D4547" s="1119">
        <v>136.32</v>
      </c>
      <c r="E4547" s="1120">
        <v>25.74</v>
      </c>
      <c r="F4547" s="1121">
        <f t="shared" si="1"/>
        <v>110.59</v>
      </c>
      <c r="G4547" s="1120">
        <v>110.21</v>
      </c>
      <c r="H4547" s="1127">
        <v>0.14</v>
      </c>
      <c r="I4547" s="1127">
        <v>0.0</v>
      </c>
      <c r="J4547" s="1127">
        <v>0.24</v>
      </c>
      <c r="K4547" s="1124"/>
    </row>
    <row r="4548" ht="15.75" customHeight="1">
      <c r="A4548" s="1119">
        <v>96716.0</v>
      </c>
      <c r="B4548" s="1125" t="s">
        <v>14827</v>
      </c>
      <c r="C4548" s="1126" t="s">
        <v>1788</v>
      </c>
      <c r="D4548" s="1119">
        <v>177.43</v>
      </c>
      <c r="E4548" s="1120">
        <v>30.44</v>
      </c>
      <c r="F4548" s="1121">
        <f t="shared" si="1"/>
        <v>146.99</v>
      </c>
      <c r="G4548" s="1120">
        <v>146.54</v>
      </c>
      <c r="H4548" s="1127">
        <v>0.17</v>
      </c>
      <c r="I4548" s="1127">
        <v>0.0</v>
      </c>
      <c r="J4548" s="1127">
        <v>0.28</v>
      </c>
      <c r="K4548" s="1124"/>
    </row>
    <row r="4549" ht="15.75" customHeight="1">
      <c r="A4549" s="1119">
        <v>96717.0</v>
      </c>
      <c r="B4549" s="1125" t="s">
        <v>14828</v>
      </c>
      <c r="C4549" s="1126" t="s">
        <v>1788</v>
      </c>
      <c r="D4549" s="1119">
        <v>339.9</v>
      </c>
      <c r="E4549" s="1120">
        <v>36.72</v>
      </c>
      <c r="F4549" s="1121">
        <f t="shared" si="1"/>
        <v>303.18</v>
      </c>
      <c r="G4549" s="1120">
        <v>302.63</v>
      </c>
      <c r="H4549" s="1127">
        <v>0.21</v>
      </c>
      <c r="I4549" s="1127">
        <v>0.0</v>
      </c>
      <c r="J4549" s="1127">
        <v>0.34</v>
      </c>
      <c r="K4549" s="1124"/>
    </row>
    <row r="4550" ht="15.75" customHeight="1">
      <c r="A4550" s="1119">
        <v>96736.0</v>
      </c>
      <c r="B4550" s="1125" t="s">
        <v>14829</v>
      </c>
      <c r="C4550" s="1126" t="s">
        <v>1788</v>
      </c>
      <c r="D4550" s="1119">
        <v>7.6</v>
      </c>
      <c r="E4550" s="1120">
        <v>3.74</v>
      </c>
      <c r="F4550" s="1121">
        <f t="shared" si="1"/>
        <v>3.85</v>
      </c>
      <c r="G4550" s="1120">
        <v>3.85</v>
      </c>
      <c r="H4550" s="1127">
        <v>0.0</v>
      </c>
      <c r="I4550" s="1127">
        <v>0.0</v>
      </c>
      <c r="J4550" s="1127">
        <v>0.0</v>
      </c>
      <c r="K4550" s="1124"/>
    </row>
    <row r="4551" ht="15.75" customHeight="1">
      <c r="A4551" s="1119">
        <v>96737.0</v>
      </c>
      <c r="B4551" s="1125" t="s">
        <v>14830</v>
      </c>
      <c r="C4551" s="1126" t="s">
        <v>1788</v>
      </c>
      <c r="D4551" s="1119">
        <v>7.37</v>
      </c>
      <c r="E4551" s="1120">
        <v>3.76</v>
      </c>
      <c r="F4551" s="1121">
        <f t="shared" si="1"/>
        <v>3.62</v>
      </c>
      <c r="G4551" s="1120">
        <v>3.62</v>
      </c>
      <c r="H4551" s="1127">
        <v>0.0</v>
      </c>
      <c r="I4551" s="1127">
        <v>0.0</v>
      </c>
      <c r="J4551" s="1127">
        <v>0.0</v>
      </c>
      <c r="K4551" s="1124"/>
    </row>
    <row r="4552" ht="15.75" customHeight="1">
      <c r="A4552" s="1119">
        <v>96738.0</v>
      </c>
      <c r="B4552" s="1125" t="s">
        <v>14831</v>
      </c>
      <c r="C4552" s="1126" t="s">
        <v>1788</v>
      </c>
      <c r="D4552" s="1119">
        <v>26.42</v>
      </c>
      <c r="E4552" s="1120">
        <v>3.71</v>
      </c>
      <c r="F4552" s="1121">
        <f t="shared" si="1"/>
        <v>22.7</v>
      </c>
      <c r="G4552" s="1120">
        <v>22.7</v>
      </c>
      <c r="H4552" s="1127">
        <v>0.0</v>
      </c>
      <c r="I4552" s="1127">
        <v>0.0</v>
      </c>
      <c r="J4552" s="1127">
        <v>0.0</v>
      </c>
      <c r="K4552" s="1124"/>
    </row>
    <row r="4553" ht="15.75" customHeight="1">
      <c r="A4553" s="1119">
        <v>96739.0</v>
      </c>
      <c r="B4553" s="1125" t="s">
        <v>14832</v>
      </c>
      <c r="C4553" s="1126" t="s">
        <v>1788</v>
      </c>
      <c r="D4553" s="1119">
        <v>10.67</v>
      </c>
      <c r="E4553" s="1120">
        <v>4.78</v>
      </c>
      <c r="F4553" s="1121">
        <f t="shared" si="1"/>
        <v>5.88</v>
      </c>
      <c r="G4553" s="1120">
        <v>5.88</v>
      </c>
      <c r="H4553" s="1127">
        <v>0.0</v>
      </c>
      <c r="I4553" s="1127">
        <v>0.0</v>
      </c>
      <c r="J4553" s="1127">
        <v>0.0</v>
      </c>
      <c r="K4553" s="1124"/>
    </row>
    <row r="4554" ht="15.75" customHeight="1">
      <c r="A4554" s="1119">
        <v>96740.0</v>
      </c>
      <c r="B4554" s="1125" t="s">
        <v>14833</v>
      </c>
      <c r="C4554" s="1126" t="s">
        <v>1788</v>
      </c>
      <c r="D4554" s="1119">
        <v>37.05</v>
      </c>
      <c r="E4554" s="1120">
        <v>4.76</v>
      </c>
      <c r="F4554" s="1121">
        <f t="shared" si="1"/>
        <v>32.28</v>
      </c>
      <c r="G4554" s="1120">
        <v>32.28</v>
      </c>
      <c r="H4554" s="1127">
        <v>0.0</v>
      </c>
      <c r="I4554" s="1127">
        <v>0.0</v>
      </c>
      <c r="J4554" s="1127">
        <v>0.0</v>
      </c>
      <c r="K4554" s="1124"/>
    </row>
    <row r="4555" ht="15.75" customHeight="1">
      <c r="A4555" s="1119">
        <v>96741.0</v>
      </c>
      <c r="B4555" s="1125" t="s">
        <v>14834</v>
      </c>
      <c r="C4555" s="1126" t="s">
        <v>1788</v>
      </c>
      <c r="D4555" s="1119">
        <v>18.64</v>
      </c>
      <c r="E4555" s="1120">
        <v>4.77</v>
      </c>
      <c r="F4555" s="1121">
        <f t="shared" si="1"/>
        <v>13.86</v>
      </c>
      <c r="G4555" s="1120">
        <v>13.86</v>
      </c>
      <c r="H4555" s="1127">
        <v>0.0</v>
      </c>
      <c r="I4555" s="1127">
        <v>0.0</v>
      </c>
      <c r="J4555" s="1127">
        <v>0.0</v>
      </c>
      <c r="K4555" s="1124"/>
    </row>
    <row r="4556" ht="15.75" customHeight="1">
      <c r="A4556" s="1119">
        <v>96742.0</v>
      </c>
      <c r="B4556" s="1125" t="s">
        <v>14835</v>
      </c>
      <c r="C4556" s="1126" t="s">
        <v>1788</v>
      </c>
      <c r="D4556" s="1119">
        <v>24.61</v>
      </c>
      <c r="E4556" s="1120">
        <v>7.29</v>
      </c>
      <c r="F4556" s="1121">
        <f t="shared" si="1"/>
        <v>17.33</v>
      </c>
      <c r="G4556" s="1120">
        <v>17.33</v>
      </c>
      <c r="H4556" s="1127">
        <v>0.0</v>
      </c>
      <c r="I4556" s="1127">
        <v>0.0</v>
      </c>
      <c r="J4556" s="1127">
        <v>0.0</v>
      </c>
      <c r="K4556" s="1124"/>
    </row>
    <row r="4557" ht="15.75" customHeight="1">
      <c r="A4557" s="1119">
        <v>96743.0</v>
      </c>
      <c r="B4557" s="1125" t="s">
        <v>14836</v>
      </c>
      <c r="C4557" s="1126" t="s">
        <v>1788</v>
      </c>
      <c r="D4557" s="1119">
        <v>34.74</v>
      </c>
      <c r="E4557" s="1120">
        <v>7.28</v>
      </c>
      <c r="F4557" s="1121">
        <f t="shared" si="1"/>
        <v>27.46</v>
      </c>
      <c r="G4557" s="1120">
        <v>27.46</v>
      </c>
      <c r="H4557" s="1127">
        <v>0.0</v>
      </c>
      <c r="I4557" s="1127">
        <v>0.0</v>
      </c>
      <c r="J4557" s="1127">
        <v>0.0</v>
      </c>
      <c r="K4557" s="1124"/>
    </row>
    <row r="4558" ht="15.75" customHeight="1">
      <c r="A4558" s="1119">
        <v>96744.0</v>
      </c>
      <c r="B4558" s="1125" t="s">
        <v>14837</v>
      </c>
      <c r="C4558" s="1126" t="s">
        <v>1788</v>
      </c>
      <c r="D4558" s="1119">
        <v>62.43</v>
      </c>
      <c r="E4558" s="1120">
        <v>12.02</v>
      </c>
      <c r="F4558" s="1121">
        <f t="shared" si="1"/>
        <v>50.41</v>
      </c>
      <c r="G4558" s="1120">
        <v>50.41</v>
      </c>
      <c r="H4558" s="1127">
        <v>0.0</v>
      </c>
      <c r="I4558" s="1127">
        <v>0.0</v>
      </c>
      <c r="J4558" s="1127">
        <v>0.0</v>
      </c>
      <c r="K4558" s="1124"/>
    </row>
    <row r="4559" ht="15.75" customHeight="1">
      <c r="A4559" s="1119">
        <v>96745.0</v>
      </c>
      <c r="B4559" s="1125" t="s">
        <v>14838</v>
      </c>
      <c r="C4559" s="1126" t="s">
        <v>1788</v>
      </c>
      <c r="D4559" s="1119">
        <v>92.0</v>
      </c>
      <c r="E4559" s="1120">
        <v>12.01</v>
      </c>
      <c r="F4559" s="1121">
        <f t="shared" si="1"/>
        <v>79.98</v>
      </c>
      <c r="G4559" s="1120">
        <v>79.98</v>
      </c>
      <c r="H4559" s="1127">
        <v>0.0</v>
      </c>
      <c r="I4559" s="1127">
        <v>0.0</v>
      </c>
      <c r="J4559" s="1127">
        <v>0.0</v>
      </c>
      <c r="K4559" s="1124"/>
    </row>
    <row r="4560" ht="15.75" customHeight="1">
      <c r="A4560" s="1119">
        <v>96746.0</v>
      </c>
      <c r="B4560" s="1125" t="s">
        <v>14839</v>
      </c>
      <c r="C4560" s="1126" t="s">
        <v>1788</v>
      </c>
      <c r="D4560" s="1119">
        <v>123.43</v>
      </c>
      <c r="E4560" s="1120">
        <v>18.83</v>
      </c>
      <c r="F4560" s="1121">
        <f t="shared" si="1"/>
        <v>104.61</v>
      </c>
      <c r="G4560" s="1120">
        <v>104.61</v>
      </c>
      <c r="H4560" s="1127">
        <v>0.0</v>
      </c>
      <c r="I4560" s="1127">
        <v>0.0</v>
      </c>
      <c r="J4560" s="1127">
        <v>0.0</v>
      </c>
      <c r="K4560" s="1124"/>
    </row>
    <row r="4561" ht="15.75" customHeight="1">
      <c r="A4561" s="1119">
        <v>96747.0</v>
      </c>
      <c r="B4561" s="1125" t="s">
        <v>14840</v>
      </c>
      <c r="C4561" s="1126" t="s">
        <v>1788</v>
      </c>
      <c r="D4561" s="1119">
        <v>9.54</v>
      </c>
      <c r="E4561" s="1120">
        <v>5.63</v>
      </c>
      <c r="F4561" s="1121">
        <f t="shared" si="1"/>
        <v>3.92</v>
      </c>
      <c r="G4561" s="1120">
        <v>3.92</v>
      </c>
      <c r="H4561" s="1127">
        <v>0.0</v>
      </c>
      <c r="I4561" s="1127">
        <v>0.0</v>
      </c>
      <c r="J4561" s="1127">
        <v>0.0</v>
      </c>
      <c r="K4561" s="1124"/>
    </row>
    <row r="4562" ht="15.75" customHeight="1">
      <c r="A4562" s="1119">
        <v>96748.0</v>
      </c>
      <c r="B4562" s="1125" t="s">
        <v>14841</v>
      </c>
      <c r="C4562" s="1126" t="s">
        <v>1788</v>
      </c>
      <c r="D4562" s="1119">
        <v>10.27</v>
      </c>
      <c r="E4562" s="1120">
        <v>5.62</v>
      </c>
      <c r="F4562" s="1121">
        <f t="shared" si="1"/>
        <v>4.65</v>
      </c>
      <c r="G4562" s="1120">
        <v>4.65</v>
      </c>
      <c r="H4562" s="1127">
        <v>0.0</v>
      </c>
      <c r="I4562" s="1127">
        <v>0.0</v>
      </c>
      <c r="J4562" s="1127">
        <v>0.0</v>
      </c>
      <c r="K4562" s="1124"/>
    </row>
    <row r="4563" ht="15.75" customHeight="1">
      <c r="A4563" s="1119">
        <v>96749.0</v>
      </c>
      <c r="B4563" s="1125" t="s">
        <v>14842</v>
      </c>
      <c r="C4563" s="1126" t="s">
        <v>1788</v>
      </c>
      <c r="D4563" s="1119">
        <v>13.82</v>
      </c>
      <c r="E4563" s="1120">
        <v>7.18</v>
      </c>
      <c r="F4563" s="1121">
        <f t="shared" si="1"/>
        <v>6.65</v>
      </c>
      <c r="G4563" s="1120">
        <v>6.65</v>
      </c>
      <c r="H4563" s="1127">
        <v>0.0</v>
      </c>
      <c r="I4563" s="1127">
        <v>0.0</v>
      </c>
      <c r="J4563" s="1127">
        <v>0.0</v>
      </c>
      <c r="K4563" s="1124"/>
    </row>
    <row r="4564" ht="15.75" customHeight="1">
      <c r="A4564" s="1119">
        <v>96750.0</v>
      </c>
      <c r="B4564" s="1125" t="s">
        <v>14843</v>
      </c>
      <c r="C4564" s="1126" t="s">
        <v>1788</v>
      </c>
      <c r="D4564" s="1119">
        <v>19.19</v>
      </c>
      <c r="E4564" s="1120">
        <v>7.16</v>
      </c>
      <c r="F4564" s="1121">
        <f t="shared" si="1"/>
        <v>12.03</v>
      </c>
      <c r="G4564" s="1120">
        <v>12.03</v>
      </c>
      <c r="H4564" s="1127">
        <v>0.0</v>
      </c>
      <c r="I4564" s="1127">
        <v>0.0</v>
      </c>
      <c r="J4564" s="1127">
        <v>0.0</v>
      </c>
      <c r="K4564" s="1124"/>
    </row>
    <row r="4565" ht="15.75" customHeight="1">
      <c r="A4565" s="1119">
        <v>96751.0</v>
      </c>
      <c r="B4565" s="1125" t="s">
        <v>14844</v>
      </c>
      <c r="C4565" s="1126" t="s">
        <v>1788</v>
      </c>
      <c r="D4565" s="1119">
        <v>30.51</v>
      </c>
      <c r="E4565" s="1120">
        <v>10.89</v>
      </c>
      <c r="F4565" s="1121">
        <f t="shared" si="1"/>
        <v>19.63</v>
      </c>
      <c r="G4565" s="1120">
        <v>19.63</v>
      </c>
      <c r="H4565" s="1127">
        <v>0.0</v>
      </c>
      <c r="I4565" s="1127">
        <v>0.0</v>
      </c>
      <c r="J4565" s="1127">
        <v>0.0</v>
      </c>
      <c r="K4565" s="1124"/>
    </row>
    <row r="4566" ht="15.75" customHeight="1">
      <c r="A4566" s="1119">
        <v>96752.0</v>
      </c>
      <c r="B4566" s="1125" t="s">
        <v>14845</v>
      </c>
      <c r="C4566" s="1126" t="s">
        <v>1788</v>
      </c>
      <c r="D4566" s="1119">
        <v>40.48</v>
      </c>
      <c r="E4566" s="1120">
        <v>10.89</v>
      </c>
      <c r="F4566" s="1121">
        <f t="shared" si="1"/>
        <v>29.6</v>
      </c>
      <c r="G4566" s="1120">
        <v>29.6</v>
      </c>
      <c r="H4566" s="1127">
        <v>0.0</v>
      </c>
      <c r="I4566" s="1127">
        <v>0.0</v>
      </c>
      <c r="J4566" s="1127">
        <v>0.0</v>
      </c>
      <c r="K4566" s="1124"/>
    </row>
    <row r="4567" ht="15.75" customHeight="1">
      <c r="A4567" s="1119">
        <v>96753.0</v>
      </c>
      <c r="B4567" s="1125" t="s">
        <v>14846</v>
      </c>
      <c r="C4567" s="1126" t="s">
        <v>1788</v>
      </c>
      <c r="D4567" s="1119">
        <v>99.35</v>
      </c>
      <c r="E4567" s="1120">
        <v>18.01</v>
      </c>
      <c r="F4567" s="1121">
        <f t="shared" si="1"/>
        <v>81.33</v>
      </c>
      <c r="G4567" s="1120">
        <v>81.33</v>
      </c>
      <c r="H4567" s="1127">
        <v>0.0</v>
      </c>
      <c r="I4567" s="1127">
        <v>0.0</v>
      </c>
      <c r="J4567" s="1127">
        <v>0.0</v>
      </c>
      <c r="K4567" s="1124"/>
    </row>
    <row r="4568" ht="15.75" customHeight="1">
      <c r="A4568" s="1119">
        <v>96754.0</v>
      </c>
      <c r="B4568" s="1125" t="s">
        <v>14847</v>
      </c>
      <c r="C4568" s="1126" t="s">
        <v>1788</v>
      </c>
      <c r="D4568" s="1119">
        <v>119.76</v>
      </c>
      <c r="E4568" s="1120">
        <v>18.01</v>
      </c>
      <c r="F4568" s="1121">
        <f t="shared" si="1"/>
        <v>101.74</v>
      </c>
      <c r="G4568" s="1120">
        <v>101.74</v>
      </c>
      <c r="H4568" s="1127">
        <v>0.0</v>
      </c>
      <c r="I4568" s="1127">
        <v>0.0</v>
      </c>
      <c r="J4568" s="1127">
        <v>0.0</v>
      </c>
      <c r="K4568" s="1124"/>
    </row>
    <row r="4569" ht="15.75" customHeight="1">
      <c r="A4569" s="1119">
        <v>96755.0</v>
      </c>
      <c r="B4569" s="1125" t="s">
        <v>14848</v>
      </c>
      <c r="C4569" s="1126" t="s">
        <v>1788</v>
      </c>
      <c r="D4569" s="1119">
        <v>373.62</v>
      </c>
      <c r="E4569" s="1120">
        <v>28.26</v>
      </c>
      <c r="F4569" s="1121">
        <f t="shared" si="1"/>
        <v>345.36</v>
      </c>
      <c r="G4569" s="1120">
        <v>345.36</v>
      </c>
      <c r="H4569" s="1127">
        <v>0.0</v>
      </c>
      <c r="I4569" s="1127">
        <v>0.0</v>
      </c>
      <c r="J4569" s="1127">
        <v>0.0</v>
      </c>
      <c r="K4569" s="1124"/>
    </row>
    <row r="4570" ht="15.75" customHeight="1">
      <c r="A4570" s="1119">
        <v>96756.0</v>
      </c>
      <c r="B4570" s="1125" t="s">
        <v>14849</v>
      </c>
      <c r="C4570" s="1126" t="s">
        <v>1788</v>
      </c>
      <c r="D4570" s="1119">
        <v>23.38</v>
      </c>
      <c r="E4570" s="1120">
        <v>7.46</v>
      </c>
      <c r="F4570" s="1121">
        <f t="shared" si="1"/>
        <v>15.92</v>
      </c>
      <c r="G4570" s="1120">
        <v>15.92</v>
      </c>
      <c r="H4570" s="1127">
        <v>0.0</v>
      </c>
      <c r="I4570" s="1127">
        <v>0.0</v>
      </c>
      <c r="J4570" s="1127">
        <v>0.0</v>
      </c>
      <c r="K4570" s="1124"/>
    </row>
    <row r="4571" ht="15.75" customHeight="1">
      <c r="A4571" s="1119">
        <v>96757.0</v>
      </c>
      <c r="B4571" s="1125" t="s">
        <v>14850</v>
      </c>
      <c r="C4571" s="1126" t="s">
        <v>1788</v>
      </c>
      <c r="D4571" s="1119">
        <v>27.94</v>
      </c>
      <c r="E4571" s="1120">
        <v>7.45</v>
      </c>
      <c r="F4571" s="1121">
        <f t="shared" si="1"/>
        <v>20.48</v>
      </c>
      <c r="G4571" s="1120">
        <v>20.48</v>
      </c>
      <c r="H4571" s="1127">
        <v>0.0</v>
      </c>
      <c r="I4571" s="1127">
        <v>0.0</v>
      </c>
      <c r="J4571" s="1127">
        <v>0.0</v>
      </c>
      <c r="K4571" s="1124"/>
    </row>
    <row r="4572" ht="15.75" customHeight="1">
      <c r="A4572" s="1119">
        <v>96758.0</v>
      </c>
      <c r="B4572" s="1125" t="s">
        <v>14851</v>
      </c>
      <c r="C4572" s="1126" t="s">
        <v>1788</v>
      </c>
      <c r="D4572" s="1119">
        <v>21.3</v>
      </c>
      <c r="E4572" s="1120">
        <v>9.55</v>
      </c>
      <c r="F4572" s="1121">
        <f t="shared" si="1"/>
        <v>11.74</v>
      </c>
      <c r="G4572" s="1120">
        <v>11.74</v>
      </c>
      <c r="H4572" s="1127">
        <v>0.0</v>
      </c>
      <c r="I4572" s="1127">
        <v>0.0</v>
      </c>
      <c r="J4572" s="1127">
        <v>0.0</v>
      </c>
      <c r="K4572" s="1124"/>
    </row>
    <row r="4573" ht="15.75" customHeight="1">
      <c r="A4573" s="1119">
        <v>96759.0</v>
      </c>
      <c r="B4573" s="1125" t="s">
        <v>14852</v>
      </c>
      <c r="C4573" s="1126" t="s">
        <v>1788</v>
      </c>
      <c r="D4573" s="1119">
        <v>28.36</v>
      </c>
      <c r="E4573" s="1120">
        <v>9.55</v>
      </c>
      <c r="F4573" s="1121">
        <f t="shared" si="1"/>
        <v>18.81</v>
      </c>
      <c r="G4573" s="1120">
        <v>18.81</v>
      </c>
      <c r="H4573" s="1127">
        <v>0.0</v>
      </c>
      <c r="I4573" s="1127">
        <v>0.0</v>
      </c>
      <c r="J4573" s="1127">
        <v>0.0</v>
      </c>
      <c r="K4573" s="1124"/>
    </row>
    <row r="4574" ht="15.75" customHeight="1">
      <c r="A4574" s="1119">
        <v>96760.0</v>
      </c>
      <c r="B4574" s="1125" t="s">
        <v>14853</v>
      </c>
      <c r="C4574" s="1126" t="s">
        <v>1788</v>
      </c>
      <c r="D4574" s="1119">
        <v>49.5</v>
      </c>
      <c r="E4574" s="1120">
        <v>14.56</v>
      </c>
      <c r="F4574" s="1121">
        <f t="shared" si="1"/>
        <v>34.95</v>
      </c>
      <c r="G4574" s="1120">
        <v>34.95</v>
      </c>
      <c r="H4574" s="1127">
        <v>0.0</v>
      </c>
      <c r="I4574" s="1127">
        <v>0.0</v>
      </c>
      <c r="J4574" s="1127">
        <v>0.0</v>
      </c>
      <c r="K4574" s="1124"/>
    </row>
    <row r="4575" ht="15.75" customHeight="1">
      <c r="A4575" s="1119">
        <v>96761.0</v>
      </c>
      <c r="B4575" s="1125" t="s">
        <v>14854</v>
      </c>
      <c r="C4575" s="1126" t="s">
        <v>1788</v>
      </c>
      <c r="D4575" s="1119">
        <v>66.74</v>
      </c>
      <c r="E4575" s="1120">
        <v>14.55</v>
      </c>
      <c r="F4575" s="1121">
        <f t="shared" si="1"/>
        <v>52.2</v>
      </c>
      <c r="G4575" s="1120">
        <v>52.2</v>
      </c>
      <c r="H4575" s="1127">
        <v>0.0</v>
      </c>
      <c r="I4575" s="1127">
        <v>0.0</v>
      </c>
      <c r="J4575" s="1127">
        <v>0.0</v>
      </c>
      <c r="K4575" s="1124"/>
    </row>
    <row r="4576" ht="15.75" customHeight="1">
      <c r="A4576" s="1119">
        <v>96762.0</v>
      </c>
      <c r="B4576" s="1125" t="s">
        <v>14855</v>
      </c>
      <c r="C4576" s="1126" t="s">
        <v>1788</v>
      </c>
      <c r="D4576" s="1119">
        <v>133.62</v>
      </c>
      <c r="E4576" s="1120">
        <v>23.99</v>
      </c>
      <c r="F4576" s="1121">
        <f t="shared" si="1"/>
        <v>109.63</v>
      </c>
      <c r="G4576" s="1120">
        <v>109.63</v>
      </c>
      <c r="H4576" s="1127">
        <v>0.0</v>
      </c>
      <c r="I4576" s="1127">
        <v>0.0</v>
      </c>
      <c r="J4576" s="1127">
        <v>0.0</v>
      </c>
      <c r="K4576" s="1124"/>
    </row>
    <row r="4577" ht="15.75" customHeight="1">
      <c r="A4577" s="1119">
        <v>96763.0</v>
      </c>
      <c r="B4577" s="1125" t="s">
        <v>14856</v>
      </c>
      <c r="C4577" s="1126" t="s">
        <v>1788</v>
      </c>
      <c r="D4577" s="1119">
        <v>168.38</v>
      </c>
      <c r="E4577" s="1120">
        <v>23.99</v>
      </c>
      <c r="F4577" s="1121">
        <f t="shared" si="1"/>
        <v>144.39</v>
      </c>
      <c r="G4577" s="1120">
        <v>144.39</v>
      </c>
      <c r="H4577" s="1127">
        <v>0.0</v>
      </c>
      <c r="I4577" s="1127">
        <v>0.0</v>
      </c>
      <c r="J4577" s="1127">
        <v>0.0</v>
      </c>
      <c r="K4577" s="1124"/>
    </row>
    <row r="4578" ht="15.75" customHeight="1">
      <c r="A4578" s="1119">
        <v>96764.0</v>
      </c>
      <c r="B4578" s="1125" t="s">
        <v>14857</v>
      </c>
      <c r="C4578" s="1126" t="s">
        <v>1788</v>
      </c>
      <c r="D4578" s="1119">
        <v>340.59</v>
      </c>
      <c r="E4578" s="1120">
        <v>37.68</v>
      </c>
      <c r="F4578" s="1121">
        <f t="shared" si="1"/>
        <v>302.92</v>
      </c>
      <c r="G4578" s="1120">
        <v>302.92</v>
      </c>
      <c r="H4578" s="1127">
        <v>0.0</v>
      </c>
      <c r="I4578" s="1127">
        <v>0.0</v>
      </c>
      <c r="J4578" s="1127">
        <v>0.0</v>
      </c>
      <c r="K4578" s="1124"/>
    </row>
    <row r="4579" ht="15.75" customHeight="1">
      <c r="A4579" s="1119">
        <v>96802.0</v>
      </c>
      <c r="B4579" s="1125" t="s">
        <v>14858</v>
      </c>
      <c r="C4579" s="1126" t="s">
        <v>1788</v>
      </c>
      <c r="D4579" s="1119">
        <v>355.88</v>
      </c>
      <c r="E4579" s="1120">
        <v>17.01</v>
      </c>
      <c r="F4579" s="1121">
        <f t="shared" si="1"/>
        <v>338.87</v>
      </c>
      <c r="G4579" s="1120">
        <v>338.87</v>
      </c>
      <c r="H4579" s="1127">
        <v>0.0</v>
      </c>
      <c r="I4579" s="1127">
        <v>0.0</v>
      </c>
      <c r="J4579" s="1127">
        <v>0.0</v>
      </c>
      <c r="K4579" s="1124"/>
    </row>
    <row r="4580" ht="15.75" customHeight="1">
      <c r="A4580" s="1119">
        <v>96803.0</v>
      </c>
      <c r="B4580" s="1125" t="s">
        <v>14859</v>
      </c>
      <c r="C4580" s="1126" t="s">
        <v>1788</v>
      </c>
      <c r="D4580" s="1119">
        <v>68.14</v>
      </c>
      <c r="E4580" s="1120">
        <v>14.09</v>
      </c>
      <c r="F4580" s="1121">
        <f t="shared" si="1"/>
        <v>54.05</v>
      </c>
      <c r="G4580" s="1120">
        <v>54.05</v>
      </c>
      <c r="H4580" s="1127">
        <v>0.0</v>
      </c>
      <c r="I4580" s="1127">
        <v>0.0</v>
      </c>
      <c r="J4580" s="1127">
        <v>0.0</v>
      </c>
      <c r="K4580" s="1124"/>
    </row>
    <row r="4581" ht="15.75" customHeight="1">
      <c r="A4581" s="1119">
        <v>96804.0</v>
      </c>
      <c r="B4581" s="1125" t="s">
        <v>14860</v>
      </c>
      <c r="C4581" s="1126" t="s">
        <v>1788</v>
      </c>
      <c r="D4581" s="1119">
        <v>112.93</v>
      </c>
      <c r="E4581" s="1120">
        <v>33.35</v>
      </c>
      <c r="F4581" s="1121">
        <f t="shared" si="1"/>
        <v>79.58</v>
      </c>
      <c r="G4581" s="1120">
        <v>79.58</v>
      </c>
      <c r="H4581" s="1127">
        <v>0.0</v>
      </c>
      <c r="I4581" s="1127">
        <v>0.0</v>
      </c>
      <c r="J4581" s="1127">
        <v>0.0</v>
      </c>
      <c r="K4581" s="1124"/>
    </row>
    <row r="4582" ht="15.75" customHeight="1">
      <c r="A4582" s="1119">
        <v>96805.0</v>
      </c>
      <c r="B4582" s="1125" t="s">
        <v>14861</v>
      </c>
      <c r="C4582" s="1126" t="s">
        <v>1788</v>
      </c>
      <c r="D4582" s="1119">
        <v>188.16</v>
      </c>
      <c r="E4582" s="1120">
        <v>22.79</v>
      </c>
      <c r="F4582" s="1121">
        <f t="shared" si="1"/>
        <v>165.37</v>
      </c>
      <c r="G4582" s="1120">
        <v>165.37</v>
      </c>
      <c r="H4582" s="1127">
        <v>0.0</v>
      </c>
      <c r="I4582" s="1127">
        <v>0.0</v>
      </c>
      <c r="J4582" s="1127">
        <v>0.0</v>
      </c>
      <c r="K4582" s="1124"/>
    </row>
    <row r="4583" ht="15.75" customHeight="1">
      <c r="A4583" s="1119">
        <v>96806.0</v>
      </c>
      <c r="B4583" s="1125" t="s">
        <v>14862</v>
      </c>
      <c r="C4583" s="1126" t="s">
        <v>1788</v>
      </c>
      <c r="D4583" s="1119">
        <v>75.78</v>
      </c>
      <c r="E4583" s="1120">
        <v>19.88</v>
      </c>
      <c r="F4583" s="1121">
        <f t="shared" si="1"/>
        <v>55.91</v>
      </c>
      <c r="G4583" s="1120">
        <v>55.91</v>
      </c>
      <c r="H4583" s="1127">
        <v>0.0</v>
      </c>
      <c r="I4583" s="1127">
        <v>0.0</v>
      </c>
      <c r="J4583" s="1127">
        <v>0.0</v>
      </c>
      <c r="K4583" s="1124"/>
    </row>
    <row r="4584" ht="15.75" customHeight="1">
      <c r="A4584" s="1119">
        <v>96807.0</v>
      </c>
      <c r="B4584" s="1125" t="s">
        <v>14863</v>
      </c>
      <c r="C4584" s="1126" t="s">
        <v>1788</v>
      </c>
      <c r="D4584" s="1119">
        <v>123.86</v>
      </c>
      <c r="E4584" s="1120">
        <v>39.12</v>
      </c>
      <c r="F4584" s="1121">
        <f t="shared" si="1"/>
        <v>84.74</v>
      </c>
      <c r="G4584" s="1120">
        <v>84.74</v>
      </c>
      <c r="H4584" s="1127">
        <v>0.0</v>
      </c>
      <c r="I4584" s="1127">
        <v>0.0</v>
      </c>
      <c r="J4584" s="1127">
        <v>0.0</v>
      </c>
      <c r="K4584" s="1124"/>
    </row>
    <row r="4585" ht="15.75" customHeight="1">
      <c r="A4585" s="1119">
        <v>96808.0</v>
      </c>
      <c r="B4585" s="1125" t="s">
        <v>14864</v>
      </c>
      <c r="C4585" s="1126" t="s">
        <v>1788</v>
      </c>
      <c r="D4585" s="1119">
        <v>16.58</v>
      </c>
      <c r="E4585" s="1120">
        <v>7.58</v>
      </c>
      <c r="F4585" s="1121">
        <f t="shared" si="1"/>
        <v>9.01</v>
      </c>
      <c r="G4585" s="1120">
        <v>9.01</v>
      </c>
      <c r="H4585" s="1127">
        <v>0.0</v>
      </c>
      <c r="I4585" s="1127">
        <v>0.0</v>
      </c>
      <c r="J4585" s="1127">
        <v>0.0</v>
      </c>
      <c r="K4585" s="1124"/>
    </row>
    <row r="4586" ht="15.75" customHeight="1">
      <c r="A4586" s="1119">
        <v>96809.0</v>
      </c>
      <c r="B4586" s="1125" t="s">
        <v>14865</v>
      </c>
      <c r="C4586" s="1126" t="s">
        <v>1788</v>
      </c>
      <c r="D4586" s="1119">
        <v>18.06</v>
      </c>
      <c r="E4586" s="1120">
        <v>7.58</v>
      </c>
      <c r="F4586" s="1121">
        <f t="shared" si="1"/>
        <v>10.49</v>
      </c>
      <c r="G4586" s="1120">
        <v>10.49</v>
      </c>
      <c r="H4586" s="1127">
        <v>0.0</v>
      </c>
      <c r="I4586" s="1127">
        <v>0.0</v>
      </c>
      <c r="J4586" s="1127">
        <v>0.0</v>
      </c>
      <c r="K4586" s="1124"/>
    </row>
    <row r="4587" ht="15.75" customHeight="1">
      <c r="A4587" s="1119">
        <v>96810.0</v>
      </c>
      <c r="B4587" s="1125" t="s">
        <v>14866</v>
      </c>
      <c r="C4587" s="1126" t="s">
        <v>1788</v>
      </c>
      <c r="D4587" s="1119">
        <v>19.69</v>
      </c>
      <c r="E4587" s="1120">
        <v>8.46</v>
      </c>
      <c r="F4587" s="1121">
        <f t="shared" si="1"/>
        <v>11.25</v>
      </c>
      <c r="G4587" s="1120">
        <v>11.25</v>
      </c>
      <c r="H4587" s="1127">
        <v>0.0</v>
      </c>
      <c r="I4587" s="1127">
        <v>0.0</v>
      </c>
      <c r="J4587" s="1127">
        <v>0.0</v>
      </c>
      <c r="K4587" s="1124"/>
    </row>
    <row r="4588" ht="15.75" customHeight="1">
      <c r="A4588" s="1119">
        <v>96811.0</v>
      </c>
      <c r="B4588" s="1125" t="s">
        <v>14867</v>
      </c>
      <c r="C4588" s="1126" t="s">
        <v>1788</v>
      </c>
      <c r="D4588" s="1119">
        <v>20.77</v>
      </c>
      <c r="E4588" s="1120">
        <v>8.97</v>
      </c>
      <c r="F4588" s="1121">
        <f t="shared" si="1"/>
        <v>11.81</v>
      </c>
      <c r="G4588" s="1120">
        <v>11.81</v>
      </c>
      <c r="H4588" s="1127">
        <v>0.0</v>
      </c>
      <c r="I4588" s="1127">
        <v>0.0</v>
      </c>
      <c r="J4588" s="1127">
        <v>0.0</v>
      </c>
      <c r="K4588" s="1124"/>
    </row>
    <row r="4589" ht="15.75" customHeight="1">
      <c r="A4589" s="1119">
        <v>96812.0</v>
      </c>
      <c r="B4589" s="1125" t="s">
        <v>14868</v>
      </c>
      <c r="C4589" s="1126" t="s">
        <v>1788</v>
      </c>
      <c r="D4589" s="1119">
        <v>18.89</v>
      </c>
      <c r="E4589" s="1120">
        <v>8.1</v>
      </c>
      <c r="F4589" s="1121">
        <f t="shared" si="1"/>
        <v>10.8</v>
      </c>
      <c r="G4589" s="1120">
        <v>10.8</v>
      </c>
      <c r="H4589" s="1127">
        <v>0.0</v>
      </c>
      <c r="I4589" s="1127">
        <v>0.0</v>
      </c>
      <c r="J4589" s="1127">
        <v>0.0</v>
      </c>
      <c r="K4589" s="1124"/>
    </row>
    <row r="4590" ht="15.75" customHeight="1">
      <c r="A4590" s="1119">
        <v>96813.0</v>
      </c>
      <c r="B4590" s="1125" t="s">
        <v>14869</v>
      </c>
      <c r="C4590" s="1126" t="s">
        <v>1788</v>
      </c>
      <c r="D4590" s="1119">
        <v>21.46</v>
      </c>
      <c r="E4590" s="1120">
        <v>8.97</v>
      </c>
      <c r="F4590" s="1121">
        <f t="shared" si="1"/>
        <v>12.5</v>
      </c>
      <c r="G4590" s="1120">
        <v>12.5</v>
      </c>
      <c r="H4590" s="1127">
        <v>0.0</v>
      </c>
      <c r="I4590" s="1127">
        <v>0.0</v>
      </c>
      <c r="J4590" s="1127">
        <v>0.0</v>
      </c>
      <c r="K4590" s="1124"/>
    </row>
    <row r="4591" ht="15.75" customHeight="1">
      <c r="A4591" s="1119">
        <v>96814.0</v>
      </c>
      <c r="B4591" s="1125" t="s">
        <v>14870</v>
      </c>
      <c r="C4591" s="1126" t="s">
        <v>1788</v>
      </c>
      <c r="D4591" s="1119">
        <v>15.35</v>
      </c>
      <c r="E4591" s="1120">
        <v>6.17</v>
      </c>
      <c r="F4591" s="1121">
        <f t="shared" si="1"/>
        <v>9.17</v>
      </c>
      <c r="G4591" s="1120">
        <v>9.17</v>
      </c>
      <c r="H4591" s="1127">
        <v>0.0</v>
      </c>
      <c r="I4591" s="1127">
        <v>0.0</v>
      </c>
      <c r="J4591" s="1127">
        <v>0.0</v>
      </c>
      <c r="K4591" s="1124"/>
    </row>
    <row r="4592" ht="15.75" customHeight="1">
      <c r="A4592" s="1119">
        <v>96815.0</v>
      </c>
      <c r="B4592" s="1125" t="s">
        <v>14871</v>
      </c>
      <c r="C4592" s="1126" t="s">
        <v>1788</v>
      </c>
      <c r="D4592" s="1119">
        <v>31.28</v>
      </c>
      <c r="E4592" s="1120">
        <v>10.72</v>
      </c>
      <c r="F4592" s="1121">
        <f t="shared" si="1"/>
        <v>20.56</v>
      </c>
      <c r="G4592" s="1120">
        <v>20.56</v>
      </c>
      <c r="H4592" s="1127">
        <v>0.0</v>
      </c>
      <c r="I4592" s="1127">
        <v>0.0</v>
      </c>
      <c r="J4592" s="1127">
        <v>0.0</v>
      </c>
      <c r="K4592" s="1124"/>
    </row>
    <row r="4593" ht="15.75" customHeight="1">
      <c r="A4593" s="1119">
        <v>96816.0</v>
      </c>
      <c r="B4593" s="1125" t="s">
        <v>14872</v>
      </c>
      <c r="C4593" s="1126" t="s">
        <v>1788</v>
      </c>
      <c r="D4593" s="1119">
        <v>24.09</v>
      </c>
      <c r="E4593" s="1120">
        <v>9.62</v>
      </c>
      <c r="F4593" s="1121">
        <f t="shared" si="1"/>
        <v>14.46</v>
      </c>
      <c r="G4593" s="1120">
        <v>14.46</v>
      </c>
      <c r="H4593" s="1127">
        <v>0.0</v>
      </c>
      <c r="I4593" s="1127">
        <v>0.0</v>
      </c>
      <c r="J4593" s="1127">
        <v>0.0</v>
      </c>
      <c r="K4593" s="1124"/>
    </row>
    <row r="4594" ht="15.75" customHeight="1">
      <c r="A4594" s="1119">
        <v>96817.0</v>
      </c>
      <c r="B4594" s="1125" t="s">
        <v>14873</v>
      </c>
      <c r="C4594" s="1126" t="s">
        <v>1788</v>
      </c>
      <c r="D4594" s="1119">
        <v>31.5</v>
      </c>
      <c r="E4594" s="1120">
        <v>10.72</v>
      </c>
      <c r="F4594" s="1121">
        <f t="shared" si="1"/>
        <v>20.78</v>
      </c>
      <c r="G4594" s="1120">
        <v>20.78</v>
      </c>
      <c r="H4594" s="1127">
        <v>0.0</v>
      </c>
      <c r="I4594" s="1127">
        <v>0.0</v>
      </c>
      <c r="J4594" s="1127">
        <v>0.0</v>
      </c>
      <c r="K4594" s="1124"/>
    </row>
    <row r="4595" ht="15.75" customHeight="1">
      <c r="A4595" s="1119">
        <v>96818.0</v>
      </c>
      <c r="B4595" s="1125" t="s">
        <v>14874</v>
      </c>
      <c r="C4595" s="1126" t="s">
        <v>1788</v>
      </c>
      <c r="D4595" s="1119">
        <v>20.19</v>
      </c>
      <c r="E4595" s="1120">
        <v>6.84</v>
      </c>
      <c r="F4595" s="1121">
        <f t="shared" si="1"/>
        <v>13.36</v>
      </c>
      <c r="G4595" s="1120">
        <v>13.36</v>
      </c>
      <c r="H4595" s="1127">
        <v>0.0</v>
      </c>
      <c r="I4595" s="1127">
        <v>0.0</v>
      </c>
      <c r="J4595" s="1127">
        <v>0.0</v>
      </c>
      <c r="K4595" s="1124"/>
    </row>
    <row r="4596" ht="15.75" customHeight="1">
      <c r="A4596" s="1119">
        <v>96819.0</v>
      </c>
      <c r="B4596" s="1125" t="s">
        <v>14875</v>
      </c>
      <c r="C4596" s="1126" t="s">
        <v>1788</v>
      </c>
      <c r="D4596" s="1119">
        <v>21.66</v>
      </c>
      <c r="E4596" s="1120">
        <v>7.35</v>
      </c>
      <c r="F4596" s="1121">
        <f t="shared" si="1"/>
        <v>14.32</v>
      </c>
      <c r="G4596" s="1120">
        <v>14.32</v>
      </c>
      <c r="H4596" s="1127">
        <v>0.0</v>
      </c>
      <c r="I4596" s="1127">
        <v>0.0</v>
      </c>
      <c r="J4596" s="1127">
        <v>0.0</v>
      </c>
      <c r="K4596" s="1124"/>
    </row>
    <row r="4597" ht="15.75" customHeight="1">
      <c r="A4597" s="1119">
        <v>96820.0</v>
      </c>
      <c r="B4597" s="1125" t="s">
        <v>14876</v>
      </c>
      <c r="C4597" s="1126" t="s">
        <v>1788</v>
      </c>
      <c r="D4597" s="1119">
        <v>37.7</v>
      </c>
      <c r="E4597" s="1120">
        <v>13.18</v>
      </c>
      <c r="F4597" s="1121">
        <f t="shared" si="1"/>
        <v>24.52</v>
      </c>
      <c r="G4597" s="1120">
        <v>24.52</v>
      </c>
      <c r="H4597" s="1127">
        <v>0.0</v>
      </c>
      <c r="I4597" s="1127">
        <v>0.0</v>
      </c>
      <c r="J4597" s="1127">
        <v>0.0</v>
      </c>
      <c r="K4597" s="1124"/>
    </row>
    <row r="4598" ht="15.75" customHeight="1">
      <c r="A4598" s="1119">
        <v>96821.0</v>
      </c>
      <c r="B4598" s="1125" t="s">
        <v>14877</v>
      </c>
      <c r="C4598" s="1126" t="s">
        <v>1788</v>
      </c>
      <c r="D4598" s="1119">
        <v>34.98</v>
      </c>
      <c r="E4598" s="1120">
        <v>11.65</v>
      </c>
      <c r="F4598" s="1121">
        <f t="shared" si="1"/>
        <v>23.34</v>
      </c>
      <c r="G4598" s="1120">
        <v>23.34</v>
      </c>
      <c r="H4598" s="1127">
        <v>0.0</v>
      </c>
      <c r="I4598" s="1127">
        <v>0.0</v>
      </c>
      <c r="J4598" s="1127">
        <v>0.0</v>
      </c>
      <c r="K4598" s="1124"/>
    </row>
    <row r="4599" ht="15.75" customHeight="1">
      <c r="A4599" s="1119">
        <v>96822.0</v>
      </c>
      <c r="B4599" s="1125" t="s">
        <v>14878</v>
      </c>
      <c r="C4599" s="1126" t="s">
        <v>1788</v>
      </c>
      <c r="D4599" s="1119">
        <v>28.21</v>
      </c>
      <c r="E4599" s="1120">
        <v>8.92</v>
      </c>
      <c r="F4599" s="1121">
        <f t="shared" si="1"/>
        <v>19.3</v>
      </c>
      <c r="G4599" s="1120">
        <v>19.3</v>
      </c>
      <c r="H4599" s="1127">
        <v>0.0</v>
      </c>
      <c r="I4599" s="1127">
        <v>0.0</v>
      </c>
      <c r="J4599" s="1127">
        <v>0.0</v>
      </c>
      <c r="K4599" s="1124"/>
    </row>
    <row r="4600" ht="15.75" customHeight="1">
      <c r="A4600" s="1119">
        <v>96823.0</v>
      </c>
      <c r="B4600" s="1125" t="s">
        <v>14879</v>
      </c>
      <c r="C4600" s="1126" t="s">
        <v>1788</v>
      </c>
      <c r="D4600" s="1119">
        <v>10.67</v>
      </c>
      <c r="E4600" s="1120">
        <v>3.94</v>
      </c>
      <c r="F4600" s="1121">
        <f t="shared" si="1"/>
        <v>6.72</v>
      </c>
      <c r="G4600" s="1120">
        <v>6.72</v>
      </c>
      <c r="H4600" s="1127">
        <v>0.0</v>
      </c>
      <c r="I4600" s="1127">
        <v>0.0</v>
      </c>
      <c r="J4600" s="1127">
        <v>0.0</v>
      </c>
      <c r="K4600" s="1124"/>
    </row>
    <row r="4601" ht="15.75" customHeight="1">
      <c r="A4601" s="1119">
        <v>96824.0</v>
      </c>
      <c r="B4601" s="1125" t="s">
        <v>14880</v>
      </c>
      <c r="C4601" s="1126" t="s">
        <v>1788</v>
      </c>
      <c r="D4601" s="1119">
        <v>16.82</v>
      </c>
      <c r="E4601" s="1120">
        <v>6.72</v>
      </c>
      <c r="F4601" s="1121">
        <f t="shared" si="1"/>
        <v>10.11</v>
      </c>
      <c r="G4601" s="1120">
        <v>10.11</v>
      </c>
      <c r="H4601" s="1127">
        <v>0.0</v>
      </c>
      <c r="I4601" s="1127">
        <v>0.0</v>
      </c>
      <c r="J4601" s="1127">
        <v>0.0</v>
      </c>
      <c r="K4601" s="1124"/>
    </row>
    <row r="4602" ht="15.75" customHeight="1">
      <c r="A4602" s="1119">
        <v>96826.0</v>
      </c>
      <c r="B4602" s="1125" t="s">
        <v>14881</v>
      </c>
      <c r="C4602" s="1126" t="s">
        <v>1788</v>
      </c>
      <c r="D4602" s="1119">
        <v>12.41</v>
      </c>
      <c r="E4602" s="1120">
        <v>4.69</v>
      </c>
      <c r="F4602" s="1121">
        <f t="shared" si="1"/>
        <v>7.73</v>
      </c>
      <c r="G4602" s="1120">
        <v>7.73</v>
      </c>
      <c r="H4602" s="1127">
        <v>0.0</v>
      </c>
      <c r="I4602" s="1127">
        <v>0.0</v>
      </c>
      <c r="J4602" s="1127">
        <v>0.0</v>
      </c>
      <c r="K4602" s="1124"/>
    </row>
    <row r="4603" ht="15.75" customHeight="1">
      <c r="A4603" s="1119">
        <v>96827.0</v>
      </c>
      <c r="B4603" s="1125" t="s">
        <v>14882</v>
      </c>
      <c r="C4603" s="1126" t="s">
        <v>1788</v>
      </c>
      <c r="D4603" s="1119">
        <v>18.25</v>
      </c>
      <c r="E4603" s="1120">
        <v>7.08</v>
      </c>
      <c r="F4603" s="1121">
        <f t="shared" si="1"/>
        <v>11.18</v>
      </c>
      <c r="G4603" s="1120">
        <v>11.18</v>
      </c>
      <c r="H4603" s="1127">
        <v>0.0</v>
      </c>
      <c r="I4603" s="1127">
        <v>0.0</v>
      </c>
      <c r="J4603" s="1127">
        <v>0.0</v>
      </c>
      <c r="K4603" s="1124"/>
    </row>
    <row r="4604" ht="15.75" customHeight="1">
      <c r="A4604" s="1119">
        <v>96828.0</v>
      </c>
      <c r="B4604" s="1125" t="s">
        <v>14883</v>
      </c>
      <c r="C4604" s="1126" t="s">
        <v>1788</v>
      </c>
      <c r="D4604" s="1119">
        <v>22.28</v>
      </c>
      <c r="E4604" s="1120">
        <v>7.96</v>
      </c>
      <c r="F4604" s="1121">
        <f t="shared" si="1"/>
        <v>14.32</v>
      </c>
      <c r="G4604" s="1120">
        <v>14.32</v>
      </c>
      <c r="H4604" s="1127">
        <v>0.0</v>
      </c>
      <c r="I4604" s="1127">
        <v>0.0</v>
      </c>
      <c r="J4604" s="1127">
        <v>0.0</v>
      </c>
      <c r="K4604" s="1124"/>
    </row>
    <row r="4605" ht="15.75" customHeight="1">
      <c r="A4605" s="1119">
        <v>96829.0</v>
      </c>
      <c r="B4605" s="1125" t="s">
        <v>14884</v>
      </c>
      <c r="C4605" s="1126" t="s">
        <v>1788</v>
      </c>
      <c r="D4605" s="1119">
        <v>16.72</v>
      </c>
      <c r="E4605" s="1120">
        <v>4.32</v>
      </c>
      <c r="F4605" s="1121">
        <f t="shared" si="1"/>
        <v>12.41</v>
      </c>
      <c r="G4605" s="1120">
        <v>12.41</v>
      </c>
      <c r="H4605" s="1127">
        <v>0.0</v>
      </c>
      <c r="I4605" s="1127">
        <v>0.0</v>
      </c>
      <c r="J4605" s="1127">
        <v>0.0</v>
      </c>
      <c r="K4605" s="1124"/>
    </row>
    <row r="4606" ht="15.75" customHeight="1">
      <c r="A4606" s="1119">
        <v>96830.0</v>
      </c>
      <c r="B4606" s="1125" t="s">
        <v>14885</v>
      </c>
      <c r="C4606" s="1126" t="s">
        <v>1788</v>
      </c>
      <c r="D4606" s="1119">
        <v>19.01</v>
      </c>
      <c r="E4606" s="1120">
        <v>5.58</v>
      </c>
      <c r="F4606" s="1121">
        <f t="shared" si="1"/>
        <v>13.43</v>
      </c>
      <c r="G4606" s="1120">
        <v>13.43</v>
      </c>
      <c r="H4606" s="1127">
        <v>0.0</v>
      </c>
      <c r="I4606" s="1127">
        <v>0.0</v>
      </c>
      <c r="J4606" s="1127">
        <v>0.0</v>
      </c>
      <c r="K4606" s="1124"/>
    </row>
    <row r="4607" ht="15.75" customHeight="1">
      <c r="A4607" s="1119">
        <v>96832.0</v>
      </c>
      <c r="B4607" s="1125" t="s">
        <v>14886</v>
      </c>
      <c r="C4607" s="1126" t="s">
        <v>1788</v>
      </c>
      <c r="D4607" s="1119">
        <v>27.54</v>
      </c>
      <c r="E4607" s="1120">
        <v>8.43</v>
      </c>
      <c r="F4607" s="1121">
        <f t="shared" si="1"/>
        <v>19.12</v>
      </c>
      <c r="G4607" s="1120">
        <v>19.12</v>
      </c>
      <c r="H4607" s="1127">
        <v>0.0</v>
      </c>
      <c r="I4607" s="1127">
        <v>0.0</v>
      </c>
      <c r="J4607" s="1127">
        <v>0.0</v>
      </c>
      <c r="K4607" s="1124"/>
    </row>
    <row r="4608" ht="15.75" customHeight="1">
      <c r="A4608" s="1119">
        <v>96833.0</v>
      </c>
      <c r="B4608" s="1125" t="s">
        <v>14887</v>
      </c>
      <c r="C4608" s="1126" t="s">
        <v>1788</v>
      </c>
      <c r="D4608" s="1119">
        <v>21.1</v>
      </c>
      <c r="E4608" s="1120">
        <v>4.76</v>
      </c>
      <c r="F4608" s="1121">
        <f t="shared" si="1"/>
        <v>16.33</v>
      </c>
      <c r="G4608" s="1120">
        <v>16.33</v>
      </c>
      <c r="H4608" s="1127">
        <v>0.0</v>
      </c>
      <c r="I4608" s="1127">
        <v>0.0</v>
      </c>
      <c r="J4608" s="1127">
        <v>0.0</v>
      </c>
      <c r="K4608" s="1124"/>
    </row>
    <row r="4609" ht="15.75" customHeight="1">
      <c r="A4609" s="1119">
        <v>96834.0</v>
      </c>
      <c r="B4609" s="1125" t="s">
        <v>14888</v>
      </c>
      <c r="C4609" s="1126" t="s">
        <v>1788</v>
      </c>
      <c r="D4609" s="1119">
        <v>25.55</v>
      </c>
      <c r="E4609" s="1120">
        <v>6.87</v>
      </c>
      <c r="F4609" s="1121">
        <f t="shared" si="1"/>
        <v>18.68</v>
      </c>
      <c r="G4609" s="1120">
        <v>18.68</v>
      </c>
      <c r="H4609" s="1127">
        <v>0.0</v>
      </c>
      <c r="I4609" s="1127">
        <v>0.0</v>
      </c>
      <c r="J4609" s="1127">
        <v>0.0</v>
      </c>
      <c r="K4609" s="1124"/>
    </row>
    <row r="4610" ht="15.75" customHeight="1">
      <c r="A4610" s="1119">
        <v>96836.0</v>
      </c>
      <c r="B4610" s="1125" t="s">
        <v>14889</v>
      </c>
      <c r="C4610" s="1126" t="s">
        <v>1788</v>
      </c>
      <c r="D4610" s="1119">
        <v>30.02</v>
      </c>
      <c r="E4610" s="1120">
        <v>6.22</v>
      </c>
      <c r="F4610" s="1121">
        <f t="shared" si="1"/>
        <v>23.79</v>
      </c>
      <c r="G4610" s="1120">
        <v>23.79</v>
      </c>
      <c r="H4610" s="1127">
        <v>0.0</v>
      </c>
      <c r="I4610" s="1127">
        <v>0.0</v>
      </c>
      <c r="J4610" s="1127">
        <v>0.0</v>
      </c>
      <c r="K4610" s="1124"/>
    </row>
    <row r="4611" ht="15.75" customHeight="1">
      <c r="A4611" s="1119">
        <v>96837.0</v>
      </c>
      <c r="B4611" s="1125" t="s">
        <v>14890</v>
      </c>
      <c r="C4611" s="1126" t="s">
        <v>1788</v>
      </c>
      <c r="D4611" s="1119">
        <v>20.13</v>
      </c>
      <c r="E4611" s="1120">
        <v>8.48</v>
      </c>
      <c r="F4611" s="1121">
        <f t="shared" si="1"/>
        <v>11.66</v>
      </c>
      <c r="G4611" s="1120">
        <v>11.66</v>
      </c>
      <c r="H4611" s="1127">
        <v>0.0</v>
      </c>
      <c r="I4611" s="1127">
        <v>0.0</v>
      </c>
      <c r="J4611" s="1127">
        <v>0.0</v>
      </c>
      <c r="K4611" s="1124"/>
    </row>
    <row r="4612" ht="15.75" customHeight="1">
      <c r="A4612" s="1119">
        <v>96838.0</v>
      </c>
      <c r="B4612" s="1125" t="s">
        <v>14891</v>
      </c>
      <c r="C4612" s="1126" t="s">
        <v>1788</v>
      </c>
      <c r="D4612" s="1119">
        <v>24.6</v>
      </c>
      <c r="E4612" s="1120">
        <v>11.36</v>
      </c>
      <c r="F4612" s="1121">
        <f t="shared" si="1"/>
        <v>13.24</v>
      </c>
      <c r="G4612" s="1120">
        <v>13.24</v>
      </c>
      <c r="H4612" s="1127">
        <v>0.0</v>
      </c>
      <c r="I4612" s="1127">
        <v>0.0</v>
      </c>
      <c r="J4612" s="1127">
        <v>0.0</v>
      </c>
      <c r="K4612" s="1124"/>
    </row>
    <row r="4613" ht="15.75" customHeight="1">
      <c r="A4613" s="1119">
        <v>96839.0</v>
      </c>
      <c r="B4613" s="1125" t="s">
        <v>14892</v>
      </c>
      <c r="C4613" s="1126" t="s">
        <v>1788</v>
      </c>
      <c r="D4613" s="1119">
        <v>25.31</v>
      </c>
      <c r="E4613" s="1120">
        <v>11.36</v>
      </c>
      <c r="F4613" s="1121">
        <f t="shared" si="1"/>
        <v>13.95</v>
      </c>
      <c r="G4613" s="1120">
        <v>13.95</v>
      </c>
      <c r="H4613" s="1127">
        <v>0.0</v>
      </c>
      <c r="I4613" s="1127">
        <v>0.0</v>
      </c>
      <c r="J4613" s="1127">
        <v>0.0</v>
      </c>
      <c r="K4613" s="1124"/>
    </row>
    <row r="4614" ht="15.75" customHeight="1">
      <c r="A4614" s="1119">
        <v>96840.0</v>
      </c>
      <c r="B4614" s="1125" t="s">
        <v>14893</v>
      </c>
      <c r="C4614" s="1126" t="s">
        <v>1788</v>
      </c>
      <c r="D4614" s="1119">
        <v>24.25</v>
      </c>
      <c r="E4614" s="1120">
        <v>10.06</v>
      </c>
      <c r="F4614" s="1121">
        <f t="shared" si="1"/>
        <v>14.19</v>
      </c>
      <c r="G4614" s="1120">
        <v>14.19</v>
      </c>
      <c r="H4614" s="1127">
        <v>0.0</v>
      </c>
      <c r="I4614" s="1127">
        <v>0.0</v>
      </c>
      <c r="J4614" s="1127">
        <v>0.0</v>
      </c>
      <c r="K4614" s="1124"/>
    </row>
    <row r="4615" ht="15.75" customHeight="1">
      <c r="A4615" s="1119">
        <v>96841.0</v>
      </c>
      <c r="B4615" s="1125" t="s">
        <v>14894</v>
      </c>
      <c r="C4615" s="1126" t="s">
        <v>1788</v>
      </c>
      <c r="D4615" s="1119">
        <v>27.16</v>
      </c>
      <c r="E4615" s="1120">
        <v>12.14</v>
      </c>
      <c r="F4615" s="1121">
        <f t="shared" si="1"/>
        <v>15.03</v>
      </c>
      <c r="G4615" s="1120">
        <v>15.03</v>
      </c>
      <c r="H4615" s="1127">
        <v>0.0</v>
      </c>
      <c r="I4615" s="1127">
        <v>0.0</v>
      </c>
      <c r="J4615" s="1127">
        <v>0.0</v>
      </c>
      <c r="K4615" s="1124"/>
    </row>
    <row r="4616" ht="15.75" customHeight="1">
      <c r="A4616" s="1119">
        <v>96842.0</v>
      </c>
      <c r="B4616" s="1125" t="s">
        <v>14895</v>
      </c>
      <c r="C4616" s="1126" t="s">
        <v>1788</v>
      </c>
      <c r="D4616" s="1119">
        <v>30.98</v>
      </c>
      <c r="E4616" s="1120">
        <v>13.47</v>
      </c>
      <c r="F4616" s="1121">
        <f t="shared" si="1"/>
        <v>17.51</v>
      </c>
      <c r="G4616" s="1120">
        <v>17.51</v>
      </c>
      <c r="H4616" s="1127">
        <v>0.0</v>
      </c>
      <c r="I4616" s="1127">
        <v>0.0</v>
      </c>
      <c r="J4616" s="1127">
        <v>0.0</v>
      </c>
      <c r="K4616" s="1124"/>
    </row>
    <row r="4617" ht="15.75" customHeight="1">
      <c r="A4617" s="1119">
        <v>96843.0</v>
      </c>
      <c r="B4617" s="1125" t="s">
        <v>14896</v>
      </c>
      <c r="C4617" s="1126" t="s">
        <v>1788</v>
      </c>
      <c r="D4617" s="1119">
        <v>28.13</v>
      </c>
      <c r="E4617" s="1120">
        <v>12.14</v>
      </c>
      <c r="F4617" s="1121">
        <f t="shared" si="1"/>
        <v>16</v>
      </c>
      <c r="G4617" s="1120">
        <v>16.0</v>
      </c>
      <c r="H4617" s="1127">
        <v>0.0</v>
      </c>
      <c r="I4617" s="1127">
        <v>0.0</v>
      </c>
      <c r="J4617" s="1127">
        <v>0.0</v>
      </c>
      <c r="K4617" s="1124"/>
    </row>
    <row r="4618" ht="15.75" customHeight="1">
      <c r="A4618" s="1119">
        <v>96844.0</v>
      </c>
      <c r="B4618" s="1125" t="s">
        <v>14897</v>
      </c>
      <c r="C4618" s="1126" t="s">
        <v>1788</v>
      </c>
      <c r="D4618" s="1119">
        <v>32.24</v>
      </c>
      <c r="E4618" s="1120">
        <v>13.46</v>
      </c>
      <c r="F4618" s="1121">
        <f t="shared" si="1"/>
        <v>18.77</v>
      </c>
      <c r="G4618" s="1120">
        <v>18.77</v>
      </c>
      <c r="H4618" s="1127">
        <v>0.0</v>
      </c>
      <c r="I4618" s="1127">
        <v>0.0</v>
      </c>
      <c r="J4618" s="1127">
        <v>0.0</v>
      </c>
      <c r="K4618" s="1124"/>
    </row>
    <row r="4619" ht="15.75" customHeight="1">
      <c r="A4619" s="1119">
        <v>96845.0</v>
      </c>
      <c r="B4619" s="1125" t="s">
        <v>14898</v>
      </c>
      <c r="C4619" s="1126" t="s">
        <v>1788</v>
      </c>
      <c r="D4619" s="1119">
        <v>37.01</v>
      </c>
      <c r="E4619" s="1120">
        <v>12.02</v>
      </c>
      <c r="F4619" s="1121">
        <f t="shared" si="1"/>
        <v>24.99</v>
      </c>
      <c r="G4619" s="1120">
        <v>24.99</v>
      </c>
      <c r="H4619" s="1127">
        <v>0.0</v>
      </c>
      <c r="I4619" s="1127">
        <v>0.0</v>
      </c>
      <c r="J4619" s="1127">
        <v>0.0</v>
      </c>
      <c r="K4619" s="1124"/>
    </row>
    <row r="4620" ht="15.75" customHeight="1">
      <c r="A4620" s="1119">
        <v>96846.0</v>
      </c>
      <c r="B4620" s="1125" t="s">
        <v>14899</v>
      </c>
      <c r="C4620" s="1126" t="s">
        <v>1788</v>
      </c>
      <c r="D4620" s="1119">
        <v>35.73</v>
      </c>
      <c r="E4620" s="1120">
        <v>14.43</v>
      </c>
      <c r="F4620" s="1121">
        <f t="shared" si="1"/>
        <v>21.3</v>
      </c>
      <c r="G4620" s="1120">
        <v>21.3</v>
      </c>
      <c r="H4620" s="1127">
        <v>0.0</v>
      </c>
      <c r="I4620" s="1127">
        <v>0.0</v>
      </c>
      <c r="J4620" s="1127">
        <v>0.0</v>
      </c>
      <c r="K4620" s="1124"/>
    </row>
    <row r="4621" ht="15.75" customHeight="1">
      <c r="A4621" s="1119">
        <v>96847.0</v>
      </c>
      <c r="B4621" s="1125" t="s">
        <v>14900</v>
      </c>
      <c r="C4621" s="1126" t="s">
        <v>1788</v>
      </c>
      <c r="D4621" s="1119">
        <v>35.3</v>
      </c>
      <c r="E4621" s="1120">
        <v>14.43</v>
      </c>
      <c r="F4621" s="1121">
        <f t="shared" si="1"/>
        <v>20.87</v>
      </c>
      <c r="G4621" s="1120">
        <v>20.87</v>
      </c>
      <c r="H4621" s="1127">
        <v>0.0</v>
      </c>
      <c r="I4621" s="1127">
        <v>0.0</v>
      </c>
      <c r="J4621" s="1127">
        <v>0.0</v>
      </c>
      <c r="K4621" s="1124"/>
    </row>
    <row r="4622" ht="15.75" customHeight="1">
      <c r="A4622" s="1119">
        <v>96848.0</v>
      </c>
      <c r="B4622" s="1125" t="s">
        <v>14901</v>
      </c>
      <c r="C4622" s="1126" t="s">
        <v>1788</v>
      </c>
      <c r="D4622" s="1119">
        <v>48.77</v>
      </c>
      <c r="E4622" s="1120">
        <v>14.76</v>
      </c>
      <c r="F4622" s="1121">
        <f t="shared" si="1"/>
        <v>34.01</v>
      </c>
      <c r="G4622" s="1120">
        <v>34.01</v>
      </c>
      <c r="H4622" s="1127">
        <v>0.0</v>
      </c>
      <c r="I4622" s="1127">
        <v>0.0</v>
      </c>
      <c r="J4622" s="1127">
        <v>0.0</v>
      </c>
      <c r="K4622" s="1124"/>
    </row>
    <row r="4623" ht="15.75" customHeight="1">
      <c r="A4623" s="1119">
        <v>96849.0</v>
      </c>
      <c r="B4623" s="1125" t="s">
        <v>14902</v>
      </c>
      <c r="C4623" s="1126" t="s">
        <v>1788</v>
      </c>
      <c r="D4623" s="1119">
        <v>15.79</v>
      </c>
      <c r="E4623" s="1120">
        <v>5.91</v>
      </c>
      <c r="F4623" s="1121">
        <f t="shared" si="1"/>
        <v>9.87</v>
      </c>
      <c r="G4623" s="1120">
        <v>9.87</v>
      </c>
      <c r="H4623" s="1127">
        <v>0.0</v>
      </c>
      <c r="I4623" s="1127">
        <v>0.0</v>
      </c>
      <c r="J4623" s="1127">
        <v>0.0</v>
      </c>
      <c r="K4623" s="1124"/>
    </row>
    <row r="4624" ht="15.75" customHeight="1">
      <c r="A4624" s="1119">
        <v>96850.0</v>
      </c>
      <c r="B4624" s="1125" t="s">
        <v>14903</v>
      </c>
      <c r="C4624" s="1126" t="s">
        <v>1788</v>
      </c>
      <c r="D4624" s="1119">
        <v>22.79</v>
      </c>
      <c r="E4624" s="1120">
        <v>10.09</v>
      </c>
      <c r="F4624" s="1121">
        <f t="shared" si="1"/>
        <v>12.7</v>
      </c>
      <c r="G4624" s="1120">
        <v>12.7</v>
      </c>
      <c r="H4624" s="1127">
        <v>0.0</v>
      </c>
      <c r="I4624" s="1127">
        <v>0.0</v>
      </c>
      <c r="J4624" s="1127">
        <v>0.0</v>
      </c>
      <c r="K4624" s="1124"/>
    </row>
    <row r="4625" ht="15.75" customHeight="1">
      <c r="A4625" s="1119">
        <v>96852.0</v>
      </c>
      <c r="B4625" s="1125" t="s">
        <v>14904</v>
      </c>
      <c r="C4625" s="1126" t="s">
        <v>1788</v>
      </c>
      <c r="D4625" s="1119">
        <v>19.95</v>
      </c>
      <c r="E4625" s="1120">
        <v>7.02</v>
      </c>
      <c r="F4625" s="1121">
        <f t="shared" si="1"/>
        <v>12.94</v>
      </c>
      <c r="G4625" s="1120">
        <v>12.94</v>
      </c>
      <c r="H4625" s="1127">
        <v>0.0</v>
      </c>
      <c r="I4625" s="1127">
        <v>0.0</v>
      </c>
      <c r="J4625" s="1127">
        <v>0.0</v>
      </c>
      <c r="K4625" s="1124"/>
    </row>
    <row r="4626" ht="15.75" customHeight="1">
      <c r="A4626" s="1119">
        <v>96853.0</v>
      </c>
      <c r="B4626" s="1125" t="s">
        <v>14905</v>
      </c>
      <c r="C4626" s="1126" t="s">
        <v>1788</v>
      </c>
      <c r="D4626" s="1119">
        <v>24.43</v>
      </c>
      <c r="E4626" s="1120">
        <v>10.63</v>
      </c>
      <c r="F4626" s="1121">
        <f t="shared" si="1"/>
        <v>13.8</v>
      </c>
      <c r="G4626" s="1120">
        <v>13.8</v>
      </c>
      <c r="H4626" s="1127">
        <v>0.0</v>
      </c>
      <c r="I4626" s="1127">
        <v>0.0</v>
      </c>
      <c r="J4626" s="1127">
        <v>0.0</v>
      </c>
      <c r="K4626" s="1124"/>
    </row>
    <row r="4627" ht="15.75" customHeight="1">
      <c r="A4627" s="1119">
        <v>96854.0</v>
      </c>
      <c r="B4627" s="1125" t="s">
        <v>14906</v>
      </c>
      <c r="C4627" s="1126" t="s">
        <v>1788</v>
      </c>
      <c r="D4627" s="1119">
        <v>29.73</v>
      </c>
      <c r="E4627" s="1120">
        <v>11.95</v>
      </c>
      <c r="F4627" s="1121">
        <f t="shared" si="1"/>
        <v>17.78</v>
      </c>
      <c r="G4627" s="1120">
        <v>17.78</v>
      </c>
      <c r="H4627" s="1127">
        <v>0.0</v>
      </c>
      <c r="I4627" s="1127">
        <v>0.0</v>
      </c>
      <c r="J4627" s="1127">
        <v>0.0</v>
      </c>
      <c r="K4627" s="1124"/>
    </row>
    <row r="4628" ht="15.75" customHeight="1">
      <c r="A4628" s="1119">
        <v>96855.0</v>
      </c>
      <c r="B4628" s="1125" t="s">
        <v>14907</v>
      </c>
      <c r="C4628" s="1126" t="s">
        <v>1788</v>
      </c>
      <c r="D4628" s="1119">
        <v>30.49</v>
      </c>
      <c r="E4628" s="1120">
        <v>8.39</v>
      </c>
      <c r="F4628" s="1121">
        <f t="shared" si="1"/>
        <v>22.12</v>
      </c>
      <c r="G4628" s="1120">
        <v>22.12</v>
      </c>
      <c r="H4628" s="1127">
        <v>0.0</v>
      </c>
      <c r="I4628" s="1127">
        <v>0.0</v>
      </c>
      <c r="J4628" s="1127">
        <v>0.0</v>
      </c>
      <c r="K4628" s="1124"/>
    </row>
    <row r="4629" ht="15.75" customHeight="1">
      <c r="A4629" s="1119">
        <v>96856.0</v>
      </c>
      <c r="B4629" s="1125" t="s">
        <v>14908</v>
      </c>
      <c r="C4629" s="1126" t="s">
        <v>1788</v>
      </c>
      <c r="D4629" s="1119">
        <v>33.36</v>
      </c>
      <c r="E4629" s="1120">
        <v>11.3</v>
      </c>
      <c r="F4629" s="1121">
        <f t="shared" si="1"/>
        <v>22.06</v>
      </c>
      <c r="G4629" s="1120">
        <v>22.06</v>
      </c>
      <c r="H4629" s="1127">
        <v>0.0</v>
      </c>
      <c r="I4629" s="1127">
        <v>0.0</v>
      </c>
      <c r="J4629" s="1127">
        <v>0.0</v>
      </c>
      <c r="K4629" s="1124"/>
    </row>
    <row r="4630" ht="15.75" customHeight="1">
      <c r="A4630" s="1119">
        <v>96860.0</v>
      </c>
      <c r="B4630" s="1125" t="s">
        <v>14909</v>
      </c>
      <c r="C4630" s="1126" t="s">
        <v>1788</v>
      </c>
      <c r="D4630" s="1119">
        <v>28.54</v>
      </c>
      <c r="E4630" s="1120">
        <v>11.3</v>
      </c>
      <c r="F4630" s="1121">
        <f t="shared" si="1"/>
        <v>17.24</v>
      </c>
      <c r="G4630" s="1120">
        <v>17.24</v>
      </c>
      <c r="H4630" s="1127">
        <v>0.0</v>
      </c>
      <c r="I4630" s="1127">
        <v>0.0</v>
      </c>
      <c r="J4630" s="1127">
        <v>0.0</v>
      </c>
      <c r="K4630" s="1124"/>
    </row>
    <row r="4631" ht="15.75" customHeight="1">
      <c r="A4631" s="1119">
        <v>96861.0</v>
      </c>
      <c r="B4631" s="1125" t="s">
        <v>14910</v>
      </c>
      <c r="C4631" s="1126" t="s">
        <v>1788</v>
      </c>
      <c r="D4631" s="1119">
        <v>35.95</v>
      </c>
      <c r="E4631" s="1120">
        <v>13.86</v>
      </c>
      <c r="F4631" s="1121">
        <f t="shared" si="1"/>
        <v>22.09</v>
      </c>
      <c r="G4631" s="1120">
        <v>22.09</v>
      </c>
      <c r="H4631" s="1127">
        <v>0.0</v>
      </c>
      <c r="I4631" s="1127">
        <v>0.0</v>
      </c>
      <c r="J4631" s="1127">
        <v>0.0</v>
      </c>
      <c r="K4631" s="1124"/>
    </row>
    <row r="4632" ht="15.75" customHeight="1">
      <c r="A4632" s="1119">
        <v>96862.0</v>
      </c>
      <c r="B4632" s="1125" t="s">
        <v>14911</v>
      </c>
      <c r="C4632" s="1126" t="s">
        <v>1788</v>
      </c>
      <c r="D4632" s="1119">
        <v>34.93</v>
      </c>
      <c r="E4632" s="1120">
        <v>13.4</v>
      </c>
      <c r="F4632" s="1121">
        <f t="shared" si="1"/>
        <v>21.53</v>
      </c>
      <c r="G4632" s="1120">
        <v>21.53</v>
      </c>
      <c r="H4632" s="1127">
        <v>0.0</v>
      </c>
      <c r="I4632" s="1127">
        <v>0.0</v>
      </c>
      <c r="J4632" s="1127">
        <v>0.0</v>
      </c>
      <c r="K4632" s="1124"/>
    </row>
    <row r="4633" ht="15.75" customHeight="1">
      <c r="A4633" s="1119">
        <v>96863.0</v>
      </c>
      <c r="B4633" s="1125" t="s">
        <v>14912</v>
      </c>
      <c r="C4633" s="1126" t="s">
        <v>1788</v>
      </c>
      <c r="D4633" s="1119">
        <v>37.17</v>
      </c>
      <c r="E4633" s="1120">
        <v>15.26</v>
      </c>
      <c r="F4633" s="1121">
        <f t="shared" si="1"/>
        <v>21.9</v>
      </c>
      <c r="G4633" s="1120">
        <v>21.9</v>
      </c>
      <c r="H4633" s="1127">
        <v>0.0</v>
      </c>
      <c r="I4633" s="1127">
        <v>0.0</v>
      </c>
      <c r="J4633" s="1127">
        <v>0.0</v>
      </c>
      <c r="K4633" s="1124"/>
    </row>
    <row r="4634" ht="15.75" customHeight="1">
      <c r="A4634" s="1119">
        <v>96864.0</v>
      </c>
      <c r="B4634" s="1125" t="s">
        <v>14913</v>
      </c>
      <c r="C4634" s="1126" t="s">
        <v>1788</v>
      </c>
      <c r="D4634" s="1119">
        <v>48.47</v>
      </c>
      <c r="E4634" s="1120">
        <v>16.01</v>
      </c>
      <c r="F4634" s="1121">
        <f t="shared" si="1"/>
        <v>32.47</v>
      </c>
      <c r="G4634" s="1120">
        <v>32.47</v>
      </c>
      <c r="H4634" s="1127">
        <v>0.0</v>
      </c>
      <c r="I4634" s="1127">
        <v>0.0</v>
      </c>
      <c r="J4634" s="1127">
        <v>0.0</v>
      </c>
      <c r="K4634" s="1124"/>
    </row>
    <row r="4635" ht="15.75" customHeight="1">
      <c r="A4635" s="1119">
        <v>96865.0</v>
      </c>
      <c r="B4635" s="1125" t="s">
        <v>14914</v>
      </c>
      <c r="C4635" s="1126" t="s">
        <v>1788</v>
      </c>
      <c r="D4635" s="1119">
        <v>43.92</v>
      </c>
      <c r="E4635" s="1120">
        <v>18.18</v>
      </c>
      <c r="F4635" s="1121">
        <f t="shared" si="1"/>
        <v>25.74</v>
      </c>
      <c r="G4635" s="1120">
        <v>25.74</v>
      </c>
      <c r="H4635" s="1127">
        <v>0.0</v>
      </c>
      <c r="I4635" s="1127">
        <v>0.0</v>
      </c>
      <c r="J4635" s="1127">
        <v>0.0</v>
      </c>
      <c r="K4635" s="1124"/>
    </row>
    <row r="4636" ht="15.75" customHeight="1">
      <c r="A4636" s="1119">
        <v>96866.0</v>
      </c>
      <c r="B4636" s="1125" t="s">
        <v>14915</v>
      </c>
      <c r="C4636" s="1126" t="s">
        <v>1788</v>
      </c>
      <c r="D4636" s="1119">
        <v>62.71</v>
      </c>
      <c r="E4636" s="1120">
        <v>19.68</v>
      </c>
      <c r="F4636" s="1121">
        <f t="shared" si="1"/>
        <v>43.04</v>
      </c>
      <c r="G4636" s="1120">
        <v>43.04</v>
      </c>
      <c r="H4636" s="1127">
        <v>0.0</v>
      </c>
      <c r="I4636" s="1127">
        <v>0.0</v>
      </c>
      <c r="J4636" s="1127">
        <v>0.0</v>
      </c>
      <c r="K4636" s="1124"/>
    </row>
    <row r="4637" ht="15.75" customHeight="1">
      <c r="A4637" s="1119">
        <v>96868.0</v>
      </c>
      <c r="B4637" s="1125" t="s">
        <v>14916</v>
      </c>
      <c r="C4637" s="1126" t="s">
        <v>1788</v>
      </c>
      <c r="D4637" s="1119">
        <v>18.8</v>
      </c>
      <c r="E4637" s="1120">
        <v>7.89</v>
      </c>
      <c r="F4637" s="1121">
        <f t="shared" si="1"/>
        <v>10.9</v>
      </c>
      <c r="G4637" s="1120">
        <v>10.9</v>
      </c>
      <c r="H4637" s="1127">
        <v>0.0</v>
      </c>
      <c r="I4637" s="1127">
        <v>0.0</v>
      </c>
      <c r="J4637" s="1127">
        <v>0.0</v>
      </c>
      <c r="K4637" s="1124"/>
    </row>
    <row r="4638" ht="15.75" customHeight="1">
      <c r="A4638" s="1119">
        <v>96869.0</v>
      </c>
      <c r="B4638" s="1125" t="s">
        <v>14917</v>
      </c>
      <c r="C4638" s="1126" t="s">
        <v>1788</v>
      </c>
      <c r="D4638" s="1119">
        <v>27.97</v>
      </c>
      <c r="E4638" s="1120">
        <v>9.36</v>
      </c>
      <c r="F4638" s="1121">
        <f t="shared" si="1"/>
        <v>18.62</v>
      </c>
      <c r="G4638" s="1120">
        <v>18.62</v>
      </c>
      <c r="H4638" s="1127">
        <v>0.0</v>
      </c>
      <c r="I4638" s="1127">
        <v>0.0</v>
      </c>
      <c r="J4638" s="1127">
        <v>0.0</v>
      </c>
      <c r="K4638" s="1124"/>
    </row>
    <row r="4639" ht="15.75" customHeight="1">
      <c r="A4639" s="1119">
        <v>96870.0</v>
      </c>
      <c r="B4639" s="1125" t="s">
        <v>14918</v>
      </c>
      <c r="C4639" s="1126" t="s">
        <v>1788</v>
      </c>
      <c r="D4639" s="1119">
        <v>41.13</v>
      </c>
      <c r="E4639" s="1120">
        <v>11.16</v>
      </c>
      <c r="F4639" s="1121">
        <f t="shared" si="1"/>
        <v>29.96</v>
      </c>
      <c r="G4639" s="1120">
        <v>29.96</v>
      </c>
      <c r="H4639" s="1127">
        <v>0.0</v>
      </c>
      <c r="I4639" s="1127">
        <v>0.0</v>
      </c>
      <c r="J4639" s="1127">
        <v>0.0</v>
      </c>
      <c r="K4639" s="1124"/>
    </row>
    <row r="4640" ht="15.75" customHeight="1">
      <c r="A4640" s="1119">
        <v>96871.0</v>
      </c>
      <c r="B4640" s="1125" t="s">
        <v>14919</v>
      </c>
      <c r="C4640" s="1126" t="s">
        <v>1788</v>
      </c>
      <c r="D4640" s="1119">
        <v>47.31</v>
      </c>
      <c r="E4640" s="1120">
        <v>13.74</v>
      </c>
      <c r="F4640" s="1121">
        <f t="shared" si="1"/>
        <v>33.57</v>
      </c>
      <c r="G4640" s="1120">
        <v>33.57</v>
      </c>
      <c r="H4640" s="1127">
        <v>0.0</v>
      </c>
      <c r="I4640" s="1127">
        <v>0.0</v>
      </c>
      <c r="J4640" s="1127">
        <v>0.0</v>
      </c>
      <c r="K4640" s="1124"/>
    </row>
    <row r="4641" ht="15.75" customHeight="1">
      <c r="A4641" s="1119">
        <v>96872.0</v>
      </c>
      <c r="B4641" s="1125" t="s">
        <v>14920</v>
      </c>
      <c r="C4641" s="1126" t="s">
        <v>1788</v>
      </c>
      <c r="D4641" s="1119">
        <v>44.8</v>
      </c>
      <c r="E4641" s="1120">
        <v>15.73</v>
      </c>
      <c r="F4641" s="1121">
        <f t="shared" si="1"/>
        <v>29.07</v>
      </c>
      <c r="G4641" s="1120">
        <v>29.07</v>
      </c>
      <c r="H4641" s="1127">
        <v>0.0</v>
      </c>
      <c r="I4641" s="1127">
        <v>0.0</v>
      </c>
      <c r="J4641" s="1127">
        <v>0.0</v>
      </c>
      <c r="K4641" s="1124"/>
    </row>
    <row r="4642" ht="15.75" customHeight="1">
      <c r="A4642" s="1119">
        <v>96873.0</v>
      </c>
      <c r="B4642" s="1125" t="s">
        <v>14921</v>
      </c>
      <c r="C4642" s="1126" t="s">
        <v>1788</v>
      </c>
      <c r="D4642" s="1119">
        <v>58.67</v>
      </c>
      <c r="E4642" s="1120">
        <v>17.68</v>
      </c>
      <c r="F4642" s="1121">
        <f t="shared" si="1"/>
        <v>40.98</v>
      </c>
      <c r="G4642" s="1120">
        <v>40.98</v>
      </c>
      <c r="H4642" s="1127">
        <v>0.0</v>
      </c>
      <c r="I4642" s="1127">
        <v>0.0</v>
      </c>
      <c r="J4642" s="1127">
        <v>0.0</v>
      </c>
      <c r="K4642" s="1124"/>
    </row>
    <row r="4643" ht="15.75" customHeight="1">
      <c r="A4643" s="1119">
        <v>96874.0</v>
      </c>
      <c r="B4643" s="1125" t="s">
        <v>14922</v>
      </c>
      <c r="C4643" s="1126" t="s">
        <v>1788</v>
      </c>
      <c r="D4643" s="1119">
        <v>54.3</v>
      </c>
      <c r="E4643" s="1120">
        <v>18.57</v>
      </c>
      <c r="F4643" s="1121">
        <f t="shared" si="1"/>
        <v>35.74</v>
      </c>
      <c r="G4643" s="1120">
        <v>35.74</v>
      </c>
      <c r="H4643" s="1127">
        <v>0.0</v>
      </c>
      <c r="I4643" s="1127">
        <v>0.0</v>
      </c>
      <c r="J4643" s="1127">
        <v>0.0</v>
      </c>
      <c r="K4643" s="1124"/>
    </row>
    <row r="4644" ht="15.75" customHeight="1">
      <c r="A4644" s="1119">
        <v>96875.0</v>
      </c>
      <c r="B4644" s="1125" t="s">
        <v>14923</v>
      </c>
      <c r="C4644" s="1126" t="s">
        <v>1788</v>
      </c>
      <c r="D4644" s="1119">
        <v>70.07</v>
      </c>
      <c r="E4644" s="1120">
        <v>20.52</v>
      </c>
      <c r="F4644" s="1121">
        <f t="shared" si="1"/>
        <v>49.55</v>
      </c>
      <c r="G4644" s="1120">
        <v>49.55</v>
      </c>
      <c r="H4644" s="1127">
        <v>0.0</v>
      </c>
      <c r="I4644" s="1127">
        <v>0.0</v>
      </c>
      <c r="J4644" s="1127">
        <v>0.0</v>
      </c>
      <c r="K4644" s="1124"/>
    </row>
    <row r="4645" ht="15.75" customHeight="1">
      <c r="A4645" s="1119">
        <v>96876.0</v>
      </c>
      <c r="B4645" s="1125" t="s">
        <v>14924</v>
      </c>
      <c r="C4645" s="1126" t="s">
        <v>1788</v>
      </c>
      <c r="D4645" s="1119">
        <v>157.37</v>
      </c>
      <c r="E4645" s="1120">
        <v>18.73</v>
      </c>
      <c r="F4645" s="1121">
        <f t="shared" si="1"/>
        <v>138.64</v>
      </c>
      <c r="G4645" s="1120">
        <v>138.64</v>
      </c>
      <c r="H4645" s="1127">
        <v>0.0</v>
      </c>
      <c r="I4645" s="1127">
        <v>0.0</v>
      </c>
      <c r="J4645" s="1127">
        <v>0.0</v>
      </c>
      <c r="K4645" s="1124"/>
    </row>
    <row r="4646" ht="15.75" customHeight="1">
      <c r="A4646" s="1119">
        <v>96878.0</v>
      </c>
      <c r="B4646" s="1125" t="s">
        <v>14925</v>
      </c>
      <c r="C4646" s="1126" t="s">
        <v>1788</v>
      </c>
      <c r="D4646" s="1119">
        <v>176.03</v>
      </c>
      <c r="E4646" s="1120">
        <v>20.37</v>
      </c>
      <c r="F4646" s="1121">
        <f t="shared" si="1"/>
        <v>155.66</v>
      </c>
      <c r="G4646" s="1120">
        <v>155.66</v>
      </c>
      <c r="H4646" s="1127">
        <v>0.0</v>
      </c>
      <c r="I4646" s="1127">
        <v>0.0</v>
      </c>
      <c r="J4646" s="1127">
        <v>0.0</v>
      </c>
      <c r="K4646" s="1124"/>
    </row>
    <row r="4647" ht="15.75" customHeight="1">
      <c r="A4647" s="1119">
        <v>96879.0</v>
      </c>
      <c r="B4647" s="1125" t="s">
        <v>14926</v>
      </c>
      <c r="C4647" s="1126" t="s">
        <v>1788</v>
      </c>
      <c r="D4647" s="1119">
        <v>170.98</v>
      </c>
      <c r="E4647" s="1120">
        <v>20.72</v>
      </c>
      <c r="F4647" s="1121">
        <f t="shared" si="1"/>
        <v>150.27</v>
      </c>
      <c r="G4647" s="1120">
        <v>150.27</v>
      </c>
      <c r="H4647" s="1127">
        <v>0.0</v>
      </c>
      <c r="I4647" s="1127">
        <v>0.0</v>
      </c>
      <c r="J4647" s="1127">
        <v>0.0</v>
      </c>
      <c r="K4647" s="1124"/>
    </row>
    <row r="4648" ht="15.75" customHeight="1">
      <c r="A4648" s="1119">
        <v>96881.0</v>
      </c>
      <c r="B4648" s="1125" t="s">
        <v>14927</v>
      </c>
      <c r="C4648" s="1126" t="s">
        <v>1788</v>
      </c>
      <c r="D4648" s="1119">
        <v>201.71</v>
      </c>
      <c r="E4648" s="1120">
        <v>23.18</v>
      </c>
      <c r="F4648" s="1121">
        <f t="shared" si="1"/>
        <v>178.54</v>
      </c>
      <c r="G4648" s="1120">
        <v>178.54</v>
      </c>
      <c r="H4648" s="1127">
        <v>0.0</v>
      </c>
      <c r="I4648" s="1127">
        <v>0.0</v>
      </c>
      <c r="J4648" s="1127">
        <v>0.0</v>
      </c>
      <c r="K4648" s="1124"/>
    </row>
    <row r="4649" ht="15.75" customHeight="1">
      <c r="A4649" s="1119">
        <v>97425.0</v>
      </c>
      <c r="B4649" s="1125" t="s">
        <v>14928</v>
      </c>
      <c r="C4649" s="1126" t="s">
        <v>1788</v>
      </c>
      <c r="D4649" s="1119">
        <v>35.47</v>
      </c>
      <c r="E4649" s="1120">
        <v>11.37</v>
      </c>
      <c r="F4649" s="1121">
        <f t="shared" si="1"/>
        <v>24.1</v>
      </c>
      <c r="G4649" s="1120">
        <v>24.1</v>
      </c>
      <c r="H4649" s="1127">
        <v>0.0</v>
      </c>
      <c r="I4649" s="1127">
        <v>0.0</v>
      </c>
      <c r="J4649" s="1127">
        <v>0.0</v>
      </c>
      <c r="K4649" s="1124"/>
    </row>
    <row r="4650" ht="15.75" customHeight="1">
      <c r="A4650" s="1119">
        <v>97426.0</v>
      </c>
      <c r="B4650" s="1125" t="s">
        <v>14929</v>
      </c>
      <c r="C4650" s="1126" t="s">
        <v>1788</v>
      </c>
      <c r="D4650" s="1119">
        <v>42.81</v>
      </c>
      <c r="E4650" s="1120">
        <v>11.37</v>
      </c>
      <c r="F4650" s="1121">
        <f t="shared" si="1"/>
        <v>31.45</v>
      </c>
      <c r="G4650" s="1120">
        <v>31.45</v>
      </c>
      <c r="H4650" s="1127">
        <v>0.0</v>
      </c>
      <c r="I4650" s="1127">
        <v>0.0</v>
      </c>
      <c r="J4650" s="1127">
        <v>0.0</v>
      </c>
      <c r="K4650" s="1124"/>
    </row>
    <row r="4651" ht="15.75" customHeight="1">
      <c r="A4651" s="1119">
        <v>97427.0</v>
      </c>
      <c r="B4651" s="1125" t="s">
        <v>14930</v>
      </c>
      <c r="C4651" s="1126" t="s">
        <v>1788</v>
      </c>
      <c r="D4651" s="1119">
        <v>48.36</v>
      </c>
      <c r="E4651" s="1120">
        <v>11.36</v>
      </c>
      <c r="F4651" s="1121">
        <f t="shared" si="1"/>
        <v>37</v>
      </c>
      <c r="G4651" s="1120">
        <v>37.0</v>
      </c>
      <c r="H4651" s="1127">
        <v>0.0</v>
      </c>
      <c r="I4651" s="1127">
        <v>0.0</v>
      </c>
      <c r="J4651" s="1127">
        <v>0.0</v>
      </c>
      <c r="K4651" s="1124"/>
    </row>
    <row r="4652" ht="15.75" customHeight="1">
      <c r="A4652" s="1119">
        <v>97428.0</v>
      </c>
      <c r="B4652" s="1125" t="s">
        <v>14931</v>
      </c>
      <c r="C4652" s="1126" t="s">
        <v>1788</v>
      </c>
      <c r="D4652" s="1119">
        <v>61.23</v>
      </c>
      <c r="E4652" s="1120">
        <v>11.36</v>
      </c>
      <c r="F4652" s="1121">
        <f t="shared" si="1"/>
        <v>49.87</v>
      </c>
      <c r="G4652" s="1120">
        <v>49.87</v>
      </c>
      <c r="H4652" s="1127">
        <v>0.0</v>
      </c>
      <c r="I4652" s="1127">
        <v>0.0</v>
      </c>
      <c r="J4652" s="1127">
        <v>0.0</v>
      </c>
      <c r="K4652" s="1124"/>
    </row>
    <row r="4653" ht="15.75" customHeight="1">
      <c r="A4653" s="1119">
        <v>97429.0</v>
      </c>
      <c r="B4653" s="1125" t="s">
        <v>14932</v>
      </c>
      <c r="C4653" s="1126" t="s">
        <v>1788</v>
      </c>
      <c r="D4653" s="1119">
        <v>73.07</v>
      </c>
      <c r="E4653" s="1120">
        <v>11.36</v>
      </c>
      <c r="F4653" s="1121">
        <f t="shared" si="1"/>
        <v>61.71</v>
      </c>
      <c r="G4653" s="1120">
        <v>61.71</v>
      </c>
      <c r="H4653" s="1127">
        <v>0.0</v>
      </c>
      <c r="I4653" s="1127">
        <v>0.0</v>
      </c>
      <c r="J4653" s="1127">
        <v>0.0</v>
      </c>
      <c r="K4653" s="1124"/>
    </row>
    <row r="4654" ht="15.75" customHeight="1">
      <c r="A4654" s="1119">
        <v>97430.0</v>
      </c>
      <c r="B4654" s="1125" t="s">
        <v>14933</v>
      </c>
      <c r="C4654" s="1126" t="s">
        <v>1788</v>
      </c>
      <c r="D4654" s="1119">
        <v>44.59</v>
      </c>
      <c r="E4654" s="1120">
        <v>15.55</v>
      </c>
      <c r="F4654" s="1121">
        <f t="shared" si="1"/>
        <v>29.04</v>
      </c>
      <c r="G4654" s="1120">
        <v>29.04</v>
      </c>
      <c r="H4654" s="1127">
        <v>0.0</v>
      </c>
      <c r="I4654" s="1127">
        <v>0.0</v>
      </c>
      <c r="J4654" s="1127">
        <v>0.0</v>
      </c>
      <c r="K4654" s="1124"/>
    </row>
    <row r="4655" ht="15.75" customHeight="1">
      <c r="A4655" s="1119">
        <v>97431.0</v>
      </c>
      <c r="B4655" s="1125" t="s">
        <v>14934</v>
      </c>
      <c r="C4655" s="1126" t="s">
        <v>1788</v>
      </c>
      <c r="D4655" s="1119">
        <v>49.84</v>
      </c>
      <c r="E4655" s="1120">
        <v>17.94</v>
      </c>
      <c r="F4655" s="1121">
        <f t="shared" si="1"/>
        <v>31.91</v>
      </c>
      <c r="G4655" s="1120">
        <v>31.91</v>
      </c>
      <c r="H4655" s="1127">
        <v>0.0</v>
      </c>
      <c r="I4655" s="1127">
        <v>0.0</v>
      </c>
      <c r="J4655" s="1127">
        <v>0.0</v>
      </c>
      <c r="K4655" s="1124"/>
    </row>
    <row r="4656" ht="15.75" customHeight="1">
      <c r="A4656" s="1119">
        <v>97432.0</v>
      </c>
      <c r="B4656" s="1125" t="s">
        <v>14935</v>
      </c>
      <c r="C4656" s="1126" t="s">
        <v>1788</v>
      </c>
      <c r="D4656" s="1119">
        <v>56.24</v>
      </c>
      <c r="E4656" s="1120">
        <v>20.28</v>
      </c>
      <c r="F4656" s="1121">
        <f t="shared" si="1"/>
        <v>35.97</v>
      </c>
      <c r="G4656" s="1120">
        <v>35.97</v>
      </c>
      <c r="H4656" s="1127">
        <v>0.0</v>
      </c>
      <c r="I4656" s="1127">
        <v>0.0</v>
      </c>
      <c r="J4656" s="1127">
        <v>0.0</v>
      </c>
      <c r="K4656" s="1124"/>
    </row>
    <row r="4657" ht="15.75" customHeight="1">
      <c r="A4657" s="1119">
        <v>97433.0</v>
      </c>
      <c r="B4657" s="1125" t="s">
        <v>14936</v>
      </c>
      <c r="C4657" s="1126" t="s">
        <v>1788</v>
      </c>
      <c r="D4657" s="1119">
        <v>99.59</v>
      </c>
      <c r="E4657" s="1120">
        <v>23.31</v>
      </c>
      <c r="F4657" s="1121">
        <f t="shared" si="1"/>
        <v>76.28</v>
      </c>
      <c r="G4657" s="1120">
        <v>76.28</v>
      </c>
      <c r="H4657" s="1127">
        <v>0.0</v>
      </c>
      <c r="I4657" s="1127">
        <v>0.0</v>
      </c>
      <c r="J4657" s="1127">
        <v>0.0</v>
      </c>
      <c r="K4657" s="1124"/>
    </row>
    <row r="4658" ht="15.75" customHeight="1">
      <c r="A4658" s="1119">
        <v>97434.0</v>
      </c>
      <c r="B4658" s="1125" t="s">
        <v>14937</v>
      </c>
      <c r="C4658" s="1126" t="s">
        <v>1788</v>
      </c>
      <c r="D4658" s="1119">
        <v>101.38</v>
      </c>
      <c r="E4658" s="1120">
        <v>23.31</v>
      </c>
      <c r="F4658" s="1121">
        <f t="shared" si="1"/>
        <v>78.07</v>
      </c>
      <c r="G4658" s="1120">
        <v>78.07</v>
      </c>
      <c r="H4658" s="1127">
        <v>0.0</v>
      </c>
      <c r="I4658" s="1127">
        <v>0.0</v>
      </c>
      <c r="J4658" s="1127">
        <v>0.0</v>
      </c>
      <c r="K4658" s="1124"/>
    </row>
    <row r="4659" ht="15.75" customHeight="1">
      <c r="A4659" s="1119">
        <v>97435.0</v>
      </c>
      <c r="B4659" s="1125" t="s">
        <v>14938</v>
      </c>
      <c r="C4659" s="1126" t="s">
        <v>1788</v>
      </c>
      <c r="D4659" s="1119">
        <v>116.43</v>
      </c>
      <c r="E4659" s="1120">
        <v>26.86</v>
      </c>
      <c r="F4659" s="1121">
        <f t="shared" si="1"/>
        <v>89.55</v>
      </c>
      <c r="G4659" s="1120">
        <v>89.55</v>
      </c>
      <c r="H4659" s="1127">
        <v>0.0</v>
      </c>
      <c r="I4659" s="1127">
        <v>0.0</v>
      </c>
      <c r="J4659" s="1127">
        <v>0.0</v>
      </c>
      <c r="K4659" s="1124"/>
    </row>
    <row r="4660" ht="15.75" customHeight="1">
      <c r="A4660" s="1119">
        <v>97436.0</v>
      </c>
      <c r="B4660" s="1125" t="s">
        <v>14939</v>
      </c>
      <c r="C4660" s="1126" t="s">
        <v>1788</v>
      </c>
      <c r="D4660" s="1119">
        <v>119.87</v>
      </c>
      <c r="E4660" s="1120">
        <v>26.86</v>
      </c>
      <c r="F4660" s="1121">
        <f t="shared" si="1"/>
        <v>92.99</v>
      </c>
      <c r="G4660" s="1120">
        <v>92.99</v>
      </c>
      <c r="H4660" s="1127">
        <v>0.0</v>
      </c>
      <c r="I4660" s="1127">
        <v>0.0</v>
      </c>
      <c r="J4660" s="1127">
        <v>0.0</v>
      </c>
      <c r="K4660" s="1124"/>
    </row>
    <row r="4661" ht="15.75" customHeight="1">
      <c r="A4661" s="1119">
        <v>97437.0</v>
      </c>
      <c r="B4661" s="1125" t="s">
        <v>14940</v>
      </c>
      <c r="C4661" s="1126" t="s">
        <v>1788</v>
      </c>
      <c r="D4661" s="1119">
        <v>133.2</v>
      </c>
      <c r="E4661" s="1120">
        <v>30.43</v>
      </c>
      <c r="F4661" s="1121">
        <f t="shared" si="1"/>
        <v>102.76</v>
      </c>
      <c r="G4661" s="1120">
        <v>102.76</v>
      </c>
      <c r="H4661" s="1127">
        <v>0.0</v>
      </c>
      <c r="I4661" s="1127">
        <v>0.0</v>
      </c>
      <c r="J4661" s="1127">
        <v>0.0</v>
      </c>
      <c r="K4661" s="1124"/>
    </row>
    <row r="4662" ht="15.75" customHeight="1">
      <c r="A4662" s="1119">
        <v>97438.0</v>
      </c>
      <c r="B4662" s="1125" t="s">
        <v>14941</v>
      </c>
      <c r="C4662" s="1126" t="s">
        <v>1788</v>
      </c>
      <c r="D4662" s="1119">
        <v>136.88</v>
      </c>
      <c r="E4662" s="1120">
        <v>30.43</v>
      </c>
      <c r="F4662" s="1121">
        <f t="shared" si="1"/>
        <v>106.44</v>
      </c>
      <c r="G4662" s="1120">
        <v>106.44</v>
      </c>
      <c r="H4662" s="1127">
        <v>0.0</v>
      </c>
      <c r="I4662" s="1127">
        <v>0.0</v>
      </c>
      <c r="J4662" s="1127">
        <v>0.0</v>
      </c>
      <c r="K4662" s="1124"/>
    </row>
    <row r="4663" ht="15.75" customHeight="1">
      <c r="A4663" s="1119">
        <v>97439.0</v>
      </c>
      <c r="B4663" s="1125" t="s">
        <v>14942</v>
      </c>
      <c r="C4663" s="1126" t="s">
        <v>1788</v>
      </c>
      <c r="D4663" s="1119">
        <v>149.95</v>
      </c>
      <c r="E4663" s="1120">
        <v>31.09</v>
      </c>
      <c r="F4663" s="1121">
        <f t="shared" si="1"/>
        <v>118.87</v>
      </c>
      <c r="G4663" s="1120">
        <v>118.87</v>
      </c>
      <c r="H4663" s="1127">
        <v>0.0</v>
      </c>
      <c r="I4663" s="1127">
        <v>0.0</v>
      </c>
      <c r="J4663" s="1127">
        <v>0.0</v>
      </c>
      <c r="K4663" s="1124"/>
    </row>
    <row r="4664" ht="15.75" customHeight="1">
      <c r="A4664" s="1119">
        <v>97440.0</v>
      </c>
      <c r="B4664" s="1125" t="s">
        <v>14943</v>
      </c>
      <c r="C4664" s="1126" t="s">
        <v>1788</v>
      </c>
      <c r="D4664" s="1119">
        <v>179.51</v>
      </c>
      <c r="E4664" s="1120">
        <v>35.82</v>
      </c>
      <c r="F4664" s="1121">
        <f t="shared" si="1"/>
        <v>143.71</v>
      </c>
      <c r="G4664" s="1120">
        <v>143.71</v>
      </c>
      <c r="H4664" s="1127">
        <v>0.0</v>
      </c>
      <c r="I4664" s="1127">
        <v>0.0</v>
      </c>
      <c r="J4664" s="1127">
        <v>0.0</v>
      </c>
      <c r="K4664" s="1124"/>
    </row>
    <row r="4665" ht="15.75" customHeight="1">
      <c r="A4665" s="1119">
        <v>97442.0</v>
      </c>
      <c r="B4665" s="1125" t="s">
        <v>14944</v>
      </c>
      <c r="C4665" s="1126" t="s">
        <v>1788</v>
      </c>
      <c r="D4665" s="1119">
        <v>198.46</v>
      </c>
      <c r="E4665" s="1120">
        <v>40.55</v>
      </c>
      <c r="F4665" s="1121">
        <f t="shared" si="1"/>
        <v>157.91</v>
      </c>
      <c r="G4665" s="1120">
        <v>157.91</v>
      </c>
      <c r="H4665" s="1127">
        <v>0.0</v>
      </c>
      <c r="I4665" s="1127">
        <v>0.0</v>
      </c>
      <c r="J4665" s="1127">
        <v>0.0</v>
      </c>
      <c r="K4665" s="1124"/>
    </row>
    <row r="4666" ht="15.75" customHeight="1">
      <c r="A4666" s="1119">
        <v>97443.0</v>
      </c>
      <c r="B4666" s="1125" t="s">
        <v>14945</v>
      </c>
      <c r="C4666" s="1126" t="s">
        <v>1788</v>
      </c>
      <c r="D4666" s="1119">
        <v>126.72</v>
      </c>
      <c r="E4666" s="1120">
        <v>35.03</v>
      </c>
      <c r="F4666" s="1121">
        <f t="shared" si="1"/>
        <v>91.7</v>
      </c>
      <c r="G4666" s="1120">
        <v>91.7</v>
      </c>
      <c r="H4666" s="1127">
        <v>0.0</v>
      </c>
      <c r="I4666" s="1127">
        <v>0.0</v>
      </c>
      <c r="J4666" s="1127">
        <v>0.0</v>
      </c>
      <c r="K4666" s="1124"/>
    </row>
    <row r="4667" ht="15.75" customHeight="1">
      <c r="A4667" s="1119">
        <v>97444.0</v>
      </c>
      <c r="B4667" s="1125" t="s">
        <v>14946</v>
      </c>
      <c r="C4667" s="1126" t="s">
        <v>1788</v>
      </c>
      <c r="D4667" s="1119">
        <v>148.98</v>
      </c>
      <c r="E4667" s="1120">
        <v>35.02</v>
      </c>
      <c r="F4667" s="1121">
        <f t="shared" si="1"/>
        <v>113.97</v>
      </c>
      <c r="G4667" s="1120">
        <v>113.97</v>
      </c>
      <c r="H4667" s="1127">
        <v>0.0</v>
      </c>
      <c r="I4667" s="1127">
        <v>0.0</v>
      </c>
      <c r="J4667" s="1127">
        <v>0.0</v>
      </c>
      <c r="K4667" s="1124"/>
    </row>
    <row r="4668" ht="15.75" customHeight="1">
      <c r="A4668" s="1119">
        <v>97446.0</v>
      </c>
      <c r="B4668" s="1125" t="s">
        <v>14947</v>
      </c>
      <c r="C4668" s="1126" t="s">
        <v>1788</v>
      </c>
      <c r="D4668" s="1119">
        <v>256.96</v>
      </c>
      <c r="E4668" s="1120">
        <v>38.71</v>
      </c>
      <c r="F4668" s="1121">
        <f t="shared" si="1"/>
        <v>218.24</v>
      </c>
      <c r="G4668" s="1120">
        <v>218.24</v>
      </c>
      <c r="H4668" s="1127">
        <v>0.0</v>
      </c>
      <c r="I4668" s="1127">
        <v>0.0</v>
      </c>
      <c r="J4668" s="1127">
        <v>0.0</v>
      </c>
      <c r="K4668" s="1124"/>
    </row>
    <row r="4669" ht="15.75" customHeight="1">
      <c r="A4669" s="1119">
        <v>97447.0</v>
      </c>
      <c r="B4669" s="1125" t="s">
        <v>14948</v>
      </c>
      <c r="C4669" s="1126" t="s">
        <v>1788</v>
      </c>
      <c r="D4669" s="1119">
        <v>256.96</v>
      </c>
      <c r="E4669" s="1120">
        <v>38.71</v>
      </c>
      <c r="F4669" s="1121">
        <f t="shared" si="1"/>
        <v>218.24</v>
      </c>
      <c r="G4669" s="1120">
        <v>218.24</v>
      </c>
      <c r="H4669" s="1127">
        <v>0.0</v>
      </c>
      <c r="I4669" s="1127">
        <v>0.0</v>
      </c>
      <c r="J4669" s="1127">
        <v>0.0</v>
      </c>
      <c r="K4669" s="1124"/>
    </row>
    <row r="4670" ht="15.75" customHeight="1">
      <c r="A4670" s="1119">
        <v>97449.0</v>
      </c>
      <c r="B4670" s="1125" t="s">
        <v>14949</v>
      </c>
      <c r="C4670" s="1126" t="s">
        <v>1788</v>
      </c>
      <c r="D4670" s="1119">
        <v>273.6</v>
      </c>
      <c r="E4670" s="1120">
        <v>42.47</v>
      </c>
      <c r="F4670" s="1121">
        <f t="shared" si="1"/>
        <v>231.14</v>
      </c>
      <c r="G4670" s="1120">
        <v>231.14</v>
      </c>
      <c r="H4670" s="1127">
        <v>0.0</v>
      </c>
      <c r="I4670" s="1127">
        <v>0.0</v>
      </c>
      <c r="J4670" s="1127">
        <v>0.0</v>
      </c>
      <c r="K4670" s="1124"/>
    </row>
    <row r="4671" ht="15.75" customHeight="1">
      <c r="A4671" s="1119">
        <v>97450.0</v>
      </c>
      <c r="B4671" s="1125" t="s">
        <v>14950</v>
      </c>
      <c r="C4671" s="1126" t="s">
        <v>1788</v>
      </c>
      <c r="D4671" s="1119">
        <v>334.22</v>
      </c>
      <c r="E4671" s="1120">
        <v>42.47</v>
      </c>
      <c r="F4671" s="1121">
        <f t="shared" si="1"/>
        <v>291.76</v>
      </c>
      <c r="G4671" s="1120">
        <v>291.76</v>
      </c>
      <c r="H4671" s="1127">
        <v>0.0</v>
      </c>
      <c r="I4671" s="1127">
        <v>0.0</v>
      </c>
      <c r="J4671" s="1127">
        <v>0.0</v>
      </c>
      <c r="K4671" s="1124"/>
    </row>
    <row r="4672" ht="15.75" customHeight="1">
      <c r="A4672" s="1119">
        <v>97452.0</v>
      </c>
      <c r="B4672" s="1125" t="s">
        <v>14951</v>
      </c>
      <c r="C4672" s="1126" t="s">
        <v>1788</v>
      </c>
      <c r="D4672" s="1119">
        <v>208.42</v>
      </c>
      <c r="E4672" s="1120">
        <v>52.49</v>
      </c>
      <c r="F4672" s="1121">
        <f t="shared" si="1"/>
        <v>155.92</v>
      </c>
      <c r="G4672" s="1120">
        <v>155.92</v>
      </c>
      <c r="H4672" s="1127">
        <v>0.0</v>
      </c>
      <c r="I4672" s="1127">
        <v>0.0</v>
      </c>
      <c r="J4672" s="1127">
        <v>0.0</v>
      </c>
      <c r="K4672" s="1124"/>
    </row>
    <row r="4673" ht="15.75" customHeight="1">
      <c r="A4673" s="1119">
        <v>97453.0</v>
      </c>
      <c r="B4673" s="1125" t="s">
        <v>14952</v>
      </c>
      <c r="C4673" s="1126" t="s">
        <v>1788</v>
      </c>
      <c r="D4673" s="1119">
        <v>221.12</v>
      </c>
      <c r="E4673" s="1120">
        <v>52.49</v>
      </c>
      <c r="F4673" s="1121">
        <f t="shared" si="1"/>
        <v>168.62</v>
      </c>
      <c r="G4673" s="1120">
        <v>168.62</v>
      </c>
      <c r="H4673" s="1127">
        <v>0.0</v>
      </c>
      <c r="I4673" s="1127">
        <v>0.0</v>
      </c>
      <c r="J4673" s="1127">
        <v>0.0</v>
      </c>
      <c r="K4673" s="1124"/>
    </row>
    <row r="4674" ht="15.75" customHeight="1">
      <c r="A4674" s="1119">
        <v>97454.0</v>
      </c>
      <c r="B4674" s="1125" t="s">
        <v>14953</v>
      </c>
      <c r="C4674" s="1126" t="s">
        <v>1788</v>
      </c>
      <c r="D4674" s="1119">
        <v>353.52</v>
      </c>
      <c r="E4674" s="1120">
        <v>58.1</v>
      </c>
      <c r="F4674" s="1121">
        <f t="shared" si="1"/>
        <v>295.43</v>
      </c>
      <c r="G4674" s="1120">
        <v>295.43</v>
      </c>
      <c r="H4674" s="1127">
        <v>0.0</v>
      </c>
      <c r="I4674" s="1127">
        <v>0.0</v>
      </c>
      <c r="J4674" s="1127">
        <v>0.0</v>
      </c>
      <c r="K4674" s="1124"/>
    </row>
    <row r="4675" ht="15.75" customHeight="1">
      <c r="A4675" s="1119">
        <v>97455.0</v>
      </c>
      <c r="B4675" s="1125" t="s">
        <v>14954</v>
      </c>
      <c r="C4675" s="1126" t="s">
        <v>1788</v>
      </c>
      <c r="D4675" s="1119">
        <v>373.84</v>
      </c>
      <c r="E4675" s="1120">
        <v>58.1</v>
      </c>
      <c r="F4675" s="1121">
        <f t="shared" si="1"/>
        <v>315.75</v>
      </c>
      <c r="G4675" s="1120">
        <v>315.75</v>
      </c>
      <c r="H4675" s="1127">
        <v>0.0</v>
      </c>
      <c r="I4675" s="1127">
        <v>0.0</v>
      </c>
      <c r="J4675" s="1127">
        <v>0.0</v>
      </c>
      <c r="K4675" s="1124"/>
    </row>
    <row r="4676" ht="15.75" customHeight="1">
      <c r="A4676" s="1119">
        <v>97456.0</v>
      </c>
      <c r="B4676" s="1125" t="s">
        <v>14955</v>
      </c>
      <c r="C4676" s="1126" t="s">
        <v>1788</v>
      </c>
      <c r="D4676" s="1119">
        <v>798.44</v>
      </c>
      <c r="E4676" s="1120">
        <v>63.71</v>
      </c>
      <c r="F4676" s="1121">
        <f t="shared" si="1"/>
        <v>734.73</v>
      </c>
      <c r="G4676" s="1120">
        <v>734.73</v>
      </c>
      <c r="H4676" s="1127">
        <v>0.0</v>
      </c>
      <c r="I4676" s="1127">
        <v>0.0</v>
      </c>
      <c r="J4676" s="1127">
        <v>0.0</v>
      </c>
      <c r="K4676" s="1124"/>
    </row>
    <row r="4677" ht="15.75" customHeight="1">
      <c r="A4677" s="1119">
        <v>97457.0</v>
      </c>
      <c r="B4677" s="1125" t="s">
        <v>14956</v>
      </c>
      <c r="C4677" s="1126" t="s">
        <v>1788</v>
      </c>
      <c r="D4677" s="1119">
        <v>707.28</v>
      </c>
      <c r="E4677" s="1120">
        <v>63.71</v>
      </c>
      <c r="F4677" s="1121">
        <f t="shared" si="1"/>
        <v>643.57</v>
      </c>
      <c r="G4677" s="1120">
        <v>643.57</v>
      </c>
      <c r="H4677" s="1127">
        <v>0.0</v>
      </c>
      <c r="I4677" s="1127">
        <v>0.0</v>
      </c>
      <c r="J4677" s="1127">
        <v>0.0</v>
      </c>
      <c r="K4677" s="1124"/>
    </row>
    <row r="4678" ht="15.75" customHeight="1">
      <c r="A4678" s="1119">
        <v>97458.0</v>
      </c>
      <c r="B4678" s="1125" t="s">
        <v>14957</v>
      </c>
      <c r="C4678" s="1126" t="s">
        <v>1788</v>
      </c>
      <c r="D4678" s="1119">
        <v>328.89</v>
      </c>
      <c r="E4678" s="1120">
        <v>70.03</v>
      </c>
      <c r="F4678" s="1121">
        <f t="shared" si="1"/>
        <v>258.86</v>
      </c>
      <c r="G4678" s="1120">
        <v>258.86</v>
      </c>
      <c r="H4678" s="1127">
        <v>0.0</v>
      </c>
      <c r="I4678" s="1127">
        <v>0.0</v>
      </c>
      <c r="J4678" s="1127">
        <v>0.0</v>
      </c>
      <c r="K4678" s="1124"/>
    </row>
    <row r="4679" ht="15.75" customHeight="1">
      <c r="A4679" s="1119">
        <v>97459.0</v>
      </c>
      <c r="B4679" s="1125" t="s">
        <v>14958</v>
      </c>
      <c r="C4679" s="1126" t="s">
        <v>1788</v>
      </c>
      <c r="D4679" s="1119">
        <v>562.57</v>
      </c>
      <c r="E4679" s="1120">
        <v>77.5</v>
      </c>
      <c r="F4679" s="1121">
        <f t="shared" si="1"/>
        <v>485.07</v>
      </c>
      <c r="G4679" s="1120">
        <v>485.07</v>
      </c>
      <c r="H4679" s="1127">
        <v>0.0</v>
      </c>
      <c r="I4679" s="1127">
        <v>0.0</v>
      </c>
      <c r="J4679" s="1127">
        <v>0.0</v>
      </c>
      <c r="K4679" s="1124"/>
    </row>
    <row r="4680" ht="15.75" customHeight="1">
      <c r="A4680" s="1119">
        <v>97460.0</v>
      </c>
      <c r="B4680" s="1125" t="s">
        <v>14959</v>
      </c>
      <c r="C4680" s="1126" t="s">
        <v>1788</v>
      </c>
      <c r="D4680" s="1119">
        <v>863.42</v>
      </c>
      <c r="E4680" s="1120">
        <v>84.97</v>
      </c>
      <c r="F4680" s="1121">
        <f t="shared" si="1"/>
        <v>778.46</v>
      </c>
      <c r="G4680" s="1120">
        <v>778.46</v>
      </c>
      <c r="H4680" s="1127">
        <v>0.0</v>
      </c>
      <c r="I4680" s="1127">
        <v>0.0</v>
      </c>
      <c r="J4680" s="1127">
        <v>0.0</v>
      </c>
      <c r="K4680" s="1124"/>
    </row>
    <row r="4681" ht="15.75" customHeight="1">
      <c r="A4681" s="1119">
        <v>97461.0</v>
      </c>
      <c r="B4681" s="1125" t="s">
        <v>14960</v>
      </c>
      <c r="C4681" s="1126" t="s">
        <v>1788</v>
      </c>
      <c r="D4681" s="1119">
        <v>39.9</v>
      </c>
      <c r="E4681" s="1120">
        <v>10.28</v>
      </c>
      <c r="F4681" s="1121">
        <f t="shared" si="1"/>
        <v>29.64</v>
      </c>
      <c r="G4681" s="1120">
        <v>29.64</v>
      </c>
      <c r="H4681" s="1127">
        <v>0.0</v>
      </c>
      <c r="I4681" s="1127">
        <v>0.0</v>
      </c>
      <c r="J4681" s="1127">
        <v>0.0</v>
      </c>
      <c r="K4681" s="1124"/>
    </row>
    <row r="4682" ht="15.75" customHeight="1">
      <c r="A4682" s="1119">
        <v>97462.0</v>
      </c>
      <c r="B4682" s="1125" t="s">
        <v>14961</v>
      </c>
      <c r="C4682" s="1126" t="s">
        <v>1788</v>
      </c>
      <c r="D4682" s="1119">
        <v>33.38</v>
      </c>
      <c r="E4682" s="1120">
        <v>10.28</v>
      </c>
      <c r="F4682" s="1121">
        <f t="shared" si="1"/>
        <v>23.11</v>
      </c>
      <c r="G4682" s="1120">
        <v>23.11</v>
      </c>
      <c r="H4682" s="1127">
        <v>0.0</v>
      </c>
      <c r="I4682" s="1127">
        <v>0.0</v>
      </c>
      <c r="J4682" s="1127">
        <v>0.0</v>
      </c>
      <c r="K4682" s="1124"/>
    </row>
    <row r="4683" ht="15.75" customHeight="1">
      <c r="A4683" s="1119">
        <v>97464.0</v>
      </c>
      <c r="B4683" s="1125" t="s">
        <v>14962</v>
      </c>
      <c r="C4683" s="1126" t="s">
        <v>1788</v>
      </c>
      <c r="D4683" s="1119">
        <v>57.39</v>
      </c>
      <c r="E4683" s="1120">
        <v>13.14</v>
      </c>
      <c r="F4683" s="1121">
        <f t="shared" si="1"/>
        <v>44.25</v>
      </c>
      <c r="G4683" s="1120">
        <v>44.25</v>
      </c>
      <c r="H4683" s="1127">
        <v>0.0</v>
      </c>
      <c r="I4683" s="1127">
        <v>0.0</v>
      </c>
      <c r="J4683" s="1127">
        <v>0.0</v>
      </c>
      <c r="K4683" s="1124"/>
    </row>
    <row r="4684" ht="15.75" customHeight="1">
      <c r="A4684" s="1119">
        <v>97465.0</v>
      </c>
      <c r="B4684" s="1125" t="s">
        <v>14963</v>
      </c>
      <c r="C4684" s="1126" t="s">
        <v>1788</v>
      </c>
      <c r="D4684" s="1119">
        <v>68.38</v>
      </c>
      <c r="E4684" s="1120">
        <v>13.14</v>
      </c>
      <c r="F4684" s="1121">
        <f t="shared" si="1"/>
        <v>55.24</v>
      </c>
      <c r="G4684" s="1120">
        <v>55.24</v>
      </c>
      <c r="H4684" s="1127">
        <v>0.0</v>
      </c>
      <c r="I4684" s="1127">
        <v>0.0</v>
      </c>
      <c r="J4684" s="1127">
        <v>0.0</v>
      </c>
      <c r="K4684" s="1124"/>
    </row>
    <row r="4685" ht="15.75" customHeight="1">
      <c r="A4685" s="1119">
        <v>97467.0</v>
      </c>
      <c r="B4685" s="1125" t="s">
        <v>14964</v>
      </c>
      <c r="C4685" s="1126" t="s">
        <v>1788</v>
      </c>
      <c r="D4685" s="1119">
        <v>72.8</v>
      </c>
      <c r="E4685" s="1120">
        <v>16.44</v>
      </c>
      <c r="F4685" s="1121">
        <f t="shared" si="1"/>
        <v>56.36</v>
      </c>
      <c r="G4685" s="1120">
        <v>56.36</v>
      </c>
      <c r="H4685" s="1127">
        <v>0.0</v>
      </c>
      <c r="I4685" s="1127">
        <v>0.0</v>
      </c>
      <c r="J4685" s="1127">
        <v>0.0</v>
      </c>
      <c r="K4685" s="1124"/>
    </row>
    <row r="4686" ht="15.75" customHeight="1">
      <c r="A4686" s="1119">
        <v>97468.0</v>
      </c>
      <c r="B4686" s="1125" t="s">
        <v>14965</v>
      </c>
      <c r="C4686" s="1126" t="s">
        <v>1788</v>
      </c>
      <c r="D4686" s="1119">
        <v>86.88</v>
      </c>
      <c r="E4686" s="1120">
        <v>16.44</v>
      </c>
      <c r="F4686" s="1121">
        <f t="shared" si="1"/>
        <v>70.45</v>
      </c>
      <c r="G4686" s="1120">
        <v>70.45</v>
      </c>
      <c r="H4686" s="1127">
        <v>0.0</v>
      </c>
      <c r="I4686" s="1127">
        <v>0.0</v>
      </c>
      <c r="J4686" s="1127">
        <v>0.0</v>
      </c>
      <c r="K4686" s="1124"/>
    </row>
    <row r="4687" ht="15.75" customHeight="1">
      <c r="A4687" s="1119">
        <v>97470.0</v>
      </c>
      <c r="B4687" s="1125" t="s">
        <v>14966</v>
      </c>
      <c r="C4687" s="1126" t="s">
        <v>1788</v>
      </c>
      <c r="D4687" s="1119">
        <v>107.38</v>
      </c>
      <c r="E4687" s="1120">
        <v>20.55</v>
      </c>
      <c r="F4687" s="1121">
        <f t="shared" si="1"/>
        <v>86.84</v>
      </c>
      <c r="G4687" s="1120">
        <v>86.84</v>
      </c>
      <c r="H4687" s="1127">
        <v>0.0</v>
      </c>
      <c r="I4687" s="1127">
        <v>0.0</v>
      </c>
      <c r="J4687" s="1127">
        <v>0.0</v>
      </c>
      <c r="K4687" s="1124"/>
    </row>
    <row r="4688" ht="15.75" customHeight="1">
      <c r="A4688" s="1119">
        <v>97471.0</v>
      </c>
      <c r="B4688" s="1125" t="s">
        <v>14967</v>
      </c>
      <c r="C4688" s="1126" t="s">
        <v>1788</v>
      </c>
      <c r="D4688" s="1119">
        <v>129.64</v>
      </c>
      <c r="E4688" s="1120">
        <v>20.55</v>
      </c>
      <c r="F4688" s="1121">
        <f t="shared" si="1"/>
        <v>109.1</v>
      </c>
      <c r="G4688" s="1120">
        <v>109.1</v>
      </c>
      <c r="H4688" s="1127">
        <v>0.0</v>
      </c>
      <c r="I4688" s="1127">
        <v>0.0</v>
      </c>
      <c r="J4688" s="1127">
        <v>0.0</v>
      </c>
      <c r="K4688" s="1124"/>
    </row>
    <row r="4689" ht="15.75" customHeight="1">
      <c r="A4689" s="1119">
        <v>97474.0</v>
      </c>
      <c r="B4689" s="1125" t="s">
        <v>14968</v>
      </c>
      <c r="C4689" s="1126" t="s">
        <v>1788</v>
      </c>
      <c r="D4689" s="1119">
        <v>195.92</v>
      </c>
      <c r="E4689" s="1120">
        <v>26.7</v>
      </c>
      <c r="F4689" s="1121">
        <f t="shared" si="1"/>
        <v>169.22</v>
      </c>
      <c r="G4689" s="1120">
        <v>169.22</v>
      </c>
      <c r="H4689" s="1127">
        <v>0.0</v>
      </c>
      <c r="I4689" s="1127">
        <v>0.0</v>
      </c>
      <c r="J4689" s="1127">
        <v>0.0</v>
      </c>
      <c r="K4689" s="1124"/>
    </row>
    <row r="4690" ht="15.75" customHeight="1">
      <c r="A4690" s="1119">
        <v>97475.0</v>
      </c>
      <c r="B4690" s="1125" t="s">
        <v>14969</v>
      </c>
      <c r="C4690" s="1126" t="s">
        <v>1788</v>
      </c>
      <c r="D4690" s="1119">
        <v>240.92</v>
      </c>
      <c r="E4690" s="1120">
        <v>26.7</v>
      </c>
      <c r="F4690" s="1121">
        <f t="shared" si="1"/>
        <v>214.22</v>
      </c>
      <c r="G4690" s="1120">
        <v>214.22</v>
      </c>
      <c r="H4690" s="1127">
        <v>0.0</v>
      </c>
      <c r="I4690" s="1127">
        <v>0.0</v>
      </c>
      <c r="J4690" s="1127">
        <v>0.0</v>
      </c>
      <c r="K4690" s="1124"/>
    </row>
    <row r="4691" ht="15.75" customHeight="1">
      <c r="A4691" s="1119">
        <v>97477.0</v>
      </c>
      <c r="B4691" s="1125" t="s">
        <v>14970</v>
      </c>
      <c r="C4691" s="1126" t="s">
        <v>1788</v>
      </c>
      <c r="D4691" s="1119">
        <v>260.88</v>
      </c>
      <c r="E4691" s="1120">
        <v>32.94</v>
      </c>
      <c r="F4691" s="1121">
        <f t="shared" si="1"/>
        <v>227.92</v>
      </c>
      <c r="G4691" s="1120">
        <v>227.92</v>
      </c>
      <c r="H4691" s="1127">
        <v>0.0</v>
      </c>
      <c r="I4691" s="1127">
        <v>0.0</v>
      </c>
      <c r="J4691" s="1127">
        <v>0.0</v>
      </c>
      <c r="K4691" s="1124"/>
    </row>
    <row r="4692" ht="15.75" customHeight="1">
      <c r="A4692" s="1119">
        <v>97478.0</v>
      </c>
      <c r="B4692" s="1125" t="s">
        <v>14971</v>
      </c>
      <c r="C4692" s="1126" t="s">
        <v>1788</v>
      </c>
      <c r="D4692" s="1119">
        <v>321.5</v>
      </c>
      <c r="E4692" s="1120">
        <v>32.94</v>
      </c>
      <c r="F4692" s="1121">
        <f t="shared" si="1"/>
        <v>288.55</v>
      </c>
      <c r="G4692" s="1120">
        <v>288.55</v>
      </c>
      <c r="H4692" s="1127">
        <v>0.0</v>
      </c>
      <c r="I4692" s="1127">
        <v>0.0</v>
      </c>
      <c r="J4692" s="1127">
        <v>0.0</v>
      </c>
      <c r="K4692" s="1124"/>
    </row>
    <row r="4693" ht="15.75" customHeight="1">
      <c r="A4693" s="1119">
        <v>97479.0</v>
      </c>
      <c r="B4693" s="1125" t="s">
        <v>14972</v>
      </c>
      <c r="C4693" s="1126" t="s">
        <v>1788</v>
      </c>
      <c r="D4693" s="1119">
        <v>64.34</v>
      </c>
      <c r="E4693" s="1120">
        <v>15.41</v>
      </c>
      <c r="F4693" s="1121">
        <f t="shared" si="1"/>
        <v>48.93</v>
      </c>
      <c r="G4693" s="1120">
        <v>48.93</v>
      </c>
      <c r="H4693" s="1127">
        <v>0.0</v>
      </c>
      <c r="I4693" s="1127">
        <v>0.0</v>
      </c>
      <c r="J4693" s="1127">
        <v>0.0</v>
      </c>
      <c r="K4693" s="1124"/>
    </row>
    <row r="4694" ht="15.75" customHeight="1">
      <c r="A4694" s="1119">
        <v>97480.0</v>
      </c>
      <c r="B4694" s="1125" t="s">
        <v>14973</v>
      </c>
      <c r="C4694" s="1126" t="s">
        <v>1788</v>
      </c>
      <c r="D4694" s="1119">
        <v>64.34</v>
      </c>
      <c r="E4694" s="1120">
        <v>15.41</v>
      </c>
      <c r="F4694" s="1121">
        <f t="shared" si="1"/>
        <v>48.93</v>
      </c>
      <c r="G4694" s="1120">
        <v>48.93</v>
      </c>
      <c r="H4694" s="1127">
        <v>0.0</v>
      </c>
      <c r="I4694" s="1127">
        <v>0.0</v>
      </c>
      <c r="J4694" s="1127">
        <v>0.0</v>
      </c>
      <c r="K4694" s="1124"/>
    </row>
    <row r="4695" ht="15.75" customHeight="1">
      <c r="A4695" s="1119">
        <v>97481.0</v>
      </c>
      <c r="B4695" s="1125" t="s">
        <v>14974</v>
      </c>
      <c r="C4695" s="1126" t="s">
        <v>1788</v>
      </c>
      <c r="D4695" s="1119">
        <v>93.11</v>
      </c>
      <c r="E4695" s="1120">
        <v>19.72</v>
      </c>
      <c r="F4695" s="1121">
        <f t="shared" si="1"/>
        <v>73.38</v>
      </c>
      <c r="G4695" s="1120">
        <v>73.38</v>
      </c>
      <c r="H4695" s="1127">
        <v>0.0</v>
      </c>
      <c r="I4695" s="1127">
        <v>0.0</v>
      </c>
      <c r="J4695" s="1127">
        <v>0.0</v>
      </c>
      <c r="K4695" s="1124"/>
    </row>
    <row r="4696" ht="15.75" customHeight="1">
      <c r="A4696" s="1119">
        <v>97482.0</v>
      </c>
      <c r="B4696" s="1125" t="s">
        <v>14975</v>
      </c>
      <c r="C4696" s="1126" t="s">
        <v>1788</v>
      </c>
      <c r="D4696" s="1119">
        <v>93.11</v>
      </c>
      <c r="E4696" s="1120">
        <v>19.72</v>
      </c>
      <c r="F4696" s="1121">
        <f t="shared" si="1"/>
        <v>73.38</v>
      </c>
      <c r="G4696" s="1120">
        <v>73.38</v>
      </c>
      <c r="H4696" s="1127">
        <v>0.0</v>
      </c>
      <c r="I4696" s="1127">
        <v>0.0</v>
      </c>
      <c r="J4696" s="1127">
        <v>0.0</v>
      </c>
      <c r="K4696" s="1124"/>
    </row>
    <row r="4697" ht="15.75" customHeight="1">
      <c r="A4697" s="1119">
        <v>97483.0</v>
      </c>
      <c r="B4697" s="1125" t="s">
        <v>14976</v>
      </c>
      <c r="C4697" s="1126" t="s">
        <v>1788</v>
      </c>
      <c r="D4697" s="1119">
        <v>130.24</v>
      </c>
      <c r="E4697" s="1120">
        <v>24.66</v>
      </c>
      <c r="F4697" s="1121">
        <f t="shared" si="1"/>
        <v>105.58</v>
      </c>
      <c r="G4697" s="1120">
        <v>105.58</v>
      </c>
      <c r="H4697" s="1127">
        <v>0.0</v>
      </c>
      <c r="I4697" s="1127">
        <v>0.0</v>
      </c>
      <c r="J4697" s="1127">
        <v>0.0</v>
      </c>
      <c r="K4697" s="1124"/>
    </row>
    <row r="4698" ht="15.75" customHeight="1">
      <c r="A4698" s="1119">
        <v>97484.0</v>
      </c>
      <c r="B4698" s="1125" t="s">
        <v>14977</v>
      </c>
      <c r="C4698" s="1126" t="s">
        <v>1788</v>
      </c>
      <c r="D4698" s="1119">
        <v>130.24</v>
      </c>
      <c r="E4698" s="1120">
        <v>24.66</v>
      </c>
      <c r="F4698" s="1121">
        <f t="shared" si="1"/>
        <v>105.58</v>
      </c>
      <c r="G4698" s="1120">
        <v>105.58</v>
      </c>
      <c r="H4698" s="1127">
        <v>0.0</v>
      </c>
      <c r="I4698" s="1127">
        <v>0.0</v>
      </c>
      <c r="J4698" s="1127">
        <v>0.0</v>
      </c>
      <c r="K4698" s="1124"/>
    </row>
    <row r="4699" ht="15.75" customHeight="1">
      <c r="A4699" s="1119">
        <v>97485.0</v>
      </c>
      <c r="B4699" s="1125" t="s">
        <v>14978</v>
      </c>
      <c r="C4699" s="1126" t="s">
        <v>1788</v>
      </c>
      <c r="D4699" s="1119">
        <v>179.46</v>
      </c>
      <c r="E4699" s="1120">
        <v>30.82</v>
      </c>
      <c r="F4699" s="1121">
        <f t="shared" si="1"/>
        <v>148.64</v>
      </c>
      <c r="G4699" s="1120">
        <v>148.64</v>
      </c>
      <c r="H4699" s="1127">
        <v>0.0</v>
      </c>
      <c r="I4699" s="1127">
        <v>0.0</v>
      </c>
      <c r="J4699" s="1127">
        <v>0.0</v>
      </c>
      <c r="K4699" s="1124"/>
    </row>
    <row r="4700" ht="15.75" customHeight="1">
      <c r="A4700" s="1119">
        <v>97486.0</v>
      </c>
      <c r="B4700" s="1125" t="s">
        <v>14979</v>
      </c>
      <c r="C4700" s="1126" t="s">
        <v>1788</v>
      </c>
      <c r="D4700" s="1119">
        <v>192.16</v>
      </c>
      <c r="E4700" s="1120">
        <v>30.82</v>
      </c>
      <c r="F4700" s="1121">
        <f t="shared" si="1"/>
        <v>161.34</v>
      </c>
      <c r="G4700" s="1120">
        <v>161.34</v>
      </c>
      <c r="H4700" s="1127">
        <v>0.0</v>
      </c>
      <c r="I4700" s="1127">
        <v>0.0</v>
      </c>
      <c r="J4700" s="1127">
        <v>0.0</v>
      </c>
      <c r="K4700" s="1124"/>
    </row>
    <row r="4701" ht="15.75" customHeight="1">
      <c r="A4701" s="1119">
        <v>97487.0</v>
      </c>
      <c r="B4701" s="1125" t="s">
        <v>14980</v>
      </c>
      <c r="C4701" s="1126" t="s">
        <v>1788</v>
      </c>
      <c r="D4701" s="1119">
        <v>329.52</v>
      </c>
      <c r="E4701" s="1120">
        <v>40.14</v>
      </c>
      <c r="F4701" s="1121">
        <f t="shared" si="1"/>
        <v>289.39</v>
      </c>
      <c r="G4701" s="1120">
        <v>289.39</v>
      </c>
      <c r="H4701" s="1127">
        <v>0.0</v>
      </c>
      <c r="I4701" s="1127">
        <v>0.0</v>
      </c>
      <c r="J4701" s="1127">
        <v>0.0</v>
      </c>
      <c r="K4701" s="1124"/>
    </row>
    <row r="4702" ht="15.75" customHeight="1">
      <c r="A4702" s="1119">
        <v>97488.0</v>
      </c>
      <c r="B4702" s="1125" t="s">
        <v>14981</v>
      </c>
      <c r="C4702" s="1126" t="s">
        <v>1788</v>
      </c>
      <c r="D4702" s="1119">
        <v>349.84</v>
      </c>
      <c r="E4702" s="1120">
        <v>40.14</v>
      </c>
      <c r="F4702" s="1121">
        <f t="shared" si="1"/>
        <v>309.71</v>
      </c>
      <c r="G4702" s="1120">
        <v>309.71</v>
      </c>
      <c r="H4702" s="1127">
        <v>0.0</v>
      </c>
      <c r="I4702" s="1127">
        <v>0.0</v>
      </c>
      <c r="J4702" s="1127">
        <v>0.0</v>
      </c>
      <c r="K4702" s="1124"/>
    </row>
    <row r="4703" ht="15.75" customHeight="1">
      <c r="A4703" s="1119">
        <v>97489.0</v>
      </c>
      <c r="B4703" s="1125" t="s">
        <v>14982</v>
      </c>
      <c r="C4703" s="1126" t="s">
        <v>1788</v>
      </c>
      <c r="D4703" s="1119">
        <v>779.3</v>
      </c>
      <c r="E4703" s="1120">
        <v>49.39</v>
      </c>
      <c r="F4703" s="1121">
        <f t="shared" si="1"/>
        <v>729.89</v>
      </c>
      <c r="G4703" s="1120">
        <v>729.89</v>
      </c>
      <c r="H4703" s="1127">
        <v>0.0</v>
      </c>
      <c r="I4703" s="1127">
        <v>0.0</v>
      </c>
      <c r="J4703" s="1127">
        <v>0.0</v>
      </c>
      <c r="K4703" s="1124"/>
    </row>
    <row r="4704" ht="15.75" customHeight="1">
      <c r="A4704" s="1119">
        <v>97490.0</v>
      </c>
      <c r="B4704" s="1125" t="s">
        <v>14983</v>
      </c>
      <c r="C4704" s="1126" t="s">
        <v>1788</v>
      </c>
      <c r="D4704" s="1119">
        <v>688.14</v>
      </c>
      <c r="E4704" s="1120">
        <v>49.39</v>
      </c>
      <c r="F4704" s="1121">
        <f t="shared" si="1"/>
        <v>638.73</v>
      </c>
      <c r="G4704" s="1120">
        <v>638.73</v>
      </c>
      <c r="H4704" s="1127">
        <v>0.0</v>
      </c>
      <c r="I4704" s="1127">
        <v>0.0</v>
      </c>
      <c r="J4704" s="1127">
        <v>0.0</v>
      </c>
      <c r="K4704" s="1124"/>
    </row>
    <row r="4705" ht="15.75" customHeight="1">
      <c r="A4705" s="1119">
        <v>97491.0</v>
      </c>
      <c r="B4705" s="1125" t="s">
        <v>14984</v>
      </c>
      <c r="C4705" s="1126" t="s">
        <v>1788</v>
      </c>
      <c r="D4705" s="1119">
        <v>99.21</v>
      </c>
      <c r="E4705" s="1120">
        <v>20.48</v>
      </c>
      <c r="F4705" s="1121">
        <f t="shared" si="1"/>
        <v>78.75</v>
      </c>
      <c r="G4705" s="1120">
        <v>78.75</v>
      </c>
      <c r="H4705" s="1127">
        <v>0.0</v>
      </c>
      <c r="I4705" s="1127">
        <v>0.0</v>
      </c>
      <c r="J4705" s="1127">
        <v>0.0</v>
      </c>
      <c r="K4705" s="1124"/>
    </row>
    <row r="4706" ht="15.75" customHeight="1">
      <c r="A4706" s="1119">
        <v>97492.0</v>
      </c>
      <c r="B4706" s="1125" t="s">
        <v>14985</v>
      </c>
      <c r="C4706" s="1126" t="s">
        <v>1788</v>
      </c>
      <c r="D4706" s="1119">
        <v>145.36</v>
      </c>
      <c r="E4706" s="1120">
        <v>26.31</v>
      </c>
      <c r="F4706" s="1121">
        <f t="shared" si="1"/>
        <v>119.07</v>
      </c>
      <c r="G4706" s="1120">
        <v>119.07</v>
      </c>
      <c r="H4706" s="1127">
        <v>0.0</v>
      </c>
      <c r="I4706" s="1127">
        <v>0.0</v>
      </c>
      <c r="J4706" s="1127">
        <v>0.0</v>
      </c>
      <c r="K4706" s="1124"/>
    </row>
    <row r="4707" ht="15.75" customHeight="1">
      <c r="A4707" s="1119">
        <v>97493.0</v>
      </c>
      <c r="B4707" s="1125" t="s">
        <v>14986</v>
      </c>
      <c r="C4707" s="1126" t="s">
        <v>1788</v>
      </c>
      <c r="D4707" s="1119">
        <v>187.41</v>
      </c>
      <c r="E4707" s="1120">
        <v>32.89</v>
      </c>
      <c r="F4707" s="1121">
        <f t="shared" si="1"/>
        <v>154.54</v>
      </c>
      <c r="G4707" s="1120">
        <v>154.54</v>
      </c>
      <c r="H4707" s="1127">
        <v>0.0</v>
      </c>
      <c r="I4707" s="1127">
        <v>0.0</v>
      </c>
      <c r="J4707" s="1127">
        <v>0.0</v>
      </c>
      <c r="K4707" s="1124"/>
    </row>
    <row r="4708" ht="15.75" customHeight="1">
      <c r="A4708" s="1119">
        <v>97494.0</v>
      </c>
      <c r="B4708" s="1125" t="s">
        <v>14987</v>
      </c>
      <c r="C4708" s="1126" t="s">
        <v>1788</v>
      </c>
      <c r="D4708" s="1119">
        <v>290.22</v>
      </c>
      <c r="E4708" s="1120">
        <v>41.11</v>
      </c>
      <c r="F4708" s="1121">
        <f t="shared" si="1"/>
        <v>249.12</v>
      </c>
      <c r="G4708" s="1120">
        <v>249.12</v>
      </c>
      <c r="H4708" s="1127">
        <v>0.0</v>
      </c>
      <c r="I4708" s="1127">
        <v>0.0</v>
      </c>
      <c r="J4708" s="1127">
        <v>0.0</v>
      </c>
      <c r="K4708" s="1124"/>
    </row>
    <row r="4709" ht="15.75" customHeight="1">
      <c r="A4709" s="1119">
        <v>97495.0</v>
      </c>
      <c r="B4709" s="1125" t="s">
        <v>14988</v>
      </c>
      <c r="C4709" s="1126" t="s">
        <v>1788</v>
      </c>
      <c r="D4709" s="1119">
        <v>530.5</v>
      </c>
      <c r="E4709" s="1120">
        <v>53.52</v>
      </c>
      <c r="F4709" s="1121">
        <f t="shared" si="1"/>
        <v>477</v>
      </c>
      <c r="G4709" s="1120">
        <v>477.0</v>
      </c>
      <c r="H4709" s="1127">
        <v>0.0</v>
      </c>
      <c r="I4709" s="1127">
        <v>0.0</v>
      </c>
      <c r="J4709" s="1127">
        <v>0.0</v>
      </c>
      <c r="K4709" s="1124"/>
    </row>
    <row r="4710" ht="15.75" customHeight="1">
      <c r="A4710" s="1119">
        <v>97496.0</v>
      </c>
      <c r="B4710" s="1125" t="s">
        <v>14989</v>
      </c>
      <c r="C4710" s="1126" t="s">
        <v>1788</v>
      </c>
      <c r="D4710" s="1119">
        <v>837.96</v>
      </c>
      <c r="E4710" s="1120">
        <v>65.91</v>
      </c>
      <c r="F4710" s="1121">
        <f t="shared" si="1"/>
        <v>772.06</v>
      </c>
      <c r="G4710" s="1120">
        <v>772.06</v>
      </c>
      <c r="H4710" s="1127">
        <v>0.0</v>
      </c>
      <c r="I4710" s="1127">
        <v>0.0</v>
      </c>
      <c r="J4710" s="1127">
        <v>0.0</v>
      </c>
      <c r="K4710" s="1124"/>
    </row>
    <row r="4711" ht="15.75" customHeight="1">
      <c r="A4711" s="1119">
        <v>97499.0</v>
      </c>
      <c r="B4711" s="1125" t="s">
        <v>14990</v>
      </c>
      <c r="C4711" s="1126" t="s">
        <v>1788</v>
      </c>
      <c r="D4711" s="1119">
        <v>36.78</v>
      </c>
      <c r="E4711" s="1120">
        <v>7.95</v>
      </c>
      <c r="F4711" s="1121">
        <f t="shared" si="1"/>
        <v>28.85</v>
      </c>
      <c r="G4711" s="1120">
        <v>28.85</v>
      </c>
      <c r="H4711" s="1127">
        <v>0.0</v>
      </c>
      <c r="I4711" s="1127">
        <v>0.0</v>
      </c>
      <c r="J4711" s="1127">
        <v>0.0</v>
      </c>
      <c r="K4711" s="1124"/>
    </row>
    <row r="4712" ht="15.75" customHeight="1">
      <c r="A4712" s="1119">
        <v>97500.0</v>
      </c>
      <c r="B4712" s="1125" t="s">
        <v>14991</v>
      </c>
      <c r="C4712" s="1126" t="s">
        <v>1788</v>
      </c>
      <c r="D4712" s="1119">
        <v>30.26</v>
      </c>
      <c r="E4712" s="1120">
        <v>7.95</v>
      </c>
      <c r="F4712" s="1121">
        <f t="shared" si="1"/>
        <v>22.32</v>
      </c>
      <c r="G4712" s="1120">
        <v>22.32</v>
      </c>
      <c r="H4712" s="1127">
        <v>0.0</v>
      </c>
      <c r="I4712" s="1127">
        <v>0.0</v>
      </c>
      <c r="J4712" s="1127">
        <v>0.0</v>
      </c>
      <c r="K4712" s="1124"/>
    </row>
    <row r="4713" ht="15.75" customHeight="1">
      <c r="A4713" s="1119">
        <v>97502.0</v>
      </c>
      <c r="B4713" s="1125" t="s">
        <v>14992</v>
      </c>
      <c r="C4713" s="1126" t="s">
        <v>1788</v>
      </c>
      <c r="D4713" s="1119">
        <v>51.61</v>
      </c>
      <c r="E4713" s="1120">
        <v>8.8</v>
      </c>
      <c r="F4713" s="1121">
        <f t="shared" si="1"/>
        <v>42.8</v>
      </c>
      <c r="G4713" s="1120">
        <v>42.8</v>
      </c>
      <c r="H4713" s="1127">
        <v>0.0</v>
      </c>
      <c r="I4713" s="1127">
        <v>0.0</v>
      </c>
      <c r="J4713" s="1127">
        <v>0.0</v>
      </c>
      <c r="K4713" s="1124"/>
    </row>
    <row r="4714" ht="15.75" customHeight="1">
      <c r="A4714" s="1119">
        <v>97503.0</v>
      </c>
      <c r="B4714" s="1125" t="s">
        <v>14993</v>
      </c>
      <c r="C4714" s="1126" t="s">
        <v>1788</v>
      </c>
      <c r="D4714" s="1119">
        <v>62.88</v>
      </c>
      <c r="E4714" s="1120">
        <v>9.01</v>
      </c>
      <c r="F4714" s="1121">
        <f t="shared" si="1"/>
        <v>53.86</v>
      </c>
      <c r="G4714" s="1120">
        <v>53.86</v>
      </c>
      <c r="H4714" s="1127">
        <v>0.0</v>
      </c>
      <c r="I4714" s="1127">
        <v>0.0</v>
      </c>
      <c r="J4714" s="1127">
        <v>0.0</v>
      </c>
      <c r="K4714" s="1124"/>
    </row>
    <row r="4715" ht="15.75" customHeight="1">
      <c r="A4715" s="1119">
        <v>97505.0</v>
      </c>
      <c r="B4715" s="1125" t="s">
        <v>14994</v>
      </c>
      <c r="C4715" s="1126" t="s">
        <v>1788</v>
      </c>
      <c r="D4715" s="1119">
        <v>64.65</v>
      </c>
      <c r="E4715" s="1120">
        <v>10.33</v>
      </c>
      <c r="F4715" s="1121">
        <f t="shared" si="1"/>
        <v>54.32</v>
      </c>
      <c r="G4715" s="1120">
        <v>54.32</v>
      </c>
      <c r="H4715" s="1127">
        <v>0.0</v>
      </c>
      <c r="I4715" s="1127">
        <v>0.0</v>
      </c>
      <c r="J4715" s="1127">
        <v>0.0</v>
      </c>
      <c r="K4715" s="1124"/>
    </row>
    <row r="4716" ht="15.75" customHeight="1">
      <c r="A4716" s="1119">
        <v>97506.0</v>
      </c>
      <c r="B4716" s="1125" t="s">
        <v>14995</v>
      </c>
      <c r="C4716" s="1126" t="s">
        <v>1788</v>
      </c>
      <c r="D4716" s="1119">
        <v>78.73</v>
      </c>
      <c r="E4716" s="1120">
        <v>10.33</v>
      </c>
      <c r="F4716" s="1121">
        <f t="shared" si="1"/>
        <v>68.4</v>
      </c>
      <c r="G4716" s="1120">
        <v>68.4</v>
      </c>
      <c r="H4716" s="1127">
        <v>0.0</v>
      </c>
      <c r="I4716" s="1127">
        <v>0.0</v>
      </c>
      <c r="J4716" s="1127">
        <v>0.0</v>
      </c>
      <c r="K4716" s="1124"/>
    </row>
    <row r="4717" ht="15.75" customHeight="1">
      <c r="A4717" s="1119">
        <v>97508.0</v>
      </c>
      <c r="B4717" s="1125" t="s">
        <v>14996</v>
      </c>
      <c r="C4717" s="1126" t="s">
        <v>1788</v>
      </c>
      <c r="D4717" s="1119">
        <v>95.84</v>
      </c>
      <c r="E4717" s="1120">
        <v>11.9</v>
      </c>
      <c r="F4717" s="1121">
        <f t="shared" si="1"/>
        <v>83.93</v>
      </c>
      <c r="G4717" s="1120">
        <v>83.93</v>
      </c>
      <c r="H4717" s="1127">
        <v>0.0</v>
      </c>
      <c r="I4717" s="1127">
        <v>0.0</v>
      </c>
      <c r="J4717" s="1127">
        <v>0.0</v>
      </c>
      <c r="K4717" s="1124"/>
    </row>
    <row r="4718" ht="15.75" customHeight="1">
      <c r="A4718" s="1119">
        <v>97509.0</v>
      </c>
      <c r="B4718" s="1125" t="s">
        <v>14997</v>
      </c>
      <c r="C4718" s="1126" t="s">
        <v>1788</v>
      </c>
      <c r="D4718" s="1119">
        <v>118.1</v>
      </c>
      <c r="E4718" s="1120">
        <v>11.9</v>
      </c>
      <c r="F4718" s="1121">
        <f t="shared" si="1"/>
        <v>106.19</v>
      </c>
      <c r="G4718" s="1120">
        <v>106.19</v>
      </c>
      <c r="H4718" s="1127">
        <v>0.0</v>
      </c>
      <c r="I4718" s="1127">
        <v>0.0</v>
      </c>
      <c r="J4718" s="1127">
        <v>0.0</v>
      </c>
      <c r="K4718" s="1124"/>
    </row>
    <row r="4719" ht="15.75" customHeight="1">
      <c r="A4719" s="1119">
        <v>97511.0</v>
      </c>
      <c r="B4719" s="1125" t="s">
        <v>14998</v>
      </c>
      <c r="C4719" s="1126" t="s">
        <v>1788</v>
      </c>
      <c r="D4719" s="1119">
        <v>179.34</v>
      </c>
      <c r="E4719" s="1120">
        <v>14.3</v>
      </c>
      <c r="F4719" s="1121">
        <f t="shared" si="1"/>
        <v>165.03</v>
      </c>
      <c r="G4719" s="1120">
        <v>165.03</v>
      </c>
      <c r="H4719" s="1127">
        <v>0.0</v>
      </c>
      <c r="I4719" s="1127">
        <v>0.0</v>
      </c>
      <c r="J4719" s="1127">
        <v>0.0</v>
      </c>
      <c r="K4719" s="1124"/>
    </row>
    <row r="4720" ht="15.75" customHeight="1">
      <c r="A4720" s="1119">
        <v>97512.0</v>
      </c>
      <c r="B4720" s="1125" t="s">
        <v>14999</v>
      </c>
      <c r="C4720" s="1126" t="s">
        <v>1788</v>
      </c>
      <c r="D4720" s="1119">
        <v>224.34</v>
      </c>
      <c r="E4720" s="1120">
        <v>14.3</v>
      </c>
      <c r="F4720" s="1121">
        <f t="shared" si="1"/>
        <v>210.03</v>
      </c>
      <c r="G4720" s="1120">
        <v>210.03</v>
      </c>
      <c r="H4720" s="1127">
        <v>0.0</v>
      </c>
      <c r="I4720" s="1127">
        <v>0.0</v>
      </c>
      <c r="J4720" s="1127">
        <v>0.0</v>
      </c>
      <c r="K4720" s="1124"/>
    </row>
    <row r="4721" ht="15.75" customHeight="1">
      <c r="A4721" s="1119">
        <v>97514.0</v>
      </c>
      <c r="B4721" s="1125" t="s">
        <v>15000</v>
      </c>
      <c r="C4721" s="1126" t="s">
        <v>1788</v>
      </c>
      <c r="D4721" s="1119">
        <v>239.07</v>
      </c>
      <c r="E4721" s="1120">
        <v>16.63</v>
      </c>
      <c r="F4721" s="1121">
        <f t="shared" si="1"/>
        <v>222.43</v>
      </c>
      <c r="G4721" s="1120">
        <v>222.43</v>
      </c>
      <c r="H4721" s="1127">
        <v>0.0</v>
      </c>
      <c r="I4721" s="1127">
        <v>0.0</v>
      </c>
      <c r="J4721" s="1127">
        <v>0.0</v>
      </c>
      <c r="K4721" s="1124"/>
    </row>
    <row r="4722" ht="15.75" customHeight="1">
      <c r="A4722" s="1119">
        <v>97515.0</v>
      </c>
      <c r="B4722" s="1125" t="s">
        <v>15001</v>
      </c>
      <c r="C4722" s="1126" t="s">
        <v>1788</v>
      </c>
      <c r="D4722" s="1119">
        <v>299.69</v>
      </c>
      <c r="E4722" s="1120">
        <v>16.63</v>
      </c>
      <c r="F4722" s="1121">
        <f t="shared" si="1"/>
        <v>283.05</v>
      </c>
      <c r="G4722" s="1120">
        <v>283.05</v>
      </c>
      <c r="H4722" s="1127">
        <v>0.0</v>
      </c>
      <c r="I4722" s="1127">
        <v>0.0</v>
      </c>
      <c r="J4722" s="1127">
        <v>0.0</v>
      </c>
      <c r="K4722" s="1124"/>
    </row>
    <row r="4723" ht="15.75" customHeight="1">
      <c r="A4723" s="1119">
        <v>97517.0</v>
      </c>
      <c r="B4723" s="1125" t="s">
        <v>15002</v>
      </c>
      <c r="C4723" s="1126" t="s">
        <v>1788</v>
      </c>
      <c r="D4723" s="1119">
        <v>59.66</v>
      </c>
      <c r="E4723" s="1120">
        <v>11.91</v>
      </c>
      <c r="F4723" s="1121">
        <f t="shared" si="1"/>
        <v>47.74</v>
      </c>
      <c r="G4723" s="1120">
        <v>47.74</v>
      </c>
      <c r="H4723" s="1127">
        <v>0.0</v>
      </c>
      <c r="I4723" s="1127">
        <v>0.0</v>
      </c>
      <c r="J4723" s="1127">
        <v>0.0</v>
      </c>
      <c r="K4723" s="1124"/>
    </row>
    <row r="4724" ht="15.75" customHeight="1">
      <c r="A4724" s="1119">
        <v>97518.0</v>
      </c>
      <c r="B4724" s="1125" t="s">
        <v>15003</v>
      </c>
      <c r="C4724" s="1126" t="s">
        <v>1788</v>
      </c>
      <c r="D4724" s="1119">
        <v>59.66</v>
      </c>
      <c r="E4724" s="1120">
        <v>11.91</v>
      </c>
      <c r="F4724" s="1121">
        <f t="shared" si="1"/>
        <v>47.74</v>
      </c>
      <c r="G4724" s="1120">
        <v>47.74</v>
      </c>
      <c r="H4724" s="1127">
        <v>0.0</v>
      </c>
      <c r="I4724" s="1127">
        <v>0.0</v>
      </c>
      <c r="J4724" s="1127">
        <v>0.0</v>
      </c>
      <c r="K4724" s="1124"/>
    </row>
    <row r="4725" ht="15.75" customHeight="1">
      <c r="A4725" s="1119">
        <v>97519.0</v>
      </c>
      <c r="B4725" s="1125" t="s">
        <v>15004</v>
      </c>
      <c r="C4725" s="1126" t="s">
        <v>1788</v>
      </c>
      <c r="D4725" s="1119">
        <v>84.85</v>
      </c>
      <c r="E4725" s="1120">
        <v>13.54</v>
      </c>
      <c r="F4725" s="1121">
        <f t="shared" si="1"/>
        <v>71.32</v>
      </c>
      <c r="G4725" s="1120">
        <v>71.32</v>
      </c>
      <c r="H4725" s="1127">
        <v>0.0</v>
      </c>
      <c r="I4725" s="1127">
        <v>0.0</v>
      </c>
      <c r="J4725" s="1127">
        <v>0.0</v>
      </c>
      <c r="K4725" s="1124"/>
    </row>
    <row r="4726" ht="15.75" customHeight="1">
      <c r="A4726" s="1119">
        <v>97520.0</v>
      </c>
      <c r="B4726" s="1125" t="s">
        <v>15005</v>
      </c>
      <c r="C4726" s="1126" t="s">
        <v>1788</v>
      </c>
      <c r="D4726" s="1119">
        <v>84.85</v>
      </c>
      <c r="E4726" s="1120">
        <v>13.54</v>
      </c>
      <c r="F4726" s="1121">
        <f t="shared" si="1"/>
        <v>71.32</v>
      </c>
      <c r="G4726" s="1120">
        <v>71.32</v>
      </c>
      <c r="H4726" s="1127">
        <v>0.0</v>
      </c>
      <c r="I4726" s="1127">
        <v>0.0</v>
      </c>
      <c r="J4726" s="1127">
        <v>0.0</v>
      </c>
      <c r="K4726" s="1124"/>
    </row>
    <row r="4727" ht="15.75" customHeight="1">
      <c r="A4727" s="1119">
        <v>97521.0</v>
      </c>
      <c r="B4727" s="1125" t="s">
        <v>15006</v>
      </c>
      <c r="C4727" s="1126" t="s">
        <v>1788</v>
      </c>
      <c r="D4727" s="1119">
        <v>117.96</v>
      </c>
      <c r="E4727" s="1120">
        <v>15.46</v>
      </c>
      <c r="F4727" s="1121">
        <f t="shared" si="1"/>
        <v>102.5</v>
      </c>
      <c r="G4727" s="1120">
        <v>102.5</v>
      </c>
      <c r="H4727" s="1127">
        <v>0.0</v>
      </c>
      <c r="I4727" s="1127">
        <v>0.0</v>
      </c>
      <c r="J4727" s="1127">
        <v>0.0</v>
      </c>
      <c r="K4727" s="1124"/>
    </row>
    <row r="4728" ht="15.75" customHeight="1">
      <c r="A4728" s="1119">
        <v>97522.0</v>
      </c>
      <c r="B4728" s="1125" t="s">
        <v>15007</v>
      </c>
      <c r="C4728" s="1126" t="s">
        <v>1788</v>
      </c>
      <c r="D4728" s="1119">
        <v>117.96</v>
      </c>
      <c r="E4728" s="1120">
        <v>15.46</v>
      </c>
      <c r="F4728" s="1121">
        <f t="shared" si="1"/>
        <v>102.5</v>
      </c>
      <c r="G4728" s="1120">
        <v>102.5</v>
      </c>
      <c r="H4728" s="1127">
        <v>0.0</v>
      </c>
      <c r="I4728" s="1127">
        <v>0.0</v>
      </c>
      <c r="J4728" s="1127">
        <v>0.0</v>
      </c>
      <c r="K4728" s="1124"/>
    </row>
    <row r="4729" ht="15.75" customHeight="1">
      <c r="A4729" s="1119">
        <v>97523.0</v>
      </c>
      <c r="B4729" s="1125" t="s">
        <v>15008</v>
      </c>
      <c r="C4729" s="1126" t="s">
        <v>1788</v>
      </c>
      <c r="D4729" s="1119">
        <v>162.13</v>
      </c>
      <c r="E4729" s="1120">
        <v>17.86</v>
      </c>
      <c r="F4729" s="1121">
        <f t="shared" si="1"/>
        <v>144.28</v>
      </c>
      <c r="G4729" s="1120">
        <v>144.28</v>
      </c>
      <c r="H4729" s="1127">
        <v>0.0</v>
      </c>
      <c r="I4729" s="1127">
        <v>0.0</v>
      </c>
      <c r="J4729" s="1127">
        <v>0.0</v>
      </c>
      <c r="K4729" s="1124"/>
    </row>
    <row r="4730" ht="15.75" customHeight="1">
      <c r="A4730" s="1119">
        <v>97524.0</v>
      </c>
      <c r="B4730" s="1125" t="s">
        <v>15009</v>
      </c>
      <c r="C4730" s="1126" t="s">
        <v>1788</v>
      </c>
      <c r="D4730" s="1119">
        <v>174.83</v>
      </c>
      <c r="E4730" s="1120">
        <v>17.86</v>
      </c>
      <c r="F4730" s="1121">
        <f t="shared" si="1"/>
        <v>156.98</v>
      </c>
      <c r="G4730" s="1120">
        <v>156.98</v>
      </c>
      <c r="H4730" s="1127">
        <v>0.0</v>
      </c>
      <c r="I4730" s="1127">
        <v>0.0</v>
      </c>
      <c r="J4730" s="1127">
        <v>0.0</v>
      </c>
      <c r="K4730" s="1124"/>
    </row>
    <row r="4731" ht="15.75" customHeight="1">
      <c r="A4731" s="1119">
        <v>97525.0</v>
      </c>
      <c r="B4731" s="1125" t="s">
        <v>15010</v>
      </c>
      <c r="C4731" s="1126" t="s">
        <v>1788</v>
      </c>
      <c r="D4731" s="1119">
        <v>304.51</v>
      </c>
      <c r="E4731" s="1120">
        <v>21.42</v>
      </c>
      <c r="F4731" s="1121">
        <f t="shared" si="1"/>
        <v>283.09</v>
      </c>
      <c r="G4731" s="1120">
        <v>283.09</v>
      </c>
      <c r="H4731" s="1127">
        <v>0.0</v>
      </c>
      <c r="I4731" s="1127">
        <v>0.0</v>
      </c>
      <c r="J4731" s="1127">
        <v>0.0</v>
      </c>
      <c r="K4731" s="1124"/>
    </row>
    <row r="4732" ht="15.75" customHeight="1">
      <c r="A4732" s="1119">
        <v>97526.0</v>
      </c>
      <c r="B4732" s="1125" t="s">
        <v>15011</v>
      </c>
      <c r="C4732" s="1126" t="s">
        <v>1788</v>
      </c>
      <c r="D4732" s="1119">
        <v>324.83</v>
      </c>
      <c r="E4732" s="1120">
        <v>21.42</v>
      </c>
      <c r="F4732" s="1121">
        <f t="shared" si="1"/>
        <v>303.41</v>
      </c>
      <c r="G4732" s="1120">
        <v>303.41</v>
      </c>
      <c r="H4732" s="1127">
        <v>0.0</v>
      </c>
      <c r="I4732" s="1127">
        <v>0.0</v>
      </c>
      <c r="J4732" s="1127">
        <v>0.0</v>
      </c>
      <c r="K4732" s="1124"/>
    </row>
    <row r="4733" ht="15.75" customHeight="1">
      <c r="A4733" s="1119">
        <v>97527.0</v>
      </c>
      <c r="B4733" s="1125" t="s">
        <v>15012</v>
      </c>
      <c r="C4733" s="1126" t="s">
        <v>1788</v>
      </c>
      <c r="D4733" s="1119">
        <v>746.67</v>
      </c>
      <c r="E4733" s="1120">
        <v>24.98</v>
      </c>
      <c r="F4733" s="1121">
        <f t="shared" si="1"/>
        <v>721.68</v>
      </c>
      <c r="G4733" s="1120">
        <v>721.68</v>
      </c>
      <c r="H4733" s="1127">
        <v>0.0</v>
      </c>
      <c r="I4733" s="1127">
        <v>0.0</v>
      </c>
      <c r="J4733" s="1127">
        <v>0.0</v>
      </c>
      <c r="K4733" s="1124"/>
    </row>
    <row r="4734" ht="15.75" customHeight="1">
      <c r="A4734" s="1119">
        <v>97528.0</v>
      </c>
      <c r="B4734" s="1125" t="s">
        <v>15013</v>
      </c>
      <c r="C4734" s="1126" t="s">
        <v>1788</v>
      </c>
      <c r="D4734" s="1119">
        <v>655.51</v>
      </c>
      <c r="E4734" s="1120">
        <v>24.98</v>
      </c>
      <c r="F4734" s="1121">
        <f t="shared" si="1"/>
        <v>630.52</v>
      </c>
      <c r="G4734" s="1120">
        <v>630.52</v>
      </c>
      <c r="H4734" s="1127">
        <v>0.0</v>
      </c>
      <c r="I4734" s="1127">
        <v>0.0</v>
      </c>
      <c r="J4734" s="1127">
        <v>0.0</v>
      </c>
      <c r="K4734" s="1124"/>
    </row>
    <row r="4735" ht="15.75" customHeight="1">
      <c r="A4735" s="1119">
        <v>97529.0</v>
      </c>
      <c r="B4735" s="1125" t="s">
        <v>15014</v>
      </c>
      <c r="C4735" s="1126" t="s">
        <v>1788</v>
      </c>
      <c r="D4735" s="1119">
        <v>93.07</v>
      </c>
      <c r="E4735" s="1120">
        <v>15.88</v>
      </c>
      <c r="F4735" s="1121">
        <f t="shared" si="1"/>
        <v>77.19</v>
      </c>
      <c r="G4735" s="1120">
        <v>77.19</v>
      </c>
      <c r="H4735" s="1127">
        <v>0.0</v>
      </c>
      <c r="I4735" s="1127">
        <v>0.0</v>
      </c>
      <c r="J4735" s="1127">
        <v>0.0</v>
      </c>
      <c r="K4735" s="1124"/>
    </row>
    <row r="4736" ht="15.75" customHeight="1">
      <c r="A4736" s="1119">
        <v>97530.0</v>
      </c>
      <c r="B4736" s="1125" t="s">
        <v>15015</v>
      </c>
      <c r="C4736" s="1126" t="s">
        <v>1788</v>
      </c>
      <c r="D4736" s="1119">
        <v>134.37</v>
      </c>
      <c r="E4736" s="1120">
        <v>18.06</v>
      </c>
      <c r="F4736" s="1121">
        <f t="shared" si="1"/>
        <v>116.3</v>
      </c>
      <c r="G4736" s="1120">
        <v>116.3</v>
      </c>
      <c r="H4736" s="1127">
        <v>0.0</v>
      </c>
      <c r="I4736" s="1127">
        <v>0.0</v>
      </c>
      <c r="J4736" s="1127">
        <v>0.0</v>
      </c>
      <c r="K4736" s="1124"/>
    </row>
    <row r="4737" ht="15.75" customHeight="1">
      <c r="A4737" s="1119">
        <v>97531.0</v>
      </c>
      <c r="B4737" s="1125" t="s">
        <v>15016</v>
      </c>
      <c r="C4737" s="1126" t="s">
        <v>1788</v>
      </c>
      <c r="D4737" s="1119">
        <v>171.01</v>
      </c>
      <c r="E4737" s="1120">
        <v>20.61</v>
      </c>
      <c r="F4737" s="1121">
        <f t="shared" si="1"/>
        <v>150.4</v>
      </c>
      <c r="G4737" s="1120">
        <v>150.4</v>
      </c>
      <c r="H4737" s="1127">
        <v>0.0</v>
      </c>
      <c r="I4737" s="1127">
        <v>0.0</v>
      </c>
      <c r="J4737" s="1127">
        <v>0.0</v>
      </c>
      <c r="K4737" s="1124"/>
    </row>
    <row r="4738" ht="15.75" customHeight="1">
      <c r="A4738" s="1119">
        <v>97532.0</v>
      </c>
      <c r="B4738" s="1125" t="s">
        <v>15017</v>
      </c>
      <c r="C4738" s="1126" t="s">
        <v>1788</v>
      </c>
      <c r="D4738" s="1119">
        <v>267.14</v>
      </c>
      <c r="E4738" s="1120">
        <v>23.83</v>
      </c>
      <c r="F4738" s="1121">
        <f t="shared" si="1"/>
        <v>243.31</v>
      </c>
      <c r="G4738" s="1120">
        <v>243.31</v>
      </c>
      <c r="H4738" s="1127">
        <v>0.0</v>
      </c>
      <c r="I4738" s="1127">
        <v>0.0</v>
      </c>
      <c r="J4738" s="1127">
        <v>0.0</v>
      </c>
      <c r="K4738" s="1124"/>
    </row>
    <row r="4739" ht="15.75" customHeight="1">
      <c r="A4739" s="1119">
        <v>97533.0</v>
      </c>
      <c r="B4739" s="1125" t="s">
        <v>15018</v>
      </c>
      <c r="C4739" s="1126" t="s">
        <v>1788</v>
      </c>
      <c r="D4739" s="1119">
        <v>502.1</v>
      </c>
      <c r="E4739" s="1120">
        <v>32.27</v>
      </c>
      <c r="F4739" s="1121">
        <f t="shared" si="1"/>
        <v>469.84</v>
      </c>
      <c r="G4739" s="1120">
        <v>469.84</v>
      </c>
      <c r="H4739" s="1127">
        <v>0.0</v>
      </c>
      <c r="I4739" s="1127">
        <v>0.0</v>
      </c>
      <c r="J4739" s="1127">
        <v>0.0</v>
      </c>
      <c r="K4739" s="1124"/>
    </row>
    <row r="4740" ht="15.75" customHeight="1">
      <c r="A4740" s="1119">
        <v>97534.0</v>
      </c>
      <c r="B4740" s="1125" t="s">
        <v>15019</v>
      </c>
      <c r="C4740" s="1126" t="s">
        <v>1788</v>
      </c>
      <c r="D4740" s="1119">
        <v>794.43</v>
      </c>
      <c r="E4740" s="1120">
        <v>33.34</v>
      </c>
      <c r="F4740" s="1121">
        <f t="shared" si="1"/>
        <v>761.09</v>
      </c>
      <c r="G4740" s="1120">
        <v>761.09</v>
      </c>
      <c r="H4740" s="1127">
        <v>0.0</v>
      </c>
      <c r="I4740" s="1127">
        <v>0.0</v>
      </c>
      <c r="J4740" s="1127">
        <v>0.0</v>
      </c>
      <c r="K4740" s="1124"/>
    </row>
    <row r="4741" ht="15.75" customHeight="1">
      <c r="A4741" s="1119">
        <v>97537.0</v>
      </c>
      <c r="B4741" s="1125" t="s">
        <v>15020</v>
      </c>
      <c r="C4741" s="1126" t="s">
        <v>1788</v>
      </c>
      <c r="D4741" s="1119">
        <v>27.71</v>
      </c>
      <c r="E4741" s="1120">
        <v>7.81</v>
      </c>
      <c r="F4741" s="1121">
        <f t="shared" si="1"/>
        <v>19.9</v>
      </c>
      <c r="G4741" s="1120">
        <v>19.9</v>
      </c>
      <c r="H4741" s="1127">
        <v>0.0</v>
      </c>
      <c r="I4741" s="1127">
        <v>0.0</v>
      </c>
      <c r="J4741" s="1127">
        <v>0.0</v>
      </c>
      <c r="K4741" s="1124"/>
    </row>
    <row r="4742" ht="15.75" customHeight="1">
      <c r="A4742" s="1119">
        <v>97540.0</v>
      </c>
      <c r="B4742" s="1125" t="s">
        <v>15021</v>
      </c>
      <c r="C4742" s="1126" t="s">
        <v>1788</v>
      </c>
      <c r="D4742" s="1119">
        <v>37.41</v>
      </c>
      <c r="E4742" s="1120">
        <v>13.44</v>
      </c>
      <c r="F4742" s="1121">
        <f t="shared" si="1"/>
        <v>23.98</v>
      </c>
      <c r="G4742" s="1120">
        <v>23.98</v>
      </c>
      <c r="H4742" s="1127">
        <v>0.0</v>
      </c>
      <c r="I4742" s="1127">
        <v>0.0</v>
      </c>
      <c r="J4742" s="1127">
        <v>0.0</v>
      </c>
      <c r="K4742" s="1124"/>
    </row>
    <row r="4743" ht="15.75" customHeight="1">
      <c r="A4743" s="1119">
        <v>97541.0</v>
      </c>
      <c r="B4743" s="1125" t="s">
        <v>15022</v>
      </c>
      <c r="C4743" s="1126" t="s">
        <v>1788</v>
      </c>
      <c r="D4743" s="1119">
        <v>31.99</v>
      </c>
      <c r="E4743" s="1120">
        <v>13.45</v>
      </c>
      <c r="F4743" s="1121">
        <f t="shared" si="1"/>
        <v>18.55</v>
      </c>
      <c r="G4743" s="1120">
        <v>18.55</v>
      </c>
      <c r="H4743" s="1127">
        <v>0.0</v>
      </c>
      <c r="I4743" s="1127">
        <v>0.0</v>
      </c>
      <c r="J4743" s="1127">
        <v>0.0</v>
      </c>
      <c r="K4743" s="1124"/>
    </row>
    <row r="4744" ht="15.75" customHeight="1">
      <c r="A4744" s="1119">
        <v>97543.0</v>
      </c>
      <c r="B4744" s="1125" t="s">
        <v>15023</v>
      </c>
      <c r="C4744" s="1126" t="s">
        <v>1788</v>
      </c>
      <c r="D4744" s="1119">
        <v>61.06</v>
      </c>
      <c r="E4744" s="1120">
        <v>26.12</v>
      </c>
      <c r="F4744" s="1121">
        <f t="shared" si="1"/>
        <v>34.95</v>
      </c>
      <c r="G4744" s="1120">
        <v>34.95</v>
      </c>
      <c r="H4744" s="1127">
        <v>0.0</v>
      </c>
      <c r="I4744" s="1127">
        <v>0.0</v>
      </c>
      <c r="J4744" s="1127">
        <v>0.0</v>
      </c>
      <c r="K4744" s="1124"/>
    </row>
    <row r="4745" ht="15.75" customHeight="1">
      <c r="A4745" s="1119">
        <v>97544.0</v>
      </c>
      <c r="B4745" s="1125" t="s">
        <v>15024</v>
      </c>
      <c r="C4745" s="1126" t="s">
        <v>1788</v>
      </c>
      <c r="D4745" s="1119">
        <v>54.54</v>
      </c>
      <c r="E4745" s="1120">
        <v>26.13</v>
      </c>
      <c r="F4745" s="1121">
        <f t="shared" si="1"/>
        <v>28.43</v>
      </c>
      <c r="G4745" s="1120">
        <v>28.43</v>
      </c>
      <c r="H4745" s="1127">
        <v>0.0</v>
      </c>
      <c r="I4745" s="1127">
        <v>0.0</v>
      </c>
      <c r="J4745" s="1127">
        <v>0.0</v>
      </c>
      <c r="K4745" s="1124"/>
    </row>
    <row r="4746" ht="15.75" customHeight="1">
      <c r="A4746" s="1119">
        <v>97546.0</v>
      </c>
      <c r="B4746" s="1125" t="s">
        <v>15025</v>
      </c>
      <c r="C4746" s="1126" t="s">
        <v>1788</v>
      </c>
      <c r="D4746" s="1119">
        <v>38.83</v>
      </c>
      <c r="E4746" s="1120">
        <v>11.78</v>
      </c>
      <c r="F4746" s="1121">
        <f t="shared" si="1"/>
        <v>27.05</v>
      </c>
      <c r="G4746" s="1120">
        <v>27.05</v>
      </c>
      <c r="H4746" s="1127">
        <v>0.0</v>
      </c>
      <c r="I4746" s="1127">
        <v>0.0</v>
      </c>
      <c r="J4746" s="1127">
        <v>0.0</v>
      </c>
      <c r="K4746" s="1124"/>
    </row>
    <row r="4747" ht="15.75" customHeight="1">
      <c r="A4747" s="1119">
        <v>97547.0</v>
      </c>
      <c r="B4747" s="1125" t="s">
        <v>15026</v>
      </c>
      <c r="C4747" s="1126" t="s">
        <v>1788</v>
      </c>
      <c r="D4747" s="1119">
        <v>38.83</v>
      </c>
      <c r="E4747" s="1120">
        <v>11.78</v>
      </c>
      <c r="F4747" s="1121">
        <f t="shared" si="1"/>
        <v>27.05</v>
      </c>
      <c r="G4747" s="1120">
        <v>27.05</v>
      </c>
      <c r="H4747" s="1127">
        <v>0.0</v>
      </c>
      <c r="I4747" s="1127">
        <v>0.0</v>
      </c>
      <c r="J4747" s="1127">
        <v>0.0</v>
      </c>
      <c r="K4747" s="1124"/>
    </row>
    <row r="4748" ht="15.75" customHeight="1">
      <c r="A4748" s="1119">
        <v>97548.0</v>
      </c>
      <c r="B4748" s="1125" t="s">
        <v>15027</v>
      </c>
      <c r="C4748" s="1126" t="s">
        <v>1788</v>
      </c>
      <c r="D4748" s="1119">
        <v>57.71</v>
      </c>
      <c r="E4748" s="1120">
        <v>20.14</v>
      </c>
      <c r="F4748" s="1121">
        <f t="shared" si="1"/>
        <v>37.56</v>
      </c>
      <c r="G4748" s="1120">
        <v>37.56</v>
      </c>
      <c r="H4748" s="1127">
        <v>0.0</v>
      </c>
      <c r="I4748" s="1127">
        <v>0.0</v>
      </c>
      <c r="J4748" s="1127">
        <v>0.0</v>
      </c>
      <c r="K4748" s="1124"/>
    </row>
    <row r="4749" ht="15.75" customHeight="1">
      <c r="A4749" s="1119">
        <v>97549.0</v>
      </c>
      <c r="B4749" s="1125" t="s">
        <v>15028</v>
      </c>
      <c r="C4749" s="1126" t="s">
        <v>1788</v>
      </c>
      <c r="D4749" s="1119">
        <v>57.71</v>
      </c>
      <c r="E4749" s="1120">
        <v>20.14</v>
      </c>
      <c r="F4749" s="1121">
        <f t="shared" si="1"/>
        <v>37.56</v>
      </c>
      <c r="G4749" s="1120">
        <v>37.56</v>
      </c>
      <c r="H4749" s="1127">
        <v>0.0</v>
      </c>
      <c r="I4749" s="1127">
        <v>0.0</v>
      </c>
      <c r="J4749" s="1127">
        <v>0.0</v>
      </c>
      <c r="K4749" s="1124"/>
    </row>
    <row r="4750" ht="15.75" customHeight="1">
      <c r="A4750" s="1119">
        <v>97550.0</v>
      </c>
      <c r="B4750" s="1125" t="s">
        <v>15029</v>
      </c>
      <c r="C4750" s="1126" t="s">
        <v>1788</v>
      </c>
      <c r="D4750" s="1119">
        <v>96.13</v>
      </c>
      <c r="E4750" s="1120">
        <v>39.21</v>
      </c>
      <c r="F4750" s="1121">
        <f t="shared" si="1"/>
        <v>56.92</v>
      </c>
      <c r="G4750" s="1120">
        <v>56.92</v>
      </c>
      <c r="H4750" s="1127">
        <v>0.0</v>
      </c>
      <c r="I4750" s="1127">
        <v>0.0</v>
      </c>
      <c r="J4750" s="1127">
        <v>0.0</v>
      </c>
      <c r="K4750" s="1124"/>
    </row>
    <row r="4751" ht="15.75" customHeight="1">
      <c r="A4751" s="1119">
        <v>97551.0</v>
      </c>
      <c r="B4751" s="1125" t="s">
        <v>15030</v>
      </c>
      <c r="C4751" s="1126" t="s">
        <v>1788</v>
      </c>
      <c r="D4751" s="1119">
        <v>96.13</v>
      </c>
      <c r="E4751" s="1120">
        <v>39.21</v>
      </c>
      <c r="F4751" s="1121">
        <f t="shared" si="1"/>
        <v>56.92</v>
      </c>
      <c r="G4751" s="1120">
        <v>56.92</v>
      </c>
      <c r="H4751" s="1127">
        <v>0.0</v>
      </c>
      <c r="I4751" s="1127">
        <v>0.0</v>
      </c>
      <c r="J4751" s="1127">
        <v>0.0</v>
      </c>
      <c r="K4751" s="1124"/>
    </row>
    <row r="4752" ht="15.75" customHeight="1">
      <c r="A4752" s="1119">
        <v>97552.0</v>
      </c>
      <c r="B4752" s="1125" t="s">
        <v>15031</v>
      </c>
      <c r="C4752" s="1126" t="s">
        <v>1788</v>
      </c>
      <c r="D4752" s="1119">
        <v>56.48</v>
      </c>
      <c r="E4752" s="1120">
        <v>15.69</v>
      </c>
      <c r="F4752" s="1121">
        <f t="shared" si="1"/>
        <v>40.82</v>
      </c>
      <c r="G4752" s="1120">
        <v>40.82</v>
      </c>
      <c r="H4752" s="1127">
        <v>0.0</v>
      </c>
      <c r="I4752" s="1127">
        <v>0.0</v>
      </c>
      <c r="J4752" s="1127">
        <v>0.0</v>
      </c>
      <c r="K4752" s="1124"/>
    </row>
    <row r="4753" ht="15.75" customHeight="1">
      <c r="A4753" s="1119">
        <v>97553.0</v>
      </c>
      <c r="B4753" s="1125" t="s">
        <v>15032</v>
      </c>
      <c r="C4753" s="1126" t="s">
        <v>1788</v>
      </c>
      <c r="D4753" s="1119">
        <v>81.66</v>
      </c>
      <c r="E4753" s="1120">
        <v>26.87</v>
      </c>
      <c r="F4753" s="1121">
        <f t="shared" si="1"/>
        <v>54.79</v>
      </c>
      <c r="G4753" s="1120">
        <v>54.79</v>
      </c>
      <c r="H4753" s="1127">
        <v>0.0</v>
      </c>
      <c r="I4753" s="1127">
        <v>0.0</v>
      </c>
      <c r="J4753" s="1127">
        <v>0.0</v>
      </c>
      <c r="K4753" s="1124"/>
    </row>
    <row r="4754" ht="15.75" customHeight="1">
      <c r="A4754" s="1119">
        <v>97554.0</v>
      </c>
      <c r="B4754" s="1125" t="s">
        <v>15033</v>
      </c>
      <c r="C4754" s="1126" t="s">
        <v>1788</v>
      </c>
      <c r="D4754" s="1119">
        <v>141.73</v>
      </c>
      <c r="E4754" s="1120">
        <v>52.29</v>
      </c>
      <c r="F4754" s="1121">
        <f t="shared" si="1"/>
        <v>89.43</v>
      </c>
      <c r="G4754" s="1120">
        <v>89.43</v>
      </c>
      <c r="H4754" s="1127">
        <v>0.0</v>
      </c>
      <c r="I4754" s="1127">
        <v>0.0</v>
      </c>
      <c r="J4754" s="1127">
        <v>0.0</v>
      </c>
      <c r="K4754" s="1124"/>
    </row>
    <row r="4755" ht="15.75" customHeight="1">
      <c r="A4755" s="1119">
        <v>98602.0</v>
      </c>
      <c r="B4755" s="1125" t="s">
        <v>15034</v>
      </c>
      <c r="C4755" s="1126" t="s">
        <v>1788</v>
      </c>
      <c r="D4755" s="1119">
        <v>18.39</v>
      </c>
      <c r="E4755" s="1120">
        <v>2.84</v>
      </c>
      <c r="F4755" s="1121">
        <f t="shared" si="1"/>
        <v>15.56</v>
      </c>
      <c r="G4755" s="1120">
        <v>15.56</v>
      </c>
      <c r="H4755" s="1127">
        <v>0.0</v>
      </c>
      <c r="I4755" s="1127">
        <v>0.0</v>
      </c>
      <c r="J4755" s="1127">
        <v>0.0</v>
      </c>
      <c r="K4755" s="1124"/>
    </row>
    <row r="4756" ht="15.75" customHeight="1">
      <c r="A4756" s="1119">
        <v>103805.0</v>
      </c>
      <c r="B4756" s="1125" t="s">
        <v>15035</v>
      </c>
      <c r="C4756" s="1126" t="s">
        <v>1788</v>
      </c>
      <c r="D4756" s="1119">
        <v>20.07</v>
      </c>
      <c r="E4756" s="1120">
        <v>10.57</v>
      </c>
      <c r="F4756" s="1121">
        <f t="shared" si="1"/>
        <v>9.52</v>
      </c>
      <c r="G4756" s="1120">
        <v>9.52</v>
      </c>
      <c r="H4756" s="1127">
        <v>0.0</v>
      </c>
      <c r="I4756" s="1127">
        <v>0.0</v>
      </c>
      <c r="J4756" s="1127">
        <v>0.0</v>
      </c>
      <c r="K4756" s="1124"/>
    </row>
    <row r="4757" ht="15.75" customHeight="1">
      <c r="A4757" s="1119">
        <v>103806.0</v>
      </c>
      <c r="B4757" s="1125" t="s">
        <v>15036</v>
      </c>
      <c r="C4757" s="1126" t="s">
        <v>1788</v>
      </c>
      <c r="D4757" s="1119">
        <v>20.04</v>
      </c>
      <c r="E4757" s="1120">
        <v>10.57</v>
      </c>
      <c r="F4757" s="1121">
        <f t="shared" si="1"/>
        <v>9.49</v>
      </c>
      <c r="G4757" s="1120">
        <v>9.49</v>
      </c>
      <c r="H4757" s="1127">
        <v>0.0</v>
      </c>
      <c r="I4757" s="1127">
        <v>0.0</v>
      </c>
      <c r="J4757" s="1127">
        <v>0.0</v>
      </c>
      <c r="K4757" s="1124"/>
    </row>
    <row r="4758" ht="15.75" customHeight="1">
      <c r="A4758" s="1119">
        <v>103807.0</v>
      </c>
      <c r="B4758" s="1125" t="s">
        <v>15037</v>
      </c>
      <c r="C4758" s="1126" t="s">
        <v>1788</v>
      </c>
      <c r="D4758" s="1119">
        <v>23.14</v>
      </c>
      <c r="E4758" s="1120">
        <v>6.84</v>
      </c>
      <c r="F4758" s="1121">
        <f t="shared" si="1"/>
        <v>16.31</v>
      </c>
      <c r="G4758" s="1120">
        <v>16.31</v>
      </c>
      <c r="H4758" s="1127">
        <v>0.0</v>
      </c>
      <c r="I4758" s="1127">
        <v>0.0</v>
      </c>
      <c r="J4758" s="1127">
        <v>0.0</v>
      </c>
      <c r="K4758" s="1124"/>
    </row>
    <row r="4759" ht="15.75" customHeight="1">
      <c r="A4759" s="1119">
        <v>103808.0</v>
      </c>
      <c r="B4759" s="1125" t="s">
        <v>15038</v>
      </c>
      <c r="C4759" s="1126" t="s">
        <v>1788</v>
      </c>
      <c r="D4759" s="1119">
        <v>37.18</v>
      </c>
      <c r="E4759" s="1120">
        <v>18.09</v>
      </c>
      <c r="F4759" s="1121">
        <f t="shared" si="1"/>
        <v>19.09</v>
      </c>
      <c r="G4759" s="1120">
        <v>19.09</v>
      </c>
      <c r="H4759" s="1127">
        <v>0.0</v>
      </c>
      <c r="I4759" s="1127">
        <v>0.0</v>
      </c>
      <c r="J4759" s="1127">
        <v>0.0</v>
      </c>
      <c r="K4759" s="1124"/>
    </row>
    <row r="4760" ht="15.75" customHeight="1">
      <c r="A4760" s="1119">
        <v>103809.0</v>
      </c>
      <c r="B4760" s="1125" t="s">
        <v>15039</v>
      </c>
      <c r="C4760" s="1126" t="s">
        <v>1788</v>
      </c>
      <c r="D4760" s="1119">
        <v>36.9</v>
      </c>
      <c r="E4760" s="1120">
        <v>18.09</v>
      </c>
      <c r="F4760" s="1121">
        <f t="shared" si="1"/>
        <v>18.81</v>
      </c>
      <c r="G4760" s="1120">
        <v>18.81</v>
      </c>
      <c r="H4760" s="1127">
        <v>0.0</v>
      </c>
      <c r="I4760" s="1127">
        <v>0.0</v>
      </c>
      <c r="J4760" s="1127">
        <v>0.0</v>
      </c>
      <c r="K4760" s="1124"/>
    </row>
    <row r="4761" ht="15.75" customHeight="1">
      <c r="A4761" s="1119">
        <v>103810.0</v>
      </c>
      <c r="B4761" s="1125" t="s">
        <v>15040</v>
      </c>
      <c r="C4761" s="1126" t="s">
        <v>1788</v>
      </c>
      <c r="D4761" s="1119">
        <v>35.66</v>
      </c>
      <c r="E4761" s="1120">
        <v>10.6</v>
      </c>
      <c r="F4761" s="1121">
        <f t="shared" si="1"/>
        <v>25.07</v>
      </c>
      <c r="G4761" s="1120">
        <v>25.07</v>
      </c>
      <c r="H4761" s="1127">
        <v>0.0</v>
      </c>
      <c r="I4761" s="1127">
        <v>0.0</v>
      </c>
      <c r="J4761" s="1127">
        <v>0.0</v>
      </c>
      <c r="K4761" s="1124"/>
    </row>
    <row r="4762" ht="15.75" customHeight="1">
      <c r="A4762" s="1119">
        <v>103811.0</v>
      </c>
      <c r="B4762" s="1125" t="s">
        <v>15041</v>
      </c>
      <c r="C4762" s="1126" t="s">
        <v>1788</v>
      </c>
      <c r="D4762" s="1119">
        <v>39.3</v>
      </c>
      <c r="E4762" s="1120">
        <v>11.42</v>
      </c>
      <c r="F4762" s="1121">
        <f t="shared" si="1"/>
        <v>27.87</v>
      </c>
      <c r="G4762" s="1120">
        <v>27.87</v>
      </c>
      <c r="H4762" s="1127">
        <v>0.0</v>
      </c>
      <c r="I4762" s="1127">
        <v>0.0</v>
      </c>
      <c r="J4762" s="1127">
        <v>0.0</v>
      </c>
      <c r="K4762" s="1124"/>
    </row>
    <row r="4763" ht="15.75" customHeight="1">
      <c r="A4763" s="1119">
        <v>103812.0</v>
      </c>
      <c r="B4763" s="1125" t="s">
        <v>15042</v>
      </c>
      <c r="C4763" s="1126" t="s">
        <v>1788</v>
      </c>
      <c r="D4763" s="1119">
        <v>54.56</v>
      </c>
      <c r="E4763" s="1120">
        <v>24.53</v>
      </c>
      <c r="F4763" s="1121">
        <f t="shared" si="1"/>
        <v>30.03</v>
      </c>
      <c r="G4763" s="1120">
        <v>30.03</v>
      </c>
      <c r="H4763" s="1127">
        <v>0.0</v>
      </c>
      <c r="I4763" s="1127">
        <v>0.0</v>
      </c>
      <c r="J4763" s="1127">
        <v>0.0</v>
      </c>
      <c r="K4763" s="1124"/>
    </row>
    <row r="4764" ht="15.75" customHeight="1">
      <c r="A4764" s="1119">
        <v>103813.0</v>
      </c>
      <c r="B4764" s="1125" t="s">
        <v>15043</v>
      </c>
      <c r="C4764" s="1126" t="s">
        <v>1788</v>
      </c>
      <c r="D4764" s="1119">
        <v>52.82</v>
      </c>
      <c r="E4764" s="1120">
        <v>24.53</v>
      </c>
      <c r="F4764" s="1121">
        <f t="shared" si="1"/>
        <v>28.29</v>
      </c>
      <c r="G4764" s="1120">
        <v>28.29</v>
      </c>
      <c r="H4764" s="1127">
        <v>0.0</v>
      </c>
      <c r="I4764" s="1127">
        <v>0.0</v>
      </c>
      <c r="J4764" s="1127">
        <v>0.0</v>
      </c>
      <c r="K4764" s="1124"/>
    </row>
    <row r="4765" ht="15.75" customHeight="1">
      <c r="A4765" s="1119">
        <v>103814.0</v>
      </c>
      <c r="B4765" s="1125" t="s">
        <v>15044</v>
      </c>
      <c r="C4765" s="1126" t="s">
        <v>1788</v>
      </c>
      <c r="D4765" s="1119">
        <v>13.15</v>
      </c>
      <c r="E4765" s="1120">
        <v>7.05</v>
      </c>
      <c r="F4765" s="1121">
        <f t="shared" si="1"/>
        <v>6.12</v>
      </c>
      <c r="G4765" s="1120">
        <v>6.12</v>
      </c>
      <c r="H4765" s="1127">
        <v>0.0</v>
      </c>
      <c r="I4765" s="1127">
        <v>0.0</v>
      </c>
      <c r="J4765" s="1127">
        <v>0.0</v>
      </c>
      <c r="K4765" s="1124"/>
    </row>
    <row r="4766" ht="15.75" customHeight="1">
      <c r="A4766" s="1119">
        <v>103815.0</v>
      </c>
      <c r="B4766" s="1125" t="s">
        <v>15045</v>
      </c>
      <c r="C4766" s="1126" t="s">
        <v>1788</v>
      </c>
      <c r="D4766" s="1119">
        <v>13.18</v>
      </c>
      <c r="E4766" s="1120">
        <v>7.05</v>
      </c>
      <c r="F4766" s="1121">
        <f t="shared" si="1"/>
        <v>6.15</v>
      </c>
      <c r="G4766" s="1120">
        <v>6.15</v>
      </c>
      <c r="H4766" s="1127">
        <v>0.0</v>
      </c>
      <c r="I4766" s="1127">
        <v>0.0</v>
      </c>
      <c r="J4766" s="1127">
        <v>0.0</v>
      </c>
      <c r="K4766" s="1124"/>
    </row>
    <row r="4767" ht="15.75" customHeight="1">
      <c r="A4767" s="1119">
        <v>103816.0</v>
      </c>
      <c r="B4767" s="1125" t="s">
        <v>15046</v>
      </c>
      <c r="C4767" s="1126" t="s">
        <v>1788</v>
      </c>
      <c r="D4767" s="1119">
        <v>28.23</v>
      </c>
      <c r="E4767" s="1120">
        <v>7.02</v>
      </c>
      <c r="F4767" s="1121">
        <f t="shared" si="1"/>
        <v>21.21</v>
      </c>
      <c r="G4767" s="1120">
        <v>21.21</v>
      </c>
      <c r="H4767" s="1127">
        <v>0.0</v>
      </c>
      <c r="I4767" s="1127">
        <v>0.0</v>
      </c>
      <c r="J4767" s="1127">
        <v>0.0</v>
      </c>
      <c r="K4767" s="1124"/>
    </row>
    <row r="4768" ht="15.75" customHeight="1">
      <c r="A4768" s="1119">
        <v>103817.0</v>
      </c>
      <c r="B4768" s="1125" t="s">
        <v>15047</v>
      </c>
      <c r="C4768" s="1126" t="s">
        <v>1788</v>
      </c>
      <c r="D4768" s="1119">
        <v>446.71</v>
      </c>
      <c r="E4768" s="1120">
        <v>7.01</v>
      </c>
      <c r="F4768" s="1121">
        <f t="shared" si="1"/>
        <v>439.7</v>
      </c>
      <c r="G4768" s="1120">
        <v>439.7</v>
      </c>
      <c r="H4768" s="1127">
        <v>0.0</v>
      </c>
      <c r="I4768" s="1127">
        <v>0.0</v>
      </c>
      <c r="J4768" s="1127">
        <v>0.0</v>
      </c>
      <c r="K4768" s="1124"/>
    </row>
    <row r="4769" ht="15.75" customHeight="1">
      <c r="A4769" s="1119">
        <v>103818.0</v>
      </c>
      <c r="B4769" s="1125" t="s">
        <v>15048</v>
      </c>
      <c r="C4769" s="1126" t="s">
        <v>1788</v>
      </c>
      <c r="D4769" s="1119">
        <v>20.9</v>
      </c>
      <c r="E4769" s="1120">
        <v>5.07</v>
      </c>
      <c r="F4769" s="1121">
        <f t="shared" si="1"/>
        <v>15.82</v>
      </c>
      <c r="G4769" s="1120">
        <v>15.82</v>
      </c>
      <c r="H4769" s="1127">
        <v>0.0</v>
      </c>
      <c r="I4769" s="1127">
        <v>0.0</v>
      </c>
      <c r="J4769" s="1127">
        <v>0.0</v>
      </c>
      <c r="K4769" s="1124"/>
    </row>
    <row r="4770" ht="15.75" customHeight="1">
      <c r="A4770" s="1119">
        <v>103819.0</v>
      </c>
      <c r="B4770" s="1125" t="s">
        <v>15049</v>
      </c>
      <c r="C4770" s="1126" t="s">
        <v>1788</v>
      </c>
      <c r="D4770" s="1119">
        <v>23.15</v>
      </c>
      <c r="E4770" s="1120">
        <v>12.08</v>
      </c>
      <c r="F4770" s="1121">
        <f t="shared" si="1"/>
        <v>11.09</v>
      </c>
      <c r="G4770" s="1120">
        <v>11.09</v>
      </c>
      <c r="H4770" s="1127">
        <v>0.0</v>
      </c>
      <c r="I4770" s="1127">
        <v>0.0</v>
      </c>
      <c r="J4770" s="1127">
        <v>0.0</v>
      </c>
      <c r="K4770" s="1124"/>
    </row>
    <row r="4771" ht="15.75" customHeight="1">
      <c r="A4771" s="1119">
        <v>103820.0</v>
      </c>
      <c r="B4771" s="1125" t="s">
        <v>15050</v>
      </c>
      <c r="C4771" s="1126" t="s">
        <v>1788</v>
      </c>
      <c r="D4771" s="1119">
        <v>24.45</v>
      </c>
      <c r="E4771" s="1120">
        <v>12.06</v>
      </c>
      <c r="F4771" s="1121">
        <f t="shared" si="1"/>
        <v>12.39</v>
      </c>
      <c r="G4771" s="1120">
        <v>12.39</v>
      </c>
      <c r="H4771" s="1127">
        <v>0.0</v>
      </c>
      <c r="I4771" s="1127">
        <v>0.0</v>
      </c>
      <c r="J4771" s="1127">
        <v>0.0</v>
      </c>
      <c r="K4771" s="1124"/>
    </row>
    <row r="4772" ht="15.75" customHeight="1">
      <c r="A4772" s="1119">
        <v>103821.0</v>
      </c>
      <c r="B4772" s="1125" t="s">
        <v>15051</v>
      </c>
      <c r="C4772" s="1126" t="s">
        <v>1788</v>
      </c>
      <c r="D4772" s="1119">
        <v>523.91</v>
      </c>
      <c r="E4772" s="1120">
        <v>12.03</v>
      </c>
      <c r="F4772" s="1121">
        <f t="shared" si="1"/>
        <v>511.88</v>
      </c>
      <c r="G4772" s="1120">
        <v>511.88</v>
      </c>
      <c r="H4772" s="1127">
        <v>0.0</v>
      </c>
      <c r="I4772" s="1127">
        <v>0.0</v>
      </c>
      <c r="J4772" s="1127">
        <v>0.0</v>
      </c>
      <c r="K4772" s="1124"/>
    </row>
    <row r="4773" ht="15.75" customHeight="1">
      <c r="A4773" s="1119">
        <v>103822.0</v>
      </c>
      <c r="B4773" s="1125" t="s">
        <v>15052</v>
      </c>
      <c r="C4773" s="1126" t="s">
        <v>1788</v>
      </c>
      <c r="D4773" s="1119">
        <v>57.52</v>
      </c>
      <c r="E4773" s="1120">
        <v>12.04</v>
      </c>
      <c r="F4773" s="1121">
        <f t="shared" si="1"/>
        <v>45.48</v>
      </c>
      <c r="G4773" s="1120">
        <v>45.48</v>
      </c>
      <c r="H4773" s="1127">
        <v>0.0</v>
      </c>
      <c r="I4773" s="1127">
        <v>0.0</v>
      </c>
      <c r="J4773" s="1127">
        <v>0.0</v>
      </c>
      <c r="K4773" s="1124"/>
    </row>
    <row r="4774" ht="15.75" customHeight="1">
      <c r="A4774" s="1119">
        <v>103823.0</v>
      </c>
      <c r="B4774" s="1125" t="s">
        <v>15053</v>
      </c>
      <c r="C4774" s="1126" t="s">
        <v>1788</v>
      </c>
      <c r="D4774" s="1119">
        <v>19.86</v>
      </c>
      <c r="E4774" s="1120">
        <v>9.54</v>
      </c>
      <c r="F4774" s="1121">
        <f t="shared" si="1"/>
        <v>10.32</v>
      </c>
      <c r="G4774" s="1120">
        <v>10.32</v>
      </c>
      <c r="H4774" s="1127">
        <v>0.0</v>
      </c>
      <c r="I4774" s="1127">
        <v>0.0</v>
      </c>
      <c r="J4774" s="1127">
        <v>0.0</v>
      </c>
      <c r="K4774" s="1124"/>
    </row>
    <row r="4775" ht="15.75" customHeight="1">
      <c r="A4775" s="1119">
        <v>103824.0</v>
      </c>
      <c r="B4775" s="1125" t="s">
        <v>15054</v>
      </c>
      <c r="C4775" s="1126" t="s">
        <v>1788</v>
      </c>
      <c r="D4775" s="1119">
        <v>24.8</v>
      </c>
      <c r="E4775" s="1120">
        <v>7.57</v>
      </c>
      <c r="F4775" s="1121">
        <f t="shared" si="1"/>
        <v>17.23</v>
      </c>
      <c r="G4775" s="1120">
        <v>17.23</v>
      </c>
      <c r="H4775" s="1127">
        <v>0.0</v>
      </c>
      <c r="I4775" s="1127">
        <v>0.0</v>
      </c>
      <c r="J4775" s="1127">
        <v>0.0</v>
      </c>
      <c r="K4775" s="1124"/>
    </row>
    <row r="4776" ht="15.75" customHeight="1">
      <c r="A4776" s="1119">
        <v>103825.0</v>
      </c>
      <c r="B4776" s="1125" t="s">
        <v>15055</v>
      </c>
      <c r="C4776" s="1126" t="s">
        <v>1788</v>
      </c>
      <c r="D4776" s="1119">
        <v>29.25</v>
      </c>
      <c r="E4776" s="1120">
        <v>8.41</v>
      </c>
      <c r="F4776" s="1121">
        <f t="shared" si="1"/>
        <v>20.85</v>
      </c>
      <c r="G4776" s="1120">
        <v>20.85</v>
      </c>
      <c r="H4776" s="1127">
        <v>0.0</v>
      </c>
      <c r="I4776" s="1127">
        <v>0.0</v>
      </c>
      <c r="J4776" s="1127">
        <v>0.0</v>
      </c>
      <c r="K4776" s="1124"/>
    </row>
    <row r="4777" ht="15.75" customHeight="1">
      <c r="A4777" s="1119">
        <v>103826.0</v>
      </c>
      <c r="B4777" s="1125" t="s">
        <v>15056</v>
      </c>
      <c r="C4777" s="1126" t="s">
        <v>1788</v>
      </c>
      <c r="D4777" s="1119">
        <v>34.43</v>
      </c>
      <c r="E4777" s="1120">
        <v>16.35</v>
      </c>
      <c r="F4777" s="1121">
        <f t="shared" si="1"/>
        <v>18.07</v>
      </c>
      <c r="G4777" s="1120">
        <v>18.07</v>
      </c>
      <c r="H4777" s="1127">
        <v>0.0</v>
      </c>
      <c r="I4777" s="1127">
        <v>0.0</v>
      </c>
      <c r="J4777" s="1127">
        <v>0.0</v>
      </c>
      <c r="K4777" s="1124"/>
    </row>
    <row r="4778" ht="15.75" customHeight="1">
      <c r="A4778" s="1119">
        <v>103827.0</v>
      </c>
      <c r="B4778" s="1125" t="s">
        <v>15057</v>
      </c>
      <c r="C4778" s="1126" t="s">
        <v>1788</v>
      </c>
      <c r="D4778" s="1119">
        <v>34.43</v>
      </c>
      <c r="E4778" s="1120">
        <v>16.35</v>
      </c>
      <c r="F4778" s="1121">
        <f t="shared" si="1"/>
        <v>18.07</v>
      </c>
      <c r="G4778" s="1120">
        <v>18.07</v>
      </c>
      <c r="H4778" s="1127">
        <v>0.0</v>
      </c>
      <c r="I4778" s="1127">
        <v>0.0</v>
      </c>
      <c r="J4778" s="1127">
        <v>0.0</v>
      </c>
      <c r="K4778" s="1124"/>
    </row>
    <row r="4779" ht="15.75" customHeight="1">
      <c r="A4779" s="1119">
        <v>103828.0</v>
      </c>
      <c r="B4779" s="1125" t="s">
        <v>15058</v>
      </c>
      <c r="C4779" s="1126" t="s">
        <v>1788</v>
      </c>
      <c r="D4779" s="1119">
        <v>95.25</v>
      </c>
      <c r="E4779" s="1120">
        <v>16.33</v>
      </c>
      <c r="F4779" s="1121">
        <f t="shared" si="1"/>
        <v>78.91</v>
      </c>
      <c r="G4779" s="1120">
        <v>78.91</v>
      </c>
      <c r="H4779" s="1127">
        <v>0.0</v>
      </c>
      <c r="I4779" s="1127">
        <v>0.0</v>
      </c>
      <c r="J4779" s="1127">
        <v>0.0</v>
      </c>
      <c r="K4779" s="1124"/>
    </row>
    <row r="4780" ht="15.75" customHeight="1">
      <c r="A4780" s="1119">
        <v>103829.0</v>
      </c>
      <c r="B4780" s="1125" t="s">
        <v>15059</v>
      </c>
      <c r="C4780" s="1126" t="s">
        <v>1788</v>
      </c>
      <c r="D4780" s="1119">
        <v>579.54</v>
      </c>
      <c r="E4780" s="1120">
        <v>16.32</v>
      </c>
      <c r="F4780" s="1121">
        <f t="shared" si="1"/>
        <v>563.2</v>
      </c>
      <c r="G4780" s="1120">
        <v>563.2</v>
      </c>
      <c r="H4780" s="1127">
        <v>0.0</v>
      </c>
      <c r="I4780" s="1127">
        <v>0.0</v>
      </c>
      <c r="J4780" s="1127">
        <v>0.0</v>
      </c>
      <c r="K4780" s="1124"/>
    </row>
    <row r="4781" ht="15.75" customHeight="1">
      <c r="A4781" s="1119">
        <v>103830.0</v>
      </c>
      <c r="B4781" s="1125" t="s">
        <v>15060</v>
      </c>
      <c r="C4781" s="1126" t="s">
        <v>1788</v>
      </c>
      <c r="D4781" s="1119">
        <v>38.06</v>
      </c>
      <c r="E4781" s="1120">
        <v>9.73</v>
      </c>
      <c r="F4781" s="1121">
        <f t="shared" si="1"/>
        <v>28.34</v>
      </c>
      <c r="G4781" s="1120">
        <v>28.34</v>
      </c>
      <c r="H4781" s="1127">
        <v>0.0</v>
      </c>
      <c r="I4781" s="1127">
        <v>0.0</v>
      </c>
      <c r="J4781" s="1127">
        <v>0.0</v>
      </c>
      <c r="K4781" s="1124"/>
    </row>
    <row r="4782" ht="15.75" customHeight="1">
      <c r="A4782" s="1119">
        <v>103831.0</v>
      </c>
      <c r="B4782" s="1125" t="s">
        <v>15061</v>
      </c>
      <c r="C4782" s="1126" t="s">
        <v>1788</v>
      </c>
      <c r="D4782" s="1119">
        <v>29.62</v>
      </c>
      <c r="E4782" s="1120">
        <v>14.2</v>
      </c>
      <c r="F4782" s="1121">
        <f t="shared" si="1"/>
        <v>15.43</v>
      </c>
      <c r="G4782" s="1120">
        <v>15.43</v>
      </c>
      <c r="H4782" s="1127">
        <v>0.0</v>
      </c>
      <c r="I4782" s="1127">
        <v>0.0</v>
      </c>
      <c r="J4782" s="1127">
        <v>0.0</v>
      </c>
      <c r="K4782" s="1124"/>
    </row>
    <row r="4783" ht="15.75" customHeight="1">
      <c r="A4783" s="1119">
        <v>103832.0</v>
      </c>
      <c r="B4783" s="1125" t="s">
        <v>15062</v>
      </c>
      <c r="C4783" s="1126" t="s">
        <v>1788</v>
      </c>
      <c r="D4783" s="1119">
        <v>27.08</v>
      </c>
      <c r="E4783" s="1120">
        <v>14.09</v>
      </c>
      <c r="F4783" s="1121">
        <f t="shared" si="1"/>
        <v>13</v>
      </c>
      <c r="G4783" s="1120">
        <v>13.0</v>
      </c>
      <c r="H4783" s="1127">
        <v>0.0</v>
      </c>
      <c r="I4783" s="1127">
        <v>0.0</v>
      </c>
      <c r="J4783" s="1127">
        <v>0.0</v>
      </c>
      <c r="K4783" s="1124"/>
    </row>
    <row r="4784" ht="15.75" customHeight="1">
      <c r="A4784" s="1119">
        <v>103833.0</v>
      </c>
      <c r="B4784" s="1125" t="s">
        <v>15063</v>
      </c>
      <c r="C4784" s="1126" t="s">
        <v>1788</v>
      </c>
      <c r="D4784" s="1119">
        <v>49.32</v>
      </c>
      <c r="E4784" s="1120">
        <v>24.1</v>
      </c>
      <c r="F4784" s="1121">
        <f t="shared" si="1"/>
        <v>25.21</v>
      </c>
      <c r="G4784" s="1120">
        <v>25.21</v>
      </c>
      <c r="H4784" s="1127">
        <v>0.0</v>
      </c>
      <c r="I4784" s="1127">
        <v>0.0</v>
      </c>
      <c r="J4784" s="1127">
        <v>0.0</v>
      </c>
      <c r="K4784" s="1124"/>
    </row>
    <row r="4785" ht="15.75" customHeight="1">
      <c r="A4785" s="1119">
        <v>103834.0</v>
      </c>
      <c r="B4785" s="1125" t="s">
        <v>15064</v>
      </c>
      <c r="C4785" s="1126" t="s">
        <v>1788</v>
      </c>
      <c r="D4785" s="1119">
        <v>71.11</v>
      </c>
      <c r="E4785" s="1120">
        <v>32.7</v>
      </c>
      <c r="F4785" s="1121">
        <f t="shared" si="1"/>
        <v>38.4</v>
      </c>
      <c r="G4785" s="1120">
        <v>38.4</v>
      </c>
      <c r="H4785" s="1127">
        <v>0.0</v>
      </c>
      <c r="I4785" s="1127">
        <v>0.0</v>
      </c>
      <c r="J4785" s="1127">
        <v>0.0</v>
      </c>
      <c r="K4785" s="1124"/>
    </row>
    <row r="4786" ht="15.75" customHeight="1">
      <c r="A4786" s="1119">
        <v>103838.0</v>
      </c>
      <c r="B4786" s="1125" t="s">
        <v>15065</v>
      </c>
      <c r="C4786" s="1126" t="s">
        <v>1788</v>
      </c>
      <c r="D4786" s="1119">
        <v>19.24</v>
      </c>
      <c r="E4786" s="1120">
        <v>9.94</v>
      </c>
      <c r="F4786" s="1121">
        <f t="shared" si="1"/>
        <v>9.32</v>
      </c>
      <c r="G4786" s="1120">
        <v>9.32</v>
      </c>
      <c r="H4786" s="1127">
        <v>0.0</v>
      </c>
      <c r="I4786" s="1127">
        <v>0.0</v>
      </c>
      <c r="J4786" s="1127">
        <v>0.0</v>
      </c>
      <c r="K4786" s="1124"/>
    </row>
    <row r="4787" ht="15.75" customHeight="1">
      <c r="A4787" s="1119">
        <v>103839.0</v>
      </c>
      <c r="B4787" s="1125" t="s">
        <v>15066</v>
      </c>
      <c r="C4787" s="1126" t="s">
        <v>1788</v>
      </c>
      <c r="D4787" s="1119">
        <v>19.21</v>
      </c>
      <c r="E4787" s="1120">
        <v>9.94</v>
      </c>
      <c r="F4787" s="1121">
        <f t="shared" si="1"/>
        <v>9.29</v>
      </c>
      <c r="G4787" s="1120">
        <v>9.29</v>
      </c>
      <c r="H4787" s="1127">
        <v>0.0</v>
      </c>
      <c r="I4787" s="1127">
        <v>0.0</v>
      </c>
      <c r="J4787" s="1127">
        <v>0.0</v>
      </c>
      <c r="K4787" s="1124"/>
    </row>
    <row r="4788" ht="15.75" customHeight="1">
      <c r="A4788" s="1119">
        <v>103840.0</v>
      </c>
      <c r="B4788" s="1125" t="s">
        <v>15067</v>
      </c>
      <c r="C4788" s="1126" t="s">
        <v>1788</v>
      </c>
      <c r="D4788" s="1119">
        <v>22.72</v>
      </c>
      <c r="E4788" s="1120">
        <v>6.52</v>
      </c>
      <c r="F4788" s="1121">
        <f t="shared" si="1"/>
        <v>16.21</v>
      </c>
      <c r="G4788" s="1120">
        <v>16.21</v>
      </c>
      <c r="H4788" s="1127">
        <v>0.0</v>
      </c>
      <c r="I4788" s="1127">
        <v>0.0</v>
      </c>
      <c r="J4788" s="1127">
        <v>0.0</v>
      </c>
      <c r="K4788" s="1124"/>
    </row>
    <row r="4789" ht="15.75" customHeight="1">
      <c r="A4789" s="1119">
        <v>103841.0</v>
      </c>
      <c r="B4789" s="1125" t="s">
        <v>15068</v>
      </c>
      <c r="C4789" s="1126" t="s">
        <v>1788</v>
      </c>
      <c r="D4789" s="1119">
        <v>30.65</v>
      </c>
      <c r="E4789" s="1120">
        <v>13.23</v>
      </c>
      <c r="F4789" s="1121">
        <f t="shared" si="1"/>
        <v>17.42</v>
      </c>
      <c r="G4789" s="1120">
        <v>17.42</v>
      </c>
      <c r="H4789" s="1127">
        <v>0.0</v>
      </c>
      <c r="I4789" s="1127">
        <v>0.0</v>
      </c>
      <c r="J4789" s="1127">
        <v>0.0</v>
      </c>
      <c r="K4789" s="1124"/>
    </row>
    <row r="4790" ht="15.75" customHeight="1">
      <c r="A4790" s="1119">
        <v>103842.0</v>
      </c>
      <c r="B4790" s="1125" t="s">
        <v>15069</v>
      </c>
      <c r="C4790" s="1126" t="s">
        <v>1788</v>
      </c>
      <c r="D4790" s="1119">
        <v>30.37</v>
      </c>
      <c r="E4790" s="1120">
        <v>13.23</v>
      </c>
      <c r="F4790" s="1121">
        <f t="shared" si="1"/>
        <v>17.14</v>
      </c>
      <c r="G4790" s="1120">
        <v>17.14</v>
      </c>
      <c r="H4790" s="1127">
        <v>0.0</v>
      </c>
      <c r="I4790" s="1127">
        <v>0.0</v>
      </c>
      <c r="J4790" s="1127">
        <v>0.0</v>
      </c>
      <c r="K4790" s="1124"/>
    </row>
    <row r="4791" ht="15.75" customHeight="1">
      <c r="A4791" s="1119">
        <v>103843.0</v>
      </c>
      <c r="B4791" s="1125" t="s">
        <v>15070</v>
      </c>
      <c r="C4791" s="1126" t="s">
        <v>1788</v>
      </c>
      <c r="D4791" s="1119">
        <v>32.4</v>
      </c>
      <c r="E4791" s="1120">
        <v>8.16</v>
      </c>
      <c r="F4791" s="1121">
        <f t="shared" si="1"/>
        <v>24.24</v>
      </c>
      <c r="G4791" s="1120">
        <v>24.24</v>
      </c>
      <c r="H4791" s="1127">
        <v>0.0</v>
      </c>
      <c r="I4791" s="1127">
        <v>0.0</v>
      </c>
      <c r="J4791" s="1127">
        <v>0.0</v>
      </c>
      <c r="K4791" s="1124"/>
    </row>
    <row r="4792" ht="15.75" customHeight="1">
      <c r="A4792" s="1119">
        <v>103844.0</v>
      </c>
      <c r="B4792" s="1125" t="s">
        <v>15071</v>
      </c>
      <c r="C4792" s="1126" t="s">
        <v>1788</v>
      </c>
      <c r="D4792" s="1119">
        <v>36.03</v>
      </c>
      <c r="E4792" s="1120">
        <v>9.01</v>
      </c>
      <c r="F4792" s="1121">
        <f t="shared" si="1"/>
        <v>27.02</v>
      </c>
      <c r="G4792" s="1120">
        <v>27.02</v>
      </c>
      <c r="H4792" s="1127">
        <v>0.0</v>
      </c>
      <c r="I4792" s="1127">
        <v>0.0</v>
      </c>
      <c r="J4792" s="1127">
        <v>0.0</v>
      </c>
      <c r="K4792" s="1124"/>
    </row>
    <row r="4793" ht="15.75" customHeight="1">
      <c r="A4793" s="1119">
        <v>103845.0</v>
      </c>
      <c r="B4793" s="1125" t="s">
        <v>15072</v>
      </c>
      <c r="C4793" s="1126" t="s">
        <v>1788</v>
      </c>
      <c r="D4793" s="1119">
        <v>43.14</v>
      </c>
      <c r="E4793" s="1120">
        <v>16.05</v>
      </c>
      <c r="F4793" s="1121">
        <f t="shared" si="1"/>
        <v>27.08</v>
      </c>
      <c r="G4793" s="1120">
        <v>27.08</v>
      </c>
      <c r="H4793" s="1127">
        <v>0.0</v>
      </c>
      <c r="I4793" s="1127">
        <v>0.0</v>
      </c>
      <c r="J4793" s="1127">
        <v>0.0</v>
      </c>
      <c r="K4793" s="1124"/>
    </row>
    <row r="4794" ht="15.75" customHeight="1">
      <c r="A4794" s="1119">
        <v>103846.0</v>
      </c>
      <c r="B4794" s="1125" t="s">
        <v>15073</v>
      </c>
      <c r="C4794" s="1126" t="s">
        <v>1788</v>
      </c>
      <c r="D4794" s="1119">
        <v>41.4</v>
      </c>
      <c r="E4794" s="1120">
        <v>16.05</v>
      </c>
      <c r="F4794" s="1121">
        <f t="shared" si="1"/>
        <v>25.34</v>
      </c>
      <c r="G4794" s="1120">
        <v>25.34</v>
      </c>
      <c r="H4794" s="1127">
        <v>0.0</v>
      </c>
      <c r="I4794" s="1127">
        <v>0.0</v>
      </c>
      <c r="J4794" s="1127">
        <v>0.0</v>
      </c>
      <c r="K4794" s="1124"/>
    </row>
    <row r="4795" ht="15.75" customHeight="1">
      <c r="A4795" s="1119">
        <v>103847.0</v>
      </c>
      <c r="B4795" s="1125" t="s">
        <v>15074</v>
      </c>
      <c r="C4795" s="1126" t="s">
        <v>1788</v>
      </c>
      <c r="D4795" s="1119">
        <v>12.59</v>
      </c>
      <c r="E4795" s="1120">
        <v>6.64</v>
      </c>
      <c r="F4795" s="1121">
        <f t="shared" si="1"/>
        <v>5.97</v>
      </c>
      <c r="G4795" s="1120">
        <v>5.97</v>
      </c>
      <c r="H4795" s="1127">
        <v>0.0</v>
      </c>
      <c r="I4795" s="1127">
        <v>0.0</v>
      </c>
      <c r="J4795" s="1127">
        <v>0.0</v>
      </c>
      <c r="K4795" s="1124"/>
    </row>
    <row r="4796" ht="15.75" customHeight="1">
      <c r="A4796" s="1119">
        <v>103848.0</v>
      </c>
      <c r="B4796" s="1125" t="s">
        <v>15075</v>
      </c>
      <c r="C4796" s="1126" t="s">
        <v>1788</v>
      </c>
      <c r="D4796" s="1119">
        <v>12.62</v>
      </c>
      <c r="E4796" s="1120">
        <v>6.64</v>
      </c>
      <c r="F4796" s="1121">
        <f t="shared" si="1"/>
        <v>6</v>
      </c>
      <c r="G4796" s="1120">
        <v>6.0</v>
      </c>
      <c r="H4796" s="1127">
        <v>0.0</v>
      </c>
      <c r="I4796" s="1127">
        <v>0.0</v>
      </c>
      <c r="J4796" s="1127">
        <v>0.0</v>
      </c>
      <c r="K4796" s="1124"/>
    </row>
    <row r="4797" ht="15.75" customHeight="1">
      <c r="A4797" s="1119">
        <v>103849.0</v>
      </c>
      <c r="B4797" s="1125" t="s">
        <v>15076</v>
      </c>
      <c r="C4797" s="1126" t="s">
        <v>1788</v>
      </c>
      <c r="D4797" s="1119">
        <v>27.67</v>
      </c>
      <c r="E4797" s="1120">
        <v>6.61</v>
      </c>
      <c r="F4797" s="1121">
        <f t="shared" si="1"/>
        <v>21.06</v>
      </c>
      <c r="G4797" s="1120">
        <v>21.06</v>
      </c>
      <c r="H4797" s="1127">
        <v>0.0</v>
      </c>
      <c r="I4797" s="1127">
        <v>0.0</v>
      </c>
      <c r="J4797" s="1127">
        <v>0.0</v>
      </c>
      <c r="K4797" s="1124"/>
    </row>
    <row r="4798" ht="15.75" customHeight="1">
      <c r="A4798" s="1119">
        <v>103850.0</v>
      </c>
      <c r="B4798" s="1125" t="s">
        <v>15077</v>
      </c>
      <c r="C4798" s="1126" t="s">
        <v>1788</v>
      </c>
      <c r="D4798" s="1119">
        <v>446.15</v>
      </c>
      <c r="E4798" s="1120">
        <v>6.6</v>
      </c>
      <c r="F4798" s="1121">
        <f t="shared" si="1"/>
        <v>439.55</v>
      </c>
      <c r="G4798" s="1120">
        <v>439.55</v>
      </c>
      <c r="H4798" s="1127">
        <v>0.0</v>
      </c>
      <c r="I4798" s="1127">
        <v>0.0</v>
      </c>
      <c r="J4798" s="1127">
        <v>0.0</v>
      </c>
      <c r="K4798" s="1124"/>
    </row>
    <row r="4799" ht="15.75" customHeight="1">
      <c r="A4799" s="1119">
        <v>103851.0</v>
      </c>
      <c r="B4799" s="1125" t="s">
        <v>15078</v>
      </c>
      <c r="C4799" s="1126" t="s">
        <v>1788</v>
      </c>
      <c r="D4799" s="1119">
        <v>20.62</v>
      </c>
      <c r="E4799" s="1120">
        <v>4.86</v>
      </c>
      <c r="F4799" s="1121">
        <f t="shared" si="1"/>
        <v>15.76</v>
      </c>
      <c r="G4799" s="1120">
        <v>15.76</v>
      </c>
      <c r="H4799" s="1127">
        <v>0.0</v>
      </c>
      <c r="I4799" s="1127">
        <v>0.0</v>
      </c>
      <c r="J4799" s="1127">
        <v>0.0</v>
      </c>
      <c r="K4799" s="1124"/>
    </row>
    <row r="4800" ht="15.75" customHeight="1">
      <c r="A4800" s="1119">
        <v>103852.0</v>
      </c>
      <c r="B4800" s="1125" t="s">
        <v>15079</v>
      </c>
      <c r="C4800" s="1126" t="s">
        <v>1788</v>
      </c>
      <c r="D4800" s="1119">
        <v>18.77</v>
      </c>
      <c r="E4800" s="1120">
        <v>8.83</v>
      </c>
      <c r="F4800" s="1121">
        <f t="shared" si="1"/>
        <v>9.94</v>
      </c>
      <c r="G4800" s="1120">
        <v>9.94</v>
      </c>
      <c r="H4800" s="1127">
        <v>0.0</v>
      </c>
      <c r="I4800" s="1127">
        <v>0.0</v>
      </c>
      <c r="J4800" s="1127">
        <v>0.0</v>
      </c>
      <c r="K4800" s="1124"/>
    </row>
    <row r="4801" ht="15.75" customHeight="1">
      <c r="A4801" s="1119">
        <v>103853.0</v>
      </c>
      <c r="B4801" s="1125" t="s">
        <v>15080</v>
      </c>
      <c r="C4801" s="1126" t="s">
        <v>1788</v>
      </c>
      <c r="D4801" s="1119">
        <v>20.07</v>
      </c>
      <c r="E4801" s="1120">
        <v>8.83</v>
      </c>
      <c r="F4801" s="1121">
        <f t="shared" si="1"/>
        <v>11.25</v>
      </c>
      <c r="G4801" s="1120">
        <v>11.25</v>
      </c>
      <c r="H4801" s="1127">
        <v>0.0</v>
      </c>
      <c r="I4801" s="1127">
        <v>0.0</v>
      </c>
      <c r="J4801" s="1127">
        <v>0.0</v>
      </c>
      <c r="K4801" s="1124"/>
    </row>
    <row r="4802" ht="15.75" customHeight="1">
      <c r="A4802" s="1119">
        <v>103854.0</v>
      </c>
      <c r="B4802" s="1125" t="s">
        <v>15081</v>
      </c>
      <c r="C4802" s="1126" t="s">
        <v>1788</v>
      </c>
      <c r="D4802" s="1119">
        <v>519.53</v>
      </c>
      <c r="E4802" s="1120">
        <v>8.8</v>
      </c>
      <c r="F4802" s="1121">
        <f t="shared" si="1"/>
        <v>510.73</v>
      </c>
      <c r="G4802" s="1120">
        <v>510.73</v>
      </c>
      <c r="H4802" s="1127">
        <v>0.0</v>
      </c>
      <c r="I4802" s="1127">
        <v>0.0</v>
      </c>
      <c r="J4802" s="1127">
        <v>0.0</v>
      </c>
      <c r="K4802" s="1124"/>
    </row>
    <row r="4803" ht="15.75" customHeight="1">
      <c r="A4803" s="1119">
        <v>103855.0</v>
      </c>
      <c r="B4803" s="1125" t="s">
        <v>15082</v>
      </c>
      <c r="C4803" s="1126" t="s">
        <v>1788</v>
      </c>
      <c r="D4803" s="1119">
        <v>53.14</v>
      </c>
      <c r="E4803" s="1120">
        <v>8.81</v>
      </c>
      <c r="F4803" s="1121">
        <f t="shared" si="1"/>
        <v>44.33</v>
      </c>
      <c r="G4803" s="1120">
        <v>44.33</v>
      </c>
      <c r="H4803" s="1127">
        <v>0.0</v>
      </c>
      <c r="I4803" s="1127">
        <v>0.0</v>
      </c>
      <c r="J4803" s="1127">
        <v>0.0</v>
      </c>
      <c r="K4803" s="1124"/>
    </row>
    <row r="4804" ht="15.75" customHeight="1">
      <c r="A4804" s="1119">
        <v>103856.0</v>
      </c>
      <c r="B4804" s="1125" t="s">
        <v>15083</v>
      </c>
      <c r="C4804" s="1126" t="s">
        <v>1788</v>
      </c>
      <c r="D4804" s="1119">
        <v>17.49</v>
      </c>
      <c r="E4804" s="1120">
        <v>7.73</v>
      </c>
      <c r="F4804" s="1121">
        <f t="shared" si="1"/>
        <v>9.76</v>
      </c>
      <c r="G4804" s="1120">
        <v>9.76</v>
      </c>
      <c r="H4804" s="1127">
        <v>0.0</v>
      </c>
      <c r="I4804" s="1127">
        <v>0.0</v>
      </c>
      <c r="J4804" s="1127">
        <v>0.0</v>
      </c>
      <c r="K4804" s="1124"/>
    </row>
    <row r="4805" ht="15.75" customHeight="1">
      <c r="A4805" s="1119">
        <v>103857.0</v>
      </c>
      <c r="B4805" s="1125" t="s">
        <v>15084</v>
      </c>
      <c r="C4805" s="1126" t="s">
        <v>1788</v>
      </c>
      <c r="D4805" s="1119">
        <v>22.61</v>
      </c>
      <c r="E4805" s="1120">
        <v>5.98</v>
      </c>
      <c r="F4805" s="1121">
        <f t="shared" si="1"/>
        <v>16.64</v>
      </c>
      <c r="G4805" s="1120">
        <v>16.64</v>
      </c>
      <c r="H4805" s="1127">
        <v>0.0</v>
      </c>
      <c r="I4805" s="1127">
        <v>0.0</v>
      </c>
      <c r="J4805" s="1127">
        <v>0.0</v>
      </c>
      <c r="K4805" s="1124"/>
    </row>
    <row r="4806" ht="15.75" customHeight="1">
      <c r="A4806" s="1119">
        <v>103858.0</v>
      </c>
      <c r="B4806" s="1125" t="s">
        <v>15085</v>
      </c>
      <c r="C4806" s="1126" t="s">
        <v>1788</v>
      </c>
      <c r="D4806" s="1119">
        <v>27.06</v>
      </c>
      <c r="E4806" s="1120">
        <v>6.8</v>
      </c>
      <c r="F4806" s="1121">
        <f t="shared" si="1"/>
        <v>20.26</v>
      </c>
      <c r="G4806" s="1120">
        <v>20.26</v>
      </c>
      <c r="H4806" s="1127">
        <v>0.0</v>
      </c>
      <c r="I4806" s="1127">
        <v>0.0</v>
      </c>
      <c r="J4806" s="1127">
        <v>0.0</v>
      </c>
      <c r="K4806" s="1124"/>
    </row>
    <row r="4807" ht="15.75" customHeight="1">
      <c r="A4807" s="1119">
        <v>103859.0</v>
      </c>
      <c r="B4807" s="1125" t="s">
        <v>15086</v>
      </c>
      <c r="C4807" s="1126" t="s">
        <v>1788</v>
      </c>
      <c r="D4807" s="1119">
        <v>27.25</v>
      </c>
      <c r="E4807" s="1120">
        <v>10.71</v>
      </c>
      <c r="F4807" s="1121">
        <f t="shared" si="1"/>
        <v>16.55</v>
      </c>
      <c r="G4807" s="1120">
        <v>16.55</v>
      </c>
      <c r="H4807" s="1127">
        <v>0.0</v>
      </c>
      <c r="I4807" s="1127">
        <v>0.0</v>
      </c>
      <c r="J4807" s="1127">
        <v>0.0</v>
      </c>
      <c r="K4807" s="1124"/>
    </row>
    <row r="4808" ht="15.75" customHeight="1">
      <c r="A4808" s="1119">
        <v>103860.0</v>
      </c>
      <c r="B4808" s="1125" t="s">
        <v>15087</v>
      </c>
      <c r="C4808" s="1126" t="s">
        <v>1788</v>
      </c>
      <c r="D4808" s="1119">
        <v>27.25</v>
      </c>
      <c r="E4808" s="1120">
        <v>10.71</v>
      </c>
      <c r="F4808" s="1121">
        <f t="shared" si="1"/>
        <v>16.55</v>
      </c>
      <c r="G4808" s="1120">
        <v>16.55</v>
      </c>
      <c r="H4808" s="1127">
        <v>0.0</v>
      </c>
      <c r="I4808" s="1127">
        <v>0.0</v>
      </c>
      <c r="J4808" s="1127">
        <v>0.0</v>
      </c>
      <c r="K4808" s="1124"/>
    </row>
    <row r="4809" ht="15.75" customHeight="1">
      <c r="A4809" s="1119">
        <v>103861.0</v>
      </c>
      <c r="B4809" s="1125" t="s">
        <v>15088</v>
      </c>
      <c r="C4809" s="1126" t="s">
        <v>1788</v>
      </c>
      <c r="D4809" s="1119">
        <v>88.07</v>
      </c>
      <c r="E4809" s="1120">
        <v>10.69</v>
      </c>
      <c r="F4809" s="1121">
        <f t="shared" si="1"/>
        <v>77.39</v>
      </c>
      <c r="G4809" s="1120">
        <v>77.39</v>
      </c>
      <c r="H4809" s="1127">
        <v>0.0</v>
      </c>
      <c r="I4809" s="1127">
        <v>0.0</v>
      </c>
      <c r="J4809" s="1127">
        <v>0.0</v>
      </c>
      <c r="K4809" s="1124"/>
    </row>
    <row r="4810" ht="15.75" customHeight="1">
      <c r="A4810" s="1119">
        <v>103862.0</v>
      </c>
      <c r="B4810" s="1125" t="s">
        <v>15089</v>
      </c>
      <c r="C4810" s="1126" t="s">
        <v>1788</v>
      </c>
      <c r="D4810" s="1119">
        <v>572.36</v>
      </c>
      <c r="E4810" s="1120">
        <v>10.69</v>
      </c>
      <c r="F4810" s="1121">
        <f t="shared" si="1"/>
        <v>561.68</v>
      </c>
      <c r="G4810" s="1120">
        <v>561.68</v>
      </c>
      <c r="H4810" s="1127">
        <v>0.0</v>
      </c>
      <c r="I4810" s="1127">
        <v>0.0</v>
      </c>
      <c r="J4810" s="1127">
        <v>0.0</v>
      </c>
      <c r="K4810" s="1124"/>
    </row>
    <row r="4811" ht="15.75" customHeight="1">
      <c r="A4811" s="1119">
        <v>103863.0</v>
      </c>
      <c r="B4811" s="1125" t="s">
        <v>15090</v>
      </c>
      <c r="C4811" s="1126" t="s">
        <v>1788</v>
      </c>
      <c r="D4811" s="1119">
        <v>34.47</v>
      </c>
      <c r="E4811" s="1120">
        <v>6.9</v>
      </c>
      <c r="F4811" s="1121">
        <f t="shared" si="1"/>
        <v>27.57</v>
      </c>
      <c r="G4811" s="1120">
        <v>27.57</v>
      </c>
      <c r="H4811" s="1127">
        <v>0.0</v>
      </c>
      <c r="I4811" s="1127">
        <v>0.0</v>
      </c>
      <c r="J4811" s="1127">
        <v>0.0</v>
      </c>
      <c r="K4811" s="1124"/>
    </row>
    <row r="4812" ht="15.75" customHeight="1">
      <c r="A4812" s="1119">
        <v>103864.0</v>
      </c>
      <c r="B4812" s="1125" t="s">
        <v>15091</v>
      </c>
      <c r="C4812" s="1126" t="s">
        <v>1788</v>
      </c>
      <c r="D4812" s="1119">
        <v>23.72</v>
      </c>
      <c r="E4812" s="1120">
        <v>9.76</v>
      </c>
      <c r="F4812" s="1121">
        <f t="shared" si="1"/>
        <v>13.96</v>
      </c>
      <c r="G4812" s="1120">
        <v>13.96</v>
      </c>
      <c r="H4812" s="1127">
        <v>0.0</v>
      </c>
      <c r="I4812" s="1127">
        <v>0.0</v>
      </c>
      <c r="J4812" s="1127">
        <v>0.0</v>
      </c>
      <c r="K4812" s="1124"/>
    </row>
    <row r="4813" ht="15.75" customHeight="1">
      <c r="A4813" s="1119">
        <v>103865.0</v>
      </c>
      <c r="B4813" s="1125" t="s">
        <v>15092</v>
      </c>
      <c r="C4813" s="1126" t="s">
        <v>1788</v>
      </c>
      <c r="D4813" s="1119">
        <v>25.96</v>
      </c>
      <c r="E4813" s="1120">
        <v>13.25</v>
      </c>
      <c r="F4813" s="1121">
        <f t="shared" si="1"/>
        <v>12.72</v>
      </c>
      <c r="G4813" s="1120">
        <v>12.72</v>
      </c>
      <c r="H4813" s="1127">
        <v>0.0</v>
      </c>
      <c r="I4813" s="1127">
        <v>0.0</v>
      </c>
      <c r="J4813" s="1127">
        <v>0.0</v>
      </c>
      <c r="K4813" s="1124"/>
    </row>
    <row r="4814" ht="15.75" customHeight="1">
      <c r="A4814" s="1119">
        <v>103866.0</v>
      </c>
      <c r="B4814" s="1125" t="s">
        <v>15093</v>
      </c>
      <c r="C4814" s="1126" t="s">
        <v>1788</v>
      </c>
      <c r="D4814" s="1119">
        <v>40.59</v>
      </c>
      <c r="E4814" s="1120">
        <v>17.64</v>
      </c>
      <c r="F4814" s="1121">
        <f t="shared" si="1"/>
        <v>22.96</v>
      </c>
      <c r="G4814" s="1120">
        <v>22.96</v>
      </c>
      <c r="H4814" s="1127">
        <v>0.0</v>
      </c>
      <c r="I4814" s="1127">
        <v>0.0</v>
      </c>
      <c r="J4814" s="1127">
        <v>0.0</v>
      </c>
      <c r="K4814" s="1124"/>
    </row>
    <row r="4815" ht="15.75" customHeight="1">
      <c r="A4815" s="1119">
        <v>103867.0</v>
      </c>
      <c r="B4815" s="1125" t="s">
        <v>15094</v>
      </c>
      <c r="C4815" s="1126" t="s">
        <v>1788</v>
      </c>
      <c r="D4815" s="1119">
        <v>55.86</v>
      </c>
      <c r="E4815" s="1120">
        <v>21.42</v>
      </c>
      <c r="F4815" s="1121">
        <f t="shared" si="1"/>
        <v>34.45</v>
      </c>
      <c r="G4815" s="1120">
        <v>34.45</v>
      </c>
      <c r="H4815" s="1127">
        <v>0.0</v>
      </c>
      <c r="I4815" s="1127">
        <v>0.0</v>
      </c>
      <c r="J4815" s="1127">
        <v>0.0</v>
      </c>
      <c r="K4815" s="1124"/>
    </row>
    <row r="4816" ht="15.75" customHeight="1">
      <c r="A4816" s="1119">
        <v>103874.0</v>
      </c>
      <c r="B4816" s="1125" t="s">
        <v>15095</v>
      </c>
      <c r="C4816" s="1126" t="s">
        <v>1788</v>
      </c>
      <c r="D4816" s="1119">
        <v>20.15</v>
      </c>
      <c r="E4816" s="1120">
        <v>10.69</v>
      </c>
      <c r="F4816" s="1121">
        <f t="shared" si="1"/>
        <v>9.49</v>
      </c>
      <c r="G4816" s="1120">
        <v>9.49</v>
      </c>
      <c r="H4816" s="1127">
        <v>0.0</v>
      </c>
      <c r="I4816" s="1127">
        <v>0.0</v>
      </c>
      <c r="J4816" s="1127">
        <v>0.0</v>
      </c>
      <c r="K4816" s="1124"/>
    </row>
    <row r="4817" ht="15.75" customHeight="1">
      <c r="A4817" s="1119">
        <v>103875.0</v>
      </c>
      <c r="B4817" s="1125" t="s">
        <v>15096</v>
      </c>
      <c r="C4817" s="1126" t="s">
        <v>1788</v>
      </c>
      <c r="D4817" s="1119">
        <v>20.12</v>
      </c>
      <c r="E4817" s="1120">
        <v>10.69</v>
      </c>
      <c r="F4817" s="1121">
        <f t="shared" si="1"/>
        <v>9.46</v>
      </c>
      <c r="G4817" s="1120">
        <v>9.46</v>
      </c>
      <c r="H4817" s="1127">
        <v>0.0</v>
      </c>
      <c r="I4817" s="1127">
        <v>0.0</v>
      </c>
      <c r="J4817" s="1127">
        <v>0.0</v>
      </c>
      <c r="K4817" s="1124"/>
    </row>
    <row r="4818" ht="15.75" customHeight="1">
      <c r="A4818" s="1119">
        <v>103876.0</v>
      </c>
      <c r="B4818" s="1125" t="s">
        <v>15097</v>
      </c>
      <c r="C4818" s="1126" t="s">
        <v>1788</v>
      </c>
      <c r="D4818" s="1119">
        <v>23.18</v>
      </c>
      <c r="E4818" s="1120">
        <v>6.88</v>
      </c>
      <c r="F4818" s="1121">
        <f t="shared" si="1"/>
        <v>16.31</v>
      </c>
      <c r="G4818" s="1120">
        <v>16.31</v>
      </c>
      <c r="H4818" s="1127">
        <v>0.0</v>
      </c>
      <c r="I4818" s="1127">
        <v>0.0</v>
      </c>
      <c r="J4818" s="1127">
        <v>0.0</v>
      </c>
      <c r="K4818" s="1124"/>
    </row>
    <row r="4819" ht="15.75" customHeight="1">
      <c r="A4819" s="1119">
        <v>103877.0</v>
      </c>
      <c r="B4819" s="1125" t="s">
        <v>15098</v>
      </c>
      <c r="C4819" s="1126" t="s">
        <v>1788</v>
      </c>
      <c r="D4819" s="1119">
        <v>29.7</v>
      </c>
      <c r="E4819" s="1120">
        <v>12.58</v>
      </c>
      <c r="F4819" s="1121">
        <f t="shared" si="1"/>
        <v>17.13</v>
      </c>
      <c r="G4819" s="1120">
        <v>17.13</v>
      </c>
      <c r="H4819" s="1127">
        <v>0.0</v>
      </c>
      <c r="I4819" s="1127">
        <v>0.0</v>
      </c>
      <c r="J4819" s="1127">
        <v>0.0</v>
      </c>
      <c r="K4819" s="1124"/>
    </row>
    <row r="4820" ht="15.75" customHeight="1">
      <c r="A4820" s="1119">
        <v>103878.0</v>
      </c>
      <c r="B4820" s="1125" t="s">
        <v>15099</v>
      </c>
      <c r="C4820" s="1126" t="s">
        <v>1788</v>
      </c>
      <c r="D4820" s="1119">
        <v>29.42</v>
      </c>
      <c r="E4820" s="1120">
        <v>12.58</v>
      </c>
      <c r="F4820" s="1121">
        <f t="shared" si="1"/>
        <v>16.85</v>
      </c>
      <c r="G4820" s="1120">
        <v>16.85</v>
      </c>
      <c r="H4820" s="1127">
        <v>0.0</v>
      </c>
      <c r="I4820" s="1127">
        <v>0.0</v>
      </c>
      <c r="J4820" s="1127">
        <v>0.0</v>
      </c>
      <c r="K4820" s="1124"/>
    </row>
    <row r="4821" ht="15.75" customHeight="1">
      <c r="A4821" s="1119">
        <v>103879.0</v>
      </c>
      <c r="B4821" s="1125" t="s">
        <v>15100</v>
      </c>
      <c r="C4821" s="1126" t="s">
        <v>1788</v>
      </c>
      <c r="D4821" s="1119">
        <v>31.93</v>
      </c>
      <c r="E4821" s="1120">
        <v>7.85</v>
      </c>
      <c r="F4821" s="1121">
        <f t="shared" si="1"/>
        <v>24.08</v>
      </c>
      <c r="G4821" s="1120">
        <v>24.08</v>
      </c>
      <c r="H4821" s="1127">
        <v>0.0</v>
      </c>
      <c r="I4821" s="1127">
        <v>0.0</v>
      </c>
      <c r="J4821" s="1127">
        <v>0.0</v>
      </c>
      <c r="K4821" s="1124"/>
    </row>
    <row r="4822" ht="15.75" customHeight="1">
      <c r="A4822" s="1119">
        <v>103880.0</v>
      </c>
      <c r="B4822" s="1125" t="s">
        <v>15101</v>
      </c>
      <c r="C4822" s="1126" t="s">
        <v>1788</v>
      </c>
      <c r="D4822" s="1119">
        <v>35.55</v>
      </c>
      <c r="E4822" s="1120">
        <v>8.66</v>
      </c>
      <c r="F4822" s="1121">
        <f t="shared" si="1"/>
        <v>26.89</v>
      </c>
      <c r="G4822" s="1120">
        <v>26.89</v>
      </c>
      <c r="H4822" s="1127">
        <v>0.0</v>
      </c>
      <c r="I4822" s="1127">
        <v>0.0</v>
      </c>
      <c r="J4822" s="1127">
        <v>0.0</v>
      </c>
      <c r="K4822" s="1124"/>
    </row>
    <row r="4823" ht="15.75" customHeight="1">
      <c r="A4823" s="1119">
        <v>103881.0</v>
      </c>
      <c r="B4823" s="1125" t="s">
        <v>15102</v>
      </c>
      <c r="C4823" s="1126" t="s">
        <v>1788</v>
      </c>
      <c r="D4823" s="1119">
        <v>40.6</v>
      </c>
      <c r="E4823" s="1120">
        <v>14.22</v>
      </c>
      <c r="F4823" s="1121">
        <f t="shared" si="1"/>
        <v>26.38</v>
      </c>
      <c r="G4823" s="1120">
        <v>26.38</v>
      </c>
      <c r="H4823" s="1127">
        <v>0.0</v>
      </c>
      <c r="I4823" s="1127">
        <v>0.0</v>
      </c>
      <c r="J4823" s="1127">
        <v>0.0</v>
      </c>
      <c r="K4823" s="1124"/>
    </row>
    <row r="4824" ht="15.75" customHeight="1">
      <c r="A4824" s="1119">
        <v>103882.0</v>
      </c>
      <c r="B4824" s="1125" t="s">
        <v>15103</v>
      </c>
      <c r="C4824" s="1126" t="s">
        <v>1788</v>
      </c>
      <c r="D4824" s="1119">
        <v>38.86</v>
      </c>
      <c r="E4824" s="1120">
        <v>14.22</v>
      </c>
      <c r="F4824" s="1121">
        <f t="shared" si="1"/>
        <v>24.64</v>
      </c>
      <c r="G4824" s="1120">
        <v>24.64</v>
      </c>
      <c r="H4824" s="1127">
        <v>0.0</v>
      </c>
      <c r="I4824" s="1127">
        <v>0.0</v>
      </c>
      <c r="J4824" s="1127">
        <v>0.0</v>
      </c>
      <c r="K4824" s="1124"/>
    </row>
    <row r="4825" ht="15.75" customHeight="1">
      <c r="A4825" s="1119">
        <v>103883.0</v>
      </c>
      <c r="B4825" s="1125" t="s">
        <v>15104</v>
      </c>
      <c r="C4825" s="1126" t="s">
        <v>1788</v>
      </c>
      <c r="D4825" s="1119">
        <v>13.18</v>
      </c>
      <c r="E4825" s="1120">
        <v>7.12</v>
      </c>
      <c r="F4825" s="1121">
        <f t="shared" si="1"/>
        <v>6.06</v>
      </c>
      <c r="G4825" s="1120">
        <v>6.06</v>
      </c>
      <c r="H4825" s="1127">
        <v>0.0</v>
      </c>
      <c r="I4825" s="1127">
        <v>0.0</v>
      </c>
      <c r="J4825" s="1127">
        <v>0.0</v>
      </c>
      <c r="K4825" s="1124"/>
    </row>
    <row r="4826" ht="15.75" customHeight="1">
      <c r="A4826" s="1119">
        <v>103884.0</v>
      </c>
      <c r="B4826" s="1125" t="s">
        <v>15105</v>
      </c>
      <c r="C4826" s="1126" t="s">
        <v>1788</v>
      </c>
      <c r="D4826" s="1119">
        <v>13.21</v>
      </c>
      <c r="E4826" s="1120">
        <v>7.12</v>
      </c>
      <c r="F4826" s="1121">
        <f t="shared" si="1"/>
        <v>6.09</v>
      </c>
      <c r="G4826" s="1120">
        <v>6.09</v>
      </c>
      <c r="H4826" s="1127">
        <v>0.0</v>
      </c>
      <c r="I4826" s="1127">
        <v>0.0</v>
      </c>
      <c r="J4826" s="1127">
        <v>0.0</v>
      </c>
      <c r="K4826" s="1124"/>
    </row>
    <row r="4827" ht="15.75" customHeight="1">
      <c r="A4827" s="1119">
        <v>103885.0</v>
      </c>
      <c r="B4827" s="1125" t="s">
        <v>15106</v>
      </c>
      <c r="C4827" s="1126" t="s">
        <v>1788</v>
      </c>
      <c r="D4827" s="1119">
        <v>28.26</v>
      </c>
      <c r="E4827" s="1120">
        <v>7.09</v>
      </c>
      <c r="F4827" s="1121">
        <f t="shared" si="1"/>
        <v>21.17</v>
      </c>
      <c r="G4827" s="1120">
        <v>21.17</v>
      </c>
      <c r="H4827" s="1127">
        <v>0.0</v>
      </c>
      <c r="I4827" s="1127">
        <v>0.0</v>
      </c>
      <c r="J4827" s="1127">
        <v>0.0</v>
      </c>
      <c r="K4827" s="1124"/>
    </row>
    <row r="4828" ht="15.75" customHeight="1">
      <c r="A4828" s="1119">
        <v>103886.0</v>
      </c>
      <c r="B4828" s="1125" t="s">
        <v>15107</v>
      </c>
      <c r="C4828" s="1126" t="s">
        <v>1788</v>
      </c>
      <c r="D4828" s="1119">
        <v>446.74</v>
      </c>
      <c r="E4828" s="1120">
        <v>7.08</v>
      </c>
      <c r="F4828" s="1121">
        <f t="shared" si="1"/>
        <v>439.66</v>
      </c>
      <c r="G4828" s="1120">
        <v>439.66</v>
      </c>
      <c r="H4828" s="1127">
        <v>0.0</v>
      </c>
      <c r="I4828" s="1127">
        <v>0.0</v>
      </c>
      <c r="J4828" s="1127">
        <v>0.0</v>
      </c>
      <c r="K4828" s="1124"/>
    </row>
    <row r="4829" ht="15.75" customHeight="1">
      <c r="A4829" s="1119">
        <v>103887.0</v>
      </c>
      <c r="B4829" s="1125" t="s">
        <v>15108</v>
      </c>
      <c r="C4829" s="1126" t="s">
        <v>1788</v>
      </c>
      <c r="D4829" s="1119">
        <v>20.92</v>
      </c>
      <c r="E4829" s="1120">
        <v>5.11</v>
      </c>
      <c r="F4829" s="1121">
        <f t="shared" si="1"/>
        <v>15.81</v>
      </c>
      <c r="G4829" s="1120">
        <v>15.81</v>
      </c>
      <c r="H4829" s="1127">
        <v>0.0</v>
      </c>
      <c r="I4829" s="1127">
        <v>0.0</v>
      </c>
      <c r="J4829" s="1127">
        <v>0.0</v>
      </c>
      <c r="K4829" s="1124"/>
    </row>
    <row r="4830" ht="15.75" customHeight="1">
      <c r="A4830" s="1119">
        <v>103888.0</v>
      </c>
      <c r="B4830" s="1125" t="s">
        <v>15109</v>
      </c>
      <c r="C4830" s="1126" t="s">
        <v>1788</v>
      </c>
      <c r="D4830" s="1119">
        <v>18.11</v>
      </c>
      <c r="E4830" s="1120">
        <v>8.38</v>
      </c>
      <c r="F4830" s="1121">
        <f t="shared" si="1"/>
        <v>9.73</v>
      </c>
      <c r="G4830" s="1120">
        <v>9.73</v>
      </c>
      <c r="H4830" s="1127">
        <v>0.0</v>
      </c>
      <c r="I4830" s="1127">
        <v>0.0</v>
      </c>
      <c r="J4830" s="1127">
        <v>0.0</v>
      </c>
      <c r="K4830" s="1124"/>
    </row>
    <row r="4831" ht="15.75" customHeight="1">
      <c r="A4831" s="1119">
        <v>103889.0</v>
      </c>
      <c r="B4831" s="1125" t="s">
        <v>15110</v>
      </c>
      <c r="C4831" s="1126" t="s">
        <v>1788</v>
      </c>
      <c r="D4831" s="1119">
        <v>19.41</v>
      </c>
      <c r="E4831" s="1120">
        <v>8.38</v>
      </c>
      <c r="F4831" s="1121">
        <f t="shared" si="1"/>
        <v>11.04</v>
      </c>
      <c r="G4831" s="1120">
        <v>11.04</v>
      </c>
      <c r="H4831" s="1127">
        <v>0.0</v>
      </c>
      <c r="I4831" s="1127">
        <v>0.0</v>
      </c>
      <c r="J4831" s="1127">
        <v>0.0</v>
      </c>
      <c r="K4831" s="1124"/>
    </row>
    <row r="4832" ht="15.75" customHeight="1">
      <c r="A4832" s="1119">
        <v>103890.0</v>
      </c>
      <c r="B4832" s="1125" t="s">
        <v>15111</v>
      </c>
      <c r="C4832" s="1126" t="s">
        <v>1788</v>
      </c>
      <c r="D4832" s="1119">
        <v>518.87</v>
      </c>
      <c r="E4832" s="1120">
        <v>8.36</v>
      </c>
      <c r="F4832" s="1121">
        <f t="shared" si="1"/>
        <v>510.51</v>
      </c>
      <c r="G4832" s="1120">
        <v>510.51</v>
      </c>
      <c r="H4832" s="1127">
        <v>0.0</v>
      </c>
      <c r="I4832" s="1127">
        <v>0.0</v>
      </c>
      <c r="J4832" s="1127">
        <v>0.0</v>
      </c>
      <c r="K4832" s="1124"/>
    </row>
    <row r="4833" ht="15.75" customHeight="1">
      <c r="A4833" s="1119">
        <v>103891.0</v>
      </c>
      <c r="B4833" s="1125" t="s">
        <v>15112</v>
      </c>
      <c r="C4833" s="1126" t="s">
        <v>1788</v>
      </c>
      <c r="D4833" s="1119">
        <v>52.48</v>
      </c>
      <c r="E4833" s="1120">
        <v>8.36</v>
      </c>
      <c r="F4833" s="1121">
        <f t="shared" si="1"/>
        <v>44.12</v>
      </c>
      <c r="G4833" s="1120">
        <v>44.12</v>
      </c>
      <c r="H4833" s="1127">
        <v>0.0</v>
      </c>
      <c r="I4833" s="1127">
        <v>0.0</v>
      </c>
      <c r="J4833" s="1127">
        <v>0.0</v>
      </c>
      <c r="K4833" s="1124"/>
    </row>
    <row r="4834" ht="15.75" customHeight="1">
      <c r="A4834" s="1119">
        <v>103892.0</v>
      </c>
      <c r="B4834" s="1125" t="s">
        <v>15113</v>
      </c>
      <c r="C4834" s="1126" t="s">
        <v>1788</v>
      </c>
      <c r="D4834" s="1119">
        <v>17.5</v>
      </c>
      <c r="E4834" s="1120">
        <v>7.74</v>
      </c>
      <c r="F4834" s="1121">
        <f t="shared" si="1"/>
        <v>9.76</v>
      </c>
      <c r="G4834" s="1120">
        <v>9.76</v>
      </c>
      <c r="H4834" s="1127">
        <v>0.0</v>
      </c>
      <c r="I4834" s="1127">
        <v>0.0</v>
      </c>
      <c r="J4834" s="1127">
        <v>0.0</v>
      </c>
      <c r="K4834" s="1124"/>
    </row>
    <row r="4835" ht="15.75" customHeight="1">
      <c r="A4835" s="1119">
        <v>103893.0</v>
      </c>
      <c r="B4835" s="1125" t="s">
        <v>15114</v>
      </c>
      <c r="C4835" s="1126" t="s">
        <v>1788</v>
      </c>
      <c r="D4835" s="1119">
        <v>22.28</v>
      </c>
      <c r="E4835" s="1120">
        <v>5.73</v>
      </c>
      <c r="F4835" s="1121">
        <f t="shared" si="1"/>
        <v>16.54</v>
      </c>
      <c r="G4835" s="1120">
        <v>16.54</v>
      </c>
      <c r="H4835" s="1127">
        <v>0.0</v>
      </c>
      <c r="I4835" s="1127">
        <v>0.0</v>
      </c>
      <c r="J4835" s="1127">
        <v>0.0</v>
      </c>
      <c r="K4835" s="1124"/>
    </row>
    <row r="4836" ht="15.75" customHeight="1">
      <c r="A4836" s="1119">
        <v>103894.0</v>
      </c>
      <c r="B4836" s="1125" t="s">
        <v>15115</v>
      </c>
      <c r="C4836" s="1126" t="s">
        <v>1788</v>
      </c>
      <c r="D4836" s="1119">
        <v>26.73</v>
      </c>
      <c r="E4836" s="1120">
        <v>6.58</v>
      </c>
      <c r="F4836" s="1121">
        <f t="shared" si="1"/>
        <v>20.16</v>
      </c>
      <c r="G4836" s="1120">
        <v>20.16</v>
      </c>
      <c r="H4836" s="1127">
        <v>0.0</v>
      </c>
      <c r="I4836" s="1127">
        <v>0.0</v>
      </c>
      <c r="J4836" s="1127">
        <v>0.0</v>
      </c>
      <c r="K4836" s="1124"/>
    </row>
    <row r="4837" ht="15.75" customHeight="1">
      <c r="A4837" s="1119">
        <v>103895.0</v>
      </c>
      <c r="B4837" s="1125" t="s">
        <v>15116</v>
      </c>
      <c r="C4837" s="1126" t="s">
        <v>1788</v>
      </c>
      <c r="D4837" s="1119">
        <v>25.52</v>
      </c>
      <c r="E4837" s="1120">
        <v>9.49</v>
      </c>
      <c r="F4837" s="1121">
        <f t="shared" si="1"/>
        <v>16.03</v>
      </c>
      <c r="G4837" s="1120">
        <v>16.03</v>
      </c>
      <c r="H4837" s="1127">
        <v>0.0</v>
      </c>
      <c r="I4837" s="1127">
        <v>0.0</v>
      </c>
      <c r="J4837" s="1127">
        <v>0.0</v>
      </c>
      <c r="K4837" s="1124"/>
    </row>
    <row r="4838" ht="15.75" customHeight="1">
      <c r="A4838" s="1119">
        <v>103896.0</v>
      </c>
      <c r="B4838" s="1125" t="s">
        <v>15117</v>
      </c>
      <c r="C4838" s="1126" t="s">
        <v>1788</v>
      </c>
      <c r="D4838" s="1119">
        <v>25.52</v>
      </c>
      <c r="E4838" s="1120">
        <v>9.49</v>
      </c>
      <c r="F4838" s="1121">
        <f t="shared" si="1"/>
        <v>16.03</v>
      </c>
      <c r="G4838" s="1120">
        <v>16.03</v>
      </c>
      <c r="H4838" s="1127">
        <v>0.0</v>
      </c>
      <c r="I4838" s="1127">
        <v>0.0</v>
      </c>
      <c r="J4838" s="1127">
        <v>0.0</v>
      </c>
      <c r="K4838" s="1124"/>
    </row>
    <row r="4839" ht="15.75" customHeight="1">
      <c r="A4839" s="1119">
        <v>103897.0</v>
      </c>
      <c r="B4839" s="1125" t="s">
        <v>15118</v>
      </c>
      <c r="C4839" s="1126" t="s">
        <v>1788</v>
      </c>
      <c r="D4839" s="1119">
        <v>86.34</v>
      </c>
      <c r="E4839" s="1120">
        <v>9.47</v>
      </c>
      <c r="F4839" s="1121">
        <f t="shared" si="1"/>
        <v>76.88</v>
      </c>
      <c r="G4839" s="1120">
        <v>76.88</v>
      </c>
      <c r="H4839" s="1127">
        <v>0.0</v>
      </c>
      <c r="I4839" s="1127">
        <v>0.0</v>
      </c>
      <c r="J4839" s="1127">
        <v>0.0</v>
      </c>
      <c r="K4839" s="1124"/>
    </row>
    <row r="4840" ht="15.75" customHeight="1">
      <c r="A4840" s="1119">
        <v>103898.0</v>
      </c>
      <c r="B4840" s="1125" t="s">
        <v>15119</v>
      </c>
      <c r="C4840" s="1126" t="s">
        <v>1788</v>
      </c>
      <c r="D4840" s="1119">
        <v>570.63</v>
      </c>
      <c r="E4840" s="1120">
        <v>9.46</v>
      </c>
      <c r="F4840" s="1121">
        <f t="shared" si="1"/>
        <v>561.17</v>
      </c>
      <c r="G4840" s="1120">
        <v>561.17</v>
      </c>
      <c r="H4840" s="1127">
        <v>0.0</v>
      </c>
      <c r="I4840" s="1127">
        <v>0.0</v>
      </c>
      <c r="J4840" s="1127">
        <v>0.0</v>
      </c>
      <c r="K4840" s="1124"/>
    </row>
    <row r="4841" ht="15.75" customHeight="1">
      <c r="A4841" s="1119">
        <v>103899.0</v>
      </c>
      <c r="B4841" s="1125" t="s">
        <v>15120</v>
      </c>
      <c r="C4841" s="1126" t="s">
        <v>1788</v>
      </c>
      <c r="D4841" s="1119">
        <v>33.59</v>
      </c>
      <c r="E4841" s="1120">
        <v>6.29</v>
      </c>
      <c r="F4841" s="1121">
        <f t="shared" si="1"/>
        <v>27.31</v>
      </c>
      <c r="G4841" s="1120">
        <v>27.31</v>
      </c>
      <c r="H4841" s="1127">
        <v>0.0</v>
      </c>
      <c r="I4841" s="1127">
        <v>0.0</v>
      </c>
      <c r="J4841" s="1127">
        <v>0.0</v>
      </c>
      <c r="K4841" s="1124"/>
    </row>
    <row r="4842" ht="15.75" customHeight="1">
      <c r="A4842" s="1119">
        <v>103900.0</v>
      </c>
      <c r="B4842" s="1125" t="s">
        <v>15121</v>
      </c>
      <c r="C4842" s="1126" t="s">
        <v>1788</v>
      </c>
      <c r="D4842" s="1119">
        <v>22.42</v>
      </c>
      <c r="E4842" s="1120">
        <v>8.94</v>
      </c>
      <c r="F4842" s="1121">
        <f t="shared" si="1"/>
        <v>13.47</v>
      </c>
      <c r="G4842" s="1120">
        <v>13.47</v>
      </c>
      <c r="H4842" s="1127">
        <v>0.0</v>
      </c>
      <c r="I4842" s="1127">
        <v>0.0</v>
      </c>
      <c r="J4842" s="1127">
        <v>0.0</v>
      </c>
      <c r="K4842" s="1124"/>
    </row>
    <row r="4843" ht="15.75" customHeight="1">
      <c r="A4843" s="1119">
        <v>103901.0</v>
      </c>
      <c r="B4843" s="1125" t="s">
        <v>15122</v>
      </c>
      <c r="C4843" s="1126" t="s">
        <v>1788</v>
      </c>
      <c r="D4843" s="1119">
        <v>27.18</v>
      </c>
      <c r="E4843" s="1120">
        <v>14.21</v>
      </c>
      <c r="F4843" s="1121">
        <f t="shared" si="1"/>
        <v>12.99</v>
      </c>
      <c r="G4843" s="1120">
        <v>12.99</v>
      </c>
      <c r="H4843" s="1127">
        <v>0.0</v>
      </c>
      <c r="I4843" s="1127">
        <v>0.0</v>
      </c>
      <c r="J4843" s="1127">
        <v>0.0</v>
      </c>
      <c r="K4843" s="1124"/>
    </row>
    <row r="4844" ht="15.75" customHeight="1">
      <c r="A4844" s="1119">
        <v>103902.0</v>
      </c>
      <c r="B4844" s="1125" t="s">
        <v>15123</v>
      </c>
      <c r="C4844" s="1126" t="s">
        <v>1788</v>
      </c>
      <c r="D4844" s="1119">
        <v>39.32</v>
      </c>
      <c r="E4844" s="1120">
        <v>16.77</v>
      </c>
      <c r="F4844" s="1121">
        <f t="shared" si="1"/>
        <v>22.55</v>
      </c>
      <c r="G4844" s="1120">
        <v>22.55</v>
      </c>
      <c r="H4844" s="1127">
        <v>0.0</v>
      </c>
      <c r="I4844" s="1127">
        <v>0.0</v>
      </c>
      <c r="J4844" s="1127">
        <v>0.0</v>
      </c>
      <c r="K4844" s="1124"/>
    </row>
    <row r="4845" ht="15.75" customHeight="1">
      <c r="A4845" s="1119">
        <v>103903.0</v>
      </c>
      <c r="B4845" s="1125" t="s">
        <v>15124</v>
      </c>
      <c r="C4845" s="1126" t="s">
        <v>1788</v>
      </c>
      <c r="D4845" s="1119">
        <v>52.45</v>
      </c>
      <c r="E4845" s="1120">
        <v>18.97</v>
      </c>
      <c r="F4845" s="1121">
        <f t="shared" si="1"/>
        <v>33.48</v>
      </c>
      <c r="G4845" s="1120">
        <v>33.48</v>
      </c>
      <c r="H4845" s="1127">
        <v>0.0</v>
      </c>
      <c r="I4845" s="1127">
        <v>0.0</v>
      </c>
      <c r="J4845" s="1127">
        <v>0.0</v>
      </c>
      <c r="K4845" s="1124"/>
    </row>
    <row r="4846" ht="15.75" customHeight="1">
      <c r="A4846" s="1119">
        <v>103947.0</v>
      </c>
      <c r="B4846" s="1125" t="s">
        <v>15125</v>
      </c>
      <c r="C4846" s="1126" t="s">
        <v>1788</v>
      </c>
      <c r="D4846" s="1119">
        <v>7.09</v>
      </c>
      <c r="E4846" s="1120">
        <v>4.13</v>
      </c>
      <c r="F4846" s="1121">
        <f t="shared" si="1"/>
        <v>2.97</v>
      </c>
      <c r="G4846" s="1120">
        <v>2.97</v>
      </c>
      <c r="H4846" s="1127">
        <v>0.0</v>
      </c>
      <c r="I4846" s="1127">
        <v>0.0</v>
      </c>
      <c r="J4846" s="1127">
        <v>0.0</v>
      </c>
      <c r="K4846" s="1124"/>
    </row>
    <row r="4847" ht="15.75" customHeight="1">
      <c r="A4847" s="1119">
        <v>103948.0</v>
      </c>
      <c r="B4847" s="1125" t="s">
        <v>15126</v>
      </c>
      <c r="C4847" s="1126" t="s">
        <v>1788</v>
      </c>
      <c r="D4847" s="1119">
        <v>8.8</v>
      </c>
      <c r="E4847" s="1120">
        <v>4.84</v>
      </c>
      <c r="F4847" s="1121">
        <f t="shared" si="1"/>
        <v>3.96</v>
      </c>
      <c r="G4847" s="1120">
        <v>3.96</v>
      </c>
      <c r="H4847" s="1127">
        <v>0.0</v>
      </c>
      <c r="I4847" s="1127">
        <v>0.0</v>
      </c>
      <c r="J4847" s="1127">
        <v>0.0</v>
      </c>
      <c r="K4847" s="1124"/>
    </row>
    <row r="4848" ht="15.75" customHeight="1">
      <c r="A4848" s="1119">
        <v>103949.0</v>
      </c>
      <c r="B4848" s="1125" t="s">
        <v>15127</v>
      </c>
      <c r="C4848" s="1126" t="s">
        <v>1788</v>
      </c>
      <c r="D4848" s="1119">
        <v>10.18</v>
      </c>
      <c r="E4848" s="1120">
        <v>4.53</v>
      </c>
      <c r="F4848" s="1121">
        <f t="shared" si="1"/>
        <v>5.65</v>
      </c>
      <c r="G4848" s="1120">
        <v>5.65</v>
      </c>
      <c r="H4848" s="1127">
        <v>0.0</v>
      </c>
      <c r="I4848" s="1127">
        <v>0.0</v>
      </c>
      <c r="J4848" s="1127">
        <v>0.0</v>
      </c>
      <c r="K4848" s="1124"/>
    </row>
    <row r="4849" ht="15.75" customHeight="1">
      <c r="A4849" s="1119">
        <v>103950.0</v>
      </c>
      <c r="B4849" s="1125" t="s">
        <v>15128</v>
      </c>
      <c r="C4849" s="1126" t="s">
        <v>1788</v>
      </c>
      <c r="D4849" s="1119">
        <v>12.07</v>
      </c>
      <c r="E4849" s="1120">
        <v>6.17</v>
      </c>
      <c r="F4849" s="1121">
        <f t="shared" si="1"/>
        <v>5.91</v>
      </c>
      <c r="G4849" s="1120">
        <v>5.91</v>
      </c>
      <c r="H4849" s="1127">
        <v>0.0</v>
      </c>
      <c r="I4849" s="1127">
        <v>0.0</v>
      </c>
      <c r="J4849" s="1127">
        <v>0.0</v>
      </c>
      <c r="K4849" s="1124"/>
    </row>
    <row r="4850" ht="15.75" customHeight="1">
      <c r="A4850" s="1119">
        <v>103951.0</v>
      </c>
      <c r="B4850" s="1125" t="s">
        <v>15129</v>
      </c>
      <c r="C4850" s="1126" t="s">
        <v>1788</v>
      </c>
      <c r="D4850" s="1119">
        <v>16.43</v>
      </c>
      <c r="E4850" s="1120">
        <v>7.24</v>
      </c>
      <c r="F4850" s="1121">
        <f t="shared" si="1"/>
        <v>9.2</v>
      </c>
      <c r="G4850" s="1120">
        <v>9.2</v>
      </c>
      <c r="H4850" s="1127">
        <v>0.0</v>
      </c>
      <c r="I4850" s="1127">
        <v>0.0</v>
      </c>
      <c r="J4850" s="1127">
        <v>0.0</v>
      </c>
      <c r="K4850" s="1124"/>
    </row>
    <row r="4851" ht="15.75" customHeight="1">
      <c r="A4851" s="1119">
        <v>103952.0</v>
      </c>
      <c r="B4851" s="1125" t="s">
        <v>15130</v>
      </c>
      <c r="C4851" s="1126" t="s">
        <v>1788</v>
      </c>
      <c r="D4851" s="1119">
        <v>6.5</v>
      </c>
      <c r="E4851" s="1120">
        <v>3.69</v>
      </c>
      <c r="F4851" s="1121">
        <f t="shared" si="1"/>
        <v>2.8</v>
      </c>
      <c r="G4851" s="1120">
        <v>2.8</v>
      </c>
      <c r="H4851" s="1127">
        <v>0.0</v>
      </c>
      <c r="I4851" s="1127">
        <v>0.0</v>
      </c>
      <c r="J4851" s="1127">
        <v>0.0</v>
      </c>
      <c r="K4851" s="1124"/>
    </row>
    <row r="4852" ht="15.75" customHeight="1">
      <c r="A4852" s="1119">
        <v>103953.0</v>
      </c>
      <c r="B4852" s="1125" t="s">
        <v>15131</v>
      </c>
      <c r="C4852" s="1126" t="s">
        <v>1788</v>
      </c>
      <c r="D4852" s="1119">
        <v>8.12</v>
      </c>
      <c r="E4852" s="1120">
        <v>4.33</v>
      </c>
      <c r="F4852" s="1121">
        <f t="shared" si="1"/>
        <v>3.81</v>
      </c>
      <c r="G4852" s="1120">
        <v>3.81</v>
      </c>
      <c r="H4852" s="1127">
        <v>0.0</v>
      </c>
      <c r="I4852" s="1127">
        <v>0.0</v>
      </c>
      <c r="J4852" s="1127">
        <v>0.0</v>
      </c>
      <c r="K4852" s="1124"/>
    </row>
    <row r="4853" ht="15.75" customHeight="1">
      <c r="A4853" s="1119">
        <v>103954.0</v>
      </c>
      <c r="B4853" s="1125" t="s">
        <v>15132</v>
      </c>
      <c r="C4853" s="1126" t="s">
        <v>1788</v>
      </c>
      <c r="D4853" s="1119">
        <v>9.53</v>
      </c>
      <c r="E4853" s="1120">
        <v>4.05</v>
      </c>
      <c r="F4853" s="1121">
        <f t="shared" si="1"/>
        <v>5.49</v>
      </c>
      <c r="G4853" s="1120">
        <v>5.49</v>
      </c>
      <c r="H4853" s="1127">
        <v>0.0</v>
      </c>
      <c r="I4853" s="1127">
        <v>0.0</v>
      </c>
      <c r="J4853" s="1127">
        <v>0.0</v>
      </c>
      <c r="K4853" s="1124"/>
    </row>
    <row r="4854" ht="15.75" customHeight="1">
      <c r="A4854" s="1119">
        <v>103955.0</v>
      </c>
      <c r="B4854" s="1125" t="s">
        <v>15133</v>
      </c>
      <c r="C4854" s="1126" t="s">
        <v>1788</v>
      </c>
      <c r="D4854" s="1119">
        <v>11.19</v>
      </c>
      <c r="E4854" s="1120">
        <v>5.51</v>
      </c>
      <c r="F4854" s="1121">
        <f t="shared" si="1"/>
        <v>5.68</v>
      </c>
      <c r="G4854" s="1120">
        <v>5.68</v>
      </c>
      <c r="H4854" s="1127">
        <v>0.0</v>
      </c>
      <c r="I4854" s="1127">
        <v>0.0</v>
      </c>
      <c r="J4854" s="1127">
        <v>0.0</v>
      </c>
      <c r="K4854" s="1124"/>
    </row>
    <row r="4855" ht="15.75" customHeight="1">
      <c r="A4855" s="1119">
        <v>103956.0</v>
      </c>
      <c r="B4855" s="1125" t="s">
        <v>15134</v>
      </c>
      <c r="C4855" s="1126" t="s">
        <v>1788</v>
      </c>
      <c r="D4855" s="1119">
        <v>15.41</v>
      </c>
      <c r="E4855" s="1120">
        <v>6.47</v>
      </c>
      <c r="F4855" s="1121">
        <f t="shared" si="1"/>
        <v>8.94</v>
      </c>
      <c r="G4855" s="1120">
        <v>8.94</v>
      </c>
      <c r="H4855" s="1127">
        <v>0.0</v>
      </c>
      <c r="I4855" s="1127">
        <v>0.0</v>
      </c>
      <c r="J4855" s="1127">
        <v>0.0</v>
      </c>
      <c r="K4855" s="1124"/>
    </row>
    <row r="4856" ht="15.75" customHeight="1">
      <c r="A4856" s="1119">
        <v>103957.0</v>
      </c>
      <c r="B4856" s="1125" t="s">
        <v>15135</v>
      </c>
      <c r="C4856" s="1126" t="s">
        <v>1788</v>
      </c>
      <c r="D4856" s="1119">
        <v>5.36</v>
      </c>
      <c r="E4856" s="1120">
        <v>2.28</v>
      </c>
      <c r="F4856" s="1121">
        <f t="shared" si="1"/>
        <v>3.07</v>
      </c>
      <c r="G4856" s="1120">
        <v>3.07</v>
      </c>
      <c r="H4856" s="1127">
        <v>0.0</v>
      </c>
      <c r="I4856" s="1127">
        <v>0.0</v>
      </c>
      <c r="J4856" s="1127">
        <v>0.0</v>
      </c>
      <c r="K4856" s="1124"/>
    </row>
    <row r="4857" ht="15.75" customHeight="1">
      <c r="A4857" s="1119">
        <v>103958.0</v>
      </c>
      <c r="B4857" s="1125" t="s">
        <v>15136</v>
      </c>
      <c r="C4857" s="1126" t="s">
        <v>1788</v>
      </c>
      <c r="D4857" s="1119">
        <v>10.7</v>
      </c>
      <c r="E4857" s="1120">
        <v>3.35</v>
      </c>
      <c r="F4857" s="1121">
        <f t="shared" si="1"/>
        <v>7.35</v>
      </c>
      <c r="G4857" s="1120">
        <v>7.35</v>
      </c>
      <c r="H4857" s="1127">
        <v>0.0</v>
      </c>
      <c r="I4857" s="1127">
        <v>0.0</v>
      </c>
      <c r="J4857" s="1127">
        <v>0.0</v>
      </c>
      <c r="K4857" s="1124"/>
    </row>
    <row r="4858" ht="15.75" customHeight="1">
      <c r="A4858" s="1119">
        <v>103959.0</v>
      </c>
      <c r="B4858" s="1125" t="s">
        <v>15137</v>
      </c>
      <c r="C4858" s="1126" t="s">
        <v>1788</v>
      </c>
      <c r="D4858" s="1119">
        <v>15.87</v>
      </c>
      <c r="E4858" s="1120">
        <v>4.01</v>
      </c>
      <c r="F4858" s="1121">
        <f t="shared" si="1"/>
        <v>11.87</v>
      </c>
      <c r="G4858" s="1120">
        <v>11.87</v>
      </c>
      <c r="H4858" s="1127">
        <v>0.0</v>
      </c>
      <c r="I4858" s="1127">
        <v>0.0</v>
      </c>
      <c r="J4858" s="1127">
        <v>0.0</v>
      </c>
      <c r="K4858" s="1124"/>
    </row>
    <row r="4859" ht="15.75" customHeight="1">
      <c r="A4859" s="1119">
        <v>103962.0</v>
      </c>
      <c r="B4859" s="1125" t="s">
        <v>15138</v>
      </c>
      <c r="C4859" s="1126" t="s">
        <v>1788</v>
      </c>
      <c r="D4859" s="1119">
        <v>6.87</v>
      </c>
      <c r="E4859" s="1120">
        <v>2.05</v>
      </c>
      <c r="F4859" s="1121">
        <f t="shared" si="1"/>
        <v>4.82</v>
      </c>
      <c r="G4859" s="1120">
        <v>4.82</v>
      </c>
      <c r="H4859" s="1127">
        <v>0.0</v>
      </c>
      <c r="I4859" s="1127">
        <v>0.0</v>
      </c>
      <c r="J4859" s="1127">
        <v>0.0</v>
      </c>
      <c r="K4859" s="1124"/>
    </row>
    <row r="4860" ht="15.75" customHeight="1">
      <c r="A4860" s="1119">
        <v>103964.0</v>
      </c>
      <c r="B4860" s="1125" t="s">
        <v>15139</v>
      </c>
      <c r="C4860" s="1126" t="s">
        <v>1788</v>
      </c>
      <c r="D4860" s="1119">
        <v>8.71</v>
      </c>
      <c r="E4860" s="1120">
        <v>2.52</v>
      </c>
      <c r="F4860" s="1121">
        <f t="shared" si="1"/>
        <v>6.19</v>
      </c>
      <c r="G4860" s="1120">
        <v>6.19</v>
      </c>
      <c r="H4860" s="1127">
        <v>0.0</v>
      </c>
      <c r="I4860" s="1127">
        <v>0.0</v>
      </c>
      <c r="J4860" s="1127">
        <v>0.0</v>
      </c>
      <c r="K4860" s="1124"/>
    </row>
    <row r="4861" ht="15.75" customHeight="1">
      <c r="A4861" s="1119">
        <v>103966.0</v>
      </c>
      <c r="B4861" s="1125" t="s">
        <v>15140</v>
      </c>
      <c r="C4861" s="1126" t="s">
        <v>1788</v>
      </c>
      <c r="D4861" s="1119">
        <v>10.27</v>
      </c>
      <c r="E4861" s="1120">
        <v>2.86</v>
      </c>
      <c r="F4861" s="1121">
        <f t="shared" si="1"/>
        <v>7.42</v>
      </c>
      <c r="G4861" s="1120">
        <v>7.42</v>
      </c>
      <c r="H4861" s="1127">
        <v>0.0</v>
      </c>
      <c r="I4861" s="1127">
        <v>0.0</v>
      </c>
      <c r="J4861" s="1127">
        <v>0.0</v>
      </c>
      <c r="K4861" s="1124"/>
    </row>
    <row r="4862" ht="15.75" customHeight="1">
      <c r="A4862" s="1119">
        <v>103967.0</v>
      </c>
      <c r="B4862" s="1125" t="s">
        <v>15141</v>
      </c>
      <c r="C4862" s="1126" t="s">
        <v>1788</v>
      </c>
      <c r="D4862" s="1119">
        <v>12.32</v>
      </c>
      <c r="E4862" s="1120">
        <v>3.08</v>
      </c>
      <c r="F4862" s="1121">
        <f t="shared" si="1"/>
        <v>9.23</v>
      </c>
      <c r="G4862" s="1120">
        <v>9.23</v>
      </c>
      <c r="H4862" s="1127">
        <v>0.0</v>
      </c>
      <c r="I4862" s="1127">
        <v>0.0</v>
      </c>
      <c r="J4862" s="1127">
        <v>0.0</v>
      </c>
      <c r="K4862" s="1124"/>
    </row>
    <row r="4863" ht="15.75" customHeight="1">
      <c r="A4863" s="1119">
        <v>103968.0</v>
      </c>
      <c r="B4863" s="1125" t="s">
        <v>15142</v>
      </c>
      <c r="C4863" s="1126" t="s">
        <v>1788</v>
      </c>
      <c r="D4863" s="1119">
        <v>17.41</v>
      </c>
      <c r="E4863" s="1120">
        <v>3.18</v>
      </c>
      <c r="F4863" s="1121">
        <f t="shared" si="1"/>
        <v>14.23</v>
      </c>
      <c r="G4863" s="1120">
        <v>14.23</v>
      </c>
      <c r="H4863" s="1127">
        <v>0.0</v>
      </c>
      <c r="I4863" s="1127">
        <v>0.0</v>
      </c>
      <c r="J4863" s="1127">
        <v>0.0</v>
      </c>
      <c r="K4863" s="1124"/>
    </row>
    <row r="4864" ht="15.75" customHeight="1">
      <c r="A4864" s="1119">
        <v>103969.0</v>
      </c>
      <c r="B4864" s="1125" t="s">
        <v>15143</v>
      </c>
      <c r="C4864" s="1126" t="s">
        <v>1788</v>
      </c>
      <c r="D4864" s="1119">
        <v>20.49</v>
      </c>
      <c r="E4864" s="1120">
        <v>3.41</v>
      </c>
      <c r="F4864" s="1121">
        <f t="shared" si="1"/>
        <v>17.07</v>
      </c>
      <c r="G4864" s="1120">
        <v>17.07</v>
      </c>
      <c r="H4864" s="1127">
        <v>0.0</v>
      </c>
      <c r="I4864" s="1127">
        <v>0.0</v>
      </c>
      <c r="J4864" s="1127">
        <v>0.0</v>
      </c>
      <c r="K4864" s="1124"/>
    </row>
    <row r="4865" ht="15.75" customHeight="1">
      <c r="A4865" s="1119">
        <v>103971.0</v>
      </c>
      <c r="B4865" s="1125" t="s">
        <v>15144</v>
      </c>
      <c r="C4865" s="1126" t="s">
        <v>1788</v>
      </c>
      <c r="D4865" s="1119">
        <v>26.01</v>
      </c>
      <c r="E4865" s="1120">
        <v>4.01</v>
      </c>
      <c r="F4865" s="1121">
        <f t="shared" si="1"/>
        <v>22.01</v>
      </c>
      <c r="G4865" s="1120">
        <v>22.01</v>
      </c>
      <c r="H4865" s="1127">
        <v>0.0</v>
      </c>
      <c r="I4865" s="1127">
        <v>0.0</v>
      </c>
      <c r="J4865" s="1127">
        <v>0.0</v>
      </c>
      <c r="K4865" s="1124"/>
    </row>
    <row r="4866" ht="15.75" customHeight="1">
      <c r="A4866" s="1119">
        <v>103972.0</v>
      </c>
      <c r="B4866" s="1125" t="s">
        <v>15145</v>
      </c>
      <c r="C4866" s="1126" t="s">
        <v>1788</v>
      </c>
      <c r="D4866" s="1119">
        <v>30.1</v>
      </c>
      <c r="E4866" s="1120">
        <v>4.48</v>
      </c>
      <c r="F4866" s="1121">
        <f t="shared" si="1"/>
        <v>25.61</v>
      </c>
      <c r="G4866" s="1120">
        <v>25.61</v>
      </c>
      <c r="H4866" s="1127">
        <v>0.0</v>
      </c>
      <c r="I4866" s="1127">
        <v>0.0</v>
      </c>
      <c r="J4866" s="1127">
        <v>0.0</v>
      </c>
      <c r="K4866" s="1124"/>
    </row>
    <row r="4867" ht="15.75" customHeight="1">
      <c r="A4867" s="1119">
        <v>103974.0</v>
      </c>
      <c r="B4867" s="1125" t="s">
        <v>15146</v>
      </c>
      <c r="C4867" s="1126" t="s">
        <v>1788</v>
      </c>
      <c r="D4867" s="1119">
        <v>11.27</v>
      </c>
      <c r="E4867" s="1120">
        <v>3.4</v>
      </c>
      <c r="F4867" s="1121">
        <f t="shared" si="1"/>
        <v>7.88</v>
      </c>
      <c r="G4867" s="1120">
        <v>7.88</v>
      </c>
      <c r="H4867" s="1127">
        <v>0.0</v>
      </c>
      <c r="I4867" s="1127">
        <v>0.0</v>
      </c>
      <c r="J4867" s="1127">
        <v>0.0</v>
      </c>
      <c r="K4867" s="1124"/>
    </row>
    <row r="4868" ht="15.75" customHeight="1">
      <c r="A4868" s="1119">
        <v>103975.0</v>
      </c>
      <c r="B4868" s="1125" t="s">
        <v>15147</v>
      </c>
      <c r="C4868" s="1126" t="s">
        <v>1788</v>
      </c>
      <c r="D4868" s="1119">
        <v>18.91</v>
      </c>
      <c r="E4868" s="1120">
        <v>5.3</v>
      </c>
      <c r="F4868" s="1121">
        <f t="shared" si="1"/>
        <v>13.61</v>
      </c>
      <c r="G4868" s="1120">
        <v>13.61</v>
      </c>
      <c r="H4868" s="1127">
        <v>0.0</v>
      </c>
      <c r="I4868" s="1127">
        <v>0.0</v>
      </c>
      <c r="J4868" s="1127">
        <v>0.0</v>
      </c>
      <c r="K4868" s="1124"/>
    </row>
    <row r="4869" ht="15.75" customHeight="1">
      <c r="A4869" s="1119">
        <v>103976.0</v>
      </c>
      <c r="B4869" s="1125" t="s">
        <v>15148</v>
      </c>
      <c r="C4869" s="1126" t="s">
        <v>1788</v>
      </c>
      <c r="D4869" s="1119">
        <v>27.07</v>
      </c>
      <c r="E4869" s="1120">
        <v>6.17</v>
      </c>
      <c r="F4869" s="1121">
        <f t="shared" si="1"/>
        <v>20.9</v>
      </c>
      <c r="G4869" s="1120">
        <v>20.9</v>
      </c>
      <c r="H4869" s="1127">
        <v>0.0</v>
      </c>
      <c r="I4869" s="1127">
        <v>0.0</v>
      </c>
      <c r="J4869" s="1127">
        <v>0.0</v>
      </c>
      <c r="K4869" s="1124"/>
    </row>
    <row r="4870" ht="15.75" customHeight="1">
      <c r="A4870" s="1119">
        <v>103977.0</v>
      </c>
      <c r="B4870" s="1125" t="s">
        <v>15149</v>
      </c>
      <c r="C4870" s="1126" t="s">
        <v>1788</v>
      </c>
      <c r="D4870" s="1119">
        <v>7.6</v>
      </c>
      <c r="E4870" s="1120">
        <v>2.75</v>
      </c>
      <c r="F4870" s="1121">
        <f t="shared" si="1"/>
        <v>4.85</v>
      </c>
      <c r="G4870" s="1120">
        <v>4.85</v>
      </c>
      <c r="H4870" s="1127">
        <v>0.0</v>
      </c>
      <c r="I4870" s="1127">
        <v>0.0</v>
      </c>
      <c r="J4870" s="1127">
        <v>0.0</v>
      </c>
      <c r="K4870" s="1124"/>
    </row>
    <row r="4871" ht="15.75" customHeight="1">
      <c r="A4871" s="1119">
        <v>103980.0</v>
      </c>
      <c r="B4871" s="1125" t="s">
        <v>15150</v>
      </c>
      <c r="C4871" s="1126" t="s">
        <v>1788</v>
      </c>
      <c r="D4871" s="1119">
        <v>19.28</v>
      </c>
      <c r="E4871" s="1120">
        <v>8.34</v>
      </c>
      <c r="F4871" s="1121">
        <f t="shared" si="1"/>
        <v>10.94</v>
      </c>
      <c r="G4871" s="1120">
        <v>10.94</v>
      </c>
      <c r="H4871" s="1127">
        <v>0.0</v>
      </c>
      <c r="I4871" s="1127">
        <v>0.0</v>
      </c>
      <c r="J4871" s="1127">
        <v>0.0</v>
      </c>
      <c r="K4871" s="1124"/>
    </row>
    <row r="4872" ht="15.75" customHeight="1">
      <c r="A4872" s="1119">
        <v>103981.0</v>
      </c>
      <c r="B4872" s="1125" t="s">
        <v>15151</v>
      </c>
      <c r="C4872" s="1126" t="s">
        <v>1788</v>
      </c>
      <c r="D4872" s="1119">
        <v>19.34</v>
      </c>
      <c r="E4872" s="1120">
        <v>8.34</v>
      </c>
      <c r="F4872" s="1121">
        <f t="shared" si="1"/>
        <v>11</v>
      </c>
      <c r="G4872" s="1120">
        <v>11.0</v>
      </c>
      <c r="H4872" s="1127">
        <v>0.0</v>
      </c>
      <c r="I4872" s="1127">
        <v>0.0</v>
      </c>
      <c r="J4872" s="1127">
        <v>0.0</v>
      </c>
      <c r="K4872" s="1124"/>
    </row>
    <row r="4873" ht="15.75" customHeight="1">
      <c r="A4873" s="1119">
        <v>103982.0</v>
      </c>
      <c r="B4873" s="1125" t="s">
        <v>15152</v>
      </c>
      <c r="C4873" s="1126" t="s">
        <v>1788</v>
      </c>
      <c r="D4873" s="1119">
        <v>25.69</v>
      </c>
      <c r="E4873" s="1120">
        <v>8.33</v>
      </c>
      <c r="F4873" s="1121">
        <f t="shared" si="1"/>
        <v>17.36</v>
      </c>
      <c r="G4873" s="1120">
        <v>17.36</v>
      </c>
      <c r="H4873" s="1127">
        <v>0.0</v>
      </c>
      <c r="I4873" s="1127">
        <v>0.0</v>
      </c>
      <c r="J4873" s="1127">
        <v>0.0</v>
      </c>
      <c r="K4873" s="1124"/>
    </row>
    <row r="4874" ht="15.75" customHeight="1">
      <c r="A4874" s="1119">
        <v>103983.0</v>
      </c>
      <c r="B4874" s="1125" t="s">
        <v>15153</v>
      </c>
      <c r="C4874" s="1126" t="s">
        <v>1788</v>
      </c>
      <c r="D4874" s="1119">
        <v>18.78</v>
      </c>
      <c r="E4874" s="1120">
        <v>8.34</v>
      </c>
      <c r="F4874" s="1121">
        <f t="shared" si="1"/>
        <v>10.44</v>
      </c>
      <c r="G4874" s="1120">
        <v>10.44</v>
      </c>
      <c r="H4874" s="1127">
        <v>0.0</v>
      </c>
      <c r="I4874" s="1127">
        <v>0.0</v>
      </c>
      <c r="J4874" s="1127">
        <v>0.0</v>
      </c>
      <c r="K4874" s="1124"/>
    </row>
    <row r="4875" ht="15.75" customHeight="1">
      <c r="A4875" s="1119">
        <v>103984.0</v>
      </c>
      <c r="B4875" s="1125" t="s">
        <v>15154</v>
      </c>
      <c r="C4875" s="1126" t="s">
        <v>1788</v>
      </c>
      <c r="D4875" s="1119">
        <v>21.46</v>
      </c>
      <c r="E4875" s="1120">
        <v>9.97</v>
      </c>
      <c r="F4875" s="1121">
        <f t="shared" si="1"/>
        <v>11.5</v>
      </c>
      <c r="G4875" s="1120">
        <v>11.5</v>
      </c>
      <c r="H4875" s="1127">
        <v>0.0</v>
      </c>
      <c r="I4875" s="1127">
        <v>0.0</v>
      </c>
      <c r="J4875" s="1127">
        <v>0.0</v>
      </c>
      <c r="K4875" s="1124"/>
    </row>
    <row r="4876" ht="15.75" customHeight="1">
      <c r="A4876" s="1119">
        <v>103985.0</v>
      </c>
      <c r="B4876" s="1125" t="s">
        <v>15155</v>
      </c>
      <c r="C4876" s="1126" t="s">
        <v>1788</v>
      </c>
      <c r="D4876" s="1119">
        <v>24.07</v>
      </c>
      <c r="E4876" s="1120">
        <v>9.96</v>
      </c>
      <c r="F4876" s="1121">
        <f t="shared" si="1"/>
        <v>14.11</v>
      </c>
      <c r="G4876" s="1120">
        <v>14.11</v>
      </c>
      <c r="H4876" s="1127">
        <v>0.0</v>
      </c>
      <c r="I4876" s="1127">
        <v>0.0</v>
      </c>
      <c r="J4876" s="1127">
        <v>0.0</v>
      </c>
      <c r="K4876" s="1124"/>
    </row>
    <row r="4877" ht="15.75" customHeight="1">
      <c r="A4877" s="1119">
        <v>103986.0</v>
      </c>
      <c r="B4877" s="1125" t="s">
        <v>15156</v>
      </c>
      <c r="C4877" s="1126" t="s">
        <v>1788</v>
      </c>
      <c r="D4877" s="1119">
        <v>29.89</v>
      </c>
      <c r="E4877" s="1120">
        <v>9.96</v>
      </c>
      <c r="F4877" s="1121">
        <f t="shared" si="1"/>
        <v>19.94</v>
      </c>
      <c r="G4877" s="1120">
        <v>19.94</v>
      </c>
      <c r="H4877" s="1127">
        <v>0.0</v>
      </c>
      <c r="I4877" s="1127">
        <v>0.0</v>
      </c>
      <c r="J4877" s="1127">
        <v>0.0</v>
      </c>
      <c r="K4877" s="1124"/>
    </row>
    <row r="4878" ht="15.75" customHeight="1">
      <c r="A4878" s="1119">
        <v>103987.0</v>
      </c>
      <c r="B4878" s="1125" t="s">
        <v>15157</v>
      </c>
      <c r="C4878" s="1126" t="s">
        <v>1788</v>
      </c>
      <c r="D4878" s="1119">
        <v>25.94</v>
      </c>
      <c r="E4878" s="1120">
        <v>9.96</v>
      </c>
      <c r="F4878" s="1121">
        <f t="shared" si="1"/>
        <v>15.99</v>
      </c>
      <c r="G4878" s="1120">
        <v>15.99</v>
      </c>
      <c r="H4878" s="1127">
        <v>0.0</v>
      </c>
      <c r="I4878" s="1127">
        <v>0.0</v>
      </c>
      <c r="J4878" s="1127">
        <v>0.0</v>
      </c>
      <c r="K4878" s="1124"/>
    </row>
    <row r="4879" ht="15.75" customHeight="1">
      <c r="A4879" s="1119">
        <v>103988.0</v>
      </c>
      <c r="B4879" s="1125" t="s">
        <v>15158</v>
      </c>
      <c r="C4879" s="1126" t="s">
        <v>1788</v>
      </c>
      <c r="D4879" s="1119">
        <v>13.85</v>
      </c>
      <c r="E4879" s="1120">
        <v>5.56</v>
      </c>
      <c r="F4879" s="1121">
        <f t="shared" si="1"/>
        <v>8.31</v>
      </c>
      <c r="G4879" s="1120">
        <v>8.31</v>
      </c>
      <c r="H4879" s="1127">
        <v>0.0</v>
      </c>
      <c r="I4879" s="1127">
        <v>0.0</v>
      </c>
      <c r="J4879" s="1127">
        <v>0.0</v>
      </c>
      <c r="K4879" s="1124"/>
    </row>
    <row r="4880" ht="15.75" customHeight="1">
      <c r="A4880" s="1119">
        <v>103990.0</v>
      </c>
      <c r="B4880" s="1125" t="s">
        <v>15159</v>
      </c>
      <c r="C4880" s="1126" t="s">
        <v>1788</v>
      </c>
      <c r="D4880" s="1119">
        <v>36.5</v>
      </c>
      <c r="E4880" s="1120">
        <v>5.54</v>
      </c>
      <c r="F4880" s="1121">
        <f t="shared" si="1"/>
        <v>30.97</v>
      </c>
      <c r="G4880" s="1120">
        <v>30.97</v>
      </c>
      <c r="H4880" s="1127">
        <v>0.0</v>
      </c>
      <c r="I4880" s="1127">
        <v>0.0</v>
      </c>
      <c r="J4880" s="1127">
        <v>0.0</v>
      </c>
      <c r="K4880" s="1124"/>
    </row>
    <row r="4881" ht="15.75" customHeight="1">
      <c r="A4881" s="1119">
        <v>103991.0</v>
      </c>
      <c r="B4881" s="1125" t="s">
        <v>15160</v>
      </c>
      <c r="C4881" s="1126" t="s">
        <v>1788</v>
      </c>
      <c r="D4881" s="1119">
        <v>19.42</v>
      </c>
      <c r="E4881" s="1120">
        <v>5.14</v>
      </c>
      <c r="F4881" s="1121">
        <f t="shared" si="1"/>
        <v>14.29</v>
      </c>
      <c r="G4881" s="1120">
        <v>14.29</v>
      </c>
      <c r="H4881" s="1127">
        <v>0.0</v>
      </c>
      <c r="I4881" s="1127">
        <v>0.0</v>
      </c>
      <c r="J4881" s="1127">
        <v>0.0</v>
      </c>
      <c r="K4881" s="1124"/>
    </row>
    <row r="4882" ht="15.75" customHeight="1">
      <c r="A4882" s="1119">
        <v>103992.0</v>
      </c>
      <c r="B4882" s="1125" t="s">
        <v>15161</v>
      </c>
      <c r="C4882" s="1126" t="s">
        <v>1788</v>
      </c>
      <c r="D4882" s="1119">
        <v>12.49</v>
      </c>
      <c r="E4882" s="1120">
        <v>5.15</v>
      </c>
      <c r="F4882" s="1121">
        <f t="shared" si="1"/>
        <v>7.35</v>
      </c>
      <c r="G4882" s="1120">
        <v>7.35</v>
      </c>
      <c r="H4882" s="1127">
        <v>0.0</v>
      </c>
      <c r="I4882" s="1127">
        <v>0.0</v>
      </c>
      <c r="J4882" s="1127">
        <v>0.0</v>
      </c>
      <c r="K4882" s="1124"/>
    </row>
    <row r="4883" ht="15.75" customHeight="1">
      <c r="A4883" s="1119">
        <v>103993.0</v>
      </c>
      <c r="B4883" s="1125" t="s">
        <v>15162</v>
      </c>
      <c r="C4883" s="1126" t="s">
        <v>1788</v>
      </c>
      <c r="D4883" s="1119">
        <v>10.81</v>
      </c>
      <c r="E4883" s="1120">
        <v>5.15</v>
      </c>
      <c r="F4883" s="1121">
        <f t="shared" si="1"/>
        <v>5.67</v>
      </c>
      <c r="G4883" s="1120">
        <v>5.67</v>
      </c>
      <c r="H4883" s="1127">
        <v>0.0</v>
      </c>
      <c r="I4883" s="1127">
        <v>0.0</v>
      </c>
      <c r="J4883" s="1127">
        <v>0.0</v>
      </c>
      <c r="K4883" s="1124"/>
    </row>
    <row r="4884" ht="15.75" customHeight="1">
      <c r="A4884" s="1119">
        <v>103994.0</v>
      </c>
      <c r="B4884" s="1125" t="s">
        <v>15163</v>
      </c>
      <c r="C4884" s="1126" t="s">
        <v>1788</v>
      </c>
      <c r="D4884" s="1119">
        <v>15.2</v>
      </c>
      <c r="E4884" s="1120">
        <v>5.02</v>
      </c>
      <c r="F4884" s="1121">
        <f t="shared" si="1"/>
        <v>10.19</v>
      </c>
      <c r="G4884" s="1120">
        <v>10.19</v>
      </c>
      <c r="H4884" s="1127">
        <v>0.0</v>
      </c>
      <c r="I4884" s="1127">
        <v>0.0</v>
      </c>
      <c r="J4884" s="1127">
        <v>0.0</v>
      </c>
      <c r="K4884" s="1124"/>
    </row>
    <row r="4885" ht="15.75" customHeight="1">
      <c r="A4885" s="1119">
        <v>103995.0</v>
      </c>
      <c r="B4885" s="1125" t="s">
        <v>15164</v>
      </c>
      <c r="C4885" s="1126" t="s">
        <v>1788</v>
      </c>
      <c r="D4885" s="1119">
        <v>16.38</v>
      </c>
      <c r="E4885" s="1120">
        <v>6.64</v>
      </c>
      <c r="F4885" s="1121">
        <f t="shared" si="1"/>
        <v>9.75</v>
      </c>
      <c r="G4885" s="1120">
        <v>9.75</v>
      </c>
      <c r="H4885" s="1127">
        <v>0.0</v>
      </c>
      <c r="I4885" s="1127">
        <v>0.0</v>
      </c>
      <c r="J4885" s="1127">
        <v>0.0</v>
      </c>
      <c r="K4885" s="1124"/>
    </row>
    <row r="4886" ht="15.75" customHeight="1">
      <c r="A4886" s="1119">
        <v>103996.0</v>
      </c>
      <c r="B4886" s="1125" t="s">
        <v>15165</v>
      </c>
      <c r="C4886" s="1126" t="s">
        <v>1788</v>
      </c>
      <c r="D4886" s="1119">
        <v>41.72</v>
      </c>
      <c r="E4886" s="1120">
        <v>6.63</v>
      </c>
      <c r="F4886" s="1121">
        <f t="shared" si="1"/>
        <v>35.1</v>
      </c>
      <c r="G4886" s="1120">
        <v>35.1</v>
      </c>
      <c r="H4886" s="1127">
        <v>0.0</v>
      </c>
      <c r="I4886" s="1127">
        <v>0.0</v>
      </c>
      <c r="J4886" s="1127">
        <v>0.0</v>
      </c>
      <c r="K4886" s="1124"/>
    </row>
    <row r="4887" ht="15.75" customHeight="1">
      <c r="A4887" s="1119">
        <v>103997.0</v>
      </c>
      <c r="B4887" s="1125" t="s">
        <v>15166</v>
      </c>
      <c r="C4887" s="1126" t="s">
        <v>1788</v>
      </c>
      <c r="D4887" s="1119">
        <v>40.75</v>
      </c>
      <c r="E4887" s="1120">
        <v>6.63</v>
      </c>
      <c r="F4887" s="1121">
        <f t="shared" si="1"/>
        <v>34.13</v>
      </c>
      <c r="G4887" s="1120">
        <v>34.13</v>
      </c>
      <c r="H4887" s="1127">
        <v>0.0</v>
      </c>
      <c r="I4887" s="1127">
        <v>0.0</v>
      </c>
      <c r="J4887" s="1127">
        <v>0.0</v>
      </c>
      <c r="K4887" s="1124"/>
    </row>
    <row r="4888" ht="15.75" customHeight="1">
      <c r="A4888" s="1119">
        <v>103998.0</v>
      </c>
      <c r="B4888" s="1125" t="s">
        <v>15167</v>
      </c>
      <c r="C4888" s="1126" t="s">
        <v>1788</v>
      </c>
      <c r="D4888" s="1119">
        <v>15.63</v>
      </c>
      <c r="E4888" s="1120">
        <v>5.3</v>
      </c>
      <c r="F4888" s="1121">
        <f t="shared" si="1"/>
        <v>10.34</v>
      </c>
      <c r="G4888" s="1120">
        <v>10.34</v>
      </c>
      <c r="H4888" s="1127">
        <v>0.0</v>
      </c>
      <c r="I4888" s="1127">
        <v>0.0</v>
      </c>
      <c r="J4888" s="1127">
        <v>0.0</v>
      </c>
      <c r="K4888" s="1124"/>
    </row>
    <row r="4889" ht="15.75" customHeight="1">
      <c r="A4889" s="1119">
        <v>103999.0</v>
      </c>
      <c r="B4889" s="1125" t="s">
        <v>15168</v>
      </c>
      <c r="C4889" s="1126" t="s">
        <v>1788</v>
      </c>
      <c r="D4889" s="1119">
        <v>13.55</v>
      </c>
      <c r="E4889" s="1120">
        <v>5.3</v>
      </c>
      <c r="F4889" s="1121">
        <f t="shared" si="1"/>
        <v>8.26</v>
      </c>
      <c r="G4889" s="1120">
        <v>8.26</v>
      </c>
      <c r="H4889" s="1127">
        <v>0.0</v>
      </c>
      <c r="I4889" s="1127">
        <v>0.0</v>
      </c>
      <c r="J4889" s="1127">
        <v>0.0</v>
      </c>
      <c r="K4889" s="1124"/>
    </row>
    <row r="4890" ht="15.75" customHeight="1">
      <c r="A4890" s="1119">
        <v>104000.0</v>
      </c>
      <c r="B4890" s="1125" t="s">
        <v>15169</v>
      </c>
      <c r="C4890" s="1126" t="s">
        <v>1788</v>
      </c>
      <c r="D4890" s="1119">
        <v>29.38</v>
      </c>
      <c r="E4890" s="1120">
        <v>5.83</v>
      </c>
      <c r="F4890" s="1121">
        <f t="shared" si="1"/>
        <v>23.56</v>
      </c>
      <c r="G4890" s="1120">
        <v>23.56</v>
      </c>
      <c r="H4890" s="1127">
        <v>0.0</v>
      </c>
      <c r="I4890" s="1127">
        <v>0.0</v>
      </c>
      <c r="J4890" s="1127">
        <v>0.0</v>
      </c>
      <c r="K4890" s="1124"/>
    </row>
    <row r="4891" ht="15.75" customHeight="1">
      <c r="A4891" s="1119">
        <v>104001.0</v>
      </c>
      <c r="B4891" s="1125" t="s">
        <v>15170</v>
      </c>
      <c r="C4891" s="1126" t="s">
        <v>1788</v>
      </c>
      <c r="D4891" s="1119">
        <v>14.91</v>
      </c>
      <c r="E4891" s="1120">
        <v>5.84</v>
      </c>
      <c r="F4891" s="1121">
        <f t="shared" si="1"/>
        <v>9.08</v>
      </c>
      <c r="G4891" s="1120">
        <v>9.08</v>
      </c>
      <c r="H4891" s="1127">
        <v>0.0</v>
      </c>
      <c r="I4891" s="1127">
        <v>0.0</v>
      </c>
      <c r="J4891" s="1127">
        <v>0.0</v>
      </c>
      <c r="K4891" s="1124"/>
    </row>
    <row r="4892" ht="15.75" customHeight="1">
      <c r="A4892" s="1119">
        <v>104002.0</v>
      </c>
      <c r="B4892" s="1125" t="s">
        <v>15171</v>
      </c>
      <c r="C4892" s="1126" t="s">
        <v>1788</v>
      </c>
      <c r="D4892" s="1119">
        <v>18.65</v>
      </c>
      <c r="E4892" s="1120">
        <v>5.67</v>
      </c>
      <c r="F4892" s="1121">
        <f t="shared" si="1"/>
        <v>12.98</v>
      </c>
      <c r="G4892" s="1120">
        <v>12.98</v>
      </c>
      <c r="H4892" s="1127">
        <v>0.0</v>
      </c>
      <c r="I4892" s="1127">
        <v>0.0</v>
      </c>
      <c r="J4892" s="1127">
        <v>0.0</v>
      </c>
      <c r="K4892" s="1124"/>
    </row>
    <row r="4893" ht="15.75" customHeight="1">
      <c r="A4893" s="1119">
        <v>104003.0</v>
      </c>
      <c r="B4893" s="1125" t="s">
        <v>15172</v>
      </c>
      <c r="C4893" s="1126" t="s">
        <v>1788</v>
      </c>
      <c r="D4893" s="1119">
        <v>15.81</v>
      </c>
      <c r="E4893" s="1120">
        <v>5.67</v>
      </c>
      <c r="F4893" s="1121">
        <f t="shared" si="1"/>
        <v>10.14</v>
      </c>
      <c r="G4893" s="1120">
        <v>10.14</v>
      </c>
      <c r="H4893" s="1127">
        <v>0.0</v>
      </c>
      <c r="I4893" s="1127">
        <v>0.0</v>
      </c>
      <c r="J4893" s="1127">
        <v>0.0</v>
      </c>
      <c r="K4893" s="1124"/>
    </row>
    <row r="4894" ht="15.75" customHeight="1">
      <c r="A4894" s="1119">
        <v>104004.0</v>
      </c>
      <c r="B4894" s="1125" t="s">
        <v>15173</v>
      </c>
      <c r="C4894" s="1126" t="s">
        <v>1788</v>
      </c>
      <c r="D4894" s="1119">
        <v>32.25</v>
      </c>
      <c r="E4894" s="1120">
        <v>13.29</v>
      </c>
      <c r="F4894" s="1121">
        <f t="shared" si="1"/>
        <v>18.96</v>
      </c>
      <c r="G4894" s="1120">
        <v>18.96</v>
      </c>
      <c r="H4894" s="1127">
        <v>0.0</v>
      </c>
      <c r="I4894" s="1127">
        <v>0.0</v>
      </c>
      <c r="J4894" s="1127">
        <v>0.0</v>
      </c>
      <c r="K4894" s="1124"/>
    </row>
    <row r="4895" ht="15.75" customHeight="1">
      <c r="A4895" s="1119">
        <v>104005.0</v>
      </c>
      <c r="B4895" s="1125" t="s">
        <v>15174</v>
      </c>
      <c r="C4895" s="1126" t="s">
        <v>1788</v>
      </c>
      <c r="D4895" s="1119">
        <v>38.93</v>
      </c>
      <c r="E4895" s="1120">
        <v>12.2</v>
      </c>
      <c r="F4895" s="1121">
        <f t="shared" si="1"/>
        <v>26.74</v>
      </c>
      <c r="G4895" s="1120">
        <v>26.74</v>
      </c>
      <c r="H4895" s="1127">
        <v>0.0</v>
      </c>
      <c r="I4895" s="1127">
        <v>0.0</v>
      </c>
      <c r="J4895" s="1127">
        <v>0.0</v>
      </c>
      <c r="K4895" s="1124"/>
    </row>
    <row r="4896" ht="15.75" customHeight="1">
      <c r="A4896" s="1119">
        <v>104006.0</v>
      </c>
      <c r="B4896" s="1125" t="s">
        <v>15175</v>
      </c>
      <c r="C4896" s="1126" t="s">
        <v>1788</v>
      </c>
      <c r="D4896" s="1119">
        <v>27.14</v>
      </c>
      <c r="E4896" s="1120">
        <v>10.04</v>
      </c>
      <c r="F4896" s="1121">
        <f t="shared" si="1"/>
        <v>17.1</v>
      </c>
      <c r="G4896" s="1120">
        <v>17.1</v>
      </c>
      <c r="H4896" s="1127">
        <v>0.0</v>
      </c>
      <c r="I4896" s="1127">
        <v>0.0</v>
      </c>
      <c r="J4896" s="1127">
        <v>0.0</v>
      </c>
      <c r="K4896" s="1124"/>
    </row>
    <row r="4897" ht="15.75" customHeight="1">
      <c r="A4897" s="1119">
        <v>104007.0</v>
      </c>
      <c r="B4897" s="1125" t="s">
        <v>15176</v>
      </c>
      <c r="C4897" s="1126" t="s">
        <v>1788</v>
      </c>
      <c r="D4897" s="1119">
        <v>23.77</v>
      </c>
      <c r="E4897" s="1120">
        <v>8.89</v>
      </c>
      <c r="F4897" s="1121">
        <f t="shared" si="1"/>
        <v>14.89</v>
      </c>
      <c r="G4897" s="1120">
        <v>14.89</v>
      </c>
      <c r="H4897" s="1127">
        <v>0.0</v>
      </c>
      <c r="I4897" s="1127">
        <v>0.0</v>
      </c>
      <c r="J4897" s="1127">
        <v>0.0</v>
      </c>
      <c r="K4897" s="1124"/>
    </row>
    <row r="4898" ht="15.75" customHeight="1">
      <c r="A4898" s="1119">
        <v>104008.0</v>
      </c>
      <c r="B4898" s="1125" t="s">
        <v>15177</v>
      </c>
      <c r="C4898" s="1126" t="s">
        <v>1788</v>
      </c>
      <c r="D4898" s="1119">
        <v>34.01</v>
      </c>
      <c r="E4898" s="1120">
        <v>11.33</v>
      </c>
      <c r="F4898" s="1121">
        <f t="shared" si="1"/>
        <v>22.69</v>
      </c>
      <c r="G4898" s="1120">
        <v>22.69</v>
      </c>
      <c r="H4898" s="1127">
        <v>0.0</v>
      </c>
      <c r="I4898" s="1127">
        <v>0.0</v>
      </c>
      <c r="J4898" s="1127">
        <v>0.0</v>
      </c>
      <c r="K4898" s="1124"/>
    </row>
    <row r="4899" ht="15.75" customHeight="1">
      <c r="A4899" s="1119">
        <v>104009.0</v>
      </c>
      <c r="B4899" s="1125" t="s">
        <v>15178</v>
      </c>
      <c r="C4899" s="1126" t="s">
        <v>1788</v>
      </c>
      <c r="D4899" s="1119">
        <v>14.42</v>
      </c>
      <c r="E4899" s="1120">
        <v>6.1</v>
      </c>
      <c r="F4899" s="1121">
        <f t="shared" si="1"/>
        <v>8.33</v>
      </c>
      <c r="G4899" s="1120">
        <v>8.33</v>
      </c>
      <c r="H4899" s="1127">
        <v>0.0</v>
      </c>
      <c r="I4899" s="1127">
        <v>0.0</v>
      </c>
      <c r="J4899" s="1127">
        <v>0.0</v>
      </c>
      <c r="K4899" s="1124"/>
    </row>
    <row r="4900" ht="15.75" customHeight="1">
      <c r="A4900" s="1119">
        <v>104011.0</v>
      </c>
      <c r="B4900" s="1125" t="s">
        <v>15179</v>
      </c>
      <c r="C4900" s="1126" t="s">
        <v>1788</v>
      </c>
      <c r="D4900" s="1119">
        <v>27.45</v>
      </c>
      <c r="E4900" s="1120">
        <v>11.11</v>
      </c>
      <c r="F4900" s="1121">
        <f t="shared" si="1"/>
        <v>16.36</v>
      </c>
      <c r="G4900" s="1120">
        <v>16.36</v>
      </c>
      <c r="H4900" s="1127">
        <v>0.0</v>
      </c>
      <c r="I4900" s="1127">
        <v>0.0</v>
      </c>
      <c r="J4900" s="1127">
        <v>0.0</v>
      </c>
      <c r="K4900" s="1124"/>
    </row>
    <row r="4901" ht="15.75" customHeight="1">
      <c r="A4901" s="1119">
        <v>104012.0</v>
      </c>
      <c r="B4901" s="1125" t="s">
        <v>15180</v>
      </c>
      <c r="C4901" s="1126" t="s">
        <v>1788</v>
      </c>
      <c r="D4901" s="1119">
        <v>25.42</v>
      </c>
      <c r="E4901" s="1120">
        <v>10.27</v>
      </c>
      <c r="F4901" s="1121">
        <f t="shared" si="1"/>
        <v>15.15</v>
      </c>
      <c r="G4901" s="1120">
        <v>15.15</v>
      </c>
      <c r="H4901" s="1127">
        <v>0.0</v>
      </c>
      <c r="I4901" s="1127">
        <v>0.0</v>
      </c>
      <c r="J4901" s="1127">
        <v>0.0</v>
      </c>
      <c r="K4901" s="1124"/>
    </row>
    <row r="4902" ht="15.75" customHeight="1">
      <c r="A4902" s="1119">
        <v>104014.0</v>
      </c>
      <c r="B4902" s="1125" t="s">
        <v>15181</v>
      </c>
      <c r="C4902" s="1126" t="s">
        <v>1788</v>
      </c>
      <c r="D4902" s="1119">
        <v>11.71</v>
      </c>
      <c r="E4902" s="1120">
        <v>4.74</v>
      </c>
      <c r="F4902" s="1121">
        <f t="shared" si="1"/>
        <v>6.96</v>
      </c>
      <c r="G4902" s="1120">
        <v>6.96</v>
      </c>
      <c r="H4902" s="1127">
        <v>0.0</v>
      </c>
      <c r="I4902" s="1127">
        <v>0.0</v>
      </c>
      <c r="J4902" s="1127">
        <v>0.0</v>
      </c>
      <c r="K4902" s="1124"/>
    </row>
    <row r="4903" ht="15.75" customHeight="1">
      <c r="A4903" s="1119">
        <v>104015.0</v>
      </c>
      <c r="B4903" s="1125" t="s">
        <v>15182</v>
      </c>
      <c r="C4903" s="1126" t="s">
        <v>1788</v>
      </c>
      <c r="D4903" s="1119">
        <v>18.35</v>
      </c>
      <c r="E4903" s="1120">
        <v>7.23</v>
      </c>
      <c r="F4903" s="1121">
        <f t="shared" si="1"/>
        <v>11.11</v>
      </c>
      <c r="G4903" s="1120">
        <v>11.11</v>
      </c>
      <c r="H4903" s="1127">
        <v>0.0</v>
      </c>
      <c r="I4903" s="1127">
        <v>0.0</v>
      </c>
      <c r="J4903" s="1127">
        <v>0.0</v>
      </c>
      <c r="K4903" s="1124"/>
    </row>
    <row r="4904" ht="15.75" customHeight="1">
      <c r="A4904" s="1119">
        <v>104016.0</v>
      </c>
      <c r="B4904" s="1125" t="s">
        <v>15183</v>
      </c>
      <c r="C4904" s="1126" t="s">
        <v>1788</v>
      </c>
      <c r="D4904" s="1119">
        <v>24.49</v>
      </c>
      <c r="E4904" s="1120">
        <v>8.8</v>
      </c>
      <c r="F4904" s="1121">
        <f t="shared" si="1"/>
        <v>15.69</v>
      </c>
      <c r="G4904" s="1120">
        <v>15.69</v>
      </c>
      <c r="H4904" s="1127">
        <v>0.0</v>
      </c>
      <c r="I4904" s="1127">
        <v>0.0</v>
      </c>
      <c r="J4904" s="1127">
        <v>0.0</v>
      </c>
      <c r="K4904" s="1124"/>
    </row>
    <row r="4905" ht="15.75" customHeight="1">
      <c r="A4905" s="1119">
        <v>104017.0</v>
      </c>
      <c r="B4905" s="1125" t="s">
        <v>15184</v>
      </c>
      <c r="C4905" s="1126" t="s">
        <v>1788</v>
      </c>
      <c r="D4905" s="1119">
        <v>48.15</v>
      </c>
      <c r="E4905" s="1120">
        <v>10.36</v>
      </c>
      <c r="F4905" s="1121">
        <f t="shared" si="1"/>
        <v>37.78</v>
      </c>
      <c r="G4905" s="1120">
        <v>37.78</v>
      </c>
      <c r="H4905" s="1127">
        <v>0.0</v>
      </c>
      <c r="I4905" s="1127">
        <v>0.0</v>
      </c>
      <c r="J4905" s="1127">
        <v>0.0</v>
      </c>
      <c r="K4905" s="1124"/>
    </row>
    <row r="4906" ht="15.75" customHeight="1">
      <c r="A4906" s="1119">
        <v>104018.0</v>
      </c>
      <c r="B4906" s="1125" t="s">
        <v>15184</v>
      </c>
      <c r="C4906" s="1126" t="s">
        <v>1788</v>
      </c>
      <c r="D4906" s="1119">
        <v>23.25</v>
      </c>
      <c r="E4906" s="1120">
        <v>7.87</v>
      </c>
      <c r="F4906" s="1121">
        <f t="shared" si="1"/>
        <v>15.37</v>
      </c>
      <c r="G4906" s="1120">
        <v>15.37</v>
      </c>
      <c r="H4906" s="1127">
        <v>0.0</v>
      </c>
      <c r="I4906" s="1127">
        <v>0.0</v>
      </c>
      <c r="J4906" s="1127">
        <v>0.0</v>
      </c>
      <c r="K4906" s="1124"/>
    </row>
    <row r="4907" ht="15.75" customHeight="1">
      <c r="A4907" s="1119">
        <v>104019.0</v>
      </c>
      <c r="B4907" s="1125" t="s">
        <v>15185</v>
      </c>
      <c r="C4907" s="1126" t="s">
        <v>1788</v>
      </c>
      <c r="D4907" s="1119">
        <v>46.69</v>
      </c>
      <c r="E4907" s="1120">
        <v>9.27</v>
      </c>
      <c r="F4907" s="1121">
        <f t="shared" si="1"/>
        <v>37.42</v>
      </c>
      <c r="G4907" s="1120">
        <v>37.42</v>
      </c>
      <c r="H4907" s="1127">
        <v>0.0</v>
      </c>
      <c r="I4907" s="1127">
        <v>0.0</v>
      </c>
      <c r="J4907" s="1127">
        <v>0.0</v>
      </c>
      <c r="K4907" s="1124"/>
    </row>
    <row r="4908" ht="15.75" customHeight="1">
      <c r="A4908" s="1119">
        <v>104020.0</v>
      </c>
      <c r="B4908" s="1125" t="s">
        <v>15186</v>
      </c>
      <c r="C4908" s="1126" t="s">
        <v>1788</v>
      </c>
      <c r="D4908" s="1119">
        <v>57.79</v>
      </c>
      <c r="E4908" s="1120">
        <v>5.86</v>
      </c>
      <c r="F4908" s="1121">
        <f t="shared" si="1"/>
        <v>51.93</v>
      </c>
      <c r="G4908" s="1120">
        <v>51.93</v>
      </c>
      <c r="H4908" s="1127">
        <v>0.0</v>
      </c>
      <c r="I4908" s="1127">
        <v>0.0</v>
      </c>
      <c r="J4908" s="1127">
        <v>0.0</v>
      </c>
      <c r="K4908" s="1124"/>
    </row>
    <row r="4909" ht="15.75" customHeight="1">
      <c r="A4909" s="1119">
        <v>104022.0</v>
      </c>
      <c r="B4909" s="1125" t="s">
        <v>15187</v>
      </c>
      <c r="C4909" s="1126" t="s">
        <v>1788</v>
      </c>
      <c r="D4909" s="1119">
        <v>72.43</v>
      </c>
      <c r="E4909" s="1120">
        <v>11.54</v>
      </c>
      <c r="F4909" s="1121">
        <f t="shared" si="1"/>
        <v>60.9</v>
      </c>
      <c r="G4909" s="1120">
        <v>60.9</v>
      </c>
      <c r="H4909" s="1127">
        <v>0.0</v>
      </c>
      <c r="I4909" s="1127">
        <v>0.0</v>
      </c>
      <c r="J4909" s="1127">
        <v>0.0</v>
      </c>
      <c r="K4909" s="1124"/>
    </row>
    <row r="4910" ht="15.75" customHeight="1">
      <c r="A4910" s="1119">
        <v>104023.0</v>
      </c>
      <c r="B4910" s="1125" t="s">
        <v>15188</v>
      </c>
      <c r="C4910" s="1126" t="s">
        <v>1788</v>
      </c>
      <c r="D4910" s="1119">
        <v>43.16</v>
      </c>
      <c r="E4910" s="1120">
        <v>8.64</v>
      </c>
      <c r="F4910" s="1121">
        <f t="shared" si="1"/>
        <v>34.52</v>
      </c>
      <c r="G4910" s="1120">
        <v>34.52</v>
      </c>
      <c r="H4910" s="1127">
        <v>0.0</v>
      </c>
      <c r="I4910" s="1127">
        <v>0.0</v>
      </c>
      <c r="J4910" s="1127">
        <v>0.0</v>
      </c>
      <c r="K4910" s="1124"/>
    </row>
    <row r="4911" ht="15.75" customHeight="1">
      <c r="A4911" s="1119">
        <v>104024.0</v>
      </c>
      <c r="B4911" s="1125" t="s">
        <v>15189</v>
      </c>
      <c r="C4911" s="1126" t="s">
        <v>1788</v>
      </c>
      <c r="D4911" s="1119">
        <v>42.75</v>
      </c>
      <c r="E4911" s="1120">
        <v>8.64</v>
      </c>
      <c r="F4911" s="1121">
        <f t="shared" si="1"/>
        <v>34.11</v>
      </c>
      <c r="G4911" s="1120">
        <v>34.11</v>
      </c>
      <c r="H4911" s="1127">
        <v>0.0</v>
      </c>
      <c r="I4911" s="1127">
        <v>0.0</v>
      </c>
      <c r="J4911" s="1127">
        <v>0.0</v>
      </c>
      <c r="K4911" s="1124"/>
    </row>
    <row r="4912" ht="15.75" customHeight="1">
      <c r="A4912" s="1119">
        <v>104025.0</v>
      </c>
      <c r="B4912" s="1125" t="s">
        <v>15190</v>
      </c>
      <c r="C4912" s="1126" t="s">
        <v>1788</v>
      </c>
      <c r="D4912" s="1119">
        <v>30.04</v>
      </c>
      <c r="E4912" s="1120">
        <v>5.76</v>
      </c>
      <c r="F4912" s="1121">
        <f t="shared" si="1"/>
        <v>24.29</v>
      </c>
      <c r="G4912" s="1120">
        <v>24.29</v>
      </c>
      <c r="H4912" s="1127">
        <v>0.0</v>
      </c>
      <c r="I4912" s="1127">
        <v>0.0</v>
      </c>
      <c r="J4912" s="1127">
        <v>0.0</v>
      </c>
      <c r="K4912" s="1124"/>
    </row>
    <row r="4913" ht="15.75" customHeight="1">
      <c r="A4913" s="1119">
        <v>104026.0</v>
      </c>
      <c r="B4913" s="1125" t="s">
        <v>15191</v>
      </c>
      <c r="C4913" s="1126" t="s">
        <v>1788</v>
      </c>
      <c r="D4913" s="1119">
        <v>43.41</v>
      </c>
      <c r="E4913" s="1120">
        <v>5.75</v>
      </c>
      <c r="F4913" s="1121">
        <f t="shared" si="1"/>
        <v>37.67</v>
      </c>
      <c r="G4913" s="1120">
        <v>37.67</v>
      </c>
      <c r="H4913" s="1127">
        <v>0.0</v>
      </c>
      <c r="I4913" s="1127">
        <v>0.0</v>
      </c>
      <c r="J4913" s="1127">
        <v>0.0</v>
      </c>
      <c r="K4913" s="1124"/>
    </row>
    <row r="4914" ht="15.75" customHeight="1">
      <c r="A4914" s="1119">
        <v>104027.0</v>
      </c>
      <c r="B4914" s="1125" t="s">
        <v>15192</v>
      </c>
      <c r="C4914" s="1126" t="s">
        <v>1788</v>
      </c>
      <c r="D4914" s="1119">
        <v>65.2</v>
      </c>
      <c r="E4914" s="1120">
        <v>5.75</v>
      </c>
      <c r="F4914" s="1121">
        <f t="shared" si="1"/>
        <v>59.46</v>
      </c>
      <c r="G4914" s="1120">
        <v>59.46</v>
      </c>
      <c r="H4914" s="1127">
        <v>0.0</v>
      </c>
      <c r="I4914" s="1127">
        <v>0.0</v>
      </c>
      <c r="J4914" s="1127">
        <v>0.0</v>
      </c>
      <c r="K4914" s="1124"/>
    </row>
    <row r="4915" ht="15.75" customHeight="1">
      <c r="A4915" s="1119">
        <v>104028.0</v>
      </c>
      <c r="B4915" s="1125" t="s">
        <v>15193</v>
      </c>
      <c r="C4915" s="1126" t="s">
        <v>1788</v>
      </c>
      <c r="D4915" s="1119">
        <v>131.82</v>
      </c>
      <c r="E4915" s="1120">
        <v>5.38</v>
      </c>
      <c r="F4915" s="1121">
        <f t="shared" si="1"/>
        <v>126.45</v>
      </c>
      <c r="G4915" s="1120">
        <v>126.45</v>
      </c>
      <c r="H4915" s="1127">
        <v>0.0</v>
      </c>
      <c r="I4915" s="1127">
        <v>0.0</v>
      </c>
      <c r="J4915" s="1127">
        <v>0.0</v>
      </c>
      <c r="K4915" s="1124"/>
    </row>
    <row r="4916" ht="15.75" customHeight="1">
      <c r="A4916" s="1119">
        <v>104029.0</v>
      </c>
      <c r="B4916" s="1125" t="s">
        <v>15194</v>
      </c>
      <c r="C4916" s="1126" t="s">
        <v>1788</v>
      </c>
      <c r="D4916" s="1119">
        <v>69.16</v>
      </c>
      <c r="E4916" s="1120">
        <v>5.38</v>
      </c>
      <c r="F4916" s="1121">
        <f t="shared" si="1"/>
        <v>63.79</v>
      </c>
      <c r="G4916" s="1120">
        <v>63.79</v>
      </c>
      <c r="H4916" s="1127">
        <v>0.0</v>
      </c>
      <c r="I4916" s="1127">
        <v>0.0</v>
      </c>
      <c r="J4916" s="1127">
        <v>0.0</v>
      </c>
      <c r="K4916" s="1124"/>
    </row>
    <row r="4917" ht="15.75" customHeight="1">
      <c r="A4917" s="1119">
        <v>104030.0</v>
      </c>
      <c r="B4917" s="1125" t="s">
        <v>15195</v>
      </c>
      <c r="C4917" s="1126" t="s">
        <v>1788</v>
      </c>
      <c r="D4917" s="1119">
        <v>64.34</v>
      </c>
      <c r="E4917" s="1120">
        <v>10.79</v>
      </c>
      <c r="F4917" s="1121">
        <f t="shared" si="1"/>
        <v>53.56</v>
      </c>
      <c r="G4917" s="1120">
        <v>53.56</v>
      </c>
      <c r="H4917" s="1127">
        <v>0.0</v>
      </c>
      <c r="I4917" s="1127">
        <v>0.0</v>
      </c>
      <c r="J4917" s="1127">
        <v>0.0</v>
      </c>
      <c r="K4917" s="1124"/>
    </row>
    <row r="4918" ht="15.75" customHeight="1">
      <c r="A4918" s="1119">
        <v>104159.0</v>
      </c>
      <c r="B4918" s="1125" t="s">
        <v>15196</v>
      </c>
      <c r="C4918" s="1126" t="s">
        <v>1788</v>
      </c>
      <c r="D4918" s="1119">
        <v>39.05</v>
      </c>
      <c r="E4918" s="1120">
        <v>5.54</v>
      </c>
      <c r="F4918" s="1121">
        <f t="shared" si="1"/>
        <v>33.53</v>
      </c>
      <c r="G4918" s="1120">
        <v>33.53</v>
      </c>
      <c r="H4918" s="1127">
        <v>0.0</v>
      </c>
      <c r="I4918" s="1127">
        <v>0.0</v>
      </c>
      <c r="J4918" s="1127">
        <v>0.0</v>
      </c>
      <c r="K4918" s="1124"/>
    </row>
    <row r="4919" ht="15.75" customHeight="1">
      <c r="A4919" s="1119">
        <v>104167.0</v>
      </c>
      <c r="B4919" s="1125" t="s">
        <v>15197</v>
      </c>
      <c r="C4919" s="1126" t="s">
        <v>1788</v>
      </c>
      <c r="D4919" s="1119">
        <v>129.47</v>
      </c>
      <c r="E4919" s="1120">
        <v>11.27</v>
      </c>
      <c r="F4919" s="1121">
        <f t="shared" si="1"/>
        <v>118.2</v>
      </c>
      <c r="G4919" s="1120">
        <v>118.2</v>
      </c>
      <c r="H4919" s="1127">
        <v>0.0</v>
      </c>
      <c r="I4919" s="1127">
        <v>0.0</v>
      </c>
      <c r="J4919" s="1127">
        <v>0.0</v>
      </c>
      <c r="K4919" s="1124"/>
    </row>
    <row r="4920" ht="15.75" customHeight="1">
      <c r="A4920" s="1119">
        <v>104168.0</v>
      </c>
      <c r="B4920" s="1125" t="s">
        <v>15198</v>
      </c>
      <c r="C4920" s="1126" t="s">
        <v>1788</v>
      </c>
      <c r="D4920" s="1119">
        <v>125.89</v>
      </c>
      <c r="E4920" s="1120">
        <v>11.27</v>
      </c>
      <c r="F4920" s="1121">
        <f t="shared" si="1"/>
        <v>114.62</v>
      </c>
      <c r="G4920" s="1120">
        <v>114.62</v>
      </c>
      <c r="H4920" s="1127">
        <v>0.0</v>
      </c>
      <c r="I4920" s="1127">
        <v>0.0</v>
      </c>
      <c r="J4920" s="1127">
        <v>0.0</v>
      </c>
      <c r="K4920" s="1124"/>
    </row>
    <row r="4921" ht="15.75" customHeight="1">
      <c r="A4921" s="1119">
        <v>104169.0</v>
      </c>
      <c r="B4921" s="1125" t="s">
        <v>15199</v>
      </c>
      <c r="C4921" s="1126" t="s">
        <v>1788</v>
      </c>
      <c r="D4921" s="1119">
        <v>157.33</v>
      </c>
      <c r="E4921" s="1120">
        <v>11.27</v>
      </c>
      <c r="F4921" s="1121">
        <f t="shared" si="1"/>
        <v>146.06</v>
      </c>
      <c r="G4921" s="1120">
        <v>146.06</v>
      </c>
      <c r="H4921" s="1127">
        <v>0.0</v>
      </c>
      <c r="I4921" s="1127">
        <v>0.0</v>
      </c>
      <c r="J4921" s="1127">
        <v>0.0</v>
      </c>
      <c r="K4921" s="1124"/>
    </row>
    <row r="4922" ht="15.75" customHeight="1">
      <c r="A4922" s="1119">
        <v>104170.0</v>
      </c>
      <c r="B4922" s="1125" t="s">
        <v>15200</v>
      </c>
      <c r="C4922" s="1126" t="s">
        <v>1788</v>
      </c>
      <c r="D4922" s="1119">
        <v>74.02</v>
      </c>
      <c r="E4922" s="1120">
        <v>7.51</v>
      </c>
      <c r="F4922" s="1121">
        <f t="shared" si="1"/>
        <v>66.5</v>
      </c>
      <c r="G4922" s="1120">
        <v>66.5</v>
      </c>
      <c r="H4922" s="1127">
        <v>0.0</v>
      </c>
      <c r="I4922" s="1127">
        <v>0.0</v>
      </c>
      <c r="J4922" s="1127">
        <v>0.0</v>
      </c>
      <c r="K4922" s="1124"/>
    </row>
    <row r="4923" ht="15.75" customHeight="1">
      <c r="A4923" s="1119">
        <v>104171.0</v>
      </c>
      <c r="B4923" s="1125" t="s">
        <v>15201</v>
      </c>
      <c r="C4923" s="1126" t="s">
        <v>1788</v>
      </c>
      <c r="D4923" s="1119">
        <v>104.92</v>
      </c>
      <c r="E4923" s="1120">
        <v>7.5</v>
      </c>
      <c r="F4923" s="1121">
        <f t="shared" si="1"/>
        <v>97.4</v>
      </c>
      <c r="G4923" s="1120">
        <v>97.4</v>
      </c>
      <c r="H4923" s="1127">
        <v>0.0</v>
      </c>
      <c r="I4923" s="1127">
        <v>0.0</v>
      </c>
      <c r="J4923" s="1127">
        <v>0.0</v>
      </c>
      <c r="K4923" s="1124"/>
    </row>
    <row r="4924" ht="15.75" customHeight="1">
      <c r="A4924" s="1119">
        <v>104172.0</v>
      </c>
      <c r="B4924" s="1125" t="s">
        <v>15202</v>
      </c>
      <c r="C4924" s="1126" t="s">
        <v>1788</v>
      </c>
      <c r="D4924" s="1119">
        <v>298.27</v>
      </c>
      <c r="E4924" s="1120">
        <v>7.5</v>
      </c>
      <c r="F4924" s="1121">
        <f t="shared" si="1"/>
        <v>290.75</v>
      </c>
      <c r="G4924" s="1120">
        <v>290.75</v>
      </c>
      <c r="H4924" s="1127">
        <v>0.0</v>
      </c>
      <c r="I4924" s="1127">
        <v>0.0</v>
      </c>
      <c r="J4924" s="1127">
        <v>0.0</v>
      </c>
      <c r="K4924" s="1124"/>
    </row>
    <row r="4925" ht="15.75" customHeight="1">
      <c r="A4925" s="1119">
        <v>104173.0</v>
      </c>
      <c r="B4925" s="1125" t="s">
        <v>15203</v>
      </c>
      <c r="C4925" s="1126" t="s">
        <v>1788</v>
      </c>
      <c r="D4925" s="1119">
        <v>89.81</v>
      </c>
      <c r="E4925" s="1120">
        <v>6.57</v>
      </c>
      <c r="F4925" s="1121">
        <f t="shared" si="1"/>
        <v>83.25</v>
      </c>
      <c r="G4925" s="1120">
        <v>83.25</v>
      </c>
      <c r="H4925" s="1127">
        <v>0.0</v>
      </c>
      <c r="I4925" s="1127">
        <v>0.0</v>
      </c>
      <c r="J4925" s="1127">
        <v>0.0</v>
      </c>
      <c r="K4925" s="1124"/>
    </row>
    <row r="4926" ht="15.75" customHeight="1">
      <c r="A4926" s="1119">
        <v>104174.0</v>
      </c>
      <c r="B4926" s="1125" t="s">
        <v>15204</v>
      </c>
      <c r="C4926" s="1126" t="s">
        <v>1788</v>
      </c>
      <c r="D4926" s="1119">
        <v>202.17</v>
      </c>
      <c r="E4926" s="1120">
        <v>13.78</v>
      </c>
      <c r="F4926" s="1121">
        <f t="shared" si="1"/>
        <v>188.39</v>
      </c>
      <c r="G4926" s="1120">
        <v>188.39</v>
      </c>
      <c r="H4926" s="1127">
        <v>0.0</v>
      </c>
      <c r="I4926" s="1127">
        <v>0.0</v>
      </c>
      <c r="J4926" s="1127">
        <v>0.0</v>
      </c>
      <c r="K4926" s="1124"/>
    </row>
    <row r="4927" ht="15.75" customHeight="1">
      <c r="A4927" s="1119">
        <v>104175.0</v>
      </c>
      <c r="B4927" s="1125" t="s">
        <v>15205</v>
      </c>
      <c r="C4927" s="1126" t="s">
        <v>1788</v>
      </c>
      <c r="D4927" s="1119">
        <v>148.43</v>
      </c>
      <c r="E4927" s="1120">
        <v>13.78</v>
      </c>
      <c r="F4927" s="1121">
        <f t="shared" si="1"/>
        <v>134.65</v>
      </c>
      <c r="G4927" s="1120">
        <v>134.65</v>
      </c>
      <c r="H4927" s="1127">
        <v>0.0</v>
      </c>
      <c r="I4927" s="1127">
        <v>0.0</v>
      </c>
      <c r="J4927" s="1127">
        <v>0.0</v>
      </c>
      <c r="K4927" s="1124"/>
    </row>
    <row r="4928" ht="15.75" customHeight="1">
      <c r="A4928" s="1119">
        <v>104176.0</v>
      </c>
      <c r="B4928" s="1125" t="s">
        <v>15206</v>
      </c>
      <c r="C4928" s="1126" t="s">
        <v>1788</v>
      </c>
      <c r="D4928" s="1119">
        <v>268.33</v>
      </c>
      <c r="E4928" s="1120">
        <v>15.03</v>
      </c>
      <c r="F4928" s="1121">
        <f t="shared" si="1"/>
        <v>253.28</v>
      </c>
      <c r="G4928" s="1120">
        <v>253.28</v>
      </c>
      <c r="H4928" s="1127">
        <v>0.0</v>
      </c>
      <c r="I4928" s="1127">
        <v>0.0</v>
      </c>
      <c r="J4928" s="1127">
        <v>0.0</v>
      </c>
      <c r="K4928" s="1124"/>
    </row>
    <row r="4929" ht="15.75" customHeight="1">
      <c r="A4929" s="1119">
        <v>104177.0</v>
      </c>
      <c r="B4929" s="1125" t="s">
        <v>15207</v>
      </c>
      <c r="C4929" s="1126" t="s">
        <v>1788</v>
      </c>
      <c r="D4929" s="1119">
        <v>192.1</v>
      </c>
      <c r="E4929" s="1120">
        <v>15.03</v>
      </c>
      <c r="F4929" s="1121">
        <f t="shared" si="1"/>
        <v>177.05</v>
      </c>
      <c r="G4929" s="1120">
        <v>177.05</v>
      </c>
      <c r="H4929" s="1127">
        <v>0.0</v>
      </c>
      <c r="I4929" s="1127">
        <v>0.0</v>
      </c>
      <c r="J4929" s="1127">
        <v>0.0</v>
      </c>
      <c r="K4929" s="1124"/>
    </row>
    <row r="4930" ht="15.75" customHeight="1">
      <c r="A4930" s="1119">
        <v>104178.0</v>
      </c>
      <c r="B4930" s="1125" t="s">
        <v>15208</v>
      </c>
      <c r="C4930" s="1126" t="s">
        <v>1788</v>
      </c>
      <c r="D4930" s="1119">
        <v>23.16</v>
      </c>
      <c r="E4930" s="1120">
        <v>2.8</v>
      </c>
      <c r="F4930" s="1121">
        <f t="shared" si="1"/>
        <v>20.36</v>
      </c>
      <c r="G4930" s="1120">
        <v>20.36</v>
      </c>
      <c r="H4930" s="1127">
        <v>0.0</v>
      </c>
      <c r="I4930" s="1127">
        <v>0.0</v>
      </c>
      <c r="J4930" s="1127">
        <v>0.0</v>
      </c>
      <c r="K4930" s="1124"/>
    </row>
    <row r="4931" ht="15.75" customHeight="1">
      <c r="A4931" s="1119">
        <v>104179.0</v>
      </c>
      <c r="B4931" s="1125" t="s">
        <v>15209</v>
      </c>
      <c r="C4931" s="1126" t="s">
        <v>1788</v>
      </c>
      <c r="D4931" s="1119">
        <v>89.24</v>
      </c>
      <c r="E4931" s="1120">
        <v>3.74</v>
      </c>
      <c r="F4931" s="1121">
        <f t="shared" si="1"/>
        <v>85.5</v>
      </c>
      <c r="G4931" s="1120">
        <v>85.5</v>
      </c>
      <c r="H4931" s="1127">
        <v>0.0</v>
      </c>
      <c r="I4931" s="1127">
        <v>0.0</v>
      </c>
      <c r="J4931" s="1127">
        <v>0.0</v>
      </c>
      <c r="K4931" s="1124"/>
    </row>
    <row r="4932" ht="15.75" customHeight="1">
      <c r="A4932" s="1119">
        <v>104191.0</v>
      </c>
      <c r="B4932" s="1125" t="s">
        <v>15210</v>
      </c>
      <c r="C4932" s="1126" t="s">
        <v>1788</v>
      </c>
      <c r="D4932" s="1119">
        <v>11.68</v>
      </c>
      <c r="E4932" s="1120">
        <v>5.37</v>
      </c>
      <c r="F4932" s="1121">
        <f t="shared" si="1"/>
        <v>6.31</v>
      </c>
      <c r="G4932" s="1120">
        <v>6.28</v>
      </c>
      <c r="H4932" s="1127">
        <v>0.0</v>
      </c>
      <c r="I4932" s="1127">
        <v>0.0</v>
      </c>
      <c r="J4932" s="1127">
        <v>0.03</v>
      </c>
      <c r="K4932" s="1124"/>
    </row>
    <row r="4933" ht="15.75" customHeight="1">
      <c r="A4933" s="1119">
        <v>104192.0</v>
      </c>
      <c r="B4933" s="1125" t="s">
        <v>15211</v>
      </c>
      <c r="C4933" s="1126" t="s">
        <v>1788</v>
      </c>
      <c r="D4933" s="1119">
        <v>32.35</v>
      </c>
      <c r="E4933" s="1120">
        <v>10.71</v>
      </c>
      <c r="F4933" s="1121">
        <f t="shared" si="1"/>
        <v>21.65</v>
      </c>
      <c r="G4933" s="1120">
        <v>21.55</v>
      </c>
      <c r="H4933" s="1127">
        <v>0.03</v>
      </c>
      <c r="I4933" s="1127">
        <v>0.0</v>
      </c>
      <c r="J4933" s="1127">
        <v>0.07</v>
      </c>
      <c r="K4933" s="1124"/>
    </row>
    <row r="4934" ht="15.75" customHeight="1">
      <c r="A4934" s="1119">
        <v>104193.0</v>
      </c>
      <c r="B4934" s="1125" t="s">
        <v>15212</v>
      </c>
      <c r="C4934" s="1126" t="s">
        <v>1788</v>
      </c>
      <c r="D4934" s="1119">
        <v>184.91</v>
      </c>
      <c r="E4934" s="1120">
        <v>22.82</v>
      </c>
      <c r="F4934" s="1121">
        <f t="shared" si="1"/>
        <v>162.1</v>
      </c>
      <c r="G4934" s="1120">
        <v>161.77</v>
      </c>
      <c r="H4934" s="1127">
        <v>0.12</v>
      </c>
      <c r="I4934" s="1127">
        <v>0.0</v>
      </c>
      <c r="J4934" s="1127">
        <v>0.21</v>
      </c>
      <c r="K4934" s="1124"/>
    </row>
    <row r="4935" ht="15.75" customHeight="1">
      <c r="A4935" s="1119">
        <v>104196.0</v>
      </c>
      <c r="B4935" s="1125" t="s">
        <v>15213</v>
      </c>
      <c r="C4935" s="1126" t="s">
        <v>1788</v>
      </c>
      <c r="D4935" s="1119">
        <v>17.75</v>
      </c>
      <c r="E4935" s="1120">
        <v>4.73</v>
      </c>
      <c r="F4935" s="1121">
        <f t="shared" si="1"/>
        <v>13</v>
      </c>
      <c r="G4935" s="1120">
        <v>12.97</v>
      </c>
      <c r="H4935" s="1127">
        <v>0.0</v>
      </c>
      <c r="I4935" s="1127">
        <v>0.0</v>
      </c>
      <c r="J4935" s="1127">
        <v>0.03</v>
      </c>
      <c r="K4935" s="1124"/>
    </row>
    <row r="4936" ht="15.75" customHeight="1">
      <c r="A4936" s="1119">
        <v>104197.0</v>
      </c>
      <c r="B4936" s="1125" t="s">
        <v>15214</v>
      </c>
      <c r="C4936" s="1126" t="s">
        <v>1788</v>
      </c>
      <c r="D4936" s="1119">
        <v>33.48</v>
      </c>
      <c r="E4936" s="1120">
        <v>11.31</v>
      </c>
      <c r="F4936" s="1121">
        <f t="shared" si="1"/>
        <v>22.18</v>
      </c>
      <c r="G4936" s="1120">
        <v>22.08</v>
      </c>
      <c r="H4936" s="1127">
        <v>0.03</v>
      </c>
      <c r="I4936" s="1127">
        <v>0.0</v>
      </c>
      <c r="J4936" s="1127">
        <v>0.07</v>
      </c>
      <c r="K4936" s="1124"/>
    </row>
    <row r="4937" ht="15.75" customHeight="1">
      <c r="A4937" s="1119">
        <v>104198.0</v>
      </c>
      <c r="B4937" s="1125" t="s">
        <v>15215</v>
      </c>
      <c r="C4937" s="1126" t="s">
        <v>1788</v>
      </c>
      <c r="D4937" s="1119">
        <v>8.71</v>
      </c>
      <c r="E4937" s="1120">
        <v>4.76</v>
      </c>
      <c r="F4937" s="1121">
        <f t="shared" si="1"/>
        <v>3.93</v>
      </c>
      <c r="G4937" s="1120">
        <v>3.9</v>
      </c>
      <c r="H4937" s="1127">
        <v>0.0</v>
      </c>
      <c r="I4937" s="1127">
        <v>0.0</v>
      </c>
      <c r="J4937" s="1127">
        <v>0.03</v>
      </c>
      <c r="K4937" s="1124"/>
    </row>
    <row r="4938" ht="15.75" customHeight="1">
      <c r="A4938" s="1119">
        <v>104199.0</v>
      </c>
      <c r="B4938" s="1125" t="s">
        <v>15216</v>
      </c>
      <c r="C4938" s="1126" t="s">
        <v>1788</v>
      </c>
      <c r="D4938" s="1119">
        <v>8.44</v>
      </c>
      <c r="E4938" s="1120">
        <v>4.77</v>
      </c>
      <c r="F4938" s="1121">
        <f t="shared" si="1"/>
        <v>3.66</v>
      </c>
      <c r="G4938" s="1120">
        <v>3.63</v>
      </c>
      <c r="H4938" s="1127">
        <v>0.0</v>
      </c>
      <c r="I4938" s="1127">
        <v>0.0</v>
      </c>
      <c r="J4938" s="1127">
        <v>0.03</v>
      </c>
      <c r="K4938" s="1124"/>
    </row>
    <row r="4939" ht="15.75" customHeight="1">
      <c r="A4939" s="1119">
        <v>104200.0</v>
      </c>
      <c r="B4939" s="1125" t="s">
        <v>15217</v>
      </c>
      <c r="C4939" s="1126" t="s">
        <v>1788</v>
      </c>
      <c r="D4939" s="1119">
        <v>6.87</v>
      </c>
      <c r="E4939" s="1120">
        <v>3.17</v>
      </c>
      <c r="F4939" s="1121">
        <f t="shared" si="1"/>
        <v>3.71</v>
      </c>
      <c r="G4939" s="1120">
        <v>3.69</v>
      </c>
      <c r="H4939" s="1127">
        <v>0.0</v>
      </c>
      <c r="I4939" s="1127">
        <v>0.0</v>
      </c>
      <c r="J4939" s="1127">
        <v>0.02</v>
      </c>
      <c r="K4939" s="1124"/>
    </row>
    <row r="4940" ht="15.75" customHeight="1">
      <c r="A4940" s="1119">
        <v>104201.0</v>
      </c>
      <c r="B4940" s="1125" t="s">
        <v>15218</v>
      </c>
      <c r="C4940" s="1126" t="s">
        <v>1788</v>
      </c>
      <c r="D4940" s="1119">
        <v>21.93</v>
      </c>
      <c r="E4940" s="1120">
        <v>6.33</v>
      </c>
      <c r="F4940" s="1121">
        <f t="shared" si="1"/>
        <v>15.6</v>
      </c>
      <c r="G4940" s="1120">
        <v>15.56</v>
      </c>
      <c r="H4940" s="1127">
        <v>0.0</v>
      </c>
      <c r="I4940" s="1127">
        <v>0.0</v>
      </c>
      <c r="J4940" s="1127">
        <v>0.04</v>
      </c>
      <c r="K4940" s="1124"/>
    </row>
    <row r="4941" ht="15.75" customHeight="1">
      <c r="A4941" s="1119">
        <v>104202.0</v>
      </c>
      <c r="B4941" s="1125" t="s">
        <v>15219</v>
      </c>
      <c r="C4941" s="1126" t="s">
        <v>1788</v>
      </c>
      <c r="D4941" s="1119">
        <v>12.49</v>
      </c>
      <c r="E4941" s="1120">
        <v>6.36</v>
      </c>
      <c r="F4941" s="1121">
        <f t="shared" si="1"/>
        <v>6.14</v>
      </c>
      <c r="G4941" s="1120">
        <v>6.1</v>
      </c>
      <c r="H4941" s="1127">
        <v>0.0</v>
      </c>
      <c r="I4941" s="1127">
        <v>0.0</v>
      </c>
      <c r="J4941" s="1127">
        <v>0.04</v>
      </c>
      <c r="K4941" s="1124"/>
    </row>
    <row r="4942" ht="15.75" customHeight="1">
      <c r="A4942" s="1119">
        <v>104317.0</v>
      </c>
      <c r="B4942" s="1125" t="s">
        <v>15220</v>
      </c>
      <c r="C4942" s="1126" t="s">
        <v>1788</v>
      </c>
      <c r="D4942" s="1119">
        <v>7.58</v>
      </c>
      <c r="E4942" s="1120">
        <v>4.6</v>
      </c>
      <c r="F4942" s="1121">
        <f t="shared" si="1"/>
        <v>2.98</v>
      </c>
      <c r="G4942" s="1120">
        <v>2.98</v>
      </c>
      <c r="H4942" s="1127">
        <v>0.0</v>
      </c>
      <c r="I4942" s="1127">
        <v>0.0</v>
      </c>
      <c r="J4942" s="1127">
        <v>0.0</v>
      </c>
      <c r="K4942" s="1124"/>
    </row>
    <row r="4943" ht="15.75" customHeight="1">
      <c r="A4943" s="1119">
        <v>104318.0</v>
      </c>
      <c r="B4943" s="1125" t="s">
        <v>15221</v>
      </c>
      <c r="C4943" s="1126" t="s">
        <v>1788</v>
      </c>
      <c r="D4943" s="1119">
        <v>8.14</v>
      </c>
      <c r="E4943" s="1120">
        <v>4.6</v>
      </c>
      <c r="F4943" s="1121">
        <f t="shared" si="1"/>
        <v>3.54</v>
      </c>
      <c r="G4943" s="1120">
        <v>3.54</v>
      </c>
      <c r="H4943" s="1127">
        <v>0.0</v>
      </c>
      <c r="I4943" s="1127">
        <v>0.0</v>
      </c>
      <c r="J4943" s="1127">
        <v>0.0</v>
      </c>
      <c r="K4943" s="1124"/>
    </row>
    <row r="4944" ht="15.75" customHeight="1">
      <c r="A4944" s="1119">
        <v>104319.0</v>
      </c>
      <c r="B4944" s="1125" t="s">
        <v>15222</v>
      </c>
      <c r="C4944" s="1126" t="s">
        <v>1788</v>
      </c>
      <c r="D4944" s="1119">
        <v>10.88</v>
      </c>
      <c r="E4944" s="1120">
        <v>5.15</v>
      </c>
      <c r="F4944" s="1121">
        <f t="shared" si="1"/>
        <v>5.73</v>
      </c>
      <c r="G4944" s="1120">
        <v>5.73</v>
      </c>
      <c r="H4944" s="1127">
        <v>0.0</v>
      </c>
      <c r="I4944" s="1127">
        <v>0.0</v>
      </c>
      <c r="J4944" s="1127">
        <v>0.0</v>
      </c>
      <c r="K4944" s="1124"/>
    </row>
    <row r="4945" ht="15.75" customHeight="1">
      <c r="A4945" s="1119">
        <v>104320.0</v>
      </c>
      <c r="B4945" s="1125" t="s">
        <v>15223</v>
      </c>
      <c r="C4945" s="1126" t="s">
        <v>1788</v>
      </c>
      <c r="D4945" s="1119">
        <v>12.68</v>
      </c>
      <c r="E4945" s="1120">
        <v>5.15</v>
      </c>
      <c r="F4945" s="1121">
        <f t="shared" si="1"/>
        <v>7.54</v>
      </c>
      <c r="G4945" s="1120">
        <v>7.54</v>
      </c>
      <c r="H4945" s="1127">
        <v>0.0</v>
      </c>
      <c r="I4945" s="1127">
        <v>0.0</v>
      </c>
      <c r="J4945" s="1127">
        <v>0.0</v>
      </c>
      <c r="K4945" s="1124"/>
    </row>
    <row r="4946" ht="15.75" customHeight="1">
      <c r="A4946" s="1119">
        <v>104321.0</v>
      </c>
      <c r="B4946" s="1125" t="s">
        <v>15224</v>
      </c>
      <c r="C4946" s="1126" t="s">
        <v>1788</v>
      </c>
      <c r="D4946" s="1119">
        <v>5.74</v>
      </c>
      <c r="E4946" s="1120">
        <v>3.06</v>
      </c>
      <c r="F4946" s="1121">
        <f t="shared" si="1"/>
        <v>2.7</v>
      </c>
      <c r="G4946" s="1120">
        <v>2.7</v>
      </c>
      <c r="H4946" s="1127">
        <v>0.0</v>
      </c>
      <c r="I4946" s="1127">
        <v>0.0</v>
      </c>
      <c r="J4946" s="1127">
        <v>0.0</v>
      </c>
      <c r="K4946" s="1124"/>
    </row>
    <row r="4947" ht="15.75" customHeight="1">
      <c r="A4947" s="1119">
        <v>104322.0</v>
      </c>
      <c r="B4947" s="1125" t="s">
        <v>15225</v>
      </c>
      <c r="C4947" s="1126" t="s">
        <v>1788</v>
      </c>
      <c r="D4947" s="1119">
        <v>8.15</v>
      </c>
      <c r="E4947" s="1120">
        <v>3.44</v>
      </c>
      <c r="F4947" s="1121">
        <f t="shared" si="1"/>
        <v>4.71</v>
      </c>
      <c r="G4947" s="1120">
        <v>4.71</v>
      </c>
      <c r="H4947" s="1127">
        <v>0.0</v>
      </c>
      <c r="I4947" s="1127">
        <v>0.0</v>
      </c>
      <c r="J4947" s="1127">
        <v>0.0</v>
      </c>
      <c r="K4947" s="1124"/>
    </row>
    <row r="4948" ht="15.75" customHeight="1">
      <c r="A4948" s="1119">
        <v>104323.0</v>
      </c>
      <c r="B4948" s="1125" t="s">
        <v>15226</v>
      </c>
      <c r="C4948" s="1126" t="s">
        <v>1788</v>
      </c>
      <c r="D4948" s="1119">
        <v>10.53</v>
      </c>
      <c r="E4948" s="1120">
        <v>6.11</v>
      </c>
      <c r="F4948" s="1121">
        <f t="shared" si="1"/>
        <v>4.42</v>
      </c>
      <c r="G4948" s="1120">
        <v>4.42</v>
      </c>
      <c r="H4948" s="1127">
        <v>0.0</v>
      </c>
      <c r="I4948" s="1127">
        <v>0.0</v>
      </c>
      <c r="J4948" s="1127">
        <v>0.0</v>
      </c>
      <c r="K4948" s="1124"/>
    </row>
    <row r="4949" ht="15.75" customHeight="1">
      <c r="A4949" s="1119">
        <v>104324.0</v>
      </c>
      <c r="B4949" s="1125" t="s">
        <v>15227</v>
      </c>
      <c r="C4949" s="1126" t="s">
        <v>1788</v>
      </c>
      <c r="D4949" s="1119">
        <v>15.35</v>
      </c>
      <c r="E4949" s="1120">
        <v>6.86</v>
      </c>
      <c r="F4949" s="1121">
        <f t="shared" si="1"/>
        <v>8.5</v>
      </c>
      <c r="G4949" s="1120">
        <v>8.5</v>
      </c>
      <c r="H4949" s="1127">
        <v>0.0</v>
      </c>
      <c r="I4949" s="1127">
        <v>0.0</v>
      </c>
      <c r="J4949" s="1127">
        <v>0.0</v>
      </c>
      <c r="K4949" s="1124"/>
    </row>
    <row r="4950" ht="15.75" customHeight="1">
      <c r="A4950" s="1119">
        <v>104341.0</v>
      </c>
      <c r="B4950" s="1125" t="s">
        <v>15228</v>
      </c>
      <c r="C4950" s="1126" t="s">
        <v>1788</v>
      </c>
      <c r="D4950" s="1119">
        <v>11.76</v>
      </c>
      <c r="E4950" s="1120">
        <v>3.84</v>
      </c>
      <c r="F4950" s="1121">
        <f t="shared" si="1"/>
        <v>7.93</v>
      </c>
      <c r="G4950" s="1120">
        <v>7.93</v>
      </c>
      <c r="H4950" s="1127">
        <v>0.0</v>
      </c>
      <c r="I4950" s="1127">
        <v>0.0</v>
      </c>
      <c r="J4950" s="1127">
        <v>0.0</v>
      </c>
      <c r="K4950" s="1124"/>
    </row>
    <row r="4951" ht="15.75" customHeight="1">
      <c r="A4951" s="1119">
        <v>104343.0</v>
      </c>
      <c r="B4951" s="1125" t="s">
        <v>15229</v>
      </c>
      <c r="C4951" s="1126" t="s">
        <v>1788</v>
      </c>
      <c r="D4951" s="1119">
        <v>36.34</v>
      </c>
      <c r="E4951" s="1120">
        <v>9.03</v>
      </c>
      <c r="F4951" s="1121">
        <f t="shared" si="1"/>
        <v>27.31</v>
      </c>
      <c r="G4951" s="1120">
        <v>27.31</v>
      </c>
      <c r="H4951" s="1127">
        <v>0.0</v>
      </c>
      <c r="I4951" s="1127">
        <v>0.0</v>
      </c>
      <c r="J4951" s="1127">
        <v>0.0</v>
      </c>
      <c r="K4951" s="1124"/>
    </row>
    <row r="4952" ht="15.75" customHeight="1">
      <c r="A4952" s="1119">
        <v>104344.0</v>
      </c>
      <c r="B4952" s="1125" t="s">
        <v>15230</v>
      </c>
      <c r="C4952" s="1126" t="s">
        <v>1788</v>
      </c>
      <c r="D4952" s="1119">
        <v>43.65</v>
      </c>
      <c r="E4952" s="1120">
        <v>10.08</v>
      </c>
      <c r="F4952" s="1121">
        <f t="shared" si="1"/>
        <v>33.56</v>
      </c>
      <c r="G4952" s="1120">
        <v>33.56</v>
      </c>
      <c r="H4952" s="1127">
        <v>0.0</v>
      </c>
      <c r="I4952" s="1127">
        <v>0.0</v>
      </c>
      <c r="J4952" s="1127">
        <v>0.0</v>
      </c>
      <c r="K4952" s="1124"/>
    </row>
    <row r="4953" ht="15.75" customHeight="1">
      <c r="A4953" s="1119">
        <v>104345.0</v>
      </c>
      <c r="B4953" s="1125" t="s">
        <v>15231</v>
      </c>
      <c r="C4953" s="1126" t="s">
        <v>1788</v>
      </c>
      <c r="D4953" s="1119">
        <v>46.01</v>
      </c>
      <c r="E4953" s="1120">
        <v>10.08</v>
      </c>
      <c r="F4953" s="1121">
        <f t="shared" si="1"/>
        <v>35.92</v>
      </c>
      <c r="G4953" s="1120">
        <v>35.92</v>
      </c>
      <c r="H4953" s="1127">
        <v>0.0</v>
      </c>
      <c r="I4953" s="1127">
        <v>0.0</v>
      </c>
      <c r="J4953" s="1127">
        <v>0.0</v>
      </c>
      <c r="K4953" s="1124"/>
    </row>
    <row r="4954" ht="15.75" customHeight="1">
      <c r="A4954" s="1119">
        <v>104346.0</v>
      </c>
      <c r="B4954" s="1125" t="s">
        <v>15232</v>
      </c>
      <c r="C4954" s="1126" t="s">
        <v>1788</v>
      </c>
      <c r="D4954" s="1119">
        <v>48.29</v>
      </c>
      <c r="E4954" s="1120">
        <v>10.62</v>
      </c>
      <c r="F4954" s="1121">
        <f t="shared" si="1"/>
        <v>37.67</v>
      </c>
      <c r="G4954" s="1120">
        <v>37.67</v>
      </c>
      <c r="H4954" s="1127">
        <v>0.0</v>
      </c>
      <c r="I4954" s="1127">
        <v>0.0</v>
      </c>
      <c r="J4954" s="1127">
        <v>0.0</v>
      </c>
      <c r="K4954" s="1124"/>
    </row>
    <row r="4955" ht="15.75" customHeight="1">
      <c r="A4955" s="1119">
        <v>104347.0</v>
      </c>
      <c r="B4955" s="1125" t="s">
        <v>15233</v>
      </c>
      <c r="C4955" s="1126" t="s">
        <v>1788</v>
      </c>
      <c r="D4955" s="1119">
        <v>51.33</v>
      </c>
      <c r="E4955" s="1120">
        <v>10.62</v>
      </c>
      <c r="F4955" s="1121">
        <f t="shared" si="1"/>
        <v>40.71</v>
      </c>
      <c r="G4955" s="1120">
        <v>40.71</v>
      </c>
      <c r="H4955" s="1127">
        <v>0.0</v>
      </c>
      <c r="I4955" s="1127">
        <v>0.0</v>
      </c>
      <c r="J4955" s="1127">
        <v>0.0</v>
      </c>
      <c r="K4955" s="1124"/>
    </row>
    <row r="4956" ht="15.75" customHeight="1">
      <c r="A4956" s="1119">
        <v>104348.0</v>
      </c>
      <c r="B4956" s="1125" t="s">
        <v>15234</v>
      </c>
      <c r="C4956" s="1126" t="s">
        <v>1788</v>
      </c>
      <c r="D4956" s="1119">
        <v>12.43</v>
      </c>
      <c r="E4956" s="1120">
        <v>0.48</v>
      </c>
      <c r="F4956" s="1121">
        <f t="shared" si="1"/>
        <v>11.95</v>
      </c>
      <c r="G4956" s="1120">
        <v>11.95</v>
      </c>
      <c r="H4956" s="1127">
        <v>0.0</v>
      </c>
      <c r="I4956" s="1127">
        <v>0.0</v>
      </c>
      <c r="J4956" s="1127">
        <v>0.0</v>
      </c>
      <c r="K4956" s="1124"/>
    </row>
    <row r="4957" ht="15.75" customHeight="1">
      <c r="A4957" s="1119">
        <v>104350.0</v>
      </c>
      <c r="B4957" s="1125" t="s">
        <v>15235</v>
      </c>
      <c r="C4957" s="1126" t="s">
        <v>1788</v>
      </c>
      <c r="D4957" s="1119">
        <v>31.65</v>
      </c>
      <c r="E4957" s="1120">
        <v>5.5</v>
      </c>
      <c r="F4957" s="1121">
        <f t="shared" si="1"/>
        <v>26.15</v>
      </c>
      <c r="G4957" s="1120">
        <v>26.15</v>
      </c>
      <c r="H4957" s="1127">
        <v>0.0</v>
      </c>
      <c r="I4957" s="1127">
        <v>0.0</v>
      </c>
      <c r="J4957" s="1127">
        <v>0.0</v>
      </c>
      <c r="K4957" s="1124"/>
    </row>
    <row r="4958" ht="15.75" customHeight="1">
      <c r="A4958" s="1119">
        <v>104351.0</v>
      </c>
      <c r="B4958" s="1125" t="s">
        <v>15236</v>
      </c>
      <c r="C4958" s="1126" t="s">
        <v>1788</v>
      </c>
      <c r="D4958" s="1119">
        <v>25.69</v>
      </c>
      <c r="E4958" s="1120">
        <v>1.8</v>
      </c>
      <c r="F4958" s="1121">
        <f t="shared" si="1"/>
        <v>23.89</v>
      </c>
      <c r="G4958" s="1120">
        <v>23.89</v>
      </c>
      <c r="H4958" s="1127">
        <v>0.0</v>
      </c>
      <c r="I4958" s="1127">
        <v>0.0</v>
      </c>
      <c r="J4958" s="1127">
        <v>0.0</v>
      </c>
      <c r="K4958" s="1124"/>
    </row>
    <row r="4959" ht="15.75" customHeight="1">
      <c r="A4959" s="1119">
        <v>104352.0</v>
      </c>
      <c r="B4959" s="1125" t="s">
        <v>15237</v>
      </c>
      <c r="C4959" s="1126" t="s">
        <v>1788</v>
      </c>
      <c r="D4959" s="1119">
        <v>42.25</v>
      </c>
      <c r="E4959" s="1120">
        <v>9.04</v>
      </c>
      <c r="F4959" s="1121">
        <f t="shared" si="1"/>
        <v>33.21</v>
      </c>
      <c r="G4959" s="1120">
        <v>33.21</v>
      </c>
      <c r="H4959" s="1127">
        <v>0.0</v>
      </c>
      <c r="I4959" s="1127">
        <v>0.0</v>
      </c>
      <c r="J4959" s="1127">
        <v>0.0</v>
      </c>
      <c r="K4959" s="1124"/>
    </row>
    <row r="4960" ht="15.75" customHeight="1">
      <c r="A4960" s="1119">
        <v>104353.0</v>
      </c>
      <c r="B4960" s="1125" t="s">
        <v>15238</v>
      </c>
      <c r="C4960" s="1126" t="s">
        <v>1788</v>
      </c>
      <c r="D4960" s="1119">
        <v>44.61</v>
      </c>
      <c r="E4960" s="1120">
        <v>9.04</v>
      </c>
      <c r="F4960" s="1121">
        <f t="shared" si="1"/>
        <v>35.57</v>
      </c>
      <c r="G4960" s="1120">
        <v>35.57</v>
      </c>
      <c r="H4960" s="1127">
        <v>0.0</v>
      </c>
      <c r="I4960" s="1127">
        <v>0.0</v>
      </c>
      <c r="J4960" s="1127">
        <v>0.0</v>
      </c>
      <c r="K4960" s="1124"/>
    </row>
    <row r="4961" ht="15.75" customHeight="1">
      <c r="A4961" s="1119">
        <v>104354.0</v>
      </c>
      <c r="B4961" s="1125" t="s">
        <v>15239</v>
      </c>
      <c r="C4961" s="1126" t="s">
        <v>1788</v>
      </c>
      <c r="D4961" s="1119">
        <v>48.54</v>
      </c>
      <c r="E4961" s="1120">
        <v>10.8</v>
      </c>
      <c r="F4961" s="1121">
        <f t="shared" si="1"/>
        <v>37.73</v>
      </c>
      <c r="G4961" s="1120">
        <v>37.73</v>
      </c>
      <c r="H4961" s="1127">
        <v>0.0</v>
      </c>
      <c r="I4961" s="1127">
        <v>0.0</v>
      </c>
      <c r="J4961" s="1127">
        <v>0.0</v>
      </c>
      <c r="K4961" s="1124"/>
    </row>
    <row r="4962" ht="15.75" customHeight="1">
      <c r="A4962" s="1119">
        <v>104355.0</v>
      </c>
      <c r="B4962" s="1125" t="s">
        <v>15240</v>
      </c>
      <c r="C4962" s="1126" t="s">
        <v>1788</v>
      </c>
      <c r="D4962" s="1119">
        <v>51.58</v>
      </c>
      <c r="E4962" s="1120">
        <v>10.8</v>
      </c>
      <c r="F4962" s="1121">
        <f t="shared" si="1"/>
        <v>40.77</v>
      </c>
      <c r="G4962" s="1120">
        <v>40.77</v>
      </c>
      <c r="H4962" s="1127">
        <v>0.0</v>
      </c>
      <c r="I4962" s="1127">
        <v>0.0</v>
      </c>
      <c r="J4962" s="1127">
        <v>0.0</v>
      </c>
      <c r="K4962" s="1124"/>
    </row>
    <row r="4963" ht="15.75" customHeight="1">
      <c r="A4963" s="1119">
        <v>104356.0</v>
      </c>
      <c r="B4963" s="1125" t="s">
        <v>15241</v>
      </c>
      <c r="C4963" s="1126" t="s">
        <v>1788</v>
      </c>
      <c r="D4963" s="1119">
        <v>34.06</v>
      </c>
      <c r="E4963" s="1120">
        <v>3.12</v>
      </c>
      <c r="F4963" s="1121">
        <f t="shared" si="1"/>
        <v>30.93</v>
      </c>
      <c r="G4963" s="1120">
        <v>30.93</v>
      </c>
      <c r="H4963" s="1127">
        <v>0.0</v>
      </c>
      <c r="I4963" s="1127">
        <v>0.0</v>
      </c>
      <c r="J4963" s="1127">
        <v>0.0</v>
      </c>
      <c r="K4963" s="1124"/>
    </row>
    <row r="4964" ht="15.75" customHeight="1">
      <c r="A4964" s="1119">
        <v>104357.0</v>
      </c>
      <c r="B4964" s="1125" t="s">
        <v>15242</v>
      </c>
      <c r="C4964" s="1126" t="s">
        <v>1788</v>
      </c>
      <c r="D4964" s="1119">
        <v>20.65</v>
      </c>
      <c r="E4964" s="1120">
        <v>4.01</v>
      </c>
      <c r="F4964" s="1121">
        <f t="shared" si="1"/>
        <v>16.64</v>
      </c>
      <c r="G4964" s="1120">
        <v>16.64</v>
      </c>
      <c r="H4964" s="1127">
        <v>0.0</v>
      </c>
      <c r="I4964" s="1127">
        <v>0.0</v>
      </c>
      <c r="J4964" s="1127">
        <v>0.0</v>
      </c>
      <c r="K4964" s="1124"/>
    </row>
    <row r="4965" ht="15.75" customHeight="1">
      <c r="A4965" s="1119">
        <v>97895.0</v>
      </c>
      <c r="B4965" s="1125" t="s">
        <v>15243</v>
      </c>
      <c r="C4965" s="1126" t="s">
        <v>1788</v>
      </c>
      <c r="D4965" s="1119">
        <v>130.52</v>
      </c>
      <c r="E4965" s="1120">
        <v>2.85</v>
      </c>
      <c r="F4965" s="1121">
        <f t="shared" si="1"/>
        <v>127.67</v>
      </c>
      <c r="G4965" s="1120">
        <v>127.67</v>
      </c>
      <c r="H4965" s="1127">
        <v>0.0</v>
      </c>
      <c r="I4965" s="1127">
        <v>0.0</v>
      </c>
      <c r="J4965" s="1127">
        <v>0.0</v>
      </c>
      <c r="K4965" s="1124"/>
    </row>
    <row r="4966" ht="15.75" customHeight="1">
      <c r="A4966" s="1119">
        <v>97896.0</v>
      </c>
      <c r="B4966" s="1125" t="s">
        <v>15244</v>
      </c>
      <c r="C4966" s="1126" t="s">
        <v>1788</v>
      </c>
      <c r="D4966" s="1119">
        <v>242.23</v>
      </c>
      <c r="E4966" s="1120">
        <v>5.8</v>
      </c>
      <c r="F4966" s="1121">
        <f t="shared" si="1"/>
        <v>236.4</v>
      </c>
      <c r="G4966" s="1120">
        <v>234.32</v>
      </c>
      <c r="H4966" s="1127">
        <v>2.08</v>
      </c>
      <c r="I4966" s="1127">
        <v>0.0</v>
      </c>
      <c r="J4966" s="1127">
        <v>0.0</v>
      </c>
      <c r="K4966" s="1124"/>
    </row>
    <row r="4967" ht="15.75" customHeight="1">
      <c r="A4967" s="1119">
        <v>97897.0</v>
      </c>
      <c r="B4967" s="1125" t="s">
        <v>15245</v>
      </c>
      <c r="C4967" s="1126" t="s">
        <v>1788</v>
      </c>
      <c r="D4967" s="1119">
        <v>316.73</v>
      </c>
      <c r="E4967" s="1120">
        <v>10.85</v>
      </c>
      <c r="F4967" s="1121">
        <f t="shared" si="1"/>
        <v>305.88</v>
      </c>
      <c r="G4967" s="1120">
        <v>300.79</v>
      </c>
      <c r="H4967" s="1127">
        <v>5.09</v>
      </c>
      <c r="I4967" s="1127">
        <v>0.0</v>
      </c>
      <c r="J4967" s="1127">
        <v>0.0</v>
      </c>
      <c r="K4967" s="1124"/>
    </row>
    <row r="4968" ht="15.75" customHeight="1">
      <c r="A4968" s="1119">
        <v>97898.0</v>
      </c>
      <c r="B4968" s="1125" t="s">
        <v>15246</v>
      </c>
      <c r="C4968" s="1126" t="s">
        <v>1788</v>
      </c>
      <c r="D4968" s="1119">
        <v>659.7</v>
      </c>
      <c r="E4968" s="1120">
        <v>91.52</v>
      </c>
      <c r="F4968" s="1121">
        <f t="shared" si="1"/>
        <v>568.21</v>
      </c>
      <c r="G4968" s="1120">
        <v>558.73</v>
      </c>
      <c r="H4968" s="1127">
        <v>9.33</v>
      </c>
      <c r="I4968" s="1127">
        <v>0.0</v>
      </c>
      <c r="J4968" s="1127">
        <v>0.15</v>
      </c>
      <c r="K4968" s="1124"/>
    </row>
    <row r="4969" ht="15.75" customHeight="1">
      <c r="A4969" s="1119">
        <v>97900.0</v>
      </c>
      <c r="B4969" s="1125" t="s">
        <v>15247</v>
      </c>
      <c r="C4969" s="1126" t="s">
        <v>1788</v>
      </c>
      <c r="D4969" s="1119">
        <v>201.76</v>
      </c>
      <c r="E4969" s="1120">
        <v>91.27</v>
      </c>
      <c r="F4969" s="1121">
        <f t="shared" si="1"/>
        <v>110.52</v>
      </c>
      <c r="G4969" s="1120">
        <v>110.08</v>
      </c>
      <c r="H4969" s="1127">
        <v>0.34</v>
      </c>
      <c r="I4969" s="1127">
        <v>0.0</v>
      </c>
      <c r="J4969" s="1127">
        <v>0.1</v>
      </c>
      <c r="K4969" s="1124"/>
    </row>
    <row r="4970" ht="15.75" customHeight="1">
      <c r="A4970" s="1119">
        <v>97901.0</v>
      </c>
      <c r="B4970" s="1125" t="s">
        <v>15248</v>
      </c>
      <c r="C4970" s="1126" t="s">
        <v>1788</v>
      </c>
      <c r="D4970" s="1119">
        <v>316.61</v>
      </c>
      <c r="E4970" s="1120">
        <v>143.91</v>
      </c>
      <c r="F4970" s="1121">
        <f t="shared" si="1"/>
        <v>172.75</v>
      </c>
      <c r="G4970" s="1120">
        <v>172.05</v>
      </c>
      <c r="H4970" s="1127">
        <v>0.54</v>
      </c>
      <c r="I4970" s="1127">
        <v>0.0</v>
      </c>
      <c r="J4970" s="1127">
        <v>0.16</v>
      </c>
      <c r="K4970" s="1124"/>
    </row>
    <row r="4971" ht="15.75" customHeight="1">
      <c r="A4971" s="1119">
        <v>97902.0</v>
      </c>
      <c r="B4971" s="1125" t="s">
        <v>15249</v>
      </c>
      <c r="C4971" s="1126" t="s">
        <v>1788</v>
      </c>
      <c r="D4971" s="1119">
        <v>613.03</v>
      </c>
      <c r="E4971" s="1120">
        <v>272.55</v>
      </c>
      <c r="F4971" s="1121">
        <f t="shared" si="1"/>
        <v>340.52</v>
      </c>
      <c r="G4971" s="1120">
        <v>338.39</v>
      </c>
      <c r="H4971" s="1127">
        <v>1.86</v>
      </c>
      <c r="I4971" s="1127">
        <v>0.0</v>
      </c>
      <c r="J4971" s="1127">
        <v>0.27</v>
      </c>
      <c r="K4971" s="1124"/>
    </row>
    <row r="4972" ht="15.75" customHeight="1">
      <c r="A4972" s="1119">
        <v>97903.0</v>
      </c>
      <c r="B4972" s="1125" t="s">
        <v>15250</v>
      </c>
      <c r="C4972" s="1126" t="s">
        <v>1788</v>
      </c>
      <c r="D4972" s="1119">
        <v>850.93</v>
      </c>
      <c r="E4972" s="1120">
        <v>379.67</v>
      </c>
      <c r="F4972" s="1121">
        <f t="shared" si="1"/>
        <v>471.31</v>
      </c>
      <c r="G4972" s="1120">
        <v>467.96</v>
      </c>
      <c r="H4972" s="1127">
        <v>2.93</v>
      </c>
      <c r="I4972" s="1127">
        <v>0.0</v>
      </c>
      <c r="J4972" s="1127">
        <v>0.42</v>
      </c>
      <c r="K4972" s="1124"/>
    </row>
    <row r="4973" ht="15.75" customHeight="1">
      <c r="A4973" s="1119">
        <v>97904.0</v>
      </c>
      <c r="B4973" s="1125" t="s">
        <v>15251</v>
      </c>
      <c r="C4973" s="1126" t="s">
        <v>1788</v>
      </c>
      <c r="D4973" s="1119">
        <v>998.35</v>
      </c>
      <c r="E4973" s="1120">
        <v>410.95</v>
      </c>
      <c r="F4973" s="1121">
        <f t="shared" si="1"/>
        <v>587.47</v>
      </c>
      <c r="G4973" s="1120">
        <v>583.61</v>
      </c>
      <c r="H4973" s="1127">
        <v>3.4</v>
      </c>
      <c r="I4973" s="1127">
        <v>0.0</v>
      </c>
      <c r="J4973" s="1127">
        <v>0.46</v>
      </c>
      <c r="K4973" s="1124"/>
    </row>
    <row r="4974" ht="15.75" customHeight="1">
      <c r="A4974" s="1119">
        <v>97905.0</v>
      </c>
      <c r="B4974" s="1125" t="s">
        <v>15252</v>
      </c>
      <c r="C4974" s="1126" t="s">
        <v>1788</v>
      </c>
      <c r="D4974" s="1119">
        <v>252.08</v>
      </c>
      <c r="E4974" s="1120">
        <v>117.46</v>
      </c>
      <c r="F4974" s="1121">
        <f t="shared" si="1"/>
        <v>134.68</v>
      </c>
      <c r="G4974" s="1120">
        <v>134.03</v>
      </c>
      <c r="H4974" s="1127">
        <v>0.5</v>
      </c>
      <c r="I4974" s="1127">
        <v>0.0</v>
      </c>
      <c r="J4974" s="1127">
        <v>0.15</v>
      </c>
      <c r="K4974" s="1124"/>
    </row>
    <row r="4975" ht="15.75" customHeight="1">
      <c r="A4975" s="1119">
        <v>97906.0</v>
      </c>
      <c r="B4975" s="1125" t="s">
        <v>15253</v>
      </c>
      <c r="C4975" s="1126" t="s">
        <v>1788</v>
      </c>
      <c r="D4975" s="1119">
        <v>464.79</v>
      </c>
      <c r="E4975" s="1120">
        <v>211.15</v>
      </c>
      <c r="F4975" s="1121">
        <f t="shared" si="1"/>
        <v>253.68</v>
      </c>
      <c r="G4975" s="1120">
        <v>251.64</v>
      </c>
      <c r="H4975" s="1127">
        <v>1.79</v>
      </c>
      <c r="I4975" s="1127">
        <v>0.0</v>
      </c>
      <c r="J4975" s="1127">
        <v>0.25</v>
      </c>
      <c r="K4975" s="1124"/>
    </row>
    <row r="4976" ht="15.75" customHeight="1">
      <c r="A4976" s="1119">
        <v>97907.0</v>
      </c>
      <c r="B4976" s="1125" t="s">
        <v>15254</v>
      </c>
      <c r="C4976" s="1126" t="s">
        <v>1788</v>
      </c>
      <c r="D4976" s="1119">
        <v>661.77</v>
      </c>
      <c r="E4976" s="1120">
        <v>301.3</v>
      </c>
      <c r="F4976" s="1121">
        <f t="shared" si="1"/>
        <v>360.51</v>
      </c>
      <c r="G4976" s="1120">
        <v>357.26</v>
      </c>
      <c r="H4976" s="1127">
        <v>2.86</v>
      </c>
      <c r="I4976" s="1127">
        <v>0.0</v>
      </c>
      <c r="J4976" s="1127">
        <v>0.39</v>
      </c>
      <c r="K4976" s="1124"/>
    </row>
    <row r="4977" ht="15.75" customHeight="1">
      <c r="A4977" s="1119">
        <v>97908.0</v>
      </c>
      <c r="B4977" s="1125" t="s">
        <v>15255</v>
      </c>
      <c r="C4977" s="1126" t="s">
        <v>1788</v>
      </c>
      <c r="D4977" s="1119">
        <v>774.52</v>
      </c>
      <c r="E4977" s="1120">
        <v>318.21</v>
      </c>
      <c r="F4977" s="1121">
        <f t="shared" si="1"/>
        <v>456.37</v>
      </c>
      <c r="G4977" s="1120">
        <v>452.65</v>
      </c>
      <c r="H4977" s="1127">
        <v>3.31</v>
      </c>
      <c r="I4977" s="1127">
        <v>0.0</v>
      </c>
      <c r="J4977" s="1127">
        <v>0.41</v>
      </c>
      <c r="K4977" s="1124"/>
    </row>
    <row r="4978" ht="15.75" customHeight="1">
      <c r="A4978" s="1119">
        <v>98102.0</v>
      </c>
      <c r="B4978" s="1125" t="s">
        <v>15256</v>
      </c>
      <c r="C4978" s="1126" t="s">
        <v>1788</v>
      </c>
      <c r="D4978" s="1119">
        <v>125.47</v>
      </c>
      <c r="E4978" s="1120">
        <v>4.76</v>
      </c>
      <c r="F4978" s="1121">
        <f t="shared" si="1"/>
        <v>120.75</v>
      </c>
      <c r="G4978" s="1120">
        <v>118.96</v>
      </c>
      <c r="H4978" s="1127">
        <v>1.79</v>
      </c>
      <c r="I4978" s="1127">
        <v>0.0</v>
      </c>
      <c r="J4978" s="1127">
        <v>0.0</v>
      </c>
      <c r="K4978" s="1124"/>
    </row>
    <row r="4979" ht="15.75" customHeight="1">
      <c r="A4979" s="1119">
        <v>98104.0</v>
      </c>
      <c r="B4979" s="1125" t="s">
        <v>15257</v>
      </c>
      <c r="C4979" s="1126" t="s">
        <v>1788</v>
      </c>
      <c r="D4979" s="1119">
        <v>399.94</v>
      </c>
      <c r="E4979" s="1120">
        <v>182.0</v>
      </c>
      <c r="F4979" s="1121">
        <f t="shared" si="1"/>
        <v>217.98</v>
      </c>
      <c r="G4979" s="1120">
        <v>217.55</v>
      </c>
      <c r="H4979" s="1127">
        <v>0.33</v>
      </c>
      <c r="I4979" s="1127">
        <v>0.0</v>
      </c>
      <c r="J4979" s="1127">
        <v>0.1</v>
      </c>
      <c r="K4979" s="1124"/>
    </row>
    <row r="4980" ht="15.75" customHeight="1">
      <c r="A4980" s="1119">
        <v>98105.0</v>
      </c>
      <c r="B4980" s="1125" t="s">
        <v>15258</v>
      </c>
      <c r="C4980" s="1126" t="s">
        <v>1788</v>
      </c>
      <c r="D4980" s="1119">
        <v>695.92</v>
      </c>
      <c r="E4980" s="1120">
        <v>320.74</v>
      </c>
      <c r="F4980" s="1121">
        <f t="shared" si="1"/>
        <v>375.25</v>
      </c>
      <c r="G4980" s="1120">
        <v>374.32</v>
      </c>
      <c r="H4980" s="1127">
        <v>0.69</v>
      </c>
      <c r="I4980" s="1127">
        <v>0.0</v>
      </c>
      <c r="J4980" s="1127">
        <v>0.24</v>
      </c>
      <c r="K4980" s="1124"/>
    </row>
    <row r="4981" ht="15.75" customHeight="1">
      <c r="A4981" s="1119">
        <v>98106.0</v>
      </c>
      <c r="B4981" s="1125" t="s">
        <v>15259</v>
      </c>
      <c r="C4981" s="1126" t="s">
        <v>1788</v>
      </c>
      <c r="D4981" s="1128">
        <v>1147.68</v>
      </c>
      <c r="E4981" s="1120">
        <v>525.99</v>
      </c>
      <c r="F4981" s="1121">
        <f t="shared" si="1"/>
        <v>621.74</v>
      </c>
      <c r="G4981" s="1120">
        <v>619.28</v>
      </c>
      <c r="H4981" s="1127">
        <v>2.06</v>
      </c>
      <c r="I4981" s="1127">
        <v>0.0</v>
      </c>
      <c r="J4981" s="1127">
        <v>0.4</v>
      </c>
      <c r="K4981" s="1124"/>
    </row>
    <row r="4982" ht="15.75" customHeight="1">
      <c r="A4982" s="1119">
        <v>98107.0</v>
      </c>
      <c r="B4982" s="1125" t="s">
        <v>15260</v>
      </c>
      <c r="C4982" s="1126" t="s">
        <v>1788</v>
      </c>
      <c r="D4982" s="1119">
        <v>285.12</v>
      </c>
      <c r="E4982" s="1120">
        <v>134.26</v>
      </c>
      <c r="F4982" s="1121">
        <f t="shared" si="1"/>
        <v>150.89</v>
      </c>
      <c r="G4982" s="1120">
        <v>150.52</v>
      </c>
      <c r="H4982" s="1127">
        <v>0.29</v>
      </c>
      <c r="I4982" s="1127">
        <v>0.0</v>
      </c>
      <c r="J4982" s="1127">
        <v>0.08</v>
      </c>
      <c r="K4982" s="1124"/>
    </row>
    <row r="4983" ht="15.75" customHeight="1">
      <c r="A4983" s="1119">
        <v>98108.0</v>
      </c>
      <c r="B4983" s="1125" t="s">
        <v>15261</v>
      </c>
      <c r="C4983" s="1126" t="s">
        <v>1788</v>
      </c>
      <c r="D4983" s="1119">
        <v>510.57</v>
      </c>
      <c r="E4983" s="1120">
        <v>243.76</v>
      </c>
      <c r="F4983" s="1121">
        <f t="shared" si="1"/>
        <v>266.86</v>
      </c>
      <c r="G4983" s="1120">
        <v>266.04</v>
      </c>
      <c r="H4983" s="1127">
        <v>0.62</v>
      </c>
      <c r="I4983" s="1127">
        <v>0.0</v>
      </c>
      <c r="J4983" s="1127">
        <v>0.2</v>
      </c>
      <c r="K4983" s="1124"/>
    </row>
    <row r="4984" ht="15.75" customHeight="1">
      <c r="A4984" s="1119">
        <v>99250.0</v>
      </c>
      <c r="B4984" s="1125" t="s">
        <v>15262</v>
      </c>
      <c r="C4984" s="1126" t="s">
        <v>1788</v>
      </c>
      <c r="D4984" s="1119">
        <v>197.36</v>
      </c>
      <c r="E4984" s="1120">
        <v>91.11</v>
      </c>
      <c r="F4984" s="1121">
        <f t="shared" si="1"/>
        <v>106.28</v>
      </c>
      <c r="G4984" s="1120">
        <v>105.85</v>
      </c>
      <c r="H4984" s="1127">
        <v>0.34</v>
      </c>
      <c r="I4984" s="1127">
        <v>0.0</v>
      </c>
      <c r="J4984" s="1127">
        <v>0.09</v>
      </c>
      <c r="K4984" s="1124"/>
    </row>
    <row r="4985" ht="15.75" customHeight="1">
      <c r="A4985" s="1119">
        <v>99251.0</v>
      </c>
      <c r="B4985" s="1125" t="s">
        <v>15263</v>
      </c>
      <c r="C4985" s="1126" t="s">
        <v>1788</v>
      </c>
      <c r="D4985" s="1119">
        <v>309.04</v>
      </c>
      <c r="E4985" s="1120">
        <v>143.62</v>
      </c>
      <c r="F4985" s="1121">
        <f t="shared" si="1"/>
        <v>165.49</v>
      </c>
      <c r="G4985" s="1120">
        <v>164.8</v>
      </c>
      <c r="H4985" s="1127">
        <v>0.53</v>
      </c>
      <c r="I4985" s="1127">
        <v>0.0</v>
      </c>
      <c r="J4985" s="1127">
        <v>0.16</v>
      </c>
      <c r="K4985" s="1124"/>
    </row>
    <row r="4986" ht="15.75" customHeight="1">
      <c r="A4986" s="1119">
        <v>99253.0</v>
      </c>
      <c r="B4986" s="1125" t="s">
        <v>15264</v>
      </c>
      <c r="C4986" s="1126" t="s">
        <v>1788</v>
      </c>
      <c r="D4986" s="1119">
        <v>596.05</v>
      </c>
      <c r="E4986" s="1120">
        <v>271.88</v>
      </c>
      <c r="F4986" s="1121">
        <f t="shared" si="1"/>
        <v>324.21</v>
      </c>
      <c r="G4986" s="1120">
        <v>322.09</v>
      </c>
      <c r="H4986" s="1127">
        <v>1.85</v>
      </c>
      <c r="I4986" s="1127">
        <v>0.0</v>
      </c>
      <c r="J4986" s="1127">
        <v>0.27</v>
      </c>
      <c r="K4986" s="1124"/>
    </row>
    <row r="4987" ht="15.75" customHeight="1">
      <c r="A4987" s="1119">
        <v>99255.0</v>
      </c>
      <c r="B4987" s="1125" t="s">
        <v>15265</v>
      </c>
      <c r="C4987" s="1126" t="s">
        <v>1788</v>
      </c>
      <c r="D4987" s="1119">
        <v>827.65</v>
      </c>
      <c r="E4987" s="1120">
        <v>378.76</v>
      </c>
      <c r="F4987" s="1121">
        <f t="shared" si="1"/>
        <v>448.95</v>
      </c>
      <c r="G4987" s="1120">
        <v>445.61</v>
      </c>
      <c r="H4987" s="1127">
        <v>2.92</v>
      </c>
      <c r="I4987" s="1127">
        <v>0.0</v>
      </c>
      <c r="J4987" s="1127">
        <v>0.42</v>
      </c>
      <c r="K4987" s="1124"/>
    </row>
    <row r="4988" ht="15.75" customHeight="1">
      <c r="A4988" s="1119">
        <v>99257.0</v>
      </c>
      <c r="B4988" s="1125" t="s">
        <v>15266</v>
      </c>
      <c r="C4988" s="1126" t="s">
        <v>1788</v>
      </c>
      <c r="D4988" s="1119">
        <v>968.24</v>
      </c>
      <c r="E4988" s="1120">
        <v>409.76</v>
      </c>
      <c r="F4988" s="1121">
        <f t="shared" si="1"/>
        <v>558.54</v>
      </c>
      <c r="G4988" s="1120">
        <v>554.71</v>
      </c>
      <c r="H4988" s="1127">
        <v>3.38</v>
      </c>
      <c r="I4988" s="1127">
        <v>0.0</v>
      </c>
      <c r="J4988" s="1127">
        <v>0.45</v>
      </c>
      <c r="K4988" s="1124"/>
    </row>
    <row r="4989" ht="15.75" customHeight="1">
      <c r="A4989" s="1119">
        <v>99258.0</v>
      </c>
      <c r="B4989" s="1125" t="s">
        <v>15267</v>
      </c>
      <c r="C4989" s="1126" t="s">
        <v>1788</v>
      </c>
      <c r="D4989" s="1119">
        <v>247.28</v>
      </c>
      <c r="E4989" s="1120">
        <v>117.28</v>
      </c>
      <c r="F4989" s="1121">
        <f t="shared" si="1"/>
        <v>130.06</v>
      </c>
      <c r="G4989" s="1120">
        <v>129.41</v>
      </c>
      <c r="H4989" s="1127">
        <v>0.5</v>
      </c>
      <c r="I4989" s="1127">
        <v>0.0</v>
      </c>
      <c r="J4989" s="1127">
        <v>0.15</v>
      </c>
      <c r="K4989" s="1124"/>
    </row>
    <row r="4990" ht="15.75" customHeight="1">
      <c r="A4990" s="1119">
        <v>99260.0</v>
      </c>
      <c r="B4990" s="1125" t="s">
        <v>15268</v>
      </c>
      <c r="C4990" s="1126" t="s">
        <v>1788</v>
      </c>
      <c r="D4990" s="1119">
        <v>454.09</v>
      </c>
      <c r="E4990" s="1120">
        <v>210.73</v>
      </c>
      <c r="F4990" s="1121">
        <f t="shared" si="1"/>
        <v>243.41</v>
      </c>
      <c r="G4990" s="1120">
        <v>241.39</v>
      </c>
      <c r="H4990" s="1127">
        <v>1.78</v>
      </c>
      <c r="I4990" s="1127">
        <v>0.0</v>
      </c>
      <c r="J4990" s="1127">
        <v>0.24</v>
      </c>
      <c r="K4990" s="1124"/>
    </row>
    <row r="4991" ht="15.75" customHeight="1">
      <c r="A4991" s="1119">
        <v>99262.0</v>
      </c>
      <c r="B4991" s="1125" t="s">
        <v>15269</v>
      </c>
      <c r="C4991" s="1126" t="s">
        <v>1788</v>
      </c>
      <c r="D4991" s="1119">
        <v>646.51</v>
      </c>
      <c r="E4991" s="1120">
        <v>300.7</v>
      </c>
      <c r="F4991" s="1121">
        <f t="shared" si="1"/>
        <v>345.86</v>
      </c>
      <c r="G4991" s="1120">
        <v>342.63</v>
      </c>
      <c r="H4991" s="1127">
        <v>2.85</v>
      </c>
      <c r="I4991" s="1127">
        <v>0.0</v>
      </c>
      <c r="J4991" s="1127">
        <v>0.38</v>
      </c>
      <c r="K4991" s="1124"/>
    </row>
    <row r="4992" ht="15.75" customHeight="1">
      <c r="A4992" s="1119">
        <v>99264.0</v>
      </c>
      <c r="B4992" s="1125" t="s">
        <v>15270</v>
      </c>
      <c r="C4992" s="1126" t="s">
        <v>1788</v>
      </c>
      <c r="D4992" s="1119">
        <v>753.89</v>
      </c>
      <c r="E4992" s="1120">
        <v>317.4</v>
      </c>
      <c r="F4992" s="1121">
        <f t="shared" si="1"/>
        <v>436.56</v>
      </c>
      <c r="G4992" s="1120">
        <v>432.86</v>
      </c>
      <c r="H4992" s="1127">
        <v>3.3</v>
      </c>
      <c r="I4992" s="1127">
        <v>0.0</v>
      </c>
      <c r="J4992" s="1127">
        <v>0.4</v>
      </c>
      <c r="K4992" s="1124"/>
    </row>
    <row r="4993" ht="15.75" customHeight="1">
      <c r="A4993" s="1119">
        <v>102587.0</v>
      </c>
      <c r="B4993" s="1125" t="s">
        <v>15271</v>
      </c>
      <c r="C4993" s="1126" t="s">
        <v>1788</v>
      </c>
      <c r="D4993" s="1119">
        <v>4.04</v>
      </c>
      <c r="E4993" s="1120">
        <v>3.07</v>
      </c>
      <c r="F4993" s="1121">
        <f t="shared" si="1"/>
        <v>0.97</v>
      </c>
      <c r="G4993" s="1120">
        <v>0.97</v>
      </c>
      <c r="H4993" s="1127">
        <v>0.0</v>
      </c>
      <c r="I4993" s="1127">
        <v>0.0</v>
      </c>
      <c r="J4993" s="1127">
        <v>0.0</v>
      </c>
      <c r="K4993" s="1124"/>
    </row>
    <row r="4994" ht="15.75" customHeight="1">
      <c r="A4994" s="1119">
        <v>102588.0</v>
      </c>
      <c r="B4994" s="1125" t="s">
        <v>15272</v>
      </c>
      <c r="C4994" s="1126" t="s">
        <v>1788</v>
      </c>
      <c r="D4994" s="1119">
        <v>5.84</v>
      </c>
      <c r="E4994" s="1120">
        <v>4.43</v>
      </c>
      <c r="F4994" s="1121">
        <f t="shared" si="1"/>
        <v>1.41</v>
      </c>
      <c r="G4994" s="1120">
        <v>1.41</v>
      </c>
      <c r="H4994" s="1127">
        <v>0.0</v>
      </c>
      <c r="I4994" s="1127">
        <v>0.0</v>
      </c>
      <c r="J4994" s="1127">
        <v>0.0</v>
      </c>
      <c r="K4994" s="1124"/>
    </row>
    <row r="4995" ht="15.75" customHeight="1">
      <c r="A4995" s="1119">
        <v>102589.0</v>
      </c>
      <c r="B4995" s="1125" t="s">
        <v>15273</v>
      </c>
      <c r="C4995" s="1126" t="s">
        <v>1788</v>
      </c>
      <c r="D4995" s="1119">
        <v>4.49</v>
      </c>
      <c r="E4995" s="1120">
        <v>3.43</v>
      </c>
      <c r="F4995" s="1121">
        <f t="shared" si="1"/>
        <v>1.06</v>
      </c>
      <c r="G4995" s="1120">
        <v>1.06</v>
      </c>
      <c r="H4995" s="1127">
        <v>0.0</v>
      </c>
      <c r="I4995" s="1127">
        <v>0.0</v>
      </c>
      <c r="J4995" s="1127">
        <v>0.0</v>
      </c>
      <c r="K4995" s="1124"/>
    </row>
    <row r="4996" ht="15.75" customHeight="1">
      <c r="A4996" s="1119">
        <v>102590.0</v>
      </c>
      <c r="B4996" s="1125" t="s">
        <v>15274</v>
      </c>
      <c r="C4996" s="1126" t="s">
        <v>1788</v>
      </c>
      <c r="D4996" s="1119">
        <v>6.29</v>
      </c>
      <c r="E4996" s="1120">
        <v>4.76</v>
      </c>
      <c r="F4996" s="1121">
        <f t="shared" si="1"/>
        <v>1.53</v>
      </c>
      <c r="G4996" s="1120">
        <v>1.53</v>
      </c>
      <c r="H4996" s="1127">
        <v>0.0</v>
      </c>
      <c r="I4996" s="1127">
        <v>0.0</v>
      </c>
      <c r="J4996" s="1127">
        <v>0.0</v>
      </c>
      <c r="K4996" s="1124"/>
    </row>
    <row r="4997" ht="15.75" customHeight="1">
      <c r="A4997" s="1119">
        <v>102591.0</v>
      </c>
      <c r="B4997" s="1125" t="s">
        <v>15275</v>
      </c>
      <c r="C4997" s="1126" t="s">
        <v>1788</v>
      </c>
      <c r="D4997" s="1119">
        <v>4.94</v>
      </c>
      <c r="E4997" s="1120">
        <v>3.76</v>
      </c>
      <c r="F4997" s="1121">
        <f t="shared" si="1"/>
        <v>1.18</v>
      </c>
      <c r="G4997" s="1120">
        <v>1.18</v>
      </c>
      <c r="H4997" s="1127">
        <v>0.0</v>
      </c>
      <c r="I4997" s="1127">
        <v>0.0</v>
      </c>
      <c r="J4997" s="1127">
        <v>0.0</v>
      </c>
      <c r="K4997" s="1124"/>
    </row>
    <row r="4998" ht="15.75" customHeight="1">
      <c r="A4998" s="1119">
        <v>102592.0</v>
      </c>
      <c r="B4998" s="1125" t="s">
        <v>15276</v>
      </c>
      <c r="C4998" s="1126" t="s">
        <v>1788</v>
      </c>
      <c r="D4998" s="1119">
        <v>6.75</v>
      </c>
      <c r="E4998" s="1120">
        <v>5.12</v>
      </c>
      <c r="F4998" s="1121">
        <f t="shared" si="1"/>
        <v>1.63</v>
      </c>
      <c r="G4998" s="1120">
        <v>1.63</v>
      </c>
      <c r="H4998" s="1127">
        <v>0.0</v>
      </c>
      <c r="I4998" s="1127">
        <v>0.0</v>
      </c>
      <c r="J4998" s="1127">
        <v>0.0</v>
      </c>
      <c r="K4998" s="1124"/>
    </row>
    <row r="4999" ht="15.75" customHeight="1">
      <c r="A4999" s="1119">
        <v>102593.0</v>
      </c>
      <c r="B4999" s="1125" t="s">
        <v>15277</v>
      </c>
      <c r="C4999" s="1126" t="s">
        <v>1788</v>
      </c>
      <c r="D4999" s="1119">
        <v>5.58</v>
      </c>
      <c r="E4999" s="1120">
        <v>4.23</v>
      </c>
      <c r="F4999" s="1121">
        <f t="shared" si="1"/>
        <v>1.35</v>
      </c>
      <c r="G4999" s="1120">
        <v>1.35</v>
      </c>
      <c r="H4999" s="1127">
        <v>0.0</v>
      </c>
      <c r="I4999" s="1127">
        <v>0.0</v>
      </c>
      <c r="J4999" s="1127">
        <v>0.0</v>
      </c>
      <c r="K4999" s="1124"/>
    </row>
    <row r="5000" ht="15.75" customHeight="1">
      <c r="A5000" s="1119">
        <v>102594.0</v>
      </c>
      <c r="B5000" s="1125" t="s">
        <v>15278</v>
      </c>
      <c r="C5000" s="1126" t="s">
        <v>1788</v>
      </c>
      <c r="D5000" s="1119">
        <v>7.38</v>
      </c>
      <c r="E5000" s="1120">
        <v>5.59</v>
      </c>
      <c r="F5000" s="1121">
        <f t="shared" si="1"/>
        <v>1.8</v>
      </c>
      <c r="G5000" s="1120">
        <v>1.8</v>
      </c>
      <c r="H5000" s="1127">
        <v>0.0</v>
      </c>
      <c r="I5000" s="1127">
        <v>0.0</v>
      </c>
      <c r="J5000" s="1127">
        <v>0.0</v>
      </c>
      <c r="K5000" s="1124"/>
    </row>
    <row r="5001" ht="15.75" customHeight="1">
      <c r="A5001" s="1119">
        <v>102595.0</v>
      </c>
      <c r="B5001" s="1125" t="s">
        <v>15279</v>
      </c>
      <c r="C5001" s="1126" t="s">
        <v>1788</v>
      </c>
      <c r="D5001" s="1119">
        <v>6.31</v>
      </c>
      <c r="E5001" s="1120">
        <v>4.78</v>
      </c>
      <c r="F5001" s="1121">
        <f t="shared" si="1"/>
        <v>1.53</v>
      </c>
      <c r="G5001" s="1120">
        <v>1.53</v>
      </c>
      <c r="H5001" s="1127">
        <v>0.0</v>
      </c>
      <c r="I5001" s="1127">
        <v>0.0</v>
      </c>
      <c r="J5001" s="1127">
        <v>0.0</v>
      </c>
      <c r="K5001" s="1124"/>
    </row>
    <row r="5002" ht="15.75" customHeight="1">
      <c r="A5002" s="1119">
        <v>102596.0</v>
      </c>
      <c r="B5002" s="1125" t="s">
        <v>15280</v>
      </c>
      <c r="C5002" s="1126" t="s">
        <v>1788</v>
      </c>
      <c r="D5002" s="1119">
        <v>8.11</v>
      </c>
      <c r="E5002" s="1120">
        <v>6.12</v>
      </c>
      <c r="F5002" s="1121">
        <f t="shared" si="1"/>
        <v>1.99</v>
      </c>
      <c r="G5002" s="1120">
        <v>1.99</v>
      </c>
      <c r="H5002" s="1127">
        <v>0.0</v>
      </c>
      <c r="I5002" s="1127">
        <v>0.0</v>
      </c>
      <c r="J5002" s="1127">
        <v>0.0</v>
      </c>
      <c r="K5002" s="1124"/>
    </row>
    <row r="5003" ht="15.75" customHeight="1">
      <c r="A5003" s="1119">
        <v>102597.0</v>
      </c>
      <c r="B5003" s="1125" t="s">
        <v>15281</v>
      </c>
      <c r="C5003" s="1126" t="s">
        <v>1788</v>
      </c>
      <c r="D5003" s="1119">
        <v>7.22</v>
      </c>
      <c r="E5003" s="1120">
        <v>5.47</v>
      </c>
      <c r="F5003" s="1121">
        <f t="shared" si="1"/>
        <v>1.75</v>
      </c>
      <c r="G5003" s="1120">
        <v>1.75</v>
      </c>
      <c r="H5003" s="1127">
        <v>0.0</v>
      </c>
      <c r="I5003" s="1127">
        <v>0.0</v>
      </c>
      <c r="J5003" s="1127">
        <v>0.0</v>
      </c>
      <c r="K5003" s="1124"/>
    </row>
    <row r="5004" ht="15.75" customHeight="1">
      <c r="A5004" s="1119">
        <v>102598.0</v>
      </c>
      <c r="B5004" s="1125" t="s">
        <v>15282</v>
      </c>
      <c r="C5004" s="1126" t="s">
        <v>1788</v>
      </c>
      <c r="D5004" s="1119">
        <v>9.02</v>
      </c>
      <c r="E5004" s="1120">
        <v>6.81</v>
      </c>
      <c r="F5004" s="1121">
        <f t="shared" si="1"/>
        <v>2.21</v>
      </c>
      <c r="G5004" s="1120">
        <v>2.21</v>
      </c>
      <c r="H5004" s="1127">
        <v>0.0</v>
      </c>
      <c r="I5004" s="1127">
        <v>0.0</v>
      </c>
      <c r="J5004" s="1127">
        <v>0.0</v>
      </c>
      <c r="K5004" s="1124"/>
    </row>
    <row r="5005" ht="15.75" customHeight="1">
      <c r="A5005" s="1119">
        <v>102599.0</v>
      </c>
      <c r="B5005" s="1125" t="s">
        <v>15283</v>
      </c>
      <c r="C5005" s="1126" t="s">
        <v>1788</v>
      </c>
      <c r="D5005" s="1119">
        <v>8.13</v>
      </c>
      <c r="E5005" s="1120">
        <v>6.14</v>
      </c>
      <c r="F5005" s="1121">
        <f t="shared" si="1"/>
        <v>1.99</v>
      </c>
      <c r="G5005" s="1120">
        <v>1.99</v>
      </c>
      <c r="H5005" s="1127">
        <v>0.0</v>
      </c>
      <c r="I5005" s="1127">
        <v>0.0</v>
      </c>
      <c r="J5005" s="1127">
        <v>0.0</v>
      </c>
      <c r="K5005" s="1124"/>
    </row>
    <row r="5006" ht="15.75" customHeight="1">
      <c r="A5006" s="1119">
        <v>102600.0</v>
      </c>
      <c r="B5006" s="1125" t="s">
        <v>15284</v>
      </c>
      <c r="C5006" s="1126" t="s">
        <v>1788</v>
      </c>
      <c r="D5006" s="1119">
        <v>9.94</v>
      </c>
      <c r="E5006" s="1120">
        <v>7.51</v>
      </c>
      <c r="F5006" s="1121">
        <f t="shared" si="1"/>
        <v>2.43</v>
      </c>
      <c r="G5006" s="1120">
        <v>2.43</v>
      </c>
      <c r="H5006" s="1127">
        <v>0.0</v>
      </c>
      <c r="I5006" s="1127">
        <v>0.0</v>
      </c>
      <c r="J5006" s="1127">
        <v>0.0</v>
      </c>
      <c r="K5006" s="1124"/>
    </row>
    <row r="5007" ht="15.75" customHeight="1">
      <c r="A5007" s="1119">
        <v>102601.0</v>
      </c>
      <c r="B5007" s="1125" t="s">
        <v>15285</v>
      </c>
      <c r="C5007" s="1126" t="s">
        <v>1788</v>
      </c>
      <c r="D5007" s="1119">
        <v>9.49</v>
      </c>
      <c r="E5007" s="1120">
        <v>7.16</v>
      </c>
      <c r="F5007" s="1121">
        <f t="shared" si="1"/>
        <v>2.33</v>
      </c>
      <c r="G5007" s="1120">
        <v>2.33</v>
      </c>
      <c r="H5007" s="1127">
        <v>0.0</v>
      </c>
      <c r="I5007" s="1127">
        <v>0.0</v>
      </c>
      <c r="J5007" s="1127">
        <v>0.0</v>
      </c>
      <c r="K5007" s="1124"/>
    </row>
    <row r="5008" ht="15.75" customHeight="1">
      <c r="A5008" s="1119">
        <v>102602.0</v>
      </c>
      <c r="B5008" s="1125" t="s">
        <v>15286</v>
      </c>
      <c r="C5008" s="1126" t="s">
        <v>1788</v>
      </c>
      <c r="D5008" s="1119">
        <v>11.31</v>
      </c>
      <c r="E5008" s="1120">
        <v>8.54</v>
      </c>
      <c r="F5008" s="1121">
        <f t="shared" si="1"/>
        <v>2.77</v>
      </c>
      <c r="G5008" s="1120">
        <v>2.77</v>
      </c>
      <c r="H5008" s="1127">
        <v>0.0</v>
      </c>
      <c r="I5008" s="1127">
        <v>0.0</v>
      </c>
      <c r="J5008" s="1127">
        <v>0.0</v>
      </c>
      <c r="K5008" s="1124"/>
    </row>
    <row r="5009" ht="15.75" customHeight="1">
      <c r="A5009" s="1119">
        <v>102603.0</v>
      </c>
      <c r="B5009" s="1125" t="s">
        <v>15287</v>
      </c>
      <c r="C5009" s="1126" t="s">
        <v>1788</v>
      </c>
      <c r="D5009" s="1119">
        <v>11.78</v>
      </c>
      <c r="E5009" s="1120">
        <v>8.89</v>
      </c>
      <c r="F5009" s="1121">
        <f t="shared" si="1"/>
        <v>2.89</v>
      </c>
      <c r="G5009" s="1120">
        <v>2.89</v>
      </c>
      <c r="H5009" s="1127">
        <v>0.0</v>
      </c>
      <c r="I5009" s="1127">
        <v>0.0</v>
      </c>
      <c r="J5009" s="1127">
        <v>0.0</v>
      </c>
      <c r="K5009" s="1124"/>
    </row>
    <row r="5010" ht="15.75" customHeight="1">
      <c r="A5010" s="1119">
        <v>102604.0</v>
      </c>
      <c r="B5010" s="1125" t="s">
        <v>15288</v>
      </c>
      <c r="C5010" s="1126" t="s">
        <v>1788</v>
      </c>
      <c r="D5010" s="1119">
        <v>13.58</v>
      </c>
      <c r="E5010" s="1120">
        <v>10.25</v>
      </c>
      <c r="F5010" s="1121">
        <f t="shared" si="1"/>
        <v>3.33</v>
      </c>
      <c r="G5010" s="1120">
        <v>3.33</v>
      </c>
      <c r="H5010" s="1127">
        <v>0.0</v>
      </c>
      <c r="I5010" s="1127">
        <v>0.0</v>
      </c>
      <c r="J5010" s="1127">
        <v>0.0</v>
      </c>
      <c r="K5010" s="1124"/>
    </row>
    <row r="5011" ht="15.75" customHeight="1">
      <c r="A5011" s="1119">
        <v>102605.0</v>
      </c>
      <c r="B5011" s="1125" t="s">
        <v>15289</v>
      </c>
      <c r="C5011" s="1126" t="s">
        <v>1788</v>
      </c>
      <c r="D5011" s="1119">
        <v>292.54</v>
      </c>
      <c r="E5011" s="1120">
        <v>4.55</v>
      </c>
      <c r="F5011" s="1121">
        <f t="shared" si="1"/>
        <v>287.98</v>
      </c>
      <c r="G5011" s="1120">
        <v>287.98</v>
      </c>
      <c r="H5011" s="1127">
        <v>0.0</v>
      </c>
      <c r="I5011" s="1127">
        <v>0.0</v>
      </c>
      <c r="J5011" s="1127">
        <v>0.0</v>
      </c>
      <c r="K5011" s="1124"/>
    </row>
    <row r="5012" ht="15.75" customHeight="1">
      <c r="A5012" s="1119">
        <v>102606.0</v>
      </c>
      <c r="B5012" s="1125" t="s">
        <v>15290</v>
      </c>
      <c r="C5012" s="1126" t="s">
        <v>1788</v>
      </c>
      <c r="D5012" s="1119">
        <v>450.6</v>
      </c>
      <c r="E5012" s="1120">
        <v>5.61</v>
      </c>
      <c r="F5012" s="1121">
        <f t="shared" si="1"/>
        <v>444.98</v>
      </c>
      <c r="G5012" s="1120">
        <v>444.98</v>
      </c>
      <c r="H5012" s="1127">
        <v>0.0</v>
      </c>
      <c r="I5012" s="1127">
        <v>0.0</v>
      </c>
      <c r="J5012" s="1127">
        <v>0.0</v>
      </c>
      <c r="K5012" s="1124"/>
    </row>
    <row r="5013" ht="15.75" customHeight="1">
      <c r="A5013" s="1119">
        <v>102607.0</v>
      </c>
      <c r="B5013" s="1125" t="s">
        <v>15291</v>
      </c>
      <c r="C5013" s="1126" t="s">
        <v>1788</v>
      </c>
      <c r="D5013" s="1119">
        <v>482.42</v>
      </c>
      <c r="E5013" s="1120">
        <v>6.54</v>
      </c>
      <c r="F5013" s="1121">
        <f t="shared" si="1"/>
        <v>475.88</v>
      </c>
      <c r="G5013" s="1120">
        <v>475.88</v>
      </c>
      <c r="H5013" s="1127">
        <v>0.0</v>
      </c>
      <c r="I5013" s="1127">
        <v>0.0</v>
      </c>
      <c r="J5013" s="1127">
        <v>0.0</v>
      </c>
      <c r="K5013" s="1124"/>
    </row>
    <row r="5014" ht="15.75" customHeight="1">
      <c r="A5014" s="1119">
        <v>102608.0</v>
      </c>
      <c r="B5014" s="1125" t="s">
        <v>15292</v>
      </c>
      <c r="C5014" s="1126" t="s">
        <v>1788</v>
      </c>
      <c r="D5014" s="1128">
        <v>1104.98</v>
      </c>
      <c r="E5014" s="1120">
        <v>8.7</v>
      </c>
      <c r="F5014" s="1121">
        <f t="shared" si="1"/>
        <v>1096.28</v>
      </c>
      <c r="G5014" s="1120">
        <v>1096.28</v>
      </c>
      <c r="H5014" s="1127">
        <v>0.0</v>
      </c>
      <c r="I5014" s="1127">
        <v>0.0</v>
      </c>
      <c r="J5014" s="1127">
        <v>0.0</v>
      </c>
      <c r="K5014" s="1124"/>
    </row>
    <row r="5015" ht="15.75" customHeight="1">
      <c r="A5015" s="1119">
        <v>102609.0</v>
      </c>
      <c r="B5015" s="1125" t="s">
        <v>15293</v>
      </c>
      <c r="C5015" s="1126" t="s">
        <v>1788</v>
      </c>
      <c r="D5015" s="1128">
        <v>1255.78</v>
      </c>
      <c r="E5015" s="1120">
        <v>11.65</v>
      </c>
      <c r="F5015" s="1121">
        <f t="shared" si="1"/>
        <v>1244.14</v>
      </c>
      <c r="G5015" s="1120">
        <v>1244.14</v>
      </c>
      <c r="H5015" s="1127">
        <v>0.0</v>
      </c>
      <c r="I5015" s="1127">
        <v>0.0</v>
      </c>
      <c r="J5015" s="1127">
        <v>0.0</v>
      </c>
      <c r="K5015" s="1124"/>
    </row>
    <row r="5016" ht="15.75" customHeight="1">
      <c r="A5016" s="1119">
        <v>102610.0</v>
      </c>
      <c r="B5016" s="1125" t="s">
        <v>15294</v>
      </c>
      <c r="C5016" s="1126" t="s">
        <v>1788</v>
      </c>
      <c r="D5016" s="1128">
        <v>2157.62</v>
      </c>
      <c r="E5016" s="1120">
        <v>14.61</v>
      </c>
      <c r="F5016" s="1121">
        <f t="shared" si="1"/>
        <v>2143.01</v>
      </c>
      <c r="G5016" s="1120">
        <v>2143.01</v>
      </c>
      <c r="H5016" s="1127">
        <v>0.0</v>
      </c>
      <c r="I5016" s="1127">
        <v>0.0</v>
      </c>
      <c r="J5016" s="1127">
        <v>0.0</v>
      </c>
      <c r="K5016" s="1124"/>
    </row>
    <row r="5017" ht="15.75" customHeight="1">
      <c r="A5017" s="1119">
        <v>102611.0</v>
      </c>
      <c r="B5017" s="1125" t="s">
        <v>15295</v>
      </c>
      <c r="C5017" s="1126" t="s">
        <v>1788</v>
      </c>
      <c r="D5017" s="1119">
        <v>485.71</v>
      </c>
      <c r="E5017" s="1120">
        <v>4.97</v>
      </c>
      <c r="F5017" s="1121">
        <f t="shared" si="1"/>
        <v>480.73</v>
      </c>
      <c r="G5017" s="1120">
        <v>480.73</v>
      </c>
      <c r="H5017" s="1127">
        <v>0.0</v>
      </c>
      <c r="I5017" s="1127">
        <v>0.0</v>
      </c>
      <c r="J5017" s="1127">
        <v>0.0</v>
      </c>
      <c r="K5017" s="1124"/>
    </row>
    <row r="5018" ht="15.75" customHeight="1">
      <c r="A5018" s="1119">
        <v>102612.0</v>
      </c>
      <c r="B5018" s="1125" t="s">
        <v>15296</v>
      </c>
      <c r="C5018" s="1126" t="s">
        <v>1788</v>
      </c>
      <c r="D5018" s="1119">
        <v>697.13</v>
      </c>
      <c r="E5018" s="1120">
        <v>5.53</v>
      </c>
      <c r="F5018" s="1121">
        <f t="shared" si="1"/>
        <v>691.6</v>
      </c>
      <c r="G5018" s="1120">
        <v>691.6</v>
      </c>
      <c r="H5018" s="1127">
        <v>0.0</v>
      </c>
      <c r="I5018" s="1127">
        <v>0.0</v>
      </c>
      <c r="J5018" s="1127">
        <v>0.0</v>
      </c>
      <c r="K5018" s="1124"/>
    </row>
    <row r="5019" ht="15.75" customHeight="1">
      <c r="A5019" s="1119">
        <v>102613.0</v>
      </c>
      <c r="B5019" s="1125" t="s">
        <v>15297</v>
      </c>
      <c r="C5019" s="1126" t="s">
        <v>1788</v>
      </c>
      <c r="D5019" s="1119">
        <v>675.93</v>
      </c>
      <c r="E5019" s="1120">
        <v>6.66</v>
      </c>
      <c r="F5019" s="1121">
        <f t="shared" si="1"/>
        <v>669.28</v>
      </c>
      <c r="G5019" s="1120">
        <v>669.28</v>
      </c>
      <c r="H5019" s="1127">
        <v>0.0</v>
      </c>
      <c r="I5019" s="1127">
        <v>0.0</v>
      </c>
      <c r="J5019" s="1127">
        <v>0.0</v>
      </c>
      <c r="K5019" s="1124"/>
    </row>
    <row r="5020" ht="15.75" customHeight="1">
      <c r="A5020" s="1119">
        <v>102614.0</v>
      </c>
      <c r="B5020" s="1125" t="s">
        <v>15298</v>
      </c>
      <c r="C5020" s="1126" t="s">
        <v>1788</v>
      </c>
      <c r="D5020" s="1128">
        <v>1039.11</v>
      </c>
      <c r="E5020" s="1120">
        <v>8.54</v>
      </c>
      <c r="F5020" s="1121">
        <f t="shared" si="1"/>
        <v>1030.56</v>
      </c>
      <c r="G5020" s="1120">
        <v>1030.56</v>
      </c>
      <c r="H5020" s="1127">
        <v>0.0</v>
      </c>
      <c r="I5020" s="1127">
        <v>0.0</v>
      </c>
      <c r="J5020" s="1127">
        <v>0.0</v>
      </c>
      <c r="K5020" s="1124"/>
    </row>
    <row r="5021" ht="15.75" customHeight="1">
      <c r="A5021" s="1119">
        <v>102615.0</v>
      </c>
      <c r="B5021" s="1125" t="s">
        <v>15299</v>
      </c>
      <c r="C5021" s="1126" t="s">
        <v>1788</v>
      </c>
      <c r="D5021" s="1128">
        <v>1304.09</v>
      </c>
      <c r="E5021" s="1120">
        <v>10.73</v>
      </c>
      <c r="F5021" s="1121">
        <f t="shared" si="1"/>
        <v>1293.38</v>
      </c>
      <c r="G5021" s="1120">
        <v>1293.38</v>
      </c>
      <c r="H5021" s="1127">
        <v>0.0</v>
      </c>
      <c r="I5021" s="1127">
        <v>0.0</v>
      </c>
      <c r="J5021" s="1127">
        <v>0.0</v>
      </c>
      <c r="K5021" s="1124"/>
    </row>
    <row r="5022" ht="15.75" customHeight="1">
      <c r="A5022" s="1119">
        <v>102616.0</v>
      </c>
      <c r="B5022" s="1125" t="s">
        <v>15300</v>
      </c>
      <c r="C5022" s="1126" t="s">
        <v>1788</v>
      </c>
      <c r="D5022" s="1128">
        <v>1930.24</v>
      </c>
      <c r="E5022" s="1120">
        <v>14.09</v>
      </c>
      <c r="F5022" s="1121">
        <f t="shared" si="1"/>
        <v>1916.16</v>
      </c>
      <c r="G5022" s="1120">
        <v>1916.16</v>
      </c>
      <c r="H5022" s="1127">
        <v>0.0</v>
      </c>
      <c r="I5022" s="1127">
        <v>0.0</v>
      </c>
      <c r="J5022" s="1127">
        <v>0.0</v>
      </c>
      <c r="K5022" s="1124"/>
    </row>
    <row r="5023" ht="15.75" customHeight="1">
      <c r="A5023" s="1119">
        <v>102617.0</v>
      </c>
      <c r="B5023" s="1125" t="s">
        <v>15301</v>
      </c>
      <c r="C5023" s="1126" t="s">
        <v>1788</v>
      </c>
      <c r="D5023" s="1128">
        <v>3579.99</v>
      </c>
      <c r="E5023" s="1120">
        <v>214.34</v>
      </c>
      <c r="F5023" s="1121">
        <f t="shared" si="1"/>
        <v>3365.68</v>
      </c>
      <c r="G5023" s="1120">
        <v>2986.62</v>
      </c>
      <c r="H5023" s="1127">
        <v>376.87</v>
      </c>
      <c r="I5023" s="1127">
        <v>0.0</v>
      </c>
      <c r="J5023" s="1127">
        <v>2.19</v>
      </c>
      <c r="K5023" s="1124"/>
    </row>
    <row r="5024" ht="15.75" customHeight="1">
      <c r="A5024" s="1119">
        <v>102618.0</v>
      </c>
      <c r="B5024" s="1125" t="s">
        <v>15302</v>
      </c>
      <c r="C5024" s="1126" t="s">
        <v>1788</v>
      </c>
      <c r="D5024" s="1128">
        <v>4303.34</v>
      </c>
      <c r="E5024" s="1120">
        <v>214.33</v>
      </c>
      <c r="F5024" s="1121">
        <f t="shared" si="1"/>
        <v>4089.04</v>
      </c>
      <c r="G5024" s="1120">
        <v>3709.99</v>
      </c>
      <c r="H5024" s="1127">
        <v>376.86</v>
      </c>
      <c r="I5024" s="1127">
        <v>0.0</v>
      </c>
      <c r="J5024" s="1127">
        <v>2.19</v>
      </c>
      <c r="K5024" s="1124"/>
    </row>
    <row r="5025" ht="15.75" customHeight="1">
      <c r="A5025" s="1119">
        <v>102619.0</v>
      </c>
      <c r="B5025" s="1125" t="s">
        <v>15303</v>
      </c>
      <c r="C5025" s="1126" t="s">
        <v>1788</v>
      </c>
      <c r="D5025" s="1128">
        <v>5770.88</v>
      </c>
      <c r="E5025" s="1120">
        <v>214.33</v>
      </c>
      <c r="F5025" s="1121">
        <f t="shared" si="1"/>
        <v>5556.58</v>
      </c>
      <c r="G5025" s="1120">
        <v>5177.53</v>
      </c>
      <c r="H5025" s="1127">
        <v>376.86</v>
      </c>
      <c r="I5025" s="1127">
        <v>0.0</v>
      </c>
      <c r="J5025" s="1127">
        <v>2.19</v>
      </c>
      <c r="K5025" s="1124"/>
    </row>
    <row r="5026" ht="15.75" customHeight="1">
      <c r="A5026" s="1119">
        <v>102620.0</v>
      </c>
      <c r="B5026" s="1125" t="s">
        <v>15304</v>
      </c>
      <c r="C5026" s="1126" t="s">
        <v>1788</v>
      </c>
      <c r="D5026" s="1128">
        <v>8376.09</v>
      </c>
      <c r="E5026" s="1120">
        <v>214.33</v>
      </c>
      <c r="F5026" s="1121">
        <f t="shared" si="1"/>
        <v>8161.79</v>
      </c>
      <c r="G5026" s="1120">
        <v>7782.75</v>
      </c>
      <c r="H5026" s="1127">
        <v>376.85</v>
      </c>
      <c r="I5026" s="1127">
        <v>0.0</v>
      </c>
      <c r="J5026" s="1127">
        <v>2.19</v>
      </c>
      <c r="K5026" s="1124"/>
    </row>
    <row r="5027" ht="15.75" customHeight="1">
      <c r="A5027" s="1119">
        <v>102621.0</v>
      </c>
      <c r="B5027" s="1125" t="s">
        <v>15305</v>
      </c>
      <c r="C5027" s="1126" t="s">
        <v>1788</v>
      </c>
      <c r="D5027" s="1128">
        <v>12865.55</v>
      </c>
      <c r="E5027" s="1120">
        <v>214.33</v>
      </c>
      <c r="F5027" s="1121">
        <f t="shared" si="1"/>
        <v>12651.25</v>
      </c>
      <c r="G5027" s="1120">
        <v>12272.21</v>
      </c>
      <c r="H5027" s="1127">
        <v>376.85</v>
      </c>
      <c r="I5027" s="1127">
        <v>0.0</v>
      </c>
      <c r="J5027" s="1127">
        <v>2.19</v>
      </c>
      <c r="K5027" s="1124"/>
    </row>
    <row r="5028" ht="15.75" customHeight="1">
      <c r="A5028" s="1119">
        <v>102622.0</v>
      </c>
      <c r="B5028" s="1125" t="s">
        <v>15306</v>
      </c>
      <c r="C5028" s="1126" t="s">
        <v>1788</v>
      </c>
      <c r="D5028" s="1119">
        <v>662.04</v>
      </c>
      <c r="E5028" s="1120">
        <v>104.33</v>
      </c>
      <c r="F5028" s="1121">
        <f t="shared" si="1"/>
        <v>557.65</v>
      </c>
      <c r="G5028" s="1120">
        <v>557.65</v>
      </c>
      <c r="H5028" s="1127">
        <v>0.0</v>
      </c>
      <c r="I5028" s="1127">
        <v>0.0</v>
      </c>
      <c r="J5028" s="1127">
        <v>0.0</v>
      </c>
      <c r="K5028" s="1124"/>
    </row>
    <row r="5029" ht="15.75" customHeight="1">
      <c r="A5029" s="1119">
        <v>102623.0</v>
      </c>
      <c r="B5029" s="1125" t="s">
        <v>15307</v>
      </c>
      <c r="C5029" s="1126" t="s">
        <v>1788</v>
      </c>
      <c r="D5029" s="1119">
        <v>914.5</v>
      </c>
      <c r="E5029" s="1120">
        <v>118.67</v>
      </c>
      <c r="F5029" s="1121">
        <f t="shared" si="1"/>
        <v>795.79</v>
      </c>
      <c r="G5029" s="1120">
        <v>795.79</v>
      </c>
      <c r="H5029" s="1127">
        <v>0.0</v>
      </c>
      <c r="I5029" s="1127">
        <v>0.0</v>
      </c>
      <c r="J5029" s="1127">
        <v>0.0</v>
      </c>
      <c r="K5029" s="1124"/>
    </row>
    <row r="5030" ht="15.75" customHeight="1">
      <c r="A5030" s="1119">
        <v>89482.0</v>
      </c>
      <c r="B5030" s="1125" t="s">
        <v>15308</v>
      </c>
      <c r="C5030" s="1126" t="s">
        <v>1788</v>
      </c>
      <c r="D5030" s="1119">
        <v>41.4</v>
      </c>
      <c r="E5030" s="1120">
        <v>9.44</v>
      </c>
      <c r="F5030" s="1121">
        <f t="shared" si="1"/>
        <v>31.96</v>
      </c>
      <c r="G5030" s="1120">
        <v>31.96</v>
      </c>
      <c r="H5030" s="1127">
        <v>0.0</v>
      </c>
      <c r="I5030" s="1127">
        <v>0.0</v>
      </c>
      <c r="J5030" s="1127">
        <v>0.0</v>
      </c>
      <c r="K5030" s="1124"/>
    </row>
    <row r="5031" ht="15.75" customHeight="1">
      <c r="A5031" s="1119">
        <v>89491.0</v>
      </c>
      <c r="B5031" s="1125" t="s">
        <v>15309</v>
      </c>
      <c r="C5031" s="1126" t="s">
        <v>1788</v>
      </c>
      <c r="D5031" s="1119">
        <v>102.46</v>
      </c>
      <c r="E5031" s="1120">
        <v>14.62</v>
      </c>
      <c r="F5031" s="1121">
        <f t="shared" si="1"/>
        <v>87.84</v>
      </c>
      <c r="G5031" s="1120">
        <v>87.84</v>
      </c>
      <c r="H5031" s="1127">
        <v>0.0</v>
      </c>
      <c r="I5031" s="1127">
        <v>0.0</v>
      </c>
      <c r="J5031" s="1127">
        <v>0.0</v>
      </c>
      <c r="K5031" s="1124"/>
    </row>
    <row r="5032" ht="15.75" customHeight="1">
      <c r="A5032" s="1119">
        <v>89495.0</v>
      </c>
      <c r="B5032" s="1125" t="s">
        <v>15310</v>
      </c>
      <c r="C5032" s="1126" t="s">
        <v>1788</v>
      </c>
      <c r="D5032" s="1119">
        <v>19.11</v>
      </c>
      <c r="E5032" s="1120">
        <v>4.86</v>
      </c>
      <c r="F5032" s="1121">
        <f t="shared" si="1"/>
        <v>14.26</v>
      </c>
      <c r="G5032" s="1120">
        <v>14.26</v>
      </c>
      <c r="H5032" s="1127">
        <v>0.0</v>
      </c>
      <c r="I5032" s="1127">
        <v>0.0</v>
      </c>
      <c r="J5032" s="1127">
        <v>0.0</v>
      </c>
      <c r="K5032" s="1124"/>
    </row>
    <row r="5033" ht="15.75" customHeight="1">
      <c r="A5033" s="1119">
        <v>89707.0</v>
      </c>
      <c r="B5033" s="1125" t="s">
        <v>15311</v>
      </c>
      <c r="C5033" s="1126" t="s">
        <v>1788</v>
      </c>
      <c r="D5033" s="1119">
        <v>51.9</v>
      </c>
      <c r="E5033" s="1120">
        <v>17.3</v>
      </c>
      <c r="F5033" s="1121">
        <f t="shared" si="1"/>
        <v>34.59</v>
      </c>
      <c r="G5033" s="1120">
        <v>34.59</v>
      </c>
      <c r="H5033" s="1127">
        <v>0.0</v>
      </c>
      <c r="I5033" s="1127">
        <v>0.0</v>
      </c>
      <c r="J5033" s="1127">
        <v>0.0</v>
      </c>
      <c r="K5033" s="1124"/>
    </row>
    <row r="5034" ht="15.75" customHeight="1">
      <c r="A5034" s="1119">
        <v>89708.0</v>
      </c>
      <c r="B5034" s="1125" t="s">
        <v>15312</v>
      </c>
      <c r="C5034" s="1126" t="s">
        <v>1788</v>
      </c>
      <c r="D5034" s="1119">
        <v>107.35</v>
      </c>
      <c r="E5034" s="1120">
        <v>20.72</v>
      </c>
      <c r="F5034" s="1121">
        <f t="shared" si="1"/>
        <v>86.63</v>
      </c>
      <c r="G5034" s="1120">
        <v>86.63</v>
      </c>
      <c r="H5034" s="1127">
        <v>0.0</v>
      </c>
      <c r="I5034" s="1127">
        <v>0.0</v>
      </c>
      <c r="J5034" s="1127">
        <v>0.0</v>
      </c>
      <c r="K5034" s="1124"/>
    </row>
    <row r="5035" ht="15.75" customHeight="1">
      <c r="A5035" s="1119">
        <v>89709.0</v>
      </c>
      <c r="B5035" s="1125" t="s">
        <v>15313</v>
      </c>
      <c r="C5035" s="1126" t="s">
        <v>1788</v>
      </c>
      <c r="D5035" s="1119">
        <v>22.24</v>
      </c>
      <c r="E5035" s="1120">
        <v>7.17</v>
      </c>
      <c r="F5035" s="1121">
        <f t="shared" si="1"/>
        <v>15.07</v>
      </c>
      <c r="G5035" s="1120">
        <v>15.07</v>
      </c>
      <c r="H5035" s="1127">
        <v>0.0</v>
      </c>
      <c r="I5035" s="1127">
        <v>0.0</v>
      </c>
      <c r="J5035" s="1127">
        <v>0.0</v>
      </c>
      <c r="K5035" s="1124"/>
    </row>
    <row r="5036" ht="15.75" customHeight="1">
      <c r="A5036" s="1119">
        <v>89710.0</v>
      </c>
      <c r="B5036" s="1125" t="s">
        <v>15314</v>
      </c>
      <c r="C5036" s="1126" t="s">
        <v>1788</v>
      </c>
      <c r="D5036" s="1119">
        <v>19.73</v>
      </c>
      <c r="E5036" s="1120">
        <v>7.17</v>
      </c>
      <c r="F5036" s="1121">
        <f t="shared" si="1"/>
        <v>12.56</v>
      </c>
      <c r="G5036" s="1120">
        <v>12.56</v>
      </c>
      <c r="H5036" s="1127">
        <v>0.0</v>
      </c>
      <c r="I5036" s="1127">
        <v>0.0</v>
      </c>
      <c r="J5036" s="1127">
        <v>0.0</v>
      </c>
      <c r="K5036" s="1124"/>
    </row>
    <row r="5037" ht="15.75" customHeight="1">
      <c r="A5037" s="1119">
        <v>104326.0</v>
      </c>
      <c r="B5037" s="1125" t="s">
        <v>15315</v>
      </c>
      <c r="C5037" s="1126" t="s">
        <v>1788</v>
      </c>
      <c r="D5037" s="1119">
        <v>21.28</v>
      </c>
      <c r="E5037" s="1120">
        <v>7.17</v>
      </c>
      <c r="F5037" s="1121">
        <f t="shared" si="1"/>
        <v>14.11</v>
      </c>
      <c r="G5037" s="1120">
        <v>14.11</v>
      </c>
      <c r="H5037" s="1127">
        <v>0.0</v>
      </c>
      <c r="I5037" s="1127">
        <v>0.0</v>
      </c>
      <c r="J5037" s="1127">
        <v>0.0</v>
      </c>
      <c r="K5037" s="1124"/>
    </row>
    <row r="5038" ht="15.75" customHeight="1">
      <c r="A5038" s="1119">
        <v>104327.0</v>
      </c>
      <c r="B5038" s="1125" t="s">
        <v>15316</v>
      </c>
      <c r="C5038" s="1126" t="s">
        <v>1788</v>
      </c>
      <c r="D5038" s="1119">
        <v>20.36</v>
      </c>
      <c r="E5038" s="1120">
        <v>7.17</v>
      </c>
      <c r="F5038" s="1121">
        <f t="shared" si="1"/>
        <v>13.19</v>
      </c>
      <c r="G5038" s="1120">
        <v>13.19</v>
      </c>
      <c r="H5038" s="1127">
        <v>0.0</v>
      </c>
      <c r="I5038" s="1127">
        <v>0.0</v>
      </c>
      <c r="J5038" s="1127">
        <v>0.0</v>
      </c>
      <c r="K5038" s="1124"/>
    </row>
    <row r="5039" ht="15.75" customHeight="1">
      <c r="A5039" s="1119">
        <v>104328.0</v>
      </c>
      <c r="B5039" s="1125" t="s">
        <v>15317</v>
      </c>
      <c r="C5039" s="1126" t="s">
        <v>1788</v>
      </c>
      <c r="D5039" s="1119">
        <v>73.63</v>
      </c>
      <c r="E5039" s="1120">
        <v>18.36</v>
      </c>
      <c r="F5039" s="1121">
        <f t="shared" si="1"/>
        <v>55.27</v>
      </c>
      <c r="G5039" s="1120">
        <v>55.27</v>
      </c>
      <c r="H5039" s="1127">
        <v>0.0</v>
      </c>
      <c r="I5039" s="1127">
        <v>0.0</v>
      </c>
      <c r="J5039" s="1127">
        <v>0.0</v>
      </c>
      <c r="K5039" s="1124"/>
    </row>
    <row r="5040" ht="15.75" customHeight="1">
      <c r="A5040" s="1119">
        <v>104329.0</v>
      </c>
      <c r="B5040" s="1125" t="s">
        <v>15318</v>
      </c>
      <c r="C5040" s="1126" t="s">
        <v>1788</v>
      </c>
      <c r="D5040" s="1119">
        <v>82.6</v>
      </c>
      <c r="E5040" s="1120">
        <v>18.36</v>
      </c>
      <c r="F5040" s="1121">
        <f t="shared" si="1"/>
        <v>64.24</v>
      </c>
      <c r="G5040" s="1120">
        <v>64.24</v>
      </c>
      <c r="H5040" s="1127">
        <v>0.0</v>
      </c>
      <c r="I5040" s="1127">
        <v>0.0</v>
      </c>
      <c r="J5040" s="1127">
        <v>0.0</v>
      </c>
      <c r="K5040" s="1124"/>
    </row>
    <row r="5041" ht="15.75" customHeight="1">
      <c r="A5041" s="1119">
        <v>86872.0</v>
      </c>
      <c r="B5041" s="1125" t="s">
        <v>15319</v>
      </c>
      <c r="C5041" s="1126" t="s">
        <v>1788</v>
      </c>
      <c r="D5041" s="1119">
        <v>772.06</v>
      </c>
      <c r="E5041" s="1120">
        <v>55.88</v>
      </c>
      <c r="F5041" s="1121">
        <f t="shared" si="1"/>
        <v>716.18</v>
      </c>
      <c r="G5041" s="1120">
        <v>716.18</v>
      </c>
      <c r="H5041" s="1127">
        <v>0.0</v>
      </c>
      <c r="I5041" s="1127">
        <v>0.0</v>
      </c>
      <c r="J5041" s="1127">
        <v>0.0</v>
      </c>
      <c r="K5041" s="1124"/>
    </row>
    <row r="5042" ht="15.75" customHeight="1">
      <c r="A5042" s="1119">
        <v>86874.0</v>
      </c>
      <c r="B5042" s="1125" t="s">
        <v>15320</v>
      </c>
      <c r="C5042" s="1126" t="s">
        <v>1788</v>
      </c>
      <c r="D5042" s="1119">
        <v>538.65</v>
      </c>
      <c r="E5042" s="1120">
        <v>26.22</v>
      </c>
      <c r="F5042" s="1121">
        <f t="shared" si="1"/>
        <v>512.42</v>
      </c>
      <c r="G5042" s="1120">
        <v>512.42</v>
      </c>
      <c r="H5042" s="1127">
        <v>0.0</v>
      </c>
      <c r="I5042" s="1127">
        <v>0.0</v>
      </c>
      <c r="J5042" s="1127">
        <v>0.0</v>
      </c>
      <c r="K5042" s="1124"/>
    </row>
    <row r="5043" ht="15.75" customHeight="1">
      <c r="A5043" s="1119">
        <v>86875.0</v>
      </c>
      <c r="B5043" s="1125" t="s">
        <v>15321</v>
      </c>
      <c r="C5043" s="1126" t="s">
        <v>1788</v>
      </c>
      <c r="D5043" s="1119">
        <v>538.36</v>
      </c>
      <c r="E5043" s="1120">
        <v>31.73</v>
      </c>
      <c r="F5043" s="1121">
        <f t="shared" si="1"/>
        <v>506.64</v>
      </c>
      <c r="G5043" s="1120">
        <v>506.64</v>
      </c>
      <c r="H5043" s="1127">
        <v>0.0</v>
      </c>
      <c r="I5043" s="1127">
        <v>0.0</v>
      </c>
      <c r="J5043" s="1127">
        <v>0.0</v>
      </c>
      <c r="K5043" s="1124"/>
    </row>
    <row r="5044" ht="15.75" customHeight="1">
      <c r="A5044" s="1119">
        <v>86876.0</v>
      </c>
      <c r="B5044" s="1125" t="s">
        <v>15322</v>
      </c>
      <c r="C5044" s="1126" t="s">
        <v>1788</v>
      </c>
      <c r="D5044" s="1119">
        <v>309.74</v>
      </c>
      <c r="E5044" s="1120">
        <v>22.98</v>
      </c>
      <c r="F5044" s="1121">
        <f t="shared" si="1"/>
        <v>286.76</v>
      </c>
      <c r="G5044" s="1120">
        <v>286.76</v>
      </c>
      <c r="H5044" s="1127">
        <v>0.0</v>
      </c>
      <c r="I5044" s="1127">
        <v>0.0</v>
      </c>
      <c r="J5044" s="1127">
        <v>0.0</v>
      </c>
      <c r="K5044" s="1124"/>
    </row>
    <row r="5045" ht="15.75" customHeight="1">
      <c r="A5045" s="1119">
        <v>86877.0</v>
      </c>
      <c r="B5045" s="1125" t="s">
        <v>15323</v>
      </c>
      <c r="C5045" s="1126" t="s">
        <v>1788</v>
      </c>
      <c r="D5045" s="1119">
        <v>92.83</v>
      </c>
      <c r="E5045" s="1120">
        <v>5.22</v>
      </c>
      <c r="F5045" s="1121">
        <f t="shared" si="1"/>
        <v>87.62</v>
      </c>
      <c r="G5045" s="1120">
        <v>87.62</v>
      </c>
      <c r="H5045" s="1127">
        <v>0.0</v>
      </c>
      <c r="I5045" s="1127">
        <v>0.0</v>
      </c>
      <c r="J5045" s="1127">
        <v>0.0</v>
      </c>
      <c r="K5045" s="1124"/>
    </row>
    <row r="5046" ht="15.75" customHeight="1">
      <c r="A5046" s="1119">
        <v>86878.0</v>
      </c>
      <c r="B5046" s="1125" t="s">
        <v>15324</v>
      </c>
      <c r="C5046" s="1126" t="s">
        <v>1788</v>
      </c>
      <c r="D5046" s="1119">
        <v>100.17</v>
      </c>
      <c r="E5046" s="1120">
        <v>5.22</v>
      </c>
      <c r="F5046" s="1121">
        <f t="shared" si="1"/>
        <v>94.96</v>
      </c>
      <c r="G5046" s="1120">
        <v>94.96</v>
      </c>
      <c r="H5046" s="1127">
        <v>0.0</v>
      </c>
      <c r="I5046" s="1127">
        <v>0.0</v>
      </c>
      <c r="J5046" s="1127">
        <v>0.0</v>
      </c>
      <c r="K5046" s="1124"/>
    </row>
    <row r="5047" ht="15.75" customHeight="1">
      <c r="A5047" s="1119">
        <v>86879.0</v>
      </c>
      <c r="B5047" s="1125" t="s">
        <v>15325</v>
      </c>
      <c r="C5047" s="1126" t="s">
        <v>1788</v>
      </c>
      <c r="D5047" s="1119">
        <v>10.6</v>
      </c>
      <c r="E5047" s="1120">
        <v>3.71</v>
      </c>
      <c r="F5047" s="1121">
        <f t="shared" si="1"/>
        <v>6.89</v>
      </c>
      <c r="G5047" s="1120">
        <v>6.89</v>
      </c>
      <c r="H5047" s="1127">
        <v>0.0</v>
      </c>
      <c r="I5047" s="1127">
        <v>0.0</v>
      </c>
      <c r="J5047" s="1127">
        <v>0.0</v>
      </c>
      <c r="K5047" s="1124"/>
    </row>
    <row r="5048" ht="15.75" customHeight="1">
      <c r="A5048" s="1119">
        <v>86880.0</v>
      </c>
      <c r="B5048" s="1125" t="s">
        <v>15326</v>
      </c>
      <c r="C5048" s="1126" t="s">
        <v>1788</v>
      </c>
      <c r="D5048" s="1119">
        <v>27.92</v>
      </c>
      <c r="E5048" s="1120">
        <v>3.69</v>
      </c>
      <c r="F5048" s="1121">
        <f t="shared" si="1"/>
        <v>24.23</v>
      </c>
      <c r="G5048" s="1120">
        <v>24.23</v>
      </c>
      <c r="H5048" s="1127">
        <v>0.0</v>
      </c>
      <c r="I5048" s="1127">
        <v>0.0</v>
      </c>
      <c r="J5048" s="1127">
        <v>0.0</v>
      </c>
      <c r="K5048" s="1124"/>
    </row>
    <row r="5049" ht="15.75" customHeight="1">
      <c r="A5049" s="1119">
        <v>86881.0</v>
      </c>
      <c r="B5049" s="1125" t="s">
        <v>15327</v>
      </c>
      <c r="C5049" s="1126" t="s">
        <v>1788</v>
      </c>
      <c r="D5049" s="1119">
        <v>283.49</v>
      </c>
      <c r="E5049" s="1120">
        <v>8.21</v>
      </c>
      <c r="F5049" s="1121">
        <f t="shared" si="1"/>
        <v>275.28</v>
      </c>
      <c r="G5049" s="1120">
        <v>275.28</v>
      </c>
      <c r="H5049" s="1127">
        <v>0.0</v>
      </c>
      <c r="I5049" s="1127">
        <v>0.0</v>
      </c>
      <c r="J5049" s="1127">
        <v>0.0</v>
      </c>
      <c r="K5049" s="1124"/>
    </row>
    <row r="5050" ht="15.75" customHeight="1">
      <c r="A5050" s="1119">
        <v>86882.0</v>
      </c>
      <c r="B5050" s="1125" t="s">
        <v>15328</v>
      </c>
      <c r="C5050" s="1126" t="s">
        <v>1788</v>
      </c>
      <c r="D5050" s="1119">
        <v>23.8</v>
      </c>
      <c r="E5050" s="1120">
        <v>4.07</v>
      </c>
      <c r="F5050" s="1121">
        <f t="shared" si="1"/>
        <v>19.73</v>
      </c>
      <c r="G5050" s="1120">
        <v>19.73</v>
      </c>
      <c r="H5050" s="1127">
        <v>0.0</v>
      </c>
      <c r="I5050" s="1127">
        <v>0.0</v>
      </c>
      <c r="J5050" s="1127">
        <v>0.0</v>
      </c>
      <c r="K5050" s="1124"/>
    </row>
    <row r="5051" ht="15.75" customHeight="1">
      <c r="A5051" s="1119">
        <v>86883.0</v>
      </c>
      <c r="B5051" s="1125" t="s">
        <v>15329</v>
      </c>
      <c r="C5051" s="1126" t="s">
        <v>1788</v>
      </c>
      <c r="D5051" s="1119">
        <v>12.97</v>
      </c>
      <c r="E5051" s="1120">
        <v>2.52</v>
      </c>
      <c r="F5051" s="1121">
        <f t="shared" si="1"/>
        <v>10.45</v>
      </c>
      <c r="G5051" s="1120">
        <v>10.45</v>
      </c>
      <c r="H5051" s="1127">
        <v>0.0</v>
      </c>
      <c r="I5051" s="1127">
        <v>0.0</v>
      </c>
      <c r="J5051" s="1127">
        <v>0.0</v>
      </c>
      <c r="K5051" s="1124"/>
    </row>
    <row r="5052" ht="15.75" customHeight="1">
      <c r="A5052" s="1119">
        <v>86884.0</v>
      </c>
      <c r="B5052" s="1125" t="s">
        <v>15330</v>
      </c>
      <c r="C5052" s="1126" t="s">
        <v>1788</v>
      </c>
      <c r="D5052" s="1119">
        <v>11.87</v>
      </c>
      <c r="E5052" s="1120">
        <v>4.58</v>
      </c>
      <c r="F5052" s="1121">
        <f t="shared" si="1"/>
        <v>7.3</v>
      </c>
      <c r="G5052" s="1120">
        <v>7.3</v>
      </c>
      <c r="H5052" s="1127">
        <v>0.0</v>
      </c>
      <c r="I5052" s="1127">
        <v>0.0</v>
      </c>
      <c r="J5052" s="1127">
        <v>0.0</v>
      </c>
      <c r="K5052" s="1124"/>
    </row>
    <row r="5053" ht="15.75" customHeight="1">
      <c r="A5053" s="1119">
        <v>86885.0</v>
      </c>
      <c r="B5053" s="1125" t="s">
        <v>15331</v>
      </c>
      <c r="C5053" s="1126" t="s">
        <v>1788</v>
      </c>
      <c r="D5053" s="1119">
        <v>13.37</v>
      </c>
      <c r="E5053" s="1120">
        <v>4.58</v>
      </c>
      <c r="F5053" s="1121">
        <f t="shared" si="1"/>
        <v>8.8</v>
      </c>
      <c r="G5053" s="1120">
        <v>8.8</v>
      </c>
      <c r="H5053" s="1127">
        <v>0.0</v>
      </c>
      <c r="I5053" s="1127">
        <v>0.0</v>
      </c>
      <c r="J5053" s="1127">
        <v>0.0</v>
      </c>
      <c r="K5053" s="1124"/>
    </row>
    <row r="5054" ht="15.75" customHeight="1">
      <c r="A5054" s="1119">
        <v>86886.0</v>
      </c>
      <c r="B5054" s="1125" t="s">
        <v>15332</v>
      </c>
      <c r="C5054" s="1126" t="s">
        <v>1788</v>
      </c>
      <c r="D5054" s="1119">
        <v>68.62</v>
      </c>
      <c r="E5054" s="1120">
        <v>4.57</v>
      </c>
      <c r="F5054" s="1121">
        <f t="shared" si="1"/>
        <v>64.07</v>
      </c>
      <c r="G5054" s="1120">
        <v>64.07</v>
      </c>
      <c r="H5054" s="1127">
        <v>0.0</v>
      </c>
      <c r="I5054" s="1127">
        <v>0.0</v>
      </c>
      <c r="J5054" s="1127">
        <v>0.0</v>
      </c>
      <c r="K5054" s="1124"/>
    </row>
    <row r="5055" ht="15.75" customHeight="1">
      <c r="A5055" s="1119">
        <v>86887.0</v>
      </c>
      <c r="B5055" s="1125" t="s">
        <v>15333</v>
      </c>
      <c r="C5055" s="1126" t="s">
        <v>1788</v>
      </c>
      <c r="D5055" s="1119">
        <v>74.53</v>
      </c>
      <c r="E5055" s="1120">
        <v>4.57</v>
      </c>
      <c r="F5055" s="1121">
        <f t="shared" si="1"/>
        <v>69.98</v>
      </c>
      <c r="G5055" s="1120">
        <v>69.98</v>
      </c>
      <c r="H5055" s="1127">
        <v>0.0</v>
      </c>
      <c r="I5055" s="1127">
        <v>0.0</v>
      </c>
      <c r="J5055" s="1127">
        <v>0.0</v>
      </c>
      <c r="K5055" s="1124"/>
    </row>
    <row r="5056" ht="15.75" customHeight="1">
      <c r="A5056" s="1119">
        <v>86888.0</v>
      </c>
      <c r="B5056" s="1125" t="s">
        <v>15334</v>
      </c>
      <c r="C5056" s="1126" t="s">
        <v>1788</v>
      </c>
      <c r="D5056" s="1119">
        <v>520.91</v>
      </c>
      <c r="E5056" s="1120">
        <v>26.79</v>
      </c>
      <c r="F5056" s="1121">
        <f t="shared" si="1"/>
        <v>494.12</v>
      </c>
      <c r="G5056" s="1120">
        <v>494.12</v>
      </c>
      <c r="H5056" s="1127">
        <v>0.0</v>
      </c>
      <c r="I5056" s="1127">
        <v>0.0</v>
      </c>
      <c r="J5056" s="1127">
        <v>0.0</v>
      </c>
      <c r="K5056" s="1124"/>
    </row>
    <row r="5057" ht="15.75" customHeight="1">
      <c r="A5057" s="1119">
        <v>86889.0</v>
      </c>
      <c r="B5057" s="1125" t="s">
        <v>15335</v>
      </c>
      <c r="C5057" s="1126" t="s">
        <v>1788</v>
      </c>
      <c r="D5057" s="1119">
        <v>763.45</v>
      </c>
      <c r="E5057" s="1120">
        <v>58.71</v>
      </c>
      <c r="F5057" s="1121">
        <f t="shared" si="1"/>
        <v>704.74</v>
      </c>
      <c r="G5057" s="1120">
        <v>704.74</v>
      </c>
      <c r="H5057" s="1127">
        <v>0.0</v>
      </c>
      <c r="I5057" s="1127">
        <v>0.0</v>
      </c>
      <c r="J5057" s="1127">
        <v>0.0</v>
      </c>
      <c r="K5057" s="1124"/>
    </row>
    <row r="5058" ht="15.75" customHeight="1">
      <c r="A5058" s="1119">
        <v>86893.0</v>
      </c>
      <c r="B5058" s="1125" t="s">
        <v>15336</v>
      </c>
      <c r="C5058" s="1126" t="s">
        <v>1788</v>
      </c>
      <c r="D5058" s="1119">
        <v>749.48</v>
      </c>
      <c r="E5058" s="1120">
        <v>58.71</v>
      </c>
      <c r="F5058" s="1121">
        <f t="shared" si="1"/>
        <v>690.77</v>
      </c>
      <c r="G5058" s="1120">
        <v>690.77</v>
      </c>
      <c r="H5058" s="1127">
        <v>0.0</v>
      </c>
      <c r="I5058" s="1127">
        <v>0.0</v>
      </c>
      <c r="J5058" s="1127">
        <v>0.0</v>
      </c>
      <c r="K5058" s="1124"/>
    </row>
    <row r="5059" ht="15.75" customHeight="1">
      <c r="A5059" s="1119">
        <v>86894.0</v>
      </c>
      <c r="B5059" s="1125" t="s">
        <v>15337</v>
      </c>
      <c r="C5059" s="1126" t="s">
        <v>1788</v>
      </c>
      <c r="D5059" s="1119">
        <v>314.01</v>
      </c>
      <c r="E5059" s="1120">
        <v>31.37</v>
      </c>
      <c r="F5059" s="1121">
        <f t="shared" si="1"/>
        <v>282.65</v>
      </c>
      <c r="G5059" s="1120">
        <v>282.65</v>
      </c>
      <c r="H5059" s="1127">
        <v>0.0</v>
      </c>
      <c r="I5059" s="1127">
        <v>0.0</v>
      </c>
      <c r="J5059" s="1127">
        <v>0.0</v>
      </c>
      <c r="K5059" s="1124"/>
    </row>
    <row r="5060" ht="15.75" customHeight="1">
      <c r="A5060" s="1119">
        <v>86895.0</v>
      </c>
      <c r="B5060" s="1125" t="s">
        <v>15338</v>
      </c>
      <c r="C5060" s="1126" t="s">
        <v>1788</v>
      </c>
      <c r="D5060" s="1119">
        <v>384.89</v>
      </c>
      <c r="E5060" s="1120">
        <v>70.56</v>
      </c>
      <c r="F5060" s="1121">
        <f t="shared" si="1"/>
        <v>314.32</v>
      </c>
      <c r="G5060" s="1120">
        <v>314.32</v>
      </c>
      <c r="H5060" s="1127">
        <v>0.0</v>
      </c>
      <c r="I5060" s="1127">
        <v>0.0</v>
      </c>
      <c r="J5060" s="1127">
        <v>0.0</v>
      </c>
      <c r="K5060" s="1124"/>
    </row>
    <row r="5061" ht="15.75" customHeight="1">
      <c r="A5061" s="1119">
        <v>86899.0</v>
      </c>
      <c r="B5061" s="1125" t="s">
        <v>15339</v>
      </c>
      <c r="C5061" s="1126" t="s">
        <v>1788</v>
      </c>
      <c r="D5061" s="1119">
        <v>379.65</v>
      </c>
      <c r="E5061" s="1120">
        <v>70.56</v>
      </c>
      <c r="F5061" s="1121">
        <f t="shared" si="1"/>
        <v>309.08</v>
      </c>
      <c r="G5061" s="1120">
        <v>309.08</v>
      </c>
      <c r="H5061" s="1127">
        <v>0.0</v>
      </c>
      <c r="I5061" s="1127">
        <v>0.0</v>
      </c>
      <c r="J5061" s="1127">
        <v>0.0</v>
      </c>
      <c r="K5061" s="1124"/>
    </row>
    <row r="5062" ht="15.75" customHeight="1">
      <c r="A5062" s="1119">
        <v>86900.0</v>
      </c>
      <c r="B5062" s="1125" t="s">
        <v>15340</v>
      </c>
      <c r="C5062" s="1126" t="s">
        <v>1788</v>
      </c>
      <c r="D5062" s="1119">
        <v>249.28</v>
      </c>
      <c r="E5062" s="1120">
        <v>15.9</v>
      </c>
      <c r="F5062" s="1121">
        <f t="shared" si="1"/>
        <v>233.39</v>
      </c>
      <c r="G5062" s="1120">
        <v>233.39</v>
      </c>
      <c r="H5062" s="1127">
        <v>0.0</v>
      </c>
      <c r="I5062" s="1127">
        <v>0.0</v>
      </c>
      <c r="J5062" s="1127">
        <v>0.0</v>
      </c>
      <c r="K5062" s="1124"/>
    </row>
    <row r="5063" ht="15.75" customHeight="1">
      <c r="A5063" s="1119">
        <v>86901.0</v>
      </c>
      <c r="B5063" s="1125" t="s">
        <v>15341</v>
      </c>
      <c r="C5063" s="1126" t="s">
        <v>1788</v>
      </c>
      <c r="D5063" s="1119">
        <v>161.41</v>
      </c>
      <c r="E5063" s="1120">
        <v>28.18</v>
      </c>
      <c r="F5063" s="1121">
        <f t="shared" si="1"/>
        <v>133.23</v>
      </c>
      <c r="G5063" s="1120">
        <v>133.23</v>
      </c>
      <c r="H5063" s="1127">
        <v>0.0</v>
      </c>
      <c r="I5063" s="1127">
        <v>0.0</v>
      </c>
      <c r="J5063" s="1127">
        <v>0.0</v>
      </c>
      <c r="K5063" s="1124"/>
    </row>
    <row r="5064" ht="15.75" customHeight="1">
      <c r="A5064" s="1119">
        <v>86902.0</v>
      </c>
      <c r="B5064" s="1125" t="s">
        <v>15342</v>
      </c>
      <c r="C5064" s="1126" t="s">
        <v>1788</v>
      </c>
      <c r="D5064" s="1119">
        <v>334.34</v>
      </c>
      <c r="E5064" s="1120">
        <v>29.34</v>
      </c>
      <c r="F5064" s="1121">
        <f t="shared" si="1"/>
        <v>304.99</v>
      </c>
      <c r="G5064" s="1120">
        <v>304.99</v>
      </c>
      <c r="H5064" s="1127">
        <v>0.0</v>
      </c>
      <c r="I5064" s="1127">
        <v>0.0</v>
      </c>
      <c r="J5064" s="1127">
        <v>0.0</v>
      </c>
      <c r="K5064" s="1124"/>
    </row>
    <row r="5065" ht="15.75" customHeight="1">
      <c r="A5065" s="1119">
        <v>86903.0</v>
      </c>
      <c r="B5065" s="1125" t="s">
        <v>15343</v>
      </c>
      <c r="C5065" s="1126" t="s">
        <v>1788</v>
      </c>
      <c r="D5065" s="1119">
        <v>380.4</v>
      </c>
      <c r="E5065" s="1120">
        <v>47.43</v>
      </c>
      <c r="F5065" s="1121">
        <f t="shared" si="1"/>
        <v>332.99</v>
      </c>
      <c r="G5065" s="1120">
        <v>332.99</v>
      </c>
      <c r="H5065" s="1127">
        <v>0.0</v>
      </c>
      <c r="I5065" s="1127">
        <v>0.0</v>
      </c>
      <c r="J5065" s="1127">
        <v>0.0</v>
      </c>
      <c r="K5065" s="1124"/>
    </row>
    <row r="5066" ht="15.75" customHeight="1">
      <c r="A5066" s="1119">
        <v>86904.0</v>
      </c>
      <c r="B5066" s="1125" t="s">
        <v>15344</v>
      </c>
      <c r="C5066" s="1126" t="s">
        <v>1788</v>
      </c>
      <c r="D5066" s="1119">
        <v>157.53</v>
      </c>
      <c r="E5066" s="1120">
        <v>12.78</v>
      </c>
      <c r="F5066" s="1121">
        <f t="shared" si="1"/>
        <v>144.74</v>
      </c>
      <c r="G5066" s="1120">
        <v>144.74</v>
      </c>
      <c r="H5066" s="1127">
        <v>0.0</v>
      </c>
      <c r="I5066" s="1127">
        <v>0.0</v>
      </c>
      <c r="J5066" s="1127">
        <v>0.0</v>
      </c>
      <c r="K5066" s="1124"/>
    </row>
    <row r="5067" ht="15.75" customHeight="1">
      <c r="A5067" s="1119">
        <v>86905.0</v>
      </c>
      <c r="B5067" s="1125" t="s">
        <v>15345</v>
      </c>
      <c r="C5067" s="1126" t="s">
        <v>1788</v>
      </c>
      <c r="D5067" s="1119">
        <v>344.2</v>
      </c>
      <c r="E5067" s="1120">
        <v>13.91</v>
      </c>
      <c r="F5067" s="1121">
        <f t="shared" si="1"/>
        <v>330.28</v>
      </c>
      <c r="G5067" s="1120">
        <v>330.28</v>
      </c>
      <c r="H5067" s="1127">
        <v>0.0</v>
      </c>
      <c r="I5067" s="1127">
        <v>0.0</v>
      </c>
      <c r="J5067" s="1127">
        <v>0.0</v>
      </c>
      <c r="K5067" s="1124"/>
    </row>
    <row r="5068" ht="15.75" customHeight="1">
      <c r="A5068" s="1119">
        <v>86906.0</v>
      </c>
      <c r="B5068" s="1125" t="s">
        <v>15346</v>
      </c>
      <c r="C5068" s="1126" t="s">
        <v>1788</v>
      </c>
      <c r="D5068" s="1119">
        <v>63.83</v>
      </c>
      <c r="E5068" s="1120">
        <v>2.87</v>
      </c>
      <c r="F5068" s="1121">
        <f t="shared" si="1"/>
        <v>60.96</v>
      </c>
      <c r="G5068" s="1120">
        <v>60.96</v>
      </c>
      <c r="H5068" s="1127">
        <v>0.0</v>
      </c>
      <c r="I5068" s="1127">
        <v>0.0</v>
      </c>
      <c r="J5068" s="1127">
        <v>0.0</v>
      </c>
      <c r="K5068" s="1124"/>
    </row>
    <row r="5069" ht="15.75" customHeight="1">
      <c r="A5069" s="1119">
        <v>86908.0</v>
      </c>
      <c r="B5069" s="1125" t="s">
        <v>15347</v>
      </c>
      <c r="C5069" s="1126" t="s">
        <v>1788</v>
      </c>
      <c r="D5069" s="1119">
        <v>408.04</v>
      </c>
      <c r="E5069" s="1120">
        <v>6.8</v>
      </c>
      <c r="F5069" s="1121">
        <f t="shared" si="1"/>
        <v>401.25</v>
      </c>
      <c r="G5069" s="1120">
        <v>401.25</v>
      </c>
      <c r="H5069" s="1127">
        <v>0.0</v>
      </c>
      <c r="I5069" s="1127">
        <v>0.0</v>
      </c>
      <c r="J5069" s="1127">
        <v>0.0</v>
      </c>
      <c r="K5069" s="1124"/>
    </row>
    <row r="5070" ht="15.75" customHeight="1">
      <c r="A5070" s="1119">
        <v>86909.0</v>
      </c>
      <c r="B5070" s="1125" t="s">
        <v>15348</v>
      </c>
      <c r="C5070" s="1126" t="s">
        <v>1788</v>
      </c>
      <c r="D5070" s="1119">
        <v>110.8</v>
      </c>
      <c r="E5070" s="1120">
        <v>4.99</v>
      </c>
      <c r="F5070" s="1121">
        <f t="shared" si="1"/>
        <v>105.81</v>
      </c>
      <c r="G5070" s="1120">
        <v>105.81</v>
      </c>
      <c r="H5070" s="1127">
        <v>0.0</v>
      </c>
      <c r="I5070" s="1127">
        <v>0.0</v>
      </c>
      <c r="J5070" s="1127">
        <v>0.0</v>
      </c>
      <c r="K5070" s="1124"/>
    </row>
    <row r="5071" ht="15.75" customHeight="1">
      <c r="A5071" s="1119">
        <v>86910.0</v>
      </c>
      <c r="B5071" s="1125" t="s">
        <v>15349</v>
      </c>
      <c r="C5071" s="1126" t="s">
        <v>1788</v>
      </c>
      <c r="D5071" s="1119">
        <v>108.5</v>
      </c>
      <c r="E5071" s="1120">
        <v>3.49</v>
      </c>
      <c r="F5071" s="1121">
        <f t="shared" si="1"/>
        <v>105.01</v>
      </c>
      <c r="G5071" s="1120">
        <v>105.01</v>
      </c>
      <c r="H5071" s="1127">
        <v>0.0</v>
      </c>
      <c r="I5071" s="1127">
        <v>0.0</v>
      </c>
      <c r="J5071" s="1127">
        <v>0.0</v>
      </c>
      <c r="K5071" s="1124"/>
    </row>
    <row r="5072" ht="15.75" customHeight="1">
      <c r="A5072" s="1119">
        <v>86911.0</v>
      </c>
      <c r="B5072" s="1125" t="s">
        <v>15350</v>
      </c>
      <c r="C5072" s="1126" t="s">
        <v>1788</v>
      </c>
      <c r="D5072" s="1119">
        <v>74.74</v>
      </c>
      <c r="E5072" s="1120">
        <v>3.49</v>
      </c>
      <c r="F5072" s="1121">
        <f t="shared" si="1"/>
        <v>71.25</v>
      </c>
      <c r="G5072" s="1120">
        <v>71.25</v>
      </c>
      <c r="H5072" s="1127">
        <v>0.0</v>
      </c>
      <c r="I5072" s="1127">
        <v>0.0</v>
      </c>
      <c r="J5072" s="1127">
        <v>0.0</v>
      </c>
      <c r="K5072" s="1124"/>
    </row>
    <row r="5073" ht="15.75" customHeight="1">
      <c r="A5073" s="1119">
        <v>86913.0</v>
      </c>
      <c r="B5073" s="1125" t="s">
        <v>15351</v>
      </c>
      <c r="C5073" s="1126" t="s">
        <v>1788</v>
      </c>
      <c r="D5073" s="1119">
        <v>47.81</v>
      </c>
      <c r="E5073" s="1120">
        <v>4.57</v>
      </c>
      <c r="F5073" s="1121">
        <f t="shared" si="1"/>
        <v>43.26</v>
      </c>
      <c r="G5073" s="1120">
        <v>43.26</v>
      </c>
      <c r="H5073" s="1127">
        <v>0.0</v>
      </c>
      <c r="I5073" s="1127">
        <v>0.0</v>
      </c>
      <c r="J5073" s="1127">
        <v>0.0</v>
      </c>
      <c r="K5073" s="1124"/>
    </row>
    <row r="5074" ht="15.75" customHeight="1">
      <c r="A5074" s="1119">
        <v>86914.0</v>
      </c>
      <c r="B5074" s="1125" t="s">
        <v>15352</v>
      </c>
      <c r="C5074" s="1126" t="s">
        <v>1788</v>
      </c>
      <c r="D5074" s="1119">
        <v>84.18</v>
      </c>
      <c r="E5074" s="1120">
        <v>4.57</v>
      </c>
      <c r="F5074" s="1121">
        <f t="shared" si="1"/>
        <v>79.63</v>
      </c>
      <c r="G5074" s="1120">
        <v>79.63</v>
      </c>
      <c r="H5074" s="1127">
        <v>0.0</v>
      </c>
      <c r="I5074" s="1127">
        <v>0.0</v>
      </c>
      <c r="J5074" s="1127">
        <v>0.0</v>
      </c>
      <c r="K5074" s="1124"/>
    </row>
    <row r="5075" ht="15.75" customHeight="1">
      <c r="A5075" s="1119">
        <v>86915.0</v>
      </c>
      <c r="B5075" s="1125" t="s">
        <v>15353</v>
      </c>
      <c r="C5075" s="1126" t="s">
        <v>1788</v>
      </c>
      <c r="D5075" s="1119">
        <v>121.04</v>
      </c>
      <c r="E5075" s="1120">
        <v>2.87</v>
      </c>
      <c r="F5075" s="1121">
        <f t="shared" si="1"/>
        <v>118.17</v>
      </c>
      <c r="G5075" s="1120">
        <v>118.17</v>
      </c>
      <c r="H5075" s="1127">
        <v>0.0</v>
      </c>
      <c r="I5075" s="1127">
        <v>0.0</v>
      </c>
      <c r="J5075" s="1127">
        <v>0.0</v>
      </c>
      <c r="K5075" s="1124"/>
    </row>
    <row r="5076" ht="15.75" customHeight="1">
      <c r="A5076" s="1119">
        <v>86916.0</v>
      </c>
      <c r="B5076" s="1125" t="s">
        <v>15354</v>
      </c>
      <c r="C5076" s="1126" t="s">
        <v>1788</v>
      </c>
      <c r="D5076" s="1119">
        <v>24.35</v>
      </c>
      <c r="E5076" s="1120">
        <v>4.57</v>
      </c>
      <c r="F5076" s="1121">
        <f t="shared" si="1"/>
        <v>19.79</v>
      </c>
      <c r="G5076" s="1120">
        <v>19.79</v>
      </c>
      <c r="H5076" s="1127">
        <v>0.0</v>
      </c>
      <c r="I5076" s="1127">
        <v>0.0</v>
      </c>
      <c r="J5076" s="1127">
        <v>0.0</v>
      </c>
      <c r="K5076" s="1124"/>
    </row>
    <row r="5077" ht="15.75" customHeight="1">
      <c r="A5077" s="1119">
        <v>86919.0</v>
      </c>
      <c r="B5077" s="1125" t="s">
        <v>15355</v>
      </c>
      <c r="C5077" s="1126" t="s">
        <v>1788</v>
      </c>
      <c r="D5077" s="1119">
        <v>962.04</v>
      </c>
      <c r="E5077" s="1120">
        <v>68.2</v>
      </c>
      <c r="F5077" s="1121">
        <f t="shared" si="1"/>
        <v>893.87</v>
      </c>
      <c r="G5077" s="1120">
        <v>893.87</v>
      </c>
      <c r="H5077" s="1127">
        <v>0.0</v>
      </c>
      <c r="I5077" s="1127">
        <v>0.0</v>
      </c>
      <c r="J5077" s="1127">
        <v>0.0</v>
      </c>
      <c r="K5077" s="1124"/>
    </row>
    <row r="5078" ht="15.75" customHeight="1">
      <c r="A5078" s="1119">
        <v>86920.0</v>
      </c>
      <c r="B5078" s="1125" t="s">
        <v>15356</v>
      </c>
      <c r="C5078" s="1126" t="s">
        <v>1788</v>
      </c>
      <c r="D5078" s="1119">
        <v>843.44</v>
      </c>
      <c r="E5078" s="1120">
        <v>66.67</v>
      </c>
      <c r="F5078" s="1121">
        <f t="shared" si="1"/>
        <v>776.79</v>
      </c>
      <c r="G5078" s="1120">
        <v>776.79</v>
      </c>
      <c r="H5078" s="1127">
        <v>0.0</v>
      </c>
      <c r="I5078" s="1127">
        <v>0.0</v>
      </c>
      <c r="J5078" s="1127">
        <v>0.0</v>
      </c>
      <c r="K5078" s="1124"/>
    </row>
    <row r="5079" ht="15.75" customHeight="1">
      <c r="A5079" s="1119">
        <v>86921.0</v>
      </c>
      <c r="B5079" s="1125" t="s">
        <v>15357</v>
      </c>
      <c r="C5079" s="1126" t="s">
        <v>1788</v>
      </c>
      <c r="D5079" s="1119">
        <v>819.98</v>
      </c>
      <c r="E5079" s="1120">
        <v>66.68</v>
      </c>
      <c r="F5079" s="1121">
        <f t="shared" si="1"/>
        <v>753.33</v>
      </c>
      <c r="G5079" s="1120">
        <v>753.33</v>
      </c>
      <c r="H5079" s="1127">
        <v>0.0</v>
      </c>
      <c r="I5079" s="1127">
        <v>0.0</v>
      </c>
      <c r="J5079" s="1127">
        <v>0.0</v>
      </c>
      <c r="K5079" s="1124"/>
    </row>
    <row r="5080" ht="15.75" customHeight="1">
      <c r="A5080" s="1119">
        <v>86922.0</v>
      </c>
      <c r="B5080" s="1125" t="s">
        <v>15358</v>
      </c>
      <c r="C5080" s="1126" t="s">
        <v>1788</v>
      </c>
      <c r="D5080" s="1119">
        <v>999.15</v>
      </c>
      <c r="E5080" s="1120">
        <v>44.23</v>
      </c>
      <c r="F5080" s="1121">
        <f t="shared" si="1"/>
        <v>954.94</v>
      </c>
      <c r="G5080" s="1120">
        <v>954.94</v>
      </c>
      <c r="H5080" s="1127">
        <v>0.0</v>
      </c>
      <c r="I5080" s="1127">
        <v>0.0</v>
      </c>
      <c r="J5080" s="1127">
        <v>0.0</v>
      </c>
      <c r="K5080" s="1124"/>
    </row>
    <row r="5081" ht="15.75" customHeight="1">
      <c r="A5081" s="1119">
        <v>86923.0</v>
      </c>
      <c r="B5081" s="1125" t="s">
        <v>15359</v>
      </c>
      <c r="C5081" s="1126" t="s">
        <v>1788</v>
      </c>
      <c r="D5081" s="1119">
        <v>620.86</v>
      </c>
      <c r="E5081" s="1120">
        <v>38.55</v>
      </c>
      <c r="F5081" s="1121">
        <f t="shared" si="1"/>
        <v>582.32</v>
      </c>
      <c r="G5081" s="1120">
        <v>582.32</v>
      </c>
      <c r="H5081" s="1127">
        <v>0.0</v>
      </c>
      <c r="I5081" s="1127">
        <v>0.0</v>
      </c>
      <c r="J5081" s="1127">
        <v>0.0</v>
      </c>
      <c r="K5081" s="1124"/>
    </row>
    <row r="5082" ht="15.75" customHeight="1">
      <c r="A5082" s="1119">
        <v>86924.0</v>
      </c>
      <c r="B5082" s="1125" t="s">
        <v>15360</v>
      </c>
      <c r="C5082" s="1126" t="s">
        <v>1788</v>
      </c>
      <c r="D5082" s="1119">
        <v>597.4</v>
      </c>
      <c r="E5082" s="1120">
        <v>38.55</v>
      </c>
      <c r="F5082" s="1121">
        <f t="shared" si="1"/>
        <v>558.86</v>
      </c>
      <c r="G5082" s="1120">
        <v>558.86</v>
      </c>
      <c r="H5082" s="1127">
        <v>0.0</v>
      </c>
      <c r="I5082" s="1127">
        <v>0.0</v>
      </c>
      <c r="J5082" s="1127">
        <v>0.0</v>
      </c>
      <c r="K5082" s="1124"/>
    </row>
    <row r="5083" ht="15.75" customHeight="1">
      <c r="A5083" s="1119">
        <v>86925.0</v>
      </c>
      <c r="B5083" s="1125" t="s">
        <v>15361</v>
      </c>
      <c r="C5083" s="1126" t="s">
        <v>1788</v>
      </c>
      <c r="D5083" s="1119">
        <v>609.74</v>
      </c>
      <c r="E5083" s="1120">
        <v>42.52</v>
      </c>
      <c r="F5083" s="1121">
        <f t="shared" si="1"/>
        <v>567.25</v>
      </c>
      <c r="G5083" s="1120">
        <v>567.25</v>
      </c>
      <c r="H5083" s="1127">
        <v>0.0</v>
      </c>
      <c r="I5083" s="1127">
        <v>0.0</v>
      </c>
      <c r="J5083" s="1127">
        <v>0.0</v>
      </c>
      <c r="K5083" s="1124"/>
    </row>
    <row r="5084" ht="15.75" customHeight="1">
      <c r="A5084" s="1119">
        <v>86926.0</v>
      </c>
      <c r="B5084" s="1125" t="s">
        <v>15362</v>
      </c>
      <c r="C5084" s="1126" t="s">
        <v>1788</v>
      </c>
      <c r="D5084" s="1119">
        <v>586.28</v>
      </c>
      <c r="E5084" s="1120">
        <v>42.52</v>
      </c>
      <c r="F5084" s="1121">
        <f t="shared" si="1"/>
        <v>543.79</v>
      </c>
      <c r="G5084" s="1120">
        <v>543.79</v>
      </c>
      <c r="H5084" s="1127">
        <v>0.0</v>
      </c>
      <c r="I5084" s="1127">
        <v>0.0</v>
      </c>
      <c r="J5084" s="1127">
        <v>0.0</v>
      </c>
      <c r="K5084" s="1124"/>
    </row>
    <row r="5085" ht="15.75" customHeight="1">
      <c r="A5085" s="1119">
        <v>86927.0</v>
      </c>
      <c r="B5085" s="1125" t="s">
        <v>15363</v>
      </c>
      <c r="C5085" s="1126" t="s">
        <v>1788</v>
      </c>
      <c r="D5085" s="1119">
        <v>391.95</v>
      </c>
      <c r="E5085" s="1120">
        <v>35.32</v>
      </c>
      <c r="F5085" s="1121">
        <f t="shared" si="1"/>
        <v>356.65</v>
      </c>
      <c r="G5085" s="1120">
        <v>356.65</v>
      </c>
      <c r="H5085" s="1127">
        <v>0.0</v>
      </c>
      <c r="I5085" s="1127">
        <v>0.0</v>
      </c>
      <c r="J5085" s="1127">
        <v>0.0</v>
      </c>
      <c r="K5085" s="1124"/>
    </row>
    <row r="5086" ht="15.75" customHeight="1">
      <c r="A5086" s="1119">
        <v>86928.0</v>
      </c>
      <c r="B5086" s="1125" t="s">
        <v>15364</v>
      </c>
      <c r="C5086" s="1126" t="s">
        <v>1788</v>
      </c>
      <c r="D5086" s="1119">
        <v>368.49</v>
      </c>
      <c r="E5086" s="1120">
        <v>35.32</v>
      </c>
      <c r="F5086" s="1121">
        <f t="shared" si="1"/>
        <v>333.19</v>
      </c>
      <c r="G5086" s="1120">
        <v>333.19</v>
      </c>
      <c r="H5086" s="1127">
        <v>0.0</v>
      </c>
      <c r="I5086" s="1127">
        <v>0.0</v>
      </c>
      <c r="J5086" s="1127">
        <v>0.0</v>
      </c>
      <c r="K5086" s="1124"/>
    </row>
    <row r="5087" ht="15.75" customHeight="1">
      <c r="A5087" s="1119">
        <v>86929.0</v>
      </c>
      <c r="B5087" s="1125" t="s">
        <v>15365</v>
      </c>
      <c r="C5087" s="1126" t="s">
        <v>1788</v>
      </c>
      <c r="D5087" s="1119">
        <v>381.12</v>
      </c>
      <c r="E5087" s="1120">
        <v>33.78</v>
      </c>
      <c r="F5087" s="1121">
        <f t="shared" si="1"/>
        <v>347.36</v>
      </c>
      <c r="G5087" s="1120">
        <v>347.36</v>
      </c>
      <c r="H5087" s="1127">
        <v>0.0</v>
      </c>
      <c r="I5087" s="1127">
        <v>0.0</v>
      </c>
      <c r="J5087" s="1127">
        <v>0.0</v>
      </c>
      <c r="K5087" s="1124"/>
    </row>
    <row r="5088" ht="15.75" customHeight="1">
      <c r="A5088" s="1119">
        <v>86930.0</v>
      </c>
      <c r="B5088" s="1125" t="s">
        <v>15366</v>
      </c>
      <c r="C5088" s="1126" t="s">
        <v>1788</v>
      </c>
      <c r="D5088" s="1119">
        <v>357.66</v>
      </c>
      <c r="E5088" s="1120">
        <v>33.78</v>
      </c>
      <c r="F5088" s="1121">
        <f t="shared" si="1"/>
        <v>323.9</v>
      </c>
      <c r="G5088" s="1120">
        <v>323.9</v>
      </c>
      <c r="H5088" s="1127">
        <v>0.0</v>
      </c>
      <c r="I5088" s="1127">
        <v>0.0</v>
      </c>
      <c r="J5088" s="1127">
        <v>0.0</v>
      </c>
      <c r="K5088" s="1124"/>
    </row>
    <row r="5089" ht="15.75" customHeight="1">
      <c r="A5089" s="1119">
        <v>86931.0</v>
      </c>
      <c r="B5089" s="1125" t="s">
        <v>15367</v>
      </c>
      <c r="C5089" s="1126" t="s">
        <v>1788</v>
      </c>
      <c r="D5089" s="1119">
        <v>534.28</v>
      </c>
      <c r="E5089" s="1120">
        <v>31.36</v>
      </c>
      <c r="F5089" s="1121">
        <f t="shared" si="1"/>
        <v>502.94</v>
      </c>
      <c r="G5089" s="1120">
        <v>502.94</v>
      </c>
      <c r="H5089" s="1127">
        <v>0.0</v>
      </c>
      <c r="I5089" s="1127">
        <v>0.0</v>
      </c>
      <c r="J5089" s="1127">
        <v>0.0</v>
      </c>
      <c r="K5089" s="1124"/>
    </row>
    <row r="5090" ht="15.75" customHeight="1">
      <c r="A5090" s="1119">
        <v>86932.0</v>
      </c>
      <c r="B5090" s="1125" t="s">
        <v>15368</v>
      </c>
      <c r="C5090" s="1126" t="s">
        <v>1788</v>
      </c>
      <c r="D5090" s="1119">
        <v>595.44</v>
      </c>
      <c r="E5090" s="1120">
        <v>31.36</v>
      </c>
      <c r="F5090" s="1121">
        <f t="shared" si="1"/>
        <v>564.1</v>
      </c>
      <c r="G5090" s="1120">
        <v>564.1</v>
      </c>
      <c r="H5090" s="1127">
        <v>0.0</v>
      </c>
      <c r="I5090" s="1127">
        <v>0.0</v>
      </c>
      <c r="J5090" s="1127">
        <v>0.0</v>
      </c>
      <c r="K5090" s="1124"/>
    </row>
    <row r="5091" ht="15.75" customHeight="1">
      <c r="A5091" s="1119">
        <v>86933.0</v>
      </c>
      <c r="B5091" s="1125" t="s">
        <v>15369</v>
      </c>
      <c r="C5091" s="1126" t="s">
        <v>1788</v>
      </c>
      <c r="D5091" s="1119">
        <v>440.47</v>
      </c>
      <c r="E5091" s="1120">
        <v>42.63</v>
      </c>
      <c r="F5091" s="1121">
        <f t="shared" si="1"/>
        <v>397.85</v>
      </c>
      <c r="G5091" s="1120">
        <v>397.85</v>
      </c>
      <c r="H5091" s="1127">
        <v>0.0</v>
      </c>
      <c r="I5091" s="1127">
        <v>0.0</v>
      </c>
      <c r="J5091" s="1127">
        <v>0.0</v>
      </c>
      <c r="K5091" s="1124"/>
    </row>
    <row r="5092" ht="15.75" customHeight="1">
      <c r="A5092" s="1119">
        <v>86934.0</v>
      </c>
      <c r="B5092" s="1125" t="s">
        <v>15370</v>
      </c>
      <c r="C5092" s="1126" t="s">
        <v>1788</v>
      </c>
      <c r="D5092" s="1119">
        <v>429.64</v>
      </c>
      <c r="E5092" s="1120">
        <v>41.09</v>
      </c>
      <c r="F5092" s="1121">
        <f t="shared" si="1"/>
        <v>388.56</v>
      </c>
      <c r="G5092" s="1120">
        <v>388.56</v>
      </c>
      <c r="H5092" s="1127">
        <v>0.0</v>
      </c>
      <c r="I5092" s="1127">
        <v>0.0</v>
      </c>
      <c r="J5092" s="1127">
        <v>0.0</v>
      </c>
      <c r="K5092" s="1124"/>
    </row>
    <row r="5093" ht="15.75" customHeight="1">
      <c r="A5093" s="1119">
        <v>86935.0</v>
      </c>
      <c r="B5093" s="1125" t="s">
        <v>15371</v>
      </c>
      <c r="C5093" s="1126" t="s">
        <v>1788</v>
      </c>
      <c r="D5093" s="1119">
        <v>362.42</v>
      </c>
      <c r="E5093" s="1120">
        <v>23.65</v>
      </c>
      <c r="F5093" s="1121">
        <f t="shared" si="1"/>
        <v>338.79</v>
      </c>
      <c r="G5093" s="1120">
        <v>338.79</v>
      </c>
      <c r="H5093" s="1127">
        <v>0.0</v>
      </c>
      <c r="I5093" s="1127">
        <v>0.0</v>
      </c>
      <c r="J5093" s="1127">
        <v>0.0</v>
      </c>
      <c r="K5093" s="1124"/>
    </row>
    <row r="5094" ht="15.75" customHeight="1">
      <c r="A5094" s="1119">
        <v>86936.0</v>
      </c>
      <c r="B5094" s="1125" t="s">
        <v>15372</v>
      </c>
      <c r="C5094" s="1126" t="s">
        <v>1788</v>
      </c>
      <c r="D5094" s="1119">
        <v>632.94</v>
      </c>
      <c r="E5094" s="1120">
        <v>29.33</v>
      </c>
      <c r="F5094" s="1121">
        <f t="shared" si="1"/>
        <v>603.63</v>
      </c>
      <c r="G5094" s="1120">
        <v>603.63</v>
      </c>
      <c r="H5094" s="1127">
        <v>0.0</v>
      </c>
      <c r="I5094" s="1127">
        <v>0.0</v>
      </c>
      <c r="J5094" s="1127">
        <v>0.0</v>
      </c>
      <c r="K5094" s="1124"/>
    </row>
    <row r="5095" ht="15.75" customHeight="1">
      <c r="A5095" s="1119">
        <v>86937.0</v>
      </c>
      <c r="B5095" s="1125" t="s">
        <v>15373</v>
      </c>
      <c r="C5095" s="1126" t="s">
        <v>1788</v>
      </c>
      <c r="D5095" s="1119">
        <v>267.21</v>
      </c>
      <c r="E5095" s="1120">
        <v>35.93</v>
      </c>
      <c r="F5095" s="1121">
        <f t="shared" si="1"/>
        <v>231.29</v>
      </c>
      <c r="G5095" s="1120">
        <v>231.29</v>
      </c>
      <c r="H5095" s="1127">
        <v>0.0</v>
      </c>
      <c r="I5095" s="1127">
        <v>0.0</v>
      </c>
      <c r="J5095" s="1127">
        <v>0.0</v>
      </c>
      <c r="K5095" s="1124"/>
    </row>
    <row r="5096" ht="15.75" customHeight="1">
      <c r="A5096" s="1119">
        <v>86938.0</v>
      </c>
      <c r="B5096" s="1125" t="s">
        <v>15374</v>
      </c>
      <c r="C5096" s="1126" t="s">
        <v>1788</v>
      </c>
      <c r="D5096" s="1119">
        <v>537.73</v>
      </c>
      <c r="E5096" s="1120">
        <v>41.61</v>
      </c>
      <c r="F5096" s="1121">
        <f t="shared" si="1"/>
        <v>496.13</v>
      </c>
      <c r="G5096" s="1120">
        <v>496.13</v>
      </c>
      <c r="H5096" s="1127">
        <v>0.0</v>
      </c>
      <c r="I5096" s="1127">
        <v>0.0</v>
      </c>
      <c r="J5096" s="1127">
        <v>0.0</v>
      </c>
      <c r="K5096" s="1124"/>
    </row>
    <row r="5097" ht="15.75" customHeight="1">
      <c r="A5097" s="1119">
        <v>86939.0</v>
      </c>
      <c r="B5097" s="1125" t="s">
        <v>15375</v>
      </c>
      <c r="C5097" s="1126" t="s">
        <v>1788</v>
      </c>
      <c r="D5097" s="1119">
        <v>433.61</v>
      </c>
      <c r="E5097" s="1120">
        <v>43.01</v>
      </c>
      <c r="F5097" s="1121">
        <f t="shared" si="1"/>
        <v>390.61</v>
      </c>
      <c r="G5097" s="1120">
        <v>390.61</v>
      </c>
      <c r="H5097" s="1127">
        <v>0.0</v>
      </c>
      <c r="I5097" s="1127">
        <v>0.0</v>
      </c>
      <c r="J5097" s="1127">
        <v>0.0</v>
      </c>
      <c r="K5097" s="1124"/>
    </row>
    <row r="5098" ht="15.75" customHeight="1">
      <c r="A5098" s="1119">
        <v>86940.0</v>
      </c>
      <c r="B5098" s="1125" t="s">
        <v>15376</v>
      </c>
      <c r="C5098" s="1126" t="s">
        <v>1788</v>
      </c>
      <c r="D5098" s="1128">
        <v>1249.98</v>
      </c>
      <c r="E5098" s="1120">
        <v>83.93</v>
      </c>
      <c r="F5098" s="1121">
        <f t="shared" si="1"/>
        <v>1166.11</v>
      </c>
      <c r="G5098" s="1120">
        <v>1166.11</v>
      </c>
      <c r="H5098" s="1127">
        <v>0.0</v>
      </c>
      <c r="I5098" s="1127">
        <v>0.0</v>
      </c>
      <c r="J5098" s="1127">
        <v>0.0</v>
      </c>
      <c r="K5098" s="1124"/>
    </row>
    <row r="5099" ht="15.75" customHeight="1">
      <c r="A5099" s="1119">
        <v>86941.0</v>
      </c>
      <c r="B5099" s="1125" t="s">
        <v>15377</v>
      </c>
      <c r="C5099" s="1126" t="s">
        <v>1788</v>
      </c>
      <c r="D5099" s="1119">
        <v>952.29</v>
      </c>
      <c r="E5099" s="1120">
        <v>68.32</v>
      </c>
      <c r="F5099" s="1121">
        <f t="shared" si="1"/>
        <v>884.02</v>
      </c>
      <c r="G5099" s="1120">
        <v>884.02</v>
      </c>
      <c r="H5099" s="1127">
        <v>0.0</v>
      </c>
      <c r="I5099" s="1127">
        <v>0.0</v>
      </c>
      <c r="J5099" s="1127">
        <v>0.0</v>
      </c>
      <c r="K5099" s="1124"/>
    </row>
    <row r="5100" ht="15.75" customHeight="1">
      <c r="A5100" s="1119">
        <v>86942.0</v>
      </c>
      <c r="B5100" s="1125" t="s">
        <v>15378</v>
      </c>
      <c r="C5100" s="1126" t="s">
        <v>1788</v>
      </c>
      <c r="D5100" s="1119">
        <v>267.63</v>
      </c>
      <c r="E5100" s="1120">
        <v>28.0</v>
      </c>
      <c r="F5100" s="1121">
        <f t="shared" si="1"/>
        <v>239.64</v>
      </c>
      <c r="G5100" s="1120">
        <v>239.64</v>
      </c>
      <c r="H5100" s="1127">
        <v>0.0</v>
      </c>
      <c r="I5100" s="1127">
        <v>0.0</v>
      </c>
      <c r="J5100" s="1127">
        <v>0.0</v>
      </c>
      <c r="K5100" s="1124"/>
    </row>
    <row r="5101" ht="15.75" customHeight="1">
      <c r="A5101" s="1119">
        <v>86943.0</v>
      </c>
      <c r="B5101" s="1125" t="s">
        <v>15379</v>
      </c>
      <c r="C5101" s="1126" t="s">
        <v>1788</v>
      </c>
      <c r="D5101" s="1119">
        <v>256.8</v>
      </c>
      <c r="E5101" s="1120">
        <v>26.46</v>
      </c>
      <c r="F5101" s="1121">
        <f t="shared" si="1"/>
        <v>230.36</v>
      </c>
      <c r="G5101" s="1120">
        <v>230.36</v>
      </c>
      <c r="H5101" s="1127">
        <v>0.0</v>
      </c>
      <c r="I5101" s="1127">
        <v>0.0</v>
      </c>
      <c r="J5101" s="1127">
        <v>0.0</v>
      </c>
      <c r="K5101" s="1124"/>
    </row>
    <row r="5102" ht="15.75" customHeight="1">
      <c r="A5102" s="1119">
        <v>86947.0</v>
      </c>
      <c r="B5102" s="1125" t="s">
        <v>15380</v>
      </c>
      <c r="C5102" s="1126" t="s">
        <v>1788</v>
      </c>
      <c r="D5102" s="1128">
        <v>1410.64</v>
      </c>
      <c r="E5102" s="1120">
        <v>135.24</v>
      </c>
      <c r="F5102" s="1121">
        <f t="shared" si="1"/>
        <v>1275.43</v>
      </c>
      <c r="G5102" s="1120">
        <v>1275.43</v>
      </c>
      <c r="H5102" s="1127">
        <v>0.0</v>
      </c>
      <c r="I5102" s="1127">
        <v>0.0</v>
      </c>
      <c r="J5102" s="1127">
        <v>0.0</v>
      </c>
      <c r="K5102" s="1124"/>
    </row>
    <row r="5103" ht="15.75" customHeight="1">
      <c r="A5103" s="1119">
        <v>93396.0</v>
      </c>
      <c r="B5103" s="1125" t="s">
        <v>15381</v>
      </c>
      <c r="C5103" s="1126" t="s">
        <v>1788</v>
      </c>
      <c r="D5103" s="1119">
        <v>727.8</v>
      </c>
      <c r="E5103" s="1120">
        <v>113.96</v>
      </c>
      <c r="F5103" s="1121">
        <f t="shared" si="1"/>
        <v>613.86</v>
      </c>
      <c r="G5103" s="1120">
        <v>613.86</v>
      </c>
      <c r="H5103" s="1127">
        <v>0.0</v>
      </c>
      <c r="I5103" s="1127">
        <v>0.0</v>
      </c>
      <c r="J5103" s="1127">
        <v>0.0</v>
      </c>
      <c r="K5103" s="1124"/>
    </row>
    <row r="5104" ht="15.75" customHeight="1">
      <c r="A5104" s="1119">
        <v>93441.0</v>
      </c>
      <c r="B5104" s="1125" t="s">
        <v>15382</v>
      </c>
      <c r="C5104" s="1126" t="s">
        <v>1788</v>
      </c>
      <c r="D5104" s="1128">
        <v>1212.48</v>
      </c>
      <c r="E5104" s="1120">
        <v>90.43</v>
      </c>
      <c r="F5104" s="1121">
        <f t="shared" si="1"/>
        <v>1122.09</v>
      </c>
      <c r="G5104" s="1120">
        <v>1122.09</v>
      </c>
      <c r="H5104" s="1127">
        <v>0.0</v>
      </c>
      <c r="I5104" s="1127">
        <v>0.0</v>
      </c>
      <c r="J5104" s="1127">
        <v>0.0</v>
      </c>
      <c r="K5104" s="1124"/>
    </row>
    <row r="5105" ht="15.75" customHeight="1">
      <c r="A5105" s="1119">
        <v>93442.0</v>
      </c>
      <c r="B5105" s="1125" t="s">
        <v>15383</v>
      </c>
      <c r="C5105" s="1126" t="s">
        <v>1788</v>
      </c>
      <c r="D5105" s="1128">
        <v>1505.09</v>
      </c>
      <c r="E5105" s="1120">
        <v>97.62</v>
      </c>
      <c r="F5105" s="1121">
        <f t="shared" si="1"/>
        <v>1407.51</v>
      </c>
      <c r="G5105" s="1120">
        <v>1407.51</v>
      </c>
      <c r="H5105" s="1127">
        <v>0.0</v>
      </c>
      <c r="I5105" s="1127">
        <v>0.0</v>
      </c>
      <c r="J5105" s="1127">
        <v>0.0</v>
      </c>
      <c r="K5105" s="1124"/>
    </row>
    <row r="5106" ht="15.75" customHeight="1">
      <c r="A5106" s="1119">
        <v>95469.0</v>
      </c>
      <c r="B5106" s="1125" t="s">
        <v>15384</v>
      </c>
      <c r="C5106" s="1126" t="s">
        <v>1788</v>
      </c>
      <c r="D5106" s="1119">
        <v>316.21</v>
      </c>
      <c r="E5106" s="1120">
        <v>18.28</v>
      </c>
      <c r="F5106" s="1121">
        <f t="shared" si="1"/>
        <v>297.92</v>
      </c>
      <c r="G5106" s="1120">
        <v>297.92</v>
      </c>
      <c r="H5106" s="1127">
        <v>0.0</v>
      </c>
      <c r="I5106" s="1127">
        <v>0.0</v>
      </c>
      <c r="J5106" s="1127">
        <v>0.0</v>
      </c>
      <c r="K5106" s="1124"/>
    </row>
    <row r="5107" ht="15.75" customHeight="1">
      <c r="A5107" s="1119">
        <v>95470.0</v>
      </c>
      <c r="B5107" s="1125" t="s">
        <v>15385</v>
      </c>
      <c r="C5107" s="1126" t="s">
        <v>1788</v>
      </c>
      <c r="D5107" s="1119">
        <v>325.54</v>
      </c>
      <c r="E5107" s="1120">
        <v>18.28</v>
      </c>
      <c r="F5107" s="1121">
        <f t="shared" si="1"/>
        <v>307.25</v>
      </c>
      <c r="G5107" s="1120">
        <v>307.25</v>
      </c>
      <c r="H5107" s="1127">
        <v>0.0</v>
      </c>
      <c r="I5107" s="1127">
        <v>0.0</v>
      </c>
      <c r="J5107" s="1127">
        <v>0.0</v>
      </c>
      <c r="K5107" s="1124"/>
    </row>
    <row r="5108" ht="15.75" customHeight="1">
      <c r="A5108" s="1119">
        <v>95471.0</v>
      </c>
      <c r="B5108" s="1125" t="s">
        <v>15386</v>
      </c>
      <c r="C5108" s="1126" t="s">
        <v>1788</v>
      </c>
      <c r="D5108" s="1119">
        <v>820.03</v>
      </c>
      <c r="E5108" s="1120">
        <v>38.05</v>
      </c>
      <c r="F5108" s="1121">
        <f t="shared" si="1"/>
        <v>781.97</v>
      </c>
      <c r="G5108" s="1120">
        <v>781.97</v>
      </c>
      <c r="H5108" s="1127">
        <v>0.0</v>
      </c>
      <c r="I5108" s="1127">
        <v>0.0</v>
      </c>
      <c r="J5108" s="1127">
        <v>0.0</v>
      </c>
      <c r="K5108" s="1124"/>
    </row>
    <row r="5109" ht="15.75" customHeight="1">
      <c r="A5109" s="1119">
        <v>95472.0</v>
      </c>
      <c r="B5109" s="1125" t="s">
        <v>15387</v>
      </c>
      <c r="C5109" s="1126" t="s">
        <v>1788</v>
      </c>
      <c r="D5109" s="1119">
        <v>829.36</v>
      </c>
      <c r="E5109" s="1120">
        <v>38.05</v>
      </c>
      <c r="F5109" s="1121">
        <f t="shared" si="1"/>
        <v>791.3</v>
      </c>
      <c r="G5109" s="1120">
        <v>791.3</v>
      </c>
      <c r="H5109" s="1127">
        <v>0.0</v>
      </c>
      <c r="I5109" s="1127">
        <v>0.0</v>
      </c>
      <c r="J5109" s="1127">
        <v>0.0</v>
      </c>
      <c r="K5109" s="1124"/>
    </row>
    <row r="5110" ht="15.75" customHeight="1">
      <c r="A5110" s="1119">
        <v>95542.0</v>
      </c>
      <c r="B5110" s="1125" t="s">
        <v>15388</v>
      </c>
      <c r="C5110" s="1126" t="s">
        <v>1788</v>
      </c>
      <c r="D5110" s="1119">
        <v>70.46</v>
      </c>
      <c r="E5110" s="1120">
        <v>9.5</v>
      </c>
      <c r="F5110" s="1121">
        <f t="shared" si="1"/>
        <v>60.96</v>
      </c>
      <c r="G5110" s="1120">
        <v>60.96</v>
      </c>
      <c r="H5110" s="1127">
        <v>0.0</v>
      </c>
      <c r="I5110" s="1127">
        <v>0.0</v>
      </c>
      <c r="J5110" s="1127">
        <v>0.0</v>
      </c>
      <c r="K5110" s="1124"/>
    </row>
    <row r="5111" ht="15.75" customHeight="1">
      <c r="A5111" s="1119">
        <v>95543.0</v>
      </c>
      <c r="B5111" s="1125" t="s">
        <v>15389</v>
      </c>
      <c r="C5111" s="1126" t="s">
        <v>1788</v>
      </c>
      <c r="D5111" s="1119">
        <v>115.28</v>
      </c>
      <c r="E5111" s="1120">
        <v>19.02</v>
      </c>
      <c r="F5111" s="1121">
        <f t="shared" si="1"/>
        <v>96.26</v>
      </c>
      <c r="G5111" s="1120">
        <v>96.26</v>
      </c>
      <c r="H5111" s="1127">
        <v>0.0</v>
      </c>
      <c r="I5111" s="1127">
        <v>0.0</v>
      </c>
      <c r="J5111" s="1127">
        <v>0.0</v>
      </c>
      <c r="K5111" s="1124"/>
    </row>
    <row r="5112" ht="15.75" customHeight="1">
      <c r="A5112" s="1119">
        <v>95544.0</v>
      </c>
      <c r="B5112" s="1125" t="s">
        <v>15390</v>
      </c>
      <c r="C5112" s="1126" t="s">
        <v>1788</v>
      </c>
      <c r="D5112" s="1119">
        <v>88.36</v>
      </c>
      <c r="E5112" s="1120">
        <v>9.49</v>
      </c>
      <c r="F5112" s="1121">
        <f t="shared" si="1"/>
        <v>78.86</v>
      </c>
      <c r="G5112" s="1120">
        <v>78.86</v>
      </c>
      <c r="H5112" s="1127">
        <v>0.0</v>
      </c>
      <c r="I5112" s="1127">
        <v>0.0</v>
      </c>
      <c r="J5112" s="1127">
        <v>0.0</v>
      </c>
      <c r="K5112" s="1124"/>
    </row>
    <row r="5113" ht="15.75" customHeight="1">
      <c r="A5113" s="1119">
        <v>95545.0</v>
      </c>
      <c r="B5113" s="1125" t="s">
        <v>15391</v>
      </c>
      <c r="C5113" s="1126" t="s">
        <v>1788</v>
      </c>
      <c r="D5113" s="1119">
        <v>86.45</v>
      </c>
      <c r="E5113" s="1120">
        <v>9.49</v>
      </c>
      <c r="F5113" s="1121">
        <f t="shared" si="1"/>
        <v>76.95</v>
      </c>
      <c r="G5113" s="1120">
        <v>76.95</v>
      </c>
      <c r="H5113" s="1127">
        <v>0.0</v>
      </c>
      <c r="I5113" s="1127">
        <v>0.0</v>
      </c>
      <c r="J5113" s="1127">
        <v>0.0</v>
      </c>
      <c r="K5113" s="1124"/>
    </row>
    <row r="5114" ht="15.75" customHeight="1">
      <c r="A5114" s="1119">
        <v>95546.0</v>
      </c>
      <c r="B5114" s="1125" t="s">
        <v>15392</v>
      </c>
      <c r="C5114" s="1126" t="s">
        <v>1788</v>
      </c>
      <c r="D5114" s="1119">
        <v>270.13</v>
      </c>
      <c r="E5114" s="1120">
        <v>57.08</v>
      </c>
      <c r="F5114" s="1121">
        <f t="shared" si="1"/>
        <v>213.06</v>
      </c>
      <c r="G5114" s="1120">
        <v>213.06</v>
      </c>
      <c r="H5114" s="1127">
        <v>0.0</v>
      </c>
      <c r="I5114" s="1127">
        <v>0.0</v>
      </c>
      <c r="J5114" s="1127">
        <v>0.0</v>
      </c>
      <c r="K5114" s="1124"/>
    </row>
    <row r="5115" ht="15.75" customHeight="1">
      <c r="A5115" s="1119">
        <v>95547.0</v>
      </c>
      <c r="B5115" s="1125" t="s">
        <v>15393</v>
      </c>
      <c r="C5115" s="1126" t="s">
        <v>1788</v>
      </c>
      <c r="D5115" s="1119">
        <v>57.45</v>
      </c>
      <c r="E5115" s="1120">
        <v>9.5</v>
      </c>
      <c r="F5115" s="1121">
        <f t="shared" si="1"/>
        <v>47.94</v>
      </c>
      <c r="G5115" s="1120">
        <v>47.94</v>
      </c>
      <c r="H5115" s="1127">
        <v>0.0</v>
      </c>
      <c r="I5115" s="1127">
        <v>0.0</v>
      </c>
      <c r="J5115" s="1127">
        <v>0.0</v>
      </c>
      <c r="K5115" s="1124"/>
    </row>
    <row r="5116" ht="15.75" customHeight="1">
      <c r="A5116" s="1119">
        <v>100848.0</v>
      </c>
      <c r="B5116" s="1125" t="s">
        <v>15394</v>
      </c>
      <c r="C5116" s="1126" t="s">
        <v>1788</v>
      </c>
      <c r="D5116" s="1119">
        <v>586.85</v>
      </c>
      <c r="E5116" s="1120">
        <v>18.28</v>
      </c>
      <c r="F5116" s="1121">
        <f t="shared" si="1"/>
        <v>568.56</v>
      </c>
      <c r="G5116" s="1120">
        <v>568.56</v>
      </c>
      <c r="H5116" s="1127">
        <v>0.0</v>
      </c>
      <c r="I5116" s="1127">
        <v>0.0</v>
      </c>
      <c r="J5116" s="1127">
        <v>0.0</v>
      </c>
      <c r="K5116" s="1124"/>
    </row>
    <row r="5117" ht="15.75" customHeight="1">
      <c r="A5117" s="1119">
        <v>100849.0</v>
      </c>
      <c r="B5117" s="1125" t="s">
        <v>15395</v>
      </c>
      <c r="C5117" s="1126" t="s">
        <v>1788</v>
      </c>
      <c r="D5117" s="1119">
        <v>45.09</v>
      </c>
      <c r="E5117" s="1120">
        <v>4.59</v>
      </c>
      <c r="F5117" s="1121">
        <f t="shared" si="1"/>
        <v>40.49</v>
      </c>
      <c r="G5117" s="1120">
        <v>40.49</v>
      </c>
      <c r="H5117" s="1127">
        <v>0.0</v>
      </c>
      <c r="I5117" s="1127">
        <v>0.0</v>
      </c>
      <c r="J5117" s="1127">
        <v>0.0</v>
      </c>
      <c r="K5117" s="1124"/>
    </row>
    <row r="5118" ht="15.75" customHeight="1">
      <c r="A5118" s="1119">
        <v>100851.0</v>
      </c>
      <c r="B5118" s="1125" t="s">
        <v>15396</v>
      </c>
      <c r="C5118" s="1126" t="s">
        <v>1788</v>
      </c>
      <c r="D5118" s="1119">
        <v>89.08</v>
      </c>
      <c r="E5118" s="1120">
        <v>4.59</v>
      </c>
      <c r="F5118" s="1121">
        <f t="shared" si="1"/>
        <v>84.48</v>
      </c>
      <c r="G5118" s="1120">
        <v>84.48</v>
      </c>
      <c r="H5118" s="1127">
        <v>0.0</v>
      </c>
      <c r="I5118" s="1127">
        <v>0.0</v>
      </c>
      <c r="J5118" s="1127">
        <v>0.0</v>
      </c>
      <c r="K5118" s="1124"/>
    </row>
    <row r="5119" ht="15.75" customHeight="1">
      <c r="A5119" s="1119">
        <v>100852.0</v>
      </c>
      <c r="B5119" s="1125" t="s">
        <v>15397</v>
      </c>
      <c r="C5119" s="1126" t="s">
        <v>1788</v>
      </c>
      <c r="D5119" s="1119">
        <v>272.7</v>
      </c>
      <c r="E5119" s="1120">
        <v>15.9</v>
      </c>
      <c r="F5119" s="1121">
        <f t="shared" si="1"/>
        <v>256.81</v>
      </c>
      <c r="G5119" s="1120">
        <v>256.81</v>
      </c>
      <c r="H5119" s="1127">
        <v>0.0</v>
      </c>
      <c r="I5119" s="1127">
        <v>0.0</v>
      </c>
      <c r="J5119" s="1127">
        <v>0.0</v>
      </c>
      <c r="K5119" s="1124"/>
    </row>
    <row r="5120" ht="15.75" customHeight="1">
      <c r="A5120" s="1119">
        <v>100853.0</v>
      </c>
      <c r="B5120" s="1125" t="s">
        <v>15398</v>
      </c>
      <c r="C5120" s="1126" t="s">
        <v>1788</v>
      </c>
      <c r="D5120" s="1119">
        <v>293.4</v>
      </c>
      <c r="E5120" s="1120">
        <v>13.91</v>
      </c>
      <c r="F5120" s="1121">
        <f t="shared" si="1"/>
        <v>279.49</v>
      </c>
      <c r="G5120" s="1120">
        <v>279.49</v>
      </c>
      <c r="H5120" s="1127">
        <v>0.0</v>
      </c>
      <c r="I5120" s="1127">
        <v>0.0</v>
      </c>
      <c r="J5120" s="1127">
        <v>0.0</v>
      </c>
      <c r="K5120" s="1124"/>
    </row>
    <row r="5121" ht="15.75" customHeight="1">
      <c r="A5121" s="1119">
        <v>100854.0</v>
      </c>
      <c r="B5121" s="1125" t="s">
        <v>15399</v>
      </c>
      <c r="C5121" s="1126" t="s">
        <v>1788</v>
      </c>
      <c r="D5121" s="1128">
        <v>1506.86</v>
      </c>
      <c r="E5121" s="1120">
        <v>19.4</v>
      </c>
      <c r="F5121" s="1121">
        <f t="shared" si="1"/>
        <v>1487.46</v>
      </c>
      <c r="G5121" s="1120">
        <v>1487.46</v>
      </c>
      <c r="H5121" s="1127">
        <v>0.0</v>
      </c>
      <c r="I5121" s="1127">
        <v>0.0</v>
      </c>
      <c r="J5121" s="1127">
        <v>0.0</v>
      </c>
      <c r="K5121" s="1124"/>
    </row>
    <row r="5122" ht="15.75" customHeight="1">
      <c r="A5122" s="1119">
        <v>100856.0</v>
      </c>
      <c r="B5122" s="1125" t="s">
        <v>15400</v>
      </c>
      <c r="C5122" s="1126" t="s">
        <v>1788</v>
      </c>
      <c r="D5122" s="1119">
        <v>32.97</v>
      </c>
      <c r="E5122" s="1120">
        <v>2.87</v>
      </c>
      <c r="F5122" s="1121">
        <f t="shared" si="1"/>
        <v>30.1</v>
      </c>
      <c r="G5122" s="1120">
        <v>30.1</v>
      </c>
      <c r="H5122" s="1127">
        <v>0.0</v>
      </c>
      <c r="I5122" s="1127">
        <v>0.0</v>
      </c>
      <c r="J5122" s="1127">
        <v>0.0</v>
      </c>
      <c r="K5122" s="1124"/>
    </row>
    <row r="5123" ht="15.75" customHeight="1">
      <c r="A5123" s="1119">
        <v>100857.0</v>
      </c>
      <c r="B5123" s="1125" t="s">
        <v>15401</v>
      </c>
      <c r="C5123" s="1126" t="s">
        <v>1788</v>
      </c>
      <c r="D5123" s="1119">
        <v>443.56</v>
      </c>
      <c r="E5123" s="1120">
        <v>10.36</v>
      </c>
      <c r="F5123" s="1121">
        <f t="shared" si="1"/>
        <v>433.21</v>
      </c>
      <c r="G5123" s="1120">
        <v>433.21</v>
      </c>
      <c r="H5123" s="1127">
        <v>0.0</v>
      </c>
      <c r="I5123" s="1127">
        <v>0.0</v>
      </c>
      <c r="J5123" s="1127">
        <v>0.0</v>
      </c>
      <c r="K5123" s="1124"/>
    </row>
    <row r="5124" ht="15.75" customHeight="1">
      <c r="A5124" s="1119">
        <v>100858.0</v>
      </c>
      <c r="B5124" s="1125" t="s">
        <v>15402</v>
      </c>
      <c r="C5124" s="1126" t="s">
        <v>1788</v>
      </c>
      <c r="D5124" s="1119">
        <v>703.8</v>
      </c>
      <c r="E5124" s="1120">
        <v>30.34</v>
      </c>
      <c r="F5124" s="1121">
        <f t="shared" si="1"/>
        <v>673.46</v>
      </c>
      <c r="G5124" s="1120">
        <v>673.46</v>
      </c>
      <c r="H5124" s="1127">
        <v>0.0</v>
      </c>
      <c r="I5124" s="1127">
        <v>0.0</v>
      </c>
      <c r="J5124" s="1127">
        <v>0.0</v>
      </c>
      <c r="K5124" s="1124"/>
    </row>
    <row r="5125" ht="15.75" customHeight="1">
      <c r="A5125" s="1119">
        <v>100859.0</v>
      </c>
      <c r="B5125" s="1125" t="s">
        <v>15403</v>
      </c>
      <c r="C5125" s="1126" t="s">
        <v>1788</v>
      </c>
      <c r="D5125" s="1128">
        <v>1086.49</v>
      </c>
      <c r="E5125" s="1120">
        <v>63.63</v>
      </c>
      <c r="F5125" s="1121">
        <f t="shared" si="1"/>
        <v>1022.87</v>
      </c>
      <c r="G5125" s="1120">
        <v>1022.87</v>
      </c>
      <c r="H5125" s="1127">
        <v>0.0</v>
      </c>
      <c r="I5125" s="1127">
        <v>0.0</v>
      </c>
      <c r="J5125" s="1127">
        <v>0.0</v>
      </c>
      <c r="K5125" s="1124"/>
    </row>
    <row r="5126" ht="15.75" customHeight="1">
      <c r="A5126" s="1119">
        <v>100860.0</v>
      </c>
      <c r="B5126" s="1125" t="s">
        <v>15404</v>
      </c>
      <c r="C5126" s="1126" t="s">
        <v>1788</v>
      </c>
      <c r="D5126" s="1119">
        <v>103.36</v>
      </c>
      <c r="E5126" s="1120">
        <v>13.42</v>
      </c>
      <c r="F5126" s="1121">
        <f t="shared" si="1"/>
        <v>89.93</v>
      </c>
      <c r="G5126" s="1120">
        <v>89.93</v>
      </c>
      <c r="H5126" s="1127">
        <v>0.0</v>
      </c>
      <c r="I5126" s="1127">
        <v>0.0</v>
      </c>
      <c r="J5126" s="1127">
        <v>0.0</v>
      </c>
      <c r="K5126" s="1124"/>
    </row>
    <row r="5127" ht="15.75" customHeight="1">
      <c r="A5127" s="1119">
        <v>100861.0</v>
      </c>
      <c r="B5127" s="1125" t="s">
        <v>15405</v>
      </c>
      <c r="C5127" s="1126" t="s">
        <v>1788</v>
      </c>
      <c r="D5127" s="1119">
        <v>42.93</v>
      </c>
      <c r="E5127" s="1120">
        <v>14.27</v>
      </c>
      <c r="F5127" s="1121">
        <f t="shared" si="1"/>
        <v>28.67</v>
      </c>
      <c r="G5127" s="1120">
        <v>28.67</v>
      </c>
      <c r="H5127" s="1127">
        <v>0.0</v>
      </c>
      <c r="I5127" s="1127">
        <v>0.0</v>
      </c>
      <c r="J5127" s="1127">
        <v>0.0</v>
      </c>
      <c r="K5127" s="1124"/>
    </row>
    <row r="5128" ht="15.75" customHeight="1">
      <c r="A5128" s="1119">
        <v>100862.0</v>
      </c>
      <c r="B5128" s="1125" t="s">
        <v>15406</v>
      </c>
      <c r="C5128" s="1126" t="s">
        <v>1788</v>
      </c>
      <c r="D5128" s="1119">
        <v>47.36</v>
      </c>
      <c r="E5128" s="1120">
        <v>14.27</v>
      </c>
      <c r="F5128" s="1121">
        <f t="shared" si="1"/>
        <v>33.1</v>
      </c>
      <c r="G5128" s="1120">
        <v>33.1</v>
      </c>
      <c r="H5128" s="1127">
        <v>0.0</v>
      </c>
      <c r="I5128" s="1127">
        <v>0.0</v>
      </c>
      <c r="J5128" s="1127">
        <v>0.0</v>
      </c>
      <c r="K5128" s="1124"/>
    </row>
    <row r="5129" ht="15.75" customHeight="1">
      <c r="A5129" s="1119">
        <v>100863.0</v>
      </c>
      <c r="B5129" s="1125" t="s">
        <v>15407</v>
      </c>
      <c r="C5129" s="1126" t="s">
        <v>1788</v>
      </c>
      <c r="D5129" s="1119">
        <v>625.08</v>
      </c>
      <c r="E5129" s="1120">
        <v>42.8</v>
      </c>
      <c r="F5129" s="1121">
        <f t="shared" si="1"/>
        <v>582.27</v>
      </c>
      <c r="G5129" s="1120">
        <v>582.27</v>
      </c>
      <c r="H5129" s="1127">
        <v>0.0</v>
      </c>
      <c r="I5129" s="1127">
        <v>0.0</v>
      </c>
      <c r="J5129" s="1127">
        <v>0.0</v>
      </c>
      <c r="K5129" s="1124"/>
    </row>
    <row r="5130" ht="15.75" customHeight="1">
      <c r="A5130" s="1119">
        <v>100864.0</v>
      </c>
      <c r="B5130" s="1125" t="s">
        <v>15408</v>
      </c>
      <c r="C5130" s="1126" t="s">
        <v>1788</v>
      </c>
      <c r="D5130" s="1119">
        <v>684.47</v>
      </c>
      <c r="E5130" s="1120">
        <v>42.8</v>
      </c>
      <c r="F5130" s="1121">
        <f t="shared" si="1"/>
        <v>641.66</v>
      </c>
      <c r="G5130" s="1120">
        <v>641.66</v>
      </c>
      <c r="H5130" s="1127">
        <v>0.0</v>
      </c>
      <c r="I5130" s="1127">
        <v>0.0</v>
      </c>
      <c r="J5130" s="1127">
        <v>0.0</v>
      </c>
      <c r="K5130" s="1124"/>
    </row>
    <row r="5131" ht="15.75" customHeight="1">
      <c r="A5131" s="1119">
        <v>100865.0</v>
      </c>
      <c r="B5131" s="1125" t="s">
        <v>15409</v>
      </c>
      <c r="C5131" s="1126" t="s">
        <v>1788</v>
      </c>
      <c r="D5131" s="1119">
        <v>598.46</v>
      </c>
      <c r="E5131" s="1120">
        <v>19.01</v>
      </c>
      <c r="F5131" s="1121">
        <f t="shared" si="1"/>
        <v>579.45</v>
      </c>
      <c r="G5131" s="1120">
        <v>579.45</v>
      </c>
      <c r="H5131" s="1127">
        <v>0.0</v>
      </c>
      <c r="I5131" s="1127">
        <v>0.0</v>
      </c>
      <c r="J5131" s="1127">
        <v>0.0</v>
      </c>
      <c r="K5131" s="1124"/>
    </row>
    <row r="5132" ht="15.75" customHeight="1">
      <c r="A5132" s="1119">
        <v>100866.0</v>
      </c>
      <c r="B5132" s="1125" t="s">
        <v>15410</v>
      </c>
      <c r="C5132" s="1126" t="s">
        <v>1788</v>
      </c>
      <c r="D5132" s="1119">
        <v>325.66</v>
      </c>
      <c r="E5132" s="1120">
        <v>28.52</v>
      </c>
      <c r="F5132" s="1121">
        <f t="shared" si="1"/>
        <v>297.14</v>
      </c>
      <c r="G5132" s="1120">
        <v>297.14</v>
      </c>
      <c r="H5132" s="1127">
        <v>0.0</v>
      </c>
      <c r="I5132" s="1127">
        <v>0.0</v>
      </c>
      <c r="J5132" s="1127">
        <v>0.0</v>
      </c>
      <c r="K5132" s="1124"/>
    </row>
    <row r="5133" ht="15.75" customHeight="1">
      <c r="A5133" s="1119">
        <v>100867.0</v>
      </c>
      <c r="B5133" s="1125" t="s">
        <v>15411</v>
      </c>
      <c r="C5133" s="1126" t="s">
        <v>1788</v>
      </c>
      <c r="D5133" s="1119">
        <v>345.24</v>
      </c>
      <c r="E5133" s="1120">
        <v>28.52</v>
      </c>
      <c r="F5133" s="1121">
        <f t="shared" si="1"/>
        <v>316.72</v>
      </c>
      <c r="G5133" s="1120">
        <v>316.72</v>
      </c>
      <c r="H5133" s="1127">
        <v>0.0</v>
      </c>
      <c r="I5133" s="1127">
        <v>0.0</v>
      </c>
      <c r="J5133" s="1127">
        <v>0.0</v>
      </c>
      <c r="K5133" s="1124"/>
    </row>
    <row r="5134" ht="15.75" customHeight="1">
      <c r="A5134" s="1119">
        <v>100868.0</v>
      </c>
      <c r="B5134" s="1125" t="s">
        <v>15412</v>
      </c>
      <c r="C5134" s="1126" t="s">
        <v>1788</v>
      </c>
      <c r="D5134" s="1119">
        <v>358.27</v>
      </c>
      <c r="E5134" s="1120">
        <v>28.52</v>
      </c>
      <c r="F5134" s="1121">
        <f t="shared" si="1"/>
        <v>329.75</v>
      </c>
      <c r="G5134" s="1120">
        <v>329.75</v>
      </c>
      <c r="H5134" s="1127">
        <v>0.0</v>
      </c>
      <c r="I5134" s="1127">
        <v>0.0</v>
      </c>
      <c r="J5134" s="1127">
        <v>0.0</v>
      </c>
      <c r="K5134" s="1124"/>
    </row>
    <row r="5135" ht="15.75" customHeight="1">
      <c r="A5135" s="1119">
        <v>100869.0</v>
      </c>
      <c r="B5135" s="1125" t="s">
        <v>15413</v>
      </c>
      <c r="C5135" s="1126" t="s">
        <v>1788</v>
      </c>
      <c r="D5135" s="1119">
        <v>368.26</v>
      </c>
      <c r="E5135" s="1120">
        <v>28.52</v>
      </c>
      <c r="F5135" s="1121">
        <f t="shared" si="1"/>
        <v>339.74</v>
      </c>
      <c r="G5135" s="1120">
        <v>339.74</v>
      </c>
      <c r="H5135" s="1127">
        <v>0.0</v>
      </c>
      <c r="I5135" s="1127">
        <v>0.0</v>
      </c>
      <c r="J5135" s="1127">
        <v>0.0</v>
      </c>
      <c r="K5135" s="1124"/>
    </row>
    <row r="5136" ht="15.75" customHeight="1">
      <c r="A5136" s="1119">
        <v>100870.0</v>
      </c>
      <c r="B5136" s="1125" t="s">
        <v>15414</v>
      </c>
      <c r="C5136" s="1126" t="s">
        <v>1788</v>
      </c>
      <c r="D5136" s="1119">
        <v>317.82</v>
      </c>
      <c r="E5136" s="1120">
        <v>28.52</v>
      </c>
      <c r="F5136" s="1121">
        <f t="shared" si="1"/>
        <v>289.3</v>
      </c>
      <c r="G5136" s="1120">
        <v>289.3</v>
      </c>
      <c r="H5136" s="1127">
        <v>0.0</v>
      </c>
      <c r="I5136" s="1127">
        <v>0.0</v>
      </c>
      <c r="J5136" s="1127">
        <v>0.0</v>
      </c>
      <c r="K5136" s="1124"/>
    </row>
    <row r="5137" ht="15.75" customHeight="1">
      <c r="A5137" s="1119">
        <v>100871.0</v>
      </c>
      <c r="B5137" s="1125" t="s">
        <v>15415</v>
      </c>
      <c r="C5137" s="1126" t="s">
        <v>1788</v>
      </c>
      <c r="D5137" s="1119">
        <v>342.64</v>
      </c>
      <c r="E5137" s="1120">
        <v>28.52</v>
      </c>
      <c r="F5137" s="1121">
        <f t="shared" si="1"/>
        <v>314.12</v>
      </c>
      <c r="G5137" s="1120">
        <v>314.12</v>
      </c>
      <c r="H5137" s="1127">
        <v>0.0</v>
      </c>
      <c r="I5137" s="1127">
        <v>0.0</v>
      </c>
      <c r="J5137" s="1127">
        <v>0.0</v>
      </c>
      <c r="K5137" s="1124"/>
    </row>
    <row r="5138" ht="15.75" customHeight="1">
      <c r="A5138" s="1119">
        <v>100872.0</v>
      </c>
      <c r="B5138" s="1125" t="s">
        <v>15416</v>
      </c>
      <c r="C5138" s="1126" t="s">
        <v>1788</v>
      </c>
      <c r="D5138" s="1119">
        <v>358.49</v>
      </c>
      <c r="E5138" s="1120">
        <v>28.52</v>
      </c>
      <c r="F5138" s="1121">
        <f t="shared" si="1"/>
        <v>329.97</v>
      </c>
      <c r="G5138" s="1120">
        <v>329.97</v>
      </c>
      <c r="H5138" s="1127">
        <v>0.0</v>
      </c>
      <c r="I5138" s="1127">
        <v>0.0</v>
      </c>
      <c r="J5138" s="1127">
        <v>0.0</v>
      </c>
      <c r="K5138" s="1124"/>
    </row>
    <row r="5139" ht="15.75" customHeight="1">
      <c r="A5139" s="1119">
        <v>100873.0</v>
      </c>
      <c r="B5139" s="1125" t="s">
        <v>15417</v>
      </c>
      <c r="C5139" s="1126" t="s">
        <v>1788</v>
      </c>
      <c r="D5139" s="1119">
        <v>368.39</v>
      </c>
      <c r="E5139" s="1120">
        <v>28.52</v>
      </c>
      <c r="F5139" s="1121">
        <f t="shared" si="1"/>
        <v>339.87</v>
      </c>
      <c r="G5139" s="1120">
        <v>339.87</v>
      </c>
      <c r="H5139" s="1127">
        <v>0.0</v>
      </c>
      <c r="I5139" s="1127">
        <v>0.0</v>
      </c>
      <c r="J5139" s="1127">
        <v>0.0</v>
      </c>
      <c r="K5139" s="1124"/>
    </row>
    <row r="5140" ht="15.75" customHeight="1">
      <c r="A5140" s="1119">
        <v>100874.0</v>
      </c>
      <c r="B5140" s="1125" t="s">
        <v>15418</v>
      </c>
      <c r="C5140" s="1126" t="s">
        <v>1788</v>
      </c>
      <c r="D5140" s="1119">
        <v>325.66</v>
      </c>
      <c r="E5140" s="1120">
        <v>28.52</v>
      </c>
      <c r="F5140" s="1121">
        <f t="shared" si="1"/>
        <v>297.14</v>
      </c>
      <c r="G5140" s="1120">
        <v>297.14</v>
      </c>
      <c r="H5140" s="1127">
        <v>0.0</v>
      </c>
      <c r="I5140" s="1127">
        <v>0.0</v>
      </c>
      <c r="J5140" s="1127">
        <v>0.0</v>
      </c>
      <c r="K5140" s="1124"/>
    </row>
    <row r="5141" ht="15.75" customHeight="1">
      <c r="A5141" s="1119">
        <v>100875.0</v>
      </c>
      <c r="B5141" s="1125" t="s">
        <v>15419</v>
      </c>
      <c r="C5141" s="1126" t="s">
        <v>1788</v>
      </c>
      <c r="D5141" s="1128">
        <v>1106.14</v>
      </c>
      <c r="E5141" s="1120">
        <v>38.03</v>
      </c>
      <c r="F5141" s="1121">
        <f t="shared" si="1"/>
        <v>1068.1</v>
      </c>
      <c r="G5141" s="1120">
        <v>1068.1</v>
      </c>
      <c r="H5141" s="1127">
        <v>0.0</v>
      </c>
      <c r="I5141" s="1127">
        <v>0.0</v>
      </c>
      <c r="J5141" s="1127">
        <v>0.0</v>
      </c>
      <c r="K5141" s="1124"/>
    </row>
    <row r="5142" ht="15.75" customHeight="1">
      <c r="A5142" s="1119">
        <v>100878.0</v>
      </c>
      <c r="B5142" s="1125" t="s">
        <v>15420</v>
      </c>
      <c r="C5142" s="1126" t="s">
        <v>1788</v>
      </c>
      <c r="D5142" s="1119">
        <v>701.97</v>
      </c>
      <c r="E5142" s="1120">
        <v>42.82</v>
      </c>
      <c r="F5142" s="1121">
        <f t="shared" si="1"/>
        <v>659.14</v>
      </c>
      <c r="G5142" s="1120">
        <v>659.14</v>
      </c>
      <c r="H5142" s="1127">
        <v>0.0</v>
      </c>
      <c r="I5142" s="1127">
        <v>0.0</v>
      </c>
      <c r="J5142" s="1127">
        <v>0.0</v>
      </c>
      <c r="K5142" s="1124"/>
    </row>
    <row r="5143" ht="15.75" customHeight="1">
      <c r="A5143" s="1119">
        <v>98052.0</v>
      </c>
      <c r="B5143" s="1125" t="s">
        <v>15421</v>
      </c>
      <c r="C5143" s="1126" t="s">
        <v>1788</v>
      </c>
      <c r="D5143" s="1128">
        <v>1590.42</v>
      </c>
      <c r="E5143" s="1120">
        <v>241.73</v>
      </c>
      <c r="F5143" s="1121">
        <f t="shared" si="1"/>
        <v>1348.68</v>
      </c>
      <c r="G5143" s="1120">
        <v>1301.52</v>
      </c>
      <c r="H5143" s="1127">
        <v>46.84</v>
      </c>
      <c r="I5143" s="1127">
        <v>0.0</v>
      </c>
      <c r="J5143" s="1127">
        <v>0.32</v>
      </c>
      <c r="K5143" s="1124"/>
    </row>
    <row r="5144" ht="15.75" customHeight="1">
      <c r="A5144" s="1119">
        <v>98053.0</v>
      </c>
      <c r="B5144" s="1125" t="s">
        <v>15422</v>
      </c>
      <c r="C5144" s="1126" t="s">
        <v>1788</v>
      </c>
      <c r="D5144" s="1128">
        <v>2181.87</v>
      </c>
      <c r="E5144" s="1120">
        <v>326.81</v>
      </c>
      <c r="F5144" s="1121">
        <f t="shared" si="1"/>
        <v>1855.07</v>
      </c>
      <c r="G5144" s="1120">
        <v>1802.6</v>
      </c>
      <c r="H5144" s="1127">
        <v>52.0</v>
      </c>
      <c r="I5144" s="1127">
        <v>0.0</v>
      </c>
      <c r="J5144" s="1127">
        <v>0.47</v>
      </c>
      <c r="K5144" s="1124"/>
    </row>
    <row r="5145" ht="15.75" customHeight="1">
      <c r="A5145" s="1119">
        <v>98054.0</v>
      </c>
      <c r="B5145" s="1125" t="s">
        <v>15423</v>
      </c>
      <c r="C5145" s="1126" t="s">
        <v>1788</v>
      </c>
      <c r="D5145" s="1128">
        <v>3456.9</v>
      </c>
      <c r="E5145" s="1120">
        <v>343.09</v>
      </c>
      <c r="F5145" s="1121">
        <f t="shared" si="1"/>
        <v>3113.83</v>
      </c>
      <c r="G5145" s="1120">
        <v>3046.33</v>
      </c>
      <c r="H5145" s="1127">
        <v>67.01</v>
      </c>
      <c r="I5145" s="1127">
        <v>0.0</v>
      </c>
      <c r="J5145" s="1127">
        <v>0.49</v>
      </c>
      <c r="K5145" s="1124"/>
    </row>
    <row r="5146" ht="15.75" customHeight="1">
      <c r="A5146" s="1119">
        <v>98055.0</v>
      </c>
      <c r="B5146" s="1125" t="s">
        <v>15424</v>
      </c>
      <c r="C5146" s="1126" t="s">
        <v>1788</v>
      </c>
      <c r="D5146" s="1128">
        <v>4713.2</v>
      </c>
      <c r="E5146" s="1120">
        <v>473.78</v>
      </c>
      <c r="F5146" s="1121">
        <f t="shared" si="1"/>
        <v>4239.43</v>
      </c>
      <c r="G5146" s="1120">
        <v>4157.0</v>
      </c>
      <c r="H5146" s="1127">
        <v>81.68</v>
      </c>
      <c r="I5146" s="1127">
        <v>0.0</v>
      </c>
      <c r="J5146" s="1127">
        <v>0.75</v>
      </c>
      <c r="K5146" s="1124"/>
    </row>
    <row r="5147" ht="15.75" customHeight="1">
      <c r="A5147" s="1119">
        <v>98056.0</v>
      </c>
      <c r="B5147" s="1125" t="s">
        <v>15425</v>
      </c>
      <c r="C5147" s="1126" t="s">
        <v>1788</v>
      </c>
      <c r="D5147" s="1128">
        <v>5456.11</v>
      </c>
      <c r="E5147" s="1120">
        <v>505.66</v>
      </c>
      <c r="F5147" s="1121">
        <f t="shared" si="1"/>
        <v>4950.48</v>
      </c>
      <c r="G5147" s="1120">
        <v>4853.26</v>
      </c>
      <c r="H5147" s="1127">
        <v>96.45</v>
      </c>
      <c r="I5147" s="1127">
        <v>0.0</v>
      </c>
      <c r="J5147" s="1127">
        <v>0.77</v>
      </c>
      <c r="K5147" s="1124"/>
    </row>
    <row r="5148" ht="15.75" customHeight="1">
      <c r="A5148" s="1119">
        <v>98057.0</v>
      </c>
      <c r="B5148" s="1125" t="s">
        <v>15426</v>
      </c>
      <c r="C5148" s="1126" t="s">
        <v>1788</v>
      </c>
      <c r="D5148" s="1128">
        <v>6531.31</v>
      </c>
      <c r="E5148" s="1120">
        <v>627.79</v>
      </c>
      <c r="F5148" s="1121">
        <f t="shared" si="1"/>
        <v>5903.51</v>
      </c>
      <c r="G5148" s="1120">
        <v>5804.31</v>
      </c>
      <c r="H5148" s="1127">
        <v>98.13</v>
      </c>
      <c r="I5148" s="1127">
        <v>0.0</v>
      </c>
      <c r="J5148" s="1127">
        <v>1.07</v>
      </c>
      <c r="K5148" s="1124"/>
    </row>
    <row r="5149" ht="15.75" customHeight="1">
      <c r="A5149" s="1119">
        <v>98058.0</v>
      </c>
      <c r="B5149" s="1125" t="s">
        <v>15427</v>
      </c>
      <c r="C5149" s="1126" t="s">
        <v>1788</v>
      </c>
      <c r="D5149" s="1128">
        <v>1416.48</v>
      </c>
      <c r="E5149" s="1120">
        <v>283.37</v>
      </c>
      <c r="F5149" s="1121">
        <f t="shared" si="1"/>
        <v>1133.15</v>
      </c>
      <c r="G5149" s="1120">
        <v>1079.87</v>
      </c>
      <c r="H5149" s="1127">
        <v>52.85</v>
      </c>
      <c r="I5149" s="1127">
        <v>0.0</v>
      </c>
      <c r="J5149" s="1127">
        <v>0.43</v>
      </c>
      <c r="K5149" s="1124"/>
    </row>
    <row r="5150" ht="15.75" customHeight="1">
      <c r="A5150" s="1119">
        <v>98059.0</v>
      </c>
      <c r="B5150" s="1125" t="s">
        <v>15428</v>
      </c>
      <c r="C5150" s="1126" t="s">
        <v>1788</v>
      </c>
      <c r="D5150" s="1128">
        <v>2973.47</v>
      </c>
      <c r="E5150" s="1120">
        <v>417.22</v>
      </c>
      <c r="F5150" s="1121">
        <f t="shared" si="1"/>
        <v>2556.26</v>
      </c>
      <c r="G5150" s="1120">
        <v>2453.56</v>
      </c>
      <c r="H5150" s="1127">
        <v>102.03</v>
      </c>
      <c r="I5150" s="1127">
        <v>0.0</v>
      </c>
      <c r="J5150" s="1127">
        <v>0.67</v>
      </c>
      <c r="K5150" s="1124"/>
    </row>
    <row r="5151" ht="15.75" customHeight="1">
      <c r="A5151" s="1119">
        <v>98060.0</v>
      </c>
      <c r="B5151" s="1125" t="s">
        <v>15429</v>
      </c>
      <c r="C5151" s="1126" t="s">
        <v>1788</v>
      </c>
      <c r="D5151" s="1128">
        <v>4179.47</v>
      </c>
      <c r="E5151" s="1120">
        <v>607.72</v>
      </c>
      <c r="F5151" s="1121">
        <f t="shared" si="1"/>
        <v>3571.76</v>
      </c>
      <c r="G5151" s="1120">
        <v>3424.99</v>
      </c>
      <c r="H5151" s="1127">
        <v>145.74</v>
      </c>
      <c r="I5151" s="1127">
        <v>0.0</v>
      </c>
      <c r="J5151" s="1127">
        <v>1.03</v>
      </c>
      <c r="K5151" s="1124"/>
    </row>
    <row r="5152" ht="15.75" customHeight="1">
      <c r="A5152" s="1119">
        <v>98061.0</v>
      </c>
      <c r="B5152" s="1125" t="s">
        <v>15430</v>
      </c>
      <c r="C5152" s="1126" t="s">
        <v>1788</v>
      </c>
      <c r="D5152" s="1128">
        <v>5826.21</v>
      </c>
      <c r="E5152" s="1120">
        <v>837.62</v>
      </c>
      <c r="F5152" s="1121">
        <f t="shared" si="1"/>
        <v>4988.6</v>
      </c>
      <c r="G5152" s="1120">
        <v>4788.51</v>
      </c>
      <c r="H5152" s="1127">
        <v>198.62</v>
      </c>
      <c r="I5152" s="1127">
        <v>0.0</v>
      </c>
      <c r="J5152" s="1127">
        <v>1.47</v>
      </c>
      <c r="K5152" s="1124"/>
    </row>
    <row r="5153" ht="15.75" customHeight="1">
      <c r="A5153" s="1119">
        <v>98062.0</v>
      </c>
      <c r="B5153" s="1125" t="s">
        <v>15431</v>
      </c>
      <c r="C5153" s="1126" t="s">
        <v>1788</v>
      </c>
      <c r="D5153" s="1128">
        <v>2344.39</v>
      </c>
      <c r="E5153" s="1120">
        <v>274.82</v>
      </c>
      <c r="F5153" s="1121">
        <f t="shared" si="1"/>
        <v>2069.53</v>
      </c>
      <c r="G5153" s="1120">
        <v>2014.54</v>
      </c>
      <c r="H5153" s="1127">
        <v>54.54</v>
      </c>
      <c r="I5153" s="1127">
        <v>0.0</v>
      </c>
      <c r="J5153" s="1127">
        <v>0.45</v>
      </c>
      <c r="K5153" s="1124"/>
    </row>
    <row r="5154" ht="15.75" customHeight="1">
      <c r="A5154" s="1119">
        <v>98063.0</v>
      </c>
      <c r="B5154" s="1125" t="s">
        <v>15432</v>
      </c>
      <c r="C5154" s="1126" t="s">
        <v>1788</v>
      </c>
      <c r="D5154" s="1128">
        <v>3569.76</v>
      </c>
      <c r="E5154" s="1120">
        <v>407.1</v>
      </c>
      <c r="F5154" s="1121">
        <f t="shared" si="1"/>
        <v>3162.7</v>
      </c>
      <c r="G5154" s="1120">
        <v>3080.42</v>
      </c>
      <c r="H5154" s="1127">
        <v>81.59</v>
      </c>
      <c r="I5154" s="1127">
        <v>0.0</v>
      </c>
      <c r="J5154" s="1127">
        <v>0.69</v>
      </c>
      <c r="K5154" s="1124"/>
    </row>
    <row r="5155" ht="15.75" customHeight="1">
      <c r="A5155" s="1119">
        <v>98064.0</v>
      </c>
      <c r="B5155" s="1125" t="s">
        <v>15433</v>
      </c>
      <c r="C5155" s="1126" t="s">
        <v>1788</v>
      </c>
      <c r="D5155" s="1128">
        <v>4085.03</v>
      </c>
      <c r="E5155" s="1120">
        <v>426.15</v>
      </c>
      <c r="F5155" s="1121">
        <f t="shared" si="1"/>
        <v>3658.91</v>
      </c>
      <c r="G5155" s="1120">
        <v>3561.89</v>
      </c>
      <c r="H5155" s="1127">
        <v>96.33</v>
      </c>
      <c r="I5155" s="1127">
        <v>0.0</v>
      </c>
      <c r="J5155" s="1127">
        <v>0.69</v>
      </c>
      <c r="K5155" s="1124"/>
    </row>
    <row r="5156" ht="15.75" customHeight="1">
      <c r="A5156" s="1119">
        <v>98065.0</v>
      </c>
      <c r="B5156" s="1125" t="s">
        <v>15434</v>
      </c>
      <c r="C5156" s="1126" t="s">
        <v>1788</v>
      </c>
      <c r="D5156" s="1128">
        <v>5661.68</v>
      </c>
      <c r="E5156" s="1120">
        <v>567.28</v>
      </c>
      <c r="F5156" s="1121">
        <f t="shared" si="1"/>
        <v>5094.42</v>
      </c>
      <c r="G5156" s="1120">
        <v>4979.38</v>
      </c>
      <c r="H5156" s="1127">
        <v>114.05</v>
      </c>
      <c r="I5156" s="1127">
        <v>0.0</v>
      </c>
      <c r="J5156" s="1127">
        <v>0.99</v>
      </c>
      <c r="K5156" s="1124"/>
    </row>
    <row r="5157" ht="15.75" customHeight="1">
      <c r="A5157" s="1119">
        <v>98066.0</v>
      </c>
      <c r="B5157" s="1125" t="s">
        <v>15435</v>
      </c>
      <c r="C5157" s="1126" t="s">
        <v>1788</v>
      </c>
      <c r="D5157" s="1128">
        <v>4913.28</v>
      </c>
      <c r="E5157" s="1120">
        <v>1832.69</v>
      </c>
      <c r="F5157" s="1121">
        <f t="shared" si="1"/>
        <v>3080.8</v>
      </c>
      <c r="G5157" s="1120">
        <v>3058.52</v>
      </c>
      <c r="H5157" s="1127">
        <v>19.83</v>
      </c>
      <c r="I5157" s="1127">
        <v>0.0</v>
      </c>
      <c r="J5157" s="1127">
        <v>2.45</v>
      </c>
      <c r="K5157" s="1124"/>
    </row>
    <row r="5158" ht="15.75" customHeight="1">
      <c r="A5158" s="1119">
        <v>98067.0</v>
      </c>
      <c r="B5158" s="1125" t="s">
        <v>15436</v>
      </c>
      <c r="C5158" s="1126" t="s">
        <v>1788</v>
      </c>
      <c r="D5158" s="1128">
        <v>6547.13</v>
      </c>
      <c r="E5158" s="1120">
        <v>2451.61</v>
      </c>
      <c r="F5158" s="1121">
        <f t="shared" si="1"/>
        <v>4095.84</v>
      </c>
      <c r="G5158" s="1120">
        <v>4066.28</v>
      </c>
      <c r="H5158" s="1127">
        <v>26.32</v>
      </c>
      <c r="I5158" s="1127">
        <v>0.0</v>
      </c>
      <c r="J5158" s="1127">
        <v>3.24</v>
      </c>
      <c r="K5158" s="1124"/>
    </row>
    <row r="5159" ht="15.75" customHeight="1">
      <c r="A5159" s="1119">
        <v>98068.0</v>
      </c>
      <c r="B5159" s="1125" t="s">
        <v>15437</v>
      </c>
      <c r="C5159" s="1126" t="s">
        <v>1788</v>
      </c>
      <c r="D5159" s="1128">
        <v>9244.54</v>
      </c>
      <c r="E5159" s="1120">
        <v>3478.33</v>
      </c>
      <c r="F5159" s="1121">
        <f t="shared" si="1"/>
        <v>5766.56</v>
      </c>
      <c r="G5159" s="1120">
        <v>5724.38</v>
      </c>
      <c r="H5159" s="1127">
        <v>37.59</v>
      </c>
      <c r="I5159" s="1127">
        <v>0.0</v>
      </c>
      <c r="J5159" s="1127">
        <v>4.59</v>
      </c>
      <c r="K5159" s="1124"/>
    </row>
    <row r="5160" ht="15.75" customHeight="1">
      <c r="A5160" s="1119">
        <v>98069.0</v>
      </c>
      <c r="B5160" s="1125" t="s">
        <v>15438</v>
      </c>
      <c r="C5160" s="1126" t="s">
        <v>1788</v>
      </c>
      <c r="D5160" s="1128">
        <v>12422.3</v>
      </c>
      <c r="E5160" s="1120">
        <v>4707.95</v>
      </c>
      <c r="F5160" s="1121">
        <f t="shared" si="1"/>
        <v>7714.84</v>
      </c>
      <c r="G5160" s="1120">
        <v>7653.32</v>
      </c>
      <c r="H5160" s="1127">
        <v>55.11</v>
      </c>
      <c r="I5160" s="1127">
        <v>0.0</v>
      </c>
      <c r="J5160" s="1127">
        <v>6.41</v>
      </c>
      <c r="K5160" s="1124"/>
    </row>
    <row r="5161" ht="15.75" customHeight="1">
      <c r="A5161" s="1119">
        <v>98070.0</v>
      </c>
      <c r="B5161" s="1125" t="s">
        <v>15439</v>
      </c>
      <c r="C5161" s="1126" t="s">
        <v>1788</v>
      </c>
      <c r="D5161" s="1128">
        <v>14195.36</v>
      </c>
      <c r="E5161" s="1120">
        <v>5371.5</v>
      </c>
      <c r="F5161" s="1121">
        <f t="shared" si="1"/>
        <v>8824.41</v>
      </c>
      <c r="G5161" s="1120">
        <v>8757.42</v>
      </c>
      <c r="H5161" s="1127">
        <v>59.86</v>
      </c>
      <c r="I5161" s="1127">
        <v>0.0</v>
      </c>
      <c r="J5161" s="1127">
        <v>7.13</v>
      </c>
      <c r="K5161" s="1124"/>
    </row>
    <row r="5162" ht="15.75" customHeight="1">
      <c r="A5162" s="1119">
        <v>98071.0</v>
      </c>
      <c r="B5162" s="1125" t="s">
        <v>15440</v>
      </c>
      <c r="C5162" s="1126" t="s">
        <v>1788</v>
      </c>
      <c r="D5162" s="1128">
        <v>15494.63</v>
      </c>
      <c r="E5162" s="1120">
        <v>5834.85</v>
      </c>
      <c r="F5162" s="1121">
        <f t="shared" si="1"/>
        <v>9660.29</v>
      </c>
      <c r="G5162" s="1120">
        <v>9593.95</v>
      </c>
      <c r="H5162" s="1127">
        <v>59.0</v>
      </c>
      <c r="I5162" s="1127">
        <v>0.0</v>
      </c>
      <c r="J5162" s="1127">
        <v>7.34</v>
      </c>
      <c r="K5162" s="1124"/>
    </row>
    <row r="5163" ht="15.75" customHeight="1">
      <c r="A5163" s="1119">
        <v>98072.0</v>
      </c>
      <c r="B5163" s="1125" t="s">
        <v>15441</v>
      </c>
      <c r="C5163" s="1126" t="s">
        <v>1788</v>
      </c>
      <c r="D5163" s="1128">
        <v>4124.09</v>
      </c>
      <c r="E5163" s="1120">
        <v>1552.66</v>
      </c>
      <c r="F5163" s="1121">
        <f t="shared" si="1"/>
        <v>2571.61</v>
      </c>
      <c r="G5163" s="1120">
        <v>2531.81</v>
      </c>
      <c r="H5163" s="1127">
        <v>37.7</v>
      </c>
      <c r="I5163" s="1127">
        <v>0.0</v>
      </c>
      <c r="J5163" s="1127">
        <v>2.1</v>
      </c>
      <c r="K5163" s="1124"/>
    </row>
    <row r="5164" ht="15.75" customHeight="1">
      <c r="A5164" s="1119">
        <v>98073.0</v>
      </c>
      <c r="B5164" s="1125" t="s">
        <v>15442</v>
      </c>
      <c r="C5164" s="1126" t="s">
        <v>1788</v>
      </c>
      <c r="D5164" s="1128">
        <v>6436.89</v>
      </c>
      <c r="E5164" s="1120">
        <v>2447.15</v>
      </c>
      <c r="F5164" s="1121">
        <f t="shared" si="1"/>
        <v>3990.04</v>
      </c>
      <c r="G5164" s="1120">
        <v>3913.26</v>
      </c>
      <c r="H5164" s="1127">
        <v>73.29</v>
      </c>
      <c r="I5164" s="1127">
        <v>0.0</v>
      </c>
      <c r="J5164" s="1127">
        <v>3.49</v>
      </c>
      <c r="K5164" s="1124"/>
    </row>
    <row r="5165" ht="15.75" customHeight="1">
      <c r="A5165" s="1119">
        <v>98074.0</v>
      </c>
      <c r="B5165" s="1125" t="s">
        <v>15443</v>
      </c>
      <c r="C5165" s="1126" t="s">
        <v>1788</v>
      </c>
      <c r="D5165" s="1128">
        <v>9968.34</v>
      </c>
      <c r="E5165" s="1120">
        <v>3814.16</v>
      </c>
      <c r="F5165" s="1121">
        <f t="shared" si="1"/>
        <v>6154.61</v>
      </c>
      <c r="G5165" s="1120">
        <v>6008.61</v>
      </c>
      <c r="H5165" s="1127">
        <v>140.35</v>
      </c>
      <c r="I5165" s="1127">
        <v>0.0</v>
      </c>
      <c r="J5165" s="1127">
        <v>5.65</v>
      </c>
      <c r="K5165" s="1124"/>
    </row>
    <row r="5166" ht="15.75" customHeight="1">
      <c r="A5166" s="1119">
        <v>98075.0</v>
      </c>
      <c r="B5166" s="1125" t="s">
        <v>15444</v>
      </c>
      <c r="C5166" s="1126" t="s">
        <v>1788</v>
      </c>
      <c r="D5166" s="1128">
        <v>12946.7</v>
      </c>
      <c r="E5166" s="1120">
        <v>4964.33</v>
      </c>
      <c r="F5166" s="1121">
        <f t="shared" si="1"/>
        <v>7983</v>
      </c>
      <c r="G5166" s="1120">
        <v>7780.17</v>
      </c>
      <c r="H5166" s="1127">
        <v>195.4</v>
      </c>
      <c r="I5166" s="1127">
        <v>0.0</v>
      </c>
      <c r="J5166" s="1127">
        <v>7.43</v>
      </c>
      <c r="K5166" s="1124"/>
    </row>
    <row r="5167" ht="15.75" customHeight="1">
      <c r="A5167" s="1119">
        <v>98076.0</v>
      </c>
      <c r="B5167" s="1125" t="s">
        <v>15445</v>
      </c>
      <c r="C5167" s="1126" t="s">
        <v>1788</v>
      </c>
      <c r="D5167" s="1128">
        <v>14904.36</v>
      </c>
      <c r="E5167" s="1120">
        <v>5730.54</v>
      </c>
      <c r="F5167" s="1121">
        <f t="shared" si="1"/>
        <v>9174.48</v>
      </c>
      <c r="G5167" s="1120">
        <v>8924.2</v>
      </c>
      <c r="H5167" s="1127">
        <v>241.52</v>
      </c>
      <c r="I5167" s="1127">
        <v>0.0</v>
      </c>
      <c r="J5167" s="1127">
        <v>8.76</v>
      </c>
      <c r="K5167" s="1124"/>
    </row>
    <row r="5168" ht="15.75" customHeight="1">
      <c r="A5168" s="1119">
        <v>98077.0</v>
      </c>
      <c r="B5168" s="1125" t="s">
        <v>15446</v>
      </c>
      <c r="C5168" s="1126" t="s">
        <v>1788</v>
      </c>
      <c r="D5168" s="1128">
        <v>17535.75</v>
      </c>
      <c r="E5168" s="1120">
        <v>6749.24</v>
      </c>
      <c r="F5168" s="1121">
        <f t="shared" si="1"/>
        <v>10787.3</v>
      </c>
      <c r="G5168" s="1120">
        <v>10483.14</v>
      </c>
      <c r="H5168" s="1127">
        <v>293.77</v>
      </c>
      <c r="I5168" s="1127">
        <v>0.0</v>
      </c>
      <c r="J5168" s="1127">
        <v>10.39</v>
      </c>
      <c r="K5168" s="1124"/>
    </row>
    <row r="5169" ht="15.75" customHeight="1">
      <c r="A5169" s="1119">
        <v>98078.0</v>
      </c>
      <c r="B5169" s="1125" t="s">
        <v>15447</v>
      </c>
      <c r="C5169" s="1126" t="s">
        <v>1788</v>
      </c>
      <c r="D5169" s="1128">
        <v>4563.77</v>
      </c>
      <c r="E5169" s="1120">
        <v>1569.18</v>
      </c>
      <c r="F5169" s="1121">
        <f t="shared" si="1"/>
        <v>2994.69</v>
      </c>
      <c r="G5169" s="1120">
        <v>2973.55</v>
      </c>
      <c r="H5169" s="1127">
        <v>19.86</v>
      </c>
      <c r="I5169" s="1127">
        <v>0.0</v>
      </c>
      <c r="J5169" s="1127">
        <v>1.28</v>
      </c>
      <c r="K5169" s="1124"/>
    </row>
    <row r="5170" ht="15.75" customHeight="1">
      <c r="A5170" s="1119">
        <v>98079.0</v>
      </c>
      <c r="B5170" s="1125" t="s">
        <v>15448</v>
      </c>
      <c r="C5170" s="1126" t="s">
        <v>1788</v>
      </c>
      <c r="D5170" s="1128">
        <v>7975.63</v>
      </c>
      <c r="E5170" s="1120">
        <v>2751.65</v>
      </c>
      <c r="F5170" s="1121">
        <f t="shared" si="1"/>
        <v>5224.07</v>
      </c>
      <c r="G5170" s="1120">
        <v>5175.05</v>
      </c>
      <c r="H5170" s="1127">
        <v>46.65</v>
      </c>
      <c r="I5170" s="1127">
        <v>0.0</v>
      </c>
      <c r="J5170" s="1127">
        <v>2.37</v>
      </c>
      <c r="K5170" s="1124"/>
    </row>
    <row r="5171" ht="15.75" customHeight="1">
      <c r="A5171" s="1119">
        <v>98080.0</v>
      </c>
      <c r="B5171" s="1125" t="s">
        <v>15449</v>
      </c>
      <c r="C5171" s="1126" t="s">
        <v>1788</v>
      </c>
      <c r="D5171" s="1128">
        <v>10227.3</v>
      </c>
      <c r="E5171" s="1120">
        <v>3558.6</v>
      </c>
      <c r="F5171" s="1121">
        <f t="shared" si="1"/>
        <v>6668.89</v>
      </c>
      <c r="G5171" s="1120">
        <v>6587.78</v>
      </c>
      <c r="H5171" s="1127">
        <v>77.8</v>
      </c>
      <c r="I5171" s="1127">
        <v>0.0</v>
      </c>
      <c r="J5171" s="1127">
        <v>3.31</v>
      </c>
      <c r="K5171" s="1124"/>
    </row>
    <row r="5172" ht="15.75" customHeight="1">
      <c r="A5172" s="1119">
        <v>98081.0</v>
      </c>
      <c r="B5172" s="1125" t="s">
        <v>15450</v>
      </c>
      <c r="C5172" s="1126" t="s">
        <v>1788</v>
      </c>
      <c r="D5172" s="1128">
        <v>15129.43</v>
      </c>
      <c r="E5172" s="1120">
        <v>5287.5</v>
      </c>
      <c r="F5172" s="1121">
        <f t="shared" si="1"/>
        <v>9842.2</v>
      </c>
      <c r="G5172" s="1120">
        <v>9707.77</v>
      </c>
      <c r="H5172" s="1127">
        <v>129.33</v>
      </c>
      <c r="I5172" s="1127">
        <v>0.0</v>
      </c>
      <c r="J5172" s="1127">
        <v>5.1</v>
      </c>
      <c r="K5172" s="1124"/>
    </row>
    <row r="5173" ht="15.75" customHeight="1">
      <c r="A5173" s="1119">
        <v>98082.0</v>
      </c>
      <c r="B5173" s="1125" t="s">
        <v>15451</v>
      </c>
      <c r="C5173" s="1126" t="s">
        <v>1788</v>
      </c>
      <c r="D5173" s="1128">
        <v>3692.66</v>
      </c>
      <c r="E5173" s="1120">
        <v>1451.47</v>
      </c>
      <c r="F5173" s="1121">
        <f t="shared" si="1"/>
        <v>2241.37</v>
      </c>
      <c r="G5173" s="1120">
        <v>2220.33</v>
      </c>
      <c r="H5173" s="1127">
        <v>18.96</v>
      </c>
      <c r="I5173" s="1127">
        <v>0.0</v>
      </c>
      <c r="J5173" s="1127">
        <v>2.08</v>
      </c>
      <c r="K5173" s="1124"/>
    </row>
    <row r="5174" ht="15.75" customHeight="1">
      <c r="A5174" s="1119">
        <v>98083.0</v>
      </c>
      <c r="B5174" s="1125" t="s">
        <v>15452</v>
      </c>
      <c r="C5174" s="1126" t="s">
        <v>1788</v>
      </c>
      <c r="D5174" s="1128">
        <v>4868.55</v>
      </c>
      <c r="E5174" s="1120">
        <v>1929.82</v>
      </c>
      <c r="F5174" s="1121">
        <f t="shared" si="1"/>
        <v>2939.02</v>
      </c>
      <c r="G5174" s="1120">
        <v>2911.16</v>
      </c>
      <c r="H5174" s="1127">
        <v>25.15</v>
      </c>
      <c r="I5174" s="1127">
        <v>0.0</v>
      </c>
      <c r="J5174" s="1127">
        <v>2.71</v>
      </c>
      <c r="K5174" s="1124"/>
    </row>
    <row r="5175" ht="15.75" customHeight="1">
      <c r="A5175" s="1119">
        <v>98084.0</v>
      </c>
      <c r="B5175" s="1125" t="s">
        <v>15453</v>
      </c>
      <c r="C5175" s="1126" t="s">
        <v>1788</v>
      </c>
      <c r="D5175" s="1128">
        <v>6827.93</v>
      </c>
      <c r="E5175" s="1120">
        <v>2729.56</v>
      </c>
      <c r="F5175" s="1121">
        <f t="shared" si="1"/>
        <v>4098.67</v>
      </c>
      <c r="G5175" s="1120">
        <v>4058.96</v>
      </c>
      <c r="H5175" s="1127">
        <v>35.9</v>
      </c>
      <c r="I5175" s="1127">
        <v>0.0</v>
      </c>
      <c r="J5175" s="1127">
        <v>3.81</v>
      </c>
      <c r="K5175" s="1124"/>
    </row>
    <row r="5176" ht="15.75" customHeight="1">
      <c r="A5176" s="1119">
        <v>98085.0</v>
      </c>
      <c r="B5176" s="1125" t="s">
        <v>15454</v>
      </c>
      <c r="C5176" s="1126" t="s">
        <v>1788</v>
      </c>
      <c r="D5176" s="1128">
        <v>9275.52</v>
      </c>
      <c r="E5176" s="1120">
        <v>3731.91</v>
      </c>
      <c r="F5176" s="1121">
        <f t="shared" si="1"/>
        <v>5544.05</v>
      </c>
      <c r="G5176" s="1120">
        <v>5485.76</v>
      </c>
      <c r="H5176" s="1127">
        <v>52.91</v>
      </c>
      <c r="I5176" s="1127">
        <v>0.0</v>
      </c>
      <c r="J5176" s="1127">
        <v>5.38</v>
      </c>
      <c r="K5176" s="1124"/>
    </row>
    <row r="5177" ht="15.75" customHeight="1">
      <c r="A5177" s="1119">
        <v>98086.0</v>
      </c>
      <c r="B5177" s="1125" t="s">
        <v>15455</v>
      </c>
      <c r="C5177" s="1126" t="s">
        <v>1788</v>
      </c>
      <c r="D5177" s="1128">
        <v>10457.56</v>
      </c>
      <c r="E5177" s="1120">
        <v>4215.75</v>
      </c>
      <c r="F5177" s="1121">
        <f t="shared" si="1"/>
        <v>6242.29</v>
      </c>
      <c r="G5177" s="1120">
        <v>6179.16</v>
      </c>
      <c r="H5177" s="1127">
        <v>57.23</v>
      </c>
      <c r="I5177" s="1127">
        <v>0.0</v>
      </c>
      <c r="J5177" s="1127">
        <v>5.9</v>
      </c>
      <c r="K5177" s="1124"/>
    </row>
    <row r="5178" ht="15.75" customHeight="1">
      <c r="A5178" s="1119">
        <v>98087.0</v>
      </c>
      <c r="B5178" s="1125" t="s">
        <v>15456</v>
      </c>
      <c r="C5178" s="1126" t="s">
        <v>1788</v>
      </c>
      <c r="D5178" s="1128">
        <v>11131.81</v>
      </c>
      <c r="E5178" s="1120">
        <v>4492.66</v>
      </c>
      <c r="F5178" s="1121">
        <f t="shared" si="1"/>
        <v>6639.58</v>
      </c>
      <c r="G5178" s="1120">
        <v>6577.74</v>
      </c>
      <c r="H5178" s="1127">
        <v>55.92</v>
      </c>
      <c r="I5178" s="1127">
        <v>0.0</v>
      </c>
      <c r="J5178" s="1127">
        <v>5.92</v>
      </c>
      <c r="K5178" s="1124"/>
    </row>
    <row r="5179" ht="15.75" customHeight="1">
      <c r="A5179" s="1119">
        <v>98088.0</v>
      </c>
      <c r="B5179" s="1125" t="s">
        <v>15457</v>
      </c>
      <c r="C5179" s="1126" t="s">
        <v>1788</v>
      </c>
      <c r="D5179" s="1128">
        <v>3177.08</v>
      </c>
      <c r="E5179" s="1120">
        <v>1242.73</v>
      </c>
      <c r="F5179" s="1121">
        <f t="shared" si="1"/>
        <v>1934.53</v>
      </c>
      <c r="G5179" s="1120">
        <v>1908.07</v>
      </c>
      <c r="H5179" s="1127">
        <v>24.62</v>
      </c>
      <c r="I5179" s="1127">
        <v>0.0</v>
      </c>
      <c r="J5179" s="1127">
        <v>1.84</v>
      </c>
      <c r="K5179" s="1124"/>
    </row>
    <row r="5180" ht="15.75" customHeight="1">
      <c r="A5180" s="1119">
        <v>98089.0</v>
      </c>
      <c r="B5180" s="1125" t="s">
        <v>15458</v>
      </c>
      <c r="C5180" s="1126" t="s">
        <v>1788</v>
      </c>
      <c r="D5180" s="1128">
        <v>5021.43</v>
      </c>
      <c r="E5180" s="1120">
        <v>1983.62</v>
      </c>
      <c r="F5180" s="1121">
        <f t="shared" si="1"/>
        <v>3038.08</v>
      </c>
      <c r="G5180" s="1120">
        <v>2981.21</v>
      </c>
      <c r="H5180" s="1127">
        <v>53.81</v>
      </c>
      <c r="I5180" s="1127">
        <v>0.0</v>
      </c>
      <c r="J5180" s="1127">
        <v>3.06</v>
      </c>
      <c r="K5180" s="1124"/>
    </row>
    <row r="5181" ht="15.75" customHeight="1">
      <c r="A5181" s="1119">
        <v>98090.0</v>
      </c>
      <c r="B5181" s="1125" t="s">
        <v>15459</v>
      </c>
      <c r="C5181" s="1126" t="s">
        <v>1788</v>
      </c>
      <c r="D5181" s="1128">
        <v>7881.02</v>
      </c>
      <c r="E5181" s="1120">
        <v>3128.62</v>
      </c>
      <c r="F5181" s="1121">
        <f t="shared" si="1"/>
        <v>4752.77</v>
      </c>
      <c r="G5181" s="1120">
        <v>4641.13</v>
      </c>
      <c r="H5181" s="1127">
        <v>106.65</v>
      </c>
      <c r="I5181" s="1127">
        <v>0.0</v>
      </c>
      <c r="J5181" s="1127">
        <v>4.99</v>
      </c>
      <c r="K5181" s="1124"/>
    </row>
    <row r="5182" ht="15.75" customHeight="1">
      <c r="A5182" s="1119">
        <v>98091.0</v>
      </c>
      <c r="B5182" s="1125" t="s">
        <v>15460</v>
      </c>
      <c r="C5182" s="1126" t="s">
        <v>1788</v>
      </c>
      <c r="D5182" s="1128">
        <v>10289.0</v>
      </c>
      <c r="E5182" s="1120">
        <v>4090.87</v>
      </c>
      <c r="F5182" s="1121">
        <f t="shared" si="1"/>
        <v>6198.67</v>
      </c>
      <c r="G5182" s="1120">
        <v>6040.82</v>
      </c>
      <c r="H5182" s="1127">
        <v>151.26</v>
      </c>
      <c r="I5182" s="1127">
        <v>0.0</v>
      </c>
      <c r="J5182" s="1127">
        <v>6.59</v>
      </c>
      <c r="K5182" s="1124"/>
    </row>
    <row r="5183" ht="15.75" customHeight="1">
      <c r="A5183" s="1119">
        <v>98092.0</v>
      </c>
      <c r="B5183" s="1125" t="s">
        <v>15461</v>
      </c>
      <c r="C5183" s="1126" t="s">
        <v>1788</v>
      </c>
      <c r="D5183" s="1128">
        <v>11948.84</v>
      </c>
      <c r="E5183" s="1120">
        <v>4757.76</v>
      </c>
      <c r="F5183" s="1121">
        <f t="shared" si="1"/>
        <v>7191.67</v>
      </c>
      <c r="G5183" s="1120">
        <v>6995.87</v>
      </c>
      <c r="H5183" s="1127">
        <v>188.0</v>
      </c>
      <c r="I5183" s="1127">
        <v>0.0</v>
      </c>
      <c r="J5183" s="1127">
        <v>7.8</v>
      </c>
      <c r="K5183" s="1124"/>
    </row>
    <row r="5184" ht="15.75" customHeight="1">
      <c r="A5184" s="1119">
        <v>98093.0</v>
      </c>
      <c r="B5184" s="1125" t="s">
        <v>15462</v>
      </c>
      <c r="C5184" s="1126" t="s">
        <v>1788</v>
      </c>
      <c r="D5184" s="1128">
        <v>14100.66</v>
      </c>
      <c r="E5184" s="1120">
        <v>5618.09</v>
      </c>
      <c r="F5184" s="1121">
        <f t="shared" si="1"/>
        <v>8483.27</v>
      </c>
      <c r="G5184" s="1120">
        <v>8243.82</v>
      </c>
      <c r="H5184" s="1127">
        <v>230.19</v>
      </c>
      <c r="I5184" s="1127">
        <v>0.0</v>
      </c>
      <c r="J5184" s="1127">
        <v>9.26</v>
      </c>
      <c r="K5184" s="1124"/>
    </row>
    <row r="5185" ht="15.75" customHeight="1">
      <c r="A5185" s="1119">
        <v>98094.0</v>
      </c>
      <c r="B5185" s="1125" t="s">
        <v>15463</v>
      </c>
      <c r="C5185" s="1126" t="s">
        <v>1788</v>
      </c>
      <c r="D5185" s="1128">
        <v>2592.72</v>
      </c>
      <c r="E5185" s="1120">
        <v>991.23</v>
      </c>
      <c r="F5185" s="1121">
        <f t="shared" si="1"/>
        <v>1601.59</v>
      </c>
      <c r="G5185" s="1120">
        <v>1581.72</v>
      </c>
      <c r="H5185" s="1127">
        <v>18.94</v>
      </c>
      <c r="I5185" s="1127">
        <v>0.0</v>
      </c>
      <c r="J5185" s="1127">
        <v>0.93</v>
      </c>
      <c r="K5185" s="1124"/>
    </row>
    <row r="5186" ht="15.75" customHeight="1">
      <c r="A5186" s="1119">
        <v>98099.0</v>
      </c>
      <c r="B5186" s="1125" t="s">
        <v>15464</v>
      </c>
      <c r="C5186" s="1126" t="s">
        <v>1788</v>
      </c>
      <c r="D5186" s="1128">
        <v>4421.38</v>
      </c>
      <c r="E5186" s="1120">
        <v>1701.66</v>
      </c>
      <c r="F5186" s="1121">
        <f t="shared" si="1"/>
        <v>2719.79</v>
      </c>
      <c r="G5186" s="1120">
        <v>2673.2</v>
      </c>
      <c r="H5186" s="1127">
        <v>44.96</v>
      </c>
      <c r="I5186" s="1127">
        <v>0.0</v>
      </c>
      <c r="J5186" s="1127">
        <v>1.63</v>
      </c>
      <c r="K5186" s="1124"/>
    </row>
    <row r="5187" ht="15.75" customHeight="1">
      <c r="A5187" s="1119">
        <v>98100.0</v>
      </c>
      <c r="B5187" s="1125" t="s">
        <v>15465</v>
      </c>
      <c r="C5187" s="1126" t="s">
        <v>1788</v>
      </c>
      <c r="D5187" s="1128">
        <v>5793.43</v>
      </c>
      <c r="E5187" s="1120">
        <v>2246.41</v>
      </c>
      <c r="F5187" s="1121">
        <f t="shared" si="1"/>
        <v>3547.14</v>
      </c>
      <c r="G5187" s="1120">
        <v>3469.13</v>
      </c>
      <c r="H5187" s="1127">
        <v>75.68</v>
      </c>
      <c r="I5187" s="1127">
        <v>0.0</v>
      </c>
      <c r="J5187" s="1127">
        <v>2.33</v>
      </c>
      <c r="K5187" s="1124"/>
    </row>
    <row r="5188" ht="15.75" customHeight="1">
      <c r="A5188" s="1119">
        <v>98101.0</v>
      </c>
      <c r="B5188" s="1125" t="s">
        <v>15466</v>
      </c>
      <c r="C5188" s="1126" t="s">
        <v>1788</v>
      </c>
      <c r="D5188" s="1128">
        <v>8562.41</v>
      </c>
      <c r="E5188" s="1120">
        <v>3340.85</v>
      </c>
      <c r="F5188" s="1121">
        <f t="shared" si="1"/>
        <v>5221.76</v>
      </c>
      <c r="G5188" s="1120">
        <v>5092.08</v>
      </c>
      <c r="H5188" s="1127">
        <v>126.1</v>
      </c>
      <c r="I5188" s="1127">
        <v>0.0</v>
      </c>
      <c r="J5188" s="1127">
        <v>3.58</v>
      </c>
      <c r="K5188" s="1124"/>
    </row>
    <row r="5189" ht="15.75" customHeight="1">
      <c r="A5189" s="1119">
        <v>98109.0</v>
      </c>
      <c r="B5189" s="1125" t="s">
        <v>15467</v>
      </c>
      <c r="C5189" s="1126" t="s">
        <v>1788</v>
      </c>
      <c r="D5189" s="1119">
        <v>826.72</v>
      </c>
      <c r="E5189" s="1120">
        <v>393.05</v>
      </c>
      <c r="F5189" s="1121">
        <f t="shared" si="1"/>
        <v>433.73</v>
      </c>
      <c r="G5189" s="1120">
        <v>431.46</v>
      </c>
      <c r="H5189" s="1127">
        <v>1.94</v>
      </c>
      <c r="I5189" s="1127">
        <v>0.0</v>
      </c>
      <c r="J5189" s="1127">
        <v>0.33</v>
      </c>
      <c r="K5189" s="1124"/>
    </row>
    <row r="5190" ht="15.75" customHeight="1">
      <c r="A5190" s="1119">
        <v>98110.0</v>
      </c>
      <c r="B5190" s="1125" t="s">
        <v>15468</v>
      </c>
      <c r="C5190" s="1126" t="s">
        <v>1788</v>
      </c>
      <c r="D5190" s="1119">
        <v>387.1</v>
      </c>
      <c r="E5190" s="1120">
        <v>12.34</v>
      </c>
      <c r="F5190" s="1121">
        <f t="shared" si="1"/>
        <v>374.75</v>
      </c>
      <c r="G5190" s="1120">
        <v>374.75</v>
      </c>
      <c r="H5190" s="1127">
        <v>0.0</v>
      </c>
      <c r="I5190" s="1127">
        <v>0.0</v>
      </c>
      <c r="J5190" s="1127">
        <v>0.0</v>
      </c>
      <c r="K5190" s="1124"/>
    </row>
    <row r="5191" ht="15.75" customHeight="1">
      <c r="A5191" s="1119">
        <v>98111.0</v>
      </c>
      <c r="B5191" s="1125" t="s">
        <v>15469</v>
      </c>
      <c r="C5191" s="1126" t="s">
        <v>1788</v>
      </c>
      <c r="D5191" s="1119">
        <v>53.43</v>
      </c>
      <c r="E5191" s="1120">
        <v>6.78</v>
      </c>
      <c r="F5191" s="1121">
        <f t="shared" si="1"/>
        <v>46.66</v>
      </c>
      <c r="G5191" s="1120">
        <v>46.66</v>
      </c>
      <c r="H5191" s="1127">
        <v>0.0</v>
      </c>
      <c r="I5191" s="1127">
        <v>0.0</v>
      </c>
      <c r="J5191" s="1127">
        <v>0.0</v>
      </c>
      <c r="K5191" s="1124"/>
    </row>
    <row r="5192" ht="15.75" customHeight="1">
      <c r="A5192" s="1119">
        <v>98112.0</v>
      </c>
      <c r="B5192" s="1125" t="s">
        <v>15470</v>
      </c>
      <c r="C5192" s="1126" t="s">
        <v>1788</v>
      </c>
      <c r="D5192" s="1119">
        <v>108.85</v>
      </c>
      <c r="E5192" s="1120">
        <v>18.88</v>
      </c>
      <c r="F5192" s="1121">
        <f t="shared" si="1"/>
        <v>89.98</v>
      </c>
      <c r="G5192" s="1120">
        <v>89.98</v>
      </c>
      <c r="H5192" s="1127">
        <v>0.0</v>
      </c>
      <c r="I5192" s="1127">
        <v>0.0</v>
      </c>
      <c r="J5192" s="1127">
        <v>0.0</v>
      </c>
      <c r="K5192" s="1124"/>
    </row>
    <row r="5193" ht="15.75" customHeight="1">
      <c r="A5193" s="1119">
        <v>98114.0</v>
      </c>
      <c r="B5193" s="1125" t="s">
        <v>15471</v>
      </c>
      <c r="C5193" s="1126" t="s">
        <v>1788</v>
      </c>
      <c r="D5193" s="1119">
        <v>747.75</v>
      </c>
      <c r="E5193" s="1120">
        <v>45.67</v>
      </c>
      <c r="F5193" s="1121">
        <f t="shared" si="1"/>
        <v>702.1</v>
      </c>
      <c r="G5193" s="1120">
        <v>702.03</v>
      </c>
      <c r="H5193" s="1127">
        <v>0.05</v>
      </c>
      <c r="I5193" s="1127">
        <v>0.0</v>
      </c>
      <c r="J5193" s="1127">
        <v>0.02</v>
      </c>
      <c r="K5193" s="1124"/>
    </row>
    <row r="5194" ht="15.75" customHeight="1">
      <c r="A5194" s="1119">
        <v>98115.0</v>
      </c>
      <c r="B5194" s="1125" t="s">
        <v>15472</v>
      </c>
      <c r="C5194" s="1126" t="s">
        <v>1788</v>
      </c>
      <c r="D5194" s="1119">
        <v>105.84</v>
      </c>
      <c r="E5194" s="1120">
        <v>54.37</v>
      </c>
      <c r="F5194" s="1121">
        <f t="shared" si="1"/>
        <v>51.51</v>
      </c>
      <c r="G5194" s="1120">
        <v>50.93</v>
      </c>
      <c r="H5194" s="1127">
        <v>0.47</v>
      </c>
      <c r="I5194" s="1127">
        <v>0.0</v>
      </c>
      <c r="J5194" s="1127">
        <v>0.11</v>
      </c>
      <c r="K5194" s="1124"/>
    </row>
    <row r="5195" ht="15.75" customHeight="1">
      <c r="A5195" s="1119">
        <v>89957.0</v>
      </c>
      <c r="B5195" s="1125" t="s">
        <v>15473</v>
      </c>
      <c r="C5195" s="1126" t="s">
        <v>1788</v>
      </c>
      <c r="D5195" s="1119">
        <v>168.91</v>
      </c>
      <c r="E5195" s="1120">
        <v>107.72</v>
      </c>
      <c r="F5195" s="1121">
        <f t="shared" si="1"/>
        <v>61.22</v>
      </c>
      <c r="G5195" s="1120">
        <v>61.22</v>
      </c>
      <c r="H5195" s="1127">
        <v>0.0</v>
      </c>
      <c r="I5195" s="1127">
        <v>0.0</v>
      </c>
      <c r="J5195" s="1127">
        <v>0.0</v>
      </c>
      <c r="K5195" s="1124"/>
    </row>
    <row r="5196" ht="15.75" customHeight="1">
      <c r="A5196" s="1119">
        <v>89959.0</v>
      </c>
      <c r="B5196" s="1125" t="s">
        <v>15474</v>
      </c>
      <c r="C5196" s="1126" t="s">
        <v>1788</v>
      </c>
      <c r="D5196" s="1119">
        <v>272.72</v>
      </c>
      <c r="E5196" s="1120">
        <v>130.25</v>
      </c>
      <c r="F5196" s="1121">
        <f t="shared" si="1"/>
        <v>142.49</v>
      </c>
      <c r="G5196" s="1120">
        <v>142.49</v>
      </c>
      <c r="H5196" s="1127">
        <v>0.0</v>
      </c>
      <c r="I5196" s="1127">
        <v>0.0</v>
      </c>
      <c r="J5196" s="1127">
        <v>0.0</v>
      </c>
      <c r="K5196" s="1124"/>
    </row>
    <row r="5197" ht="15.75" customHeight="1">
      <c r="A5197" s="1119">
        <v>89349.0</v>
      </c>
      <c r="B5197" s="1125" t="s">
        <v>15475</v>
      </c>
      <c r="C5197" s="1126" t="s">
        <v>1788</v>
      </c>
      <c r="D5197" s="1119">
        <v>30.15</v>
      </c>
      <c r="E5197" s="1120">
        <v>3.1</v>
      </c>
      <c r="F5197" s="1121">
        <f t="shared" si="1"/>
        <v>27.05</v>
      </c>
      <c r="G5197" s="1120">
        <v>27.05</v>
      </c>
      <c r="H5197" s="1127">
        <v>0.0</v>
      </c>
      <c r="I5197" s="1127">
        <v>0.0</v>
      </c>
      <c r="J5197" s="1127">
        <v>0.0</v>
      </c>
      <c r="K5197" s="1124"/>
    </row>
    <row r="5198" ht="15.75" customHeight="1">
      <c r="A5198" s="1119">
        <v>89351.0</v>
      </c>
      <c r="B5198" s="1125" t="s">
        <v>15476</v>
      </c>
      <c r="C5198" s="1126" t="s">
        <v>1788</v>
      </c>
      <c r="D5198" s="1119">
        <v>37.42</v>
      </c>
      <c r="E5198" s="1120">
        <v>4.77</v>
      </c>
      <c r="F5198" s="1121">
        <f t="shared" si="1"/>
        <v>32.65</v>
      </c>
      <c r="G5198" s="1120">
        <v>32.65</v>
      </c>
      <c r="H5198" s="1127">
        <v>0.0</v>
      </c>
      <c r="I5198" s="1127">
        <v>0.0</v>
      </c>
      <c r="J5198" s="1127">
        <v>0.0</v>
      </c>
      <c r="K5198" s="1124"/>
    </row>
    <row r="5199" ht="15.75" customHeight="1">
      <c r="A5199" s="1119">
        <v>89352.0</v>
      </c>
      <c r="B5199" s="1125" t="s">
        <v>15477</v>
      </c>
      <c r="C5199" s="1126" t="s">
        <v>1788</v>
      </c>
      <c r="D5199" s="1119">
        <v>40.79</v>
      </c>
      <c r="E5199" s="1120">
        <v>3.1</v>
      </c>
      <c r="F5199" s="1121">
        <f t="shared" si="1"/>
        <v>37.69</v>
      </c>
      <c r="G5199" s="1120">
        <v>37.69</v>
      </c>
      <c r="H5199" s="1127">
        <v>0.0</v>
      </c>
      <c r="I5199" s="1127">
        <v>0.0</v>
      </c>
      <c r="J5199" s="1127">
        <v>0.0</v>
      </c>
      <c r="K5199" s="1124"/>
    </row>
    <row r="5200" ht="15.75" customHeight="1">
      <c r="A5200" s="1119">
        <v>89353.0</v>
      </c>
      <c r="B5200" s="1125" t="s">
        <v>15478</v>
      </c>
      <c r="C5200" s="1126" t="s">
        <v>1788</v>
      </c>
      <c r="D5200" s="1119">
        <v>45.04</v>
      </c>
      <c r="E5200" s="1120">
        <v>4.76</v>
      </c>
      <c r="F5200" s="1121">
        <f t="shared" si="1"/>
        <v>40.27</v>
      </c>
      <c r="G5200" s="1120">
        <v>40.27</v>
      </c>
      <c r="H5200" s="1127">
        <v>0.0</v>
      </c>
      <c r="I5200" s="1127">
        <v>0.0</v>
      </c>
      <c r="J5200" s="1127">
        <v>0.0</v>
      </c>
      <c r="K5200" s="1124"/>
    </row>
    <row r="5201" ht="15.75" customHeight="1">
      <c r="A5201" s="1119">
        <v>89354.0</v>
      </c>
      <c r="B5201" s="1125" t="s">
        <v>15479</v>
      </c>
      <c r="C5201" s="1126" t="s">
        <v>1788</v>
      </c>
      <c r="D5201" s="1119">
        <v>465.99</v>
      </c>
      <c r="E5201" s="1120">
        <v>26.85</v>
      </c>
      <c r="F5201" s="1121">
        <f t="shared" si="1"/>
        <v>439.14</v>
      </c>
      <c r="G5201" s="1120">
        <v>439.14</v>
      </c>
      <c r="H5201" s="1127">
        <v>0.0</v>
      </c>
      <c r="I5201" s="1127">
        <v>0.0</v>
      </c>
      <c r="J5201" s="1127">
        <v>0.0</v>
      </c>
      <c r="K5201" s="1124"/>
    </row>
    <row r="5202" ht="15.75" customHeight="1">
      <c r="A5202" s="1119">
        <v>89969.0</v>
      </c>
      <c r="B5202" s="1125" t="s">
        <v>15480</v>
      </c>
      <c r="C5202" s="1126" t="s">
        <v>1788</v>
      </c>
      <c r="D5202" s="1119">
        <v>47.39</v>
      </c>
      <c r="E5202" s="1120">
        <v>10.08</v>
      </c>
      <c r="F5202" s="1121">
        <f t="shared" si="1"/>
        <v>37.3</v>
      </c>
      <c r="G5202" s="1120">
        <v>37.3</v>
      </c>
      <c r="H5202" s="1127">
        <v>0.0</v>
      </c>
      <c r="I5202" s="1127">
        <v>0.0</v>
      </c>
      <c r="J5202" s="1127">
        <v>0.0</v>
      </c>
      <c r="K5202" s="1124"/>
    </row>
    <row r="5203" ht="15.75" customHeight="1">
      <c r="A5203" s="1119">
        <v>89970.0</v>
      </c>
      <c r="B5203" s="1125" t="s">
        <v>15481</v>
      </c>
      <c r="C5203" s="1126" t="s">
        <v>1788</v>
      </c>
      <c r="D5203" s="1119">
        <v>52.88</v>
      </c>
      <c r="E5203" s="1120">
        <v>12.97</v>
      </c>
      <c r="F5203" s="1121">
        <f t="shared" si="1"/>
        <v>39.92</v>
      </c>
      <c r="G5203" s="1120">
        <v>39.92</v>
      </c>
      <c r="H5203" s="1127">
        <v>0.0</v>
      </c>
      <c r="I5203" s="1127">
        <v>0.0</v>
      </c>
      <c r="J5203" s="1127">
        <v>0.0</v>
      </c>
      <c r="K5203" s="1124"/>
    </row>
    <row r="5204" ht="15.75" customHeight="1">
      <c r="A5204" s="1119">
        <v>89971.0</v>
      </c>
      <c r="B5204" s="1125" t="s">
        <v>15482</v>
      </c>
      <c r="C5204" s="1126" t="s">
        <v>1788</v>
      </c>
      <c r="D5204" s="1119">
        <v>53.47</v>
      </c>
      <c r="E5204" s="1120">
        <v>10.07</v>
      </c>
      <c r="F5204" s="1121">
        <f t="shared" si="1"/>
        <v>43.39</v>
      </c>
      <c r="G5204" s="1120">
        <v>43.39</v>
      </c>
      <c r="H5204" s="1127">
        <v>0.0</v>
      </c>
      <c r="I5204" s="1127">
        <v>0.0</v>
      </c>
      <c r="J5204" s="1127">
        <v>0.0</v>
      </c>
      <c r="K5204" s="1124"/>
    </row>
    <row r="5205" ht="15.75" customHeight="1">
      <c r="A5205" s="1119">
        <v>89972.0</v>
      </c>
      <c r="B5205" s="1125" t="s">
        <v>15483</v>
      </c>
      <c r="C5205" s="1126" t="s">
        <v>1788</v>
      </c>
      <c r="D5205" s="1119">
        <v>59.84</v>
      </c>
      <c r="E5205" s="1120">
        <v>12.96</v>
      </c>
      <c r="F5205" s="1121">
        <f t="shared" si="1"/>
        <v>46.89</v>
      </c>
      <c r="G5205" s="1120">
        <v>46.89</v>
      </c>
      <c r="H5205" s="1127">
        <v>0.0</v>
      </c>
      <c r="I5205" s="1127">
        <v>0.0</v>
      </c>
      <c r="J5205" s="1127">
        <v>0.0</v>
      </c>
      <c r="K5205" s="1124"/>
    </row>
    <row r="5206" ht="15.75" customHeight="1">
      <c r="A5206" s="1119">
        <v>89973.0</v>
      </c>
      <c r="B5206" s="1125" t="s">
        <v>15484</v>
      </c>
      <c r="C5206" s="1126" t="s">
        <v>1788</v>
      </c>
      <c r="D5206" s="1119">
        <v>698.39</v>
      </c>
      <c r="E5206" s="1120">
        <v>84.95</v>
      </c>
      <c r="F5206" s="1121">
        <f t="shared" si="1"/>
        <v>613.53</v>
      </c>
      <c r="G5206" s="1120">
        <v>613.53</v>
      </c>
      <c r="H5206" s="1127">
        <v>0.0</v>
      </c>
      <c r="I5206" s="1127">
        <v>0.0</v>
      </c>
      <c r="J5206" s="1127">
        <v>0.0</v>
      </c>
      <c r="K5206" s="1124"/>
    </row>
    <row r="5207" ht="15.75" customHeight="1">
      <c r="A5207" s="1119">
        <v>89974.0</v>
      </c>
      <c r="B5207" s="1125" t="s">
        <v>15485</v>
      </c>
      <c r="C5207" s="1126" t="s">
        <v>1788</v>
      </c>
      <c r="D5207" s="1119">
        <v>326.92</v>
      </c>
      <c r="E5207" s="1120">
        <v>71.62</v>
      </c>
      <c r="F5207" s="1121">
        <f t="shared" si="1"/>
        <v>255.36</v>
      </c>
      <c r="G5207" s="1120">
        <v>255.36</v>
      </c>
      <c r="H5207" s="1127">
        <v>0.0</v>
      </c>
      <c r="I5207" s="1127">
        <v>0.0</v>
      </c>
      <c r="J5207" s="1127">
        <v>0.0</v>
      </c>
      <c r="K5207" s="1124"/>
    </row>
    <row r="5208" ht="15.75" customHeight="1">
      <c r="A5208" s="1119">
        <v>89984.0</v>
      </c>
      <c r="B5208" s="1125" t="s">
        <v>15486</v>
      </c>
      <c r="C5208" s="1126" t="s">
        <v>1788</v>
      </c>
      <c r="D5208" s="1119">
        <v>96.41</v>
      </c>
      <c r="E5208" s="1120">
        <v>7.92</v>
      </c>
      <c r="F5208" s="1121">
        <f t="shared" si="1"/>
        <v>88.49</v>
      </c>
      <c r="G5208" s="1120">
        <v>88.49</v>
      </c>
      <c r="H5208" s="1127">
        <v>0.0</v>
      </c>
      <c r="I5208" s="1127">
        <v>0.0</v>
      </c>
      <c r="J5208" s="1127">
        <v>0.0</v>
      </c>
      <c r="K5208" s="1124"/>
    </row>
    <row r="5209" ht="15.75" customHeight="1">
      <c r="A5209" s="1119">
        <v>89985.0</v>
      </c>
      <c r="B5209" s="1125" t="s">
        <v>15487</v>
      </c>
      <c r="C5209" s="1126" t="s">
        <v>1788</v>
      </c>
      <c r="D5209" s="1119">
        <v>101.56</v>
      </c>
      <c r="E5209" s="1120">
        <v>9.58</v>
      </c>
      <c r="F5209" s="1121">
        <f t="shared" si="1"/>
        <v>91.98</v>
      </c>
      <c r="G5209" s="1120">
        <v>91.98</v>
      </c>
      <c r="H5209" s="1127">
        <v>0.0</v>
      </c>
      <c r="I5209" s="1127">
        <v>0.0</v>
      </c>
      <c r="J5209" s="1127">
        <v>0.0</v>
      </c>
      <c r="K5209" s="1124"/>
    </row>
    <row r="5210" ht="15.75" customHeight="1">
      <c r="A5210" s="1119">
        <v>89986.0</v>
      </c>
      <c r="B5210" s="1125" t="s">
        <v>15488</v>
      </c>
      <c r="C5210" s="1126" t="s">
        <v>1788</v>
      </c>
      <c r="D5210" s="1119">
        <v>93.97</v>
      </c>
      <c r="E5210" s="1120">
        <v>7.92</v>
      </c>
      <c r="F5210" s="1121">
        <f t="shared" si="1"/>
        <v>86.05</v>
      </c>
      <c r="G5210" s="1120">
        <v>86.05</v>
      </c>
      <c r="H5210" s="1127">
        <v>0.0</v>
      </c>
      <c r="I5210" s="1127">
        <v>0.0</v>
      </c>
      <c r="J5210" s="1127">
        <v>0.0</v>
      </c>
      <c r="K5210" s="1124"/>
    </row>
    <row r="5211" ht="15.75" customHeight="1">
      <c r="A5211" s="1119">
        <v>89987.0</v>
      </c>
      <c r="B5211" s="1125" t="s">
        <v>15489</v>
      </c>
      <c r="C5211" s="1126" t="s">
        <v>1788</v>
      </c>
      <c r="D5211" s="1119">
        <v>106.9</v>
      </c>
      <c r="E5211" s="1120">
        <v>9.58</v>
      </c>
      <c r="F5211" s="1121">
        <f t="shared" si="1"/>
        <v>97.32</v>
      </c>
      <c r="G5211" s="1120">
        <v>97.32</v>
      </c>
      <c r="H5211" s="1127">
        <v>0.0</v>
      </c>
      <c r="I5211" s="1127">
        <v>0.0</v>
      </c>
      <c r="J5211" s="1127">
        <v>0.0</v>
      </c>
      <c r="K5211" s="1124"/>
    </row>
    <row r="5212" ht="15.75" customHeight="1">
      <c r="A5212" s="1119">
        <v>90371.0</v>
      </c>
      <c r="B5212" s="1125" t="s">
        <v>15490</v>
      </c>
      <c r="C5212" s="1126" t="s">
        <v>1788</v>
      </c>
      <c r="D5212" s="1119">
        <v>33.0</v>
      </c>
      <c r="E5212" s="1120">
        <v>4.77</v>
      </c>
      <c r="F5212" s="1121">
        <f t="shared" si="1"/>
        <v>28.23</v>
      </c>
      <c r="G5212" s="1120">
        <v>28.23</v>
      </c>
      <c r="H5212" s="1127">
        <v>0.0</v>
      </c>
      <c r="I5212" s="1127">
        <v>0.0</v>
      </c>
      <c r="J5212" s="1127">
        <v>0.0</v>
      </c>
      <c r="K5212" s="1124"/>
    </row>
    <row r="5213" ht="15.75" customHeight="1">
      <c r="A5213" s="1119">
        <v>94489.0</v>
      </c>
      <c r="B5213" s="1125" t="s">
        <v>15491</v>
      </c>
      <c r="C5213" s="1126" t="s">
        <v>1788</v>
      </c>
      <c r="D5213" s="1119">
        <v>33.09</v>
      </c>
      <c r="E5213" s="1120">
        <v>3.42</v>
      </c>
      <c r="F5213" s="1121">
        <f t="shared" si="1"/>
        <v>29.66</v>
      </c>
      <c r="G5213" s="1120">
        <v>29.66</v>
      </c>
      <c r="H5213" s="1127">
        <v>0.0</v>
      </c>
      <c r="I5213" s="1127">
        <v>0.0</v>
      </c>
      <c r="J5213" s="1127">
        <v>0.0</v>
      </c>
      <c r="K5213" s="1124"/>
    </row>
    <row r="5214" ht="15.75" customHeight="1">
      <c r="A5214" s="1119">
        <v>94490.0</v>
      </c>
      <c r="B5214" s="1125" t="s">
        <v>15492</v>
      </c>
      <c r="C5214" s="1126" t="s">
        <v>1788</v>
      </c>
      <c r="D5214" s="1119">
        <v>48.87</v>
      </c>
      <c r="E5214" s="1120">
        <v>3.42</v>
      </c>
      <c r="F5214" s="1121">
        <f t="shared" si="1"/>
        <v>45.44</v>
      </c>
      <c r="G5214" s="1120">
        <v>45.44</v>
      </c>
      <c r="H5214" s="1127">
        <v>0.0</v>
      </c>
      <c r="I5214" s="1127">
        <v>0.0</v>
      </c>
      <c r="J5214" s="1127">
        <v>0.0</v>
      </c>
      <c r="K5214" s="1124"/>
    </row>
    <row r="5215" ht="15.75" customHeight="1">
      <c r="A5215" s="1119">
        <v>94491.0</v>
      </c>
      <c r="B5215" s="1125" t="s">
        <v>15493</v>
      </c>
      <c r="C5215" s="1126" t="s">
        <v>1788</v>
      </c>
      <c r="D5215" s="1119">
        <v>66.6</v>
      </c>
      <c r="E5215" s="1120">
        <v>4.9</v>
      </c>
      <c r="F5215" s="1121">
        <f t="shared" si="1"/>
        <v>61.7</v>
      </c>
      <c r="G5215" s="1120">
        <v>61.7</v>
      </c>
      <c r="H5215" s="1127">
        <v>0.0</v>
      </c>
      <c r="I5215" s="1127">
        <v>0.0</v>
      </c>
      <c r="J5215" s="1127">
        <v>0.0</v>
      </c>
      <c r="K5215" s="1124"/>
    </row>
    <row r="5216" ht="15.75" customHeight="1">
      <c r="A5216" s="1119">
        <v>94492.0</v>
      </c>
      <c r="B5216" s="1125" t="s">
        <v>15494</v>
      </c>
      <c r="C5216" s="1126" t="s">
        <v>1788</v>
      </c>
      <c r="D5216" s="1119">
        <v>68.46</v>
      </c>
      <c r="E5216" s="1120">
        <v>4.9</v>
      </c>
      <c r="F5216" s="1121">
        <f t="shared" si="1"/>
        <v>63.56</v>
      </c>
      <c r="G5216" s="1120">
        <v>63.56</v>
      </c>
      <c r="H5216" s="1127">
        <v>0.0</v>
      </c>
      <c r="I5216" s="1127">
        <v>0.0</v>
      </c>
      <c r="J5216" s="1127">
        <v>0.0</v>
      </c>
      <c r="K5216" s="1124"/>
    </row>
    <row r="5217" ht="15.75" customHeight="1">
      <c r="A5217" s="1119">
        <v>94493.0</v>
      </c>
      <c r="B5217" s="1125" t="s">
        <v>15495</v>
      </c>
      <c r="C5217" s="1126" t="s">
        <v>1788</v>
      </c>
      <c r="D5217" s="1119">
        <v>125.2</v>
      </c>
      <c r="E5217" s="1120">
        <v>7.96</v>
      </c>
      <c r="F5217" s="1121">
        <f t="shared" si="1"/>
        <v>117.23</v>
      </c>
      <c r="G5217" s="1120">
        <v>117.23</v>
      </c>
      <c r="H5217" s="1127">
        <v>0.0</v>
      </c>
      <c r="I5217" s="1127">
        <v>0.0</v>
      </c>
      <c r="J5217" s="1127">
        <v>0.0</v>
      </c>
      <c r="K5217" s="1124"/>
    </row>
    <row r="5218" ht="15.75" customHeight="1">
      <c r="A5218" s="1119">
        <v>94495.0</v>
      </c>
      <c r="B5218" s="1125" t="s">
        <v>15496</v>
      </c>
      <c r="C5218" s="1126" t="s">
        <v>1788</v>
      </c>
      <c r="D5218" s="1119">
        <v>69.58</v>
      </c>
      <c r="E5218" s="1120">
        <v>6.43</v>
      </c>
      <c r="F5218" s="1121">
        <f t="shared" si="1"/>
        <v>63.14</v>
      </c>
      <c r="G5218" s="1120">
        <v>63.14</v>
      </c>
      <c r="H5218" s="1127">
        <v>0.0</v>
      </c>
      <c r="I5218" s="1127">
        <v>0.0</v>
      </c>
      <c r="J5218" s="1127">
        <v>0.0</v>
      </c>
      <c r="K5218" s="1124"/>
    </row>
    <row r="5219" ht="15.75" customHeight="1">
      <c r="A5219" s="1119">
        <v>94496.0</v>
      </c>
      <c r="B5219" s="1125" t="s">
        <v>15497</v>
      </c>
      <c r="C5219" s="1126" t="s">
        <v>1788</v>
      </c>
      <c r="D5219" s="1119">
        <v>94.78</v>
      </c>
      <c r="E5219" s="1120">
        <v>8.76</v>
      </c>
      <c r="F5219" s="1121">
        <f t="shared" si="1"/>
        <v>86.03</v>
      </c>
      <c r="G5219" s="1120">
        <v>86.03</v>
      </c>
      <c r="H5219" s="1127">
        <v>0.0</v>
      </c>
      <c r="I5219" s="1127">
        <v>0.0</v>
      </c>
      <c r="J5219" s="1127">
        <v>0.0</v>
      </c>
      <c r="K5219" s="1124"/>
    </row>
    <row r="5220" ht="15.75" customHeight="1">
      <c r="A5220" s="1119">
        <v>94497.0</v>
      </c>
      <c r="B5220" s="1125" t="s">
        <v>15498</v>
      </c>
      <c r="C5220" s="1126" t="s">
        <v>1788</v>
      </c>
      <c r="D5220" s="1119">
        <v>120.11</v>
      </c>
      <c r="E5220" s="1120">
        <v>11.4</v>
      </c>
      <c r="F5220" s="1121">
        <f t="shared" si="1"/>
        <v>108.69</v>
      </c>
      <c r="G5220" s="1120">
        <v>108.69</v>
      </c>
      <c r="H5220" s="1127">
        <v>0.0</v>
      </c>
      <c r="I5220" s="1127">
        <v>0.0</v>
      </c>
      <c r="J5220" s="1127">
        <v>0.0</v>
      </c>
      <c r="K5220" s="1124"/>
    </row>
    <row r="5221" ht="15.75" customHeight="1">
      <c r="A5221" s="1119">
        <v>94498.0</v>
      </c>
      <c r="B5221" s="1125" t="s">
        <v>15499</v>
      </c>
      <c r="C5221" s="1126" t="s">
        <v>1788</v>
      </c>
      <c r="D5221" s="1119">
        <v>165.7</v>
      </c>
      <c r="E5221" s="1120">
        <v>14.73</v>
      </c>
      <c r="F5221" s="1121">
        <f t="shared" si="1"/>
        <v>150.96</v>
      </c>
      <c r="G5221" s="1120">
        <v>150.96</v>
      </c>
      <c r="H5221" s="1127">
        <v>0.0</v>
      </c>
      <c r="I5221" s="1127">
        <v>0.0</v>
      </c>
      <c r="J5221" s="1127">
        <v>0.0</v>
      </c>
      <c r="K5221" s="1124"/>
    </row>
    <row r="5222" ht="15.75" customHeight="1">
      <c r="A5222" s="1119">
        <v>94499.0</v>
      </c>
      <c r="B5222" s="1125" t="s">
        <v>15500</v>
      </c>
      <c r="C5222" s="1126" t="s">
        <v>1788</v>
      </c>
      <c r="D5222" s="1119">
        <v>328.9</v>
      </c>
      <c r="E5222" s="1120">
        <v>19.72</v>
      </c>
      <c r="F5222" s="1121">
        <f t="shared" si="1"/>
        <v>309.18</v>
      </c>
      <c r="G5222" s="1120">
        <v>309.18</v>
      </c>
      <c r="H5222" s="1127">
        <v>0.0</v>
      </c>
      <c r="I5222" s="1127">
        <v>0.0</v>
      </c>
      <c r="J5222" s="1127">
        <v>0.0</v>
      </c>
      <c r="K5222" s="1124"/>
    </row>
    <row r="5223" ht="15.75" customHeight="1">
      <c r="A5223" s="1119">
        <v>94500.0</v>
      </c>
      <c r="B5223" s="1125" t="s">
        <v>15501</v>
      </c>
      <c r="C5223" s="1126" t="s">
        <v>1788</v>
      </c>
      <c r="D5223" s="1119">
        <v>399.27</v>
      </c>
      <c r="E5223" s="1120">
        <v>24.71</v>
      </c>
      <c r="F5223" s="1121">
        <f t="shared" si="1"/>
        <v>374.55</v>
      </c>
      <c r="G5223" s="1120">
        <v>374.55</v>
      </c>
      <c r="H5223" s="1127">
        <v>0.0</v>
      </c>
      <c r="I5223" s="1127">
        <v>0.0</v>
      </c>
      <c r="J5223" s="1127">
        <v>0.0</v>
      </c>
      <c r="K5223" s="1124"/>
    </row>
    <row r="5224" ht="15.75" customHeight="1">
      <c r="A5224" s="1119">
        <v>94501.0</v>
      </c>
      <c r="B5224" s="1125" t="s">
        <v>15502</v>
      </c>
      <c r="C5224" s="1126" t="s">
        <v>1788</v>
      </c>
      <c r="D5224" s="1119">
        <v>804.65</v>
      </c>
      <c r="E5224" s="1120">
        <v>31.35</v>
      </c>
      <c r="F5224" s="1121">
        <f t="shared" si="1"/>
        <v>773.3</v>
      </c>
      <c r="G5224" s="1120">
        <v>773.3</v>
      </c>
      <c r="H5224" s="1127">
        <v>0.0</v>
      </c>
      <c r="I5224" s="1127">
        <v>0.0</v>
      </c>
      <c r="J5224" s="1127">
        <v>0.0</v>
      </c>
      <c r="K5224" s="1124"/>
    </row>
    <row r="5225" ht="15.75" customHeight="1">
      <c r="A5225" s="1119">
        <v>94792.0</v>
      </c>
      <c r="B5225" s="1125" t="s">
        <v>15503</v>
      </c>
      <c r="C5225" s="1126" t="s">
        <v>1788</v>
      </c>
      <c r="D5225" s="1119">
        <v>130.2</v>
      </c>
      <c r="E5225" s="1120">
        <v>11.24</v>
      </c>
      <c r="F5225" s="1121">
        <f t="shared" si="1"/>
        <v>118.95</v>
      </c>
      <c r="G5225" s="1120">
        <v>118.95</v>
      </c>
      <c r="H5225" s="1127">
        <v>0.0</v>
      </c>
      <c r="I5225" s="1127">
        <v>0.0</v>
      </c>
      <c r="J5225" s="1127">
        <v>0.0</v>
      </c>
      <c r="K5225" s="1124"/>
    </row>
    <row r="5226" ht="15.75" customHeight="1">
      <c r="A5226" s="1119">
        <v>94793.0</v>
      </c>
      <c r="B5226" s="1125" t="s">
        <v>15504</v>
      </c>
      <c r="C5226" s="1126" t="s">
        <v>1788</v>
      </c>
      <c r="D5226" s="1119">
        <v>178.26</v>
      </c>
      <c r="E5226" s="1120">
        <v>13.58</v>
      </c>
      <c r="F5226" s="1121">
        <f t="shared" si="1"/>
        <v>164.69</v>
      </c>
      <c r="G5226" s="1120">
        <v>164.69</v>
      </c>
      <c r="H5226" s="1127">
        <v>0.0</v>
      </c>
      <c r="I5226" s="1127">
        <v>0.0</v>
      </c>
      <c r="J5226" s="1127">
        <v>0.0</v>
      </c>
      <c r="K5226" s="1124"/>
    </row>
    <row r="5227" ht="15.75" customHeight="1">
      <c r="A5227" s="1119">
        <v>94794.0</v>
      </c>
      <c r="B5227" s="1125" t="s">
        <v>15505</v>
      </c>
      <c r="C5227" s="1126" t="s">
        <v>1788</v>
      </c>
      <c r="D5227" s="1119">
        <v>189.17</v>
      </c>
      <c r="E5227" s="1120">
        <v>16.22</v>
      </c>
      <c r="F5227" s="1121">
        <f t="shared" si="1"/>
        <v>172.94</v>
      </c>
      <c r="G5227" s="1120">
        <v>172.94</v>
      </c>
      <c r="H5227" s="1127">
        <v>0.0</v>
      </c>
      <c r="I5227" s="1127">
        <v>0.0</v>
      </c>
      <c r="J5227" s="1127">
        <v>0.0</v>
      </c>
      <c r="K5227" s="1124"/>
    </row>
    <row r="5228" ht="15.75" customHeight="1">
      <c r="A5228" s="1119">
        <v>94795.0</v>
      </c>
      <c r="B5228" s="1125" t="s">
        <v>15506</v>
      </c>
      <c r="C5228" s="1126" t="s">
        <v>1788</v>
      </c>
      <c r="D5228" s="1119">
        <v>36.59</v>
      </c>
      <c r="E5228" s="1120">
        <v>5.38</v>
      </c>
      <c r="F5228" s="1121">
        <f t="shared" si="1"/>
        <v>31.21</v>
      </c>
      <c r="G5228" s="1120">
        <v>31.21</v>
      </c>
      <c r="H5228" s="1127">
        <v>0.0</v>
      </c>
      <c r="I5228" s="1127">
        <v>0.0</v>
      </c>
      <c r="J5228" s="1127">
        <v>0.0</v>
      </c>
      <c r="K5228" s="1124"/>
    </row>
    <row r="5229" ht="15.75" customHeight="1">
      <c r="A5229" s="1119">
        <v>94796.0</v>
      </c>
      <c r="B5229" s="1125" t="s">
        <v>15507</v>
      </c>
      <c r="C5229" s="1126" t="s">
        <v>1788</v>
      </c>
      <c r="D5229" s="1119">
        <v>42.78</v>
      </c>
      <c r="E5229" s="1120">
        <v>8.25</v>
      </c>
      <c r="F5229" s="1121">
        <f t="shared" si="1"/>
        <v>34.52</v>
      </c>
      <c r="G5229" s="1120">
        <v>34.52</v>
      </c>
      <c r="H5229" s="1127">
        <v>0.0</v>
      </c>
      <c r="I5229" s="1127">
        <v>0.0</v>
      </c>
      <c r="J5229" s="1127">
        <v>0.0</v>
      </c>
      <c r="K5229" s="1124"/>
    </row>
    <row r="5230" ht="15.75" customHeight="1">
      <c r="A5230" s="1119">
        <v>94797.0</v>
      </c>
      <c r="B5230" s="1125" t="s">
        <v>15508</v>
      </c>
      <c r="C5230" s="1126" t="s">
        <v>1788</v>
      </c>
      <c r="D5230" s="1119">
        <v>86.25</v>
      </c>
      <c r="E5230" s="1120">
        <v>11.12</v>
      </c>
      <c r="F5230" s="1121">
        <f t="shared" si="1"/>
        <v>75.12</v>
      </c>
      <c r="G5230" s="1120">
        <v>75.12</v>
      </c>
      <c r="H5230" s="1127">
        <v>0.0</v>
      </c>
      <c r="I5230" s="1127">
        <v>0.0</v>
      </c>
      <c r="J5230" s="1127">
        <v>0.0</v>
      </c>
      <c r="K5230" s="1124"/>
    </row>
    <row r="5231" ht="15.75" customHeight="1">
      <c r="A5231" s="1119">
        <v>94798.0</v>
      </c>
      <c r="B5231" s="1125" t="s">
        <v>15509</v>
      </c>
      <c r="C5231" s="1126" t="s">
        <v>1788</v>
      </c>
      <c r="D5231" s="1119">
        <v>141.78</v>
      </c>
      <c r="E5231" s="1120">
        <v>15.12</v>
      </c>
      <c r="F5231" s="1121">
        <f t="shared" si="1"/>
        <v>126.66</v>
      </c>
      <c r="G5231" s="1120">
        <v>126.66</v>
      </c>
      <c r="H5231" s="1127">
        <v>0.0</v>
      </c>
      <c r="I5231" s="1127">
        <v>0.0</v>
      </c>
      <c r="J5231" s="1127">
        <v>0.0</v>
      </c>
      <c r="K5231" s="1124"/>
    </row>
    <row r="5232" ht="15.75" customHeight="1">
      <c r="A5232" s="1119">
        <v>94799.0</v>
      </c>
      <c r="B5232" s="1125" t="s">
        <v>15510</v>
      </c>
      <c r="C5232" s="1126" t="s">
        <v>1788</v>
      </c>
      <c r="D5232" s="1119">
        <v>174.49</v>
      </c>
      <c r="E5232" s="1120">
        <v>19.73</v>
      </c>
      <c r="F5232" s="1121">
        <f t="shared" si="1"/>
        <v>154.78</v>
      </c>
      <c r="G5232" s="1120">
        <v>154.78</v>
      </c>
      <c r="H5232" s="1127">
        <v>0.0</v>
      </c>
      <c r="I5232" s="1127">
        <v>0.0</v>
      </c>
      <c r="J5232" s="1127">
        <v>0.0</v>
      </c>
      <c r="K5232" s="1124"/>
    </row>
    <row r="5233" ht="15.75" customHeight="1">
      <c r="A5233" s="1119">
        <v>94800.0</v>
      </c>
      <c r="B5233" s="1125" t="s">
        <v>15511</v>
      </c>
      <c r="C5233" s="1126" t="s">
        <v>1788</v>
      </c>
      <c r="D5233" s="1119">
        <v>224.1</v>
      </c>
      <c r="E5233" s="1120">
        <v>25.46</v>
      </c>
      <c r="F5233" s="1121">
        <f t="shared" si="1"/>
        <v>198.63</v>
      </c>
      <c r="G5233" s="1120">
        <v>198.63</v>
      </c>
      <c r="H5233" s="1127">
        <v>0.0</v>
      </c>
      <c r="I5233" s="1127">
        <v>0.0</v>
      </c>
      <c r="J5233" s="1127">
        <v>0.0</v>
      </c>
      <c r="K5233" s="1124"/>
    </row>
    <row r="5234" ht="15.75" customHeight="1">
      <c r="A5234" s="1119">
        <v>95248.0</v>
      </c>
      <c r="B5234" s="1125" t="s">
        <v>15512</v>
      </c>
      <c r="C5234" s="1126" t="s">
        <v>1788</v>
      </c>
      <c r="D5234" s="1119">
        <v>59.01</v>
      </c>
      <c r="E5234" s="1120">
        <v>3.1</v>
      </c>
      <c r="F5234" s="1121">
        <f t="shared" si="1"/>
        <v>55.91</v>
      </c>
      <c r="G5234" s="1120">
        <v>55.91</v>
      </c>
      <c r="H5234" s="1127">
        <v>0.0</v>
      </c>
      <c r="I5234" s="1127">
        <v>0.0</v>
      </c>
      <c r="J5234" s="1127">
        <v>0.0</v>
      </c>
      <c r="K5234" s="1124"/>
    </row>
    <row r="5235" ht="15.75" customHeight="1">
      <c r="A5235" s="1119">
        <v>95249.0</v>
      </c>
      <c r="B5235" s="1125" t="s">
        <v>15513</v>
      </c>
      <c r="C5235" s="1126" t="s">
        <v>1788</v>
      </c>
      <c r="D5235" s="1119">
        <v>69.7</v>
      </c>
      <c r="E5235" s="1120">
        <v>4.76</v>
      </c>
      <c r="F5235" s="1121">
        <f t="shared" si="1"/>
        <v>64.93</v>
      </c>
      <c r="G5235" s="1120">
        <v>64.93</v>
      </c>
      <c r="H5235" s="1127">
        <v>0.0</v>
      </c>
      <c r="I5235" s="1127">
        <v>0.0</v>
      </c>
      <c r="J5235" s="1127">
        <v>0.0</v>
      </c>
      <c r="K5235" s="1124"/>
    </row>
    <row r="5236" ht="15.75" customHeight="1">
      <c r="A5236" s="1119">
        <v>95250.0</v>
      </c>
      <c r="B5236" s="1125" t="s">
        <v>15514</v>
      </c>
      <c r="C5236" s="1126" t="s">
        <v>1788</v>
      </c>
      <c r="D5236" s="1119">
        <v>94.07</v>
      </c>
      <c r="E5236" s="1120">
        <v>6.43</v>
      </c>
      <c r="F5236" s="1121">
        <f t="shared" si="1"/>
        <v>87.63</v>
      </c>
      <c r="G5236" s="1120">
        <v>87.63</v>
      </c>
      <c r="H5236" s="1127">
        <v>0.0</v>
      </c>
      <c r="I5236" s="1127">
        <v>0.0</v>
      </c>
      <c r="J5236" s="1127">
        <v>0.0</v>
      </c>
      <c r="K5236" s="1124"/>
    </row>
    <row r="5237" ht="15.75" customHeight="1">
      <c r="A5237" s="1119">
        <v>95251.0</v>
      </c>
      <c r="B5237" s="1125" t="s">
        <v>15515</v>
      </c>
      <c r="C5237" s="1126" t="s">
        <v>1788</v>
      </c>
      <c r="D5237" s="1119">
        <v>139.05</v>
      </c>
      <c r="E5237" s="1120">
        <v>8.76</v>
      </c>
      <c r="F5237" s="1121">
        <f t="shared" si="1"/>
        <v>130.3</v>
      </c>
      <c r="G5237" s="1120">
        <v>130.3</v>
      </c>
      <c r="H5237" s="1127">
        <v>0.0</v>
      </c>
      <c r="I5237" s="1127">
        <v>0.0</v>
      </c>
      <c r="J5237" s="1127">
        <v>0.0</v>
      </c>
      <c r="K5237" s="1124"/>
    </row>
    <row r="5238" ht="15.75" customHeight="1">
      <c r="A5238" s="1119">
        <v>95252.0</v>
      </c>
      <c r="B5238" s="1125" t="s">
        <v>15516</v>
      </c>
      <c r="C5238" s="1126" t="s">
        <v>1788</v>
      </c>
      <c r="D5238" s="1119">
        <v>168.69</v>
      </c>
      <c r="E5238" s="1120">
        <v>11.4</v>
      </c>
      <c r="F5238" s="1121">
        <f t="shared" si="1"/>
        <v>157.27</v>
      </c>
      <c r="G5238" s="1120">
        <v>157.27</v>
      </c>
      <c r="H5238" s="1127">
        <v>0.0</v>
      </c>
      <c r="I5238" s="1127">
        <v>0.0</v>
      </c>
      <c r="J5238" s="1127">
        <v>0.0</v>
      </c>
      <c r="K5238" s="1124"/>
    </row>
    <row r="5239" ht="15.75" customHeight="1">
      <c r="A5239" s="1119">
        <v>95253.0</v>
      </c>
      <c r="B5239" s="1125" t="s">
        <v>15517</v>
      </c>
      <c r="C5239" s="1126" t="s">
        <v>1788</v>
      </c>
      <c r="D5239" s="1119">
        <v>256.21</v>
      </c>
      <c r="E5239" s="1120">
        <v>14.73</v>
      </c>
      <c r="F5239" s="1121">
        <f t="shared" si="1"/>
        <v>241.47</v>
      </c>
      <c r="G5239" s="1120">
        <v>241.47</v>
      </c>
      <c r="H5239" s="1127">
        <v>0.0</v>
      </c>
      <c r="I5239" s="1127">
        <v>0.0</v>
      </c>
      <c r="J5239" s="1127">
        <v>0.0</v>
      </c>
      <c r="K5239" s="1124"/>
    </row>
    <row r="5240" ht="15.75" customHeight="1">
      <c r="A5240" s="1119">
        <v>99619.0</v>
      </c>
      <c r="B5240" s="1125" t="s">
        <v>15518</v>
      </c>
      <c r="C5240" s="1126" t="s">
        <v>1788</v>
      </c>
      <c r="D5240" s="1119">
        <v>119.45</v>
      </c>
      <c r="E5240" s="1120">
        <v>4.76</v>
      </c>
      <c r="F5240" s="1121">
        <f t="shared" si="1"/>
        <v>114.68</v>
      </c>
      <c r="G5240" s="1120">
        <v>114.68</v>
      </c>
      <c r="H5240" s="1127">
        <v>0.0</v>
      </c>
      <c r="I5240" s="1127">
        <v>0.0</v>
      </c>
      <c r="J5240" s="1127">
        <v>0.0</v>
      </c>
      <c r="K5240" s="1124"/>
    </row>
    <row r="5241" ht="15.75" customHeight="1">
      <c r="A5241" s="1119">
        <v>99620.0</v>
      </c>
      <c r="B5241" s="1125" t="s">
        <v>15519</v>
      </c>
      <c r="C5241" s="1126" t="s">
        <v>1788</v>
      </c>
      <c r="D5241" s="1119">
        <v>162.27</v>
      </c>
      <c r="E5241" s="1120">
        <v>6.43</v>
      </c>
      <c r="F5241" s="1121">
        <f t="shared" si="1"/>
        <v>155.83</v>
      </c>
      <c r="G5241" s="1120">
        <v>155.83</v>
      </c>
      <c r="H5241" s="1127">
        <v>0.0</v>
      </c>
      <c r="I5241" s="1127">
        <v>0.0</v>
      </c>
      <c r="J5241" s="1127">
        <v>0.0</v>
      </c>
      <c r="K5241" s="1124"/>
    </row>
    <row r="5242" ht="15.75" customHeight="1">
      <c r="A5242" s="1119">
        <v>99621.0</v>
      </c>
      <c r="B5242" s="1125" t="s">
        <v>15520</v>
      </c>
      <c r="C5242" s="1126" t="s">
        <v>1788</v>
      </c>
      <c r="D5242" s="1119">
        <v>241.7</v>
      </c>
      <c r="E5242" s="1120">
        <v>8.76</v>
      </c>
      <c r="F5242" s="1121">
        <f t="shared" si="1"/>
        <v>232.95</v>
      </c>
      <c r="G5242" s="1120">
        <v>232.95</v>
      </c>
      <c r="H5242" s="1127">
        <v>0.0</v>
      </c>
      <c r="I5242" s="1127">
        <v>0.0</v>
      </c>
      <c r="J5242" s="1127">
        <v>0.0</v>
      </c>
      <c r="K5242" s="1124"/>
    </row>
    <row r="5243" ht="15.75" customHeight="1">
      <c r="A5243" s="1119">
        <v>99622.0</v>
      </c>
      <c r="B5243" s="1125" t="s">
        <v>15521</v>
      </c>
      <c r="C5243" s="1126" t="s">
        <v>1788</v>
      </c>
      <c r="D5243" s="1119">
        <v>272.29</v>
      </c>
      <c r="E5243" s="1120">
        <v>11.4</v>
      </c>
      <c r="F5243" s="1121">
        <f t="shared" si="1"/>
        <v>260.87</v>
      </c>
      <c r="G5243" s="1120">
        <v>260.87</v>
      </c>
      <c r="H5243" s="1127">
        <v>0.0</v>
      </c>
      <c r="I5243" s="1127">
        <v>0.0</v>
      </c>
      <c r="J5243" s="1127">
        <v>0.0</v>
      </c>
      <c r="K5243" s="1124"/>
    </row>
    <row r="5244" ht="15.75" customHeight="1">
      <c r="A5244" s="1119">
        <v>99623.0</v>
      </c>
      <c r="B5244" s="1125" t="s">
        <v>15522</v>
      </c>
      <c r="C5244" s="1126" t="s">
        <v>1788</v>
      </c>
      <c r="D5244" s="1119">
        <v>379.76</v>
      </c>
      <c r="E5244" s="1120">
        <v>14.73</v>
      </c>
      <c r="F5244" s="1121">
        <f t="shared" si="1"/>
        <v>365.02</v>
      </c>
      <c r="G5244" s="1120">
        <v>365.02</v>
      </c>
      <c r="H5244" s="1127">
        <v>0.0</v>
      </c>
      <c r="I5244" s="1127">
        <v>0.0</v>
      </c>
      <c r="J5244" s="1127">
        <v>0.0</v>
      </c>
      <c r="K5244" s="1124"/>
    </row>
    <row r="5245" ht="15.75" customHeight="1">
      <c r="A5245" s="1119">
        <v>99624.0</v>
      </c>
      <c r="B5245" s="1125" t="s">
        <v>15523</v>
      </c>
      <c r="C5245" s="1126" t="s">
        <v>1788</v>
      </c>
      <c r="D5245" s="1119">
        <v>541.21</v>
      </c>
      <c r="E5245" s="1120">
        <v>19.72</v>
      </c>
      <c r="F5245" s="1121">
        <f t="shared" si="1"/>
        <v>521.49</v>
      </c>
      <c r="G5245" s="1120">
        <v>521.49</v>
      </c>
      <c r="H5245" s="1127">
        <v>0.0</v>
      </c>
      <c r="I5245" s="1127">
        <v>0.0</v>
      </c>
      <c r="J5245" s="1127">
        <v>0.0</v>
      </c>
      <c r="K5245" s="1124"/>
    </row>
    <row r="5246" ht="15.75" customHeight="1">
      <c r="A5246" s="1119">
        <v>99625.0</v>
      </c>
      <c r="B5246" s="1125" t="s">
        <v>15524</v>
      </c>
      <c r="C5246" s="1126" t="s">
        <v>1788</v>
      </c>
      <c r="D5246" s="1119">
        <v>744.04</v>
      </c>
      <c r="E5246" s="1120">
        <v>24.71</v>
      </c>
      <c r="F5246" s="1121">
        <f t="shared" si="1"/>
        <v>719.32</v>
      </c>
      <c r="G5246" s="1120">
        <v>719.32</v>
      </c>
      <c r="H5246" s="1127">
        <v>0.0</v>
      </c>
      <c r="I5246" s="1127">
        <v>0.0</v>
      </c>
      <c r="J5246" s="1127">
        <v>0.0</v>
      </c>
      <c r="K5246" s="1124"/>
    </row>
    <row r="5247" ht="15.75" customHeight="1">
      <c r="A5247" s="1119">
        <v>99626.0</v>
      </c>
      <c r="B5247" s="1125" t="s">
        <v>15525</v>
      </c>
      <c r="C5247" s="1126" t="s">
        <v>1788</v>
      </c>
      <c r="D5247" s="1128">
        <v>1144.56</v>
      </c>
      <c r="E5247" s="1120">
        <v>31.35</v>
      </c>
      <c r="F5247" s="1121">
        <f t="shared" si="1"/>
        <v>1113.21</v>
      </c>
      <c r="G5247" s="1120">
        <v>1113.21</v>
      </c>
      <c r="H5247" s="1127">
        <v>0.0</v>
      </c>
      <c r="I5247" s="1127">
        <v>0.0</v>
      </c>
      <c r="J5247" s="1127">
        <v>0.0</v>
      </c>
      <c r="K5247" s="1124"/>
    </row>
    <row r="5248" ht="15.75" customHeight="1">
      <c r="A5248" s="1119">
        <v>99627.0</v>
      </c>
      <c r="B5248" s="1125" t="s">
        <v>15526</v>
      </c>
      <c r="C5248" s="1126" t="s">
        <v>1788</v>
      </c>
      <c r="D5248" s="1119">
        <v>72.11</v>
      </c>
      <c r="E5248" s="1120">
        <v>3.1</v>
      </c>
      <c r="F5248" s="1121">
        <f t="shared" si="1"/>
        <v>69.01</v>
      </c>
      <c r="G5248" s="1120">
        <v>69.01</v>
      </c>
      <c r="H5248" s="1127">
        <v>0.0</v>
      </c>
      <c r="I5248" s="1127">
        <v>0.0</v>
      </c>
      <c r="J5248" s="1127">
        <v>0.0</v>
      </c>
      <c r="K5248" s="1124"/>
    </row>
    <row r="5249" ht="15.75" customHeight="1">
      <c r="A5249" s="1119">
        <v>99628.0</v>
      </c>
      <c r="B5249" s="1125" t="s">
        <v>15527</v>
      </c>
      <c r="C5249" s="1126" t="s">
        <v>1788</v>
      </c>
      <c r="D5249" s="1119">
        <v>78.92</v>
      </c>
      <c r="E5249" s="1120">
        <v>4.76</v>
      </c>
      <c r="F5249" s="1121">
        <f t="shared" si="1"/>
        <v>74.15</v>
      </c>
      <c r="G5249" s="1120">
        <v>74.15</v>
      </c>
      <c r="H5249" s="1127">
        <v>0.0</v>
      </c>
      <c r="I5249" s="1127">
        <v>0.0</v>
      </c>
      <c r="J5249" s="1127">
        <v>0.0</v>
      </c>
      <c r="K5249" s="1124"/>
    </row>
    <row r="5250" ht="15.75" customHeight="1">
      <c r="A5250" s="1119">
        <v>99629.0</v>
      </c>
      <c r="B5250" s="1125" t="s">
        <v>15528</v>
      </c>
      <c r="C5250" s="1126" t="s">
        <v>1788</v>
      </c>
      <c r="D5250" s="1119">
        <v>87.88</v>
      </c>
      <c r="E5250" s="1120">
        <v>6.43</v>
      </c>
      <c r="F5250" s="1121">
        <f t="shared" si="1"/>
        <v>81.44</v>
      </c>
      <c r="G5250" s="1120">
        <v>81.44</v>
      </c>
      <c r="H5250" s="1127">
        <v>0.0</v>
      </c>
      <c r="I5250" s="1127">
        <v>0.0</v>
      </c>
      <c r="J5250" s="1127">
        <v>0.0</v>
      </c>
      <c r="K5250" s="1124"/>
    </row>
    <row r="5251" ht="15.75" customHeight="1">
      <c r="A5251" s="1119">
        <v>99630.0</v>
      </c>
      <c r="B5251" s="1125" t="s">
        <v>15529</v>
      </c>
      <c r="C5251" s="1126" t="s">
        <v>1788</v>
      </c>
      <c r="D5251" s="1119">
        <v>130.59</v>
      </c>
      <c r="E5251" s="1120">
        <v>8.76</v>
      </c>
      <c r="F5251" s="1121">
        <f t="shared" si="1"/>
        <v>121.84</v>
      </c>
      <c r="G5251" s="1120">
        <v>121.84</v>
      </c>
      <c r="H5251" s="1127">
        <v>0.0</v>
      </c>
      <c r="I5251" s="1127">
        <v>0.0</v>
      </c>
      <c r="J5251" s="1127">
        <v>0.0</v>
      </c>
      <c r="K5251" s="1124"/>
    </row>
    <row r="5252" ht="15.75" customHeight="1">
      <c r="A5252" s="1119">
        <v>99631.0</v>
      </c>
      <c r="B5252" s="1125" t="s">
        <v>15530</v>
      </c>
      <c r="C5252" s="1126" t="s">
        <v>1788</v>
      </c>
      <c r="D5252" s="1119">
        <v>152.22</v>
      </c>
      <c r="E5252" s="1120">
        <v>11.4</v>
      </c>
      <c r="F5252" s="1121">
        <f t="shared" si="1"/>
        <v>140.8</v>
      </c>
      <c r="G5252" s="1120">
        <v>140.8</v>
      </c>
      <c r="H5252" s="1127">
        <v>0.0</v>
      </c>
      <c r="I5252" s="1127">
        <v>0.0</v>
      </c>
      <c r="J5252" s="1127">
        <v>0.0</v>
      </c>
      <c r="K5252" s="1124"/>
    </row>
    <row r="5253" ht="15.75" customHeight="1">
      <c r="A5253" s="1119">
        <v>99632.0</v>
      </c>
      <c r="B5253" s="1125" t="s">
        <v>15531</v>
      </c>
      <c r="C5253" s="1126" t="s">
        <v>1788</v>
      </c>
      <c r="D5253" s="1119">
        <v>219.19</v>
      </c>
      <c r="E5253" s="1120">
        <v>14.73</v>
      </c>
      <c r="F5253" s="1121">
        <f t="shared" si="1"/>
        <v>204.45</v>
      </c>
      <c r="G5253" s="1120">
        <v>204.45</v>
      </c>
      <c r="H5253" s="1127">
        <v>0.0</v>
      </c>
      <c r="I5253" s="1127">
        <v>0.0</v>
      </c>
      <c r="J5253" s="1127">
        <v>0.0</v>
      </c>
      <c r="K5253" s="1124"/>
    </row>
    <row r="5254" ht="15.75" customHeight="1">
      <c r="A5254" s="1119">
        <v>99633.0</v>
      </c>
      <c r="B5254" s="1125" t="s">
        <v>15532</v>
      </c>
      <c r="C5254" s="1126" t="s">
        <v>1788</v>
      </c>
      <c r="D5254" s="1119">
        <v>469.33</v>
      </c>
      <c r="E5254" s="1120">
        <v>24.71</v>
      </c>
      <c r="F5254" s="1121">
        <f t="shared" si="1"/>
        <v>444.61</v>
      </c>
      <c r="G5254" s="1120">
        <v>444.61</v>
      </c>
      <c r="H5254" s="1127">
        <v>0.0</v>
      </c>
      <c r="I5254" s="1127">
        <v>0.0</v>
      </c>
      <c r="J5254" s="1127">
        <v>0.0</v>
      </c>
      <c r="K5254" s="1124"/>
    </row>
    <row r="5255" ht="15.75" customHeight="1">
      <c r="A5255" s="1119">
        <v>99634.0</v>
      </c>
      <c r="B5255" s="1125" t="s">
        <v>15533</v>
      </c>
      <c r="C5255" s="1126" t="s">
        <v>1788</v>
      </c>
      <c r="D5255" s="1119">
        <v>798.91</v>
      </c>
      <c r="E5255" s="1120">
        <v>31.35</v>
      </c>
      <c r="F5255" s="1121">
        <f t="shared" si="1"/>
        <v>767.56</v>
      </c>
      <c r="G5255" s="1120">
        <v>767.56</v>
      </c>
      <c r="H5255" s="1127">
        <v>0.0</v>
      </c>
      <c r="I5255" s="1127">
        <v>0.0</v>
      </c>
      <c r="J5255" s="1127">
        <v>0.0</v>
      </c>
      <c r="K5255" s="1124"/>
    </row>
    <row r="5256" ht="15.75" customHeight="1">
      <c r="A5256" s="1119">
        <v>99635.0</v>
      </c>
      <c r="B5256" s="1125" t="s">
        <v>15534</v>
      </c>
      <c r="C5256" s="1126" t="s">
        <v>1788</v>
      </c>
      <c r="D5256" s="1119">
        <v>320.61</v>
      </c>
      <c r="E5256" s="1120">
        <v>40.14</v>
      </c>
      <c r="F5256" s="1121">
        <f t="shared" si="1"/>
        <v>280.47</v>
      </c>
      <c r="G5256" s="1120">
        <v>280.47</v>
      </c>
      <c r="H5256" s="1127">
        <v>0.0</v>
      </c>
      <c r="I5256" s="1127">
        <v>0.0</v>
      </c>
      <c r="J5256" s="1127">
        <v>0.0</v>
      </c>
      <c r="K5256" s="1124"/>
    </row>
    <row r="5257" ht="15.75" customHeight="1">
      <c r="A5257" s="1119">
        <v>103008.0</v>
      </c>
      <c r="B5257" s="1125" t="s">
        <v>15535</v>
      </c>
      <c r="C5257" s="1126" t="s">
        <v>1788</v>
      </c>
      <c r="D5257" s="1119">
        <v>97.46</v>
      </c>
      <c r="E5257" s="1120">
        <v>3.1</v>
      </c>
      <c r="F5257" s="1121">
        <f t="shared" si="1"/>
        <v>94.36</v>
      </c>
      <c r="G5257" s="1120">
        <v>94.36</v>
      </c>
      <c r="H5257" s="1127">
        <v>0.0</v>
      </c>
      <c r="I5257" s="1127">
        <v>0.0</v>
      </c>
      <c r="J5257" s="1127">
        <v>0.0</v>
      </c>
      <c r="K5257" s="1124"/>
    </row>
    <row r="5258" ht="15.75" customHeight="1">
      <c r="A5258" s="1119">
        <v>103009.0</v>
      </c>
      <c r="B5258" s="1125" t="s">
        <v>15536</v>
      </c>
      <c r="C5258" s="1126" t="s">
        <v>1788</v>
      </c>
      <c r="D5258" s="1119">
        <v>345.93</v>
      </c>
      <c r="E5258" s="1120">
        <v>19.72</v>
      </c>
      <c r="F5258" s="1121">
        <f t="shared" si="1"/>
        <v>326.21</v>
      </c>
      <c r="G5258" s="1120">
        <v>326.21</v>
      </c>
      <c r="H5258" s="1127">
        <v>0.0</v>
      </c>
      <c r="I5258" s="1127">
        <v>0.0</v>
      </c>
      <c r="J5258" s="1127">
        <v>0.0</v>
      </c>
      <c r="K5258" s="1124"/>
    </row>
    <row r="5259" ht="15.75" customHeight="1">
      <c r="A5259" s="1119">
        <v>103010.0</v>
      </c>
      <c r="B5259" s="1125" t="s">
        <v>15537</v>
      </c>
      <c r="C5259" s="1126" t="s">
        <v>1788</v>
      </c>
      <c r="D5259" s="1119">
        <v>73.91</v>
      </c>
      <c r="E5259" s="1120">
        <v>2.37</v>
      </c>
      <c r="F5259" s="1121">
        <f t="shared" si="1"/>
        <v>71.54</v>
      </c>
      <c r="G5259" s="1120">
        <v>71.54</v>
      </c>
      <c r="H5259" s="1127">
        <v>0.0</v>
      </c>
      <c r="I5259" s="1127">
        <v>0.0</v>
      </c>
      <c r="J5259" s="1127">
        <v>0.0</v>
      </c>
      <c r="K5259" s="1124"/>
    </row>
    <row r="5260" ht="15.75" customHeight="1">
      <c r="A5260" s="1119">
        <v>103011.0</v>
      </c>
      <c r="B5260" s="1125" t="s">
        <v>15538</v>
      </c>
      <c r="C5260" s="1126" t="s">
        <v>1788</v>
      </c>
      <c r="D5260" s="1119">
        <v>82.49</v>
      </c>
      <c r="E5260" s="1120">
        <v>3.21</v>
      </c>
      <c r="F5260" s="1121">
        <f t="shared" si="1"/>
        <v>79.29</v>
      </c>
      <c r="G5260" s="1120">
        <v>79.29</v>
      </c>
      <c r="H5260" s="1127">
        <v>0.0</v>
      </c>
      <c r="I5260" s="1127">
        <v>0.0</v>
      </c>
      <c r="J5260" s="1127">
        <v>0.0</v>
      </c>
      <c r="K5260" s="1124"/>
    </row>
    <row r="5261" ht="15.75" customHeight="1">
      <c r="A5261" s="1119">
        <v>103012.0</v>
      </c>
      <c r="B5261" s="1125" t="s">
        <v>15539</v>
      </c>
      <c r="C5261" s="1126" t="s">
        <v>1788</v>
      </c>
      <c r="D5261" s="1119">
        <v>129.97</v>
      </c>
      <c r="E5261" s="1120">
        <v>4.36</v>
      </c>
      <c r="F5261" s="1121">
        <f t="shared" si="1"/>
        <v>125.6</v>
      </c>
      <c r="G5261" s="1120">
        <v>125.6</v>
      </c>
      <c r="H5261" s="1127">
        <v>0.0</v>
      </c>
      <c r="I5261" s="1127">
        <v>0.0</v>
      </c>
      <c r="J5261" s="1127">
        <v>0.0</v>
      </c>
      <c r="K5261" s="1124"/>
    </row>
    <row r="5262" ht="15.75" customHeight="1">
      <c r="A5262" s="1119">
        <v>103013.0</v>
      </c>
      <c r="B5262" s="1125" t="s">
        <v>15540</v>
      </c>
      <c r="C5262" s="1126" t="s">
        <v>1788</v>
      </c>
      <c r="D5262" s="1119">
        <v>140.09</v>
      </c>
      <c r="E5262" s="1120">
        <v>5.69</v>
      </c>
      <c r="F5262" s="1121">
        <f t="shared" si="1"/>
        <v>134.4</v>
      </c>
      <c r="G5262" s="1120">
        <v>134.4</v>
      </c>
      <c r="H5262" s="1127">
        <v>0.0</v>
      </c>
      <c r="I5262" s="1127">
        <v>0.0</v>
      </c>
      <c r="J5262" s="1127">
        <v>0.0</v>
      </c>
      <c r="K5262" s="1124"/>
    </row>
    <row r="5263" ht="15.75" customHeight="1">
      <c r="A5263" s="1119">
        <v>103014.0</v>
      </c>
      <c r="B5263" s="1125" t="s">
        <v>15541</v>
      </c>
      <c r="C5263" s="1126" t="s">
        <v>1788</v>
      </c>
      <c r="D5263" s="1119">
        <v>210.46</v>
      </c>
      <c r="E5263" s="1120">
        <v>7.35</v>
      </c>
      <c r="F5263" s="1121">
        <f t="shared" si="1"/>
        <v>203.1</v>
      </c>
      <c r="G5263" s="1120">
        <v>203.1</v>
      </c>
      <c r="H5263" s="1127">
        <v>0.0</v>
      </c>
      <c r="I5263" s="1127">
        <v>0.0</v>
      </c>
      <c r="J5263" s="1127">
        <v>0.0</v>
      </c>
      <c r="K5263" s="1124"/>
    </row>
    <row r="5264" ht="15.75" customHeight="1">
      <c r="A5264" s="1119">
        <v>103015.0</v>
      </c>
      <c r="B5264" s="1125" t="s">
        <v>15542</v>
      </c>
      <c r="C5264" s="1126" t="s">
        <v>1788</v>
      </c>
      <c r="D5264" s="1119">
        <v>371.62</v>
      </c>
      <c r="E5264" s="1120">
        <v>9.85</v>
      </c>
      <c r="F5264" s="1121">
        <f t="shared" si="1"/>
        <v>361.77</v>
      </c>
      <c r="G5264" s="1120">
        <v>361.77</v>
      </c>
      <c r="H5264" s="1127">
        <v>0.0</v>
      </c>
      <c r="I5264" s="1127">
        <v>0.0</v>
      </c>
      <c r="J5264" s="1127">
        <v>0.0</v>
      </c>
      <c r="K5264" s="1124"/>
    </row>
    <row r="5265" ht="15.75" customHeight="1">
      <c r="A5265" s="1119">
        <v>103016.0</v>
      </c>
      <c r="B5265" s="1125" t="s">
        <v>15543</v>
      </c>
      <c r="C5265" s="1126" t="s">
        <v>1788</v>
      </c>
      <c r="D5265" s="1119">
        <v>507.84</v>
      </c>
      <c r="E5265" s="1120">
        <v>12.34</v>
      </c>
      <c r="F5265" s="1121">
        <f t="shared" si="1"/>
        <v>495.49</v>
      </c>
      <c r="G5265" s="1120">
        <v>495.49</v>
      </c>
      <c r="H5265" s="1127">
        <v>0.0</v>
      </c>
      <c r="I5265" s="1127">
        <v>0.0</v>
      </c>
      <c r="J5265" s="1127">
        <v>0.0</v>
      </c>
      <c r="K5265" s="1124"/>
    </row>
    <row r="5266" ht="15.75" customHeight="1">
      <c r="A5266" s="1119">
        <v>103017.0</v>
      </c>
      <c r="B5266" s="1125" t="s">
        <v>15544</v>
      </c>
      <c r="C5266" s="1126" t="s">
        <v>1788</v>
      </c>
      <c r="D5266" s="1119">
        <v>885.53</v>
      </c>
      <c r="E5266" s="1120">
        <v>15.67</v>
      </c>
      <c r="F5266" s="1121">
        <f t="shared" si="1"/>
        <v>869.87</v>
      </c>
      <c r="G5266" s="1120">
        <v>869.87</v>
      </c>
      <c r="H5266" s="1127">
        <v>0.0</v>
      </c>
      <c r="I5266" s="1127">
        <v>0.0</v>
      </c>
      <c r="J5266" s="1127">
        <v>0.0</v>
      </c>
      <c r="K5266" s="1124"/>
    </row>
    <row r="5267" ht="15.75" customHeight="1">
      <c r="A5267" s="1119">
        <v>103018.0</v>
      </c>
      <c r="B5267" s="1125" t="s">
        <v>15545</v>
      </c>
      <c r="C5267" s="1126" t="s">
        <v>1788</v>
      </c>
      <c r="D5267" s="1119">
        <v>262.82</v>
      </c>
      <c r="E5267" s="1120">
        <v>34.82</v>
      </c>
      <c r="F5267" s="1121">
        <f t="shared" si="1"/>
        <v>227.99</v>
      </c>
      <c r="G5267" s="1120">
        <v>227.99</v>
      </c>
      <c r="H5267" s="1127">
        <v>0.0</v>
      </c>
      <c r="I5267" s="1127">
        <v>0.0</v>
      </c>
      <c r="J5267" s="1127">
        <v>0.0</v>
      </c>
      <c r="K5267" s="1124"/>
    </row>
    <row r="5268" ht="15.75" customHeight="1">
      <c r="A5268" s="1119">
        <v>103019.0</v>
      </c>
      <c r="B5268" s="1125" t="s">
        <v>15546</v>
      </c>
      <c r="C5268" s="1126" t="s">
        <v>1788</v>
      </c>
      <c r="D5268" s="1119">
        <v>281.77</v>
      </c>
      <c r="E5268" s="1120">
        <v>19.72</v>
      </c>
      <c r="F5268" s="1121">
        <f t="shared" si="1"/>
        <v>262.05</v>
      </c>
      <c r="G5268" s="1120">
        <v>262.05</v>
      </c>
      <c r="H5268" s="1127">
        <v>0.0</v>
      </c>
      <c r="I5268" s="1127">
        <v>0.0</v>
      </c>
      <c r="J5268" s="1127">
        <v>0.0</v>
      </c>
      <c r="K5268" s="1124"/>
    </row>
    <row r="5269" ht="15.75" customHeight="1">
      <c r="A5269" s="1119">
        <v>103029.0</v>
      </c>
      <c r="B5269" s="1125" t="s">
        <v>15547</v>
      </c>
      <c r="C5269" s="1126" t="s">
        <v>1788</v>
      </c>
      <c r="D5269" s="1119">
        <v>51.4</v>
      </c>
      <c r="E5269" s="1120">
        <v>4.76</v>
      </c>
      <c r="F5269" s="1121">
        <f t="shared" si="1"/>
        <v>46.63</v>
      </c>
      <c r="G5269" s="1120">
        <v>46.63</v>
      </c>
      <c r="H5269" s="1127">
        <v>0.0</v>
      </c>
      <c r="I5269" s="1127">
        <v>0.0</v>
      </c>
      <c r="J5269" s="1127">
        <v>0.0</v>
      </c>
      <c r="K5269" s="1124"/>
    </row>
    <row r="5270" ht="15.75" customHeight="1">
      <c r="A5270" s="1119">
        <v>103036.0</v>
      </c>
      <c r="B5270" s="1125" t="s">
        <v>15548</v>
      </c>
      <c r="C5270" s="1126" t="s">
        <v>1788</v>
      </c>
      <c r="D5270" s="1119">
        <v>26.37</v>
      </c>
      <c r="E5270" s="1120">
        <v>3.1</v>
      </c>
      <c r="F5270" s="1121">
        <f t="shared" si="1"/>
        <v>23.27</v>
      </c>
      <c r="G5270" s="1120">
        <v>23.27</v>
      </c>
      <c r="H5270" s="1127">
        <v>0.0</v>
      </c>
      <c r="I5270" s="1127">
        <v>0.0</v>
      </c>
      <c r="J5270" s="1127">
        <v>0.0</v>
      </c>
      <c r="K5270" s="1124"/>
    </row>
    <row r="5271" ht="15.75" customHeight="1">
      <c r="A5271" s="1119">
        <v>103037.0</v>
      </c>
      <c r="B5271" s="1125" t="s">
        <v>15549</v>
      </c>
      <c r="C5271" s="1126" t="s">
        <v>1788</v>
      </c>
      <c r="D5271" s="1119">
        <v>51.98</v>
      </c>
      <c r="E5271" s="1120">
        <v>6.44</v>
      </c>
      <c r="F5271" s="1121">
        <f t="shared" si="1"/>
        <v>45.54</v>
      </c>
      <c r="G5271" s="1120">
        <v>45.54</v>
      </c>
      <c r="H5271" s="1127">
        <v>0.0</v>
      </c>
      <c r="I5271" s="1127">
        <v>0.0</v>
      </c>
      <c r="J5271" s="1127">
        <v>0.0</v>
      </c>
      <c r="K5271" s="1124"/>
    </row>
    <row r="5272" ht="15.75" customHeight="1">
      <c r="A5272" s="1119">
        <v>103038.0</v>
      </c>
      <c r="B5272" s="1125" t="s">
        <v>15550</v>
      </c>
      <c r="C5272" s="1126" t="s">
        <v>1788</v>
      </c>
      <c r="D5272" s="1119">
        <v>69.61</v>
      </c>
      <c r="E5272" s="1120">
        <v>8.76</v>
      </c>
      <c r="F5272" s="1121">
        <f t="shared" si="1"/>
        <v>60.86</v>
      </c>
      <c r="G5272" s="1120">
        <v>60.86</v>
      </c>
      <c r="H5272" s="1127">
        <v>0.0</v>
      </c>
      <c r="I5272" s="1127">
        <v>0.0</v>
      </c>
      <c r="J5272" s="1127">
        <v>0.0</v>
      </c>
      <c r="K5272" s="1124"/>
    </row>
    <row r="5273" ht="15.75" customHeight="1">
      <c r="A5273" s="1119">
        <v>103039.0</v>
      </c>
      <c r="B5273" s="1125" t="s">
        <v>15551</v>
      </c>
      <c r="C5273" s="1126" t="s">
        <v>1788</v>
      </c>
      <c r="D5273" s="1119">
        <v>76.08</v>
      </c>
      <c r="E5273" s="1120">
        <v>11.41</v>
      </c>
      <c r="F5273" s="1121">
        <f t="shared" si="1"/>
        <v>64.66</v>
      </c>
      <c r="G5273" s="1120">
        <v>64.66</v>
      </c>
      <c r="H5273" s="1127">
        <v>0.0</v>
      </c>
      <c r="I5273" s="1127">
        <v>0.0</v>
      </c>
      <c r="J5273" s="1127">
        <v>0.0</v>
      </c>
      <c r="K5273" s="1124"/>
    </row>
    <row r="5274" ht="15.75" customHeight="1">
      <c r="A5274" s="1119">
        <v>103040.0</v>
      </c>
      <c r="B5274" s="1125" t="s">
        <v>15552</v>
      </c>
      <c r="C5274" s="1126" t="s">
        <v>1788</v>
      </c>
      <c r="D5274" s="1119">
        <v>112.7</v>
      </c>
      <c r="E5274" s="1120">
        <v>14.74</v>
      </c>
      <c r="F5274" s="1121">
        <f t="shared" si="1"/>
        <v>97.96</v>
      </c>
      <c r="G5274" s="1120">
        <v>97.96</v>
      </c>
      <c r="H5274" s="1127">
        <v>0.0</v>
      </c>
      <c r="I5274" s="1127">
        <v>0.0</v>
      </c>
      <c r="J5274" s="1127">
        <v>0.0</v>
      </c>
      <c r="K5274" s="1124"/>
    </row>
    <row r="5275" ht="15.75" customHeight="1">
      <c r="A5275" s="1119">
        <v>103041.0</v>
      </c>
      <c r="B5275" s="1125" t="s">
        <v>15553</v>
      </c>
      <c r="C5275" s="1126" t="s">
        <v>1788</v>
      </c>
      <c r="D5275" s="1119">
        <v>22.06</v>
      </c>
      <c r="E5275" s="1120">
        <v>3.1</v>
      </c>
      <c r="F5275" s="1121">
        <f t="shared" si="1"/>
        <v>18.96</v>
      </c>
      <c r="G5275" s="1120">
        <v>18.96</v>
      </c>
      <c r="H5275" s="1127">
        <v>0.0</v>
      </c>
      <c r="I5275" s="1127">
        <v>0.0</v>
      </c>
      <c r="J5275" s="1127">
        <v>0.0</v>
      </c>
      <c r="K5275" s="1124"/>
    </row>
    <row r="5276" ht="15.75" customHeight="1">
      <c r="A5276" s="1119">
        <v>103042.0</v>
      </c>
      <c r="B5276" s="1125" t="s">
        <v>15554</v>
      </c>
      <c r="C5276" s="1126" t="s">
        <v>1788</v>
      </c>
      <c r="D5276" s="1119">
        <v>27.43</v>
      </c>
      <c r="E5276" s="1120">
        <v>4.77</v>
      </c>
      <c r="F5276" s="1121">
        <f t="shared" si="1"/>
        <v>22.65</v>
      </c>
      <c r="G5276" s="1120">
        <v>22.65</v>
      </c>
      <c r="H5276" s="1127">
        <v>0.0</v>
      </c>
      <c r="I5276" s="1127">
        <v>0.0</v>
      </c>
      <c r="J5276" s="1127">
        <v>0.0</v>
      </c>
      <c r="K5276" s="1124"/>
    </row>
    <row r="5277" ht="15.75" customHeight="1">
      <c r="A5277" s="1119">
        <v>103043.0</v>
      </c>
      <c r="B5277" s="1125" t="s">
        <v>15555</v>
      </c>
      <c r="C5277" s="1126" t="s">
        <v>1788</v>
      </c>
      <c r="D5277" s="1119">
        <v>25.4</v>
      </c>
      <c r="E5277" s="1120">
        <v>3.1</v>
      </c>
      <c r="F5277" s="1121">
        <f t="shared" si="1"/>
        <v>22.3</v>
      </c>
      <c r="G5277" s="1120">
        <v>22.3</v>
      </c>
      <c r="H5277" s="1127">
        <v>0.0</v>
      </c>
      <c r="I5277" s="1127">
        <v>0.0</v>
      </c>
      <c r="J5277" s="1127">
        <v>0.0</v>
      </c>
      <c r="K5277" s="1124"/>
    </row>
    <row r="5278" ht="15.75" customHeight="1">
      <c r="A5278" s="1119">
        <v>103044.0</v>
      </c>
      <c r="B5278" s="1125" t="s">
        <v>15556</v>
      </c>
      <c r="C5278" s="1126" t="s">
        <v>1788</v>
      </c>
      <c r="D5278" s="1119">
        <v>34.37</v>
      </c>
      <c r="E5278" s="1120">
        <v>4.77</v>
      </c>
      <c r="F5278" s="1121">
        <f t="shared" si="1"/>
        <v>29.6</v>
      </c>
      <c r="G5278" s="1120">
        <v>29.6</v>
      </c>
      <c r="H5278" s="1127">
        <v>0.0</v>
      </c>
      <c r="I5278" s="1127">
        <v>0.0</v>
      </c>
      <c r="J5278" s="1127">
        <v>0.0</v>
      </c>
      <c r="K5278" s="1124"/>
    </row>
    <row r="5279" ht="15.75" customHeight="1">
      <c r="A5279" s="1119">
        <v>103045.0</v>
      </c>
      <c r="B5279" s="1125" t="s">
        <v>15557</v>
      </c>
      <c r="C5279" s="1126" t="s">
        <v>1788</v>
      </c>
      <c r="D5279" s="1119">
        <v>11.12</v>
      </c>
      <c r="E5279" s="1120">
        <v>3.11</v>
      </c>
      <c r="F5279" s="1121">
        <f t="shared" si="1"/>
        <v>8.01</v>
      </c>
      <c r="G5279" s="1120">
        <v>8.01</v>
      </c>
      <c r="H5279" s="1127">
        <v>0.0</v>
      </c>
      <c r="I5279" s="1127">
        <v>0.0</v>
      </c>
      <c r="J5279" s="1127">
        <v>0.0</v>
      </c>
      <c r="K5279" s="1124"/>
    </row>
    <row r="5280" ht="15.75" customHeight="1">
      <c r="A5280" s="1119">
        <v>103046.0</v>
      </c>
      <c r="B5280" s="1125" t="s">
        <v>15558</v>
      </c>
      <c r="C5280" s="1126" t="s">
        <v>1788</v>
      </c>
      <c r="D5280" s="1119">
        <v>26.03</v>
      </c>
      <c r="E5280" s="1120">
        <v>4.77</v>
      </c>
      <c r="F5280" s="1121">
        <f t="shared" si="1"/>
        <v>21.25</v>
      </c>
      <c r="G5280" s="1120">
        <v>21.25</v>
      </c>
      <c r="H5280" s="1127">
        <v>0.0</v>
      </c>
      <c r="I5280" s="1127">
        <v>0.0</v>
      </c>
      <c r="J5280" s="1127">
        <v>0.0</v>
      </c>
      <c r="K5280" s="1124"/>
    </row>
    <row r="5281" ht="15.75" customHeight="1">
      <c r="A5281" s="1119">
        <v>103047.0</v>
      </c>
      <c r="B5281" s="1125" t="s">
        <v>15559</v>
      </c>
      <c r="C5281" s="1126" t="s">
        <v>1788</v>
      </c>
      <c r="D5281" s="1119">
        <v>27.02</v>
      </c>
      <c r="E5281" s="1120">
        <v>3.71</v>
      </c>
      <c r="F5281" s="1121">
        <f t="shared" si="1"/>
        <v>23.3</v>
      </c>
      <c r="G5281" s="1120">
        <v>23.3</v>
      </c>
      <c r="H5281" s="1127">
        <v>0.0</v>
      </c>
      <c r="I5281" s="1127">
        <v>0.0</v>
      </c>
      <c r="J5281" s="1127">
        <v>0.0</v>
      </c>
      <c r="K5281" s="1124"/>
    </row>
    <row r="5282" ht="15.75" customHeight="1">
      <c r="A5282" s="1119">
        <v>103048.0</v>
      </c>
      <c r="B5282" s="1125" t="s">
        <v>15560</v>
      </c>
      <c r="C5282" s="1126" t="s">
        <v>1788</v>
      </c>
      <c r="D5282" s="1119">
        <v>20.4</v>
      </c>
      <c r="E5282" s="1120">
        <v>3.71</v>
      </c>
      <c r="F5282" s="1121">
        <f t="shared" si="1"/>
        <v>16.68</v>
      </c>
      <c r="G5282" s="1120">
        <v>16.68</v>
      </c>
      <c r="H5282" s="1127">
        <v>0.0</v>
      </c>
      <c r="I5282" s="1127">
        <v>0.0</v>
      </c>
      <c r="J5282" s="1127">
        <v>0.0</v>
      </c>
      <c r="K5282" s="1124"/>
    </row>
    <row r="5283" ht="15.75" customHeight="1">
      <c r="A5283" s="1119">
        <v>103049.0</v>
      </c>
      <c r="B5283" s="1125" t="s">
        <v>15561</v>
      </c>
      <c r="C5283" s="1126" t="s">
        <v>1788</v>
      </c>
      <c r="D5283" s="1119">
        <v>22.07</v>
      </c>
      <c r="E5283" s="1120">
        <v>3.42</v>
      </c>
      <c r="F5283" s="1121">
        <f t="shared" si="1"/>
        <v>18.64</v>
      </c>
      <c r="G5283" s="1120">
        <v>18.64</v>
      </c>
      <c r="H5283" s="1127">
        <v>0.0</v>
      </c>
      <c r="I5283" s="1127">
        <v>0.0</v>
      </c>
      <c r="J5283" s="1127">
        <v>0.0</v>
      </c>
      <c r="K5283" s="1124"/>
    </row>
    <row r="5284" ht="15.75" customHeight="1">
      <c r="A5284" s="1119">
        <v>103050.0</v>
      </c>
      <c r="B5284" s="1125" t="s">
        <v>15562</v>
      </c>
      <c r="C5284" s="1126" t="s">
        <v>1788</v>
      </c>
      <c r="D5284" s="1119">
        <v>28.22</v>
      </c>
      <c r="E5284" s="1120">
        <v>17.12</v>
      </c>
      <c r="F5284" s="1121">
        <f t="shared" si="1"/>
        <v>11.11</v>
      </c>
      <c r="G5284" s="1120">
        <v>11.11</v>
      </c>
      <c r="H5284" s="1127">
        <v>0.0</v>
      </c>
      <c r="I5284" s="1127">
        <v>0.0</v>
      </c>
      <c r="J5284" s="1127">
        <v>0.0</v>
      </c>
      <c r="K5284" s="1124"/>
    </row>
    <row r="5285" ht="15.75" customHeight="1">
      <c r="A5285" s="1119">
        <v>103051.0</v>
      </c>
      <c r="B5285" s="1125" t="s">
        <v>15563</v>
      </c>
      <c r="C5285" s="1126" t="s">
        <v>1788</v>
      </c>
      <c r="D5285" s="1119">
        <v>34.16</v>
      </c>
      <c r="E5285" s="1120">
        <v>20.84</v>
      </c>
      <c r="F5285" s="1121">
        <f t="shared" si="1"/>
        <v>13.34</v>
      </c>
      <c r="G5285" s="1120">
        <v>13.34</v>
      </c>
      <c r="H5285" s="1127">
        <v>0.0</v>
      </c>
      <c r="I5285" s="1127">
        <v>0.0</v>
      </c>
      <c r="J5285" s="1127">
        <v>0.0</v>
      </c>
      <c r="K5285" s="1124"/>
    </row>
    <row r="5286" ht="15.75" customHeight="1">
      <c r="A5286" s="1119">
        <v>103052.0</v>
      </c>
      <c r="B5286" s="1125" t="s">
        <v>15564</v>
      </c>
      <c r="C5286" s="1126" t="s">
        <v>1788</v>
      </c>
      <c r="D5286" s="1119">
        <v>45.58</v>
      </c>
      <c r="E5286" s="1120">
        <v>25.74</v>
      </c>
      <c r="F5286" s="1121">
        <f t="shared" si="1"/>
        <v>19.86</v>
      </c>
      <c r="G5286" s="1120">
        <v>19.86</v>
      </c>
      <c r="H5286" s="1127">
        <v>0.0</v>
      </c>
      <c r="I5286" s="1127">
        <v>0.0</v>
      </c>
      <c r="J5286" s="1127">
        <v>0.0</v>
      </c>
      <c r="K5286" s="1124"/>
    </row>
    <row r="5287" ht="15.75" customHeight="1">
      <c r="A5287" s="1119">
        <v>95634.0</v>
      </c>
      <c r="B5287" s="1125" t="s">
        <v>15565</v>
      </c>
      <c r="C5287" s="1126" t="s">
        <v>1788</v>
      </c>
      <c r="D5287" s="1119">
        <v>241.21</v>
      </c>
      <c r="E5287" s="1120">
        <v>63.9</v>
      </c>
      <c r="F5287" s="1121">
        <f t="shared" si="1"/>
        <v>177.3</v>
      </c>
      <c r="G5287" s="1120">
        <v>177.3</v>
      </c>
      <c r="H5287" s="1127">
        <v>0.0</v>
      </c>
      <c r="I5287" s="1127">
        <v>0.0</v>
      </c>
      <c r="J5287" s="1127">
        <v>0.0</v>
      </c>
      <c r="K5287" s="1124"/>
    </row>
    <row r="5288" ht="15.75" customHeight="1">
      <c r="A5288" s="1119">
        <v>95635.0</v>
      </c>
      <c r="B5288" s="1125" t="s">
        <v>15566</v>
      </c>
      <c r="C5288" s="1126" t="s">
        <v>1788</v>
      </c>
      <c r="D5288" s="1119">
        <v>257.14</v>
      </c>
      <c r="E5288" s="1120">
        <v>73.92</v>
      </c>
      <c r="F5288" s="1121">
        <f t="shared" si="1"/>
        <v>183.22</v>
      </c>
      <c r="G5288" s="1120">
        <v>183.22</v>
      </c>
      <c r="H5288" s="1127">
        <v>0.0</v>
      </c>
      <c r="I5288" s="1127">
        <v>0.0</v>
      </c>
      <c r="J5288" s="1127">
        <v>0.0</v>
      </c>
      <c r="K5288" s="1124"/>
    </row>
    <row r="5289" ht="15.75" customHeight="1">
      <c r="A5289" s="1119">
        <v>95636.0</v>
      </c>
      <c r="B5289" s="1125" t="s">
        <v>15567</v>
      </c>
      <c r="C5289" s="1126" t="s">
        <v>1788</v>
      </c>
      <c r="D5289" s="1119">
        <v>410.22</v>
      </c>
      <c r="E5289" s="1120">
        <v>142.46</v>
      </c>
      <c r="F5289" s="1121">
        <f t="shared" si="1"/>
        <v>267.77</v>
      </c>
      <c r="G5289" s="1120">
        <v>267.77</v>
      </c>
      <c r="H5289" s="1127">
        <v>0.0</v>
      </c>
      <c r="I5289" s="1127">
        <v>0.0</v>
      </c>
      <c r="J5289" s="1127">
        <v>0.0</v>
      </c>
      <c r="K5289" s="1124"/>
    </row>
    <row r="5290" ht="15.75" customHeight="1">
      <c r="A5290" s="1119">
        <v>95637.0</v>
      </c>
      <c r="B5290" s="1125" t="s">
        <v>15568</v>
      </c>
      <c r="C5290" s="1126" t="s">
        <v>1788</v>
      </c>
      <c r="D5290" s="1119">
        <v>641.51</v>
      </c>
      <c r="E5290" s="1120">
        <v>243.87</v>
      </c>
      <c r="F5290" s="1121">
        <f t="shared" si="1"/>
        <v>397.63</v>
      </c>
      <c r="G5290" s="1120">
        <v>397.63</v>
      </c>
      <c r="H5290" s="1127">
        <v>0.0</v>
      </c>
      <c r="I5290" s="1127">
        <v>0.0</v>
      </c>
      <c r="J5290" s="1127">
        <v>0.0</v>
      </c>
      <c r="K5290" s="1124"/>
    </row>
    <row r="5291" ht="15.75" customHeight="1">
      <c r="A5291" s="1119">
        <v>95638.0</v>
      </c>
      <c r="B5291" s="1125" t="s">
        <v>15569</v>
      </c>
      <c r="C5291" s="1126" t="s">
        <v>1788</v>
      </c>
      <c r="D5291" s="1119">
        <v>778.82</v>
      </c>
      <c r="E5291" s="1120">
        <v>281.19</v>
      </c>
      <c r="F5291" s="1121">
        <f t="shared" si="1"/>
        <v>497.64</v>
      </c>
      <c r="G5291" s="1120">
        <v>497.64</v>
      </c>
      <c r="H5291" s="1127">
        <v>0.0</v>
      </c>
      <c r="I5291" s="1127">
        <v>0.0</v>
      </c>
      <c r="J5291" s="1127">
        <v>0.0</v>
      </c>
      <c r="K5291" s="1124"/>
    </row>
    <row r="5292" ht="15.75" customHeight="1">
      <c r="A5292" s="1119">
        <v>95639.0</v>
      </c>
      <c r="B5292" s="1125" t="s">
        <v>15570</v>
      </c>
      <c r="C5292" s="1126" t="s">
        <v>1788</v>
      </c>
      <c r="D5292" s="1119">
        <v>987.79</v>
      </c>
      <c r="E5292" s="1120">
        <v>289.47</v>
      </c>
      <c r="F5292" s="1121">
        <f t="shared" si="1"/>
        <v>698.32</v>
      </c>
      <c r="G5292" s="1120">
        <v>698.32</v>
      </c>
      <c r="H5292" s="1127">
        <v>0.0</v>
      </c>
      <c r="I5292" s="1127">
        <v>0.0</v>
      </c>
      <c r="J5292" s="1127">
        <v>0.0</v>
      </c>
      <c r="K5292" s="1124"/>
    </row>
    <row r="5293" ht="15.75" customHeight="1">
      <c r="A5293" s="1119">
        <v>95641.0</v>
      </c>
      <c r="B5293" s="1125" t="s">
        <v>15571</v>
      </c>
      <c r="C5293" s="1126" t="s">
        <v>1788</v>
      </c>
      <c r="D5293" s="1119">
        <v>339.06</v>
      </c>
      <c r="E5293" s="1120">
        <v>110.53</v>
      </c>
      <c r="F5293" s="1121">
        <f t="shared" si="1"/>
        <v>228.52</v>
      </c>
      <c r="G5293" s="1120">
        <v>228.52</v>
      </c>
      <c r="H5293" s="1127">
        <v>0.0</v>
      </c>
      <c r="I5293" s="1127">
        <v>0.0</v>
      </c>
      <c r="J5293" s="1127">
        <v>0.0</v>
      </c>
      <c r="K5293" s="1124"/>
    </row>
    <row r="5294" ht="15.75" customHeight="1">
      <c r="A5294" s="1119">
        <v>95642.0</v>
      </c>
      <c r="B5294" s="1125" t="s">
        <v>15572</v>
      </c>
      <c r="C5294" s="1126" t="s">
        <v>1788</v>
      </c>
      <c r="D5294" s="1119">
        <v>501.76</v>
      </c>
      <c r="E5294" s="1120">
        <v>163.41</v>
      </c>
      <c r="F5294" s="1121">
        <f t="shared" si="1"/>
        <v>338.35</v>
      </c>
      <c r="G5294" s="1120">
        <v>338.35</v>
      </c>
      <c r="H5294" s="1127">
        <v>0.0</v>
      </c>
      <c r="I5294" s="1127">
        <v>0.0</v>
      </c>
      <c r="J5294" s="1127">
        <v>0.0</v>
      </c>
      <c r="K5294" s="1124"/>
    </row>
    <row r="5295" ht="15.75" customHeight="1">
      <c r="A5295" s="1119">
        <v>95643.0</v>
      </c>
      <c r="B5295" s="1125" t="s">
        <v>15573</v>
      </c>
      <c r="C5295" s="1126" t="s">
        <v>1788</v>
      </c>
      <c r="D5295" s="1119">
        <v>656.93</v>
      </c>
      <c r="E5295" s="1120">
        <v>212.58</v>
      </c>
      <c r="F5295" s="1121">
        <f t="shared" si="1"/>
        <v>444.36</v>
      </c>
      <c r="G5295" s="1120">
        <v>444.36</v>
      </c>
      <c r="H5295" s="1127">
        <v>0.0</v>
      </c>
      <c r="I5295" s="1127">
        <v>0.0</v>
      </c>
      <c r="J5295" s="1127">
        <v>0.0</v>
      </c>
      <c r="K5295" s="1124"/>
    </row>
    <row r="5296" ht="15.75" customHeight="1">
      <c r="A5296" s="1119">
        <v>95644.0</v>
      </c>
      <c r="B5296" s="1125" t="s">
        <v>15574</v>
      </c>
      <c r="C5296" s="1126" t="s">
        <v>1788</v>
      </c>
      <c r="D5296" s="1119">
        <v>245.74</v>
      </c>
      <c r="E5296" s="1120">
        <v>69.96</v>
      </c>
      <c r="F5296" s="1121">
        <f t="shared" si="1"/>
        <v>175.78</v>
      </c>
      <c r="G5296" s="1120">
        <v>175.78</v>
      </c>
      <c r="H5296" s="1127">
        <v>0.0</v>
      </c>
      <c r="I5296" s="1127">
        <v>0.0</v>
      </c>
      <c r="J5296" s="1127">
        <v>0.0</v>
      </c>
      <c r="K5296" s="1124"/>
    </row>
    <row r="5297" ht="15.75" customHeight="1">
      <c r="A5297" s="1119">
        <v>95645.0</v>
      </c>
      <c r="B5297" s="1125" t="s">
        <v>15575</v>
      </c>
      <c r="C5297" s="1126" t="s">
        <v>1788</v>
      </c>
      <c r="D5297" s="1119">
        <v>451.46</v>
      </c>
      <c r="E5297" s="1120">
        <v>124.29</v>
      </c>
      <c r="F5297" s="1121">
        <f t="shared" si="1"/>
        <v>327.18</v>
      </c>
      <c r="G5297" s="1120">
        <v>327.18</v>
      </c>
      <c r="H5297" s="1127">
        <v>0.0</v>
      </c>
      <c r="I5297" s="1127">
        <v>0.0</v>
      </c>
      <c r="J5297" s="1127">
        <v>0.0</v>
      </c>
      <c r="K5297" s="1124"/>
    </row>
    <row r="5298" ht="15.75" customHeight="1">
      <c r="A5298" s="1119">
        <v>95646.0</v>
      </c>
      <c r="B5298" s="1125" t="s">
        <v>15576</v>
      </c>
      <c r="C5298" s="1126" t="s">
        <v>1788</v>
      </c>
      <c r="D5298" s="1119">
        <v>673.03</v>
      </c>
      <c r="E5298" s="1120">
        <v>184.56</v>
      </c>
      <c r="F5298" s="1121">
        <f t="shared" si="1"/>
        <v>488.48</v>
      </c>
      <c r="G5298" s="1120">
        <v>488.48</v>
      </c>
      <c r="H5298" s="1127">
        <v>0.0</v>
      </c>
      <c r="I5298" s="1127">
        <v>0.0</v>
      </c>
      <c r="J5298" s="1127">
        <v>0.0</v>
      </c>
      <c r="K5298" s="1124"/>
    </row>
    <row r="5299" ht="15.75" customHeight="1">
      <c r="A5299" s="1119">
        <v>95647.0</v>
      </c>
      <c r="B5299" s="1125" t="s">
        <v>15577</v>
      </c>
      <c r="C5299" s="1126" t="s">
        <v>1788</v>
      </c>
      <c r="D5299" s="1119">
        <v>883.16</v>
      </c>
      <c r="E5299" s="1120">
        <v>240.37</v>
      </c>
      <c r="F5299" s="1121">
        <f t="shared" si="1"/>
        <v>642.79</v>
      </c>
      <c r="G5299" s="1120">
        <v>642.79</v>
      </c>
      <c r="H5299" s="1127">
        <v>0.0</v>
      </c>
      <c r="I5299" s="1127">
        <v>0.0</v>
      </c>
      <c r="J5299" s="1127">
        <v>0.0</v>
      </c>
      <c r="K5299" s="1124"/>
    </row>
    <row r="5300" ht="15.75" customHeight="1">
      <c r="A5300" s="1119">
        <v>95648.0</v>
      </c>
      <c r="B5300" s="1125" t="s">
        <v>15578</v>
      </c>
      <c r="C5300" s="1126" t="s">
        <v>1788</v>
      </c>
      <c r="D5300" s="1119">
        <v>578.91</v>
      </c>
      <c r="E5300" s="1120">
        <v>67.53</v>
      </c>
      <c r="F5300" s="1121">
        <f t="shared" si="1"/>
        <v>511.38</v>
      </c>
      <c r="G5300" s="1120">
        <v>511.38</v>
      </c>
      <c r="H5300" s="1127">
        <v>0.0</v>
      </c>
      <c r="I5300" s="1127">
        <v>0.0</v>
      </c>
      <c r="J5300" s="1127">
        <v>0.0</v>
      </c>
      <c r="K5300" s="1124"/>
    </row>
    <row r="5301" ht="15.75" customHeight="1">
      <c r="A5301" s="1119">
        <v>95649.0</v>
      </c>
      <c r="B5301" s="1125" t="s">
        <v>15579</v>
      </c>
      <c r="C5301" s="1126" t="s">
        <v>1788</v>
      </c>
      <c r="D5301" s="1119">
        <v>997.96</v>
      </c>
      <c r="E5301" s="1120">
        <v>118.5</v>
      </c>
      <c r="F5301" s="1121">
        <f t="shared" si="1"/>
        <v>879.45</v>
      </c>
      <c r="G5301" s="1120">
        <v>879.45</v>
      </c>
      <c r="H5301" s="1127">
        <v>0.0</v>
      </c>
      <c r="I5301" s="1127">
        <v>0.0</v>
      </c>
      <c r="J5301" s="1127">
        <v>0.0</v>
      </c>
      <c r="K5301" s="1124"/>
    </row>
    <row r="5302" ht="15.75" customHeight="1">
      <c r="A5302" s="1119">
        <v>95650.0</v>
      </c>
      <c r="B5302" s="1125" t="s">
        <v>15580</v>
      </c>
      <c r="C5302" s="1126" t="s">
        <v>1788</v>
      </c>
      <c r="D5302" s="1128">
        <v>1458.26</v>
      </c>
      <c r="E5302" s="1120">
        <v>175.24</v>
      </c>
      <c r="F5302" s="1121">
        <f t="shared" si="1"/>
        <v>1283.03</v>
      </c>
      <c r="G5302" s="1120">
        <v>1283.03</v>
      </c>
      <c r="H5302" s="1127">
        <v>0.0</v>
      </c>
      <c r="I5302" s="1127">
        <v>0.0</v>
      </c>
      <c r="J5302" s="1127">
        <v>0.0</v>
      </c>
      <c r="K5302" s="1124"/>
    </row>
    <row r="5303" ht="15.75" customHeight="1">
      <c r="A5303" s="1119">
        <v>95651.0</v>
      </c>
      <c r="B5303" s="1125" t="s">
        <v>15581</v>
      </c>
      <c r="C5303" s="1126" t="s">
        <v>1788</v>
      </c>
      <c r="D5303" s="1128">
        <v>1894.01</v>
      </c>
      <c r="E5303" s="1120">
        <v>227.95</v>
      </c>
      <c r="F5303" s="1121">
        <f t="shared" si="1"/>
        <v>1666.05</v>
      </c>
      <c r="G5303" s="1120">
        <v>1666.05</v>
      </c>
      <c r="H5303" s="1127">
        <v>0.0</v>
      </c>
      <c r="I5303" s="1127">
        <v>0.0</v>
      </c>
      <c r="J5303" s="1127">
        <v>0.0</v>
      </c>
      <c r="K5303" s="1124"/>
    </row>
    <row r="5304" ht="15.75" customHeight="1">
      <c r="A5304" s="1119">
        <v>95652.0</v>
      </c>
      <c r="B5304" s="1125" t="s">
        <v>15582</v>
      </c>
      <c r="C5304" s="1126" t="s">
        <v>1788</v>
      </c>
      <c r="D5304" s="1119">
        <v>718.54</v>
      </c>
      <c r="E5304" s="1120">
        <v>75.01</v>
      </c>
      <c r="F5304" s="1121">
        <f t="shared" si="1"/>
        <v>643.53</v>
      </c>
      <c r="G5304" s="1120">
        <v>643.53</v>
      </c>
      <c r="H5304" s="1127">
        <v>0.0</v>
      </c>
      <c r="I5304" s="1127">
        <v>0.0</v>
      </c>
      <c r="J5304" s="1127">
        <v>0.0</v>
      </c>
      <c r="K5304" s="1124"/>
    </row>
    <row r="5305" ht="15.75" customHeight="1">
      <c r="A5305" s="1119">
        <v>95653.0</v>
      </c>
      <c r="B5305" s="1125" t="s">
        <v>15583</v>
      </c>
      <c r="C5305" s="1126" t="s">
        <v>1788</v>
      </c>
      <c r="D5305" s="1128">
        <v>1275.34</v>
      </c>
      <c r="E5305" s="1120">
        <v>133.28</v>
      </c>
      <c r="F5305" s="1121">
        <f t="shared" si="1"/>
        <v>1142.06</v>
      </c>
      <c r="G5305" s="1120">
        <v>1142.06</v>
      </c>
      <c r="H5305" s="1127">
        <v>0.0</v>
      </c>
      <c r="I5305" s="1127">
        <v>0.0</v>
      </c>
      <c r="J5305" s="1127">
        <v>0.0</v>
      </c>
      <c r="K5305" s="1124"/>
    </row>
    <row r="5306" ht="15.75" customHeight="1">
      <c r="A5306" s="1119">
        <v>95654.0</v>
      </c>
      <c r="B5306" s="1125" t="s">
        <v>15584</v>
      </c>
      <c r="C5306" s="1126" t="s">
        <v>1788</v>
      </c>
      <c r="D5306" s="1128">
        <v>1879.06</v>
      </c>
      <c r="E5306" s="1120">
        <v>197.9</v>
      </c>
      <c r="F5306" s="1121">
        <f t="shared" si="1"/>
        <v>1681.15</v>
      </c>
      <c r="G5306" s="1120">
        <v>1681.15</v>
      </c>
      <c r="H5306" s="1127">
        <v>0.0</v>
      </c>
      <c r="I5306" s="1127">
        <v>0.0</v>
      </c>
      <c r="J5306" s="1127">
        <v>0.0</v>
      </c>
      <c r="K5306" s="1124"/>
    </row>
    <row r="5307" ht="15.75" customHeight="1">
      <c r="A5307" s="1119">
        <v>95655.0</v>
      </c>
      <c r="B5307" s="1125" t="s">
        <v>15585</v>
      </c>
      <c r="C5307" s="1126" t="s">
        <v>1788</v>
      </c>
      <c r="D5307" s="1128">
        <v>2451.3</v>
      </c>
      <c r="E5307" s="1120">
        <v>257.76</v>
      </c>
      <c r="F5307" s="1121">
        <f t="shared" si="1"/>
        <v>2193.54</v>
      </c>
      <c r="G5307" s="1120">
        <v>2193.54</v>
      </c>
      <c r="H5307" s="1127">
        <v>0.0</v>
      </c>
      <c r="I5307" s="1127">
        <v>0.0</v>
      </c>
      <c r="J5307" s="1127">
        <v>0.0</v>
      </c>
      <c r="K5307" s="1124"/>
    </row>
    <row r="5308" ht="15.75" customHeight="1">
      <c r="A5308" s="1119">
        <v>95657.0</v>
      </c>
      <c r="B5308" s="1125" t="s">
        <v>15586</v>
      </c>
      <c r="C5308" s="1126" t="s">
        <v>1788</v>
      </c>
      <c r="D5308" s="1119">
        <v>293.72</v>
      </c>
      <c r="E5308" s="1120">
        <v>60.83</v>
      </c>
      <c r="F5308" s="1121">
        <f t="shared" si="1"/>
        <v>232.9</v>
      </c>
      <c r="G5308" s="1120">
        <v>232.9</v>
      </c>
      <c r="H5308" s="1127">
        <v>0.0</v>
      </c>
      <c r="I5308" s="1127">
        <v>0.0</v>
      </c>
      <c r="J5308" s="1127">
        <v>0.0</v>
      </c>
      <c r="K5308" s="1124"/>
    </row>
    <row r="5309" ht="15.75" customHeight="1">
      <c r="A5309" s="1119">
        <v>95658.0</v>
      </c>
      <c r="B5309" s="1125" t="s">
        <v>15587</v>
      </c>
      <c r="C5309" s="1126" t="s">
        <v>1788</v>
      </c>
      <c r="D5309" s="1119">
        <v>552.2</v>
      </c>
      <c r="E5309" s="1120">
        <v>117.66</v>
      </c>
      <c r="F5309" s="1121">
        <f t="shared" si="1"/>
        <v>434.53</v>
      </c>
      <c r="G5309" s="1120">
        <v>434.53</v>
      </c>
      <c r="H5309" s="1127">
        <v>0.0</v>
      </c>
      <c r="I5309" s="1127">
        <v>0.0</v>
      </c>
      <c r="J5309" s="1127">
        <v>0.0</v>
      </c>
      <c r="K5309" s="1124"/>
    </row>
    <row r="5310" ht="15.75" customHeight="1">
      <c r="A5310" s="1119">
        <v>95659.0</v>
      </c>
      <c r="B5310" s="1125" t="s">
        <v>15588</v>
      </c>
      <c r="C5310" s="1126" t="s">
        <v>1788</v>
      </c>
      <c r="D5310" s="1119">
        <v>776.11</v>
      </c>
      <c r="E5310" s="1120">
        <v>184.13</v>
      </c>
      <c r="F5310" s="1121">
        <f t="shared" si="1"/>
        <v>591.99</v>
      </c>
      <c r="G5310" s="1120">
        <v>591.99</v>
      </c>
      <c r="H5310" s="1127">
        <v>0.0</v>
      </c>
      <c r="I5310" s="1127">
        <v>0.0</v>
      </c>
      <c r="J5310" s="1127">
        <v>0.0</v>
      </c>
      <c r="K5310" s="1124"/>
    </row>
    <row r="5311" ht="15.75" customHeight="1">
      <c r="A5311" s="1119">
        <v>95660.0</v>
      </c>
      <c r="B5311" s="1125" t="s">
        <v>15589</v>
      </c>
      <c r="C5311" s="1126" t="s">
        <v>1788</v>
      </c>
      <c r="D5311" s="1128">
        <v>1100.8</v>
      </c>
      <c r="E5311" s="1120">
        <v>242.23</v>
      </c>
      <c r="F5311" s="1121">
        <f t="shared" si="1"/>
        <v>858.58</v>
      </c>
      <c r="G5311" s="1120">
        <v>858.58</v>
      </c>
      <c r="H5311" s="1127">
        <v>0.0</v>
      </c>
      <c r="I5311" s="1127">
        <v>0.0</v>
      </c>
      <c r="J5311" s="1127">
        <v>0.0</v>
      </c>
      <c r="K5311" s="1124"/>
    </row>
    <row r="5312" ht="15.75" customHeight="1">
      <c r="A5312" s="1119">
        <v>95661.0</v>
      </c>
      <c r="B5312" s="1125" t="s">
        <v>15590</v>
      </c>
      <c r="C5312" s="1126" t="s">
        <v>1788</v>
      </c>
      <c r="D5312" s="1119">
        <v>377.2</v>
      </c>
      <c r="E5312" s="1120">
        <v>72.53</v>
      </c>
      <c r="F5312" s="1121">
        <f t="shared" si="1"/>
        <v>304.66</v>
      </c>
      <c r="G5312" s="1120">
        <v>304.66</v>
      </c>
      <c r="H5312" s="1127">
        <v>0.0</v>
      </c>
      <c r="I5312" s="1127">
        <v>0.0</v>
      </c>
      <c r="J5312" s="1127">
        <v>0.0</v>
      </c>
      <c r="K5312" s="1124"/>
    </row>
    <row r="5313" ht="15.75" customHeight="1">
      <c r="A5313" s="1119">
        <v>95662.0</v>
      </c>
      <c r="B5313" s="1125" t="s">
        <v>15591</v>
      </c>
      <c r="C5313" s="1126" t="s">
        <v>1788</v>
      </c>
      <c r="D5313" s="1119">
        <v>720.81</v>
      </c>
      <c r="E5313" s="1120">
        <v>143.12</v>
      </c>
      <c r="F5313" s="1121">
        <f t="shared" si="1"/>
        <v>577.7</v>
      </c>
      <c r="G5313" s="1120">
        <v>577.7</v>
      </c>
      <c r="H5313" s="1127">
        <v>0.0</v>
      </c>
      <c r="I5313" s="1127">
        <v>0.0</v>
      </c>
      <c r="J5313" s="1127">
        <v>0.0</v>
      </c>
      <c r="K5313" s="1124"/>
    </row>
    <row r="5314" ht="15.75" customHeight="1">
      <c r="A5314" s="1119">
        <v>95663.0</v>
      </c>
      <c r="B5314" s="1125" t="s">
        <v>15592</v>
      </c>
      <c r="C5314" s="1126" t="s">
        <v>1788</v>
      </c>
      <c r="D5314" s="1128">
        <v>1088.44</v>
      </c>
      <c r="E5314" s="1120">
        <v>219.56</v>
      </c>
      <c r="F5314" s="1121">
        <f t="shared" si="1"/>
        <v>868.89</v>
      </c>
      <c r="G5314" s="1120">
        <v>868.89</v>
      </c>
      <c r="H5314" s="1127">
        <v>0.0</v>
      </c>
      <c r="I5314" s="1127">
        <v>0.0</v>
      </c>
      <c r="J5314" s="1127">
        <v>0.0</v>
      </c>
      <c r="K5314" s="1124"/>
    </row>
    <row r="5315" ht="15.75" customHeight="1">
      <c r="A5315" s="1119">
        <v>95664.0</v>
      </c>
      <c r="B5315" s="1125" t="s">
        <v>15593</v>
      </c>
      <c r="C5315" s="1126" t="s">
        <v>1788</v>
      </c>
      <c r="D5315" s="1128">
        <v>1433.67</v>
      </c>
      <c r="E5315" s="1120">
        <v>288.84</v>
      </c>
      <c r="F5315" s="1121">
        <f t="shared" si="1"/>
        <v>1144.83</v>
      </c>
      <c r="G5315" s="1120">
        <v>1144.83</v>
      </c>
      <c r="H5315" s="1127">
        <v>0.0</v>
      </c>
      <c r="I5315" s="1127">
        <v>0.0</v>
      </c>
      <c r="J5315" s="1127">
        <v>0.0</v>
      </c>
      <c r="K5315" s="1124"/>
    </row>
    <row r="5316" ht="15.75" customHeight="1">
      <c r="A5316" s="1119">
        <v>95665.0</v>
      </c>
      <c r="B5316" s="1125" t="s">
        <v>15594</v>
      </c>
      <c r="C5316" s="1126" t="s">
        <v>1788</v>
      </c>
      <c r="D5316" s="1119">
        <v>307.51</v>
      </c>
      <c r="E5316" s="1120">
        <v>63.61</v>
      </c>
      <c r="F5316" s="1121">
        <f t="shared" si="1"/>
        <v>243.9</v>
      </c>
      <c r="G5316" s="1120">
        <v>243.9</v>
      </c>
      <c r="H5316" s="1127">
        <v>0.0</v>
      </c>
      <c r="I5316" s="1127">
        <v>0.0</v>
      </c>
      <c r="J5316" s="1127">
        <v>0.0</v>
      </c>
      <c r="K5316" s="1124"/>
    </row>
    <row r="5317" ht="15.75" customHeight="1">
      <c r="A5317" s="1119">
        <v>95666.0</v>
      </c>
      <c r="B5317" s="1125" t="s">
        <v>15595</v>
      </c>
      <c r="C5317" s="1126" t="s">
        <v>1788</v>
      </c>
      <c r="D5317" s="1119">
        <v>584.97</v>
      </c>
      <c r="E5317" s="1120">
        <v>125.47</v>
      </c>
      <c r="F5317" s="1121">
        <f t="shared" si="1"/>
        <v>459.5</v>
      </c>
      <c r="G5317" s="1120">
        <v>459.5</v>
      </c>
      <c r="H5317" s="1127">
        <v>0.0</v>
      </c>
      <c r="I5317" s="1127">
        <v>0.0</v>
      </c>
      <c r="J5317" s="1127">
        <v>0.0</v>
      </c>
      <c r="K5317" s="1124"/>
    </row>
    <row r="5318" ht="15.75" customHeight="1">
      <c r="A5318" s="1119">
        <v>95667.0</v>
      </c>
      <c r="B5318" s="1125" t="s">
        <v>15596</v>
      </c>
      <c r="C5318" s="1126" t="s">
        <v>1788</v>
      </c>
      <c r="D5318" s="1119">
        <v>874.99</v>
      </c>
      <c r="E5318" s="1120">
        <v>192.66</v>
      </c>
      <c r="F5318" s="1121">
        <f t="shared" si="1"/>
        <v>682.33</v>
      </c>
      <c r="G5318" s="1120">
        <v>682.33</v>
      </c>
      <c r="H5318" s="1127">
        <v>0.0</v>
      </c>
      <c r="I5318" s="1127">
        <v>0.0</v>
      </c>
      <c r="J5318" s="1127">
        <v>0.0</v>
      </c>
      <c r="K5318" s="1124"/>
    </row>
    <row r="5319" ht="15.75" customHeight="1">
      <c r="A5319" s="1119">
        <v>95668.0</v>
      </c>
      <c r="B5319" s="1125" t="s">
        <v>15597</v>
      </c>
      <c r="C5319" s="1126" t="s">
        <v>1788</v>
      </c>
      <c r="D5319" s="1128">
        <v>1147.75</v>
      </c>
      <c r="E5319" s="1120">
        <v>253.31</v>
      </c>
      <c r="F5319" s="1121">
        <f t="shared" si="1"/>
        <v>894.42</v>
      </c>
      <c r="G5319" s="1120">
        <v>894.42</v>
      </c>
      <c r="H5319" s="1127">
        <v>0.0</v>
      </c>
      <c r="I5319" s="1127">
        <v>0.0</v>
      </c>
      <c r="J5319" s="1127">
        <v>0.0</v>
      </c>
      <c r="K5319" s="1124"/>
    </row>
    <row r="5320" ht="15.75" customHeight="1">
      <c r="A5320" s="1119">
        <v>95669.0</v>
      </c>
      <c r="B5320" s="1125" t="s">
        <v>15598</v>
      </c>
      <c r="C5320" s="1126" t="s">
        <v>1788</v>
      </c>
      <c r="D5320" s="1119">
        <v>403.9</v>
      </c>
      <c r="E5320" s="1120">
        <v>75.85</v>
      </c>
      <c r="F5320" s="1121">
        <f t="shared" si="1"/>
        <v>328.05</v>
      </c>
      <c r="G5320" s="1120">
        <v>328.05</v>
      </c>
      <c r="H5320" s="1127">
        <v>0.0</v>
      </c>
      <c r="I5320" s="1127">
        <v>0.0</v>
      </c>
      <c r="J5320" s="1127">
        <v>0.0</v>
      </c>
      <c r="K5320" s="1124"/>
    </row>
    <row r="5321" ht="15.75" customHeight="1">
      <c r="A5321" s="1119">
        <v>95670.0</v>
      </c>
      <c r="B5321" s="1125" t="s">
        <v>15599</v>
      </c>
      <c r="C5321" s="1126" t="s">
        <v>1788</v>
      </c>
      <c r="D5321" s="1119">
        <v>751.73</v>
      </c>
      <c r="E5321" s="1120">
        <v>149.61</v>
      </c>
      <c r="F5321" s="1121">
        <f t="shared" si="1"/>
        <v>602.12</v>
      </c>
      <c r="G5321" s="1120">
        <v>602.12</v>
      </c>
      <c r="H5321" s="1127">
        <v>0.0</v>
      </c>
      <c r="I5321" s="1127">
        <v>0.0</v>
      </c>
      <c r="J5321" s="1127">
        <v>0.0</v>
      </c>
      <c r="K5321" s="1124"/>
    </row>
    <row r="5322" ht="15.75" customHeight="1">
      <c r="A5322" s="1119">
        <v>95671.0</v>
      </c>
      <c r="B5322" s="1125" t="s">
        <v>15600</v>
      </c>
      <c r="C5322" s="1126" t="s">
        <v>1788</v>
      </c>
      <c r="D5322" s="1128">
        <v>1129.21</v>
      </c>
      <c r="E5322" s="1120">
        <v>229.73</v>
      </c>
      <c r="F5322" s="1121">
        <f t="shared" si="1"/>
        <v>899.49</v>
      </c>
      <c r="G5322" s="1120">
        <v>899.49</v>
      </c>
      <c r="H5322" s="1127">
        <v>0.0</v>
      </c>
      <c r="I5322" s="1127">
        <v>0.0</v>
      </c>
      <c r="J5322" s="1127">
        <v>0.0</v>
      </c>
      <c r="K5322" s="1124"/>
    </row>
    <row r="5323" ht="15.75" customHeight="1">
      <c r="A5323" s="1119">
        <v>95672.0</v>
      </c>
      <c r="B5323" s="1125" t="s">
        <v>15601</v>
      </c>
      <c r="C5323" s="1126" t="s">
        <v>1788</v>
      </c>
      <c r="D5323" s="1128">
        <v>1508.63</v>
      </c>
      <c r="E5323" s="1120">
        <v>302.06</v>
      </c>
      <c r="F5323" s="1121">
        <f t="shared" si="1"/>
        <v>1206.58</v>
      </c>
      <c r="G5323" s="1120">
        <v>1206.58</v>
      </c>
      <c r="H5323" s="1127">
        <v>0.0</v>
      </c>
      <c r="I5323" s="1127">
        <v>0.0</v>
      </c>
      <c r="J5323" s="1127">
        <v>0.0</v>
      </c>
      <c r="K5323" s="1124"/>
    </row>
    <row r="5324" ht="15.75" customHeight="1">
      <c r="A5324" s="1119">
        <v>95673.0</v>
      </c>
      <c r="B5324" s="1125" t="s">
        <v>15602</v>
      </c>
      <c r="C5324" s="1126" t="s">
        <v>1788</v>
      </c>
      <c r="D5324" s="1119">
        <v>118.53</v>
      </c>
      <c r="E5324" s="1120">
        <v>19.73</v>
      </c>
      <c r="F5324" s="1121">
        <f t="shared" si="1"/>
        <v>98.8</v>
      </c>
      <c r="G5324" s="1120">
        <v>98.8</v>
      </c>
      <c r="H5324" s="1127">
        <v>0.0</v>
      </c>
      <c r="I5324" s="1127">
        <v>0.0</v>
      </c>
      <c r="J5324" s="1127">
        <v>0.0</v>
      </c>
      <c r="K5324" s="1124"/>
    </row>
    <row r="5325" ht="15.75" customHeight="1">
      <c r="A5325" s="1119">
        <v>95674.0</v>
      </c>
      <c r="B5325" s="1125" t="s">
        <v>15603</v>
      </c>
      <c r="C5325" s="1126" t="s">
        <v>1788</v>
      </c>
      <c r="D5325" s="1119">
        <v>125.29</v>
      </c>
      <c r="E5325" s="1120">
        <v>19.73</v>
      </c>
      <c r="F5325" s="1121">
        <f t="shared" si="1"/>
        <v>105.57</v>
      </c>
      <c r="G5325" s="1120">
        <v>105.57</v>
      </c>
      <c r="H5325" s="1127">
        <v>0.0</v>
      </c>
      <c r="I5325" s="1127">
        <v>0.0</v>
      </c>
      <c r="J5325" s="1127">
        <v>0.0</v>
      </c>
      <c r="K5325" s="1124"/>
    </row>
    <row r="5326" ht="15.75" customHeight="1">
      <c r="A5326" s="1119">
        <v>95675.0</v>
      </c>
      <c r="B5326" s="1125" t="s">
        <v>15604</v>
      </c>
      <c r="C5326" s="1126" t="s">
        <v>1788</v>
      </c>
      <c r="D5326" s="1119">
        <v>152.46</v>
      </c>
      <c r="E5326" s="1120">
        <v>22.82</v>
      </c>
      <c r="F5326" s="1121">
        <f t="shared" si="1"/>
        <v>129.65</v>
      </c>
      <c r="G5326" s="1120">
        <v>129.65</v>
      </c>
      <c r="H5326" s="1127">
        <v>0.0</v>
      </c>
      <c r="I5326" s="1127">
        <v>0.0</v>
      </c>
      <c r="J5326" s="1127">
        <v>0.0</v>
      </c>
      <c r="K5326" s="1124"/>
    </row>
    <row r="5327" ht="15.75" customHeight="1">
      <c r="A5327" s="1119">
        <v>95676.0</v>
      </c>
      <c r="B5327" s="1125" t="s">
        <v>15605</v>
      </c>
      <c r="C5327" s="1126" t="s">
        <v>1788</v>
      </c>
      <c r="D5327" s="1119">
        <v>94.54</v>
      </c>
      <c r="E5327" s="1120">
        <v>9.39</v>
      </c>
      <c r="F5327" s="1121">
        <f t="shared" si="1"/>
        <v>85.13</v>
      </c>
      <c r="G5327" s="1120">
        <v>85.13</v>
      </c>
      <c r="H5327" s="1127">
        <v>0.0</v>
      </c>
      <c r="I5327" s="1127">
        <v>0.0</v>
      </c>
      <c r="J5327" s="1127">
        <v>0.0</v>
      </c>
      <c r="K5327" s="1124"/>
    </row>
    <row r="5328" ht="15.75" customHeight="1">
      <c r="A5328" s="1119">
        <v>97741.0</v>
      </c>
      <c r="B5328" s="1125" t="s">
        <v>15606</v>
      </c>
      <c r="C5328" s="1126" t="s">
        <v>1788</v>
      </c>
      <c r="D5328" s="1119">
        <v>188.99</v>
      </c>
      <c r="E5328" s="1120">
        <v>62.99</v>
      </c>
      <c r="F5328" s="1121">
        <f t="shared" si="1"/>
        <v>126</v>
      </c>
      <c r="G5328" s="1120">
        <v>126.0</v>
      </c>
      <c r="H5328" s="1127">
        <v>0.0</v>
      </c>
      <c r="I5328" s="1127">
        <v>0.0</v>
      </c>
      <c r="J5328" s="1127">
        <v>0.0</v>
      </c>
      <c r="K5328" s="1124"/>
    </row>
    <row r="5329" ht="15.75" customHeight="1">
      <c r="A5329" s="1119">
        <v>90436.0</v>
      </c>
      <c r="B5329" s="1125" t="s">
        <v>15607</v>
      </c>
      <c r="C5329" s="1126" t="s">
        <v>1788</v>
      </c>
      <c r="D5329" s="1119">
        <v>17.7</v>
      </c>
      <c r="E5329" s="1120">
        <v>13.65</v>
      </c>
      <c r="F5329" s="1121">
        <f t="shared" si="1"/>
        <v>4.05</v>
      </c>
      <c r="G5329" s="1120">
        <v>4.05</v>
      </c>
      <c r="H5329" s="1127">
        <v>0.0</v>
      </c>
      <c r="I5329" s="1127">
        <v>0.0</v>
      </c>
      <c r="J5329" s="1127">
        <v>0.0</v>
      </c>
      <c r="K5329" s="1124"/>
    </row>
    <row r="5330" ht="15.75" customHeight="1">
      <c r="A5330" s="1119">
        <v>90437.0</v>
      </c>
      <c r="B5330" s="1125" t="s">
        <v>15608</v>
      </c>
      <c r="C5330" s="1126" t="s">
        <v>1788</v>
      </c>
      <c r="D5330" s="1119">
        <v>43.0</v>
      </c>
      <c r="E5330" s="1120">
        <v>33.08</v>
      </c>
      <c r="F5330" s="1121">
        <f t="shared" si="1"/>
        <v>9.93</v>
      </c>
      <c r="G5330" s="1120">
        <v>9.93</v>
      </c>
      <c r="H5330" s="1127">
        <v>0.0</v>
      </c>
      <c r="I5330" s="1127">
        <v>0.0</v>
      </c>
      <c r="J5330" s="1127">
        <v>0.0</v>
      </c>
      <c r="K5330" s="1124"/>
    </row>
    <row r="5331" ht="15.75" customHeight="1">
      <c r="A5331" s="1119">
        <v>90438.0</v>
      </c>
      <c r="B5331" s="1125" t="s">
        <v>15609</v>
      </c>
      <c r="C5331" s="1126" t="s">
        <v>1788</v>
      </c>
      <c r="D5331" s="1119">
        <v>61.63</v>
      </c>
      <c r="E5331" s="1120">
        <v>47.39</v>
      </c>
      <c r="F5331" s="1121">
        <f t="shared" si="1"/>
        <v>14.24</v>
      </c>
      <c r="G5331" s="1120">
        <v>14.24</v>
      </c>
      <c r="H5331" s="1127">
        <v>0.0</v>
      </c>
      <c r="I5331" s="1127">
        <v>0.0</v>
      </c>
      <c r="J5331" s="1127">
        <v>0.0</v>
      </c>
      <c r="K5331" s="1124"/>
    </row>
    <row r="5332" ht="15.75" customHeight="1">
      <c r="A5332" s="1119">
        <v>90439.0</v>
      </c>
      <c r="B5332" s="1125" t="s">
        <v>15610</v>
      </c>
      <c r="C5332" s="1126" t="s">
        <v>1788</v>
      </c>
      <c r="D5332" s="1119">
        <v>75.24</v>
      </c>
      <c r="E5332" s="1120">
        <v>55.56</v>
      </c>
      <c r="F5332" s="1121">
        <f t="shared" si="1"/>
        <v>19.68</v>
      </c>
      <c r="G5332" s="1120">
        <v>17.5</v>
      </c>
      <c r="H5332" s="1127">
        <v>2.18</v>
      </c>
      <c r="I5332" s="1127">
        <v>0.0</v>
      </c>
      <c r="J5332" s="1127">
        <v>0.0</v>
      </c>
      <c r="K5332" s="1124"/>
    </row>
    <row r="5333" ht="15.75" customHeight="1">
      <c r="A5333" s="1119">
        <v>90440.0</v>
      </c>
      <c r="B5333" s="1125" t="s">
        <v>15611</v>
      </c>
      <c r="C5333" s="1126" t="s">
        <v>1788</v>
      </c>
      <c r="D5333" s="1119">
        <v>120.52</v>
      </c>
      <c r="E5333" s="1120">
        <v>88.92</v>
      </c>
      <c r="F5333" s="1121">
        <f t="shared" si="1"/>
        <v>31.6</v>
      </c>
      <c r="G5333" s="1120">
        <v>28.09</v>
      </c>
      <c r="H5333" s="1127">
        <v>3.51</v>
      </c>
      <c r="I5333" s="1127">
        <v>0.0</v>
      </c>
      <c r="J5333" s="1127">
        <v>0.0</v>
      </c>
      <c r="K5333" s="1124"/>
    </row>
    <row r="5334" ht="15.75" customHeight="1">
      <c r="A5334" s="1119">
        <v>90441.0</v>
      </c>
      <c r="B5334" s="1125" t="s">
        <v>15612</v>
      </c>
      <c r="C5334" s="1126" t="s">
        <v>1788</v>
      </c>
      <c r="D5334" s="1119">
        <v>153.94</v>
      </c>
      <c r="E5334" s="1120">
        <v>113.57</v>
      </c>
      <c r="F5334" s="1121">
        <f t="shared" si="1"/>
        <v>40.37</v>
      </c>
      <c r="G5334" s="1120">
        <v>35.89</v>
      </c>
      <c r="H5334" s="1127">
        <v>4.48</v>
      </c>
      <c r="I5334" s="1127">
        <v>0.0</v>
      </c>
      <c r="J5334" s="1127">
        <v>0.0</v>
      </c>
      <c r="K5334" s="1124"/>
    </row>
    <row r="5335" ht="15.75" customHeight="1">
      <c r="A5335" s="1119">
        <v>90443.0</v>
      </c>
      <c r="B5335" s="1125" t="s">
        <v>15613</v>
      </c>
      <c r="C5335" s="1126" t="s">
        <v>1731</v>
      </c>
      <c r="D5335" s="1119">
        <v>16.09</v>
      </c>
      <c r="E5335" s="1120">
        <v>12.39</v>
      </c>
      <c r="F5335" s="1121">
        <f t="shared" si="1"/>
        <v>3.7</v>
      </c>
      <c r="G5335" s="1120">
        <v>3.7</v>
      </c>
      <c r="H5335" s="1127">
        <v>0.0</v>
      </c>
      <c r="I5335" s="1127">
        <v>0.0</v>
      </c>
      <c r="J5335" s="1127">
        <v>0.0</v>
      </c>
      <c r="K5335" s="1124"/>
    </row>
    <row r="5336" ht="15.75" customHeight="1">
      <c r="A5336" s="1119">
        <v>90444.0</v>
      </c>
      <c r="B5336" s="1125" t="s">
        <v>15614</v>
      </c>
      <c r="C5336" s="1126" t="s">
        <v>1731</v>
      </c>
      <c r="D5336" s="1119">
        <v>32.3</v>
      </c>
      <c r="E5336" s="1120">
        <v>23.91</v>
      </c>
      <c r="F5336" s="1121">
        <f t="shared" si="1"/>
        <v>8.39</v>
      </c>
      <c r="G5336" s="1120">
        <v>7.47</v>
      </c>
      <c r="H5336" s="1127">
        <v>0.92</v>
      </c>
      <c r="I5336" s="1127">
        <v>0.0</v>
      </c>
      <c r="J5336" s="1127">
        <v>0.0</v>
      </c>
      <c r="K5336" s="1124"/>
    </row>
    <row r="5337" ht="15.75" customHeight="1">
      <c r="A5337" s="1119">
        <v>90445.0</v>
      </c>
      <c r="B5337" s="1125" t="s">
        <v>15615</v>
      </c>
      <c r="C5337" s="1126" t="s">
        <v>1731</v>
      </c>
      <c r="D5337" s="1119">
        <v>34.47</v>
      </c>
      <c r="E5337" s="1120">
        <v>25.49</v>
      </c>
      <c r="F5337" s="1121">
        <f t="shared" si="1"/>
        <v>8.98</v>
      </c>
      <c r="G5337" s="1120">
        <v>7.98</v>
      </c>
      <c r="H5337" s="1127">
        <v>1.0</v>
      </c>
      <c r="I5337" s="1127">
        <v>0.0</v>
      </c>
      <c r="J5337" s="1127">
        <v>0.0</v>
      </c>
      <c r="K5337" s="1124"/>
    </row>
    <row r="5338" ht="15.75" customHeight="1">
      <c r="A5338" s="1119">
        <v>90446.0</v>
      </c>
      <c r="B5338" s="1125" t="s">
        <v>15616</v>
      </c>
      <c r="C5338" s="1126" t="s">
        <v>1731</v>
      </c>
      <c r="D5338" s="1119">
        <v>37.44</v>
      </c>
      <c r="E5338" s="1120">
        <v>27.72</v>
      </c>
      <c r="F5338" s="1121">
        <f t="shared" si="1"/>
        <v>9.74</v>
      </c>
      <c r="G5338" s="1120">
        <v>8.67</v>
      </c>
      <c r="H5338" s="1127">
        <v>1.07</v>
      </c>
      <c r="I5338" s="1127">
        <v>0.0</v>
      </c>
      <c r="J5338" s="1127">
        <v>0.0</v>
      </c>
      <c r="K5338" s="1124"/>
    </row>
    <row r="5339" ht="15.75" customHeight="1">
      <c r="A5339" s="1119">
        <v>90447.0</v>
      </c>
      <c r="B5339" s="1125" t="s">
        <v>15617</v>
      </c>
      <c r="C5339" s="1126" t="s">
        <v>1731</v>
      </c>
      <c r="D5339" s="1119">
        <v>8.03</v>
      </c>
      <c r="E5339" s="1120">
        <v>6.13</v>
      </c>
      <c r="F5339" s="1121">
        <f t="shared" si="1"/>
        <v>1.9</v>
      </c>
      <c r="G5339" s="1120">
        <v>1.9</v>
      </c>
      <c r="H5339" s="1127">
        <v>0.0</v>
      </c>
      <c r="I5339" s="1127">
        <v>0.0</v>
      </c>
      <c r="J5339" s="1127">
        <v>0.0</v>
      </c>
      <c r="K5339" s="1124"/>
    </row>
    <row r="5340" ht="15.75" customHeight="1">
      <c r="A5340" s="1119">
        <v>90451.0</v>
      </c>
      <c r="B5340" s="1125" t="s">
        <v>15618</v>
      </c>
      <c r="C5340" s="1126" t="s">
        <v>1788</v>
      </c>
      <c r="D5340" s="1119">
        <v>5.74</v>
      </c>
      <c r="E5340" s="1120">
        <v>3.27</v>
      </c>
      <c r="F5340" s="1121">
        <f t="shared" si="1"/>
        <v>2.48</v>
      </c>
      <c r="G5340" s="1120">
        <v>2.48</v>
      </c>
      <c r="H5340" s="1127">
        <v>0.0</v>
      </c>
      <c r="I5340" s="1127">
        <v>0.0</v>
      </c>
      <c r="J5340" s="1127">
        <v>0.0</v>
      </c>
      <c r="K5340" s="1124"/>
    </row>
    <row r="5341" ht="15.75" customHeight="1">
      <c r="A5341" s="1119">
        <v>90452.0</v>
      </c>
      <c r="B5341" s="1125" t="s">
        <v>15619</v>
      </c>
      <c r="C5341" s="1126" t="s">
        <v>1788</v>
      </c>
      <c r="D5341" s="1119">
        <v>27.27</v>
      </c>
      <c r="E5341" s="1120">
        <v>4.97</v>
      </c>
      <c r="F5341" s="1121">
        <f t="shared" si="1"/>
        <v>22.31</v>
      </c>
      <c r="G5341" s="1120">
        <v>22.31</v>
      </c>
      <c r="H5341" s="1127">
        <v>0.0</v>
      </c>
      <c r="I5341" s="1127">
        <v>0.0</v>
      </c>
      <c r="J5341" s="1127">
        <v>0.0</v>
      </c>
      <c r="K5341" s="1124"/>
    </row>
    <row r="5342" ht="15.75" customHeight="1">
      <c r="A5342" s="1119">
        <v>90453.0</v>
      </c>
      <c r="B5342" s="1125" t="s">
        <v>15620</v>
      </c>
      <c r="C5342" s="1126" t="s">
        <v>1788</v>
      </c>
      <c r="D5342" s="1119">
        <v>3.59</v>
      </c>
      <c r="E5342" s="1120">
        <v>1.83</v>
      </c>
      <c r="F5342" s="1121">
        <f t="shared" si="1"/>
        <v>1.78</v>
      </c>
      <c r="G5342" s="1120">
        <v>1.78</v>
      </c>
      <c r="H5342" s="1127">
        <v>0.0</v>
      </c>
      <c r="I5342" s="1127">
        <v>0.0</v>
      </c>
      <c r="J5342" s="1127">
        <v>0.0</v>
      </c>
      <c r="K5342" s="1124"/>
    </row>
    <row r="5343" ht="15.75" customHeight="1">
      <c r="A5343" s="1119">
        <v>90454.0</v>
      </c>
      <c r="B5343" s="1125" t="s">
        <v>15621</v>
      </c>
      <c r="C5343" s="1126" t="s">
        <v>1788</v>
      </c>
      <c r="D5343" s="1119">
        <v>6.16</v>
      </c>
      <c r="E5343" s="1120">
        <v>2.79</v>
      </c>
      <c r="F5343" s="1121">
        <f t="shared" si="1"/>
        <v>3.37</v>
      </c>
      <c r="G5343" s="1120">
        <v>3.37</v>
      </c>
      <c r="H5343" s="1127">
        <v>0.0</v>
      </c>
      <c r="I5343" s="1127">
        <v>0.0</v>
      </c>
      <c r="J5343" s="1127">
        <v>0.0</v>
      </c>
      <c r="K5343" s="1124"/>
    </row>
    <row r="5344" ht="15.75" customHeight="1">
      <c r="A5344" s="1119">
        <v>90455.0</v>
      </c>
      <c r="B5344" s="1125" t="s">
        <v>15622</v>
      </c>
      <c r="C5344" s="1126" t="s">
        <v>1788</v>
      </c>
      <c r="D5344" s="1119">
        <v>7.94</v>
      </c>
      <c r="E5344" s="1120">
        <v>4.08</v>
      </c>
      <c r="F5344" s="1121">
        <f t="shared" si="1"/>
        <v>3.88</v>
      </c>
      <c r="G5344" s="1120">
        <v>3.88</v>
      </c>
      <c r="H5344" s="1127">
        <v>0.0</v>
      </c>
      <c r="I5344" s="1127">
        <v>0.0</v>
      </c>
      <c r="J5344" s="1127">
        <v>0.0</v>
      </c>
      <c r="K5344" s="1124"/>
    </row>
    <row r="5345" ht="15.75" customHeight="1">
      <c r="A5345" s="1119">
        <v>90456.0</v>
      </c>
      <c r="B5345" s="1125" t="s">
        <v>15623</v>
      </c>
      <c r="C5345" s="1126" t="s">
        <v>1788</v>
      </c>
      <c r="D5345" s="1119">
        <v>5.16</v>
      </c>
      <c r="E5345" s="1120">
        <v>4.01</v>
      </c>
      <c r="F5345" s="1121">
        <f t="shared" si="1"/>
        <v>1.15</v>
      </c>
      <c r="G5345" s="1120">
        <v>1.15</v>
      </c>
      <c r="H5345" s="1127">
        <v>0.0</v>
      </c>
      <c r="I5345" s="1127">
        <v>0.0</v>
      </c>
      <c r="J5345" s="1127">
        <v>0.0</v>
      </c>
      <c r="K5345" s="1124"/>
    </row>
    <row r="5346" ht="15.75" customHeight="1">
      <c r="A5346" s="1119">
        <v>90457.0</v>
      </c>
      <c r="B5346" s="1125" t="s">
        <v>15624</v>
      </c>
      <c r="C5346" s="1126" t="s">
        <v>1788</v>
      </c>
      <c r="D5346" s="1119">
        <v>11.77</v>
      </c>
      <c r="E5346" s="1120">
        <v>9.08</v>
      </c>
      <c r="F5346" s="1121">
        <f t="shared" si="1"/>
        <v>2.69</v>
      </c>
      <c r="G5346" s="1120">
        <v>2.69</v>
      </c>
      <c r="H5346" s="1127">
        <v>0.0</v>
      </c>
      <c r="I5346" s="1127">
        <v>0.0</v>
      </c>
      <c r="J5346" s="1127">
        <v>0.0</v>
      </c>
      <c r="K5346" s="1124"/>
    </row>
    <row r="5347" ht="15.75" customHeight="1">
      <c r="A5347" s="1119">
        <v>90458.0</v>
      </c>
      <c r="B5347" s="1125" t="s">
        <v>15625</v>
      </c>
      <c r="C5347" s="1126" t="s">
        <v>1788</v>
      </c>
      <c r="D5347" s="1119">
        <v>33.41</v>
      </c>
      <c r="E5347" s="1120">
        <v>25.7</v>
      </c>
      <c r="F5347" s="1121">
        <f t="shared" si="1"/>
        <v>7.71</v>
      </c>
      <c r="G5347" s="1120">
        <v>7.71</v>
      </c>
      <c r="H5347" s="1127">
        <v>0.0</v>
      </c>
      <c r="I5347" s="1127">
        <v>0.0</v>
      </c>
      <c r="J5347" s="1127">
        <v>0.0</v>
      </c>
      <c r="K5347" s="1124"/>
    </row>
    <row r="5348" ht="15.75" customHeight="1">
      <c r="A5348" s="1119">
        <v>90459.0</v>
      </c>
      <c r="B5348" s="1125" t="s">
        <v>15626</v>
      </c>
      <c r="C5348" s="1126" t="s">
        <v>1788</v>
      </c>
      <c r="D5348" s="1119">
        <v>47.13</v>
      </c>
      <c r="E5348" s="1120">
        <v>36.25</v>
      </c>
      <c r="F5348" s="1121">
        <f t="shared" si="1"/>
        <v>10.88</v>
      </c>
      <c r="G5348" s="1120">
        <v>10.88</v>
      </c>
      <c r="H5348" s="1127">
        <v>0.0</v>
      </c>
      <c r="I5348" s="1127">
        <v>0.0</v>
      </c>
      <c r="J5348" s="1127">
        <v>0.0</v>
      </c>
      <c r="K5348" s="1124"/>
    </row>
    <row r="5349" ht="15.75" customHeight="1">
      <c r="A5349" s="1119">
        <v>90460.0</v>
      </c>
      <c r="B5349" s="1125" t="s">
        <v>15627</v>
      </c>
      <c r="C5349" s="1126" t="s">
        <v>1731</v>
      </c>
      <c r="D5349" s="1119">
        <v>13.01</v>
      </c>
      <c r="E5349" s="1120">
        <v>1.46</v>
      </c>
      <c r="F5349" s="1121">
        <f t="shared" si="1"/>
        <v>11.55</v>
      </c>
      <c r="G5349" s="1120">
        <v>11.55</v>
      </c>
      <c r="H5349" s="1127">
        <v>0.0</v>
      </c>
      <c r="I5349" s="1127">
        <v>0.0</v>
      </c>
      <c r="J5349" s="1127">
        <v>0.0</v>
      </c>
      <c r="K5349" s="1124"/>
    </row>
    <row r="5350" ht="15.75" customHeight="1">
      <c r="A5350" s="1119">
        <v>90461.0</v>
      </c>
      <c r="B5350" s="1125" t="s">
        <v>15628</v>
      </c>
      <c r="C5350" s="1126" t="s">
        <v>1731</v>
      </c>
      <c r="D5350" s="1119">
        <v>8.34</v>
      </c>
      <c r="E5350" s="1120">
        <v>1.66</v>
      </c>
      <c r="F5350" s="1121">
        <f t="shared" si="1"/>
        <v>6.68</v>
      </c>
      <c r="G5350" s="1120">
        <v>6.68</v>
      </c>
      <c r="H5350" s="1127">
        <v>0.0</v>
      </c>
      <c r="I5350" s="1127">
        <v>0.0</v>
      </c>
      <c r="J5350" s="1127">
        <v>0.0</v>
      </c>
      <c r="K5350" s="1124"/>
    </row>
    <row r="5351" ht="15.75" customHeight="1">
      <c r="A5351" s="1119">
        <v>90462.0</v>
      </c>
      <c r="B5351" s="1125" t="s">
        <v>15629</v>
      </c>
      <c r="C5351" s="1126" t="s">
        <v>1731</v>
      </c>
      <c r="D5351" s="1119">
        <v>1.79</v>
      </c>
      <c r="E5351" s="1120">
        <v>0.4</v>
      </c>
      <c r="F5351" s="1121">
        <f t="shared" si="1"/>
        <v>1.39</v>
      </c>
      <c r="G5351" s="1120">
        <v>1.39</v>
      </c>
      <c r="H5351" s="1127">
        <v>0.0</v>
      </c>
      <c r="I5351" s="1127">
        <v>0.0</v>
      </c>
      <c r="J5351" s="1127">
        <v>0.0</v>
      </c>
      <c r="K5351" s="1124"/>
    </row>
    <row r="5352" ht="15.75" customHeight="1">
      <c r="A5352" s="1119">
        <v>90463.0</v>
      </c>
      <c r="B5352" s="1125" t="s">
        <v>15630</v>
      </c>
      <c r="C5352" s="1126" t="s">
        <v>1731</v>
      </c>
      <c r="D5352" s="1119">
        <v>1.57</v>
      </c>
      <c r="E5352" s="1120">
        <v>0.45</v>
      </c>
      <c r="F5352" s="1121">
        <f t="shared" si="1"/>
        <v>1.11</v>
      </c>
      <c r="G5352" s="1120">
        <v>1.11</v>
      </c>
      <c r="H5352" s="1127">
        <v>0.0</v>
      </c>
      <c r="I5352" s="1127">
        <v>0.0</v>
      </c>
      <c r="J5352" s="1127">
        <v>0.0</v>
      </c>
      <c r="K5352" s="1124"/>
    </row>
    <row r="5353" ht="15.75" customHeight="1">
      <c r="A5353" s="1119">
        <v>90466.0</v>
      </c>
      <c r="B5353" s="1125" t="s">
        <v>15631</v>
      </c>
      <c r="C5353" s="1126" t="s">
        <v>1731</v>
      </c>
      <c r="D5353" s="1119">
        <v>15.86</v>
      </c>
      <c r="E5353" s="1120">
        <v>11.16</v>
      </c>
      <c r="F5353" s="1121">
        <f t="shared" si="1"/>
        <v>4.7</v>
      </c>
      <c r="G5353" s="1120">
        <v>4.7</v>
      </c>
      <c r="H5353" s="1127">
        <v>0.0</v>
      </c>
      <c r="I5353" s="1127">
        <v>0.0</v>
      </c>
      <c r="J5353" s="1127">
        <v>0.0</v>
      </c>
      <c r="K5353" s="1124"/>
    </row>
    <row r="5354" ht="15.75" customHeight="1">
      <c r="A5354" s="1119">
        <v>90467.0</v>
      </c>
      <c r="B5354" s="1125" t="s">
        <v>15632</v>
      </c>
      <c r="C5354" s="1126" t="s">
        <v>1731</v>
      </c>
      <c r="D5354" s="1119">
        <v>25.06</v>
      </c>
      <c r="E5354" s="1120">
        <v>17.51</v>
      </c>
      <c r="F5354" s="1121">
        <f t="shared" si="1"/>
        <v>7.56</v>
      </c>
      <c r="G5354" s="1120">
        <v>7.56</v>
      </c>
      <c r="H5354" s="1127">
        <v>0.0</v>
      </c>
      <c r="I5354" s="1127">
        <v>0.0</v>
      </c>
      <c r="J5354" s="1127">
        <v>0.0</v>
      </c>
      <c r="K5354" s="1124"/>
    </row>
    <row r="5355" ht="15.75" customHeight="1">
      <c r="A5355" s="1119">
        <v>90468.0</v>
      </c>
      <c r="B5355" s="1125" t="s">
        <v>15633</v>
      </c>
      <c r="C5355" s="1126" t="s">
        <v>1731</v>
      </c>
      <c r="D5355" s="1119">
        <v>6.85</v>
      </c>
      <c r="E5355" s="1120">
        <v>4.23</v>
      </c>
      <c r="F5355" s="1121">
        <f t="shared" si="1"/>
        <v>2.63</v>
      </c>
      <c r="G5355" s="1120">
        <v>2.63</v>
      </c>
      <c r="H5355" s="1127">
        <v>0.0</v>
      </c>
      <c r="I5355" s="1127">
        <v>0.0</v>
      </c>
      <c r="J5355" s="1127">
        <v>0.0</v>
      </c>
      <c r="K5355" s="1124"/>
    </row>
    <row r="5356" ht="15.75" customHeight="1">
      <c r="A5356" s="1119">
        <v>90469.0</v>
      </c>
      <c r="B5356" s="1125" t="s">
        <v>15634</v>
      </c>
      <c r="C5356" s="1126" t="s">
        <v>1731</v>
      </c>
      <c r="D5356" s="1119">
        <v>10.96</v>
      </c>
      <c r="E5356" s="1120">
        <v>6.65</v>
      </c>
      <c r="F5356" s="1121">
        <f t="shared" si="1"/>
        <v>4.32</v>
      </c>
      <c r="G5356" s="1120">
        <v>4.32</v>
      </c>
      <c r="H5356" s="1127">
        <v>0.0</v>
      </c>
      <c r="I5356" s="1127">
        <v>0.0</v>
      </c>
      <c r="J5356" s="1127">
        <v>0.0</v>
      </c>
      <c r="K5356" s="1124"/>
    </row>
    <row r="5357" ht="15.75" customHeight="1">
      <c r="A5357" s="1119">
        <v>90470.0</v>
      </c>
      <c r="B5357" s="1125" t="s">
        <v>15635</v>
      </c>
      <c r="C5357" s="1126" t="s">
        <v>1731</v>
      </c>
      <c r="D5357" s="1119">
        <v>14.98</v>
      </c>
      <c r="E5357" s="1120">
        <v>8.64</v>
      </c>
      <c r="F5357" s="1121">
        <f t="shared" si="1"/>
        <v>6.34</v>
      </c>
      <c r="G5357" s="1120">
        <v>6.34</v>
      </c>
      <c r="H5357" s="1127">
        <v>0.0</v>
      </c>
      <c r="I5357" s="1127">
        <v>0.0</v>
      </c>
      <c r="J5357" s="1127">
        <v>0.0</v>
      </c>
      <c r="K5357" s="1124"/>
    </row>
    <row r="5358" ht="15.75" customHeight="1">
      <c r="A5358" s="1119">
        <v>91166.0</v>
      </c>
      <c r="B5358" s="1125" t="s">
        <v>15636</v>
      </c>
      <c r="C5358" s="1126" t="s">
        <v>1731</v>
      </c>
      <c r="D5358" s="1119">
        <v>4.15</v>
      </c>
      <c r="E5358" s="1120">
        <v>1.99</v>
      </c>
      <c r="F5358" s="1121">
        <f t="shared" si="1"/>
        <v>2.16</v>
      </c>
      <c r="G5358" s="1120">
        <v>2.16</v>
      </c>
      <c r="H5358" s="1127">
        <v>0.0</v>
      </c>
      <c r="I5358" s="1127">
        <v>0.0</v>
      </c>
      <c r="J5358" s="1127">
        <v>0.0</v>
      </c>
      <c r="K5358" s="1124"/>
    </row>
    <row r="5359" ht="15.75" customHeight="1">
      <c r="A5359" s="1119">
        <v>91167.0</v>
      </c>
      <c r="B5359" s="1125" t="s">
        <v>15637</v>
      </c>
      <c r="C5359" s="1126" t="s">
        <v>1731</v>
      </c>
      <c r="D5359" s="1119">
        <v>15.28</v>
      </c>
      <c r="E5359" s="1120">
        <v>7.29</v>
      </c>
      <c r="F5359" s="1121">
        <f t="shared" si="1"/>
        <v>8</v>
      </c>
      <c r="G5359" s="1120">
        <v>8.0</v>
      </c>
      <c r="H5359" s="1127">
        <v>0.0</v>
      </c>
      <c r="I5359" s="1127">
        <v>0.0</v>
      </c>
      <c r="J5359" s="1127">
        <v>0.0</v>
      </c>
      <c r="K5359" s="1124"/>
    </row>
    <row r="5360" ht="15.75" customHeight="1">
      <c r="A5360" s="1119">
        <v>91168.0</v>
      </c>
      <c r="B5360" s="1125" t="s">
        <v>15638</v>
      </c>
      <c r="C5360" s="1126" t="s">
        <v>1731</v>
      </c>
      <c r="D5360" s="1119">
        <v>11.6</v>
      </c>
      <c r="E5360" s="1120">
        <v>5.38</v>
      </c>
      <c r="F5360" s="1121">
        <f t="shared" si="1"/>
        <v>6.22</v>
      </c>
      <c r="G5360" s="1120">
        <v>6.22</v>
      </c>
      <c r="H5360" s="1127">
        <v>0.0</v>
      </c>
      <c r="I5360" s="1127">
        <v>0.0</v>
      </c>
      <c r="J5360" s="1127">
        <v>0.0</v>
      </c>
      <c r="K5360" s="1124"/>
    </row>
    <row r="5361" ht="15.75" customHeight="1">
      <c r="A5361" s="1119">
        <v>91169.0</v>
      </c>
      <c r="B5361" s="1125" t="s">
        <v>15639</v>
      </c>
      <c r="C5361" s="1126" t="s">
        <v>1731</v>
      </c>
      <c r="D5361" s="1119">
        <v>13.73</v>
      </c>
      <c r="E5361" s="1120">
        <v>6.43</v>
      </c>
      <c r="F5361" s="1121">
        <f t="shared" si="1"/>
        <v>7.3</v>
      </c>
      <c r="G5361" s="1120">
        <v>7.3</v>
      </c>
      <c r="H5361" s="1127">
        <v>0.0</v>
      </c>
      <c r="I5361" s="1127">
        <v>0.0</v>
      </c>
      <c r="J5361" s="1127">
        <v>0.0</v>
      </c>
      <c r="K5361" s="1124"/>
    </row>
    <row r="5362" ht="15.75" customHeight="1">
      <c r="A5362" s="1119">
        <v>91170.0</v>
      </c>
      <c r="B5362" s="1125" t="s">
        <v>15640</v>
      </c>
      <c r="C5362" s="1126" t="s">
        <v>1731</v>
      </c>
      <c r="D5362" s="1119">
        <v>3.94</v>
      </c>
      <c r="E5362" s="1120">
        <v>1.9</v>
      </c>
      <c r="F5362" s="1121">
        <f t="shared" si="1"/>
        <v>2.04</v>
      </c>
      <c r="G5362" s="1120">
        <v>2.04</v>
      </c>
      <c r="H5362" s="1127">
        <v>0.0</v>
      </c>
      <c r="I5362" s="1127">
        <v>0.0</v>
      </c>
      <c r="J5362" s="1127">
        <v>0.0</v>
      </c>
      <c r="K5362" s="1124"/>
    </row>
    <row r="5363" ht="15.75" customHeight="1">
      <c r="A5363" s="1119">
        <v>91171.0</v>
      </c>
      <c r="B5363" s="1125" t="s">
        <v>15641</v>
      </c>
      <c r="C5363" s="1126" t="s">
        <v>1731</v>
      </c>
      <c r="D5363" s="1119">
        <v>4.95</v>
      </c>
      <c r="E5363" s="1120">
        <v>2.3</v>
      </c>
      <c r="F5363" s="1121">
        <f t="shared" si="1"/>
        <v>2.65</v>
      </c>
      <c r="G5363" s="1120">
        <v>2.65</v>
      </c>
      <c r="H5363" s="1127">
        <v>0.0</v>
      </c>
      <c r="I5363" s="1127">
        <v>0.0</v>
      </c>
      <c r="J5363" s="1127">
        <v>0.0</v>
      </c>
      <c r="K5363" s="1124"/>
    </row>
    <row r="5364" ht="15.75" customHeight="1">
      <c r="A5364" s="1119">
        <v>91172.0</v>
      </c>
      <c r="B5364" s="1125" t="s">
        <v>15642</v>
      </c>
      <c r="C5364" s="1126" t="s">
        <v>1731</v>
      </c>
      <c r="D5364" s="1119">
        <v>7.26</v>
      </c>
      <c r="E5364" s="1120">
        <v>3.4</v>
      </c>
      <c r="F5364" s="1121">
        <f t="shared" si="1"/>
        <v>3.85</v>
      </c>
      <c r="G5364" s="1120">
        <v>3.85</v>
      </c>
      <c r="H5364" s="1127">
        <v>0.0</v>
      </c>
      <c r="I5364" s="1127">
        <v>0.0</v>
      </c>
      <c r="J5364" s="1127">
        <v>0.0</v>
      </c>
      <c r="K5364" s="1124"/>
    </row>
    <row r="5365" ht="15.75" customHeight="1">
      <c r="A5365" s="1119">
        <v>91173.0</v>
      </c>
      <c r="B5365" s="1125" t="s">
        <v>15643</v>
      </c>
      <c r="C5365" s="1126" t="s">
        <v>1731</v>
      </c>
      <c r="D5365" s="1119">
        <v>2.0</v>
      </c>
      <c r="E5365" s="1120">
        <v>0.96</v>
      </c>
      <c r="F5365" s="1121">
        <f t="shared" si="1"/>
        <v>1.04</v>
      </c>
      <c r="G5365" s="1120">
        <v>1.04</v>
      </c>
      <c r="H5365" s="1127">
        <v>0.0</v>
      </c>
      <c r="I5365" s="1127">
        <v>0.0</v>
      </c>
      <c r="J5365" s="1127">
        <v>0.0</v>
      </c>
      <c r="K5365" s="1124"/>
    </row>
    <row r="5366" ht="15.75" customHeight="1">
      <c r="A5366" s="1119">
        <v>91174.0</v>
      </c>
      <c r="B5366" s="1125" t="s">
        <v>15644</v>
      </c>
      <c r="C5366" s="1126" t="s">
        <v>1731</v>
      </c>
      <c r="D5366" s="1119">
        <v>3.92</v>
      </c>
      <c r="E5366" s="1120">
        <v>1.82</v>
      </c>
      <c r="F5366" s="1121">
        <f t="shared" si="1"/>
        <v>2.1</v>
      </c>
      <c r="G5366" s="1120">
        <v>2.1</v>
      </c>
      <c r="H5366" s="1127">
        <v>0.0</v>
      </c>
      <c r="I5366" s="1127">
        <v>0.0</v>
      </c>
      <c r="J5366" s="1127">
        <v>0.0</v>
      </c>
      <c r="K5366" s="1124"/>
    </row>
    <row r="5367" ht="15.75" customHeight="1">
      <c r="A5367" s="1119">
        <v>91175.0</v>
      </c>
      <c r="B5367" s="1125" t="s">
        <v>15645</v>
      </c>
      <c r="C5367" s="1126" t="s">
        <v>1731</v>
      </c>
      <c r="D5367" s="1119">
        <v>6.38</v>
      </c>
      <c r="E5367" s="1120">
        <v>2.99</v>
      </c>
      <c r="F5367" s="1121">
        <f t="shared" si="1"/>
        <v>3.38</v>
      </c>
      <c r="G5367" s="1120">
        <v>3.38</v>
      </c>
      <c r="H5367" s="1127">
        <v>0.0</v>
      </c>
      <c r="I5367" s="1127">
        <v>0.0</v>
      </c>
      <c r="J5367" s="1127">
        <v>0.0</v>
      </c>
      <c r="K5367" s="1124"/>
    </row>
    <row r="5368" ht="15.75" customHeight="1">
      <c r="A5368" s="1119">
        <v>91176.0</v>
      </c>
      <c r="B5368" s="1125" t="s">
        <v>15646</v>
      </c>
      <c r="C5368" s="1126" t="s">
        <v>1731</v>
      </c>
      <c r="D5368" s="1119">
        <v>34.36</v>
      </c>
      <c r="E5368" s="1120">
        <v>14.91</v>
      </c>
      <c r="F5368" s="1121">
        <f t="shared" si="1"/>
        <v>19.46</v>
      </c>
      <c r="G5368" s="1120">
        <v>19.46</v>
      </c>
      <c r="H5368" s="1127">
        <v>0.0</v>
      </c>
      <c r="I5368" s="1127">
        <v>0.0</v>
      </c>
      <c r="J5368" s="1127">
        <v>0.0</v>
      </c>
      <c r="K5368" s="1124"/>
    </row>
    <row r="5369" ht="15.75" customHeight="1">
      <c r="A5369" s="1119">
        <v>91177.0</v>
      </c>
      <c r="B5369" s="1125" t="s">
        <v>15647</v>
      </c>
      <c r="C5369" s="1126" t="s">
        <v>1731</v>
      </c>
      <c r="D5369" s="1119">
        <v>16.62</v>
      </c>
      <c r="E5369" s="1120">
        <v>8.36</v>
      </c>
      <c r="F5369" s="1121">
        <f t="shared" si="1"/>
        <v>8.28</v>
      </c>
      <c r="G5369" s="1120">
        <v>8.28</v>
      </c>
      <c r="H5369" s="1127">
        <v>0.0</v>
      </c>
      <c r="I5369" s="1127">
        <v>0.0</v>
      </c>
      <c r="J5369" s="1127">
        <v>0.0</v>
      </c>
      <c r="K5369" s="1124"/>
    </row>
    <row r="5370" ht="15.75" customHeight="1">
      <c r="A5370" s="1119">
        <v>91178.0</v>
      </c>
      <c r="B5370" s="1125" t="s">
        <v>15648</v>
      </c>
      <c r="C5370" s="1126" t="s">
        <v>1731</v>
      </c>
      <c r="D5370" s="1119">
        <v>19.11</v>
      </c>
      <c r="E5370" s="1120">
        <v>8.58</v>
      </c>
      <c r="F5370" s="1121">
        <f t="shared" si="1"/>
        <v>10.53</v>
      </c>
      <c r="G5370" s="1120">
        <v>10.53</v>
      </c>
      <c r="H5370" s="1127">
        <v>0.0</v>
      </c>
      <c r="I5370" s="1127">
        <v>0.0</v>
      </c>
      <c r="J5370" s="1127">
        <v>0.0</v>
      </c>
      <c r="K5370" s="1124"/>
    </row>
    <row r="5371" ht="15.75" customHeight="1">
      <c r="A5371" s="1119">
        <v>91179.0</v>
      </c>
      <c r="B5371" s="1125" t="s">
        <v>15649</v>
      </c>
      <c r="C5371" s="1126" t="s">
        <v>1731</v>
      </c>
      <c r="D5371" s="1119">
        <v>8.84</v>
      </c>
      <c r="E5371" s="1120">
        <v>3.85</v>
      </c>
      <c r="F5371" s="1121">
        <f t="shared" si="1"/>
        <v>4.99</v>
      </c>
      <c r="G5371" s="1120">
        <v>4.99</v>
      </c>
      <c r="H5371" s="1127">
        <v>0.0</v>
      </c>
      <c r="I5371" s="1127">
        <v>0.0</v>
      </c>
      <c r="J5371" s="1127">
        <v>0.0</v>
      </c>
      <c r="K5371" s="1124"/>
    </row>
    <row r="5372" ht="15.75" customHeight="1">
      <c r="A5372" s="1119">
        <v>91180.0</v>
      </c>
      <c r="B5372" s="1125" t="s">
        <v>15650</v>
      </c>
      <c r="C5372" s="1126" t="s">
        <v>1731</v>
      </c>
      <c r="D5372" s="1119">
        <v>8.06</v>
      </c>
      <c r="E5372" s="1120">
        <v>3.54</v>
      </c>
      <c r="F5372" s="1121">
        <f t="shared" si="1"/>
        <v>4.53</v>
      </c>
      <c r="G5372" s="1120">
        <v>4.53</v>
      </c>
      <c r="H5372" s="1127">
        <v>0.0</v>
      </c>
      <c r="I5372" s="1127">
        <v>0.0</v>
      </c>
      <c r="J5372" s="1127">
        <v>0.0</v>
      </c>
      <c r="K5372" s="1124"/>
    </row>
    <row r="5373" ht="15.75" customHeight="1">
      <c r="A5373" s="1119">
        <v>91181.0</v>
      </c>
      <c r="B5373" s="1125" t="s">
        <v>15651</v>
      </c>
      <c r="C5373" s="1126" t="s">
        <v>1731</v>
      </c>
      <c r="D5373" s="1119">
        <v>9.03</v>
      </c>
      <c r="E5373" s="1120">
        <v>4.56</v>
      </c>
      <c r="F5373" s="1121">
        <f t="shared" si="1"/>
        <v>4.49</v>
      </c>
      <c r="G5373" s="1120">
        <v>4.49</v>
      </c>
      <c r="H5373" s="1127">
        <v>0.0</v>
      </c>
      <c r="I5373" s="1127">
        <v>0.0</v>
      </c>
      <c r="J5373" s="1127">
        <v>0.0</v>
      </c>
      <c r="K5373" s="1124"/>
    </row>
    <row r="5374" ht="15.75" customHeight="1">
      <c r="A5374" s="1119">
        <v>91182.0</v>
      </c>
      <c r="B5374" s="1125" t="s">
        <v>15652</v>
      </c>
      <c r="C5374" s="1126" t="s">
        <v>1731</v>
      </c>
      <c r="D5374" s="1119">
        <v>33.6</v>
      </c>
      <c r="E5374" s="1120">
        <v>22.37</v>
      </c>
      <c r="F5374" s="1121">
        <f t="shared" si="1"/>
        <v>11.22</v>
      </c>
      <c r="G5374" s="1120">
        <v>11.22</v>
      </c>
      <c r="H5374" s="1127">
        <v>0.0</v>
      </c>
      <c r="I5374" s="1127">
        <v>0.0</v>
      </c>
      <c r="J5374" s="1127">
        <v>0.0</v>
      </c>
      <c r="K5374" s="1124"/>
    </row>
    <row r="5375" ht="15.75" customHeight="1">
      <c r="A5375" s="1119">
        <v>91183.0</v>
      </c>
      <c r="B5375" s="1125" t="s">
        <v>15653</v>
      </c>
      <c r="C5375" s="1126" t="s">
        <v>1731</v>
      </c>
      <c r="D5375" s="1119">
        <v>16.51</v>
      </c>
      <c r="E5375" s="1120">
        <v>11.25</v>
      </c>
      <c r="F5375" s="1121">
        <f t="shared" si="1"/>
        <v>5.27</v>
      </c>
      <c r="G5375" s="1120">
        <v>5.27</v>
      </c>
      <c r="H5375" s="1127">
        <v>0.0</v>
      </c>
      <c r="I5375" s="1127">
        <v>0.0</v>
      </c>
      <c r="J5375" s="1127">
        <v>0.0</v>
      </c>
      <c r="K5375" s="1124"/>
    </row>
    <row r="5376" ht="15.75" customHeight="1">
      <c r="A5376" s="1119">
        <v>91184.0</v>
      </c>
      <c r="B5376" s="1125" t="s">
        <v>15654</v>
      </c>
      <c r="C5376" s="1126" t="s">
        <v>1731</v>
      </c>
      <c r="D5376" s="1119">
        <v>15.42</v>
      </c>
      <c r="E5376" s="1120">
        <v>10.72</v>
      </c>
      <c r="F5376" s="1121">
        <f t="shared" si="1"/>
        <v>4.69</v>
      </c>
      <c r="G5376" s="1120">
        <v>4.69</v>
      </c>
      <c r="H5376" s="1127">
        <v>0.0</v>
      </c>
      <c r="I5376" s="1127">
        <v>0.0</v>
      </c>
      <c r="J5376" s="1127">
        <v>0.0</v>
      </c>
      <c r="K5376" s="1124"/>
    </row>
    <row r="5377" ht="15.75" customHeight="1">
      <c r="A5377" s="1119">
        <v>91185.0</v>
      </c>
      <c r="B5377" s="1125" t="s">
        <v>15655</v>
      </c>
      <c r="C5377" s="1126" t="s">
        <v>1731</v>
      </c>
      <c r="D5377" s="1119">
        <v>8.62</v>
      </c>
      <c r="E5377" s="1120">
        <v>5.77</v>
      </c>
      <c r="F5377" s="1121">
        <f t="shared" si="1"/>
        <v>2.85</v>
      </c>
      <c r="G5377" s="1120">
        <v>2.85</v>
      </c>
      <c r="H5377" s="1127">
        <v>0.0</v>
      </c>
      <c r="I5377" s="1127">
        <v>0.0</v>
      </c>
      <c r="J5377" s="1127">
        <v>0.0</v>
      </c>
      <c r="K5377" s="1124"/>
    </row>
    <row r="5378" ht="15.75" customHeight="1">
      <c r="A5378" s="1119">
        <v>91186.0</v>
      </c>
      <c r="B5378" s="1125" t="s">
        <v>15656</v>
      </c>
      <c r="C5378" s="1126" t="s">
        <v>1731</v>
      </c>
      <c r="D5378" s="1119">
        <v>7.05</v>
      </c>
      <c r="E5378" s="1120">
        <v>4.81</v>
      </c>
      <c r="F5378" s="1121">
        <f t="shared" si="1"/>
        <v>2.24</v>
      </c>
      <c r="G5378" s="1120">
        <v>2.24</v>
      </c>
      <c r="H5378" s="1127">
        <v>0.0</v>
      </c>
      <c r="I5378" s="1127">
        <v>0.0</v>
      </c>
      <c r="J5378" s="1127">
        <v>0.0</v>
      </c>
      <c r="K5378" s="1124"/>
    </row>
    <row r="5379" ht="15.75" customHeight="1">
      <c r="A5379" s="1119">
        <v>91187.0</v>
      </c>
      <c r="B5379" s="1125" t="s">
        <v>15657</v>
      </c>
      <c r="C5379" s="1126" t="s">
        <v>1731</v>
      </c>
      <c r="D5379" s="1119">
        <v>8.15</v>
      </c>
      <c r="E5379" s="1120">
        <v>5.71</v>
      </c>
      <c r="F5379" s="1121">
        <f t="shared" si="1"/>
        <v>2.44</v>
      </c>
      <c r="G5379" s="1120">
        <v>2.44</v>
      </c>
      <c r="H5379" s="1127">
        <v>0.0</v>
      </c>
      <c r="I5379" s="1127">
        <v>0.0</v>
      </c>
      <c r="J5379" s="1127">
        <v>0.0</v>
      </c>
      <c r="K5379" s="1124"/>
    </row>
    <row r="5380" ht="15.75" customHeight="1">
      <c r="A5380" s="1119">
        <v>91188.0</v>
      </c>
      <c r="B5380" s="1125" t="s">
        <v>15658</v>
      </c>
      <c r="C5380" s="1126" t="s">
        <v>1788</v>
      </c>
      <c r="D5380" s="1119">
        <v>8.47</v>
      </c>
      <c r="E5380" s="1120">
        <v>5.34</v>
      </c>
      <c r="F5380" s="1121">
        <f t="shared" si="1"/>
        <v>3.13</v>
      </c>
      <c r="G5380" s="1120">
        <v>3.13</v>
      </c>
      <c r="H5380" s="1127">
        <v>0.0</v>
      </c>
      <c r="I5380" s="1127">
        <v>0.0</v>
      </c>
      <c r="J5380" s="1127">
        <v>0.0</v>
      </c>
      <c r="K5380" s="1124"/>
    </row>
    <row r="5381" ht="15.75" customHeight="1">
      <c r="A5381" s="1119">
        <v>91189.0</v>
      </c>
      <c r="B5381" s="1125" t="s">
        <v>15659</v>
      </c>
      <c r="C5381" s="1126" t="s">
        <v>1788</v>
      </c>
      <c r="D5381" s="1119">
        <v>55.79</v>
      </c>
      <c r="E5381" s="1120">
        <v>23.84</v>
      </c>
      <c r="F5381" s="1121">
        <f t="shared" si="1"/>
        <v>31.95</v>
      </c>
      <c r="G5381" s="1120">
        <v>31.95</v>
      </c>
      <c r="H5381" s="1127">
        <v>0.0</v>
      </c>
      <c r="I5381" s="1127">
        <v>0.0</v>
      </c>
      <c r="J5381" s="1127">
        <v>0.0</v>
      </c>
      <c r="K5381" s="1124"/>
    </row>
    <row r="5382" ht="15.75" customHeight="1">
      <c r="A5382" s="1119">
        <v>91190.0</v>
      </c>
      <c r="B5382" s="1125" t="s">
        <v>15660</v>
      </c>
      <c r="C5382" s="1126" t="s">
        <v>1788</v>
      </c>
      <c r="D5382" s="1119">
        <v>6.16</v>
      </c>
      <c r="E5382" s="1120">
        <v>4.44</v>
      </c>
      <c r="F5382" s="1121">
        <f t="shared" si="1"/>
        <v>1.72</v>
      </c>
      <c r="G5382" s="1120">
        <v>1.72</v>
      </c>
      <c r="H5382" s="1127">
        <v>0.0</v>
      </c>
      <c r="I5382" s="1127">
        <v>0.0</v>
      </c>
      <c r="J5382" s="1127">
        <v>0.0</v>
      </c>
      <c r="K5382" s="1124"/>
    </row>
    <row r="5383" ht="15.75" customHeight="1">
      <c r="A5383" s="1119">
        <v>91191.0</v>
      </c>
      <c r="B5383" s="1125" t="s">
        <v>15661</v>
      </c>
      <c r="C5383" s="1126" t="s">
        <v>1788</v>
      </c>
      <c r="D5383" s="1119">
        <v>6.53</v>
      </c>
      <c r="E5383" s="1120">
        <v>4.73</v>
      </c>
      <c r="F5383" s="1121">
        <f t="shared" si="1"/>
        <v>1.8</v>
      </c>
      <c r="G5383" s="1120">
        <v>1.8</v>
      </c>
      <c r="H5383" s="1127">
        <v>0.0</v>
      </c>
      <c r="I5383" s="1127">
        <v>0.0</v>
      </c>
      <c r="J5383" s="1127">
        <v>0.0</v>
      </c>
      <c r="K5383" s="1124"/>
    </row>
    <row r="5384" ht="15.75" customHeight="1">
      <c r="A5384" s="1119">
        <v>91192.0</v>
      </c>
      <c r="B5384" s="1125" t="s">
        <v>15662</v>
      </c>
      <c r="C5384" s="1126" t="s">
        <v>1788</v>
      </c>
      <c r="D5384" s="1119">
        <v>7.25</v>
      </c>
      <c r="E5384" s="1120">
        <v>5.29</v>
      </c>
      <c r="F5384" s="1121">
        <f t="shared" si="1"/>
        <v>1.96</v>
      </c>
      <c r="G5384" s="1120">
        <v>1.96</v>
      </c>
      <c r="H5384" s="1127">
        <v>0.0</v>
      </c>
      <c r="I5384" s="1127">
        <v>0.0</v>
      </c>
      <c r="J5384" s="1127">
        <v>0.0</v>
      </c>
      <c r="K5384" s="1124"/>
    </row>
    <row r="5385" ht="15.75" customHeight="1">
      <c r="A5385" s="1119">
        <v>91222.0</v>
      </c>
      <c r="B5385" s="1125" t="s">
        <v>15663</v>
      </c>
      <c r="C5385" s="1126" t="s">
        <v>1731</v>
      </c>
      <c r="D5385" s="1119">
        <v>17.32</v>
      </c>
      <c r="E5385" s="1120">
        <v>13.35</v>
      </c>
      <c r="F5385" s="1121">
        <f t="shared" si="1"/>
        <v>3.97</v>
      </c>
      <c r="G5385" s="1120">
        <v>3.97</v>
      </c>
      <c r="H5385" s="1127">
        <v>0.0</v>
      </c>
      <c r="I5385" s="1127">
        <v>0.0</v>
      </c>
      <c r="J5385" s="1127">
        <v>0.0</v>
      </c>
      <c r="K5385" s="1124"/>
    </row>
    <row r="5386" ht="15.75" customHeight="1">
      <c r="A5386" s="1119">
        <v>94480.0</v>
      </c>
      <c r="B5386" s="1125" t="s">
        <v>15664</v>
      </c>
      <c r="C5386" s="1126" t="s">
        <v>1788</v>
      </c>
      <c r="D5386" s="1128">
        <v>3108.63</v>
      </c>
      <c r="E5386" s="1120">
        <v>768.73</v>
      </c>
      <c r="F5386" s="1121">
        <f t="shared" si="1"/>
        <v>2339.89</v>
      </c>
      <c r="G5386" s="1120">
        <v>2339.89</v>
      </c>
      <c r="H5386" s="1127">
        <v>0.0</v>
      </c>
      <c r="I5386" s="1127">
        <v>0.0</v>
      </c>
      <c r="J5386" s="1127">
        <v>0.0</v>
      </c>
      <c r="K5386" s="1124"/>
    </row>
    <row r="5387" ht="15.75" customHeight="1">
      <c r="A5387" s="1119">
        <v>94481.0</v>
      </c>
      <c r="B5387" s="1125" t="s">
        <v>15665</v>
      </c>
      <c r="C5387" s="1126" t="s">
        <v>1788</v>
      </c>
      <c r="D5387" s="1128">
        <v>2197.14</v>
      </c>
      <c r="E5387" s="1120">
        <v>683.61</v>
      </c>
      <c r="F5387" s="1121">
        <f t="shared" si="1"/>
        <v>1513.52</v>
      </c>
      <c r="G5387" s="1120">
        <v>1513.52</v>
      </c>
      <c r="H5387" s="1127">
        <v>0.0</v>
      </c>
      <c r="I5387" s="1127">
        <v>0.0</v>
      </c>
      <c r="J5387" s="1127">
        <v>0.0</v>
      </c>
      <c r="K5387" s="1124"/>
    </row>
    <row r="5388" ht="15.75" customHeight="1">
      <c r="A5388" s="1119">
        <v>94482.0</v>
      </c>
      <c r="B5388" s="1125" t="s">
        <v>15666</v>
      </c>
      <c r="C5388" s="1126" t="s">
        <v>1788</v>
      </c>
      <c r="D5388" s="1128">
        <v>1746.09</v>
      </c>
      <c r="E5388" s="1120">
        <v>622.44</v>
      </c>
      <c r="F5388" s="1121">
        <f t="shared" si="1"/>
        <v>1123.66</v>
      </c>
      <c r="G5388" s="1120">
        <v>1123.66</v>
      </c>
      <c r="H5388" s="1127">
        <v>0.0</v>
      </c>
      <c r="I5388" s="1127">
        <v>0.0</v>
      </c>
      <c r="J5388" s="1127">
        <v>0.0</v>
      </c>
      <c r="K5388" s="1124"/>
    </row>
    <row r="5389" ht="15.75" customHeight="1">
      <c r="A5389" s="1119">
        <v>94483.0</v>
      </c>
      <c r="B5389" s="1125" t="s">
        <v>15667</v>
      </c>
      <c r="C5389" s="1126" t="s">
        <v>1788</v>
      </c>
      <c r="D5389" s="1128">
        <v>1475.17</v>
      </c>
      <c r="E5389" s="1120">
        <v>572.1</v>
      </c>
      <c r="F5389" s="1121">
        <f t="shared" si="1"/>
        <v>903.07</v>
      </c>
      <c r="G5389" s="1120">
        <v>903.07</v>
      </c>
      <c r="H5389" s="1127">
        <v>0.0</v>
      </c>
      <c r="I5389" s="1127">
        <v>0.0</v>
      </c>
      <c r="J5389" s="1127">
        <v>0.0</v>
      </c>
      <c r="K5389" s="1124"/>
    </row>
    <row r="5390" ht="15.75" customHeight="1">
      <c r="A5390" s="1119">
        <v>95541.0</v>
      </c>
      <c r="B5390" s="1125" t="s">
        <v>15668</v>
      </c>
      <c r="C5390" s="1126" t="s">
        <v>1788</v>
      </c>
      <c r="D5390" s="1119">
        <v>5.74</v>
      </c>
      <c r="E5390" s="1120">
        <v>4.46</v>
      </c>
      <c r="F5390" s="1121">
        <f t="shared" si="1"/>
        <v>1.28</v>
      </c>
      <c r="G5390" s="1120">
        <v>1.28</v>
      </c>
      <c r="H5390" s="1127">
        <v>0.0</v>
      </c>
      <c r="I5390" s="1127">
        <v>0.0</v>
      </c>
      <c r="J5390" s="1127">
        <v>0.0</v>
      </c>
      <c r="K5390" s="1124"/>
    </row>
    <row r="5391" ht="15.75" customHeight="1">
      <c r="A5391" s="1119">
        <v>96559.0</v>
      </c>
      <c r="B5391" s="1125" t="s">
        <v>15669</v>
      </c>
      <c r="C5391" s="1126" t="s">
        <v>1814</v>
      </c>
      <c r="D5391" s="1119">
        <v>36.3</v>
      </c>
      <c r="E5391" s="1120">
        <v>4.2</v>
      </c>
      <c r="F5391" s="1121">
        <f t="shared" si="1"/>
        <v>32.09</v>
      </c>
      <c r="G5391" s="1120">
        <v>32.09</v>
      </c>
      <c r="H5391" s="1127">
        <v>0.0</v>
      </c>
      <c r="I5391" s="1127">
        <v>0.0</v>
      </c>
      <c r="J5391" s="1127">
        <v>0.0</v>
      </c>
      <c r="K5391" s="1124"/>
    </row>
    <row r="5392" ht="15.75" customHeight="1">
      <c r="A5392" s="1119">
        <v>96560.0</v>
      </c>
      <c r="B5392" s="1125" t="s">
        <v>15670</v>
      </c>
      <c r="C5392" s="1126" t="s">
        <v>1814</v>
      </c>
      <c r="D5392" s="1119">
        <v>23.68</v>
      </c>
      <c r="E5392" s="1120">
        <v>4.16</v>
      </c>
      <c r="F5392" s="1121">
        <f t="shared" si="1"/>
        <v>19.51</v>
      </c>
      <c r="G5392" s="1120">
        <v>19.51</v>
      </c>
      <c r="H5392" s="1127">
        <v>0.0</v>
      </c>
      <c r="I5392" s="1127">
        <v>0.0</v>
      </c>
      <c r="J5392" s="1127">
        <v>0.0</v>
      </c>
      <c r="K5392" s="1124"/>
    </row>
    <row r="5393" ht="15.75" customHeight="1">
      <c r="A5393" s="1119">
        <v>96561.0</v>
      </c>
      <c r="B5393" s="1125" t="s">
        <v>15671</v>
      </c>
      <c r="C5393" s="1126" t="s">
        <v>1814</v>
      </c>
      <c r="D5393" s="1119">
        <v>16.83</v>
      </c>
      <c r="E5393" s="1120">
        <v>2.3</v>
      </c>
      <c r="F5393" s="1121">
        <f t="shared" si="1"/>
        <v>14.53</v>
      </c>
      <c r="G5393" s="1120">
        <v>14.53</v>
      </c>
      <c r="H5393" s="1127">
        <v>0.0</v>
      </c>
      <c r="I5393" s="1127">
        <v>0.0</v>
      </c>
      <c r="J5393" s="1127">
        <v>0.0</v>
      </c>
      <c r="K5393" s="1124"/>
    </row>
    <row r="5394" ht="15.75" customHeight="1">
      <c r="A5394" s="1119">
        <v>96562.0</v>
      </c>
      <c r="B5394" s="1125" t="s">
        <v>15672</v>
      </c>
      <c r="C5394" s="1126" t="s">
        <v>1731</v>
      </c>
      <c r="D5394" s="1119">
        <v>22.41</v>
      </c>
      <c r="E5394" s="1120">
        <v>4.38</v>
      </c>
      <c r="F5394" s="1121">
        <f t="shared" si="1"/>
        <v>18.03</v>
      </c>
      <c r="G5394" s="1120">
        <v>18.03</v>
      </c>
      <c r="H5394" s="1127">
        <v>0.0</v>
      </c>
      <c r="I5394" s="1127">
        <v>0.0</v>
      </c>
      <c r="J5394" s="1127">
        <v>0.0</v>
      </c>
      <c r="K5394" s="1124"/>
    </row>
    <row r="5395" ht="15.75" customHeight="1">
      <c r="A5395" s="1119">
        <v>96563.0</v>
      </c>
      <c r="B5395" s="1125" t="s">
        <v>15673</v>
      </c>
      <c r="C5395" s="1126" t="s">
        <v>1731</v>
      </c>
      <c r="D5395" s="1119">
        <v>27.38</v>
      </c>
      <c r="E5395" s="1120">
        <v>4.37</v>
      </c>
      <c r="F5395" s="1121">
        <f t="shared" si="1"/>
        <v>23.01</v>
      </c>
      <c r="G5395" s="1120">
        <v>23.01</v>
      </c>
      <c r="H5395" s="1127">
        <v>0.0</v>
      </c>
      <c r="I5395" s="1127">
        <v>0.0</v>
      </c>
      <c r="J5395" s="1127">
        <v>0.0</v>
      </c>
      <c r="K5395" s="1124"/>
    </row>
    <row r="5396" ht="15.75" customHeight="1">
      <c r="A5396" s="1119">
        <v>100128.0</v>
      </c>
      <c r="B5396" s="1125" t="s">
        <v>15674</v>
      </c>
      <c r="C5396" s="1126" t="s">
        <v>1788</v>
      </c>
      <c r="D5396" s="1128">
        <v>1784.12</v>
      </c>
      <c r="E5396" s="1120">
        <v>27.02</v>
      </c>
      <c r="F5396" s="1121">
        <f t="shared" si="1"/>
        <v>1757.11</v>
      </c>
      <c r="G5396" s="1120">
        <v>1757.11</v>
      </c>
      <c r="H5396" s="1127">
        <v>0.0</v>
      </c>
      <c r="I5396" s="1127">
        <v>0.0</v>
      </c>
      <c r="J5396" s="1127">
        <v>0.0</v>
      </c>
      <c r="K5396" s="1124"/>
    </row>
    <row r="5397" ht="15.75" customHeight="1">
      <c r="A5397" s="1119">
        <v>101802.0</v>
      </c>
      <c r="B5397" s="1125" t="s">
        <v>15675</v>
      </c>
      <c r="C5397" s="1126" t="s">
        <v>1788</v>
      </c>
      <c r="D5397" s="1128">
        <v>1717.3</v>
      </c>
      <c r="E5397" s="1120">
        <v>652.21</v>
      </c>
      <c r="F5397" s="1121">
        <f t="shared" si="1"/>
        <v>1065.16</v>
      </c>
      <c r="G5397" s="1120">
        <v>1054.66</v>
      </c>
      <c r="H5397" s="1127">
        <v>9.73</v>
      </c>
      <c r="I5397" s="1127">
        <v>0.0</v>
      </c>
      <c r="J5397" s="1127">
        <v>0.77</v>
      </c>
      <c r="K5397" s="1124"/>
    </row>
    <row r="5398" ht="15.75" customHeight="1">
      <c r="A5398" s="1119">
        <v>101803.0</v>
      </c>
      <c r="B5398" s="1125" t="s">
        <v>15676</v>
      </c>
      <c r="C5398" s="1126" t="s">
        <v>1788</v>
      </c>
      <c r="D5398" s="1128">
        <v>1104.52</v>
      </c>
      <c r="E5398" s="1120">
        <v>455.08</v>
      </c>
      <c r="F5398" s="1121">
        <f t="shared" si="1"/>
        <v>649.55</v>
      </c>
      <c r="G5398" s="1120">
        <v>643.19</v>
      </c>
      <c r="H5398" s="1127">
        <v>5.82</v>
      </c>
      <c r="I5398" s="1127">
        <v>0.0</v>
      </c>
      <c r="J5398" s="1127">
        <v>0.54</v>
      </c>
      <c r="K5398" s="1124"/>
    </row>
    <row r="5399" ht="15.75" customHeight="1">
      <c r="A5399" s="1119">
        <v>101804.0</v>
      </c>
      <c r="B5399" s="1125" t="s">
        <v>15677</v>
      </c>
      <c r="C5399" s="1126" t="s">
        <v>1788</v>
      </c>
      <c r="D5399" s="1128">
        <v>1384.71</v>
      </c>
      <c r="E5399" s="1120">
        <v>535.56</v>
      </c>
      <c r="F5399" s="1121">
        <f t="shared" si="1"/>
        <v>849.28</v>
      </c>
      <c r="G5399" s="1120">
        <v>840.7</v>
      </c>
      <c r="H5399" s="1127">
        <v>7.96</v>
      </c>
      <c r="I5399" s="1127">
        <v>0.0</v>
      </c>
      <c r="J5399" s="1127">
        <v>0.62</v>
      </c>
      <c r="K5399" s="1124"/>
    </row>
    <row r="5400" ht="15.75" customHeight="1">
      <c r="A5400" s="1119">
        <v>101805.0</v>
      </c>
      <c r="B5400" s="1125" t="s">
        <v>15678</v>
      </c>
      <c r="C5400" s="1126" t="s">
        <v>1788</v>
      </c>
      <c r="D5400" s="1128">
        <v>1765.72</v>
      </c>
      <c r="E5400" s="1120">
        <v>682.72</v>
      </c>
      <c r="F5400" s="1121">
        <f t="shared" si="1"/>
        <v>1083.08</v>
      </c>
      <c r="G5400" s="1120">
        <v>1072.2</v>
      </c>
      <c r="H5400" s="1127">
        <v>10.04</v>
      </c>
      <c r="I5400" s="1127">
        <v>0.0</v>
      </c>
      <c r="J5400" s="1127">
        <v>0.84</v>
      </c>
      <c r="K5400" s="1124"/>
    </row>
    <row r="5401" ht="15.75" customHeight="1">
      <c r="A5401" s="1119">
        <v>102111.0</v>
      </c>
      <c r="B5401" s="1125" t="s">
        <v>15679</v>
      </c>
      <c r="C5401" s="1126" t="s">
        <v>1788</v>
      </c>
      <c r="D5401" s="1128">
        <v>1028.65</v>
      </c>
      <c r="E5401" s="1120">
        <v>116.68</v>
      </c>
      <c r="F5401" s="1121">
        <f t="shared" si="1"/>
        <v>911.96</v>
      </c>
      <c r="G5401" s="1120">
        <v>47.61</v>
      </c>
      <c r="H5401" s="1127">
        <v>864.35</v>
      </c>
      <c r="I5401" s="1127">
        <v>0.0</v>
      </c>
      <c r="J5401" s="1127">
        <v>0.0</v>
      </c>
      <c r="K5401" s="1124"/>
    </row>
    <row r="5402" ht="15.75" customHeight="1">
      <c r="A5402" s="1119">
        <v>102112.0</v>
      </c>
      <c r="B5402" s="1125" t="s">
        <v>15680</v>
      </c>
      <c r="C5402" s="1126" t="s">
        <v>1788</v>
      </c>
      <c r="D5402" s="1119">
        <v>164.41</v>
      </c>
      <c r="E5402" s="1120">
        <v>116.77</v>
      </c>
      <c r="F5402" s="1121">
        <f t="shared" si="1"/>
        <v>47.64</v>
      </c>
      <c r="G5402" s="1120">
        <v>47.64</v>
      </c>
      <c r="H5402" s="1127">
        <v>0.0</v>
      </c>
      <c r="I5402" s="1127">
        <v>0.0</v>
      </c>
      <c r="J5402" s="1127">
        <v>0.0</v>
      </c>
      <c r="K5402" s="1124"/>
    </row>
    <row r="5403" ht="15.75" customHeight="1">
      <c r="A5403" s="1119">
        <v>102113.0</v>
      </c>
      <c r="B5403" s="1125" t="s">
        <v>15681</v>
      </c>
      <c r="C5403" s="1126" t="s">
        <v>1788</v>
      </c>
      <c r="D5403" s="1128">
        <v>1625.41</v>
      </c>
      <c r="E5403" s="1120">
        <v>119.81</v>
      </c>
      <c r="F5403" s="1121">
        <f t="shared" si="1"/>
        <v>1505.6</v>
      </c>
      <c r="G5403" s="1120">
        <v>48.63</v>
      </c>
      <c r="H5403" s="1127">
        <v>1456.97</v>
      </c>
      <c r="I5403" s="1127">
        <v>0.0</v>
      </c>
      <c r="J5403" s="1127">
        <v>0.0</v>
      </c>
      <c r="K5403" s="1124"/>
    </row>
    <row r="5404" ht="15.75" customHeight="1">
      <c r="A5404" s="1119">
        <v>102114.0</v>
      </c>
      <c r="B5404" s="1125" t="s">
        <v>15682</v>
      </c>
      <c r="C5404" s="1126" t="s">
        <v>1788</v>
      </c>
      <c r="D5404" s="1119">
        <v>168.58</v>
      </c>
      <c r="E5404" s="1120">
        <v>119.91</v>
      </c>
      <c r="F5404" s="1121">
        <f t="shared" si="1"/>
        <v>48.67</v>
      </c>
      <c r="G5404" s="1120">
        <v>48.67</v>
      </c>
      <c r="H5404" s="1127">
        <v>0.0</v>
      </c>
      <c r="I5404" s="1127">
        <v>0.0</v>
      </c>
      <c r="J5404" s="1127">
        <v>0.0</v>
      </c>
      <c r="K5404" s="1124"/>
    </row>
    <row r="5405" ht="15.75" customHeight="1">
      <c r="A5405" s="1119">
        <v>102115.0</v>
      </c>
      <c r="B5405" s="1125" t="s">
        <v>15683</v>
      </c>
      <c r="C5405" s="1126" t="s">
        <v>1788</v>
      </c>
      <c r="D5405" s="1128">
        <v>2828.07</v>
      </c>
      <c r="E5405" s="1120">
        <v>170.8</v>
      </c>
      <c r="F5405" s="1121">
        <f t="shared" si="1"/>
        <v>2657.27</v>
      </c>
      <c r="G5405" s="1120">
        <v>65.53</v>
      </c>
      <c r="H5405" s="1127">
        <v>2591.74</v>
      </c>
      <c r="I5405" s="1127">
        <v>0.0</v>
      </c>
      <c r="J5405" s="1127">
        <v>0.0</v>
      </c>
      <c r="K5405" s="1124"/>
    </row>
    <row r="5406" ht="15.75" customHeight="1">
      <c r="A5406" s="1119">
        <v>102116.0</v>
      </c>
      <c r="B5406" s="1125" t="s">
        <v>15684</v>
      </c>
      <c r="C5406" s="1126" t="s">
        <v>1788</v>
      </c>
      <c r="D5406" s="1128">
        <v>1735.34</v>
      </c>
      <c r="E5406" s="1120">
        <v>123.6</v>
      </c>
      <c r="F5406" s="1121">
        <f t="shared" si="1"/>
        <v>1611.74</v>
      </c>
      <c r="G5406" s="1120">
        <v>49.91</v>
      </c>
      <c r="H5406" s="1127">
        <v>1561.83</v>
      </c>
      <c r="I5406" s="1127">
        <v>0.0</v>
      </c>
      <c r="J5406" s="1127">
        <v>0.0</v>
      </c>
      <c r="K5406" s="1124"/>
    </row>
    <row r="5407" ht="15.75" customHeight="1">
      <c r="A5407" s="1119">
        <v>102117.0</v>
      </c>
      <c r="B5407" s="1125" t="s">
        <v>15685</v>
      </c>
      <c r="C5407" s="1126" t="s">
        <v>1788</v>
      </c>
      <c r="D5407" s="1119">
        <v>173.63</v>
      </c>
      <c r="E5407" s="1120">
        <v>123.69</v>
      </c>
      <c r="F5407" s="1121">
        <f t="shared" si="1"/>
        <v>49.94</v>
      </c>
      <c r="G5407" s="1120">
        <v>49.94</v>
      </c>
      <c r="H5407" s="1127">
        <v>0.0</v>
      </c>
      <c r="I5407" s="1127">
        <v>0.0</v>
      </c>
      <c r="J5407" s="1127">
        <v>0.0</v>
      </c>
      <c r="K5407" s="1124"/>
    </row>
    <row r="5408" ht="15.75" customHeight="1">
      <c r="A5408" s="1119">
        <v>102118.0</v>
      </c>
      <c r="B5408" s="1125" t="s">
        <v>15686</v>
      </c>
      <c r="C5408" s="1126" t="s">
        <v>1788</v>
      </c>
      <c r="D5408" s="1128">
        <v>2357.06</v>
      </c>
      <c r="E5408" s="1120">
        <v>126.87</v>
      </c>
      <c r="F5408" s="1121">
        <f t="shared" si="1"/>
        <v>2230.19</v>
      </c>
      <c r="G5408" s="1120">
        <v>50.97</v>
      </c>
      <c r="H5408" s="1127">
        <v>2179.22</v>
      </c>
      <c r="I5408" s="1127">
        <v>0.0</v>
      </c>
      <c r="J5408" s="1127">
        <v>0.0</v>
      </c>
      <c r="K5408" s="1124"/>
    </row>
    <row r="5409" ht="15.75" customHeight="1">
      <c r="A5409" s="1119">
        <v>102119.0</v>
      </c>
      <c r="B5409" s="1125" t="s">
        <v>15687</v>
      </c>
      <c r="C5409" s="1126" t="s">
        <v>1788</v>
      </c>
      <c r="D5409" s="1119">
        <v>177.98</v>
      </c>
      <c r="E5409" s="1120">
        <v>126.97</v>
      </c>
      <c r="F5409" s="1121">
        <f t="shared" si="1"/>
        <v>51.01</v>
      </c>
      <c r="G5409" s="1120">
        <v>51.01</v>
      </c>
      <c r="H5409" s="1127">
        <v>0.0</v>
      </c>
      <c r="I5409" s="1127">
        <v>0.0</v>
      </c>
      <c r="J5409" s="1127">
        <v>0.0</v>
      </c>
      <c r="K5409" s="1124"/>
    </row>
    <row r="5410" ht="15.75" customHeight="1">
      <c r="A5410" s="1119">
        <v>102121.0</v>
      </c>
      <c r="B5410" s="1125" t="s">
        <v>15688</v>
      </c>
      <c r="C5410" s="1126" t="s">
        <v>1788</v>
      </c>
      <c r="D5410" s="1119">
        <v>223.49</v>
      </c>
      <c r="E5410" s="1120">
        <v>161.15</v>
      </c>
      <c r="F5410" s="1121">
        <f t="shared" si="1"/>
        <v>62.34</v>
      </c>
      <c r="G5410" s="1120">
        <v>62.34</v>
      </c>
      <c r="H5410" s="1127">
        <v>0.0</v>
      </c>
      <c r="I5410" s="1127">
        <v>0.0</v>
      </c>
      <c r="J5410" s="1127">
        <v>0.0</v>
      </c>
      <c r="K5410" s="1124"/>
    </row>
    <row r="5411" ht="15.75" customHeight="1">
      <c r="A5411" s="1119">
        <v>102122.0</v>
      </c>
      <c r="B5411" s="1125" t="s">
        <v>15689</v>
      </c>
      <c r="C5411" s="1126" t="s">
        <v>1788</v>
      </c>
      <c r="D5411" s="1128">
        <v>7921.76</v>
      </c>
      <c r="E5411" s="1120">
        <v>170.8</v>
      </c>
      <c r="F5411" s="1121">
        <f t="shared" si="1"/>
        <v>7750.96</v>
      </c>
      <c r="G5411" s="1120">
        <v>65.53</v>
      </c>
      <c r="H5411" s="1127">
        <v>7685.43</v>
      </c>
      <c r="I5411" s="1127">
        <v>0.0</v>
      </c>
      <c r="J5411" s="1127">
        <v>0.0</v>
      </c>
      <c r="K5411" s="1124"/>
    </row>
    <row r="5412" ht="15.75" customHeight="1">
      <c r="A5412" s="1119">
        <v>102123.0</v>
      </c>
      <c r="B5412" s="1125" t="s">
        <v>15690</v>
      </c>
      <c r="C5412" s="1126" t="s">
        <v>1788</v>
      </c>
      <c r="D5412" s="1119">
        <v>236.45</v>
      </c>
      <c r="E5412" s="1120">
        <v>170.89</v>
      </c>
      <c r="F5412" s="1121">
        <f t="shared" si="1"/>
        <v>65.56</v>
      </c>
      <c r="G5412" s="1120">
        <v>65.56</v>
      </c>
      <c r="H5412" s="1127">
        <v>0.0</v>
      </c>
      <c r="I5412" s="1127">
        <v>0.0</v>
      </c>
      <c r="J5412" s="1127">
        <v>0.0</v>
      </c>
      <c r="K5412" s="1124"/>
    </row>
    <row r="5413" ht="15.75" customHeight="1">
      <c r="A5413" s="1119">
        <v>102136.0</v>
      </c>
      <c r="B5413" s="1125" t="s">
        <v>15691</v>
      </c>
      <c r="C5413" s="1126" t="s">
        <v>1788</v>
      </c>
      <c r="D5413" s="1119">
        <v>85.19</v>
      </c>
      <c r="E5413" s="1120">
        <v>62.2</v>
      </c>
      <c r="F5413" s="1121">
        <f t="shared" si="1"/>
        <v>22.99</v>
      </c>
      <c r="G5413" s="1120">
        <v>22.99</v>
      </c>
      <c r="H5413" s="1127">
        <v>0.0</v>
      </c>
      <c r="I5413" s="1127">
        <v>0.0</v>
      </c>
      <c r="J5413" s="1127">
        <v>0.0</v>
      </c>
      <c r="K5413" s="1124"/>
    </row>
    <row r="5414" ht="15.75" customHeight="1">
      <c r="A5414" s="1119">
        <v>102137.0</v>
      </c>
      <c r="B5414" s="1125" t="s">
        <v>15692</v>
      </c>
      <c r="C5414" s="1126" t="s">
        <v>1788</v>
      </c>
      <c r="D5414" s="1119">
        <v>77.57</v>
      </c>
      <c r="E5414" s="1120">
        <v>28.03</v>
      </c>
      <c r="F5414" s="1121">
        <f t="shared" si="1"/>
        <v>49.55</v>
      </c>
      <c r="G5414" s="1120">
        <v>49.55</v>
      </c>
      <c r="H5414" s="1127">
        <v>0.0</v>
      </c>
      <c r="I5414" s="1127">
        <v>0.0</v>
      </c>
      <c r="J5414" s="1127">
        <v>0.0</v>
      </c>
      <c r="K5414" s="1124"/>
    </row>
    <row r="5415" ht="15.75" customHeight="1">
      <c r="A5415" s="1119">
        <v>102138.0</v>
      </c>
      <c r="B5415" s="1125" t="s">
        <v>15693</v>
      </c>
      <c r="C5415" s="1126" t="s">
        <v>1788</v>
      </c>
      <c r="D5415" s="1119">
        <v>257.56</v>
      </c>
      <c r="E5415" s="1120">
        <v>186.76</v>
      </c>
      <c r="F5415" s="1121">
        <f t="shared" si="1"/>
        <v>70.81</v>
      </c>
      <c r="G5415" s="1120">
        <v>70.81</v>
      </c>
      <c r="H5415" s="1127">
        <v>0.0</v>
      </c>
      <c r="I5415" s="1127">
        <v>0.0</v>
      </c>
      <c r="J5415" s="1127">
        <v>0.0</v>
      </c>
      <c r="K5415" s="1124"/>
    </row>
    <row r="5416" ht="15.75" customHeight="1">
      <c r="A5416" s="1119">
        <v>103517.0</v>
      </c>
      <c r="B5416" s="1125" t="s">
        <v>15694</v>
      </c>
      <c r="C5416" s="1126" t="s">
        <v>1788</v>
      </c>
      <c r="D5416" s="1128">
        <v>3321.68</v>
      </c>
      <c r="E5416" s="1120">
        <v>98.01</v>
      </c>
      <c r="F5416" s="1121">
        <f t="shared" si="1"/>
        <v>3223.66</v>
      </c>
      <c r="G5416" s="1120">
        <v>32.42</v>
      </c>
      <c r="H5416" s="1127">
        <v>3191.24</v>
      </c>
      <c r="I5416" s="1127">
        <v>0.0</v>
      </c>
      <c r="J5416" s="1127">
        <v>0.0</v>
      </c>
      <c r="K5416" s="1124"/>
    </row>
    <row r="5417" ht="15.75" customHeight="1">
      <c r="A5417" s="1119">
        <v>103519.0</v>
      </c>
      <c r="B5417" s="1125" t="s">
        <v>15695</v>
      </c>
      <c r="C5417" s="1126" t="s">
        <v>1788</v>
      </c>
      <c r="D5417" s="1119">
        <v>10.81</v>
      </c>
      <c r="E5417" s="1120">
        <v>4.29</v>
      </c>
      <c r="F5417" s="1121">
        <f t="shared" si="1"/>
        <v>6.53</v>
      </c>
      <c r="G5417" s="1120">
        <v>4.81</v>
      </c>
      <c r="H5417" s="1127">
        <v>1.72</v>
      </c>
      <c r="I5417" s="1127">
        <v>0.0</v>
      </c>
      <c r="J5417" s="1127">
        <v>0.0</v>
      </c>
      <c r="K5417" s="1124"/>
    </row>
    <row r="5418" ht="15.75" customHeight="1">
      <c r="A5418" s="1119">
        <v>103520.0</v>
      </c>
      <c r="B5418" s="1125" t="s">
        <v>15696</v>
      </c>
      <c r="C5418" s="1126" t="s">
        <v>1788</v>
      </c>
      <c r="D5418" s="1128">
        <v>5445.37</v>
      </c>
      <c r="E5418" s="1120">
        <v>26.92</v>
      </c>
      <c r="F5418" s="1121">
        <f t="shared" si="1"/>
        <v>5418.44</v>
      </c>
      <c r="G5418" s="1120">
        <v>8.86</v>
      </c>
      <c r="H5418" s="1127">
        <v>5409.58</v>
      </c>
      <c r="I5418" s="1127">
        <v>0.0</v>
      </c>
      <c r="J5418" s="1127">
        <v>0.0</v>
      </c>
      <c r="K5418" s="1124"/>
    </row>
    <row r="5419" ht="15.75" customHeight="1">
      <c r="A5419" s="1119">
        <v>103521.0</v>
      </c>
      <c r="B5419" s="1125" t="s">
        <v>15697</v>
      </c>
      <c r="C5419" s="1126" t="s">
        <v>1788</v>
      </c>
      <c r="D5419" s="1128">
        <v>7231.02</v>
      </c>
      <c r="E5419" s="1120">
        <v>38.71</v>
      </c>
      <c r="F5419" s="1121">
        <f t="shared" si="1"/>
        <v>7192.32</v>
      </c>
      <c r="G5419" s="1120">
        <v>12.78</v>
      </c>
      <c r="H5419" s="1127">
        <v>7179.54</v>
      </c>
      <c r="I5419" s="1127">
        <v>0.0</v>
      </c>
      <c r="J5419" s="1127">
        <v>0.0</v>
      </c>
      <c r="K5419" s="1124"/>
    </row>
    <row r="5420" ht="15.75" customHeight="1">
      <c r="A5420" s="1119">
        <v>103522.0</v>
      </c>
      <c r="B5420" s="1125" t="s">
        <v>15698</v>
      </c>
      <c r="C5420" s="1126" t="s">
        <v>1788</v>
      </c>
      <c r="D5420" s="1128">
        <v>7394.29</v>
      </c>
      <c r="E5420" s="1120">
        <v>256.94</v>
      </c>
      <c r="F5420" s="1121">
        <f t="shared" si="1"/>
        <v>7137.35</v>
      </c>
      <c r="G5420" s="1120">
        <v>52.84</v>
      </c>
      <c r="H5420" s="1127">
        <v>7082.32</v>
      </c>
      <c r="I5420" s="1127">
        <v>0.0</v>
      </c>
      <c r="J5420" s="1127">
        <v>2.19</v>
      </c>
      <c r="K5420" s="1124"/>
    </row>
    <row r="5421" ht="15.75" customHeight="1">
      <c r="A5421" s="1119">
        <v>103523.0</v>
      </c>
      <c r="B5421" s="1125" t="s">
        <v>15699</v>
      </c>
      <c r="C5421" s="1126" t="s">
        <v>1788</v>
      </c>
      <c r="D5421" s="1128">
        <v>11071.15</v>
      </c>
      <c r="E5421" s="1120">
        <v>264.42</v>
      </c>
      <c r="F5421" s="1121">
        <f t="shared" si="1"/>
        <v>10806.74</v>
      </c>
      <c r="G5421" s="1120">
        <v>55.34</v>
      </c>
      <c r="H5421" s="1127">
        <v>10749.21</v>
      </c>
      <c r="I5421" s="1127">
        <v>0.0</v>
      </c>
      <c r="J5421" s="1127">
        <v>2.19</v>
      </c>
      <c r="K5421" s="1124"/>
    </row>
    <row r="5422" ht="15.75" customHeight="1">
      <c r="A5422" s="1119">
        <v>104660.0</v>
      </c>
      <c r="B5422" s="1125" t="s">
        <v>15700</v>
      </c>
      <c r="C5422" s="1126" t="s">
        <v>1788</v>
      </c>
      <c r="D5422" s="1128">
        <v>1272.27</v>
      </c>
      <c r="E5422" s="1120">
        <v>580.08</v>
      </c>
      <c r="F5422" s="1121">
        <f t="shared" si="1"/>
        <v>692.44</v>
      </c>
      <c r="G5422" s="1120">
        <v>691.37</v>
      </c>
      <c r="H5422" s="1127">
        <v>1.07</v>
      </c>
      <c r="I5422" s="1127">
        <v>0.0</v>
      </c>
      <c r="J5422" s="1127">
        <v>0.0</v>
      </c>
      <c r="K5422" s="1124"/>
    </row>
    <row r="5423" ht="15.75" customHeight="1">
      <c r="A5423" s="1119">
        <v>104661.0</v>
      </c>
      <c r="B5423" s="1125" t="s">
        <v>15701</v>
      </c>
      <c r="C5423" s="1126" t="s">
        <v>1788</v>
      </c>
      <c r="D5423" s="1119">
        <v>590.28</v>
      </c>
      <c r="E5423" s="1120">
        <v>313.75</v>
      </c>
      <c r="F5423" s="1121">
        <f t="shared" si="1"/>
        <v>276.65</v>
      </c>
      <c r="G5423" s="1120">
        <v>276.65</v>
      </c>
      <c r="H5423" s="1127">
        <v>0.0</v>
      </c>
      <c r="I5423" s="1127">
        <v>0.0</v>
      </c>
      <c r="J5423" s="1127">
        <v>0.0</v>
      </c>
      <c r="K5423" s="1124"/>
    </row>
    <row r="5424" ht="15.75" customHeight="1">
      <c r="A5424" s="1119">
        <v>104662.0</v>
      </c>
      <c r="B5424" s="1125" t="s">
        <v>15702</v>
      </c>
      <c r="C5424" s="1126" t="s">
        <v>1788</v>
      </c>
      <c r="D5424" s="1119">
        <v>418.97</v>
      </c>
      <c r="E5424" s="1120">
        <v>201.44</v>
      </c>
      <c r="F5424" s="1121">
        <f t="shared" si="1"/>
        <v>217.58</v>
      </c>
      <c r="G5424" s="1120">
        <v>217.58</v>
      </c>
      <c r="H5424" s="1127">
        <v>0.0</v>
      </c>
      <c r="I5424" s="1127">
        <v>0.0</v>
      </c>
      <c r="J5424" s="1127">
        <v>0.0</v>
      </c>
      <c r="K5424" s="1124"/>
    </row>
    <row r="5425" ht="15.75" customHeight="1">
      <c r="A5425" s="1119">
        <v>104663.0</v>
      </c>
      <c r="B5425" s="1125" t="s">
        <v>15703</v>
      </c>
      <c r="C5425" s="1126" t="s">
        <v>1788</v>
      </c>
      <c r="D5425" s="1119">
        <v>505.97</v>
      </c>
      <c r="E5425" s="1120">
        <v>222.09</v>
      </c>
      <c r="F5425" s="1121">
        <f t="shared" si="1"/>
        <v>284</v>
      </c>
      <c r="G5425" s="1120">
        <v>284.0</v>
      </c>
      <c r="H5425" s="1127">
        <v>0.0</v>
      </c>
      <c r="I5425" s="1127">
        <v>0.0</v>
      </c>
      <c r="J5425" s="1127">
        <v>0.0</v>
      </c>
      <c r="K5425" s="1124"/>
    </row>
    <row r="5426" ht="15.75" customHeight="1">
      <c r="A5426" s="1119">
        <v>104664.0</v>
      </c>
      <c r="B5426" s="1125" t="s">
        <v>15704</v>
      </c>
      <c r="C5426" s="1126" t="s">
        <v>1788</v>
      </c>
      <c r="D5426" s="1119">
        <v>153.43</v>
      </c>
      <c r="E5426" s="1120">
        <v>64.66</v>
      </c>
      <c r="F5426" s="1121">
        <f t="shared" si="1"/>
        <v>88.81</v>
      </c>
      <c r="G5426" s="1120">
        <v>88.81</v>
      </c>
      <c r="H5426" s="1127">
        <v>0.0</v>
      </c>
      <c r="I5426" s="1127">
        <v>0.0</v>
      </c>
      <c r="J5426" s="1127">
        <v>0.0</v>
      </c>
      <c r="K5426" s="1124"/>
    </row>
    <row r="5427" ht="15.75" customHeight="1">
      <c r="A5427" s="1119">
        <v>104665.0</v>
      </c>
      <c r="B5427" s="1125" t="s">
        <v>15705</v>
      </c>
      <c r="C5427" s="1126" t="s">
        <v>1788</v>
      </c>
      <c r="D5427" s="1119">
        <v>624.2</v>
      </c>
      <c r="E5427" s="1120">
        <v>270.56</v>
      </c>
      <c r="F5427" s="1121">
        <f t="shared" si="1"/>
        <v>353.78</v>
      </c>
      <c r="G5427" s="1120">
        <v>353.78</v>
      </c>
      <c r="H5427" s="1127">
        <v>0.0</v>
      </c>
      <c r="I5427" s="1127">
        <v>0.0</v>
      </c>
      <c r="J5427" s="1127">
        <v>0.0</v>
      </c>
      <c r="K5427" s="1124"/>
    </row>
    <row r="5428" ht="15.75" customHeight="1">
      <c r="A5428" s="1119">
        <v>104666.0</v>
      </c>
      <c r="B5428" s="1125" t="s">
        <v>15706</v>
      </c>
      <c r="C5428" s="1126" t="s">
        <v>1788</v>
      </c>
      <c r="D5428" s="1119">
        <v>280.89</v>
      </c>
      <c r="E5428" s="1120">
        <v>118.13</v>
      </c>
      <c r="F5428" s="1121">
        <f t="shared" si="1"/>
        <v>162.82</v>
      </c>
      <c r="G5428" s="1120">
        <v>162.82</v>
      </c>
      <c r="H5428" s="1127">
        <v>0.0</v>
      </c>
      <c r="I5428" s="1127">
        <v>0.0</v>
      </c>
      <c r="J5428" s="1127">
        <v>0.0</v>
      </c>
      <c r="K5428" s="1124"/>
    </row>
    <row r="5429" ht="15.75" customHeight="1">
      <c r="A5429" s="1119">
        <v>104667.0</v>
      </c>
      <c r="B5429" s="1125" t="s">
        <v>15707</v>
      </c>
      <c r="C5429" s="1126" t="s">
        <v>1788</v>
      </c>
      <c r="D5429" s="1119">
        <v>110.95</v>
      </c>
      <c r="E5429" s="1120">
        <v>19.73</v>
      </c>
      <c r="F5429" s="1121">
        <f t="shared" si="1"/>
        <v>91.29</v>
      </c>
      <c r="G5429" s="1120">
        <v>91.29</v>
      </c>
      <c r="H5429" s="1127">
        <v>0.0</v>
      </c>
      <c r="I5429" s="1127">
        <v>0.0</v>
      </c>
      <c r="J5429" s="1127">
        <v>0.0</v>
      </c>
      <c r="K5429" s="1124"/>
    </row>
    <row r="5430" ht="15.75" customHeight="1">
      <c r="A5430" s="1119">
        <v>104671.0</v>
      </c>
      <c r="B5430" s="1125" t="s">
        <v>15708</v>
      </c>
      <c r="C5430" s="1126" t="s">
        <v>1788</v>
      </c>
      <c r="D5430" s="1128">
        <v>1229.15</v>
      </c>
      <c r="E5430" s="1120">
        <v>389.86</v>
      </c>
      <c r="F5430" s="1121">
        <f t="shared" si="1"/>
        <v>839.43</v>
      </c>
      <c r="G5430" s="1120">
        <v>838.36</v>
      </c>
      <c r="H5430" s="1127">
        <v>1.07</v>
      </c>
      <c r="I5430" s="1127">
        <v>0.0</v>
      </c>
      <c r="J5430" s="1127">
        <v>0.0</v>
      </c>
      <c r="K5430" s="1124"/>
    </row>
    <row r="5431" ht="15.75" customHeight="1">
      <c r="A5431" s="1119">
        <v>104672.0</v>
      </c>
      <c r="B5431" s="1125" t="s">
        <v>15709</v>
      </c>
      <c r="C5431" s="1126" t="s">
        <v>1788</v>
      </c>
      <c r="D5431" s="1119">
        <v>443.66</v>
      </c>
      <c r="E5431" s="1120">
        <v>171.36</v>
      </c>
      <c r="F5431" s="1121">
        <f t="shared" si="1"/>
        <v>272.33</v>
      </c>
      <c r="G5431" s="1120">
        <v>272.33</v>
      </c>
      <c r="H5431" s="1127">
        <v>0.0</v>
      </c>
      <c r="I5431" s="1127">
        <v>0.0</v>
      </c>
      <c r="J5431" s="1127">
        <v>0.0</v>
      </c>
      <c r="K5431" s="1124"/>
    </row>
    <row r="5432" ht="15.75" customHeight="1">
      <c r="A5432" s="1119">
        <v>104673.0</v>
      </c>
      <c r="B5432" s="1125" t="s">
        <v>15710</v>
      </c>
      <c r="C5432" s="1126" t="s">
        <v>1788</v>
      </c>
      <c r="D5432" s="1119">
        <v>742.32</v>
      </c>
      <c r="E5432" s="1120">
        <v>216.2</v>
      </c>
      <c r="F5432" s="1121">
        <f t="shared" si="1"/>
        <v>526.04</v>
      </c>
      <c r="G5432" s="1120">
        <v>526.04</v>
      </c>
      <c r="H5432" s="1127">
        <v>0.0</v>
      </c>
      <c r="I5432" s="1127">
        <v>0.0</v>
      </c>
      <c r="J5432" s="1127">
        <v>0.0</v>
      </c>
      <c r="K5432" s="1124"/>
    </row>
    <row r="5433" ht="15.75" customHeight="1">
      <c r="A5433" s="1119">
        <v>104674.0</v>
      </c>
      <c r="B5433" s="1125" t="s">
        <v>15711</v>
      </c>
      <c r="C5433" s="1126" t="s">
        <v>1788</v>
      </c>
      <c r="D5433" s="1119">
        <v>227.12</v>
      </c>
      <c r="E5433" s="1120">
        <v>33.15</v>
      </c>
      <c r="F5433" s="1121">
        <f t="shared" si="1"/>
        <v>193.99</v>
      </c>
      <c r="G5433" s="1120">
        <v>193.99</v>
      </c>
      <c r="H5433" s="1127">
        <v>0.0</v>
      </c>
      <c r="I5433" s="1127">
        <v>0.0</v>
      </c>
      <c r="J5433" s="1127">
        <v>0.0</v>
      </c>
      <c r="K5433" s="1124"/>
    </row>
    <row r="5434" ht="15.75" customHeight="1">
      <c r="A5434" s="1119">
        <v>104676.0</v>
      </c>
      <c r="B5434" s="1125" t="s">
        <v>15712</v>
      </c>
      <c r="C5434" s="1126" t="s">
        <v>1788</v>
      </c>
      <c r="D5434" s="1119">
        <v>369.98</v>
      </c>
      <c r="E5434" s="1120">
        <v>145.31</v>
      </c>
      <c r="F5434" s="1121">
        <f t="shared" si="1"/>
        <v>224.72</v>
      </c>
      <c r="G5434" s="1120">
        <v>224.72</v>
      </c>
      <c r="H5434" s="1127">
        <v>0.0</v>
      </c>
      <c r="I5434" s="1127">
        <v>0.0</v>
      </c>
      <c r="J5434" s="1127">
        <v>0.0</v>
      </c>
      <c r="K5434" s="1124"/>
    </row>
    <row r="5435" ht="15.75" customHeight="1">
      <c r="A5435" s="1119">
        <v>104677.0</v>
      </c>
      <c r="B5435" s="1125" t="s">
        <v>15713</v>
      </c>
      <c r="C5435" s="1126" t="s">
        <v>1788</v>
      </c>
      <c r="D5435" s="1119">
        <v>612.14</v>
      </c>
      <c r="E5435" s="1120">
        <v>234.28</v>
      </c>
      <c r="F5435" s="1121">
        <f t="shared" si="1"/>
        <v>377.95</v>
      </c>
      <c r="G5435" s="1120">
        <v>377.95</v>
      </c>
      <c r="H5435" s="1127">
        <v>0.0</v>
      </c>
      <c r="I5435" s="1127">
        <v>0.0</v>
      </c>
      <c r="J5435" s="1127">
        <v>0.0</v>
      </c>
      <c r="K5435" s="1124"/>
    </row>
    <row r="5436" ht="15.75" customHeight="1">
      <c r="A5436" s="1119">
        <v>104678.0</v>
      </c>
      <c r="B5436" s="1125" t="s">
        <v>15714</v>
      </c>
      <c r="C5436" s="1126" t="s">
        <v>1788</v>
      </c>
      <c r="D5436" s="1119">
        <v>127.76</v>
      </c>
      <c r="E5436" s="1120">
        <v>57.61</v>
      </c>
      <c r="F5436" s="1121">
        <f t="shared" si="1"/>
        <v>70.17</v>
      </c>
      <c r="G5436" s="1120">
        <v>70.17</v>
      </c>
      <c r="H5436" s="1127">
        <v>0.0</v>
      </c>
      <c r="I5436" s="1127">
        <v>0.0</v>
      </c>
      <c r="J5436" s="1127">
        <v>0.0</v>
      </c>
      <c r="K5436" s="1124"/>
    </row>
    <row r="5437" ht="15.75" customHeight="1">
      <c r="A5437" s="1119">
        <v>104679.0</v>
      </c>
      <c r="B5437" s="1125" t="s">
        <v>15715</v>
      </c>
      <c r="C5437" s="1126" t="s">
        <v>1788</v>
      </c>
      <c r="D5437" s="1119">
        <v>150.89</v>
      </c>
      <c r="E5437" s="1120">
        <v>62.49</v>
      </c>
      <c r="F5437" s="1121">
        <f t="shared" si="1"/>
        <v>88.44</v>
      </c>
      <c r="G5437" s="1120">
        <v>88.44</v>
      </c>
      <c r="H5437" s="1127">
        <v>0.0</v>
      </c>
      <c r="I5437" s="1127">
        <v>0.0</v>
      </c>
      <c r="J5437" s="1127">
        <v>0.0</v>
      </c>
      <c r="K5437" s="1124"/>
    </row>
    <row r="5438" ht="15.75" customHeight="1">
      <c r="A5438" s="1119">
        <v>104680.0</v>
      </c>
      <c r="B5438" s="1125" t="s">
        <v>15716</v>
      </c>
      <c r="C5438" s="1126" t="s">
        <v>1788</v>
      </c>
      <c r="D5438" s="1119">
        <v>160.42</v>
      </c>
      <c r="E5438" s="1120">
        <v>50.9</v>
      </c>
      <c r="F5438" s="1121">
        <f t="shared" si="1"/>
        <v>109.54</v>
      </c>
      <c r="G5438" s="1120">
        <v>109.54</v>
      </c>
      <c r="H5438" s="1127">
        <v>0.0</v>
      </c>
      <c r="I5438" s="1127">
        <v>0.0</v>
      </c>
      <c r="J5438" s="1127">
        <v>0.0</v>
      </c>
      <c r="K5438" s="1124"/>
    </row>
    <row r="5439" ht="15.75" customHeight="1">
      <c r="A5439" s="1119">
        <v>104681.0</v>
      </c>
      <c r="B5439" s="1125" t="s">
        <v>15717</v>
      </c>
      <c r="C5439" s="1126" t="s">
        <v>1788</v>
      </c>
      <c r="D5439" s="1119">
        <v>114.8</v>
      </c>
      <c r="E5439" s="1120">
        <v>29.1</v>
      </c>
      <c r="F5439" s="1121">
        <f t="shared" si="1"/>
        <v>85.72</v>
      </c>
      <c r="G5439" s="1120">
        <v>85.72</v>
      </c>
      <c r="H5439" s="1127">
        <v>0.0</v>
      </c>
      <c r="I5439" s="1127">
        <v>0.0</v>
      </c>
      <c r="J5439" s="1127">
        <v>0.0</v>
      </c>
      <c r="K5439" s="1124"/>
    </row>
    <row r="5440" ht="15.75" customHeight="1">
      <c r="A5440" s="1119">
        <v>104682.0</v>
      </c>
      <c r="B5440" s="1125" t="s">
        <v>15718</v>
      </c>
      <c r="C5440" s="1126" t="s">
        <v>1788</v>
      </c>
      <c r="D5440" s="1119">
        <v>611.24</v>
      </c>
      <c r="E5440" s="1120">
        <v>164.38</v>
      </c>
      <c r="F5440" s="1121">
        <f t="shared" si="1"/>
        <v>446.86</v>
      </c>
      <c r="G5440" s="1120">
        <v>446.86</v>
      </c>
      <c r="H5440" s="1127">
        <v>0.0</v>
      </c>
      <c r="I5440" s="1127">
        <v>0.0</v>
      </c>
      <c r="J5440" s="1127">
        <v>0.0</v>
      </c>
      <c r="K5440" s="1124"/>
    </row>
    <row r="5441" ht="15.75" customHeight="1">
      <c r="A5441" s="1119">
        <v>104683.0</v>
      </c>
      <c r="B5441" s="1125" t="s">
        <v>15719</v>
      </c>
      <c r="C5441" s="1126" t="s">
        <v>1788</v>
      </c>
      <c r="D5441" s="1119">
        <v>95.51</v>
      </c>
      <c r="E5441" s="1120">
        <v>20.96</v>
      </c>
      <c r="F5441" s="1121">
        <f t="shared" si="1"/>
        <v>74.58</v>
      </c>
      <c r="G5441" s="1120">
        <v>74.58</v>
      </c>
      <c r="H5441" s="1127">
        <v>0.0</v>
      </c>
      <c r="I5441" s="1127">
        <v>0.0</v>
      </c>
      <c r="J5441" s="1127">
        <v>0.0</v>
      </c>
      <c r="K5441" s="1124"/>
    </row>
    <row r="5442" ht="15.75" customHeight="1">
      <c r="A5442" s="1119">
        <v>104031.0</v>
      </c>
      <c r="B5442" s="1125" t="s">
        <v>15720</v>
      </c>
      <c r="C5442" s="1126" t="s">
        <v>1788</v>
      </c>
      <c r="D5442" s="1119">
        <v>21.08</v>
      </c>
      <c r="E5442" s="1120">
        <v>8.58</v>
      </c>
      <c r="F5442" s="1121">
        <f t="shared" si="1"/>
        <v>12.5</v>
      </c>
      <c r="G5442" s="1120">
        <v>12.5</v>
      </c>
      <c r="H5442" s="1127">
        <v>0.0</v>
      </c>
      <c r="I5442" s="1127">
        <v>0.0</v>
      </c>
      <c r="J5442" s="1127">
        <v>0.0</v>
      </c>
      <c r="K5442" s="1124"/>
    </row>
    <row r="5443" ht="15.75" customHeight="1">
      <c r="A5443" s="1119">
        <v>104032.0</v>
      </c>
      <c r="B5443" s="1125" t="s">
        <v>15721</v>
      </c>
      <c r="C5443" s="1126" t="s">
        <v>1788</v>
      </c>
      <c r="D5443" s="1119">
        <v>25.97</v>
      </c>
      <c r="E5443" s="1120">
        <v>8.77</v>
      </c>
      <c r="F5443" s="1121">
        <f t="shared" si="1"/>
        <v>17.19</v>
      </c>
      <c r="G5443" s="1120">
        <v>17.19</v>
      </c>
      <c r="H5443" s="1127">
        <v>0.0</v>
      </c>
      <c r="I5443" s="1127">
        <v>0.0</v>
      </c>
      <c r="J5443" s="1127">
        <v>0.0</v>
      </c>
      <c r="K5443" s="1124"/>
    </row>
    <row r="5444" ht="15.75" customHeight="1">
      <c r="A5444" s="1119">
        <v>104033.0</v>
      </c>
      <c r="B5444" s="1125" t="s">
        <v>15722</v>
      </c>
      <c r="C5444" s="1126" t="s">
        <v>1788</v>
      </c>
      <c r="D5444" s="1119">
        <v>23.93</v>
      </c>
      <c r="E5444" s="1120">
        <v>8.87</v>
      </c>
      <c r="F5444" s="1121">
        <f t="shared" si="1"/>
        <v>15.04</v>
      </c>
      <c r="G5444" s="1120">
        <v>15.04</v>
      </c>
      <c r="H5444" s="1127">
        <v>0.0</v>
      </c>
      <c r="I5444" s="1127">
        <v>0.0</v>
      </c>
      <c r="J5444" s="1127">
        <v>0.0</v>
      </c>
      <c r="K5444" s="1124"/>
    </row>
    <row r="5445" ht="15.75" customHeight="1">
      <c r="A5445" s="1119">
        <v>104034.0</v>
      </c>
      <c r="B5445" s="1125" t="s">
        <v>15723</v>
      </c>
      <c r="C5445" s="1126" t="s">
        <v>1788</v>
      </c>
      <c r="D5445" s="1119">
        <v>30.53</v>
      </c>
      <c r="E5445" s="1120">
        <v>9.08</v>
      </c>
      <c r="F5445" s="1121">
        <f t="shared" si="1"/>
        <v>21.44</v>
      </c>
      <c r="G5445" s="1120">
        <v>21.44</v>
      </c>
      <c r="H5445" s="1127">
        <v>0.0</v>
      </c>
      <c r="I5445" s="1127">
        <v>0.0</v>
      </c>
      <c r="J5445" s="1127">
        <v>0.0</v>
      </c>
      <c r="K5445" s="1124"/>
    </row>
    <row r="5446" ht="15.75" customHeight="1">
      <c r="A5446" s="1119">
        <v>104035.0</v>
      </c>
      <c r="B5446" s="1125" t="s">
        <v>15724</v>
      </c>
      <c r="C5446" s="1126" t="s">
        <v>1788</v>
      </c>
      <c r="D5446" s="1119">
        <v>43.05</v>
      </c>
      <c r="E5446" s="1120">
        <v>19.06</v>
      </c>
      <c r="F5446" s="1121">
        <f t="shared" si="1"/>
        <v>23.99</v>
      </c>
      <c r="G5446" s="1120">
        <v>23.99</v>
      </c>
      <c r="H5446" s="1127">
        <v>0.0</v>
      </c>
      <c r="I5446" s="1127">
        <v>0.0</v>
      </c>
      <c r="J5446" s="1127">
        <v>0.0</v>
      </c>
      <c r="K5446" s="1124"/>
    </row>
    <row r="5447" ht="15.75" customHeight="1">
      <c r="A5447" s="1119">
        <v>104036.0</v>
      </c>
      <c r="B5447" s="1125" t="s">
        <v>15725</v>
      </c>
      <c r="C5447" s="1126" t="s">
        <v>1788</v>
      </c>
      <c r="D5447" s="1119">
        <v>44.43</v>
      </c>
      <c r="E5447" s="1120">
        <v>19.74</v>
      </c>
      <c r="F5447" s="1121">
        <f t="shared" si="1"/>
        <v>24.69</v>
      </c>
      <c r="G5447" s="1120">
        <v>24.69</v>
      </c>
      <c r="H5447" s="1127">
        <v>0.0</v>
      </c>
      <c r="I5447" s="1127">
        <v>0.0</v>
      </c>
      <c r="J5447" s="1127">
        <v>0.0</v>
      </c>
      <c r="K5447" s="1124"/>
    </row>
    <row r="5448" ht="15.75" customHeight="1">
      <c r="A5448" s="1119">
        <v>104039.0</v>
      </c>
      <c r="B5448" s="1125" t="s">
        <v>15726</v>
      </c>
      <c r="C5448" s="1126" t="s">
        <v>1788</v>
      </c>
      <c r="D5448" s="1119">
        <v>79.98</v>
      </c>
      <c r="E5448" s="1120">
        <v>18.84</v>
      </c>
      <c r="F5448" s="1121">
        <f t="shared" si="1"/>
        <v>61.15</v>
      </c>
      <c r="G5448" s="1120">
        <v>61.15</v>
      </c>
      <c r="H5448" s="1127">
        <v>0.0</v>
      </c>
      <c r="I5448" s="1127">
        <v>0.0</v>
      </c>
      <c r="J5448" s="1127">
        <v>0.0</v>
      </c>
      <c r="K5448" s="1124"/>
    </row>
    <row r="5449" ht="15.75" customHeight="1">
      <c r="A5449" s="1119">
        <v>104043.0</v>
      </c>
      <c r="B5449" s="1125" t="s">
        <v>15727</v>
      </c>
      <c r="C5449" s="1126" t="s">
        <v>1788</v>
      </c>
      <c r="D5449" s="1119">
        <v>9.48</v>
      </c>
      <c r="E5449" s="1120">
        <v>3.74</v>
      </c>
      <c r="F5449" s="1121">
        <f t="shared" si="1"/>
        <v>5.75</v>
      </c>
      <c r="G5449" s="1120">
        <v>5.75</v>
      </c>
      <c r="H5449" s="1127">
        <v>0.0</v>
      </c>
      <c r="I5449" s="1127">
        <v>0.0</v>
      </c>
      <c r="J5449" s="1127">
        <v>0.0</v>
      </c>
      <c r="K5449" s="1124"/>
    </row>
    <row r="5450" ht="15.75" customHeight="1">
      <c r="A5450" s="1119">
        <v>104044.0</v>
      </c>
      <c r="B5450" s="1125" t="s">
        <v>15728</v>
      </c>
      <c r="C5450" s="1126" t="s">
        <v>1788</v>
      </c>
      <c r="D5450" s="1119">
        <v>10.15</v>
      </c>
      <c r="E5450" s="1120">
        <v>4.43</v>
      </c>
      <c r="F5450" s="1121">
        <f t="shared" si="1"/>
        <v>5.73</v>
      </c>
      <c r="G5450" s="1120">
        <v>5.73</v>
      </c>
      <c r="H5450" s="1127">
        <v>0.0</v>
      </c>
      <c r="I5450" s="1127">
        <v>0.0</v>
      </c>
      <c r="J5450" s="1127">
        <v>0.0</v>
      </c>
      <c r="K5450" s="1124"/>
    </row>
    <row r="5451" ht="15.75" customHeight="1">
      <c r="A5451" s="1119">
        <v>104045.0</v>
      </c>
      <c r="B5451" s="1125" t="s">
        <v>15729</v>
      </c>
      <c r="C5451" s="1126" t="s">
        <v>1788</v>
      </c>
      <c r="D5451" s="1119">
        <v>15.61</v>
      </c>
      <c r="E5451" s="1120">
        <v>5.09</v>
      </c>
      <c r="F5451" s="1121">
        <f t="shared" si="1"/>
        <v>10.52</v>
      </c>
      <c r="G5451" s="1120">
        <v>10.52</v>
      </c>
      <c r="H5451" s="1127">
        <v>0.0</v>
      </c>
      <c r="I5451" s="1127">
        <v>0.0</v>
      </c>
      <c r="J5451" s="1127">
        <v>0.0</v>
      </c>
      <c r="K5451" s="1124"/>
    </row>
    <row r="5452" ht="15.75" customHeight="1">
      <c r="A5452" s="1119">
        <v>104046.0</v>
      </c>
      <c r="B5452" s="1125" t="s">
        <v>15730</v>
      </c>
      <c r="C5452" s="1126" t="s">
        <v>1788</v>
      </c>
      <c r="D5452" s="1119">
        <v>9.08</v>
      </c>
      <c r="E5452" s="1120">
        <v>3.74</v>
      </c>
      <c r="F5452" s="1121">
        <f t="shared" si="1"/>
        <v>5.35</v>
      </c>
      <c r="G5452" s="1120">
        <v>5.35</v>
      </c>
      <c r="H5452" s="1127">
        <v>0.0</v>
      </c>
      <c r="I5452" s="1127">
        <v>0.0</v>
      </c>
      <c r="J5452" s="1127">
        <v>0.0</v>
      </c>
      <c r="K5452" s="1124"/>
    </row>
    <row r="5453" ht="15.75" customHeight="1">
      <c r="A5453" s="1119">
        <v>104047.0</v>
      </c>
      <c r="B5453" s="1125" t="s">
        <v>15731</v>
      </c>
      <c r="C5453" s="1126" t="s">
        <v>1788</v>
      </c>
      <c r="D5453" s="1119">
        <v>10.55</v>
      </c>
      <c r="E5453" s="1120">
        <v>4.42</v>
      </c>
      <c r="F5453" s="1121">
        <f t="shared" si="1"/>
        <v>6.13</v>
      </c>
      <c r="G5453" s="1120">
        <v>6.13</v>
      </c>
      <c r="H5453" s="1127">
        <v>0.0</v>
      </c>
      <c r="I5453" s="1127">
        <v>0.0</v>
      </c>
      <c r="J5453" s="1127">
        <v>0.0</v>
      </c>
      <c r="K5453" s="1124"/>
    </row>
    <row r="5454" ht="15.75" customHeight="1">
      <c r="A5454" s="1119">
        <v>104048.0</v>
      </c>
      <c r="B5454" s="1125" t="s">
        <v>15732</v>
      </c>
      <c r="C5454" s="1126" t="s">
        <v>1788</v>
      </c>
      <c r="D5454" s="1119">
        <v>15.26</v>
      </c>
      <c r="E5454" s="1120">
        <v>5.1</v>
      </c>
      <c r="F5454" s="1121">
        <f t="shared" si="1"/>
        <v>10.17</v>
      </c>
      <c r="G5454" s="1120">
        <v>10.17</v>
      </c>
      <c r="H5454" s="1127">
        <v>0.0</v>
      </c>
      <c r="I5454" s="1127">
        <v>0.0</v>
      </c>
      <c r="J5454" s="1127">
        <v>0.0</v>
      </c>
      <c r="K5454" s="1124"/>
    </row>
    <row r="5455" ht="15.75" customHeight="1">
      <c r="A5455" s="1119">
        <v>104049.0</v>
      </c>
      <c r="B5455" s="1125" t="s">
        <v>15733</v>
      </c>
      <c r="C5455" s="1126" t="s">
        <v>1788</v>
      </c>
      <c r="D5455" s="1119">
        <v>6.77</v>
      </c>
      <c r="E5455" s="1120">
        <v>4.28</v>
      </c>
      <c r="F5455" s="1121">
        <f t="shared" si="1"/>
        <v>2.49</v>
      </c>
      <c r="G5455" s="1120">
        <v>2.49</v>
      </c>
      <c r="H5455" s="1127">
        <v>0.0</v>
      </c>
      <c r="I5455" s="1127">
        <v>0.0</v>
      </c>
      <c r="J5455" s="1127">
        <v>0.0</v>
      </c>
      <c r="K5455" s="1124"/>
    </row>
    <row r="5456" ht="15.75" customHeight="1">
      <c r="A5456" s="1119">
        <v>104050.0</v>
      </c>
      <c r="B5456" s="1125" t="s">
        <v>15734</v>
      </c>
      <c r="C5456" s="1126" t="s">
        <v>1788</v>
      </c>
      <c r="D5456" s="1119">
        <v>10.07</v>
      </c>
      <c r="E5456" s="1120">
        <v>5.84</v>
      </c>
      <c r="F5456" s="1121">
        <f t="shared" si="1"/>
        <v>4.24</v>
      </c>
      <c r="G5456" s="1120">
        <v>4.24</v>
      </c>
      <c r="H5456" s="1127">
        <v>0.0</v>
      </c>
      <c r="I5456" s="1127">
        <v>0.0</v>
      </c>
      <c r="J5456" s="1127">
        <v>0.0</v>
      </c>
      <c r="K5456" s="1124"/>
    </row>
    <row r="5457" ht="15.75" customHeight="1">
      <c r="A5457" s="1119">
        <v>104051.0</v>
      </c>
      <c r="B5457" s="1125" t="s">
        <v>15735</v>
      </c>
      <c r="C5457" s="1126" t="s">
        <v>1788</v>
      </c>
      <c r="D5457" s="1119">
        <v>8.49</v>
      </c>
      <c r="E5457" s="1120">
        <v>3.54</v>
      </c>
      <c r="F5457" s="1121">
        <f t="shared" si="1"/>
        <v>4.96</v>
      </c>
      <c r="G5457" s="1120">
        <v>4.96</v>
      </c>
      <c r="H5457" s="1127">
        <v>0.0</v>
      </c>
      <c r="I5457" s="1127">
        <v>0.0</v>
      </c>
      <c r="J5457" s="1127">
        <v>0.0</v>
      </c>
      <c r="K5457" s="1124"/>
    </row>
    <row r="5458" ht="15.75" customHeight="1">
      <c r="A5458" s="1119">
        <v>104052.0</v>
      </c>
      <c r="B5458" s="1125" t="s">
        <v>15736</v>
      </c>
      <c r="C5458" s="1126" t="s">
        <v>1788</v>
      </c>
      <c r="D5458" s="1119">
        <v>11.87</v>
      </c>
      <c r="E5458" s="1120">
        <v>4.83</v>
      </c>
      <c r="F5458" s="1121">
        <f t="shared" si="1"/>
        <v>7.06</v>
      </c>
      <c r="G5458" s="1120">
        <v>7.06</v>
      </c>
      <c r="H5458" s="1127">
        <v>0.0</v>
      </c>
      <c r="I5458" s="1127">
        <v>0.0</v>
      </c>
      <c r="J5458" s="1127">
        <v>0.0</v>
      </c>
      <c r="K5458" s="1124"/>
    </row>
    <row r="5459" ht="15.75" customHeight="1">
      <c r="A5459" s="1119">
        <v>104053.0</v>
      </c>
      <c r="B5459" s="1125" t="s">
        <v>15737</v>
      </c>
      <c r="C5459" s="1126" t="s">
        <v>1788</v>
      </c>
      <c r="D5459" s="1119">
        <v>9.78</v>
      </c>
      <c r="E5459" s="1120">
        <v>3.53</v>
      </c>
      <c r="F5459" s="1121">
        <f t="shared" si="1"/>
        <v>6.26</v>
      </c>
      <c r="G5459" s="1120">
        <v>6.26</v>
      </c>
      <c r="H5459" s="1127">
        <v>0.0</v>
      </c>
      <c r="I5459" s="1127">
        <v>0.0</v>
      </c>
      <c r="J5459" s="1127">
        <v>0.0</v>
      </c>
      <c r="K5459" s="1124"/>
    </row>
    <row r="5460" ht="15.75" customHeight="1">
      <c r="A5460" s="1119">
        <v>104054.0</v>
      </c>
      <c r="B5460" s="1125" t="s">
        <v>15738</v>
      </c>
      <c r="C5460" s="1126" t="s">
        <v>1788</v>
      </c>
      <c r="D5460" s="1119">
        <v>19.01</v>
      </c>
      <c r="E5460" s="1120">
        <v>4.82</v>
      </c>
      <c r="F5460" s="1121">
        <f t="shared" si="1"/>
        <v>14.21</v>
      </c>
      <c r="G5460" s="1120">
        <v>14.21</v>
      </c>
      <c r="H5460" s="1127">
        <v>0.0</v>
      </c>
      <c r="I5460" s="1127">
        <v>0.0</v>
      </c>
      <c r="J5460" s="1127">
        <v>0.0</v>
      </c>
      <c r="K5460" s="1124"/>
    </row>
    <row r="5461" ht="15.75" customHeight="1">
      <c r="A5461" s="1119">
        <v>104055.0</v>
      </c>
      <c r="B5461" s="1125" t="s">
        <v>15739</v>
      </c>
      <c r="C5461" s="1126" t="s">
        <v>1788</v>
      </c>
      <c r="D5461" s="1119">
        <v>17.73</v>
      </c>
      <c r="E5461" s="1120">
        <v>3.52</v>
      </c>
      <c r="F5461" s="1121">
        <f t="shared" si="1"/>
        <v>14.21</v>
      </c>
      <c r="G5461" s="1120">
        <v>14.21</v>
      </c>
      <c r="H5461" s="1127">
        <v>0.0</v>
      </c>
      <c r="I5461" s="1127">
        <v>0.0</v>
      </c>
      <c r="J5461" s="1127">
        <v>0.0</v>
      </c>
      <c r="K5461" s="1124"/>
    </row>
    <row r="5462" ht="15.75" customHeight="1">
      <c r="A5462" s="1119">
        <v>104056.0</v>
      </c>
      <c r="B5462" s="1125" t="s">
        <v>15740</v>
      </c>
      <c r="C5462" s="1126" t="s">
        <v>1788</v>
      </c>
      <c r="D5462" s="1119">
        <v>26.46</v>
      </c>
      <c r="E5462" s="1120">
        <v>3.93</v>
      </c>
      <c r="F5462" s="1121">
        <f t="shared" si="1"/>
        <v>22.52</v>
      </c>
      <c r="G5462" s="1120">
        <v>22.52</v>
      </c>
      <c r="H5462" s="1127">
        <v>0.0</v>
      </c>
      <c r="I5462" s="1127">
        <v>0.0</v>
      </c>
      <c r="J5462" s="1127">
        <v>0.0</v>
      </c>
      <c r="K5462" s="1124"/>
    </row>
    <row r="5463" ht="15.75" customHeight="1">
      <c r="A5463" s="1119">
        <v>104058.0</v>
      </c>
      <c r="B5463" s="1125" t="s">
        <v>15741</v>
      </c>
      <c r="C5463" s="1126" t="s">
        <v>1788</v>
      </c>
      <c r="D5463" s="1119">
        <v>7.31</v>
      </c>
      <c r="E5463" s="1120">
        <v>4.32</v>
      </c>
      <c r="F5463" s="1121">
        <f t="shared" si="1"/>
        <v>2.99</v>
      </c>
      <c r="G5463" s="1120">
        <v>2.99</v>
      </c>
      <c r="H5463" s="1127">
        <v>0.0</v>
      </c>
      <c r="I5463" s="1127">
        <v>0.0</v>
      </c>
      <c r="J5463" s="1127">
        <v>0.0</v>
      </c>
      <c r="K5463" s="1124"/>
    </row>
    <row r="5464" ht="15.75" customHeight="1">
      <c r="A5464" s="1119">
        <v>104059.0</v>
      </c>
      <c r="B5464" s="1125" t="s">
        <v>15742</v>
      </c>
      <c r="C5464" s="1126" t="s">
        <v>1788</v>
      </c>
      <c r="D5464" s="1119">
        <v>12.07</v>
      </c>
      <c r="E5464" s="1120">
        <v>5.37</v>
      </c>
      <c r="F5464" s="1121">
        <f t="shared" si="1"/>
        <v>6.7</v>
      </c>
      <c r="G5464" s="1120">
        <v>6.7</v>
      </c>
      <c r="H5464" s="1127">
        <v>0.0</v>
      </c>
      <c r="I5464" s="1127">
        <v>0.0</v>
      </c>
      <c r="J5464" s="1127">
        <v>0.0</v>
      </c>
      <c r="K5464" s="1124"/>
    </row>
    <row r="5465" ht="15.75" customHeight="1">
      <c r="A5465" s="1119">
        <v>104060.0</v>
      </c>
      <c r="B5465" s="1125" t="s">
        <v>15743</v>
      </c>
      <c r="C5465" s="1126" t="s">
        <v>1731</v>
      </c>
      <c r="D5465" s="1119">
        <v>9.8</v>
      </c>
      <c r="E5465" s="1120">
        <v>3.2</v>
      </c>
      <c r="F5465" s="1121">
        <f t="shared" si="1"/>
        <v>6.59</v>
      </c>
      <c r="G5465" s="1120">
        <v>6.59</v>
      </c>
      <c r="H5465" s="1127">
        <v>0.0</v>
      </c>
      <c r="I5465" s="1127">
        <v>0.0</v>
      </c>
      <c r="J5465" s="1127">
        <v>0.0</v>
      </c>
      <c r="K5465" s="1124"/>
    </row>
    <row r="5466" ht="15.75" customHeight="1">
      <c r="A5466" s="1119">
        <v>104061.0</v>
      </c>
      <c r="B5466" s="1125" t="s">
        <v>15744</v>
      </c>
      <c r="C5466" s="1126" t="s">
        <v>1731</v>
      </c>
      <c r="D5466" s="1119">
        <v>17.38</v>
      </c>
      <c r="E5466" s="1120">
        <v>4.84</v>
      </c>
      <c r="F5466" s="1121">
        <f t="shared" si="1"/>
        <v>12.56</v>
      </c>
      <c r="G5466" s="1120">
        <v>12.56</v>
      </c>
      <c r="H5466" s="1127">
        <v>0.0</v>
      </c>
      <c r="I5466" s="1127">
        <v>0.0</v>
      </c>
      <c r="J5466" s="1127">
        <v>0.0</v>
      </c>
      <c r="K5466" s="1124"/>
    </row>
    <row r="5467" ht="15.75" customHeight="1">
      <c r="A5467" s="1119">
        <v>104112.0</v>
      </c>
      <c r="B5467" s="1125" t="s">
        <v>15745</v>
      </c>
      <c r="C5467" s="1126" t="s">
        <v>1788</v>
      </c>
      <c r="D5467" s="1119">
        <v>171.52</v>
      </c>
      <c r="E5467" s="1120">
        <v>73.26</v>
      </c>
      <c r="F5467" s="1121">
        <f t="shared" si="1"/>
        <v>98.27</v>
      </c>
      <c r="G5467" s="1120">
        <v>87.26</v>
      </c>
      <c r="H5467" s="1127">
        <v>11.01</v>
      </c>
      <c r="I5467" s="1127">
        <v>0.0</v>
      </c>
      <c r="J5467" s="1127">
        <v>0.0</v>
      </c>
      <c r="K5467" s="1124"/>
    </row>
    <row r="5468" ht="15.75" customHeight="1">
      <c r="A5468" s="1119">
        <v>104114.0</v>
      </c>
      <c r="B5468" s="1125" t="s">
        <v>15746</v>
      </c>
      <c r="C5468" s="1126" t="s">
        <v>1788</v>
      </c>
      <c r="D5468" s="1119">
        <v>255.53</v>
      </c>
      <c r="E5468" s="1120">
        <v>112.18</v>
      </c>
      <c r="F5468" s="1121">
        <f t="shared" si="1"/>
        <v>143.39</v>
      </c>
      <c r="G5468" s="1120">
        <v>124.3</v>
      </c>
      <c r="H5468" s="1127">
        <v>19.09</v>
      </c>
      <c r="I5468" s="1127">
        <v>0.0</v>
      </c>
      <c r="J5468" s="1127">
        <v>0.0</v>
      </c>
      <c r="K5468" s="1124"/>
    </row>
    <row r="5469" ht="15.75" customHeight="1">
      <c r="A5469" s="1119">
        <v>104116.0</v>
      </c>
      <c r="B5469" s="1125" t="s">
        <v>15747</v>
      </c>
      <c r="C5469" s="1126" t="s">
        <v>1788</v>
      </c>
      <c r="D5469" s="1119">
        <v>339.53</v>
      </c>
      <c r="E5469" s="1120">
        <v>151.06</v>
      </c>
      <c r="F5469" s="1121">
        <f t="shared" si="1"/>
        <v>188.47</v>
      </c>
      <c r="G5469" s="1120">
        <v>161.28</v>
      </c>
      <c r="H5469" s="1127">
        <v>27.19</v>
      </c>
      <c r="I5469" s="1127">
        <v>0.0</v>
      </c>
      <c r="J5469" s="1127">
        <v>0.0</v>
      </c>
      <c r="K5469" s="1124"/>
    </row>
    <row r="5470" ht="15.75" customHeight="1">
      <c r="A5470" s="1119">
        <v>104118.0</v>
      </c>
      <c r="B5470" s="1125" t="s">
        <v>15748</v>
      </c>
      <c r="C5470" s="1126" t="s">
        <v>1788</v>
      </c>
      <c r="D5470" s="1119">
        <v>296.67</v>
      </c>
      <c r="E5470" s="1120">
        <v>168.62</v>
      </c>
      <c r="F5470" s="1121">
        <f t="shared" si="1"/>
        <v>128.07</v>
      </c>
      <c r="G5470" s="1120">
        <v>126.41</v>
      </c>
      <c r="H5470" s="1127">
        <v>1.66</v>
      </c>
      <c r="I5470" s="1127">
        <v>0.0</v>
      </c>
      <c r="J5470" s="1127">
        <v>0.0</v>
      </c>
      <c r="K5470" s="1124"/>
    </row>
    <row r="5471" ht="15.75" customHeight="1">
      <c r="A5471" s="1119">
        <v>104120.0</v>
      </c>
      <c r="B5471" s="1125" t="s">
        <v>15749</v>
      </c>
      <c r="C5471" s="1126" t="s">
        <v>1788</v>
      </c>
      <c r="D5471" s="1119">
        <v>467.86</v>
      </c>
      <c r="E5471" s="1120">
        <v>274.23</v>
      </c>
      <c r="F5471" s="1121">
        <f t="shared" si="1"/>
        <v>193.67</v>
      </c>
      <c r="G5471" s="1120">
        <v>190.82</v>
      </c>
      <c r="H5471" s="1127">
        <v>2.85</v>
      </c>
      <c r="I5471" s="1127">
        <v>0.0</v>
      </c>
      <c r="J5471" s="1127">
        <v>0.0</v>
      </c>
      <c r="K5471" s="1124"/>
    </row>
    <row r="5472" ht="15.75" customHeight="1">
      <c r="A5472" s="1119">
        <v>104122.0</v>
      </c>
      <c r="B5472" s="1125" t="s">
        <v>15750</v>
      </c>
      <c r="C5472" s="1126" t="s">
        <v>1788</v>
      </c>
      <c r="D5472" s="1119">
        <v>639.06</v>
      </c>
      <c r="E5472" s="1120">
        <v>379.79</v>
      </c>
      <c r="F5472" s="1121">
        <f t="shared" si="1"/>
        <v>259.3</v>
      </c>
      <c r="G5472" s="1120">
        <v>255.26</v>
      </c>
      <c r="H5472" s="1127">
        <v>4.04</v>
      </c>
      <c r="I5472" s="1127">
        <v>0.0</v>
      </c>
      <c r="J5472" s="1127">
        <v>0.0</v>
      </c>
      <c r="K5472" s="1124"/>
    </row>
    <row r="5473" ht="15.75" customHeight="1">
      <c r="A5473" s="1119">
        <v>104062.0</v>
      </c>
      <c r="B5473" s="1125" t="s">
        <v>15751</v>
      </c>
      <c r="C5473" s="1126" t="s">
        <v>1788</v>
      </c>
      <c r="D5473" s="1119">
        <v>80.85</v>
      </c>
      <c r="E5473" s="1120">
        <v>7.1</v>
      </c>
      <c r="F5473" s="1121">
        <f t="shared" si="1"/>
        <v>73.76</v>
      </c>
      <c r="G5473" s="1120">
        <v>73.76</v>
      </c>
      <c r="H5473" s="1127">
        <v>0.0</v>
      </c>
      <c r="I5473" s="1127">
        <v>0.0</v>
      </c>
      <c r="J5473" s="1127">
        <v>0.0</v>
      </c>
      <c r="K5473" s="1124"/>
    </row>
    <row r="5474" ht="15.75" customHeight="1">
      <c r="A5474" s="1119">
        <v>104063.0</v>
      </c>
      <c r="B5474" s="1125" t="s">
        <v>15752</v>
      </c>
      <c r="C5474" s="1126" t="s">
        <v>1788</v>
      </c>
      <c r="D5474" s="1119">
        <v>76.83</v>
      </c>
      <c r="E5474" s="1120">
        <v>7.1</v>
      </c>
      <c r="F5474" s="1121">
        <f t="shared" si="1"/>
        <v>69.74</v>
      </c>
      <c r="G5474" s="1120">
        <v>69.74</v>
      </c>
      <c r="H5474" s="1127">
        <v>0.0</v>
      </c>
      <c r="I5474" s="1127">
        <v>0.0</v>
      </c>
      <c r="J5474" s="1127">
        <v>0.0</v>
      </c>
      <c r="K5474" s="1124"/>
    </row>
    <row r="5475" ht="15.75" customHeight="1">
      <c r="A5475" s="1119">
        <v>104064.0</v>
      </c>
      <c r="B5475" s="1125" t="s">
        <v>15753</v>
      </c>
      <c r="C5475" s="1126" t="s">
        <v>1788</v>
      </c>
      <c r="D5475" s="1119">
        <v>195.37</v>
      </c>
      <c r="E5475" s="1120">
        <v>7.41</v>
      </c>
      <c r="F5475" s="1121">
        <f t="shared" si="1"/>
        <v>187.97</v>
      </c>
      <c r="G5475" s="1120">
        <v>187.97</v>
      </c>
      <c r="H5475" s="1127">
        <v>0.0</v>
      </c>
      <c r="I5475" s="1127">
        <v>0.0</v>
      </c>
      <c r="J5475" s="1127">
        <v>0.0</v>
      </c>
      <c r="K5475" s="1124"/>
    </row>
    <row r="5476" ht="15.75" customHeight="1">
      <c r="A5476" s="1119">
        <v>104065.0</v>
      </c>
      <c r="B5476" s="1125" t="s">
        <v>15754</v>
      </c>
      <c r="C5476" s="1126" t="s">
        <v>1788</v>
      </c>
      <c r="D5476" s="1119">
        <v>165.13</v>
      </c>
      <c r="E5476" s="1120">
        <v>7.41</v>
      </c>
      <c r="F5476" s="1121">
        <f t="shared" si="1"/>
        <v>157.73</v>
      </c>
      <c r="G5476" s="1120">
        <v>157.73</v>
      </c>
      <c r="H5476" s="1127">
        <v>0.0</v>
      </c>
      <c r="I5476" s="1127">
        <v>0.0</v>
      </c>
      <c r="J5476" s="1127">
        <v>0.0</v>
      </c>
      <c r="K5476" s="1124"/>
    </row>
    <row r="5477" ht="15.75" customHeight="1">
      <c r="A5477" s="1119">
        <v>104072.0</v>
      </c>
      <c r="B5477" s="1125" t="s">
        <v>15755</v>
      </c>
      <c r="C5477" s="1126" t="s">
        <v>1788</v>
      </c>
      <c r="D5477" s="1119">
        <v>296.23</v>
      </c>
      <c r="E5477" s="1120">
        <v>11.44</v>
      </c>
      <c r="F5477" s="1121">
        <f t="shared" si="1"/>
        <v>284.79</v>
      </c>
      <c r="G5477" s="1120">
        <v>284.79</v>
      </c>
      <c r="H5477" s="1127">
        <v>0.0</v>
      </c>
      <c r="I5477" s="1127">
        <v>0.0</v>
      </c>
      <c r="J5477" s="1127">
        <v>0.0</v>
      </c>
      <c r="K5477" s="1124"/>
    </row>
    <row r="5478" ht="15.75" customHeight="1">
      <c r="A5478" s="1119">
        <v>104076.0</v>
      </c>
      <c r="B5478" s="1125" t="s">
        <v>15756</v>
      </c>
      <c r="C5478" s="1126" t="s">
        <v>1788</v>
      </c>
      <c r="D5478" s="1119">
        <v>52.47</v>
      </c>
      <c r="E5478" s="1120">
        <v>11.14</v>
      </c>
      <c r="F5478" s="1121">
        <f t="shared" si="1"/>
        <v>41.33</v>
      </c>
      <c r="G5478" s="1120">
        <v>41.33</v>
      </c>
      <c r="H5478" s="1127">
        <v>0.0</v>
      </c>
      <c r="I5478" s="1127">
        <v>0.0</v>
      </c>
      <c r="J5478" s="1127">
        <v>0.0</v>
      </c>
      <c r="K5478" s="1124"/>
    </row>
    <row r="5479" ht="15.75" customHeight="1">
      <c r="A5479" s="1119">
        <v>104082.0</v>
      </c>
      <c r="B5479" s="1125" t="s">
        <v>15757</v>
      </c>
      <c r="C5479" s="1126" t="s">
        <v>1788</v>
      </c>
      <c r="D5479" s="1119">
        <v>32.84</v>
      </c>
      <c r="E5479" s="1120">
        <v>3.54</v>
      </c>
      <c r="F5479" s="1121">
        <f t="shared" si="1"/>
        <v>29.3</v>
      </c>
      <c r="G5479" s="1120">
        <v>29.3</v>
      </c>
      <c r="H5479" s="1127">
        <v>0.0</v>
      </c>
      <c r="I5479" s="1127">
        <v>0.0</v>
      </c>
      <c r="J5479" s="1127">
        <v>0.0</v>
      </c>
      <c r="K5479" s="1124"/>
    </row>
    <row r="5480" ht="15.75" customHeight="1">
      <c r="A5480" s="1119">
        <v>104083.0</v>
      </c>
      <c r="B5480" s="1125" t="s">
        <v>15758</v>
      </c>
      <c r="C5480" s="1126" t="s">
        <v>1788</v>
      </c>
      <c r="D5480" s="1119">
        <v>78.44</v>
      </c>
      <c r="E5480" s="1120">
        <v>3.69</v>
      </c>
      <c r="F5480" s="1121">
        <f t="shared" si="1"/>
        <v>74.75</v>
      </c>
      <c r="G5480" s="1120">
        <v>74.75</v>
      </c>
      <c r="H5480" s="1127">
        <v>0.0</v>
      </c>
      <c r="I5480" s="1127">
        <v>0.0</v>
      </c>
      <c r="J5480" s="1127">
        <v>0.0</v>
      </c>
      <c r="K5480" s="1124"/>
    </row>
    <row r="5481" ht="15.75" customHeight="1">
      <c r="A5481" s="1119">
        <v>104084.0</v>
      </c>
      <c r="B5481" s="1125" t="s">
        <v>15759</v>
      </c>
      <c r="C5481" s="1126" t="s">
        <v>1788</v>
      </c>
      <c r="D5481" s="1119">
        <v>89.85</v>
      </c>
      <c r="E5481" s="1120">
        <v>3.69</v>
      </c>
      <c r="F5481" s="1121">
        <f t="shared" si="1"/>
        <v>86.16</v>
      </c>
      <c r="G5481" s="1120">
        <v>86.16</v>
      </c>
      <c r="H5481" s="1127">
        <v>0.0</v>
      </c>
      <c r="I5481" s="1127">
        <v>0.0</v>
      </c>
      <c r="J5481" s="1127">
        <v>0.0</v>
      </c>
      <c r="K5481" s="1124"/>
    </row>
    <row r="5482" ht="15.75" customHeight="1">
      <c r="A5482" s="1119">
        <v>104085.0</v>
      </c>
      <c r="B5482" s="1125" t="s">
        <v>15760</v>
      </c>
      <c r="C5482" s="1126" t="s">
        <v>1731</v>
      </c>
      <c r="D5482" s="1119">
        <v>61.66</v>
      </c>
      <c r="E5482" s="1120">
        <v>9.63</v>
      </c>
      <c r="F5482" s="1121">
        <f t="shared" si="1"/>
        <v>52.04</v>
      </c>
      <c r="G5482" s="1120">
        <v>52.04</v>
      </c>
      <c r="H5482" s="1127">
        <v>0.0</v>
      </c>
      <c r="I5482" s="1127">
        <v>0.0</v>
      </c>
      <c r="J5482" s="1127">
        <v>0.0</v>
      </c>
      <c r="K5482" s="1124"/>
    </row>
    <row r="5483" ht="15.75" customHeight="1">
      <c r="A5483" s="1119">
        <v>104086.0</v>
      </c>
      <c r="B5483" s="1125" t="s">
        <v>15761</v>
      </c>
      <c r="C5483" s="1126" t="s">
        <v>1731</v>
      </c>
      <c r="D5483" s="1119">
        <v>109.72</v>
      </c>
      <c r="E5483" s="1120">
        <v>10.75</v>
      </c>
      <c r="F5483" s="1121">
        <f t="shared" si="1"/>
        <v>98.97</v>
      </c>
      <c r="G5483" s="1120">
        <v>98.97</v>
      </c>
      <c r="H5483" s="1127">
        <v>0.0</v>
      </c>
      <c r="I5483" s="1127">
        <v>0.0</v>
      </c>
      <c r="J5483" s="1127">
        <v>0.0</v>
      </c>
      <c r="K5483" s="1124"/>
    </row>
    <row r="5484" ht="15.75" customHeight="1">
      <c r="A5484" s="1119">
        <v>104124.0</v>
      </c>
      <c r="B5484" s="1125" t="s">
        <v>15762</v>
      </c>
      <c r="C5484" s="1126" t="s">
        <v>1788</v>
      </c>
      <c r="D5484" s="1119">
        <v>392.18</v>
      </c>
      <c r="E5484" s="1120">
        <v>105.87</v>
      </c>
      <c r="F5484" s="1121">
        <f t="shared" si="1"/>
        <v>286.35</v>
      </c>
      <c r="G5484" s="1120">
        <v>270.74</v>
      </c>
      <c r="H5484" s="1127">
        <v>15.61</v>
      </c>
      <c r="I5484" s="1127">
        <v>0.0</v>
      </c>
      <c r="J5484" s="1127">
        <v>0.0</v>
      </c>
      <c r="K5484" s="1124"/>
    </row>
    <row r="5485" ht="15.75" customHeight="1">
      <c r="A5485" s="1119">
        <v>104130.0</v>
      </c>
      <c r="B5485" s="1125" t="s">
        <v>15763</v>
      </c>
      <c r="C5485" s="1126" t="s">
        <v>1788</v>
      </c>
      <c r="D5485" s="1119">
        <v>600.89</v>
      </c>
      <c r="E5485" s="1120">
        <v>169.71</v>
      </c>
      <c r="F5485" s="1121">
        <f t="shared" si="1"/>
        <v>431.27</v>
      </c>
      <c r="G5485" s="1120">
        <v>404.89</v>
      </c>
      <c r="H5485" s="1127">
        <v>26.38</v>
      </c>
      <c r="I5485" s="1127">
        <v>0.0</v>
      </c>
      <c r="J5485" s="1127">
        <v>0.0</v>
      </c>
      <c r="K5485" s="1124"/>
    </row>
    <row r="5486" ht="15.75" customHeight="1">
      <c r="A5486" s="1119">
        <v>104136.0</v>
      </c>
      <c r="B5486" s="1125" t="s">
        <v>15764</v>
      </c>
      <c r="C5486" s="1126" t="s">
        <v>1788</v>
      </c>
      <c r="D5486" s="1119">
        <v>810.95</v>
      </c>
      <c r="E5486" s="1120">
        <v>234.29</v>
      </c>
      <c r="F5486" s="1121">
        <f t="shared" si="1"/>
        <v>576.81</v>
      </c>
      <c r="G5486" s="1120">
        <v>539.4</v>
      </c>
      <c r="H5486" s="1127">
        <v>37.41</v>
      </c>
      <c r="I5486" s="1127">
        <v>0.0</v>
      </c>
      <c r="J5486" s="1127">
        <v>0.0</v>
      </c>
      <c r="K5486" s="1124"/>
    </row>
    <row r="5487" ht="15.75" customHeight="1">
      <c r="A5487" s="1119">
        <v>104142.0</v>
      </c>
      <c r="B5487" s="1125" t="s">
        <v>15765</v>
      </c>
      <c r="C5487" s="1126" t="s">
        <v>1788</v>
      </c>
      <c r="D5487" s="1119">
        <v>574.89</v>
      </c>
      <c r="E5487" s="1120">
        <v>244.62</v>
      </c>
      <c r="F5487" s="1121">
        <f t="shared" si="1"/>
        <v>330.32</v>
      </c>
      <c r="G5487" s="1120">
        <v>327.78</v>
      </c>
      <c r="H5487" s="1127">
        <v>2.54</v>
      </c>
      <c r="I5487" s="1127">
        <v>0.0</v>
      </c>
      <c r="J5487" s="1127">
        <v>0.0</v>
      </c>
      <c r="K5487" s="1124"/>
    </row>
    <row r="5488" ht="15.75" customHeight="1">
      <c r="A5488" s="1119">
        <v>104148.0</v>
      </c>
      <c r="B5488" s="1125" t="s">
        <v>15766</v>
      </c>
      <c r="C5488" s="1126" t="s">
        <v>1788</v>
      </c>
      <c r="D5488" s="1119">
        <v>905.42</v>
      </c>
      <c r="E5488" s="1120">
        <v>401.26</v>
      </c>
      <c r="F5488" s="1121">
        <f t="shared" si="1"/>
        <v>504.25</v>
      </c>
      <c r="G5488" s="1120">
        <v>500.07</v>
      </c>
      <c r="H5488" s="1127">
        <v>4.18</v>
      </c>
      <c r="I5488" s="1127">
        <v>0.0</v>
      </c>
      <c r="J5488" s="1127">
        <v>0.0</v>
      </c>
      <c r="K5488" s="1124"/>
    </row>
    <row r="5489" ht="15.75" customHeight="1">
      <c r="A5489" s="1119">
        <v>104154.0</v>
      </c>
      <c r="B5489" s="1125" t="s">
        <v>15767</v>
      </c>
      <c r="C5489" s="1126" t="s">
        <v>1788</v>
      </c>
      <c r="D5489" s="1128">
        <v>1239.5</v>
      </c>
      <c r="E5489" s="1120">
        <v>560.31</v>
      </c>
      <c r="F5489" s="1121">
        <f t="shared" si="1"/>
        <v>679.36</v>
      </c>
      <c r="G5489" s="1120">
        <v>673.43</v>
      </c>
      <c r="H5489" s="1127">
        <v>5.93</v>
      </c>
      <c r="I5489" s="1127">
        <v>0.0</v>
      </c>
      <c r="J5489" s="1127">
        <v>0.0</v>
      </c>
      <c r="K5489" s="1124"/>
    </row>
    <row r="5490" ht="15.75" customHeight="1">
      <c r="A5490" s="1119">
        <v>96520.0</v>
      </c>
      <c r="B5490" s="1125" t="s">
        <v>15768</v>
      </c>
      <c r="C5490" s="1126" t="s">
        <v>2178</v>
      </c>
      <c r="D5490" s="1119">
        <v>108.75</v>
      </c>
      <c r="E5490" s="1120">
        <v>57.77</v>
      </c>
      <c r="F5490" s="1121">
        <f t="shared" si="1"/>
        <v>50.98</v>
      </c>
      <c r="G5490" s="1120">
        <v>30.78</v>
      </c>
      <c r="H5490" s="1127">
        <v>20.2</v>
      </c>
      <c r="I5490" s="1127">
        <v>0.0</v>
      </c>
      <c r="J5490" s="1127">
        <v>0.0</v>
      </c>
      <c r="K5490" s="1124"/>
    </row>
    <row r="5491" ht="15.75" customHeight="1">
      <c r="A5491" s="1119">
        <v>96521.0</v>
      </c>
      <c r="B5491" s="1125" t="s">
        <v>15769</v>
      </c>
      <c r="C5491" s="1126" t="s">
        <v>2178</v>
      </c>
      <c r="D5491" s="1119">
        <v>43.54</v>
      </c>
      <c r="E5491" s="1120">
        <v>15.74</v>
      </c>
      <c r="F5491" s="1121">
        <f t="shared" si="1"/>
        <v>27.8</v>
      </c>
      <c r="G5491" s="1120">
        <v>12.97</v>
      </c>
      <c r="H5491" s="1127">
        <v>14.83</v>
      </c>
      <c r="I5491" s="1127">
        <v>0.0</v>
      </c>
      <c r="J5491" s="1127">
        <v>0.0</v>
      </c>
      <c r="K5491" s="1124"/>
    </row>
    <row r="5492" ht="15.75" customHeight="1">
      <c r="A5492" s="1119">
        <v>96522.0</v>
      </c>
      <c r="B5492" s="1125" t="s">
        <v>15770</v>
      </c>
      <c r="C5492" s="1126" t="s">
        <v>2178</v>
      </c>
      <c r="D5492" s="1119">
        <v>181.02</v>
      </c>
      <c r="E5492" s="1120">
        <v>130.55</v>
      </c>
      <c r="F5492" s="1121">
        <f t="shared" si="1"/>
        <v>50.47</v>
      </c>
      <c r="G5492" s="1120">
        <v>50.47</v>
      </c>
      <c r="H5492" s="1127">
        <v>0.0</v>
      </c>
      <c r="I5492" s="1127">
        <v>0.0</v>
      </c>
      <c r="J5492" s="1127">
        <v>0.0</v>
      </c>
      <c r="K5492" s="1124"/>
    </row>
    <row r="5493" ht="15.75" customHeight="1">
      <c r="A5493" s="1119">
        <v>96523.0</v>
      </c>
      <c r="B5493" s="1125" t="s">
        <v>15771</v>
      </c>
      <c r="C5493" s="1126" t="s">
        <v>2178</v>
      </c>
      <c r="D5493" s="1119">
        <v>115.39</v>
      </c>
      <c r="E5493" s="1120">
        <v>82.56</v>
      </c>
      <c r="F5493" s="1121">
        <f t="shared" si="1"/>
        <v>32.83</v>
      </c>
      <c r="G5493" s="1120">
        <v>32.83</v>
      </c>
      <c r="H5493" s="1127">
        <v>0.0</v>
      </c>
      <c r="I5493" s="1127">
        <v>0.0</v>
      </c>
      <c r="J5493" s="1127">
        <v>0.0</v>
      </c>
      <c r="K5493" s="1124"/>
    </row>
    <row r="5494" ht="15.75" customHeight="1">
      <c r="A5494" s="1119">
        <v>96524.0</v>
      </c>
      <c r="B5494" s="1125" t="s">
        <v>15772</v>
      </c>
      <c r="C5494" s="1126" t="s">
        <v>2178</v>
      </c>
      <c r="D5494" s="1119">
        <v>212.28</v>
      </c>
      <c r="E5494" s="1120">
        <v>134.16</v>
      </c>
      <c r="F5494" s="1121">
        <f t="shared" si="1"/>
        <v>78.14</v>
      </c>
      <c r="G5494" s="1120">
        <v>52.11</v>
      </c>
      <c r="H5494" s="1127">
        <v>26.03</v>
      </c>
      <c r="I5494" s="1127">
        <v>0.0</v>
      </c>
      <c r="J5494" s="1127">
        <v>0.0</v>
      </c>
      <c r="K5494" s="1124"/>
    </row>
    <row r="5495" ht="15.75" customHeight="1">
      <c r="A5495" s="1119">
        <v>96525.0</v>
      </c>
      <c r="B5495" s="1125" t="s">
        <v>15773</v>
      </c>
      <c r="C5495" s="1126" t="s">
        <v>2178</v>
      </c>
      <c r="D5495" s="1119">
        <v>43.16</v>
      </c>
      <c r="E5495" s="1120">
        <v>14.64</v>
      </c>
      <c r="F5495" s="1121">
        <f t="shared" si="1"/>
        <v>28.54</v>
      </c>
      <c r="G5495" s="1120">
        <v>8.2</v>
      </c>
      <c r="H5495" s="1127">
        <v>20.34</v>
      </c>
      <c r="I5495" s="1127">
        <v>0.0</v>
      </c>
      <c r="J5495" s="1127">
        <v>0.0</v>
      </c>
      <c r="K5495" s="1124"/>
    </row>
    <row r="5496" ht="15.75" customHeight="1">
      <c r="A5496" s="1119">
        <v>96526.0</v>
      </c>
      <c r="B5496" s="1125" t="s">
        <v>15774</v>
      </c>
      <c r="C5496" s="1126" t="s">
        <v>2178</v>
      </c>
      <c r="D5496" s="1119">
        <v>365.66</v>
      </c>
      <c r="E5496" s="1120">
        <v>264.39</v>
      </c>
      <c r="F5496" s="1121">
        <f t="shared" si="1"/>
        <v>101.27</v>
      </c>
      <c r="G5496" s="1120">
        <v>101.27</v>
      </c>
      <c r="H5496" s="1127">
        <v>0.0</v>
      </c>
      <c r="I5496" s="1127">
        <v>0.0</v>
      </c>
      <c r="J5496" s="1127">
        <v>0.0</v>
      </c>
      <c r="K5496" s="1124"/>
    </row>
    <row r="5497" ht="15.75" customHeight="1">
      <c r="A5497" s="1119">
        <v>96527.0</v>
      </c>
      <c r="B5497" s="1125" t="s">
        <v>15775</v>
      </c>
      <c r="C5497" s="1126" t="s">
        <v>2178</v>
      </c>
      <c r="D5497" s="1119">
        <v>151.43</v>
      </c>
      <c r="E5497" s="1120">
        <v>108.13</v>
      </c>
      <c r="F5497" s="1121">
        <f t="shared" si="1"/>
        <v>43.3</v>
      </c>
      <c r="G5497" s="1120">
        <v>43.3</v>
      </c>
      <c r="H5497" s="1127">
        <v>0.0</v>
      </c>
      <c r="I5497" s="1127">
        <v>0.0</v>
      </c>
      <c r="J5497" s="1127">
        <v>0.0</v>
      </c>
      <c r="K5497" s="1124"/>
    </row>
    <row r="5498" ht="15.75" customHeight="1">
      <c r="A5498" s="1119">
        <v>96528.0</v>
      </c>
      <c r="B5498" s="1125" t="s">
        <v>15776</v>
      </c>
      <c r="C5498" s="1126" t="s">
        <v>1814</v>
      </c>
      <c r="D5498" s="1119">
        <v>256.32</v>
      </c>
      <c r="E5498" s="1120">
        <v>60.84</v>
      </c>
      <c r="F5498" s="1121">
        <f t="shared" si="1"/>
        <v>195.47</v>
      </c>
      <c r="G5498" s="1120">
        <v>195.42</v>
      </c>
      <c r="H5498" s="1127">
        <v>0.0</v>
      </c>
      <c r="I5498" s="1127">
        <v>0.0</v>
      </c>
      <c r="J5498" s="1127">
        <v>0.05</v>
      </c>
      <c r="K5498" s="1124"/>
    </row>
    <row r="5499" ht="15.75" customHeight="1">
      <c r="A5499" s="1119">
        <v>101114.0</v>
      </c>
      <c r="B5499" s="1125" t="s">
        <v>15777</v>
      </c>
      <c r="C5499" s="1126" t="s">
        <v>2178</v>
      </c>
      <c r="D5499" s="1119">
        <v>4.29</v>
      </c>
      <c r="E5499" s="1120">
        <v>1.37</v>
      </c>
      <c r="F5499" s="1121">
        <f t="shared" si="1"/>
        <v>2.94</v>
      </c>
      <c r="G5499" s="1120">
        <v>0.93</v>
      </c>
      <c r="H5499" s="1127">
        <v>2.01</v>
      </c>
      <c r="I5499" s="1127">
        <v>0.0</v>
      </c>
      <c r="J5499" s="1127">
        <v>0.0</v>
      </c>
      <c r="K5499" s="1124"/>
    </row>
    <row r="5500" ht="15.75" customHeight="1">
      <c r="A5500" s="1119">
        <v>101115.0</v>
      </c>
      <c r="B5500" s="1125" t="s">
        <v>15778</v>
      </c>
      <c r="C5500" s="1126" t="s">
        <v>2178</v>
      </c>
      <c r="D5500" s="1119">
        <v>3.53</v>
      </c>
      <c r="E5500" s="1120">
        <v>0.93</v>
      </c>
      <c r="F5500" s="1121">
        <f t="shared" si="1"/>
        <v>2.6</v>
      </c>
      <c r="G5500" s="1120">
        <v>0.82</v>
      </c>
      <c r="H5500" s="1127">
        <v>1.78</v>
      </c>
      <c r="I5500" s="1127">
        <v>0.0</v>
      </c>
      <c r="J5500" s="1127">
        <v>0.0</v>
      </c>
      <c r="K5500" s="1124"/>
    </row>
    <row r="5501" ht="15.75" customHeight="1">
      <c r="A5501" s="1119">
        <v>101116.0</v>
      </c>
      <c r="B5501" s="1125" t="s">
        <v>15779</v>
      </c>
      <c r="C5501" s="1126" t="s">
        <v>2178</v>
      </c>
      <c r="D5501" s="1119">
        <v>2.18</v>
      </c>
      <c r="E5501" s="1120">
        <v>0.58</v>
      </c>
      <c r="F5501" s="1121">
        <f t="shared" si="1"/>
        <v>1.61</v>
      </c>
      <c r="G5501" s="1120">
        <v>0.52</v>
      </c>
      <c r="H5501" s="1127">
        <v>1.09</v>
      </c>
      <c r="I5501" s="1127">
        <v>0.0</v>
      </c>
      <c r="J5501" s="1127">
        <v>0.0</v>
      </c>
      <c r="K5501" s="1124"/>
    </row>
    <row r="5502" ht="15.75" customHeight="1">
      <c r="A5502" s="1119">
        <v>101117.0</v>
      </c>
      <c r="B5502" s="1125" t="s">
        <v>15780</v>
      </c>
      <c r="C5502" s="1126" t="s">
        <v>2178</v>
      </c>
      <c r="D5502" s="1119">
        <v>3.01</v>
      </c>
      <c r="E5502" s="1120">
        <v>0.33</v>
      </c>
      <c r="F5502" s="1121">
        <f t="shared" si="1"/>
        <v>2.68</v>
      </c>
      <c r="G5502" s="1120">
        <v>0.52</v>
      </c>
      <c r="H5502" s="1127">
        <v>2.16</v>
      </c>
      <c r="I5502" s="1127">
        <v>0.0</v>
      </c>
      <c r="J5502" s="1127">
        <v>0.0</v>
      </c>
      <c r="K5502" s="1124"/>
    </row>
    <row r="5503" ht="15.75" customHeight="1">
      <c r="A5503" s="1119">
        <v>101118.0</v>
      </c>
      <c r="B5503" s="1125" t="s">
        <v>15781</v>
      </c>
      <c r="C5503" s="1126" t="s">
        <v>2178</v>
      </c>
      <c r="D5503" s="1119">
        <v>3.65</v>
      </c>
      <c r="E5503" s="1120">
        <v>1.1</v>
      </c>
      <c r="F5503" s="1121">
        <f t="shared" si="1"/>
        <v>2.57</v>
      </c>
      <c r="G5503" s="1120">
        <v>2.57</v>
      </c>
      <c r="H5503" s="1127">
        <v>0.0</v>
      </c>
      <c r="I5503" s="1127">
        <v>0.0</v>
      </c>
      <c r="J5503" s="1127">
        <v>0.0</v>
      </c>
      <c r="K5503" s="1124"/>
    </row>
    <row r="5504" ht="15.75" customHeight="1">
      <c r="A5504" s="1119">
        <v>101119.0</v>
      </c>
      <c r="B5504" s="1125" t="s">
        <v>15782</v>
      </c>
      <c r="C5504" s="1126" t="s">
        <v>2178</v>
      </c>
      <c r="D5504" s="1119">
        <v>8.19</v>
      </c>
      <c r="E5504" s="1120">
        <v>2.59</v>
      </c>
      <c r="F5504" s="1121">
        <f t="shared" si="1"/>
        <v>5.61</v>
      </c>
      <c r="G5504" s="1120">
        <v>1.85</v>
      </c>
      <c r="H5504" s="1127">
        <v>3.76</v>
      </c>
      <c r="I5504" s="1127">
        <v>0.0</v>
      </c>
      <c r="J5504" s="1127">
        <v>0.0</v>
      </c>
      <c r="K5504" s="1124"/>
    </row>
    <row r="5505" ht="15.75" customHeight="1">
      <c r="A5505" s="1119">
        <v>101120.0</v>
      </c>
      <c r="B5505" s="1125" t="s">
        <v>15783</v>
      </c>
      <c r="C5505" s="1126" t="s">
        <v>2178</v>
      </c>
      <c r="D5505" s="1119">
        <v>6.76</v>
      </c>
      <c r="E5505" s="1120">
        <v>1.78</v>
      </c>
      <c r="F5505" s="1121">
        <f t="shared" si="1"/>
        <v>4.98</v>
      </c>
      <c r="G5505" s="1120">
        <v>1.61</v>
      </c>
      <c r="H5505" s="1127">
        <v>3.37</v>
      </c>
      <c r="I5505" s="1127">
        <v>0.0</v>
      </c>
      <c r="J5505" s="1127">
        <v>0.0</v>
      </c>
      <c r="K5505" s="1124"/>
    </row>
    <row r="5506" ht="15.75" customHeight="1">
      <c r="A5506" s="1119">
        <v>101121.0</v>
      </c>
      <c r="B5506" s="1125" t="s">
        <v>15784</v>
      </c>
      <c r="C5506" s="1126" t="s">
        <v>2178</v>
      </c>
      <c r="D5506" s="1119">
        <v>4.19</v>
      </c>
      <c r="E5506" s="1120">
        <v>1.09</v>
      </c>
      <c r="F5506" s="1121">
        <f t="shared" si="1"/>
        <v>3.11</v>
      </c>
      <c r="G5506" s="1120">
        <v>1.05</v>
      </c>
      <c r="H5506" s="1127">
        <v>2.06</v>
      </c>
      <c r="I5506" s="1127">
        <v>0.0</v>
      </c>
      <c r="J5506" s="1127">
        <v>0.0</v>
      </c>
      <c r="K5506" s="1124"/>
    </row>
    <row r="5507" ht="15.75" customHeight="1">
      <c r="A5507" s="1119">
        <v>101122.0</v>
      </c>
      <c r="B5507" s="1125" t="s">
        <v>15785</v>
      </c>
      <c r="C5507" s="1126" t="s">
        <v>2178</v>
      </c>
      <c r="D5507" s="1119">
        <v>5.74</v>
      </c>
      <c r="E5507" s="1120">
        <v>0.64</v>
      </c>
      <c r="F5507" s="1121">
        <f t="shared" si="1"/>
        <v>5.09</v>
      </c>
      <c r="G5507" s="1120">
        <v>1.06</v>
      </c>
      <c r="H5507" s="1127">
        <v>4.03</v>
      </c>
      <c r="I5507" s="1127">
        <v>0.0</v>
      </c>
      <c r="J5507" s="1127">
        <v>0.0</v>
      </c>
      <c r="K5507" s="1124"/>
    </row>
    <row r="5508" ht="15.75" customHeight="1">
      <c r="A5508" s="1119">
        <v>101123.0</v>
      </c>
      <c r="B5508" s="1125" t="s">
        <v>15786</v>
      </c>
      <c r="C5508" s="1126" t="s">
        <v>2178</v>
      </c>
      <c r="D5508" s="1119">
        <v>6.98</v>
      </c>
      <c r="E5508" s="1120">
        <v>2.1</v>
      </c>
      <c r="F5508" s="1121">
        <f t="shared" si="1"/>
        <v>4.88</v>
      </c>
      <c r="G5508" s="1120">
        <v>4.88</v>
      </c>
      <c r="H5508" s="1127">
        <v>0.0</v>
      </c>
      <c r="I5508" s="1127">
        <v>0.0</v>
      </c>
      <c r="J5508" s="1127">
        <v>0.0</v>
      </c>
      <c r="K5508" s="1124"/>
    </row>
    <row r="5509" ht="15.75" customHeight="1">
      <c r="A5509" s="1119">
        <v>101124.0</v>
      </c>
      <c r="B5509" s="1125" t="s">
        <v>15787</v>
      </c>
      <c r="C5509" s="1126" t="s">
        <v>2178</v>
      </c>
      <c r="D5509" s="1119">
        <v>14.55</v>
      </c>
      <c r="E5509" s="1120">
        <v>3.02</v>
      </c>
      <c r="F5509" s="1121">
        <f t="shared" si="1"/>
        <v>11.56</v>
      </c>
      <c r="G5509" s="1120">
        <v>4.34</v>
      </c>
      <c r="H5509" s="1127">
        <v>7.22</v>
      </c>
      <c r="I5509" s="1127">
        <v>0.0</v>
      </c>
      <c r="J5509" s="1127">
        <v>0.0</v>
      </c>
      <c r="K5509" s="1124"/>
    </row>
    <row r="5510" ht="15.75" customHeight="1">
      <c r="A5510" s="1119">
        <v>101125.0</v>
      </c>
      <c r="B5510" s="1125" t="s">
        <v>15788</v>
      </c>
      <c r="C5510" s="1126" t="s">
        <v>2178</v>
      </c>
      <c r="D5510" s="1119">
        <v>13.79</v>
      </c>
      <c r="E5510" s="1120">
        <v>2.57</v>
      </c>
      <c r="F5510" s="1121">
        <f t="shared" si="1"/>
        <v>11.22</v>
      </c>
      <c r="G5510" s="1120">
        <v>4.23</v>
      </c>
      <c r="H5510" s="1127">
        <v>6.99</v>
      </c>
      <c r="I5510" s="1127">
        <v>0.0</v>
      </c>
      <c r="J5510" s="1127">
        <v>0.0</v>
      </c>
      <c r="K5510" s="1124"/>
    </row>
    <row r="5511" ht="15.75" customHeight="1">
      <c r="A5511" s="1119">
        <v>101126.0</v>
      </c>
      <c r="B5511" s="1125" t="s">
        <v>15789</v>
      </c>
      <c r="C5511" s="1126" t="s">
        <v>2178</v>
      </c>
      <c r="D5511" s="1119">
        <v>12.44</v>
      </c>
      <c r="E5511" s="1120">
        <v>2.21</v>
      </c>
      <c r="F5511" s="1121">
        <f t="shared" si="1"/>
        <v>10.24</v>
      </c>
      <c r="G5511" s="1120">
        <v>3.93</v>
      </c>
      <c r="H5511" s="1127">
        <v>6.31</v>
      </c>
      <c r="I5511" s="1127">
        <v>0.0</v>
      </c>
      <c r="J5511" s="1127">
        <v>0.0</v>
      </c>
      <c r="K5511" s="1124"/>
    </row>
    <row r="5512" ht="15.75" customHeight="1">
      <c r="A5512" s="1119">
        <v>101127.0</v>
      </c>
      <c r="B5512" s="1125" t="s">
        <v>15790</v>
      </c>
      <c r="C5512" s="1126" t="s">
        <v>2178</v>
      </c>
      <c r="D5512" s="1119">
        <v>13.27</v>
      </c>
      <c r="E5512" s="1120">
        <v>1.97</v>
      </c>
      <c r="F5512" s="1121">
        <f t="shared" si="1"/>
        <v>11.29</v>
      </c>
      <c r="G5512" s="1120">
        <v>3.93</v>
      </c>
      <c r="H5512" s="1127">
        <v>7.36</v>
      </c>
      <c r="I5512" s="1127">
        <v>0.0</v>
      </c>
      <c r="J5512" s="1127">
        <v>0.0</v>
      </c>
      <c r="K5512" s="1124"/>
    </row>
    <row r="5513" ht="15.75" customHeight="1">
      <c r="A5513" s="1119">
        <v>101128.0</v>
      </c>
      <c r="B5513" s="1125" t="s">
        <v>15791</v>
      </c>
      <c r="C5513" s="1126" t="s">
        <v>2178</v>
      </c>
      <c r="D5513" s="1119">
        <v>13.91</v>
      </c>
      <c r="E5513" s="1120">
        <v>2.74</v>
      </c>
      <c r="F5513" s="1121">
        <f t="shared" si="1"/>
        <v>11.19</v>
      </c>
      <c r="G5513" s="1120">
        <v>5.99</v>
      </c>
      <c r="H5513" s="1127">
        <v>5.2</v>
      </c>
      <c r="I5513" s="1127">
        <v>0.0</v>
      </c>
      <c r="J5513" s="1127">
        <v>0.0</v>
      </c>
      <c r="K5513" s="1124"/>
    </row>
    <row r="5514" ht="15.75" customHeight="1">
      <c r="A5514" s="1119">
        <v>101129.0</v>
      </c>
      <c r="B5514" s="1125" t="s">
        <v>15792</v>
      </c>
      <c r="C5514" s="1126" t="s">
        <v>2178</v>
      </c>
      <c r="D5514" s="1119">
        <v>18.86</v>
      </c>
      <c r="E5514" s="1120">
        <v>4.32</v>
      </c>
      <c r="F5514" s="1121">
        <f t="shared" si="1"/>
        <v>14.56</v>
      </c>
      <c r="G5514" s="1120">
        <v>5.38</v>
      </c>
      <c r="H5514" s="1127">
        <v>9.18</v>
      </c>
      <c r="I5514" s="1127">
        <v>0.0</v>
      </c>
      <c r="J5514" s="1127">
        <v>0.0</v>
      </c>
      <c r="K5514" s="1124"/>
    </row>
    <row r="5515" ht="15.75" customHeight="1">
      <c r="A5515" s="1119">
        <v>101130.0</v>
      </c>
      <c r="B5515" s="1125" t="s">
        <v>15793</v>
      </c>
      <c r="C5515" s="1126" t="s">
        <v>2178</v>
      </c>
      <c r="D5515" s="1119">
        <v>17.43</v>
      </c>
      <c r="E5515" s="1120">
        <v>3.5</v>
      </c>
      <c r="F5515" s="1121">
        <f t="shared" si="1"/>
        <v>13.94</v>
      </c>
      <c r="G5515" s="1120">
        <v>5.15</v>
      </c>
      <c r="H5515" s="1127">
        <v>8.79</v>
      </c>
      <c r="I5515" s="1127">
        <v>0.0</v>
      </c>
      <c r="J5515" s="1127">
        <v>0.0</v>
      </c>
      <c r="K5515" s="1124"/>
    </row>
    <row r="5516" ht="15.75" customHeight="1">
      <c r="A5516" s="1119">
        <v>101131.0</v>
      </c>
      <c r="B5516" s="1125" t="s">
        <v>15794</v>
      </c>
      <c r="C5516" s="1126" t="s">
        <v>2178</v>
      </c>
      <c r="D5516" s="1119">
        <v>14.86</v>
      </c>
      <c r="E5516" s="1120">
        <v>2.81</v>
      </c>
      <c r="F5516" s="1121">
        <f t="shared" si="1"/>
        <v>12.07</v>
      </c>
      <c r="G5516" s="1120">
        <v>4.59</v>
      </c>
      <c r="H5516" s="1127">
        <v>7.48</v>
      </c>
      <c r="I5516" s="1127">
        <v>0.0</v>
      </c>
      <c r="J5516" s="1127">
        <v>0.0</v>
      </c>
      <c r="K5516" s="1124"/>
    </row>
    <row r="5517" ht="15.75" customHeight="1">
      <c r="A5517" s="1119">
        <v>101132.0</v>
      </c>
      <c r="B5517" s="1125" t="s">
        <v>15795</v>
      </c>
      <c r="C5517" s="1126" t="s">
        <v>2178</v>
      </c>
      <c r="D5517" s="1119">
        <v>16.41</v>
      </c>
      <c r="E5517" s="1120">
        <v>2.35</v>
      </c>
      <c r="F5517" s="1121">
        <f t="shared" si="1"/>
        <v>14.06</v>
      </c>
      <c r="G5517" s="1120">
        <v>4.58</v>
      </c>
      <c r="H5517" s="1127">
        <v>9.48</v>
      </c>
      <c r="I5517" s="1127">
        <v>0.0</v>
      </c>
      <c r="J5517" s="1127">
        <v>0.0</v>
      </c>
      <c r="K5517" s="1124"/>
    </row>
    <row r="5518" ht="15.75" customHeight="1">
      <c r="A5518" s="1119">
        <v>101133.0</v>
      </c>
      <c r="B5518" s="1125" t="s">
        <v>15796</v>
      </c>
      <c r="C5518" s="1126" t="s">
        <v>2178</v>
      </c>
      <c r="D5518" s="1119">
        <v>17.65</v>
      </c>
      <c r="E5518" s="1120">
        <v>3.82</v>
      </c>
      <c r="F5518" s="1121">
        <f t="shared" si="1"/>
        <v>13.84</v>
      </c>
      <c r="G5518" s="1120">
        <v>8.46</v>
      </c>
      <c r="H5518" s="1127">
        <v>5.38</v>
      </c>
      <c r="I5518" s="1127">
        <v>0.0</v>
      </c>
      <c r="J5518" s="1127">
        <v>0.0</v>
      </c>
      <c r="K5518" s="1124"/>
    </row>
    <row r="5519" ht="15.75" customHeight="1">
      <c r="A5519" s="1119">
        <v>101134.0</v>
      </c>
      <c r="B5519" s="1125" t="s">
        <v>15797</v>
      </c>
      <c r="C5519" s="1126" t="s">
        <v>2178</v>
      </c>
      <c r="D5519" s="1119">
        <v>15.15</v>
      </c>
      <c r="E5519" s="1120">
        <v>3.1</v>
      </c>
      <c r="F5519" s="1121">
        <f t="shared" si="1"/>
        <v>12.08</v>
      </c>
      <c r="G5519" s="1120">
        <v>4.61</v>
      </c>
      <c r="H5519" s="1127">
        <v>7.47</v>
      </c>
      <c r="I5519" s="1127">
        <v>0.0</v>
      </c>
      <c r="J5519" s="1127">
        <v>0.0</v>
      </c>
      <c r="K5519" s="1124"/>
    </row>
    <row r="5520" ht="15.75" customHeight="1">
      <c r="A5520" s="1119">
        <v>101135.0</v>
      </c>
      <c r="B5520" s="1125" t="s">
        <v>15798</v>
      </c>
      <c r="C5520" s="1126" t="s">
        <v>2178</v>
      </c>
      <c r="D5520" s="1119">
        <v>14.39</v>
      </c>
      <c r="E5520" s="1120">
        <v>2.66</v>
      </c>
      <c r="F5520" s="1121">
        <f t="shared" si="1"/>
        <v>11.74</v>
      </c>
      <c r="G5520" s="1120">
        <v>4.5</v>
      </c>
      <c r="H5520" s="1127">
        <v>7.24</v>
      </c>
      <c r="I5520" s="1127">
        <v>0.0</v>
      </c>
      <c r="J5520" s="1127">
        <v>0.0</v>
      </c>
      <c r="K5520" s="1124"/>
    </row>
    <row r="5521" ht="15.75" customHeight="1">
      <c r="A5521" s="1119">
        <v>101136.0</v>
      </c>
      <c r="B5521" s="1125" t="s">
        <v>15799</v>
      </c>
      <c r="C5521" s="1126" t="s">
        <v>2178</v>
      </c>
      <c r="D5521" s="1119">
        <v>13.04</v>
      </c>
      <c r="E5521" s="1120">
        <v>2.3</v>
      </c>
      <c r="F5521" s="1121">
        <f t="shared" si="1"/>
        <v>10.75</v>
      </c>
      <c r="G5521" s="1120">
        <v>4.21</v>
      </c>
      <c r="H5521" s="1127">
        <v>6.54</v>
      </c>
      <c r="I5521" s="1127">
        <v>0.0</v>
      </c>
      <c r="J5521" s="1127">
        <v>0.0</v>
      </c>
      <c r="K5521" s="1124"/>
    </row>
    <row r="5522" ht="15.75" customHeight="1">
      <c r="A5522" s="1119">
        <v>101137.0</v>
      </c>
      <c r="B5522" s="1125" t="s">
        <v>15800</v>
      </c>
      <c r="C5522" s="1126" t="s">
        <v>2178</v>
      </c>
      <c r="D5522" s="1119">
        <v>13.87</v>
      </c>
      <c r="E5522" s="1120">
        <v>2.05</v>
      </c>
      <c r="F5522" s="1121">
        <f t="shared" si="1"/>
        <v>11.81</v>
      </c>
      <c r="G5522" s="1120">
        <v>4.21</v>
      </c>
      <c r="H5522" s="1127">
        <v>7.6</v>
      </c>
      <c r="I5522" s="1127">
        <v>0.0</v>
      </c>
      <c r="J5522" s="1127">
        <v>0.0</v>
      </c>
      <c r="K5522" s="1124"/>
    </row>
    <row r="5523" ht="15.75" customHeight="1">
      <c r="A5523" s="1119">
        <v>101138.0</v>
      </c>
      <c r="B5523" s="1125" t="s">
        <v>15801</v>
      </c>
      <c r="C5523" s="1126" t="s">
        <v>2178</v>
      </c>
      <c r="D5523" s="1119">
        <v>14.51</v>
      </c>
      <c r="E5523" s="1120">
        <v>2.82</v>
      </c>
      <c r="F5523" s="1121">
        <f t="shared" si="1"/>
        <v>11.71</v>
      </c>
      <c r="G5523" s="1120">
        <v>6.28</v>
      </c>
      <c r="H5523" s="1127">
        <v>5.43</v>
      </c>
      <c r="I5523" s="1127">
        <v>0.0</v>
      </c>
      <c r="J5523" s="1127">
        <v>0.0</v>
      </c>
      <c r="K5523" s="1124"/>
    </row>
    <row r="5524" ht="15.75" customHeight="1">
      <c r="A5524" s="1119">
        <v>101139.0</v>
      </c>
      <c r="B5524" s="1125" t="s">
        <v>15802</v>
      </c>
      <c r="C5524" s="1126" t="s">
        <v>2178</v>
      </c>
      <c r="D5524" s="1119">
        <v>19.49</v>
      </c>
      <c r="E5524" s="1120">
        <v>4.42</v>
      </c>
      <c r="F5524" s="1121">
        <f t="shared" si="1"/>
        <v>15.09</v>
      </c>
      <c r="G5524" s="1120">
        <v>5.66</v>
      </c>
      <c r="H5524" s="1127">
        <v>9.43</v>
      </c>
      <c r="I5524" s="1127">
        <v>0.0</v>
      </c>
      <c r="J5524" s="1127">
        <v>0.0</v>
      </c>
      <c r="K5524" s="1124"/>
    </row>
    <row r="5525" ht="15.75" customHeight="1">
      <c r="A5525" s="1119">
        <v>101140.0</v>
      </c>
      <c r="B5525" s="1125" t="s">
        <v>15803</v>
      </c>
      <c r="C5525" s="1126" t="s">
        <v>2178</v>
      </c>
      <c r="D5525" s="1119">
        <v>18.06</v>
      </c>
      <c r="E5525" s="1120">
        <v>3.59</v>
      </c>
      <c r="F5525" s="1121">
        <f t="shared" si="1"/>
        <v>14.47</v>
      </c>
      <c r="G5525" s="1120">
        <v>5.43</v>
      </c>
      <c r="H5525" s="1127">
        <v>9.04</v>
      </c>
      <c r="I5525" s="1127">
        <v>0.0</v>
      </c>
      <c r="J5525" s="1127">
        <v>0.0</v>
      </c>
      <c r="K5525" s="1124"/>
    </row>
    <row r="5526" ht="15.75" customHeight="1">
      <c r="A5526" s="1119">
        <v>101141.0</v>
      </c>
      <c r="B5526" s="1125" t="s">
        <v>15804</v>
      </c>
      <c r="C5526" s="1126" t="s">
        <v>2178</v>
      </c>
      <c r="D5526" s="1119">
        <v>15.49</v>
      </c>
      <c r="E5526" s="1120">
        <v>2.9</v>
      </c>
      <c r="F5526" s="1121">
        <f t="shared" si="1"/>
        <v>12.61</v>
      </c>
      <c r="G5526" s="1120">
        <v>4.88</v>
      </c>
      <c r="H5526" s="1127">
        <v>7.73</v>
      </c>
      <c r="I5526" s="1127">
        <v>0.0</v>
      </c>
      <c r="J5526" s="1127">
        <v>0.0</v>
      </c>
      <c r="K5526" s="1124"/>
    </row>
    <row r="5527" ht="15.75" customHeight="1">
      <c r="A5527" s="1119">
        <v>101142.0</v>
      </c>
      <c r="B5527" s="1125" t="s">
        <v>15805</v>
      </c>
      <c r="C5527" s="1126" t="s">
        <v>2178</v>
      </c>
      <c r="D5527" s="1119">
        <v>17.04</v>
      </c>
      <c r="E5527" s="1120">
        <v>2.43</v>
      </c>
      <c r="F5527" s="1121">
        <f t="shared" si="1"/>
        <v>14.6</v>
      </c>
      <c r="G5527" s="1120">
        <v>4.87</v>
      </c>
      <c r="H5527" s="1127">
        <v>9.73</v>
      </c>
      <c r="I5527" s="1127">
        <v>0.0</v>
      </c>
      <c r="J5527" s="1127">
        <v>0.0</v>
      </c>
      <c r="K5527" s="1124"/>
    </row>
    <row r="5528" ht="15.75" customHeight="1">
      <c r="A5528" s="1119">
        <v>101143.0</v>
      </c>
      <c r="B5528" s="1125" t="s">
        <v>15806</v>
      </c>
      <c r="C5528" s="1126" t="s">
        <v>2178</v>
      </c>
      <c r="D5528" s="1119">
        <v>18.28</v>
      </c>
      <c r="E5528" s="1120">
        <v>3.92</v>
      </c>
      <c r="F5528" s="1121">
        <f t="shared" si="1"/>
        <v>14.37</v>
      </c>
      <c r="G5528" s="1120">
        <v>8.75</v>
      </c>
      <c r="H5528" s="1127">
        <v>5.62</v>
      </c>
      <c r="I5528" s="1127">
        <v>0.0</v>
      </c>
      <c r="J5528" s="1127">
        <v>0.0</v>
      </c>
      <c r="K5528" s="1124"/>
    </row>
    <row r="5529" ht="15.75" customHeight="1">
      <c r="A5529" s="1119">
        <v>101144.0</v>
      </c>
      <c r="B5529" s="1125" t="s">
        <v>15807</v>
      </c>
      <c r="C5529" s="1126" t="s">
        <v>2178</v>
      </c>
      <c r="D5529" s="1119">
        <v>15.12</v>
      </c>
      <c r="E5529" s="1120">
        <v>2.84</v>
      </c>
      <c r="F5529" s="1121">
        <f t="shared" si="1"/>
        <v>12.29</v>
      </c>
      <c r="G5529" s="1120">
        <v>4.69</v>
      </c>
      <c r="H5529" s="1127">
        <v>7.6</v>
      </c>
      <c r="I5529" s="1127">
        <v>0.0</v>
      </c>
      <c r="J5529" s="1127">
        <v>0.0</v>
      </c>
      <c r="K5529" s="1124"/>
    </row>
    <row r="5530" ht="15.75" customHeight="1">
      <c r="A5530" s="1119">
        <v>101145.0</v>
      </c>
      <c r="B5530" s="1125" t="s">
        <v>15808</v>
      </c>
      <c r="C5530" s="1126" t="s">
        <v>2178</v>
      </c>
      <c r="D5530" s="1119">
        <v>14.36</v>
      </c>
      <c r="E5530" s="1120">
        <v>2.39</v>
      </c>
      <c r="F5530" s="1121">
        <f t="shared" si="1"/>
        <v>11.95</v>
      </c>
      <c r="G5530" s="1120">
        <v>4.58</v>
      </c>
      <c r="H5530" s="1127">
        <v>7.37</v>
      </c>
      <c r="I5530" s="1127">
        <v>0.0</v>
      </c>
      <c r="J5530" s="1127">
        <v>0.0</v>
      </c>
      <c r="K5530" s="1124"/>
    </row>
    <row r="5531" ht="15.75" customHeight="1">
      <c r="A5531" s="1119">
        <v>101146.0</v>
      </c>
      <c r="B5531" s="1125" t="s">
        <v>15809</v>
      </c>
      <c r="C5531" s="1126" t="s">
        <v>2178</v>
      </c>
      <c r="D5531" s="1119">
        <v>13.01</v>
      </c>
      <c r="E5531" s="1120">
        <v>2.03</v>
      </c>
      <c r="F5531" s="1121">
        <f t="shared" si="1"/>
        <v>10.97</v>
      </c>
      <c r="G5531" s="1120">
        <v>4.28</v>
      </c>
      <c r="H5531" s="1127">
        <v>6.69</v>
      </c>
      <c r="I5531" s="1127">
        <v>0.0</v>
      </c>
      <c r="J5531" s="1127">
        <v>0.0</v>
      </c>
      <c r="K5531" s="1124"/>
    </row>
    <row r="5532" ht="15.75" customHeight="1">
      <c r="A5532" s="1119">
        <v>101147.0</v>
      </c>
      <c r="B5532" s="1125" t="s">
        <v>15810</v>
      </c>
      <c r="C5532" s="1126" t="s">
        <v>2178</v>
      </c>
      <c r="D5532" s="1119">
        <v>13.84</v>
      </c>
      <c r="E5532" s="1120">
        <v>1.78</v>
      </c>
      <c r="F5532" s="1121">
        <f t="shared" si="1"/>
        <v>12.03</v>
      </c>
      <c r="G5532" s="1120">
        <v>4.28</v>
      </c>
      <c r="H5532" s="1127">
        <v>7.75</v>
      </c>
      <c r="I5532" s="1127">
        <v>0.0</v>
      </c>
      <c r="J5532" s="1127">
        <v>0.0</v>
      </c>
      <c r="K5532" s="1124"/>
    </row>
    <row r="5533" ht="15.75" customHeight="1">
      <c r="A5533" s="1119">
        <v>101148.0</v>
      </c>
      <c r="B5533" s="1125" t="s">
        <v>15811</v>
      </c>
      <c r="C5533" s="1126" t="s">
        <v>2178</v>
      </c>
      <c r="D5533" s="1119">
        <v>14.48</v>
      </c>
      <c r="E5533" s="1120">
        <v>2.56</v>
      </c>
      <c r="F5533" s="1121">
        <f t="shared" si="1"/>
        <v>11.92</v>
      </c>
      <c r="G5533" s="1120">
        <v>6.35</v>
      </c>
      <c r="H5533" s="1127">
        <v>5.57</v>
      </c>
      <c r="I5533" s="1127">
        <v>0.0</v>
      </c>
      <c r="J5533" s="1127">
        <v>0.0</v>
      </c>
      <c r="K5533" s="1124"/>
    </row>
    <row r="5534" ht="15.75" customHeight="1">
      <c r="A5534" s="1119">
        <v>101149.0</v>
      </c>
      <c r="B5534" s="1125" t="s">
        <v>15812</v>
      </c>
      <c r="C5534" s="1126" t="s">
        <v>2178</v>
      </c>
      <c r="D5534" s="1119">
        <v>19.45</v>
      </c>
      <c r="E5534" s="1120">
        <v>4.14</v>
      </c>
      <c r="F5534" s="1121">
        <f t="shared" si="1"/>
        <v>15.31</v>
      </c>
      <c r="G5534" s="1120">
        <v>5.74</v>
      </c>
      <c r="H5534" s="1127">
        <v>9.57</v>
      </c>
      <c r="I5534" s="1127">
        <v>0.0</v>
      </c>
      <c r="J5534" s="1127">
        <v>0.0</v>
      </c>
      <c r="K5534" s="1124"/>
    </row>
    <row r="5535" ht="15.75" customHeight="1">
      <c r="A5535" s="1119">
        <v>101150.0</v>
      </c>
      <c r="B5535" s="1125" t="s">
        <v>15813</v>
      </c>
      <c r="C5535" s="1126" t="s">
        <v>2178</v>
      </c>
      <c r="D5535" s="1119">
        <v>18.02</v>
      </c>
      <c r="E5535" s="1120">
        <v>3.31</v>
      </c>
      <c r="F5535" s="1121">
        <f t="shared" si="1"/>
        <v>14.69</v>
      </c>
      <c r="G5535" s="1120">
        <v>5.51</v>
      </c>
      <c r="H5535" s="1127">
        <v>9.18</v>
      </c>
      <c r="I5535" s="1127">
        <v>0.0</v>
      </c>
      <c r="J5535" s="1127">
        <v>0.0</v>
      </c>
      <c r="K5535" s="1124"/>
    </row>
    <row r="5536" ht="15.75" customHeight="1">
      <c r="A5536" s="1119">
        <v>101151.0</v>
      </c>
      <c r="B5536" s="1125" t="s">
        <v>15814</v>
      </c>
      <c r="C5536" s="1126" t="s">
        <v>2178</v>
      </c>
      <c r="D5536" s="1119">
        <v>15.45</v>
      </c>
      <c r="E5536" s="1120">
        <v>2.61</v>
      </c>
      <c r="F5536" s="1121">
        <f t="shared" si="1"/>
        <v>12.83</v>
      </c>
      <c r="G5536" s="1120">
        <v>4.96</v>
      </c>
      <c r="H5536" s="1127">
        <v>7.87</v>
      </c>
      <c r="I5536" s="1127">
        <v>0.0</v>
      </c>
      <c r="J5536" s="1127">
        <v>0.0</v>
      </c>
      <c r="K5536" s="1124"/>
    </row>
    <row r="5537" ht="15.75" customHeight="1">
      <c r="A5537" s="1119">
        <v>101152.0</v>
      </c>
      <c r="B5537" s="1125" t="s">
        <v>15815</v>
      </c>
      <c r="C5537" s="1126" t="s">
        <v>2178</v>
      </c>
      <c r="D5537" s="1119">
        <v>17.0</v>
      </c>
      <c r="E5537" s="1120">
        <v>2.15</v>
      </c>
      <c r="F5537" s="1121">
        <f t="shared" si="1"/>
        <v>14.83</v>
      </c>
      <c r="G5537" s="1120">
        <v>4.95</v>
      </c>
      <c r="H5537" s="1127">
        <v>9.88</v>
      </c>
      <c r="I5537" s="1127">
        <v>0.0</v>
      </c>
      <c r="J5537" s="1127">
        <v>0.0</v>
      </c>
      <c r="K5537" s="1124"/>
    </row>
    <row r="5538" ht="15.75" customHeight="1">
      <c r="A5538" s="1119">
        <v>101153.0</v>
      </c>
      <c r="B5538" s="1125" t="s">
        <v>15816</v>
      </c>
      <c r="C5538" s="1126" t="s">
        <v>2178</v>
      </c>
      <c r="D5538" s="1119">
        <v>18.24</v>
      </c>
      <c r="E5538" s="1120">
        <v>3.64</v>
      </c>
      <c r="F5538" s="1121">
        <f t="shared" si="1"/>
        <v>14.59</v>
      </c>
      <c r="G5538" s="1120">
        <v>8.84</v>
      </c>
      <c r="H5538" s="1127">
        <v>5.75</v>
      </c>
      <c r="I5538" s="1127">
        <v>0.0</v>
      </c>
      <c r="J5538" s="1127">
        <v>0.0</v>
      </c>
      <c r="K5538" s="1124"/>
    </row>
    <row r="5539" ht="15.75" customHeight="1">
      <c r="A5539" s="1119">
        <v>101206.0</v>
      </c>
      <c r="B5539" s="1125" t="s">
        <v>15817</v>
      </c>
      <c r="C5539" s="1126" t="s">
        <v>2178</v>
      </c>
      <c r="D5539" s="1119">
        <v>11.65</v>
      </c>
      <c r="E5539" s="1120">
        <v>1.71</v>
      </c>
      <c r="F5539" s="1121">
        <f t="shared" si="1"/>
        <v>9.94</v>
      </c>
      <c r="G5539" s="1120">
        <v>4.31</v>
      </c>
      <c r="H5539" s="1127">
        <v>5.63</v>
      </c>
      <c r="I5539" s="1127">
        <v>0.0</v>
      </c>
      <c r="J5539" s="1127">
        <v>0.0</v>
      </c>
      <c r="K5539" s="1124"/>
    </row>
    <row r="5540" ht="15.75" customHeight="1">
      <c r="A5540" s="1119">
        <v>101207.0</v>
      </c>
      <c r="B5540" s="1125" t="s">
        <v>15818</v>
      </c>
      <c r="C5540" s="1126" t="s">
        <v>2178</v>
      </c>
      <c r="D5540" s="1119">
        <v>9.93</v>
      </c>
      <c r="E5540" s="1120">
        <v>1.23</v>
      </c>
      <c r="F5540" s="1121">
        <f t="shared" si="1"/>
        <v>8.69</v>
      </c>
      <c r="G5540" s="1120">
        <v>4.11</v>
      </c>
      <c r="H5540" s="1127">
        <v>4.58</v>
      </c>
      <c r="I5540" s="1127">
        <v>0.0</v>
      </c>
      <c r="J5540" s="1127">
        <v>0.0</v>
      </c>
      <c r="K5540" s="1124"/>
    </row>
    <row r="5541" ht="15.75" customHeight="1">
      <c r="A5541" s="1119">
        <v>101208.0</v>
      </c>
      <c r="B5541" s="1125" t="s">
        <v>15819</v>
      </c>
      <c r="C5541" s="1126" t="s">
        <v>2178</v>
      </c>
      <c r="D5541" s="1119">
        <v>9.74</v>
      </c>
      <c r="E5541" s="1120">
        <v>1.28</v>
      </c>
      <c r="F5541" s="1121">
        <f t="shared" si="1"/>
        <v>8.46</v>
      </c>
      <c r="G5541" s="1120">
        <v>3.85</v>
      </c>
      <c r="H5541" s="1127">
        <v>4.61</v>
      </c>
      <c r="I5541" s="1127">
        <v>0.0</v>
      </c>
      <c r="J5541" s="1127">
        <v>0.0</v>
      </c>
      <c r="K5541" s="1124"/>
    </row>
    <row r="5542" ht="15.75" customHeight="1">
      <c r="A5542" s="1119">
        <v>101209.0</v>
      </c>
      <c r="B5542" s="1125" t="s">
        <v>15820</v>
      </c>
      <c r="C5542" s="1126" t="s">
        <v>2178</v>
      </c>
      <c r="D5542" s="1119">
        <v>9.03</v>
      </c>
      <c r="E5542" s="1120">
        <v>1.16</v>
      </c>
      <c r="F5542" s="1121">
        <f t="shared" si="1"/>
        <v>7.88</v>
      </c>
      <c r="G5542" s="1120">
        <v>3.62</v>
      </c>
      <c r="H5542" s="1127">
        <v>4.26</v>
      </c>
      <c r="I5542" s="1127">
        <v>0.0</v>
      </c>
      <c r="J5542" s="1127">
        <v>0.0</v>
      </c>
      <c r="K5542" s="1124"/>
    </row>
    <row r="5543" ht="15.75" customHeight="1">
      <c r="A5543" s="1119">
        <v>101210.0</v>
      </c>
      <c r="B5543" s="1125" t="s">
        <v>15821</v>
      </c>
      <c r="C5543" s="1126" t="s">
        <v>2178</v>
      </c>
      <c r="D5543" s="1119">
        <v>16.05</v>
      </c>
      <c r="E5543" s="1120">
        <v>1.97</v>
      </c>
      <c r="F5543" s="1121">
        <f t="shared" si="1"/>
        <v>14.08</v>
      </c>
      <c r="G5543" s="1120">
        <v>6.66</v>
      </c>
      <c r="H5543" s="1127">
        <v>7.42</v>
      </c>
      <c r="I5543" s="1127">
        <v>0.0</v>
      </c>
      <c r="J5543" s="1127">
        <v>0.0</v>
      </c>
      <c r="K5543" s="1124"/>
    </row>
    <row r="5544" ht="15.75" customHeight="1">
      <c r="A5544" s="1119">
        <v>101211.0</v>
      </c>
      <c r="B5544" s="1125" t="s">
        <v>15822</v>
      </c>
      <c r="C5544" s="1126" t="s">
        <v>2178</v>
      </c>
      <c r="D5544" s="1119">
        <v>17.2</v>
      </c>
      <c r="E5544" s="1120">
        <v>2.07</v>
      </c>
      <c r="F5544" s="1121">
        <f t="shared" si="1"/>
        <v>15.13</v>
      </c>
      <c r="G5544" s="1120">
        <v>7.22</v>
      </c>
      <c r="H5544" s="1127">
        <v>7.91</v>
      </c>
      <c r="I5544" s="1127">
        <v>0.0</v>
      </c>
      <c r="J5544" s="1127">
        <v>0.0</v>
      </c>
      <c r="K5544" s="1124"/>
    </row>
    <row r="5545" ht="15.75" customHeight="1">
      <c r="A5545" s="1119">
        <v>101212.0</v>
      </c>
      <c r="B5545" s="1125" t="s">
        <v>15823</v>
      </c>
      <c r="C5545" s="1126" t="s">
        <v>2178</v>
      </c>
      <c r="D5545" s="1119">
        <v>20.09</v>
      </c>
      <c r="E5545" s="1120">
        <v>2.43</v>
      </c>
      <c r="F5545" s="1121">
        <f t="shared" si="1"/>
        <v>17.66</v>
      </c>
      <c r="G5545" s="1120">
        <v>8.4</v>
      </c>
      <c r="H5545" s="1127">
        <v>9.26</v>
      </c>
      <c r="I5545" s="1127">
        <v>0.0</v>
      </c>
      <c r="J5545" s="1127">
        <v>0.0</v>
      </c>
      <c r="K5545" s="1124"/>
    </row>
    <row r="5546" ht="15.75" customHeight="1">
      <c r="A5546" s="1119">
        <v>101213.0</v>
      </c>
      <c r="B5546" s="1125" t="s">
        <v>15824</v>
      </c>
      <c r="C5546" s="1126" t="s">
        <v>2178</v>
      </c>
      <c r="D5546" s="1119">
        <v>22.52</v>
      </c>
      <c r="E5546" s="1120">
        <v>2.8</v>
      </c>
      <c r="F5546" s="1121">
        <f t="shared" si="1"/>
        <v>19.72</v>
      </c>
      <c r="G5546" s="1120">
        <v>9.26</v>
      </c>
      <c r="H5546" s="1127">
        <v>10.46</v>
      </c>
      <c r="I5546" s="1127">
        <v>0.0</v>
      </c>
      <c r="J5546" s="1127">
        <v>0.0</v>
      </c>
      <c r="K5546" s="1124"/>
    </row>
    <row r="5547" ht="15.75" customHeight="1">
      <c r="A5547" s="1119">
        <v>101214.0</v>
      </c>
      <c r="B5547" s="1125" t="s">
        <v>15825</v>
      </c>
      <c r="C5547" s="1126" t="s">
        <v>2178</v>
      </c>
      <c r="D5547" s="1119">
        <v>27.1</v>
      </c>
      <c r="E5547" s="1120">
        <v>3.16</v>
      </c>
      <c r="F5547" s="1121">
        <f t="shared" si="1"/>
        <v>23.95</v>
      </c>
      <c r="G5547" s="1120">
        <v>11.53</v>
      </c>
      <c r="H5547" s="1127">
        <v>12.42</v>
      </c>
      <c r="I5547" s="1127">
        <v>0.0</v>
      </c>
      <c r="J5547" s="1127">
        <v>0.0</v>
      </c>
      <c r="K5547" s="1124"/>
    </row>
    <row r="5548" ht="15.75" customHeight="1">
      <c r="A5548" s="1119">
        <v>101215.0</v>
      </c>
      <c r="B5548" s="1125" t="s">
        <v>15826</v>
      </c>
      <c r="C5548" s="1126" t="s">
        <v>2178</v>
      </c>
      <c r="D5548" s="1119">
        <v>15.46</v>
      </c>
      <c r="E5548" s="1120">
        <v>1.92</v>
      </c>
      <c r="F5548" s="1121">
        <f t="shared" si="1"/>
        <v>13.54</v>
      </c>
      <c r="G5548" s="1120">
        <v>6.35</v>
      </c>
      <c r="H5548" s="1127">
        <v>7.19</v>
      </c>
      <c r="I5548" s="1127">
        <v>0.0</v>
      </c>
      <c r="J5548" s="1127">
        <v>0.0</v>
      </c>
      <c r="K5548" s="1124"/>
    </row>
    <row r="5549" ht="15.75" customHeight="1">
      <c r="A5549" s="1119">
        <v>101216.0</v>
      </c>
      <c r="B5549" s="1125" t="s">
        <v>15827</v>
      </c>
      <c r="C5549" s="1126" t="s">
        <v>2178</v>
      </c>
      <c r="D5549" s="1119">
        <v>16.16</v>
      </c>
      <c r="E5549" s="1120">
        <v>1.92</v>
      </c>
      <c r="F5549" s="1121">
        <f t="shared" si="1"/>
        <v>14.23</v>
      </c>
      <c r="G5549" s="1120">
        <v>6.82</v>
      </c>
      <c r="H5549" s="1127">
        <v>7.41</v>
      </c>
      <c r="I5549" s="1127">
        <v>0.0</v>
      </c>
      <c r="J5549" s="1127">
        <v>0.0</v>
      </c>
      <c r="K5549" s="1124"/>
    </row>
    <row r="5550" ht="15.75" customHeight="1">
      <c r="A5550" s="1119">
        <v>101217.0</v>
      </c>
      <c r="B5550" s="1125" t="s">
        <v>15828</v>
      </c>
      <c r="C5550" s="1126" t="s">
        <v>2178</v>
      </c>
      <c r="D5550" s="1119">
        <v>18.84</v>
      </c>
      <c r="E5550" s="1120">
        <v>2.28</v>
      </c>
      <c r="F5550" s="1121">
        <f t="shared" si="1"/>
        <v>16.58</v>
      </c>
      <c r="G5550" s="1120">
        <v>7.88</v>
      </c>
      <c r="H5550" s="1127">
        <v>8.7</v>
      </c>
      <c r="I5550" s="1127">
        <v>0.0</v>
      </c>
      <c r="J5550" s="1127">
        <v>0.0</v>
      </c>
      <c r="K5550" s="1124"/>
    </row>
    <row r="5551" ht="15.75" customHeight="1">
      <c r="A5551" s="1119">
        <v>101218.0</v>
      </c>
      <c r="B5551" s="1125" t="s">
        <v>15829</v>
      </c>
      <c r="C5551" s="1126" t="s">
        <v>2178</v>
      </c>
      <c r="D5551" s="1119">
        <v>19.86</v>
      </c>
      <c r="E5551" s="1120">
        <v>2.26</v>
      </c>
      <c r="F5551" s="1121">
        <f t="shared" si="1"/>
        <v>17.58</v>
      </c>
      <c r="G5551" s="1120">
        <v>8.57</v>
      </c>
      <c r="H5551" s="1127">
        <v>9.01</v>
      </c>
      <c r="I5551" s="1127">
        <v>0.0</v>
      </c>
      <c r="J5551" s="1127">
        <v>0.0</v>
      </c>
      <c r="K5551" s="1124"/>
    </row>
    <row r="5552" ht="15.75" customHeight="1">
      <c r="A5552" s="1119">
        <v>101219.0</v>
      </c>
      <c r="B5552" s="1125" t="s">
        <v>15830</v>
      </c>
      <c r="C5552" s="1126" t="s">
        <v>2178</v>
      </c>
      <c r="D5552" s="1119">
        <v>24.0</v>
      </c>
      <c r="E5552" s="1120">
        <v>2.61</v>
      </c>
      <c r="F5552" s="1121">
        <f t="shared" si="1"/>
        <v>21.4</v>
      </c>
      <c r="G5552" s="1120">
        <v>10.61</v>
      </c>
      <c r="H5552" s="1127">
        <v>10.79</v>
      </c>
      <c r="I5552" s="1127">
        <v>0.0</v>
      </c>
      <c r="J5552" s="1127">
        <v>0.0</v>
      </c>
      <c r="K5552" s="1124"/>
    </row>
    <row r="5553" ht="15.75" customHeight="1">
      <c r="A5553" s="1119">
        <v>101220.0</v>
      </c>
      <c r="B5553" s="1125" t="s">
        <v>15831</v>
      </c>
      <c r="C5553" s="1126" t="s">
        <v>2178</v>
      </c>
      <c r="D5553" s="1119">
        <v>15.13</v>
      </c>
      <c r="E5553" s="1120">
        <v>1.83</v>
      </c>
      <c r="F5553" s="1121">
        <f t="shared" si="1"/>
        <v>13.3</v>
      </c>
      <c r="G5553" s="1120">
        <v>6.28</v>
      </c>
      <c r="H5553" s="1127">
        <v>7.02</v>
      </c>
      <c r="I5553" s="1127">
        <v>0.0</v>
      </c>
      <c r="J5553" s="1127">
        <v>0.0</v>
      </c>
      <c r="K5553" s="1124"/>
    </row>
    <row r="5554" ht="15.75" customHeight="1">
      <c r="A5554" s="1119">
        <v>101221.0</v>
      </c>
      <c r="B5554" s="1125" t="s">
        <v>15832</v>
      </c>
      <c r="C5554" s="1126" t="s">
        <v>2178</v>
      </c>
      <c r="D5554" s="1119">
        <v>15.93</v>
      </c>
      <c r="E5554" s="1120">
        <v>1.83</v>
      </c>
      <c r="F5554" s="1121">
        <f t="shared" si="1"/>
        <v>14.1</v>
      </c>
      <c r="G5554" s="1120">
        <v>6.8</v>
      </c>
      <c r="H5554" s="1127">
        <v>7.3</v>
      </c>
      <c r="I5554" s="1127">
        <v>0.0</v>
      </c>
      <c r="J5554" s="1127">
        <v>0.0</v>
      </c>
      <c r="K5554" s="1124"/>
    </row>
    <row r="5555" ht="15.75" customHeight="1">
      <c r="A5555" s="1119">
        <v>101222.0</v>
      </c>
      <c r="B5555" s="1125" t="s">
        <v>15833</v>
      </c>
      <c r="C5555" s="1126" t="s">
        <v>2178</v>
      </c>
      <c r="D5555" s="1119">
        <v>18.52</v>
      </c>
      <c r="E5555" s="1120">
        <v>2.11</v>
      </c>
      <c r="F5555" s="1121">
        <f t="shared" si="1"/>
        <v>16.41</v>
      </c>
      <c r="G5555" s="1120">
        <v>7.96</v>
      </c>
      <c r="H5555" s="1127">
        <v>8.45</v>
      </c>
      <c r="I5555" s="1127">
        <v>0.0</v>
      </c>
      <c r="J5555" s="1127">
        <v>0.0</v>
      </c>
      <c r="K5555" s="1124"/>
    </row>
    <row r="5556" ht="15.75" customHeight="1">
      <c r="A5556" s="1119">
        <v>101223.0</v>
      </c>
      <c r="B5556" s="1125" t="s">
        <v>15834</v>
      </c>
      <c r="C5556" s="1126" t="s">
        <v>2178</v>
      </c>
      <c r="D5556" s="1119">
        <v>20.64</v>
      </c>
      <c r="E5556" s="1120">
        <v>2.38</v>
      </c>
      <c r="F5556" s="1121">
        <f t="shared" si="1"/>
        <v>18.26</v>
      </c>
      <c r="G5556" s="1120">
        <v>8.79</v>
      </c>
      <c r="H5556" s="1127">
        <v>9.47</v>
      </c>
      <c r="I5556" s="1127">
        <v>0.0</v>
      </c>
      <c r="J5556" s="1127">
        <v>0.0</v>
      </c>
      <c r="K5556" s="1124"/>
    </row>
    <row r="5557" ht="15.75" customHeight="1">
      <c r="A5557" s="1119">
        <v>101224.0</v>
      </c>
      <c r="B5557" s="1125" t="s">
        <v>15835</v>
      </c>
      <c r="C5557" s="1126" t="s">
        <v>2178</v>
      </c>
      <c r="D5557" s="1119">
        <v>25.86</v>
      </c>
      <c r="E5557" s="1120">
        <v>2.94</v>
      </c>
      <c r="F5557" s="1121">
        <f t="shared" si="1"/>
        <v>22.93</v>
      </c>
      <c r="G5557" s="1120">
        <v>11.11</v>
      </c>
      <c r="H5557" s="1127">
        <v>11.82</v>
      </c>
      <c r="I5557" s="1127">
        <v>0.0</v>
      </c>
      <c r="J5557" s="1127">
        <v>0.0</v>
      </c>
      <c r="K5557" s="1124"/>
    </row>
    <row r="5558" ht="15.75" customHeight="1">
      <c r="A5558" s="1119">
        <v>101225.0</v>
      </c>
      <c r="B5558" s="1125" t="s">
        <v>15836</v>
      </c>
      <c r="C5558" s="1126" t="s">
        <v>2178</v>
      </c>
      <c r="D5558" s="1119">
        <v>13.88</v>
      </c>
      <c r="E5558" s="1120">
        <v>1.65</v>
      </c>
      <c r="F5558" s="1121">
        <f t="shared" si="1"/>
        <v>12.23</v>
      </c>
      <c r="G5558" s="1120">
        <v>5.8</v>
      </c>
      <c r="H5558" s="1127">
        <v>6.43</v>
      </c>
      <c r="I5558" s="1127">
        <v>0.0</v>
      </c>
      <c r="J5558" s="1127">
        <v>0.0</v>
      </c>
      <c r="K5558" s="1124"/>
    </row>
    <row r="5559" ht="15.75" customHeight="1">
      <c r="A5559" s="1119">
        <v>101226.0</v>
      </c>
      <c r="B5559" s="1125" t="s">
        <v>15837</v>
      </c>
      <c r="C5559" s="1126" t="s">
        <v>2178</v>
      </c>
      <c r="D5559" s="1119">
        <v>14.57</v>
      </c>
      <c r="E5559" s="1120">
        <v>1.65</v>
      </c>
      <c r="F5559" s="1121">
        <f t="shared" si="1"/>
        <v>12.93</v>
      </c>
      <c r="G5559" s="1120">
        <v>6.27</v>
      </c>
      <c r="H5559" s="1127">
        <v>6.66</v>
      </c>
      <c r="I5559" s="1127">
        <v>0.0</v>
      </c>
      <c r="J5559" s="1127">
        <v>0.0</v>
      </c>
      <c r="K5559" s="1124"/>
    </row>
    <row r="5560" ht="15.75" customHeight="1">
      <c r="A5560" s="1119">
        <v>101227.0</v>
      </c>
      <c r="B5560" s="1125" t="s">
        <v>15838</v>
      </c>
      <c r="C5560" s="1126" t="s">
        <v>2178</v>
      </c>
      <c r="D5560" s="1119">
        <v>16.9</v>
      </c>
      <c r="E5560" s="1120">
        <v>1.89</v>
      </c>
      <c r="F5560" s="1121">
        <f t="shared" si="1"/>
        <v>15</v>
      </c>
      <c r="G5560" s="1120">
        <v>7.31</v>
      </c>
      <c r="H5560" s="1127">
        <v>7.69</v>
      </c>
      <c r="I5560" s="1127">
        <v>0.0</v>
      </c>
      <c r="J5560" s="1127">
        <v>0.0</v>
      </c>
      <c r="K5560" s="1124"/>
    </row>
    <row r="5561" ht="15.75" customHeight="1">
      <c r="A5561" s="1119">
        <v>101228.0</v>
      </c>
      <c r="B5561" s="1125" t="s">
        <v>15839</v>
      </c>
      <c r="C5561" s="1126" t="s">
        <v>2178</v>
      </c>
      <c r="D5561" s="1119">
        <v>17.95</v>
      </c>
      <c r="E5561" s="1120">
        <v>1.9</v>
      </c>
      <c r="F5561" s="1121">
        <f t="shared" si="1"/>
        <v>16.05</v>
      </c>
      <c r="G5561" s="1120">
        <v>8.01</v>
      </c>
      <c r="H5561" s="1127">
        <v>8.04</v>
      </c>
      <c r="I5561" s="1127">
        <v>0.0</v>
      </c>
      <c r="J5561" s="1127">
        <v>0.0</v>
      </c>
      <c r="K5561" s="1124"/>
    </row>
    <row r="5562" ht="15.75" customHeight="1">
      <c r="A5562" s="1119">
        <v>101229.0</v>
      </c>
      <c r="B5562" s="1125" t="s">
        <v>15840</v>
      </c>
      <c r="C5562" s="1126" t="s">
        <v>2178</v>
      </c>
      <c r="D5562" s="1119">
        <v>22.65</v>
      </c>
      <c r="E5562" s="1120">
        <v>2.4</v>
      </c>
      <c r="F5562" s="1121">
        <f t="shared" si="1"/>
        <v>20.25</v>
      </c>
      <c r="G5562" s="1120">
        <v>10.08</v>
      </c>
      <c r="H5562" s="1127">
        <v>10.17</v>
      </c>
      <c r="I5562" s="1127">
        <v>0.0</v>
      </c>
      <c r="J5562" s="1127">
        <v>0.0</v>
      </c>
      <c r="K5562" s="1124"/>
    </row>
    <row r="5563" ht="15.75" customHeight="1">
      <c r="A5563" s="1119">
        <v>101230.0</v>
      </c>
      <c r="B5563" s="1125" t="s">
        <v>15841</v>
      </c>
      <c r="C5563" s="1126" t="s">
        <v>2178</v>
      </c>
      <c r="D5563" s="1119">
        <v>10.22</v>
      </c>
      <c r="E5563" s="1120">
        <v>1.42</v>
      </c>
      <c r="F5563" s="1121">
        <f t="shared" si="1"/>
        <v>8.79</v>
      </c>
      <c r="G5563" s="1120">
        <v>3.91</v>
      </c>
      <c r="H5563" s="1127">
        <v>4.88</v>
      </c>
      <c r="I5563" s="1127">
        <v>0.0</v>
      </c>
      <c r="J5563" s="1127">
        <v>0.0</v>
      </c>
      <c r="K5563" s="1124"/>
    </row>
    <row r="5564" ht="15.75" customHeight="1">
      <c r="A5564" s="1119">
        <v>101231.0</v>
      </c>
      <c r="B5564" s="1125" t="s">
        <v>15842</v>
      </c>
      <c r="C5564" s="1126" t="s">
        <v>2178</v>
      </c>
      <c r="D5564" s="1119">
        <v>9.73</v>
      </c>
      <c r="E5564" s="1120">
        <v>1.34</v>
      </c>
      <c r="F5564" s="1121">
        <f t="shared" si="1"/>
        <v>8.4</v>
      </c>
      <c r="G5564" s="1120">
        <v>3.78</v>
      </c>
      <c r="H5564" s="1127">
        <v>4.62</v>
      </c>
      <c r="I5564" s="1127">
        <v>0.0</v>
      </c>
      <c r="J5564" s="1127">
        <v>0.0</v>
      </c>
      <c r="K5564" s="1124"/>
    </row>
    <row r="5565" ht="15.75" customHeight="1">
      <c r="A5565" s="1119">
        <v>101232.0</v>
      </c>
      <c r="B5565" s="1125" t="s">
        <v>15843</v>
      </c>
      <c r="C5565" s="1126" t="s">
        <v>2178</v>
      </c>
      <c r="D5565" s="1119">
        <v>8.65</v>
      </c>
      <c r="E5565" s="1120">
        <v>1.09</v>
      </c>
      <c r="F5565" s="1121">
        <f t="shared" si="1"/>
        <v>7.58</v>
      </c>
      <c r="G5565" s="1120">
        <v>3.53</v>
      </c>
      <c r="H5565" s="1127">
        <v>4.05</v>
      </c>
      <c r="I5565" s="1127">
        <v>0.0</v>
      </c>
      <c r="J5565" s="1127">
        <v>0.0</v>
      </c>
      <c r="K5565" s="1124"/>
    </row>
    <row r="5566" ht="15.75" customHeight="1">
      <c r="A5566" s="1119">
        <v>101233.0</v>
      </c>
      <c r="B5566" s="1125" t="s">
        <v>15844</v>
      </c>
      <c r="C5566" s="1126" t="s">
        <v>2178</v>
      </c>
      <c r="D5566" s="1119">
        <v>7.97</v>
      </c>
      <c r="E5566" s="1120">
        <v>0.97</v>
      </c>
      <c r="F5566" s="1121">
        <f t="shared" si="1"/>
        <v>7</v>
      </c>
      <c r="G5566" s="1120">
        <v>3.29</v>
      </c>
      <c r="H5566" s="1127">
        <v>3.71</v>
      </c>
      <c r="I5566" s="1127">
        <v>0.0</v>
      </c>
      <c r="J5566" s="1127">
        <v>0.0</v>
      </c>
      <c r="K5566" s="1124"/>
    </row>
    <row r="5567" ht="15.75" customHeight="1">
      <c r="A5567" s="1119">
        <v>101234.0</v>
      </c>
      <c r="B5567" s="1125" t="s">
        <v>15845</v>
      </c>
      <c r="C5567" s="1126" t="s">
        <v>2178</v>
      </c>
      <c r="D5567" s="1119">
        <v>15.81</v>
      </c>
      <c r="E5567" s="1120">
        <v>2.03</v>
      </c>
      <c r="F5567" s="1121">
        <f t="shared" si="1"/>
        <v>13.77</v>
      </c>
      <c r="G5567" s="1120">
        <v>6.35</v>
      </c>
      <c r="H5567" s="1127">
        <v>7.42</v>
      </c>
      <c r="I5567" s="1127">
        <v>0.0</v>
      </c>
      <c r="J5567" s="1127">
        <v>0.0</v>
      </c>
      <c r="K5567" s="1124"/>
    </row>
    <row r="5568" ht="15.75" customHeight="1">
      <c r="A5568" s="1119">
        <v>101235.0</v>
      </c>
      <c r="B5568" s="1125" t="s">
        <v>15846</v>
      </c>
      <c r="C5568" s="1126" t="s">
        <v>2178</v>
      </c>
      <c r="D5568" s="1119">
        <v>16.58</v>
      </c>
      <c r="E5568" s="1120">
        <v>2.03</v>
      </c>
      <c r="F5568" s="1121">
        <f t="shared" si="1"/>
        <v>14.55</v>
      </c>
      <c r="G5568" s="1120">
        <v>6.86</v>
      </c>
      <c r="H5568" s="1127">
        <v>7.69</v>
      </c>
      <c r="I5568" s="1127">
        <v>0.0</v>
      </c>
      <c r="J5568" s="1127">
        <v>0.0</v>
      </c>
      <c r="K5568" s="1124"/>
    </row>
    <row r="5569" ht="15.75" customHeight="1">
      <c r="A5569" s="1119">
        <v>101236.0</v>
      </c>
      <c r="B5569" s="1125" t="s">
        <v>15847</v>
      </c>
      <c r="C5569" s="1126" t="s">
        <v>2178</v>
      </c>
      <c r="D5569" s="1119">
        <v>19.31</v>
      </c>
      <c r="E5569" s="1120">
        <v>2.33</v>
      </c>
      <c r="F5569" s="1121">
        <f t="shared" si="1"/>
        <v>16.97</v>
      </c>
      <c r="G5569" s="1120">
        <v>8.03</v>
      </c>
      <c r="H5569" s="1127">
        <v>8.94</v>
      </c>
      <c r="I5569" s="1127">
        <v>0.0</v>
      </c>
      <c r="J5569" s="1127">
        <v>0.0</v>
      </c>
      <c r="K5569" s="1124"/>
    </row>
    <row r="5570" ht="15.75" customHeight="1">
      <c r="A5570" s="1119">
        <v>101237.0</v>
      </c>
      <c r="B5570" s="1125" t="s">
        <v>15848</v>
      </c>
      <c r="C5570" s="1126" t="s">
        <v>2178</v>
      </c>
      <c r="D5570" s="1119">
        <v>20.48</v>
      </c>
      <c r="E5570" s="1120">
        <v>2.34</v>
      </c>
      <c r="F5570" s="1121">
        <f t="shared" si="1"/>
        <v>18.13</v>
      </c>
      <c r="G5570" s="1120">
        <v>8.79</v>
      </c>
      <c r="H5570" s="1127">
        <v>9.34</v>
      </c>
      <c r="I5570" s="1127">
        <v>0.0</v>
      </c>
      <c r="J5570" s="1127">
        <v>0.0</v>
      </c>
      <c r="K5570" s="1124"/>
    </row>
    <row r="5571" ht="15.75" customHeight="1">
      <c r="A5571" s="1119">
        <v>101238.0</v>
      </c>
      <c r="B5571" s="1125" t="s">
        <v>15849</v>
      </c>
      <c r="C5571" s="1126" t="s">
        <v>2178</v>
      </c>
      <c r="D5571" s="1119">
        <v>25.93</v>
      </c>
      <c r="E5571" s="1120">
        <v>2.95</v>
      </c>
      <c r="F5571" s="1121">
        <f t="shared" si="1"/>
        <v>22.97</v>
      </c>
      <c r="G5571" s="1120">
        <v>11.13</v>
      </c>
      <c r="H5571" s="1127">
        <v>11.84</v>
      </c>
      <c r="I5571" s="1127">
        <v>0.0</v>
      </c>
      <c r="J5571" s="1127">
        <v>0.0</v>
      </c>
      <c r="K5571" s="1124"/>
    </row>
    <row r="5572" ht="15.75" customHeight="1">
      <c r="A5572" s="1119">
        <v>101239.0</v>
      </c>
      <c r="B5572" s="1125" t="s">
        <v>15850</v>
      </c>
      <c r="C5572" s="1126" t="s">
        <v>2178</v>
      </c>
      <c r="D5572" s="1119">
        <v>13.8</v>
      </c>
      <c r="E5572" s="1120">
        <v>1.62</v>
      </c>
      <c r="F5572" s="1121">
        <f t="shared" si="1"/>
        <v>12.17</v>
      </c>
      <c r="G5572" s="1120">
        <v>5.89</v>
      </c>
      <c r="H5572" s="1127">
        <v>6.28</v>
      </c>
      <c r="I5572" s="1127">
        <v>0.0</v>
      </c>
      <c r="J5572" s="1127">
        <v>0.0</v>
      </c>
      <c r="K5572" s="1124"/>
    </row>
    <row r="5573" ht="15.75" customHeight="1">
      <c r="A5573" s="1119">
        <v>101240.0</v>
      </c>
      <c r="B5573" s="1125" t="s">
        <v>15851</v>
      </c>
      <c r="C5573" s="1126" t="s">
        <v>2178</v>
      </c>
      <c r="D5573" s="1119">
        <v>14.5</v>
      </c>
      <c r="E5573" s="1120">
        <v>1.62</v>
      </c>
      <c r="F5573" s="1121">
        <f t="shared" si="1"/>
        <v>12.88</v>
      </c>
      <c r="G5573" s="1120">
        <v>6.37</v>
      </c>
      <c r="H5573" s="1127">
        <v>6.51</v>
      </c>
      <c r="I5573" s="1127">
        <v>0.0</v>
      </c>
      <c r="J5573" s="1127">
        <v>0.0</v>
      </c>
      <c r="K5573" s="1124"/>
    </row>
    <row r="5574" ht="15.75" customHeight="1">
      <c r="A5574" s="1119">
        <v>101241.0</v>
      </c>
      <c r="B5574" s="1125" t="s">
        <v>15852</v>
      </c>
      <c r="C5574" s="1126" t="s">
        <v>2178</v>
      </c>
      <c r="D5574" s="1119">
        <v>16.97</v>
      </c>
      <c r="E5574" s="1120">
        <v>1.91</v>
      </c>
      <c r="F5574" s="1121">
        <f t="shared" si="1"/>
        <v>15.06</v>
      </c>
      <c r="G5574" s="1120">
        <v>7.4</v>
      </c>
      <c r="H5574" s="1127">
        <v>7.66</v>
      </c>
      <c r="I5574" s="1127">
        <v>0.0</v>
      </c>
      <c r="J5574" s="1127">
        <v>0.0</v>
      </c>
      <c r="K5574" s="1124"/>
    </row>
    <row r="5575" ht="15.75" customHeight="1">
      <c r="A5575" s="1119">
        <v>101242.0</v>
      </c>
      <c r="B5575" s="1125" t="s">
        <v>15853</v>
      </c>
      <c r="C5575" s="1126" t="s">
        <v>2178</v>
      </c>
      <c r="D5575" s="1119">
        <v>19.02</v>
      </c>
      <c r="E5575" s="1120">
        <v>2.2</v>
      </c>
      <c r="F5575" s="1121">
        <f t="shared" si="1"/>
        <v>16.82</v>
      </c>
      <c r="G5575" s="1120">
        <v>8.15</v>
      </c>
      <c r="H5575" s="1127">
        <v>8.67</v>
      </c>
      <c r="I5575" s="1127">
        <v>0.0</v>
      </c>
      <c r="J5575" s="1127">
        <v>0.0</v>
      </c>
      <c r="K5575" s="1124"/>
    </row>
    <row r="5576" ht="15.75" customHeight="1">
      <c r="A5576" s="1119">
        <v>101243.0</v>
      </c>
      <c r="B5576" s="1125" t="s">
        <v>15854</v>
      </c>
      <c r="C5576" s="1126" t="s">
        <v>2178</v>
      </c>
      <c r="D5576" s="1119">
        <v>22.95</v>
      </c>
      <c r="E5576" s="1120">
        <v>2.48</v>
      </c>
      <c r="F5576" s="1121">
        <f t="shared" si="1"/>
        <v>20.47</v>
      </c>
      <c r="G5576" s="1120">
        <v>10.19</v>
      </c>
      <c r="H5576" s="1127">
        <v>10.28</v>
      </c>
      <c r="I5576" s="1127">
        <v>0.0</v>
      </c>
      <c r="J5576" s="1127">
        <v>0.0</v>
      </c>
      <c r="K5576" s="1124"/>
    </row>
    <row r="5577" ht="15.75" customHeight="1">
      <c r="A5577" s="1119">
        <v>101244.0</v>
      </c>
      <c r="B5577" s="1125" t="s">
        <v>15855</v>
      </c>
      <c r="C5577" s="1126" t="s">
        <v>2178</v>
      </c>
      <c r="D5577" s="1119">
        <v>14.55</v>
      </c>
      <c r="E5577" s="1120">
        <v>1.79</v>
      </c>
      <c r="F5577" s="1121">
        <f t="shared" si="1"/>
        <v>12.78</v>
      </c>
      <c r="G5577" s="1120">
        <v>6.0</v>
      </c>
      <c r="H5577" s="1127">
        <v>6.78</v>
      </c>
      <c r="I5577" s="1127">
        <v>0.0</v>
      </c>
      <c r="J5577" s="1127">
        <v>0.0</v>
      </c>
      <c r="K5577" s="1124"/>
    </row>
    <row r="5578" ht="15.75" customHeight="1">
      <c r="A5578" s="1119">
        <v>101245.0</v>
      </c>
      <c r="B5578" s="1125" t="s">
        <v>15856</v>
      </c>
      <c r="C5578" s="1126" t="s">
        <v>2178</v>
      </c>
      <c r="D5578" s="1119">
        <v>15.34</v>
      </c>
      <c r="E5578" s="1120">
        <v>1.78</v>
      </c>
      <c r="F5578" s="1121">
        <f t="shared" si="1"/>
        <v>13.57</v>
      </c>
      <c r="G5578" s="1120">
        <v>6.52</v>
      </c>
      <c r="H5578" s="1127">
        <v>7.05</v>
      </c>
      <c r="I5578" s="1127">
        <v>0.0</v>
      </c>
      <c r="J5578" s="1127">
        <v>0.0</v>
      </c>
      <c r="K5578" s="1124"/>
    </row>
    <row r="5579" ht="15.75" customHeight="1">
      <c r="A5579" s="1119">
        <v>101246.0</v>
      </c>
      <c r="B5579" s="1125" t="s">
        <v>15857</v>
      </c>
      <c r="C5579" s="1126" t="s">
        <v>2178</v>
      </c>
      <c r="D5579" s="1119">
        <v>17.79</v>
      </c>
      <c r="E5579" s="1120">
        <v>2.01</v>
      </c>
      <c r="F5579" s="1121">
        <f t="shared" si="1"/>
        <v>15.79</v>
      </c>
      <c r="G5579" s="1120">
        <v>7.66</v>
      </c>
      <c r="H5579" s="1127">
        <v>8.13</v>
      </c>
      <c r="I5579" s="1127">
        <v>0.0</v>
      </c>
      <c r="J5579" s="1127">
        <v>0.0</v>
      </c>
      <c r="K5579" s="1124"/>
    </row>
    <row r="5580" ht="15.75" customHeight="1">
      <c r="A5580" s="1119">
        <v>101247.0</v>
      </c>
      <c r="B5580" s="1125" t="s">
        <v>15858</v>
      </c>
      <c r="C5580" s="1126" t="s">
        <v>2178</v>
      </c>
      <c r="D5580" s="1119">
        <v>19.77</v>
      </c>
      <c r="E5580" s="1120">
        <v>2.25</v>
      </c>
      <c r="F5580" s="1121">
        <f t="shared" si="1"/>
        <v>17.53</v>
      </c>
      <c r="G5580" s="1120">
        <v>8.47</v>
      </c>
      <c r="H5580" s="1127">
        <v>9.06</v>
      </c>
      <c r="I5580" s="1127">
        <v>0.0</v>
      </c>
      <c r="J5580" s="1127">
        <v>0.0</v>
      </c>
      <c r="K5580" s="1124"/>
    </row>
    <row r="5581" ht="15.75" customHeight="1">
      <c r="A5581" s="1119">
        <v>101248.0</v>
      </c>
      <c r="B5581" s="1125" t="s">
        <v>15859</v>
      </c>
      <c r="C5581" s="1126" t="s">
        <v>2178</v>
      </c>
      <c r="D5581" s="1119">
        <v>24.7</v>
      </c>
      <c r="E5581" s="1120">
        <v>2.72</v>
      </c>
      <c r="F5581" s="1121">
        <f t="shared" si="1"/>
        <v>22</v>
      </c>
      <c r="G5581" s="1120">
        <v>10.77</v>
      </c>
      <c r="H5581" s="1127">
        <v>11.23</v>
      </c>
      <c r="I5581" s="1127">
        <v>0.0</v>
      </c>
      <c r="J5581" s="1127">
        <v>0.0</v>
      </c>
      <c r="K5581" s="1124"/>
    </row>
    <row r="5582" ht="15.75" customHeight="1">
      <c r="A5582" s="1119">
        <v>101249.0</v>
      </c>
      <c r="B5582" s="1125" t="s">
        <v>15860</v>
      </c>
      <c r="C5582" s="1126" t="s">
        <v>2178</v>
      </c>
      <c r="D5582" s="1119">
        <v>12.57</v>
      </c>
      <c r="E5582" s="1120">
        <v>1.39</v>
      </c>
      <c r="F5582" s="1121">
        <f t="shared" si="1"/>
        <v>11.17</v>
      </c>
      <c r="G5582" s="1120">
        <v>5.48</v>
      </c>
      <c r="H5582" s="1127">
        <v>5.69</v>
      </c>
      <c r="I5582" s="1127">
        <v>0.0</v>
      </c>
      <c r="J5582" s="1127">
        <v>0.0</v>
      </c>
      <c r="K5582" s="1124"/>
    </row>
    <row r="5583" ht="15.75" customHeight="1">
      <c r="A5583" s="1119">
        <v>101250.0</v>
      </c>
      <c r="B5583" s="1125" t="s">
        <v>15861</v>
      </c>
      <c r="C5583" s="1126" t="s">
        <v>2178</v>
      </c>
      <c r="D5583" s="1119">
        <v>14.0</v>
      </c>
      <c r="E5583" s="1120">
        <v>1.59</v>
      </c>
      <c r="F5583" s="1121">
        <f t="shared" si="1"/>
        <v>12.39</v>
      </c>
      <c r="G5583" s="1120">
        <v>6.0</v>
      </c>
      <c r="H5583" s="1127">
        <v>6.39</v>
      </c>
      <c r="I5583" s="1127">
        <v>0.0</v>
      </c>
      <c r="J5583" s="1127">
        <v>0.0</v>
      </c>
      <c r="K5583" s="1124"/>
    </row>
    <row r="5584" ht="15.75" customHeight="1">
      <c r="A5584" s="1119">
        <v>101251.0</v>
      </c>
      <c r="B5584" s="1125" t="s">
        <v>15862</v>
      </c>
      <c r="C5584" s="1126" t="s">
        <v>2178</v>
      </c>
      <c r="D5584" s="1119">
        <v>15.85</v>
      </c>
      <c r="E5584" s="1120">
        <v>1.7</v>
      </c>
      <c r="F5584" s="1121">
        <f t="shared" si="1"/>
        <v>14.14</v>
      </c>
      <c r="G5584" s="1120">
        <v>6.98</v>
      </c>
      <c r="H5584" s="1127">
        <v>7.16</v>
      </c>
      <c r="I5584" s="1127">
        <v>0.0</v>
      </c>
      <c r="J5584" s="1127">
        <v>0.0</v>
      </c>
      <c r="K5584" s="1124"/>
    </row>
    <row r="5585" ht="15.75" customHeight="1">
      <c r="A5585" s="1119">
        <v>101252.0</v>
      </c>
      <c r="B5585" s="1125" t="s">
        <v>15863</v>
      </c>
      <c r="C5585" s="1126" t="s">
        <v>2178</v>
      </c>
      <c r="D5585" s="1119">
        <v>17.21</v>
      </c>
      <c r="E5585" s="1120">
        <v>1.81</v>
      </c>
      <c r="F5585" s="1121">
        <f t="shared" si="1"/>
        <v>15.4</v>
      </c>
      <c r="G5585" s="1120">
        <v>7.69</v>
      </c>
      <c r="H5585" s="1127">
        <v>7.71</v>
      </c>
      <c r="I5585" s="1127">
        <v>0.0</v>
      </c>
      <c r="J5585" s="1127">
        <v>0.0</v>
      </c>
      <c r="K5585" s="1124"/>
    </row>
    <row r="5586" ht="15.75" customHeight="1">
      <c r="A5586" s="1119">
        <v>101253.0</v>
      </c>
      <c r="B5586" s="1125" t="s">
        <v>15864</v>
      </c>
      <c r="C5586" s="1126" t="s">
        <v>2178</v>
      </c>
      <c r="D5586" s="1119">
        <v>21.66</v>
      </c>
      <c r="E5586" s="1120">
        <v>2.22</v>
      </c>
      <c r="F5586" s="1121">
        <f t="shared" si="1"/>
        <v>19.43</v>
      </c>
      <c r="G5586" s="1120">
        <v>9.79</v>
      </c>
      <c r="H5586" s="1127">
        <v>9.64</v>
      </c>
      <c r="I5586" s="1127">
        <v>0.0</v>
      </c>
      <c r="J5586" s="1127">
        <v>0.0</v>
      </c>
      <c r="K5586" s="1124"/>
    </row>
    <row r="5587" ht="15.75" customHeight="1">
      <c r="A5587" s="1119">
        <v>101254.0</v>
      </c>
      <c r="B5587" s="1125" t="s">
        <v>15865</v>
      </c>
      <c r="C5587" s="1126" t="s">
        <v>2178</v>
      </c>
      <c r="D5587" s="1119">
        <v>11.76</v>
      </c>
      <c r="E5587" s="1120">
        <v>1.89</v>
      </c>
      <c r="F5587" s="1121">
        <f t="shared" si="1"/>
        <v>9.89</v>
      </c>
      <c r="G5587" s="1120">
        <v>4.49</v>
      </c>
      <c r="H5587" s="1127">
        <v>5.4</v>
      </c>
      <c r="I5587" s="1127">
        <v>0.0</v>
      </c>
      <c r="J5587" s="1127">
        <v>0.0</v>
      </c>
      <c r="K5587" s="1124"/>
    </row>
    <row r="5588" ht="15.75" customHeight="1">
      <c r="A5588" s="1119">
        <v>101255.0</v>
      </c>
      <c r="B5588" s="1125" t="s">
        <v>15866</v>
      </c>
      <c r="C5588" s="1126" t="s">
        <v>2178</v>
      </c>
      <c r="D5588" s="1119">
        <v>10.31</v>
      </c>
      <c r="E5588" s="1120">
        <v>1.51</v>
      </c>
      <c r="F5588" s="1121">
        <f t="shared" si="1"/>
        <v>8.8</v>
      </c>
      <c r="G5588" s="1120">
        <v>4.16</v>
      </c>
      <c r="H5588" s="1127">
        <v>4.64</v>
      </c>
      <c r="I5588" s="1127">
        <v>0.0</v>
      </c>
      <c r="J5588" s="1127">
        <v>0.0</v>
      </c>
      <c r="K5588" s="1124"/>
    </row>
    <row r="5589" ht="15.75" customHeight="1">
      <c r="A5589" s="1119">
        <v>101256.0</v>
      </c>
      <c r="B5589" s="1125" t="s">
        <v>15867</v>
      </c>
      <c r="C5589" s="1126" t="s">
        <v>2178</v>
      </c>
      <c r="D5589" s="1119">
        <v>18.04</v>
      </c>
      <c r="E5589" s="1120">
        <v>2.7</v>
      </c>
      <c r="F5589" s="1121">
        <f t="shared" si="1"/>
        <v>15.37</v>
      </c>
      <c r="G5589" s="1120">
        <v>7.29</v>
      </c>
      <c r="H5589" s="1127">
        <v>8.08</v>
      </c>
      <c r="I5589" s="1127">
        <v>0.0</v>
      </c>
      <c r="J5589" s="1127">
        <v>0.0</v>
      </c>
      <c r="K5589" s="1124"/>
    </row>
    <row r="5590" ht="15.75" customHeight="1">
      <c r="A5590" s="1119">
        <v>101257.0</v>
      </c>
      <c r="B5590" s="1125" t="s">
        <v>15868</v>
      </c>
      <c r="C5590" s="1126" t="s">
        <v>2178</v>
      </c>
      <c r="D5590" s="1119">
        <v>18.94</v>
      </c>
      <c r="E5590" s="1120">
        <v>2.7</v>
      </c>
      <c r="F5590" s="1121">
        <f t="shared" si="1"/>
        <v>16.27</v>
      </c>
      <c r="G5590" s="1120">
        <v>7.88</v>
      </c>
      <c r="H5590" s="1127">
        <v>8.39</v>
      </c>
      <c r="I5590" s="1127">
        <v>0.0</v>
      </c>
      <c r="J5590" s="1127">
        <v>0.0</v>
      </c>
      <c r="K5590" s="1124"/>
    </row>
    <row r="5591" ht="15.75" customHeight="1">
      <c r="A5591" s="1119">
        <v>101258.0</v>
      </c>
      <c r="B5591" s="1125" t="s">
        <v>15869</v>
      </c>
      <c r="C5591" s="1126" t="s">
        <v>2178</v>
      </c>
      <c r="D5591" s="1119">
        <v>21.96</v>
      </c>
      <c r="E5591" s="1120">
        <v>3.11</v>
      </c>
      <c r="F5591" s="1121">
        <f t="shared" si="1"/>
        <v>18.87</v>
      </c>
      <c r="G5591" s="1120">
        <v>9.2</v>
      </c>
      <c r="H5591" s="1127">
        <v>9.67</v>
      </c>
      <c r="I5591" s="1127">
        <v>0.0</v>
      </c>
      <c r="J5591" s="1127">
        <v>0.0</v>
      </c>
      <c r="K5591" s="1124"/>
    </row>
    <row r="5592" ht="15.75" customHeight="1">
      <c r="A5592" s="1119">
        <v>101259.0</v>
      </c>
      <c r="B5592" s="1125" t="s">
        <v>15870</v>
      </c>
      <c r="C5592" s="1126" t="s">
        <v>2178</v>
      </c>
      <c r="D5592" s="1119">
        <v>24.43</v>
      </c>
      <c r="E5592" s="1120">
        <v>3.53</v>
      </c>
      <c r="F5592" s="1121">
        <f t="shared" si="1"/>
        <v>20.93</v>
      </c>
      <c r="G5592" s="1120">
        <v>10.15</v>
      </c>
      <c r="H5592" s="1127">
        <v>10.78</v>
      </c>
      <c r="I5592" s="1127">
        <v>0.0</v>
      </c>
      <c r="J5592" s="1127">
        <v>0.0</v>
      </c>
      <c r="K5592" s="1124"/>
    </row>
    <row r="5593" ht="15.75" customHeight="1">
      <c r="A5593" s="1119">
        <v>101260.0</v>
      </c>
      <c r="B5593" s="1125" t="s">
        <v>15871</v>
      </c>
      <c r="C5593" s="1126" t="s">
        <v>2178</v>
      </c>
      <c r="D5593" s="1119">
        <v>30.51</v>
      </c>
      <c r="E5593" s="1120">
        <v>4.34</v>
      </c>
      <c r="F5593" s="1121">
        <f t="shared" si="1"/>
        <v>26.18</v>
      </c>
      <c r="G5593" s="1120">
        <v>12.81</v>
      </c>
      <c r="H5593" s="1127">
        <v>13.37</v>
      </c>
      <c r="I5593" s="1127">
        <v>0.0</v>
      </c>
      <c r="J5593" s="1127">
        <v>0.0</v>
      </c>
      <c r="K5593" s="1124"/>
    </row>
    <row r="5594" ht="15.75" customHeight="1">
      <c r="A5594" s="1119">
        <v>101261.0</v>
      </c>
      <c r="B5594" s="1125" t="s">
        <v>15872</v>
      </c>
      <c r="C5594" s="1126" t="s">
        <v>2178</v>
      </c>
      <c r="D5594" s="1119">
        <v>17.03</v>
      </c>
      <c r="E5594" s="1120">
        <v>2.48</v>
      </c>
      <c r="F5594" s="1121">
        <f t="shared" si="1"/>
        <v>14.56</v>
      </c>
      <c r="G5594" s="1120">
        <v>7.0</v>
      </c>
      <c r="H5594" s="1127">
        <v>7.56</v>
      </c>
      <c r="I5594" s="1127">
        <v>0.0</v>
      </c>
      <c r="J5594" s="1127">
        <v>0.0</v>
      </c>
      <c r="K5594" s="1124"/>
    </row>
    <row r="5595" ht="15.75" customHeight="1">
      <c r="A5595" s="1119">
        <v>101262.0</v>
      </c>
      <c r="B5595" s="1125" t="s">
        <v>15873</v>
      </c>
      <c r="C5595" s="1126" t="s">
        <v>2178</v>
      </c>
      <c r="D5595" s="1119">
        <v>17.91</v>
      </c>
      <c r="E5595" s="1120">
        <v>2.48</v>
      </c>
      <c r="F5595" s="1121">
        <f t="shared" si="1"/>
        <v>15.44</v>
      </c>
      <c r="G5595" s="1120">
        <v>7.57</v>
      </c>
      <c r="H5595" s="1127">
        <v>7.87</v>
      </c>
      <c r="I5595" s="1127">
        <v>0.0</v>
      </c>
      <c r="J5595" s="1127">
        <v>0.0</v>
      </c>
      <c r="K5595" s="1124"/>
    </row>
    <row r="5596" ht="15.75" customHeight="1">
      <c r="A5596" s="1119">
        <v>101263.0</v>
      </c>
      <c r="B5596" s="1125" t="s">
        <v>15874</v>
      </c>
      <c r="C5596" s="1126" t="s">
        <v>2178</v>
      </c>
      <c r="D5596" s="1119">
        <v>20.69</v>
      </c>
      <c r="E5596" s="1120">
        <v>2.8</v>
      </c>
      <c r="F5596" s="1121">
        <f t="shared" si="1"/>
        <v>17.89</v>
      </c>
      <c r="G5596" s="1120">
        <v>8.87</v>
      </c>
      <c r="H5596" s="1127">
        <v>9.02</v>
      </c>
      <c r="I5596" s="1127">
        <v>0.0</v>
      </c>
      <c r="J5596" s="1127">
        <v>0.0</v>
      </c>
      <c r="K5596" s="1124"/>
    </row>
    <row r="5597" ht="15.75" customHeight="1">
      <c r="A5597" s="1119">
        <v>101264.0</v>
      </c>
      <c r="B5597" s="1125" t="s">
        <v>15875</v>
      </c>
      <c r="C5597" s="1126" t="s">
        <v>2178</v>
      </c>
      <c r="D5597" s="1119">
        <v>22.94</v>
      </c>
      <c r="E5597" s="1120">
        <v>3.13</v>
      </c>
      <c r="F5597" s="1121">
        <f t="shared" si="1"/>
        <v>19.82</v>
      </c>
      <c r="G5597" s="1120">
        <v>9.82</v>
      </c>
      <c r="H5597" s="1127">
        <v>10.0</v>
      </c>
      <c r="I5597" s="1127">
        <v>0.0</v>
      </c>
      <c r="J5597" s="1127">
        <v>0.0</v>
      </c>
      <c r="K5597" s="1124"/>
    </row>
    <row r="5598" ht="15.75" customHeight="1">
      <c r="A5598" s="1119">
        <v>101265.0</v>
      </c>
      <c r="B5598" s="1125" t="s">
        <v>15876</v>
      </c>
      <c r="C5598" s="1126" t="s">
        <v>2178</v>
      </c>
      <c r="D5598" s="1119">
        <v>28.53</v>
      </c>
      <c r="E5598" s="1120">
        <v>3.78</v>
      </c>
      <c r="F5598" s="1121">
        <f t="shared" si="1"/>
        <v>24.75</v>
      </c>
      <c r="G5598" s="1120">
        <v>12.45</v>
      </c>
      <c r="H5598" s="1127">
        <v>12.3</v>
      </c>
      <c r="I5598" s="1127">
        <v>0.0</v>
      </c>
      <c r="J5598" s="1127">
        <v>0.0</v>
      </c>
      <c r="K5598" s="1124"/>
    </row>
    <row r="5599" ht="15.75" customHeight="1">
      <c r="A5599" s="1119">
        <v>101266.0</v>
      </c>
      <c r="B5599" s="1125" t="s">
        <v>15877</v>
      </c>
      <c r="C5599" s="1126" t="s">
        <v>2178</v>
      </c>
      <c r="D5599" s="1119">
        <v>10.42</v>
      </c>
      <c r="E5599" s="1120">
        <v>1.59</v>
      </c>
      <c r="F5599" s="1121">
        <f t="shared" si="1"/>
        <v>8.83</v>
      </c>
      <c r="G5599" s="1120">
        <v>4.12</v>
      </c>
      <c r="H5599" s="1127">
        <v>4.71</v>
      </c>
      <c r="I5599" s="1127">
        <v>0.0</v>
      </c>
      <c r="J5599" s="1127">
        <v>0.0</v>
      </c>
      <c r="K5599" s="1124"/>
    </row>
    <row r="5600" ht="15.75" customHeight="1">
      <c r="A5600" s="1119">
        <v>101267.0</v>
      </c>
      <c r="B5600" s="1125" t="s">
        <v>15878</v>
      </c>
      <c r="C5600" s="1126" t="s">
        <v>2178</v>
      </c>
      <c r="D5600" s="1119">
        <v>10.03</v>
      </c>
      <c r="E5600" s="1120">
        <v>1.56</v>
      </c>
      <c r="F5600" s="1121">
        <f t="shared" si="1"/>
        <v>8.48</v>
      </c>
      <c r="G5600" s="1120">
        <v>3.92</v>
      </c>
      <c r="H5600" s="1127">
        <v>4.56</v>
      </c>
      <c r="I5600" s="1127">
        <v>0.0</v>
      </c>
      <c r="J5600" s="1127">
        <v>0.0</v>
      </c>
      <c r="K5600" s="1124"/>
    </row>
    <row r="5601" ht="15.75" customHeight="1">
      <c r="A5601" s="1119">
        <v>101268.0</v>
      </c>
      <c r="B5601" s="1125" t="s">
        <v>15879</v>
      </c>
      <c r="C5601" s="1126" t="s">
        <v>2178</v>
      </c>
      <c r="D5601" s="1119">
        <v>16.32</v>
      </c>
      <c r="E5601" s="1120">
        <v>2.29</v>
      </c>
      <c r="F5601" s="1121">
        <f t="shared" si="1"/>
        <v>14.04</v>
      </c>
      <c r="G5601" s="1120">
        <v>6.88</v>
      </c>
      <c r="H5601" s="1127">
        <v>7.16</v>
      </c>
      <c r="I5601" s="1127">
        <v>0.0</v>
      </c>
      <c r="J5601" s="1127">
        <v>0.0</v>
      </c>
      <c r="K5601" s="1124"/>
    </row>
    <row r="5602" ht="15.75" customHeight="1">
      <c r="A5602" s="1119">
        <v>101269.0</v>
      </c>
      <c r="B5602" s="1125" t="s">
        <v>15880</v>
      </c>
      <c r="C5602" s="1126" t="s">
        <v>2178</v>
      </c>
      <c r="D5602" s="1119">
        <v>18.21</v>
      </c>
      <c r="E5602" s="1120">
        <v>2.63</v>
      </c>
      <c r="F5602" s="1121">
        <f t="shared" si="1"/>
        <v>15.59</v>
      </c>
      <c r="G5602" s="1120">
        <v>7.54</v>
      </c>
      <c r="H5602" s="1127">
        <v>8.05</v>
      </c>
      <c r="I5602" s="1127">
        <v>0.0</v>
      </c>
      <c r="J5602" s="1127">
        <v>0.0</v>
      </c>
      <c r="K5602" s="1124"/>
    </row>
    <row r="5603" ht="15.75" customHeight="1">
      <c r="A5603" s="1119">
        <v>101270.0</v>
      </c>
      <c r="B5603" s="1125" t="s">
        <v>15881</v>
      </c>
      <c r="C5603" s="1126" t="s">
        <v>2178</v>
      </c>
      <c r="D5603" s="1119">
        <v>21.05</v>
      </c>
      <c r="E5603" s="1120">
        <v>2.97</v>
      </c>
      <c r="F5603" s="1121">
        <f t="shared" si="1"/>
        <v>18.08</v>
      </c>
      <c r="G5603" s="1120">
        <v>8.85</v>
      </c>
      <c r="H5603" s="1127">
        <v>9.23</v>
      </c>
      <c r="I5603" s="1127">
        <v>0.0</v>
      </c>
      <c r="J5603" s="1127">
        <v>0.0</v>
      </c>
      <c r="K5603" s="1124"/>
    </row>
    <row r="5604" ht="15.75" customHeight="1">
      <c r="A5604" s="1119">
        <v>101271.0</v>
      </c>
      <c r="B5604" s="1125" t="s">
        <v>15882</v>
      </c>
      <c r="C5604" s="1126" t="s">
        <v>2178</v>
      </c>
      <c r="D5604" s="1119">
        <v>23.36</v>
      </c>
      <c r="E5604" s="1120">
        <v>3.33</v>
      </c>
      <c r="F5604" s="1121">
        <f t="shared" si="1"/>
        <v>20.05</v>
      </c>
      <c r="G5604" s="1120">
        <v>9.79</v>
      </c>
      <c r="H5604" s="1127">
        <v>10.26</v>
      </c>
      <c r="I5604" s="1127">
        <v>0.0</v>
      </c>
      <c r="J5604" s="1127">
        <v>0.0</v>
      </c>
      <c r="K5604" s="1124"/>
    </row>
    <row r="5605" ht="15.75" customHeight="1">
      <c r="A5605" s="1119">
        <v>101272.0</v>
      </c>
      <c r="B5605" s="1125" t="s">
        <v>15883</v>
      </c>
      <c r="C5605" s="1126" t="s">
        <v>2178</v>
      </c>
      <c r="D5605" s="1119">
        <v>29.08</v>
      </c>
      <c r="E5605" s="1120">
        <v>4.02</v>
      </c>
      <c r="F5605" s="1121">
        <f t="shared" si="1"/>
        <v>25.06</v>
      </c>
      <c r="G5605" s="1120">
        <v>12.41</v>
      </c>
      <c r="H5605" s="1127">
        <v>12.65</v>
      </c>
      <c r="I5605" s="1127">
        <v>0.0</v>
      </c>
      <c r="J5605" s="1127">
        <v>0.0</v>
      </c>
      <c r="K5605" s="1124"/>
    </row>
    <row r="5606" ht="15.75" customHeight="1">
      <c r="A5606" s="1119">
        <v>101273.0</v>
      </c>
      <c r="B5606" s="1125" t="s">
        <v>15884</v>
      </c>
      <c r="C5606" s="1126" t="s">
        <v>2178</v>
      </c>
      <c r="D5606" s="1119">
        <v>15.55</v>
      </c>
      <c r="E5606" s="1120">
        <v>2.11</v>
      </c>
      <c r="F5606" s="1121">
        <f t="shared" si="1"/>
        <v>13.45</v>
      </c>
      <c r="G5606" s="1120">
        <v>6.65</v>
      </c>
      <c r="H5606" s="1127">
        <v>6.8</v>
      </c>
      <c r="I5606" s="1127">
        <v>0.0</v>
      </c>
      <c r="J5606" s="1127">
        <v>0.0</v>
      </c>
      <c r="K5606" s="1124"/>
    </row>
    <row r="5607" ht="15.75" customHeight="1">
      <c r="A5607" s="1119">
        <v>101274.0</v>
      </c>
      <c r="B5607" s="1125" t="s">
        <v>15885</v>
      </c>
      <c r="C5607" s="1126" t="s">
        <v>2178</v>
      </c>
      <c r="D5607" s="1119">
        <v>17.21</v>
      </c>
      <c r="E5607" s="1120">
        <v>2.39</v>
      </c>
      <c r="F5607" s="1121">
        <f t="shared" si="1"/>
        <v>14.84</v>
      </c>
      <c r="G5607" s="1120">
        <v>7.29</v>
      </c>
      <c r="H5607" s="1127">
        <v>7.55</v>
      </c>
      <c r="I5607" s="1127">
        <v>0.0</v>
      </c>
      <c r="J5607" s="1127">
        <v>0.0</v>
      </c>
      <c r="K5607" s="1124"/>
    </row>
    <row r="5608" ht="15.75" customHeight="1">
      <c r="A5608" s="1119">
        <v>101275.0</v>
      </c>
      <c r="B5608" s="1125" t="s">
        <v>15886</v>
      </c>
      <c r="C5608" s="1126" t="s">
        <v>2178</v>
      </c>
      <c r="D5608" s="1119">
        <v>19.88</v>
      </c>
      <c r="E5608" s="1120">
        <v>2.67</v>
      </c>
      <c r="F5608" s="1121">
        <f t="shared" si="1"/>
        <v>17.22</v>
      </c>
      <c r="G5608" s="1120">
        <v>8.58</v>
      </c>
      <c r="H5608" s="1127">
        <v>8.64</v>
      </c>
      <c r="I5608" s="1127">
        <v>0.0</v>
      </c>
      <c r="J5608" s="1127">
        <v>0.0</v>
      </c>
      <c r="K5608" s="1124"/>
    </row>
    <row r="5609" ht="15.75" customHeight="1">
      <c r="A5609" s="1119">
        <v>101276.0</v>
      </c>
      <c r="B5609" s="1125" t="s">
        <v>15887</v>
      </c>
      <c r="C5609" s="1126" t="s">
        <v>2178</v>
      </c>
      <c r="D5609" s="1119">
        <v>21.97</v>
      </c>
      <c r="E5609" s="1120">
        <v>2.94</v>
      </c>
      <c r="F5609" s="1121">
        <f t="shared" si="1"/>
        <v>19.05</v>
      </c>
      <c r="G5609" s="1120">
        <v>9.52</v>
      </c>
      <c r="H5609" s="1127">
        <v>9.53</v>
      </c>
      <c r="I5609" s="1127">
        <v>0.0</v>
      </c>
      <c r="J5609" s="1127">
        <v>0.0</v>
      </c>
      <c r="K5609" s="1124"/>
    </row>
    <row r="5610" ht="15.75" customHeight="1">
      <c r="A5610" s="1119">
        <v>101277.0</v>
      </c>
      <c r="B5610" s="1125" t="s">
        <v>15888</v>
      </c>
      <c r="C5610" s="1126" t="s">
        <v>2178</v>
      </c>
      <c r="D5610" s="1119">
        <v>28.08</v>
      </c>
      <c r="E5610" s="1120">
        <v>3.78</v>
      </c>
      <c r="F5610" s="1121">
        <f t="shared" si="1"/>
        <v>24.32</v>
      </c>
      <c r="G5610" s="1120">
        <v>12.19</v>
      </c>
      <c r="H5610" s="1127">
        <v>12.13</v>
      </c>
      <c r="I5610" s="1127">
        <v>0.0</v>
      </c>
      <c r="J5610" s="1127">
        <v>0.0</v>
      </c>
      <c r="K5610" s="1124"/>
    </row>
    <row r="5611" ht="15.75" customHeight="1">
      <c r="A5611" s="1119">
        <v>102354.0</v>
      </c>
      <c r="B5611" s="1125" t="s">
        <v>15889</v>
      </c>
      <c r="C5611" s="1126" t="s">
        <v>2178</v>
      </c>
      <c r="D5611" s="1119">
        <v>140.89</v>
      </c>
      <c r="E5611" s="1120">
        <v>49.74</v>
      </c>
      <c r="F5611" s="1121">
        <f t="shared" si="1"/>
        <v>91.15</v>
      </c>
      <c r="G5611" s="1120">
        <v>64.93</v>
      </c>
      <c r="H5611" s="1127">
        <v>26.22</v>
      </c>
      <c r="I5611" s="1127">
        <v>0.0</v>
      </c>
      <c r="J5611" s="1127">
        <v>0.0</v>
      </c>
      <c r="K5611" s="1124"/>
    </row>
    <row r="5612" ht="15.75" customHeight="1">
      <c r="A5612" s="1119">
        <v>102355.0</v>
      </c>
      <c r="B5612" s="1125" t="s">
        <v>15890</v>
      </c>
      <c r="C5612" s="1126" t="s">
        <v>2178</v>
      </c>
      <c r="D5612" s="1119">
        <v>168.7</v>
      </c>
      <c r="E5612" s="1120">
        <v>66.41</v>
      </c>
      <c r="F5612" s="1121">
        <f t="shared" si="1"/>
        <v>102.3</v>
      </c>
      <c r="G5612" s="1120">
        <v>70.56</v>
      </c>
      <c r="H5612" s="1127">
        <v>31.74</v>
      </c>
      <c r="I5612" s="1127">
        <v>0.0</v>
      </c>
      <c r="J5612" s="1127">
        <v>0.0</v>
      </c>
      <c r="K5612" s="1124"/>
    </row>
    <row r="5613" ht="15.75" customHeight="1">
      <c r="A5613" s="1119">
        <v>102360.0</v>
      </c>
      <c r="B5613" s="1125" t="s">
        <v>15891</v>
      </c>
      <c r="C5613" s="1126" t="s">
        <v>2178</v>
      </c>
      <c r="D5613" s="1119">
        <v>23.44</v>
      </c>
      <c r="E5613" s="1120">
        <v>6.04</v>
      </c>
      <c r="F5613" s="1121">
        <f t="shared" si="1"/>
        <v>17.41</v>
      </c>
      <c r="G5613" s="1120">
        <v>2.74</v>
      </c>
      <c r="H5613" s="1127">
        <v>14.67</v>
      </c>
      <c r="I5613" s="1127">
        <v>0.0</v>
      </c>
      <c r="J5613" s="1127">
        <v>0.0</v>
      </c>
      <c r="K5613" s="1124"/>
    </row>
    <row r="5614" ht="15.75" customHeight="1">
      <c r="A5614" s="1119">
        <v>102361.0</v>
      </c>
      <c r="B5614" s="1125" t="s">
        <v>15892</v>
      </c>
      <c r="C5614" s="1126" t="s">
        <v>2178</v>
      </c>
      <c r="D5614" s="1119">
        <v>34.42</v>
      </c>
      <c r="E5614" s="1120">
        <v>12.89</v>
      </c>
      <c r="F5614" s="1121">
        <f t="shared" si="1"/>
        <v>21.53</v>
      </c>
      <c r="G5614" s="1120">
        <v>5.37</v>
      </c>
      <c r="H5614" s="1127">
        <v>16.16</v>
      </c>
      <c r="I5614" s="1127">
        <v>0.0</v>
      </c>
      <c r="J5614" s="1127">
        <v>0.0</v>
      </c>
      <c r="K5614" s="1124"/>
    </row>
    <row r="5615" ht="15.75" customHeight="1">
      <c r="A5615" s="1119">
        <v>90082.0</v>
      </c>
      <c r="B5615" s="1125" t="s">
        <v>15893</v>
      </c>
      <c r="C5615" s="1126" t="s">
        <v>2178</v>
      </c>
      <c r="D5615" s="1119">
        <v>11.0</v>
      </c>
      <c r="E5615" s="1120">
        <v>2.85</v>
      </c>
      <c r="F5615" s="1121">
        <f t="shared" si="1"/>
        <v>8.15</v>
      </c>
      <c r="G5615" s="1120">
        <v>2.48</v>
      </c>
      <c r="H5615" s="1127">
        <v>5.67</v>
      </c>
      <c r="I5615" s="1127">
        <v>0.0</v>
      </c>
      <c r="J5615" s="1127">
        <v>0.0</v>
      </c>
      <c r="K5615" s="1124"/>
    </row>
    <row r="5616" ht="15.75" customHeight="1">
      <c r="A5616" s="1119">
        <v>90084.0</v>
      </c>
      <c r="B5616" s="1125" t="s">
        <v>15894</v>
      </c>
      <c r="C5616" s="1126" t="s">
        <v>2178</v>
      </c>
      <c r="D5616" s="1119">
        <v>10.66</v>
      </c>
      <c r="E5616" s="1120">
        <v>2.77</v>
      </c>
      <c r="F5616" s="1121">
        <f t="shared" si="1"/>
        <v>7.89</v>
      </c>
      <c r="G5616" s="1120">
        <v>2.39</v>
      </c>
      <c r="H5616" s="1127">
        <v>5.5</v>
      </c>
      <c r="I5616" s="1127">
        <v>0.0</v>
      </c>
      <c r="J5616" s="1127">
        <v>0.0</v>
      </c>
      <c r="K5616" s="1124"/>
    </row>
    <row r="5617" ht="15.75" customHeight="1">
      <c r="A5617" s="1119">
        <v>90086.0</v>
      </c>
      <c r="B5617" s="1125" t="s">
        <v>15895</v>
      </c>
      <c r="C5617" s="1126" t="s">
        <v>2178</v>
      </c>
      <c r="D5617" s="1119">
        <v>10.07</v>
      </c>
      <c r="E5617" s="1120">
        <v>2.6</v>
      </c>
      <c r="F5617" s="1121">
        <f t="shared" si="1"/>
        <v>7.47</v>
      </c>
      <c r="G5617" s="1120">
        <v>2.28</v>
      </c>
      <c r="H5617" s="1127">
        <v>5.19</v>
      </c>
      <c r="I5617" s="1127">
        <v>0.0</v>
      </c>
      <c r="J5617" s="1127">
        <v>0.0</v>
      </c>
      <c r="K5617" s="1124"/>
    </row>
    <row r="5618" ht="15.75" customHeight="1">
      <c r="A5618" s="1119">
        <v>90087.0</v>
      </c>
      <c r="B5618" s="1125" t="s">
        <v>15896</v>
      </c>
      <c r="C5618" s="1126" t="s">
        <v>2178</v>
      </c>
      <c r="D5618" s="1119">
        <v>9.05</v>
      </c>
      <c r="E5618" s="1120">
        <v>2.1</v>
      </c>
      <c r="F5618" s="1121">
        <f t="shared" si="1"/>
        <v>6.95</v>
      </c>
      <c r="G5618" s="1120">
        <v>2.29</v>
      </c>
      <c r="H5618" s="1127">
        <v>4.66</v>
      </c>
      <c r="I5618" s="1127">
        <v>0.0</v>
      </c>
      <c r="J5618" s="1127">
        <v>0.0</v>
      </c>
      <c r="K5618" s="1124"/>
    </row>
    <row r="5619" ht="15.75" customHeight="1">
      <c r="A5619" s="1119">
        <v>90090.0</v>
      </c>
      <c r="B5619" s="1125" t="s">
        <v>15897</v>
      </c>
      <c r="C5619" s="1126" t="s">
        <v>2178</v>
      </c>
      <c r="D5619" s="1119">
        <v>8.87</v>
      </c>
      <c r="E5619" s="1120">
        <v>2.05</v>
      </c>
      <c r="F5619" s="1121">
        <f t="shared" si="1"/>
        <v>6.81</v>
      </c>
      <c r="G5619" s="1120">
        <v>2.25</v>
      </c>
      <c r="H5619" s="1127">
        <v>4.56</v>
      </c>
      <c r="I5619" s="1127">
        <v>0.0</v>
      </c>
      <c r="J5619" s="1127">
        <v>0.0</v>
      </c>
      <c r="K5619" s="1124"/>
    </row>
    <row r="5620" ht="15.75" customHeight="1">
      <c r="A5620" s="1119">
        <v>90091.0</v>
      </c>
      <c r="B5620" s="1125" t="s">
        <v>15898</v>
      </c>
      <c r="C5620" s="1126" t="s">
        <v>2178</v>
      </c>
      <c r="D5620" s="1119">
        <v>5.95</v>
      </c>
      <c r="E5620" s="1120">
        <v>1.55</v>
      </c>
      <c r="F5620" s="1121">
        <f t="shared" si="1"/>
        <v>4.4</v>
      </c>
      <c r="G5620" s="1120">
        <v>1.33</v>
      </c>
      <c r="H5620" s="1127">
        <v>3.07</v>
      </c>
      <c r="I5620" s="1127">
        <v>0.0</v>
      </c>
      <c r="J5620" s="1127">
        <v>0.0</v>
      </c>
      <c r="K5620" s="1124"/>
    </row>
    <row r="5621" ht="15.75" customHeight="1">
      <c r="A5621" s="1119">
        <v>90092.0</v>
      </c>
      <c r="B5621" s="1125" t="s">
        <v>15899</v>
      </c>
      <c r="C5621" s="1126" t="s">
        <v>2178</v>
      </c>
      <c r="D5621" s="1119">
        <v>5.87</v>
      </c>
      <c r="E5621" s="1120">
        <v>1.52</v>
      </c>
      <c r="F5621" s="1121">
        <f t="shared" si="1"/>
        <v>4.35</v>
      </c>
      <c r="G5621" s="1120">
        <v>1.32</v>
      </c>
      <c r="H5621" s="1127">
        <v>3.03</v>
      </c>
      <c r="I5621" s="1127">
        <v>0.0</v>
      </c>
      <c r="J5621" s="1127">
        <v>0.0</v>
      </c>
      <c r="K5621" s="1124"/>
    </row>
    <row r="5622" ht="15.75" customHeight="1">
      <c r="A5622" s="1119">
        <v>90094.0</v>
      </c>
      <c r="B5622" s="1125" t="s">
        <v>15900</v>
      </c>
      <c r="C5622" s="1126" t="s">
        <v>2178</v>
      </c>
      <c r="D5622" s="1119">
        <v>5.56</v>
      </c>
      <c r="E5622" s="1120">
        <v>1.44</v>
      </c>
      <c r="F5622" s="1121">
        <f t="shared" si="1"/>
        <v>4.13</v>
      </c>
      <c r="G5622" s="1120">
        <v>1.23</v>
      </c>
      <c r="H5622" s="1127">
        <v>2.9</v>
      </c>
      <c r="I5622" s="1127">
        <v>0.0</v>
      </c>
      <c r="J5622" s="1127">
        <v>0.0</v>
      </c>
      <c r="K5622" s="1124"/>
    </row>
    <row r="5623" ht="15.75" customHeight="1">
      <c r="A5623" s="1119">
        <v>90095.0</v>
      </c>
      <c r="B5623" s="1125" t="s">
        <v>15901</v>
      </c>
      <c r="C5623" s="1126" t="s">
        <v>2178</v>
      </c>
      <c r="D5623" s="1119">
        <v>4.98</v>
      </c>
      <c r="E5623" s="1120">
        <v>1.16</v>
      </c>
      <c r="F5623" s="1121">
        <f t="shared" si="1"/>
        <v>3.83</v>
      </c>
      <c r="G5623" s="1120">
        <v>1.25</v>
      </c>
      <c r="H5623" s="1127">
        <v>2.58</v>
      </c>
      <c r="I5623" s="1127">
        <v>0.0</v>
      </c>
      <c r="J5623" s="1127">
        <v>0.0</v>
      </c>
      <c r="K5623" s="1124"/>
    </row>
    <row r="5624" ht="15.75" customHeight="1">
      <c r="A5624" s="1119">
        <v>90098.0</v>
      </c>
      <c r="B5624" s="1125" t="s">
        <v>15902</v>
      </c>
      <c r="C5624" s="1126" t="s">
        <v>2178</v>
      </c>
      <c r="D5624" s="1119">
        <v>4.9</v>
      </c>
      <c r="E5624" s="1120">
        <v>1.13</v>
      </c>
      <c r="F5624" s="1121">
        <f t="shared" si="1"/>
        <v>3.78</v>
      </c>
      <c r="G5624" s="1120">
        <v>1.24</v>
      </c>
      <c r="H5624" s="1127">
        <v>2.54</v>
      </c>
      <c r="I5624" s="1127">
        <v>0.0</v>
      </c>
      <c r="J5624" s="1127">
        <v>0.0</v>
      </c>
      <c r="K5624" s="1124"/>
    </row>
    <row r="5625" ht="15.75" customHeight="1">
      <c r="A5625" s="1119">
        <v>90099.0</v>
      </c>
      <c r="B5625" s="1125" t="s">
        <v>15903</v>
      </c>
      <c r="C5625" s="1126" t="s">
        <v>2178</v>
      </c>
      <c r="D5625" s="1119">
        <v>15.18</v>
      </c>
      <c r="E5625" s="1120">
        <v>5.55</v>
      </c>
      <c r="F5625" s="1121">
        <f t="shared" si="1"/>
        <v>9.64</v>
      </c>
      <c r="G5625" s="1120">
        <v>4.1</v>
      </c>
      <c r="H5625" s="1127">
        <v>5.54</v>
      </c>
      <c r="I5625" s="1127">
        <v>0.0</v>
      </c>
      <c r="J5625" s="1127">
        <v>0.0</v>
      </c>
      <c r="K5625" s="1124"/>
    </row>
    <row r="5626" ht="15.75" customHeight="1">
      <c r="A5626" s="1119">
        <v>90100.0</v>
      </c>
      <c r="B5626" s="1125" t="s">
        <v>15904</v>
      </c>
      <c r="C5626" s="1126" t="s">
        <v>2178</v>
      </c>
      <c r="D5626" s="1119">
        <v>12.88</v>
      </c>
      <c r="E5626" s="1120">
        <v>4.72</v>
      </c>
      <c r="F5626" s="1121">
        <f t="shared" si="1"/>
        <v>8.17</v>
      </c>
      <c r="G5626" s="1120">
        <v>3.45</v>
      </c>
      <c r="H5626" s="1127">
        <v>4.72</v>
      </c>
      <c r="I5626" s="1127">
        <v>0.0</v>
      </c>
      <c r="J5626" s="1127">
        <v>0.0</v>
      </c>
      <c r="K5626" s="1124"/>
    </row>
    <row r="5627" ht="15.75" customHeight="1">
      <c r="A5627" s="1119">
        <v>90101.0</v>
      </c>
      <c r="B5627" s="1125" t="s">
        <v>15905</v>
      </c>
      <c r="C5627" s="1126" t="s">
        <v>2178</v>
      </c>
      <c r="D5627" s="1119">
        <v>12.72</v>
      </c>
      <c r="E5627" s="1120">
        <v>4.64</v>
      </c>
      <c r="F5627" s="1121">
        <f t="shared" si="1"/>
        <v>8.08</v>
      </c>
      <c r="G5627" s="1120">
        <v>3.43</v>
      </c>
      <c r="H5627" s="1127">
        <v>4.65</v>
      </c>
      <c r="I5627" s="1127">
        <v>0.0</v>
      </c>
      <c r="J5627" s="1127">
        <v>0.0</v>
      </c>
      <c r="K5627" s="1124"/>
    </row>
    <row r="5628" ht="15.75" customHeight="1">
      <c r="A5628" s="1119">
        <v>90102.0</v>
      </c>
      <c r="B5628" s="1125" t="s">
        <v>15906</v>
      </c>
      <c r="C5628" s="1126" t="s">
        <v>2178</v>
      </c>
      <c r="D5628" s="1119">
        <v>11.58</v>
      </c>
      <c r="E5628" s="1120">
        <v>4.22</v>
      </c>
      <c r="F5628" s="1121">
        <f t="shared" si="1"/>
        <v>7.36</v>
      </c>
      <c r="G5628" s="1120">
        <v>3.11</v>
      </c>
      <c r="H5628" s="1127">
        <v>4.25</v>
      </c>
      <c r="I5628" s="1127">
        <v>0.0</v>
      </c>
      <c r="J5628" s="1127">
        <v>0.0</v>
      </c>
      <c r="K5628" s="1124"/>
    </row>
    <row r="5629" ht="15.75" customHeight="1">
      <c r="A5629" s="1119">
        <v>90105.0</v>
      </c>
      <c r="B5629" s="1125" t="s">
        <v>15907</v>
      </c>
      <c r="C5629" s="1126" t="s">
        <v>2178</v>
      </c>
      <c r="D5629" s="1119">
        <v>8.36</v>
      </c>
      <c r="E5629" s="1120">
        <v>3.07</v>
      </c>
      <c r="F5629" s="1121">
        <f t="shared" si="1"/>
        <v>5.31</v>
      </c>
      <c r="G5629" s="1120">
        <v>2.24</v>
      </c>
      <c r="H5629" s="1127">
        <v>3.07</v>
      </c>
      <c r="I5629" s="1127">
        <v>0.0</v>
      </c>
      <c r="J5629" s="1127">
        <v>0.0</v>
      </c>
      <c r="K5629" s="1124"/>
    </row>
    <row r="5630" ht="15.75" customHeight="1">
      <c r="A5630" s="1119">
        <v>90106.0</v>
      </c>
      <c r="B5630" s="1125" t="s">
        <v>15908</v>
      </c>
      <c r="C5630" s="1126" t="s">
        <v>2178</v>
      </c>
      <c r="D5630" s="1119">
        <v>7.11</v>
      </c>
      <c r="E5630" s="1120">
        <v>2.59</v>
      </c>
      <c r="F5630" s="1121">
        <f t="shared" si="1"/>
        <v>4.52</v>
      </c>
      <c r="G5630" s="1120">
        <v>1.9</v>
      </c>
      <c r="H5630" s="1127">
        <v>2.62</v>
      </c>
      <c r="I5630" s="1127">
        <v>0.0</v>
      </c>
      <c r="J5630" s="1127">
        <v>0.0</v>
      </c>
      <c r="K5630" s="1124"/>
    </row>
    <row r="5631" ht="15.75" customHeight="1">
      <c r="A5631" s="1119">
        <v>90107.0</v>
      </c>
      <c r="B5631" s="1125" t="s">
        <v>15909</v>
      </c>
      <c r="C5631" s="1126" t="s">
        <v>2178</v>
      </c>
      <c r="D5631" s="1119">
        <v>7.01</v>
      </c>
      <c r="E5631" s="1120">
        <v>2.56</v>
      </c>
      <c r="F5631" s="1121">
        <f t="shared" si="1"/>
        <v>4.46</v>
      </c>
      <c r="G5631" s="1120">
        <v>1.87</v>
      </c>
      <c r="H5631" s="1127">
        <v>2.59</v>
      </c>
      <c r="I5631" s="1127">
        <v>0.0</v>
      </c>
      <c r="J5631" s="1127">
        <v>0.0</v>
      </c>
      <c r="K5631" s="1124"/>
    </row>
    <row r="5632" ht="15.75" customHeight="1">
      <c r="A5632" s="1119">
        <v>90108.0</v>
      </c>
      <c r="B5632" s="1125" t="s">
        <v>15910</v>
      </c>
      <c r="C5632" s="1126" t="s">
        <v>2178</v>
      </c>
      <c r="D5632" s="1119">
        <v>6.38</v>
      </c>
      <c r="E5632" s="1120">
        <v>2.33</v>
      </c>
      <c r="F5632" s="1121">
        <f t="shared" si="1"/>
        <v>4.07</v>
      </c>
      <c r="G5632" s="1120">
        <v>1.71</v>
      </c>
      <c r="H5632" s="1127">
        <v>2.36</v>
      </c>
      <c r="I5632" s="1127">
        <v>0.0</v>
      </c>
      <c r="J5632" s="1127">
        <v>0.0</v>
      </c>
      <c r="K5632" s="1124"/>
    </row>
    <row r="5633" ht="15.75" customHeight="1">
      <c r="A5633" s="1119">
        <v>93358.0</v>
      </c>
      <c r="B5633" s="1125" t="s">
        <v>15911</v>
      </c>
      <c r="C5633" s="1126" t="s">
        <v>2178</v>
      </c>
      <c r="D5633" s="1119">
        <v>99.37</v>
      </c>
      <c r="E5633" s="1120">
        <v>68.93</v>
      </c>
      <c r="F5633" s="1121">
        <f t="shared" si="1"/>
        <v>30.44</v>
      </c>
      <c r="G5633" s="1120">
        <v>30.44</v>
      </c>
      <c r="H5633" s="1127">
        <v>0.0</v>
      </c>
      <c r="I5633" s="1127">
        <v>0.0</v>
      </c>
      <c r="J5633" s="1127">
        <v>0.0</v>
      </c>
      <c r="K5633" s="1124"/>
    </row>
    <row r="5634" ht="15.75" customHeight="1">
      <c r="A5634" s="1119">
        <v>102276.0</v>
      </c>
      <c r="B5634" s="1125" t="s">
        <v>15912</v>
      </c>
      <c r="C5634" s="1126" t="s">
        <v>2178</v>
      </c>
      <c r="D5634" s="1119">
        <v>12.37</v>
      </c>
      <c r="E5634" s="1120">
        <v>3.21</v>
      </c>
      <c r="F5634" s="1121">
        <f t="shared" si="1"/>
        <v>9.16</v>
      </c>
      <c r="G5634" s="1120">
        <v>2.81</v>
      </c>
      <c r="H5634" s="1127">
        <v>6.35</v>
      </c>
      <c r="I5634" s="1127">
        <v>0.0</v>
      </c>
      <c r="J5634" s="1127">
        <v>0.0</v>
      </c>
      <c r="K5634" s="1124"/>
    </row>
    <row r="5635" ht="15.75" customHeight="1">
      <c r="A5635" s="1119">
        <v>102277.0</v>
      </c>
      <c r="B5635" s="1125" t="s">
        <v>15913</v>
      </c>
      <c r="C5635" s="1126" t="s">
        <v>2178</v>
      </c>
      <c r="D5635" s="1119">
        <v>9.78</v>
      </c>
      <c r="E5635" s="1120">
        <v>2.53</v>
      </c>
      <c r="F5635" s="1121">
        <f t="shared" si="1"/>
        <v>7.24</v>
      </c>
      <c r="G5635" s="1120">
        <v>2.21</v>
      </c>
      <c r="H5635" s="1127">
        <v>5.03</v>
      </c>
      <c r="I5635" s="1127">
        <v>0.0</v>
      </c>
      <c r="J5635" s="1127">
        <v>0.0</v>
      </c>
      <c r="K5635" s="1124"/>
    </row>
    <row r="5636" ht="15.75" customHeight="1">
      <c r="A5636" s="1119">
        <v>102278.0</v>
      </c>
      <c r="B5636" s="1125" t="s">
        <v>15914</v>
      </c>
      <c r="C5636" s="1126" t="s">
        <v>2178</v>
      </c>
      <c r="D5636" s="1119">
        <v>9.45</v>
      </c>
      <c r="E5636" s="1120">
        <v>2.19</v>
      </c>
      <c r="F5636" s="1121">
        <f t="shared" si="1"/>
        <v>7.25</v>
      </c>
      <c r="G5636" s="1120">
        <v>2.4</v>
      </c>
      <c r="H5636" s="1127">
        <v>4.85</v>
      </c>
      <c r="I5636" s="1127">
        <v>0.0</v>
      </c>
      <c r="J5636" s="1127">
        <v>0.0</v>
      </c>
      <c r="K5636" s="1124"/>
    </row>
    <row r="5637" ht="15.75" customHeight="1">
      <c r="A5637" s="1119">
        <v>102279.0</v>
      </c>
      <c r="B5637" s="1125" t="s">
        <v>15915</v>
      </c>
      <c r="C5637" s="1126" t="s">
        <v>2178</v>
      </c>
      <c r="D5637" s="1119">
        <v>6.82</v>
      </c>
      <c r="E5637" s="1120">
        <v>1.76</v>
      </c>
      <c r="F5637" s="1121">
        <f t="shared" si="1"/>
        <v>5.06</v>
      </c>
      <c r="G5637" s="1120">
        <v>1.52</v>
      </c>
      <c r="H5637" s="1127">
        <v>3.54</v>
      </c>
      <c r="I5637" s="1127">
        <v>0.0</v>
      </c>
      <c r="J5637" s="1127">
        <v>0.0</v>
      </c>
      <c r="K5637" s="1124"/>
    </row>
    <row r="5638" ht="15.75" customHeight="1">
      <c r="A5638" s="1119">
        <v>102280.0</v>
      </c>
      <c r="B5638" s="1125" t="s">
        <v>15916</v>
      </c>
      <c r="C5638" s="1126" t="s">
        <v>2178</v>
      </c>
      <c r="D5638" s="1119">
        <v>5.39</v>
      </c>
      <c r="E5638" s="1120">
        <v>1.4</v>
      </c>
      <c r="F5638" s="1121">
        <f t="shared" si="1"/>
        <v>3.99</v>
      </c>
      <c r="G5638" s="1120">
        <v>1.18</v>
      </c>
      <c r="H5638" s="1127">
        <v>2.81</v>
      </c>
      <c r="I5638" s="1127">
        <v>0.0</v>
      </c>
      <c r="J5638" s="1127">
        <v>0.0</v>
      </c>
      <c r="K5638" s="1124"/>
    </row>
    <row r="5639" ht="15.75" customHeight="1">
      <c r="A5639" s="1119">
        <v>102281.0</v>
      </c>
      <c r="B5639" s="1125" t="s">
        <v>15917</v>
      </c>
      <c r="C5639" s="1126" t="s">
        <v>2178</v>
      </c>
      <c r="D5639" s="1119">
        <v>5.21</v>
      </c>
      <c r="E5639" s="1120">
        <v>1.21</v>
      </c>
      <c r="F5639" s="1121">
        <f t="shared" si="1"/>
        <v>3.99</v>
      </c>
      <c r="G5639" s="1120">
        <v>1.3</v>
      </c>
      <c r="H5639" s="1127">
        <v>2.69</v>
      </c>
      <c r="I5639" s="1127">
        <v>0.0</v>
      </c>
      <c r="J5639" s="1127">
        <v>0.0</v>
      </c>
      <c r="K5639" s="1124"/>
    </row>
    <row r="5640" ht="15.75" customHeight="1">
      <c r="A5640" s="1119">
        <v>102282.0</v>
      </c>
      <c r="B5640" s="1125" t="s">
        <v>15918</v>
      </c>
      <c r="C5640" s="1126" t="s">
        <v>2178</v>
      </c>
      <c r="D5640" s="1119">
        <v>13.75</v>
      </c>
      <c r="E5640" s="1120">
        <v>3.58</v>
      </c>
      <c r="F5640" s="1121">
        <f t="shared" si="1"/>
        <v>10.16</v>
      </c>
      <c r="G5640" s="1120">
        <v>3.1</v>
      </c>
      <c r="H5640" s="1127">
        <v>7.06</v>
      </c>
      <c r="I5640" s="1127">
        <v>0.0</v>
      </c>
      <c r="J5640" s="1127">
        <v>0.0</v>
      </c>
      <c r="K5640" s="1124"/>
    </row>
    <row r="5641" ht="15.75" customHeight="1">
      <c r="A5641" s="1119">
        <v>102283.0</v>
      </c>
      <c r="B5641" s="1125" t="s">
        <v>15919</v>
      </c>
      <c r="C5641" s="1126" t="s">
        <v>2178</v>
      </c>
      <c r="D5641" s="1119">
        <v>12.21</v>
      </c>
      <c r="E5641" s="1120">
        <v>3.17</v>
      </c>
      <c r="F5641" s="1121">
        <f t="shared" si="1"/>
        <v>9.05</v>
      </c>
      <c r="G5641" s="1120">
        <v>2.77</v>
      </c>
      <c r="H5641" s="1127">
        <v>6.28</v>
      </c>
      <c r="I5641" s="1127">
        <v>0.0</v>
      </c>
      <c r="J5641" s="1127">
        <v>0.0</v>
      </c>
      <c r="K5641" s="1124"/>
    </row>
    <row r="5642" ht="15.75" customHeight="1">
      <c r="A5642" s="1119">
        <v>102284.0</v>
      </c>
      <c r="B5642" s="1125" t="s">
        <v>15920</v>
      </c>
      <c r="C5642" s="1126" t="s">
        <v>2178</v>
      </c>
      <c r="D5642" s="1119">
        <v>11.83</v>
      </c>
      <c r="E5642" s="1120">
        <v>3.07</v>
      </c>
      <c r="F5642" s="1121">
        <f t="shared" si="1"/>
        <v>8.77</v>
      </c>
      <c r="G5642" s="1120">
        <v>2.69</v>
      </c>
      <c r="H5642" s="1127">
        <v>6.08</v>
      </c>
      <c r="I5642" s="1127">
        <v>0.0</v>
      </c>
      <c r="J5642" s="1127">
        <v>0.0</v>
      </c>
      <c r="K5642" s="1124"/>
    </row>
    <row r="5643" ht="15.75" customHeight="1">
      <c r="A5643" s="1119">
        <v>102285.0</v>
      </c>
      <c r="B5643" s="1125" t="s">
        <v>15921</v>
      </c>
      <c r="C5643" s="1126" t="s">
        <v>2178</v>
      </c>
      <c r="D5643" s="1119">
        <v>11.17</v>
      </c>
      <c r="E5643" s="1120">
        <v>2.9</v>
      </c>
      <c r="F5643" s="1121">
        <f t="shared" si="1"/>
        <v>8.28</v>
      </c>
      <c r="G5643" s="1120">
        <v>2.53</v>
      </c>
      <c r="H5643" s="1127">
        <v>5.75</v>
      </c>
      <c r="I5643" s="1127">
        <v>0.0</v>
      </c>
      <c r="J5643" s="1127">
        <v>0.0</v>
      </c>
      <c r="K5643" s="1124"/>
    </row>
    <row r="5644" ht="15.75" customHeight="1">
      <c r="A5644" s="1119">
        <v>102286.0</v>
      </c>
      <c r="B5644" s="1125" t="s">
        <v>15922</v>
      </c>
      <c r="C5644" s="1126" t="s">
        <v>2178</v>
      </c>
      <c r="D5644" s="1119">
        <v>10.87</v>
      </c>
      <c r="E5644" s="1120">
        <v>2.82</v>
      </c>
      <c r="F5644" s="1121">
        <f t="shared" si="1"/>
        <v>8.04</v>
      </c>
      <c r="G5644" s="1120">
        <v>2.45</v>
      </c>
      <c r="H5644" s="1127">
        <v>5.59</v>
      </c>
      <c r="I5644" s="1127">
        <v>0.0</v>
      </c>
      <c r="J5644" s="1127">
        <v>0.0</v>
      </c>
      <c r="K5644" s="1124"/>
    </row>
    <row r="5645" ht="15.75" customHeight="1">
      <c r="A5645" s="1119">
        <v>102287.0</v>
      </c>
      <c r="B5645" s="1125" t="s">
        <v>15923</v>
      </c>
      <c r="C5645" s="1126" t="s">
        <v>2178</v>
      </c>
      <c r="D5645" s="1119">
        <v>10.5</v>
      </c>
      <c r="E5645" s="1120">
        <v>2.44</v>
      </c>
      <c r="F5645" s="1121">
        <f t="shared" si="1"/>
        <v>8.06</v>
      </c>
      <c r="G5645" s="1120">
        <v>2.67</v>
      </c>
      <c r="H5645" s="1127">
        <v>5.39</v>
      </c>
      <c r="I5645" s="1127">
        <v>0.0</v>
      </c>
      <c r="J5645" s="1127">
        <v>0.0</v>
      </c>
      <c r="K5645" s="1124"/>
    </row>
    <row r="5646" ht="15.75" customHeight="1">
      <c r="A5646" s="1119">
        <v>102288.0</v>
      </c>
      <c r="B5646" s="1125" t="s">
        <v>15924</v>
      </c>
      <c r="C5646" s="1126" t="s">
        <v>2178</v>
      </c>
      <c r="D5646" s="1119">
        <v>10.08</v>
      </c>
      <c r="E5646" s="1120">
        <v>2.34</v>
      </c>
      <c r="F5646" s="1121">
        <f t="shared" si="1"/>
        <v>7.75</v>
      </c>
      <c r="G5646" s="1120">
        <v>2.57</v>
      </c>
      <c r="H5646" s="1127">
        <v>5.18</v>
      </c>
      <c r="I5646" s="1127">
        <v>0.0</v>
      </c>
      <c r="J5646" s="1127">
        <v>0.0</v>
      </c>
      <c r="K5646" s="1124"/>
    </row>
    <row r="5647" ht="15.75" customHeight="1">
      <c r="A5647" s="1119">
        <v>102289.0</v>
      </c>
      <c r="B5647" s="1125" t="s">
        <v>15925</v>
      </c>
      <c r="C5647" s="1126" t="s">
        <v>2178</v>
      </c>
      <c r="D5647" s="1119">
        <v>9.85</v>
      </c>
      <c r="E5647" s="1120">
        <v>2.28</v>
      </c>
      <c r="F5647" s="1121">
        <f t="shared" si="1"/>
        <v>7.56</v>
      </c>
      <c r="G5647" s="1120">
        <v>2.5</v>
      </c>
      <c r="H5647" s="1127">
        <v>5.06</v>
      </c>
      <c r="I5647" s="1127">
        <v>0.0</v>
      </c>
      <c r="J5647" s="1127">
        <v>0.0</v>
      </c>
      <c r="K5647" s="1124"/>
    </row>
    <row r="5648" ht="15.75" customHeight="1">
      <c r="A5648" s="1119">
        <v>102290.0</v>
      </c>
      <c r="B5648" s="1125" t="s">
        <v>15926</v>
      </c>
      <c r="C5648" s="1126" t="s">
        <v>2178</v>
      </c>
      <c r="D5648" s="1119">
        <v>7.58</v>
      </c>
      <c r="E5648" s="1120">
        <v>1.97</v>
      </c>
      <c r="F5648" s="1121">
        <f t="shared" si="1"/>
        <v>5.61</v>
      </c>
      <c r="G5648" s="1120">
        <v>1.69</v>
      </c>
      <c r="H5648" s="1127">
        <v>3.92</v>
      </c>
      <c r="I5648" s="1127">
        <v>0.0</v>
      </c>
      <c r="J5648" s="1127">
        <v>0.0</v>
      </c>
      <c r="K5648" s="1124"/>
    </row>
    <row r="5649" ht="15.75" customHeight="1">
      <c r="A5649" s="1119">
        <v>102291.0</v>
      </c>
      <c r="B5649" s="1125" t="s">
        <v>15927</v>
      </c>
      <c r="C5649" s="1126" t="s">
        <v>2178</v>
      </c>
      <c r="D5649" s="1119">
        <v>6.73</v>
      </c>
      <c r="E5649" s="1120">
        <v>1.75</v>
      </c>
      <c r="F5649" s="1121">
        <f t="shared" si="1"/>
        <v>4.98</v>
      </c>
      <c r="G5649" s="1120">
        <v>1.5</v>
      </c>
      <c r="H5649" s="1127">
        <v>3.48</v>
      </c>
      <c r="I5649" s="1127">
        <v>0.0</v>
      </c>
      <c r="J5649" s="1127">
        <v>0.0</v>
      </c>
      <c r="K5649" s="1124"/>
    </row>
    <row r="5650" ht="15.75" customHeight="1">
      <c r="A5650" s="1119">
        <v>102292.0</v>
      </c>
      <c r="B5650" s="1125" t="s">
        <v>15928</v>
      </c>
      <c r="C5650" s="1126" t="s">
        <v>2178</v>
      </c>
      <c r="D5650" s="1119">
        <v>6.52</v>
      </c>
      <c r="E5650" s="1120">
        <v>1.7</v>
      </c>
      <c r="F5650" s="1121">
        <f t="shared" si="1"/>
        <v>4.83</v>
      </c>
      <c r="G5650" s="1120">
        <v>1.46</v>
      </c>
      <c r="H5650" s="1127">
        <v>3.37</v>
      </c>
      <c r="I5650" s="1127">
        <v>0.0</v>
      </c>
      <c r="J5650" s="1127">
        <v>0.0</v>
      </c>
      <c r="K5650" s="1124"/>
    </row>
    <row r="5651" ht="15.75" customHeight="1">
      <c r="A5651" s="1119">
        <v>102293.0</v>
      </c>
      <c r="B5651" s="1125" t="s">
        <v>15929</v>
      </c>
      <c r="C5651" s="1126" t="s">
        <v>2178</v>
      </c>
      <c r="D5651" s="1119">
        <v>6.18</v>
      </c>
      <c r="E5651" s="1120">
        <v>1.6</v>
      </c>
      <c r="F5651" s="1121">
        <f t="shared" si="1"/>
        <v>4.57</v>
      </c>
      <c r="G5651" s="1120">
        <v>1.38</v>
      </c>
      <c r="H5651" s="1127">
        <v>3.19</v>
      </c>
      <c r="I5651" s="1127">
        <v>0.0</v>
      </c>
      <c r="J5651" s="1127">
        <v>0.0</v>
      </c>
      <c r="K5651" s="1124"/>
    </row>
    <row r="5652" ht="15.75" customHeight="1">
      <c r="A5652" s="1119">
        <v>102294.0</v>
      </c>
      <c r="B5652" s="1125" t="s">
        <v>15930</v>
      </c>
      <c r="C5652" s="1126" t="s">
        <v>2178</v>
      </c>
      <c r="D5652" s="1119">
        <v>6.01</v>
      </c>
      <c r="E5652" s="1120">
        <v>1.56</v>
      </c>
      <c r="F5652" s="1121">
        <f t="shared" si="1"/>
        <v>4.46</v>
      </c>
      <c r="G5652" s="1120">
        <v>1.35</v>
      </c>
      <c r="H5652" s="1127">
        <v>3.11</v>
      </c>
      <c r="I5652" s="1127">
        <v>0.0</v>
      </c>
      <c r="J5652" s="1127">
        <v>0.0</v>
      </c>
      <c r="K5652" s="1124"/>
    </row>
    <row r="5653" ht="15.75" customHeight="1">
      <c r="A5653" s="1119">
        <v>102295.0</v>
      </c>
      <c r="B5653" s="1125" t="s">
        <v>15931</v>
      </c>
      <c r="C5653" s="1126" t="s">
        <v>2178</v>
      </c>
      <c r="D5653" s="1119">
        <v>5.78</v>
      </c>
      <c r="E5653" s="1120">
        <v>1.35</v>
      </c>
      <c r="F5653" s="1121">
        <f t="shared" si="1"/>
        <v>4.45</v>
      </c>
      <c r="G5653" s="1120">
        <v>1.44</v>
      </c>
      <c r="H5653" s="1127">
        <v>3.01</v>
      </c>
      <c r="I5653" s="1127">
        <v>0.0</v>
      </c>
      <c r="J5653" s="1127">
        <v>0.0</v>
      </c>
      <c r="K5653" s="1124"/>
    </row>
    <row r="5654" ht="15.75" customHeight="1">
      <c r="A5654" s="1119">
        <v>102296.0</v>
      </c>
      <c r="B5654" s="1125" t="s">
        <v>15932</v>
      </c>
      <c r="C5654" s="1126" t="s">
        <v>2178</v>
      </c>
      <c r="D5654" s="1119">
        <v>5.55</v>
      </c>
      <c r="E5654" s="1120">
        <v>1.3</v>
      </c>
      <c r="F5654" s="1121">
        <f t="shared" si="1"/>
        <v>4.26</v>
      </c>
      <c r="G5654" s="1120">
        <v>1.38</v>
      </c>
      <c r="H5654" s="1127">
        <v>2.88</v>
      </c>
      <c r="I5654" s="1127">
        <v>0.0</v>
      </c>
      <c r="J5654" s="1127">
        <v>0.0</v>
      </c>
      <c r="K5654" s="1124"/>
    </row>
    <row r="5655" ht="15.75" customHeight="1">
      <c r="A5655" s="1119">
        <v>102297.0</v>
      </c>
      <c r="B5655" s="1125" t="s">
        <v>15933</v>
      </c>
      <c r="C5655" s="1126" t="s">
        <v>2178</v>
      </c>
      <c r="D5655" s="1119">
        <v>5.43</v>
      </c>
      <c r="E5655" s="1120">
        <v>1.26</v>
      </c>
      <c r="F5655" s="1121">
        <f t="shared" si="1"/>
        <v>4.18</v>
      </c>
      <c r="G5655" s="1120">
        <v>1.36</v>
      </c>
      <c r="H5655" s="1127">
        <v>2.82</v>
      </c>
      <c r="I5655" s="1127">
        <v>0.0</v>
      </c>
      <c r="J5655" s="1127">
        <v>0.0</v>
      </c>
      <c r="K5655" s="1124"/>
    </row>
    <row r="5656" ht="15.75" customHeight="1">
      <c r="A5656" s="1119">
        <v>102298.0</v>
      </c>
      <c r="B5656" s="1125" t="s">
        <v>15934</v>
      </c>
      <c r="C5656" s="1126" t="s">
        <v>2178</v>
      </c>
      <c r="D5656" s="1119">
        <v>16.85</v>
      </c>
      <c r="E5656" s="1120">
        <v>6.16</v>
      </c>
      <c r="F5656" s="1121">
        <f t="shared" si="1"/>
        <v>10.72</v>
      </c>
      <c r="G5656" s="1120">
        <v>4.56</v>
      </c>
      <c r="H5656" s="1127">
        <v>6.16</v>
      </c>
      <c r="I5656" s="1127">
        <v>0.0</v>
      </c>
      <c r="J5656" s="1127">
        <v>0.0</v>
      </c>
      <c r="K5656" s="1124"/>
    </row>
    <row r="5657" ht="15.75" customHeight="1">
      <c r="A5657" s="1119">
        <v>102299.0</v>
      </c>
      <c r="B5657" s="1125" t="s">
        <v>15935</v>
      </c>
      <c r="C5657" s="1126" t="s">
        <v>2178</v>
      </c>
      <c r="D5657" s="1119">
        <v>14.32</v>
      </c>
      <c r="E5657" s="1120">
        <v>5.22</v>
      </c>
      <c r="F5657" s="1121">
        <f t="shared" si="1"/>
        <v>9.1</v>
      </c>
      <c r="G5657" s="1120">
        <v>3.86</v>
      </c>
      <c r="H5657" s="1127">
        <v>5.24</v>
      </c>
      <c r="I5657" s="1127">
        <v>0.0</v>
      </c>
      <c r="J5657" s="1127">
        <v>0.0</v>
      </c>
      <c r="K5657" s="1124"/>
    </row>
    <row r="5658" ht="15.75" customHeight="1">
      <c r="A5658" s="1119">
        <v>102300.0</v>
      </c>
      <c r="B5658" s="1125" t="s">
        <v>15936</v>
      </c>
      <c r="C5658" s="1126" t="s">
        <v>2178</v>
      </c>
      <c r="D5658" s="1119">
        <v>14.14</v>
      </c>
      <c r="E5658" s="1120">
        <v>5.18</v>
      </c>
      <c r="F5658" s="1121">
        <f t="shared" si="1"/>
        <v>8.99</v>
      </c>
      <c r="G5658" s="1120">
        <v>3.81</v>
      </c>
      <c r="H5658" s="1127">
        <v>5.18</v>
      </c>
      <c r="I5658" s="1127">
        <v>0.0</v>
      </c>
      <c r="J5658" s="1127">
        <v>0.0</v>
      </c>
      <c r="K5658" s="1124"/>
    </row>
    <row r="5659" ht="15.75" customHeight="1">
      <c r="A5659" s="1119">
        <v>102301.0</v>
      </c>
      <c r="B5659" s="1125" t="s">
        <v>15937</v>
      </c>
      <c r="C5659" s="1126" t="s">
        <v>2178</v>
      </c>
      <c r="D5659" s="1119">
        <v>12.86</v>
      </c>
      <c r="E5659" s="1120">
        <v>4.7</v>
      </c>
      <c r="F5659" s="1121">
        <f t="shared" si="1"/>
        <v>8.17</v>
      </c>
      <c r="G5659" s="1120">
        <v>3.45</v>
      </c>
      <c r="H5659" s="1127">
        <v>4.72</v>
      </c>
      <c r="I5659" s="1127">
        <v>0.0</v>
      </c>
      <c r="J5659" s="1127">
        <v>0.0</v>
      </c>
      <c r="K5659" s="1124"/>
    </row>
    <row r="5660" ht="15.75" customHeight="1">
      <c r="A5660" s="1119">
        <v>102302.0</v>
      </c>
      <c r="B5660" s="1125" t="s">
        <v>15938</v>
      </c>
      <c r="C5660" s="1126" t="s">
        <v>2178</v>
      </c>
      <c r="D5660" s="1119">
        <v>9.29</v>
      </c>
      <c r="E5660" s="1120">
        <v>3.42</v>
      </c>
      <c r="F5660" s="1121">
        <f t="shared" si="1"/>
        <v>5.89</v>
      </c>
      <c r="G5660" s="1120">
        <v>2.48</v>
      </c>
      <c r="H5660" s="1127">
        <v>3.41</v>
      </c>
      <c r="I5660" s="1127">
        <v>0.0</v>
      </c>
      <c r="J5660" s="1127">
        <v>0.0</v>
      </c>
      <c r="K5660" s="1124"/>
    </row>
    <row r="5661" ht="15.75" customHeight="1">
      <c r="A5661" s="1119">
        <v>102303.0</v>
      </c>
      <c r="B5661" s="1125" t="s">
        <v>15939</v>
      </c>
      <c r="C5661" s="1126" t="s">
        <v>2178</v>
      </c>
      <c r="D5661" s="1119">
        <v>7.89</v>
      </c>
      <c r="E5661" s="1120">
        <v>2.88</v>
      </c>
      <c r="F5661" s="1121">
        <f t="shared" si="1"/>
        <v>5.01</v>
      </c>
      <c r="G5661" s="1120">
        <v>2.11</v>
      </c>
      <c r="H5661" s="1127">
        <v>2.9</v>
      </c>
      <c r="I5661" s="1127">
        <v>0.0</v>
      </c>
      <c r="J5661" s="1127">
        <v>0.0</v>
      </c>
      <c r="K5661" s="1124"/>
    </row>
    <row r="5662" ht="15.75" customHeight="1">
      <c r="A5662" s="1119">
        <v>102304.0</v>
      </c>
      <c r="B5662" s="1125" t="s">
        <v>15940</v>
      </c>
      <c r="C5662" s="1126" t="s">
        <v>2178</v>
      </c>
      <c r="D5662" s="1119">
        <v>7.79</v>
      </c>
      <c r="E5662" s="1120">
        <v>2.84</v>
      </c>
      <c r="F5662" s="1121">
        <f t="shared" si="1"/>
        <v>4.94</v>
      </c>
      <c r="G5662" s="1120">
        <v>2.07</v>
      </c>
      <c r="H5662" s="1127">
        <v>2.87</v>
      </c>
      <c r="I5662" s="1127">
        <v>0.0</v>
      </c>
      <c r="J5662" s="1127">
        <v>0.0</v>
      </c>
      <c r="K5662" s="1124"/>
    </row>
    <row r="5663" ht="15.75" customHeight="1">
      <c r="A5663" s="1119">
        <v>102305.0</v>
      </c>
      <c r="B5663" s="1125" t="s">
        <v>15941</v>
      </c>
      <c r="C5663" s="1126" t="s">
        <v>2178</v>
      </c>
      <c r="D5663" s="1119">
        <v>7.09</v>
      </c>
      <c r="E5663" s="1120">
        <v>2.59</v>
      </c>
      <c r="F5663" s="1121">
        <f t="shared" si="1"/>
        <v>4.51</v>
      </c>
      <c r="G5663" s="1120">
        <v>1.89</v>
      </c>
      <c r="H5663" s="1127">
        <v>2.62</v>
      </c>
      <c r="I5663" s="1127">
        <v>0.0</v>
      </c>
      <c r="J5663" s="1127">
        <v>0.0</v>
      </c>
      <c r="K5663" s="1124"/>
    </row>
    <row r="5664" ht="15.75" customHeight="1">
      <c r="A5664" s="1119">
        <v>102306.0</v>
      </c>
      <c r="B5664" s="1125" t="s">
        <v>15942</v>
      </c>
      <c r="C5664" s="1126" t="s">
        <v>2178</v>
      </c>
      <c r="D5664" s="1119">
        <v>15.48</v>
      </c>
      <c r="E5664" s="1120">
        <v>4.03</v>
      </c>
      <c r="F5664" s="1121">
        <f t="shared" si="1"/>
        <v>11.46</v>
      </c>
      <c r="G5664" s="1120">
        <v>3.51</v>
      </c>
      <c r="H5664" s="1127">
        <v>7.95</v>
      </c>
      <c r="I5664" s="1127">
        <v>0.0</v>
      </c>
      <c r="J5664" s="1127">
        <v>0.0</v>
      </c>
      <c r="K5664" s="1124"/>
    </row>
    <row r="5665" ht="15.75" customHeight="1">
      <c r="A5665" s="1119">
        <v>102307.0</v>
      </c>
      <c r="B5665" s="1125" t="s">
        <v>15943</v>
      </c>
      <c r="C5665" s="1126" t="s">
        <v>2178</v>
      </c>
      <c r="D5665" s="1119">
        <v>13.74</v>
      </c>
      <c r="E5665" s="1120">
        <v>3.58</v>
      </c>
      <c r="F5665" s="1121">
        <f t="shared" si="1"/>
        <v>10.16</v>
      </c>
      <c r="G5665" s="1120">
        <v>3.1</v>
      </c>
      <c r="H5665" s="1127">
        <v>7.06</v>
      </c>
      <c r="I5665" s="1127">
        <v>0.0</v>
      </c>
      <c r="J5665" s="1127">
        <v>0.0</v>
      </c>
      <c r="K5665" s="1124"/>
    </row>
    <row r="5666" ht="15.75" customHeight="1">
      <c r="A5666" s="1119">
        <v>102308.0</v>
      </c>
      <c r="B5666" s="1125" t="s">
        <v>15944</v>
      </c>
      <c r="C5666" s="1126" t="s">
        <v>2178</v>
      </c>
      <c r="D5666" s="1119">
        <v>13.32</v>
      </c>
      <c r="E5666" s="1120">
        <v>3.46</v>
      </c>
      <c r="F5666" s="1121">
        <f t="shared" si="1"/>
        <v>9.86</v>
      </c>
      <c r="G5666" s="1120">
        <v>3.03</v>
      </c>
      <c r="H5666" s="1127">
        <v>6.83</v>
      </c>
      <c r="I5666" s="1127">
        <v>0.0</v>
      </c>
      <c r="J5666" s="1127">
        <v>0.0</v>
      </c>
      <c r="K5666" s="1124"/>
    </row>
    <row r="5667" ht="15.75" customHeight="1">
      <c r="A5667" s="1119">
        <v>102309.0</v>
      </c>
      <c r="B5667" s="1125" t="s">
        <v>15945</v>
      </c>
      <c r="C5667" s="1126" t="s">
        <v>2178</v>
      </c>
      <c r="D5667" s="1119">
        <v>12.61</v>
      </c>
      <c r="E5667" s="1120">
        <v>3.27</v>
      </c>
      <c r="F5667" s="1121">
        <f t="shared" si="1"/>
        <v>9.34</v>
      </c>
      <c r="G5667" s="1120">
        <v>2.86</v>
      </c>
      <c r="H5667" s="1127">
        <v>6.48</v>
      </c>
      <c r="I5667" s="1127">
        <v>0.0</v>
      </c>
      <c r="J5667" s="1127">
        <v>0.0</v>
      </c>
      <c r="K5667" s="1124"/>
    </row>
    <row r="5668" ht="15.75" customHeight="1">
      <c r="A5668" s="1119">
        <v>102310.0</v>
      </c>
      <c r="B5668" s="1125" t="s">
        <v>15946</v>
      </c>
      <c r="C5668" s="1126" t="s">
        <v>2178</v>
      </c>
      <c r="D5668" s="1119">
        <v>12.23</v>
      </c>
      <c r="E5668" s="1120">
        <v>3.17</v>
      </c>
      <c r="F5668" s="1121">
        <f t="shared" si="1"/>
        <v>9.07</v>
      </c>
      <c r="G5668" s="1120">
        <v>2.78</v>
      </c>
      <c r="H5668" s="1127">
        <v>6.29</v>
      </c>
      <c r="I5668" s="1127">
        <v>0.0</v>
      </c>
      <c r="J5668" s="1127">
        <v>0.0</v>
      </c>
      <c r="K5668" s="1124"/>
    </row>
    <row r="5669" ht="15.75" customHeight="1">
      <c r="A5669" s="1119">
        <v>102311.0</v>
      </c>
      <c r="B5669" s="1125" t="s">
        <v>15947</v>
      </c>
      <c r="C5669" s="1126" t="s">
        <v>2178</v>
      </c>
      <c r="D5669" s="1119">
        <v>11.8</v>
      </c>
      <c r="E5669" s="1120">
        <v>2.75</v>
      </c>
      <c r="F5669" s="1121">
        <f t="shared" si="1"/>
        <v>9.06</v>
      </c>
      <c r="G5669" s="1120">
        <v>2.98</v>
      </c>
      <c r="H5669" s="1127">
        <v>6.08</v>
      </c>
      <c r="I5669" s="1127">
        <v>0.0</v>
      </c>
      <c r="J5669" s="1127">
        <v>0.0</v>
      </c>
      <c r="K5669" s="1124"/>
    </row>
    <row r="5670" ht="15.75" customHeight="1">
      <c r="A5670" s="1119">
        <v>102312.0</v>
      </c>
      <c r="B5670" s="1125" t="s">
        <v>15948</v>
      </c>
      <c r="C5670" s="1126" t="s">
        <v>2178</v>
      </c>
      <c r="D5670" s="1119">
        <v>11.34</v>
      </c>
      <c r="E5670" s="1120">
        <v>2.63</v>
      </c>
      <c r="F5670" s="1121">
        <f t="shared" si="1"/>
        <v>8.72</v>
      </c>
      <c r="G5670" s="1120">
        <v>2.88</v>
      </c>
      <c r="H5670" s="1127">
        <v>5.84</v>
      </c>
      <c r="I5670" s="1127">
        <v>0.0</v>
      </c>
      <c r="J5670" s="1127">
        <v>0.0</v>
      </c>
      <c r="K5670" s="1124"/>
    </row>
    <row r="5671" ht="15.75" customHeight="1">
      <c r="A5671" s="1119">
        <v>102313.0</v>
      </c>
      <c r="B5671" s="1125" t="s">
        <v>15949</v>
      </c>
      <c r="C5671" s="1126" t="s">
        <v>2178</v>
      </c>
      <c r="D5671" s="1119">
        <v>11.08</v>
      </c>
      <c r="E5671" s="1120">
        <v>2.57</v>
      </c>
      <c r="F5671" s="1121">
        <f t="shared" si="1"/>
        <v>8.52</v>
      </c>
      <c r="G5671" s="1120">
        <v>2.82</v>
      </c>
      <c r="H5671" s="1127">
        <v>5.7</v>
      </c>
      <c r="I5671" s="1127">
        <v>0.0</v>
      </c>
      <c r="J5671" s="1127">
        <v>0.0</v>
      </c>
      <c r="K5671" s="1124"/>
    </row>
    <row r="5672" ht="15.75" customHeight="1">
      <c r="A5672" s="1119">
        <v>102314.0</v>
      </c>
      <c r="B5672" s="1125" t="s">
        <v>15950</v>
      </c>
      <c r="C5672" s="1126" t="s">
        <v>2178</v>
      </c>
      <c r="D5672" s="1119">
        <v>8.55</v>
      </c>
      <c r="E5672" s="1120">
        <v>2.22</v>
      </c>
      <c r="F5672" s="1121">
        <f t="shared" si="1"/>
        <v>6.33</v>
      </c>
      <c r="G5672" s="1120">
        <v>1.93</v>
      </c>
      <c r="H5672" s="1127">
        <v>4.4</v>
      </c>
      <c r="I5672" s="1127">
        <v>0.0</v>
      </c>
      <c r="J5672" s="1127">
        <v>0.0</v>
      </c>
      <c r="K5672" s="1124"/>
    </row>
    <row r="5673" ht="15.75" customHeight="1">
      <c r="A5673" s="1119">
        <v>102315.0</v>
      </c>
      <c r="B5673" s="1125" t="s">
        <v>15951</v>
      </c>
      <c r="C5673" s="1126" t="s">
        <v>2178</v>
      </c>
      <c r="D5673" s="1119">
        <v>7.58</v>
      </c>
      <c r="E5673" s="1120">
        <v>1.96</v>
      </c>
      <c r="F5673" s="1121">
        <f t="shared" si="1"/>
        <v>5.61</v>
      </c>
      <c r="G5673" s="1120">
        <v>1.69</v>
      </c>
      <c r="H5673" s="1127">
        <v>3.92</v>
      </c>
      <c r="I5673" s="1127">
        <v>0.0</v>
      </c>
      <c r="J5673" s="1127">
        <v>0.0</v>
      </c>
      <c r="K5673" s="1124"/>
    </row>
    <row r="5674" ht="15.75" customHeight="1">
      <c r="A5674" s="1119">
        <v>102316.0</v>
      </c>
      <c r="B5674" s="1125" t="s">
        <v>15952</v>
      </c>
      <c r="C5674" s="1126" t="s">
        <v>2178</v>
      </c>
      <c r="D5674" s="1119">
        <v>7.34</v>
      </c>
      <c r="E5674" s="1120">
        <v>1.9</v>
      </c>
      <c r="F5674" s="1121">
        <f t="shared" si="1"/>
        <v>5.44</v>
      </c>
      <c r="G5674" s="1120">
        <v>1.64</v>
      </c>
      <c r="H5674" s="1127">
        <v>3.8</v>
      </c>
      <c r="I5674" s="1127">
        <v>0.0</v>
      </c>
      <c r="J5674" s="1127">
        <v>0.0</v>
      </c>
      <c r="K5674" s="1124"/>
    </row>
    <row r="5675" ht="15.75" customHeight="1">
      <c r="A5675" s="1119">
        <v>102317.0</v>
      </c>
      <c r="B5675" s="1125" t="s">
        <v>15953</v>
      </c>
      <c r="C5675" s="1126" t="s">
        <v>2178</v>
      </c>
      <c r="D5675" s="1119">
        <v>6.94</v>
      </c>
      <c r="E5675" s="1120">
        <v>1.8</v>
      </c>
      <c r="F5675" s="1121">
        <f t="shared" si="1"/>
        <v>5.14</v>
      </c>
      <c r="G5675" s="1120">
        <v>1.54</v>
      </c>
      <c r="H5675" s="1127">
        <v>3.6</v>
      </c>
      <c r="I5675" s="1127">
        <v>0.0</v>
      </c>
      <c r="J5675" s="1127">
        <v>0.0</v>
      </c>
      <c r="K5675" s="1124"/>
    </row>
    <row r="5676" ht="15.75" customHeight="1">
      <c r="A5676" s="1119">
        <v>102318.0</v>
      </c>
      <c r="B5676" s="1125" t="s">
        <v>15954</v>
      </c>
      <c r="C5676" s="1126" t="s">
        <v>2178</v>
      </c>
      <c r="D5676" s="1119">
        <v>6.75</v>
      </c>
      <c r="E5676" s="1120">
        <v>1.75</v>
      </c>
      <c r="F5676" s="1121">
        <f t="shared" si="1"/>
        <v>5</v>
      </c>
      <c r="G5676" s="1120">
        <v>1.51</v>
      </c>
      <c r="H5676" s="1127">
        <v>3.49</v>
      </c>
      <c r="I5676" s="1127">
        <v>0.0</v>
      </c>
      <c r="J5676" s="1127">
        <v>0.0</v>
      </c>
      <c r="K5676" s="1124"/>
    </row>
    <row r="5677" ht="15.75" customHeight="1">
      <c r="A5677" s="1119">
        <v>102319.0</v>
      </c>
      <c r="B5677" s="1125" t="s">
        <v>15955</v>
      </c>
      <c r="C5677" s="1126" t="s">
        <v>2178</v>
      </c>
      <c r="D5677" s="1119">
        <v>6.5</v>
      </c>
      <c r="E5677" s="1120">
        <v>1.52</v>
      </c>
      <c r="F5677" s="1121">
        <f t="shared" si="1"/>
        <v>4.99</v>
      </c>
      <c r="G5677" s="1120">
        <v>1.64</v>
      </c>
      <c r="H5677" s="1127">
        <v>3.35</v>
      </c>
      <c r="I5677" s="1127">
        <v>0.0</v>
      </c>
      <c r="J5677" s="1127">
        <v>0.0</v>
      </c>
      <c r="K5677" s="1124"/>
    </row>
    <row r="5678" ht="15.75" customHeight="1">
      <c r="A5678" s="1119">
        <v>102320.0</v>
      </c>
      <c r="B5678" s="1125" t="s">
        <v>15956</v>
      </c>
      <c r="C5678" s="1126" t="s">
        <v>2178</v>
      </c>
      <c r="D5678" s="1119">
        <v>6.24</v>
      </c>
      <c r="E5678" s="1120">
        <v>1.45</v>
      </c>
      <c r="F5678" s="1121">
        <f t="shared" si="1"/>
        <v>4.78</v>
      </c>
      <c r="G5678" s="1120">
        <v>1.56</v>
      </c>
      <c r="H5678" s="1127">
        <v>3.22</v>
      </c>
      <c r="I5678" s="1127">
        <v>0.0</v>
      </c>
      <c r="J5678" s="1127">
        <v>0.0</v>
      </c>
      <c r="K5678" s="1124"/>
    </row>
    <row r="5679" ht="15.75" customHeight="1">
      <c r="A5679" s="1119">
        <v>102321.0</v>
      </c>
      <c r="B5679" s="1125" t="s">
        <v>15957</v>
      </c>
      <c r="C5679" s="1126" t="s">
        <v>2178</v>
      </c>
      <c r="D5679" s="1119">
        <v>6.13</v>
      </c>
      <c r="E5679" s="1120">
        <v>1.43</v>
      </c>
      <c r="F5679" s="1121">
        <f t="shared" si="1"/>
        <v>4.7</v>
      </c>
      <c r="G5679" s="1120">
        <v>1.53</v>
      </c>
      <c r="H5679" s="1127">
        <v>3.17</v>
      </c>
      <c r="I5679" s="1127">
        <v>0.0</v>
      </c>
      <c r="J5679" s="1127">
        <v>0.0</v>
      </c>
      <c r="K5679" s="1124"/>
    </row>
    <row r="5680" ht="15.75" customHeight="1">
      <c r="A5680" s="1119">
        <v>102322.0</v>
      </c>
      <c r="B5680" s="1125" t="s">
        <v>15958</v>
      </c>
      <c r="C5680" s="1126" t="s">
        <v>2178</v>
      </c>
      <c r="D5680" s="1119">
        <v>18.97</v>
      </c>
      <c r="E5680" s="1120">
        <v>6.93</v>
      </c>
      <c r="F5680" s="1121">
        <f t="shared" si="1"/>
        <v>12.06</v>
      </c>
      <c r="G5680" s="1120">
        <v>5.14</v>
      </c>
      <c r="H5680" s="1127">
        <v>6.92</v>
      </c>
      <c r="I5680" s="1127">
        <v>0.0</v>
      </c>
      <c r="J5680" s="1127">
        <v>0.0</v>
      </c>
      <c r="K5680" s="1124"/>
    </row>
    <row r="5681" ht="15.75" customHeight="1">
      <c r="A5681" s="1119">
        <v>102323.0</v>
      </c>
      <c r="B5681" s="1125" t="s">
        <v>15959</v>
      </c>
      <c r="C5681" s="1126" t="s">
        <v>2178</v>
      </c>
      <c r="D5681" s="1119">
        <v>16.11</v>
      </c>
      <c r="E5681" s="1120">
        <v>5.87</v>
      </c>
      <c r="F5681" s="1121">
        <f t="shared" si="1"/>
        <v>10.25</v>
      </c>
      <c r="G5681" s="1120">
        <v>4.36</v>
      </c>
      <c r="H5681" s="1127">
        <v>5.89</v>
      </c>
      <c r="I5681" s="1127">
        <v>0.0</v>
      </c>
      <c r="J5681" s="1127">
        <v>0.0</v>
      </c>
      <c r="K5681" s="1124"/>
    </row>
    <row r="5682" ht="15.75" customHeight="1">
      <c r="A5682" s="1119">
        <v>102324.0</v>
      </c>
      <c r="B5682" s="1125" t="s">
        <v>15960</v>
      </c>
      <c r="C5682" s="1126" t="s">
        <v>2178</v>
      </c>
      <c r="D5682" s="1119">
        <v>15.9</v>
      </c>
      <c r="E5682" s="1120">
        <v>5.81</v>
      </c>
      <c r="F5682" s="1121">
        <f t="shared" si="1"/>
        <v>10.12</v>
      </c>
      <c r="G5682" s="1120">
        <v>4.32</v>
      </c>
      <c r="H5682" s="1127">
        <v>5.8</v>
      </c>
      <c r="I5682" s="1127">
        <v>0.0</v>
      </c>
      <c r="J5682" s="1127">
        <v>0.0</v>
      </c>
      <c r="K5682" s="1124"/>
    </row>
    <row r="5683" ht="15.75" customHeight="1">
      <c r="A5683" s="1119">
        <v>102325.0</v>
      </c>
      <c r="B5683" s="1125" t="s">
        <v>15961</v>
      </c>
      <c r="C5683" s="1126" t="s">
        <v>2178</v>
      </c>
      <c r="D5683" s="1119">
        <v>14.48</v>
      </c>
      <c r="E5683" s="1120">
        <v>5.31</v>
      </c>
      <c r="F5683" s="1121">
        <f t="shared" si="1"/>
        <v>9.19</v>
      </c>
      <c r="G5683" s="1120">
        <v>3.89</v>
      </c>
      <c r="H5683" s="1127">
        <v>5.3</v>
      </c>
      <c r="I5683" s="1127">
        <v>0.0</v>
      </c>
      <c r="J5683" s="1127">
        <v>0.0</v>
      </c>
      <c r="K5683" s="1124"/>
    </row>
    <row r="5684" ht="15.75" customHeight="1">
      <c r="A5684" s="1119">
        <v>102326.0</v>
      </c>
      <c r="B5684" s="1125" t="s">
        <v>15962</v>
      </c>
      <c r="C5684" s="1126" t="s">
        <v>2178</v>
      </c>
      <c r="D5684" s="1119">
        <v>10.47</v>
      </c>
      <c r="E5684" s="1120">
        <v>3.82</v>
      </c>
      <c r="F5684" s="1121">
        <f t="shared" si="1"/>
        <v>6.66</v>
      </c>
      <c r="G5684" s="1120">
        <v>2.82</v>
      </c>
      <c r="H5684" s="1127">
        <v>3.84</v>
      </c>
      <c r="I5684" s="1127">
        <v>0.0</v>
      </c>
      <c r="J5684" s="1127">
        <v>0.0</v>
      </c>
      <c r="K5684" s="1124"/>
    </row>
    <row r="5685" ht="15.75" customHeight="1">
      <c r="A5685" s="1119">
        <v>102327.0</v>
      </c>
      <c r="B5685" s="1125" t="s">
        <v>15963</v>
      </c>
      <c r="C5685" s="1126" t="s">
        <v>2178</v>
      </c>
      <c r="D5685" s="1119">
        <v>8.9</v>
      </c>
      <c r="E5685" s="1120">
        <v>3.26</v>
      </c>
      <c r="F5685" s="1121">
        <f t="shared" si="1"/>
        <v>5.64</v>
      </c>
      <c r="G5685" s="1120">
        <v>2.36</v>
      </c>
      <c r="H5685" s="1127">
        <v>3.28</v>
      </c>
      <c r="I5685" s="1127">
        <v>0.0</v>
      </c>
      <c r="J5685" s="1127">
        <v>0.0</v>
      </c>
      <c r="K5685" s="1124"/>
    </row>
    <row r="5686" ht="15.75" customHeight="1">
      <c r="A5686" s="1119">
        <v>102328.0</v>
      </c>
      <c r="B5686" s="1125" t="s">
        <v>15964</v>
      </c>
      <c r="C5686" s="1126" t="s">
        <v>2178</v>
      </c>
      <c r="D5686" s="1119">
        <v>8.77</v>
      </c>
      <c r="E5686" s="1120">
        <v>3.24</v>
      </c>
      <c r="F5686" s="1121">
        <f t="shared" si="1"/>
        <v>5.56</v>
      </c>
      <c r="G5686" s="1120">
        <v>2.33</v>
      </c>
      <c r="H5686" s="1127">
        <v>3.23</v>
      </c>
      <c r="I5686" s="1127">
        <v>0.0</v>
      </c>
      <c r="J5686" s="1127">
        <v>0.0</v>
      </c>
      <c r="K5686" s="1124"/>
    </row>
    <row r="5687" ht="15.75" customHeight="1">
      <c r="A5687" s="1119">
        <v>102329.0</v>
      </c>
      <c r="B5687" s="1125" t="s">
        <v>15965</v>
      </c>
      <c r="C5687" s="1126" t="s">
        <v>2178</v>
      </c>
      <c r="D5687" s="1119">
        <v>7.98</v>
      </c>
      <c r="E5687" s="1120">
        <v>2.91</v>
      </c>
      <c r="F5687" s="1121">
        <f t="shared" si="1"/>
        <v>5.07</v>
      </c>
      <c r="G5687" s="1120">
        <v>2.14</v>
      </c>
      <c r="H5687" s="1127">
        <v>2.93</v>
      </c>
      <c r="I5687" s="1127">
        <v>0.0</v>
      </c>
      <c r="J5687" s="1127">
        <v>0.0</v>
      </c>
      <c r="K5687" s="1124"/>
    </row>
    <row r="5688" ht="15.75" customHeight="1">
      <c r="A5688" s="1119">
        <v>94304.0</v>
      </c>
      <c r="B5688" s="1125" t="s">
        <v>15966</v>
      </c>
      <c r="C5688" s="1126" t="s">
        <v>2178</v>
      </c>
      <c r="D5688" s="1119">
        <v>69.99</v>
      </c>
      <c r="E5688" s="1120">
        <v>7.77</v>
      </c>
      <c r="F5688" s="1121">
        <f t="shared" si="1"/>
        <v>62.2</v>
      </c>
      <c r="G5688" s="1120">
        <v>54.11</v>
      </c>
      <c r="H5688" s="1127">
        <v>8.09</v>
      </c>
      <c r="I5688" s="1127">
        <v>0.0</v>
      </c>
      <c r="J5688" s="1127">
        <v>0.0</v>
      </c>
      <c r="K5688" s="1124"/>
    </row>
    <row r="5689" ht="15.75" customHeight="1">
      <c r="A5689" s="1119">
        <v>94305.0</v>
      </c>
      <c r="B5689" s="1125" t="s">
        <v>15967</v>
      </c>
      <c r="C5689" s="1126" t="s">
        <v>2178</v>
      </c>
      <c r="D5689" s="1119">
        <v>65.78</v>
      </c>
      <c r="E5689" s="1120">
        <v>5.75</v>
      </c>
      <c r="F5689" s="1121">
        <f t="shared" si="1"/>
        <v>60.02</v>
      </c>
      <c r="G5689" s="1120">
        <v>53.07</v>
      </c>
      <c r="H5689" s="1127">
        <v>6.95</v>
      </c>
      <c r="I5689" s="1127">
        <v>0.0</v>
      </c>
      <c r="J5689" s="1127">
        <v>0.0</v>
      </c>
      <c r="K5689" s="1124"/>
    </row>
    <row r="5690" ht="15.75" customHeight="1">
      <c r="A5690" s="1119">
        <v>94306.0</v>
      </c>
      <c r="B5690" s="1125" t="s">
        <v>15968</v>
      </c>
      <c r="C5690" s="1126" t="s">
        <v>2178</v>
      </c>
      <c r="D5690" s="1119">
        <v>60.45</v>
      </c>
      <c r="E5690" s="1120">
        <v>3.17</v>
      </c>
      <c r="F5690" s="1121">
        <f t="shared" si="1"/>
        <v>57.27</v>
      </c>
      <c r="G5690" s="1120">
        <v>51.76</v>
      </c>
      <c r="H5690" s="1127">
        <v>5.51</v>
      </c>
      <c r="I5690" s="1127">
        <v>0.0</v>
      </c>
      <c r="J5690" s="1127">
        <v>0.0</v>
      </c>
      <c r="K5690" s="1124"/>
    </row>
    <row r="5691" ht="15.75" customHeight="1">
      <c r="A5691" s="1119">
        <v>94307.0</v>
      </c>
      <c r="B5691" s="1125" t="s">
        <v>15969</v>
      </c>
      <c r="C5691" s="1126" t="s">
        <v>2178</v>
      </c>
      <c r="D5691" s="1119">
        <v>61.65</v>
      </c>
      <c r="E5691" s="1120">
        <v>3.72</v>
      </c>
      <c r="F5691" s="1121">
        <f t="shared" si="1"/>
        <v>57.95</v>
      </c>
      <c r="G5691" s="1120">
        <v>52.09</v>
      </c>
      <c r="H5691" s="1127">
        <v>5.86</v>
      </c>
      <c r="I5691" s="1127">
        <v>0.0</v>
      </c>
      <c r="J5691" s="1127">
        <v>0.0</v>
      </c>
      <c r="K5691" s="1124"/>
    </row>
    <row r="5692" ht="15.75" customHeight="1">
      <c r="A5692" s="1119">
        <v>94308.0</v>
      </c>
      <c r="B5692" s="1125" t="s">
        <v>15970</v>
      </c>
      <c r="C5692" s="1126" t="s">
        <v>2178</v>
      </c>
      <c r="D5692" s="1119">
        <v>58.45</v>
      </c>
      <c r="E5692" s="1120">
        <v>2.4</v>
      </c>
      <c r="F5692" s="1121">
        <f t="shared" si="1"/>
        <v>56.03</v>
      </c>
      <c r="G5692" s="1120">
        <v>51.29</v>
      </c>
      <c r="H5692" s="1127">
        <v>4.74</v>
      </c>
      <c r="I5692" s="1127">
        <v>0.0</v>
      </c>
      <c r="J5692" s="1127">
        <v>0.0</v>
      </c>
      <c r="K5692" s="1124"/>
    </row>
    <row r="5693" ht="15.75" customHeight="1">
      <c r="A5693" s="1119">
        <v>94309.0</v>
      </c>
      <c r="B5693" s="1125" t="s">
        <v>15971</v>
      </c>
      <c r="C5693" s="1126" t="s">
        <v>2178</v>
      </c>
      <c r="D5693" s="1119">
        <v>59.9</v>
      </c>
      <c r="E5693" s="1120">
        <v>2.93</v>
      </c>
      <c r="F5693" s="1121">
        <f t="shared" si="1"/>
        <v>56.97</v>
      </c>
      <c r="G5693" s="1120">
        <v>51.63</v>
      </c>
      <c r="H5693" s="1127">
        <v>5.34</v>
      </c>
      <c r="I5693" s="1127">
        <v>0.0</v>
      </c>
      <c r="J5693" s="1127">
        <v>0.0</v>
      </c>
      <c r="K5693" s="1124"/>
    </row>
    <row r="5694" ht="15.75" customHeight="1">
      <c r="A5694" s="1119">
        <v>94310.0</v>
      </c>
      <c r="B5694" s="1125" t="s">
        <v>15972</v>
      </c>
      <c r="C5694" s="1126" t="s">
        <v>2178</v>
      </c>
      <c r="D5694" s="1119">
        <v>57.46</v>
      </c>
      <c r="E5694" s="1120">
        <v>2.02</v>
      </c>
      <c r="F5694" s="1121">
        <f t="shared" si="1"/>
        <v>55.43</v>
      </c>
      <c r="G5694" s="1120">
        <v>51.08</v>
      </c>
      <c r="H5694" s="1127">
        <v>4.35</v>
      </c>
      <c r="I5694" s="1127">
        <v>0.0</v>
      </c>
      <c r="J5694" s="1127">
        <v>0.0</v>
      </c>
      <c r="K5694" s="1124"/>
    </row>
    <row r="5695" ht="15.75" customHeight="1">
      <c r="A5695" s="1119">
        <v>94315.0</v>
      </c>
      <c r="B5695" s="1125" t="s">
        <v>15973</v>
      </c>
      <c r="C5695" s="1126" t="s">
        <v>2178</v>
      </c>
      <c r="D5695" s="1119">
        <v>78.94</v>
      </c>
      <c r="E5695" s="1120">
        <v>16.55</v>
      </c>
      <c r="F5695" s="1121">
        <f t="shared" si="1"/>
        <v>62.41</v>
      </c>
      <c r="G5695" s="1120">
        <v>57.19</v>
      </c>
      <c r="H5695" s="1127">
        <v>5.22</v>
      </c>
      <c r="I5695" s="1127">
        <v>0.0</v>
      </c>
      <c r="J5695" s="1127">
        <v>0.0</v>
      </c>
      <c r="K5695" s="1124"/>
    </row>
    <row r="5696" ht="15.75" customHeight="1">
      <c r="A5696" s="1119">
        <v>94316.0</v>
      </c>
      <c r="B5696" s="1125" t="s">
        <v>15974</v>
      </c>
      <c r="C5696" s="1126" t="s">
        <v>2178</v>
      </c>
      <c r="D5696" s="1119">
        <v>69.04</v>
      </c>
      <c r="E5696" s="1120">
        <v>10.63</v>
      </c>
      <c r="F5696" s="1121">
        <f t="shared" si="1"/>
        <v>58.44</v>
      </c>
      <c r="G5696" s="1120">
        <v>54.55</v>
      </c>
      <c r="H5696" s="1127">
        <v>3.89</v>
      </c>
      <c r="I5696" s="1127">
        <v>0.0</v>
      </c>
      <c r="J5696" s="1127">
        <v>0.0</v>
      </c>
      <c r="K5696" s="1124"/>
    </row>
    <row r="5697" ht="15.75" customHeight="1">
      <c r="A5697" s="1119">
        <v>94317.0</v>
      </c>
      <c r="B5697" s="1125" t="s">
        <v>15975</v>
      </c>
      <c r="C5697" s="1126" t="s">
        <v>2178</v>
      </c>
      <c r="D5697" s="1119">
        <v>64.68</v>
      </c>
      <c r="E5697" s="1120">
        <v>8.0</v>
      </c>
      <c r="F5697" s="1121">
        <f t="shared" si="1"/>
        <v>56.66</v>
      </c>
      <c r="G5697" s="1120">
        <v>53.33</v>
      </c>
      <c r="H5697" s="1127">
        <v>3.33</v>
      </c>
      <c r="I5697" s="1127">
        <v>0.0</v>
      </c>
      <c r="J5697" s="1127">
        <v>0.0</v>
      </c>
      <c r="K5697" s="1124"/>
    </row>
    <row r="5698" ht="15.75" customHeight="1">
      <c r="A5698" s="1119">
        <v>94318.0</v>
      </c>
      <c r="B5698" s="1125" t="s">
        <v>15976</v>
      </c>
      <c r="C5698" s="1126" t="s">
        <v>2178</v>
      </c>
      <c r="D5698" s="1119">
        <v>59.02</v>
      </c>
      <c r="E5698" s="1120">
        <v>4.6</v>
      </c>
      <c r="F5698" s="1121">
        <f t="shared" si="1"/>
        <v>54.43</v>
      </c>
      <c r="G5698" s="1120">
        <v>51.84</v>
      </c>
      <c r="H5698" s="1127">
        <v>2.59</v>
      </c>
      <c r="I5698" s="1127">
        <v>0.0</v>
      </c>
      <c r="J5698" s="1127">
        <v>0.0</v>
      </c>
      <c r="K5698" s="1124"/>
    </row>
    <row r="5699" ht="15.75" customHeight="1">
      <c r="A5699" s="1119">
        <v>94319.0</v>
      </c>
      <c r="B5699" s="1125" t="s">
        <v>15977</v>
      </c>
      <c r="C5699" s="1126" t="s">
        <v>2178</v>
      </c>
      <c r="D5699" s="1119">
        <v>85.62</v>
      </c>
      <c r="E5699" s="1120">
        <v>24.76</v>
      </c>
      <c r="F5699" s="1121">
        <f t="shared" si="1"/>
        <v>60.87</v>
      </c>
      <c r="G5699" s="1120">
        <v>59.61</v>
      </c>
      <c r="H5699" s="1127">
        <v>1.26</v>
      </c>
      <c r="I5699" s="1127">
        <v>0.0</v>
      </c>
      <c r="J5699" s="1127">
        <v>0.0</v>
      </c>
      <c r="K5699" s="1124"/>
    </row>
    <row r="5700" ht="15.75" customHeight="1">
      <c r="A5700" s="1119">
        <v>94327.0</v>
      </c>
      <c r="B5700" s="1125" t="s">
        <v>15978</v>
      </c>
      <c r="C5700" s="1126" t="s">
        <v>2178</v>
      </c>
      <c r="D5700" s="1119">
        <v>89.91</v>
      </c>
      <c r="E5700" s="1120">
        <v>7.76</v>
      </c>
      <c r="F5700" s="1121">
        <f t="shared" si="1"/>
        <v>82.13</v>
      </c>
      <c r="G5700" s="1120">
        <v>74.05</v>
      </c>
      <c r="H5700" s="1127">
        <v>8.08</v>
      </c>
      <c r="I5700" s="1127">
        <v>0.0</v>
      </c>
      <c r="J5700" s="1127">
        <v>0.0</v>
      </c>
      <c r="K5700" s="1124"/>
    </row>
    <row r="5701" ht="15.75" customHeight="1">
      <c r="A5701" s="1119">
        <v>94328.0</v>
      </c>
      <c r="B5701" s="1125" t="s">
        <v>15979</v>
      </c>
      <c r="C5701" s="1126" t="s">
        <v>2178</v>
      </c>
      <c r="D5701" s="1119">
        <v>85.7</v>
      </c>
      <c r="E5701" s="1120">
        <v>5.75</v>
      </c>
      <c r="F5701" s="1121">
        <f t="shared" si="1"/>
        <v>79.95</v>
      </c>
      <c r="G5701" s="1120">
        <v>73.01</v>
      </c>
      <c r="H5701" s="1127">
        <v>6.94</v>
      </c>
      <c r="I5701" s="1127">
        <v>0.0</v>
      </c>
      <c r="J5701" s="1127">
        <v>0.0</v>
      </c>
      <c r="K5701" s="1124"/>
    </row>
    <row r="5702" ht="15.75" customHeight="1">
      <c r="A5702" s="1119">
        <v>94329.0</v>
      </c>
      <c r="B5702" s="1125" t="s">
        <v>15980</v>
      </c>
      <c r="C5702" s="1126" t="s">
        <v>2178</v>
      </c>
      <c r="D5702" s="1119">
        <v>80.37</v>
      </c>
      <c r="E5702" s="1120">
        <v>3.17</v>
      </c>
      <c r="F5702" s="1121">
        <f t="shared" si="1"/>
        <v>77.2</v>
      </c>
      <c r="G5702" s="1120">
        <v>71.7</v>
      </c>
      <c r="H5702" s="1127">
        <v>5.5</v>
      </c>
      <c r="I5702" s="1127">
        <v>0.0</v>
      </c>
      <c r="J5702" s="1127">
        <v>0.0</v>
      </c>
      <c r="K5702" s="1124"/>
    </row>
    <row r="5703" ht="15.75" customHeight="1">
      <c r="A5703" s="1119">
        <v>94330.0</v>
      </c>
      <c r="B5703" s="1125" t="s">
        <v>15981</v>
      </c>
      <c r="C5703" s="1126" t="s">
        <v>2178</v>
      </c>
      <c r="D5703" s="1119">
        <v>81.57</v>
      </c>
      <c r="E5703" s="1120">
        <v>3.72</v>
      </c>
      <c r="F5703" s="1121">
        <f t="shared" si="1"/>
        <v>77.87</v>
      </c>
      <c r="G5703" s="1120">
        <v>72.01</v>
      </c>
      <c r="H5703" s="1127">
        <v>5.86</v>
      </c>
      <c r="I5703" s="1127">
        <v>0.0</v>
      </c>
      <c r="J5703" s="1127">
        <v>0.0</v>
      </c>
      <c r="K5703" s="1124"/>
    </row>
    <row r="5704" ht="15.75" customHeight="1">
      <c r="A5704" s="1119">
        <v>94331.0</v>
      </c>
      <c r="B5704" s="1125" t="s">
        <v>15982</v>
      </c>
      <c r="C5704" s="1126" t="s">
        <v>2178</v>
      </c>
      <c r="D5704" s="1119">
        <v>78.37</v>
      </c>
      <c r="E5704" s="1120">
        <v>2.39</v>
      </c>
      <c r="F5704" s="1121">
        <f t="shared" si="1"/>
        <v>75.96</v>
      </c>
      <c r="G5704" s="1120">
        <v>71.23</v>
      </c>
      <c r="H5704" s="1127">
        <v>4.73</v>
      </c>
      <c r="I5704" s="1127">
        <v>0.0</v>
      </c>
      <c r="J5704" s="1127">
        <v>0.0</v>
      </c>
      <c r="K5704" s="1124"/>
    </row>
    <row r="5705" ht="15.75" customHeight="1">
      <c r="A5705" s="1119">
        <v>94332.0</v>
      </c>
      <c r="B5705" s="1125" t="s">
        <v>15983</v>
      </c>
      <c r="C5705" s="1126" t="s">
        <v>2178</v>
      </c>
      <c r="D5705" s="1119">
        <v>79.82</v>
      </c>
      <c r="E5705" s="1120">
        <v>2.93</v>
      </c>
      <c r="F5705" s="1121">
        <f t="shared" si="1"/>
        <v>76.9</v>
      </c>
      <c r="G5705" s="1120">
        <v>71.57</v>
      </c>
      <c r="H5705" s="1127">
        <v>5.33</v>
      </c>
      <c r="I5705" s="1127">
        <v>0.0</v>
      </c>
      <c r="J5705" s="1127">
        <v>0.0</v>
      </c>
      <c r="K5705" s="1124"/>
    </row>
    <row r="5706" ht="15.75" customHeight="1">
      <c r="A5706" s="1119">
        <v>94333.0</v>
      </c>
      <c r="B5706" s="1125" t="s">
        <v>15984</v>
      </c>
      <c r="C5706" s="1126" t="s">
        <v>2178</v>
      </c>
      <c r="D5706" s="1119">
        <v>77.38</v>
      </c>
      <c r="E5706" s="1120">
        <v>2.02</v>
      </c>
      <c r="F5706" s="1121">
        <f t="shared" si="1"/>
        <v>75.35</v>
      </c>
      <c r="G5706" s="1120">
        <v>71.0</v>
      </c>
      <c r="H5706" s="1127">
        <v>4.35</v>
      </c>
      <c r="I5706" s="1127">
        <v>0.0</v>
      </c>
      <c r="J5706" s="1127">
        <v>0.0</v>
      </c>
      <c r="K5706" s="1124"/>
    </row>
    <row r="5707" ht="15.75" customHeight="1">
      <c r="A5707" s="1119">
        <v>94338.0</v>
      </c>
      <c r="B5707" s="1125" t="s">
        <v>15985</v>
      </c>
      <c r="C5707" s="1126" t="s">
        <v>2178</v>
      </c>
      <c r="D5707" s="1119">
        <v>98.86</v>
      </c>
      <c r="E5707" s="1120">
        <v>16.54</v>
      </c>
      <c r="F5707" s="1121">
        <f t="shared" si="1"/>
        <v>82.34</v>
      </c>
      <c r="G5707" s="1120">
        <v>77.13</v>
      </c>
      <c r="H5707" s="1127">
        <v>5.21</v>
      </c>
      <c r="I5707" s="1127">
        <v>0.0</v>
      </c>
      <c r="J5707" s="1127">
        <v>0.0</v>
      </c>
      <c r="K5707" s="1124"/>
    </row>
    <row r="5708" ht="15.75" customHeight="1">
      <c r="A5708" s="1119">
        <v>94339.0</v>
      </c>
      <c r="B5708" s="1125" t="s">
        <v>15986</v>
      </c>
      <c r="C5708" s="1126" t="s">
        <v>2178</v>
      </c>
      <c r="D5708" s="1119">
        <v>88.96</v>
      </c>
      <c r="E5708" s="1120">
        <v>10.62</v>
      </c>
      <c r="F5708" s="1121">
        <f t="shared" si="1"/>
        <v>78.36</v>
      </c>
      <c r="G5708" s="1120">
        <v>74.47</v>
      </c>
      <c r="H5708" s="1127">
        <v>3.89</v>
      </c>
      <c r="I5708" s="1127">
        <v>0.0</v>
      </c>
      <c r="J5708" s="1127">
        <v>0.0</v>
      </c>
      <c r="K5708" s="1124"/>
    </row>
    <row r="5709" ht="15.75" customHeight="1">
      <c r="A5709" s="1119">
        <v>94340.0</v>
      </c>
      <c r="B5709" s="1125" t="s">
        <v>15987</v>
      </c>
      <c r="C5709" s="1126" t="s">
        <v>2178</v>
      </c>
      <c r="D5709" s="1119">
        <v>84.6</v>
      </c>
      <c r="E5709" s="1120">
        <v>7.99</v>
      </c>
      <c r="F5709" s="1121">
        <f t="shared" si="1"/>
        <v>76.59</v>
      </c>
      <c r="G5709" s="1120">
        <v>73.26</v>
      </c>
      <c r="H5709" s="1127">
        <v>3.33</v>
      </c>
      <c r="I5709" s="1127">
        <v>0.0</v>
      </c>
      <c r="J5709" s="1127">
        <v>0.0</v>
      </c>
      <c r="K5709" s="1124"/>
    </row>
    <row r="5710" ht="15.75" customHeight="1">
      <c r="A5710" s="1119">
        <v>94341.0</v>
      </c>
      <c r="B5710" s="1125" t="s">
        <v>15988</v>
      </c>
      <c r="C5710" s="1126" t="s">
        <v>2178</v>
      </c>
      <c r="D5710" s="1119">
        <v>78.94</v>
      </c>
      <c r="E5710" s="1120">
        <v>4.59</v>
      </c>
      <c r="F5710" s="1121">
        <f t="shared" si="1"/>
        <v>74.35</v>
      </c>
      <c r="G5710" s="1120">
        <v>71.77</v>
      </c>
      <c r="H5710" s="1127">
        <v>2.58</v>
      </c>
      <c r="I5710" s="1127">
        <v>0.0</v>
      </c>
      <c r="J5710" s="1127">
        <v>0.0</v>
      </c>
      <c r="K5710" s="1124"/>
    </row>
    <row r="5711" ht="15.75" customHeight="1">
      <c r="A5711" s="1119">
        <v>94342.0</v>
      </c>
      <c r="B5711" s="1125" t="s">
        <v>15989</v>
      </c>
      <c r="C5711" s="1126" t="s">
        <v>2178</v>
      </c>
      <c r="D5711" s="1119">
        <v>105.54</v>
      </c>
      <c r="E5711" s="1120">
        <v>24.75</v>
      </c>
      <c r="F5711" s="1121">
        <f t="shared" si="1"/>
        <v>80.8</v>
      </c>
      <c r="G5711" s="1120">
        <v>79.54</v>
      </c>
      <c r="H5711" s="1127">
        <v>1.26</v>
      </c>
      <c r="I5711" s="1127">
        <v>0.0</v>
      </c>
      <c r="J5711" s="1127">
        <v>0.0</v>
      </c>
      <c r="K5711" s="1124"/>
    </row>
    <row r="5712" ht="15.75" customHeight="1">
      <c r="A5712" s="1119">
        <v>96385.0</v>
      </c>
      <c r="B5712" s="1125" t="s">
        <v>15990</v>
      </c>
      <c r="C5712" s="1126" t="s">
        <v>2178</v>
      </c>
      <c r="D5712" s="1119">
        <v>11.86</v>
      </c>
      <c r="E5712" s="1120">
        <v>3.48</v>
      </c>
      <c r="F5712" s="1121">
        <f t="shared" si="1"/>
        <v>8.39</v>
      </c>
      <c r="G5712" s="1120">
        <v>2.34</v>
      </c>
      <c r="H5712" s="1127">
        <v>6.05</v>
      </c>
      <c r="I5712" s="1127">
        <v>0.0</v>
      </c>
      <c r="J5712" s="1127">
        <v>0.0</v>
      </c>
      <c r="K5712" s="1124"/>
    </row>
    <row r="5713" ht="15.75" customHeight="1">
      <c r="A5713" s="1119">
        <v>96386.0</v>
      </c>
      <c r="B5713" s="1125" t="s">
        <v>15991</v>
      </c>
      <c r="C5713" s="1126" t="s">
        <v>2178</v>
      </c>
      <c r="D5713" s="1119">
        <v>8.39</v>
      </c>
      <c r="E5713" s="1120">
        <v>2.0</v>
      </c>
      <c r="F5713" s="1121">
        <f t="shared" si="1"/>
        <v>6.4</v>
      </c>
      <c r="G5713" s="1120">
        <v>1.61</v>
      </c>
      <c r="H5713" s="1127">
        <v>4.79</v>
      </c>
      <c r="I5713" s="1127">
        <v>0.0</v>
      </c>
      <c r="J5713" s="1127">
        <v>0.0</v>
      </c>
      <c r="K5713" s="1124"/>
    </row>
    <row r="5714" ht="15.75" customHeight="1">
      <c r="A5714" s="1119">
        <v>93360.0</v>
      </c>
      <c r="B5714" s="1125" t="s">
        <v>15992</v>
      </c>
      <c r="C5714" s="1126" t="s">
        <v>2178</v>
      </c>
      <c r="D5714" s="1119">
        <v>22.96</v>
      </c>
      <c r="E5714" s="1120">
        <v>8.19</v>
      </c>
      <c r="F5714" s="1121">
        <f t="shared" si="1"/>
        <v>14.76</v>
      </c>
      <c r="G5714" s="1120">
        <v>5.75</v>
      </c>
      <c r="H5714" s="1127">
        <v>9.01</v>
      </c>
      <c r="I5714" s="1127">
        <v>0.0</v>
      </c>
      <c r="J5714" s="1127">
        <v>0.0</v>
      </c>
      <c r="K5714" s="1124"/>
    </row>
    <row r="5715" ht="15.75" customHeight="1">
      <c r="A5715" s="1119">
        <v>93361.0</v>
      </c>
      <c r="B5715" s="1125" t="s">
        <v>15993</v>
      </c>
      <c r="C5715" s="1126" t="s">
        <v>2178</v>
      </c>
      <c r="D5715" s="1119">
        <v>18.86</v>
      </c>
      <c r="E5715" s="1120">
        <v>6.16</v>
      </c>
      <c r="F5715" s="1121">
        <f t="shared" si="1"/>
        <v>12.71</v>
      </c>
      <c r="G5715" s="1120">
        <v>4.79</v>
      </c>
      <c r="H5715" s="1127">
        <v>7.92</v>
      </c>
      <c r="I5715" s="1127">
        <v>0.0</v>
      </c>
      <c r="J5715" s="1127">
        <v>0.0</v>
      </c>
      <c r="K5715" s="1124"/>
    </row>
    <row r="5716" ht="15.75" customHeight="1">
      <c r="A5716" s="1119">
        <v>93362.0</v>
      </c>
      <c r="B5716" s="1125" t="s">
        <v>15994</v>
      </c>
      <c r="C5716" s="1126" t="s">
        <v>2178</v>
      </c>
      <c r="D5716" s="1119">
        <v>13.45</v>
      </c>
      <c r="E5716" s="1120">
        <v>3.59</v>
      </c>
      <c r="F5716" s="1121">
        <f t="shared" si="1"/>
        <v>9.87</v>
      </c>
      <c r="G5716" s="1120">
        <v>3.43</v>
      </c>
      <c r="H5716" s="1127">
        <v>6.44</v>
      </c>
      <c r="I5716" s="1127">
        <v>0.0</v>
      </c>
      <c r="J5716" s="1127">
        <v>0.0</v>
      </c>
      <c r="K5716" s="1124"/>
    </row>
    <row r="5717" ht="15.75" customHeight="1">
      <c r="A5717" s="1119">
        <v>93363.0</v>
      </c>
      <c r="B5717" s="1125" t="s">
        <v>15995</v>
      </c>
      <c r="C5717" s="1126" t="s">
        <v>2178</v>
      </c>
      <c r="D5717" s="1119">
        <v>14.63</v>
      </c>
      <c r="E5717" s="1120">
        <v>4.13</v>
      </c>
      <c r="F5717" s="1121">
        <f t="shared" si="1"/>
        <v>10.53</v>
      </c>
      <c r="G5717" s="1120">
        <v>3.72</v>
      </c>
      <c r="H5717" s="1127">
        <v>6.81</v>
      </c>
      <c r="I5717" s="1127">
        <v>0.0</v>
      </c>
      <c r="J5717" s="1127">
        <v>0.0</v>
      </c>
      <c r="K5717" s="1124"/>
    </row>
    <row r="5718" ht="15.75" customHeight="1">
      <c r="A5718" s="1119">
        <v>93364.0</v>
      </c>
      <c r="B5718" s="1125" t="s">
        <v>15996</v>
      </c>
      <c r="C5718" s="1126" t="s">
        <v>2178</v>
      </c>
      <c r="D5718" s="1119">
        <v>11.42</v>
      </c>
      <c r="E5718" s="1120">
        <v>2.79</v>
      </c>
      <c r="F5718" s="1121">
        <f t="shared" si="1"/>
        <v>8.64</v>
      </c>
      <c r="G5718" s="1120">
        <v>2.96</v>
      </c>
      <c r="H5718" s="1127">
        <v>5.68</v>
      </c>
      <c r="I5718" s="1127">
        <v>0.0</v>
      </c>
      <c r="J5718" s="1127">
        <v>0.0</v>
      </c>
      <c r="K5718" s="1124"/>
    </row>
    <row r="5719" ht="15.75" customHeight="1">
      <c r="A5719" s="1119">
        <v>93365.0</v>
      </c>
      <c r="B5719" s="1125" t="s">
        <v>15997</v>
      </c>
      <c r="C5719" s="1126" t="s">
        <v>2178</v>
      </c>
      <c r="D5719" s="1119">
        <v>12.78</v>
      </c>
      <c r="E5719" s="1120">
        <v>3.29</v>
      </c>
      <c r="F5719" s="1121">
        <f t="shared" si="1"/>
        <v>9.5</v>
      </c>
      <c r="G5719" s="1120">
        <v>3.3</v>
      </c>
      <c r="H5719" s="1127">
        <v>6.2</v>
      </c>
      <c r="I5719" s="1127">
        <v>0.0</v>
      </c>
      <c r="J5719" s="1127">
        <v>0.0</v>
      </c>
      <c r="K5719" s="1124"/>
    </row>
    <row r="5720" ht="15.75" customHeight="1">
      <c r="A5720" s="1119">
        <v>93366.0</v>
      </c>
      <c r="B5720" s="1125" t="s">
        <v>15998</v>
      </c>
      <c r="C5720" s="1126" t="s">
        <v>2178</v>
      </c>
      <c r="D5720" s="1119">
        <v>10.45</v>
      </c>
      <c r="E5720" s="1120">
        <v>2.44</v>
      </c>
      <c r="F5720" s="1121">
        <f t="shared" si="1"/>
        <v>8.02</v>
      </c>
      <c r="G5720" s="1120">
        <v>2.73</v>
      </c>
      <c r="H5720" s="1127">
        <v>5.29</v>
      </c>
      <c r="I5720" s="1127">
        <v>0.0</v>
      </c>
      <c r="J5720" s="1127">
        <v>0.0</v>
      </c>
      <c r="K5720" s="1124"/>
    </row>
    <row r="5721" ht="15.75" customHeight="1">
      <c r="A5721" s="1119">
        <v>93367.0</v>
      </c>
      <c r="B5721" s="1125" t="s">
        <v>15999</v>
      </c>
      <c r="C5721" s="1126" t="s">
        <v>2178</v>
      </c>
      <c r="D5721" s="1119">
        <v>21.5</v>
      </c>
      <c r="E5721" s="1120">
        <v>7.84</v>
      </c>
      <c r="F5721" s="1121">
        <f t="shared" si="1"/>
        <v>13.67</v>
      </c>
      <c r="G5721" s="1120">
        <v>5.46</v>
      </c>
      <c r="H5721" s="1127">
        <v>8.21</v>
      </c>
      <c r="I5721" s="1127">
        <v>0.0</v>
      </c>
      <c r="J5721" s="1127">
        <v>0.0</v>
      </c>
      <c r="K5721" s="1124"/>
    </row>
    <row r="5722" ht="15.75" customHeight="1">
      <c r="A5722" s="1119">
        <v>93368.0</v>
      </c>
      <c r="B5722" s="1125" t="s">
        <v>16000</v>
      </c>
      <c r="C5722" s="1126" t="s">
        <v>2178</v>
      </c>
      <c r="D5722" s="1119">
        <v>17.32</v>
      </c>
      <c r="E5722" s="1120">
        <v>5.84</v>
      </c>
      <c r="F5722" s="1121">
        <f t="shared" si="1"/>
        <v>11.48</v>
      </c>
      <c r="G5722" s="1120">
        <v>4.41</v>
      </c>
      <c r="H5722" s="1127">
        <v>7.07</v>
      </c>
      <c r="I5722" s="1127">
        <v>0.0</v>
      </c>
      <c r="J5722" s="1127">
        <v>0.0</v>
      </c>
      <c r="K5722" s="1124"/>
    </row>
    <row r="5723" ht="15.75" customHeight="1">
      <c r="A5723" s="1119">
        <v>93369.0</v>
      </c>
      <c r="B5723" s="1125" t="s">
        <v>16001</v>
      </c>
      <c r="C5723" s="1126" t="s">
        <v>2178</v>
      </c>
      <c r="D5723" s="1119">
        <v>11.99</v>
      </c>
      <c r="E5723" s="1120">
        <v>3.23</v>
      </c>
      <c r="F5723" s="1121">
        <f t="shared" si="1"/>
        <v>8.77</v>
      </c>
      <c r="G5723" s="1120">
        <v>3.11</v>
      </c>
      <c r="H5723" s="1127">
        <v>5.66</v>
      </c>
      <c r="I5723" s="1127">
        <v>0.0</v>
      </c>
      <c r="J5723" s="1127">
        <v>0.0</v>
      </c>
      <c r="K5723" s="1124"/>
    </row>
    <row r="5724" ht="15.75" customHeight="1">
      <c r="A5724" s="1119">
        <v>93370.0</v>
      </c>
      <c r="B5724" s="1125" t="s">
        <v>16002</v>
      </c>
      <c r="C5724" s="1126" t="s">
        <v>2178</v>
      </c>
      <c r="D5724" s="1119">
        <v>13.2</v>
      </c>
      <c r="E5724" s="1120">
        <v>3.78</v>
      </c>
      <c r="F5724" s="1121">
        <f t="shared" si="1"/>
        <v>9.44</v>
      </c>
      <c r="G5724" s="1120">
        <v>3.44</v>
      </c>
      <c r="H5724" s="1127">
        <v>6.0</v>
      </c>
      <c r="I5724" s="1127">
        <v>0.0</v>
      </c>
      <c r="J5724" s="1127">
        <v>0.0</v>
      </c>
      <c r="K5724" s="1124"/>
    </row>
    <row r="5725" ht="15.75" customHeight="1">
      <c r="A5725" s="1119">
        <v>93371.0</v>
      </c>
      <c r="B5725" s="1125" t="s">
        <v>16003</v>
      </c>
      <c r="C5725" s="1126" t="s">
        <v>2178</v>
      </c>
      <c r="D5725" s="1119">
        <v>9.99</v>
      </c>
      <c r="E5725" s="1120">
        <v>2.45</v>
      </c>
      <c r="F5725" s="1121">
        <f t="shared" si="1"/>
        <v>7.54</v>
      </c>
      <c r="G5725" s="1120">
        <v>2.65</v>
      </c>
      <c r="H5725" s="1127">
        <v>4.89</v>
      </c>
      <c r="I5725" s="1127">
        <v>0.0</v>
      </c>
      <c r="J5725" s="1127">
        <v>0.0</v>
      </c>
      <c r="K5725" s="1124"/>
    </row>
    <row r="5726" ht="15.75" customHeight="1">
      <c r="A5726" s="1119">
        <v>93372.0</v>
      </c>
      <c r="B5726" s="1125" t="s">
        <v>16004</v>
      </c>
      <c r="C5726" s="1126" t="s">
        <v>2178</v>
      </c>
      <c r="D5726" s="1119">
        <v>11.45</v>
      </c>
      <c r="E5726" s="1120">
        <v>2.99</v>
      </c>
      <c r="F5726" s="1121">
        <f t="shared" si="1"/>
        <v>8.46</v>
      </c>
      <c r="G5726" s="1120">
        <v>2.98</v>
      </c>
      <c r="H5726" s="1127">
        <v>5.48</v>
      </c>
      <c r="I5726" s="1127">
        <v>0.0</v>
      </c>
      <c r="J5726" s="1127">
        <v>0.0</v>
      </c>
      <c r="K5726" s="1124"/>
    </row>
    <row r="5727" ht="15.75" customHeight="1">
      <c r="A5727" s="1119">
        <v>93373.0</v>
      </c>
      <c r="B5727" s="1125" t="s">
        <v>16005</v>
      </c>
      <c r="C5727" s="1126" t="s">
        <v>2178</v>
      </c>
      <c r="D5727" s="1119">
        <v>9.03</v>
      </c>
      <c r="E5727" s="1120">
        <v>2.1</v>
      </c>
      <c r="F5727" s="1121">
        <f t="shared" si="1"/>
        <v>6.93</v>
      </c>
      <c r="G5727" s="1120">
        <v>2.44</v>
      </c>
      <c r="H5727" s="1127">
        <v>4.49</v>
      </c>
      <c r="I5727" s="1127">
        <v>0.0</v>
      </c>
      <c r="J5727" s="1127">
        <v>0.0</v>
      </c>
      <c r="K5727" s="1124"/>
    </row>
    <row r="5728" ht="15.75" customHeight="1">
      <c r="A5728" s="1119">
        <v>93374.0</v>
      </c>
      <c r="B5728" s="1125" t="s">
        <v>16006</v>
      </c>
      <c r="C5728" s="1126" t="s">
        <v>2178</v>
      </c>
      <c r="D5728" s="1119">
        <v>27.31</v>
      </c>
      <c r="E5728" s="1120">
        <v>13.87</v>
      </c>
      <c r="F5728" s="1121">
        <f t="shared" si="1"/>
        <v>13.46</v>
      </c>
      <c r="G5728" s="1120">
        <v>7.73</v>
      </c>
      <c r="H5728" s="1127">
        <v>5.73</v>
      </c>
      <c r="I5728" s="1127">
        <v>0.0</v>
      </c>
      <c r="J5728" s="1127">
        <v>0.0</v>
      </c>
      <c r="K5728" s="1124"/>
    </row>
    <row r="5729" ht="15.75" customHeight="1">
      <c r="A5729" s="1119">
        <v>93375.0</v>
      </c>
      <c r="B5729" s="1125" t="s">
        <v>16007</v>
      </c>
      <c r="C5729" s="1126" t="s">
        <v>2178</v>
      </c>
      <c r="D5729" s="1119">
        <v>21.06</v>
      </c>
      <c r="E5729" s="1120">
        <v>10.65</v>
      </c>
      <c r="F5729" s="1121">
        <f t="shared" si="1"/>
        <v>10.43</v>
      </c>
      <c r="G5729" s="1120">
        <v>6.02</v>
      </c>
      <c r="H5729" s="1127">
        <v>4.41</v>
      </c>
      <c r="I5729" s="1127">
        <v>0.0</v>
      </c>
      <c r="J5729" s="1127">
        <v>0.0</v>
      </c>
      <c r="K5729" s="1124"/>
    </row>
    <row r="5730" ht="15.75" customHeight="1">
      <c r="A5730" s="1119">
        <v>93376.0</v>
      </c>
      <c r="B5730" s="1125" t="s">
        <v>16008</v>
      </c>
      <c r="C5730" s="1126" t="s">
        <v>2178</v>
      </c>
      <c r="D5730" s="1119">
        <v>17.14</v>
      </c>
      <c r="E5730" s="1120">
        <v>8.42</v>
      </c>
      <c r="F5730" s="1121">
        <f t="shared" si="1"/>
        <v>8.72</v>
      </c>
      <c r="G5730" s="1120">
        <v>4.97</v>
      </c>
      <c r="H5730" s="1127">
        <v>3.75</v>
      </c>
      <c r="I5730" s="1127">
        <v>0.0</v>
      </c>
      <c r="J5730" s="1127">
        <v>0.0</v>
      </c>
      <c r="K5730" s="1124"/>
    </row>
    <row r="5731" ht="15.75" customHeight="1">
      <c r="A5731" s="1119">
        <v>93377.0</v>
      </c>
      <c r="B5731" s="1125" t="s">
        <v>16009</v>
      </c>
      <c r="C5731" s="1126" t="s">
        <v>2178</v>
      </c>
      <c r="D5731" s="1119">
        <v>11.24</v>
      </c>
      <c r="E5731" s="1120">
        <v>4.94</v>
      </c>
      <c r="F5731" s="1121">
        <f t="shared" si="1"/>
        <v>6.3</v>
      </c>
      <c r="G5731" s="1120">
        <v>3.39</v>
      </c>
      <c r="H5731" s="1127">
        <v>2.91</v>
      </c>
      <c r="I5731" s="1127">
        <v>0.0</v>
      </c>
      <c r="J5731" s="1127">
        <v>0.0</v>
      </c>
      <c r="K5731" s="1124"/>
    </row>
    <row r="5732" ht="15.75" customHeight="1">
      <c r="A5732" s="1119">
        <v>93378.0</v>
      </c>
      <c r="B5732" s="1125" t="s">
        <v>16010</v>
      </c>
      <c r="C5732" s="1126" t="s">
        <v>2178</v>
      </c>
      <c r="D5732" s="1119">
        <v>25.72</v>
      </c>
      <c r="E5732" s="1120">
        <v>13.36</v>
      </c>
      <c r="F5732" s="1121">
        <f t="shared" si="1"/>
        <v>12.38</v>
      </c>
      <c r="G5732" s="1120">
        <v>7.29</v>
      </c>
      <c r="H5732" s="1127">
        <v>5.09</v>
      </c>
      <c r="I5732" s="1127">
        <v>0.0</v>
      </c>
      <c r="J5732" s="1127">
        <v>0.0</v>
      </c>
      <c r="K5732" s="1124"/>
    </row>
    <row r="5733" ht="15.75" customHeight="1">
      <c r="A5733" s="1119">
        <v>93379.0</v>
      </c>
      <c r="B5733" s="1125" t="s">
        <v>16011</v>
      </c>
      <c r="C5733" s="1126" t="s">
        <v>2178</v>
      </c>
      <c r="D5733" s="1119">
        <v>19.84</v>
      </c>
      <c r="E5733" s="1120">
        <v>10.23</v>
      </c>
      <c r="F5733" s="1121">
        <f t="shared" si="1"/>
        <v>9.62</v>
      </c>
      <c r="G5733" s="1120">
        <v>5.71</v>
      </c>
      <c r="H5733" s="1127">
        <v>3.91</v>
      </c>
      <c r="I5733" s="1127">
        <v>0.0</v>
      </c>
      <c r="J5733" s="1127">
        <v>0.0</v>
      </c>
      <c r="K5733" s="1124"/>
    </row>
    <row r="5734" ht="15.75" customHeight="1">
      <c r="A5734" s="1119">
        <v>93380.0</v>
      </c>
      <c r="B5734" s="1125" t="s">
        <v>16012</v>
      </c>
      <c r="C5734" s="1126" t="s">
        <v>2178</v>
      </c>
      <c r="D5734" s="1119">
        <v>16.2</v>
      </c>
      <c r="E5734" s="1120">
        <v>8.12</v>
      </c>
      <c r="F5734" s="1121">
        <f t="shared" si="1"/>
        <v>8.08</v>
      </c>
      <c r="G5734" s="1120">
        <v>4.7</v>
      </c>
      <c r="H5734" s="1127">
        <v>3.38</v>
      </c>
      <c r="I5734" s="1127">
        <v>0.0</v>
      </c>
      <c r="J5734" s="1127">
        <v>0.0</v>
      </c>
      <c r="K5734" s="1124"/>
    </row>
    <row r="5735" ht="15.75" customHeight="1">
      <c r="A5735" s="1119">
        <v>93381.0</v>
      </c>
      <c r="B5735" s="1125" t="s">
        <v>16013</v>
      </c>
      <c r="C5735" s="1126" t="s">
        <v>2178</v>
      </c>
      <c r="D5735" s="1119">
        <v>10.57</v>
      </c>
      <c r="E5735" s="1120">
        <v>4.72</v>
      </c>
      <c r="F5735" s="1121">
        <f t="shared" si="1"/>
        <v>5.85</v>
      </c>
      <c r="G5735" s="1120">
        <v>3.2</v>
      </c>
      <c r="H5735" s="1127">
        <v>2.65</v>
      </c>
      <c r="I5735" s="1127">
        <v>0.0</v>
      </c>
      <c r="J5735" s="1127">
        <v>0.0</v>
      </c>
      <c r="K5735" s="1124"/>
    </row>
    <row r="5736" ht="15.75" customHeight="1">
      <c r="A5736" s="1119">
        <v>93382.0</v>
      </c>
      <c r="B5736" s="1125" t="s">
        <v>16014</v>
      </c>
      <c r="C5736" s="1126" t="s">
        <v>2178</v>
      </c>
      <c r="D5736" s="1119">
        <v>37.16</v>
      </c>
      <c r="E5736" s="1120">
        <v>24.87</v>
      </c>
      <c r="F5736" s="1121">
        <f t="shared" si="1"/>
        <v>12.3</v>
      </c>
      <c r="G5736" s="1120">
        <v>11.04</v>
      </c>
      <c r="H5736" s="1127">
        <v>1.26</v>
      </c>
      <c r="I5736" s="1127">
        <v>0.0</v>
      </c>
      <c r="J5736" s="1127">
        <v>0.0</v>
      </c>
      <c r="K5736" s="1124"/>
    </row>
    <row r="5737" ht="15.75" customHeight="1">
      <c r="A5737" s="1119">
        <v>96995.0</v>
      </c>
      <c r="B5737" s="1125" t="s">
        <v>16015</v>
      </c>
      <c r="C5737" s="1126" t="s">
        <v>2178</v>
      </c>
      <c r="D5737" s="1119">
        <v>60.25</v>
      </c>
      <c r="E5737" s="1120">
        <v>41.8</v>
      </c>
      <c r="F5737" s="1121">
        <f t="shared" si="1"/>
        <v>18.45</v>
      </c>
      <c r="G5737" s="1120">
        <v>18.45</v>
      </c>
      <c r="H5737" s="1127">
        <v>0.0</v>
      </c>
      <c r="I5737" s="1127">
        <v>0.0</v>
      </c>
      <c r="J5737" s="1127">
        <v>0.0</v>
      </c>
      <c r="K5737" s="1124"/>
    </row>
    <row r="5738" ht="15.75" customHeight="1">
      <c r="A5738" s="1119">
        <v>97916.0</v>
      </c>
      <c r="B5738" s="1125" t="s">
        <v>16016</v>
      </c>
      <c r="C5738" s="1126" t="s">
        <v>16017</v>
      </c>
      <c r="D5738" s="1119">
        <v>2.32</v>
      </c>
      <c r="E5738" s="1120">
        <v>0.43</v>
      </c>
      <c r="F5738" s="1121">
        <f t="shared" si="1"/>
        <v>1.89</v>
      </c>
      <c r="G5738" s="1120">
        <v>0.82</v>
      </c>
      <c r="H5738" s="1127">
        <v>1.07</v>
      </c>
      <c r="I5738" s="1127">
        <v>0.0</v>
      </c>
      <c r="J5738" s="1127">
        <v>0.0</v>
      </c>
      <c r="K5738" s="1124"/>
    </row>
    <row r="5739" ht="15.75" customHeight="1">
      <c r="A5739" s="1119">
        <v>97917.0</v>
      </c>
      <c r="B5739" s="1125" t="s">
        <v>16018</v>
      </c>
      <c r="C5739" s="1126" t="s">
        <v>16017</v>
      </c>
      <c r="D5739" s="1119">
        <v>2.01</v>
      </c>
      <c r="E5739" s="1120">
        <v>0.38</v>
      </c>
      <c r="F5739" s="1121">
        <f t="shared" si="1"/>
        <v>1.63</v>
      </c>
      <c r="G5739" s="1120">
        <v>0.71</v>
      </c>
      <c r="H5739" s="1127">
        <v>0.92</v>
      </c>
      <c r="I5739" s="1127">
        <v>0.0</v>
      </c>
      <c r="J5739" s="1127">
        <v>0.0</v>
      </c>
      <c r="K5739" s="1124"/>
    </row>
    <row r="5740" ht="15.75" customHeight="1">
      <c r="A5740" s="1119">
        <v>97918.0</v>
      </c>
      <c r="B5740" s="1125" t="s">
        <v>16019</v>
      </c>
      <c r="C5740" s="1126" t="s">
        <v>16017</v>
      </c>
      <c r="D5740" s="1119">
        <v>1.85</v>
      </c>
      <c r="E5740" s="1120">
        <v>0.35</v>
      </c>
      <c r="F5740" s="1121">
        <f t="shared" si="1"/>
        <v>1.51</v>
      </c>
      <c r="G5740" s="1120">
        <v>0.66</v>
      </c>
      <c r="H5740" s="1127">
        <v>0.85</v>
      </c>
      <c r="I5740" s="1127">
        <v>0.0</v>
      </c>
      <c r="J5740" s="1127">
        <v>0.0</v>
      </c>
      <c r="K5740" s="1124"/>
    </row>
    <row r="5741" ht="15.75" customHeight="1">
      <c r="A5741" s="1119">
        <v>97919.0</v>
      </c>
      <c r="B5741" s="1125" t="s">
        <v>16020</v>
      </c>
      <c r="C5741" s="1126" t="s">
        <v>16017</v>
      </c>
      <c r="D5741" s="1119">
        <v>0.73</v>
      </c>
      <c r="E5741" s="1120">
        <v>0.14</v>
      </c>
      <c r="F5741" s="1121">
        <f t="shared" si="1"/>
        <v>0.59</v>
      </c>
      <c r="G5741" s="1120">
        <v>0.26</v>
      </c>
      <c r="H5741" s="1127">
        <v>0.33</v>
      </c>
      <c r="I5741" s="1127">
        <v>0.0</v>
      </c>
      <c r="J5741" s="1127">
        <v>0.0</v>
      </c>
      <c r="K5741" s="1124"/>
    </row>
    <row r="5742" ht="15.75" customHeight="1">
      <c r="A5742" s="1119">
        <v>101616.0</v>
      </c>
      <c r="B5742" s="1125" t="s">
        <v>16021</v>
      </c>
      <c r="C5742" s="1126" t="s">
        <v>1814</v>
      </c>
      <c r="D5742" s="1119">
        <v>7.4</v>
      </c>
      <c r="E5742" s="1120">
        <v>5.41</v>
      </c>
      <c r="F5742" s="1121">
        <f t="shared" si="1"/>
        <v>2</v>
      </c>
      <c r="G5742" s="1120">
        <v>2.0</v>
      </c>
      <c r="H5742" s="1127">
        <v>0.0</v>
      </c>
      <c r="I5742" s="1127">
        <v>0.0</v>
      </c>
      <c r="J5742" s="1127">
        <v>0.0</v>
      </c>
      <c r="K5742" s="1124"/>
    </row>
    <row r="5743" ht="15.75" customHeight="1">
      <c r="A5743" s="1119">
        <v>101617.0</v>
      </c>
      <c r="B5743" s="1125" t="s">
        <v>16022</v>
      </c>
      <c r="C5743" s="1126" t="s">
        <v>1814</v>
      </c>
      <c r="D5743" s="1119">
        <v>3.66</v>
      </c>
      <c r="E5743" s="1120">
        <v>2.71</v>
      </c>
      <c r="F5743" s="1121">
        <f t="shared" si="1"/>
        <v>0.94</v>
      </c>
      <c r="G5743" s="1120">
        <v>0.94</v>
      </c>
      <c r="H5743" s="1127">
        <v>0.0</v>
      </c>
      <c r="I5743" s="1127">
        <v>0.0</v>
      </c>
      <c r="J5743" s="1127">
        <v>0.0</v>
      </c>
      <c r="K5743" s="1124"/>
    </row>
    <row r="5744" ht="15.75" customHeight="1">
      <c r="A5744" s="1119">
        <v>101618.0</v>
      </c>
      <c r="B5744" s="1125" t="s">
        <v>16023</v>
      </c>
      <c r="C5744" s="1126" t="s">
        <v>2178</v>
      </c>
      <c r="D5744" s="1119">
        <v>267.26</v>
      </c>
      <c r="E5744" s="1120">
        <v>106.18</v>
      </c>
      <c r="F5744" s="1121">
        <f t="shared" si="1"/>
        <v>161.07</v>
      </c>
      <c r="G5744" s="1120">
        <v>160.93</v>
      </c>
      <c r="H5744" s="1127">
        <v>0.14</v>
      </c>
      <c r="I5744" s="1127">
        <v>0.0</v>
      </c>
      <c r="J5744" s="1127">
        <v>0.0</v>
      </c>
      <c r="K5744" s="1124"/>
    </row>
    <row r="5745" ht="15.75" customHeight="1">
      <c r="A5745" s="1119">
        <v>101619.0</v>
      </c>
      <c r="B5745" s="1125" t="s">
        <v>16024</v>
      </c>
      <c r="C5745" s="1126" t="s">
        <v>2178</v>
      </c>
      <c r="D5745" s="1119">
        <v>263.43</v>
      </c>
      <c r="E5745" s="1120">
        <v>130.16</v>
      </c>
      <c r="F5745" s="1121">
        <f t="shared" si="1"/>
        <v>133.27</v>
      </c>
      <c r="G5745" s="1120">
        <v>133.13</v>
      </c>
      <c r="H5745" s="1127">
        <v>0.14</v>
      </c>
      <c r="I5745" s="1127">
        <v>0.0</v>
      </c>
      <c r="J5745" s="1127">
        <v>0.0</v>
      </c>
      <c r="K5745" s="1124"/>
    </row>
    <row r="5746" ht="15.75" customHeight="1">
      <c r="A5746" s="1119">
        <v>101620.0</v>
      </c>
      <c r="B5746" s="1125" t="s">
        <v>16025</v>
      </c>
      <c r="C5746" s="1126" t="s">
        <v>2178</v>
      </c>
      <c r="D5746" s="1119">
        <v>237.56</v>
      </c>
      <c r="E5746" s="1120">
        <v>84.75</v>
      </c>
      <c r="F5746" s="1121">
        <f t="shared" si="1"/>
        <v>152.8</v>
      </c>
      <c r="G5746" s="1120">
        <v>152.74</v>
      </c>
      <c r="H5746" s="1127">
        <v>0.06</v>
      </c>
      <c r="I5746" s="1127">
        <v>0.0</v>
      </c>
      <c r="J5746" s="1127">
        <v>0.0</v>
      </c>
      <c r="K5746" s="1124"/>
    </row>
    <row r="5747" ht="15.75" customHeight="1">
      <c r="A5747" s="1119">
        <v>101621.0</v>
      </c>
      <c r="B5747" s="1125" t="s">
        <v>16026</v>
      </c>
      <c r="C5747" s="1126" t="s">
        <v>2178</v>
      </c>
      <c r="D5747" s="1119">
        <v>233.73</v>
      </c>
      <c r="E5747" s="1120">
        <v>108.74</v>
      </c>
      <c r="F5747" s="1121">
        <f t="shared" si="1"/>
        <v>124.98</v>
      </c>
      <c r="G5747" s="1120">
        <v>124.92</v>
      </c>
      <c r="H5747" s="1127">
        <v>0.06</v>
      </c>
      <c r="I5747" s="1127">
        <v>0.0</v>
      </c>
      <c r="J5747" s="1127">
        <v>0.0</v>
      </c>
      <c r="K5747" s="1124"/>
    </row>
    <row r="5748" ht="15.75" customHeight="1">
      <c r="A5748" s="1119">
        <v>101622.0</v>
      </c>
      <c r="B5748" s="1125" t="s">
        <v>16027</v>
      </c>
      <c r="C5748" s="1126" t="s">
        <v>2178</v>
      </c>
      <c r="D5748" s="1119">
        <v>222.4</v>
      </c>
      <c r="E5748" s="1120">
        <v>57.01</v>
      </c>
      <c r="F5748" s="1121">
        <f t="shared" si="1"/>
        <v>165.4</v>
      </c>
      <c r="G5748" s="1120">
        <v>144.39</v>
      </c>
      <c r="H5748" s="1127">
        <v>21.01</v>
      </c>
      <c r="I5748" s="1127">
        <v>0.0</v>
      </c>
      <c r="J5748" s="1127">
        <v>0.0</v>
      </c>
      <c r="K5748" s="1124"/>
    </row>
    <row r="5749" ht="15.75" customHeight="1">
      <c r="A5749" s="1119">
        <v>101623.0</v>
      </c>
      <c r="B5749" s="1125" t="s">
        <v>16028</v>
      </c>
      <c r="C5749" s="1126" t="s">
        <v>2178</v>
      </c>
      <c r="D5749" s="1119">
        <v>208.13</v>
      </c>
      <c r="E5749" s="1120">
        <v>69.54</v>
      </c>
      <c r="F5749" s="1121">
        <f t="shared" si="1"/>
        <v>138.58</v>
      </c>
      <c r="G5749" s="1120">
        <v>112.68</v>
      </c>
      <c r="H5749" s="1127">
        <v>25.9</v>
      </c>
      <c r="I5749" s="1127">
        <v>0.0</v>
      </c>
      <c r="J5749" s="1127">
        <v>0.0</v>
      </c>
      <c r="K5749" s="1124"/>
    </row>
    <row r="5750" ht="15.75" customHeight="1">
      <c r="A5750" s="1119">
        <v>101624.0</v>
      </c>
      <c r="B5750" s="1125" t="s">
        <v>16029</v>
      </c>
      <c r="C5750" s="1126" t="s">
        <v>2178</v>
      </c>
      <c r="D5750" s="1119">
        <v>159.99</v>
      </c>
      <c r="E5750" s="1120">
        <v>42.57</v>
      </c>
      <c r="F5750" s="1121">
        <f t="shared" si="1"/>
        <v>117.41</v>
      </c>
      <c r="G5750" s="1120">
        <v>101.37</v>
      </c>
      <c r="H5750" s="1127">
        <v>16.04</v>
      </c>
      <c r="I5750" s="1127">
        <v>0.0</v>
      </c>
      <c r="J5750" s="1127">
        <v>0.0</v>
      </c>
      <c r="K5750" s="1124"/>
    </row>
    <row r="5751" ht="15.75" customHeight="1">
      <c r="A5751" s="1119">
        <v>101625.0</v>
      </c>
      <c r="B5751" s="1125" t="s">
        <v>16030</v>
      </c>
      <c r="C5751" s="1126" t="s">
        <v>2178</v>
      </c>
      <c r="D5751" s="1119">
        <v>180.32</v>
      </c>
      <c r="E5751" s="1120">
        <v>33.38</v>
      </c>
      <c r="F5751" s="1121">
        <f t="shared" si="1"/>
        <v>146.93</v>
      </c>
      <c r="G5751" s="1120">
        <v>134.47</v>
      </c>
      <c r="H5751" s="1127">
        <v>12.46</v>
      </c>
      <c r="I5751" s="1127">
        <v>0.0</v>
      </c>
      <c r="J5751" s="1127">
        <v>0.0</v>
      </c>
      <c r="K5751" s="1124"/>
    </row>
    <row r="5752" ht="15.75" customHeight="1">
      <c r="A5752" s="1119">
        <v>95606.0</v>
      </c>
      <c r="B5752" s="1125" t="s">
        <v>16031</v>
      </c>
      <c r="C5752" s="1126" t="s">
        <v>2178</v>
      </c>
      <c r="D5752" s="1119">
        <v>2.06</v>
      </c>
      <c r="E5752" s="1120">
        <v>0.38</v>
      </c>
      <c r="F5752" s="1121">
        <f t="shared" si="1"/>
        <v>1.69</v>
      </c>
      <c r="G5752" s="1120">
        <v>1.02</v>
      </c>
      <c r="H5752" s="1127">
        <v>0.67</v>
      </c>
      <c r="I5752" s="1127">
        <v>0.0</v>
      </c>
      <c r="J5752" s="1127">
        <v>0.0</v>
      </c>
      <c r="K5752" s="1124"/>
    </row>
    <row r="5753" ht="15.75" customHeight="1">
      <c r="A5753" s="1119">
        <v>101159.0</v>
      </c>
      <c r="B5753" s="1125" t="s">
        <v>16032</v>
      </c>
      <c r="C5753" s="1126" t="s">
        <v>1814</v>
      </c>
      <c r="D5753" s="1119">
        <v>152.04</v>
      </c>
      <c r="E5753" s="1120">
        <v>67.03</v>
      </c>
      <c r="F5753" s="1121">
        <f t="shared" si="1"/>
        <v>85.01</v>
      </c>
      <c r="G5753" s="1120">
        <v>84.97</v>
      </c>
      <c r="H5753" s="1127">
        <v>0.02</v>
      </c>
      <c r="I5753" s="1127">
        <v>0.0</v>
      </c>
      <c r="J5753" s="1127">
        <v>0.02</v>
      </c>
      <c r="K5753" s="1124"/>
    </row>
    <row r="5754" ht="15.75" customHeight="1">
      <c r="A5754" s="1119">
        <v>103322.0</v>
      </c>
      <c r="B5754" s="1125" t="s">
        <v>16033</v>
      </c>
      <c r="C5754" s="1126" t="s">
        <v>1814</v>
      </c>
      <c r="D5754" s="1119">
        <v>61.37</v>
      </c>
      <c r="E5754" s="1120">
        <v>20.55</v>
      </c>
      <c r="F5754" s="1121">
        <f t="shared" si="1"/>
        <v>40.82</v>
      </c>
      <c r="G5754" s="1120">
        <v>40.82</v>
      </c>
      <c r="H5754" s="1127">
        <v>0.0</v>
      </c>
      <c r="I5754" s="1127">
        <v>0.0</v>
      </c>
      <c r="J5754" s="1127">
        <v>0.0</v>
      </c>
      <c r="K5754" s="1124"/>
    </row>
    <row r="5755" ht="15.75" customHeight="1">
      <c r="A5755" s="1119">
        <v>103323.0</v>
      </c>
      <c r="B5755" s="1125" t="s">
        <v>16034</v>
      </c>
      <c r="C5755" s="1126" t="s">
        <v>1814</v>
      </c>
      <c r="D5755" s="1119">
        <v>63.02</v>
      </c>
      <c r="E5755" s="1120">
        <v>21.71</v>
      </c>
      <c r="F5755" s="1121">
        <f t="shared" si="1"/>
        <v>41.3</v>
      </c>
      <c r="G5755" s="1120">
        <v>41.3</v>
      </c>
      <c r="H5755" s="1127">
        <v>0.0</v>
      </c>
      <c r="I5755" s="1127">
        <v>0.0</v>
      </c>
      <c r="J5755" s="1127">
        <v>0.0</v>
      </c>
      <c r="K5755" s="1124"/>
    </row>
    <row r="5756" ht="15.75" customHeight="1">
      <c r="A5756" s="1119">
        <v>103324.0</v>
      </c>
      <c r="B5756" s="1125" t="s">
        <v>16035</v>
      </c>
      <c r="C5756" s="1126" t="s">
        <v>1814</v>
      </c>
      <c r="D5756" s="1119">
        <v>82.67</v>
      </c>
      <c r="E5756" s="1120">
        <v>29.68</v>
      </c>
      <c r="F5756" s="1121">
        <f t="shared" si="1"/>
        <v>52.99</v>
      </c>
      <c r="G5756" s="1120">
        <v>52.98</v>
      </c>
      <c r="H5756" s="1127">
        <v>0.01</v>
      </c>
      <c r="I5756" s="1127">
        <v>0.0</v>
      </c>
      <c r="J5756" s="1127">
        <v>0.0</v>
      </c>
      <c r="K5756" s="1124"/>
    </row>
    <row r="5757" ht="15.75" customHeight="1">
      <c r="A5757" s="1119">
        <v>103325.0</v>
      </c>
      <c r="B5757" s="1125" t="s">
        <v>16036</v>
      </c>
      <c r="C5757" s="1126" t="s">
        <v>1814</v>
      </c>
      <c r="D5757" s="1119">
        <v>84.54</v>
      </c>
      <c r="E5757" s="1120">
        <v>31.0</v>
      </c>
      <c r="F5757" s="1121">
        <f t="shared" si="1"/>
        <v>53.53</v>
      </c>
      <c r="G5757" s="1120">
        <v>53.53</v>
      </c>
      <c r="H5757" s="1127">
        <v>0.0</v>
      </c>
      <c r="I5757" s="1127">
        <v>0.0</v>
      </c>
      <c r="J5757" s="1127">
        <v>0.0</v>
      </c>
      <c r="K5757" s="1124"/>
    </row>
    <row r="5758" ht="15.75" customHeight="1">
      <c r="A5758" s="1119">
        <v>103326.0</v>
      </c>
      <c r="B5758" s="1125" t="s">
        <v>16037</v>
      </c>
      <c r="C5758" s="1126" t="s">
        <v>1814</v>
      </c>
      <c r="D5758" s="1119">
        <v>99.31</v>
      </c>
      <c r="E5758" s="1120">
        <v>34.17</v>
      </c>
      <c r="F5758" s="1121">
        <f t="shared" si="1"/>
        <v>65.13</v>
      </c>
      <c r="G5758" s="1120">
        <v>65.11</v>
      </c>
      <c r="H5758" s="1127">
        <v>0.01</v>
      </c>
      <c r="I5758" s="1127">
        <v>0.0</v>
      </c>
      <c r="J5758" s="1127">
        <v>0.01</v>
      </c>
      <c r="K5758" s="1124"/>
    </row>
    <row r="5759" ht="15.75" customHeight="1">
      <c r="A5759" s="1119">
        <v>103327.0</v>
      </c>
      <c r="B5759" s="1125" t="s">
        <v>16038</v>
      </c>
      <c r="C5759" s="1126" t="s">
        <v>1814</v>
      </c>
      <c r="D5759" s="1119">
        <v>101.49</v>
      </c>
      <c r="E5759" s="1120">
        <v>35.72</v>
      </c>
      <c r="F5759" s="1121">
        <f t="shared" si="1"/>
        <v>65.77</v>
      </c>
      <c r="G5759" s="1120">
        <v>65.77</v>
      </c>
      <c r="H5759" s="1127">
        <v>0.0</v>
      </c>
      <c r="I5759" s="1127">
        <v>0.0</v>
      </c>
      <c r="J5759" s="1127">
        <v>0.0</v>
      </c>
      <c r="K5759" s="1124"/>
    </row>
    <row r="5760" ht="15.75" customHeight="1">
      <c r="A5760" s="1119">
        <v>103328.0</v>
      </c>
      <c r="B5760" s="1125" t="s">
        <v>16039</v>
      </c>
      <c r="C5760" s="1126" t="s">
        <v>1814</v>
      </c>
      <c r="D5760" s="1119">
        <v>101.19</v>
      </c>
      <c r="E5760" s="1120">
        <v>54.54</v>
      </c>
      <c r="F5760" s="1121">
        <f t="shared" si="1"/>
        <v>46.65</v>
      </c>
      <c r="G5760" s="1120">
        <v>46.65</v>
      </c>
      <c r="H5760" s="1127">
        <v>0.0</v>
      </c>
      <c r="I5760" s="1127">
        <v>0.0</v>
      </c>
      <c r="J5760" s="1127">
        <v>0.0</v>
      </c>
      <c r="K5760" s="1124"/>
    </row>
    <row r="5761" ht="15.75" customHeight="1">
      <c r="A5761" s="1119">
        <v>103329.0</v>
      </c>
      <c r="B5761" s="1125" t="s">
        <v>16040</v>
      </c>
      <c r="C5761" s="1126" t="s">
        <v>1814</v>
      </c>
      <c r="D5761" s="1119">
        <v>102.64</v>
      </c>
      <c r="E5761" s="1120">
        <v>55.56</v>
      </c>
      <c r="F5761" s="1121">
        <f t="shared" si="1"/>
        <v>47.07</v>
      </c>
      <c r="G5761" s="1120">
        <v>47.07</v>
      </c>
      <c r="H5761" s="1127">
        <v>0.0</v>
      </c>
      <c r="I5761" s="1127">
        <v>0.0</v>
      </c>
      <c r="J5761" s="1127">
        <v>0.0</v>
      </c>
      <c r="K5761" s="1124"/>
    </row>
    <row r="5762" ht="15.75" customHeight="1">
      <c r="A5762" s="1119">
        <v>103330.0</v>
      </c>
      <c r="B5762" s="1125" t="s">
        <v>16041</v>
      </c>
      <c r="C5762" s="1126" t="s">
        <v>1814</v>
      </c>
      <c r="D5762" s="1119">
        <v>91.2</v>
      </c>
      <c r="E5762" s="1120">
        <v>40.89</v>
      </c>
      <c r="F5762" s="1121">
        <f t="shared" si="1"/>
        <v>50.31</v>
      </c>
      <c r="G5762" s="1120">
        <v>50.31</v>
      </c>
      <c r="H5762" s="1127">
        <v>0.0</v>
      </c>
      <c r="I5762" s="1127">
        <v>0.0</v>
      </c>
      <c r="J5762" s="1127">
        <v>0.0</v>
      </c>
      <c r="K5762" s="1124"/>
    </row>
    <row r="5763" ht="15.75" customHeight="1">
      <c r="A5763" s="1119">
        <v>103331.0</v>
      </c>
      <c r="B5763" s="1125" t="s">
        <v>16042</v>
      </c>
      <c r="C5763" s="1126" t="s">
        <v>1814</v>
      </c>
      <c r="D5763" s="1119">
        <v>92.75</v>
      </c>
      <c r="E5763" s="1120">
        <v>41.99</v>
      </c>
      <c r="F5763" s="1121">
        <f t="shared" si="1"/>
        <v>50.77</v>
      </c>
      <c r="G5763" s="1120">
        <v>50.77</v>
      </c>
      <c r="H5763" s="1127">
        <v>0.0</v>
      </c>
      <c r="I5763" s="1127">
        <v>0.0</v>
      </c>
      <c r="J5763" s="1127">
        <v>0.0</v>
      </c>
      <c r="K5763" s="1124"/>
    </row>
    <row r="5764" ht="15.75" customHeight="1">
      <c r="A5764" s="1119">
        <v>103332.0</v>
      </c>
      <c r="B5764" s="1125" t="s">
        <v>16043</v>
      </c>
      <c r="C5764" s="1126" t="s">
        <v>1814</v>
      </c>
      <c r="D5764" s="1119">
        <v>133.53</v>
      </c>
      <c r="E5764" s="1120">
        <v>74.36</v>
      </c>
      <c r="F5764" s="1121">
        <f t="shared" si="1"/>
        <v>59.17</v>
      </c>
      <c r="G5764" s="1120">
        <v>59.16</v>
      </c>
      <c r="H5764" s="1127">
        <v>0.01</v>
      </c>
      <c r="I5764" s="1127">
        <v>0.0</v>
      </c>
      <c r="J5764" s="1127">
        <v>0.0</v>
      </c>
      <c r="K5764" s="1124"/>
    </row>
    <row r="5765" ht="15.75" customHeight="1">
      <c r="A5765" s="1119">
        <v>103333.0</v>
      </c>
      <c r="B5765" s="1125" t="s">
        <v>16044</v>
      </c>
      <c r="C5765" s="1126" t="s">
        <v>1814</v>
      </c>
      <c r="D5765" s="1119">
        <v>135.2</v>
      </c>
      <c r="E5765" s="1120">
        <v>75.54</v>
      </c>
      <c r="F5765" s="1121">
        <f t="shared" si="1"/>
        <v>59.66</v>
      </c>
      <c r="G5765" s="1120">
        <v>59.66</v>
      </c>
      <c r="H5765" s="1127">
        <v>0.0</v>
      </c>
      <c r="I5765" s="1127">
        <v>0.0</v>
      </c>
      <c r="J5765" s="1127">
        <v>0.0</v>
      </c>
      <c r="K5765" s="1124"/>
    </row>
    <row r="5766" ht="15.75" customHeight="1">
      <c r="A5766" s="1119">
        <v>103334.0</v>
      </c>
      <c r="B5766" s="1125" t="s">
        <v>16045</v>
      </c>
      <c r="C5766" s="1126" t="s">
        <v>1814</v>
      </c>
      <c r="D5766" s="1119">
        <v>158.73</v>
      </c>
      <c r="E5766" s="1120">
        <v>78.96</v>
      </c>
      <c r="F5766" s="1121">
        <f t="shared" si="1"/>
        <v>79.77</v>
      </c>
      <c r="G5766" s="1120">
        <v>79.75</v>
      </c>
      <c r="H5766" s="1127">
        <v>0.01</v>
      </c>
      <c r="I5766" s="1127">
        <v>0.0</v>
      </c>
      <c r="J5766" s="1127">
        <v>0.01</v>
      </c>
      <c r="K5766" s="1124"/>
    </row>
    <row r="5767" ht="15.75" customHeight="1">
      <c r="A5767" s="1119">
        <v>103335.0</v>
      </c>
      <c r="B5767" s="1125" t="s">
        <v>16046</v>
      </c>
      <c r="C5767" s="1126" t="s">
        <v>1814</v>
      </c>
      <c r="D5767" s="1119">
        <v>161.64</v>
      </c>
      <c r="E5767" s="1120">
        <v>81.03</v>
      </c>
      <c r="F5767" s="1121">
        <f t="shared" si="1"/>
        <v>80.61</v>
      </c>
      <c r="G5767" s="1120">
        <v>80.61</v>
      </c>
      <c r="H5767" s="1127">
        <v>0.0</v>
      </c>
      <c r="I5767" s="1127">
        <v>0.0</v>
      </c>
      <c r="J5767" s="1127">
        <v>0.0</v>
      </c>
      <c r="K5767" s="1124"/>
    </row>
    <row r="5768" ht="15.75" customHeight="1">
      <c r="A5768" s="1119">
        <v>103350.0</v>
      </c>
      <c r="B5768" s="1125" t="s">
        <v>16047</v>
      </c>
      <c r="C5768" s="1126" t="s">
        <v>1814</v>
      </c>
      <c r="D5768" s="1119">
        <v>198.05</v>
      </c>
      <c r="E5768" s="1120">
        <v>102.3</v>
      </c>
      <c r="F5768" s="1121">
        <f t="shared" si="1"/>
        <v>95.77</v>
      </c>
      <c r="G5768" s="1120">
        <v>95.75</v>
      </c>
      <c r="H5768" s="1127">
        <v>0.01</v>
      </c>
      <c r="I5768" s="1127">
        <v>0.0</v>
      </c>
      <c r="J5768" s="1127">
        <v>0.01</v>
      </c>
      <c r="K5768" s="1124"/>
    </row>
    <row r="5769" ht="15.75" customHeight="1">
      <c r="A5769" s="1119">
        <v>103351.0</v>
      </c>
      <c r="B5769" s="1125" t="s">
        <v>16048</v>
      </c>
      <c r="C5769" s="1126" t="s">
        <v>1814</v>
      </c>
      <c r="D5769" s="1119">
        <v>200.17</v>
      </c>
      <c r="E5769" s="1120">
        <v>103.8</v>
      </c>
      <c r="F5769" s="1121">
        <f t="shared" si="1"/>
        <v>96.39</v>
      </c>
      <c r="G5769" s="1120">
        <v>96.39</v>
      </c>
      <c r="H5769" s="1127">
        <v>0.0</v>
      </c>
      <c r="I5769" s="1127">
        <v>0.0</v>
      </c>
      <c r="J5769" s="1127">
        <v>0.0</v>
      </c>
      <c r="K5769" s="1124"/>
    </row>
    <row r="5770" ht="15.75" customHeight="1">
      <c r="A5770" s="1119">
        <v>103356.0</v>
      </c>
      <c r="B5770" s="1125" t="s">
        <v>16049</v>
      </c>
      <c r="C5770" s="1126" t="s">
        <v>1814</v>
      </c>
      <c r="D5770" s="1119">
        <v>60.87</v>
      </c>
      <c r="E5770" s="1120">
        <v>26.36</v>
      </c>
      <c r="F5770" s="1121">
        <f t="shared" si="1"/>
        <v>34.51</v>
      </c>
      <c r="G5770" s="1120">
        <v>34.51</v>
      </c>
      <c r="H5770" s="1127">
        <v>0.0</v>
      </c>
      <c r="I5770" s="1127">
        <v>0.0</v>
      </c>
      <c r="J5770" s="1127">
        <v>0.0</v>
      </c>
      <c r="K5770" s="1124"/>
    </row>
    <row r="5771" ht="15.75" customHeight="1">
      <c r="A5771" s="1119">
        <v>103357.0</v>
      </c>
      <c r="B5771" s="1125" t="s">
        <v>16050</v>
      </c>
      <c r="C5771" s="1126" t="s">
        <v>1814</v>
      </c>
      <c r="D5771" s="1119">
        <v>62.09</v>
      </c>
      <c r="E5771" s="1120">
        <v>27.22</v>
      </c>
      <c r="F5771" s="1121">
        <f t="shared" si="1"/>
        <v>34.88</v>
      </c>
      <c r="G5771" s="1120">
        <v>34.88</v>
      </c>
      <c r="H5771" s="1127">
        <v>0.0</v>
      </c>
      <c r="I5771" s="1127">
        <v>0.0</v>
      </c>
      <c r="J5771" s="1127">
        <v>0.0</v>
      </c>
      <c r="K5771" s="1124"/>
    </row>
    <row r="5772" ht="15.75" customHeight="1">
      <c r="A5772" s="1119">
        <v>89282.0</v>
      </c>
      <c r="B5772" s="1125" t="s">
        <v>16051</v>
      </c>
      <c r="C5772" s="1126" t="s">
        <v>1814</v>
      </c>
      <c r="D5772" s="1119">
        <v>75.54</v>
      </c>
      <c r="E5772" s="1120">
        <v>22.98</v>
      </c>
      <c r="F5772" s="1121">
        <f t="shared" si="1"/>
        <v>52.56</v>
      </c>
      <c r="G5772" s="1120">
        <v>52.54</v>
      </c>
      <c r="H5772" s="1127">
        <v>0.01</v>
      </c>
      <c r="I5772" s="1127">
        <v>0.0</v>
      </c>
      <c r="J5772" s="1127">
        <v>0.01</v>
      </c>
      <c r="K5772" s="1124"/>
    </row>
    <row r="5773" ht="15.75" customHeight="1">
      <c r="A5773" s="1119">
        <v>89283.0</v>
      </c>
      <c r="B5773" s="1125" t="s">
        <v>16052</v>
      </c>
      <c r="C5773" s="1126" t="s">
        <v>1814</v>
      </c>
      <c r="D5773" s="1119">
        <v>77.46</v>
      </c>
      <c r="E5773" s="1120">
        <v>24.31</v>
      </c>
      <c r="F5773" s="1121">
        <f t="shared" si="1"/>
        <v>53.16</v>
      </c>
      <c r="G5773" s="1120">
        <v>53.16</v>
      </c>
      <c r="H5773" s="1127">
        <v>0.0</v>
      </c>
      <c r="I5773" s="1127">
        <v>0.0</v>
      </c>
      <c r="J5773" s="1127">
        <v>0.0</v>
      </c>
      <c r="K5773" s="1124"/>
    </row>
    <row r="5774" ht="15.75" customHeight="1">
      <c r="A5774" s="1119">
        <v>89290.0</v>
      </c>
      <c r="B5774" s="1125" t="s">
        <v>16053</v>
      </c>
      <c r="C5774" s="1126" t="s">
        <v>1814</v>
      </c>
      <c r="D5774" s="1119">
        <v>86.35</v>
      </c>
      <c r="E5774" s="1120">
        <v>30.04</v>
      </c>
      <c r="F5774" s="1121">
        <f t="shared" si="1"/>
        <v>56.3</v>
      </c>
      <c r="G5774" s="1120">
        <v>56.28</v>
      </c>
      <c r="H5774" s="1127">
        <v>0.01</v>
      </c>
      <c r="I5774" s="1127">
        <v>0.0</v>
      </c>
      <c r="J5774" s="1127">
        <v>0.01</v>
      </c>
      <c r="K5774" s="1124"/>
    </row>
    <row r="5775" ht="15.75" customHeight="1">
      <c r="A5775" s="1119">
        <v>89291.0</v>
      </c>
      <c r="B5775" s="1125" t="s">
        <v>16054</v>
      </c>
      <c r="C5775" s="1126" t="s">
        <v>1814</v>
      </c>
      <c r="D5775" s="1119">
        <v>88.49</v>
      </c>
      <c r="E5775" s="1120">
        <v>31.51</v>
      </c>
      <c r="F5775" s="1121">
        <f t="shared" si="1"/>
        <v>56.96</v>
      </c>
      <c r="G5775" s="1120">
        <v>56.96</v>
      </c>
      <c r="H5775" s="1127">
        <v>0.0</v>
      </c>
      <c r="I5775" s="1127">
        <v>0.0</v>
      </c>
      <c r="J5775" s="1127">
        <v>0.0</v>
      </c>
      <c r="K5775" s="1124"/>
    </row>
    <row r="5776" ht="15.75" customHeight="1">
      <c r="A5776" s="1119">
        <v>89298.0</v>
      </c>
      <c r="B5776" s="1125" t="s">
        <v>16055</v>
      </c>
      <c r="C5776" s="1126" t="s">
        <v>1814</v>
      </c>
      <c r="D5776" s="1119">
        <v>88.12</v>
      </c>
      <c r="E5776" s="1120">
        <v>30.99</v>
      </c>
      <c r="F5776" s="1121">
        <f t="shared" si="1"/>
        <v>57.13</v>
      </c>
      <c r="G5776" s="1120">
        <v>57.11</v>
      </c>
      <c r="H5776" s="1127">
        <v>0.01</v>
      </c>
      <c r="I5776" s="1127">
        <v>0.0</v>
      </c>
      <c r="J5776" s="1127">
        <v>0.01</v>
      </c>
      <c r="K5776" s="1124"/>
    </row>
    <row r="5777" ht="15.75" customHeight="1">
      <c r="A5777" s="1119">
        <v>89299.0</v>
      </c>
      <c r="B5777" s="1125" t="s">
        <v>16056</v>
      </c>
      <c r="C5777" s="1126" t="s">
        <v>1814</v>
      </c>
      <c r="D5777" s="1119">
        <v>90.68</v>
      </c>
      <c r="E5777" s="1120">
        <v>32.76</v>
      </c>
      <c r="F5777" s="1121">
        <f t="shared" si="1"/>
        <v>57.93</v>
      </c>
      <c r="G5777" s="1120">
        <v>57.93</v>
      </c>
      <c r="H5777" s="1127">
        <v>0.0</v>
      </c>
      <c r="I5777" s="1127">
        <v>0.0</v>
      </c>
      <c r="J5777" s="1127">
        <v>0.0</v>
      </c>
      <c r="K5777" s="1124"/>
    </row>
    <row r="5778" ht="15.75" customHeight="1">
      <c r="A5778" s="1119">
        <v>89306.0</v>
      </c>
      <c r="B5778" s="1125" t="s">
        <v>16057</v>
      </c>
      <c r="C5778" s="1126" t="s">
        <v>1814</v>
      </c>
      <c r="D5778" s="1119">
        <v>104.34</v>
      </c>
      <c r="E5778" s="1120">
        <v>41.87</v>
      </c>
      <c r="F5778" s="1121">
        <f t="shared" si="1"/>
        <v>62.47</v>
      </c>
      <c r="G5778" s="1120">
        <v>62.44</v>
      </c>
      <c r="H5778" s="1127">
        <v>0.02</v>
      </c>
      <c r="I5778" s="1127">
        <v>0.0</v>
      </c>
      <c r="J5778" s="1127">
        <v>0.01</v>
      </c>
      <c r="K5778" s="1124"/>
    </row>
    <row r="5779" ht="15.75" customHeight="1">
      <c r="A5779" s="1119">
        <v>89307.0</v>
      </c>
      <c r="B5779" s="1125" t="s">
        <v>16058</v>
      </c>
      <c r="C5779" s="1126" t="s">
        <v>1814</v>
      </c>
      <c r="D5779" s="1119">
        <v>107.2</v>
      </c>
      <c r="E5779" s="1120">
        <v>43.85</v>
      </c>
      <c r="F5779" s="1121">
        <f t="shared" si="1"/>
        <v>63.36</v>
      </c>
      <c r="G5779" s="1120">
        <v>63.36</v>
      </c>
      <c r="H5779" s="1127">
        <v>0.0</v>
      </c>
      <c r="I5779" s="1127">
        <v>0.0</v>
      </c>
      <c r="J5779" s="1127">
        <v>0.0</v>
      </c>
      <c r="K5779" s="1124"/>
    </row>
    <row r="5780" ht="15.75" customHeight="1">
      <c r="A5780" s="1119">
        <v>101157.0</v>
      </c>
      <c r="B5780" s="1125" t="s">
        <v>16059</v>
      </c>
      <c r="C5780" s="1126" t="s">
        <v>1814</v>
      </c>
      <c r="D5780" s="1119">
        <v>63.79</v>
      </c>
      <c r="E5780" s="1120">
        <v>16.15</v>
      </c>
      <c r="F5780" s="1121">
        <f t="shared" si="1"/>
        <v>47.64</v>
      </c>
      <c r="G5780" s="1120">
        <v>47.64</v>
      </c>
      <c r="H5780" s="1127">
        <v>0.0</v>
      </c>
      <c r="I5780" s="1127">
        <v>0.0</v>
      </c>
      <c r="J5780" s="1127">
        <v>0.0</v>
      </c>
      <c r="K5780" s="1124"/>
    </row>
    <row r="5781" ht="15.75" customHeight="1">
      <c r="A5781" s="1119">
        <v>101158.0</v>
      </c>
      <c r="B5781" s="1125" t="s">
        <v>16060</v>
      </c>
      <c r="C5781" s="1126" t="s">
        <v>1814</v>
      </c>
      <c r="D5781" s="1119">
        <v>82.8</v>
      </c>
      <c r="E5781" s="1120">
        <v>18.94</v>
      </c>
      <c r="F5781" s="1121">
        <f t="shared" si="1"/>
        <v>63.86</v>
      </c>
      <c r="G5781" s="1120">
        <v>63.86</v>
      </c>
      <c r="H5781" s="1127">
        <v>0.0</v>
      </c>
      <c r="I5781" s="1127">
        <v>0.0</v>
      </c>
      <c r="J5781" s="1127">
        <v>0.0</v>
      </c>
      <c r="K5781" s="1124"/>
    </row>
    <row r="5782" ht="15.75" customHeight="1">
      <c r="A5782" s="1119">
        <v>101162.0</v>
      </c>
      <c r="B5782" s="1125" t="s">
        <v>16061</v>
      </c>
      <c r="C5782" s="1126" t="s">
        <v>1814</v>
      </c>
      <c r="D5782" s="1119">
        <v>171.23</v>
      </c>
      <c r="E5782" s="1120">
        <v>75.47</v>
      </c>
      <c r="F5782" s="1121">
        <f t="shared" si="1"/>
        <v>95.76</v>
      </c>
      <c r="G5782" s="1120">
        <v>95.68</v>
      </c>
      <c r="H5782" s="1127">
        <v>0.06</v>
      </c>
      <c r="I5782" s="1127">
        <v>0.0</v>
      </c>
      <c r="J5782" s="1127">
        <v>0.02</v>
      </c>
      <c r="K5782" s="1124"/>
    </row>
    <row r="5783" ht="15.75" customHeight="1">
      <c r="A5783" s="1119">
        <v>103316.0</v>
      </c>
      <c r="B5783" s="1125" t="s">
        <v>16062</v>
      </c>
      <c r="C5783" s="1126" t="s">
        <v>1814</v>
      </c>
      <c r="D5783" s="1119">
        <v>71.82</v>
      </c>
      <c r="E5783" s="1120">
        <v>25.08</v>
      </c>
      <c r="F5783" s="1121">
        <f t="shared" si="1"/>
        <v>46.75</v>
      </c>
      <c r="G5783" s="1120">
        <v>46.75</v>
      </c>
      <c r="H5783" s="1127">
        <v>0.0</v>
      </c>
      <c r="I5783" s="1127">
        <v>0.0</v>
      </c>
      <c r="J5783" s="1127">
        <v>0.0</v>
      </c>
      <c r="K5783" s="1124"/>
    </row>
    <row r="5784" ht="15.75" customHeight="1">
      <c r="A5784" s="1119">
        <v>103317.0</v>
      </c>
      <c r="B5784" s="1125" t="s">
        <v>16063</v>
      </c>
      <c r="C5784" s="1126" t="s">
        <v>1814</v>
      </c>
      <c r="D5784" s="1119">
        <v>73.2</v>
      </c>
      <c r="E5784" s="1120">
        <v>26.05</v>
      </c>
      <c r="F5784" s="1121">
        <f t="shared" si="1"/>
        <v>47.15</v>
      </c>
      <c r="G5784" s="1120">
        <v>47.15</v>
      </c>
      <c r="H5784" s="1127">
        <v>0.0</v>
      </c>
      <c r="I5784" s="1127">
        <v>0.0</v>
      </c>
      <c r="J5784" s="1127">
        <v>0.0</v>
      </c>
      <c r="K5784" s="1124"/>
    </row>
    <row r="5785" ht="15.75" customHeight="1">
      <c r="A5785" s="1119">
        <v>103318.0</v>
      </c>
      <c r="B5785" s="1125" t="s">
        <v>16064</v>
      </c>
      <c r="C5785" s="1126" t="s">
        <v>1814</v>
      </c>
      <c r="D5785" s="1119">
        <v>93.88</v>
      </c>
      <c r="E5785" s="1120">
        <v>34.23</v>
      </c>
      <c r="F5785" s="1121">
        <f t="shared" si="1"/>
        <v>59.65</v>
      </c>
      <c r="G5785" s="1120">
        <v>59.65</v>
      </c>
      <c r="H5785" s="1127">
        <v>0.0</v>
      </c>
      <c r="I5785" s="1127">
        <v>0.0</v>
      </c>
      <c r="J5785" s="1127">
        <v>0.0</v>
      </c>
      <c r="K5785" s="1124"/>
    </row>
    <row r="5786" ht="15.75" customHeight="1">
      <c r="A5786" s="1119">
        <v>103319.0</v>
      </c>
      <c r="B5786" s="1125" t="s">
        <v>16065</v>
      </c>
      <c r="C5786" s="1126" t="s">
        <v>1814</v>
      </c>
      <c r="D5786" s="1119">
        <v>95.49</v>
      </c>
      <c r="E5786" s="1120">
        <v>35.37</v>
      </c>
      <c r="F5786" s="1121">
        <f t="shared" si="1"/>
        <v>60.12</v>
      </c>
      <c r="G5786" s="1120">
        <v>60.12</v>
      </c>
      <c r="H5786" s="1127">
        <v>0.0</v>
      </c>
      <c r="I5786" s="1127">
        <v>0.0</v>
      </c>
      <c r="J5786" s="1127">
        <v>0.0</v>
      </c>
      <c r="K5786" s="1124"/>
    </row>
    <row r="5787" ht="15.75" customHeight="1">
      <c r="A5787" s="1119">
        <v>103320.0</v>
      </c>
      <c r="B5787" s="1125" t="s">
        <v>16066</v>
      </c>
      <c r="C5787" s="1126" t="s">
        <v>1814</v>
      </c>
      <c r="D5787" s="1119">
        <v>112.03</v>
      </c>
      <c r="E5787" s="1120">
        <v>38.77</v>
      </c>
      <c r="F5787" s="1121">
        <f t="shared" si="1"/>
        <v>73.25</v>
      </c>
      <c r="G5787" s="1120">
        <v>73.23</v>
      </c>
      <c r="H5787" s="1127">
        <v>0.01</v>
      </c>
      <c r="I5787" s="1127">
        <v>0.0</v>
      </c>
      <c r="J5787" s="1127">
        <v>0.01</v>
      </c>
      <c r="K5787" s="1124"/>
    </row>
    <row r="5788" ht="15.75" customHeight="1">
      <c r="A5788" s="1119">
        <v>103321.0</v>
      </c>
      <c r="B5788" s="1125" t="s">
        <v>16067</v>
      </c>
      <c r="C5788" s="1126" t="s">
        <v>1814</v>
      </c>
      <c r="D5788" s="1119">
        <v>114.06</v>
      </c>
      <c r="E5788" s="1120">
        <v>40.21</v>
      </c>
      <c r="F5788" s="1121">
        <f t="shared" si="1"/>
        <v>73.84</v>
      </c>
      <c r="G5788" s="1120">
        <v>73.84</v>
      </c>
      <c r="H5788" s="1127">
        <v>0.0</v>
      </c>
      <c r="I5788" s="1127">
        <v>0.0</v>
      </c>
      <c r="J5788" s="1127">
        <v>0.0</v>
      </c>
      <c r="K5788" s="1124"/>
    </row>
    <row r="5789" ht="15.75" customHeight="1">
      <c r="A5789" s="1119">
        <v>103336.0</v>
      </c>
      <c r="B5789" s="1125" t="s">
        <v>16068</v>
      </c>
      <c r="C5789" s="1126" t="s">
        <v>1814</v>
      </c>
      <c r="D5789" s="1119">
        <v>82.29</v>
      </c>
      <c r="E5789" s="1120">
        <v>32.43</v>
      </c>
      <c r="F5789" s="1121">
        <f t="shared" si="1"/>
        <v>49.87</v>
      </c>
      <c r="G5789" s="1120">
        <v>49.87</v>
      </c>
      <c r="H5789" s="1127">
        <v>0.0</v>
      </c>
      <c r="I5789" s="1127">
        <v>0.0</v>
      </c>
      <c r="J5789" s="1127">
        <v>0.0</v>
      </c>
      <c r="K5789" s="1124"/>
    </row>
    <row r="5790" ht="15.75" customHeight="1">
      <c r="A5790" s="1119">
        <v>103337.0</v>
      </c>
      <c r="B5790" s="1125" t="s">
        <v>16069</v>
      </c>
      <c r="C5790" s="1126" t="s">
        <v>1814</v>
      </c>
      <c r="D5790" s="1119">
        <v>83.67</v>
      </c>
      <c r="E5790" s="1120">
        <v>33.4</v>
      </c>
      <c r="F5790" s="1121">
        <f t="shared" si="1"/>
        <v>50.27</v>
      </c>
      <c r="G5790" s="1120">
        <v>50.27</v>
      </c>
      <c r="H5790" s="1127">
        <v>0.0</v>
      </c>
      <c r="I5790" s="1127">
        <v>0.0</v>
      </c>
      <c r="J5790" s="1127">
        <v>0.0</v>
      </c>
      <c r="K5790" s="1124"/>
    </row>
    <row r="5791" ht="15.75" customHeight="1">
      <c r="A5791" s="1119">
        <v>103338.0</v>
      </c>
      <c r="B5791" s="1125" t="s">
        <v>16070</v>
      </c>
      <c r="C5791" s="1126" t="s">
        <v>1814</v>
      </c>
      <c r="D5791" s="1119">
        <v>109.03</v>
      </c>
      <c r="E5791" s="1120">
        <v>44.25</v>
      </c>
      <c r="F5791" s="1121">
        <f t="shared" si="1"/>
        <v>64.79</v>
      </c>
      <c r="G5791" s="1120">
        <v>64.79</v>
      </c>
      <c r="H5791" s="1127">
        <v>0.0</v>
      </c>
      <c r="I5791" s="1127">
        <v>0.0</v>
      </c>
      <c r="J5791" s="1127">
        <v>0.0</v>
      </c>
      <c r="K5791" s="1124"/>
    </row>
    <row r="5792" ht="15.75" customHeight="1">
      <c r="A5792" s="1119">
        <v>103339.0</v>
      </c>
      <c r="B5792" s="1125" t="s">
        <v>16071</v>
      </c>
      <c r="C5792" s="1126" t="s">
        <v>1814</v>
      </c>
      <c r="D5792" s="1119">
        <v>110.64</v>
      </c>
      <c r="E5792" s="1120">
        <v>45.4</v>
      </c>
      <c r="F5792" s="1121">
        <f t="shared" si="1"/>
        <v>65.26</v>
      </c>
      <c r="G5792" s="1120">
        <v>65.26</v>
      </c>
      <c r="H5792" s="1127">
        <v>0.0</v>
      </c>
      <c r="I5792" s="1127">
        <v>0.0</v>
      </c>
      <c r="J5792" s="1127">
        <v>0.0</v>
      </c>
      <c r="K5792" s="1124"/>
    </row>
    <row r="5793" ht="15.75" customHeight="1">
      <c r="A5793" s="1119">
        <v>103340.0</v>
      </c>
      <c r="B5793" s="1125" t="s">
        <v>16072</v>
      </c>
      <c r="C5793" s="1126" t="s">
        <v>1814</v>
      </c>
      <c r="D5793" s="1119">
        <v>130.63</v>
      </c>
      <c r="E5793" s="1120">
        <v>50.13</v>
      </c>
      <c r="F5793" s="1121">
        <f t="shared" si="1"/>
        <v>80.51</v>
      </c>
      <c r="G5793" s="1120">
        <v>80.49</v>
      </c>
      <c r="H5793" s="1127">
        <v>0.01</v>
      </c>
      <c r="I5793" s="1127">
        <v>0.0</v>
      </c>
      <c r="J5793" s="1127">
        <v>0.01</v>
      </c>
      <c r="K5793" s="1124"/>
    </row>
    <row r="5794" ht="15.75" customHeight="1">
      <c r="A5794" s="1119">
        <v>103341.0</v>
      </c>
      <c r="B5794" s="1125" t="s">
        <v>16073</v>
      </c>
      <c r="C5794" s="1126" t="s">
        <v>1814</v>
      </c>
      <c r="D5794" s="1119">
        <v>132.66</v>
      </c>
      <c r="E5794" s="1120">
        <v>51.58</v>
      </c>
      <c r="F5794" s="1121">
        <f t="shared" si="1"/>
        <v>81.1</v>
      </c>
      <c r="G5794" s="1120">
        <v>81.1</v>
      </c>
      <c r="H5794" s="1127">
        <v>0.0</v>
      </c>
      <c r="I5794" s="1127">
        <v>0.0</v>
      </c>
      <c r="J5794" s="1127">
        <v>0.0</v>
      </c>
      <c r="K5794" s="1124"/>
    </row>
    <row r="5795" ht="15.75" customHeight="1">
      <c r="A5795" s="1119">
        <v>103342.0</v>
      </c>
      <c r="B5795" s="1125" t="s">
        <v>16074</v>
      </c>
      <c r="C5795" s="1126" t="s">
        <v>1814</v>
      </c>
      <c r="D5795" s="1119">
        <v>109.07</v>
      </c>
      <c r="E5795" s="1120">
        <v>38.65</v>
      </c>
      <c r="F5795" s="1121">
        <f t="shared" si="1"/>
        <v>70.42</v>
      </c>
      <c r="G5795" s="1120">
        <v>70.41</v>
      </c>
      <c r="H5795" s="1127">
        <v>0.01</v>
      </c>
      <c r="I5795" s="1127">
        <v>0.0</v>
      </c>
      <c r="J5795" s="1127">
        <v>0.0</v>
      </c>
      <c r="K5795" s="1124"/>
    </row>
    <row r="5796" ht="15.75" customHeight="1">
      <c r="A5796" s="1119">
        <v>103343.0</v>
      </c>
      <c r="B5796" s="1125" t="s">
        <v>16075</v>
      </c>
      <c r="C5796" s="1126" t="s">
        <v>1814</v>
      </c>
      <c r="D5796" s="1119">
        <v>110.86</v>
      </c>
      <c r="E5796" s="1120">
        <v>39.92</v>
      </c>
      <c r="F5796" s="1121">
        <f t="shared" si="1"/>
        <v>70.93</v>
      </c>
      <c r="G5796" s="1120">
        <v>70.93</v>
      </c>
      <c r="H5796" s="1127">
        <v>0.0</v>
      </c>
      <c r="I5796" s="1127">
        <v>0.0</v>
      </c>
      <c r="J5796" s="1127">
        <v>0.0</v>
      </c>
      <c r="K5796" s="1124"/>
    </row>
    <row r="5797" ht="15.75" customHeight="1">
      <c r="A5797" s="1119">
        <v>89453.0</v>
      </c>
      <c r="B5797" s="1125" t="s">
        <v>16076</v>
      </c>
      <c r="C5797" s="1126" t="s">
        <v>1814</v>
      </c>
      <c r="D5797" s="1119">
        <v>78.36</v>
      </c>
      <c r="E5797" s="1120">
        <v>19.8</v>
      </c>
      <c r="F5797" s="1121">
        <f t="shared" si="1"/>
        <v>58.57</v>
      </c>
      <c r="G5797" s="1120">
        <v>58.56</v>
      </c>
      <c r="H5797" s="1127">
        <v>0.01</v>
      </c>
      <c r="I5797" s="1127">
        <v>0.0</v>
      </c>
      <c r="J5797" s="1127">
        <v>0.0</v>
      </c>
      <c r="K5797" s="1124"/>
    </row>
    <row r="5798" ht="15.75" customHeight="1">
      <c r="A5798" s="1119">
        <v>89455.0</v>
      </c>
      <c r="B5798" s="1125" t="s">
        <v>16077</v>
      </c>
      <c r="C5798" s="1126" t="s">
        <v>1814</v>
      </c>
      <c r="D5798" s="1119">
        <v>94.17</v>
      </c>
      <c r="E5798" s="1120">
        <v>20.99</v>
      </c>
      <c r="F5798" s="1121">
        <f t="shared" si="1"/>
        <v>73.18</v>
      </c>
      <c r="G5798" s="1120">
        <v>73.18</v>
      </c>
      <c r="H5798" s="1127">
        <v>0.0</v>
      </c>
      <c r="I5798" s="1127">
        <v>0.0</v>
      </c>
      <c r="J5798" s="1127">
        <v>0.0</v>
      </c>
      <c r="K5798" s="1124"/>
    </row>
    <row r="5799" ht="15.75" customHeight="1">
      <c r="A5799" s="1119">
        <v>89462.0</v>
      </c>
      <c r="B5799" s="1125" t="s">
        <v>16078</v>
      </c>
      <c r="C5799" s="1126" t="s">
        <v>1814</v>
      </c>
      <c r="D5799" s="1119">
        <v>105.66</v>
      </c>
      <c r="E5799" s="1120">
        <v>32.11</v>
      </c>
      <c r="F5799" s="1121">
        <f t="shared" si="1"/>
        <v>73.56</v>
      </c>
      <c r="G5799" s="1120">
        <v>73.55</v>
      </c>
      <c r="H5799" s="1127">
        <v>0.01</v>
      </c>
      <c r="I5799" s="1127">
        <v>0.0</v>
      </c>
      <c r="J5799" s="1127">
        <v>0.0</v>
      </c>
      <c r="K5799" s="1124"/>
    </row>
    <row r="5800" ht="15.75" customHeight="1">
      <c r="A5800" s="1119">
        <v>89464.0</v>
      </c>
      <c r="B5800" s="1125" t="s">
        <v>16079</v>
      </c>
      <c r="C5800" s="1126" t="s">
        <v>1814</v>
      </c>
      <c r="D5800" s="1119">
        <v>123.41</v>
      </c>
      <c r="E5800" s="1120">
        <v>34.56</v>
      </c>
      <c r="F5800" s="1121">
        <f t="shared" si="1"/>
        <v>88.86</v>
      </c>
      <c r="G5800" s="1120">
        <v>88.85</v>
      </c>
      <c r="H5800" s="1127">
        <v>0.01</v>
      </c>
      <c r="I5800" s="1127">
        <v>0.0</v>
      </c>
      <c r="J5800" s="1127">
        <v>0.0</v>
      </c>
      <c r="K5800" s="1124"/>
    </row>
    <row r="5801" ht="15.75" customHeight="1">
      <c r="A5801" s="1119">
        <v>89470.0</v>
      </c>
      <c r="B5801" s="1125" t="s">
        <v>16080</v>
      </c>
      <c r="C5801" s="1126" t="s">
        <v>1814</v>
      </c>
      <c r="D5801" s="1119">
        <v>90.89</v>
      </c>
      <c r="E5801" s="1120">
        <v>27.39</v>
      </c>
      <c r="F5801" s="1121">
        <f t="shared" si="1"/>
        <v>63.51</v>
      </c>
      <c r="G5801" s="1120">
        <v>63.49</v>
      </c>
      <c r="H5801" s="1127">
        <v>0.01</v>
      </c>
      <c r="I5801" s="1127">
        <v>0.0</v>
      </c>
      <c r="J5801" s="1127">
        <v>0.01</v>
      </c>
      <c r="K5801" s="1124"/>
    </row>
    <row r="5802" ht="15.75" customHeight="1">
      <c r="A5802" s="1119">
        <v>89472.0</v>
      </c>
      <c r="B5802" s="1125" t="s">
        <v>16081</v>
      </c>
      <c r="C5802" s="1126" t="s">
        <v>1814</v>
      </c>
      <c r="D5802" s="1119">
        <v>108.0</v>
      </c>
      <c r="E5802" s="1120">
        <v>29.38</v>
      </c>
      <c r="F5802" s="1121">
        <f t="shared" si="1"/>
        <v>78.64</v>
      </c>
      <c r="G5802" s="1120">
        <v>78.62</v>
      </c>
      <c r="H5802" s="1127">
        <v>0.01</v>
      </c>
      <c r="I5802" s="1127">
        <v>0.0</v>
      </c>
      <c r="J5802" s="1127">
        <v>0.01</v>
      </c>
      <c r="K5802" s="1124"/>
    </row>
    <row r="5803" ht="15.75" customHeight="1">
      <c r="A5803" s="1119">
        <v>89478.0</v>
      </c>
      <c r="B5803" s="1125" t="s">
        <v>16082</v>
      </c>
      <c r="C5803" s="1126" t="s">
        <v>1814</v>
      </c>
      <c r="D5803" s="1119">
        <v>126.6</v>
      </c>
      <c r="E5803" s="1120">
        <v>45.65</v>
      </c>
      <c r="F5803" s="1121">
        <f t="shared" si="1"/>
        <v>80.96</v>
      </c>
      <c r="G5803" s="1120">
        <v>80.94</v>
      </c>
      <c r="H5803" s="1127">
        <v>0.01</v>
      </c>
      <c r="I5803" s="1127">
        <v>0.0</v>
      </c>
      <c r="J5803" s="1127">
        <v>0.01</v>
      </c>
      <c r="K5803" s="1124"/>
    </row>
    <row r="5804" ht="15.75" customHeight="1">
      <c r="A5804" s="1119">
        <v>89480.0</v>
      </c>
      <c r="B5804" s="1125" t="s">
        <v>16083</v>
      </c>
      <c r="C5804" s="1126" t="s">
        <v>1814</v>
      </c>
      <c r="D5804" s="1119">
        <v>145.67</v>
      </c>
      <c r="E5804" s="1120">
        <v>48.88</v>
      </c>
      <c r="F5804" s="1121">
        <f t="shared" si="1"/>
        <v>96.79</v>
      </c>
      <c r="G5804" s="1120">
        <v>96.77</v>
      </c>
      <c r="H5804" s="1127">
        <v>0.01</v>
      </c>
      <c r="I5804" s="1127">
        <v>0.0</v>
      </c>
      <c r="J5804" s="1127">
        <v>0.01</v>
      </c>
      <c r="K5804" s="1124"/>
    </row>
    <row r="5805" ht="15.75" customHeight="1">
      <c r="A5805" s="1119">
        <v>91815.0</v>
      </c>
      <c r="B5805" s="1125" t="s">
        <v>16084</v>
      </c>
      <c r="C5805" s="1126" t="s">
        <v>1814</v>
      </c>
      <c r="D5805" s="1119">
        <v>78.36</v>
      </c>
      <c r="E5805" s="1120">
        <v>19.8</v>
      </c>
      <c r="F5805" s="1121">
        <f t="shared" si="1"/>
        <v>58.57</v>
      </c>
      <c r="G5805" s="1120">
        <v>58.56</v>
      </c>
      <c r="H5805" s="1127">
        <v>0.01</v>
      </c>
      <c r="I5805" s="1127">
        <v>0.0</v>
      </c>
      <c r="J5805" s="1127">
        <v>0.0</v>
      </c>
      <c r="K5805" s="1124"/>
    </row>
    <row r="5806" ht="15.75" customHeight="1">
      <c r="A5806" s="1119">
        <v>91816.0</v>
      </c>
      <c r="B5806" s="1125" t="s">
        <v>16085</v>
      </c>
      <c r="C5806" s="1126" t="s">
        <v>1814</v>
      </c>
      <c r="D5806" s="1119">
        <v>105.66</v>
      </c>
      <c r="E5806" s="1120">
        <v>32.11</v>
      </c>
      <c r="F5806" s="1121">
        <f t="shared" si="1"/>
        <v>73.56</v>
      </c>
      <c r="G5806" s="1120">
        <v>73.55</v>
      </c>
      <c r="H5806" s="1127">
        <v>0.01</v>
      </c>
      <c r="I5806" s="1127">
        <v>0.0</v>
      </c>
      <c r="J5806" s="1127">
        <v>0.0</v>
      </c>
      <c r="K5806" s="1124"/>
    </row>
    <row r="5807" ht="15.75" customHeight="1">
      <c r="A5807" s="1119">
        <v>101161.0</v>
      </c>
      <c r="B5807" s="1125" t="s">
        <v>16086</v>
      </c>
      <c r="C5807" s="1126" t="s">
        <v>1814</v>
      </c>
      <c r="D5807" s="1119">
        <v>211.18</v>
      </c>
      <c r="E5807" s="1120">
        <v>69.2</v>
      </c>
      <c r="F5807" s="1121">
        <f t="shared" si="1"/>
        <v>141.97</v>
      </c>
      <c r="G5807" s="1120">
        <v>141.95</v>
      </c>
      <c r="H5807" s="1127">
        <v>0.02</v>
      </c>
      <c r="I5807" s="1127">
        <v>0.0</v>
      </c>
      <c r="J5807" s="1127">
        <v>0.0</v>
      </c>
      <c r="K5807" s="1124"/>
    </row>
    <row r="5808" ht="15.75" customHeight="1">
      <c r="A5808" s="1119">
        <v>101163.0</v>
      </c>
      <c r="B5808" s="1125" t="s">
        <v>16087</v>
      </c>
      <c r="C5808" s="1126" t="s">
        <v>1814</v>
      </c>
      <c r="D5808" s="1119">
        <v>640.72</v>
      </c>
      <c r="E5808" s="1120">
        <v>141.01</v>
      </c>
      <c r="F5808" s="1121">
        <f t="shared" si="1"/>
        <v>499.71</v>
      </c>
      <c r="G5808" s="1120">
        <v>499.71</v>
      </c>
      <c r="H5808" s="1127">
        <v>0.0</v>
      </c>
      <c r="I5808" s="1127">
        <v>0.0</v>
      </c>
      <c r="J5808" s="1127">
        <v>0.0</v>
      </c>
      <c r="K5808" s="1124"/>
    </row>
    <row r="5809" ht="15.75" customHeight="1">
      <c r="A5809" s="1119">
        <v>101164.0</v>
      </c>
      <c r="B5809" s="1125" t="s">
        <v>16088</v>
      </c>
      <c r="C5809" s="1126" t="s">
        <v>1814</v>
      </c>
      <c r="D5809" s="1119">
        <v>649.77</v>
      </c>
      <c r="E5809" s="1120">
        <v>141.58</v>
      </c>
      <c r="F5809" s="1121">
        <f t="shared" si="1"/>
        <v>508.19</v>
      </c>
      <c r="G5809" s="1120">
        <v>508.17</v>
      </c>
      <c r="H5809" s="1127">
        <v>0.01</v>
      </c>
      <c r="I5809" s="1127">
        <v>0.0</v>
      </c>
      <c r="J5809" s="1127">
        <v>0.01</v>
      </c>
      <c r="K5809" s="1124"/>
    </row>
    <row r="5810" ht="15.75" customHeight="1">
      <c r="A5810" s="1119">
        <v>96358.0</v>
      </c>
      <c r="B5810" s="1125" t="s">
        <v>16089</v>
      </c>
      <c r="C5810" s="1126" t="s">
        <v>1814</v>
      </c>
      <c r="D5810" s="1119">
        <v>97.2</v>
      </c>
      <c r="E5810" s="1120">
        <v>14.91</v>
      </c>
      <c r="F5810" s="1121">
        <f t="shared" si="1"/>
        <v>82.3</v>
      </c>
      <c r="G5810" s="1120">
        <v>82.3</v>
      </c>
      <c r="H5810" s="1127">
        <v>0.0</v>
      </c>
      <c r="I5810" s="1127">
        <v>0.0</v>
      </c>
      <c r="J5810" s="1127">
        <v>0.0</v>
      </c>
      <c r="K5810" s="1124"/>
    </row>
    <row r="5811" ht="15.75" customHeight="1">
      <c r="A5811" s="1119">
        <v>96359.0</v>
      </c>
      <c r="B5811" s="1125" t="s">
        <v>16090</v>
      </c>
      <c r="C5811" s="1126" t="s">
        <v>1814</v>
      </c>
      <c r="D5811" s="1119">
        <v>111.07</v>
      </c>
      <c r="E5811" s="1120">
        <v>17.17</v>
      </c>
      <c r="F5811" s="1121">
        <f t="shared" si="1"/>
        <v>93.9</v>
      </c>
      <c r="G5811" s="1120">
        <v>93.9</v>
      </c>
      <c r="H5811" s="1127">
        <v>0.0</v>
      </c>
      <c r="I5811" s="1127">
        <v>0.0</v>
      </c>
      <c r="J5811" s="1127">
        <v>0.0</v>
      </c>
      <c r="K5811" s="1124"/>
    </row>
    <row r="5812" ht="15.75" customHeight="1">
      <c r="A5812" s="1119">
        <v>96360.0</v>
      </c>
      <c r="B5812" s="1125" t="s">
        <v>16091</v>
      </c>
      <c r="C5812" s="1126" t="s">
        <v>1814</v>
      </c>
      <c r="D5812" s="1119">
        <v>132.38</v>
      </c>
      <c r="E5812" s="1120">
        <v>18.87</v>
      </c>
      <c r="F5812" s="1121">
        <f t="shared" si="1"/>
        <v>113.51</v>
      </c>
      <c r="G5812" s="1120">
        <v>113.51</v>
      </c>
      <c r="H5812" s="1127">
        <v>0.0</v>
      </c>
      <c r="I5812" s="1127">
        <v>0.0</v>
      </c>
      <c r="J5812" s="1127">
        <v>0.0</v>
      </c>
      <c r="K5812" s="1124"/>
    </row>
    <row r="5813" ht="15.75" customHeight="1">
      <c r="A5813" s="1119">
        <v>96361.0</v>
      </c>
      <c r="B5813" s="1125" t="s">
        <v>16092</v>
      </c>
      <c r="C5813" s="1126" t="s">
        <v>1814</v>
      </c>
      <c r="D5813" s="1119">
        <v>159.33</v>
      </c>
      <c r="E5813" s="1120">
        <v>22.86</v>
      </c>
      <c r="F5813" s="1121">
        <f t="shared" si="1"/>
        <v>136.48</v>
      </c>
      <c r="G5813" s="1120">
        <v>136.48</v>
      </c>
      <c r="H5813" s="1127">
        <v>0.0</v>
      </c>
      <c r="I5813" s="1127">
        <v>0.0</v>
      </c>
      <c r="J5813" s="1127">
        <v>0.0</v>
      </c>
      <c r="K5813" s="1124"/>
    </row>
    <row r="5814" ht="15.75" customHeight="1">
      <c r="A5814" s="1119">
        <v>96362.0</v>
      </c>
      <c r="B5814" s="1125" t="s">
        <v>16093</v>
      </c>
      <c r="C5814" s="1126" t="s">
        <v>1814</v>
      </c>
      <c r="D5814" s="1119">
        <v>123.67</v>
      </c>
      <c r="E5814" s="1120">
        <v>17.52</v>
      </c>
      <c r="F5814" s="1121">
        <f t="shared" si="1"/>
        <v>106.15</v>
      </c>
      <c r="G5814" s="1120">
        <v>106.15</v>
      </c>
      <c r="H5814" s="1127">
        <v>0.0</v>
      </c>
      <c r="I5814" s="1127">
        <v>0.0</v>
      </c>
      <c r="J5814" s="1127">
        <v>0.0</v>
      </c>
      <c r="K5814" s="1124"/>
    </row>
    <row r="5815" ht="15.75" customHeight="1">
      <c r="A5815" s="1119">
        <v>96363.0</v>
      </c>
      <c r="B5815" s="1125" t="s">
        <v>16094</v>
      </c>
      <c r="C5815" s="1126" t="s">
        <v>1814</v>
      </c>
      <c r="D5815" s="1119">
        <v>138.05</v>
      </c>
      <c r="E5815" s="1120">
        <v>20.17</v>
      </c>
      <c r="F5815" s="1121">
        <f t="shared" si="1"/>
        <v>117.89</v>
      </c>
      <c r="G5815" s="1120">
        <v>117.89</v>
      </c>
      <c r="H5815" s="1127">
        <v>0.0</v>
      </c>
      <c r="I5815" s="1127">
        <v>0.0</v>
      </c>
      <c r="J5815" s="1127">
        <v>0.0</v>
      </c>
      <c r="K5815" s="1124"/>
    </row>
    <row r="5816" ht="15.75" customHeight="1">
      <c r="A5816" s="1119">
        <v>96364.0</v>
      </c>
      <c r="B5816" s="1125" t="s">
        <v>16095</v>
      </c>
      <c r="C5816" s="1126" t="s">
        <v>1814</v>
      </c>
      <c r="D5816" s="1119">
        <v>158.85</v>
      </c>
      <c r="E5816" s="1120">
        <v>21.5</v>
      </c>
      <c r="F5816" s="1121">
        <f t="shared" si="1"/>
        <v>137.36</v>
      </c>
      <c r="G5816" s="1120">
        <v>137.36</v>
      </c>
      <c r="H5816" s="1127">
        <v>0.0</v>
      </c>
      <c r="I5816" s="1127">
        <v>0.0</v>
      </c>
      <c r="J5816" s="1127">
        <v>0.0</v>
      </c>
      <c r="K5816" s="1124"/>
    </row>
    <row r="5817" ht="15.75" customHeight="1">
      <c r="A5817" s="1119">
        <v>96365.0</v>
      </c>
      <c r="B5817" s="1125" t="s">
        <v>16096</v>
      </c>
      <c r="C5817" s="1126" t="s">
        <v>1814</v>
      </c>
      <c r="D5817" s="1119">
        <v>186.3</v>
      </c>
      <c r="E5817" s="1120">
        <v>25.85</v>
      </c>
      <c r="F5817" s="1121">
        <f t="shared" si="1"/>
        <v>160.45</v>
      </c>
      <c r="G5817" s="1120">
        <v>160.45</v>
      </c>
      <c r="H5817" s="1127">
        <v>0.0</v>
      </c>
      <c r="I5817" s="1127">
        <v>0.0</v>
      </c>
      <c r="J5817" s="1127">
        <v>0.0</v>
      </c>
      <c r="K5817" s="1124"/>
    </row>
    <row r="5818" ht="15.75" customHeight="1">
      <c r="A5818" s="1119">
        <v>96366.0</v>
      </c>
      <c r="B5818" s="1125" t="s">
        <v>16097</v>
      </c>
      <c r="C5818" s="1126" t="s">
        <v>1814</v>
      </c>
      <c r="D5818" s="1119">
        <v>150.15</v>
      </c>
      <c r="E5818" s="1120">
        <v>20.15</v>
      </c>
      <c r="F5818" s="1121">
        <f t="shared" si="1"/>
        <v>130.01</v>
      </c>
      <c r="G5818" s="1120">
        <v>130.01</v>
      </c>
      <c r="H5818" s="1127">
        <v>0.0</v>
      </c>
      <c r="I5818" s="1127">
        <v>0.0</v>
      </c>
      <c r="J5818" s="1127">
        <v>0.0</v>
      </c>
      <c r="K5818" s="1124"/>
    </row>
    <row r="5819" ht="15.75" customHeight="1">
      <c r="A5819" s="1119">
        <v>96367.0</v>
      </c>
      <c r="B5819" s="1125" t="s">
        <v>16098</v>
      </c>
      <c r="C5819" s="1126" t="s">
        <v>1814</v>
      </c>
      <c r="D5819" s="1119">
        <v>165.01</v>
      </c>
      <c r="E5819" s="1120">
        <v>23.17</v>
      </c>
      <c r="F5819" s="1121">
        <f t="shared" si="1"/>
        <v>141.85</v>
      </c>
      <c r="G5819" s="1120">
        <v>141.85</v>
      </c>
      <c r="H5819" s="1127">
        <v>0.0</v>
      </c>
      <c r="I5819" s="1127">
        <v>0.0</v>
      </c>
      <c r="J5819" s="1127">
        <v>0.0</v>
      </c>
      <c r="K5819" s="1124"/>
    </row>
    <row r="5820" ht="15.75" customHeight="1">
      <c r="A5820" s="1119">
        <v>96368.0</v>
      </c>
      <c r="B5820" s="1125" t="s">
        <v>16099</v>
      </c>
      <c r="C5820" s="1126" t="s">
        <v>1814</v>
      </c>
      <c r="D5820" s="1119">
        <v>185.33</v>
      </c>
      <c r="E5820" s="1120">
        <v>24.11</v>
      </c>
      <c r="F5820" s="1121">
        <f t="shared" si="1"/>
        <v>161.21</v>
      </c>
      <c r="G5820" s="1120">
        <v>161.21</v>
      </c>
      <c r="H5820" s="1127">
        <v>0.0</v>
      </c>
      <c r="I5820" s="1127">
        <v>0.0</v>
      </c>
      <c r="J5820" s="1127">
        <v>0.0</v>
      </c>
      <c r="K5820" s="1124"/>
    </row>
    <row r="5821" ht="15.75" customHeight="1">
      <c r="A5821" s="1119">
        <v>96369.0</v>
      </c>
      <c r="B5821" s="1125" t="s">
        <v>16100</v>
      </c>
      <c r="C5821" s="1126" t="s">
        <v>1814</v>
      </c>
      <c r="D5821" s="1119">
        <v>213.28</v>
      </c>
      <c r="E5821" s="1120">
        <v>28.85</v>
      </c>
      <c r="F5821" s="1121">
        <f t="shared" si="1"/>
        <v>184.43</v>
      </c>
      <c r="G5821" s="1120">
        <v>184.43</v>
      </c>
      <c r="H5821" s="1127">
        <v>0.0</v>
      </c>
      <c r="I5821" s="1127">
        <v>0.0</v>
      </c>
      <c r="J5821" s="1127">
        <v>0.0</v>
      </c>
      <c r="K5821" s="1124"/>
    </row>
    <row r="5822" ht="15.75" customHeight="1">
      <c r="A5822" s="1119">
        <v>96370.0</v>
      </c>
      <c r="B5822" s="1125" t="s">
        <v>16101</v>
      </c>
      <c r="C5822" s="1126" t="s">
        <v>1814</v>
      </c>
      <c r="D5822" s="1119">
        <v>66.92</v>
      </c>
      <c r="E5822" s="1120">
        <v>9.93</v>
      </c>
      <c r="F5822" s="1121">
        <f t="shared" si="1"/>
        <v>56.99</v>
      </c>
      <c r="G5822" s="1120">
        <v>56.99</v>
      </c>
      <c r="H5822" s="1127">
        <v>0.0</v>
      </c>
      <c r="I5822" s="1127">
        <v>0.0</v>
      </c>
      <c r="J5822" s="1127">
        <v>0.0</v>
      </c>
      <c r="K5822" s="1124"/>
    </row>
    <row r="5823" ht="15.75" customHeight="1">
      <c r="A5823" s="1119">
        <v>96371.0</v>
      </c>
      <c r="B5823" s="1125" t="s">
        <v>16102</v>
      </c>
      <c r="C5823" s="1126" t="s">
        <v>1814</v>
      </c>
      <c r="D5823" s="1119">
        <v>80.51</v>
      </c>
      <c r="E5823" s="1120">
        <v>12.0</v>
      </c>
      <c r="F5823" s="1121">
        <f t="shared" si="1"/>
        <v>68.52</v>
      </c>
      <c r="G5823" s="1120">
        <v>68.52</v>
      </c>
      <c r="H5823" s="1127">
        <v>0.0</v>
      </c>
      <c r="I5823" s="1127">
        <v>0.0</v>
      </c>
      <c r="J5823" s="1127">
        <v>0.0</v>
      </c>
      <c r="K5823" s="1124"/>
    </row>
    <row r="5824" ht="15.75" customHeight="1">
      <c r="A5824" s="1119">
        <v>96373.0</v>
      </c>
      <c r="B5824" s="1125" t="s">
        <v>16103</v>
      </c>
      <c r="C5824" s="1126" t="s">
        <v>1731</v>
      </c>
      <c r="D5824" s="1119">
        <v>13.43</v>
      </c>
      <c r="E5824" s="1120">
        <v>1.7</v>
      </c>
      <c r="F5824" s="1121">
        <f t="shared" si="1"/>
        <v>11.72</v>
      </c>
      <c r="G5824" s="1120">
        <v>11.72</v>
      </c>
      <c r="H5824" s="1127">
        <v>0.0</v>
      </c>
      <c r="I5824" s="1127">
        <v>0.0</v>
      </c>
      <c r="J5824" s="1127">
        <v>0.0</v>
      </c>
      <c r="K5824" s="1124"/>
    </row>
    <row r="5825" ht="15.75" customHeight="1">
      <c r="A5825" s="1119">
        <v>96374.0</v>
      </c>
      <c r="B5825" s="1125" t="s">
        <v>16104</v>
      </c>
      <c r="C5825" s="1126" t="s">
        <v>1731</v>
      </c>
      <c r="D5825" s="1119">
        <v>39.88</v>
      </c>
      <c r="E5825" s="1120">
        <v>2.3</v>
      </c>
      <c r="F5825" s="1121">
        <f t="shared" si="1"/>
        <v>37.58</v>
      </c>
      <c r="G5825" s="1120">
        <v>37.58</v>
      </c>
      <c r="H5825" s="1127">
        <v>0.0</v>
      </c>
      <c r="I5825" s="1127">
        <v>0.0</v>
      </c>
      <c r="J5825" s="1127">
        <v>0.0</v>
      </c>
      <c r="K5825" s="1124"/>
    </row>
    <row r="5826" ht="15.75" customHeight="1">
      <c r="A5826" s="1119">
        <v>102235.0</v>
      </c>
      <c r="B5826" s="1125" t="s">
        <v>16105</v>
      </c>
      <c r="C5826" s="1126" t="s">
        <v>1814</v>
      </c>
      <c r="D5826" s="1119">
        <v>506.63</v>
      </c>
      <c r="E5826" s="1120">
        <v>63.37</v>
      </c>
      <c r="F5826" s="1121">
        <f t="shared" si="1"/>
        <v>443.26</v>
      </c>
      <c r="G5826" s="1120">
        <v>443.09</v>
      </c>
      <c r="H5826" s="1127">
        <v>0.09</v>
      </c>
      <c r="I5826" s="1127">
        <v>0.0</v>
      </c>
      <c r="J5826" s="1127">
        <v>0.08</v>
      </c>
      <c r="K5826" s="1124"/>
    </row>
    <row r="5827" ht="15.75" customHeight="1">
      <c r="A5827" s="1119">
        <v>102253.0</v>
      </c>
      <c r="B5827" s="1125" t="s">
        <v>16106</v>
      </c>
      <c r="C5827" s="1126" t="s">
        <v>1814</v>
      </c>
      <c r="D5827" s="1119">
        <v>840.72</v>
      </c>
      <c r="E5827" s="1120">
        <v>86.02</v>
      </c>
      <c r="F5827" s="1121">
        <f t="shared" si="1"/>
        <v>754.7</v>
      </c>
      <c r="G5827" s="1120">
        <v>754.49</v>
      </c>
      <c r="H5827" s="1127">
        <v>0.14</v>
      </c>
      <c r="I5827" s="1127">
        <v>0.0</v>
      </c>
      <c r="J5827" s="1127">
        <v>0.07</v>
      </c>
      <c r="K5827" s="1124"/>
    </row>
    <row r="5828" ht="15.75" customHeight="1">
      <c r="A5828" s="1119">
        <v>102254.0</v>
      </c>
      <c r="B5828" s="1125" t="s">
        <v>16107</v>
      </c>
      <c r="C5828" s="1126" t="s">
        <v>1814</v>
      </c>
      <c r="D5828" s="1119">
        <v>922.97</v>
      </c>
      <c r="E5828" s="1120">
        <v>86.02</v>
      </c>
      <c r="F5828" s="1121">
        <f t="shared" si="1"/>
        <v>836.95</v>
      </c>
      <c r="G5828" s="1120">
        <v>836.74</v>
      </c>
      <c r="H5828" s="1127">
        <v>0.14</v>
      </c>
      <c r="I5828" s="1127">
        <v>0.0</v>
      </c>
      <c r="J5828" s="1127">
        <v>0.07</v>
      </c>
      <c r="K5828" s="1124"/>
    </row>
    <row r="5829" ht="15.75" customHeight="1">
      <c r="A5829" s="1119">
        <v>102255.0</v>
      </c>
      <c r="B5829" s="1125" t="s">
        <v>16108</v>
      </c>
      <c r="C5829" s="1126" t="s">
        <v>1814</v>
      </c>
      <c r="D5829" s="1119">
        <v>888.28</v>
      </c>
      <c r="E5829" s="1120">
        <v>166.21</v>
      </c>
      <c r="F5829" s="1121">
        <f t="shared" si="1"/>
        <v>722.06</v>
      </c>
      <c r="G5829" s="1120">
        <v>721.65</v>
      </c>
      <c r="H5829" s="1127">
        <v>0.29</v>
      </c>
      <c r="I5829" s="1127">
        <v>0.0</v>
      </c>
      <c r="J5829" s="1127">
        <v>0.12</v>
      </c>
      <c r="K5829" s="1124"/>
    </row>
    <row r="5830" ht="15.75" customHeight="1">
      <c r="A5830" s="1119">
        <v>102256.0</v>
      </c>
      <c r="B5830" s="1125" t="s">
        <v>16109</v>
      </c>
      <c r="C5830" s="1126" t="s">
        <v>1814</v>
      </c>
      <c r="D5830" s="1119">
        <v>966.61</v>
      </c>
      <c r="E5830" s="1120">
        <v>166.21</v>
      </c>
      <c r="F5830" s="1121">
        <f t="shared" si="1"/>
        <v>800.4</v>
      </c>
      <c r="G5830" s="1120">
        <v>799.99</v>
      </c>
      <c r="H5830" s="1127">
        <v>0.29</v>
      </c>
      <c r="I5830" s="1127">
        <v>0.0</v>
      </c>
      <c r="J5830" s="1127">
        <v>0.12</v>
      </c>
      <c r="K5830" s="1124"/>
    </row>
    <row r="5831" ht="15.75" customHeight="1">
      <c r="A5831" s="1119">
        <v>102257.0</v>
      </c>
      <c r="B5831" s="1125" t="s">
        <v>16110</v>
      </c>
      <c r="C5831" s="1126" t="s">
        <v>1814</v>
      </c>
      <c r="D5831" s="1119">
        <v>344.84</v>
      </c>
      <c r="E5831" s="1120">
        <v>77.49</v>
      </c>
      <c r="F5831" s="1121">
        <f t="shared" si="1"/>
        <v>267.35</v>
      </c>
      <c r="G5831" s="1120">
        <v>267.19</v>
      </c>
      <c r="H5831" s="1127">
        <v>0.13</v>
      </c>
      <c r="I5831" s="1127">
        <v>0.0</v>
      </c>
      <c r="J5831" s="1127">
        <v>0.03</v>
      </c>
      <c r="K5831" s="1124"/>
    </row>
    <row r="5832" ht="15.75" customHeight="1">
      <c r="A5832" s="1119">
        <v>102258.0</v>
      </c>
      <c r="B5832" s="1125" t="s">
        <v>16111</v>
      </c>
      <c r="C5832" s="1126" t="s">
        <v>1814</v>
      </c>
      <c r="D5832" s="1119">
        <v>406.77</v>
      </c>
      <c r="E5832" s="1120">
        <v>151.01</v>
      </c>
      <c r="F5832" s="1121">
        <f t="shared" si="1"/>
        <v>255.75</v>
      </c>
      <c r="G5832" s="1120">
        <v>255.44</v>
      </c>
      <c r="H5832" s="1127">
        <v>0.26</v>
      </c>
      <c r="I5832" s="1127">
        <v>0.0</v>
      </c>
      <c r="J5832" s="1127">
        <v>0.05</v>
      </c>
      <c r="K5832" s="1124"/>
    </row>
    <row r="5833" ht="15.75" customHeight="1">
      <c r="A5833" s="1119">
        <v>101154.0</v>
      </c>
      <c r="B5833" s="1125" t="s">
        <v>16112</v>
      </c>
      <c r="C5833" s="1126" t="s">
        <v>1814</v>
      </c>
      <c r="D5833" s="1119">
        <v>124.28</v>
      </c>
      <c r="E5833" s="1120">
        <v>28.1</v>
      </c>
      <c r="F5833" s="1121">
        <f t="shared" si="1"/>
        <v>96.2</v>
      </c>
      <c r="G5833" s="1120">
        <v>96.18</v>
      </c>
      <c r="H5833" s="1127">
        <v>0.01</v>
      </c>
      <c r="I5833" s="1127">
        <v>0.0</v>
      </c>
      <c r="J5833" s="1127">
        <v>0.01</v>
      </c>
      <c r="K5833" s="1124"/>
    </row>
    <row r="5834" ht="15.75" customHeight="1">
      <c r="A5834" s="1119">
        <v>101155.0</v>
      </c>
      <c r="B5834" s="1125" t="s">
        <v>16113</v>
      </c>
      <c r="C5834" s="1126" t="s">
        <v>1814</v>
      </c>
      <c r="D5834" s="1119">
        <v>174.06</v>
      </c>
      <c r="E5834" s="1120">
        <v>37.18</v>
      </c>
      <c r="F5834" s="1121">
        <f t="shared" si="1"/>
        <v>136.88</v>
      </c>
      <c r="G5834" s="1120">
        <v>136.86</v>
      </c>
      <c r="H5834" s="1127">
        <v>0.01</v>
      </c>
      <c r="I5834" s="1127">
        <v>0.0</v>
      </c>
      <c r="J5834" s="1127">
        <v>0.01</v>
      </c>
      <c r="K5834" s="1124"/>
    </row>
    <row r="5835" ht="15.75" customHeight="1">
      <c r="A5835" s="1119">
        <v>101156.0</v>
      </c>
      <c r="B5835" s="1125" t="s">
        <v>16114</v>
      </c>
      <c r="C5835" s="1126" t="s">
        <v>1814</v>
      </c>
      <c r="D5835" s="1119">
        <v>254.57</v>
      </c>
      <c r="E5835" s="1120">
        <v>50.81</v>
      </c>
      <c r="F5835" s="1121">
        <f t="shared" si="1"/>
        <v>203.78</v>
      </c>
      <c r="G5835" s="1120">
        <v>203.76</v>
      </c>
      <c r="H5835" s="1127">
        <v>0.01</v>
      </c>
      <c r="I5835" s="1127">
        <v>0.0</v>
      </c>
      <c r="J5835" s="1127">
        <v>0.01</v>
      </c>
      <c r="K5835" s="1124"/>
    </row>
    <row r="5836" ht="15.75" customHeight="1">
      <c r="A5836" s="1119">
        <v>101814.0</v>
      </c>
      <c r="B5836" s="1125" t="s">
        <v>16115</v>
      </c>
      <c r="C5836" s="1126" t="s">
        <v>1814</v>
      </c>
      <c r="D5836" s="1119">
        <v>50.66</v>
      </c>
      <c r="E5836" s="1120">
        <v>24.31</v>
      </c>
      <c r="F5836" s="1121">
        <f t="shared" si="1"/>
        <v>26.35</v>
      </c>
      <c r="G5836" s="1120">
        <v>26.18</v>
      </c>
      <c r="H5836" s="1127">
        <v>0.17</v>
      </c>
      <c r="I5836" s="1127">
        <v>0.0</v>
      </c>
      <c r="J5836" s="1127">
        <v>0.0</v>
      </c>
      <c r="K5836" s="1124"/>
    </row>
    <row r="5837" ht="15.75" customHeight="1">
      <c r="A5837" s="1119">
        <v>101816.0</v>
      </c>
      <c r="B5837" s="1125" t="s">
        <v>16116</v>
      </c>
      <c r="C5837" s="1126" t="s">
        <v>1814</v>
      </c>
      <c r="D5837" s="1119">
        <v>76.9</v>
      </c>
      <c r="E5837" s="1120">
        <v>30.56</v>
      </c>
      <c r="F5837" s="1121">
        <f t="shared" si="1"/>
        <v>46.36</v>
      </c>
      <c r="G5837" s="1120">
        <v>46.11</v>
      </c>
      <c r="H5837" s="1127">
        <v>0.23</v>
      </c>
      <c r="I5837" s="1127">
        <v>0.0</v>
      </c>
      <c r="J5837" s="1127">
        <v>0.02</v>
      </c>
      <c r="K5837" s="1124"/>
    </row>
    <row r="5838" ht="15.75" customHeight="1">
      <c r="A5838" s="1119">
        <v>101817.0</v>
      </c>
      <c r="B5838" s="1125" t="s">
        <v>16117</v>
      </c>
      <c r="C5838" s="1126" t="s">
        <v>1814</v>
      </c>
      <c r="D5838" s="1119">
        <v>56.84</v>
      </c>
      <c r="E5838" s="1120">
        <v>29.59</v>
      </c>
      <c r="F5838" s="1121">
        <f t="shared" si="1"/>
        <v>27.26</v>
      </c>
      <c r="G5838" s="1120">
        <v>27.06</v>
      </c>
      <c r="H5838" s="1127">
        <v>0.2</v>
      </c>
      <c r="I5838" s="1127">
        <v>0.0</v>
      </c>
      <c r="J5838" s="1127">
        <v>0.0</v>
      </c>
      <c r="K5838" s="1124"/>
    </row>
    <row r="5839" ht="15.75" customHeight="1">
      <c r="A5839" s="1119">
        <v>101819.0</v>
      </c>
      <c r="B5839" s="1125" t="s">
        <v>16118</v>
      </c>
      <c r="C5839" s="1126" t="s">
        <v>1814</v>
      </c>
      <c r="D5839" s="1119">
        <v>71.77</v>
      </c>
      <c r="E5839" s="1120">
        <v>34.41</v>
      </c>
      <c r="F5839" s="1121">
        <f t="shared" si="1"/>
        <v>37.36</v>
      </c>
      <c r="G5839" s="1120">
        <v>37.12</v>
      </c>
      <c r="H5839" s="1127">
        <v>0.23</v>
      </c>
      <c r="I5839" s="1127">
        <v>0.0</v>
      </c>
      <c r="J5839" s="1127">
        <v>0.01</v>
      </c>
      <c r="K5839" s="1124"/>
    </row>
    <row r="5840" ht="15.75" customHeight="1">
      <c r="A5840" s="1119">
        <v>101820.0</v>
      </c>
      <c r="B5840" s="1125" t="s">
        <v>16119</v>
      </c>
      <c r="C5840" s="1126" t="s">
        <v>1814</v>
      </c>
      <c r="D5840" s="1119">
        <v>46.62</v>
      </c>
      <c r="E5840" s="1120">
        <v>28.08</v>
      </c>
      <c r="F5840" s="1121">
        <f t="shared" si="1"/>
        <v>18.55</v>
      </c>
      <c r="G5840" s="1120">
        <v>18.45</v>
      </c>
      <c r="H5840" s="1127">
        <v>0.1</v>
      </c>
      <c r="I5840" s="1127">
        <v>0.0</v>
      </c>
      <c r="J5840" s="1127">
        <v>0.0</v>
      </c>
      <c r="K5840" s="1124"/>
    </row>
    <row r="5841" ht="15.75" customHeight="1">
      <c r="A5841" s="1119">
        <v>101822.0</v>
      </c>
      <c r="B5841" s="1125" t="s">
        <v>16120</v>
      </c>
      <c r="C5841" s="1126" t="s">
        <v>2178</v>
      </c>
      <c r="D5841" s="1119">
        <v>140.6</v>
      </c>
      <c r="E5841" s="1120">
        <v>99.17</v>
      </c>
      <c r="F5841" s="1121">
        <f t="shared" si="1"/>
        <v>41.43</v>
      </c>
      <c r="G5841" s="1120">
        <v>40.49</v>
      </c>
      <c r="H5841" s="1127">
        <v>0.94</v>
      </c>
      <c r="I5841" s="1127">
        <v>0.0</v>
      </c>
      <c r="J5841" s="1127">
        <v>0.0</v>
      </c>
      <c r="K5841" s="1124"/>
    </row>
    <row r="5842" ht="15.75" customHeight="1">
      <c r="A5842" s="1119">
        <v>101823.0</v>
      </c>
      <c r="B5842" s="1125" t="s">
        <v>16121</v>
      </c>
      <c r="C5842" s="1126" t="s">
        <v>2178</v>
      </c>
      <c r="D5842" s="1119">
        <v>174.32</v>
      </c>
      <c r="E5842" s="1120">
        <v>99.16</v>
      </c>
      <c r="F5842" s="1121">
        <f t="shared" si="1"/>
        <v>75.17</v>
      </c>
      <c r="G5842" s="1120">
        <v>74.23</v>
      </c>
      <c r="H5842" s="1127">
        <v>0.94</v>
      </c>
      <c r="I5842" s="1127">
        <v>0.0</v>
      </c>
      <c r="J5842" s="1127">
        <v>0.0</v>
      </c>
      <c r="K5842" s="1124"/>
    </row>
    <row r="5843" ht="15.75" customHeight="1">
      <c r="A5843" s="1119">
        <v>101824.0</v>
      </c>
      <c r="B5843" s="1125" t="s">
        <v>16122</v>
      </c>
      <c r="C5843" s="1126" t="s">
        <v>2178</v>
      </c>
      <c r="D5843" s="1119">
        <v>205.71</v>
      </c>
      <c r="E5843" s="1120">
        <v>99.13</v>
      </c>
      <c r="F5843" s="1121">
        <f t="shared" si="1"/>
        <v>106.58</v>
      </c>
      <c r="G5843" s="1120">
        <v>105.64</v>
      </c>
      <c r="H5843" s="1127">
        <v>0.94</v>
      </c>
      <c r="I5843" s="1127">
        <v>0.0</v>
      </c>
      <c r="J5843" s="1127">
        <v>0.0</v>
      </c>
      <c r="K5843" s="1124"/>
    </row>
    <row r="5844" ht="15.75" customHeight="1">
      <c r="A5844" s="1119">
        <v>101825.0</v>
      </c>
      <c r="B5844" s="1125" t="s">
        <v>16123</v>
      </c>
      <c r="C5844" s="1126" t="s">
        <v>2178</v>
      </c>
      <c r="D5844" s="1119">
        <v>236.26</v>
      </c>
      <c r="E5844" s="1120">
        <v>99.12</v>
      </c>
      <c r="F5844" s="1121">
        <f t="shared" si="1"/>
        <v>137.14</v>
      </c>
      <c r="G5844" s="1120">
        <v>136.2</v>
      </c>
      <c r="H5844" s="1127">
        <v>0.94</v>
      </c>
      <c r="I5844" s="1127">
        <v>0.0</v>
      </c>
      <c r="J5844" s="1127">
        <v>0.0</v>
      </c>
      <c r="K5844" s="1124"/>
    </row>
    <row r="5845" ht="15.75" customHeight="1">
      <c r="A5845" s="1119">
        <v>101826.0</v>
      </c>
      <c r="B5845" s="1125" t="s">
        <v>16124</v>
      </c>
      <c r="C5845" s="1126" t="s">
        <v>2178</v>
      </c>
      <c r="D5845" s="1119">
        <v>266.41</v>
      </c>
      <c r="E5845" s="1120">
        <v>99.12</v>
      </c>
      <c r="F5845" s="1121">
        <f t="shared" si="1"/>
        <v>167.3</v>
      </c>
      <c r="G5845" s="1120">
        <v>166.36</v>
      </c>
      <c r="H5845" s="1127">
        <v>0.94</v>
      </c>
      <c r="I5845" s="1127">
        <v>0.0</v>
      </c>
      <c r="J5845" s="1127">
        <v>0.0</v>
      </c>
      <c r="K5845" s="1124"/>
    </row>
    <row r="5846" ht="15.75" customHeight="1">
      <c r="A5846" s="1119">
        <v>101827.0</v>
      </c>
      <c r="B5846" s="1125" t="s">
        <v>16125</v>
      </c>
      <c r="C5846" s="1126" t="s">
        <v>2178</v>
      </c>
      <c r="D5846" s="1119">
        <v>194.77</v>
      </c>
      <c r="E5846" s="1120">
        <v>99.15</v>
      </c>
      <c r="F5846" s="1121">
        <f t="shared" si="1"/>
        <v>95.64</v>
      </c>
      <c r="G5846" s="1120">
        <v>94.7</v>
      </c>
      <c r="H5846" s="1127">
        <v>0.94</v>
      </c>
      <c r="I5846" s="1127">
        <v>0.0</v>
      </c>
      <c r="J5846" s="1127">
        <v>0.0</v>
      </c>
      <c r="K5846" s="1124"/>
    </row>
    <row r="5847" ht="15.75" customHeight="1">
      <c r="A5847" s="1119">
        <v>101828.0</v>
      </c>
      <c r="B5847" s="1125" t="s">
        <v>16126</v>
      </c>
      <c r="C5847" s="1126" t="s">
        <v>2178</v>
      </c>
      <c r="D5847" s="1119">
        <v>185.74</v>
      </c>
      <c r="E5847" s="1120">
        <v>99.15</v>
      </c>
      <c r="F5847" s="1121">
        <f t="shared" si="1"/>
        <v>86.61</v>
      </c>
      <c r="G5847" s="1120">
        <v>85.67</v>
      </c>
      <c r="H5847" s="1127">
        <v>0.94</v>
      </c>
      <c r="I5847" s="1127">
        <v>0.0</v>
      </c>
      <c r="J5847" s="1127">
        <v>0.0</v>
      </c>
      <c r="K5847" s="1124"/>
    </row>
    <row r="5848" ht="15.75" customHeight="1">
      <c r="A5848" s="1119">
        <v>101829.0</v>
      </c>
      <c r="B5848" s="1125" t="s">
        <v>16127</v>
      </c>
      <c r="C5848" s="1126" t="s">
        <v>2178</v>
      </c>
      <c r="D5848" s="1119">
        <v>257.71</v>
      </c>
      <c r="E5848" s="1120">
        <v>99.12</v>
      </c>
      <c r="F5848" s="1121">
        <f t="shared" si="1"/>
        <v>158.6</v>
      </c>
      <c r="G5848" s="1120">
        <v>157.66</v>
      </c>
      <c r="H5848" s="1127">
        <v>0.94</v>
      </c>
      <c r="I5848" s="1127">
        <v>0.0</v>
      </c>
      <c r="J5848" s="1127">
        <v>0.0</v>
      </c>
      <c r="K5848" s="1124"/>
    </row>
    <row r="5849" ht="15.75" customHeight="1">
      <c r="A5849" s="1119">
        <v>101830.0</v>
      </c>
      <c r="B5849" s="1125" t="s">
        <v>16128</v>
      </c>
      <c r="C5849" s="1126" t="s">
        <v>2178</v>
      </c>
      <c r="D5849" s="1119">
        <v>287.18</v>
      </c>
      <c r="E5849" s="1120">
        <v>99.11</v>
      </c>
      <c r="F5849" s="1121">
        <f t="shared" si="1"/>
        <v>188.07</v>
      </c>
      <c r="G5849" s="1120">
        <v>187.13</v>
      </c>
      <c r="H5849" s="1127">
        <v>0.94</v>
      </c>
      <c r="I5849" s="1127">
        <v>0.0</v>
      </c>
      <c r="J5849" s="1127">
        <v>0.0</v>
      </c>
      <c r="K5849" s="1124"/>
    </row>
    <row r="5850" ht="15.75" customHeight="1">
      <c r="A5850" s="1119">
        <v>101831.0</v>
      </c>
      <c r="B5850" s="1125" t="s">
        <v>16129</v>
      </c>
      <c r="C5850" s="1126" t="s">
        <v>2178</v>
      </c>
      <c r="D5850" s="1119">
        <v>316.25</v>
      </c>
      <c r="E5850" s="1120">
        <v>99.11</v>
      </c>
      <c r="F5850" s="1121">
        <f t="shared" si="1"/>
        <v>217.15</v>
      </c>
      <c r="G5850" s="1120">
        <v>216.21</v>
      </c>
      <c r="H5850" s="1127">
        <v>0.94</v>
      </c>
      <c r="I5850" s="1127">
        <v>0.0</v>
      </c>
      <c r="J5850" s="1127">
        <v>0.0</v>
      </c>
      <c r="K5850" s="1124"/>
    </row>
    <row r="5851" ht="15.75" customHeight="1">
      <c r="A5851" s="1119">
        <v>101832.0</v>
      </c>
      <c r="B5851" s="1125" t="s">
        <v>16130</v>
      </c>
      <c r="C5851" s="1126" t="s">
        <v>2178</v>
      </c>
      <c r="D5851" s="1119">
        <v>249.05</v>
      </c>
      <c r="E5851" s="1120">
        <v>99.12</v>
      </c>
      <c r="F5851" s="1121">
        <f t="shared" si="1"/>
        <v>149.93</v>
      </c>
      <c r="G5851" s="1120">
        <v>148.99</v>
      </c>
      <c r="H5851" s="1127">
        <v>0.94</v>
      </c>
      <c r="I5851" s="1127">
        <v>0.0</v>
      </c>
      <c r="J5851" s="1127">
        <v>0.0</v>
      </c>
      <c r="K5851" s="1124"/>
    </row>
    <row r="5852" ht="15.75" customHeight="1">
      <c r="A5852" s="1119">
        <v>101833.0</v>
      </c>
      <c r="B5852" s="1125" t="s">
        <v>16131</v>
      </c>
      <c r="C5852" s="1126" t="s">
        <v>2178</v>
      </c>
      <c r="D5852" s="1119">
        <v>278.69</v>
      </c>
      <c r="E5852" s="1120">
        <v>99.11</v>
      </c>
      <c r="F5852" s="1121">
        <f t="shared" si="1"/>
        <v>179.58</v>
      </c>
      <c r="G5852" s="1120">
        <v>178.64</v>
      </c>
      <c r="H5852" s="1127">
        <v>0.94</v>
      </c>
      <c r="I5852" s="1127">
        <v>0.0</v>
      </c>
      <c r="J5852" s="1127">
        <v>0.0</v>
      </c>
      <c r="K5852" s="1124"/>
    </row>
    <row r="5853" ht="15.75" customHeight="1">
      <c r="A5853" s="1119">
        <v>101834.0</v>
      </c>
      <c r="B5853" s="1125" t="s">
        <v>16132</v>
      </c>
      <c r="C5853" s="1126" t="s">
        <v>2178</v>
      </c>
      <c r="D5853" s="1119">
        <v>307.94</v>
      </c>
      <c r="E5853" s="1120">
        <v>99.11</v>
      </c>
      <c r="F5853" s="1121">
        <f t="shared" si="1"/>
        <v>208.83</v>
      </c>
      <c r="G5853" s="1120">
        <v>207.89</v>
      </c>
      <c r="H5853" s="1127">
        <v>0.94</v>
      </c>
      <c r="I5853" s="1127">
        <v>0.0</v>
      </c>
      <c r="J5853" s="1127">
        <v>0.0</v>
      </c>
      <c r="K5853" s="1124"/>
    </row>
    <row r="5854" ht="15.75" customHeight="1">
      <c r="A5854" s="1119">
        <v>101835.0</v>
      </c>
      <c r="B5854" s="1125" t="s">
        <v>16133</v>
      </c>
      <c r="C5854" s="1126" t="s">
        <v>2178</v>
      </c>
      <c r="D5854" s="1119">
        <v>247.05</v>
      </c>
      <c r="E5854" s="1120">
        <v>100.85</v>
      </c>
      <c r="F5854" s="1121">
        <f t="shared" si="1"/>
        <v>146.19</v>
      </c>
      <c r="G5854" s="1120">
        <v>142.09</v>
      </c>
      <c r="H5854" s="1127">
        <v>3.85</v>
      </c>
      <c r="I5854" s="1127">
        <v>0.0</v>
      </c>
      <c r="J5854" s="1127">
        <v>0.25</v>
      </c>
      <c r="K5854" s="1124"/>
    </row>
    <row r="5855" ht="15.75" customHeight="1">
      <c r="A5855" s="1119">
        <v>101836.0</v>
      </c>
      <c r="B5855" s="1125" t="s">
        <v>16134</v>
      </c>
      <c r="C5855" s="1126" t="s">
        <v>2178</v>
      </c>
      <c r="D5855" s="1119">
        <v>25.45</v>
      </c>
      <c r="E5855" s="1120">
        <v>8.48</v>
      </c>
      <c r="F5855" s="1121">
        <f t="shared" si="1"/>
        <v>16.98</v>
      </c>
      <c r="G5855" s="1120">
        <v>5.04</v>
      </c>
      <c r="H5855" s="1127">
        <v>11.94</v>
      </c>
      <c r="I5855" s="1127">
        <v>0.0</v>
      </c>
      <c r="J5855" s="1127">
        <v>0.0</v>
      </c>
      <c r="K5855" s="1124"/>
    </row>
    <row r="5856" ht="15.75" customHeight="1">
      <c r="A5856" s="1119">
        <v>101837.0</v>
      </c>
      <c r="B5856" s="1125" t="s">
        <v>16135</v>
      </c>
      <c r="C5856" s="1126" t="s">
        <v>2178</v>
      </c>
      <c r="D5856" s="1119">
        <v>59.17</v>
      </c>
      <c r="E5856" s="1120">
        <v>8.44</v>
      </c>
      <c r="F5856" s="1121">
        <f t="shared" si="1"/>
        <v>50.74</v>
      </c>
      <c r="G5856" s="1120">
        <v>38.89</v>
      </c>
      <c r="H5856" s="1127">
        <v>11.85</v>
      </c>
      <c r="I5856" s="1127">
        <v>0.0</v>
      </c>
      <c r="J5856" s="1127">
        <v>0.0</v>
      </c>
      <c r="K5856" s="1124"/>
    </row>
    <row r="5857" ht="15.75" customHeight="1">
      <c r="A5857" s="1119">
        <v>101838.0</v>
      </c>
      <c r="B5857" s="1125" t="s">
        <v>16136</v>
      </c>
      <c r="C5857" s="1126" t="s">
        <v>2178</v>
      </c>
      <c r="D5857" s="1119">
        <v>90.56</v>
      </c>
      <c r="E5857" s="1120">
        <v>8.43</v>
      </c>
      <c r="F5857" s="1121">
        <f t="shared" si="1"/>
        <v>82.14</v>
      </c>
      <c r="G5857" s="1120">
        <v>70.3</v>
      </c>
      <c r="H5857" s="1127">
        <v>11.84</v>
      </c>
      <c r="I5857" s="1127">
        <v>0.0</v>
      </c>
      <c r="J5857" s="1127">
        <v>0.0</v>
      </c>
      <c r="K5857" s="1124"/>
    </row>
    <row r="5858" ht="15.75" customHeight="1">
      <c r="A5858" s="1119">
        <v>101839.0</v>
      </c>
      <c r="B5858" s="1125" t="s">
        <v>16137</v>
      </c>
      <c r="C5858" s="1126" t="s">
        <v>2178</v>
      </c>
      <c r="D5858" s="1119">
        <v>121.11</v>
      </c>
      <c r="E5858" s="1120">
        <v>8.41</v>
      </c>
      <c r="F5858" s="1121">
        <f t="shared" si="1"/>
        <v>112.69</v>
      </c>
      <c r="G5858" s="1120">
        <v>100.86</v>
      </c>
      <c r="H5858" s="1127">
        <v>11.83</v>
      </c>
      <c r="I5858" s="1127">
        <v>0.0</v>
      </c>
      <c r="J5858" s="1127">
        <v>0.0</v>
      </c>
      <c r="K5858" s="1124"/>
    </row>
    <row r="5859" ht="15.75" customHeight="1">
      <c r="A5859" s="1119">
        <v>101840.0</v>
      </c>
      <c r="B5859" s="1125" t="s">
        <v>16138</v>
      </c>
      <c r="C5859" s="1126" t="s">
        <v>2178</v>
      </c>
      <c r="D5859" s="1119">
        <v>197.43</v>
      </c>
      <c r="E5859" s="1120">
        <v>27.72</v>
      </c>
      <c r="F5859" s="1121">
        <f t="shared" si="1"/>
        <v>169.72</v>
      </c>
      <c r="G5859" s="1120">
        <v>136.11</v>
      </c>
      <c r="H5859" s="1127">
        <v>33.61</v>
      </c>
      <c r="I5859" s="1127">
        <v>0.0</v>
      </c>
      <c r="J5859" s="1127">
        <v>0.0</v>
      </c>
      <c r="K5859" s="1124"/>
    </row>
    <row r="5860" ht="15.75" customHeight="1">
      <c r="A5860" s="1119">
        <v>101841.0</v>
      </c>
      <c r="B5860" s="1125" t="s">
        <v>16139</v>
      </c>
      <c r="C5860" s="1126" t="s">
        <v>2178</v>
      </c>
      <c r="D5860" s="1119">
        <v>79.62</v>
      </c>
      <c r="E5860" s="1120">
        <v>8.43</v>
      </c>
      <c r="F5860" s="1121">
        <f t="shared" si="1"/>
        <v>71.19</v>
      </c>
      <c r="G5860" s="1120">
        <v>59.35</v>
      </c>
      <c r="H5860" s="1127">
        <v>11.84</v>
      </c>
      <c r="I5860" s="1127">
        <v>0.0</v>
      </c>
      <c r="J5860" s="1127">
        <v>0.0</v>
      </c>
      <c r="K5860" s="1124"/>
    </row>
    <row r="5861" ht="15.75" customHeight="1">
      <c r="A5861" s="1119">
        <v>101842.0</v>
      </c>
      <c r="B5861" s="1125" t="s">
        <v>16140</v>
      </c>
      <c r="C5861" s="1126" t="s">
        <v>2178</v>
      </c>
      <c r="D5861" s="1119">
        <v>70.59</v>
      </c>
      <c r="E5861" s="1120">
        <v>8.43</v>
      </c>
      <c r="F5861" s="1121">
        <f t="shared" si="1"/>
        <v>62.16</v>
      </c>
      <c r="G5861" s="1120">
        <v>50.32</v>
      </c>
      <c r="H5861" s="1127">
        <v>11.84</v>
      </c>
      <c r="I5861" s="1127">
        <v>0.0</v>
      </c>
      <c r="J5861" s="1127">
        <v>0.0</v>
      </c>
      <c r="K5861" s="1124"/>
    </row>
    <row r="5862" ht="15.75" customHeight="1">
      <c r="A5862" s="1119">
        <v>101843.0</v>
      </c>
      <c r="B5862" s="1125" t="s">
        <v>16141</v>
      </c>
      <c r="C5862" s="1126" t="s">
        <v>2178</v>
      </c>
      <c r="D5862" s="1119">
        <v>142.56</v>
      </c>
      <c r="E5862" s="1120">
        <v>8.42</v>
      </c>
      <c r="F5862" s="1121">
        <f t="shared" si="1"/>
        <v>134.14</v>
      </c>
      <c r="G5862" s="1120">
        <v>122.32</v>
      </c>
      <c r="H5862" s="1127">
        <v>11.82</v>
      </c>
      <c r="I5862" s="1127">
        <v>0.0</v>
      </c>
      <c r="J5862" s="1127">
        <v>0.0</v>
      </c>
      <c r="K5862" s="1124"/>
    </row>
    <row r="5863" ht="15.75" customHeight="1">
      <c r="A5863" s="1119">
        <v>101844.0</v>
      </c>
      <c r="B5863" s="1125" t="s">
        <v>16142</v>
      </c>
      <c r="C5863" s="1126" t="s">
        <v>2178</v>
      </c>
      <c r="D5863" s="1119">
        <v>172.03</v>
      </c>
      <c r="E5863" s="1120">
        <v>8.42</v>
      </c>
      <c r="F5863" s="1121">
        <f t="shared" si="1"/>
        <v>163.62</v>
      </c>
      <c r="G5863" s="1120">
        <v>151.8</v>
      </c>
      <c r="H5863" s="1127">
        <v>11.82</v>
      </c>
      <c r="I5863" s="1127">
        <v>0.0</v>
      </c>
      <c r="J5863" s="1127">
        <v>0.0</v>
      </c>
      <c r="K5863" s="1124"/>
    </row>
    <row r="5864" ht="15.75" customHeight="1">
      <c r="A5864" s="1119">
        <v>101845.0</v>
      </c>
      <c r="B5864" s="1125" t="s">
        <v>16143</v>
      </c>
      <c r="C5864" s="1126" t="s">
        <v>2178</v>
      </c>
      <c r="D5864" s="1119">
        <v>201.1</v>
      </c>
      <c r="E5864" s="1120">
        <v>8.41</v>
      </c>
      <c r="F5864" s="1121">
        <f t="shared" si="1"/>
        <v>192.69</v>
      </c>
      <c r="G5864" s="1120">
        <v>180.87</v>
      </c>
      <c r="H5864" s="1127">
        <v>11.82</v>
      </c>
      <c r="I5864" s="1127">
        <v>0.0</v>
      </c>
      <c r="J5864" s="1127">
        <v>0.0</v>
      </c>
      <c r="K5864" s="1124"/>
    </row>
    <row r="5865" ht="15.75" customHeight="1">
      <c r="A5865" s="1119">
        <v>101846.0</v>
      </c>
      <c r="B5865" s="1125" t="s">
        <v>16144</v>
      </c>
      <c r="C5865" s="1126" t="s">
        <v>2178</v>
      </c>
      <c r="D5865" s="1119">
        <v>133.9</v>
      </c>
      <c r="E5865" s="1120">
        <v>8.42</v>
      </c>
      <c r="F5865" s="1121">
        <f t="shared" si="1"/>
        <v>125.48</v>
      </c>
      <c r="G5865" s="1120">
        <v>113.65</v>
      </c>
      <c r="H5865" s="1127">
        <v>11.83</v>
      </c>
      <c r="I5865" s="1127">
        <v>0.0</v>
      </c>
      <c r="J5865" s="1127">
        <v>0.0</v>
      </c>
      <c r="K5865" s="1124"/>
    </row>
    <row r="5866" ht="15.75" customHeight="1">
      <c r="A5866" s="1119">
        <v>101847.0</v>
      </c>
      <c r="B5866" s="1125" t="s">
        <v>16145</v>
      </c>
      <c r="C5866" s="1126" t="s">
        <v>2178</v>
      </c>
      <c r="D5866" s="1119">
        <v>163.54</v>
      </c>
      <c r="E5866" s="1120">
        <v>8.42</v>
      </c>
      <c r="F5866" s="1121">
        <f t="shared" si="1"/>
        <v>155.12</v>
      </c>
      <c r="G5866" s="1120">
        <v>143.3</v>
      </c>
      <c r="H5866" s="1127">
        <v>11.82</v>
      </c>
      <c r="I5866" s="1127">
        <v>0.0</v>
      </c>
      <c r="J5866" s="1127">
        <v>0.0</v>
      </c>
      <c r="K5866" s="1124"/>
    </row>
    <row r="5867" ht="15.75" customHeight="1">
      <c r="A5867" s="1119">
        <v>101848.0</v>
      </c>
      <c r="B5867" s="1125" t="s">
        <v>16146</v>
      </c>
      <c r="C5867" s="1126" t="s">
        <v>2178</v>
      </c>
      <c r="D5867" s="1119">
        <v>192.79</v>
      </c>
      <c r="E5867" s="1120">
        <v>8.42</v>
      </c>
      <c r="F5867" s="1121">
        <f t="shared" si="1"/>
        <v>184.38</v>
      </c>
      <c r="G5867" s="1120">
        <v>172.56</v>
      </c>
      <c r="H5867" s="1127">
        <v>11.82</v>
      </c>
      <c r="I5867" s="1127">
        <v>0.0</v>
      </c>
      <c r="J5867" s="1127">
        <v>0.0</v>
      </c>
      <c r="K5867" s="1124"/>
    </row>
    <row r="5868" ht="15.75" customHeight="1">
      <c r="A5868" s="1119">
        <v>101849.0</v>
      </c>
      <c r="B5868" s="1125" t="s">
        <v>16147</v>
      </c>
      <c r="C5868" s="1126" t="s">
        <v>2178</v>
      </c>
      <c r="D5868" s="1119">
        <v>131.9</v>
      </c>
      <c r="E5868" s="1120">
        <v>10.05</v>
      </c>
      <c r="F5868" s="1121">
        <f t="shared" si="1"/>
        <v>121.82</v>
      </c>
      <c r="G5868" s="1120">
        <v>106.8</v>
      </c>
      <c r="H5868" s="1127">
        <v>14.77</v>
      </c>
      <c r="I5868" s="1127">
        <v>0.0</v>
      </c>
      <c r="J5868" s="1127">
        <v>0.25</v>
      </c>
      <c r="K5868" s="1124"/>
    </row>
    <row r="5869" ht="15.75" customHeight="1">
      <c r="A5869" s="1119">
        <v>101850.0</v>
      </c>
      <c r="B5869" s="1125" t="s">
        <v>16148</v>
      </c>
      <c r="C5869" s="1126" t="s">
        <v>1814</v>
      </c>
      <c r="D5869" s="1119">
        <v>64.56</v>
      </c>
      <c r="E5869" s="1120">
        <v>30.47</v>
      </c>
      <c r="F5869" s="1121">
        <f t="shared" si="1"/>
        <v>34.1</v>
      </c>
      <c r="G5869" s="1120">
        <v>25.95</v>
      </c>
      <c r="H5869" s="1127">
        <v>8.15</v>
      </c>
      <c r="I5869" s="1127">
        <v>0.0</v>
      </c>
      <c r="J5869" s="1127">
        <v>0.0</v>
      </c>
      <c r="K5869" s="1124"/>
    </row>
    <row r="5870" ht="15.75" customHeight="1">
      <c r="A5870" s="1119">
        <v>101852.0</v>
      </c>
      <c r="B5870" s="1125" t="s">
        <v>16149</v>
      </c>
      <c r="C5870" s="1126" t="s">
        <v>1814</v>
      </c>
      <c r="D5870" s="1119">
        <v>79.67</v>
      </c>
      <c r="E5870" s="1120">
        <v>34.92</v>
      </c>
      <c r="F5870" s="1121">
        <f t="shared" si="1"/>
        <v>44.76</v>
      </c>
      <c r="G5870" s="1120">
        <v>35.74</v>
      </c>
      <c r="H5870" s="1127">
        <v>9.01</v>
      </c>
      <c r="I5870" s="1127">
        <v>0.0</v>
      </c>
      <c r="J5870" s="1127">
        <v>0.01</v>
      </c>
      <c r="K5870" s="1124"/>
    </row>
    <row r="5871" ht="15.75" customHeight="1">
      <c r="A5871" s="1119">
        <v>101853.0</v>
      </c>
      <c r="B5871" s="1125" t="s">
        <v>16150</v>
      </c>
      <c r="C5871" s="1126" t="s">
        <v>1814</v>
      </c>
      <c r="D5871" s="1119">
        <v>56.73</v>
      </c>
      <c r="E5871" s="1120">
        <v>24.85</v>
      </c>
      <c r="F5871" s="1121">
        <f t="shared" si="1"/>
        <v>31.89</v>
      </c>
      <c r="G5871" s="1120">
        <v>25.23</v>
      </c>
      <c r="H5871" s="1127">
        <v>6.66</v>
      </c>
      <c r="I5871" s="1127">
        <v>0.0</v>
      </c>
      <c r="J5871" s="1127">
        <v>0.0</v>
      </c>
      <c r="K5871" s="1124"/>
    </row>
    <row r="5872" ht="15.75" customHeight="1">
      <c r="A5872" s="1119">
        <v>101855.0</v>
      </c>
      <c r="B5872" s="1125" t="s">
        <v>16151</v>
      </c>
      <c r="C5872" s="1126" t="s">
        <v>1814</v>
      </c>
      <c r="D5872" s="1119">
        <v>83.06</v>
      </c>
      <c r="E5872" s="1120">
        <v>30.76</v>
      </c>
      <c r="F5872" s="1121">
        <f t="shared" si="1"/>
        <v>52.31</v>
      </c>
      <c r="G5872" s="1120">
        <v>44.73</v>
      </c>
      <c r="H5872" s="1127">
        <v>7.56</v>
      </c>
      <c r="I5872" s="1127">
        <v>0.0</v>
      </c>
      <c r="J5872" s="1127">
        <v>0.02</v>
      </c>
      <c r="K5872" s="1124"/>
    </row>
    <row r="5873" ht="15.75" customHeight="1">
      <c r="A5873" s="1119">
        <v>101856.0</v>
      </c>
      <c r="B5873" s="1125" t="s">
        <v>16152</v>
      </c>
      <c r="C5873" s="1126" t="s">
        <v>1814</v>
      </c>
      <c r="D5873" s="1119">
        <v>28.6</v>
      </c>
      <c r="E5873" s="1120">
        <v>15.78</v>
      </c>
      <c r="F5873" s="1121">
        <f t="shared" si="1"/>
        <v>12.83</v>
      </c>
      <c r="G5873" s="1120">
        <v>12.82</v>
      </c>
      <c r="H5873" s="1127">
        <v>0.01</v>
      </c>
      <c r="I5873" s="1127">
        <v>0.0</v>
      </c>
      <c r="J5873" s="1127">
        <v>0.0</v>
      </c>
      <c r="K5873" s="1124"/>
    </row>
    <row r="5874" ht="15.75" customHeight="1">
      <c r="A5874" s="1119">
        <v>101857.0</v>
      </c>
      <c r="B5874" s="1125" t="s">
        <v>16153</v>
      </c>
      <c r="C5874" s="1126" t="s">
        <v>1814</v>
      </c>
      <c r="D5874" s="1119">
        <v>36.1</v>
      </c>
      <c r="E5874" s="1120">
        <v>21.1</v>
      </c>
      <c r="F5874" s="1121">
        <f t="shared" si="1"/>
        <v>15.01</v>
      </c>
      <c r="G5874" s="1120">
        <v>14.97</v>
      </c>
      <c r="H5874" s="1127">
        <v>0.04</v>
      </c>
      <c r="I5874" s="1127">
        <v>0.0</v>
      </c>
      <c r="J5874" s="1127">
        <v>0.0</v>
      </c>
      <c r="K5874" s="1124"/>
    </row>
    <row r="5875" ht="15.75" customHeight="1">
      <c r="A5875" s="1119">
        <v>101858.0</v>
      </c>
      <c r="B5875" s="1125" t="s">
        <v>16154</v>
      </c>
      <c r="C5875" s="1126" t="s">
        <v>1814</v>
      </c>
      <c r="D5875" s="1119">
        <v>29.23</v>
      </c>
      <c r="E5875" s="1120">
        <v>16.23</v>
      </c>
      <c r="F5875" s="1121">
        <f t="shared" si="1"/>
        <v>13</v>
      </c>
      <c r="G5875" s="1120">
        <v>12.98</v>
      </c>
      <c r="H5875" s="1127">
        <v>0.02</v>
      </c>
      <c r="I5875" s="1127">
        <v>0.0</v>
      </c>
      <c r="J5875" s="1127">
        <v>0.0</v>
      </c>
      <c r="K5875" s="1124"/>
    </row>
    <row r="5876" ht="15.75" customHeight="1">
      <c r="A5876" s="1119">
        <v>101859.0</v>
      </c>
      <c r="B5876" s="1125" t="s">
        <v>16155</v>
      </c>
      <c r="C5876" s="1126" t="s">
        <v>1814</v>
      </c>
      <c r="D5876" s="1119">
        <v>32.45</v>
      </c>
      <c r="E5876" s="1120">
        <v>18.49</v>
      </c>
      <c r="F5876" s="1121">
        <f t="shared" si="1"/>
        <v>13.96</v>
      </c>
      <c r="G5876" s="1120">
        <v>13.93</v>
      </c>
      <c r="H5876" s="1127">
        <v>0.03</v>
      </c>
      <c r="I5876" s="1127">
        <v>0.0</v>
      </c>
      <c r="J5876" s="1127">
        <v>0.0</v>
      </c>
      <c r="K5876" s="1124"/>
    </row>
    <row r="5877" ht="15.75" customHeight="1">
      <c r="A5877" s="1119">
        <v>101860.0</v>
      </c>
      <c r="B5877" s="1125" t="s">
        <v>16156</v>
      </c>
      <c r="C5877" s="1126" t="s">
        <v>1814</v>
      </c>
      <c r="D5877" s="1119">
        <v>37.53</v>
      </c>
      <c r="E5877" s="1120">
        <v>22.1</v>
      </c>
      <c r="F5877" s="1121">
        <f t="shared" si="1"/>
        <v>15.44</v>
      </c>
      <c r="G5877" s="1120">
        <v>15.39</v>
      </c>
      <c r="H5877" s="1127">
        <v>0.05</v>
      </c>
      <c r="I5877" s="1127">
        <v>0.0</v>
      </c>
      <c r="J5877" s="1127">
        <v>0.0</v>
      </c>
      <c r="K5877" s="1124"/>
    </row>
    <row r="5878" ht="15.75" customHeight="1">
      <c r="A5878" s="1119">
        <v>101861.0</v>
      </c>
      <c r="B5878" s="1125" t="s">
        <v>16157</v>
      </c>
      <c r="C5878" s="1126" t="s">
        <v>1814</v>
      </c>
      <c r="D5878" s="1119">
        <v>35.02</v>
      </c>
      <c r="E5878" s="1120">
        <v>20.33</v>
      </c>
      <c r="F5878" s="1121">
        <f t="shared" si="1"/>
        <v>14.7</v>
      </c>
      <c r="G5878" s="1120">
        <v>14.66</v>
      </c>
      <c r="H5878" s="1127">
        <v>0.04</v>
      </c>
      <c r="I5878" s="1127">
        <v>0.0</v>
      </c>
      <c r="J5878" s="1127">
        <v>0.0</v>
      </c>
      <c r="K5878" s="1124"/>
    </row>
    <row r="5879" ht="15.75" customHeight="1">
      <c r="A5879" s="1119">
        <v>101862.0</v>
      </c>
      <c r="B5879" s="1125" t="s">
        <v>16158</v>
      </c>
      <c r="C5879" s="1126" t="s">
        <v>1814</v>
      </c>
      <c r="D5879" s="1119">
        <v>38.28</v>
      </c>
      <c r="E5879" s="1120">
        <v>22.64</v>
      </c>
      <c r="F5879" s="1121">
        <f t="shared" si="1"/>
        <v>15.65</v>
      </c>
      <c r="G5879" s="1120">
        <v>15.6</v>
      </c>
      <c r="H5879" s="1127">
        <v>0.05</v>
      </c>
      <c r="I5879" s="1127">
        <v>0.0</v>
      </c>
      <c r="J5879" s="1127">
        <v>0.0</v>
      </c>
      <c r="K5879" s="1124"/>
    </row>
    <row r="5880" ht="15.75" customHeight="1">
      <c r="A5880" s="1119">
        <v>101863.0</v>
      </c>
      <c r="B5880" s="1125" t="s">
        <v>16159</v>
      </c>
      <c r="C5880" s="1126" t="s">
        <v>1814</v>
      </c>
      <c r="D5880" s="1119">
        <v>29.68</v>
      </c>
      <c r="E5880" s="1120">
        <v>16.55</v>
      </c>
      <c r="F5880" s="1121">
        <f t="shared" si="1"/>
        <v>13.13</v>
      </c>
      <c r="G5880" s="1120">
        <v>13.11</v>
      </c>
      <c r="H5880" s="1127">
        <v>0.02</v>
      </c>
      <c r="I5880" s="1127">
        <v>0.0</v>
      </c>
      <c r="J5880" s="1127">
        <v>0.0</v>
      </c>
      <c r="K5880" s="1124"/>
    </row>
    <row r="5881" ht="15.75" customHeight="1">
      <c r="A5881" s="1119">
        <v>101864.0</v>
      </c>
      <c r="B5881" s="1125" t="s">
        <v>16160</v>
      </c>
      <c r="C5881" s="1126" t="s">
        <v>1814</v>
      </c>
      <c r="D5881" s="1119">
        <v>34.74</v>
      </c>
      <c r="E5881" s="1120">
        <v>20.11</v>
      </c>
      <c r="F5881" s="1121">
        <f t="shared" si="1"/>
        <v>14.63</v>
      </c>
      <c r="G5881" s="1120">
        <v>14.59</v>
      </c>
      <c r="H5881" s="1127">
        <v>0.04</v>
      </c>
      <c r="I5881" s="1127">
        <v>0.0</v>
      </c>
      <c r="J5881" s="1127">
        <v>0.0</v>
      </c>
      <c r="K5881" s="1124"/>
    </row>
    <row r="5882" ht="15.75" customHeight="1">
      <c r="A5882" s="1119">
        <v>101865.0</v>
      </c>
      <c r="B5882" s="1125" t="s">
        <v>16161</v>
      </c>
      <c r="C5882" s="1126" t="s">
        <v>1814</v>
      </c>
      <c r="D5882" s="1119">
        <v>39.81</v>
      </c>
      <c r="E5882" s="1120">
        <v>23.71</v>
      </c>
      <c r="F5882" s="1121">
        <f t="shared" si="1"/>
        <v>16.11</v>
      </c>
      <c r="G5882" s="1120">
        <v>16.05</v>
      </c>
      <c r="H5882" s="1127">
        <v>0.06</v>
      </c>
      <c r="I5882" s="1127">
        <v>0.0</v>
      </c>
      <c r="J5882" s="1127">
        <v>0.0</v>
      </c>
      <c r="K5882" s="1124"/>
    </row>
    <row r="5883" ht="15.75" customHeight="1">
      <c r="A5883" s="1119">
        <v>101866.0</v>
      </c>
      <c r="B5883" s="1125" t="s">
        <v>16162</v>
      </c>
      <c r="C5883" s="1126" t="s">
        <v>1814</v>
      </c>
      <c r="D5883" s="1119">
        <v>35.26</v>
      </c>
      <c r="E5883" s="1120">
        <v>20.49</v>
      </c>
      <c r="F5883" s="1121">
        <f t="shared" si="1"/>
        <v>14.77</v>
      </c>
      <c r="G5883" s="1120">
        <v>14.73</v>
      </c>
      <c r="H5883" s="1127">
        <v>0.04</v>
      </c>
      <c r="I5883" s="1127">
        <v>0.0</v>
      </c>
      <c r="J5883" s="1127">
        <v>0.0</v>
      </c>
      <c r="K5883" s="1124"/>
    </row>
    <row r="5884" ht="15.75" customHeight="1">
      <c r="A5884" s="1119">
        <v>101867.0</v>
      </c>
      <c r="B5884" s="1125" t="s">
        <v>16163</v>
      </c>
      <c r="C5884" s="1126" t="s">
        <v>1814</v>
      </c>
      <c r="D5884" s="1119">
        <v>40.32</v>
      </c>
      <c r="E5884" s="1120">
        <v>24.07</v>
      </c>
      <c r="F5884" s="1121">
        <f t="shared" si="1"/>
        <v>16.26</v>
      </c>
      <c r="G5884" s="1120">
        <v>16.2</v>
      </c>
      <c r="H5884" s="1127">
        <v>0.06</v>
      </c>
      <c r="I5884" s="1127">
        <v>0.0</v>
      </c>
      <c r="J5884" s="1127">
        <v>0.0</v>
      </c>
      <c r="K5884" s="1124"/>
    </row>
    <row r="5885" ht="15.75" customHeight="1">
      <c r="A5885" s="1119">
        <v>101868.0</v>
      </c>
      <c r="B5885" s="1125" t="s">
        <v>16164</v>
      </c>
      <c r="C5885" s="1126" t="s">
        <v>1814</v>
      </c>
      <c r="D5885" s="1119">
        <v>31.72</v>
      </c>
      <c r="E5885" s="1120">
        <v>17.98</v>
      </c>
      <c r="F5885" s="1121">
        <f t="shared" si="1"/>
        <v>13.74</v>
      </c>
      <c r="G5885" s="1120">
        <v>13.71</v>
      </c>
      <c r="H5885" s="1127">
        <v>0.03</v>
      </c>
      <c r="I5885" s="1127">
        <v>0.0</v>
      </c>
      <c r="J5885" s="1127">
        <v>0.0</v>
      </c>
      <c r="K5885" s="1124"/>
    </row>
    <row r="5886" ht="15.75" customHeight="1">
      <c r="A5886" s="1119">
        <v>101869.0</v>
      </c>
      <c r="B5886" s="1125" t="s">
        <v>16165</v>
      </c>
      <c r="C5886" s="1126" t="s">
        <v>1814</v>
      </c>
      <c r="D5886" s="1119">
        <v>36.78</v>
      </c>
      <c r="E5886" s="1120">
        <v>21.56</v>
      </c>
      <c r="F5886" s="1121">
        <f t="shared" si="1"/>
        <v>15.22</v>
      </c>
      <c r="G5886" s="1120">
        <v>15.17</v>
      </c>
      <c r="H5886" s="1127">
        <v>0.05</v>
      </c>
      <c r="I5886" s="1127">
        <v>0.0</v>
      </c>
      <c r="J5886" s="1127">
        <v>0.0</v>
      </c>
      <c r="K5886" s="1124"/>
    </row>
    <row r="5887" ht="15.75" customHeight="1">
      <c r="A5887" s="1119">
        <v>101870.0</v>
      </c>
      <c r="B5887" s="1125" t="s">
        <v>16166</v>
      </c>
      <c r="C5887" s="1126" t="s">
        <v>1814</v>
      </c>
      <c r="D5887" s="1119">
        <v>41.85</v>
      </c>
      <c r="E5887" s="1120">
        <v>25.14</v>
      </c>
      <c r="F5887" s="1121">
        <f t="shared" si="1"/>
        <v>16.72</v>
      </c>
      <c r="G5887" s="1120">
        <v>16.65</v>
      </c>
      <c r="H5887" s="1127">
        <v>0.07</v>
      </c>
      <c r="I5887" s="1127">
        <v>0.0</v>
      </c>
      <c r="J5887" s="1127">
        <v>0.0</v>
      </c>
      <c r="K5887" s="1124"/>
    </row>
    <row r="5888" ht="15.75" customHeight="1">
      <c r="A5888" s="1119">
        <v>102098.0</v>
      </c>
      <c r="B5888" s="1125" t="s">
        <v>16167</v>
      </c>
      <c r="C5888" s="1126" t="s">
        <v>2178</v>
      </c>
      <c r="D5888" s="1128">
        <v>1673.96</v>
      </c>
      <c r="E5888" s="1120">
        <v>199.48</v>
      </c>
      <c r="F5888" s="1121">
        <f t="shared" si="1"/>
        <v>1474.16</v>
      </c>
      <c r="G5888" s="1120">
        <v>1258.01</v>
      </c>
      <c r="H5888" s="1127">
        <v>216.15</v>
      </c>
      <c r="I5888" s="1127">
        <v>0.0</v>
      </c>
      <c r="J5888" s="1127">
        <v>0.0</v>
      </c>
      <c r="K5888" s="1124"/>
    </row>
    <row r="5889" ht="15.75" customHeight="1">
      <c r="A5889" s="1119">
        <v>102988.0</v>
      </c>
      <c r="B5889" s="1125" t="s">
        <v>16168</v>
      </c>
      <c r="C5889" s="1126" t="s">
        <v>1814</v>
      </c>
      <c r="D5889" s="1119">
        <v>62.76</v>
      </c>
      <c r="E5889" s="1120">
        <v>39.23</v>
      </c>
      <c r="F5889" s="1121">
        <f t="shared" si="1"/>
        <v>23.54</v>
      </c>
      <c r="G5889" s="1120">
        <v>23.36</v>
      </c>
      <c r="H5889" s="1127">
        <v>0.18</v>
      </c>
      <c r="I5889" s="1127">
        <v>0.0</v>
      </c>
      <c r="J5889" s="1127">
        <v>0.0</v>
      </c>
      <c r="K5889" s="1124"/>
    </row>
    <row r="5890" ht="15.75" customHeight="1">
      <c r="A5890" s="1119">
        <v>100576.0</v>
      </c>
      <c r="B5890" s="1125" t="s">
        <v>16169</v>
      </c>
      <c r="C5890" s="1126" t="s">
        <v>1814</v>
      </c>
      <c r="D5890" s="1119">
        <v>2.58</v>
      </c>
      <c r="E5890" s="1120">
        <v>0.87</v>
      </c>
      <c r="F5890" s="1121">
        <f t="shared" si="1"/>
        <v>1.73</v>
      </c>
      <c r="G5890" s="1120">
        <v>0.39</v>
      </c>
      <c r="H5890" s="1127">
        <v>1.34</v>
      </c>
      <c r="I5890" s="1127">
        <v>0.0</v>
      </c>
      <c r="J5890" s="1127">
        <v>0.0</v>
      </c>
      <c r="K5890" s="1124"/>
    </row>
    <row r="5891" ht="15.75" customHeight="1">
      <c r="A5891" s="1119">
        <v>100577.0</v>
      </c>
      <c r="B5891" s="1125" t="s">
        <v>16170</v>
      </c>
      <c r="C5891" s="1126" t="s">
        <v>1814</v>
      </c>
      <c r="D5891" s="1119">
        <v>1.17</v>
      </c>
      <c r="E5891" s="1120">
        <v>0.29</v>
      </c>
      <c r="F5891" s="1121">
        <f t="shared" si="1"/>
        <v>0.87</v>
      </c>
      <c r="G5891" s="1120">
        <v>0.23</v>
      </c>
      <c r="H5891" s="1127">
        <v>0.64</v>
      </c>
      <c r="I5891" s="1127">
        <v>0.0</v>
      </c>
      <c r="J5891" s="1127">
        <v>0.0</v>
      </c>
      <c r="K5891" s="1124"/>
    </row>
    <row r="5892" ht="15.75" customHeight="1">
      <c r="A5892" s="1119">
        <v>96388.0</v>
      </c>
      <c r="B5892" s="1125" t="s">
        <v>16171</v>
      </c>
      <c r="C5892" s="1126" t="s">
        <v>2178</v>
      </c>
      <c r="D5892" s="1119">
        <v>11.88</v>
      </c>
      <c r="E5892" s="1120">
        <v>2.97</v>
      </c>
      <c r="F5892" s="1121">
        <f t="shared" si="1"/>
        <v>8.89</v>
      </c>
      <c r="G5892" s="1120">
        <v>2.16</v>
      </c>
      <c r="H5892" s="1127">
        <v>6.73</v>
      </c>
      <c r="I5892" s="1127">
        <v>0.0</v>
      </c>
      <c r="J5892" s="1127">
        <v>0.0</v>
      </c>
      <c r="K5892" s="1124"/>
    </row>
    <row r="5893" ht="15.75" customHeight="1">
      <c r="A5893" s="1119">
        <v>96389.0</v>
      </c>
      <c r="B5893" s="1125" t="s">
        <v>16172</v>
      </c>
      <c r="C5893" s="1126" t="s">
        <v>2178</v>
      </c>
      <c r="D5893" s="1119">
        <v>50.63</v>
      </c>
      <c r="E5893" s="1120">
        <v>4.75</v>
      </c>
      <c r="F5893" s="1121">
        <f t="shared" si="1"/>
        <v>45.86</v>
      </c>
      <c r="G5893" s="1120">
        <v>38.03</v>
      </c>
      <c r="H5893" s="1127">
        <v>7.83</v>
      </c>
      <c r="I5893" s="1127">
        <v>0.0</v>
      </c>
      <c r="J5893" s="1127">
        <v>0.0</v>
      </c>
      <c r="K5893" s="1124"/>
    </row>
    <row r="5894" ht="15.75" customHeight="1">
      <c r="A5894" s="1119">
        <v>96390.0</v>
      </c>
      <c r="B5894" s="1125" t="s">
        <v>16173</v>
      </c>
      <c r="C5894" s="1126" t="s">
        <v>2178</v>
      </c>
      <c r="D5894" s="1119">
        <v>80.24</v>
      </c>
      <c r="E5894" s="1120">
        <v>4.54</v>
      </c>
      <c r="F5894" s="1121">
        <f t="shared" si="1"/>
        <v>75.69</v>
      </c>
      <c r="G5894" s="1120">
        <v>68.64</v>
      </c>
      <c r="H5894" s="1127">
        <v>7.05</v>
      </c>
      <c r="I5894" s="1127">
        <v>0.0</v>
      </c>
      <c r="J5894" s="1127">
        <v>0.0</v>
      </c>
      <c r="K5894" s="1124"/>
    </row>
    <row r="5895" ht="15.75" customHeight="1">
      <c r="A5895" s="1119">
        <v>96391.0</v>
      </c>
      <c r="B5895" s="1125" t="s">
        <v>16174</v>
      </c>
      <c r="C5895" s="1126" t="s">
        <v>2178</v>
      </c>
      <c r="D5895" s="1119">
        <v>111.66</v>
      </c>
      <c r="E5895" s="1120">
        <v>4.95</v>
      </c>
      <c r="F5895" s="1121">
        <f t="shared" si="1"/>
        <v>106.7</v>
      </c>
      <c r="G5895" s="1120">
        <v>99.39</v>
      </c>
      <c r="H5895" s="1127">
        <v>7.31</v>
      </c>
      <c r="I5895" s="1127">
        <v>0.0</v>
      </c>
      <c r="J5895" s="1127">
        <v>0.0</v>
      </c>
      <c r="K5895" s="1124"/>
    </row>
    <row r="5896" ht="15.75" customHeight="1">
      <c r="A5896" s="1119">
        <v>96392.0</v>
      </c>
      <c r="B5896" s="1125" t="s">
        <v>16175</v>
      </c>
      <c r="C5896" s="1126" t="s">
        <v>2178</v>
      </c>
      <c r="D5896" s="1119">
        <v>141.81</v>
      </c>
      <c r="E5896" s="1120">
        <v>4.94</v>
      </c>
      <c r="F5896" s="1121">
        <f t="shared" si="1"/>
        <v>136.85</v>
      </c>
      <c r="G5896" s="1120">
        <v>129.54</v>
      </c>
      <c r="H5896" s="1127">
        <v>7.31</v>
      </c>
      <c r="I5896" s="1127">
        <v>0.0</v>
      </c>
      <c r="J5896" s="1127">
        <v>0.0</v>
      </c>
      <c r="K5896" s="1124"/>
    </row>
    <row r="5897" ht="15.75" customHeight="1">
      <c r="A5897" s="1119">
        <v>96396.0</v>
      </c>
      <c r="B5897" s="1125" t="s">
        <v>16176</v>
      </c>
      <c r="C5897" s="1126" t="s">
        <v>2178</v>
      </c>
      <c r="D5897" s="1119">
        <v>119.7</v>
      </c>
      <c r="E5897" s="1120">
        <v>4.93</v>
      </c>
      <c r="F5897" s="1121">
        <f t="shared" si="1"/>
        <v>114.74</v>
      </c>
      <c r="G5897" s="1120">
        <v>104.14</v>
      </c>
      <c r="H5897" s="1127">
        <v>10.35</v>
      </c>
      <c r="I5897" s="1127">
        <v>0.0</v>
      </c>
      <c r="J5897" s="1127">
        <v>0.25</v>
      </c>
      <c r="K5897" s="1124"/>
    </row>
    <row r="5898" ht="15.75" customHeight="1">
      <c r="A5898" s="1119">
        <v>96397.0</v>
      </c>
      <c r="B5898" s="1125" t="s">
        <v>16177</v>
      </c>
      <c r="C5898" s="1126" t="s">
        <v>2178</v>
      </c>
      <c r="D5898" s="1119">
        <v>180.99</v>
      </c>
      <c r="E5898" s="1120">
        <v>5.47</v>
      </c>
      <c r="F5898" s="1121">
        <f t="shared" si="1"/>
        <v>175.46</v>
      </c>
      <c r="G5898" s="1120">
        <v>163.86</v>
      </c>
      <c r="H5898" s="1127">
        <v>11.35</v>
      </c>
      <c r="I5898" s="1127">
        <v>0.0</v>
      </c>
      <c r="J5898" s="1127">
        <v>0.25</v>
      </c>
      <c r="K5898" s="1124"/>
    </row>
    <row r="5899" ht="15.75" customHeight="1">
      <c r="A5899" s="1119">
        <v>96398.0</v>
      </c>
      <c r="B5899" s="1125" t="s">
        <v>16178</v>
      </c>
      <c r="C5899" s="1126" t="s">
        <v>2178</v>
      </c>
      <c r="D5899" s="1119">
        <v>260.3</v>
      </c>
      <c r="E5899" s="1120">
        <v>6.07</v>
      </c>
      <c r="F5899" s="1121">
        <f t="shared" si="1"/>
        <v>254.26</v>
      </c>
      <c r="G5899" s="1120">
        <v>243.77</v>
      </c>
      <c r="H5899" s="1127">
        <v>10.32</v>
      </c>
      <c r="I5899" s="1127">
        <v>0.0</v>
      </c>
      <c r="J5899" s="1127">
        <v>0.17</v>
      </c>
      <c r="K5899" s="1124"/>
    </row>
    <row r="5900" ht="15.75" customHeight="1">
      <c r="A5900" s="1119">
        <v>96399.0</v>
      </c>
      <c r="B5900" s="1125" t="s">
        <v>16179</v>
      </c>
      <c r="C5900" s="1126" t="s">
        <v>2178</v>
      </c>
      <c r="D5900" s="1119">
        <v>82.51</v>
      </c>
      <c r="E5900" s="1120">
        <v>4.41</v>
      </c>
      <c r="F5900" s="1121">
        <f t="shared" si="1"/>
        <v>78.1</v>
      </c>
      <c r="G5900" s="1120">
        <v>70.46</v>
      </c>
      <c r="H5900" s="1127">
        <v>7.64</v>
      </c>
      <c r="I5900" s="1127">
        <v>0.0</v>
      </c>
      <c r="J5900" s="1127">
        <v>0.0</v>
      </c>
      <c r="K5900" s="1124"/>
    </row>
    <row r="5901" ht="15.75" customHeight="1">
      <c r="A5901" s="1119">
        <v>96400.0</v>
      </c>
      <c r="B5901" s="1125" t="s">
        <v>16180</v>
      </c>
      <c r="C5901" s="1126" t="s">
        <v>2178</v>
      </c>
      <c r="D5901" s="1119">
        <v>108.63</v>
      </c>
      <c r="E5901" s="1120">
        <v>5.83</v>
      </c>
      <c r="F5901" s="1121">
        <f t="shared" si="1"/>
        <v>102.78</v>
      </c>
      <c r="G5901" s="1120">
        <v>90.33</v>
      </c>
      <c r="H5901" s="1127">
        <v>12.45</v>
      </c>
      <c r="I5901" s="1127">
        <v>0.0</v>
      </c>
      <c r="J5901" s="1127">
        <v>0.0</v>
      </c>
      <c r="K5901" s="1124"/>
    </row>
    <row r="5902" ht="15.75" customHeight="1">
      <c r="A5902" s="1119">
        <v>100564.0</v>
      </c>
      <c r="B5902" s="1125" t="s">
        <v>16181</v>
      </c>
      <c r="C5902" s="1126" t="s">
        <v>2178</v>
      </c>
      <c r="D5902" s="1119">
        <v>77.37</v>
      </c>
      <c r="E5902" s="1120">
        <v>7.57</v>
      </c>
      <c r="F5902" s="1121">
        <f t="shared" si="1"/>
        <v>69.74</v>
      </c>
      <c r="G5902" s="1120">
        <v>59.07</v>
      </c>
      <c r="H5902" s="1127">
        <v>10.67</v>
      </c>
      <c r="I5902" s="1127">
        <v>0.0</v>
      </c>
      <c r="J5902" s="1127">
        <v>0.0</v>
      </c>
      <c r="K5902" s="1124"/>
    </row>
    <row r="5903" ht="15.75" customHeight="1">
      <c r="A5903" s="1119">
        <v>100565.0</v>
      </c>
      <c r="B5903" s="1125" t="s">
        <v>16182</v>
      </c>
      <c r="C5903" s="1126" t="s">
        <v>2178</v>
      </c>
      <c r="D5903" s="1119">
        <v>68.37</v>
      </c>
      <c r="E5903" s="1120">
        <v>7.58</v>
      </c>
      <c r="F5903" s="1121">
        <f t="shared" si="1"/>
        <v>60.73</v>
      </c>
      <c r="G5903" s="1120">
        <v>50.05</v>
      </c>
      <c r="H5903" s="1127">
        <v>10.68</v>
      </c>
      <c r="I5903" s="1127">
        <v>0.0</v>
      </c>
      <c r="J5903" s="1127">
        <v>0.0</v>
      </c>
      <c r="K5903" s="1124"/>
    </row>
    <row r="5904" ht="15.75" customHeight="1">
      <c r="A5904" s="1119">
        <v>100566.0</v>
      </c>
      <c r="B5904" s="1125" t="s">
        <v>16183</v>
      </c>
      <c r="C5904" s="1126" t="s">
        <v>2178</v>
      </c>
      <c r="D5904" s="1119">
        <v>140.31</v>
      </c>
      <c r="E5904" s="1120">
        <v>7.55</v>
      </c>
      <c r="F5904" s="1121">
        <f t="shared" si="1"/>
        <v>132.7</v>
      </c>
      <c r="G5904" s="1120">
        <v>122.05</v>
      </c>
      <c r="H5904" s="1127">
        <v>10.65</v>
      </c>
      <c r="I5904" s="1127">
        <v>0.0</v>
      </c>
      <c r="J5904" s="1127">
        <v>0.0</v>
      </c>
      <c r="K5904" s="1124"/>
    </row>
    <row r="5905" ht="15.75" customHeight="1">
      <c r="A5905" s="1119">
        <v>100567.0</v>
      </c>
      <c r="B5905" s="1125" t="s">
        <v>16184</v>
      </c>
      <c r="C5905" s="1126" t="s">
        <v>2178</v>
      </c>
      <c r="D5905" s="1119">
        <v>169.81</v>
      </c>
      <c r="E5905" s="1120">
        <v>7.55</v>
      </c>
      <c r="F5905" s="1121">
        <f t="shared" si="1"/>
        <v>162.2</v>
      </c>
      <c r="G5905" s="1120">
        <v>151.56</v>
      </c>
      <c r="H5905" s="1127">
        <v>10.64</v>
      </c>
      <c r="I5905" s="1127">
        <v>0.0</v>
      </c>
      <c r="J5905" s="1127">
        <v>0.0</v>
      </c>
      <c r="K5905" s="1124"/>
    </row>
    <row r="5906" ht="15.75" customHeight="1">
      <c r="A5906" s="1119">
        <v>100568.0</v>
      </c>
      <c r="B5906" s="1125" t="s">
        <v>16185</v>
      </c>
      <c r="C5906" s="1126" t="s">
        <v>2178</v>
      </c>
      <c r="D5906" s="1119">
        <v>198.84</v>
      </c>
      <c r="E5906" s="1120">
        <v>7.54</v>
      </c>
      <c r="F5906" s="1121">
        <f t="shared" si="1"/>
        <v>191.23</v>
      </c>
      <c r="G5906" s="1120">
        <v>180.59</v>
      </c>
      <c r="H5906" s="1127">
        <v>10.64</v>
      </c>
      <c r="I5906" s="1127">
        <v>0.0</v>
      </c>
      <c r="J5906" s="1127">
        <v>0.0</v>
      </c>
      <c r="K5906" s="1124"/>
    </row>
    <row r="5907" ht="15.75" customHeight="1">
      <c r="A5907" s="1119">
        <v>100569.0</v>
      </c>
      <c r="B5907" s="1125" t="s">
        <v>16186</v>
      </c>
      <c r="C5907" s="1126" t="s">
        <v>2178</v>
      </c>
      <c r="D5907" s="1119">
        <v>131.64</v>
      </c>
      <c r="E5907" s="1120">
        <v>7.55</v>
      </c>
      <c r="F5907" s="1121">
        <f t="shared" si="1"/>
        <v>124.02</v>
      </c>
      <c r="G5907" s="1120">
        <v>113.37</v>
      </c>
      <c r="H5907" s="1127">
        <v>10.65</v>
      </c>
      <c r="I5907" s="1127">
        <v>0.0</v>
      </c>
      <c r="J5907" s="1127">
        <v>0.0</v>
      </c>
      <c r="K5907" s="1124"/>
    </row>
    <row r="5908" ht="15.75" customHeight="1">
      <c r="A5908" s="1119">
        <v>100570.0</v>
      </c>
      <c r="B5908" s="1125" t="s">
        <v>16187</v>
      </c>
      <c r="C5908" s="1126" t="s">
        <v>2178</v>
      </c>
      <c r="D5908" s="1119">
        <v>163.31</v>
      </c>
      <c r="E5908" s="1120">
        <v>7.8</v>
      </c>
      <c r="F5908" s="1121">
        <f t="shared" si="1"/>
        <v>155.47</v>
      </c>
      <c r="G5908" s="1120">
        <v>143.79</v>
      </c>
      <c r="H5908" s="1127">
        <v>11.68</v>
      </c>
      <c r="I5908" s="1127">
        <v>0.0</v>
      </c>
      <c r="J5908" s="1127">
        <v>0.0</v>
      </c>
      <c r="K5908" s="1124"/>
    </row>
    <row r="5909" ht="15.75" customHeight="1">
      <c r="A5909" s="1119">
        <v>100571.0</v>
      </c>
      <c r="B5909" s="1125" t="s">
        <v>16188</v>
      </c>
      <c r="C5909" s="1126" t="s">
        <v>2178</v>
      </c>
      <c r="D5909" s="1119">
        <v>190.57</v>
      </c>
      <c r="E5909" s="1120">
        <v>7.54</v>
      </c>
      <c r="F5909" s="1121">
        <f t="shared" si="1"/>
        <v>182.96</v>
      </c>
      <c r="G5909" s="1120">
        <v>172.32</v>
      </c>
      <c r="H5909" s="1127">
        <v>10.64</v>
      </c>
      <c r="I5909" s="1127">
        <v>0.0</v>
      </c>
      <c r="J5909" s="1127">
        <v>0.0</v>
      </c>
      <c r="K5909" s="1124"/>
    </row>
    <row r="5910" ht="15.75" customHeight="1">
      <c r="A5910" s="1119">
        <v>100572.0</v>
      </c>
      <c r="B5910" s="1125" t="s">
        <v>16189</v>
      </c>
      <c r="C5910" s="1126" t="s">
        <v>2178</v>
      </c>
      <c r="D5910" s="1119">
        <v>83.19</v>
      </c>
      <c r="E5910" s="1120">
        <v>10.15</v>
      </c>
      <c r="F5910" s="1121">
        <f t="shared" si="1"/>
        <v>73.04</v>
      </c>
      <c r="G5910" s="1120">
        <v>59.99</v>
      </c>
      <c r="H5910" s="1127">
        <v>13.05</v>
      </c>
      <c r="I5910" s="1127">
        <v>0.0</v>
      </c>
      <c r="J5910" s="1127">
        <v>0.0</v>
      </c>
      <c r="K5910" s="1124"/>
    </row>
    <row r="5911" ht="15.75" customHeight="1">
      <c r="A5911" s="1119">
        <v>100573.0</v>
      </c>
      <c r="B5911" s="1125" t="s">
        <v>16190</v>
      </c>
      <c r="C5911" s="1126" t="s">
        <v>2178</v>
      </c>
      <c r="D5911" s="1119">
        <v>74.19</v>
      </c>
      <c r="E5911" s="1120">
        <v>10.15</v>
      </c>
      <c r="F5911" s="1121">
        <f t="shared" si="1"/>
        <v>64.04</v>
      </c>
      <c r="G5911" s="1120">
        <v>50.98</v>
      </c>
      <c r="H5911" s="1127">
        <v>13.06</v>
      </c>
      <c r="I5911" s="1127">
        <v>0.0</v>
      </c>
      <c r="J5911" s="1127">
        <v>0.0</v>
      </c>
      <c r="K5911" s="1124"/>
    </row>
    <row r="5912" ht="15.75" customHeight="1">
      <c r="A5912" s="1119">
        <v>100574.0</v>
      </c>
      <c r="B5912" s="1125" t="s">
        <v>16191</v>
      </c>
      <c r="C5912" s="1126" t="s">
        <v>2178</v>
      </c>
      <c r="D5912" s="1119">
        <v>1.43</v>
      </c>
      <c r="E5912" s="1120">
        <v>0.39</v>
      </c>
      <c r="F5912" s="1121">
        <f t="shared" si="1"/>
        <v>1.04</v>
      </c>
      <c r="G5912" s="1120">
        <v>0.31</v>
      </c>
      <c r="H5912" s="1127">
        <v>0.73</v>
      </c>
      <c r="I5912" s="1127">
        <v>0.0</v>
      </c>
      <c r="J5912" s="1127">
        <v>0.0</v>
      </c>
      <c r="K5912" s="1124"/>
    </row>
    <row r="5913" ht="15.75" customHeight="1">
      <c r="A5913" s="1119">
        <v>100575.0</v>
      </c>
      <c r="B5913" s="1125" t="s">
        <v>16192</v>
      </c>
      <c r="C5913" s="1126" t="s">
        <v>1814</v>
      </c>
      <c r="D5913" s="1119">
        <v>0.14</v>
      </c>
      <c r="E5913" s="1120">
        <v>0.04</v>
      </c>
      <c r="F5913" s="1121">
        <f t="shared" si="1"/>
        <v>0.09</v>
      </c>
      <c r="G5913" s="1120">
        <v>0.0</v>
      </c>
      <c r="H5913" s="1127">
        <v>0.09</v>
      </c>
      <c r="I5913" s="1127">
        <v>0.0</v>
      </c>
      <c r="J5913" s="1127">
        <v>0.0</v>
      </c>
      <c r="K5913" s="1124"/>
    </row>
    <row r="5914" ht="15.75" customHeight="1">
      <c r="A5914" s="1119">
        <v>101767.0</v>
      </c>
      <c r="B5914" s="1125" t="s">
        <v>16193</v>
      </c>
      <c r="C5914" s="1126" t="s">
        <v>2178</v>
      </c>
      <c r="D5914" s="1119">
        <v>28.99</v>
      </c>
      <c r="E5914" s="1120">
        <v>10.26</v>
      </c>
      <c r="F5914" s="1121">
        <f t="shared" si="1"/>
        <v>18.74</v>
      </c>
      <c r="G5914" s="1120">
        <v>5.55</v>
      </c>
      <c r="H5914" s="1127">
        <v>13.19</v>
      </c>
      <c r="I5914" s="1127">
        <v>0.0</v>
      </c>
      <c r="J5914" s="1127">
        <v>0.0</v>
      </c>
      <c r="K5914" s="1124"/>
    </row>
    <row r="5915" ht="15.75" customHeight="1">
      <c r="A5915" s="1119">
        <v>101768.0</v>
      </c>
      <c r="B5915" s="1125" t="s">
        <v>16194</v>
      </c>
      <c r="C5915" s="1126" t="s">
        <v>2178</v>
      </c>
      <c r="D5915" s="1119">
        <v>41.63</v>
      </c>
      <c r="E5915" s="1120">
        <v>9.79</v>
      </c>
      <c r="F5915" s="1121">
        <f t="shared" si="1"/>
        <v>31.85</v>
      </c>
      <c r="G5915" s="1120">
        <v>13.29</v>
      </c>
      <c r="H5915" s="1127">
        <v>18.56</v>
      </c>
      <c r="I5915" s="1127">
        <v>0.0</v>
      </c>
      <c r="J5915" s="1127">
        <v>0.0</v>
      </c>
      <c r="K5915" s="1124"/>
    </row>
    <row r="5916" ht="15.75" customHeight="1">
      <c r="A5916" s="1119">
        <v>92391.0</v>
      </c>
      <c r="B5916" s="1125" t="s">
        <v>16195</v>
      </c>
      <c r="C5916" s="1126" t="s">
        <v>1814</v>
      </c>
      <c r="D5916" s="1119">
        <v>51.97</v>
      </c>
      <c r="E5916" s="1120">
        <v>3.66</v>
      </c>
      <c r="F5916" s="1121">
        <f t="shared" si="1"/>
        <v>48.3</v>
      </c>
      <c r="G5916" s="1120">
        <v>48.26</v>
      </c>
      <c r="H5916" s="1127">
        <v>0.04</v>
      </c>
      <c r="I5916" s="1127">
        <v>0.0</v>
      </c>
      <c r="J5916" s="1127">
        <v>0.0</v>
      </c>
      <c r="K5916" s="1124"/>
    </row>
    <row r="5917" ht="15.75" customHeight="1">
      <c r="A5917" s="1119">
        <v>92392.0</v>
      </c>
      <c r="B5917" s="1125" t="s">
        <v>16196</v>
      </c>
      <c r="C5917" s="1126" t="s">
        <v>1814</v>
      </c>
      <c r="D5917" s="1119">
        <v>103.17</v>
      </c>
      <c r="E5917" s="1120">
        <v>4.1</v>
      </c>
      <c r="F5917" s="1121">
        <f t="shared" si="1"/>
        <v>99.06</v>
      </c>
      <c r="G5917" s="1120">
        <v>99.0</v>
      </c>
      <c r="H5917" s="1127">
        <v>0.06</v>
      </c>
      <c r="I5917" s="1127">
        <v>0.0</v>
      </c>
      <c r="J5917" s="1127">
        <v>0.0</v>
      </c>
      <c r="K5917" s="1124"/>
    </row>
    <row r="5918" ht="15.75" customHeight="1">
      <c r="A5918" s="1119">
        <v>92393.0</v>
      </c>
      <c r="B5918" s="1125" t="s">
        <v>16197</v>
      </c>
      <c r="C5918" s="1126" t="s">
        <v>1814</v>
      </c>
      <c r="D5918" s="1119">
        <v>51.8</v>
      </c>
      <c r="E5918" s="1120">
        <v>4.7</v>
      </c>
      <c r="F5918" s="1121">
        <f t="shared" si="1"/>
        <v>47.1</v>
      </c>
      <c r="G5918" s="1120">
        <v>47.03</v>
      </c>
      <c r="H5918" s="1127">
        <v>0.07</v>
      </c>
      <c r="I5918" s="1127">
        <v>0.0</v>
      </c>
      <c r="J5918" s="1127">
        <v>0.0</v>
      </c>
      <c r="K5918" s="1124"/>
    </row>
    <row r="5919" ht="15.75" customHeight="1">
      <c r="A5919" s="1119">
        <v>92394.0</v>
      </c>
      <c r="B5919" s="1125" t="s">
        <v>16198</v>
      </c>
      <c r="C5919" s="1126" t="s">
        <v>1814</v>
      </c>
      <c r="D5919" s="1119">
        <v>64.22</v>
      </c>
      <c r="E5919" s="1120">
        <v>6.41</v>
      </c>
      <c r="F5919" s="1121">
        <f t="shared" si="1"/>
        <v>57.82</v>
      </c>
      <c r="G5919" s="1120">
        <v>57.73</v>
      </c>
      <c r="H5919" s="1127">
        <v>0.09</v>
      </c>
      <c r="I5919" s="1127">
        <v>0.0</v>
      </c>
      <c r="J5919" s="1127">
        <v>0.0</v>
      </c>
      <c r="K5919" s="1124"/>
    </row>
    <row r="5920" ht="15.75" customHeight="1">
      <c r="A5920" s="1119">
        <v>92395.0</v>
      </c>
      <c r="B5920" s="1125" t="s">
        <v>16199</v>
      </c>
      <c r="C5920" s="1126" t="s">
        <v>1814</v>
      </c>
      <c r="D5920" s="1119">
        <v>77.27</v>
      </c>
      <c r="E5920" s="1120">
        <v>8.77</v>
      </c>
      <c r="F5920" s="1121">
        <f t="shared" si="1"/>
        <v>68.51</v>
      </c>
      <c r="G5920" s="1120">
        <v>68.37</v>
      </c>
      <c r="H5920" s="1127">
        <v>0.14</v>
      </c>
      <c r="I5920" s="1127">
        <v>0.0</v>
      </c>
      <c r="J5920" s="1127">
        <v>0.0</v>
      </c>
      <c r="K5920" s="1124"/>
    </row>
    <row r="5921" ht="15.75" customHeight="1">
      <c r="A5921" s="1119">
        <v>92396.0</v>
      </c>
      <c r="B5921" s="1125" t="s">
        <v>16200</v>
      </c>
      <c r="C5921" s="1126" t="s">
        <v>1814</v>
      </c>
      <c r="D5921" s="1119">
        <v>66.7</v>
      </c>
      <c r="E5921" s="1120">
        <v>14.2</v>
      </c>
      <c r="F5921" s="1121">
        <f t="shared" si="1"/>
        <v>52.51</v>
      </c>
      <c r="G5921" s="1120">
        <v>52.21</v>
      </c>
      <c r="H5921" s="1127">
        <v>0.3</v>
      </c>
      <c r="I5921" s="1127">
        <v>0.0</v>
      </c>
      <c r="J5921" s="1127">
        <v>0.0</v>
      </c>
      <c r="K5921" s="1124"/>
    </row>
    <row r="5922" ht="15.75" customHeight="1">
      <c r="A5922" s="1119">
        <v>92397.0</v>
      </c>
      <c r="B5922" s="1125" t="s">
        <v>16201</v>
      </c>
      <c r="C5922" s="1126" t="s">
        <v>1814</v>
      </c>
      <c r="D5922" s="1119">
        <v>55.97</v>
      </c>
      <c r="E5922" s="1120">
        <v>7.68</v>
      </c>
      <c r="F5922" s="1121">
        <f t="shared" si="1"/>
        <v>48.28</v>
      </c>
      <c r="G5922" s="1120">
        <v>48.16</v>
      </c>
      <c r="H5922" s="1127">
        <v>0.12</v>
      </c>
      <c r="I5922" s="1127">
        <v>0.0</v>
      </c>
      <c r="J5922" s="1127">
        <v>0.0</v>
      </c>
      <c r="K5922" s="1124"/>
    </row>
    <row r="5923" ht="15.75" customHeight="1">
      <c r="A5923" s="1119">
        <v>92398.0</v>
      </c>
      <c r="B5923" s="1125" t="s">
        <v>16202</v>
      </c>
      <c r="C5923" s="1126" t="s">
        <v>1814</v>
      </c>
      <c r="D5923" s="1119">
        <v>69.4</v>
      </c>
      <c r="E5923" s="1120">
        <v>10.03</v>
      </c>
      <c r="F5923" s="1121">
        <f t="shared" si="1"/>
        <v>59.35</v>
      </c>
      <c r="G5923" s="1120">
        <v>59.19</v>
      </c>
      <c r="H5923" s="1127">
        <v>0.16</v>
      </c>
      <c r="I5923" s="1127">
        <v>0.0</v>
      </c>
      <c r="J5923" s="1127">
        <v>0.0</v>
      </c>
      <c r="K5923" s="1124"/>
    </row>
    <row r="5924" ht="15.75" customHeight="1">
      <c r="A5924" s="1119">
        <v>92400.0</v>
      </c>
      <c r="B5924" s="1125" t="s">
        <v>16203</v>
      </c>
      <c r="C5924" s="1126" t="s">
        <v>1814</v>
      </c>
      <c r="D5924" s="1119">
        <v>81.39</v>
      </c>
      <c r="E5924" s="1120">
        <v>12.39</v>
      </c>
      <c r="F5924" s="1121">
        <f t="shared" si="1"/>
        <v>69.01</v>
      </c>
      <c r="G5924" s="1120">
        <v>68.8</v>
      </c>
      <c r="H5924" s="1127">
        <v>0.21</v>
      </c>
      <c r="I5924" s="1127">
        <v>0.0</v>
      </c>
      <c r="J5924" s="1127">
        <v>0.0</v>
      </c>
      <c r="K5924" s="1124"/>
    </row>
    <row r="5925" ht="15.75" customHeight="1">
      <c r="A5925" s="1119">
        <v>92402.0</v>
      </c>
      <c r="B5925" s="1125" t="s">
        <v>16204</v>
      </c>
      <c r="C5925" s="1126" t="s">
        <v>1814</v>
      </c>
      <c r="D5925" s="1119">
        <v>64.19</v>
      </c>
      <c r="E5925" s="1120">
        <v>12.28</v>
      </c>
      <c r="F5925" s="1121">
        <f t="shared" si="1"/>
        <v>51.91</v>
      </c>
      <c r="G5925" s="1120">
        <v>51.65</v>
      </c>
      <c r="H5925" s="1127">
        <v>0.26</v>
      </c>
      <c r="I5925" s="1127">
        <v>0.0</v>
      </c>
      <c r="J5925" s="1127">
        <v>0.0</v>
      </c>
      <c r="K5925" s="1124"/>
    </row>
    <row r="5926" ht="15.75" customHeight="1">
      <c r="A5926" s="1119">
        <v>92403.0</v>
      </c>
      <c r="B5926" s="1125" t="s">
        <v>16205</v>
      </c>
      <c r="C5926" s="1126" t="s">
        <v>1814</v>
      </c>
      <c r="D5926" s="1119">
        <v>53.23</v>
      </c>
      <c r="E5926" s="1120">
        <v>5.74</v>
      </c>
      <c r="F5926" s="1121">
        <f t="shared" si="1"/>
        <v>47.48</v>
      </c>
      <c r="G5926" s="1120">
        <v>47.39</v>
      </c>
      <c r="H5926" s="1127">
        <v>0.09</v>
      </c>
      <c r="I5926" s="1127">
        <v>0.0</v>
      </c>
      <c r="J5926" s="1127">
        <v>0.0</v>
      </c>
      <c r="K5926" s="1124"/>
    </row>
    <row r="5927" ht="15.75" customHeight="1">
      <c r="A5927" s="1119">
        <v>92404.0</v>
      </c>
      <c r="B5927" s="1125" t="s">
        <v>16206</v>
      </c>
      <c r="C5927" s="1126" t="s">
        <v>1814</v>
      </c>
      <c r="D5927" s="1119">
        <v>66.66</v>
      </c>
      <c r="E5927" s="1120">
        <v>8.11</v>
      </c>
      <c r="F5927" s="1121">
        <f t="shared" si="1"/>
        <v>58.55</v>
      </c>
      <c r="G5927" s="1120">
        <v>58.42</v>
      </c>
      <c r="H5927" s="1127">
        <v>0.13</v>
      </c>
      <c r="I5927" s="1127">
        <v>0.0</v>
      </c>
      <c r="J5927" s="1127">
        <v>0.0</v>
      </c>
      <c r="K5927" s="1124"/>
    </row>
    <row r="5928" ht="15.75" customHeight="1">
      <c r="A5928" s="1119">
        <v>92406.0</v>
      </c>
      <c r="B5928" s="1125" t="s">
        <v>16207</v>
      </c>
      <c r="C5928" s="1126" t="s">
        <v>1814</v>
      </c>
      <c r="D5928" s="1119">
        <v>79.91</v>
      </c>
      <c r="E5928" s="1120">
        <v>10.47</v>
      </c>
      <c r="F5928" s="1121">
        <f t="shared" si="1"/>
        <v>69.45</v>
      </c>
      <c r="G5928" s="1120">
        <v>69.28</v>
      </c>
      <c r="H5928" s="1127">
        <v>0.17</v>
      </c>
      <c r="I5928" s="1127">
        <v>0.0</v>
      </c>
      <c r="J5928" s="1127">
        <v>0.0</v>
      </c>
      <c r="K5928" s="1124"/>
    </row>
    <row r="5929" ht="15.75" customHeight="1">
      <c r="A5929" s="1119">
        <v>93679.0</v>
      </c>
      <c r="B5929" s="1125" t="s">
        <v>16208</v>
      </c>
      <c r="C5929" s="1126" t="s">
        <v>1814</v>
      </c>
      <c r="D5929" s="1119">
        <v>72.89</v>
      </c>
      <c r="E5929" s="1120">
        <v>14.2</v>
      </c>
      <c r="F5929" s="1121">
        <f t="shared" si="1"/>
        <v>58.7</v>
      </c>
      <c r="G5929" s="1120">
        <v>58.4</v>
      </c>
      <c r="H5929" s="1127">
        <v>0.3</v>
      </c>
      <c r="I5929" s="1127">
        <v>0.0</v>
      </c>
      <c r="J5929" s="1127">
        <v>0.0</v>
      </c>
      <c r="K5929" s="1124"/>
    </row>
    <row r="5930" ht="15.75" customHeight="1">
      <c r="A5930" s="1119">
        <v>93680.0</v>
      </c>
      <c r="B5930" s="1125" t="s">
        <v>16209</v>
      </c>
      <c r="C5930" s="1126" t="s">
        <v>1814</v>
      </c>
      <c r="D5930" s="1119">
        <v>62.01</v>
      </c>
      <c r="E5930" s="1120">
        <v>7.68</v>
      </c>
      <c r="F5930" s="1121">
        <f t="shared" si="1"/>
        <v>54.32</v>
      </c>
      <c r="G5930" s="1120">
        <v>54.2</v>
      </c>
      <c r="H5930" s="1127">
        <v>0.12</v>
      </c>
      <c r="I5930" s="1127">
        <v>0.0</v>
      </c>
      <c r="J5930" s="1127">
        <v>0.0</v>
      </c>
      <c r="K5930" s="1124"/>
    </row>
    <row r="5931" ht="15.75" customHeight="1">
      <c r="A5931" s="1119">
        <v>93681.0</v>
      </c>
      <c r="B5931" s="1125" t="s">
        <v>16210</v>
      </c>
      <c r="C5931" s="1126" t="s">
        <v>1814</v>
      </c>
      <c r="D5931" s="1119">
        <v>74.24</v>
      </c>
      <c r="E5931" s="1120">
        <v>10.03</v>
      </c>
      <c r="F5931" s="1121">
        <f t="shared" si="1"/>
        <v>64.19</v>
      </c>
      <c r="G5931" s="1120">
        <v>64.03</v>
      </c>
      <c r="H5931" s="1127">
        <v>0.16</v>
      </c>
      <c r="I5931" s="1127">
        <v>0.0</v>
      </c>
      <c r="J5931" s="1127">
        <v>0.0</v>
      </c>
      <c r="K5931" s="1124"/>
    </row>
    <row r="5932" ht="15.75" customHeight="1">
      <c r="A5932" s="1119">
        <v>97104.0</v>
      </c>
      <c r="B5932" s="1125" t="s">
        <v>16211</v>
      </c>
      <c r="C5932" s="1126" t="s">
        <v>1814</v>
      </c>
      <c r="D5932" s="1119">
        <v>119.61</v>
      </c>
      <c r="E5932" s="1120">
        <v>14.25</v>
      </c>
      <c r="F5932" s="1121">
        <f t="shared" si="1"/>
        <v>105.38</v>
      </c>
      <c r="G5932" s="1120">
        <v>105.38</v>
      </c>
      <c r="H5932" s="1127">
        <v>0.0</v>
      </c>
      <c r="I5932" s="1127">
        <v>0.0</v>
      </c>
      <c r="J5932" s="1127">
        <v>0.0</v>
      </c>
      <c r="K5932" s="1124"/>
    </row>
    <row r="5933" ht="15.75" customHeight="1">
      <c r="A5933" s="1119">
        <v>97105.0</v>
      </c>
      <c r="B5933" s="1125" t="s">
        <v>16212</v>
      </c>
      <c r="C5933" s="1126" t="s">
        <v>1814</v>
      </c>
      <c r="D5933" s="1119">
        <v>134.76</v>
      </c>
      <c r="E5933" s="1120">
        <v>15.32</v>
      </c>
      <c r="F5933" s="1121">
        <f t="shared" si="1"/>
        <v>119.47</v>
      </c>
      <c r="G5933" s="1120">
        <v>119.46</v>
      </c>
      <c r="H5933" s="1127">
        <v>0.01</v>
      </c>
      <c r="I5933" s="1127">
        <v>0.0</v>
      </c>
      <c r="J5933" s="1127">
        <v>0.0</v>
      </c>
      <c r="K5933" s="1124"/>
    </row>
    <row r="5934" ht="15.75" customHeight="1">
      <c r="A5934" s="1119">
        <v>97106.0</v>
      </c>
      <c r="B5934" s="1125" t="s">
        <v>16213</v>
      </c>
      <c r="C5934" s="1126" t="s">
        <v>1814</v>
      </c>
      <c r="D5934" s="1119">
        <v>148.81</v>
      </c>
      <c r="E5934" s="1120">
        <v>16.22</v>
      </c>
      <c r="F5934" s="1121">
        <f t="shared" si="1"/>
        <v>132.6</v>
      </c>
      <c r="G5934" s="1120">
        <v>132.58</v>
      </c>
      <c r="H5934" s="1127">
        <v>0.02</v>
      </c>
      <c r="I5934" s="1127">
        <v>0.0</v>
      </c>
      <c r="J5934" s="1127">
        <v>0.0</v>
      </c>
      <c r="K5934" s="1124"/>
    </row>
    <row r="5935" ht="15.75" customHeight="1">
      <c r="A5935" s="1119">
        <v>97107.0</v>
      </c>
      <c r="B5935" s="1125" t="s">
        <v>16214</v>
      </c>
      <c r="C5935" s="1126" t="s">
        <v>1814</v>
      </c>
      <c r="D5935" s="1119">
        <v>169.9</v>
      </c>
      <c r="E5935" s="1120">
        <v>17.17</v>
      </c>
      <c r="F5935" s="1121">
        <f t="shared" si="1"/>
        <v>152.72</v>
      </c>
      <c r="G5935" s="1120">
        <v>152.7</v>
      </c>
      <c r="H5935" s="1127">
        <v>0.02</v>
      </c>
      <c r="I5935" s="1127">
        <v>0.0</v>
      </c>
      <c r="J5935" s="1127">
        <v>0.0</v>
      </c>
      <c r="K5935" s="1124"/>
    </row>
    <row r="5936" ht="15.75" customHeight="1">
      <c r="A5936" s="1119">
        <v>97108.0</v>
      </c>
      <c r="B5936" s="1125" t="s">
        <v>16215</v>
      </c>
      <c r="C5936" s="1126" t="s">
        <v>1814</v>
      </c>
      <c r="D5936" s="1119">
        <v>193.67</v>
      </c>
      <c r="E5936" s="1120">
        <v>18.06</v>
      </c>
      <c r="F5936" s="1121">
        <f t="shared" si="1"/>
        <v>175.61</v>
      </c>
      <c r="G5936" s="1120">
        <v>175.59</v>
      </c>
      <c r="H5936" s="1127">
        <v>0.02</v>
      </c>
      <c r="I5936" s="1127">
        <v>0.0</v>
      </c>
      <c r="J5936" s="1127">
        <v>0.0</v>
      </c>
      <c r="K5936" s="1124"/>
    </row>
    <row r="5937" ht="15.75" customHeight="1">
      <c r="A5937" s="1119">
        <v>97109.0</v>
      </c>
      <c r="B5937" s="1125" t="s">
        <v>16216</v>
      </c>
      <c r="C5937" s="1126" t="s">
        <v>1814</v>
      </c>
      <c r="D5937" s="1119">
        <v>213.79</v>
      </c>
      <c r="E5937" s="1120">
        <v>19.72</v>
      </c>
      <c r="F5937" s="1121">
        <f t="shared" si="1"/>
        <v>194.1</v>
      </c>
      <c r="G5937" s="1120">
        <v>194.08</v>
      </c>
      <c r="H5937" s="1127">
        <v>0.02</v>
      </c>
      <c r="I5937" s="1127">
        <v>0.0</v>
      </c>
      <c r="J5937" s="1127">
        <v>0.0</v>
      </c>
      <c r="K5937" s="1124"/>
    </row>
    <row r="5938" ht="15.75" customHeight="1">
      <c r="A5938" s="1119">
        <v>97111.0</v>
      </c>
      <c r="B5938" s="1125" t="s">
        <v>16217</v>
      </c>
      <c r="C5938" s="1126" t="s">
        <v>1814</v>
      </c>
      <c r="D5938" s="1119">
        <v>238.6</v>
      </c>
      <c r="E5938" s="1120">
        <v>18.72</v>
      </c>
      <c r="F5938" s="1121">
        <f t="shared" si="1"/>
        <v>219.82</v>
      </c>
      <c r="G5938" s="1120">
        <v>219.82</v>
      </c>
      <c r="H5938" s="1127">
        <v>0.0</v>
      </c>
      <c r="I5938" s="1127">
        <v>0.0</v>
      </c>
      <c r="J5938" s="1127">
        <v>0.0</v>
      </c>
      <c r="K5938" s="1124"/>
    </row>
    <row r="5939" ht="15.75" customHeight="1">
      <c r="A5939" s="1119">
        <v>97112.0</v>
      </c>
      <c r="B5939" s="1125" t="s">
        <v>16218</v>
      </c>
      <c r="C5939" s="1126" t="s">
        <v>1814</v>
      </c>
      <c r="D5939" s="1119">
        <v>206.64</v>
      </c>
      <c r="E5939" s="1120">
        <v>17.54</v>
      </c>
      <c r="F5939" s="1121">
        <f t="shared" si="1"/>
        <v>189.09</v>
      </c>
      <c r="G5939" s="1120">
        <v>189.08</v>
      </c>
      <c r="H5939" s="1127">
        <v>0.01</v>
      </c>
      <c r="I5939" s="1127">
        <v>0.0</v>
      </c>
      <c r="J5939" s="1127">
        <v>0.0</v>
      </c>
      <c r="K5939" s="1124"/>
    </row>
    <row r="5940" ht="15.75" customHeight="1">
      <c r="A5940" s="1119">
        <v>97113.0</v>
      </c>
      <c r="B5940" s="1125" t="s">
        <v>16219</v>
      </c>
      <c r="C5940" s="1126" t="s">
        <v>1814</v>
      </c>
      <c r="D5940" s="1119">
        <v>2.81</v>
      </c>
      <c r="E5940" s="1120">
        <v>0.21</v>
      </c>
      <c r="F5940" s="1121">
        <f t="shared" si="1"/>
        <v>2.61</v>
      </c>
      <c r="G5940" s="1120">
        <v>2.61</v>
      </c>
      <c r="H5940" s="1127">
        <v>0.0</v>
      </c>
      <c r="I5940" s="1127">
        <v>0.0</v>
      </c>
      <c r="J5940" s="1127">
        <v>0.0</v>
      </c>
      <c r="K5940" s="1124"/>
    </row>
    <row r="5941" ht="15.75" customHeight="1">
      <c r="A5941" s="1119">
        <v>97114.0</v>
      </c>
      <c r="B5941" s="1125" t="s">
        <v>16220</v>
      </c>
      <c r="C5941" s="1126" t="s">
        <v>1731</v>
      </c>
      <c r="D5941" s="1119">
        <v>0.44</v>
      </c>
      <c r="E5941" s="1120">
        <v>0.38</v>
      </c>
      <c r="F5941" s="1121">
        <f t="shared" si="1"/>
        <v>0.06</v>
      </c>
      <c r="G5941" s="1120">
        <v>0.06</v>
      </c>
      <c r="H5941" s="1127">
        <v>0.0</v>
      </c>
      <c r="I5941" s="1127">
        <v>0.0</v>
      </c>
      <c r="J5941" s="1127">
        <v>0.0</v>
      </c>
      <c r="K5941" s="1124"/>
    </row>
    <row r="5942" ht="15.75" customHeight="1">
      <c r="A5942" s="1119">
        <v>97115.0</v>
      </c>
      <c r="B5942" s="1125" t="s">
        <v>16221</v>
      </c>
      <c r="C5942" s="1126" t="s">
        <v>3606</v>
      </c>
      <c r="D5942" s="1119">
        <v>49.07</v>
      </c>
      <c r="E5942" s="1120">
        <v>11.24</v>
      </c>
      <c r="F5942" s="1121">
        <f t="shared" si="1"/>
        <v>37.83</v>
      </c>
      <c r="G5942" s="1120">
        <v>37.83</v>
      </c>
      <c r="H5942" s="1127">
        <v>0.0</v>
      </c>
      <c r="I5942" s="1127">
        <v>0.0</v>
      </c>
      <c r="J5942" s="1127">
        <v>0.0</v>
      </c>
      <c r="K5942" s="1124"/>
    </row>
    <row r="5943" ht="15.75" customHeight="1">
      <c r="A5943" s="1119">
        <v>97116.0</v>
      </c>
      <c r="B5943" s="1125" t="s">
        <v>16222</v>
      </c>
      <c r="C5943" s="1126" t="s">
        <v>3606</v>
      </c>
      <c r="D5943" s="1119">
        <v>24.26</v>
      </c>
      <c r="E5943" s="1120">
        <v>8.53</v>
      </c>
      <c r="F5943" s="1121">
        <f t="shared" si="1"/>
        <v>15.73</v>
      </c>
      <c r="G5943" s="1120">
        <v>15.73</v>
      </c>
      <c r="H5943" s="1127">
        <v>0.0</v>
      </c>
      <c r="I5943" s="1127">
        <v>0.0</v>
      </c>
      <c r="J5943" s="1127">
        <v>0.0</v>
      </c>
      <c r="K5943" s="1124"/>
    </row>
    <row r="5944" ht="15.75" customHeight="1">
      <c r="A5944" s="1119">
        <v>97117.0</v>
      </c>
      <c r="B5944" s="1125" t="s">
        <v>16223</v>
      </c>
      <c r="C5944" s="1126" t="s">
        <v>3606</v>
      </c>
      <c r="D5944" s="1119">
        <v>20.82</v>
      </c>
      <c r="E5944" s="1120">
        <v>5.46</v>
      </c>
      <c r="F5944" s="1121">
        <f t="shared" si="1"/>
        <v>15.36</v>
      </c>
      <c r="G5944" s="1120">
        <v>15.36</v>
      </c>
      <c r="H5944" s="1127">
        <v>0.0</v>
      </c>
      <c r="I5944" s="1127">
        <v>0.0</v>
      </c>
      <c r="J5944" s="1127">
        <v>0.0</v>
      </c>
      <c r="K5944" s="1124"/>
    </row>
    <row r="5945" ht="15.75" customHeight="1">
      <c r="A5945" s="1119">
        <v>97118.0</v>
      </c>
      <c r="B5945" s="1125" t="s">
        <v>16224</v>
      </c>
      <c r="C5945" s="1126" t="s">
        <v>3606</v>
      </c>
      <c r="D5945" s="1119">
        <v>17.07</v>
      </c>
      <c r="E5945" s="1120">
        <v>3.5</v>
      </c>
      <c r="F5945" s="1121">
        <f t="shared" si="1"/>
        <v>13.57</v>
      </c>
      <c r="G5945" s="1120">
        <v>13.57</v>
      </c>
      <c r="H5945" s="1127">
        <v>0.0</v>
      </c>
      <c r="I5945" s="1127">
        <v>0.0</v>
      </c>
      <c r="J5945" s="1127">
        <v>0.0</v>
      </c>
      <c r="K5945" s="1124"/>
    </row>
    <row r="5946" ht="15.75" customHeight="1">
      <c r="A5946" s="1119">
        <v>97119.0</v>
      </c>
      <c r="B5946" s="1125" t="s">
        <v>16225</v>
      </c>
      <c r="C5946" s="1126" t="s">
        <v>3606</v>
      </c>
      <c r="D5946" s="1119">
        <v>15.2</v>
      </c>
      <c r="E5946" s="1120">
        <v>2.11</v>
      </c>
      <c r="F5946" s="1121">
        <f t="shared" si="1"/>
        <v>13.09</v>
      </c>
      <c r="G5946" s="1120">
        <v>13.09</v>
      </c>
      <c r="H5946" s="1127">
        <v>0.0</v>
      </c>
      <c r="I5946" s="1127">
        <v>0.0</v>
      </c>
      <c r="J5946" s="1127">
        <v>0.0</v>
      </c>
      <c r="K5946" s="1124"/>
    </row>
    <row r="5947" ht="15.75" customHeight="1">
      <c r="A5947" s="1119">
        <v>97120.0</v>
      </c>
      <c r="B5947" s="1125" t="s">
        <v>16226</v>
      </c>
      <c r="C5947" s="1126" t="s">
        <v>3606</v>
      </c>
      <c r="D5947" s="1119">
        <v>9.88</v>
      </c>
      <c r="E5947" s="1120">
        <v>1.32</v>
      </c>
      <c r="F5947" s="1121">
        <f t="shared" si="1"/>
        <v>8.55</v>
      </c>
      <c r="G5947" s="1120">
        <v>8.55</v>
      </c>
      <c r="H5947" s="1127">
        <v>0.0</v>
      </c>
      <c r="I5947" s="1127">
        <v>0.0</v>
      </c>
      <c r="J5947" s="1127">
        <v>0.0</v>
      </c>
      <c r="K5947" s="1124"/>
    </row>
    <row r="5948" ht="15.75" customHeight="1">
      <c r="A5948" s="1119">
        <v>101167.0</v>
      </c>
      <c r="B5948" s="1125" t="s">
        <v>16227</v>
      </c>
      <c r="C5948" s="1126" t="s">
        <v>1814</v>
      </c>
      <c r="D5948" s="1119">
        <v>98.23</v>
      </c>
      <c r="E5948" s="1120">
        <v>14.89</v>
      </c>
      <c r="F5948" s="1121">
        <f t="shared" si="1"/>
        <v>83.34</v>
      </c>
      <c r="G5948" s="1120">
        <v>79.31</v>
      </c>
      <c r="H5948" s="1127">
        <v>4.03</v>
      </c>
      <c r="I5948" s="1127">
        <v>0.0</v>
      </c>
      <c r="J5948" s="1127">
        <v>0.0</v>
      </c>
      <c r="K5948" s="1124"/>
    </row>
    <row r="5949" ht="15.75" customHeight="1">
      <c r="A5949" s="1119">
        <v>101169.0</v>
      </c>
      <c r="B5949" s="1125" t="s">
        <v>16228</v>
      </c>
      <c r="C5949" s="1126" t="s">
        <v>1814</v>
      </c>
      <c r="D5949" s="1119">
        <v>113.38</v>
      </c>
      <c r="E5949" s="1120">
        <v>19.39</v>
      </c>
      <c r="F5949" s="1121">
        <f t="shared" si="1"/>
        <v>94</v>
      </c>
      <c r="G5949" s="1120">
        <v>89.09</v>
      </c>
      <c r="H5949" s="1127">
        <v>4.9</v>
      </c>
      <c r="I5949" s="1127">
        <v>0.0</v>
      </c>
      <c r="J5949" s="1127">
        <v>0.01</v>
      </c>
      <c r="K5949" s="1124"/>
    </row>
    <row r="5950" ht="15.75" customHeight="1">
      <c r="A5950" s="1119">
        <v>101170.0</v>
      </c>
      <c r="B5950" s="1125" t="s">
        <v>16229</v>
      </c>
      <c r="C5950" s="1126" t="s">
        <v>1814</v>
      </c>
      <c r="D5950" s="1119">
        <v>43.59</v>
      </c>
      <c r="E5950" s="1120">
        <v>11.77</v>
      </c>
      <c r="F5950" s="1121">
        <f t="shared" si="1"/>
        <v>31.8</v>
      </c>
      <c r="G5950" s="1120">
        <v>28.58</v>
      </c>
      <c r="H5950" s="1127">
        <v>3.22</v>
      </c>
      <c r="I5950" s="1127">
        <v>0.0</v>
      </c>
      <c r="J5950" s="1127">
        <v>0.0</v>
      </c>
      <c r="K5950" s="1124"/>
    </row>
    <row r="5951" ht="15.75" customHeight="1">
      <c r="A5951" s="1119">
        <v>101172.0</v>
      </c>
      <c r="B5951" s="1125" t="s">
        <v>16230</v>
      </c>
      <c r="C5951" s="1126" t="s">
        <v>1814</v>
      </c>
      <c r="D5951" s="1119">
        <v>70.05</v>
      </c>
      <c r="E5951" s="1120">
        <v>17.7</v>
      </c>
      <c r="F5951" s="1121">
        <f t="shared" si="1"/>
        <v>52.36</v>
      </c>
      <c r="G5951" s="1120">
        <v>48.24</v>
      </c>
      <c r="H5951" s="1127">
        <v>4.1</v>
      </c>
      <c r="I5951" s="1127">
        <v>0.0</v>
      </c>
      <c r="J5951" s="1127">
        <v>0.02</v>
      </c>
      <c r="K5951" s="1124"/>
    </row>
    <row r="5952" ht="15.75" customHeight="1">
      <c r="A5952" s="1119">
        <v>103904.0</v>
      </c>
      <c r="B5952" s="1125" t="s">
        <v>16231</v>
      </c>
      <c r="C5952" s="1126" t="s">
        <v>1814</v>
      </c>
      <c r="D5952" s="1119">
        <v>116.54</v>
      </c>
      <c r="E5952" s="1120">
        <v>14.25</v>
      </c>
      <c r="F5952" s="1121">
        <f t="shared" si="1"/>
        <v>102.32</v>
      </c>
      <c r="G5952" s="1120">
        <v>102.32</v>
      </c>
      <c r="H5952" s="1127">
        <v>0.0</v>
      </c>
      <c r="I5952" s="1127">
        <v>0.0</v>
      </c>
      <c r="J5952" s="1127">
        <v>0.0</v>
      </c>
      <c r="K5952" s="1124"/>
    </row>
    <row r="5953" ht="15.75" customHeight="1">
      <c r="A5953" s="1119">
        <v>103905.0</v>
      </c>
      <c r="B5953" s="1125" t="s">
        <v>16232</v>
      </c>
      <c r="C5953" s="1126" t="s">
        <v>1814</v>
      </c>
      <c r="D5953" s="1119">
        <v>123.0</v>
      </c>
      <c r="E5953" s="1120">
        <v>14.7</v>
      </c>
      <c r="F5953" s="1121">
        <f t="shared" si="1"/>
        <v>108.32</v>
      </c>
      <c r="G5953" s="1120">
        <v>108.32</v>
      </c>
      <c r="H5953" s="1127">
        <v>0.0</v>
      </c>
      <c r="I5953" s="1127">
        <v>0.0</v>
      </c>
      <c r="J5953" s="1127">
        <v>0.0</v>
      </c>
      <c r="K5953" s="1124"/>
    </row>
    <row r="5954" ht="15.75" customHeight="1">
      <c r="A5954" s="1119">
        <v>103906.0</v>
      </c>
      <c r="B5954" s="1125" t="s">
        <v>16233</v>
      </c>
      <c r="C5954" s="1126" t="s">
        <v>1814</v>
      </c>
      <c r="D5954" s="1119">
        <v>147.29</v>
      </c>
      <c r="E5954" s="1120">
        <v>19.51</v>
      </c>
      <c r="F5954" s="1121">
        <f t="shared" si="1"/>
        <v>127.79</v>
      </c>
      <c r="G5954" s="1120">
        <v>127.79</v>
      </c>
      <c r="H5954" s="1127">
        <v>0.0</v>
      </c>
      <c r="I5954" s="1127">
        <v>0.0</v>
      </c>
      <c r="J5954" s="1127">
        <v>0.0</v>
      </c>
      <c r="K5954" s="1124"/>
    </row>
    <row r="5955" ht="15.75" customHeight="1">
      <c r="A5955" s="1119">
        <v>103907.0</v>
      </c>
      <c r="B5955" s="1125" t="s">
        <v>16234</v>
      </c>
      <c r="C5955" s="1126" t="s">
        <v>1814</v>
      </c>
      <c r="D5955" s="1119">
        <v>128.51</v>
      </c>
      <c r="E5955" s="1120">
        <v>15.1</v>
      </c>
      <c r="F5955" s="1121">
        <f t="shared" si="1"/>
        <v>113.42</v>
      </c>
      <c r="G5955" s="1120">
        <v>113.41</v>
      </c>
      <c r="H5955" s="1127">
        <v>0.01</v>
      </c>
      <c r="I5955" s="1127">
        <v>0.0</v>
      </c>
      <c r="J5955" s="1127">
        <v>0.0</v>
      </c>
      <c r="K5955" s="1124"/>
    </row>
    <row r="5956" ht="15.75" customHeight="1">
      <c r="A5956" s="1119">
        <v>103908.0</v>
      </c>
      <c r="B5956" s="1125" t="s">
        <v>16235</v>
      </c>
      <c r="C5956" s="1126" t="s">
        <v>1814</v>
      </c>
      <c r="D5956" s="1119">
        <v>144.72</v>
      </c>
      <c r="E5956" s="1120">
        <v>16.23</v>
      </c>
      <c r="F5956" s="1121">
        <f t="shared" si="1"/>
        <v>128.51</v>
      </c>
      <c r="G5956" s="1120">
        <v>128.49</v>
      </c>
      <c r="H5956" s="1127">
        <v>0.02</v>
      </c>
      <c r="I5956" s="1127">
        <v>0.0</v>
      </c>
      <c r="J5956" s="1127">
        <v>0.0</v>
      </c>
      <c r="K5956" s="1124"/>
    </row>
    <row r="5957" ht="15.75" customHeight="1">
      <c r="A5957" s="1119">
        <v>103909.0</v>
      </c>
      <c r="B5957" s="1125" t="s">
        <v>16236</v>
      </c>
      <c r="C5957" s="1126" t="s">
        <v>1814</v>
      </c>
      <c r="D5957" s="1119">
        <v>165.31</v>
      </c>
      <c r="E5957" s="1120">
        <v>17.17</v>
      </c>
      <c r="F5957" s="1121">
        <f t="shared" si="1"/>
        <v>148.13</v>
      </c>
      <c r="G5957" s="1120">
        <v>148.11</v>
      </c>
      <c r="H5957" s="1127">
        <v>0.02</v>
      </c>
      <c r="I5957" s="1127">
        <v>0.0</v>
      </c>
      <c r="J5957" s="1127">
        <v>0.0</v>
      </c>
      <c r="K5957" s="1124"/>
    </row>
    <row r="5958" ht="15.75" customHeight="1">
      <c r="A5958" s="1119">
        <v>103911.0</v>
      </c>
      <c r="B5958" s="1125" t="s">
        <v>16237</v>
      </c>
      <c r="C5958" s="1126" t="s">
        <v>1814</v>
      </c>
      <c r="D5958" s="1119">
        <v>188.56</v>
      </c>
      <c r="E5958" s="1120">
        <v>18.06</v>
      </c>
      <c r="F5958" s="1121">
        <f t="shared" si="1"/>
        <v>170.5</v>
      </c>
      <c r="G5958" s="1120">
        <v>170.48</v>
      </c>
      <c r="H5958" s="1127">
        <v>0.02</v>
      </c>
      <c r="I5958" s="1127">
        <v>0.0</v>
      </c>
      <c r="J5958" s="1127">
        <v>0.0</v>
      </c>
      <c r="K5958" s="1124"/>
    </row>
    <row r="5959" ht="15.75" customHeight="1">
      <c r="A5959" s="1119">
        <v>103912.0</v>
      </c>
      <c r="B5959" s="1125" t="s">
        <v>16238</v>
      </c>
      <c r="C5959" s="1126" t="s">
        <v>1814</v>
      </c>
      <c r="D5959" s="1119">
        <v>91.11</v>
      </c>
      <c r="E5959" s="1120">
        <v>19.79</v>
      </c>
      <c r="F5959" s="1121">
        <f t="shared" si="1"/>
        <v>71.36</v>
      </c>
      <c r="G5959" s="1120">
        <v>71.34</v>
      </c>
      <c r="H5959" s="1127">
        <v>0.02</v>
      </c>
      <c r="I5959" s="1127">
        <v>0.0</v>
      </c>
      <c r="J5959" s="1127">
        <v>0.0</v>
      </c>
      <c r="K5959" s="1124"/>
    </row>
    <row r="5960" ht="15.75" customHeight="1">
      <c r="A5960" s="1119">
        <v>103913.0</v>
      </c>
      <c r="B5960" s="1125" t="s">
        <v>16239</v>
      </c>
      <c r="C5960" s="1126" t="s">
        <v>1814</v>
      </c>
      <c r="D5960" s="1119">
        <v>112.77</v>
      </c>
      <c r="E5960" s="1120">
        <v>11.01</v>
      </c>
      <c r="F5960" s="1121">
        <f t="shared" si="1"/>
        <v>101.75</v>
      </c>
      <c r="G5960" s="1120">
        <v>101.75</v>
      </c>
      <c r="H5960" s="1127">
        <v>0.0</v>
      </c>
      <c r="I5960" s="1127">
        <v>0.0</v>
      </c>
      <c r="J5960" s="1127">
        <v>0.0</v>
      </c>
      <c r="K5960" s="1124"/>
    </row>
    <row r="5961" ht="15.75" customHeight="1">
      <c r="A5961" s="1119">
        <v>103914.0</v>
      </c>
      <c r="B5961" s="1125" t="s">
        <v>16240</v>
      </c>
      <c r="C5961" s="1126" t="s">
        <v>1814</v>
      </c>
      <c r="D5961" s="1119">
        <v>131.21</v>
      </c>
      <c r="E5961" s="1120">
        <v>12.36</v>
      </c>
      <c r="F5961" s="1121">
        <f t="shared" si="1"/>
        <v>118.87</v>
      </c>
      <c r="G5961" s="1120">
        <v>118.87</v>
      </c>
      <c r="H5961" s="1127">
        <v>0.0</v>
      </c>
      <c r="I5961" s="1127">
        <v>0.0</v>
      </c>
      <c r="J5961" s="1127">
        <v>0.0</v>
      </c>
      <c r="K5961" s="1124"/>
    </row>
    <row r="5962" ht="15.75" customHeight="1">
      <c r="A5962" s="1119">
        <v>103915.0</v>
      </c>
      <c r="B5962" s="1125" t="s">
        <v>16241</v>
      </c>
      <c r="C5962" s="1126" t="s">
        <v>1814</v>
      </c>
      <c r="D5962" s="1119">
        <v>143.22</v>
      </c>
      <c r="E5962" s="1120">
        <v>12.96</v>
      </c>
      <c r="F5962" s="1121">
        <f t="shared" si="1"/>
        <v>130.28</v>
      </c>
      <c r="G5962" s="1120">
        <v>130.28</v>
      </c>
      <c r="H5962" s="1127">
        <v>0.0</v>
      </c>
      <c r="I5962" s="1127">
        <v>0.0</v>
      </c>
      <c r="J5962" s="1127">
        <v>0.0</v>
      </c>
      <c r="K5962" s="1124"/>
    </row>
    <row r="5963" ht="15.75" customHeight="1">
      <c r="A5963" s="1119">
        <v>103916.0</v>
      </c>
      <c r="B5963" s="1125" t="s">
        <v>16242</v>
      </c>
      <c r="C5963" s="1126" t="s">
        <v>1814</v>
      </c>
      <c r="D5963" s="1119">
        <v>163.57</v>
      </c>
      <c r="E5963" s="1120">
        <v>14.46</v>
      </c>
      <c r="F5963" s="1121">
        <f t="shared" si="1"/>
        <v>149.15</v>
      </c>
      <c r="G5963" s="1120">
        <v>149.14</v>
      </c>
      <c r="H5963" s="1127">
        <v>0.01</v>
      </c>
      <c r="I5963" s="1127">
        <v>0.0</v>
      </c>
      <c r="J5963" s="1127">
        <v>0.0</v>
      </c>
      <c r="K5963" s="1124"/>
    </row>
    <row r="5964" ht="15.75" customHeight="1">
      <c r="A5964" s="1119">
        <v>103917.0</v>
      </c>
      <c r="B5964" s="1125" t="s">
        <v>16243</v>
      </c>
      <c r="C5964" s="1126" t="s">
        <v>1814</v>
      </c>
      <c r="D5964" s="1119">
        <v>188.27</v>
      </c>
      <c r="E5964" s="1120">
        <v>15.51</v>
      </c>
      <c r="F5964" s="1121">
        <f t="shared" si="1"/>
        <v>172.76</v>
      </c>
      <c r="G5964" s="1120">
        <v>172.74</v>
      </c>
      <c r="H5964" s="1127">
        <v>0.02</v>
      </c>
      <c r="I5964" s="1127">
        <v>0.0</v>
      </c>
      <c r="J5964" s="1127">
        <v>0.0</v>
      </c>
      <c r="K5964" s="1124"/>
    </row>
    <row r="5965" ht="15.75" customHeight="1">
      <c r="A5965" s="1119">
        <v>103918.0</v>
      </c>
      <c r="B5965" s="1125" t="s">
        <v>16244</v>
      </c>
      <c r="C5965" s="1126" t="s">
        <v>1814</v>
      </c>
      <c r="D5965" s="1119">
        <v>198.71</v>
      </c>
      <c r="E5965" s="1120">
        <v>16.27</v>
      </c>
      <c r="F5965" s="1121">
        <f t="shared" si="1"/>
        <v>182.43</v>
      </c>
      <c r="G5965" s="1120">
        <v>182.41</v>
      </c>
      <c r="H5965" s="1127">
        <v>0.02</v>
      </c>
      <c r="I5965" s="1127">
        <v>0.0</v>
      </c>
      <c r="J5965" s="1127">
        <v>0.0</v>
      </c>
      <c r="K5965" s="1124"/>
    </row>
    <row r="5966" ht="15.75" customHeight="1">
      <c r="A5966" s="1119">
        <v>104432.0</v>
      </c>
      <c r="B5966" s="1125" t="s">
        <v>16245</v>
      </c>
      <c r="C5966" s="1126" t="s">
        <v>1814</v>
      </c>
      <c r="D5966" s="1119">
        <v>71.04</v>
      </c>
      <c r="E5966" s="1120">
        <v>16.62</v>
      </c>
      <c r="F5966" s="1121">
        <f t="shared" si="1"/>
        <v>54.42</v>
      </c>
      <c r="G5966" s="1120">
        <v>54.08</v>
      </c>
      <c r="H5966" s="1127">
        <v>0.34</v>
      </c>
      <c r="I5966" s="1127">
        <v>0.0</v>
      </c>
      <c r="J5966" s="1127">
        <v>0.0</v>
      </c>
      <c r="K5966" s="1124"/>
    </row>
    <row r="5967" ht="15.75" customHeight="1">
      <c r="A5967" s="1119">
        <v>104433.0</v>
      </c>
      <c r="B5967" s="1125" t="s">
        <v>16246</v>
      </c>
      <c r="C5967" s="1126" t="s">
        <v>1814</v>
      </c>
      <c r="D5967" s="1119">
        <v>59.06</v>
      </c>
      <c r="E5967" s="1120">
        <v>9.31</v>
      </c>
      <c r="F5967" s="1121">
        <f t="shared" si="1"/>
        <v>49.76</v>
      </c>
      <c r="G5967" s="1120">
        <v>49.6</v>
      </c>
      <c r="H5967" s="1127">
        <v>0.16</v>
      </c>
      <c r="I5967" s="1127">
        <v>0.0</v>
      </c>
      <c r="J5967" s="1127">
        <v>0.0</v>
      </c>
      <c r="K5967" s="1124"/>
    </row>
    <row r="5968" ht="15.75" customHeight="1">
      <c r="A5968" s="1119">
        <v>103689.0</v>
      </c>
      <c r="B5968" s="1125" t="s">
        <v>16247</v>
      </c>
      <c r="C5968" s="1126" t="s">
        <v>1814</v>
      </c>
      <c r="D5968" s="1119">
        <v>314.16</v>
      </c>
      <c r="E5968" s="1120">
        <v>34.13</v>
      </c>
      <c r="F5968" s="1121">
        <f t="shared" si="1"/>
        <v>280.03</v>
      </c>
      <c r="G5968" s="1120">
        <v>280.03</v>
      </c>
      <c r="H5968" s="1127">
        <v>0.0</v>
      </c>
      <c r="I5968" s="1127">
        <v>0.0</v>
      </c>
      <c r="J5968" s="1127">
        <v>0.0</v>
      </c>
      <c r="K5968" s="1124"/>
    </row>
    <row r="5969" ht="15.75" customHeight="1">
      <c r="A5969" s="1119">
        <v>103694.0</v>
      </c>
      <c r="B5969" s="1125" t="s">
        <v>16248</v>
      </c>
      <c r="C5969" s="1126" t="s">
        <v>1788</v>
      </c>
      <c r="D5969" s="1119">
        <v>113.27</v>
      </c>
      <c r="E5969" s="1120">
        <v>34.89</v>
      </c>
      <c r="F5969" s="1121">
        <f t="shared" si="1"/>
        <v>78.4</v>
      </c>
      <c r="G5969" s="1120">
        <v>78.4</v>
      </c>
      <c r="H5969" s="1127">
        <v>0.0</v>
      </c>
      <c r="I5969" s="1127">
        <v>0.0</v>
      </c>
      <c r="J5969" s="1127">
        <v>0.0</v>
      </c>
      <c r="K5969" s="1124"/>
    </row>
    <row r="5970" ht="15.75" customHeight="1">
      <c r="A5970" s="1119">
        <v>103695.0</v>
      </c>
      <c r="B5970" s="1125" t="s">
        <v>16249</v>
      </c>
      <c r="C5970" s="1126" t="s">
        <v>1788</v>
      </c>
      <c r="D5970" s="1119">
        <v>101.53</v>
      </c>
      <c r="E5970" s="1120">
        <v>32.46</v>
      </c>
      <c r="F5970" s="1121">
        <f t="shared" si="1"/>
        <v>69.09</v>
      </c>
      <c r="G5970" s="1120">
        <v>69.09</v>
      </c>
      <c r="H5970" s="1127">
        <v>0.0</v>
      </c>
      <c r="I5970" s="1127">
        <v>0.0</v>
      </c>
      <c r="J5970" s="1127">
        <v>0.0</v>
      </c>
      <c r="K5970" s="1124"/>
    </row>
    <row r="5971" ht="15.75" customHeight="1">
      <c r="A5971" s="1119">
        <v>103696.0</v>
      </c>
      <c r="B5971" s="1125" t="s">
        <v>16250</v>
      </c>
      <c r="C5971" s="1126" t="s">
        <v>1788</v>
      </c>
      <c r="D5971" s="1119">
        <v>145.68</v>
      </c>
      <c r="E5971" s="1120">
        <v>58.04</v>
      </c>
      <c r="F5971" s="1121">
        <f t="shared" si="1"/>
        <v>87.66</v>
      </c>
      <c r="G5971" s="1120">
        <v>87.66</v>
      </c>
      <c r="H5971" s="1127">
        <v>0.0</v>
      </c>
      <c r="I5971" s="1127">
        <v>0.0</v>
      </c>
      <c r="J5971" s="1127">
        <v>0.0</v>
      </c>
      <c r="K5971" s="1124"/>
    </row>
    <row r="5972" ht="15.75" customHeight="1">
      <c r="A5972" s="1119">
        <v>103697.0</v>
      </c>
      <c r="B5972" s="1125" t="s">
        <v>16251</v>
      </c>
      <c r="C5972" s="1126" t="s">
        <v>1788</v>
      </c>
      <c r="D5972" s="1119">
        <v>133.94</v>
      </c>
      <c r="E5972" s="1120">
        <v>55.61</v>
      </c>
      <c r="F5972" s="1121">
        <f t="shared" si="1"/>
        <v>78.35</v>
      </c>
      <c r="G5972" s="1120">
        <v>78.35</v>
      </c>
      <c r="H5972" s="1127">
        <v>0.0</v>
      </c>
      <c r="I5972" s="1127">
        <v>0.0</v>
      </c>
      <c r="J5972" s="1127">
        <v>0.0</v>
      </c>
      <c r="K5972" s="1124"/>
    </row>
    <row r="5973" ht="15.75" customHeight="1">
      <c r="A5973" s="1119">
        <v>95995.0</v>
      </c>
      <c r="B5973" s="1125" t="s">
        <v>16252</v>
      </c>
      <c r="C5973" s="1126" t="s">
        <v>2178</v>
      </c>
      <c r="D5973" s="1128">
        <v>1265.17</v>
      </c>
      <c r="E5973" s="1120">
        <v>32.39</v>
      </c>
      <c r="F5973" s="1121">
        <f t="shared" si="1"/>
        <v>1232.83</v>
      </c>
      <c r="G5973" s="1120">
        <v>1178.97</v>
      </c>
      <c r="H5973" s="1127">
        <v>53.86</v>
      </c>
      <c r="I5973" s="1127">
        <v>0.0</v>
      </c>
      <c r="J5973" s="1127">
        <v>0.0</v>
      </c>
      <c r="K5973" s="1124"/>
    </row>
    <row r="5974" ht="15.75" customHeight="1">
      <c r="A5974" s="1119">
        <v>95996.0</v>
      </c>
      <c r="B5974" s="1125" t="s">
        <v>16253</v>
      </c>
      <c r="C5974" s="1126" t="s">
        <v>2178</v>
      </c>
      <c r="D5974" s="1128">
        <v>1091.22</v>
      </c>
      <c r="E5974" s="1120">
        <v>23.12</v>
      </c>
      <c r="F5974" s="1121">
        <f t="shared" si="1"/>
        <v>1068.14</v>
      </c>
      <c r="G5974" s="1120">
        <v>1029.53</v>
      </c>
      <c r="H5974" s="1127">
        <v>38.61</v>
      </c>
      <c r="I5974" s="1127">
        <v>0.0</v>
      </c>
      <c r="J5974" s="1127">
        <v>0.0</v>
      </c>
      <c r="K5974" s="1124"/>
    </row>
    <row r="5975" ht="15.75" customHeight="1">
      <c r="A5975" s="1119">
        <v>96001.0</v>
      </c>
      <c r="B5975" s="1125" t="s">
        <v>16254</v>
      </c>
      <c r="C5975" s="1126" t="s">
        <v>1814</v>
      </c>
      <c r="D5975" s="1119">
        <v>7.35</v>
      </c>
      <c r="E5975" s="1120">
        <v>0.93</v>
      </c>
      <c r="F5975" s="1121">
        <f t="shared" si="1"/>
        <v>6.44</v>
      </c>
      <c r="G5975" s="1120">
        <v>1.07</v>
      </c>
      <c r="H5975" s="1127">
        <v>5.37</v>
      </c>
      <c r="I5975" s="1127">
        <v>0.0</v>
      </c>
      <c r="J5975" s="1127">
        <v>0.0</v>
      </c>
      <c r="K5975" s="1124"/>
    </row>
    <row r="5976" ht="15.75" customHeight="1">
      <c r="A5976" s="1119">
        <v>96393.0</v>
      </c>
      <c r="B5976" s="1125" t="s">
        <v>16255</v>
      </c>
      <c r="C5976" s="1126" t="s">
        <v>2178</v>
      </c>
      <c r="D5976" s="1119">
        <v>106.45</v>
      </c>
      <c r="E5976" s="1120">
        <v>1.6</v>
      </c>
      <c r="F5976" s="1121">
        <f t="shared" si="1"/>
        <v>104.81</v>
      </c>
      <c r="G5976" s="1120">
        <v>101.65</v>
      </c>
      <c r="H5976" s="1127">
        <v>2.91</v>
      </c>
      <c r="I5976" s="1127">
        <v>0.0</v>
      </c>
      <c r="J5976" s="1127">
        <v>0.25</v>
      </c>
      <c r="K5976" s="1124"/>
    </row>
    <row r="5977" ht="15.75" customHeight="1">
      <c r="A5977" s="1119">
        <v>96394.0</v>
      </c>
      <c r="B5977" s="1125" t="s">
        <v>16256</v>
      </c>
      <c r="C5977" s="1126" t="s">
        <v>2178</v>
      </c>
      <c r="D5977" s="1119">
        <v>165.89</v>
      </c>
      <c r="E5977" s="1120">
        <v>1.59</v>
      </c>
      <c r="F5977" s="1121">
        <f t="shared" si="1"/>
        <v>164.25</v>
      </c>
      <c r="G5977" s="1120">
        <v>161.13</v>
      </c>
      <c r="H5977" s="1127">
        <v>2.87</v>
      </c>
      <c r="I5977" s="1127">
        <v>0.0</v>
      </c>
      <c r="J5977" s="1127">
        <v>0.25</v>
      </c>
      <c r="K5977" s="1124"/>
    </row>
    <row r="5978" ht="15.75" customHeight="1">
      <c r="A5978" s="1119">
        <v>96395.0</v>
      </c>
      <c r="B5978" s="1125" t="s">
        <v>16257</v>
      </c>
      <c r="C5978" s="1126" t="s">
        <v>2178</v>
      </c>
      <c r="D5978" s="1119">
        <v>247.05</v>
      </c>
      <c r="E5978" s="1120">
        <v>2.75</v>
      </c>
      <c r="F5978" s="1121">
        <f t="shared" si="1"/>
        <v>244.32</v>
      </c>
      <c r="G5978" s="1120">
        <v>241.24</v>
      </c>
      <c r="H5978" s="1127">
        <v>2.91</v>
      </c>
      <c r="I5978" s="1127">
        <v>0.0</v>
      </c>
      <c r="J5978" s="1127">
        <v>0.17</v>
      </c>
      <c r="K5978" s="1124"/>
    </row>
    <row r="5979" ht="15.75" customHeight="1">
      <c r="A5979" s="1119">
        <v>88411.0</v>
      </c>
      <c r="B5979" s="1125" t="s">
        <v>16258</v>
      </c>
      <c r="C5979" s="1126" t="s">
        <v>1814</v>
      </c>
      <c r="D5979" s="1119">
        <v>3.5</v>
      </c>
      <c r="E5979" s="1120">
        <v>1.36</v>
      </c>
      <c r="F5979" s="1121">
        <f t="shared" si="1"/>
        <v>2.14</v>
      </c>
      <c r="G5979" s="1120">
        <v>2.14</v>
      </c>
      <c r="H5979" s="1127">
        <v>0.0</v>
      </c>
      <c r="I5979" s="1127">
        <v>0.0</v>
      </c>
      <c r="J5979" s="1127">
        <v>0.0</v>
      </c>
      <c r="K5979" s="1124"/>
    </row>
    <row r="5980" ht="15.75" customHeight="1">
      <c r="A5980" s="1119">
        <v>88412.0</v>
      </c>
      <c r="B5980" s="1125" t="s">
        <v>16259</v>
      </c>
      <c r="C5980" s="1126" t="s">
        <v>1814</v>
      </c>
      <c r="D5980" s="1119">
        <v>2.61</v>
      </c>
      <c r="E5980" s="1120">
        <v>0.71</v>
      </c>
      <c r="F5980" s="1121">
        <f t="shared" si="1"/>
        <v>1.89</v>
      </c>
      <c r="G5980" s="1120">
        <v>1.89</v>
      </c>
      <c r="H5980" s="1127">
        <v>0.0</v>
      </c>
      <c r="I5980" s="1127">
        <v>0.0</v>
      </c>
      <c r="J5980" s="1127">
        <v>0.0</v>
      </c>
      <c r="K5980" s="1124"/>
    </row>
    <row r="5981" ht="15.75" customHeight="1">
      <c r="A5981" s="1119">
        <v>88413.0</v>
      </c>
      <c r="B5981" s="1125" t="s">
        <v>16260</v>
      </c>
      <c r="C5981" s="1126" t="s">
        <v>1814</v>
      </c>
      <c r="D5981" s="1119">
        <v>5.29</v>
      </c>
      <c r="E5981" s="1120">
        <v>2.69</v>
      </c>
      <c r="F5981" s="1121">
        <f t="shared" si="1"/>
        <v>2.63</v>
      </c>
      <c r="G5981" s="1120">
        <v>2.63</v>
      </c>
      <c r="H5981" s="1127">
        <v>0.0</v>
      </c>
      <c r="I5981" s="1127">
        <v>0.0</v>
      </c>
      <c r="J5981" s="1127">
        <v>0.0</v>
      </c>
      <c r="K5981" s="1124"/>
    </row>
    <row r="5982" ht="15.75" customHeight="1">
      <c r="A5982" s="1119">
        <v>88414.0</v>
      </c>
      <c r="B5982" s="1125" t="s">
        <v>16261</v>
      </c>
      <c r="C5982" s="1126" t="s">
        <v>1814</v>
      </c>
      <c r="D5982" s="1119">
        <v>5.86</v>
      </c>
      <c r="E5982" s="1120">
        <v>3.08</v>
      </c>
      <c r="F5982" s="1121">
        <f t="shared" si="1"/>
        <v>2.8</v>
      </c>
      <c r="G5982" s="1120">
        <v>2.8</v>
      </c>
      <c r="H5982" s="1127">
        <v>0.0</v>
      </c>
      <c r="I5982" s="1127">
        <v>0.0</v>
      </c>
      <c r="J5982" s="1127">
        <v>0.0</v>
      </c>
      <c r="K5982" s="1124"/>
    </row>
    <row r="5983" ht="15.75" customHeight="1">
      <c r="A5983" s="1119">
        <v>88415.0</v>
      </c>
      <c r="B5983" s="1125" t="s">
        <v>16262</v>
      </c>
      <c r="C5983" s="1126" t="s">
        <v>1814</v>
      </c>
      <c r="D5983" s="1119">
        <v>3.79</v>
      </c>
      <c r="E5983" s="1120">
        <v>1.56</v>
      </c>
      <c r="F5983" s="1121">
        <f t="shared" si="1"/>
        <v>2.22</v>
      </c>
      <c r="G5983" s="1120">
        <v>2.22</v>
      </c>
      <c r="H5983" s="1127">
        <v>0.0</v>
      </c>
      <c r="I5983" s="1127">
        <v>0.0</v>
      </c>
      <c r="J5983" s="1127">
        <v>0.0</v>
      </c>
      <c r="K5983" s="1124"/>
    </row>
    <row r="5984" ht="15.75" customHeight="1">
      <c r="A5984" s="1119">
        <v>88416.0</v>
      </c>
      <c r="B5984" s="1125" t="s">
        <v>16263</v>
      </c>
      <c r="C5984" s="1126" t="s">
        <v>1814</v>
      </c>
      <c r="D5984" s="1119">
        <v>18.77</v>
      </c>
      <c r="E5984" s="1120">
        <v>4.35</v>
      </c>
      <c r="F5984" s="1121">
        <f t="shared" si="1"/>
        <v>14.42</v>
      </c>
      <c r="G5984" s="1120">
        <v>14.42</v>
      </c>
      <c r="H5984" s="1127">
        <v>0.0</v>
      </c>
      <c r="I5984" s="1127">
        <v>0.0</v>
      </c>
      <c r="J5984" s="1127">
        <v>0.0</v>
      </c>
      <c r="K5984" s="1124"/>
    </row>
    <row r="5985" ht="15.75" customHeight="1">
      <c r="A5985" s="1119">
        <v>88417.0</v>
      </c>
      <c r="B5985" s="1125" t="s">
        <v>16264</v>
      </c>
      <c r="C5985" s="1126" t="s">
        <v>1814</v>
      </c>
      <c r="D5985" s="1119">
        <v>15.6</v>
      </c>
      <c r="E5985" s="1120">
        <v>2.05</v>
      </c>
      <c r="F5985" s="1121">
        <f t="shared" si="1"/>
        <v>13.54</v>
      </c>
      <c r="G5985" s="1120">
        <v>13.54</v>
      </c>
      <c r="H5985" s="1127">
        <v>0.0</v>
      </c>
      <c r="I5985" s="1127">
        <v>0.0</v>
      </c>
      <c r="J5985" s="1127">
        <v>0.0</v>
      </c>
      <c r="K5985" s="1124"/>
    </row>
    <row r="5986" ht="15.75" customHeight="1">
      <c r="A5986" s="1119">
        <v>88420.0</v>
      </c>
      <c r="B5986" s="1125" t="s">
        <v>16265</v>
      </c>
      <c r="C5986" s="1126" t="s">
        <v>1814</v>
      </c>
      <c r="D5986" s="1119">
        <v>25.17</v>
      </c>
      <c r="E5986" s="1120">
        <v>8.98</v>
      </c>
      <c r="F5986" s="1121">
        <f t="shared" si="1"/>
        <v>16.2</v>
      </c>
      <c r="G5986" s="1120">
        <v>16.2</v>
      </c>
      <c r="H5986" s="1127">
        <v>0.0</v>
      </c>
      <c r="I5986" s="1127">
        <v>0.0</v>
      </c>
      <c r="J5986" s="1127">
        <v>0.0</v>
      </c>
      <c r="K5986" s="1124"/>
    </row>
    <row r="5987" ht="15.75" customHeight="1">
      <c r="A5987" s="1119">
        <v>88421.0</v>
      </c>
      <c r="B5987" s="1125" t="s">
        <v>16266</v>
      </c>
      <c r="C5987" s="1126" t="s">
        <v>1814</v>
      </c>
      <c r="D5987" s="1119">
        <v>27.2</v>
      </c>
      <c r="E5987" s="1120">
        <v>10.45</v>
      </c>
      <c r="F5987" s="1121">
        <f t="shared" si="1"/>
        <v>16.76</v>
      </c>
      <c r="G5987" s="1120">
        <v>16.76</v>
      </c>
      <c r="H5987" s="1127">
        <v>0.0</v>
      </c>
      <c r="I5987" s="1127">
        <v>0.0</v>
      </c>
      <c r="J5987" s="1127">
        <v>0.0</v>
      </c>
      <c r="K5987" s="1124"/>
    </row>
    <row r="5988" ht="15.75" customHeight="1">
      <c r="A5988" s="1119">
        <v>88423.0</v>
      </c>
      <c r="B5988" s="1125" t="s">
        <v>16267</v>
      </c>
      <c r="C5988" s="1126" t="s">
        <v>1814</v>
      </c>
      <c r="D5988" s="1119">
        <v>19.76</v>
      </c>
      <c r="E5988" s="1120">
        <v>5.08</v>
      </c>
      <c r="F5988" s="1121">
        <f t="shared" si="1"/>
        <v>14.69</v>
      </c>
      <c r="G5988" s="1120">
        <v>14.69</v>
      </c>
      <c r="H5988" s="1127">
        <v>0.0</v>
      </c>
      <c r="I5988" s="1127">
        <v>0.0</v>
      </c>
      <c r="J5988" s="1127">
        <v>0.0</v>
      </c>
      <c r="K5988" s="1124"/>
    </row>
    <row r="5989" ht="15.75" customHeight="1">
      <c r="A5989" s="1119">
        <v>88424.0</v>
      </c>
      <c r="B5989" s="1125" t="s">
        <v>16268</v>
      </c>
      <c r="C5989" s="1126" t="s">
        <v>1814</v>
      </c>
      <c r="D5989" s="1119">
        <v>23.13</v>
      </c>
      <c r="E5989" s="1120">
        <v>7.5</v>
      </c>
      <c r="F5989" s="1121">
        <f t="shared" si="1"/>
        <v>15.61</v>
      </c>
      <c r="G5989" s="1120">
        <v>15.61</v>
      </c>
      <c r="H5989" s="1127">
        <v>0.0</v>
      </c>
      <c r="I5989" s="1127">
        <v>0.0</v>
      </c>
      <c r="J5989" s="1127">
        <v>0.0</v>
      </c>
      <c r="K5989" s="1124"/>
    </row>
    <row r="5990" ht="15.75" customHeight="1">
      <c r="A5990" s="1119">
        <v>88426.0</v>
      </c>
      <c r="B5990" s="1125" t="s">
        <v>16269</v>
      </c>
      <c r="C5990" s="1126" t="s">
        <v>1814</v>
      </c>
      <c r="D5990" s="1119">
        <v>17.65</v>
      </c>
      <c r="E5990" s="1120">
        <v>3.55</v>
      </c>
      <c r="F5990" s="1121">
        <f t="shared" si="1"/>
        <v>14.11</v>
      </c>
      <c r="G5990" s="1120">
        <v>14.11</v>
      </c>
      <c r="H5990" s="1127">
        <v>0.0</v>
      </c>
      <c r="I5990" s="1127">
        <v>0.0</v>
      </c>
      <c r="J5990" s="1127">
        <v>0.0</v>
      </c>
      <c r="K5990" s="1124"/>
    </row>
    <row r="5991" ht="15.75" customHeight="1">
      <c r="A5991" s="1119">
        <v>88428.0</v>
      </c>
      <c r="B5991" s="1125" t="s">
        <v>16270</v>
      </c>
      <c r="C5991" s="1126" t="s">
        <v>1814</v>
      </c>
      <c r="D5991" s="1119">
        <v>34.14</v>
      </c>
      <c r="E5991" s="1120">
        <v>15.47</v>
      </c>
      <c r="F5991" s="1121">
        <f t="shared" si="1"/>
        <v>18.67</v>
      </c>
      <c r="G5991" s="1120">
        <v>18.67</v>
      </c>
      <c r="H5991" s="1127">
        <v>0.0</v>
      </c>
      <c r="I5991" s="1127">
        <v>0.0</v>
      </c>
      <c r="J5991" s="1127">
        <v>0.0</v>
      </c>
      <c r="K5991" s="1124"/>
    </row>
    <row r="5992" ht="15.75" customHeight="1">
      <c r="A5992" s="1119">
        <v>88429.0</v>
      </c>
      <c r="B5992" s="1125" t="s">
        <v>16271</v>
      </c>
      <c r="C5992" s="1126" t="s">
        <v>1814</v>
      </c>
      <c r="D5992" s="1119">
        <v>37.66</v>
      </c>
      <c r="E5992" s="1120">
        <v>17.99</v>
      </c>
      <c r="F5992" s="1121">
        <f t="shared" si="1"/>
        <v>19.67</v>
      </c>
      <c r="G5992" s="1120">
        <v>19.67</v>
      </c>
      <c r="H5992" s="1127">
        <v>0.0</v>
      </c>
      <c r="I5992" s="1127">
        <v>0.0</v>
      </c>
      <c r="J5992" s="1127">
        <v>0.0</v>
      </c>
      <c r="K5992" s="1124"/>
    </row>
    <row r="5993" ht="15.75" customHeight="1">
      <c r="A5993" s="1119">
        <v>88431.0</v>
      </c>
      <c r="B5993" s="1125" t="s">
        <v>16272</v>
      </c>
      <c r="C5993" s="1126" t="s">
        <v>1814</v>
      </c>
      <c r="D5993" s="1119">
        <v>24.85</v>
      </c>
      <c r="E5993" s="1120">
        <v>8.75</v>
      </c>
      <c r="F5993" s="1121">
        <f t="shared" si="1"/>
        <v>16.1</v>
      </c>
      <c r="G5993" s="1120">
        <v>16.1</v>
      </c>
      <c r="H5993" s="1127">
        <v>0.0</v>
      </c>
      <c r="I5993" s="1127">
        <v>0.0</v>
      </c>
      <c r="J5993" s="1127">
        <v>0.0</v>
      </c>
      <c r="K5993" s="1124"/>
    </row>
    <row r="5994" ht="15.75" customHeight="1">
      <c r="A5994" s="1119">
        <v>88432.0</v>
      </c>
      <c r="B5994" s="1125" t="s">
        <v>16273</v>
      </c>
      <c r="C5994" s="1126" t="s">
        <v>1814</v>
      </c>
      <c r="D5994" s="1119">
        <v>20.07</v>
      </c>
      <c r="E5994" s="1120">
        <v>10.82</v>
      </c>
      <c r="F5994" s="1121">
        <f t="shared" si="1"/>
        <v>9.26</v>
      </c>
      <c r="G5994" s="1120">
        <v>9.26</v>
      </c>
      <c r="H5994" s="1127">
        <v>0.0</v>
      </c>
      <c r="I5994" s="1127">
        <v>0.0</v>
      </c>
      <c r="J5994" s="1127">
        <v>0.0</v>
      </c>
      <c r="K5994" s="1124"/>
    </row>
    <row r="5995" ht="15.75" customHeight="1">
      <c r="A5995" s="1119">
        <v>88484.0</v>
      </c>
      <c r="B5995" s="1125" t="s">
        <v>16274</v>
      </c>
      <c r="C5995" s="1126" t="s">
        <v>1814</v>
      </c>
      <c r="D5995" s="1119">
        <v>5.57</v>
      </c>
      <c r="E5995" s="1120">
        <v>2.84</v>
      </c>
      <c r="F5995" s="1121">
        <f t="shared" si="1"/>
        <v>2.75</v>
      </c>
      <c r="G5995" s="1120">
        <v>2.75</v>
      </c>
      <c r="H5995" s="1127">
        <v>0.0</v>
      </c>
      <c r="I5995" s="1127">
        <v>0.0</v>
      </c>
      <c r="J5995" s="1127">
        <v>0.0</v>
      </c>
      <c r="K5995" s="1124"/>
    </row>
    <row r="5996" ht="15.75" customHeight="1">
      <c r="A5996" s="1119">
        <v>88485.0</v>
      </c>
      <c r="B5996" s="1125" t="s">
        <v>16275</v>
      </c>
      <c r="C5996" s="1126" t="s">
        <v>1814</v>
      </c>
      <c r="D5996" s="1119">
        <v>4.47</v>
      </c>
      <c r="E5996" s="1120">
        <v>2.02</v>
      </c>
      <c r="F5996" s="1121">
        <f t="shared" si="1"/>
        <v>2.46</v>
      </c>
      <c r="G5996" s="1120">
        <v>2.46</v>
      </c>
      <c r="H5996" s="1127">
        <v>0.0</v>
      </c>
      <c r="I5996" s="1127">
        <v>0.0</v>
      </c>
      <c r="J5996" s="1127">
        <v>0.0</v>
      </c>
      <c r="K5996" s="1124"/>
    </row>
    <row r="5997" ht="15.75" customHeight="1">
      <c r="A5997" s="1119">
        <v>88488.0</v>
      </c>
      <c r="B5997" s="1125" t="s">
        <v>16276</v>
      </c>
      <c r="C5997" s="1126" t="s">
        <v>1814</v>
      </c>
      <c r="D5997" s="1119">
        <v>15.84</v>
      </c>
      <c r="E5997" s="1120">
        <v>6.89</v>
      </c>
      <c r="F5997" s="1121">
        <f t="shared" si="1"/>
        <v>8.95</v>
      </c>
      <c r="G5997" s="1120">
        <v>8.95</v>
      </c>
      <c r="H5997" s="1127">
        <v>0.0</v>
      </c>
      <c r="I5997" s="1127">
        <v>0.0</v>
      </c>
      <c r="J5997" s="1127">
        <v>0.0</v>
      </c>
      <c r="K5997" s="1124"/>
    </row>
    <row r="5998" ht="15.75" customHeight="1">
      <c r="A5998" s="1119">
        <v>88489.0</v>
      </c>
      <c r="B5998" s="1125" t="s">
        <v>16277</v>
      </c>
      <c r="C5998" s="1126" t="s">
        <v>1814</v>
      </c>
      <c r="D5998" s="1119">
        <v>13.15</v>
      </c>
      <c r="E5998" s="1120">
        <v>4.95</v>
      </c>
      <c r="F5998" s="1121">
        <f t="shared" si="1"/>
        <v>8.21</v>
      </c>
      <c r="G5998" s="1120">
        <v>8.21</v>
      </c>
      <c r="H5998" s="1127">
        <v>0.0</v>
      </c>
      <c r="I5998" s="1127">
        <v>0.0</v>
      </c>
      <c r="J5998" s="1127">
        <v>0.0</v>
      </c>
      <c r="K5998" s="1124"/>
    </row>
    <row r="5999" ht="15.75" customHeight="1">
      <c r="A5999" s="1119">
        <v>88494.0</v>
      </c>
      <c r="B5999" s="1125" t="s">
        <v>16278</v>
      </c>
      <c r="C5999" s="1126" t="s">
        <v>1814</v>
      </c>
      <c r="D5999" s="1119">
        <v>24.91</v>
      </c>
      <c r="E5999" s="1120">
        <v>15.36</v>
      </c>
      <c r="F5999" s="1121">
        <f t="shared" si="1"/>
        <v>9.54</v>
      </c>
      <c r="G5999" s="1120">
        <v>9.54</v>
      </c>
      <c r="H5999" s="1127">
        <v>0.0</v>
      </c>
      <c r="I5999" s="1127">
        <v>0.0</v>
      </c>
      <c r="J5999" s="1127">
        <v>0.0</v>
      </c>
      <c r="K5999" s="1124"/>
    </row>
    <row r="6000" ht="15.75" customHeight="1">
      <c r="A6000" s="1119">
        <v>88495.0</v>
      </c>
      <c r="B6000" s="1125" t="s">
        <v>16279</v>
      </c>
      <c r="C6000" s="1126" t="s">
        <v>1814</v>
      </c>
      <c r="D6000" s="1119">
        <v>13.97</v>
      </c>
      <c r="E6000" s="1120">
        <v>7.47</v>
      </c>
      <c r="F6000" s="1121">
        <f t="shared" si="1"/>
        <v>6.53</v>
      </c>
      <c r="G6000" s="1120">
        <v>6.53</v>
      </c>
      <c r="H6000" s="1127">
        <v>0.0</v>
      </c>
      <c r="I6000" s="1127">
        <v>0.0</v>
      </c>
      <c r="J6000" s="1127">
        <v>0.0</v>
      </c>
      <c r="K6000" s="1124"/>
    </row>
    <row r="6001" ht="15.75" customHeight="1">
      <c r="A6001" s="1119">
        <v>88496.0</v>
      </c>
      <c r="B6001" s="1125" t="s">
        <v>16280</v>
      </c>
      <c r="C6001" s="1126" t="s">
        <v>1814</v>
      </c>
      <c r="D6001" s="1119">
        <v>37.94</v>
      </c>
      <c r="E6001" s="1120">
        <v>22.53</v>
      </c>
      <c r="F6001" s="1121">
        <f t="shared" si="1"/>
        <v>15.41</v>
      </c>
      <c r="G6001" s="1120">
        <v>15.41</v>
      </c>
      <c r="H6001" s="1127">
        <v>0.0</v>
      </c>
      <c r="I6001" s="1127">
        <v>0.0</v>
      </c>
      <c r="J6001" s="1127">
        <v>0.0</v>
      </c>
      <c r="K6001" s="1124"/>
    </row>
    <row r="6002" ht="15.75" customHeight="1">
      <c r="A6002" s="1119">
        <v>88497.0</v>
      </c>
      <c r="B6002" s="1125" t="s">
        <v>16281</v>
      </c>
      <c r="C6002" s="1126" t="s">
        <v>1814</v>
      </c>
      <c r="D6002" s="1119">
        <v>21.9</v>
      </c>
      <c r="E6002" s="1120">
        <v>10.97</v>
      </c>
      <c r="F6002" s="1121">
        <f t="shared" si="1"/>
        <v>10.94</v>
      </c>
      <c r="G6002" s="1120">
        <v>10.94</v>
      </c>
      <c r="H6002" s="1127">
        <v>0.0</v>
      </c>
      <c r="I6002" s="1127">
        <v>0.0</v>
      </c>
      <c r="J6002" s="1127">
        <v>0.0</v>
      </c>
      <c r="K6002" s="1124"/>
    </row>
    <row r="6003" ht="15.75" customHeight="1">
      <c r="A6003" s="1119">
        <v>95305.0</v>
      </c>
      <c r="B6003" s="1125" t="s">
        <v>16282</v>
      </c>
      <c r="C6003" s="1126" t="s">
        <v>1814</v>
      </c>
      <c r="D6003" s="1119">
        <v>13.75</v>
      </c>
      <c r="E6003" s="1120">
        <v>4.67</v>
      </c>
      <c r="F6003" s="1121">
        <f t="shared" si="1"/>
        <v>9.08</v>
      </c>
      <c r="G6003" s="1120">
        <v>9.08</v>
      </c>
      <c r="H6003" s="1127">
        <v>0.0</v>
      </c>
      <c r="I6003" s="1127">
        <v>0.0</v>
      </c>
      <c r="J6003" s="1127">
        <v>0.0</v>
      </c>
      <c r="K6003" s="1124"/>
    </row>
    <row r="6004" ht="15.75" customHeight="1">
      <c r="A6004" s="1119">
        <v>95306.0</v>
      </c>
      <c r="B6004" s="1125" t="s">
        <v>16283</v>
      </c>
      <c r="C6004" s="1126" t="s">
        <v>1814</v>
      </c>
      <c r="D6004" s="1119">
        <v>16.29</v>
      </c>
      <c r="E6004" s="1120">
        <v>6.49</v>
      </c>
      <c r="F6004" s="1121">
        <f t="shared" si="1"/>
        <v>9.79</v>
      </c>
      <c r="G6004" s="1120">
        <v>9.79</v>
      </c>
      <c r="H6004" s="1127">
        <v>0.0</v>
      </c>
      <c r="I6004" s="1127">
        <v>0.0</v>
      </c>
      <c r="J6004" s="1127">
        <v>0.0</v>
      </c>
      <c r="K6004" s="1124"/>
    </row>
    <row r="6005" ht="15.75" customHeight="1">
      <c r="A6005" s="1119">
        <v>95622.0</v>
      </c>
      <c r="B6005" s="1125" t="s">
        <v>16284</v>
      </c>
      <c r="C6005" s="1126" t="s">
        <v>1814</v>
      </c>
      <c r="D6005" s="1119">
        <v>17.86</v>
      </c>
      <c r="E6005" s="1120">
        <v>8.94</v>
      </c>
      <c r="F6005" s="1121">
        <f t="shared" si="1"/>
        <v>8.93</v>
      </c>
      <c r="G6005" s="1120">
        <v>8.93</v>
      </c>
      <c r="H6005" s="1127">
        <v>0.0</v>
      </c>
      <c r="I6005" s="1127">
        <v>0.0</v>
      </c>
      <c r="J6005" s="1127">
        <v>0.0</v>
      </c>
      <c r="K6005" s="1124"/>
    </row>
    <row r="6006" ht="15.75" customHeight="1">
      <c r="A6006" s="1119">
        <v>95623.0</v>
      </c>
      <c r="B6006" s="1125" t="s">
        <v>16285</v>
      </c>
      <c r="C6006" s="1126" t="s">
        <v>1814</v>
      </c>
      <c r="D6006" s="1119">
        <v>13.54</v>
      </c>
      <c r="E6006" s="1120">
        <v>5.81</v>
      </c>
      <c r="F6006" s="1121">
        <f t="shared" si="1"/>
        <v>7.73</v>
      </c>
      <c r="G6006" s="1120">
        <v>7.73</v>
      </c>
      <c r="H6006" s="1127">
        <v>0.0</v>
      </c>
      <c r="I6006" s="1127">
        <v>0.0</v>
      </c>
      <c r="J6006" s="1127">
        <v>0.0</v>
      </c>
      <c r="K6006" s="1124"/>
    </row>
    <row r="6007" ht="15.75" customHeight="1">
      <c r="A6007" s="1119">
        <v>95624.0</v>
      </c>
      <c r="B6007" s="1125" t="s">
        <v>16286</v>
      </c>
      <c r="C6007" s="1126" t="s">
        <v>1814</v>
      </c>
      <c r="D6007" s="1119">
        <v>26.66</v>
      </c>
      <c r="E6007" s="1120">
        <v>15.3</v>
      </c>
      <c r="F6007" s="1121">
        <f t="shared" si="1"/>
        <v>11.37</v>
      </c>
      <c r="G6007" s="1120">
        <v>11.37</v>
      </c>
      <c r="H6007" s="1127">
        <v>0.0</v>
      </c>
      <c r="I6007" s="1127">
        <v>0.0</v>
      </c>
      <c r="J6007" s="1127">
        <v>0.0</v>
      </c>
      <c r="K6007" s="1124"/>
    </row>
    <row r="6008" ht="15.75" customHeight="1">
      <c r="A6008" s="1119">
        <v>95625.0</v>
      </c>
      <c r="B6008" s="1125" t="s">
        <v>16287</v>
      </c>
      <c r="C6008" s="1126" t="s">
        <v>1814</v>
      </c>
      <c r="D6008" s="1119">
        <v>29.44</v>
      </c>
      <c r="E6008" s="1120">
        <v>17.3</v>
      </c>
      <c r="F6008" s="1121">
        <f t="shared" si="1"/>
        <v>12.14</v>
      </c>
      <c r="G6008" s="1120">
        <v>12.14</v>
      </c>
      <c r="H6008" s="1127">
        <v>0.0</v>
      </c>
      <c r="I6008" s="1127">
        <v>0.0</v>
      </c>
      <c r="J6008" s="1127">
        <v>0.0</v>
      </c>
      <c r="K6008" s="1124"/>
    </row>
    <row r="6009" ht="15.75" customHeight="1">
      <c r="A6009" s="1119">
        <v>95626.0</v>
      </c>
      <c r="B6009" s="1125" t="s">
        <v>16288</v>
      </c>
      <c r="C6009" s="1126" t="s">
        <v>1814</v>
      </c>
      <c r="D6009" s="1119">
        <v>19.27</v>
      </c>
      <c r="E6009" s="1120">
        <v>9.96</v>
      </c>
      <c r="F6009" s="1121">
        <f t="shared" si="1"/>
        <v>9.32</v>
      </c>
      <c r="G6009" s="1120">
        <v>9.32</v>
      </c>
      <c r="H6009" s="1127">
        <v>0.0</v>
      </c>
      <c r="I6009" s="1127">
        <v>0.0</v>
      </c>
      <c r="J6009" s="1127">
        <v>0.0</v>
      </c>
      <c r="K6009" s="1124"/>
    </row>
    <row r="6010" ht="15.75" customHeight="1">
      <c r="A6010" s="1119">
        <v>96126.0</v>
      </c>
      <c r="B6010" s="1125" t="s">
        <v>16289</v>
      </c>
      <c r="C6010" s="1126" t="s">
        <v>1814</v>
      </c>
      <c r="D6010" s="1119">
        <v>24.75</v>
      </c>
      <c r="E6010" s="1120">
        <v>11.16</v>
      </c>
      <c r="F6010" s="1121">
        <f t="shared" si="1"/>
        <v>13.59</v>
      </c>
      <c r="G6010" s="1120">
        <v>13.59</v>
      </c>
      <c r="H6010" s="1127">
        <v>0.0</v>
      </c>
      <c r="I6010" s="1127">
        <v>0.0</v>
      </c>
      <c r="J6010" s="1127">
        <v>0.0</v>
      </c>
      <c r="K6010" s="1124"/>
    </row>
    <row r="6011" ht="15.75" customHeight="1">
      <c r="A6011" s="1119">
        <v>96127.0</v>
      </c>
      <c r="B6011" s="1125" t="s">
        <v>16290</v>
      </c>
      <c r="C6011" s="1126" t="s">
        <v>1814</v>
      </c>
      <c r="D6011" s="1119">
        <v>19.34</v>
      </c>
      <c r="E6011" s="1120">
        <v>7.26</v>
      </c>
      <c r="F6011" s="1121">
        <f t="shared" si="1"/>
        <v>12.09</v>
      </c>
      <c r="G6011" s="1120">
        <v>12.09</v>
      </c>
      <c r="H6011" s="1127">
        <v>0.0</v>
      </c>
      <c r="I6011" s="1127">
        <v>0.0</v>
      </c>
      <c r="J6011" s="1127">
        <v>0.0</v>
      </c>
      <c r="K6011" s="1124"/>
    </row>
    <row r="6012" ht="15.75" customHeight="1">
      <c r="A6012" s="1119">
        <v>96128.0</v>
      </c>
      <c r="B6012" s="1125" t="s">
        <v>16291</v>
      </c>
      <c r="C6012" s="1126" t="s">
        <v>1814</v>
      </c>
      <c r="D6012" s="1119">
        <v>35.7</v>
      </c>
      <c r="E6012" s="1120">
        <v>19.08</v>
      </c>
      <c r="F6012" s="1121">
        <f t="shared" si="1"/>
        <v>16.63</v>
      </c>
      <c r="G6012" s="1120">
        <v>16.63</v>
      </c>
      <c r="H6012" s="1127">
        <v>0.0</v>
      </c>
      <c r="I6012" s="1127">
        <v>0.0</v>
      </c>
      <c r="J6012" s="1127">
        <v>0.0</v>
      </c>
      <c r="K6012" s="1124"/>
    </row>
    <row r="6013" ht="15.75" customHeight="1">
      <c r="A6013" s="1119">
        <v>96129.0</v>
      </c>
      <c r="B6013" s="1125" t="s">
        <v>16292</v>
      </c>
      <c r="C6013" s="1126" t="s">
        <v>1814</v>
      </c>
      <c r="D6013" s="1119">
        <v>39.19</v>
      </c>
      <c r="E6013" s="1120">
        <v>21.58</v>
      </c>
      <c r="F6013" s="1121">
        <f t="shared" si="1"/>
        <v>17.61</v>
      </c>
      <c r="G6013" s="1120">
        <v>17.61</v>
      </c>
      <c r="H6013" s="1127">
        <v>0.0</v>
      </c>
      <c r="I6013" s="1127">
        <v>0.0</v>
      </c>
      <c r="J6013" s="1127">
        <v>0.0</v>
      </c>
      <c r="K6013" s="1124"/>
    </row>
    <row r="6014" ht="15.75" customHeight="1">
      <c r="A6014" s="1119">
        <v>96130.0</v>
      </c>
      <c r="B6014" s="1125" t="s">
        <v>16293</v>
      </c>
      <c r="C6014" s="1126" t="s">
        <v>1814</v>
      </c>
      <c r="D6014" s="1119">
        <v>26.45</v>
      </c>
      <c r="E6014" s="1120">
        <v>12.38</v>
      </c>
      <c r="F6014" s="1121">
        <f t="shared" si="1"/>
        <v>14.07</v>
      </c>
      <c r="G6014" s="1120">
        <v>14.07</v>
      </c>
      <c r="H6014" s="1127">
        <v>0.0</v>
      </c>
      <c r="I6014" s="1127">
        <v>0.0</v>
      </c>
      <c r="J6014" s="1127">
        <v>0.0</v>
      </c>
      <c r="K6014" s="1124"/>
    </row>
    <row r="6015" ht="15.75" customHeight="1">
      <c r="A6015" s="1119">
        <v>96131.0</v>
      </c>
      <c r="B6015" s="1125" t="s">
        <v>16294</v>
      </c>
      <c r="C6015" s="1126" t="s">
        <v>1814</v>
      </c>
      <c r="D6015" s="1119">
        <v>34.41</v>
      </c>
      <c r="E6015" s="1120">
        <v>14.84</v>
      </c>
      <c r="F6015" s="1121">
        <f t="shared" si="1"/>
        <v>19.57</v>
      </c>
      <c r="G6015" s="1120">
        <v>19.57</v>
      </c>
      <c r="H6015" s="1127">
        <v>0.0</v>
      </c>
      <c r="I6015" s="1127">
        <v>0.0</v>
      </c>
      <c r="J6015" s="1127">
        <v>0.0</v>
      </c>
      <c r="K6015" s="1124"/>
    </row>
    <row r="6016" ht="15.75" customHeight="1">
      <c r="A6016" s="1119">
        <v>96132.0</v>
      </c>
      <c r="B6016" s="1125" t="s">
        <v>16295</v>
      </c>
      <c r="C6016" s="1126" t="s">
        <v>1814</v>
      </c>
      <c r="D6016" s="1119">
        <v>27.2</v>
      </c>
      <c r="E6016" s="1120">
        <v>9.63</v>
      </c>
      <c r="F6016" s="1121">
        <f t="shared" si="1"/>
        <v>17.58</v>
      </c>
      <c r="G6016" s="1120">
        <v>17.58</v>
      </c>
      <c r="H6016" s="1127">
        <v>0.0</v>
      </c>
      <c r="I6016" s="1127">
        <v>0.0</v>
      </c>
      <c r="J6016" s="1127">
        <v>0.0</v>
      </c>
      <c r="K6016" s="1124"/>
    </row>
    <row r="6017" ht="15.75" customHeight="1">
      <c r="A6017" s="1119">
        <v>96133.0</v>
      </c>
      <c r="B6017" s="1125" t="s">
        <v>16296</v>
      </c>
      <c r="C6017" s="1126" t="s">
        <v>1814</v>
      </c>
      <c r="D6017" s="1119">
        <v>48.98</v>
      </c>
      <c r="E6017" s="1120">
        <v>25.37</v>
      </c>
      <c r="F6017" s="1121">
        <f t="shared" si="1"/>
        <v>23.62</v>
      </c>
      <c r="G6017" s="1120">
        <v>23.62</v>
      </c>
      <c r="H6017" s="1127">
        <v>0.0</v>
      </c>
      <c r="I6017" s="1127">
        <v>0.0</v>
      </c>
      <c r="J6017" s="1127">
        <v>0.0</v>
      </c>
      <c r="K6017" s="1124"/>
    </row>
    <row r="6018" ht="15.75" customHeight="1">
      <c r="A6018" s="1119">
        <v>96134.0</v>
      </c>
      <c r="B6018" s="1125" t="s">
        <v>16297</v>
      </c>
      <c r="C6018" s="1126" t="s">
        <v>1814</v>
      </c>
      <c r="D6018" s="1119">
        <v>53.61</v>
      </c>
      <c r="E6018" s="1120">
        <v>28.72</v>
      </c>
      <c r="F6018" s="1121">
        <f t="shared" si="1"/>
        <v>24.91</v>
      </c>
      <c r="G6018" s="1120">
        <v>24.91</v>
      </c>
      <c r="H6018" s="1127">
        <v>0.0</v>
      </c>
      <c r="I6018" s="1127">
        <v>0.0</v>
      </c>
      <c r="J6018" s="1127">
        <v>0.0</v>
      </c>
      <c r="K6018" s="1124"/>
    </row>
    <row r="6019" ht="15.75" customHeight="1">
      <c r="A6019" s="1119">
        <v>96135.0</v>
      </c>
      <c r="B6019" s="1125" t="s">
        <v>16298</v>
      </c>
      <c r="C6019" s="1126" t="s">
        <v>1814</v>
      </c>
      <c r="D6019" s="1119">
        <v>36.71</v>
      </c>
      <c r="E6019" s="1120">
        <v>16.5</v>
      </c>
      <c r="F6019" s="1121">
        <f t="shared" si="1"/>
        <v>20.21</v>
      </c>
      <c r="G6019" s="1120">
        <v>20.21</v>
      </c>
      <c r="H6019" s="1127">
        <v>0.0</v>
      </c>
      <c r="I6019" s="1127">
        <v>0.0</v>
      </c>
      <c r="J6019" s="1127">
        <v>0.0</v>
      </c>
      <c r="K6019" s="1124"/>
    </row>
    <row r="6020" ht="15.75" customHeight="1">
      <c r="A6020" s="1119">
        <v>104639.0</v>
      </c>
      <c r="B6020" s="1125" t="s">
        <v>16299</v>
      </c>
      <c r="C6020" s="1126" t="s">
        <v>1814</v>
      </c>
      <c r="D6020" s="1119">
        <v>12.62</v>
      </c>
      <c r="E6020" s="1120">
        <v>6.91</v>
      </c>
      <c r="F6020" s="1121">
        <f t="shared" si="1"/>
        <v>5.71</v>
      </c>
      <c r="G6020" s="1120">
        <v>5.71</v>
      </c>
      <c r="H6020" s="1127">
        <v>0.0</v>
      </c>
      <c r="I6020" s="1127">
        <v>0.0</v>
      </c>
      <c r="J6020" s="1127">
        <v>0.0</v>
      </c>
      <c r="K6020" s="1124"/>
    </row>
    <row r="6021" ht="15.75" customHeight="1">
      <c r="A6021" s="1119">
        <v>104640.0</v>
      </c>
      <c r="B6021" s="1125" t="s">
        <v>16300</v>
      </c>
      <c r="C6021" s="1126" t="s">
        <v>1814</v>
      </c>
      <c r="D6021" s="1119">
        <v>13.81</v>
      </c>
      <c r="E6021" s="1120">
        <v>6.89</v>
      </c>
      <c r="F6021" s="1121">
        <f t="shared" si="1"/>
        <v>6.92</v>
      </c>
      <c r="G6021" s="1120">
        <v>6.92</v>
      </c>
      <c r="H6021" s="1127">
        <v>0.0</v>
      </c>
      <c r="I6021" s="1127">
        <v>0.0</v>
      </c>
      <c r="J6021" s="1127">
        <v>0.0</v>
      </c>
      <c r="K6021" s="1124"/>
    </row>
    <row r="6022" ht="15.75" customHeight="1">
      <c r="A6022" s="1119">
        <v>104641.0</v>
      </c>
      <c r="B6022" s="1125" t="s">
        <v>16301</v>
      </c>
      <c r="C6022" s="1126" t="s">
        <v>1814</v>
      </c>
      <c r="D6022" s="1119">
        <v>9.93</v>
      </c>
      <c r="E6022" s="1120">
        <v>4.95</v>
      </c>
      <c r="F6022" s="1121">
        <f t="shared" si="1"/>
        <v>4.98</v>
      </c>
      <c r="G6022" s="1120">
        <v>4.98</v>
      </c>
      <c r="H6022" s="1127">
        <v>0.0</v>
      </c>
      <c r="I6022" s="1127">
        <v>0.0</v>
      </c>
      <c r="J6022" s="1127">
        <v>0.0</v>
      </c>
      <c r="K6022" s="1124"/>
    </row>
    <row r="6023" ht="15.75" customHeight="1">
      <c r="A6023" s="1119">
        <v>104642.0</v>
      </c>
      <c r="B6023" s="1125" t="s">
        <v>16302</v>
      </c>
      <c r="C6023" s="1126" t="s">
        <v>1814</v>
      </c>
      <c r="D6023" s="1119">
        <v>11.12</v>
      </c>
      <c r="E6023" s="1120">
        <v>4.95</v>
      </c>
      <c r="F6023" s="1121">
        <f t="shared" si="1"/>
        <v>6.18</v>
      </c>
      <c r="G6023" s="1120">
        <v>6.18</v>
      </c>
      <c r="H6023" s="1127">
        <v>0.0</v>
      </c>
      <c r="I6023" s="1127">
        <v>0.0</v>
      </c>
      <c r="J6023" s="1127">
        <v>0.0</v>
      </c>
      <c r="K6023" s="1124"/>
    </row>
    <row r="6024" ht="15.75" customHeight="1">
      <c r="A6024" s="1119">
        <v>102193.0</v>
      </c>
      <c r="B6024" s="1125" t="s">
        <v>16303</v>
      </c>
      <c r="C6024" s="1126" t="s">
        <v>1814</v>
      </c>
      <c r="D6024" s="1119">
        <v>2.48</v>
      </c>
      <c r="E6024" s="1120">
        <v>1.34</v>
      </c>
      <c r="F6024" s="1121">
        <f t="shared" si="1"/>
        <v>1.16</v>
      </c>
      <c r="G6024" s="1120">
        <v>1.16</v>
      </c>
      <c r="H6024" s="1127">
        <v>0.0</v>
      </c>
      <c r="I6024" s="1127">
        <v>0.0</v>
      </c>
      <c r="J6024" s="1127">
        <v>0.0</v>
      </c>
      <c r="K6024" s="1124"/>
    </row>
    <row r="6025" ht="15.75" customHeight="1">
      <c r="A6025" s="1119">
        <v>102194.0</v>
      </c>
      <c r="B6025" s="1125" t="s">
        <v>16304</v>
      </c>
      <c r="C6025" s="1126" t="s">
        <v>1814</v>
      </c>
      <c r="D6025" s="1119">
        <v>9.62</v>
      </c>
      <c r="E6025" s="1120">
        <v>6.42</v>
      </c>
      <c r="F6025" s="1121">
        <f t="shared" si="1"/>
        <v>3.2</v>
      </c>
      <c r="G6025" s="1120">
        <v>3.2</v>
      </c>
      <c r="H6025" s="1127">
        <v>0.0</v>
      </c>
      <c r="I6025" s="1127">
        <v>0.0</v>
      </c>
      <c r="J6025" s="1127">
        <v>0.0</v>
      </c>
      <c r="K6025" s="1124"/>
    </row>
    <row r="6026" ht="15.75" customHeight="1">
      <c r="A6026" s="1119">
        <v>102197.0</v>
      </c>
      <c r="B6026" s="1125" t="s">
        <v>16305</v>
      </c>
      <c r="C6026" s="1126" t="s">
        <v>1814</v>
      </c>
      <c r="D6026" s="1119">
        <v>34.7</v>
      </c>
      <c r="E6026" s="1120">
        <v>6.87</v>
      </c>
      <c r="F6026" s="1121">
        <f t="shared" si="1"/>
        <v>27.83</v>
      </c>
      <c r="G6026" s="1120">
        <v>27.83</v>
      </c>
      <c r="H6026" s="1127">
        <v>0.0</v>
      </c>
      <c r="I6026" s="1127">
        <v>0.0</v>
      </c>
      <c r="J6026" s="1127">
        <v>0.0</v>
      </c>
      <c r="K6026" s="1124"/>
    </row>
    <row r="6027" ht="15.75" customHeight="1">
      <c r="A6027" s="1119">
        <v>102200.0</v>
      </c>
      <c r="B6027" s="1125" t="s">
        <v>16306</v>
      </c>
      <c r="C6027" s="1126" t="s">
        <v>1814</v>
      </c>
      <c r="D6027" s="1119">
        <v>26.36</v>
      </c>
      <c r="E6027" s="1120">
        <v>9.01</v>
      </c>
      <c r="F6027" s="1121">
        <f t="shared" si="1"/>
        <v>17.36</v>
      </c>
      <c r="G6027" s="1120">
        <v>17.36</v>
      </c>
      <c r="H6027" s="1127">
        <v>0.0</v>
      </c>
      <c r="I6027" s="1127">
        <v>0.0</v>
      </c>
      <c r="J6027" s="1127">
        <v>0.0</v>
      </c>
      <c r="K6027" s="1124"/>
    </row>
    <row r="6028" ht="15.75" customHeight="1">
      <c r="A6028" s="1119">
        <v>102201.0</v>
      </c>
      <c r="B6028" s="1125" t="s">
        <v>16307</v>
      </c>
      <c r="C6028" s="1126" t="s">
        <v>1814</v>
      </c>
      <c r="D6028" s="1119">
        <v>23.5</v>
      </c>
      <c r="E6028" s="1120">
        <v>11.08</v>
      </c>
      <c r="F6028" s="1121">
        <f t="shared" si="1"/>
        <v>12.42</v>
      </c>
      <c r="G6028" s="1120">
        <v>12.42</v>
      </c>
      <c r="H6028" s="1127">
        <v>0.0</v>
      </c>
      <c r="I6028" s="1127">
        <v>0.0</v>
      </c>
      <c r="J6028" s="1127">
        <v>0.0</v>
      </c>
      <c r="K6028" s="1124"/>
    </row>
    <row r="6029" ht="15.75" customHeight="1">
      <c r="A6029" s="1119">
        <v>102202.0</v>
      </c>
      <c r="B6029" s="1125" t="s">
        <v>16308</v>
      </c>
      <c r="C6029" s="1126" t="s">
        <v>1814</v>
      </c>
      <c r="D6029" s="1119">
        <v>67.54</v>
      </c>
      <c r="E6029" s="1120">
        <v>9.0</v>
      </c>
      <c r="F6029" s="1121">
        <f t="shared" si="1"/>
        <v>58.55</v>
      </c>
      <c r="G6029" s="1120">
        <v>58.55</v>
      </c>
      <c r="H6029" s="1127">
        <v>0.0</v>
      </c>
      <c r="I6029" s="1127">
        <v>0.0</v>
      </c>
      <c r="J6029" s="1127">
        <v>0.0</v>
      </c>
      <c r="K6029" s="1124"/>
    </row>
    <row r="6030" ht="15.75" customHeight="1">
      <c r="A6030" s="1119">
        <v>102203.0</v>
      </c>
      <c r="B6030" s="1125" t="s">
        <v>16309</v>
      </c>
      <c r="C6030" s="1126" t="s">
        <v>1814</v>
      </c>
      <c r="D6030" s="1119">
        <v>11.16</v>
      </c>
      <c r="E6030" s="1120">
        <v>5.8</v>
      </c>
      <c r="F6030" s="1121">
        <f t="shared" si="1"/>
        <v>5.38</v>
      </c>
      <c r="G6030" s="1120">
        <v>5.38</v>
      </c>
      <c r="H6030" s="1127">
        <v>0.0</v>
      </c>
      <c r="I6030" s="1127">
        <v>0.0</v>
      </c>
      <c r="J6030" s="1127">
        <v>0.0</v>
      </c>
      <c r="K6030" s="1124"/>
    </row>
    <row r="6031" ht="15.75" customHeight="1">
      <c r="A6031" s="1119">
        <v>102204.0</v>
      </c>
      <c r="B6031" s="1125" t="s">
        <v>16310</v>
      </c>
      <c r="C6031" s="1126" t="s">
        <v>1814</v>
      </c>
      <c r="D6031" s="1119">
        <v>11.46</v>
      </c>
      <c r="E6031" s="1120">
        <v>5.8</v>
      </c>
      <c r="F6031" s="1121">
        <f t="shared" si="1"/>
        <v>5.68</v>
      </c>
      <c r="G6031" s="1120">
        <v>5.68</v>
      </c>
      <c r="H6031" s="1127">
        <v>0.0</v>
      </c>
      <c r="I6031" s="1127">
        <v>0.0</v>
      </c>
      <c r="J6031" s="1127">
        <v>0.0</v>
      </c>
      <c r="K6031" s="1124"/>
    </row>
    <row r="6032" ht="15.75" customHeight="1">
      <c r="A6032" s="1119">
        <v>102205.0</v>
      </c>
      <c r="B6032" s="1125" t="s">
        <v>16311</v>
      </c>
      <c r="C6032" s="1126" t="s">
        <v>1814</v>
      </c>
      <c r="D6032" s="1119">
        <v>10.5</v>
      </c>
      <c r="E6032" s="1120">
        <v>5.8</v>
      </c>
      <c r="F6032" s="1121">
        <f t="shared" si="1"/>
        <v>4.7</v>
      </c>
      <c r="G6032" s="1120">
        <v>4.7</v>
      </c>
      <c r="H6032" s="1127">
        <v>0.0</v>
      </c>
      <c r="I6032" s="1127">
        <v>0.0</v>
      </c>
      <c r="J6032" s="1127">
        <v>0.0</v>
      </c>
      <c r="K6032" s="1124"/>
    </row>
    <row r="6033" ht="15.75" customHeight="1">
      <c r="A6033" s="1119">
        <v>102207.0</v>
      </c>
      <c r="B6033" s="1125" t="s">
        <v>16312</v>
      </c>
      <c r="C6033" s="1126" t="s">
        <v>1814</v>
      </c>
      <c r="D6033" s="1119">
        <v>9.44</v>
      </c>
      <c r="E6033" s="1120">
        <v>4.67</v>
      </c>
      <c r="F6033" s="1121">
        <f t="shared" si="1"/>
        <v>4.76</v>
      </c>
      <c r="G6033" s="1120">
        <v>4.76</v>
      </c>
      <c r="H6033" s="1127">
        <v>0.0</v>
      </c>
      <c r="I6033" s="1127">
        <v>0.0</v>
      </c>
      <c r="J6033" s="1127">
        <v>0.0</v>
      </c>
      <c r="K6033" s="1124"/>
    </row>
    <row r="6034" ht="15.75" customHeight="1">
      <c r="A6034" s="1119">
        <v>102208.0</v>
      </c>
      <c r="B6034" s="1125" t="s">
        <v>16313</v>
      </c>
      <c r="C6034" s="1126" t="s">
        <v>1814</v>
      </c>
      <c r="D6034" s="1119">
        <v>9.05</v>
      </c>
      <c r="E6034" s="1120">
        <v>4.69</v>
      </c>
      <c r="F6034" s="1121">
        <f t="shared" si="1"/>
        <v>4.37</v>
      </c>
      <c r="G6034" s="1120">
        <v>4.37</v>
      </c>
      <c r="H6034" s="1127">
        <v>0.0</v>
      </c>
      <c r="I6034" s="1127">
        <v>0.0</v>
      </c>
      <c r="J6034" s="1127">
        <v>0.0</v>
      </c>
      <c r="K6034" s="1124"/>
    </row>
    <row r="6035" ht="15.75" customHeight="1">
      <c r="A6035" s="1119">
        <v>102209.0</v>
      </c>
      <c r="B6035" s="1125" t="s">
        <v>16314</v>
      </c>
      <c r="C6035" s="1126" t="s">
        <v>1814</v>
      </c>
      <c r="D6035" s="1119">
        <v>9.3</v>
      </c>
      <c r="E6035" s="1120">
        <v>4.69</v>
      </c>
      <c r="F6035" s="1121">
        <f t="shared" si="1"/>
        <v>4.62</v>
      </c>
      <c r="G6035" s="1120">
        <v>4.62</v>
      </c>
      <c r="H6035" s="1127">
        <v>0.0</v>
      </c>
      <c r="I6035" s="1127">
        <v>0.0</v>
      </c>
      <c r="J6035" s="1127">
        <v>0.0</v>
      </c>
      <c r="K6035" s="1124"/>
    </row>
    <row r="6036" ht="15.75" customHeight="1">
      <c r="A6036" s="1119">
        <v>102210.0</v>
      </c>
      <c r="B6036" s="1125" t="s">
        <v>16315</v>
      </c>
      <c r="C6036" s="1126" t="s">
        <v>1814</v>
      </c>
      <c r="D6036" s="1119">
        <v>8.92</v>
      </c>
      <c r="E6036" s="1120">
        <v>4.69</v>
      </c>
      <c r="F6036" s="1121">
        <f t="shared" si="1"/>
        <v>4.24</v>
      </c>
      <c r="G6036" s="1120">
        <v>4.24</v>
      </c>
      <c r="H6036" s="1127">
        <v>0.0</v>
      </c>
      <c r="I6036" s="1127">
        <v>0.0</v>
      </c>
      <c r="J6036" s="1127">
        <v>0.0</v>
      </c>
      <c r="K6036" s="1124"/>
    </row>
    <row r="6037" ht="15.75" customHeight="1">
      <c r="A6037" s="1119">
        <v>102213.0</v>
      </c>
      <c r="B6037" s="1125" t="s">
        <v>16316</v>
      </c>
      <c r="C6037" s="1126" t="s">
        <v>1814</v>
      </c>
      <c r="D6037" s="1119">
        <v>22.35</v>
      </c>
      <c r="E6037" s="1120">
        <v>11.58</v>
      </c>
      <c r="F6037" s="1121">
        <f t="shared" si="1"/>
        <v>10.78</v>
      </c>
      <c r="G6037" s="1120">
        <v>10.78</v>
      </c>
      <c r="H6037" s="1127">
        <v>0.0</v>
      </c>
      <c r="I6037" s="1127">
        <v>0.0</v>
      </c>
      <c r="J6037" s="1127">
        <v>0.0</v>
      </c>
      <c r="K6037" s="1124"/>
    </row>
    <row r="6038" ht="15.75" customHeight="1">
      <c r="A6038" s="1119">
        <v>102214.0</v>
      </c>
      <c r="B6038" s="1125" t="s">
        <v>16317</v>
      </c>
      <c r="C6038" s="1126" t="s">
        <v>1814</v>
      </c>
      <c r="D6038" s="1119">
        <v>22.94</v>
      </c>
      <c r="E6038" s="1120">
        <v>11.58</v>
      </c>
      <c r="F6038" s="1121">
        <f t="shared" si="1"/>
        <v>11.37</v>
      </c>
      <c r="G6038" s="1120">
        <v>11.37</v>
      </c>
      <c r="H6038" s="1127">
        <v>0.0</v>
      </c>
      <c r="I6038" s="1127">
        <v>0.0</v>
      </c>
      <c r="J6038" s="1127">
        <v>0.0</v>
      </c>
      <c r="K6038" s="1124"/>
    </row>
    <row r="6039" ht="15.75" customHeight="1">
      <c r="A6039" s="1119">
        <v>102215.0</v>
      </c>
      <c r="B6039" s="1125" t="s">
        <v>16318</v>
      </c>
      <c r="C6039" s="1126" t="s">
        <v>1814</v>
      </c>
      <c r="D6039" s="1119">
        <v>21.04</v>
      </c>
      <c r="E6039" s="1120">
        <v>11.58</v>
      </c>
      <c r="F6039" s="1121">
        <f t="shared" si="1"/>
        <v>9.46</v>
      </c>
      <c r="G6039" s="1120">
        <v>9.46</v>
      </c>
      <c r="H6039" s="1127">
        <v>0.0</v>
      </c>
      <c r="I6039" s="1127">
        <v>0.0</v>
      </c>
      <c r="J6039" s="1127">
        <v>0.0</v>
      </c>
      <c r="K6039" s="1124"/>
    </row>
    <row r="6040" ht="15.75" customHeight="1">
      <c r="A6040" s="1119">
        <v>102217.0</v>
      </c>
      <c r="B6040" s="1125" t="s">
        <v>16319</v>
      </c>
      <c r="C6040" s="1126" t="s">
        <v>1814</v>
      </c>
      <c r="D6040" s="1119">
        <v>18.9</v>
      </c>
      <c r="E6040" s="1120">
        <v>9.33</v>
      </c>
      <c r="F6040" s="1121">
        <f t="shared" si="1"/>
        <v>9.57</v>
      </c>
      <c r="G6040" s="1120">
        <v>9.57</v>
      </c>
      <c r="H6040" s="1127">
        <v>0.0</v>
      </c>
      <c r="I6040" s="1127">
        <v>0.0</v>
      </c>
      <c r="J6040" s="1127">
        <v>0.0</v>
      </c>
      <c r="K6040" s="1124"/>
    </row>
    <row r="6041" ht="15.75" customHeight="1">
      <c r="A6041" s="1119">
        <v>102218.0</v>
      </c>
      <c r="B6041" s="1125" t="s">
        <v>16320</v>
      </c>
      <c r="C6041" s="1126" t="s">
        <v>1814</v>
      </c>
      <c r="D6041" s="1119">
        <v>18.09</v>
      </c>
      <c r="E6041" s="1120">
        <v>9.35</v>
      </c>
      <c r="F6041" s="1121">
        <f t="shared" si="1"/>
        <v>8.76</v>
      </c>
      <c r="G6041" s="1120">
        <v>8.76</v>
      </c>
      <c r="H6041" s="1127">
        <v>0.0</v>
      </c>
      <c r="I6041" s="1127">
        <v>0.0</v>
      </c>
      <c r="J6041" s="1127">
        <v>0.0</v>
      </c>
      <c r="K6041" s="1124"/>
    </row>
    <row r="6042" ht="15.75" customHeight="1">
      <c r="A6042" s="1119">
        <v>102219.0</v>
      </c>
      <c r="B6042" s="1125" t="s">
        <v>16321</v>
      </c>
      <c r="C6042" s="1126" t="s">
        <v>1814</v>
      </c>
      <c r="D6042" s="1119">
        <v>18.61</v>
      </c>
      <c r="E6042" s="1120">
        <v>9.35</v>
      </c>
      <c r="F6042" s="1121">
        <f t="shared" si="1"/>
        <v>9.28</v>
      </c>
      <c r="G6042" s="1120">
        <v>9.28</v>
      </c>
      <c r="H6042" s="1127">
        <v>0.0</v>
      </c>
      <c r="I6042" s="1127">
        <v>0.0</v>
      </c>
      <c r="J6042" s="1127">
        <v>0.0</v>
      </c>
      <c r="K6042" s="1124"/>
    </row>
    <row r="6043" ht="15.75" customHeight="1">
      <c r="A6043" s="1119">
        <v>102220.0</v>
      </c>
      <c r="B6043" s="1125" t="s">
        <v>16322</v>
      </c>
      <c r="C6043" s="1126" t="s">
        <v>1814</v>
      </c>
      <c r="D6043" s="1119">
        <v>17.84</v>
      </c>
      <c r="E6043" s="1120">
        <v>9.35</v>
      </c>
      <c r="F6043" s="1121">
        <f t="shared" si="1"/>
        <v>8.51</v>
      </c>
      <c r="G6043" s="1120">
        <v>8.51</v>
      </c>
      <c r="H6043" s="1127">
        <v>0.0</v>
      </c>
      <c r="I6043" s="1127">
        <v>0.0</v>
      </c>
      <c r="J6043" s="1127">
        <v>0.0</v>
      </c>
      <c r="K6043" s="1124"/>
    </row>
    <row r="6044" ht="15.75" customHeight="1">
      <c r="A6044" s="1119">
        <v>102223.0</v>
      </c>
      <c r="B6044" s="1125" t="s">
        <v>16323</v>
      </c>
      <c r="C6044" s="1126" t="s">
        <v>1814</v>
      </c>
      <c r="D6044" s="1119">
        <v>33.53</v>
      </c>
      <c r="E6044" s="1120">
        <v>17.37</v>
      </c>
      <c r="F6044" s="1121">
        <f t="shared" si="1"/>
        <v>16.17</v>
      </c>
      <c r="G6044" s="1120">
        <v>16.17</v>
      </c>
      <c r="H6044" s="1127">
        <v>0.0</v>
      </c>
      <c r="I6044" s="1127">
        <v>0.0</v>
      </c>
      <c r="J6044" s="1127">
        <v>0.0</v>
      </c>
      <c r="K6044" s="1124"/>
    </row>
    <row r="6045" ht="15.75" customHeight="1">
      <c r="A6045" s="1119">
        <v>102224.0</v>
      </c>
      <c r="B6045" s="1125" t="s">
        <v>16324</v>
      </c>
      <c r="C6045" s="1126" t="s">
        <v>1814</v>
      </c>
      <c r="D6045" s="1119">
        <v>34.43</v>
      </c>
      <c r="E6045" s="1120">
        <v>17.37</v>
      </c>
      <c r="F6045" s="1121">
        <f t="shared" si="1"/>
        <v>17.07</v>
      </c>
      <c r="G6045" s="1120">
        <v>17.07</v>
      </c>
      <c r="H6045" s="1127">
        <v>0.0</v>
      </c>
      <c r="I6045" s="1127">
        <v>0.0</v>
      </c>
      <c r="J6045" s="1127">
        <v>0.0</v>
      </c>
      <c r="K6045" s="1124"/>
    </row>
    <row r="6046" ht="15.75" customHeight="1">
      <c r="A6046" s="1119">
        <v>102225.0</v>
      </c>
      <c r="B6046" s="1125" t="s">
        <v>16325</v>
      </c>
      <c r="C6046" s="1126" t="s">
        <v>1814</v>
      </c>
      <c r="D6046" s="1119">
        <v>31.55</v>
      </c>
      <c r="E6046" s="1120">
        <v>17.37</v>
      </c>
      <c r="F6046" s="1121">
        <f t="shared" si="1"/>
        <v>14.18</v>
      </c>
      <c r="G6046" s="1120">
        <v>14.18</v>
      </c>
      <c r="H6046" s="1127">
        <v>0.0</v>
      </c>
      <c r="I6046" s="1127">
        <v>0.0</v>
      </c>
      <c r="J6046" s="1127">
        <v>0.0</v>
      </c>
      <c r="K6046" s="1124"/>
    </row>
    <row r="6047" ht="15.75" customHeight="1">
      <c r="A6047" s="1119">
        <v>102227.0</v>
      </c>
      <c r="B6047" s="1125" t="s">
        <v>16326</v>
      </c>
      <c r="C6047" s="1126" t="s">
        <v>1814</v>
      </c>
      <c r="D6047" s="1119">
        <v>28.36</v>
      </c>
      <c r="E6047" s="1120">
        <v>14.0</v>
      </c>
      <c r="F6047" s="1121">
        <f t="shared" si="1"/>
        <v>14.36</v>
      </c>
      <c r="G6047" s="1120">
        <v>14.36</v>
      </c>
      <c r="H6047" s="1127">
        <v>0.0</v>
      </c>
      <c r="I6047" s="1127">
        <v>0.0</v>
      </c>
      <c r="J6047" s="1127">
        <v>0.0</v>
      </c>
      <c r="K6047" s="1124"/>
    </row>
    <row r="6048" ht="15.75" customHeight="1">
      <c r="A6048" s="1119">
        <v>102228.0</v>
      </c>
      <c r="B6048" s="1125" t="s">
        <v>16327</v>
      </c>
      <c r="C6048" s="1126" t="s">
        <v>1814</v>
      </c>
      <c r="D6048" s="1119">
        <v>27.16</v>
      </c>
      <c r="E6048" s="1120">
        <v>14.01</v>
      </c>
      <c r="F6048" s="1121">
        <f t="shared" si="1"/>
        <v>13.16</v>
      </c>
      <c r="G6048" s="1120">
        <v>13.16</v>
      </c>
      <c r="H6048" s="1127">
        <v>0.0</v>
      </c>
      <c r="I6048" s="1127">
        <v>0.0</v>
      </c>
      <c r="J6048" s="1127">
        <v>0.0</v>
      </c>
      <c r="K6048" s="1124"/>
    </row>
    <row r="6049" ht="15.75" customHeight="1">
      <c r="A6049" s="1119">
        <v>102229.0</v>
      </c>
      <c r="B6049" s="1125" t="s">
        <v>16328</v>
      </c>
      <c r="C6049" s="1126" t="s">
        <v>1814</v>
      </c>
      <c r="D6049" s="1119">
        <v>27.92</v>
      </c>
      <c r="E6049" s="1120">
        <v>14.01</v>
      </c>
      <c r="F6049" s="1121">
        <f t="shared" si="1"/>
        <v>13.92</v>
      </c>
      <c r="G6049" s="1120">
        <v>13.92</v>
      </c>
      <c r="H6049" s="1127">
        <v>0.0</v>
      </c>
      <c r="I6049" s="1127">
        <v>0.0</v>
      </c>
      <c r="J6049" s="1127">
        <v>0.0</v>
      </c>
      <c r="K6049" s="1124"/>
    </row>
    <row r="6050" ht="15.75" customHeight="1">
      <c r="A6050" s="1119">
        <v>102230.0</v>
      </c>
      <c r="B6050" s="1125" t="s">
        <v>16329</v>
      </c>
      <c r="C6050" s="1126" t="s">
        <v>1814</v>
      </c>
      <c r="D6050" s="1119">
        <v>26.76</v>
      </c>
      <c r="E6050" s="1120">
        <v>14.01</v>
      </c>
      <c r="F6050" s="1121">
        <f t="shared" si="1"/>
        <v>12.76</v>
      </c>
      <c r="G6050" s="1120">
        <v>12.76</v>
      </c>
      <c r="H6050" s="1127">
        <v>0.0</v>
      </c>
      <c r="I6050" s="1127">
        <v>0.0</v>
      </c>
      <c r="J6050" s="1127">
        <v>0.0</v>
      </c>
      <c r="K6050" s="1124"/>
    </row>
    <row r="6051" ht="15.75" customHeight="1">
      <c r="A6051" s="1119">
        <v>102233.0</v>
      </c>
      <c r="B6051" s="1125" t="s">
        <v>16330</v>
      </c>
      <c r="C6051" s="1126" t="s">
        <v>1814</v>
      </c>
      <c r="D6051" s="1119">
        <v>12.25</v>
      </c>
      <c r="E6051" s="1120">
        <v>5.55</v>
      </c>
      <c r="F6051" s="1121">
        <f t="shared" si="1"/>
        <v>6.69</v>
      </c>
      <c r="G6051" s="1120">
        <v>6.69</v>
      </c>
      <c r="H6051" s="1127">
        <v>0.0</v>
      </c>
      <c r="I6051" s="1127">
        <v>0.0</v>
      </c>
      <c r="J6051" s="1127">
        <v>0.0</v>
      </c>
      <c r="K6051" s="1124"/>
    </row>
    <row r="6052" ht="15.75" customHeight="1">
      <c r="A6052" s="1119">
        <v>102234.0</v>
      </c>
      <c r="B6052" s="1125" t="s">
        <v>16331</v>
      </c>
      <c r="C6052" s="1126" t="s">
        <v>1814</v>
      </c>
      <c r="D6052" s="1119">
        <v>24.51</v>
      </c>
      <c r="E6052" s="1120">
        <v>11.1</v>
      </c>
      <c r="F6052" s="1121">
        <f t="shared" si="1"/>
        <v>13.41</v>
      </c>
      <c r="G6052" s="1120">
        <v>13.41</v>
      </c>
      <c r="H6052" s="1127">
        <v>0.0</v>
      </c>
      <c r="I6052" s="1127">
        <v>0.0</v>
      </c>
      <c r="J6052" s="1127">
        <v>0.0</v>
      </c>
      <c r="K6052" s="1124"/>
    </row>
    <row r="6053" ht="15.75" customHeight="1">
      <c r="A6053" s="1119">
        <v>100716.0</v>
      </c>
      <c r="B6053" s="1125" t="s">
        <v>16332</v>
      </c>
      <c r="C6053" s="1126" t="s">
        <v>1814</v>
      </c>
      <c r="D6053" s="1119">
        <v>27.57</v>
      </c>
      <c r="E6053" s="1120">
        <v>3.31</v>
      </c>
      <c r="F6053" s="1121">
        <f t="shared" si="1"/>
        <v>24.25</v>
      </c>
      <c r="G6053" s="1120">
        <v>23.76</v>
      </c>
      <c r="H6053" s="1127">
        <v>0.49</v>
      </c>
      <c r="I6053" s="1127">
        <v>0.0</v>
      </c>
      <c r="J6053" s="1127">
        <v>0.0</v>
      </c>
      <c r="K6053" s="1124"/>
    </row>
    <row r="6054" ht="15.75" customHeight="1">
      <c r="A6054" s="1119">
        <v>100717.0</v>
      </c>
      <c r="B6054" s="1125" t="s">
        <v>16333</v>
      </c>
      <c r="C6054" s="1126" t="s">
        <v>1814</v>
      </c>
      <c r="D6054" s="1119">
        <v>11.55</v>
      </c>
      <c r="E6054" s="1120">
        <v>7.33</v>
      </c>
      <c r="F6054" s="1121">
        <f t="shared" si="1"/>
        <v>4.22</v>
      </c>
      <c r="G6054" s="1120">
        <v>4.22</v>
      </c>
      <c r="H6054" s="1127">
        <v>0.0</v>
      </c>
      <c r="I6054" s="1127">
        <v>0.0</v>
      </c>
      <c r="J6054" s="1127">
        <v>0.0</v>
      </c>
      <c r="K6054" s="1124"/>
    </row>
    <row r="6055" ht="15.75" customHeight="1">
      <c r="A6055" s="1119">
        <v>100718.0</v>
      </c>
      <c r="B6055" s="1125" t="s">
        <v>16334</v>
      </c>
      <c r="C6055" s="1126" t="s">
        <v>1731</v>
      </c>
      <c r="D6055" s="1119">
        <v>1.56</v>
      </c>
      <c r="E6055" s="1120">
        <v>1.04</v>
      </c>
      <c r="F6055" s="1121">
        <f t="shared" si="1"/>
        <v>0.52</v>
      </c>
      <c r="G6055" s="1120">
        <v>0.52</v>
      </c>
      <c r="H6055" s="1127">
        <v>0.0</v>
      </c>
      <c r="I6055" s="1127">
        <v>0.0</v>
      </c>
      <c r="J6055" s="1127">
        <v>0.0</v>
      </c>
      <c r="K6055" s="1124"/>
    </row>
    <row r="6056" ht="15.75" customHeight="1">
      <c r="A6056" s="1119">
        <v>100719.0</v>
      </c>
      <c r="B6056" s="1125" t="s">
        <v>16335</v>
      </c>
      <c r="C6056" s="1126" t="s">
        <v>1814</v>
      </c>
      <c r="D6056" s="1119">
        <v>11.19</v>
      </c>
      <c r="E6056" s="1120">
        <v>1.55</v>
      </c>
      <c r="F6056" s="1121">
        <f t="shared" si="1"/>
        <v>9.63</v>
      </c>
      <c r="G6056" s="1120">
        <v>9.63</v>
      </c>
      <c r="H6056" s="1127">
        <v>0.0</v>
      </c>
      <c r="I6056" s="1127">
        <v>0.0</v>
      </c>
      <c r="J6056" s="1127">
        <v>0.0</v>
      </c>
      <c r="K6056" s="1124"/>
    </row>
    <row r="6057" ht="15.75" customHeight="1">
      <c r="A6057" s="1119">
        <v>100720.0</v>
      </c>
      <c r="B6057" s="1125" t="s">
        <v>16336</v>
      </c>
      <c r="C6057" s="1126" t="s">
        <v>1814</v>
      </c>
      <c r="D6057" s="1119">
        <v>11.8</v>
      </c>
      <c r="E6057" s="1120">
        <v>5.26</v>
      </c>
      <c r="F6057" s="1121">
        <f t="shared" si="1"/>
        <v>6.53</v>
      </c>
      <c r="G6057" s="1120">
        <v>6.53</v>
      </c>
      <c r="H6057" s="1127">
        <v>0.0</v>
      </c>
      <c r="I6057" s="1127">
        <v>0.0</v>
      </c>
      <c r="J6057" s="1127">
        <v>0.0</v>
      </c>
      <c r="K6057" s="1124"/>
    </row>
    <row r="6058" ht="15.75" customHeight="1">
      <c r="A6058" s="1119">
        <v>100721.0</v>
      </c>
      <c r="B6058" s="1125" t="s">
        <v>16337</v>
      </c>
      <c r="C6058" s="1126" t="s">
        <v>1814</v>
      </c>
      <c r="D6058" s="1119">
        <v>27.57</v>
      </c>
      <c r="E6058" s="1120">
        <v>12.91</v>
      </c>
      <c r="F6058" s="1121">
        <f t="shared" si="1"/>
        <v>14.66</v>
      </c>
      <c r="G6058" s="1120">
        <v>14.66</v>
      </c>
      <c r="H6058" s="1127">
        <v>0.0</v>
      </c>
      <c r="I6058" s="1127">
        <v>0.0</v>
      </c>
      <c r="J6058" s="1127">
        <v>0.0</v>
      </c>
      <c r="K6058" s="1124"/>
    </row>
    <row r="6059" ht="15.75" customHeight="1">
      <c r="A6059" s="1119">
        <v>100722.0</v>
      </c>
      <c r="B6059" s="1125" t="s">
        <v>16338</v>
      </c>
      <c r="C6059" s="1126" t="s">
        <v>1814</v>
      </c>
      <c r="D6059" s="1119">
        <v>27.58</v>
      </c>
      <c r="E6059" s="1120">
        <v>16.65</v>
      </c>
      <c r="F6059" s="1121">
        <f t="shared" si="1"/>
        <v>10.94</v>
      </c>
      <c r="G6059" s="1120">
        <v>10.94</v>
      </c>
      <c r="H6059" s="1127">
        <v>0.0</v>
      </c>
      <c r="I6059" s="1127">
        <v>0.0</v>
      </c>
      <c r="J6059" s="1127">
        <v>0.0</v>
      </c>
      <c r="K6059" s="1124"/>
    </row>
    <row r="6060" ht="15.75" customHeight="1">
      <c r="A6060" s="1119">
        <v>100723.0</v>
      </c>
      <c r="B6060" s="1125" t="s">
        <v>16339</v>
      </c>
      <c r="C6060" s="1126" t="s">
        <v>1814</v>
      </c>
      <c r="D6060" s="1119">
        <v>11.99</v>
      </c>
      <c r="E6060" s="1120">
        <v>1.55</v>
      </c>
      <c r="F6060" s="1121">
        <f t="shared" si="1"/>
        <v>10.43</v>
      </c>
      <c r="G6060" s="1120">
        <v>10.43</v>
      </c>
      <c r="H6060" s="1127">
        <v>0.0</v>
      </c>
      <c r="I6060" s="1127">
        <v>0.0</v>
      </c>
      <c r="J6060" s="1127">
        <v>0.0</v>
      </c>
      <c r="K6060" s="1124"/>
    </row>
    <row r="6061" ht="15.75" customHeight="1">
      <c r="A6061" s="1119">
        <v>100724.0</v>
      </c>
      <c r="B6061" s="1125" t="s">
        <v>16340</v>
      </c>
      <c r="C6061" s="1126" t="s">
        <v>1814</v>
      </c>
      <c r="D6061" s="1119">
        <v>15.0</v>
      </c>
      <c r="E6061" s="1120">
        <v>5.26</v>
      </c>
      <c r="F6061" s="1121">
        <f t="shared" si="1"/>
        <v>9.74</v>
      </c>
      <c r="G6061" s="1120">
        <v>9.74</v>
      </c>
      <c r="H6061" s="1127">
        <v>0.0</v>
      </c>
      <c r="I6061" s="1127">
        <v>0.0</v>
      </c>
      <c r="J6061" s="1127">
        <v>0.0</v>
      </c>
      <c r="K6061" s="1124"/>
    </row>
    <row r="6062" ht="15.75" customHeight="1">
      <c r="A6062" s="1119">
        <v>100725.0</v>
      </c>
      <c r="B6062" s="1125" t="s">
        <v>16341</v>
      </c>
      <c r="C6062" s="1126" t="s">
        <v>1814</v>
      </c>
      <c r="D6062" s="1119">
        <v>27.83</v>
      </c>
      <c r="E6062" s="1120">
        <v>12.91</v>
      </c>
      <c r="F6062" s="1121">
        <f t="shared" si="1"/>
        <v>14.92</v>
      </c>
      <c r="G6062" s="1120">
        <v>14.92</v>
      </c>
      <c r="H6062" s="1127">
        <v>0.0</v>
      </c>
      <c r="I6062" s="1127">
        <v>0.0</v>
      </c>
      <c r="J6062" s="1127">
        <v>0.0</v>
      </c>
      <c r="K6062" s="1124"/>
    </row>
    <row r="6063" ht="15.75" customHeight="1">
      <c r="A6063" s="1119">
        <v>100726.0</v>
      </c>
      <c r="B6063" s="1125" t="s">
        <v>16342</v>
      </c>
      <c r="C6063" s="1126" t="s">
        <v>1814</v>
      </c>
      <c r="D6063" s="1119">
        <v>30.68</v>
      </c>
      <c r="E6063" s="1120">
        <v>16.65</v>
      </c>
      <c r="F6063" s="1121">
        <f t="shared" si="1"/>
        <v>14.04</v>
      </c>
      <c r="G6063" s="1120">
        <v>14.04</v>
      </c>
      <c r="H6063" s="1127">
        <v>0.0</v>
      </c>
      <c r="I6063" s="1127">
        <v>0.0</v>
      </c>
      <c r="J6063" s="1127">
        <v>0.0</v>
      </c>
      <c r="K6063" s="1124"/>
    </row>
    <row r="6064" ht="15.75" customHeight="1">
      <c r="A6064" s="1119">
        <v>100727.0</v>
      </c>
      <c r="B6064" s="1125" t="s">
        <v>16343</v>
      </c>
      <c r="C6064" s="1126" t="s">
        <v>1814</v>
      </c>
      <c r="D6064" s="1119">
        <v>26.79</v>
      </c>
      <c r="E6064" s="1120">
        <v>1.55</v>
      </c>
      <c r="F6064" s="1121">
        <f t="shared" si="1"/>
        <v>25.23</v>
      </c>
      <c r="G6064" s="1120">
        <v>25.23</v>
      </c>
      <c r="H6064" s="1127">
        <v>0.0</v>
      </c>
      <c r="I6064" s="1127">
        <v>0.0</v>
      </c>
      <c r="J6064" s="1127">
        <v>0.0</v>
      </c>
      <c r="K6064" s="1124"/>
    </row>
    <row r="6065" ht="15.75" customHeight="1">
      <c r="A6065" s="1119">
        <v>100728.0</v>
      </c>
      <c r="B6065" s="1125" t="s">
        <v>16344</v>
      </c>
      <c r="C6065" s="1126" t="s">
        <v>1814</v>
      </c>
      <c r="D6065" s="1119">
        <v>24.88</v>
      </c>
      <c r="E6065" s="1120">
        <v>5.25</v>
      </c>
      <c r="F6065" s="1121">
        <f t="shared" si="1"/>
        <v>19.62</v>
      </c>
      <c r="G6065" s="1120">
        <v>19.62</v>
      </c>
      <c r="H6065" s="1127">
        <v>0.0</v>
      </c>
      <c r="I6065" s="1127">
        <v>0.0</v>
      </c>
      <c r="J6065" s="1127">
        <v>0.0</v>
      </c>
      <c r="K6065" s="1124"/>
    </row>
    <row r="6066" ht="15.75" customHeight="1">
      <c r="A6066" s="1119">
        <v>100729.0</v>
      </c>
      <c r="B6066" s="1125" t="s">
        <v>16345</v>
      </c>
      <c r="C6066" s="1126" t="s">
        <v>1814</v>
      </c>
      <c r="D6066" s="1119">
        <v>20.43</v>
      </c>
      <c r="E6066" s="1120">
        <v>1.55</v>
      </c>
      <c r="F6066" s="1121">
        <f t="shared" si="1"/>
        <v>18.87</v>
      </c>
      <c r="G6066" s="1120">
        <v>18.87</v>
      </c>
      <c r="H6066" s="1127">
        <v>0.0</v>
      </c>
      <c r="I6066" s="1127">
        <v>0.0</v>
      </c>
      <c r="J6066" s="1127">
        <v>0.0</v>
      </c>
      <c r="K6066" s="1124"/>
    </row>
    <row r="6067" ht="15.75" customHeight="1">
      <c r="A6067" s="1119">
        <v>100730.0</v>
      </c>
      <c r="B6067" s="1125" t="s">
        <v>16346</v>
      </c>
      <c r="C6067" s="1126" t="s">
        <v>1814</v>
      </c>
      <c r="D6067" s="1119">
        <v>24.54</v>
      </c>
      <c r="E6067" s="1120">
        <v>5.25</v>
      </c>
      <c r="F6067" s="1121">
        <f t="shared" si="1"/>
        <v>19.28</v>
      </c>
      <c r="G6067" s="1120">
        <v>19.28</v>
      </c>
      <c r="H6067" s="1127">
        <v>0.0</v>
      </c>
      <c r="I6067" s="1127">
        <v>0.0</v>
      </c>
      <c r="J6067" s="1127">
        <v>0.0</v>
      </c>
      <c r="K6067" s="1124"/>
    </row>
    <row r="6068" ht="15.75" customHeight="1">
      <c r="A6068" s="1119">
        <v>100733.0</v>
      </c>
      <c r="B6068" s="1125" t="s">
        <v>16347</v>
      </c>
      <c r="C6068" s="1126" t="s">
        <v>1814</v>
      </c>
      <c r="D6068" s="1119">
        <v>13.99</v>
      </c>
      <c r="E6068" s="1120">
        <v>7.46</v>
      </c>
      <c r="F6068" s="1121">
        <f t="shared" si="1"/>
        <v>6.55</v>
      </c>
      <c r="G6068" s="1120">
        <v>6.55</v>
      </c>
      <c r="H6068" s="1127">
        <v>0.0</v>
      </c>
      <c r="I6068" s="1127">
        <v>0.0</v>
      </c>
      <c r="J6068" s="1127">
        <v>0.0</v>
      </c>
      <c r="K6068" s="1124"/>
    </row>
    <row r="6069" ht="15.75" customHeight="1">
      <c r="A6069" s="1119">
        <v>100734.0</v>
      </c>
      <c r="B6069" s="1125" t="s">
        <v>16348</v>
      </c>
      <c r="C6069" s="1126" t="s">
        <v>1814</v>
      </c>
      <c r="D6069" s="1119">
        <v>18.14</v>
      </c>
      <c r="E6069" s="1120">
        <v>11.16</v>
      </c>
      <c r="F6069" s="1121">
        <f t="shared" si="1"/>
        <v>6.98</v>
      </c>
      <c r="G6069" s="1120">
        <v>6.98</v>
      </c>
      <c r="H6069" s="1127">
        <v>0.0</v>
      </c>
      <c r="I6069" s="1127">
        <v>0.0</v>
      </c>
      <c r="J6069" s="1127">
        <v>0.0</v>
      </c>
      <c r="K6069" s="1124"/>
    </row>
    <row r="6070" ht="15.75" customHeight="1">
      <c r="A6070" s="1119">
        <v>100735.0</v>
      </c>
      <c r="B6070" s="1125" t="s">
        <v>16349</v>
      </c>
      <c r="C6070" s="1126" t="s">
        <v>1814</v>
      </c>
      <c r="D6070" s="1119">
        <v>12.54</v>
      </c>
      <c r="E6070" s="1120">
        <v>7.46</v>
      </c>
      <c r="F6070" s="1121">
        <f t="shared" si="1"/>
        <v>5.09</v>
      </c>
      <c r="G6070" s="1120">
        <v>5.09</v>
      </c>
      <c r="H6070" s="1127">
        <v>0.0</v>
      </c>
      <c r="I6070" s="1127">
        <v>0.0</v>
      </c>
      <c r="J6070" s="1127">
        <v>0.0</v>
      </c>
      <c r="K6070" s="1124"/>
    </row>
    <row r="6071" ht="15.75" customHeight="1">
      <c r="A6071" s="1119">
        <v>100736.0</v>
      </c>
      <c r="B6071" s="1125" t="s">
        <v>16350</v>
      </c>
      <c r="C6071" s="1126" t="s">
        <v>1814</v>
      </c>
      <c r="D6071" s="1119">
        <v>16.93</v>
      </c>
      <c r="E6071" s="1120">
        <v>11.16</v>
      </c>
      <c r="F6071" s="1121">
        <f t="shared" si="1"/>
        <v>5.77</v>
      </c>
      <c r="G6071" s="1120">
        <v>5.77</v>
      </c>
      <c r="H6071" s="1127">
        <v>0.0</v>
      </c>
      <c r="I6071" s="1127">
        <v>0.0</v>
      </c>
      <c r="J6071" s="1127">
        <v>0.0</v>
      </c>
      <c r="K6071" s="1124"/>
    </row>
    <row r="6072" ht="15.75" customHeight="1">
      <c r="A6072" s="1119">
        <v>100739.0</v>
      </c>
      <c r="B6072" s="1125" t="s">
        <v>16351</v>
      </c>
      <c r="C6072" s="1126" t="s">
        <v>1814</v>
      </c>
      <c r="D6072" s="1119">
        <v>11.03</v>
      </c>
      <c r="E6072" s="1120">
        <v>1.55</v>
      </c>
      <c r="F6072" s="1121">
        <f t="shared" si="1"/>
        <v>9.47</v>
      </c>
      <c r="G6072" s="1120">
        <v>9.47</v>
      </c>
      <c r="H6072" s="1127">
        <v>0.0</v>
      </c>
      <c r="I6072" s="1127">
        <v>0.0</v>
      </c>
      <c r="J6072" s="1127">
        <v>0.0</v>
      </c>
      <c r="K6072" s="1124"/>
    </row>
    <row r="6073" ht="15.75" customHeight="1">
      <c r="A6073" s="1119">
        <v>100740.0</v>
      </c>
      <c r="B6073" s="1125" t="s">
        <v>16352</v>
      </c>
      <c r="C6073" s="1126" t="s">
        <v>1814</v>
      </c>
      <c r="D6073" s="1119">
        <v>12.37</v>
      </c>
      <c r="E6073" s="1120">
        <v>5.26</v>
      </c>
      <c r="F6073" s="1121">
        <f t="shared" si="1"/>
        <v>7.1</v>
      </c>
      <c r="G6073" s="1120">
        <v>7.1</v>
      </c>
      <c r="H6073" s="1127">
        <v>0.0</v>
      </c>
      <c r="I6073" s="1127">
        <v>0.0</v>
      </c>
      <c r="J6073" s="1127">
        <v>0.0</v>
      </c>
      <c r="K6073" s="1124"/>
    </row>
    <row r="6074" ht="15.75" customHeight="1">
      <c r="A6074" s="1119">
        <v>100741.0</v>
      </c>
      <c r="B6074" s="1125" t="s">
        <v>16353</v>
      </c>
      <c r="C6074" s="1126" t="s">
        <v>1814</v>
      </c>
      <c r="D6074" s="1119">
        <v>27.21</v>
      </c>
      <c r="E6074" s="1120">
        <v>12.91</v>
      </c>
      <c r="F6074" s="1121">
        <f t="shared" si="1"/>
        <v>14.3</v>
      </c>
      <c r="G6074" s="1120">
        <v>14.3</v>
      </c>
      <c r="H6074" s="1127">
        <v>0.0</v>
      </c>
      <c r="I6074" s="1127">
        <v>0.0</v>
      </c>
      <c r="J6074" s="1127">
        <v>0.0</v>
      </c>
      <c r="K6074" s="1124"/>
    </row>
    <row r="6075" ht="15.75" customHeight="1">
      <c r="A6075" s="1119">
        <v>100742.0</v>
      </c>
      <c r="B6075" s="1125" t="s">
        <v>16354</v>
      </c>
      <c r="C6075" s="1126" t="s">
        <v>1814</v>
      </c>
      <c r="D6075" s="1119">
        <v>28.11</v>
      </c>
      <c r="E6075" s="1120">
        <v>16.65</v>
      </c>
      <c r="F6075" s="1121">
        <f t="shared" si="1"/>
        <v>11.47</v>
      </c>
      <c r="G6075" s="1120">
        <v>11.47</v>
      </c>
      <c r="H6075" s="1127">
        <v>0.0</v>
      </c>
      <c r="I6075" s="1127">
        <v>0.0</v>
      </c>
      <c r="J6075" s="1127">
        <v>0.0</v>
      </c>
      <c r="K6075" s="1124"/>
    </row>
    <row r="6076" ht="15.75" customHeight="1">
      <c r="A6076" s="1119">
        <v>100743.0</v>
      </c>
      <c r="B6076" s="1125" t="s">
        <v>16355</v>
      </c>
      <c r="C6076" s="1126" t="s">
        <v>1814</v>
      </c>
      <c r="D6076" s="1119">
        <v>10.79</v>
      </c>
      <c r="E6076" s="1120">
        <v>1.55</v>
      </c>
      <c r="F6076" s="1121">
        <f t="shared" si="1"/>
        <v>9.23</v>
      </c>
      <c r="G6076" s="1120">
        <v>9.23</v>
      </c>
      <c r="H6076" s="1127">
        <v>0.0</v>
      </c>
      <c r="I6076" s="1127">
        <v>0.0</v>
      </c>
      <c r="J6076" s="1127">
        <v>0.0</v>
      </c>
      <c r="K6076" s="1124"/>
    </row>
    <row r="6077" ht="15.75" customHeight="1">
      <c r="A6077" s="1119">
        <v>100744.0</v>
      </c>
      <c r="B6077" s="1125" t="s">
        <v>16356</v>
      </c>
      <c r="C6077" s="1126" t="s">
        <v>1814</v>
      </c>
      <c r="D6077" s="1119">
        <v>12.21</v>
      </c>
      <c r="E6077" s="1120">
        <v>5.26</v>
      </c>
      <c r="F6077" s="1121">
        <f t="shared" si="1"/>
        <v>6.94</v>
      </c>
      <c r="G6077" s="1120">
        <v>6.94</v>
      </c>
      <c r="H6077" s="1127">
        <v>0.0</v>
      </c>
      <c r="I6077" s="1127">
        <v>0.0</v>
      </c>
      <c r="J6077" s="1127">
        <v>0.0</v>
      </c>
      <c r="K6077" s="1124"/>
    </row>
    <row r="6078" ht="15.75" customHeight="1">
      <c r="A6078" s="1119">
        <v>100745.0</v>
      </c>
      <c r="B6078" s="1125" t="s">
        <v>16357</v>
      </c>
      <c r="C6078" s="1126" t="s">
        <v>1814</v>
      </c>
      <c r="D6078" s="1119">
        <v>26.96</v>
      </c>
      <c r="E6078" s="1120">
        <v>12.91</v>
      </c>
      <c r="F6078" s="1121">
        <f t="shared" si="1"/>
        <v>14.05</v>
      </c>
      <c r="G6078" s="1120">
        <v>14.05</v>
      </c>
      <c r="H6078" s="1127">
        <v>0.0</v>
      </c>
      <c r="I6078" s="1127">
        <v>0.0</v>
      </c>
      <c r="J6078" s="1127">
        <v>0.0</v>
      </c>
      <c r="K6078" s="1124"/>
    </row>
    <row r="6079" ht="15.75" customHeight="1">
      <c r="A6079" s="1119">
        <v>100746.0</v>
      </c>
      <c r="B6079" s="1125" t="s">
        <v>16358</v>
      </c>
      <c r="C6079" s="1126" t="s">
        <v>1814</v>
      </c>
      <c r="D6079" s="1119">
        <v>27.95</v>
      </c>
      <c r="E6079" s="1120">
        <v>16.65</v>
      </c>
      <c r="F6079" s="1121">
        <f t="shared" si="1"/>
        <v>11.31</v>
      </c>
      <c r="G6079" s="1120">
        <v>11.31</v>
      </c>
      <c r="H6079" s="1127">
        <v>0.0</v>
      </c>
      <c r="I6079" s="1127">
        <v>0.0</v>
      </c>
      <c r="J6079" s="1127">
        <v>0.0</v>
      </c>
      <c r="K6079" s="1124"/>
    </row>
    <row r="6080" ht="15.75" customHeight="1">
      <c r="A6080" s="1119">
        <v>100747.0</v>
      </c>
      <c r="B6080" s="1125" t="s">
        <v>16359</v>
      </c>
      <c r="C6080" s="1126" t="s">
        <v>1814</v>
      </c>
      <c r="D6080" s="1119">
        <v>10.89</v>
      </c>
      <c r="E6080" s="1120">
        <v>1.55</v>
      </c>
      <c r="F6080" s="1121">
        <f t="shared" si="1"/>
        <v>9.33</v>
      </c>
      <c r="G6080" s="1120">
        <v>9.33</v>
      </c>
      <c r="H6080" s="1127">
        <v>0.0</v>
      </c>
      <c r="I6080" s="1127">
        <v>0.0</v>
      </c>
      <c r="J6080" s="1127">
        <v>0.0</v>
      </c>
      <c r="K6080" s="1124"/>
    </row>
    <row r="6081" ht="15.75" customHeight="1">
      <c r="A6081" s="1119">
        <v>100748.0</v>
      </c>
      <c r="B6081" s="1125" t="s">
        <v>16360</v>
      </c>
      <c r="C6081" s="1126" t="s">
        <v>1814</v>
      </c>
      <c r="D6081" s="1119">
        <v>12.28</v>
      </c>
      <c r="E6081" s="1120">
        <v>5.26</v>
      </c>
      <c r="F6081" s="1121">
        <f t="shared" si="1"/>
        <v>7.01</v>
      </c>
      <c r="G6081" s="1120">
        <v>7.01</v>
      </c>
      <c r="H6081" s="1127">
        <v>0.0</v>
      </c>
      <c r="I6081" s="1127">
        <v>0.0</v>
      </c>
      <c r="J6081" s="1127">
        <v>0.0</v>
      </c>
      <c r="K6081" s="1124"/>
    </row>
    <row r="6082" ht="15.75" customHeight="1">
      <c r="A6082" s="1119">
        <v>100749.0</v>
      </c>
      <c r="B6082" s="1125" t="s">
        <v>16361</v>
      </c>
      <c r="C6082" s="1126" t="s">
        <v>1814</v>
      </c>
      <c r="D6082" s="1119">
        <v>27.07</v>
      </c>
      <c r="E6082" s="1120">
        <v>12.91</v>
      </c>
      <c r="F6082" s="1121">
        <f t="shared" si="1"/>
        <v>14.16</v>
      </c>
      <c r="G6082" s="1120">
        <v>14.16</v>
      </c>
      <c r="H6082" s="1127">
        <v>0.0</v>
      </c>
      <c r="I6082" s="1127">
        <v>0.0</v>
      </c>
      <c r="J6082" s="1127">
        <v>0.0</v>
      </c>
      <c r="K6082" s="1124"/>
    </row>
    <row r="6083" ht="15.75" customHeight="1">
      <c r="A6083" s="1119">
        <v>100750.0</v>
      </c>
      <c r="B6083" s="1125" t="s">
        <v>16362</v>
      </c>
      <c r="C6083" s="1126" t="s">
        <v>1814</v>
      </c>
      <c r="D6083" s="1119">
        <v>28.02</v>
      </c>
      <c r="E6083" s="1120">
        <v>16.65</v>
      </c>
      <c r="F6083" s="1121">
        <f t="shared" si="1"/>
        <v>11.38</v>
      </c>
      <c r="G6083" s="1120">
        <v>11.38</v>
      </c>
      <c r="H6083" s="1127">
        <v>0.0</v>
      </c>
      <c r="I6083" s="1127">
        <v>0.0</v>
      </c>
      <c r="J6083" s="1127">
        <v>0.0</v>
      </c>
      <c r="K6083" s="1124"/>
    </row>
    <row r="6084" ht="15.75" customHeight="1">
      <c r="A6084" s="1119">
        <v>100751.0</v>
      </c>
      <c r="B6084" s="1125" t="s">
        <v>16363</v>
      </c>
      <c r="C6084" s="1126" t="s">
        <v>1814</v>
      </c>
      <c r="D6084" s="1119">
        <v>40.86</v>
      </c>
      <c r="E6084" s="1120">
        <v>3.1</v>
      </c>
      <c r="F6084" s="1121">
        <f t="shared" si="1"/>
        <v>37.75</v>
      </c>
      <c r="G6084" s="1120">
        <v>37.75</v>
      </c>
      <c r="H6084" s="1127">
        <v>0.0</v>
      </c>
      <c r="I6084" s="1127">
        <v>0.0</v>
      </c>
      <c r="J6084" s="1127">
        <v>0.0</v>
      </c>
      <c r="K6084" s="1124"/>
    </row>
    <row r="6085" ht="15.75" customHeight="1">
      <c r="A6085" s="1119">
        <v>100752.0</v>
      </c>
      <c r="B6085" s="1125" t="s">
        <v>16364</v>
      </c>
      <c r="C6085" s="1126" t="s">
        <v>1814</v>
      </c>
      <c r="D6085" s="1119">
        <v>49.07</v>
      </c>
      <c r="E6085" s="1120">
        <v>10.53</v>
      </c>
      <c r="F6085" s="1121">
        <f t="shared" si="1"/>
        <v>38.54</v>
      </c>
      <c r="G6085" s="1120">
        <v>38.54</v>
      </c>
      <c r="H6085" s="1127">
        <v>0.0</v>
      </c>
      <c r="I6085" s="1127">
        <v>0.0</v>
      </c>
      <c r="J6085" s="1127">
        <v>0.0</v>
      </c>
      <c r="K6085" s="1124"/>
    </row>
    <row r="6086" ht="15.75" customHeight="1">
      <c r="A6086" s="1119">
        <v>100753.0</v>
      </c>
      <c r="B6086" s="1125" t="s">
        <v>16365</v>
      </c>
      <c r="C6086" s="1126" t="s">
        <v>1814</v>
      </c>
      <c r="D6086" s="1119">
        <v>25.1</v>
      </c>
      <c r="E6086" s="1120">
        <v>14.89</v>
      </c>
      <c r="F6086" s="1121">
        <f t="shared" si="1"/>
        <v>10.21</v>
      </c>
      <c r="G6086" s="1120">
        <v>10.21</v>
      </c>
      <c r="H6086" s="1127">
        <v>0.0</v>
      </c>
      <c r="I6086" s="1127">
        <v>0.0</v>
      </c>
      <c r="J6086" s="1127">
        <v>0.0</v>
      </c>
      <c r="K6086" s="1124"/>
    </row>
    <row r="6087" ht="15.75" customHeight="1">
      <c r="A6087" s="1119">
        <v>100754.0</v>
      </c>
      <c r="B6087" s="1125" t="s">
        <v>16366</v>
      </c>
      <c r="C6087" s="1126" t="s">
        <v>1814</v>
      </c>
      <c r="D6087" s="1119">
        <v>33.88</v>
      </c>
      <c r="E6087" s="1120">
        <v>22.33</v>
      </c>
      <c r="F6087" s="1121">
        <f t="shared" si="1"/>
        <v>11.55</v>
      </c>
      <c r="G6087" s="1120">
        <v>11.55</v>
      </c>
      <c r="H6087" s="1127">
        <v>0.0</v>
      </c>
      <c r="I6087" s="1127">
        <v>0.0</v>
      </c>
      <c r="J6087" s="1127">
        <v>0.0</v>
      </c>
      <c r="K6087" s="1124"/>
    </row>
    <row r="6088" ht="15.75" customHeight="1">
      <c r="A6088" s="1119">
        <v>100757.0</v>
      </c>
      <c r="B6088" s="1125" t="s">
        <v>16367</v>
      </c>
      <c r="C6088" s="1126" t="s">
        <v>1814</v>
      </c>
      <c r="D6088" s="1119">
        <v>54.44</v>
      </c>
      <c r="E6088" s="1120">
        <v>25.82</v>
      </c>
      <c r="F6088" s="1121">
        <f t="shared" si="1"/>
        <v>28.62</v>
      </c>
      <c r="G6088" s="1120">
        <v>28.62</v>
      </c>
      <c r="H6088" s="1127">
        <v>0.0</v>
      </c>
      <c r="I6088" s="1127">
        <v>0.0</v>
      </c>
      <c r="J6088" s="1127">
        <v>0.0</v>
      </c>
      <c r="K6088" s="1124"/>
    </row>
    <row r="6089" ht="15.75" customHeight="1">
      <c r="A6089" s="1119">
        <v>100758.0</v>
      </c>
      <c r="B6089" s="1125" t="s">
        <v>16368</v>
      </c>
      <c r="C6089" s="1126" t="s">
        <v>1814</v>
      </c>
      <c r="D6089" s="1119">
        <v>56.24</v>
      </c>
      <c r="E6089" s="1120">
        <v>33.27</v>
      </c>
      <c r="F6089" s="1121">
        <f t="shared" si="1"/>
        <v>22.98</v>
      </c>
      <c r="G6089" s="1120">
        <v>22.98</v>
      </c>
      <c r="H6089" s="1127">
        <v>0.0</v>
      </c>
      <c r="I6089" s="1127">
        <v>0.0</v>
      </c>
      <c r="J6089" s="1127">
        <v>0.0</v>
      </c>
      <c r="K6089" s="1124"/>
    </row>
    <row r="6090" ht="15.75" customHeight="1">
      <c r="A6090" s="1119">
        <v>100759.0</v>
      </c>
      <c r="B6090" s="1125" t="s">
        <v>16369</v>
      </c>
      <c r="C6090" s="1126" t="s">
        <v>1814</v>
      </c>
      <c r="D6090" s="1119">
        <v>53.93</v>
      </c>
      <c r="E6090" s="1120">
        <v>25.82</v>
      </c>
      <c r="F6090" s="1121">
        <f t="shared" si="1"/>
        <v>28.11</v>
      </c>
      <c r="G6090" s="1120">
        <v>28.11</v>
      </c>
      <c r="H6090" s="1127">
        <v>0.0</v>
      </c>
      <c r="I6090" s="1127">
        <v>0.0</v>
      </c>
      <c r="J6090" s="1127">
        <v>0.0</v>
      </c>
      <c r="K6090" s="1124"/>
    </row>
    <row r="6091" ht="15.75" customHeight="1">
      <c r="A6091" s="1119">
        <v>100760.0</v>
      </c>
      <c r="B6091" s="1125" t="s">
        <v>16370</v>
      </c>
      <c r="C6091" s="1126" t="s">
        <v>1814</v>
      </c>
      <c r="D6091" s="1119">
        <v>55.93</v>
      </c>
      <c r="E6091" s="1120">
        <v>33.27</v>
      </c>
      <c r="F6091" s="1121">
        <f t="shared" si="1"/>
        <v>22.67</v>
      </c>
      <c r="G6091" s="1120">
        <v>22.67</v>
      </c>
      <c r="H6091" s="1127">
        <v>0.0</v>
      </c>
      <c r="I6091" s="1127">
        <v>0.0</v>
      </c>
      <c r="J6091" s="1127">
        <v>0.0</v>
      </c>
      <c r="K6091" s="1124"/>
    </row>
    <row r="6092" ht="15.75" customHeight="1">
      <c r="A6092" s="1119">
        <v>100761.0</v>
      </c>
      <c r="B6092" s="1125" t="s">
        <v>16371</v>
      </c>
      <c r="C6092" s="1126" t="s">
        <v>1814</v>
      </c>
      <c r="D6092" s="1119">
        <v>54.15</v>
      </c>
      <c r="E6092" s="1120">
        <v>25.82</v>
      </c>
      <c r="F6092" s="1121">
        <f t="shared" si="1"/>
        <v>28.33</v>
      </c>
      <c r="G6092" s="1120">
        <v>28.33</v>
      </c>
      <c r="H6092" s="1127">
        <v>0.0</v>
      </c>
      <c r="I6092" s="1127">
        <v>0.0</v>
      </c>
      <c r="J6092" s="1127">
        <v>0.0</v>
      </c>
      <c r="K6092" s="1124"/>
    </row>
    <row r="6093" ht="15.75" customHeight="1">
      <c r="A6093" s="1119">
        <v>100762.0</v>
      </c>
      <c r="B6093" s="1125" t="s">
        <v>16372</v>
      </c>
      <c r="C6093" s="1126" t="s">
        <v>1814</v>
      </c>
      <c r="D6093" s="1119">
        <v>56.06</v>
      </c>
      <c r="E6093" s="1120">
        <v>33.27</v>
      </c>
      <c r="F6093" s="1121">
        <f t="shared" si="1"/>
        <v>22.8</v>
      </c>
      <c r="G6093" s="1120">
        <v>22.8</v>
      </c>
      <c r="H6093" s="1127">
        <v>0.0</v>
      </c>
      <c r="I6093" s="1127">
        <v>0.0</v>
      </c>
      <c r="J6093" s="1127">
        <v>0.0</v>
      </c>
      <c r="K6093" s="1124"/>
    </row>
    <row r="6094" ht="15.75" customHeight="1">
      <c r="A6094" s="1119">
        <v>102488.0</v>
      </c>
      <c r="B6094" s="1125" t="s">
        <v>16373</v>
      </c>
      <c r="C6094" s="1126" t="s">
        <v>1814</v>
      </c>
      <c r="D6094" s="1119">
        <v>4.18</v>
      </c>
      <c r="E6094" s="1120">
        <v>3.11</v>
      </c>
      <c r="F6094" s="1121">
        <f t="shared" si="1"/>
        <v>1.07</v>
      </c>
      <c r="G6094" s="1120">
        <v>1.03</v>
      </c>
      <c r="H6094" s="1127">
        <v>0.03</v>
      </c>
      <c r="I6094" s="1127">
        <v>0.0</v>
      </c>
      <c r="J6094" s="1127">
        <v>0.01</v>
      </c>
      <c r="K6094" s="1124"/>
    </row>
    <row r="6095" ht="15.75" customHeight="1">
      <c r="A6095" s="1119">
        <v>102489.0</v>
      </c>
      <c r="B6095" s="1125" t="s">
        <v>16374</v>
      </c>
      <c r="C6095" s="1126" t="s">
        <v>1814</v>
      </c>
      <c r="D6095" s="1119">
        <v>29.58</v>
      </c>
      <c r="E6095" s="1120">
        <v>11.44</v>
      </c>
      <c r="F6095" s="1121">
        <f t="shared" si="1"/>
        <v>18.14</v>
      </c>
      <c r="G6095" s="1120">
        <v>18.14</v>
      </c>
      <c r="H6095" s="1127">
        <v>0.0</v>
      </c>
      <c r="I6095" s="1127">
        <v>0.0</v>
      </c>
      <c r="J6095" s="1127">
        <v>0.0</v>
      </c>
      <c r="K6095" s="1124"/>
    </row>
    <row r="6096" ht="15.75" customHeight="1">
      <c r="A6096" s="1119">
        <v>102491.0</v>
      </c>
      <c r="B6096" s="1125" t="s">
        <v>16375</v>
      </c>
      <c r="C6096" s="1126" t="s">
        <v>1814</v>
      </c>
      <c r="D6096" s="1119">
        <v>21.74</v>
      </c>
      <c r="E6096" s="1120">
        <v>8.76</v>
      </c>
      <c r="F6096" s="1121">
        <f t="shared" si="1"/>
        <v>13</v>
      </c>
      <c r="G6096" s="1120">
        <v>13.0</v>
      </c>
      <c r="H6096" s="1127">
        <v>0.0</v>
      </c>
      <c r="I6096" s="1127">
        <v>0.0</v>
      </c>
      <c r="J6096" s="1127">
        <v>0.0</v>
      </c>
      <c r="K6096" s="1124"/>
    </row>
    <row r="6097" ht="15.75" customHeight="1">
      <c r="A6097" s="1119">
        <v>102492.0</v>
      </c>
      <c r="B6097" s="1125" t="s">
        <v>16376</v>
      </c>
      <c r="C6097" s="1126" t="s">
        <v>1814</v>
      </c>
      <c r="D6097" s="1119">
        <v>27.68</v>
      </c>
      <c r="E6097" s="1120">
        <v>11.6</v>
      </c>
      <c r="F6097" s="1121">
        <f t="shared" si="1"/>
        <v>16.1</v>
      </c>
      <c r="G6097" s="1120">
        <v>16.1</v>
      </c>
      <c r="H6097" s="1127">
        <v>0.0</v>
      </c>
      <c r="I6097" s="1127">
        <v>0.0</v>
      </c>
      <c r="J6097" s="1127">
        <v>0.0</v>
      </c>
      <c r="K6097" s="1124"/>
    </row>
    <row r="6098" ht="15.75" customHeight="1">
      <c r="A6098" s="1119">
        <v>102494.0</v>
      </c>
      <c r="B6098" s="1125" t="s">
        <v>16377</v>
      </c>
      <c r="C6098" s="1126" t="s">
        <v>1814</v>
      </c>
      <c r="D6098" s="1119">
        <v>64.22</v>
      </c>
      <c r="E6098" s="1120">
        <v>8.74</v>
      </c>
      <c r="F6098" s="1121">
        <f t="shared" si="1"/>
        <v>55.5</v>
      </c>
      <c r="G6098" s="1120">
        <v>55.5</v>
      </c>
      <c r="H6098" s="1127">
        <v>0.0</v>
      </c>
      <c r="I6098" s="1127">
        <v>0.0</v>
      </c>
      <c r="J6098" s="1127">
        <v>0.0</v>
      </c>
      <c r="K6098" s="1124"/>
    </row>
    <row r="6099" ht="15.75" customHeight="1">
      <c r="A6099" s="1119">
        <v>102496.0</v>
      </c>
      <c r="B6099" s="1125" t="s">
        <v>16378</v>
      </c>
      <c r="C6099" s="1126" t="s">
        <v>1731</v>
      </c>
      <c r="D6099" s="1119">
        <v>13.95</v>
      </c>
      <c r="E6099" s="1120">
        <v>4.12</v>
      </c>
      <c r="F6099" s="1121">
        <f t="shared" si="1"/>
        <v>9.83</v>
      </c>
      <c r="G6099" s="1120">
        <v>9.83</v>
      </c>
      <c r="H6099" s="1127">
        <v>0.0</v>
      </c>
      <c r="I6099" s="1127">
        <v>0.0</v>
      </c>
      <c r="J6099" s="1127">
        <v>0.0</v>
      </c>
      <c r="K6099" s="1124"/>
    </row>
    <row r="6100" ht="15.75" customHeight="1">
      <c r="A6100" s="1119">
        <v>102497.0</v>
      </c>
      <c r="B6100" s="1125" t="s">
        <v>16379</v>
      </c>
      <c r="C6100" s="1126" t="s">
        <v>1731</v>
      </c>
      <c r="D6100" s="1119">
        <v>5.35</v>
      </c>
      <c r="E6100" s="1120">
        <v>2.76</v>
      </c>
      <c r="F6100" s="1121">
        <f t="shared" si="1"/>
        <v>2.61</v>
      </c>
      <c r="G6100" s="1120">
        <v>2.61</v>
      </c>
      <c r="H6100" s="1127">
        <v>0.0</v>
      </c>
      <c r="I6100" s="1127">
        <v>0.0</v>
      </c>
      <c r="J6100" s="1127">
        <v>0.0</v>
      </c>
      <c r="K6100" s="1124"/>
    </row>
    <row r="6101" ht="15.75" customHeight="1">
      <c r="A6101" s="1119">
        <v>102498.0</v>
      </c>
      <c r="B6101" s="1125" t="s">
        <v>16380</v>
      </c>
      <c r="C6101" s="1126" t="s">
        <v>1731</v>
      </c>
      <c r="D6101" s="1119">
        <v>1.78</v>
      </c>
      <c r="E6101" s="1120">
        <v>1.2</v>
      </c>
      <c r="F6101" s="1121">
        <f t="shared" si="1"/>
        <v>0.58</v>
      </c>
      <c r="G6101" s="1120">
        <v>0.58</v>
      </c>
      <c r="H6101" s="1127">
        <v>0.0</v>
      </c>
      <c r="I6101" s="1127">
        <v>0.0</v>
      </c>
      <c r="J6101" s="1127">
        <v>0.0</v>
      </c>
      <c r="K6101" s="1124"/>
    </row>
    <row r="6102" ht="15.75" customHeight="1">
      <c r="A6102" s="1119">
        <v>102499.0</v>
      </c>
      <c r="B6102" s="1125" t="s">
        <v>16381</v>
      </c>
      <c r="C6102" s="1126" t="s">
        <v>1814</v>
      </c>
      <c r="D6102" s="1119">
        <v>3.63</v>
      </c>
      <c r="E6102" s="1120">
        <v>1.22</v>
      </c>
      <c r="F6102" s="1121">
        <f t="shared" si="1"/>
        <v>2.42</v>
      </c>
      <c r="G6102" s="1120">
        <v>2.42</v>
      </c>
      <c r="H6102" s="1127">
        <v>0.0</v>
      </c>
      <c r="I6102" s="1127">
        <v>0.0</v>
      </c>
      <c r="J6102" s="1127">
        <v>0.0</v>
      </c>
      <c r="K6102" s="1124"/>
    </row>
    <row r="6103" ht="15.75" customHeight="1">
      <c r="A6103" s="1119">
        <v>102500.0</v>
      </c>
      <c r="B6103" s="1125" t="s">
        <v>16382</v>
      </c>
      <c r="C6103" s="1126" t="s">
        <v>1731</v>
      </c>
      <c r="D6103" s="1119">
        <v>4.8</v>
      </c>
      <c r="E6103" s="1120">
        <v>2.67</v>
      </c>
      <c r="F6103" s="1121">
        <f t="shared" si="1"/>
        <v>2.13</v>
      </c>
      <c r="G6103" s="1120">
        <v>2.13</v>
      </c>
      <c r="H6103" s="1127">
        <v>0.0</v>
      </c>
      <c r="I6103" s="1127">
        <v>0.0</v>
      </c>
      <c r="J6103" s="1127">
        <v>0.0</v>
      </c>
      <c r="K6103" s="1124"/>
    </row>
    <row r="6104" ht="15.75" customHeight="1">
      <c r="A6104" s="1119">
        <v>102501.0</v>
      </c>
      <c r="B6104" s="1125" t="s">
        <v>16383</v>
      </c>
      <c r="C6104" s="1126" t="s">
        <v>1814</v>
      </c>
      <c r="D6104" s="1119">
        <v>27.08</v>
      </c>
      <c r="E6104" s="1120">
        <v>13.74</v>
      </c>
      <c r="F6104" s="1121">
        <f t="shared" si="1"/>
        <v>13.35</v>
      </c>
      <c r="G6104" s="1120">
        <v>13.35</v>
      </c>
      <c r="H6104" s="1127">
        <v>0.0</v>
      </c>
      <c r="I6104" s="1127">
        <v>0.0</v>
      </c>
      <c r="J6104" s="1127">
        <v>0.0</v>
      </c>
      <c r="K6104" s="1124"/>
    </row>
    <row r="6105" ht="15.75" customHeight="1">
      <c r="A6105" s="1119">
        <v>102504.0</v>
      </c>
      <c r="B6105" s="1125" t="s">
        <v>16384</v>
      </c>
      <c r="C6105" s="1126" t="s">
        <v>1731</v>
      </c>
      <c r="D6105" s="1119">
        <v>11.29</v>
      </c>
      <c r="E6105" s="1120">
        <v>7.64</v>
      </c>
      <c r="F6105" s="1121">
        <f t="shared" si="1"/>
        <v>3.65</v>
      </c>
      <c r="G6105" s="1120">
        <v>3.65</v>
      </c>
      <c r="H6105" s="1127">
        <v>0.0</v>
      </c>
      <c r="I6105" s="1127">
        <v>0.0</v>
      </c>
      <c r="J6105" s="1127">
        <v>0.0</v>
      </c>
      <c r="K6105" s="1124"/>
    </row>
    <row r="6106" ht="15.75" customHeight="1">
      <c r="A6106" s="1119">
        <v>102505.0</v>
      </c>
      <c r="B6106" s="1125" t="s">
        <v>16385</v>
      </c>
      <c r="C6106" s="1126" t="s">
        <v>1731</v>
      </c>
      <c r="D6106" s="1119">
        <v>11.79</v>
      </c>
      <c r="E6106" s="1120">
        <v>7.64</v>
      </c>
      <c r="F6106" s="1121">
        <f t="shared" si="1"/>
        <v>4.15</v>
      </c>
      <c r="G6106" s="1120">
        <v>4.15</v>
      </c>
      <c r="H6106" s="1127">
        <v>0.0</v>
      </c>
      <c r="I6106" s="1127">
        <v>0.0</v>
      </c>
      <c r="J6106" s="1127">
        <v>0.0</v>
      </c>
      <c r="K6106" s="1124"/>
    </row>
    <row r="6107" ht="15.75" customHeight="1">
      <c r="A6107" s="1119">
        <v>102506.0</v>
      </c>
      <c r="B6107" s="1125" t="s">
        <v>16386</v>
      </c>
      <c r="C6107" s="1126" t="s">
        <v>1731</v>
      </c>
      <c r="D6107" s="1119">
        <v>12.3</v>
      </c>
      <c r="E6107" s="1120">
        <v>7.63</v>
      </c>
      <c r="F6107" s="1121">
        <f t="shared" si="1"/>
        <v>4.66</v>
      </c>
      <c r="G6107" s="1120">
        <v>4.66</v>
      </c>
      <c r="H6107" s="1127">
        <v>0.0</v>
      </c>
      <c r="I6107" s="1127">
        <v>0.0</v>
      </c>
      <c r="J6107" s="1127">
        <v>0.0</v>
      </c>
      <c r="K6107" s="1124"/>
    </row>
    <row r="6108" ht="15.75" customHeight="1">
      <c r="A6108" s="1119">
        <v>102507.0</v>
      </c>
      <c r="B6108" s="1125" t="s">
        <v>16387</v>
      </c>
      <c r="C6108" s="1126" t="s">
        <v>1731</v>
      </c>
      <c r="D6108" s="1119">
        <v>6.8</v>
      </c>
      <c r="E6108" s="1120">
        <v>2.65</v>
      </c>
      <c r="F6108" s="1121">
        <f t="shared" si="1"/>
        <v>4.15</v>
      </c>
      <c r="G6108" s="1120">
        <v>4.15</v>
      </c>
      <c r="H6108" s="1127">
        <v>0.0</v>
      </c>
      <c r="I6108" s="1127">
        <v>0.0</v>
      </c>
      <c r="J6108" s="1127">
        <v>0.0</v>
      </c>
      <c r="K6108" s="1124"/>
    </row>
    <row r="6109" ht="15.75" customHeight="1">
      <c r="A6109" s="1119">
        <v>102508.0</v>
      </c>
      <c r="B6109" s="1125" t="s">
        <v>16388</v>
      </c>
      <c r="C6109" s="1126" t="s">
        <v>1814</v>
      </c>
      <c r="D6109" s="1119">
        <v>47.55</v>
      </c>
      <c r="E6109" s="1120">
        <v>13.72</v>
      </c>
      <c r="F6109" s="1121">
        <f t="shared" si="1"/>
        <v>33.83</v>
      </c>
      <c r="G6109" s="1120">
        <v>33.83</v>
      </c>
      <c r="H6109" s="1127">
        <v>0.0</v>
      </c>
      <c r="I6109" s="1127">
        <v>0.0</v>
      </c>
      <c r="J6109" s="1127">
        <v>0.0</v>
      </c>
      <c r="K6109" s="1124"/>
    </row>
    <row r="6110" ht="15.75" customHeight="1">
      <c r="A6110" s="1119">
        <v>102509.0</v>
      </c>
      <c r="B6110" s="1125" t="s">
        <v>16389</v>
      </c>
      <c r="C6110" s="1126" t="s">
        <v>1814</v>
      </c>
      <c r="D6110" s="1119">
        <v>27.82</v>
      </c>
      <c r="E6110" s="1120">
        <v>11.56</v>
      </c>
      <c r="F6110" s="1121">
        <f t="shared" si="1"/>
        <v>16.27</v>
      </c>
      <c r="G6110" s="1120">
        <v>16.27</v>
      </c>
      <c r="H6110" s="1127">
        <v>0.0</v>
      </c>
      <c r="I6110" s="1127">
        <v>0.0</v>
      </c>
      <c r="J6110" s="1127">
        <v>0.0</v>
      </c>
      <c r="K6110" s="1124"/>
    </row>
    <row r="6111" ht="15.75" customHeight="1">
      <c r="A6111" s="1119">
        <v>102512.0</v>
      </c>
      <c r="B6111" s="1125" t="s">
        <v>16390</v>
      </c>
      <c r="C6111" s="1126" t="s">
        <v>1731</v>
      </c>
      <c r="D6111" s="1119">
        <v>5.57</v>
      </c>
      <c r="E6111" s="1120">
        <v>1.86</v>
      </c>
      <c r="F6111" s="1121">
        <f t="shared" si="1"/>
        <v>3.7</v>
      </c>
      <c r="G6111" s="1120">
        <v>1.73</v>
      </c>
      <c r="H6111" s="1127">
        <v>1.97</v>
      </c>
      <c r="I6111" s="1127">
        <v>0.0</v>
      </c>
      <c r="J6111" s="1127">
        <v>0.0</v>
      </c>
      <c r="K6111" s="1124"/>
    </row>
    <row r="6112" ht="15.75" customHeight="1">
      <c r="A6112" s="1119">
        <v>102513.0</v>
      </c>
      <c r="B6112" s="1125" t="s">
        <v>16391</v>
      </c>
      <c r="C6112" s="1126" t="s">
        <v>1814</v>
      </c>
      <c r="D6112" s="1119">
        <v>52.32</v>
      </c>
      <c r="E6112" s="1120">
        <v>30.54</v>
      </c>
      <c r="F6112" s="1121">
        <f t="shared" si="1"/>
        <v>21.79</v>
      </c>
      <c r="G6112" s="1120">
        <v>21.79</v>
      </c>
      <c r="H6112" s="1127">
        <v>0.0</v>
      </c>
      <c r="I6112" s="1127">
        <v>0.0</v>
      </c>
      <c r="J6112" s="1127">
        <v>0.0</v>
      </c>
      <c r="K6112" s="1124"/>
    </row>
    <row r="6113" ht="15.75" customHeight="1">
      <c r="A6113" s="1119">
        <v>102520.0</v>
      </c>
      <c r="B6113" s="1125" t="s">
        <v>16392</v>
      </c>
      <c r="C6113" s="1126" t="s">
        <v>1814</v>
      </c>
      <c r="D6113" s="1119">
        <v>91.31</v>
      </c>
      <c r="E6113" s="1120">
        <v>54.8</v>
      </c>
      <c r="F6113" s="1121">
        <f t="shared" si="1"/>
        <v>36.52</v>
      </c>
      <c r="G6113" s="1120">
        <v>36.52</v>
      </c>
      <c r="H6113" s="1127">
        <v>0.0</v>
      </c>
      <c r="I6113" s="1127">
        <v>0.0</v>
      </c>
      <c r="J6113" s="1127">
        <v>0.0</v>
      </c>
      <c r="K6113" s="1124"/>
    </row>
    <row r="6114" ht="15.75" customHeight="1">
      <c r="A6114" s="1119">
        <v>101749.0</v>
      </c>
      <c r="B6114" s="1125" t="s">
        <v>16393</v>
      </c>
      <c r="C6114" s="1126" t="s">
        <v>1814</v>
      </c>
      <c r="D6114" s="1119">
        <v>57.16</v>
      </c>
      <c r="E6114" s="1120">
        <v>18.17</v>
      </c>
      <c r="F6114" s="1121">
        <f t="shared" si="1"/>
        <v>38.98</v>
      </c>
      <c r="G6114" s="1120">
        <v>38.88</v>
      </c>
      <c r="H6114" s="1127">
        <v>0.06</v>
      </c>
      <c r="I6114" s="1127">
        <v>0.0</v>
      </c>
      <c r="J6114" s="1127">
        <v>0.04</v>
      </c>
      <c r="K6114" s="1124"/>
    </row>
    <row r="6115" ht="15.75" customHeight="1">
      <c r="A6115" s="1119">
        <v>101750.0</v>
      </c>
      <c r="B6115" s="1125" t="s">
        <v>16394</v>
      </c>
      <c r="C6115" s="1126" t="s">
        <v>1814</v>
      </c>
      <c r="D6115" s="1119">
        <v>54.28</v>
      </c>
      <c r="E6115" s="1120">
        <v>16.29</v>
      </c>
      <c r="F6115" s="1121">
        <f t="shared" si="1"/>
        <v>38</v>
      </c>
      <c r="G6115" s="1120">
        <v>37.9</v>
      </c>
      <c r="H6115" s="1127">
        <v>0.06</v>
      </c>
      <c r="I6115" s="1127">
        <v>0.0</v>
      </c>
      <c r="J6115" s="1127">
        <v>0.04</v>
      </c>
      <c r="K6115" s="1124"/>
    </row>
    <row r="6116" ht="15.75" customHeight="1">
      <c r="A6116" s="1119">
        <v>101729.0</v>
      </c>
      <c r="B6116" s="1125" t="s">
        <v>16395</v>
      </c>
      <c r="C6116" s="1126" t="s">
        <v>1814</v>
      </c>
      <c r="D6116" s="1119">
        <v>188.9</v>
      </c>
      <c r="E6116" s="1120">
        <v>12.56</v>
      </c>
      <c r="F6116" s="1121">
        <f t="shared" si="1"/>
        <v>176.35</v>
      </c>
      <c r="G6116" s="1120">
        <v>176.35</v>
      </c>
      <c r="H6116" s="1127">
        <v>0.0</v>
      </c>
      <c r="I6116" s="1127">
        <v>0.0</v>
      </c>
      <c r="J6116" s="1127">
        <v>0.0</v>
      </c>
      <c r="K6116" s="1124"/>
    </row>
    <row r="6117" ht="15.75" customHeight="1">
      <c r="A6117" s="1119">
        <v>101746.0</v>
      </c>
      <c r="B6117" s="1125" t="s">
        <v>16396</v>
      </c>
      <c r="C6117" s="1126" t="s">
        <v>1814</v>
      </c>
      <c r="D6117" s="1119">
        <v>286.66</v>
      </c>
      <c r="E6117" s="1120">
        <v>14.64</v>
      </c>
      <c r="F6117" s="1121">
        <f t="shared" si="1"/>
        <v>272.02</v>
      </c>
      <c r="G6117" s="1120">
        <v>272.02</v>
      </c>
      <c r="H6117" s="1127">
        <v>0.0</v>
      </c>
      <c r="I6117" s="1127">
        <v>0.0</v>
      </c>
      <c r="J6117" s="1127">
        <v>0.0</v>
      </c>
      <c r="K6117" s="1124"/>
    </row>
    <row r="6118" ht="15.75" customHeight="1">
      <c r="A6118" s="1119">
        <v>101751.0</v>
      </c>
      <c r="B6118" s="1125" t="s">
        <v>16397</v>
      </c>
      <c r="C6118" s="1126" t="s">
        <v>1814</v>
      </c>
      <c r="D6118" s="1119">
        <v>196.53</v>
      </c>
      <c r="E6118" s="1120">
        <v>18.23</v>
      </c>
      <c r="F6118" s="1121">
        <f t="shared" si="1"/>
        <v>178.3</v>
      </c>
      <c r="G6118" s="1120">
        <v>178.3</v>
      </c>
      <c r="H6118" s="1127">
        <v>0.0</v>
      </c>
      <c r="I6118" s="1127">
        <v>0.0</v>
      </c>
      <c r="J6118" s="1127">
        <v>0.0</v>
      </c>
      <c r="K6118" s="1124"/>
    </row>
    <row r="6119" ht="15.75" customHeight="1">
      <c r="A6119" s="1119">
        <v>87246.0</v>
      </c>
      <c r="B6119" s="1125" t="s">
        <v>16398</v>
      </c>
      <c r="C6119" s="1126" t="s">
        <v>1814</v>
      </c>
      <c r="D6119" s="1119">
        <v>68.26</v>
      </c>
      <c r="E6119" s="1120">
        <v>19.96</v>
      </c>
      <c r="F6119" s="1121">
        <f t="shared" si="1"/>
        <v>48.3</v>
      </c>
      <c r="G6119" s="1120">
        <v>48.3</v>
      </c>
      <c r="H6119" s="1127">
        <v>0.0</v>
      </c>
      <c r="I6119" s="1127">
        <v>0.0</v>
      </c>
      <c r="J6119" s="1127">
        <v>0.0</v>
      </c>
      <c r="K6119" s="1124"/>
    </row>
    <row r="6120" ht="15.75" customHeight="1">
      <c r="A6120" s="1119">
        <v>87247.0</v>
      </c>
      <c r="B6120" s="1125" t="s">
        <v>16399</v>
      </c>
      <c r="C6120" s="1126" t="s">
        <v>1814</v>
      </c>
      <c r="D6120" s="1119">
        <v>60.27</v>
      </c>
      <c r="E6120" s="1120">
        <v>14.41</v>
      </c>
      <c r="F6120" s="1121">
        <f t="shared" si="1"/>
        <v>45.85</v>
      </c>
      <c r="G6120" s="1120">
        <v>45.85</v>
      </c>
      <c r="H6120" s="1127">
        <v>0.0</v>
      </c>
      <c r="I6120" s="1127">
        <v>0.0</v>
      </c>
      <c r="J6120" s="1127">
        <v>0.0</v>
      </c>
      <c r="K6120" s="1124"/>
    </row>
    <row r="6121" ht="15.75" customHeight="1">
      <c r="A6121" s="1119">
        <v>87248.0</v>
      </c>
      <c r="B6121" s="1125" t="s">
        <v>16400</v>
      </c>
      <c r="C6121" s="1126" t="s">
        <v>1814</v>
      </c>
      <c r="D6121" s="1119">
        <v>51.79</v>
      </c>
      <c r="E6121" s="1120">
        <v>8.14</v>
      </c>
      <c r="F6121" s="1121">
        <f t="shared" si="1"/>
        <v>43.65</v>
      </c>
      <c r="G6121" s="1120">
        <v>43.65</v>
      </c>
      <c r="H6121" s="1127">
        <v>0.0</v>
      </c>
      <c r="I6121" s="1127">
        <v>0.0</v>
      </c>
      <c r="J6121" s="1127">
        <v>0.0</v>
      </c>
      <c r="K6121" s="1124"/>
    </row>
    <row r="6122" ht="15.75" customHeight="1">
      <c r="A6122" s="1119">
        <v>87249.0</v>
      </c>
      <c r="B6122" s="1125" t="s">
        <v>16401</v>
      </c>
      <c r="C6122" s="1126" t="s">
        <v>1814</v>
      </c>
      <c r="D6122" s="1119">
        <v>73.59</v>
      </c>
      <c r="E6122" s="1120">
        <v>23.37</v>
      </c>
      <c r="F6122" s="1121">
        <f t="shared" si="1"/>
        <v>50.23</v>
      </c>
      <c r="G6122" s="1120">
        <v>50.23</v>
      </c>
      <c r="H6122" s="1127">
        <v>0.0</v>
      </c>
      <c r="I6122" s="1127">
        <v>0.0</v>
      </c>
      <c r="J6122" s="1127">
        <v>0.0</v>
      </c>
      <c r="K6122" s="1124"/>
    </row>
    <row r="6123" ht="15.75" customHeight="1">
      <c r="A6123" s="1119">
        <v>87250.0</v>
      </c>
      <c r="B6123" s="1125" t="s">
        <v>16402</v>
      </c>
      <c r="C6123" s="1126" t="s">
        <v>1814</v>
      </c>
      <c r="D6123" s="1119">
        <v>61.79</v>
      </c>
      <c r="E6123" s="1120">
        <v>15.52</v>
      </c>
      <c r="F6123" s="1121">
        <f t="shared" si="1"/>
        <v>46.29</v>
      </c>
      <c r="G6123" s="1120">
        <v>46.29</v>
      </c>
      <c r="H6123" s="1127">
        <v>0.0</v>
      </c>
      <c r="I6123" s="1127">
        <v>0.0</v>
      </c>
      <c r="J6123" s="1127">
        <v>0.0</v>
      </c>
      <c r="K6123" s="1124"/>
    </row>
    <row r="6124" ht="15.75" customHeight="1">
      <c r="A6124" s="1119">
        <v>87251.0</v>
      </c>
      <c r="B6124" s="1125" t="s">
        <v>16403</v>
      </c>
      <c r="C6124" s="1126" t="s">
        <v>1814</v>
      </c>
      <c r="D6124" s="1119">
        <v>52.1</v>
      </c>
      <c r="E6124" s="1120">
        <v>8.49</v>
      </c>
      <c r="F6124" s="1121">
        <f t="shared" si="1"/>
        <v>43.6</v>
      </c>
      <c r="G6124" s="1120">
        <v>43.6</v>
      </c>
      <c r="H6124" s="1127">
        <v>0.0</v>
      </c>
      <c r="I6124" s="1127">
        <v>0.0</v>
      </c>
      <c r="J6124" s="1127">
        <v>0.0</v>
      </c>
      <c r="K6124" s="1124"/>
    </row>
    <row r="6125" ht="15.75" customHeight="1">
      <c r="A6125" s="1119">
        <v>87255.0</v>
      </c>
      <c r="B6125" s="1125" t="s">
        <v>16404</v>
      </c>
      <c r="C6125" s="1126" t="s">
        <v>1814</v>
      </c>
      <c r="D6125" s="1119">
        <v>113.5</v>
      </c>
      <c r="E6125" s="1120">
        <v>25.42</v>
      </c>
      <c r="F6125" s="1121">
        <f t="shared" si="1"/>
        <v>88.09</v>
      </c>
      <c r="G6125" s="1120">
        <v>88.09</v>
      </c>
      <c r="H6125" s="1127">
        <v>0.0</v>
      </c>
      <c r="I6125" s="1127">
        <v>0.0</v>
      </c>
      <c r="J6125" s="1127">
        <v>0.0</v>
      </c>
      <c r="K6125" s="1124"/>
    </row>
    <row r="6126" ht="15.75" customHeight="1">
      <c r="A6126" s="1119">
        <v>87256.0</v>
      </c>
      <c r="B6126" s="1125" t="s">
        <v>16405</v>
      </c>
      <c r="C6126" s="1126" t="s">
        <v>1814</v>
      </c>
      <c r="D6126" s="1119">
        <v>99.44</v>
      </c>
      <c r="E6126" s="1120">
        <v>17.06</v>
      </c>
      <c r="F6126" s="1121">
        <f t="shared" si="1"/>
        <v>82.38</v>
      </c>
      <c r="G6126" s="1120">
        <v>82.38</v>
      </c>
      <c r="H6126" s="1127">
        <v>0.0</v>
      </c>
      <c r="I6126" s="1127">
        <v>0.0</v>
      </c>
      <c r="J6126" s="1127">
        <v>0.0</v>
      </c>
      <c r="K6126" s="1124"/>
    </row>
    <row r="6127" ht="15.75" customHeight="1">
      <c r="A6127" s="1119">
        <v>87257.0</v>
      </c>
      <c r="B6127" s="1125" t="s">
        <v>16406</v>
      </c>
      <c r="C6127" s="1126" t="s">
        <v>1814</v>
      </c>
      <c r="D6127" s="1119">
        <v>88.18</v>
      </c>
      <c r="E6127" s="1120">
        <v>9.44</v>
      </c>
      <c r="F6127" s="1121">
        <f t="shared" si="1"/>
        <v>78.74</v>
      </c>
      <c r="G6127" s="1120">
        <v>78.74</v>
      </c>
      <c r="H6127" s="1127">
        <v>0.0</v>
      </c>
      <c r="I6127" s="1127">
        <v>0.0</v>
      </c>
      <c r="J6127" s="1127">
        <v>0.0</v>
      </c>
      <c r="K6127" s="1124"/>
    </row>
    <row r="6128" ht="15.75" customHeight="1">
      <c r="A6128" s="1119">
        <v>87258.0</v>
      </c>
      <c r="B6128" s="1125" t="s">
        <v>16407</v>
      </c>
      <c r="C6128" s="1126" t="s">
        <v>1814</v>
      </c>
      <c r="D6128" s="1119">
        <v>155.47</v>
      </c>
      <c r="E6128" s="1120">
        <v>29.58</v>
      </c>
      <c r="F6128" s="1121">
        <f t="shared" si="1"/>
        <v>125.89</v>
      </c>
      <c r="G6128" s="1120">
        <v>125.89</v>
      </c>
      <c r="H6128" s="1127">
        <v>0.0</v>
      </c>
      <c r="I6128" s="1127">
        <v>0.0</v>
      </c>
      <c r="J6128" s="1127">
        <v>0.0</v>
      </c>
      <c r="K6128" s="1124"/>
    </row>
    <row r="6129" ht="15.75" customHeight="1">
      <c r="A6129" s="1119">
        <v>87259.0</v>
      </c>
      <c r="B6129" s="1125" t="s">
        <v>16408</v>
      </c>
      <c r="C6129" s="1126" t="s">
        <v>1814</v>
      </c>
      <c r="D6129" s="1119">
        <v>141.44</v>
      </c>
      <c r="E6129" s="1120">
        <v>21.72</v>
      </c>
      <c r="F6129" s="1121">
        <f t="shared" si="1"/>
        <v>119.73</v>
      </c>
      <c r="G6129" s="1120">
        <v>119.73</v>
      </c>
      <c r="H6129" s="1127">
        <v>0.0</v>
      </c>
      <c r="I6129" s="1127">
        <v>0.0</v>
      </c>
      <c r="J6129" s="1127">
        <v>0.0</v>
      </c>
      <c r="K6129" s="1124"/>
    </row>
    <row r="6130" ht="15.75" customHeight="1">
      <c r="A6130" s="1119">
        <v>87260.0</v>
      </c>
      <c r="B6130" s="1125" t="s">
        <v>16409</v>
      </c>
      <c r="C6130" s="1126" t="s">
        <v>1814</v>
      </c>
      <c r="D6130" s="1119">
        <v>131.12</v>
      </c>
      <c r="E6130" s="1120">
        <v>14.7</v>
      </c>
      <c r="F6130" s="1121">
        <f t="shared" si="1"/>
        <v>116.42</v>
      </c>
      <c r="G6130" s="1120">
        <v>116.42</v>
      </c>
      <c r="H6130" s="1127">
        <v>0.0</v>
      </c>
      <c r="I6130" s="1127">
        <v>0.0</v>
      </c>
      <c r="J6130" s="1127">
        <v>0.0</v>
      </c>
      <c r="K6130" s="1124"/>
    </row>
    <row r="6131" ht="15.75" customHeight="1">
      <c r="A6131" s="1119">
        <v>87261.0</v>
      </c>
      <c r="B6131" s="1125" t="s">
        <v>16410</v>
      </c>
      <c r="C6131" s="1126" t="s">
        <v>1814</v>
      </c>
      <c r="D6131" s="1119">
        <v>177.04</v>
      </c>
      <c r="E6131" s="1120">
        <v>31.64</v>
      </c>
      <c r="F6131" s="1121">
        <f t="shared" si="1"/>
        <v>145.41</v>
      </c>
      <c r="G6131" s="1120">
        <v>145.41</v>
      </c>
      <c r="H6131" s="1127">
        <v>0.0</v>
      </c>
      <c r="I6131" s="1127">
        <v>0.0</v>
      </c>
      <c r="J6131" s="1127">
        <v>0.0</v>
      </c>
      <c r="K6131" s="1124"/>
    </row>
    <row r="6132" ht="15.75" customHeight="1">
      <c r="A6132" s="1119">
        <v>87262.0</v>
      </c>
      <c r="B6132" s="1125" t="s">
        <v>16411</v>
      </c>
      <c r="C6132" s="1126" t="s">
        <v>1814</v>
      </c>
      <c r="D6132" s="1119">
        <v>161.3</v>
      </c>
      <c r="E6132" s="1120">
        <v>23.29</v>
      </c>
      <c r="F6132" s="1121">
        <f t="shared" si="1"/>
        <v>138.01</v>
      </c>
      <c r="G6132" s="1120">
        <v>138.01</v>
      </c>
      <c r="H6132" s="1127">
        <v>0.0</v>
      </c>
      <c r="I6132" s="1127">
        <v>0.0</v>
      </c>
      <c r="J6132" s="1127">
        <v>0.0</v>
      </c>
      <c r="K6132" s="1124"/>
    </row>
    <row r="6133" ht="15.75" customHeight="1">
      <c r="A6133" s="1119">
        <v>87263.0</v>
      </c>
      <c r="B6133" s="1125" t="s">
        <v>16412</v>
      </c>
      <c r="C6133" s="1126" t="s">
        <v>1814</v>
      </c>
      <c r="D6133" s="1119">
        <v>149.39</v>
      </c>
      <c r="E6133" s="1120">
        <v>15.66</v>
      </c>
      <c r="F6133" s="1121">
        <f t="shared" si="1"/>
        <v>133.73</v>
      </c>
      <c r="G6133" s="1120">
        <v>133.73</v>
      </c>
      <c r="H6133" s="1127">
        <v>0.0</v>
      </c>
      <c r="I6133" s="1127">
        <v>0.0</v>
      </c>
      <c r="J6133" s="1127">
        <v>0.0</v>
      </c>
      <c r="K6133" s="1124"/>
    </row>
    <row r="6134" ht="15.75" customHeight="1">
      <c r="A6134" s="1119">
        <v>89046.0</v>
      </c>
      <c r="B6134" s="1125" t="s">
        <v>16413</v>
      </c>
      <c r="C6134" s="1126" t="s">
        <v>1814</v>
      </c>
      <c r="D6134" s="1119">
        <v>59.32</v>
      </c>
      <c r="E6134" s="1120">
        <v>13.66</v>
      </c>
      <c r="F6134" s="1121">
        <f t="shared" si="1"/>
        <v>45.66</v>
      </c>
      <c r="G6134" s="1120">
        <v>45.66</v>
      </c>
      <c r="H6134" s="1127">
        <v>0.0</v>
      </c>
      <c r="I6134" s="1127">
        <v>0.0</v>
      </c>
      <c r="J6134" s="1127">
        <v>0.0</v>
      </c>
      <c r="K6134" s="1124"/>
    </row>
    <row r="6135" ht="15.75" customHeight="1">
      <c r="A6135" s="1119">
        <v>89171.0</v>
      </c>
      <c r="B6135" s="1125" t="s">
        <v>16414</v>
      </c>
      <c r="C6135" s="1126" t="s">
        <v>1814</v>
      </c>
      <c r="D6135" s="1119">
        <v>55.54</v>
      </c>
      <c r="E6135" s="1120">
        <v>10.87</v>
      </c>
      <c r="F6135" s="1121">
        <f t="shared" si="1"/>
        <v>44.65</v>
      </c>
      <c r="G6135" s="1120">
        <v>44.65</v>
      </c>
      <c r="H6135" s="1127">
        <v>0.0</v>
      </c>
      <c r="I6135" s="1127">
        <v>0.0</v>
      </c>
      <c r="J6135" s="1127">
        <v>0.0</v>
      </c>
      <c r="K6135" s="1124"/>
    </row>
    <row r="6136" ht="15.75" customHeight="1">
      <c r="A6136" s="1119">
        <v>93389.0</v>
      </c>
      <c r="B6136" s="1125" t="s">
        <v>16415</v>
      </c>
      <c r="C6136" s="1126" t="s">
        <v>1814</v>
      </c>
      <c r="D6136" s="1119">
        <v>62.51</v>
      </c>
      <c r="E6136" s="1120">
        <v>19.96</v>
      </c>
      <c r="F6136" s="1121">
        <f t="shared" si="1"/>
        <v>42.55</v>
      </c>
      <c r="G6136" s="1120">
        <v>42.55</v>
      </c>
      <c r="H6136" s="1127">
        <v>0.0</v>
      </c>
      <c r="I6136" s="1127">
        <v>0.0</v>
      </c>
      <c r="J6136" s="1127">
        <v>0.0</v>
      </c>
      <c r="K6136" s="1124"/>
    </row>
    <row r="6137" ht="15.75" customHeight="1">
      <c r="A6137" s="1119">
        <v>93390.0</v>
      </c>
      <c r="B6137" s="1125" t="s">
        <v>16416</v>
      </c>
      <c r="C6137" s="1126" t="s">
        <v>1814</v>
      </c>
      <c r="D6137" s="1119">
        <v>54.6</v>
      </c>
      <c r="E6137" s="1120">
        <v>14.41</v>
      </c>
      <c r="F6137" s="1121">
        <f t="shared" si="1"/>
        <v>40.18</v>
      </c>
      <c r="G6137" s="1120">
        <v>40.18</v>
      </c>
      <c r="H6137" s="1127">
        <v>0.0</v>
      </c>
      <c r="I6137" s="1127">
        <v>0.0</v>
      </c>
      <c r="J6137" s="1127">
        <v>0.0</v>
      </c>
      <c r="K6137" s="1124"/>
    </row>
    <row r="6138" ht="15.75" customHeight="1">
      <c r="A6138" s="1119">
        <v>93391.0</v>
      </c>
      <c r="B6138" s="1125" t="s">
        <v>16417</v>
      </c>
      <c r="C6138" s="1126" t="s">
        <v>1814</v>
      </c>
      <c r="D6138" s="1119">
        <v>46.15</v>
      </c>
      <c r="E6138" s="1120">
        <v>8.14</v>
      </c>
      <c r="F6138" s="1121">
        <f t="shared" si="1"/>
        <v>38.01</v>
      </c>
      <c r="G6138" s="1120">
        <v>38.01</v>
      </c>
      <c r="H6138" s="1127">
        <v>0.0</v>
      </c>
      <c r="I6138" s="1127">
        <v>0.0</v>
      </c>
      <c r="J6138" s="1127">
        <v>0.0</v>
      </c>
      <c r="K6138" s="1124"/>
    </row>
    <row r="6139" ht="15.75" customHeight="1">
      <c r="A6139" s="1119">
        <v>104593.0</v>
      </c>
      <c r="B6139" s="1125" t="s">
        <v>16418</v>
      </c>
      <c r="C6139" s="1126" t="s">
        <v>1814</v>
      </c>
      <c r="D6139" s="1119">
        <v>117.85</v>
      </c>
      <c r="E6139" s="1120">
        <v>27.75</v>
      </c>
      <c r="F6139" s="1121">
        <f t="shared" si="1"/>
        <v>90.1</v>
      </c>
      <c r="G6139" s="1120">
        <v>90.1</v>
      </c>
      <c r="H6139" s="1127">
        <v>0.0</v>
      </c>
      <c r="I6139" s="1127">
        <v>0.0</v>
      </c>
      <c r="J6139" s="1127">
        <v>0.0</v>
      </c>
      <c r="K6139" s="1124"/>
    </row>
    <row r="6140" ht="15.75" customHeight="1">
      <c r="A6140" s="1119">
        <v>104594.0</v>
      </c>
      <c r="B6140" s="1125" t="s">
        <v>16419</v>
      </c>
      <c r="C6140" s="1126" t="s">
        <v>1814</v>
      </c>
      <c r="D6140" s="1119">
        <v>102.11</v>
      </c>
      <c r="E6140" s="1120">
        <v>18.53</v>
      </c>
      <c r="F6140" s="1121">
        <f t="shared" si="1"/>
        <v>83.57</v>
      </c>
      <c r="G6140" s="1120">
        <v>83.57</v>
      </c>
      <c r="H6140" s="1127">
        <v>0.0</v>
      </c>
      <c r="I6140" s="1127">
        <v>0.0</v>
      </c>
      <c r="J6140" s="1127">
        <v>0.0</v>
      </c>
      <c r="K6140" s="1124"/>
    </row>
    <row r="6141" ht="15.75" customHeight="1">
      <c r="A6141" s="1119">
        <v>104595.0</v>
      </c>
      <c r="B6141" s="1125" t="s">
        <v>16420</v>
      </c>
      <c r="C6141" s="1126" t="s">
        <v>1814</v>
      </c>
      <c r="D6141" s="1119">
        <v>88.79</v>
      </c>
      <c r="E6141" s="1120">
        <v>9.83</v>
      </c>
      <c r="F6141" s="1121">
        <f t="shared" si="1"/>
        <v>78.97</v>
      </c>
      <c r="G6141" s="1120">
        <v>78.97</v>
      </c>
      <c r="H6141" s="1127">
        <v>0.0</v>
      </c>
      <c r="I6141" s="1127">
        <v>0.0</v>
      </c>
      <c r="J6141" s="1127">
        <v>0.0</v>
      </c>
      <c r="K6141" s="1124"/>
    </row>
    <row r="6142" ht="15.75" customHeight="1">
      <c r="A6142" s="1119">
        <v>104596.0</v>
      </c>
      <c r="B6142" s="1125" t="s">
        <v>16421</v>
      </c>
      <c r="C6142" s="1126" t="s">
        <v>1814</v>
      </c>
      <c r="D6142" s="1119">
        <v>182.19</v>
      </c>
      <c r="E6142" s="1120">
        <v>33.98</v>
      </c>
      <c r="F6142" s="1121">
        <f t="shared" si="1"/>
        <v>148.21</v>
      </c>
      <c r="G6142" s="1120">
        <v>148.21</v>
      </c>
      <c r="H6142" s="1127">
        <v>0.0</v>
      </c>
      <c r="I6142" s="1127">
        <v>0.0</v>
      </c>
      <c r="J6142" s="1127">
        <v>0.0</v>
      </c>
      <c r="K6142" s="1124"/>
    </row>
    <row r="6143" ht="15.75" customHeight="1">
      <c r="A6143" s="1119">
        <v>104597.0</v>
      </c>
      <c r="B6143" s="1125" t="s">
        <v>16422</v>
      </c>
      <c r="C6143" s="1126" t="s">
        <v>1814</v>
      </c>
      <c r="D6143" s="1119">
        <v>164.46</v>
      </c>
      <c r="E6143" s="1120">
        <v>24.75</v>
      </c>
      <c r="F6143" s="1121">
        <f t="shared" si="1"/>
        <v>139.71</v>
      </c>
      <c r="G6143" s="1120">
        <v>139.71</v>
      </c>
      <c r="H6143" s="1127">
        <v>0.0</v>
      </c>
      <c r="I6143" s="1127">
        <v>0.0</v>
      </c>
      <c r="J6143" s="1127">
        <v>0.0</v>
      </c>
      <c r="K6143" s="1124"/>
    </row>
    <row r="6144" ht="15.75" customHeight="1">
      <c r="A6144" s="1119">
        <v>104598.0</v>
      </c>
      <c r="B6144" s="1125" t="s">
        <v>16423</v>
      </c>
      <c r="C6144" s="1126" t="s">
        <v>1814</v>
      </c>
      <c r="D6144" s="1119">
        <v>150.14</v>
      </c>
      <c r="E6144" s="1120">
        <v>16.04</v>
      </c>
      <c r="F6144" s="1121">
        <f t="shared" si="1"/>
        <v>134.08</v>
      </c>
      <c r="G6144" s="1120">
        <v>134.08</v>
      </c>
      <c r="H6144" s="1127">
        <v>0.0</v>
      </c>
      <c r="I6144" s="1127">
        <v>0.0</v>
      </c>
      <c r="J6144" s="1127">
        <v>0.0</v>
      </c>
      <c r="K6144" s="1124"/>
    </row>
    <row r="6145" ht="15.75" customHeight="1">
      <c r="A6145" s="1119">
        <v>104599.0</v>
      </c>
      <c r="B6145" s="1125" t="s">
        <v>16424</v>
      </c>
      <c r="C6145" s="1126" t="s">
        <v>1814</v>
      </c>
      <c r="D6145" s="1119">
        <v>82.83</v>
      </c>
      <c r="E6145" s="1120">
        <v>28.92</v>
      </c>
      <c r="F6145" s="1121">
        <f t="shared" si="1"/>
        <v>53.91</v>
      </c>
      <c r="G6145" s="1120">
        <v>53.91</v>
      </c>
      <c r="H6145" s="1127">
        <v>0.0</v>
      </c>
      <c r="I6145" s="1127">
        <v>0.0</v>
      </c>
      <c r="J6145" s="1127">
        <v>0.0</v>
      </c>
      <c r="K6145" s="1124"/>
    </row>
    <row r="6146" ht="15.75" customHeight="1">
      <c r="A6146" s="1119">
        <v>104600.0</v>
      </c>
      <c r="B6146" s="1125" t="s">
        <v>16425</v>
      </c>
      <c r="C6146" s="1126" t="s">
        <v>1814</v>
      </c>
      <c r="D6146" s="1119">
        <v>76.61</v>
      </c>
      <c r="E6146" s="1120">
        <v>28.92</v>
      </c>
      <c r="F6146" s="1121">
        <f t="shared" si="1"/>
        <v>47.69</v>
      </c>
      <c r="G6146" s="1120">
        <v>47.69</v>
      </c>
      <c r="H6146" s="1127">
        <v>0.0</v>
      </c>
      <c r="I6146" s="1127">
        <v>0.0</v>
      </c>
      <c r="J6146" s="1127">
        <v>0.0</v>
      </c>
      <c r="K6146" s="1124"/>
    </row>
    <row r="6147" ht="15.75" customHeight="1">
      <c r="A6147" s="1119">
        <v>104601.0</v>
      </c>
      <c r="B6147" s="1125" t="s">
        <v>16426</v>
      </c>
      <c r="C6147" s="1126" t="s">
        <v>1814</v>
      </c>
      <c r="D6147" s="1119">
        <v>65.78</v>
      </c>
      <c r="E6147" s="1120">
        <v>17.81</v>
      </c>
      <c r="F6147" s="1121">
        <f t="shared" si="1"/>
        <v>47.98</v>
      </c>
      <c r="G6147" s="1120">
        <v>47.98</v>
      </c>
      <c r="H6147" s="1127">
        <v>0.0</v>
      </c>
      <c r="I6147" s="1127">
        <v>0.0</v>
      </c>
      <c r="J6147" s="1127">
        <v>0.0</v>
      </c>
      <c r="K6147" s="1124"/>
    </row>
    <row r="6148" ht="15.75" customHeight="1">
      <c r="A6148" s="1119">
        <v>104602.0</v>
      </c>
      <c r="B6148" s="1125" t="s">
        <v>16427</v>
      </c>
      <c r="C6148" s="1126" t="s">
        <v>1814</v>
      </c>
      <c r="D6148" s="1119">
        <v>59.94</v>
      </c>
      <c r="E6148" s="1120">
        <v>17.81</v>
      </c>
      <c r="F6148" s="1121">
        <f t="shared" si="1"/>
        <v>42.14</v>
      </c>
      <c r="G6148" s="1120">
        <v>42.14</v>
      </c>
      <c r="H6148" s="1127">
        <v>0.0</v>
      </c>
      <c r="I6148" s="1127">
        <v>0.0</v>
      </c>
      <c r="J6148" s="1127">
        <v>0.0</v>
      </c>
      <c r="K6148" s="1124"/>
    </row>
    <row r="6149" ht="15.75" customHeight="1">
      <c r="A6149" s="1119">
        <v>104603.0</v>
      </c>
      <c r="B6149" s="1125" t="s">
        <v>16428</v>
      </c>
      <c r="C6149" s="1126" t="s">
        <v>1814</v>
      </c>
      <c r="D6149" s="1119">
        <v>54.52</v>
      </c>
      <c r="E6149" s="1120">
        <v>9.83</v>
      </c>
      <c r="F6149" s="1121">
        <f t="shared" si="1"/>
        <v>44.7</v>
      </c>
      <c r="G6149" s="1120">
        <v>44.7</v>
      </c>
      <c r="H6149" s="1127">
        <v>0.0</v>
      </c>
      <c r="I6149" s="1127">
        <v>0.0</v>
      </c>
      <c r="J6149" s="1127">
        <v>0.0</v>
      </c>
      <c r="K6149" s="1124"/>
    </row>
    <row r="6150" ht="15.75" customHeight="1">
      <c r="A6150" s="1119">
        <v>104604.0</v>
      </c>
      <c r="B6150" s="1125" t="s">
        <v>16429</v>
      </c>
      <c r="C6150" s="1126" t="s">
        <v>1814</v>
      </c>
      <c r="D6150" s="1119">
        <v>48.79</v>
      </c>
      <c r="E6150" s="1120">
        <v>9.84</v>
      </c>
      <c r="F6150" s="1121">
        <f t="shared" si="1"/>
        <v>38.96</v>
      </c>
      <c r="G6150" s="1120">
        <v>38.96</v>
      </c>
      <c r="H6150" s="1127">
        <v>0.0</v>
      </c>
      <c r="I6150" s="1127">
        <v>0.0</v>
      </c>
      <c r="J6150" s="1127">
        <v>0.0</v>
      </c>
      <c r="K6150" s="1124"/>
    </row>
    <row r="6151" ht="15.75" customHeight="1">
      <c r="A6151" s="1119">
        <v>104605.0</v>
      </c>
      <c r="B6151" s="1125" t="s">
        <v>16430</v>
      </c>
      <c r="C6151" s="1126" t="s">
        <v>1814</v>
      </c>
      <c r="D6151" s="1119">
        <v>104.44</v>
      </c>
      <c r="E6151" s="1120">
        <v>42.38</v>
      </c>
      <c r="F6151" s="1121">
        <f t="shared" si="1"/>
        <v>62.06</v>
      </c>
      <c r="G6151" s="1120">
        <v>62.06</v>
      </c>
      <c r="H6151" s="1127">
        <v>0.0</v>
      </c>
      <c r="I6151" s="1127">
        <v>0.0</v>
      </c>
      <c r="J6151" s="1127">
        <v>0.0</v>
      </c>
      <c r="K6151" s="1124"/>
    </row>
    <row r="6152" ht="15.75" customHeight="1">
      <c r="A6152" s="1119">
        <v>104606.0</v>
      </c>
      <c r="B6152" s="1125" t="s">
        <v>16431</v>
      </c>
      <c r="C6152" s="1126" t="s">
        <v>1814</v>
      </c>
      <c r="D6152" s="1119">
        <v>70.52</v>
      </c>
      <c r="E6152" s="1120">
        <v>20.88</v>
      </c>
      <c r="F6152" s="1121">
        <f t="shared" si="1"/>
        <v>49.64</v>
      </c>
      <c r="G6152" s="1120">
        <v>49.64</v>
      </c>
      <c r="H6152" s="1127">
        <v>0.0</v>
      </c>
      <c r="I6152" s="1127">
        <v>0.0</v>
      </c>
      <c r="J6152" s="1127">
        <v>0.0</v>
      </c>
      <c r="K6152" s="1124"/>
    </row>
    <row r="6153" ht="15.75" customHeight="1">
      <c r="A6153" s="1119">
        <v>104607.0</v>
      </c>
      <c r="B6153" s="1125" t="s">
        <v>16432</v>
      </c>
      <c r="C6153" s="1126" t="s">
        <v>1814</v>
      </c>
      <c r="D6153" s="1119">
        <v>56.01</v>
      </c>
      <c r="E6153" s="1120">
        <v>10.88</v>
      </c>
      <c r="F6153" s="1121">
        <f t="shared" si="1"/>
        <v>45.12</v>
      </c>
      <c r="G6153" s="1120">
        <v>45.12</v>
      </c>
      <c r="H6153" s="1127">
        <v>0.0</v>
      </c>
      <c r="I6153" s="1127">
        <v>0.0</v>
      </c>
      <c r="J6153" s="1127">
        <v>0.0</v>
      </c>
      <c r="K6153" s="1124"/>
    </row>
    <row r="6154" ht="15.75" customHeight="1">
      <c r="A6154" s="1119">
        <v>104608.0</v>
      </c>
      <c r="B6154" s="1125" t="s">
        <v>16433</v>
      </c>
      <c r="C6154" s="1126" t="s">
        <v>1814</v>
      </c>
      <c r="D6154" s="1119">
        <v>195.8</v>
      </c>
      <c r="E6154" s="1120">
        <v>48.6</v>
      </c>
      <c r="F6154" s="1121">
        <f t="shared" si="1"/>
        <v>147.21</v>
      </c>
      <c r="G6154" s="1120">
        <v>147.21</v>
      </c>
      <c r="H6154" s="1127">
        <v>0.0</v>
      </c>
      <c r="I6154" s="1127">
        <v>0.0</v>
      </c>
      <c r="J6154" s="1127">
        <v>0.0</v>
      </c>
      <c r="K6154" s="1124"/>
    </row>
    <row r="6155" ht="15.75" customHeight="1">
      <c r="A6155" s="1119">
        <v>104609.0</v>
      </c>
      <c r="B6155" s="1125" t="s">
        <v>16434</v>
      </c>
      <c r="C6155" s="1126" t="s">
        <v>1814</v>
      </c>
      <c r="D6155" s="1119">
        <v>152.84</v>
      </c>
      <c r="E6155" s="1120">
        <v>27.09</v>
      </c>
      <c r="F6155" s="1121">
        <f t="shared" si="1"/>
        <v>125.75</v>
      </c>
      <c r="G6155" s="1120">
        <v>125.75</v>
      </c>
      <c r="H6155" s="1127">
        <v>0.0</v>
      </c>
      <c r="I6155" s="1127">
        <v>0.0</v>
      </c>
      <c r="J6155" s="1127">
        <v>0.0</v>
      </c>
      <c r="K6155" s="1124"/>
    </row>
    <row r="6156" ht="15.75" customHeight="1">
      <c r="A6156" s="1119">
        <v>104610.0</v>
      </c>
      <c r="B6156" s="1125" t="s">
        <v>16435</v>
      </c>
      <c r="C6156" s="1126" t="s">
        <v>1814</v>
      </c>
      <c r="D6156" s="1119">
        <v>136.21</v>
      </c>
      <c r="E6156" s="1120">
        <v>17.1</v>
      </c>
      <c r="F6156" s="1121">
        <f t="shared" si="1"/>
        <v>119.12</v>
      </c>
      <c r="G6156" s="1120">
        <v>119.12</v>
      </c>
      <c r="H6156" s="1127">
        <v>0.0</v>
      </c>
      <c r="I6156" s="1127">
        <v>0.0</v>
      </c>
      <c r="J6156" s="1127">
        <v>0.0</v>
      </c>
      <c r="K6156" s="1124"/>
    </row>
    <row r="6157" ht="15.75" customHeight="1">
      <c r="A6157" s="1119">
        <v>98671.0</v>
      </c>
      <c r="B6157" s="1125" t="s">
        <v>16436</v>
      </c>
      <c r="C6157" s="1126" t="s">
        <v>1814</v>
      </c>
      <c r="D6157" s="1119">
        <v>427.41</v>
      </c>
      <c r="E6157" s="1120">
        <v>43.39</v>
      </c>
      <c r="F6157" s="1121">
        <f t="shared" si="1"/>
        <v>384</v>
      </c>
      <c r="G6157" s="1120">
        <v>384.0</v>
      </c>
      <c r="H6157" s="1127">
        <v>0.0</v>
      </c>
      <c r="I6157" s="1127">
        <v>0.0</v>
      </c>
      <c r="J6157" s="1127">
        <v>0.0</v>
      </c>
      <c r="K6157" s="1124"/>
    </row>
    <row r="6158" ht="15.75" customHeight="1">
      <c r="A6158" s="1119">
        <v>98672.0</v>
      </c>
      <c r="B6158" s="1125" t="s">
        <v>16437</v>
      </c>
      <c r="C6158" s="1126" t="s">
        <v>1814</v>
      </c>
      <c r="D6158" s="1119">
        <v>646.09</v>
      </c>
      <c r="E6158" s="1120">
        <v>43.39</v>
      </c>
      <c r="F6158" s="1121">
        <f t="shared" si="1"/>
        <v>602.68</v>
      </c>
      <c r="G6158" s="1120">
        <v>602.68</v>
      </c>
      <c r="H6158" s="1127">
        <v>0.0</v>
      </c>
      <c r="I6158" s="1127">
        <v>0.0</v>
      </c>
      <c r="J6158" s="1127">
        <v>0.0</v>
      </c>
      <c r="K6158" s="1124"/>
    </row>
    <row r="6159" ht="15.75" customHeight="1">
      <c r="A6159" s="1119">
        <v>98678.0</v>
      </c>
      <c r="B6159" s="1125" t="s">
        <v>16438</v>
      </c>
      <c r="C6159" s="1126" t="s">
        <v>1814</v>
      </c>
      <c r="D6159" s="1119">
        <v>606.64</v>
      </c>
      <c r="E6159" s="1120">
        <v>13.62</v>
      </c>
      <c r="F6159" s="1121">
        <f t="shared" si="1"/>
        <v>593.02</v>
      </c>
      <c r="G6159" s="1120">
        <v>593.02</v>
      </c>
      <c r="H6159" s="1127">
        <v>0.0</v>
      </c>
      <c r="I6159" s="1127">
        <v>0.0</v>
      </c>
      <c r="J6159" s="1127">
        <v>0.0</v>
      </c>
      <c r="K6159" s="1124"/>
    </row>
    <row r="6160" ht="15.75" customHeight="1">
      <c r="A6160" s="1119">
        <v>98679.0</v>
      </c>
      <c r="B6160" s="1125" t="s">
        <v>16439</v>
      </c>
      <c r="C6160" s="1126" t="s">
        <v>1814</v>
      </c>
      <c r="D6160" s="1119">
        <v>39.93</v>
      </c>
      <c r="E6160" s="1120">
        <v>14.29</v>
      </c>
      <c r="F6160" s="1121">
        <f t="shared" si="1"/>
        <v>25.64</v>
      </c>
      <c r="G6160" s="1120">
        <v>25.59</v>
      </c>
      <c r="H6160" s="1127">
        <v>0.03</v>
      </c>
      <c r="I6160" s="1127">
        <v>0.0</v>
      </c>
      <c r="J6160" s="1127">
        <v>0.02</v>
      </c>
      <c r="K6160" s="1124"/>
    </row>
    <row r="6161" ht="15.75" customHeight="1">
      <c r="A6161" s="1119">
        <v>98680.0</v>
      </c>
      <c r="B6161" s="1125" t="s">
        <v>16440</v>
      </c>
      <c r="C6161" s="1126" t="s">
        <v>1814</v>
      </c>
      <c r="D6161" s="1119">
        <v>49.4</v>
      </c>
      <c r="E6161" s="1120">
        <v>16.42</v>
      </c>
      <c r="F6161" s="1121">
        <f t="shared" si="1"/>
        <v>32.99</v>
      </c>
      <c r="G6161" s="1120">
        <v>32.9</v>
      </c>
      <c r="H6161" s="1127">
        <v>0.06</v>
      </c>
      <c r="I6161" s="1127">
        <v>0.0</v>
      </c>
      <c r="J6161" s="1127">
        <v>0.03</v>
      </c>
      <c r="K6161" s="1124"/>
    </row>
    <row r="6162" ht="15.75" customHeight="1">
      <c r="A6162" s="1119">
        <v>98681.0</v>
      </c>
      <c r="B6162" s="1125" t="s">
        <v>16441</v>
      </c>
      <c r="C6162" s="1126" t="s">
        <v>1814</v>
      </c>
      <c r="D6162" s="1119">
        <v>37.05</v>
      </c>
      <c r="E6162" s="1120">
        <v>12.43</v>
      </c>
      <c r="F6162" s="1121">
        <f t="shared" si="1"/>
        <v>24.63</v>
      </c>
      <c r="G6162" s="1120">
        <v>24.58</v>
      </c>
      <c r="H6162" s="1127">
        <v>0.03</v>
      </c>
      <c r="I6162" s="1127">
        <v>0.0</v>
      </c>
      <c r="J6162" s="1127">
        <v>0.02</v>
      </c>
      <c r="K6162" s="1124"/>
    </row>
    <row r="6163" ht="15.75" customHeight="1">
      <c r="A6163" s="1119">
        <v>98682.0</v>
      </c>
      <c r="B6163" s="1125" t="s">
        <v>16442</v>
      </c>
      <c r="C6163" s="1126" t="s">
        <v>1814</v>
      </c>
      <c r="D6163" s="1119">
        <v>46.52</v>
      </c>
      <c r="E6163" s="1120">
        <v>14.55</v>
      </c>
      <c r="F6163" s="1121">
        <f t="shared" si="1"/>
        <v>31.98</v>
      </c>
      <c r="G6163" s="1120">
        <v>31.89</v>
      </c>
      <c r="H6163" s="1127">
        <v>0.06</v>
      </c>
      <c r="I6163" s="1127">
        <v>0.0</v>
      </c>
      <c r="J6163" s="1127">
        <v>0.03</v>
      </c>
      <c r="K6163" s="1124"/>
    </row>
    <row r="6164" ht="15.75" customHeight="1">
      <c r="A6164" s="1119">
        <v>98685.0</v>
      </c>
      <c r="B6164" s="1125" t="s">
        <v>16443</v>
      </c>
      <c r="C6164" s="1126" t="s">
        <v>1731</v>
      </c>
      <c r="D6164" s="1119">
        <v>78.77</v>
      </c>
      <c r="E6164" s="1120">
        <v>10.91</v>
      </c>
      <c r="F6164" s="1121">
        <f t="shared" si="1"/>
        <v>67.86</v>
      </c>
      <c r="G6164" s="1120">
        <v>67.86</v>
      </c>
      <c r="H6164" s="1127">
        <v>0.0</v>
      </c>
      <c r="I6164" s="1127">
        <v>0.0</v>
      </c>
      <c r="J6164" s="1127">
        <v>0.0</v>
      </c>
      <c r="K6164" s="1124"/>
    </row>
    <row r="6165" ht="15.75" customHeight="1">
      <c r="A6165" s="1119">
        <v>98686.0</v>
      </c>
      <c r="B6165" s="1125" t="s">
        <v>16444</v>
      </c>
      <c r="C6165" s="1126" t="s">
        <v>1731</v>
      </c>
      <c r="D6165" s="1119">
        <v>45.46</v>
      </c>
      <c r="E6165" s="1120">
        <v>27.3</v>
      </c>
      <c r="F6165" s="1121">
        <f t="shared" si="1"/>
        <v>18.16</v>
      </c>
      <c r="G6165" s="1120">
        <v>18.16</v>
      </c>
      <c r="H6165" s="1127">
        <v>0.0</v>
      </c>
      <c r="I6165" s="1127">
        <v>0.0</v>
      </c>
      <c r="J6165" s="1127">
        <v>0.0</v>
      </c>
      <c r="K6165" s="1124"/>
    </row>
    <row r="6166" ht="15.75" customHeight="1">
      <c r="A6166" s="1119">
        <v>98688.0</v>
      </c>
      <c r="B6166" s="1125" t="s">
        <v>16445</v>
      </c>
      <c r="C6166" s="1126" t="s">
        <v>1731</v>
      </c>
      <c r="D6166" s="1119">
        <v>60.93</v>
      </c>
      <c r="E6166" s="1120">
        <v>3.42</v>
      </c>
      <c r="F6166" s="1121">
        <f t="shared" si="1"/>
        <v>57.51</v>
      </c>
      <c r="G6166" s="1120">
        <v>57.51</v>
      </c>
      <c r="H6166" s="1127">
        <v>0.0</v>
      </c>
      <c r="I6166" s="1127">
        <v>0.0</v>
      </c>
      <c r="J6166" s="1127">
        <v>0.0</v>
      </c>
      <c r="K6166" s="1124"/>
    </row>
    <row r="6167" ht="15.75" customHeight="1">
      <c r="A6167" s="1119">
        <v>98689.0</v>
      </c>
      <c r="B6167" s="1125" t="s">
        <v>16446</v>
      </c>
      <c r="C6167" s="1126" t="s">
        <v>1731</v>
      </c>
      <c r="D6167" s="1119">
        <v>113.53</v>
      </c>
      <c r="E6167" s="1120">
        <v>19.97</v>
      </c>
      <c r="F6167" s="1121">
        <f t="shared" si="1"/>
        <v>93.56</v>
      </c>
      <c r="G6167" s="1120">
        <v>93.56</v>
      </c>
      <c r="H6167" s="1127">
        <v>0.0</v>
      </c>
      <c r="I6167" s="1127">
        <v>0.0</v>
      </c>
      <c r="J6167" s="1127">
        <v>0.0</v>
      </c>
      <c r="K6167" s="1124"/>
    </row>
    <row r="6168" ht="15.75" customHeight="1">
      <c r="A6168" s="1119">
        <v>101090.0</v>
      </c>
      <c r="B6168" s="1125" t="s">
        <v>16447</v>
      </c>
      <c r="C6168" s="1126" t="s">
        <v>1814</v>
      </c>
      <c r="D6168" s="1119">
        <v>206.09</v>
      </c>
      <c r="E6168" s="1120">
        <v>24.78</v>
      </c>
      <c r="F6168" s="1121">
        <f t="shared" si="1"/>
        <v>181.32</v>
      </c>
      <c r="G6168" s="1120">
        <v>181.32</v>
      </c>
      <c r="H6168" s="1127">
        <v>0.0</v>
      </c>
      <c r="I6168" s="1127">
        <v>0.0</v>
      </c>
      <c r="J6168" s="1127">
        <v>0.0</v>
      </c>
      <c r="K6168" s="1124"/>
    </row>
    <row r="6169" ht="15.75" customHeight="1">
      <c r="A6169" s="1119">
        <v>101091.0</v>
      </c>
      <c r="B6169" s="1125" t="s">
        <v>16448</v>
      </c>
      <c r="C6169" s="1126" t="s">
        <v>1814</v>
      </c>
      <c r="D6169" s="1119">
        <v>130.48</v>
      </c>
      <c r="E6169" s="1120">
        <v>41.06</v>
      </c>
      <c r="F6169" s="1121">
        <f t="shared" si="1"/>
        <v>89.42</v>
      </c>
      <c r="G6169" s="1120">
        <v>89.42</v>
      </c>
      <c r="H6169" s="1127">
        <v>0.0</v>
      </c>
      <c r="I6169" s="1127">
        <v>0.0</v>
      </c>
      <c r="J6169" s="1127">
        <v>0.0</v>
      </c>
      <c r="K6169" s="1124"/>
    </row>
    <row r="6170" ht="15.75" customHeight="1">
      <c r="A6170" s="1119">
        <v>101725.0</v>
      </c>
      <c r="B6170" s="1125" t="s">
        <v>16449</v>
      </c>
      <c r="C6170" s="1126" t="s">
        <v>1814</v>
      </c>
      <c r="D6170" s="1119">
        <v>285.94</v>
      </c>
      <c r="E6170" s="1120">
        <v>152.67</v>
      </c>
      <c r="F6170" s="1121">
        <f t="shared" si="1"/>
        <v>133.28</v>
      </c>
      <c r="G6170" s="1120">
        <v>133.28</v>
      </c>
      <c r="H6170" s="1127">
        <v>0.0</v>
      </c>
      <c r="I6170" s="1127">
        <v>0.0</v>
      </c>
      <c r="J6170" s="1127">
        <v>0.0</v>
      </c>
      <c r="K6170" s="1124"/>
    </row>
    <row r="6171" ht="15.75" customHeight="1">
      <c r="A6171" s="1119">
        <v>101726.0</v>
      </c>
      <c r="B6171" s="1125" t="s">
        <v>16450</v>
      </c>
      <c r="C6171" s="1126" t="s">
        <v>1814</v>
      </c>
      <c r="D6171" s="1119">
        <v>178.3</v>
      </c>
      <c r="E6171" s="1120">
        <v>73.09</v>
      </c>
      <c r="F6171" s="1121">
        <f t="shared" si="1"/>
        <v>105.21</v>
      </c>
      <c r="G6171" s="1120">
        <v>105.21</v>
      </c>
      <c r="H6171" s="1127">
        <v>0.0</v>
      </c>
      <c r="I6171" s="1127">
        <v>0.0</v>
      </c>
      <c r="J6171" s="1127">
        <v>0.0</v>
      </c>
      <c r="K6171" s="1124"/>
    </row>
    <row r="6172" ht="15.75" customHeight="1">
      <c r="A6172" s="1119">
        <v>101731.0</v>
      </c>
      <c r="B6172" s="1125" t="s">
        <v>16451</v>
      </c>
      <c r="C6172" s="1126" t="s">
        <v>1814</v>
      </c>
      <c r="D6172" s="1119">
        <v>306.1</v>
      </c>
      <c r="E6172" s="1120">
        <v>44.53</v>
      </c>
      <c r="F6172" s="1121">
        <f t="shared" si="1"/>
        <v>261.58</v>
      </c>
      <c r="G6172" s="1120">
        <v>261.53</v>
      </c>
      <c r="H6172" s="1127">
        <v>0.03</v>
      </c>
      <c r="I6172" s="1127">
        <v>0.0</v>
      </c>
      <c r="J6172" s="1127">
        <v>0.02</v>
      </c>
      <c r="K6172" s="1124"/>
    </row>
    <row r="6173" ht="15.75" customHeight="1">
      <c r="A6173" s="1119">
        <v>101732.0</v>
      </c>
      <c r="B6173" s="1125" t="s">
        <v>16452</v>
      </c>
      <c r="C6173" s="1126" t="s">
        <v>1814</v>
      </c>
      <c r="D6173" s="1119">
        <v>98.79</v>
      </c>
      <c r="E6173" s="1120">
        <v>30.22</v>
      </c>
      <c r="F6173" s="1121">
        <f t="shared" si="1"/>
        <v>68.57</v>
      </c>
      <c r="G6173" s="1120">
        <v>68.52</v>
      </c>
      <c r="H6173" s="1127">
        <v>0.03</v>
      </c>
      <c r="I6173" s="1127">
        <v>0.0</v>
      </c>
      <c r="J6173" s="1127">
        <v>0.02</v>
      </c>
      <c r="K6173" s="1124"/>
    </row>
    <row r="6174" ht="15.75" customHeight="1">
      <c r="A6174" s="1119">
        <v>101094.0</v>
      </c>
      <c r="B6174" s="1125" t="s">
        <v>16453</v>
      </c>
      <c r="C6174" s="1126" t="s">
        <v>1731</v>
      </c>
      <c r="D6174" s="1119">
        <v>164.58</v>
      </c>
      <c r="E6174" s="1120">
        <v>14.57</v>
      </c>
      <c r="F6174" s="1121">
        <f t="shared" si="1"/>
        <v>150.02</v>
      </c>
      <c r="G6174" s="1120">
        <v>150.02</v>
      </c>
      <c r="H6174" s="1127">
        <v>0.0</v>
      </c>
      <c r="I6174" s="1127">
        <v>0.0</v>
      </c>
      <c r="J6174" s="1127">
        <v>0.0</v>
      </c>
      <c r="K6174" s="1124"/>
    </row>
    <row r="6175" ht="15.75" customHeight="1">
      <c r="A6175" s="1119">
        <v>101727.0</v>
      </c>
      <c r="B6175" s="1125" t="s">
        <v>16454</v>
      </c>
      <c r="C6175" s="1126" t="s">
        <v>1814</v>
      </c>
      <c r="D6175" s="1119">
        <v>190.9</v>
      </c>
      <c r="E6175" s="1120">
        <v>5.68</v>
      </c>
      <c r="F6175" s="1121">
        <f t="shared" si="1"/>
        <v>185.23</v>
      </c>
      <c r="G6175" s="1120">
        <v>185.23</v>
      </c>
      <c r="H6175" s="1127">
        <v>0.0</v>
      </c>
      <c r="I6175" s="1127">
        <v>0.0</v>
      </c>
      <c r="J6175" s="1127">
        <v>0.0</v>
      </c>
      <c r="K6175" s="1124"/>
    </row>
    <row r="6176" ht="15.75" customHeight="1">
      <c r="A6176" s="1119">
        <v>101733.0</v>
      </c>
      <c r="B6176" s="1125" t="s">
        <v>16455</v>
      </c>
      <c r="C6176" s="1126" t="s">
        <v>1814</v>
      </c>
      <c r="D6176" s="1119">
        <v>264.88</v>
      </c>
      <c r="E6176" s="1120">
        <v>24.04</v>
      </c>
      <c r="F6176" s="1121">
        <f t="shared" si="1"/>
        <v>240.84</v>
      </c>
      <c r="G6176" s="1120">
        <v>240.84</v>
      </c>
      <c r="H6176" s="1127">
        <v>0.0</v>
      </c>
      <c r="I6176" s="1127">
        <v>0.0</v>
      </c>
      <c r="J6176" s="1127">
        <v>0.0</v>
      </c>
      <c r="K6176" s="1124"/>
    </row>
    <row r="6177" ht="15.75" customHeight="1">
      <c r="A6177" s="1119">
        <v>101734.0</v>
      </c>
      <c r="B6177" s="1125" t="s">
        <v>16456</v>
      </c>
      <c r="C6177" s="1126" t="s">
        <v>1814</v>
      </c>
      <c r="D6177" s="1119">
        <v>398.24</v>
      </c>
      <c r="E6177" s="1120">
        <v>24.04</v>
      </c>
      <c r="F6177" s="1121">
        <f t="shared" si="1"/>
        <v>374.2</v>
      </c>
      <c r="G6177" s="1120">
        <v>374.2</v>
      </c>
      <c r="H6177" s="1127">
        <v>0.0</v>
      </c>
      <c r="I6177" s="1127">
        <v>0.0</v>
      </c>
      <c r="J6177" s="1127">
        <v>0.0</v>
      </c>
      <c r="K6177" s="1124"/>
    </row>
    <row r="6178" ht="15.75" customHeight="1">
      <c r="A6178" s="1119">
        <v>101735.0</v>
      </c>
      <c r="B6178" s="1125" t="s">
        <v>16457</v>
      </c>
      <c r="C6178" s="1126" t="s">
        <v>1814</v>
      </c>
      <c r="D6178" s="1119">
        <v>407.91</v>
      </c>
      <c r="E6178" s="1120">
        <v>24.04</v>
      </c>
      <c r="F6178" s="1121">
        <f t="shared" si="1"/>
        <v>383.87</v>
      </c>
      <c r="G6178" s="1120">
        <v>383.87</v>
      </c>
      <c r="H6178" s="1127">
        <v>0.0</v>
      </c>
      <c r="I6178" s="1127">
        <v>0.0</v>
      </c>
      <c r="J6178" s="1127">
        <v>0.0</v>
      </c>
      <c r="K6178" s="1124"/>
    </row>
    <row r="6179" ht="15.75" customHeight="1">
      <c r="A6179" s="1119">
        <v>101736.0</v>
      </c>
      <c r="B6179" s="1125" t="s">
        <v>16458</v>
      </c>
      <c r="C6179" s="1126" t="s">
        <v>1814</v>
      </c>
      <c r="D6179" s="1119">
        <v>106.26</v>
      </c>
      <c r="E6179" s="1120">
        <v>15.43</v>
      </c>
      <c r="F6179" s="1121">
        <f t="shared" si="1"/>
        <v>90.82</v>
      </c>
      <c r="G6179" s="1120">
        <v>90.82</v>
      </c>
      <c r="H6179" s="1127">
        <v>0.0</v>
      </c>
      <c r="I6179" s="1127">
        <v>0.0</v>
      </c>
      <c r="J6179" s="1127">
        <v>0.0</v>
      </c>
      <c r="K6179" s="1124"/>
    </row>
    <row r="6180" ht="15.75" customHeight="1">
      <c r="A6180" s="1119">
        <v>101737.0</v>
      </c>
      <c r="B6180" s="1125" t="s">
        <v>16459</v>
      </c>
      <c r="C6180" s="1126" t="s">
        <v>1814</v>
      </c>
      <c r="D6180" s="1119">
        <v>125.4</v>
      </c>
      <c r="E6180" s="1120">
        <v>15.42</v>
      </c>
      <c r="F6180" s="1121">
        <f t="shared" si="1"/>
        <v>109.96</v>
      </c>
      <c r="G6180" s="1120">
        <v>109.96</v>
      </c>
      <c r="H6180" s="1127">
        <v>0.0</v>
      </c>
      <c r="I6180" s="1127">
        <v>0.0</v>
      </c>
      <c r="J6180" s="1127">
        <v>0.0</v>
      </c>
      <c r="K6180" s="1124"/>
    </row>
    <row r="6181" ht="15.75" customHeight="1">
      <c r="A6181" s="1119">
        <v>101748.0</v>
      </c>
      <c r="B6181" s="1125" t="s">
        <v>16460</v>
      </c>
      <c r="C6181" s="1126" t="s">
        <v>1814</v>
      </c>
      <c r="D6181" s="1119">
        <v>4.16</v>
      </c>
      <c r="E6181" s="1120">
        <v>3.05</v>
      </c>
      <c r="F6181" s="1121">
        <f t="shared" si="1"/>
        <v>1.11</v>
      </c>
      <c r="G6181" s="1120">
        <v>1.02</v>
      </c>
      <c r="H6181" s="1127">
        <v>0.03</v>
      </c>
      <c r="I6181" s="1127">
        <v>0.0</v>
      </c>
      <c r="J6181" s="1127">
        <v>0.06</v>
      </c>
      <c r="K6181" s="1124"/>
    </row>
    <row r="6182" ht="15.75" customHeight="1">
      <c r="A6182" s="1119">
        <v>104162.0</v>
      </c>
      <c r="B6182" s="1125" t="s">
        <v>16461</v>
      </c>
      <c r="C6182" s="1126" t="s">
        <v>1814</v>
      </c>
      <c r="D6182" s="1119">
        <v>107.34</v>
      </c>
      <c r="E6182" s="1120">
        <v>39.18</v>
      </c>
      <c r="F6182" s="1121">
        <f t="shared" si="1"/>
        <v>68.18</v>
      </c>
      <c r="G6182" s="1120">
        <v>67.69</v>
      </c>
      <c r="H6182" s="1127">
        <v>0.31</v>
      </c>
      <c r="I6182" s="1127">
        <v>0.0</v>
      </c>
      <c r="J6182" s="1127">
        <v>0.18</v>
      </c>
      <c r="K6182" s="1124"/>
    </row>
    <row r="6183" ht="15.75" customHeight="1">
      <c r="A6183" s="1119">
        <v>101092.0</v>
      </c>
      <c r="B6183" s="1125" t="s">
        <v>16462</v>
      </c>
      <c r="C6183" s="1126" t="s">
        <v>1814</v>
      </c>
      <c r="D6183" s="1119">
        <v>441.27</v>
      </c>
      <c r="E6183" s="1120">
        <v>53.9</v>
      </c>
      <c r="F6183" s="1121">
        <f t="shared" si="1"/>
        <v>387.37</v>
      </c>
      <c r="G6183" s="1120">
        <v>387.37</v>
      </c>
      <c r="H6183" s="1127">
        <v>0.0</v>
      </c>
      <c r="I6183" s="1127">
        <v>0.0</v>
      </c>
      <c r="J6183" s="1127">
        <v>0.0</v>
      </c>
      <c r="K6183" s="1124"/>
    </row>
    <row r="6184" ht="15.75" customHeight="1">
      <c r="A6184" s="1119">
        <v>101093.0</v>
      </c>
      <c r="B6184" s="1125" t="s">
        <v>16463</v>
      </c>
      <c r="C6184" s="1126" t="s">
        <v>1814</v>
      </c>
      <c r="D6184" s="1119">
        <v>659.95</v>
      </c>
      <c r="E6184" s="1120">
        <v>53.9</v>
      </c>
      <c r="F6184" s="1121">
        <f t="shared" si="1"/>
        <v>606.05</v>
      </c>
      <c r="G6184" s="1120">
        <v>606.05</v>
      </c>
      <c r="H6184" s="1127">
        <v>0.0</v>
      </c>
      <c r="I6184" s="1127">
        <v>0.0</v>
      </c>
      <c r="J6184" s="1127">
        <v>0.0</v>
      </c>
      <c r="K6184" s="1124"/>
    </row>
    <row r="6185" ht="15.75" customHeight="1">
      <c r="A6185" s="1119">
        <v>98695.0</v>
      </c>
      <c r="B6185" s="1125" t="s">
        <v>16464</v>
      </c>
      <c r="C6185" s="1126" t="s">
        <v>1731</v>
      </c>
      <c r="D6185" s="1119">
        <v>116.4</v>
      </c>
      <c r="E6185" s="1120">
        <v>19.97</v>
      </c>
      <c r="F6185" s="1121">
        <f t="shared" si="1"/>
        <v>96.43</v>
      </c>
      <c r="G6185" s="1120">
        <v>96.43</v>
      </c>
      <c r="H6185" s="1127">
        <v>0.0</v>
      </c>
      <c r="I6185" s="1127">
        <v>0.0</v>
      </c>
      <c r="J6185" s="1127">
        <v>0.0</v>
      </c>
      <c r="K6185" s="1124"/>
    </row>
    <row r="6186" ht="15.75" customHeight="1">
      <c r="A6186" s="1119">
        <v>98697.0</v>
      </c>
      <c r="B6186" s="1125" t="s">
        <v>16465</v>
      </c>
      <c r="C6186" s="1126" t="s">
        <v>1731</v>
      </c>
      <c r="D6186" s="1119">
        <v>76.84</v>
      </c>
      <c r="E6186" s="1120">
        <v>10.91</v>
      </c>
      <c r="F6186" s="1121">
        <f t="shared" si="1"/>
        <v>65.93</v>
      </c>
      <c r="G6186" s="1120">
        <v>65.93</v>
      </c>
      <c r="H6186" s="1127">
        <v>0.0</v>
      </c>
      <c r="I6186" s="1127">
        <v>0.0</v>
      </c>
      <c r="J6186" s="1127">
        <v>0.0</v>
      </c>
      <c r="K6186" s="1124"/>
    </row>
    <row r="6187" ht="15.75" customHeight="1">
      <c r="A6187" s="1119">
        <v>101738.0</v>
      </c>
      <c r="B6187" s="1125" t="s">
        <v>16466</v>
      </c>
      <c r="C6187" s="1126" t="s">
        <v>1731</v>
      </c>
      <c r="D6187" s="1119">
        <v>31.14</v>
      </c>
      <c r="E6187" s="1120">
        <v>11.52</v>
      </c>
      <c r="F6187" s="1121">
        <f t="shared" si="1"/>
        <v>19.62</v>
      </c>
      <c r="G6187" s="1120">
        <v>19.62</v>
      </c>
      <c r="H6187" s="1127">
        <v>0.0</v>
      </c>
      <c r="I6187" s="1127">
        <v>0.0</v>
      </c>
      <c r="J6187" s="1127">
        <v>0.0</v>
      </c>
      <c r="K6187" s="1124"/>
    </row>
    <row r="6188" ht="15.75" customHeight="1">
      <c r="A6188" s="1119">
        <v>101739.0</v>
      </c>
      <c r="B6188" s="1125" t="s">
        <v>16467</v>
      </c>
      <c r="C6188" s="1126" t="s">
        <v>1731</v>
      </c>
      <c r="D6188" s="1119">
        <v>34.54</v>
      </c>
      <c r="E6188" s="1120">
        <v>13.42</v>
      </c>
      <c r="F6188" s="1121">
        <f t="shared" si="1"/>
        <v>21.12</v>
      </c>
      <c r="G6188" s="1120">
        <v>21.12</v>
      </c>
      <c r="H6188" s="1127">
        <v>0.0</v>
      </c>
      <c r="I6188" s="1127">
        <v>0.0</v>
      </c>
      <c r="J6188" s="1127">
        <v>0.0</v>
      </c>
      <c r="K6188" s="1124"/>
    </row>
    <row r="6189" ht="15.75" customHeight="1">
      <c r="A6189" s="1119">
        <v>88648.0</v>
      </c>
      <c r="B6189" s="1125" t="s">
        <v>16468</v>
      </c>
      <c r="C6189" s="1126" t="s">
        <v>1731</v>
      </c>
      <c r="D6189" s="1119">
        <v>7.74</v>
      </c>
      <c r="E6189" s="1120">
        <v>2.27</v>
      </c>
      <c r="F6189" s="1121">
        <f t="shared" si="1"/>
        <v>5.46</v>
      </c>
      <c r="G6189" s="1120">
        <v>5.46</v>
      </c>
      <c r="H6189" s="1127">
        <v>0.0</v>
      </c>
      <c r="I6189" s="1127">
        <v>0.0</v>
      </c>
      <c r="J6189" s="1127">
        <v>0.0</v>
      </c>
      <c r="K6189" s="1124"/>
    </row>
    <row r="6190" ht="15.75" customHeight="1">
      <c r="A6190" s="1119">
        <v>88649.0</v>
      </c>
      <c r="B6190" s="1125" t="s">
        <v>16469</v>
      </c>
      <c r="C6190" s="1126" t="s">
        <v>1731</v>
      </c>
      <c r="D6190" s="1119">
        <v>8.74</v>
      </c>
      <c r="E6190" s="1120">
        <v>2.39</v>
      </c>
      <c r="F6190" s="1121">
        <f t="shared" si="1"/>
        <v>6.36</v>
      </c>
      <c r="G6190" s="1120">
        <v>6.36</v>
      </c>
      <c r="H6190" s="1127">
        <v>0.0</v>
      </c>
      <c r="I6190" s="1127">
        <v>0.0</v>
      </c>
      <c r="J6190" s="1127">
        <v>0.0</v>
      </c>
      <c r="K6190" s="1124"/>
    </row>
    <row r="6191" ht="15.75" customHeight="1">
      <c r="A6191" s="1119">
        <v>88650.0</v>
      </c>
      <c r="B6191" s="1125" t="s">
        <v>16470</v>
      </c>
      <c r="C6191" s="1126" t="s">
        <v>1731</v>
      </c>
      <c r="D6191" s="1119">
        <v>16.42</v>
      </c>
      <c r="E6191" s="1120">
        <v>2.69</v>
      </c>
      <c r="F6191" s="1121">
        <f t="shared" si="1"/>
        <v>13.73</v>
      </c>
      <c r="G6191" s="1120">
        <v>13.73</v>
      </c>
      <c r="H6191" s="1127">
        <v>0.0</v>
      </c>
      <c r="I6191" s="1127">
        <v>0.0</v>
      </c>
      <c r="J6191" s="1127">
        <v>0.0</v>
      </c>
      <c r="K6191" s="1124"/>
    </row>
    <row r="6192" ht="15.75" customHeight="1">
      <c r="A6192" s="1119">
        <v>96467.0</v>
      </c>
      <c r="B6192" s="1125" t="s">
        <v>16471</v>
      </c>
      <c r="C6192" s="1126" t="s">
        <v>1731</v>
      </c>
      <c r="D6192" s="1119">
        <v>7.08</v>
      </c>
      <c r="E6192" s="1120">
        <v>2.27</v>
      </c>
      <c r="F6192" s="1121">
        <f t="shared" si="1"/>
        <v>4.8</v>
      </c>
      <c r="G6192" s="1120">
        <v>4.8</v>
      </c>
      <c r="H6192" s="1127">
        <v>0.0</v>
      </c>
      <c r="I6192" s="1127">
        <v>0.0</v>
      </c>
      <c r="J6192" s="1127">
        <v>0.0</v>
      </c>
      <c r="K6192" s="1124"/>
    </row>
    <row r="6193" ht="15.75" customHeight="1">
      <c r="A6193" s="1119">
        <v>101740.0</v>
      </c>
      <c r="B6193" s="1125" t="s">
        <v>16472</v>
      </c>
      <c r="C6193" s="1126" t="s">
        <v>1731</v>
      </c>
      <c r="D6193" s="1119">
        <v>53.19</v>
      </c>
      <c r="E6193" s="1120">
        <v>27.3</v>
      </c>
      <c r="F6193" s="1121">
        <f t="shared" si="1"/>
        <v>25.91</v>
      </c>
      <c r="G6193" s="1120">
        <v>25.91</v>
      </c>
      <c r="H6193" s="1127">
        <v>0.0</v>
      </c>
      <c r="I6193" s="1127">
        <v>0.0</v>
      </c>
      <c r="J6193" s="1127">
        <v>0.0</v>
      </c>
      <c r="K6193" s="1124"/>
    </row>
    <row r="6194" ht="15.75" customHeight="1">
      <c r="A6194" s="1119">
        <v>101741.0</v>
      </c>
      <c r="B6194" s="1125" t="s">
        <v>16473</v>
      </c>
      <c r="C6194" s="1126" t="s">
        <v>1731</v>
      </c>
      <c r="D6194" s="1119">
        <v>27.78</v>
      </c>
      <c r="E6194" s="1120">
        <v>18.81</v>
      </c>
      <c r="F6194" s="1121">
        <f t="shared" si="1"/>
        <v>8.97</v>
      </c>
      <c r="G6194" s="1120">
        <v>8.97</v>
      </c>
      <c r="H6194" s="1127">
        <v>0.0</v>
      </c>
      <c r="I6194" s="1127">
        <v>0.0</v>
      </c>
      <c r="J6194" s="1127">
        <v>0.0</v>
      </c>
      <c r="K6194" s="1124"/>
    </row>
    <row r="6195" ht="15.75" customHeight="1">
      <c r="A6195" s="1119">
        <v>94990.0</v>
      </c>
      <c r="B6195" s="1125" t="s">
        <v>16474</v>
      </c>
      <c r="C6195" s="1126" t="s">
        <v>2178</v>
      </c>
      <c r="D6195" s="1119">
        <v>753.2</v>
      </c>
      <c r="E6195" s="1120">
        <v>217.4</v>
      </c>
      <c r="F6195" s="1121">
        <f t="shared" si="1"/>
        <v>535.83</v>
      </c>
      <c r="G6195" s="1120">
        <v>534.1</v>
      </c>
      <c r="H6195" s="1127">
        <v>0.92</v>
      </c>
      <c r="I6195" s="1127">
        <v>0.0</v>
      </c>
      <c r="J6195" s="1127">
        <v>0.81</v>
      </c>
      <c r="K6195" s="1124"/>
    </row>
    <row r="6196" ht="15.75" customHeight="1">
      <c r="A6196" s="1119">
        <v>94991.0</v>
      </c>
      <c r="B6196" s="1125" t="s">
        <v>16475</v>
      </c>
      <c r="C6196" s="1126" t="s">
        <v>2178</v>
      </c>
      <c r="D6196" s="1119">
        <v>625.41</v>
      </c>
      <c r="E6196" s="1120">
        <v>74.64</v>
      </c>
      <c r="F6196" s="1121">
        <f t="shared" si="1"/>
        <v>550.77</v>
      </c>
      <c r="G6196" s="1120">
        <v>550.77</v>
      </c>
      <c r="H6196" s="1127">
        <v>0.0</v>
      </c>
      <c r="I6196" s="1127">
        <v>0.0</v>
      </c>
      <c r="J6196" s="1127">
        <v>0.0</v>
      </c>
      <c r="K6196" s="1124"/>
    </row>
    <row r="6197" ht="15.75" customHeight="1">
      <c r="A6197" s="1119">
        <v>94992.0</v>
      </c>
      <c r="B6197" s="1125" t="s">
        <v>16476</v>
      </c>
      <c r="C6197" s="1126" t="s">
        <v>1814</v>
      </c>
      <c r="D6197" s="1119">
        <v>78.31</v>
      </c>
      <c r="E6197" s="1120">
        <v>15.7</v>
      </c>
      <c r="F6197" s="1121">
        <f t="shared" si="1"/>
        <v>62.63</v>
      </c>
      <c r="G6197" s="1120">
        <v>62.56</v>
      </c>
      <c r="H6197" s="1127">
        <v>0.03</v>
      </c>
      <c r="I6197" s="1127">
        <v>0.0</v>
      </c>
      <c r="J6197" s="1127">
        <v>0.04</v>
      </c>
      <c r="K6197" s="1124"/>
    </row>
    <row r="6198" ht="15.75" customHeight="1">
      <c r="A6198" s="1119">
        <v>94993.0</v>
      </c>
      <c r="B6198" s="1125" t="s">
        <v>16477</v>
      </c>
      <c r="C6198" s="1126" t="s">
        <v>1814</v>
      </c>
      <c r="D6198" s="1119">
        <v>70.65</v>
      </c>
      <c r="E6198" s="1120">
        <v>7.12</v>
      </c>
      <c r="F6198" s="1121">
        <f t="shared" si="1"/>
        <v>63.52</v>
      </c>
      <c r="G6198" s="1120">
        <v>63.52</v>
      </c>
      <c r="H6198" s="1127">
        <v>0.0</v>
      </c>
      <c r="I6198" s="1127">
        <v>0.0</v>
      </c>
      <c r="J6198" s="1127">
        <v>0.0</v>
      </c>
      <c r="K6198" s="1124"/>
    </row>
    <row r="6199" ht="15.75" customHeight="1">
      <c r="A6199" s="1119">
        <v>94994.0</v>
      </c>
      <c r="B6199" s="1125" t="s">
        <v>16478</v>
      </c>
      <c r="C6199" s="1126" t="s">
        <v>1814</v>
      </c>
      <c r="D6199" s="1119">
        <v>93.88</v>
      </c>
      <c r="E6199" s="1120">
        <v>20.54</v>
      </c>
      <c r="F6199" s="1121">
        <f t="shared" si="1"/>
        <v>73.37</v>
      </c>
      <c r="G6199" s="1120">
        <v>73.25</v>
      </c>
      <c r="H6199" s="1127">
        <v>0.06</v>
      </c>
      <c r="I6199" s="1127">
        <v>0.0</v>
      </c>
      <c r="J6199" s="1127">
        <v>0.06</v>
      </c>
      <c r="K6199" s="1124"/>
    </row>
    <row r="6200" ht="15.75" customHeight="1">
      <c r="A6200" s="1119">
        <v>94995.0</v>
      </c>
      <c r="B6200" s="1125" t="s">
        <v>16479</v>
      </c>
      <c r="C6200" s="1126" t="s">
        <v>1814</v>
      </c>
      <c r="D6200" s="1119">
        <v>83.65</v>
      </c>
      <c r="E6200" s="1120">
        <v>9.12</v>
      </c>
      <c r="F6200" s="1121">
        <f t="shared" si="1"/>
        <v>74.55</v>
      </c>
      <c r="G6200" s="1120">
        <v>74.55</v>
      </c>
      <c r="H6200" s="1127">
        <v>0.0</v>
      </c>
      <c r="I6200" s="1127">
        <v>0.0</v>
      </c>
      <c r="J6200" s="1127">
        <v>0.0</v>
      </c>
      <c r="K6200" s="1124"/>
    </row>
    <row r="6201" ht="15.75" customHeight="1">
      <c r="A6201" s="1119">
        <v>101747.0</v>
      </c>
      <c r="B6201" s="1125" t="s">
        <v>16480</v>
      </c>
      <c r="C6201" s="1126" t="s">
        <v>1814</v>
      </c>
      <c r="D6201" s="1119">
        <v>72.39</v>
      </c>
      <c r="E6201" s="1120">
        <v>3.55</v>
      </c>
      <c r="F6201" s="1121">
        <f t="shared" si="1"/>
        <v>68.83</v>
      </c>
      <c r="G6201" s="1120">
        <v>68.83</v>
      </c>
      <c r="H6201" s="1127">
        <v>0.0</v>
      </c>
      <c r="I6201" s="1127">
        <v>0.0</v>
      </c>
      <c r="J6201" s="1127">
        <v>0.0</v>
      </c>
      <c r="K6201" s="1124"/>
    </row>
    <row r="6202" ht="15.75" customHeight="1">
      <c r="A6202" s="1119">
        <v>104626.0</v>
      </c>
      <c r="B6202" s="1125" t="s">
        <v>16481</v>
      </c>
      <c r="C6202" s="1126" t="s">
        <v>2178</v>
      </c>
      <c r="D6202" s="1119">
        <v>639.53</v>
      </c>
      <c r="E6202" s="1120">
        <v>74.64</v>
      </c>
      <c r="F6202" s="1121">
        <f t="shared" si="1"/>
        <v>564.89</v>
      </c>
      <c r="G6202" s="1120">
        <v>564.89</v>
      </c>
      <c r="H6202" s="1127">
        <v>0.0</v>
      </c>
      <c r="I6202" s="1127">
        <v>0.0</v>
      </c>
      <c r="J6202" s="1127">
        <v>0.0</v>
      </c>
      <c r="K6202" s="1124"/>
    </row>
    <row r="6203" ht="15.75" customHeight="1">
      <c r="A6203" s="1119">
        <v>104658.0</v>
      </c>
      <c r="B6203" s="1125" t="s">
        <v>16482</v>
      </c>
      <c r="C6203" s="1126" t="s">
        <v>1814</v>
      </c>
      <c r="D6203" s="1119">
        <v>182.23</v>
      </c>
      <c r="E6203" s="1120">
        <v>76.12</v>
      </c>
      <c r="F6203" s="1121">
        <f t="shared" si="1"/>
        <v>106.11</v>
      </c>
      <c r="G6203" s="1120">
        <v>106.11</v>
      </c>
      <c r="H6203" s="1127">
        <v>0.0</v>
      </c>
      <c r="I6203" s="1127">
        <v>0.0</v>
      </c>
      <c r="J6203" s="1127">
        <v>0.0</v>
      </c>
      <c r="K6203" s="1124"/>
    </row>
    <row r="6204" ht="15.75" customHeight="1">
      <c r="A6204" s="1119">
        <v>87620.0</v>
      </c>
      <c r="B6204" s="1125" t="s">
        <v>16483</v>
      </c>
      <c r="C6204" s="1126" t="s">
        <v>1814</v>
      </c>
      <c r="D6204" s="1119">
        <v>31.54</v>
      </c>
      <c r="E6204" s="1120">
        <v>9.84</v>
      </c>
      <c r="F6204" s="1121">
        <f t="shared" si="1"/>
        <v>21.71</v>
      </c>
      <c r="G6204" s="1120">
        <v>21.65</v>
      </c>
      <c r="H6204" s="1127">
        <v>0.04</v>
      </c>
      <c r="I6204" s="1127">
        <v>0.0</v>
      </c>
      <c r="J6204" s="1127">
        <v>0.02</v>
      </c>
      <c r="K6204" s="1124"/>
    </row>
    <row r="6205" ht="15.75" customHeight="1">
      <c r="A6205" s="1119">
        <v>87622.0</v>
      </c>
      <c r="B6205" s="1125" t="s">
        <v>16484</v>
      </c>
      <c r="C6205" s="1126" t="s">
        <v>1814</v>
      </c>
      <c r="D6205" s="1119">
        <v>36.19</v>
      </c>
      <c r="E6205" s="1120">
        <v>13.09</v>
      </c>
      <c r="F6205" s="1121">
        <f t="shared" si="1"/>
        <v>23.1</v>
      </c>
      <c r="G6205" s="1120">
        <v>23.1</v>
      </c>
      <c r="H6205" s="1127">
        <v>0.0</v>
      </c>
      <c r="I6205" s="1127">
        <v>0.0</v>
      </c>
      <c r="J6205" s="1127">
        <v>0.0</v>
      </c>
      <c r="K6205" s="1124"/>
    </row>
    <row r="6206" ht="15.75" customHeight="1">
      <c r="A6206" s="1119">
        <v>87623.0</v>
      </c>
      <c r="B6206" s="1125" t="s">
        <v>16485</v>
      </c>
      <c r="C6206" s="1126" t="s">
        <v>1814</v>
      </c>
      <c r="D6206" s="1119">
        <v>69.34</v>
      </c>
      <c r="E6206" s="1120">
        <v>9.35</v>
      </c>
      <c r="F6206" s="1121">
        <f t="shared" si="1"/>
        <v>59.99</v>
      </c>
      <c r="G6206" s="1120">
        <v>59.82</v>
      </c>
      <c r="H6206" s="1127">
        <v>0.12</v>
      </c>
      <c r="I6206" s="1127">
        <v>0.0</v>
      </c>
      <c r="J6206" s="1127">
        <v>0.05</v>
      </c>
      <c r="K6206" s="1124"/>
    </row>
    <row r="6207" ht="15.75" customHeight="1">
      <c r="A6207" s="1119">
        <v>87624.0</v>
      </c>
      <c r="B6207" s="1125" t="s">
        <v>16485</v>
      </c>
      <c r="C6207" s="1126" t="s">
        <v>1814</v>
      </c>
      <c r="D6207" s="1119">
        <v>77.41</v>
      </c>
      <c r="E6207" s="1120">
        <v>14.44</v>
      </c>
      <c r="F6207" s="1121">
        <f t="shared" si="1"/>
        <v>62.98</v>
      </c>
      <c r="G6207" s="1120">
        <v>62.98</v>
      </c>
      <c r="H6207" s="1127">
        <v>0.0</v>
      </c>
      <c r="I6207" s="1127">
        <v>0.0</v>
      </c>
      <c r="J6207" s="1127">
        <v>0.0</v>
      </c>
      <c r="K6207" s="1124"/>
    </row>
    <row r="6208" ht="15.75" customHeight="1">
      <c r="A6208" s="1119">
        <v>87630.0</v>
      </c>
      <c r="B6208" s="1125" t="s">
        <v>16486</v>
      </c>
      <c r="C6208" s="1126" t="s">
        <v>1814</v>
      </c>
      <c r="D6208" s="1119">
        <v>40.12</v>
      </c>
      <c r="E6208" s="1120">
        <v>11.94</v>
      </c>
      <c r="F6208" s="1121">
        <f t="shared" si="1"/>
        <v>28.2</v>
      </c>
      <c r="G6208" s="1120">
        <v>28.11</v>
      </c>
      <c r="H6208" s="1127">
        <v>0.06</v>
      </c>
      <c r="I6208" s="1127">
        <v>0.0</v>
      </c>
      <c r="J6208" s="1127">
        <v>0.03</v>
      </c>
      <c r="K6208" s="1124"/>
    </row>
    <row r="6209" ht="15.75" customHeight="1">
      <c r="A6209" s="1119">
        <v>87632.0</v>
      </c>
      <c r="B6209" s="1125" t="s">
        <v>16487</v>
      </c>
      <c r="C6209" s="1126" t="s">
        <v>1814</v>
      </c>
      <c r="D6209" s="1119">
        <v>46.59</v>
      </c>
      <c r="E6209" s="1120">
        <v>16.46</v>
      </c>
      <c r="F6209" s="1121">
        <f t="shared" si="1"/>
        <v>30.13</v>
      </c>
      <c r="G6209" s="1120">
        <v>30.13</v>
      </c>
      <c r="H6209" s="1127">
        <v>0.0</v>
      </c>
      <c r="I6209" s="1127">
        <v>0.0</v>
      </c>
      <c r="J6209" s="1127">
        <v>0.0</v>
      </c>
      <c r="K6209" s="1124"/>
    </row>
    <row r="6210" ht="15.75" customHeight="1">
      <c r="A6210" s="1119">
        <v>87633.0</v>
      </c>
      <c r="B6210" s="1125" t="s">
        <v>16488</v>
      </c>
      <c r="C6210" s="1126" t="s">
        <v>1814</v>
      </c>
      <c r="D6210" s="1119">
        <v>92.68</v>
      </c>
      <c r="E6210" s="1120">
        <v>11.26</v>
      </c>
      <c r="F6210" s="1121">
        <f t="shared" si="1"/>
        <v>81.41</v>
      </c>
      <c r="G6210" s="1120">
        <v>81.16</v>
      </c>
      <c r="H6210" s="1127">
        <v>0.17</v>
      </c>
      <c r="I6210" s="1127">
        <v>0.0</v>
      </c>
      <c r="J6210" s="1127">
        <v>0.08</v>
      </c>
      <c r="K6210" s="1124"/>
    </row>
    <row r="6211" ht="15.75" customHeight="1">
      <c r="A6211" s="1119">
        <v>87634.0</v>
      </c>
      <c r="B6211" s="1125" t="s">
        <v>16489</v>
      </c>
      <c r="C6211" s="1126" t="s">
        <v>1814</v>
      </c>
      <c r="D6211" s="1119">
        <v>103.89</v>
      </c>
      <c r="E6211" s="1120">
        <v>18.32</v>
      </c>
      <c r="F6211" s="1121">
        <f t="shared" si="1"/>
        <v>85.57</v>
      </c>
      <c r="G6211" s="1120">
        <v>85.57</v>
      </c>
      <c r="H6211" s="1127">
        <v>0.0</v>
      </c>
      <c r="I6211" s="1127">
        <v>0.0</v>
      </c>
      <c r="J6211" s="1127">
        <v>0.0</v>
      </c>
      <c r="K6211" s="1124"/>
    </row>
    <row r="6212" ht="15.75" customHeight="1">
      <c r="A6212" s="1119">
        <v>87640.0</v>
      </c>
      <c r="B6212" s="1125" t="s">
        <v>16490</v>
      </c>
      <c r="C6212" s="1126" t="s">
        <v>1814</v>
      </c>
      <c r="D6212" s="1119">
        <v>47.17</v>
      </c>
      <c r="E6212" s="1120">
        <v>13.67</v>
      </c>
      <c r="F6212" s="1121">
        <f t="shared" si="1"/>
        <v>33.5</v>
      </c>
      <c r="G6212" s="1120">
        <v>33.39</v>
      </c>
      <c r="H6212" s="1127">
        <v>0.07</v>
      </c>
      <c r="I6212" s="1127">
        <v>0.0</v>
      </c>
      <c r="J6212" s="1127">
        <v>0.04</v>
      </c>
      <c r="K6212" s="1124"/>
    </row>
    <row r="6213" ht="15.75" customHeight="1">
      <c r="A6213" s="1119">
        <v>87642.0</v>
      </c>
      <c r="B6213" s="1125" t="s">
        <v>16491</v>
      </c>
      <c r="C6213" s="1126" t="s">
        <v>1814</v>
      </c>
      <c r="D6213" s="1119">
        <v>55.12</v>
      </c>
      <c r="E6213" s="1120">
        <v>19.24</v>
      </c>
      <c r="F6213" s="1121">
        <f t="shared" si="1"/>
        <v>35.88</v>
      </c>
      <c r="G6213" s="1120">
        <v>35.88</v>
      </c>
      <c r="H6213" s="1127">
        <v>0.0</v>
      </c>
      <c r="I6213" s="1127">
        <v>0.0</v>
      </c>
      <c r="J6213" s="1127">
        <v>0.0</v>
      </c>
      <c r="K6213" s="1124"/>
    </row>
    <row r="6214" ht="15.75" customHeight="1">
      <c r="A6214" s="1119">
        <v>87643.0</v>
      </c>
      <c r="B6214" s="1125" t="s">
        <v>16492</v>
      </c>
      <c r="C6214" s="1126" t="s">
        <v>1814</v>
      </c>
      <c r="D6214" s="1119">
        <v>111.8</v>
      </c>
      <c r="E6214" s="1120">
        <v>12.86</v>
      </c>
      <c r="F6214" s="1121">
        <f t="shared" si="1"/>
        <v>98.94</v>
      </c>
      <c r="G6214" s="1120">
        <v>98.65</v>
      </c>
      <c r="H6214" s="1127">
        <v>0.2</v>
      </c>
      <c r="I6214" s="1127">
        <v>0.0</v>
      </c>
      <c r="J6214" s="1127">
        <v>0.09</v>
      </c>
      <c r="K6214" s="1124"/>
    </row>
    <row r="6215" ht="15.75" customHeight="1">
      <c r="A6215" s="1119">
        <v>87644.0</v>
      </c>
      <c r="B6215" s="1125" t="s">
        <v>16493</v>
      </c>
      <c r="C6215" s="1126" t="s">
        <v>1814</v>
      </c>
      <c r="D6215" s="1119">
        <v>125.59</v>
      </c>
      <c r="E6215" s="1120">
        <v>21.54</v>
      </c>
      <c r="F6215" s="1121">
        <f t="shared" si="1"/>
        <v>104.05</v>
      </c>
      <c r="G6215" s="1120">
        <v>104.05</v>
      </c>
      <c r="H6215" s="1127">
        <v>0.0</v>
      </c>
      <c r="I6215" s="1127">
        <v>0.0</v>
      </c>
      <c r="J6215" s="1127">
        <v>0.0</v>
      </c>
      <c r="K6215" s="1124"/>
    </row>
    <row r="6216" ht="15.75" customHeight="1">
      <c r="A6216" s="1119">
        <v>87680.0</v>
      </c>
      <c r="B6216" s="1125" t="s">
        <v>16494</v>
      </c>
      <c r="C6216" s="1126" t="s">
        <v>1814</v>
      </c>
      <c r="D6216" s="1119">
        <v>42.59</v>
      </c>
      <c r="E6216" s="1120">
        <v>12.89</v>
      </c>
      <c r="F6216" s="1121">
        <f t="shared" si="1"/>
        <v>29.7</v>
      </c>
      <c r="G6216" s="1120">
        <v>29.59</v>
      </c>
      <c r="H6216" s="1127">
        <v>0.07</v>
      </c>
      <c r="I6216" s="1127">
        <v>0.0</v>
      </c>
      <c r="J6216" s="1127">
        <v>0.04</v>
      </c>
      <c r="K6216" s="1124"/>
    </row>
    <row r="6217" ht="15.75" customHeight="1">
      <c r="A6217" s="1119">
        <v>87682.0</v>
      </c>
      <c r="B6217" s="1125" t="s">
        <v>16495</v>
      </c>
      <c r="C6217" s="1126" t="s">
        <v>1814</v>
      </c>
      <c r="D6217" s="1119">
        <v>50.54</v>
      </c>
      <c r="E6217" s="1120">
        <v>18.46</v>
      </c>
      <c r="F6217" s="1121">
        <f t="shared" si="1"/>
        <v>32.08</v>
      </c>
      <c r="G6217" s="1120">
        <v>32.08</v>
      </c>
      <c r="H6217" s="1127">
        <v>0.0</v>
      </c>
      <c r="I6217" s="1127">
        <v>0.0</v>
      </c>
      <c r="J6217" s="1127">
        <v>0.0</v>
      </c>
      <c r="K6217" s="1124"/>
    </row>
    <row r="6218" ht="15.75" customHeight="1">
      <c r="A6218" s="1119">
        <v>87683.0</v>
      </c>
      <c r="B6218" s="1125" t="s">
        <v>16496</v>
      </c>
      <c r="C6218" s="1126" t="s">
        <v>1814</v>
      </c>
      <c r="D6218" s="1119">
        <v>107.22</v>
      </c>
      <c r="E6218" s="1120">
        <v>12.08</v>
      </c>
      <c r="F6218" s="1121">
        <f t="shared" si="1"/>
        <v>95.14</v>
      </c>
      <c r="G6218" s="1120">
        <v>94.85</v>
      </c>
      <c r="H6218" s="1127">
        <v>0.2</v>
      </c>
      <c r="I6218" s="1127">
        <v>0.0</v>
      </c>
      <c r="J6218" s="1127">
        <v>0.09</v>
      </c>
      <c r="K6218" s="1124"/>
    </row>
    <row r="6219" ht="15.75" customHeight="1">
      <c r="A6219" s="1119">
        <v>87684.0</v>
      </c>
      <c r="B6219" s="1125" t="s">
        <v>16497</v>
      </c>
      <c r="C6219" s="1126" t="s">
        <v>1814</v>
      </c>
      <c r="D6219" s="1119">
        <v>121.01</v>
      </c>
      <c r="E6219" s="1120">
        <v>20.76</v>
      </c>
      <c r="F6219" s="1121">
        <f t="shared" si="1"/>
        <v>100.25</v>
      </c>
      <c r="G6219" s="1120">
        <v>100.25</v>
      </c>
      <c r="H6219" s="1127">
        <v>0.0</v>
      </c>
      <c r="I6219" s="1127">
        <v>0.0</v>
      </c>
      <c r="J6219" s="1127">
        <v>0.0</v>
      </c>
      <c r="K6219" s="1124"/>
    </row>
    <row r="6220" ht="15.75" customHeight="1">
      <c r="A6220" s="1119">
        <v>87690.0</v>
      </c>
      <c r="B6220" s="1125" t="s">
        <v>16498</v>
      </c>
      <c r="C6220" s="1126" t="s">
        <v>1814</v>
      </c>
      <c r="D6220" s="1119">
        <v>48.81</v>
      </c>
      <c r="E6220" s="1120">
        <v>14.79</v>
      </c>
      <c r="F6220" s="1121">
        <f t="shared" si="1"/>
        <v>34.03</v>
      </c>
      <c r="G6220" s="1120">
        <v>33.89</v>
      </c>
      <c r="H6220" s="1127">
        <v>0.09</v>
      </c>
      <c r="I6220" s="1127">
        <v>0.0</v>
      </c>
      <c r="J6220" s="1127">
        <v>0.05</v>
      </c>
      <c r="K6220" s="1124"/>
    </row>
    <row r="6221" ht="15.75" customHeight="1">
      <c r="A6221" s="1119">
        <v>87692.0</v>
      </c>
      <c r="B6221" s="1125" t="s">
        <v>16499</v>
      </c>
      <c r="C6221" s="1126" t="s">
        <v>1814</v>
      </c>
      <c r="D6221" s="1119">
        <v>57.91</v>
      </c>
      <c r="E6221" s="1120">
        <v>21.18</v>
      </c>
      <c r="F6221" s="1121">
        <f t="shared" si="1"/>
        <v>36.74</v>
      </c>
      <c r="G6221" s="1120">
        <v>36.74</v>
      </c>
      <c r="H6221" s="1127">
        <v>0.0</v>
      </c>
      <c r="I6221" s="1127">
        <v>0.0</v>
      </c>
      <c r="J6221" s="1127">
        <v>0.0</v>
      </c>
      <c r="K6221" s="1124"/>
    </row>
    <row r="6222" ht="15.75" customHeight="1">
      <c r="A6222" s="1119">
        <v>87693.0</v>
      </c>
      <c r="B6222" s="1125" t="s">
        <v>16500</v>
      </c>
      <c r="C6222" s="1126" t="s">
        <v>1814</v>
      </c>
      <c r="D6222" s="1119">
        <v>122.82</v>
      </c>
      <c r="E6222" s="1120">
        <v>13.87</v>
      </c>
      <c r="F6222" s="1121">
        <f t="shared" si="1"/>
        <v>108.96</v>
      </c>
      <c r="G6222" s="1120">
        <v>108.61</v>
      </c>
      <c r="H6222" s="1127">
        <v>0.24</v>
      </c>
      <c r="I6222" s="1127">
        <v>0.0</v>
      </c>
      <c r="J6222" s="1127">
        <v>0.11</v>
      </c>
      <c r="K6222" s="1124"/>
    </row>
    <row r="6223" ht="15.75" customHeight="1">
      <c r="A6223" s="1119">
        <v>87694.0</v>
      </c>
      <c r="B6223" s="1125" t="s">
        <v>16501</v>
      </c>
      <c r="C6223" s="1126" t="s">
        <v>1814</v>
      </c>
      <c r="D6223" s="1119">
        <v>138.62</v>
      </c>
      <c r="E6223" s="1120">
        <v>23.81</v>
      </c>
      <c r="F6223" s="1121">
        <f t="shared" si="1"/>
        <v>114.82</v>
      </c>
      <c r="G6223" s="1120">
        <v>114.82</v>
      </c>
      <c r="H6223" s="1127">
        <v>0.0</v>
      </c>
      <c r="I6223" s="1127">
        <v>0.0</v>
      </c>
      <c r="J6223" s="1127">
        <v>0.0</v>
      </c>
      <c r="K6223" s="1124"/>
    </row>
    <row r="6224" ht="15.75" customHeight="1">
      <c r="A6224" s="1119">
        <v>87700.0</v>
      </c>
      <c r="B6224" s="1125" t="s">
        <v>16502</v>
      </c>
      <c r="C6224" s="1126" t="s">
        <v>1814</v>
      </c>
      <c r="D6224" s="1119">
        <v>52.65</v>
      </c>
      <c r="E6224" s="1120">
        <v>15.72</v>
      </c>
      <c r="F6224" s="1121">
        <f t="shared" si="1"/>
        <v>36.92</v>
      </c>
      <c r="G6224" s="1120">
        <v>36.77</v>
      </c>
      <c r="H6224" s="1127">
        <v>0.1</v>
      </c>
      <c r="I6224" s="1127">
        <v>0.0</v>
      </c>
      <c r="J6224" s="1127">
        <v>0.05</v>
      </c>
      <c r="K6224" s="1124"/>
    </row>
    <row r="6225" ht="15.75" customHeight="1">
      <c r="A6225" s="1119">
        <v>87702.0</v>
      </c>
      <c r="B6225" s="1125" t="s">
        <v>16503</v>
      </c>
      <c r="C6225" s="1126" t="s">
        <v>1814</v>
      </c>
      <c r="D6225" s="1119">
        <v>62.56</v>
      </c>
      <c r="E6225" s="1120">
        <v>22.66</v>
      </c>
      <c r="F6225" s="1121">
        <f t="shared" si="1"/>
        <v>39.89</v>
      </c>
      <c r="G6225" s="1120">
        <v>39.89</v>
      </c>
      <c r="H6225" s="1127">
        <v>0.0</v>
      </c>
      <c r="I6225" s="1127">
        <v>0.0</v>
      </c>
      <c r="J6225" s="1127">
        <v>0.0</v>
      </c>
      <c r="K6225" s="1124"/>
    </row>
    <row r="6226" ht="15.75" customHeight="1">
      <c r="A6226" s="1119">
        <v>87703.0</v>
      </c>
      <c r="B6226" s="1125" t="s">
        <v>16504</v>
      </c>
      <c r="C6226" s="1126" t="s">
        <v>1814</v>
      </c>
      <c r="D6226" s="1119">
        <v>133.24</v>
      </c>
      <c r="E6226" s="1120">
        <v>14.71</v>
      </c>
      <c r="F6226" s="1121">
        <f t="shared" si="1"/>
        <v>118.53</v>
      </c>
      <c r="G6226" s="1120">
        <v>118.15</v>
      </c>
      <c r="H6226" s="1127">
        <v>0.26</v>
      </c>
      <c r="I6226" s="1127">
        <v>0.0</v>
      </c>
      <c r="J6226" s="1127">
        <v>0.12</v>
      </c>
      <c r="K6226" s="1124"/>
    </row>
    <row r="6227" ht="15.75" customHeight="1">
      <c r="A6227" s="1119">
        <v>87704.0</v>
      </c>
      <c r="B6227" s="1125" t="s">
        <v>16505</v>
      </c>
      <c r="C6227" s="1126" t="s">
        <v>1814</v>
      </c>
      <c r="D6227" s="1119">
        <v>150.45</v>
      </c>
      <c r="E6227" s="1120">
        <v>25.55</v>
      </c>
      <c r="F6227" s="1121">
        <f t="shared" si="1"/>
        <v>124.91</v>
      </c>
      <c r="G6227" s="1120">
        <v>124.91</v>
      </c>
      <c r="H6227" s="1127">
        <v>0.0</v>
      </c>
      <c r="I6227" s="1127">
        <v>0.0</v>
      </c>
      <c r="J6227" s="1127">
        <v>0.0</v>
      </c>
      <c r="K6227" s="1124"/>
    </row>
    <row r="6228" ht="15.75" customHeight="1">
      <c r="A6228" s="1119">
        <v>87735.0</v>
      </c>
      <c r="B6228" s="1125" t="s">
        <v>16506</v>
      </c>
      <c r="C6228" s="1126" t="s">
        <v>1814</v>
      </c>
      <c r="D6228" s="1119">
        <v>45.76</v>
      </c>
      <c r="E6228" s="1120">
        <v>20.39</v>
      </c>
      <c r="F6228" s="1121">
        <f t="shared" si="1"/>
        <v>25.38</v>
      </c>
      <c r="G6228" s="1120">
        <v>25.32</v>
      </c>
      <c r="H6228" s="1127">
        <v>0.04</v>
      </c>
      <c r="I6228" s="1127">
        <v>0.0</v>
      </c>
      <c r="J6228" s="1127">
        <v>0.02</v>
      </c>
      <c r="K6228" s="1124"/>
    </row>
    <row r="6229" ht="15.75" customHeight="1">
      <c r="A6229" s="1119">
        <v>87737.0</v>
      </c>
      <c r="B6229" s="1125" t="s">
        <v>16507</v>
      </c>
      <c r="C6229" s="1126" t="s">
        <v>1814</v>
      </c>
      <c r="D6229" s="1119">
        <v>50.41</v>
      </c>
      <c r="E6229" s="1120">
        <v>23.64</v>
      </c>
      <c r="F6229" s="1121">
        <f t="shared" si="1"/>
        <v>26.78</v>
      </c>
      <c r="G6229" s="1120">
        <v>26.78</v>
      </c>
      <c r="H6229" s="1127">
        <v>0.0</v>
      </c>
      <c r="I6229" s="1127">
        <v>0.0</v>
      </c>
      <c r="J6229" s="1127">
        <v>0.0</v>
      </c>
      <c r="K6229" s="1124"/>
    </row>
    <row r="6230" ht="15.75" customHeight="1">
      <c r="A6230" s="1119">
        <v>87738.0</v>
      </c>
      <c r="B6230" s="1125" t="s">
        <v>16508</v>
      </c>
      <c r="C6230" s="1126" t="s">
        <v>1814</v>
      </c>
      <c r="D6230" s="1119">
        <v>83.56</v>
      </c>
      <c r="E6230" s="1120">
        <v>19.9</v>
      </c>
      <c r="F6230" s="1121">
        <f t="shared" si="1"/>
        <v>63.68</v>
      </c>
      <c r="G6230" s="1120">
        <v>63.51</v>
      </c>
      <c r="H6230" s="1127">
        <v>0.12</v>
      </c>
      <c r="I6230" s="1127">
        <v>0.0</v>
      </c>
      <c r="J6230" s="1127">
        <v>0.05</v>
      </c>
      <c r="K6230" s="1124"/>
    </row>
    <row r="6231" ht="15.75" customHeight="1">
      <c r="A6231" s="1119">
        <v>87739.0</v>
      </c>
      <c r="B6231" s="1125" t="s">
        <v>16509</v>
      </c>
      <c r="C6231" s="1126" t="s">
        <v>1814</v>
      </c>
      <c r="D6231" s="1119">
        <v>91.63</v>
      </c>
      <c r="E6231" s="1120">
        <v>24.98</v>
      </c>
      <c r="F6231" s="1121">
        <f t="shared" si="1"/>
        <v>66.66</v>
      </c>
      <c r="G6231" s="1120">
        <v>66.66</v>
      </c>
      <c r="H6231" s="1127">
        <v>0.0</v>
      </c>
      <c r="I6231" s="1127">
        <v>0.0</v>
      </c>
      <c r="J6231" s="1127">
        <v>0.0</v>
      </c>
      <c r="K6231" s="1124"/>
    </row>
    <row r="6232" ht="15.75" customHeight="1">
      <c r="A6232" s="1119">
        <v>87745.0</v>
      </c>
      <c r="B6232" s="1125" t="s">
        <v>16510</v>
      </c>
      <c r="C6232" s="1126" t="s">
        <v>1814</v>
      </c>
      <c r="D6232" s="1119">
        <v>54.36</v>
      </c>
      <c r="E6232" s="1120">
        <v>22.49</v>
      </c>
      <c r="F6232" s="1121">
        <f t="shared" si="1"/>
        <v>31.88</v>
      </c>
      <c r="G6232" s="1120">
        <v>31.79</v>
      </c>
      <c r="H6232" s="1127">
        <v>0.06</v>
      </c>
      <c r="I6232" s="1127">
        <v>0.0</v>
      </c>
      <c r="J6232" s="1127">
        <v>0.03</v>
      </c>
      <c r="K6232" s="1124"/>
    </row>
    <row r="6233" ht="15.75" customHeight="1">
      <c r="A6233" s="1119">
        <v>87747.0</v>
      </c>
      <c r="B6233" s="1125" t="s">
        <v>16511</v>
      </c>
      <c r="C6233" s="1126" t="s">
        <v>1814</v>
      </c>
      <c r="D6233" s="1119">
        <v>60.83</v>
      </c>
      <c r="E6233" s="1120">
        <v>27.01</v>
      </c>
      <c r="F6233" s="1121">
        <f t="shared" si="1"/>
        <v>33.82</v>
      </c>
      <c r="G6233" s="1120">
        <v>33.82</v>
      </c>
      <c r="H6233" s="1127">
        <v>0.0</v>
      </c>
      <c r="I6233" s="1127">
        <v>0.0</v>
      </c>
      <c r="J6233" s="1127">
        <v>0.0</v>
      </c>
      <c r="K6233" s="1124"/>
    </row>
    <row r="6234" ht="15.75" customHeight="1">
      <c r="A6234" s="1119">
        <v>87748.0</v>
      </c>
      <c r="B6234" s="1125" t="s">
        <v>16512</v>
      </c>
      <c r="C6234" s="1126" t="s">
        <v>1814</v>
      </c>
      <c r="D6234" s="1119">
        <v>106.92</v>
      </c>
      <c r="E6234" s="1120">
        <v>21.81</v>
      </c>
      <c r="F6234" s="1121">
        <f t="shared" si="1"/>
        <v>85.1</v>
      </c>
      <c r="G6234" s="1120">
        <v>84.85</v>
      </c>
      <c r="H6234" s="1127">
        <v>0.17</v>
      </c>
      <c r="I6234" s="1127">
        <v>0.0</v>
      </c>
      <c r="J6234" s="1127">
        <v>0.08</v>
      </c>
      <c r="K6234" s="1124"/>
    </row>
    <row r="6235" ht="15.75" customHeight="1">
      <c r="A6235" s="1119">
        <v>87749.0</v>
      </c>
      <c r="B6235" s="1125" t="s">
        <v>16513</v>
      </c>
      <c r="C6235" s="1126" t="s">
        <v>1814</v>
      </c>
      <c r="D6235" s="1119">
        <v>118.13</v>
      </c>
      <c r="E6235" s="1120">
        <v>28.87</v>
      </c>
      <c r="F6235" s="1121">
        <f t="shared" si="1"/>
        <v>89.26</v>
      </c>
      <c r="G6235" s="1120">
        <v>89.26</v>
      </c>
      <c r="H6235" s="1127">
        <v>0.0</v>
      </c>
      <c r="I6235" s="1127">
        <v>0.0</v>
      </c>
      <c r="J6235" s="1127">
        <v>0.0</v>
      </c>
      <c r="K6235" s="1124"/>
    </row>
    <row r="6236" ht="15.75" customHeight="1">
      <c r="A6236" s="1119">
        <v>87755.0</v>
      </c>
      <c r="B6236" s="1125" t="s">
        <v>16514</v>
      </c>
      <c r="C6236" s="1126" t="s">
        <v>1814</v>
      </c>
      <c r="D6236" s="1119">
        <v>52.44</v>
      </c>
      <c r="E6236" s="1120">
        <v>23.43</v>
      </c>
      <c r="F6236" s="1121">
        <f t="shared" si="1"/>
        <v>29.02</v>
      </c>
      <c r="G6236" s="1120">
        <v>28.93</v>
      </c>
      <c r="H6236" s="1127">
        <v>0.06</v>
      </c>
      <c r="I6236" s="1127">
        <v>0.0</v>
      </c>
      <c r="J6236" s="1127">
        <v>0.03</v>
      </c>
      <c r="K6236" s="1124"/>
    </row>
    <row r="6237" ht="15.75" customHeight="1">
      <c r="A6237" s="1119">
        <v>87757.0</v>
      </c>
      <c r="B6237" s="1125" t="s">
        <v>16515</v>
      </c>
      <c r="C6237" s="1126" t="s">
        <v>1814</v>
      </c>
      <c r="D6237" s="1119">
        <v>58.91</v>
      </c>
      <c r="E6237" s="1120">
        <v>27.95</v>
      </c>
      <c r="F6237" s="1121">
        <f t="shared" si="1"/>
        <v>30.95</v>
      </c>
      <c r="G6237" s="1120">
        <v>30.95</v>
      </c>
      <c r="H6237" s="1127">
        <v>0.0</v>
      </c>
      <c r="I6237" s="1127">
        <v>0.0</v>
      </c>
      <c r="J6237" s="1127">
        <v>0.0</v>
      </c>
      <c r="K6237" s="1124"/>
    </row>
    <row r="6238" ht="15.75" customHeight="1">
      <c r="A6238" s="1119">
        <v>87758.0</v>
      </c>
      <c r="B6238" s="1125" t="s">
        <v>16516</v>
      </c>
      <c r="C6238" s="1126" t="s">
        <v>1814</v>
      </c>
      <c r="D6238" s="1119">
        <v>105.0</v>
      </c>
      <c r="E6238" s="1120">
        <v>22.75</v>
      </c>
      <c r="F6238" s="1121">
        <f t="shared" si="1"/>
        <v>82.23</v>
      </c>
      <c r="G6238" s="1120">
        <v>81.98</v>
      </c>
      <c r="H6238" s="1127">
        <v>0.17</v>
      </c>
      <c r="I6238" s="1127">
        <v>0.0</v>
      </c>
      <c r="J6238" s="1127">
        <v>0.08</v>
      </c>
      <c r="K6238" s="1124"/>
    </row>
    <row r="6239" ht="15.75" customHeight="1">
      <c r="A6239" s="1119">
        <v>87759.0</v>
      </c>
      <c r="B6239" s="1125" t="s">
        <v>16517</v>
      </c>
      <c r="C6239" s="1126" t="s">
        <v>1814</v>
      </c>
      <c r="D6239" s="1119">
        <v>116.21</v>
      </c>
      <c r="E6239" s="1120">
        <v>29.81</v>
      </c>
      <c r="F6239" s="1121">
        <f t="shared" si="1"/>
        <v>86.39</v>
      </c>
      <c r="G6239" s="1120">
        <v>86.39</v>
      </c>
      <c r="H6239" s="1127">
        <v>0.0</v>
      </c>
      <c r="I6239" s="1127">
        <v>0.0</v>
      </c>
      <c r="J6239" s="1127">
        <v>0.0</v>
      </c>
      <c r="K6239" s="1124"/>
    </row>
    <row r="6240" ht="15.75" customHeight="1">
      <c r="A6240" s="1119">
        <v>87765.0</v>
      </c>
      <c r="B6240" s="1125" t="s">
        <v>16518</v>
      </c>
      <c r="C6240" s="1126" t="s">
        <v>1814</v>
      </c>
      <c r="D6240" s="1119">
        <v>59.54</v>
      </c>
      <c r="E6240" s="1120">
        <v>25.19</v>
      </c>
      <c r="F6240" s="1121">
        <f t="shared" si="1"/>
        <v>34.35</v>
      </c>
      <c r="G6240" s="1120">
        <v>34.24</v>
      </c>
      <c r="H6240" s="1127">
        <v>0.07</v>
      </c>
      <c r="I6240" s="1127">
        <v>0.0</v>
      </c>
      <c r="J6240" s="1127">
        <v>0.04</v>
      </c>
      <c r="K6240" s="1124"/>
    </row>
    <row r="6241" ht="15.75" customHeight="1">
      <c r="A6241" s="1119">
        <v>87767.0</v>
      </c>
      <c r="B6241" s="1125" t="s">
        <v>16519</v>
      </c>
      <c r="C6241" s="1126" t="s">
        <v>1814</v>
      </c>
      <c r="D6241" s="1119">
        <v>67.49</v>
      </c>
      <c r="E6241" s="1120">
        <v>30.76</v>
      </c>
      <c r="F6241" s="1121">
        <f t="shared" si="1"/>
        <v>36.74</v>
      </c>
      <c r="G6241" s="1120">
        <v>36.74</v>
      </c>
      <c r="H6241" s="1127">
        <v>0.0</v>
      </c>
      <c r="I6241" s="1127">
        <v>0.0</v>
      </c>
      <c r="J6241" s="1127">
        <v>0.0</v>
      </c>
      <c r="K6241" s="1124"/>
    </row>
    <row r="6242" ht="15.75" customHeight="1">
      <c r="A6242" s="1119">
        <v>87768.0</v>
      </c>
      <c r="B6242" s="1125" t="s">
        <v>16520</v>
      </c>
      <c r="C6242" s="1126" t="s">
        <v>1814</v>
      </c>
      <c r="D6242" s="1119">
        <v>124.17</v>
      </c>
      <c r="E6242" s="1120">
        <v>24.38</v>
      </c>
      <c r="F6242" s="1121">
        <f t="shared" si="1"/>
        <v>99.8</v>
      </c>
      <c r="G6242" s="1120">
        <v>99.51</v>
      </c>
      <c r="H6242" s="1127">
        <v>0.2</v>
      </c>
      <c r="I6242" s="1127">
        <v>0.0</v>
      </c>
      <c r="J6242" s="1127">
        <v>0.09</v>
      </c>
      <c r="K6242" s="1124"/>
    </row>
    <row r="6243" ht="15.75" customHeight="1">
      <c r="A6243" s="1119">
        <v>87769.0</v>
      </c>
      <c r="B6243" s="1125" t="s">
        <v>16521</v>
      </c>
      <c r="C6243" s="1126" t="s">
        <v>1814</v>
      </c>
      <c r="D6243" s="1119">
        <v>137.96</v>
      </c>
      <c r="E6243" s="1120">
        <v>33.05</v>
      </c>
      <c r="F6243" s="1121">
        <f t="shared" si="1"/>
        <v>104.91</v>
      </c>
      <c r="G6243" s="1120">
        <v>104.91</v>
      </c>
      <c r="H6243" s="1127">
        <v>0.0</v>
      </c>
      <c r="I6243" s="1127">
        <v>0.0</v>
      </c>
      <c r="J6243" s="1127">
        <v>0.0</v>
      </c>
      <c r="K6243" s="1124"/>
    </row>
    <row r="6244" ht="15.75" customHeight="1">
      <c r="A6244" s="1119">
        <v>88470.0</v>
      </c>
      <c r="B6244" s="1125" t="s">
        <v>16522</v>
      </c>
      <c r="C6244" s="1126" t="s">
        <v>1814</v>
      </c>
      <c r="D6244" s="1119">
        <v>22.84</v>
      </c>
      <c r="E6244" s="1120">
        <v>2.76</v>
      </c>
      <c r="F6244" s="1121">
        <f t="shared" si="1"/>
        <v>20.08</v>
      </c>
      <c r="G6244" s="1120">
        <v>20.08</v>
      </c>
      <c r="H6244" s="1127">
        <v>0.0</v>
      </c>
      <c r="I6244" s="1127">
        <v>0.0</v>
      </c>
      <c r="J6244" s="1127">
        <v>0.0</v>
      </c>
      <c r="K6244" s="1124"/>
    </row>
    <row r="6245" ht="15.75" customHeight="1">
      <c r="A6245" s="1119">
        <v>88471.0</v>
      </c>
      <c r="B6245" s="1125" t="s">
        <v>16523</v>
      </c>
      <c r="C6245" s="1126" t="s">
        <v>1814</v>
      </c>
      <c r="D6245" s="1119">
        <v>28.72</v>
      </c>
      <c r="E6245" s="1120">
        <v>3.84</v>
      </c>
      <c r="F6245" s="1121">
        <f t="shared" si="1"/>
        <v>24.89</v>
      </c>
      <c r="G6245" s="1120">
        <v>24.89</v>
      </c>
      <c r="H6245" s="1127">
        <v>0.0</v>
      </c>
      <c r="I6245" s="1127">
        <v>0.0</v>
      </c>
      <c r="J6245" s="1127">
        <v>0.0</v>
      </c>
      <c r="K6245" s="1124"/>
    </row>
    <row r="6246" ht="15.75" customHeight="1">
      <c r="A6246" s="1119">
        <v>88472.0</v>
      </c>
      <c r="B6246" s="1125" t="s">
        <v>16524</v>
      </c>
      <c r="C6246" s="1126" t="s">
        <v>1814</v>
      </c>
      <c r="D6246" s="1119">
        <v>33.38</v>
      </c>
      <c r="E6246" s="1120">
        <v>4.66</v>
      </c>
      <c r="F6246" s="1121">
        <f t="shared" si="1"/>
        <v>28.74</v>
      </c>
      <c r="G6246" s="1120">
        <v>28.74</v>
      </c>
      <c r="H6246" s="1127">
        <v>0.0</v>
      </c>
      <c r="I6246" s="1127">
        <v>0.0</v>
      </c>
      <c r="J6246" s="1127">
        <v>0.0</v>
      </c>
      <c r="K6246" s="1124"/>
    </row>
    <row r="6247" ht="15.75" customHeight="1">
      <c r="A6247" s="1119">
        <v>88476.0</v>
      </c>
      <c r="B6247" s="1125" t="s">
        <v>16525</v>
      </c>
      <c r="C6247" s="1126" t="s">
        <v>1814</v>
      </c>
      <c r="D6247" s="1119">
        <v>19.31</v>
      </c>
      <c r="E6247" s="1120">
        <v>1.73</v>
      </c>
      <c r="F6247" s="1121">
        <f t="shared" si="1"/>
        <v>17.57</v>
      </c>
      <c r="G6247" s="1120">
        <v>17.57</v>
      </c>
      <c r="H6247" s="1127">
        <v>0.0</v>
      </c>
      <c r="I6247" s="1127">
        <v>0.0</v>
      </c>
      <c r="J6247" s="1127">
        <v>0.0</v>
      </c>
      <c r="K6247" s="1124"/>
    </row>
    <row r="6248" ht="15.75" customHeight="1">
      <c r="A6248" s="1119">
        <v>88477.0</v>
      </c>
      <c r="B6248" s="1125" t="s">
        <v>16526</v>
      </c>
      <c r="C6248" s="1126" t="s">
        <v>1814</v>
      </c>
      <c r="D6248" s="1119">
        <v>26.77</v>
      </c>
      <c r="E6248" s="1120">
        <v>3.32</v>
      </c>
      <c r="F6248" s="1121">
        <f t="shared" si="1"/>
        <v>23.45</v>
      </c>
      <c r="G6248" s="1120">
        <v>23.45</v>
      </c>
      <c r="H6248" s="1127">
        <v>0.0</v>
      </c>
      <c r="I6248" s="1127">
        <v>0.0</v>
      </c>
      <c r="J6248" s="1127">
        <v>0.0</v>
      </c>
      <c r="K6248" s="1124"/>
    </row>
    <row r="6249" ht="15.75" customHeight="1">
      <c r="A6249" s="1119">
        <v>88478.0</v>
      </c>
      <c r="B6249" s="1125" t="s">
        <v>16527</v>
      </c>
      <c r="C6249" s="1126" t="s">
        <v>1814</v>
      </c>
      <c r="D6249" s="1119">
        <v>32.93</v>
      </c>
      <c r="E6249" s="1120">
        <v>4.6</v>
      </c>
      <c r="F6249" s="1121">
        <f t="shared" si="1"/>
        <v>28.33</v>
      </c>
      <c r="G6249" s="1120">
        <v>28.33</v>
      </c>
      <c r="H6249" s="1127">
        <v>0.0</v>
      </c>
      <c r="I6249" s="1127">
        <v>0.0</v>
      </c>
      <c r="J6249" s="1127">
        <v>0.0</v>
      </c>
      <c r="K6249" s="1124"/>
    </row>
    <row r="6250" ht="15.75" customHeight="1">
      <c r="A6250" s="1119">
        <v>90930.0</v>
      </c>
      <c r="B6250" s="1125" t="s">
        <v>16528</v>
      </c>
      <c r="C6250" s="1126" t="s">
        <v>1814</v>
      </c>
      <c r="D6250" s="1119">
        <v>82.84</v>
      </c>
      <c r="E6250" s="1120">
        <v>20.43</v>
      </c>
      <c r="F6250" s="1121">
        <f t="shared" si="1"/>
        <v>62.42</v>
      </c>
      <c r="G6250" s="1120">
        <v>62.28</v>
      </c>
      <c r="H6250" s="1127">
        <v>0.09</v>
      </c>
      <c r="I6250" s="1127">
        <v>0.0</v>
      </c>
      <c r="J6250" s="1127">
        <v>0.05</v>
      </c>
      <c r="K6250" s="1124"/>
    </row>
    <row r="6251" ht="15.75" customHeight="1">
      <c r="A6251" s="1119">
        <v>90932.0</v>
      </c>
      <c r="B6251" s="1125" t="s">
        <v>16529</v>
      </c>
      <c r="C6251" s="1126" t="s">
        <v>1814</v>
      </c>
      <c r="D6251" s="1119">
        <v>91.94</v>
      </c>
      <c r="E6251" s="1120">
        <v>26.81</v>
      </c>
      <c r="F6251" s="1121">
        <f t="shared" si="1"/>
        <v>65.13</v>
      </c>
      <c r="G6251" s="1120">
        <v>65.13</v>
      </c>
      <c r="H6251" s="1127">
        <v>0.0</v>
      </c>
      <c r="I6251" s="1127">
        <v>0.0</v>
      </c>
      <c r="J6251" s="1127">
        <v>0.0</v>
      </c>
      <c r="K6251" s="1124"/>
    </row>
    <row r="6252" ht="15.75" customHeight="1">
      <c r="A6252" s="1119">
        <v>90933.0</v>
      </c>
      <c r="B6252" s="1125" t="s">
        <v>16530</v>
      </c>
      <c r="C6252" s="1126" t="s">
        <v>1814</v>
      </c>
      <c r="D6252" s="1119">
        <v>156.85</v>
      </c>
      <c r="E6252" s="1120">
        <v>19.52</v>
      </c>
      <c r="F6252" s="1121">
        <f t="shared" si="1"/>
        <v>137.34</v>
      </c>
      <c r="G6252" s="1120">
        <v>136.99</v>
      </c>
      <c r="H6252" s="1127">
        <v>0.24</v>
      </c>
      <c r="I6252" s="1127">
        <v>0.0</v>
      </c>
      <c r="J6252" s="1127">
        <v>0.11</v>
      </c>
      <c r="K6252" s="1124"/>
    </row>
    <row r="6253" ht="15.75" customHeight="1">
      <c r="A6253" s="1119">
        <v>90934.0</v>
      </c>
      <c r="B6253" s="1125" t="s">
        <v>16531</v>
      </c>
      <c r="C6253" s="1126" t="s">
        <v>1814</v>
      </c>
      <c r="D6253" s="1119">
        <v>172.65</v>
      </c>
      <c r="E6253" s="1120">
        <v>29.46</v>
      </c>
      <c r="F6253" s="1121">
        <f t="shared" si="1"/>
        <v>143.2</v>
      </c>
      <c r="G6253" s="1120">
        <v>143.2</v>
      </c>
      <c r="H6253" s="1127">
        <v>0.0</v>
      </c>
      <c r="I6253" s="1127">
        <v>0.0</v>
      </c>
      <c r="J6253" s="1127">
        <v>0.0</v>
      </c>
      <c r="K6253" s="1124"/>
    </row>
    <row r="6254" ht="15.75" customHeight="1">
      <c r="A6254" s="1119">
        <v>90940.0</v>
      </c>
      <c r="B6254" s="1125" t="s">
        <v>16532</v>
      </c>
      <c r="C6254" s="1126" t="s">
        <v>1814</v>
      </c>
      <c r="D6254" s="1119">
        <v>88.21</v>
      </c>
      <c r="E6254" s="1120">
        <v>22.5</v>
      </c>
      <c r="F6254" s="1121">
        <f t="shared" si="1"/>
        <v>65.7</v>
      </c>
      <c r="G6254" s="1120">
        <v>65.55</v>
      </c>
      <c r="H6254" s="1127">
        <v>0.1</v>
      </c>
      <c r="I6254" s="1127">
        <v>0.0</v>
      </c>
      <c r="J6254" s="1127">
        <v>0.05</v>
      </c>
      <c r="K6254" s="1124"/>
    </row>
    <row r="6255" ht="15.75" customHeight="1">
      <c r="A6255" s="1119">
        <v>90942.0</v>
      </c>
      <c r="B6255" s="1125" t="s">
        <v>16533</v>
      </c>
      <c r="C6255" s="1126" t="s">
        <v>1814</v>
      </c>
      <c r="D6255" s="1119">
        <v>98.12</v>
      </c>
      <c r="E6255" s="1120">
        <v>29.44</v>
      </c>
      <c r="F6255" s="1121">
        <f t="shared" si="1"/>
        <v>68.67</v>
      </c>
      <c r="G6255" s="1120">
        <v>68.67</v>
      </c>
      <c r="H6255" s="1127">
        <v>0.0</v>
      </c>
      <c r="I6255" s="1127">
        <v>0.0</v>
      </c>
      <c r="J6255" s="1127">
        <v>0.0</v>
      </c>
      <c r="K6255" s="1124"/>
    </row>
    <row r="6256" ht="15.75" customHeight="1">
      <c r="A6256" s="1119">
        <v>90943.0</v>
      </c>
      <c r="B6256" s="1125" t="s">
        <v>16534</v>
      </c>
      <c r="C6256" s="1126" t="s">
        <v>1814</v>
      </c>
      <c r="D6256" s="1119">
        <v>168.8</v>
      </c>
      <c r="E6256" s="1120">
        <v>21.49</v>
      </c>
      <c r="F6256" s="1121">
        <f t="shared" si="1"/>
        <v>147.3</v>
      </c>
      <c r="G6256" s="1120">
        <v>146.92</v>
      </c>
      <c r="H6256" s="1127">
        <v>0.26</v>
      </c>
      <c r="I6256" s="1127">
        <v>0.0</v>
      </c>
      <c r="J6256" s="1127">
        <v>0.12</v>
      </c>
      <c r="K6256" s="1124"/>
    </row>
    <row r="6257" ht="15.75" customHeight="1">
      <c r="A6257" s="1119">
        <v>90944.0</v>
      </c>
      <c r="B6257" s="1125" t="s">
        <v>16535</v>
      </c>
      <c r="C6257" s="1126" t="s">
        <v>1814</v>
      </c>
      <c r="D6257" s="1119">
        <v>186.01</v>
      </c>
      <c r="E6257" s="1120">
        <v>32.33</v>
      </c>
      <c r="F6257" s="1121">
        <f t="shared" si="1"/>
        <v>153.68</v>
      </c>
      <c r="G6257" s="1120">
        <v>153.68</v>
      </c>
      <c r="H6257" s="1127">
        <v>0.0</v>
      </c>
      <c r="I6257" s="1127">
        <v>0.0</v>
      </c>
      <c r="J6257" s="1127">
        <v>0.0</v>
      </c>
      <c r="K6257" s="1124"/>
    </row>
    <row r="6258" ht="15.75" customHeight="1">
      <c r="A6258" s="1119">
        <v>90950.0</v>
      </c>
      <c r="B6258" s="1125" t="s">
        <v>16536</v>
      </c>
      <c r="C6258" s="1126" t="s">
        <v>1814</v>
      </c>
      <c r="D6258" s="1119">
        <v>98.01</v>
      </c>
      <c r="E6258" s="1120">
        <v>26.28</v>
      </c>
      <c r="F6258" s="1121">
        <f t="shared" si="1"/>
        <v>71.73</v>
      </c>
      <c r="G6258" s="1120">
        <v>71.55</v>
      </c>
      <c r="H6258" s="1127">
        <v>0.12</v>
      </c>
      <c r="I6258" s="1127">
        <v>0.0</v>
      </c>
      <c r="J6258" s="1127">
        <v>0.06</v>
      </c>
      <c r="K6258" s="1124"/>
    </row>
    <row r="6259" ht="15.75" customHeight="1">
      <c r="A6259" s="1119">
        <v>90952.0</v>
      </c>
      <c r="B6259" s="1125" t="s">
        <v>16537</v>
      </c>
      <c r="C6259" s="1126" t="s">
        <v>1814</v>
      </c>
      <c r="D6259" s="1119">
        <v>109.41</v>
      </c>
      <c r="E6259" s="1120">
        <v>34.26</v>
      </c>
      <c r="F6259" s="1121">
        <f t="shared" si="1"/>
        <v>75.13</v>
      </c>
      <c r="G6259" s="1120">
        <v>75.13</v>
      </c>
      <c r="H6259" s="1127">
        <v>0.0</v>
      </c>
      <c r="I6259" s="1127">
        <v>0.0</v>
      </c>
      <c r="J6259" s="1127">
        <v>0.0</v>
      </c>
      <c r="K6259" s="1124"/>
    </row>
    <row r="6260" ht="15.75" customHeight="1">
      <c r="A6260" s="1119">
        <v>90953.0</v>
      </c>
      <c r="B6260" s="1125" t="s">
        <v>16538</v>
      </c>
      <c r="C6260" s="1126" t="s">
        <v>1814</v>
      </c>
      <c r="D6260" s="1119">
        <v>190.68</v>
      </c>
      <c r="E6260" s="1120">
        <v>25.12</v>
      </c>
      <c r="F6260" s="1121">
        <f t="shared" si="1"/>
        <v>165.55</v>
      </c>
      <c r="G6260" s="1120">
        <v>165.11</v>
      </c>
      <c r="H6260" s="1127">
        <v>0.3</v>
      </c>
      <c r="I6260" s="1127">
        <v>0.0</v>
      </c>
      <c r="J6260" s="1127">
        <v>0.14</v>
      </c>
      <c r="K6260" s="1124"/>
    </row>
    <row r="6261" ht="15.75" customHeight="1">
      <c r="A6261" s="1119">
        <v>90954.0</v>
      </c>
      <c r="B6261" s="1125" t="s">
        <v>16539</v>
      </c>
      <c r="C6261" s="1126" t="s">
        <v>1814</v>
      </c>
      <c r="D6261" s="1119">
        <v>210.47</v>
      </c>
      <c r="E6261" s="1120">
        <v>37.57</v>
      </c>
      <c r="F6261" s="1121">
        <f t="shared" si="1"/>
        <v>172.89</v>
      </c>
      <c r="G6261" s="1120">
        <v>172.89</v>
      </c>
      <c r="H6261" s="1127">
        <v>0.0</v>
      </c>
      <c r="I6261" s="1127">
        <v>0.0</v>
      </c>
      <c r="J6261" s="1127">
        <v>0.0</v>
      </c>
      <c r="K6261" s="1124"/>
    </row>
    <row r="6262" ht="15.75" customHeight="1">
      <c r="A6262" s="1119">
        <v>94438.0</v>
      </c>
      <c r="B6262" s="1125" t="s">
        <v>16540</v>
      </c>
      <c r="C6262" s="1126" t="s">
        <v>1814</v>
      </c>
      <c r="D6262" s="1119">
        <v>44.96</v>
      </c>
      <c r="E6262" s="1120">
        <v>15.99</v>
      </c>
      <c r="F6262" s="1121">
        <f t="shared" si="1"/>
        <v>29</v>
      </c>
      <c r="G6262" s="1120">
        <v>28.97</v>
      </c>
      <c r="H6262" s="1127">
        <v>0.02</v>
      </c>
      <c r="I6262" s="1127">
        <v>0.0</v>
      </c>
      <c r="J6262" s="1127">
        <v>0.01</v>
      </c>
      <c r="K6262" s="1124"/>
    </row>
    <row r="6263" ht="15.75" customHeight="1">
      <c r="A6263" s="1119">
        <v>94439.0</v>
      </c>
      <c r="B6263" s="1125" t="s">
        <v>16541</v>
      </c>
      <c r="C6263" s="1126" t="s">
        <v>1814</v>
      </c>
      <c r="D6263" s="1119">
        <v>50.6</v>
      </c>
      <c r="E6263" s="1120">
        <v>17.37</v>
      </c>
      <c r="F6263" s="1121">
        <f t="shared" si="1"/>
        <v>33.26</v>
      </c>
      <c r="G6263" s="1120">
        <v>33.21</v>
      </c>
      <c r="H6263" s="1127">
        <v>0.03</v>
      </c>
      <c r="I6263" s="1127">
        <v>0.0</v>
      </c>
      <c r="J6263" s="1127">
        <v>0.02</v>
      </c>
      <c r="K6263" s="1124"/>
    </row>
    <row r="6264" ht="15.75" customHeight="1">
      <c r="A6264" s="1119">
        <v>94779.0</v>
      </c>
      <c r="B6264" s="1125" t="s">
        <v>16542</v>
      </c>
      <c r="C6264" s="1126" t="s">
        <v>1814</v>
      </c>
      <c r="D6264" s="1119">
        <v>43.1</v>
      </c>
      <c r="E6264" s="1120">
        <v>14.5</v>
      </c>
      <c r="F6264" s="1121">
        <f t="shared" si="1"/>
        <v>28.63</v>
      </c>
      <c r="G6264" s="1120">
        <v>28.58</v>
      </c>
      <c r="H6264" s="1127">
        <v>0.03</v>
      </c>
      <c r="I6264" s="1127">
        <v>0.0</v>
      </c>
      <c r="J6264" s="1127">
        <v>0.02</v>
      </c>
      <c r="K6264" s="1124"/>
    </row>
    <row r="6265" ht="15.75" customHeight="1">
      <c r="A6265" s="1119">
        <v>94782.0</v>
      </c>
      <c r="B6265" s="1125" t="s">
        <v>16543</v>
      </c>
      <c r="C6265" s="1126" t="s">
        <v>1814</v>
      </c>
      <c r="D6265" s="1119">
        <v>49.36</v>
      </c>
      <c r="E6265" s="1120">
        <v>16.01</v>
      </c>
      <c r="F6265" s="1121">
        <f t="shared" si="1"/>
        <v>33.36</v>
      </c>
      <c r="G6265" s="1120">
        <v>33.3</v>
      </c>
      <c r="H6265" s="1127">
        <v>0.03</v>
      </c>
      <c r="I6265" s="1127">
        <v>0.0</v>
      </c>
      <c r="J6265" s="1127">
        <v>0.03</v>
      </c>
      <c r="K6265" s="1124"/>
    </row>
    <row r="6266" ht="15.75" customHeight="1">
      <c r="A6266" s="1119">
        <v>102803.0</v>
      </c>
      <c r="B6266" s="1125" t="s">
        <v>16544</v>
      </c>
      <c r="C6266" s="1126" t="s">
        <v>1814</v>
      </c>
      <c r="D6266" s="1119">
        <v>2.69</v>
      </c>
      <c r="E6266" s="1120">
        <v>1.77</v>
      </c>
      <c r="F6266" s="1121">
        <f t="shared" si="1"/>
        <v>0.92</v>
      </c>
      <c r="G6266" s="1120">
        <v>0.92</v>
      </c>
      <c r="H6266" s="1127">
        <v>0.0</v>
      </c>
      <c r="I6266" s="1127">
        <v>0.0</v>
      </c>
      <c r="J6266" s="1127">
        <v>0.0</v>
      </c>
      <c r="K6266" s="1124"/>
    </row>
    <row r="6267" ht="15.75" customHeight="1">
      <c r="A6267" s="1119">
        <v>101742.0</v>
      </c>
      <c r="B6267" s="1125" t="s">
        <v>16545</v>
      </c>
      <c r="C6267" s="1126" t="s">
        <v>1731</v>
      </c>
      <c r="D6267" s="1119">
        <v>62.77</v>
      </c>
      <c r="E6267" s="1120">
        <v>22.05</v>
      </c>
      <c r="F6267" s="1121">
        <f t="shared" si="1"/>
        <v>40.73</v>
      </c>
      <c r="G6267" s="1120">
        <v>40.73</v>
      </c>
      <c r="H6267" s="1127">
        <v>0.0</v>
      </c>
      <c r="I6267" s="1127">
        <v>0.0</v>
      </c>
      <c r="J6267" s="1127">
        <v>0.0</v>
      </c>
      <c r="K6267" s="1124"/>
    </row>
    <row r="6268" ht="15.75" customHeight="1">
      <c r="A6268" s="1119">
        <v>87878.0</v>
      </c>
      <c r="B6268" s="1125" t="s">
        <v>16546</v>
      </c>
      <c r="C6268" s="1126" t="s">
        <v>1814</v>
      </c>
      <c r="D6268" s="1119">
        <v>5.35</v>
      </c>
      <c r="E6268" s="1120">
        <v>2.87</v>
      </c>
      <c r="F6268" s="1121">
        <f t="shared" si="1"/>
        <v>2.49</v>
      </c>
      <c r="G6268" s="1120">
        <v>2.49</v>
      </c>
      <c r="H6268" s="1127">
        <v>0.0</v>
      </c>
      <c r="I6268" s="1127">
        <v>0.0</v>
      </c>
      <c r="J6268" s="1127">
        <v>0.0</v>
      </c>
      <c r="K6268" s="1124"/>
    </row>
    <row r="6269" ht="15.75" customHeight="1">
      <c r="A6269" s="1119">
        <v>87879.0</v>
      </c>
      <c r="B6269" s="1125" t="s">
        <v>16547</v>
      </c>
      <c r="C6269" s="1126" t="s">
        <v>1814</v>
      </c>
      <c r="D6269" s="1119">
        <v>4.74</v>
      </c>
      <c r="E6269" s="1120">
        <v>2.45</v>
      </c>
      <c r="F6269" s="1121">
        <f t="shared" si="1"/>
        <v>2.3</v>
      </c>
      <c r="G6269" s="1120">
        <v>2.3</v>
      </c>
      <c r="H6269" s="1127">
        <v>0.0</v>
      </c>
      <c r="I6269" s="1127">
        <v>0.0</v>
      </c>
      <c r="J6269" s="1127">
        <v>0.0</v>
      </c>
      <c r="K6269" s="1124"/>
    </row>
    <row r="6270" ht="15.75" customHeight="1">
      <c r="A6270" s="1119">
        <v>87881.0</v>
      </c>
      <c r="B6270" s="1125" t="s">
        <v>16548</v>
      </c>
      <c r="C6270" s="1126" t="s">
        <v>1814</v>
      </c>
      <c r="D6270" s="1119">
        <v>6.72</v>
      </c>
      <c r="E6270" s="1120">
        <v>1.48</v>
      </c>
      <c r="F6270" s="1121">
        <f t="shared" si="1"/>
        <v>5.26</v>
      </c>
      <c r="G6270" s="1120">
        <v>5.26</v>
      </c>
      <c r="H6270" s="1127">
        <v>0.0</v>
      </c>
      <c r="I6270" s="1127">
        <v>0.0</v>
      </c>
      <c r="J6270" s="1127">
        <v>0.0</v>
      </c>
      <c r="K6270" s="1124"/>
    </row>
    <row r="6271" ht="15.75" customHeight="1">
      <c r="A6271" s="1119">
        <v>87882.0</v>
      </c>
      <c r="B6271" s="1125" t="s">
        <v>16549</v>
      </c>
      <c r="C6271" s="1126" t="s">
        <v>1814</v>
      </c>
      <c r="D6271" s="1119">
        <v>6.51</v>
      </c>
      <c r="E6271" s="1120">
        <v>1.33</v>
      </c>
      <c r="F6271" s="1121">
        <f t="shared" si="1"/>
        <v>5.19</v>
      </c>
      <c r="G6271" s="1120">
        <v>5.19</v>
      </c>
      <c r="H6271" s="1127">
        <v>0.0</v>
      </c>
      <c r="I6271" s="1127">
        <v>0.0</v>
      </c>
      <c r="J6271" s="1127">
        <v>0.0</v>
      </c>
      <c r="K6271" s="1124"/>
    </row>
    <row r="6272" ht="15.75" customHeight="1">
      <c r="A6272" s="1119">
        <v>87884.0</v>
      </c>
      <c r="B6272" s="1125" t="s">
        <v>16550</v>
      </c>
      <c r="C6272" s="1126" t="s">
        <v>1814</v>
      </c>
      <c r="D6272" s="1119">
        <v>9.36</v>
      </c>
      <c r="E6272" s="1120">
        <v>1.6</v>
      </c>
      <c r="F6272" s="1121">
        <f t="shared" si="1"/>
        <v>7.77</v>
      </c>
      <c r="G6272" s="1120">
        <v>7.77</v>
      </c>
      <c r="H6272" s="1127">
        <v>0.0</v>
      </c>
      <c r="I6272" s="1127">
        <v>0.0</v>
      </c>
      <c r="J6272" s="1127">
        <v>0.0</v>
      </c>
      <c r="K6272" s="1124"/>
    </row>
    <row r="6273" ht="15.75" customHeight="1">
      <c r="A6273" s="1119">
        <v>87885.0</v>
      </c>
      <c r="B6273" s="1125" t="s">
        <v>16551</v>
      </c>
      <c r="C6273" s="1126" t="s">
        <v>1814</v>
      </c>
      <c r="D6273" s="1119">
        <v>8.9</v>
      </c>
      <c r="E6273" s="1120">
        <v>1.32</v>
      </c>
      <c r="F6273" s="1121">
        <f t="shared" si="1"/>
        <v>7.6</v>
      </c>
      <c r="G6273" s="1120">
        <v>7.6</v>
      </c>
      <c r="H6273" s="1127">
        <v>0.0</v>
      </c>
      <c r="I6273" s="1127">
        <v>0.0</v>
      </c>
      <c r="J6273" s="1127">
        <v>0.0</v>
      </c>
      <c r="K6273" s="1124"/>
    </row>
    <row r="6274" ht="15.75" customHeight="1">
      <c r="A6274" s="1119">
        <v>87886.0</v>
      </c>
      <c r="B6274" s="1125" t="s">
        <v>16552</v>
      </c>
      <c r="C6274" s="1126" t="s">
        <v>1814</v>
      </c>
      <c r="D6274" s="1119">
        <v>16.88</v>
      </c>
      <c r="E6274" s="1120">
        <v>4.96</v>
      </c>
      <c r="F6274" s="1121">
        <f t="shared" si="1"/>
        <v>11.92</v>
      </c>
      <c r="G6274" s="1120">
        <v>11.92</v>
      </c>
      <c r="H6274" s="1127">
        <v>0.0</v>
      </c>
      <c r="I6274" s="1127">
        <v>0.0</v>
      </c>
      <c r="J6274" s="1127">
        <v>0.0</v>
      </c>
      <c r="K6274" s="1124"/>
    </row>
    <row r="6275" ht="15.75" customHeight="1">
      <c r="A6275" s="1119">
        <v>87887.0</v>
      </c>
      <c r="B6275" s="1125" t="s">
        <v>16553</v>
      </c>
      <c r="C6275" s="1126" t="s">
        <v>1814</v>
      </c>
      <c r="D6275" s="1119">
        <v>15.88</v>
      </c>
      <c r="E6275" s="1120">
        <v>4.32</v>
      </c>
      <c r="F6275" s="1121">
        <f t="shared" si="1"/>
        <v>11.56</v>
      </c>
      <c r="G6275" s="1120">
        <v>11.56</v>
      </c>
      <c r="H6275" s="1127">
        <v>0.0</v>
      </c>
      <c r="I6275" s="1127">
        <v>0.0</v>
      </c>
      <c r="J6275" s="1127">
        <v>0.0</v>
      </c>
      <c r="K6275" s="1124"/>
    </row>
    <row r="6276" ht="15.75" customHeight="1">
      <c r="A6276" s="1119">
        <v>87888.0</v>
      </c>
      <c r="B6276" s="1125" t="s">
        <v>16554</v>
      </c>
      <c r="C6276" s="1126" t="s">
        <v>1814</v>
      </c>
      <c r="D6276" s="1119">
        <v>8.64</v>
      </c>
      <c r="E6276" s="1120">
        <v>2.93</v>
      </c>
      <c r="F6276" s="1121">
        <f t="shared" si="1"/>
        <v>5.73</v>
      </c>
      <c r="G6276" s="1120">
        <v>5.73</v>
      </c>
      <c r="H6276" s="1127">
        <v>0.0</v>
      </c>
      <c r="I6276" s="1127">
        <v>0.0</v>
      </c>
      <c r="J6276" s="1127">
        <v>0.0</v>
      </c>
      <c r="K6276" s="1124"/>
    </row>
    <row r="6277" ht="15.75" customHeight="1">
      <c r="A6277" s="1119">
        <v>87889.0</v>
      </c>
      <c r="B6277" s="1125" t="s">
        <v>16555</v>
      </c>
      <c r="C6277" s="1126" t="s">
        <v>1814</v>
      </c>
      <c r="D6277" s="1119">
        <v>8.43</v>
      </c>
      <c r="E6277" s="1120">
        <v>2.78</v>
      </c>
      <c r="F6277" s="1121">
        <f t="shared" si="1"/>
        <v>5.66</v>
      </c>
      <c r="G6277" s="1120">
        <v>5.66</v>
      </c>
      <c r="H6277" s="1127">
        <v>0.0</v>
      </c>
      <c r="I6277" s="1127">
        <v>0.0</v>
      </c>
      <c r="J6277" s="1127">
        <v>0.0</v>
      </c>
      <c r="K6277" s="1124"/>
    </row>
    <row r="6278" ht="15.75" customHeight="1">
      <c r="A6278" s="1119">
        <v>87891.0</v>
      </c>
      <c r="B6278" s="1125" t="s">
        <v>16556</v>
      </c>
      <c r="C6278" s="1126" t="s">
        <v>1814</v>
      </c>
      <c r="D6278" s="1119">
        <v>11.28</v>
      </c>
      <c r="E6278" s="1120">
        <v>3.05</v>
      </c>
      <c r="F6278" s="1121">
        <f t="shared" si="1"/>
        <v>8.24</v>
      </c>
      <c r="G6278" s="1120">
        <v>8.24</v>
      </c>
      <c r="H6278" s="1127">
        <v>0.0</v>
      </c>
      <c r="I6278" s="1127">
        <v>0.0</v>
      </c>
      <c r="J6278" s="1127">
        <v>0.0</v>
      </c>
      <c r="K6278" s="1124"/>
    </row>
    <row r="6279" ht="15.75" customHeight="1">
      <c r="A6279" s="1119">
        <v>87892.0</v>
      </c>
      <c r="B6279" s="1125" t="s">
        <v>16557</v>
      </c>
      <c r="C6279" s="1126" t="s">
        <v>1814</v>
      </c>
      <c r="D6279" s="1119">
        <v>10.82</v>
      </c>
      <c r="E6279" s="1120">
        <v>2.77</v>
      </c>
      <c r="F6279" s="1121">
        <f t="shared" si="1"/>
        <v>8.07</v>
      </c>
      <c r="G6279" s="1120">
        <v>8.07</v>
      </c>
      <c r="H6279" s="1127">
        <v>0.0</v>
      </c>
      <c r="I6279" s="1127">
        <v>0.0</v>
      </c>
      <c r="J6279" s="1127">
        <v>0.0</v>
      </c>
      <c r="K6279" s="1124"/>
    </row>
    <row r="6280" ht="15.75" customHeight="1">
      <c r="A6280" s="1119">
        <v>87893.0</v>
      </c>
      <c r="B6280" s="1125" t="s">
        <v>16558</v>
      </c>
      <c r="C6280" s="1126" t="s">
        <v>1814</v>
      </c>
      <c r="D6280" s="1119">
        <v>8.19</v>
      </c>
      <c r="E6280" s="1120">
        <v>5.01</v>
      </c>
      <c r="F6280" s="1121">
        <f t="shared" si="1"/>
        <v>3.18</v>
      </c>
      <c r="G6280" s="1120">
        <v>3.18</v>
      </c>
      <c r="H6280" s="1127">
        <v>0.0</v>
      </c>
      <c r="I6280" s="1127">
        <v>0.0</v>
      </c>
      <c r="J6280" s="1127">
        <v>0.0</v>
      </c>
      <c r="K6280" s="1124"/>
    </row>
    <row r="6281" ht="15.75" customHeight="1">
      <c r="A6281" s="1119">
        <v>87894.0</v>
      </c>
      <c r="B6281" s="1125" t="s">
        <v>16559</v>
      </c>
      <c r="C6281" s="1126" t="s">
        <v>1814</v>
      </c>
      <c r="D6281" s="1119">
        <v>7.58</v>
      </c>
      <c r="E6281" s="1120">
        <v>4.59</v>
      </c>
      <c r="F6281" s="1121">
        <f t="shared" si="1"/>
        <v>2.99</v>
      </c>
      <c r="G6281" s="1120">
        <v>2.99</v>
      </c>
      <c r="H6281" s="1127">
        <v>0.0</v>
      </c>
      <c r="I6281" s="1127">
        <v>0.0</v>
      </c>
      <c r="J6281" s="1127">
        <v>0.0</v>
      </c>
      <c r="K6281" s="1124"/>
    </row>
    <row r="6282" ht="15.75" customHeight="1">
      <c r="A6282" s="1119">
        <v>87896.0</v>
      </c>
      <c r="B6282" s="1125" t="s">
        <v>16560</v>
      </c>
      <c r="C6282" s="1126" t="s">
        <v>1814</v>
      </c>
      <c r="D6282" s="1119">
        <v>5.92</v>
      </c>
      <c r="E6282" s="1120">
        <v>2.91</v>
      </c>
      <c r="F6282" s="1121">
        <f t="shared" si="1"/>
        <v>3.03</v>
      </c>
      <c r="G6282" s="1120">
        <v>2.52</v>
      </c>
      <c r="H6282" s="1127">
        <v>0.51</v>
      </c>
      <c r="I6282" s="1127">
        <v>0.0</v>
      </c>
      <c r="J6282" s="1127">
        <v>0.0</v>
      </c>
      <c r="K6282" s="1124"/>
    </row>
    <row r="6283" ht="15.75" customHeight="1">
      <c r="A6283" s="1119">
        <v>87897.0</v>
      </c>
      <c r="B6283" s="1125" t="s">
        <v>16561</v>
      </c>
      <c r="C6283" s="1126" t="s">
        <v>1814</v>
      </c>
      <c r="D6283" s="1119">
        <v>5.31</v>
      </c>
      <c r="E6283" s="1120">
        <v>2.48</v>
      </c>
      <c r="F6283" s="1121">
        <f t="shared" si="1"/>
        <v>2.85</v>
      </c>
      <c r="G6283" s="1120">
        <v>2.34</v>
      </c>
      <c r="H6283" s="1127">
        <v>0.51</v>
      </c>
      <c r="I6283" s="1127">
        <v>0.0</v>
      </c>
      <c r="J6283" s="1127">
        <v>0.0</v>
      </c>
      <c r="K6283" s="1124"/>
    </row>
    <row r="6284" ht="15.75" customHeight="1">
      <c r="A6284" s="1119">
        <v>87899.0</v>
      </c>
      <c r="B6284" s="1125" t="s">
        <v>16562</v>
      </c>
      <c r="C6284" s="1126" t="s">
        <v>1814</v>
      </c>
      <c r="D6284" s="1119">
        <v>9.48</v>
      </c>
      <c r="E6284" s="1120">
        <v>3.56</v>
      </c>
      <c r="F6284" s="1121">
        <f t="shared" si="1"/>
        <v>5.94</v>
      </c>
      <c r="G6284" s="1120">
        <v>5.94</v>
      </c>
      <c r="H6284" s="1127">
        <v>0.0</v>
      </c>
      <c r="I6284" s="1127">
        <v>0.0</v>
      </c>
      <c r="J6284" s="1127">
        <v>0.0</v>
      </c>
      <c r="K6284" s="1124"/>
    </row>
    <row r="6285" ht="15.75" customHeight="1">
      <c r="A6285" s="1119">
        <v>87900.0</v>
      </c>
      <c r="B6285" s="1125" t="s">
        <v>16563</v>
      </c>
      <c r="C6285" s="1126" t="s">
        <v>1814</v>
      </c>
      <c r="D6285" s="1119">
        <v>9.27</v>
      </c>
      <c r="E6285" s="1120">
        <v>3.41</v>
      </c>
      <c r="F6285" s="1121">
        <f t="shared" si="1"/>
        <v>5.88</v>
      </c>
      <c r="G6285" s="1120">
        <v>5.88</v>
      </c>
      <c r="H6285" s="1127">
        <v>0.0</v>
      </c>
      <c r="I6285" s="1127">
        <v>0.0</v>
      </c>
      <c r="J6285" s="1127">
        <v>0.0</v>
      </c>
      <c r="K6285" s="1124"/>
    </row>
    <row r="6286" ht="15.75" customHeight="1">
      <c r="A6286" s="1119">
        <v>87902.0</v>
      </c>
      <c r="B6286" s="1125" t="s">
        <v>16564</v>
      </c>
      <c r="C6286" s="1126" t="s">
        <v>1814</v>
      </c>
      <c r="D6286" s="1119">
        <v>12.12</v>
      </c>
      <c r="E6286" s="1120">
        <v>3.68</v>
      </c>
      <c r="F6286" s="1121">
        <f t="shared" si="1"/>
        <v>8.46</v>
      </c>
      <c r="G6286" s="1120">
        <v>8.46</v>
      </c>
      <c r="H6286" s="1127">
        <v>0.0</v>
      </c>
      <c r="I6286" s="1127">
        <v>0.0</v>
      </c>
      <c r="J6286" s="1127">
        <v>0.0</v>
      </c>
      <c r="K6286" s="1124"/>
    </row>
    <row r="6287" ht="15.75" customHeight="1">
      <c r="A6287" s="1119">
        <v>87903.0</v>
      </c>
      <c r="B6287" s="1125" t="s">
        <v>16565</v>
      </c>
      <c r="C6287" s="1126" t="s">
        <v>1814</v>
      </c>
      <c r="D6287" s="1119">
        <v>11.66</v>
      </c>
      <c r="E6287" s="1120">
        <v>3.4</v>
      </c>
      <c r="F6287" s="1121">
        <f t="shared" si="1"/>
        <v>8.29</v>
      </c>
      <c r="G6287" s="1120">
        <v>8.29</v>
      </c>
      <c r="H6287" s="1127">
        <v>0.0</v>
      </c>
      <c r="I6287" s="1127">
        <v>0.0</v>
      </c>
      <c r="J6287" s="1127">
        <v>0.0</v>
      </c>
      <c r="K6287" s="1124"/>
    </row>
    <row r="6288" ht="15.75" customHeight="1">
      <c r="A6288" s="1119">
        <v>87904.0</v>
      </c>
      <c r="B6288" s="1125" t="s">
        <v>16566</v>
      </c>
      <c r="C6288" s="1126" t="s">
        <v>1814</v>
      </c>
      <c r="D6288" s="1119">
        <v>9.55</v>
      </c>
      <c r="E6288" s="1120">
        <v>6.02</v>
      </c>
      <c r="F6288" s="1121">
        <f t="shared" si="1"/>
        <v>3.54</v>
      </c>
      <c r="G6288" s="1120">
        <v>3.54</v>
      </c>
      <c r="H6288" s="1127">
        <v>0.0</v>
      </c>
      <c r="I6288" s="1127">
        <v>0.0</v>
      </c>
      <c r="J6288" s="1127">
        <v>0.0</v>
      </c>
      <c r="K6288" s="1124"/>
    </row>
    <row r="6289" ht="15.75" customHeight="1">
      <c r="A6289" s="1119">
        <v>87905.0</v>
      </c>
      <c r="B6289" s="1125" t="s">
        <v>16567</v>
      </c>
      <c r="C6289" s="1126" t="s">
        <v>1814</v>
      </c>
      <c r="D6289" s="1119">
        <v>8.94</v>
      </c>
      <c r="E6289" s="1120">
        <v>5.6</v>
      </c>
      <c r="F6289" s="1121">
        <f t="shared" si="1"/>
        <v>3.35</v>
      </c>
      <c r="G6289" s="1120">
        <v>3.35</v>
      </c>
      <c r="H6289" s="1127">
        <v>0.0</v>
      </c>
      <c r="I6289" s="1127">
        <v>0.0</v>
      </c>
      <c r="J6289" s="1127">
        <v>0.0</v>
      </c>
      <c r="K6289" s="1124"/>
    </row>
    <row r="6290" ht="15.75" customHeight="1">
      <c r="A6290" s="1119">
        <v>87907.0</v>
      </c>
      <c r="B6290" s="1125" t="s">
        <v>16568</v>
      </c>
      <c r="C6290" s="1126" t="s">
        <v>1814</v>
      </c>
      <c r="D6290" s="1119">
        <v>7.12</v>
      </c>
      <c r="E6290" s="1120">
        <v>3.67</v>
      </c>
      <c r="F6290" s="1121">
        <f t="shared" si="1"/>
        <v>3.46</v>
      </c>
      <c r="G6290" s="1120">
        <v>2.77</v>
      </c>
      <c r="H6290" s="1127">
        <v>0.69</v>
      </c>
      <c r="I6290" s="1127">
        <v>0.0</v>
      </c>
      <c r="J6290" s="1127">
        <v>0.0</v>
      </c>
      <c r="K6290" s="1124"/>
    </row>
    <row r="6291" ht="15.75" customHeight="1">
      <c r="A6291" s="1119">
        <v>87908.0</v>
      </c>
      <c r="B6291" s="1125" t="s">
        <v>16569</v>
      </c>
      <c r="C6291" s="1126" t="s">
        <v>1814</v>
      </c>
      <c r="D6291" s="1119">
        <v>6.51</v>
      </c>
      <c r="E6291" s="1120">
        <v>3.25</v>
      </c>
      <c r="F6291" s="1121">
        <f t="shared" si="1"/>
        <v>3.27</v>
      </c>
      <c r="G6291" s="1120">
        <v>2.58</v>
      </c>
      <c r="H6291" s="1127">
        <v>0.69</v>
      </c>
      <c r="I6291" s="1127">
        <v>0.0</v>
      </c>
      <c r="J6291" s="1127">
        <v>0.0</v>
      </c>
      <c r="K6291" s="1124"/>
    </row>
    <row r="6292" ht="15.75" customHeight="1">
      <c r="A6292" s="1119">
        <v>87910.0</v>
      </c>
      <c r="B6292" s="1125" t="s">
        <v>16570</v>
      </c>
      <c r="C6292" s="1126" t="s">
        <v>1814</v>
      </c>
      <c r="D6292" s="1119">
        <v>23.28</v>
      </c>
      <c r="E6292" s="1120">
        <v>9.77</v>
      </c>
      <c r="F6292" s="1121">
        <f t="shared" si="1"/>
        <v>13.52</v>
      </c>
      <c r="G6292" s="1120">
        <v>13.52</v>
      </c>
      <c r="H6292" s="1127">
        <v>0.0</v>
      </c>
      <c r="I6292" s="1127">
        <v>0.0</v>
      </c>
      <c r="J6292" s="1127">
        <v>0.0</v>
      </c>
      <c r="K6292" s="1124"/>
    </row>
    <row r="6293" ht="15.75" customHeight="1">
      <c r="A6293" s="1119">
        <v>87911.0</v>
      </c>
      <c r="B6293" s="1125" t="s">
        <v>16571</v>
      </c>
      <c r="C6293" s="1126" t="s">
        <v>1814</v>
      </c>
      <c r="D6293" s="1119">
        <v>22.28</v>
      </c>
      <c r="E6293" s="1120">
        <v>9.13</v>
      </c>
      <c r="F6293" s="1121">
        <f t="shared" si="1"/>
        <v>13.16</v>
      </c>
      <c r="G6293" s="1120">
        <v>13.16</v>
      </c>
      <c r="H6293" s="1127">
        <v>0.0</v>
      </c>
      <c r="I6293" s="1127">
        <v>0.0</v>
      </c>
      <c r="J6293" s="1127">
        <v>0.0</v>
      </c>
      <c r="K6293" s="1124"/>
    </row>
    <row r="6294" ht="15.75" customHeight="1">
      <c r="A6294" s="1119">
        <v>104410.0</v>
      </c>
      <c r="B6294" s="1125" t="s">
        <v>16572</v>
      </c>
      <c r="C6294" s="1126" t="s">
        <v>1814</v>
      </c>
      <c r="D6294" s="1119">
        <v>5.39</v>
      </c>
      <c r="E6294" s="1120">
        <v>2.45</v>
      </c>
      <c r="F6294" s="1121">
        <f t="shared" si="1"/>
        <v>2.95</v>
      </c>
      <c r="G6294" s="1120">
        <v>2.6</v>
      </c>
      <c r="H6294" s="1127">
        <v>0.35</v>
      </c>
      <c r="I6294" s="1127">
        <v>0.0</v>
      </c>
      <c r="J6294" s="1127">
        <v>0.0</v>
      </c>
      <c r="K6294" s="1124"/>
    </row>
    <row r="6295" ht="15.75" customHeight="1">
      <c r="A6295" s="1119">
        <v>104411.0</v>
      </c>
      <c r="B6295" s="1125" t="s">
        <v>16573</v>
      </c>
      <c r="C6295" s="1126" t="s">
        <v>1814</v>
      </c>
      <c r="D6295" s="1119">
        <v>5.39</v>
      </c>
      <c r="E6295" s="1120">
        <v>2.45</v>
      </c>
      <c r="F6295" s="1121">
        <f t="shared" si="1"/>
        <v>2.95</v>
      </c>
      <c r="G6295" s="1120">
        <v>2.6</v>
      </c>
      <c r="H6295" s="1127">
        <v>0.35</v>
      </c>
      <c r="I6295" s="1127">
        <v>0.0</v>
      </c>
      <c r="J6295" s="1127">
        <v>0.0</v>
      </c>
      <c r="K6295" s="1124"/>
    </row>
    <row r="6296" ht="15.75" customHeight="1">
      <c r="A6296" s="1119">
        <v>87411.0</v>
      </c>
      <c r="B6296" s="1125" t="s">
        <v>16574</v>
      </c>
      <c r="C6296" s="1126" t="s">
        <v>1814</v>
      </c>
      <c r="D6296" s="1119">
        <v>17.35</v>
      </c>
      <c r="E6296" s="1120">
        <v>7.31</v>
      </c>
      <c r="F6296" s="1121">
        <f t="shared" si="1"/>
        <v>10.04</v>
      </c>
      <c r="G6296" s="1120">
        <v>10.04</v>
      </c>
      <c r="H6296" s="1127">
        <v>0.0</v>
      </c>
      <c r="I6296" s="1127">
        <v>0.0</v>
      </c>
      <c r="J6296" s="1127">
        <v>0.0</v>
      </c>
      <c r="K6296" s="1124"/>
    </row>
    <row r="6297" ht="15.75" customHeight="1">
      <c r="A6297" s="1119">
        <v>87412.0</v>
      </c>
      <c r="B6297" s="1125" t="s">
        <v>16575</v>
      </c>
      <c r="C6297" s="1126" t="s">
        <v>1814</v>
      </c>
      <c r="D6297" s="1119">
        <v>26.73</v>
      </c>
      <c r="E6297" s="1120">
        <v>14.23</v>
      </c>
      <c r="F6297" s="1121">
        <f t="shared" si="1"/>
        <v>12.52</v>
      </c>
      <c r="G6297" s="1120">
        <v>12.52</v>
      </c>
      <c r="H6297" s="1127">
        <v>0.0</v>
      </c>
      <c r="I6297" s="1127">
        <v>0.0</v>
      </c>
      <c r="J6297" s="1127">
        <v>0.0</v>
      </c>
      <c r="K6297" s="1124"/>
    </row>
    <row r="6298" ht="15.75" customHeight="1">
      <c r="A6298" s="1119">
        <v>87413.0</v>
      </c>
      <c r="B6298" s="1125" t="s">
        <v>16576</v>
      </c>
      <c r="C6298" s="1126" t="s">
        <v>1814</v>
      </c>
      <c r="D6298" s="1119">
        <v>32.12</v>
      </c>
      <c r="E6298" s="1120">
        <v>18.21</v>
      </c>
      <c r="F6298" s="1121">
        <f t="shared" si="1"/>
        <v>13.91</v>
      </c>
      <c r="G6298" s="1120">
        <v>13.91</v>
      </c>
      <c r="H6298" s="1127">
        <v>0.0</v>
      </c>
      <c r="I6298" s="1127">
        <v>0.0</v>
      </c>
      <c r="J6298" s="1127">
        <v>0.0</v>
      </c>
      <c r="K6298" s="1124"/>
    </row>
    <row r="6299" ht="15.75" customHeight="1">
      <c r="A6299" s="1119">
        <v>87414.0</v>
      </c>
      <c r="B6299" s="1125" t="s">
        <v>16577</v>
      </c>
      <c r="C6299" s="1126" t="s">
        <v>1814</v>
      </c>
      <c r="D6299" s="1119">
        <v>27.37</v>
      </c>
      <c r="E6299" s="1120">
        <v>10.5</v>
      </c>
      <c r="F6299" s="1121">
        <f t="shared" si="1"/>
        <v>16.88</v>
      </c>
      <c r="G6299" s="1120">
        <v>16.88</v>
      </c>
      <c r="H6299" s="1127">
        <v>0.0</v>
      </c>
      <c r="I6299" s="1127">
        <v>0.0</v>
      </c>
      <c r="J6299" s="1127">
        <v>0.0</v>
      </c>
      <c r="K6299" s="1124"/>
    </row>
    <row r="6300" ht="15.75" customHeight="1">
      <c r="A6300" s="1119">
        <v>87415.0</v>
      </c>
      <c r="B6300" s="1125" t="s">
        <v>16578</v>
      </c>
      <c r="C6300" s="1126" t="s">
        <v>1814</v>
      </c>
      <c r="D6300" s="1119">
        <v>36.75</v>
      </c>
      <c r="E6300" s="1120">
        <v>17.41</v>
      </c>
      <c r="F6300" s="1121">
        <f t="shared" si="1"/>
        <v>19.34</v>
      </c>
      <c r="G6300" s="1120">
        <v>19.34</v>
      </c>
      <c r="H6300" s="1127">
        <v>0.0</v>
      </c>
      <c r="I6300" s="1127">
        <v>0.0</v>
      </c>
      <c r="J6300" s="1127">
        <v>0.0</v>
      </c>
      <c r="K6300" s="1124"/>
    </row>
    <row r="6301" ht="15.75" customHeight="1">
      <c r="A6301" s="1119">
        <v>87416.0</v>
      </c>
      <c r="B6301" s="1125" t="s">
        <v>16579</v>
      </c>
      <c r="C6301" s="1126" t="s">
        <v>1814</v>
      </c>
      <c r="D6301" s="1119">
        <v>42.13</v>
      </c>
      <c r="E6301" s="1120">
        <v>21.39</v>
      </c>
      <c r="F6301" s="1121">
        <f t="shared" si="1"/>
        <v>20.76</v>
      </c>
      <c r="G6301" s="1120">
        <v>20.76</v>
      </c>
      <c r="H6301" s="1127">
        <v>0.0</v>
      </c>
      <c r="I6301" s="1127">
        <v>0.0</v>
      </c>
      <c r="J6301" s="1127">
        <v>0.0</v>
      </c>
      <c r="K6301" s="1124"/>
    </row>
    <row r="6302" ht="15.75" customHeight="1">
      <c r="A6302" s="1119">
        <v>87418.0</v>
      </c>
      <c r="B6302" s="1125" t="s">
        <v>16580</v>
      </c>
      <c r="C6302" s="1126" t="s">
        <v>1814</v>
      </c>
      <c r="D6302" s="1119">
        <v>20.33</v>
      </c>
      <c r="E6302" s="1120">
        <v>9.51</v>
      </c>
      <c r="F6302" s="1121">
        <f t="shared" si="1"/>
        <v>10.82</v>
      </c>
      <c r="G6302" s="1120">
        <v>10.82</v>
      </c>
      <c r="H6302" s="1127">
        <v>0.0</v>
      </c>
      <c r="I6302" s="1127">
        <v>0.0</v>
      </c>
      <c r="J6302" s="1127">
        <v>0.0</v>
      </c>
      <c r="K6302" s="1124"/>
    </row>
    <row r="6303" ht="15.75" customHeight="1">
      <c r="A6303" s="1119">
        <v>87421.0</v>
      </c>
      <c r="B6303" s="1125" t="s">
        <v>16581</v>
      </c>
      <c r="C6303" s="1126" t="s">
        <v>1814</v>
      </c>
      <c r="D6303" s="1119">
        <v>30.77</v>
      </c>
      <c r="E6303" s="1120">
        <v>13.0</v>
      </c>
      <c r="F6303" s="1121">
        <f t="shared" si="1"/>
        <v>17.78</v>
      </c>
      <c r="G6303" s="1120">
        <v>17.78</v>
      </c>
      <c r="H6303" s="1127">
        <v>0.0</v>
      </c>
      <c r="I6303" s="1127">
        <v>0.0</v>
      </c>
      <c r="J6303" s="1127">
        <v>0.0</v>
      </c>
      <c r="K6303" s="1124"/>
    </row>
    <row r="6304" ht="15.75" customHeight="1">
      <c r="A6304" s="1119">
        <v>87424.0</v>
      </c>
      <c r="B6304" s="1125" t="s">
        <v>16582</v>
      </c>
      <c r="C6304" s="1126" t="s">
        <v>1814</v>
      </c>
      <c r="D6304" s="1119">
        <v>41.24</v>
      </c>
      <c r="E6304" s="1120">
        <v>20.73</v>
      </c>
      <c r="F6304" s="1121">
        <f t="shared" si="1"/>
        <v>20.53</v>
      </c>
      <c r="G6304" s="1120">
        <v>20.53</v>
      </c>
      <c r="H6304" s="1127">
        <v>0.0</v>
      </c>
      <c r="I6304" s="1127">
        <v>0.0</v>
      </c>
      <c r="J6304" s="1127">
        <v>0.0</v>
      </c>
      <c r="K6304" s="1124"/>
    </row>
    <row r="6305" ht="15.75" customHeight="1">
      <c r="A6305" s="1119">
        <v>87427.0</v>
      </c>
      <c r="B6305" s="1125" t="s">
        <v>16583</v>
      </c>
      <c r="C6305" s="1126" t="s">
        <v>1814</v>
      </c>
      <c r="D6305" s="1119">
        <v>48.51</v>
      </c>
      <c r="E6305" s="1120">
        <v>23.14</v>
      </c>
      <c r="F6305" s="1121">
        <f t="shared" si="1"/>
        <v>25.36</v>
      </c>
      <c r="G6305" s="1120">
        <v>25.36</v>
      </c>
      <c r="H6305" s="1127">
        <v>0.0</v>
      </c>
      <c r="I6305" s="1127">
        <v>0.0</v>
      </c>
      <c r="J6305" s="1127">
        <v>0.0</v>
      </c>
      <c r="K6305" s="1124"/>
    </row>
    <row r="6306" ht="15.75" customHeight="1">
      <c r="A6306" s="1119">
        <v>87430.0</v>
      </c>
      <c r="B6306" s="1125" t="s">
        <v>16584</v>
      </c>
      <c r="C6306" s="1126" t="s">
        <v>1814</v>
      </c>
      <c r="D6306" s="1119">
        <v>20.22</v>
      </c>
      <c r="E6306" s="1120">
        <v>9.98</v>
      </c>
      <c r="F6306" s="1121">
        <f t="shared" si="1"/>
        <v>10.26</v>
      </c>
      <c r="G6306" s="1120">
        <v>9.92</v>
      </c>
      <c r="H6306" s="1127">
        <v>0.34</v>
      </c>
      <c r="I6306" s="1127">
        <v>0.0</v>
      </c>
      <c r="J6306" s="1127">
        <v>0.0</v>
      </c>
      <c r="K6306" s="1124"/>
    </row>
    <row r="6307" ht="15.75" customHeight="1">
      <c r="A6307" s="1119">
        <v>87433.0</v>
      </c>
      <c r="B6307" s="1125" t="s">
        <v>16585</v>
      </c>
      <c r="C6307" s="1126" t="s">
        <v>1814</v>
      </c>
      <c r="D6307" s="1119">
        <v>28.85</v>
      </c>
      <c r="E6307" s="1120">
        <v>12.51</v>
      </c>
      <c r="F6307" s="1121">
        <f t="shared" si="1"/>
        <v>16.36</v>
      </c>
      <c r="G6307" s="1120">
        <v>15.75</v>
      </c>
      <c r="H6307" s="1127">
        <v>0.61</v>
      </c>
      <c r="I6307" s="1127">
        <v>0.0</v>
      </c>
      <c r="J6307" s="1127">
        <v>0.0</v>
      </c>
      <c r="K6307" s="1124"/>
    </row>
    <row r="6308" ht="15.75" customHeight="1">
      <c r="A6308" s="1119">
        <v>87436.0</v>
      </c>
      <c r="B6308" s="1125" t="s">
        <v>16586</v>
      </c>
      <c r="C6308" s="1126" t="s">
        <v>1814</v>
      </c>
      <c r="D6308" s="1119">
        <v>33.1</v>
      </c>
      <c r="E6308" s="1120">
        <v>15.63</v>
      </c>
      <c r="F6308" s="1121">
        <f t="shared" si="1"/>
        <v>17.47</v>
      </c>
      <c r="G6308" s="1120">
        <v>16.86</v>
      </c>
      <c r="H6308" s="1127">
        <v>0.61</v>
      </c>
      <c r="I6308" s="1127">
        <v>0.0</v>
      </c>
      <c r="J6308" s="1127">
        <v>0.0</v>
      </c>
      <c r="K6308" s="1124"/>
    </row>
    <row r="6309" ht="15.75" customHeight="1">
      <c r="A6309" s="1119">
        <v>87439.0</v>
      </c>
      <c r="B6309" s="1125" t="s">
        <v>16587</v>
      </c>
      <c r="C6309" s="1126" t="s">
        <v>1814</v>
      </c>
      <c r="D6309" s="1119">
        <v>40.38</v>
      </c>
      <c r="E6309" s="1120">
        <v>18.35</v>
      </c>
      <c r="F6309" s="1121">
        <f t="shared" si="1"/>
        <v>22.04</v>
      </c>
      <c r="G6309" s="1120">
        <v>21.24</v>
      </c>
      <c r="H6309" s="1127">
        <v>0.8</v>
      </c>
      <c r="I6309" s="1127">
        <v>0.0</v>
      </c>
      <c r="J6309" s="1127">
        <v>0.0</v>
      </c>
      <c r="K6309" s="1124"/>
    </row>
    <row r="6310" ht="15.75" customHeight="1">
      <c r="A6310" s="1119">
        <v>87527.0</v>
      </c>
      <c r="B6310" s="1125" t="s">
        <v>16588</v>
      </c>
      <c r="C6310" s="1126" t="s">
        <v>1814</v>
      </c>
      <c r="D6310" s="1119">
        <v>43.78</v>
      </c>
      <c r="E6310" s="1120">
        <v>21.04</v>
      </c>
      <c r="F6310" s="1121">
        <f t="shared" si="1"/>
        <v>22.75</v>
      </c>
      <c r="G6310" s="1120">
        <v>22.67</v>
      </c>
      <c r="H6310" s="1127">
        <v>0.05</v>
      </c>
      <c r="I6310" s="1127">
        <v>0.0</v>
      </c>
      <c r="J6310" s="1127">
        <v>0.03</v>
      </c>
      <c r="K6310" s="1124"/>
    </row>
    <row r="6311" ht="15.75" customHeight="1">
      <c r="A6311" s="1119">
        <v>87528.0</v>
      </c>
      <c r="B6311" s="1125" t="s">
        <v>16589</v>
      </c>
      <c r="C6311" s="1126" t="s">
        <v>1814</v>
      </c>
      <c r="D6311" s="1119">
        <v>49.75</v>
      </c>
      <c r="E6311" s="1120">
        <v>25.3</v>
      </c>
      <c r="F6311" s="1121">
        <f t="shared" si="1"/>
        <v>24.46</v>
      </c>
      <c r="G6311" s="1120">
        <v>24.46</v>
      </c>
      <c r="H6311" s="1127">
        <v>0.0</v>
      </c>
      <c r="I6311" s="1127">
        <v>0.0</v>
      </c>
      <c r="J6311" s="1127">
        <v>0.0</v>
      </c>
      <c r="K6311" s="1124"/>
    </row>
    <row r="6312" ht="15.75" customHeight="1">
      <c r="A6312" s="1119">
        <v>87529.0</v>
      </c>
      <c r="B6312" s="1125" t="s">
        <v>16590</v>
      </c>
      <c r="C6312" s="1126" t="s">
        <v>1814</v>
      </c>
      <c r="D6312" s="1119">
        <v>39.19</v>
      </c>
      <c r="E6312" s="1120">
        <v>17.62</v>
      </c>
      <c r="F6312" s="1121">
        <f t="shared" si="1"/>
        <v>21.58</v>
      </c>
      <c r="G6312" s="1120">
        <v>21.5</v>
      </c>
      <c r="H6312" s="1127">
        <v>0.05</v>
      </c>
      <c r="I6312" s="1127">
        <v>0.0</v>
      </c>
      <c r="J6312" s="1127">
        <v>0.03</v>
      </c>
      <c r="K6312" s="1124"/>
    </row>
    <row r="6313" ht="15.75" customHeight="1">
      <c r="A6313" s="1119">
        <v>87530.0</v>
      </c>
      <c r="B6313" s="1125" t="s">
        <v>16591</v>
      </c>
      <c r="C6313" s="1126" t="s">
        <v>1814</v>
      </c>
      <c r="D6313" s="1119">
        <v>45.16</v>
      </c>
      <c r="E6313" s="1120">
        <v>21.87</v>
      </c>
      <c r="F6313" s="1121">
        <f t="shared" si="1"/>
        <v>23.29</v>
      </c>
      <c r="G6313" s="1120">
        <v>23.29</v>
      </c>
      <c r="H6313" s="1127">
        <v>0.0</v>
      </c>
      <c r="I6313" s="1127">
        <v>0.0</v>
      </c>
      <c r="J6313" s="1127">
        <v>0.0</v>
      </c>
      <c r="K6313" s="1124"/>
    </row>
    <row r="6314" ht="15.75" customHeight="1">
      <c r="A6314" s="1119">
        <v>87531.0</v>
      </c>
      <c r="B6314" s="1125" t="s">
        <v>16592</v>
      </c>
      <c r="C6314" s="1126" t="s">
        <v>1814</v>
      </c>
      <c r="D6314" s="1119">
        <v>37.56</v>
      </c>
      <c r="E6314" s="1120">
        <v>16.4</v>
      </c>
      <c r="F6314" s="1121">
        <f t="shared" si="1"/>
        <v>21.16</v>
      </c>
      <c r="G6314" s="1120">
        <v>21.08</v>
      </c>
      <c r="H6314" s="1127">
        <v>0.05</v>
      </c>
      <c r="I6314" s="1127">
        <v>0.0</v>
      </c>
      <c r="J6314" s="1127">
        <v>0.03</v>
      </c>
      <c r="K6314" s="1124"/>
    </row>
    <row r="6315" ht="15.75" customHeight="1">
      <c r="A6315" s="1119">
        <v>87532.0</v>
      </c>
      <c r="B6315" s="1125" t="s">
        <v>16593</v>
      </c>
      <c r="C6315" s="1126" t="s">
        <v>1814</v>
      </c>
      <c r="D6315" s="1119">
        <v>43.53</v>
      </c>
      <c r="E6315" s="1120">
        <v>20.65</v>
      </c>
      <c r="F6315" s="1121">
        <f t="shared" si="1"/>
        <v>22.87</v>
      </c>
      <c r="G6315" s="1120">
        <v>22.87</v>
      </c>
      <c r="H6315" s="1127">
        <v>0.0</v>
      </c>
      <c r="I6315" s="1127">
        <v>0.0</v>
      </c>
      <c r="J6315" s="1127">
        <v>0.0</v>
      </c>
      <c r="K6315" s="1124"/>
    </row>
    <row r="6316" ht="15.75" customHeight="1">
      <c r="A6316" s="1119">
        <v>87535.0</v>
      </c>
      <c r="B6316" s="1125" t="s">
        <v>16594</v>
      </c>
      <c r="C6316" s="1126" t="s">
        <v>1814</v>
      </c>
      <c r="D6316" s="1119">
        <v>32.98</v>
      </c>
      <c r="E6316" s="1120">
        <v>13.0</v>
      </c>
      <c r="F6316" s="1121">
        <f t="shared" si="1"/>
        <v>19.99</v>
      </c>
      <c r="G6316" s="1120">
        <v>19.91</v>
      </c>
      <c r="H6316" s="1127">
        <v>0.05</v>
      </c>
      <c r="I6316" s="1127">
        <v>0.0</v>
      </c>
      <c r="J6316" s="1127">
        <v>0.03</v>
      </c>
      <c r="K6316" s="1124"/>
    </row>
    <row r="6317" ht="15.75" customHeight="1">
      <c r="A6317" s="1119">
        <v>87536.0</v>
      </c>
      <c r="B6317" s="1125" t="s">
        <v>16595</v>
      </c>
      <c r="C6317" s="1126" t="s">
        <v>1814</v>
      </c>
      <c r="D6317" s="1119">
        <v>38.95</v>
      </c>
      <c r="E6317" s="1120">
        <v>17.25</v>
      </c>
      <c r="F6317" s="1121">
        <f t="shared" si="1"/>
        <v>21.7</v>
      </c>
      <c r="G6317" s="1120">
        <v>21.7</v>
      </c>
      <c r="H6317" s="1127">
        <v>0.0</v>
      </c>
      <c r="I6317" s="1127">
        <v>0.0</v>
      </c>
      <c r="J6317" s="1127">
        <v>0.0</v>
      </c>
      <c r="K6317" s="1124"/>
    </row>
    <row r="6318" ht="15.75" customHeight="1">
      <c r="A6318" s="1119">
        <v>87537.0</v>
      </c>
      <c r="B6318" s="1125" t="s">
        <v>16596</v>
      </c>
      <c r="C6318" s="1126" t="s">
        <v>1814</v>
      </c>
      <c r="D6318" s="1119">
        <v>79.39</v>
      </c>
      <c r="E6318" s="1120">
        <v>17.35</v>
      </c>
      <c r="F6318" s="1121">
        <f t="shared" si="1"/>
        <v>62.06</v>
      </c>
      <c r="G6318" s="1120">
        <v>61.04</v>
      </c>
      <c r="H6318" s="1127">
        <v>1.01</v>
      </c>
      <c r="I6318" s="1127">
        <v>0.0</v>
      </c>
      <c r="J6318" s="1127">
        <v>0.01</v>
      </c>
      <c r="K6318" s="1124"/>
    </row>
    <row r="6319" ht="15.75" customHeight="1">
      <c r="A6319" s="1119">
        <v>87538.0</v>
      </c>
      <c r="B6319" s="1125" t="s">
        <v>16597</v>
      </c>
      <c r="C6319" s="1126" t="s">
        <v>1814</v>
      </c>
      <c r="D6319" s="1119">
        <v>75.46</v>
      </c>
      <c r="E6319" s="1120">
        <v>14.37</v>
      </c>
      <c r="F6319" s="1121">
        <f t="shared" si="1"/>
        <v>61.09</v>
      </c>
      <c r="G6319" s="1120">
        <v>60.07</v>
      </c>
      <c r="H6319" s="1127">
        <v>1.01</v>
      </c>
      <c r="I6319" s="1127">
        <v>0.0</v>
      </c>
      <c r="J6319" s="1127">
        <v>0.01</v>
      </c>
      <c r="K6319" s="1124"/>
    </row>
    <row r="6320" ht="15.75" customHeight="1">
      <c r="A6320" s="1119">
        <v>87539.0</v>
      </c>
      <c r="B6320" s="1125" t="s">
        <v>16598</v>
      </c>
      <c r="C6320" s="1126" t="s">
        <v>1814</v>
      </c>
      <c r="D6320" s="1119">
        <v>74.06</v>
      </c>
      <c r="E6320" s="1120">
        <v>13.31</v>
      </c>
      <c r="F6320" s="1121">
        <f t="shared" si="1"/>
        <v>60.74</v>
      </c>
      <c r="G6320" s="1120">
        <v>59.72</v>
      </c>
      <c r="H6320" s="1127">
        <v>1.01</v>
      </c>
      <c r="I6320" s="1127">
        <v>0.0</v>
      </c>
      <c r="J6320" s="1127">
        <v>0.01</v>
      </c>
      <c r="K6320" s="1124"/>
    </row>
    <row r="6321" ht="15.75" customHeight="1">
      <c r="A6321" s="1119">
        <v>87541.0</v>
      </c>
      <c r="B6321" s="1125" t="s">
        <v>16599</v>
      </c>
      <c r="C6321" s="1126" t="s">
        <v>1814</v>
      </c>
      <c r="D6321" s="1119">
        <v>70.12</v>
      </c>
      <c r="E6321" s="1120">
        <v>10.35</v>
      </c>
      <c r="F6321" s="1121">
        <f t="shared" si="1"/>
        <v>59.78</v>
      </c>
      <c r="G6321" s="1120">
        <v>58.76</v>
      </c>
      <c r="H6321" s="1127">
        <v>1.01</v>
      </c>
      <c r="I6321" s="1127">
        <v>0.0</v>
      </c>
      <c r="J6321" s="1127">
        <v>0.01</v>
      </c>
      <c r="K6321" s="1124"/>
    </row>
    <row r="6322" ht="15.75" customHeight="1">
      <c r="A6322" s="1119">
        <v>87543.0</v>
      </c>
      <c r="B6322" s="1125" t="s">
        <v>16600</v>
      </c>
      <c r="C6322" s="1126" t="s">
        <v>1814</v>
      </c>
      <c r="D6322" s="1119">
        <v>25.2</v>
      </c>
      <c r="E6322" s="1120">
        <v>6.23</v>
      </c>
      <c r="F6322" s="1121">
        <f t="shared" si="1"/>
        <v>18.98</v>
      </c>
      <c r="G6322" s="1120">
        <v>18.69</v>
      </c>
      <c r="H6322" s="1127">
        <v>0.29</v>
      </c>
      <c r="I6322" s="1127">
        <v>0.0</v>
      </c>
      <c r="J6322" s="1127">
        <v>0.0</v>
      </c>
      <c r="K6322" s="1124"/>
    </row>
    <row r="6323" ht="15.75" customHeight="1">
      <c r="A6323" s="1119">
        <v>87545.0</v>
      </c>
      <c r="B6323" s="1125" t="s">
        <v>16601</v>
      </c>
      <c r="C6323" s="1126" t="s">
        <v>1814</v>
      </c>
      <c r="D6323" s="1119">
        <v>30.27</v>
      </c>
      <c r="E6323" s="1120">
        <v>16.03</v>
      </c>
      <c r="F6323" s="1121">
        <f t="shared" si="1"/>
        <v>14.25</v>
      </c>
      <c r="G6323" s="1120">
        <v>14.22</v>
      </c>
      <c r="H6323" s="1127">
        <v>0.02</v>
      </c>
      <c r="I6323" s="1127">
        <v>0.0</v>
      </c>
      <c r="J6323" s="1127">
        <v>0.01</v>
      </c>
      <c r="K6323" s="1124"/>
    </row>
    <row r="6324" ht="15.75" customHeight="1">
      <c r="A6324" s="1119">
        <v>87546.0</v>
      </c>
      <c r="B6324" s="1125" t="s">
        <v>16602</v>
      </c>
      <c r="C6324" s="1126" t="s">
        <v>1814</v>
      </c>
      <c r="D6324" s="1119">
        <v>33.65</v>
      </c>
      <c r="E6324" s="1120">
        <v>18.43</v>
      </c>
      <c r="F6324" s="1121">
        <f t="shared" si="1"/>
        <v>15.22</v>
      </c>
      <c r="G6324" s="1120">
        <v>15.22</v>
      </c>
      <c r="H6324" s="1127">
        <v>0.0</v>
      </c>
      <c r="I6324" s="1127">
        <v>0.0</v>
      </c>
      <c r="J6324" s="1127">
        <v>0.0</v>
      </c>
      <c r="K6324" s="1124"/>
    </row>
    <row r="6325" ht="15.75" customHeight="1">
      <c r="A6325" s="1119">
        <v>87547.0</v>
      </c>
      <c r="B6325" s="1125" t="s">
        <v>16603</v>
      </c>
      <c r="C6325" s="1126" t="s">
        <v>1814</v>
      </c>
      <c r="D6325" s="1119">
        <v>25.71</v>
      </c>
      <c r="E6325" s="1120">
        <v>12.62</v>
      </c>
      <c r="F6325" s="1121">
        <f t="shared" si="1"/>
        <v>13.09</v>
      </c>
      <c r="G6325" s="1120">
        <v>13.06</v>
      </c>
      <c r="H6325" s="1127">
        <v>0.02</v>
      </c>
      <c r="I6325" s="1127">
        <v>0.0</v>
      </c>
      <c r="J6325" s="1127">
        <v>0.01</v>
      </c>
      <c r="K6325" s="1124"/>
    </row>
    <row r="6326" ht="15.75" customHeight="1">
      <c r="A6326" s="1119">
        <v>87548.0</v>
      </c>
      <c r="B6326" s="1125" t="s">
        <v>16604</v>
      </c>
      <c r="C6326" s="1126" t="s">
        <v>1814</v>
      </c>
      <c r="D6326" s="1119">
        <v>29.09</v>
      </c>
      <c r="E6326" s="1120">
        <v>15.03</v>
      </c>
      <c r="F6326" s="1121">
        <f t="shared" si="1"/>
        <v>14.07</v>
      </c>
      <c r="G6326" s="1120">
        <v>14.07</v>
      </c>
      <c r="H6326" s="1127">
        <v>0.0</v>
      </c>
      <c r="I6326" s="1127">
        <v>0.0</v>
      </c>
      <c r="J6326" s="1127">
        <v>0.0</v>
      </c>
      <c r="K6326" s="1124"/>
    </row>
    <row r="6327" ht="15.75" customHeight="1">
      <c r="A6327" s="1119">
        <v>87549.0</v>
      </c>
      <c r="B6327" s="1125" t="s">
        <v>16605</v>
      </c>
      <c r="C6327" s="1126" t="s">
        <v>1814</v>
      </c>
      <c r="D6327" s="1119">
        <v>24.06</v>
      </c>
      <c r="E6327" s="1120">
        <v>11.39</v>
      </c>
      <c r="F6327" s="1121">
        <f t="shared" si="1"/>
        <v>12.67</v>
      </c>
      <c r="G6327" s="1120">
        <v>12.64</v>
      </c>
      <c r="H6327" s="1127">
        <v>0.02</v>
      </c>
      <c r="I6327" s="1127">
        <v>0.0</v>
      </c>
      <c r="J6327" s="1127">
        <v>0.01</v>
      </c>
      <c r="K6327" s="1124"/>
    </row>
    <row r="6328" ht="15.75" customHeight="1">
      <c r="A6328" s="1119">
        <v>87550.0</v>
      </c>
      <c r="B6328" s="1125" t="s">
        <v>16606</v>
      </c>
      <c r="C6328" s="1126" t="s">
        <v>1814</v>
      </c>
      <c r="D6328" s="1119">
        <v>27.44</v>
      </c>
      <c r="E6328" s="1120">
        <v>13.8</v>
      </c>
      <c r="F6328" s="1121">
        <f t="shared" si="1"/>
        <v>13.65</v>
      </c>
      <c r="G6328" s="1120">
        <v>13.65</v>
      </c>
      <c r="H6328" s="1127">
        <v>0.0</v>
      </c>
      <c r="I6328" s="1127">
        <v>0.0</v>
      </c>
      <c r="J6328" s="1127">
        <v>0.0</v>
      </c>
      <c r="K6328" s="1124"/>
    </row>
    <row r="6329" ht="15.75" customHeight="1">
      <c r="A6329" s="1119">
        <v>87553.0</v>
      </c>
      <c r="B6329" s="1125" t="s">
        <v>16607</v>
      </c>
      <c r="C6329" s="1126" t="s">
        <v>1814</v>
      </c>
      <c r="D6329" s="1119">
        <v>19.47</v>
      </c>
      <c r="E6329" s="1120">
        <v>7.97</v>
      </c>
      <c r="F6329" s="1121">
        <f t="shared" si="1"/>
        <v>11.51</v>
      </c>
      <c r="G6329" s="1120">
        <v>11.48</v>
      </c>
      <c r="H6329" s="1127">
        <v>0.02</v>
      </c>
      <c r="I6329" s="1127">
        <v>0.0</v>
      </c>
      <c r="J6329" s="1127">
        <v>0.01</v>
      </c>
      <c r="K6329" s="1124"/>
    </row>
    <row r="6330" ht="15.75" customHeight="1">
      <c r="A6330" s="1119">
        <v>87554.0</v>
      </c>
      <c r="B6330" s="1125" t="s">
        <v>16608</v>
      </c>
      <c r="C6330" s="1126" t="s">
        <v>1814</v>
      </c>
      <c r="D6330" s="1119">
        <v>22.85</v>
      </c>
      <c r="E6330" s="1120">
        <v>10.37</v>
      </c>
      <c r="F6330" s="1121">
        <f t="shared" si="1"/>
        <v>12.49</v>
      </c>
      <c r="G6330" s="1120">
        <v>12.49</v>
      </c>
      <c r="H6330" s="1127">
        <v>0.0</v>
      </c>
      <c r="I6330" s="1127">
        <v>0.0</v>
      </c>
      <c r="J6330" s="1127">
        <v>0.0</v>
      </c>
      <c r="K6330" s="1124"/>
    </row>
    <row r="6331" ht="15.75" customHeight="1">
      <c r="A6331" s="1119">
        <v>87555.0</v>
      </c>
      <c r="B6331" s="1125" t="s">
        <v>16609</v>
      </c>
      <c r="C6331" s="1126" t="s">
        <v>1814</v>
      </c>
      <c r="D6331" s="1119">
        <v>49.04</v>
      </c>
      <c r="E6331" s="1120">
        <v>12.89</v>
      </c>
      <c r="F6331" s="1121">
        <f t="shared" si="1"/>
        <v>36.14</v>
      </c>
      <c r="G6331" s="1120">
        <v>35.58</v>
      </c>
      <c r="H6331" s="1127">
        <v>0.56</v>
      </c>
      <c r="I6331" s="1127">
        <v>0.0</v>
      </c>
      <c r="J6331" s="1127">
        <v>0.0</v>
      </c>
      <c r="K6331" s="1124"/>
    </row>
    <row r="6332" ht="15.75" customHeight="1">
      <c r="A6332" s="1119">
        <v>87556.0</v>
      </c>
      <c r="B6332" s="1125" t="s">
        <v>16610</v>
      </c>
      <c r="C6332" s="1126" t="s">
        <v>1814</v>
      </c>
      <c r="D6332" s="1119">
        <v>45.13</v>
      </c>
      <c r="E6332" s="1120">
        <v>9.95</v>
      </c>
      <c r="F6332" s="1121">
        <f t="shared" si="1"/>
        <v>35.17</v>
      </c>
      <c r="G6332" s="1120">
        <v>34.61</v>
      </c>
      <c r="H6332" s="1127">
        <v>0.56</v>
      </c>
      <c r="I6332" s="1127">
        <v>0.0</v>
      </c>
      <c r="J6332" s="1127">
        <v>0.0</v>
      </c>
      <c r="K6332" s="1124"/>
    </row>
    <row r="6333" ht="15.75" customHeight="1">
      <c r="A6333" s="1119">
        <v>87557.0</v>
      </c>
      <c r="B6333" s="1125" t="s">
        <v>16611</v>
      </c>
      <c r="C6333" s="1126" t="s">
        <v>1814</v>
      </c>
      <c r="D6333" s="1119">
        <v>43.7</v>
      </c>
      <c r="E6333" s="1120">
        <v>8.88</v>
      </c>
      <c r="F6333" s="1121">
        <f t="shared" si="1"/>
        <v>34.83</v>
      </c>
      <c r="G6333" s="1120">
        <v>34.27</v>
      </c>
      <c r="H6333" s="1127">
        <v>0.56</v>
      </c>
      <c r="I6333" s="1127">
        <v>0.0</v>
      </c>
      <c r="J6333" s="1127">
        <v>0.0</v>
      </c>
      <c r="K6333" s="1124"/>
    </row>
    <row r="6334" ht="15.75" customHeight="1">
      <c r="A6334" s="1119">
        <v>87559.0</v>
      </c>
      <c r="B6334" s="1125" t="s">
        <v>16612</v>
      </c>
      <c r="C6334" s="1126" t="s">
        <v>1814</v>
      </c>
      <c r="D6334" s="1119">
        <v>39.77</v>
      </c>
      <c r="E6334" s="1120">
        <v>5.91</v>
      </c>
      <c r="F6334" s="1121">
        <f t="shared" si="1"/>
        <v>33.86</v>
      </c>
      <c r="G6334" s="1120">
        <v>33.3</v>
      </c>
      <c r="H6334" s="1127">
        <v>0.56</v>
      </c>
      <c r="I6334" s="1127">
        <v>0.0</v>
      </c>
      <c r="J6334" s="1127">
        <v>0.0</v>
      </c>
      <c r="K6334" s="1124"/>
    </row>
    <row r="6335" ht="15.75" customHeight="1">
      <c r="A6335" s="1119">
        <v>87561.0</v>
      </c>
      <c r="B6335" s="1125" t="s">
        <v>16613</v>
      </c>
      <c r="C6335" s="1126" t="s">
        <v>1814</v>
      </c>
      <c r="D6335" s="1119">
        <v>44.05</v>
      </c>
      <c r="E6335" s="1120">
        <v>9.13</v>
      </c>
      <c r="F6335" s="1121">
        <f t="shared" si="1"/>
        <v>34.92</v>
      </c>
      <c r="G6335" s="1120">
        <v>34.36</v>
      </c>
      <c r="H6335" s="1127">
        <v>0.56</v>
      </c>
      <c r="I6335" s="1127">
        <v>0.0</v>
      </c>
      <c r="J6335" s="1127">
        <v>0.0</v>
      </c>
      <c r="K6335" s="1124"/>
    </row>
    <row r="6336" ht="15.75" customHeight="1">
      <c r="A6336" s="1119">
        <v>87775.0</v>
      </c>
      <c r="B6336" s="1125" t="s">
        <v>16614</v>
      </c>
      <c r="C6336" s="1126" t="s">
        <v>1814</v>
      </c>
      <c r="D6336" s="1119">
        <v>57.96</v>
      </c>
      <c r="E6336" s="1120">
        <v>31.16</v>
      </c>
      <c r="F6336" s="1121">
        <f t="shared" si="1"/>
        <v>26.8</v>
      </c>
      <c r="G6336" s="1120">
        <v>26.74</v>
      </c>
      <c r="H6336" s="1127">
        <v>0.04</v>
      </c>
      <c r="I6336" s="1127">
        <v>0.0</v>
      </c>
      <c r="J6336" s="1127">
        <v>0.02</v>
      </c>
      <c r="K6336" s="1124"/>
    </row>
    <row r="6337" ht="15.75" customHeight="1">
      <c r="A6337" s="1119">
        <v>87777.0</v>
      </c>
      <c r="B6337" s="1125" t="s">
        <v>16615</v>
      </c>
      <c r="C6337" s="1126" t="s">
        <v>1814</v>
      </c>
      <c r="D6337" s="1119">
        <v>62.94</v>
      </c>
      <c r="E6337" s="1120">
        <v>34.7</v>
      </c>
      <c r="F6337" s="1121">
        <f t="shared" si="1"/>
        <v>28.24</v>
      </c>
      <c r="G6337" s="1120">
        <v>28.24</v>
      </c>
      <c r="H6337" s="1127">
        <v>0.0</v>
      </c>
      <c r="I6337" s="1127">
        <v>0.0</v>
      </c>
      <c r="J6337" s="1127">
        <v>0.0</v>
      </c>
      <c r="K6337" s="1124"/>
    </row>
    <row r="6338" ht="15.75" customHeight="1">
      <c r="A6338" s="1119">
        <v>87778.0</v>
      </c>
      <c r="B6338" s="1125" t="s">
        <v>16616</v>
      </c>
      <c r="C6338" s="1126" t="s">
        <v>1814</v>
      </c>
      <c r="D6338" s="1119">
        <v>88.22</v>
      </c>
      <c r="E6338" s="1120">
        <v>28.36</v>
      </c>
      <c r="F6338" s="1121">
        <f t="shared" si="1"/>
        <v>59.87</v>
      </c>
      <c r="G6338" s="1120">
        <v>59.01</v>
      </c>
      <c r="H6338" s="1127">
        <v>0.85</v>
      </c>
      <c r="I6338" s="1127">
        <v>0.0</v>
      </c>
      <c r="J6338" s="1127">
        <v>0.01</v>
      </c>
      <c r="K6338" s="1124"/>
    </row>
    <row r="6339" ht="15.75" customHeight="1">
      <c r="A6339" s="1119">
        <v>87779.0</v>
      </c>
      <c r="B6339" s="1125" t="s">
        <v>16617</v>
      </c>
      <c r="C6339" s="1126" t="s">
        <v>1814</v>
      </c>
      <c r="D6339" s="1119">
        <v>74.49</v>
      </c>
      <c r="E6339" s="1120">
        <v>40.01</v>
      </c>
      <c r="F6339" s="1121">
        <f t="shared" si="1"/>
        <v>34.49</v>
      </c>
      <c r="G6339" s="1120">
        <v>34.4</v>
      </c>
      <c r="H6339" s="1127">
        <v>0.06</v>
      </c>
      <c r="I6339" s="1127">
        <v>0.0</v>
      </c>
      <c r="J6339" s="1127">
        <v>0.03</v>
      </c>
      <c r="K6339" s="1124"/>
    </row>
    <row r="6340" ht="15.75" customHeight="1">
      <c r="A6340" s="1119">
        <v>87781.0</v>
      </c>
      <c r="B6340" s="1125" t="s">
        <v>16618</v>
      </c>
      <c r="C6340" s="1126" t="s">
        <v>1814</v>
      </c>
      <c r="D6340" s="1119">
        <v>81.17</v>
      </c>
      <c r="E6340" s="1120">
        <v>44.75</v>
      </c>
      <c r="F6340" s="1121">
        <f t="shared" si="1"/>
        <v>36.43</v>
      </c>
      <c r="G6340" s="1120">
        <v>36.43</v>
      </c>
      <c r="H6340" s="1127">
        <v>0.0</v>
      </c>
      <c r="I6340" s="1127">
        <v>0.0</v>
      </c>
      <c r="J6340" s="1127">
        <v>0.0</v>
      </c>
      <c r="K6340" s="1124"/>
    </row>
    <row r="6341" ht="15.75" customHeight="1">
      <c r="A6341" s="1119">
        <v>87783.0</v>
      </c>
      <c r="B6341" s="1125" t="s">
        <v>16619</v>
      </c>
      <c r="C6341" s="1126" t="s">
        <v>1814</v>
      </c>
      <c r="D6341" s="1119">
        <v>115.37</v>
      </c>
      <c r="E6341" s="1120">
        <v>36.5</v>
      </c>
      <c r="F6341" s="1121">
        <f t="shared" si="1"/>
        <v>78.88</v>
      </c>
      <c r="G6341" s="1120">
        <v>77.73</v>
      </c>
      <c r="H6341" s="1127">
        <v>1.14</v>
      </c>
      <c r="I6341" s="1127">
        <v>0.0</v>
      </c>
      <c r="J6341" s="1127">
        <v>0.01</v>
      </c>
      <c r="K6341" s="1124"/>
    </row>
    <row r="6342" ht="15.75" customHeight="1">
      <c r="A6342" s="1119">
        <v>87784.0</v>
      </c>
      <c r="B6342" s="1125" t="s">
        <v>16620</v>
      </c>
      <c r="C6342" s="1126" t="s">
        <v>1814</v>
      </c>
      <c r="D6342" s="1119">
        <v>80.07</v>
      </c>
      <c r="E6342" s="1120">
        <v>40.88</v>
      </c>
      <c r="F6342" s="1121">
        <f t="shared" si="1"/>
        <v>39.22</v>
      </c>
      <c r="G6342" s="1120">
        <v>39.11</v>
      </c>
      <c r="H6342" s="1127">
        <v>0.07</v>
      </c>
      <c r="I6342" s="1127">
        <v>0.0</v>
      </c>
      <c r="J6342" s="1127">
        <v>0.04</v>
      </c>
      <c r="K6342" s="1124"/>
    </row>
    <row r="6343" ht="15.75" customHeight="1">
      <c r="A6343" s="1119">
        <v>87786.0</v>
      </c>
      <c r="B6343" s="1125" t="s">
        <v>16621</v>
      </c>
      <c r="C6343" s="1126" t="s">
        <v>1814</v>
      </c>
      <c r="D6343" s="1119">
        <v>88.45</v>
      </c>
      <c r="E6343" s="1120">
        <v>46.83</v>
      </c>
      <c r="F6343" s="1121">
        <f t="shared" si="1"/>
        <v>41.65</v>
      </c>
      <c r="G6343" s="1120">
        <v>41.65</v>
      </c>
      <c r="H6343" s="1127">
        <v>0.0</v>
      </c>
      <c r="I6343" s="1127">
        <v>0.0</v>
      </c>
      <c r="J6343" s="1127">
        <v>0.0</v>
      </c>
      <c r="K6343" s="1124"/>
    </row>
    <row r="6344" ht="15.75" customHeight="1">
      <c r="A6344" s="1119">
        <v>87787.0</v>
      </c>
      <c r="B6344" s="1125" t="s">
        <v>16622</v>
      </c>
      <c r="C6344" s="1126" t="s">
        <v>1814</v>
      </c>
      <c r="D6344" s="1119">
        <v>132.48</v>
      </c>
      <c r="E6344" s="1120">
        <v>37.3</v>
      </c>
      <c r="F6344" s="1121">
        <f t="shared" si="1"/>
        <v>95.19</v>
      </c>
      <c r="G6344" s="1120">
        <v>93.71</v>
      </c>
      <c r="H6344" s="1127">
        <v>1.46</v>
      </c>
      <c r="I6344" s="1127">
        <v>0.0</v>
      </c>
      <c r="J6344" s="1127">
        <v>0.02</v>
      </c>
      <c r="K6344" s="1124"/>
    </row>
    <row r="6345" ht="15.75" customHeight="1">
      <c r="A6345" s="1119">
        <v>87788.0</v>
      </c>
      <c r="B6345" s="1125" t="s">
        <v>16623</v>
      </c>
      <c r="C6345" s="1126" t="s">
        <v>1814</v>
      </c>
      <c r="D6345" s="1119">
        <v>95.3</v>
      </c>
      <c r="E6345" s="1120">
        <v>50.41</v>
      </c>
      <c r="F6345" s="1121">
        <f t="shared" si="1"/>
        <v>44.91</v>
      </c>
      <c r="G6345" s="1120">
        <v>44.8</v>
      </c>
      <c r="H6345" s="1127">
        <v>0.07</v>
      </c>
      <c r="I6345" s="1127">
        <v>0.0</v>
      </c>
      <c r="J6345" s="1127">
        <v>0.04</v>
      </c>
      <c r="K6345" s="1124"/>
    </row>
    <row r="6346" ht="15.75" customHeight="1">
      <c r="A6346" s="1119">
        <v>87790.0</v>
      </c>
      <c r="B6346" s="1125" t="s">
        <v>16624</v>
      </c>
      <c r="C6346" s="1126" t="s">
        <v>1814</v>
      </c>
      <c r="D6346" s="1119">
        <v>104.51</v>
      </c>
      <c r="E6346" s="1120">
        <v>56.95</v>
      </c>
      <c r="F6346" s="1121">
        <f t="shared" si="1"/>
        <v>47.57</v>
      </c>
      <c r="G6346" s="1120">
        <v>47.57</v>
      </c>
      <c r="H6346" s="1127">
        <v>0.0</v>
      </c>
      <c r="I6346" s="1127">
        <v>0.0</v>
      </c>
      <c r="J6346" s="1127">
        <v>0.0</v>
      </c>
      <c r="K6346" s="1124"/>
    </row>
    <row r="6347" ht="15.75" customHeight="1">
      <c r="A6347" s="1119">
        <v>87791.0</v>
      </c>
      <c r="B6347" s="1125" t="s">
        <v>16625</v>
      </c>
      <c r="C6347" s="1126" t="s">
        <v>1814</v>
      </c>
      <c r="D6347" s="1119">
        <v>146.1</v>
      </c>
      <c r="E6347" s="1120">
        <v>41.46</v>
      </c>
      <c r="F6347" s="1121">
        <f t="shared" si="1"/>
        <v>104.64</v>
      </c>
      <c r="G6347" s="1120">
        <v>103.02</v>
      </c>
      <c r="H6347" s="1127">
        <v>1.6</v>
      </c>
      <c r="I6347" s="1127">
        <v>0.0</v>
      </c>
      <c r="J6347" s="1127">
        <v>0.02</v>
      </c>
      <c r="K6347" s="1124"/>
    </row>
    <row r="6348" ht="15.75" customHeight="1">
      <c r="A6348" s="1119">
        <v>87792.0</v>
      </c>
      <c r="B6348" s="1125" t="s">
        <v>16626</v>
      </c>
      <c r="C6348" s="1126" t="s">
        <v>1814</v>
      </c>
      <c r="D6348" s="1119">
        <v>41.63</v>
      </c>
      <c r="E6348" s="1120">
        <v>19.62</v>
      </c>
      <c r="F6348" s="1121">
        <f t="shared" si="1"/>
        <v>22.03</v>
      </c>
      <c r="G6348" s="1120">
        <v>21.99</v>
      </c>
      <c r="H6348" s="1127">
        <v>0.02</v>
      </c>
      <c r="I6348" s="1127">
        <v>0.0</v>
      </c>
      <c r="J6348" s="1127">
        <v>0.02</v>
      </c>
      <c r="K6348" s="1124"/>
    </row>
    <row r="6349" ht="15.75" customHeight="1">
      <c r="A6349" s="1119">
        <v>87794.0</v>
      </c>
      <c r="B6349" s="1125" t="s">
        <v>16627</v>
      </c>
      <c r="C6349" s="1126" t="s">
        <v>1814</v>
      </c>
      <c r="D6349" s="1119">
        <v>46.28</v>
      </c>
      <c r="E6349" s="1120">
        <v>22.9</v>
      </c>
      <c r="F6349" s="1121">
        <f t="shared" si="1"/>
        <v>23.38</v>
      </c>
      <c r="G6349" s="1120">
        <v>23.38</v>
      </c>
      <c r="H6349" s="1127">
        <v>0.0</v>
      </c>
      <c r="I6349" s="1127">
        <v>0.0</v>
      </c>
      <c r="J6349" s="1127">
        <v>0.0</v>
      </c>
      <c r="K6349" s="1124"/>
    </row>
    <row r="6350" ht="15.75" customHeight="1">
      <c r="A6350" s="1119">
        <v>87795.0</v>
      </c>
      <c r="B6350" s="1125" t="s">
        <v>16628</v>
      </c>
      <c r="C6350" s="1126" t="s">
        <v>1814</v>
      </c>
      <c r="D6350" s="1119">
        <v>71.07</v>
      </c>
      <c r="E6350" s="1120">
        <v>17.88</v>
      </c>
      <c r="F6350" s="1121">
        <f t="shared" si="1"/>
        <v>53.2</v>
      </c>
      <c r="G6350" s="1120">
        <v>52.39</v>
      </c>
      <c r="H6350" s="1127">
        <v>0.8</v>
      </c>
      <c r="I6350" s="1127">
        <v>0.0</v>
      </c>
      <c r="J6350" s="1127">
        <v>0.01</v>
      </c>
      <c r="K6350" s="1124"/>
    </row>
    <row r="6351" ht="15.75" customHeight="1">
      <c r="A6351" s="1119">
        <v>87797.0</v>
      </c>
      <c r="B6351" s="1125" t="s">
        <v>16629</v>
      </c>
      <c r="C6351" s="1126" t="s">
        <v>1814</v>
      </c>
      <c r="D6351" s="1119">
        <v>57.87</v>
      </c>
      <c r="E6351" s="1120">
        <v>28.45</v>
      </c>
      <c r="F6351" s="1121">
        <f t="shared" si="1"/>
        <v>29.41</v>
      </c>
      <c r="G6351" s="1120">
        <v>29.33</v>
      </c>
      <c r="H6351" s="1127">
        <v>0.05</v>
      </c>
      <c r="I6351" s="1127">
        <v>0.0</v>
      </c>
      <c r="J6351" s="1127">
        <v>0.03</v>
      </c>
      <c r="K6351" s="1124"/>
    </row>
    <row r="6352" ht="15.75" customHeight="1">
      <c r="A6352" s="1119">
        <v>87799.0</v>
      </c>
      <c r="B6352" s="1125" t="s">
        <v>16630</v>
      </c>
      <c r="C6352" s="1126" t="s">
        <v>1814</v>
      </c>
      <c r="D6352" s="1119">
        <v>64.1</v>
      </c>
      <c r="E6352" s="1120">
        <v>32.89</v>
      </c>
      <c r="F6352" s="1121">
        <f t="shared" si="1"/>
        <v>31.23</v>
      </c>
      <c r="G6352" s="1120">
        <v>31.23</v>
      </c>
      <c r="H6352" s="1127">
        <v>0.0</v>
      </c>
      <c r="I6352" s="1127">
        <v>0.0</v>
      </c>
      <c r="J6352" s="1127">
        <v>0.0</v>
      </c>
      <c r="K6352" s="1124"/>
    </row>
    <row r="6353" ht="15.75" customHeight="1">
      <c r="A6353" s="1119">
        <v>87800.0</v>
      </c>
      <c r="B6353" s="1125" t="s">
        <v>16631</v>
      </c>
      <c r="C6353" s="1126" t="s">
        <v>1814</v>
      </c>
      <c r="D6353" s="1119">
        <v>97.05</v>
      </c>
      <c r="E6353" s="1120">
        <v>25.93</v>
      </c>
      <c r="F6353" s="1121">
        <f t="shared" si="1"/>
        <v>71.12</v>
      </c>
      <c r="G6353" s="1120">
        <v>70.04</v>
      </c>
      <c r="H6353" s="1127">
        <v>1.07</v>
      </c>
      <c r="I6353" s="1127">
        <v>0.0</v>
      </c>
      <c r="J6353" s="1127">
        <v>0.01</v>
      </c>
      <c r="K6353" s="1124"/>
    </row>
    <row r="6354" ht="15.75" customHeight="1">
      <c r="A6354" s="1119">
        <v>87801.0</v>
      </c>
      <c r="B6354" s="1125" t="s">
        <v>16632</v>
      </c>
      <c r="C6354" s="1126" t="s">
        <v>1814</v>
      </c>
      <c r="D6354" s="1119">
        <v>63.09</v>
      </c>
      <c r="E6354" s="1120">
        <v>29.26</v>
      </c>
      <c r="F6354" s="1121">
        <f t="shared" si="1"/>
        <v>33.83</v>
      </c>
      <c r="G6354" s="1120">
        <v>33.73</v>
      </c>
      <c r="H6354" s="1127">
        <v>0.06</v>
      </c>
      <c r="I6354" s="1127">
        <v>0.0</v>
      </c>
      <c r="J6354" s="1127">
        <v>0.04</v>
      </c>
      <c r="K6354" s="1124"/>
    </row>
    <row r="6355" ht="15.75" customHeight="1">
      <c r="A6355" s="1119">
        <v>87803.0</v>
      </c>
      <c r="B6355" s="1125" t="s">
        <v>16633</v>
      </c>
      <c r="C6355" s="1126" t="s">
        <v>1814</v>
      </c>
      <c r="D6355" s="1119">
        <v>70.91</v>
      </c>
      <c r="E6355" s="1120">
        <v>34.82</v>
      </c>
      <c r="F6355" s="1121">
        <f t="shared" si="1"/>
        <v>36.09</v>
      </c>
      <c r="G6355" s="1120">
        <v>36.09</v>
      </c>
      <c r="H6355" s="1127">
        <v>0.0</v>
      </c>
      <c r="I6355" s="1127">
        <v>0.0</v>
      </c>
      <c r="J6355" s="1127">
        <v>0.0</v>
      </c>
      <c r="K6355" s="1124"/>
    </row>
    <row r="6356" ht="15.75" customHeight="1">
      <c r="A6356" s="1119">
        <v>87804.0</v>
      </c>
      <c r="B6356" s="1125" t="s">
        <v>16634</v>
      </c>
      <c r="C6356" s="1126" t="s">
        <v>1814</v>
      </c>
      <c r="D6356" s="1119">
        <v>113.05</v>
      </c>
      <c r="E6356" s="1120">
        <v>26.7</v>
      </c>
      <c r="F6356" s="1121">
        <f t="shared" si="1"/>
        <v>86.36</v>
      </c>
      <c r="G6356" s="1120">
        <v>85.0</v>
      </c>
      <c r="H6356" s="1127">
        <v>1.34</v>
      </c>
      <c r="I6356" s="1127">
        <v>0.0</v>
      </c>
      <c r="J6356" s="1127">
        <v>0.02</v>
      </c>
      <c r="K6356" s="1124"/>
    </row>
    <row r="6357" ht="15.75" customHeight="1">
      <c r="A6357" s="1119">
        <v>87805.0</v>
      </c>
      <c r="B6357" s="1125" t="s">
        <v>16635</v>
      </c>
      <c r="C6357" s="1126" t="s">
        <v>1814</v>
      </c>
      <c r="D6357" s="1119">
        <v>68.87</v>
      </c>
      <c r="E6357" s="1120">
        <v>31.98</v>
      </c>
      <c r="F6357" s="1121">
        <f t="shared" si="1"/>
        <v>36.89</v>
      </c>
      <c r="G6357" s="1120">
        <v>36.78</v>
      </c>
      <c r="H6357" s="1127">
        <v>0.07</v>
      </c>
      <c r="I6357" s="1127">
        <v>0.0</v>
      </c>
      <c r="J6357" s="1127">
        <v>0.04</v>
      </c>
      <c r="K6357" s="1124"/>
    </row>
    <row r="6358" ht="15.75" customHeight="1">
      <c r="A6358" s="1119">
        <v>87807.0</v>
      </c>
      <c r="B6358" s="1125" t="s">
        <v>16636</v>
      </c>
      <c r="C6358" s="1126" t="s">
        <v>1814</v>
      </c>
      <c r="D6358" s="1119">
        <v>77.48</v>
      </c>
      <c r="E6358" s="1120">
        <v>38.1</v>
      </c>
      <c r="F6358" s="1121">
        <f t="shared" si="1"/>
        <v>39.38</v>
      </c>
      <c r="G6358" s="1120">
        <v>39.38</v>
      </c>
      <c r="H6358" s="1127">
        <v>0.0</v>
      </c>
      <c r="I6358" s="1127">
        <v>0.0</v>
      </c>
      <c r="J6358" s="1127">
        <v>0.0</v>
      </c>
      <c r="K6358" s="1124"/>
    </row>
    <row r="6359" ht="15.75" customHeight="1">
      <c r="A6359" s="1119">
        <v>87808.0</v>
      </c>
      <c r="B6359" s="1125" t="s">
        <v>16637</v>
      </c>
      <c r="C6359" s="1126" t="s">
        <v>1814</v>
      </c>
      <c r="D6359" s="1119">
        <v>120.23</v>
      </c>
      <c r="E6359" s="1120">
        <v>26.47</v>
      </c>
      <c r="F6359" s="1121">
        <f t="shared" si="1"/>
        <v>93.77</v>
      </c>
      <c r="G6359" s="1120">
        <v>92.26</v>
      </c>
      <c r="H6359" s="1127">
        <v>1.49</v>
      </c>
      <c r="I6359" s="1127">
        <v>0.0</v>
      </c>
      <c r="J6359" s="1127">
        <v>0.02</v>
      </c>
      <c r="K6359" s="1124"/>
    </row>
    <row r="6360" ht="15.75" customHeight="1">
      <c r="A6360" s="1119">
        <v>87809.0</v>
      </c>
      <c r="B6360" s="1125" t="s">
        <v>16638</v>
      </c>
      <c r="C6360" s="1126" t="s">
        <v>1814</v>
      </c>
      <c r="D6360" s="1119">
        <v>85.4</v>
      </c>
      <c r="E6360" s="1120">
        <v>53.63</v>
      </c>
      <c r="F6360" s="1121">
        <f t="shared" si="1"/>
        <v>31.78</v>
      </c>
      <c r="G6360" s="1120">
        <v>31.74</v>
      </c>
      <c r="H6360" s="1127">
        <v>0.02</v>
      </c>
      <c r="I6360" s="1127">
        <v>0.0</v>
      </c>
      <c r="J6360" s="1127">
        <v>0.02</v>
      </c>
      <c r="K6360" s="1124"/>
    </row>
    <row r="6361" ht="15.75" customHeight="1">
      <c r="A6361" s="1119">
        <v>87811.0</v>
      </c>
      <c r="B6361" s="1125" t="s">
        <v>16639</v>
      </c>
      <c r="C6361" s="1126" t="s">
        <v>1814</v>
      </c>
      <c r="D6361" s="1119">
        <v>90.05</v>
      </c>
      <c r="E6361" s="1120">
        <v>56.91</v>
      </c>
      <c r="F6361" s="1121">
        <f t="shared" si="1"/>
        <v>33.14</v>
      </c>
      <c r="G6361" s="1120">
        <v>33.14</v>
      </c>
      <c r="H6361" s="1127">
        <v>0.0</v>
      </c>
      <c r="I6361" s="1127">
        <v>0.0</v>
      </c>
      <c r="J6361" s="1127">
        <v>0.0</v>
      </c>
      <c r="K6361" s="1124"/>
    </row>
    <row r="6362" ht="15.75" customHeight="1">
      <c r="A6362" s="1119">
        <v>87812.0</v>
      </c>
      <c r="B6362" s="1125" t="s">
        <v>16640</v>
      </c>
      <c r="C6362" s="1126" t="s">
        <v>1814</v>
      </c>
      <c r="D6362" s="1119">
        <v>110.57</v>
      </c>
      <c r="E6362" s="1120">
        <v>48.76</v>
      </c>
      <c r="F6362" s="1121">
        <f t="shared" si="1"/>
        <v>61.82</v>
      </c>
      <c r="G6362" s="1120">
        <v>61.01</v>
      </c>
      <c r="H6362" s="1127">
        <v>0.8</v>
      </c>
      <c r="I6362" s="1127">
        <v>0.0</v>
      </c>
      <c r="J6362" s="1127">
        <v>0.01</v>
      </c>
      <c r="K6362" s="1124"/>
    </row>
    <row r="6363" ht="15.75" customHeight="1">
      <c r="A6363" s="1119">
        <v>87813.0</v>
      </c>
      <c r="B6363" s="1125" t="s">
        <v>16641</v>
      </c>
      <c r="C6363" s="1126" t="s">
        <v>1814</v>
      </c>
      <c r="D6363" s="1119">
        <v>101.63</v>
      </c>
      <c r="E6363" s="1120">
        <v>62.44</v>
      </c>
      <c r="F6363" s="1121">
        <f t="shared" si="1"/>
        <v>39.18</v>
      </c>
      <c r="G6363" s="1120">
        <v>39.1</v>
      </c>
      <c r="H6363" s="1127">
        <v>0.05</v>
      </c>
      <c r="I6363" s="1127">
        <v>0.0</v>
      </c>
      <c r="J6363" s="1127">
        <v>0.03</v>
      </c>
      <c r="K6363" s="1124"/>
    </row>
    <row r="6364" ht="15.75" customHeight="1">
      <c r="A6364" s="1119">
        <v>87815.0</v>
      </c>
      <c r="B6364" s="1125" t="s">
        <v>16642</v>
      </c>
      <c r="C6364" s="1126" t="s">
        <v>1814</v>
      </c>
      <c r="D6364" s="1119">
        <v>107.86</v>
      </c>
      <c r="E6364" s="1120">
        <v>66.87</v>
      </c>
      <c r="F6364" s="1121">
        <f t="shared" si="1"/>
        <v>41</v>
      </c>
      <c r="G6364" s="1120">
        <v>41.0</v>
      </c>
      <c r="H6364" s="1127">
        <v>0.0</v>
      </c>
      <c r="I6364" s="1127">
        <v>0.0</v>
      </c>
      <c r="J6364" s="1127">
        <v>0.0</v>
      </c>
      <c r="K6364" s="1124"/>
    </row>
    <row r="6365" ht="15.75" customHeight="1">
      <c r="A6365" s="1119">
        <v>87816.0</v>
      </c>
      <c r="B6365" s="1125" t="s">
        <v>16643</v>
      </c>
      <c r="C6365" s="1126" t="s">
        <v>1814</v>
      </c>
      <c r="D6365" s="1119">
        <v>136.61</v>
      </c>
      <c r="E6365" s="1120">
        <v>56.86</v>
      </c>
      <c r="F6365" s="1121">
        <f t="shared" si="1"/>
        <v>79.76</v>
      </c>
      <c r="G6365" s="1120">
        <v>78.68</v>
      </c>
      <c r="H6365" s="1127">
        <v>1.07</v>
      </c>
      <c r="I6365" s="1127">
        <v>0.0</v>
      </c>
      <c r="J6365" s="1127">
        <v>0.01</v>
      </c>
      <c r="K6365" s="1124"/>
    </row>
    <row r="6366" ht="15.75" customHeight="1">
      <c r="A6366" s="1119">
        <v>87817.0</v>
      </c>
      <c r="B6366" s="1125" t="s">
        <v>16644</v>
      </c>
      <c r="C6366" s="1126" t="s">
        <v>1814</v>
      </c>
      <c r="D6366" s="1119">
        <v>106.85</v>
      </c>
      <c r="E6366" s="1120">
        <v>63.25</v>
      </c>
      <c r="F6366" s="1121">
        <f t="shared" si="1"/>
        <v>43.6</v>
      </c>
      <c r="G6366" s="1120">
        <v>43.5</v>
      </c>
      <c r="H6366" s="1127">
        <v>0.06</v>
      </c>
      <c r="I6366" s="1127">
        <v>0.0</v>
      </c>
      <c r="J6366" s="1127">
        <v>0.04</v>
      </c>
      <c r="K6366" s="1124"/>
    </row>
    <row r="6367" ht="15.75" customHeight="1">
      <c r="A6367" s="1119">
        <v>87819.0</v>
      </c>
      <c r="B6367" s="1125" t="s">
        <v>16645</v>
      </c>
      <c r="C6367" s="1126" t="s">
        <v>1814</v>
      </c>
      <c r="D6367" s="1119">
        <v>114.67</v>
      </c>
      <c r="E6367" s="1120">
        <v>68.8</v>
      </c>
      <c r="F6367" s="1121">
        <f t="shared" si="1"/>
        <v>45.86</v>
      </c>
      <c r="G6367" s="1120">
        <v>45.86</v>
      </c>
      <c r="H6367" s="1127">
        <v>0.0</v>
      </c>
      <c r="I6367" s="1127">
        <v>0.0</v>
      </c>
      <c r="J6367" s="1127">
        <v>0.0</v>
      </c>
      <c r="K6367" s="1124"/>
    </row>
    <row r="6368" ht="15.75" customHeight="1">
      <c r="A6368" s="1119">
        <v>87820.0</v>
      </c>
      <c r="B6368" s="1125" t="s">
        <v>16646</v>
      </c>
      <c r="C6368" s="1126" t="s">
        <v>1814</v>
      </c>
      <c r="D6368" s="1119">
        <v>152.61</v>
      </c>
      <c r="E6368" s="1120">
        <v>57.62</v>
      </c>
      <c r="F6368" s="1121">
        <f t="shared" si="1"/>
        <v>95</v>
      </c>
      <c r="G6368" s="1120">
        <v>93.64</v>
      </c>
      <c r="H6368" s="1127">
        <v>1.34</v>
      </c>
      <c r="I6368" s="1127">
        <v>0.0</v>
      </c>
      <c r="J6368" s="1127">
        <v>0.02</v>
      </c>
      <c r="K6368" s="1124"/>
    </row>
    <row r="6369" ht="15.75" customHeight="1">
      <c r="A6369" s="1119">
        <v>87821.0</v>
      </c>
      <c r="B6369" s="1125" t="s">
        <v>16647</v>
      </c>
      <c r="C6369" s="1126" t="s">
        <v>1814</v>
      </c>
      <c r="D6369" s="1119">
        <v>140.43</v>
      </c>
      <c r="E6369" s="1120">
        <v>86.28</v>
      </c>
      <c r="F6369" s="1121">
        <f t="shared" si="1"/>
        <v>54.15</v>
      </c>
      <c r="G6369" s="1120">
        <v>54.04</v>
      </c>
      <c r="H6369" s="1127">
        <v>0.07</v>
      </c>
      <c r="I6369" s="1127">
        <v>0.0</v>
      </c>
      <c r="J6369" s="1127">
        <v>0.04</v>
      </c>
      <c r="K6369" s="1124"/>
    </row>
    <row r="6370" ht="15.75" customHeight="1">
      <c r="A6370" s="1119">
        <v>87823.0</v>
      </c>
      <c r="B6370" s="1125" t="s">
        <v>16648</v>
      </c>
      <c r="C6370" s="1126" t="s">
        <v>1814</v>
      </c>
      <c r="D6370" s="1119">
        <v>149.04</v>
      </c>
      <c r="E6370" s="1120">
        <v>92.39</v>
      </c>
      <c r="F6370" s="1121">
        <f t="shared" si="1"/>
        <v>56.65</v>
      </c>
      <c r="G6370" s="1120">
        <v>56.65</v>
      </c>
      <c r="H6370" s="1127">
        <v>0.0</v>
      </c>
      <c r="I6370" s="1127">
        <v>0.0</v>
      </c>
      <c r="J6370" s="1127">
        <v>0.0</v>
      </c>
      <c r="K6370" s="1124"/>
    </row>
    <row r="6371" ht="15.75" customHeight="1">
      <c r="A6371" s="1119">
        <v>87824.0</v>
      </c>
      <c r="B6371" s="1125" t="s">
        <v>16649</v>
      </c>
      <c r="C6371" s="1126" t="s">
        <v>1814</v>
      </c>
      <c r="D6371" s="1119">
        <v>177.79</v>
      </c>
      <c r="E6371" s="1120">
        <v>70.53</v>
      </c>
      <c r="F6371" s="1121">
        <f t="shared" si="1"/>
        <v>107.26</v>
      </c>
      <c r="G6371" s="1120">
        <v>105.75</v>
      </c>
      <c r="H6371" s="1127">
        <v>1.49</v>
      </c>
      <c r="I6371" s="1127">
        <v>0.0</v>
      </c>
      <c r="J6371" s="1127">
        <v>0.02</v>
      </c>
      <c r="K6371" s="1124"/>
    </row>
    <row r="6372" ht="15.75" customHeight="1">
      <c r="A6372" s="1119">
        <v>87825.0</v>
      </c>
      <c r="B6372" s="1125" t="s">
        <v>16650</v>
      </c>
      <c r="C6372" s="1126" t="s">
        <v>1814</v>
      </c>
      <c r="D6372" s="1119">
        <v>78.52</v>
      </c>
      <c r="E6372" s="1120">
        <v>46.58</v>
      </c>
      <c r="F6372" s="1121">
        <f t="shared" si="1"/>
        <v>31.94</v>
      </c>
      <c r="G6372" s="1120">
        <v>31.86</v>
      </c>
      <c r="H6372" s="1127">
        <v>0.05</v>
      </c>
      <c r="I6372" s="1127">
        <v>0.0</v>
      </c>
      <c r="J6372" s="1127">
        <v>0.03</v>
      </c>
      <c r="K6372" s="1124"/>
    </row>
    <row r="6373" ht="15.75" customHeight="1">
      <c r="A6373" s="1119">
        <v>87827.0</v>
      </c>
      <c r="B6373" s="1125" t="s">
        <v>16651</v>
      </c>
      <c r="C6373" s="1126" t="s">
        <v>1814</v>
      </c>
      <c r="D6373" s="1119">
        <v>84.21</v>
      </c>
      <c r="E6373" s="1120">
        <v>50.64</v>
      </c>
      <c r="F6373" s="1121">
        <f t="shared" si="1"/>
        <v>33.58</v>
      </c>
      <c r="G6373" s="1120">
        <v>33.58</v>
      </c>
      <c r="H6373" s="1127">
        <v>0.0</v>
      </c>
      <c r="I6373" s="1127">
        <v>0.0</v>
      </c>
      <c r="J6373" s="1127">
        <v>0.0</v>
      </c>
      <c r="K6373" s="1124"/>
    </row>
    <row r="6374" ht="15.75" customHeight="1">
      <c r="A6374" s="1119">
        <v>87828.0</v>
      </c>
      <c r="B6374" s="1125" t="s">
        <v>16652</v>
      </c>
      <c r="C6374" s="1126" t="s">
        <v>1814</v>
      </c>
      <c r="D6374" s="1119">
        <v>111.85</v>
      </c>
      <c r="E6374" s="1120">
        <v>42.48</v>
      </c>
      <c r="F6374" s="1121">
        <f t="shared" si="1"/>
        <v>69.37</v>
      </c>
      <c r="G6374" s="1120">
        <v>68.39</v>
      </c>
      <c r="H6374" s="1127">
        <v>0.97</v>
      </c>
      <c r="I6374" s="1127">
        <v>0.0</v>
      </c>
      <c r="J6374" s="1127">
        <v>0.01</v>
      </c>
      <c r="K6374" s="1124"/>
    </row>
    <row r="6375" ht="15.75" customHeight="1">
      <c r="A6375" s="1119">
        <v>87829.0</v>
      </c>
      <c r="B6375" s="1125" t="s">
        <v>16653</v>
      </c>
      <c r="C6375" s="1126" t="s">
        <v>1814</v>
      </c>
      <c r="D6375" s="1119">
        <v>94.29</v>
      </c>
      <c r="E6375" s="1120">
        <v>54.46</v>
      </c>
      <c r="F6375" s="1121">
        <f t="shared" si="1"/>
        <v>39.84</v>
      </c>
      <c r="G6375" s="1120">
        <v>39.74</v>
      </c>
      <c r="H6375" s="1127">
        <v>0.06</v>
      </c>
      <c r="I6375" s="1127">
        <v>0.0</v>
      </c>
      <c r="J6375" s="1127">
        <v>0.04</v>
      </c>
      <c r="K6375" s="1124"/>
    </row>
    <row r="6376" ht="15.75" customHeight="1">
      <c r="A6376" s="1119">
        <v>87831.0</v>
      </c>
      <c r="B6376" s="1125" t="s">
        <v>16654</v>
      </c>
      <c r="C6376" s="1126" t="s">
        <v>1814</v>
      </c>
      <c r="D6376" s="1119">
        <v>101.92</v>
      </c>
      <c r="E6376" s="1120">
        <v>59.88</v>
      </c>
      <c r="F6376" s="1121">
        <f t="shared" si="1"/>
        <v>42.04</v>
      </c>
      <c r="G6376" s="1120">
        <v>42.04</v>
      </c>
      <c r="H6376" s="1127">
        <v>0.0</v>
      </c>
      <c r="I6376" s="1127">
        <v>0.0</v>
      </c>
      <c r="J6376" s="1127">
        <v>0.0</v>
      </c>
      <c r="K6376" s="1124"/>
    </row>
    <row r="6377" ht="15.75" customHeight="1">
      <c r="A6377" s="1119">
        <v>87832.0</v>
      </c>
      <c r="B6377" s="1125" t="s">
        <v>16655</v>
      </c>
      <c r="C6377" s="1126" t="s">
        <v>1814</v>
      </c>
      <c r="D6377" s="1119">
        <v>139.91</v>
      </c>
      <c r="E6377" s="1120">
        <v>49.65</v>
      </c>
      <c r="F6377" s="1121">
        <f t="shared" si="1"/>
        <v>90.27</v>
      </c>
      <c r="G6377" s="1120">
        <v>88.93</v>
      </c>
      <c r="H6377" s="1127">
        <v>1.32</v>
      </c>
      <c r="I6377" s="1127">
        <v>0.0</v>
      </c>
      <c r="J6377" s="1127">
        <v>0.02</v>
      </c>
      <c r="K6377" s="1124"/>
    </row>
    <row r="6378" ht="15.75" customHeight="1">
      <c r="A6378" s="1119">
        <v>87834.0</v>
      </c>
      <c r="B6378" s="1125" t="s">
        <v>16656</v>
      </c>
      <c r="C6378" s="1126" t="s">
        <v>1814</v>
      </c>
      <c r="D6378" s="1119">
        <v>181.35</v>
      </c>
      <c r="E6378" s="1120">
        <v>20.06</v>
      </c>
      <c r="F6378" s="1121">
        <f t="shared" si="1"/>
        <v>161.29</v>
      </c>
      <c r="G6378" s="1120">
        <v>161.12</v>
      </c>
      <c r="H6378" s="1127">
        <v>0.12</v>
      </c>
      <c r="I6378" s="1127">
        <v>0.0</v>
      </c>
      <c r="J6378" s="1127">
        <v>0.05</v>
      </c>
      <c r="K6378" s="1124"/>
    </row>
    <row r="6379" ht="15.75" customHeight="1">
      <c r="A6379" s="1119">
        <v>87835.0</v>
      </c>
      <c r="B6379" s="1125" t="s">
        <v>16657</v>
      </c>
      <c r="C6379" s="1126" t="s">
        <v>1814</v>
      </c>
      <c r="D6379" s="1119">
        <v>127.23</v>
      </c>
      <c r="E6379" s="1120">
        <v>16.38</v>
      </c>
      <c r="F6379" s="1121">
        <f t="shared" si="1"/>
        <v>110.83</v>
      </c>
      <c r="G6379" s="1120">
        <v>110.74</v>
      </c>
      <c r="H6379" s="1127">
        <v>0.06</v>
      </c>
      <c r="I6379" s="1127">
        <v>0.0</v>
      </c>
      <c r="J6379" s="1127">
        <v>0.03</v>
      </c>
      <c r="K6379" s="1124"/>
    </row>
    <row r="6380" ht="15.75" customHeight="1">
      <c r="A6380" s="1119">
        <v>87836.0</v>
      </c>
      <c r="B6380" s="1125" t="s">
        <v>16658</v>
      </c>
      <c r="C6380" s="1126" t="s">
        <v>1814</v>
      </c>
      <c r="D6380" s="1119">
        <v>171.57</v>
      </c>
      <c r="E6380" s="1120">
        <v>13.45</v>
      </c>
      <c r="F6380" s="1121">
        <f t="shared" si="1"/>
        <v>158.12</v>
      </c>
      <c r="G6380" s="1120">
        <v>156.8</v>
      </c>
      <c r="H6380" s="1127">
        <v>1.31</v>
      </c>
      <c r="I6380" s="1127">
        <v>0.0</v>
      </c>
      <c r="J6380" s="1127">
        <v>0.01</v>
      </c>
      <c r="K6380" s="1124"/>
    </row>
    <row r="6381" ht="15.75" customHeight="1">
      <c r="A6381" s="1119">
        <v>87837.0</v>
      </c>
      <c r="B6381" s="1125" t="s">
        <v>16659</v>
      </c>
      <c r="C6381" s="1126" t="s">
        <v>1814</v>
      </c>
      <c r="D6381" s="1119">
        <v>118.52</v>
      </c>
      <c r="E6381" s="1120">
        <v>10.34</v>
      </c>
      <c r="F6381" s="1121">
        <f t="shared" si="1"/>
        <v>108.2</v>
      </c>
      <c r="G6381" s="1120">
        <v>107.3</v>
      </c>
      <c r="H6381" s="1127">
        <v>0.89</v>
      </c>
      <c r="I6381" s="1127">
        <v>0.0</v>
      </c>
      <c r="J6381" s="1127">
        <v>0.01</v>
      </c>
      <c r="K6381" s="1124"/>
    </row>
    <row r="6382" ht="15.75" customHeight="1">
      <c r="A6382" s="1119">
        <v>87838.0</v>
      </c>
      <c r="B6382" s="1125" t="s">
        <v>16660</v>
      </c>
      <c r="C6382" s="1126" t="s">
        <v>1814</v>
      </c>
      <c r="D6382" s="1119">
        <v>189.43</v>
      </c>
      <c r="E6382" s="1120">
        <v>24.73</v>
      </c>
      <c r="F6382" s="1121">
        <f t="shared" si="1"/>
        <v>164.7</v>
      </c>
      <c r="G6382" s="1120">
        <v>164.53</v>
      </c>
      <c r="H6382" s="1127">
        <v>0.12</v>
      </c>
      <c r="I6382" s="1127">
        <v>0.0</v>
      </c>
      <c r="J6382" s="1127">
        <v>0.05</v>
      </c>
      <c r="K6382" s="1124"/>
    </row>
    <row r="6383" ht="15.75" customHeight="1">
      <c r="A6383" s="1119">
        <v>87839.0</v>
      </c>
      <c r="B6383" s="1125" t="s">
        <v>16661</v>
      </c>
      <c r="C6383" s="1126" t="s">
        <v>1814</v>
      </c>
      <c r="D6383" s="1119">
        <v>133.99</v>
      </c>
      <c r="E6383" s="1120">
        <v>21.1</v>
      </c>
      <c r="F6383" s="1121">
        <f t="shared" si="1"/>
        <v>112.89</v>
      </c>
      <c r="G6383" s="1120">
        <v>112.8</v>
      </c>
      <c r="H6383" s="1127">
        <v>0.06</v>
      </c>
      <c r="I6383" s="1127">
        <v>0.0</v>
      </c>
      <c r="J6383" s="1127">
        <v>0.03</v>
      </c>
      <c r="K6383" s="1124"/>
    </row>
    <row r="6384" ht="15.75" customHeight="1">
      <c r="A6384" s="1119">
        <v>87840.0</v>
      </c>
      <c r="B6384" s="1125" t="s">
        <v>16662</v>
      </c>
      <c r="C6384" s="1126" t="s">
        <v>1814</v>
      </c>
      <c r="D6384" s="1119">
        <v>177.36</v>
      </c>
      <c r="E6384" s="1120">
        <v>16.54</v>
      </c>
      <c r="F6384" s="1121">
        <f t="shared" si="1"/>
        <v>160.84</v>
      </c>
      <c r="G6384" s="1120">
        <v>159.52</v>
      </c>
      <c r="H6384" s="1127">
        <v>1.31</v>
      </c>
      <c r="I6384" s="1127">
        <v>0.0</v>
      </c>
      <c r="J6384" s="1127">
        <v>0.01</v>
      </c>
      <c r="K6384" s="1124"/>
    </row>
    <row r="6385" ht="15.75" customHeight="1">
      <c r="A6385" s="1119">
        <v>87841.0</v>
      </c>
      <c r="B6385" s="1125" t="s">
        <v>16663</v>
      </c>
      <c r="C6385" s="1126" t="s">
        <v>1814</v>
      </c>
      <c r="D6385" s="1119">
        <v>122.95</v>
      </c>
      <c r="E6385" s="1120">
        <v>13.43</v>
      </c>
      <c r="F6385" s="1121">
        <f t="shared" si="1"/>
        <v>109.53</v>
      </c>
      <c r="G6385" s="1120">
        <v>108.63</v>
      </c>
      <c r="H6385" s="1127">
        <v>0.89</v>
      </c>
      <c r="I6385" s="1127">
        <v>0.0</v>
      </c>
      <c r="J6385" s="1127">
        <v>0.01</v>
      </c>
      <c r="K6385" s="1124"/>
    </row>
    <row r="6386" ht="15.75" customHeight="1">
      <c r="A6386" s="1119">
        <v>87842.0</v>
      </c>
      <c r="B6386" s="1125" t="s">
        <v>16664</v>
      </c>
      <c r="C6386" s="1126" t="s">
        <v>1814</v>
      </c>
      <c r="D6386" s="1119">
        <v>198.2</v>
      </c>
      <c r="E6386" s="1120">
        <v>36.91</v>
      </c>
      <c r="F6386" s="1121">
        <f t="shared" si="1"/>
        <v>161.29</v>
      </c>
      <c r="G6386" s="1120">
        <v>161.12</v>
      </c>
      <c r="H6386" s="1127">
        <v>0.12</v>
      </c>
      <c r="I6386" s="1127">
        <v>0.0</v>
      </c>
      <c r="J6386" s="1127">
        <v>0.05</v>
      </c>
      <c r="K6386" s="1124"/>
    </row>
    <row r="6387" ht="15.75" customHeight="1">
      <c r="A6387" s="1119">
        <v>87843.0</v>
      </c>
      <c r="B6387" s="1125" t="s">
        <v>16665</v>
      </c>
      <c r="C6387" s="1126" t="s">
        <v>1814</v>
      </c>
      <c r="D6387" s="1119">
        <v>148.45</v>
      </c>
      <c r="E6387" s="1120">
        <v>33.26</v>
      </c>
      <c r="F6387" s="1121">
        <f t="shared" si="1"/>
        <v>115.19</v>
      </c>
      <c r="G6387" s="1120">
        <v>115.1</v>
      </c>
      <c r="H6387" s="1127">
        <v>0.06</v>
      </c>
      <c r="I6387" s="1127">
        <v>0.0</v>
      </c>
      <c r="J6387" s="1127">
        <v>0.03</v>
      </c>
      <c r="K6387" s="1124"/>
    </row>
    <row r="6388" ht="15.75" customHeight="1">
      <c r="A6388" s="1119">
        <v>87844.0</v>
      </c>
      <c r="B6388" s="1125" t="s">
        <v>16666</v>
      </c>
      <c r="C6388" s="1126" t="s">
        <v>1814</v>
      </c>
      <c r="D6388" s="1119">
        <v>180.02</v>
      </c>
      <c r="E6388" s="1120">
        <v>24.47</v>
      </c>
      <c r="F6388" s="1121">
        <f t="shared" si="1"/>
        <v>155.56</v>
      </c>
      <c r="G6388" s="1120">
        <v>154.24</v>
      </c>
      <c r="H6388" s="1127">
        <v>1.31</v>
      </c>
      <c r="I6388" s="1127">
        <v>0.0</v>
      </c>
      <c r="J6388" s="1127">
        <v>0.01</v>
      </c>
      <c r="K6388" s="1124"/>
    </row>
    <row r="6389" ht="15.75" customHeight="1">
      <c r="A6389" s="1119">
        <v>87845.0</v>
      </c>
      <c r="B6389" s="1125" t="s">
        <v>16667</v>
      </c>
      <c r="C6389" s="1126" t="s">
        <v>1814</v>
      </c>
      <c r="D6389" s="1119">
        <v>131.35</v>
      </c>
      <c r="E6389" s="1120">
        <v>21.38</v>
      </c>
      <c r="F6389" s="1121">
        <f t="shared" si="1"/>
        <v>109.99</v>
      </c>
      <c r="G6389" s="1120">
        <v>109.09</v>
      </c>
      <c r="H6389" s="1127">
        <v>0.89</v>
      </c>
      <c r="I6389" s="1127">
        <v>0.0</v>
      </c>
      <c r="J6389" s="1127">
        <v>0.01</v>
      </c>
      <c r="K6389" s="1124"/>
    </row>
    <row r="6390" ht="15.75" customHeight="1">
      <c r="A6390" s="1119">
        <v>87846.0</v>
      </c>
      <c r="B6390" s="1125" t="s">
        <v>16668</v>
      </c>
      <c r="C6390" s="1126" t="s">
        <v>1814</v>
      </c>
      <c r="D6390" s="1119">
        <v>197.8</v>
      </c>
      <c r="E6390" s="1120">
        <v>24.63</v>
      </c>
      <c r="F6390" s="1121">
        <f t="shared" si="1"/>
        <v>173.17</v>
      </c>
      <c r="G6390" s="1120">
        <v>172.99</v>
      </c>
      <c r="H6390" s="1127">
        <v>0.12</v>
      </c>
      <c r="I6390" s="1127">
        <v>0.0</v>
      </c>
      <c r="J6390" s="1127">
        <v>0.06</v>
      </c>
      <c r="K6390" s="1124"/>
    </row>
    <row r="6391" ht="15.75" customHeight="1">
      <c r="A6391" s="1119">
        <v>87847.0</v>
      </c>
      <c r="B6391" s="1125" t="s">
        <v>16669</v>
      </c>
      <c r="C6391" s="1126" t="s">
        <v>1814</v>
      </c>
      <c r="D6391" s="1119">
        <v>143.68</v>
      </c>
      <c r="E6391" s="1120">
        <v>20.96</v>
      </c>
      <c r="F6391" s="1121">
        <f t="shared" si="1"/>
        <v>122.72</v>
      </c>
      <c r="G6391" s="1120">
        <v>122.61</v>
      </c>
      <c r="H6391" s="1127">
        <v>0.07</v>
      </c>
      <c r="I6391" s="1127">
        <v>0.0</v>
      </c>
      <c r="J6391" s="1127">
        <v>0.04</v>
      </c>
      <c r="K6391" s="1124"/>
    </row>
    <row r="6392" ht="15.75" customHeight="1">
      <c r="A6392" s="1119">
        <v>87848.0</v>
      </c>
      <c r="B6392" s="1125" t="s">
        <v>16670</v>
      </c>
      <c r="C6392" s="1126" t="s">
        <v>1814</v>
      </c>
      <c r="D6392" s="1119">
        <v>186.27</v>
      </c>
      <c r="E6392" s="1120">
        <v>16.64</v>
      </c>
      <c r="F6392" s="1121">
        <f t="shared" si="1"/>
        <v>169.64</v>
      </c>
      <c r="G6392" s="1120">
        <v>168.23</v>
      </c>
      <c r="H6392" s="1127">
        <v>1.4</v>
      </c>
      <c r="I6392" s="1127">
        <v>0.0</v>
      </c>
      <c r="J6392" s="1127">
        <v>0.01</v>
      </c>
      <c r="K6392" s="1124"/>
    </row>
    <row r="6393" ht="15.75" customHeight="1">
      <c r="A6393" s="1119">
        <v>87849.0</v>
      </c>
      <c r="B6393" s="1125" t="s">
        <v>16671</v>
      </c>
      <c r="C6393" s="1126" t="s">
        <v>1814</v>
      </c>
      <c r="D6393" s="1119">
        <v>133.21</v>
      </c>
      <c r="E6393" s="1120">
        <v>13.52</v>
      </c>
      <c r="F6393" s="1121">
        <f t="shared" si="1"/>
        <v>119.7</v>
      </c>
      <c r="G6393" s="1120">
        <v>118.7</v>
      </c>
      <c r="H6393" s="1127">
        <v>0.99</v>
      </c>
      <c r="I6393" s="1127">
        <v>0.0</v>
      </c>
      <c r="J6393" s="1127">
        <v>0.01</v>
      </c>
      <c r="K6393" s="1124"/>
    </row>
    <row r="6394" ht="15.75" customHeight="1">
      <c r="A6394" s="1119">
        <v>87850.0</v>
      </c>
      <c r="B6394" s="1125" t="s">
        <v>16672</v>
      </c>
      <c r="C6394" s="1126" t="s">
        <v>1814</v>
      </c>
      <c r="D6394" s="1119">
        <v>205.92</v>
      </c>
      <c r="E6394" s="1120">
        <v>29.33</v>
      </c>
      <c r="F6394" s="1121">
        <f t="shared" si="1"/>
        <v>176.61</v>
      </c>
      <c r="G6394" s="1120">
        <v>176.43</v>
      </c>
      <c r="H6394" s="1127">
        <v>0.12</v>
      </c>
      <c r="I6394" s="1127">
        <v>0.0</v>
      </c>
      <c r="J6394" s="1127">
        <v>0.06</v>
      </c>
      <c r="K6394" s="1124"/>
    </row>
    <row r="6395" ht="15.75" customHeight="1">
      <c r="A6395" s="1119">
        <v>87851.0</v>
      </c>
      <c r="B6395" s="1125" t="s">
        <v>16673</v>
      </c>
      <c r="C6395" s="1126" t="s">
        <v>1814</v>
      </c>
      <c r="D6395" s="1119">
        <v>150.47</v>
      </c>
      <c r="E6395" s="1120">
        <v>25.68</v>
      </c>
      <c r="F6395" s="1121">
        <f t="shared" si="1"/>
        <v>124.78</v>
      </c>
      <c r="G6395" s="1120">
        <v>124.67</v>
      </c>
      <c r="H6395" s="1127">
        <v>0.07</v>
      </c>
      <c r="I6395" s="1127">
        <v>0.0</v>
      </c>
      <c r="J6395" s="1127">
        <v>0.04</v>
      </c>
      <c r="K6395" s="1124"/>
    </row>
    <row r="6396" ht="15.75" customHeight="1">
      <c r="A6396" s="1119">
        <v>87852.0</v>
      </c>
      <c r="B6396" s="1125" t="s">
        <v>16674</v>
      </c>
      <c r="C6396" s="1126" t="s">
        <v>1814</v>
      </c>
      <c r="D6396" s="1119">
        <v>192.02</v>
      </c>
      <c r="E6396" s="1120">
        <v>19.7</v>
      </c>
      <c r="F6396" s="1121">
        <f t="shared" si="1"/>
        <v>172.34</v>
      </c>
      <c r="G6396" s="1120">
        <v>170.93</v>
      </c>
      <c r="H6396" s="1127">
        <v>1.4</v>
      </c>
      <c r="I6396" s="1127">
        <v>0.0</v>
      </c>
      <c r="J6396" s="1127">
        <v>0.01</v>
      </c>
      <c r="K6396" s="1124"/>
    </row>
    <row r="6397" ht="15.75" customHeight="1">
      <c r="A6397" s="1119">
        <v>87853.0</v>
      </c>
      <c r="B6397" s="1125" t="s">
        <v>16675</v>
      </c>
      <c r="C6397" s="1126" t="s">
        <v>1814</v>
      </c>
      <c r="D6397" s="1119">
        <v>137.61</v>
      </c>
      <c r="E6397" s="1120">
        <v>16.58</v>
      </c>
      <c r="F6397" s="1121">
        <f t="shared" si="1"/>
        <v>121.02</v>
      </c>
      <c r="G6397" s="1120">
        <v>120.02</v>
      </c>
      <c r="H6397" s="1127">
        <v>0.99</v>
      </c>
      <c r="I6397" s="1127">
        <v>0.0</v>
      </c>
      <c r="J6397" s="1127">
        <v>0.01</v>
      </c>
      <c r="K6397" s="1124"/>
    </row>
    <row r="6398" ht="15.75" customHeight="1">
      <c r="A6398" s="1119">
        <v>87854.0</v>
      </c>
      <c r="B6398" s="1125" t="s">
        <v>16676</v>
      </c>
      <c r="C6398" s="1126" t="s">
        <v>1814</v>
      </c>
      <c r="D6398" s="1119">
        <v>214.66</v>
      </c>
      <c r="E6398" s="1120">
        <v>41.48</v>
      </c>
      <c r="F6398" s="1121">
        <f t="shared" si="1"/>
        <v>173.18</v>
      </c>
      <c r="G6398" s="1120">
        <v>173.0</v>
      </c>
      <c r="H6398" s="1127">
        <v>0.12</v>
      </c>
      <c r="I6398" s="1127">
        <v>0.0</v>
      </c>
      <c r="J6398" s="1127">
        <v>0.06</v>
      </c>
      <c r="K6398" s="1124"/>
    </row>
    <row r="6399" ht="15.75" customHeight="1">
      <c r="A6399" s="1119">
        <v>87855.0</v>
      </c>
      <c r="B6399" s="1125" t="s">
        <v>16677</v>
      </c>
      <c r="C6399" s="1126" t="s">
        <v>1814</v>
      </c>
      <c r="D6399" s="1119">
        <v>164.93</v>
      </c>
      <c r="E6399" s="1120">
        <v>37.83</v>
      </c>
      <c r="F6399" s="1121">
        <f t="shared" si="1"/>
        <v>127.08</v>
      </c>
      <c r="G6399" s="1120">
        <v>126.97</v>
      </c>
      <c r="H6399" s="1127">
        <v>0.07</v>
      </c>
      <c r="I6399" s="1127">
        <v>0.0</v>
      </c>
      <c r="J6399" s="1127">
        <v>0.04</v>
      </c>
      <c r="K6399" s="1124"/>
    </row>
    <row r="6400" ht="15.75" customHeight="1">
      <c r="A6400" s="1119">
        <v>87856.0</v>
      </c>
      <c r="B6400" s="1125" t="s">
        <v>16678</v>
      </c>
      <c r="C6400" s="1126" t="s">
        <v>1814</v>
      </c>
      <c r="D6400" s="1119">
        <v>194.71</v>
      </c>
      <c r="E6400" s="1120">
        <v>27.65</v>
      </c>
      <c r="F6400" s="1121">
        <f t="shared" si="1"/>
        <v>167.07</v>
      </c>
      <c r="G6400" s="1120">
        <v>165.66</v>
      </c>
      <c r="H6400" s="1127">
        <v>1.4</v>
      </c>
      <c r="I6400" s="1127">
        <v>0.0</v>
      </c>
      <c r="J6400" s="1127">
        <v>0.01</v>
      </c>
      <c r="K6400" s="1124"/>
    </row>
    <row r="6401" ht="15.75" customHeight="1">
      <c r="A6401" s="1119">
        <v>87857.0</v>
      </c>
      <c r="B6401" s="1125" t="s">
        <v>16679</v>
      </c>
      <c r="C6401" s="1126" t="s">
        <v>1814</v>
      </c>
      <c r="D6401" s="1119">
        <v>146.01</v>
      </c>
      <c r="E6401" s="1120">
        <v>24.53</v>
      </c>
      <c r="F6401" s="1121">
        <f t="shared" si="1"/>
        <v>121.48</v>
      </c>
      <c r="G6401" s="1120">
        <v>120.48</v>
      </c>
      <c r="H6401" s="1127">
        <v>0.99</v>
      </c>
      <c r="I6401" s="1127">
        <v>0.0</v>
      </c>
      <c r="J6401" s="1127">
        <v>0.01</v>
      </c>
      <c r="K6401" s="1124"/>
    </row>
    <row r="6402" ht="15.75" customHeight="1">
      <c r="A6402" s="1119">
        <v>87858.0</v>
      </c>
      <c r="B6402" s="1125" t="s">
        <v>16680</v>
      </c>
      <c r="C6402" s="1126" t="s">
        <v>1814</v>
      </c>
      <c r="D6402" s="1119">
        <v>140.88</v>
      </c>
      <c r="E6402" s="1120">
        <v>27.1</v>
      </c>
      <c r="F6402" s="1121">
        <f t="shared" si="1"/>
        <v>113.78</v>
      </c>
      <c r="G6402" s="1120">
        <v>113.69</v>
      </c>
      <c r="H6402" s="1127">
        <v>0.06</v>
      </c>
      <c r="I6402" s="1127">
        <v>0.0</v>
      </c>
      <c r="J6402" s="1127">
        <v>0.03</v>
      </c>
      <c r="K6402" s="1124"/>
    </row>
    <row r="6403" ht="15.75" customHeight="1">
      <c r="A6403" s="1119">
        <v>87859.0</v>
      </c>
      <c r="B6403" s="1125" t="s">
        <v>16681</v>
      </c>
      <c r="C6403" s="1126" t="s">
        <v>1814</v>
      </c>
      <c r="D6403" s="1119">
        <v>164.88</v>
      </c>
      <c r="E6403" s="1120">
        <v>37.21</v>
      </c>
      <c r="F6403" s="1121">
        <f t="shared" si="1"/>
        <v>127.66</v>
      </c>
      <c r="G6403" s="1120">
        <v>127.55</v>
      </c>
      <c r="H6403" s="1127">
        <v>0.07</v>
      </c>
      <c r="I6403" s="1127">
        <v>0.0</v>
      </c>
      <c r="J6403" s="1127">
        <v>0.04</v>
      </c>
      <c r="K6403" s="1124"/>
    </row>
    <row r="6404" ht="15.75" customHeight="1">
      <c r="A6404" s="1119">
        <v>89048.0</v>
      </c>
      <c r="B6404" s="1125" t="s">
        <v>16682</v>
      </c>
      <c r="C6404" s="1126" t="s">
        <v>1814</v>
      </c>
      <c r="D6404" s="1119">
        <v>40.18</v>
      </c>
      <c r="E6404" s="1120">
        <v>18.45</v>
      </c>
      <c r="F6404" s="1121">
        <f t="shared" si="1"/>
        <v>21.73</v>
      </c>
      <c r="G6404" s="1120">
        <v>21.69</v>
      </c>
      <c r="H6404" s="1127">
        <v>0.02</v>
      </c>
      <c r="I6404" s="1127">
        <v>0.0</v>
      </c>
      <c r="J6404" s="1127">
        <v>0.02</v>
      </c>
      <c r="K6404" s="1124"/>
    </row>
    <row r="6405" ht="15.75" customHeight="1">
      <c r="A6405" s="1119">
        <v>89049.0</v>
      </c>
      <c r="B6405" s="1125" t="s">
        <v>16683</v>
      </c>
      <c r="C6405" s="1126" t="s">
        <v>1814</v>
      </c>
      <c r="D6405" s="1119">
        <v>25.94</v>
      </c>
      <c r="E6405" s="1120">
        <v>13.73</v>
      </c>
      <c r="F6405" s="1121">
        <f t="shared" si="1"/>
        <v>12.24</v>
      </c>
      <c r="G6405" s="1120">
        <v>12.24</v>
      </c>
      <c r="H6405" s="1127">
        <v>0.0</v>
      </c>
      <c r="I6405" s="1127">
        <v>0.0</v>
      </c>
      <c r="J6405" s="1127">
        <v>0.0</v>
      </c>
      <c r="K6405" s="1124"/>
    </row>
    <row r="6406" ht="15.75" customHeight="1">
      <c r="A6406" s="1119">
        <v>89173.0</v>
      </c>
      <c r="B6406" s="1125" t="s">
        <v>16684</v>
      </c>
      <c r="C6406" s="1126" t="s">
        <v>1814</v>
      </c>
      <c r="D6406" s="1119">
        <v>39.44</v>
      </c>
      <c r="E6406" s="1120">
        <v>17.92</v>
      </c>
      <c r="F6406" s="1121">
        <f t="shared" si="1"/>
        <v>21.56</v>
      </c>
      <c r="G6406" s="1120">
        <v>21.52</v>
      </c>
      <c r="H6406" s="1127">
        <v>0.02</v>
      </c>
      <c r="I6406" s="1127">
        <v>0.0</v>
      </c>
      <c r="J6406" s="1127">
        <v>0.02</v>
      </c>
      <c r="K6406" s="1124"/>
    </row>
    <row r="6407" ht="15.75" customHeight="1">
      <c r="A6407" s="1119">
        <v>90406.0</v>
      </c>
      <c r="B6407" s="1125" t="s">
        <v>16685</v>
      </c>
      <c r="C6407" s="1126" t="s">
        <v>1814</v>
      </c>
      <c r="D6407" s="1119">
        <v>52.57</v>
      </c>
      <c r="E6407" s="1120">
        <v>27.59</v>
      </c>
      <c r="F6407" s="1121">
        <f t="shared" si="1"/>
        <v>25</v>
      </c>
      <c r="G6407" s="1120">
        <v>24.92</v>
      </c>
      <c r="H6407" s="1127">
        <v>0.05</v>
      </c>
      <c r="I6407" s="1127">
        <v>0.0</v>
      </c>
      <c r="J6407" s="1127">
        <v>0.03</v>
      </c>
      <c r="K6407" s="1124"/>
    </row>
    <row r="6408" ht="15.75" customHeight="1">
      <c r="A6408" s="1119">
        <v>90407.0</v>
      </c>
      <c r="B6408" s="1125" t="s">
        <v>16686</v>
      </c>
      <c r="C6408" s="1126" t="s">
        <v>1814</v>
      </c>
      <c r="D6408" s="1119">
        <v>58.54</v>
      </c>
      <c r="E6408" s="1120">
        <v>31.84</v>
      </c>
      <c r="F6408" s="1121">
        <f t="shared" si="1"/>
        <v>26.7</v>
      </c>
      <c r="G6408" s="1120">
        <v>26.7</v>
      </c>
      <c r="H6408" s="1127">
        <v>0.0</v>
      </c>
      <c r="I6408" s="1127">
        <v>0.0</v>
      </c>
      <c r="J6408" s="1127">
        <v>0.0</v>
      </c>
      <c r="K6408" s="1124"/>
    </row>
    <row r="6409" ht="15.75" customHeight="1">
      <c r="A6409" s="1119">
        <v>90408.0</v>
      </c>
      <c r="B6409" s="1125" t="s">
        <v>16687</v>
      </c>
      <c r="C6409" s="1126" t="s">
        <v>1814</v>
      </c>
      <c r="D6409" s="1119">
        <v>38.69</v>
      </c>
      <c r="E6409" s="1120">
        <v>22.29</v>
      </c>
      <c r="F6409" s="1121">
        <f t="shared" si="1"/>
        <v>16.39</v>
      </c>
      <c r="G6409" s="1120">
        <v>16.36</v>
      </c>
      <c r="H6409" s="1127">
        <v>0.02</v>
      </c>
      <c r="I6409" s="1127">
        <v>0.0</v>
      </c>
      <c r="J6409" s="1127">
        <v>0.01</v>
      </c>
      <c r="K6409" s="1124"/>
    </row>
    <row r="6410" ht="15.75" customHeight="1">
      <c r="A6410" s="1119">
        <v>90409.0</v>
      </c>
      <c r="B6410" s="1125" t="s">
        <v>16688</v>
      </c>
      <c r="C6410" s="1126" t="s">
        <v>1814</v>
      </c>
      <c r="D6410" s="1119">
        <v>42.07</v>
      </c>
      <c r="E6410" s="1120">
        <v>24.69</v>
      </c>
      <c r="F6410" s="1121">
        <f t="shared" si="1"/>
        <v>17.38</v>
      </c>
      <c r="G6410" s="1120">
        <v>17.38</v>
      </c>
      <c r="H6410" s="1127">
        <v>0.0</v>
      </c>
      <c r="I6410" s="1127">
        <v>0.0</v>
      </c>
      <c r="J6410" s="1127">
        <v>0.0</v>
      </c>
      <c r="K6410" s="1124"/>
    </row>
    <row r="6411" ht="15.75" customHeight="1">
      <c r="A6411" s="1119">
        <v>104203.0</v>
      </c>
      <c r="B6411" s="1125" t="s">
        <v>16689</v>
      </c>
      <c r="C6411" s="1126" t="s">
        <v>1814</v>
      </c>
      <c r="D6411" s="1119">
        <v>60.25</v>
      </c>
      <c r="E6411" s="1120">
        <v>28.55</v>
      </c>
      <c r="F6411" s="1121">
        <f t="shared" si="1"/>
        <v>31.72</v>
      </c>
      <c r="G6411" s="1120">
        <v>26.62</v>
      </c>
      <c r="H6411" s="1127">
        <v>5.08</v>
      </c>
      <c r="I6411" s="1127">
        <v>0.0</v>
      </c>
      <c r="J6411" s="1127">
        <v>0.02</v>
      </c>
      <c r="K6411" s="1124"/>
    </row>
    <row r="6412" ht="15.75" customHeight="1">
      <c r="A6412" s="1119">
        <v>104204.0</v>
      </c>
      <c r="B6412" s="1125" t="s">
        <v>16690</v>
      </c>
      <c r="C6412" s="1126" t="s">
        <v>1814</v>
      </c>
      <c r="D6412" s="1119">
        <v>77.69</v>
      </c>
      <c r="E6412" s="1120">
        <v>36.75</v>
      </c>
      <c r="F6412" s="1121">
        <f t="shared" si="1"/>
        <v>40.97</v>
      </c>
      <c r="G6412" s="1120">
        <v>34.36</v>
      </c>
      <c r="H6412" s="1127">
        <v>6.58</v>
      </c>
      <c r="I6412" s="1127">
        <v>0.0</v>
      </c>
      <c r="J6412" s="1127">
        <v>0.03</v>
      </c>
      <c r="K6412" s="1124"/>
    </row>
    <row r="6413" ht="15.75" customHeight="1">
      <c r="A6413" s="1119">
        <v>104205.0</v>
      </c>
      <c r="B6413" s="1125" t="s">
        <v>16691</v>
      </c>
      <c r="C6413" s="1126" t="s">
        <v>1814</v>
      </c>
      <c r="D6413" s="1119">
        <v>83.82</v>
      </c>
      <c r="E6413" s="1120">
        <v>37.59</v>
      </c>
      <c r="F6413" s="1121">
        <f t="shared" si="1"/>
        <v>46.24</v>
      </c>
      <c r="G6413" s="1120">
        <v>39.38</v>
      </c>
      <c r="H6413" s="1127">
        <v>6.82</v>
      </c>
      <c r="I6413" s="1127">
        <v>0.0</v>
      </c>
      <c r="J6413" s="1127">
        <v>0.04</v>
      </c>
      <c r="K6413" s="1124"/>
    </row>
    <row r="6414" ht="15.75" customHeight="1">
      <c r="A6414" s="1119">
        <v>104206.0</v>
      </c>
      <c r="B6414" s="1125" t="s">
        <v>16692</v>
      </c>
      <c r="C6414" s="1126" t="s">
        <v>1814</v>
      </c>
      <c r="D6414" s="1119">
        <v>92.66</v>
      </c>
      <c r="E6414" s="1120">
        <v>41.79</v>
      </c>
      <c r="F6414" s="1121">
        <f t="shared" si="1"/>
        <v>50.87</v>
      </c>
      <c r="G6414" s="1120">
        <v>43.25</v>
      </c>
      <c r="H6414" s="1127">
        <v>7.58</v>
      </c>
      <c r="I6414" s="1127">
        <v>0.0</v>
      </c>
      <c r="J6414" s="1127">
        <v>0.04</v>
      </c>
      <c r="K6414" s="1124"/>
    </row>
    <row r="6415" ht="15.75" customHeight="1">
      <c r="A6415" s="1119">
        <v>104207.0</v>
      </c>
      <c r="B6415" s="1125" t="s">
        <v>16693</v>
      </c>
      <c r="C6415" s="1126" t="s">
        <v>1814</v>
      </c>
      <c r="D6415" s="1119">
        <v>43.58</v>
      </c>
      <c r="E6415" s="1120">
        <v>18.07</v>
      </c>
      <c r="F6415" s="1121">
        <f t="shared" si="1"/>
        <v>25.53</v>
      </c>
      <c r="G6415" s="1120">
        <v>22.23</v>
      </c>
      <c r="H6415" s="1127">
        <v>3.28</v>
      </c>
      <c r="I6415" s="1127">
        <v>0.0</v>
      </c>
      <c r="J6415" s="1127">
        <v>0.02</v>
      </c>
      <c r="K6415" s="1124"/>
    </row>
    <row r="6416" ht="15.75" customHeight="1">
      <c r="A6416" s="1119">
        <v>104208.0</v>
      </c>
      <c r="B6416" s="1125" t="s">
        <v>16694</v>
      </c>
      <c r="C6416" s="1126" t="s">
        <v>1814</v>
      </c>
      <c r="D6416" s="1119">
        <v>60.6</v>
      </c>
      <c r="E6416" s="1120">
        <v>26.15</v>
      </c>
      <c r="F6416" s="1121">
        <f t="shared" si="1"/>
        <v>34.45</v>
      </c>
      <c r="G6416" s="1120">
        <v>29.63</v>
      </c>
      <c r="H6416" s="1127">
        <v>4.79</v>
      </c>
      <c r="I6416" s="1127">
        <v>0.0</v>
      </c>
      <c r="J6416" s="1127">
        <v>0.03</v>
      </c>
      <c r="K6416" s="1124"/>
    </row>
    <row r="6417" ht="15.75" customHeight="1">
      <c r="A6417" s="1119">
        <v>104209.0</v>
      </c>
      <c r="B6417" s="1125" t="s">
        <v>16695</v>
      </c>
      <c r="C6417" s="1126" t="s">
        <v>1814</v>
      </c>
      <c r="D6417" s="1119">
        <v>66.37</v>
      </c>
      <c r="E6417" s="1120">
        <v>26.96</v>
      </c>
      <c r="F6417" s="1121">
        <f t="shared" si="1"/>
        <v>39.42</v>
      </c>
      <c r="G6417" s="1120">
        <v>34.36</v>
      </c>
      <c r="H6417" s="1127">
        <v>5.02</v>
      </c>
      <c r="I6417" s="1127">
        <v>0.0</v>
      </c>
      <c r="J6417" s="1127">
        <v>0.04</v>
      </c>
      <c r="K6417" s="1124"/>
    </row>
    <row r="6418" ht="15.75" customHeight="1">
      <c r="A6418" s="1119">
        <v>104210.0</v>
      </c>
      <c r="B6418" s="1125" t="s">
        <v>16696</v>
      </c>
      <c r="C6418" s="1126" t="s">
        <v>1814</v>
      </c>
      <c r="D6418" s="1119">
        <v>68.35</v>
      </c>
      <c r="E6418" s="1120">
        <v>26.76</v>
      </c>
      <c r="F6418" s="1121">
        <f t="shared" si="1"/>
        <v>41.59</v>
      </c>
      <c r="G6418" s="1120">
        <v>36.49</v>
      </c>
      <c r="H6418" s="1127">
        <v>5.06</v>
      </c>
      <c r="I6418" s="1127">
        <v>0.0</v>
      </c>
      <c r="J6418" s="1127">
        <v>0.04</v>
      </c>
      <c r="K6418" s="1124"/>
    </row>
    <row r="6419" ht="15.75" customHeight="1">
      <c r="A6419" s="1119">
        <v>104211.0</v>
      </c>
      <c r="B6419" s="1125" t="s">
        <v>16697</v>
      </c>
      <c r="C6419" s="1126" t="s">
        <v>1814</v>
      </c>
      <c r="D6419" s="1119">
        <v>88.4</v>
      </c>
      <c r="E6419" s="1120">
        <v>48.96</v>
      </c>
      <c r="F6419" s="1121">
        <f t="shared" si="1"/>
        <v>39.46</v>
      </c>
      <c r="G6419" s="1120">
        <v>30.83</v>
      </c>
      <c r="H6419" s="1127">
        <v>8.61</v>
      </c>
      <c r="I6419" s="1127">
        <v>0.0</v>
      </c>
      <c r="J6419" s="1127">
        <v>0.02</v>
      </c>
      <c r="K6419" s="1124"/>
    </row>
    <row r="6420" ht="15.75" customHeight="1">
      <c r="A6420" s="1119">
        <v>104212.0</v>
      </c>
      <c r="B6420" s="1125" t="s">
        <v>16698</v>
      </c>
      <c r="C6420" s="1126" t="s">
        <v>1814</v>
      </c>
      <c r="D6420" s="1119">
        <v>105.49</v>
      </c>
      <c r="E6420" s="1120">
        <v>57.1</v>
      </c>
      <c r="F6420" s="1121">
        <f t="shared" si="1"/>
        <v>48.4</v>
      </c>
      <c r="G6420" s="1120">
        <v>38.24</v>
      </c>
      <c r="H6420" s="1127">
        <v>10.13</v>
      </c>
      <c r="I6420" s="1127">
        <v>0.0</v>
      </c>
      <c r="J6420" s="1127">
        <v>0.03</v>
      </c>
      <c r="K6420" s="1124"/>
    </row>
    <row r="6421" ht="15.75" customHeight="1">
      <c r="A6421" s="1119">
        <v>104213.0</v>
      </c>
      <c r="B6421" s="1125" t="s">
        <v>16699</v>
      </c>
      <c r="C6421" s="1126" t="s">
        <v>1814</v>
      </c>
      <c r="D6421" s="1119">
        <v>111.26</v>
      </c>
      <c r="E6421" s="1120">
        <v>57.9</v>
      </c>
      <c r="F6421" s="1121">
        <f t="shared" si="1"/>
        <v>53.37</v>
      </c>
      <c r="G6421" s="1120">
        <v>42.97</v>
      </c>
      <c r="H6421" s="1127">
        <v>10.36</v>
      </c>
      <c r="I6421" s="1127">
        <v>0.0</v>
      </c>
      <c r="J6421" s="1127">
        <v>0.04</v>
      </c>
      <c r="K6421" s="1124"/>
    </row>
    <row r="6422" ht="15.75" customHeight="1">
      <c r="A6422" s="1119">
        <v>104214.0</v>
      </c>
      <c r="B6422" s="1125" t="s">
        <v>16700</v>
      </c>
      <c r="C6422" s="1126" t="s">
        <v>1814</v>
      </c>
      <c r="D6422" s="1119">
        <v>133.51</v>
      </c>
      <c r="E6422" s="1120">
        <v>70.84</v>
      </c>
      <c r="F6422" s="1121">
        <f t="shared" si="1"/>
        <v>62.66</v>
      </c>
      <c r="G6422" s="1120">
        <v>49.97</v>
      </c>
      <c r="H6422" s="1127">
        <v>12.65</v>
      </c>
      <c r="I6422" s="1127">
        <v>0.0</v>
      </c>
      <c r="J6422" s="1127">
        <v>0.04</v>
      </c>
      <c r="K6422" s="1124"/>
    </row>
    <row r="6423" ht="15.75" customHeight="1">
      <c r="A6423" s="1119">
        <v>104215.0</v>
      </c>
      <c r="B6423" s="1125" t="s">
        <v>16701</v>
      </c>
      <c r="C6423" s="1126" t="s">
        <v>1814</v>
      </c>
      <c r="D6423" s="1119">
        <v>81.4</v>
      </c>
      <c r="E6423" s="1120">
        <v>42.69</v>
      </c>
      <c r="F6423" s="1121">
        <f t="shared" si="1"/>
        <v>38.71</v>
      </c>
      <c r="G6423" s="1120">
        <v>31.22</v>
      </c>
      <c r="H6423" s="1127">
        <v>7.46</v>
      </c>
      <c r="I6423" s="1127">
        <v>0.0</v>
      </c>
      <c r="J6423" s="1127">
        <v>0.03</v>
      </c>
      <c r="K6423" s="1124"/>
    </row>
    <row r="6424" ht="15.75" customHeight="1">
      <c r="A6424" s="1119">
        <v>104216.0</v>
      </c>
      <c r="B6424" s="1125" t="s">
        <v>16702</v>
      </c>
      <c r="C6424" s="1126" t="s">
        <v>1814</v>
      </c>
      <c r="D6424" s="1119">
        <v>97.94</v>
      </c>
      <c r="E6424" s="1120">
        <v>49.94</v>
      </c>
      <c r="F6424" s="1121">
        <f t="shared" si="1"/>
        <v>48.02</v>
      </c>
      <c r="G6424" s="1120">
        <v>39.21</v>
      </c>
      <c r="H6424" s="1127">
        <v>8.77</v>
      </c>
      <c r="I6424" s="1127">
        <v>0.0</v>
      </c>
      <c r="J6424" s="1127">
        <v>0.04</v>
      </c>
      <c r="K6424" s="1124"/>
    </row>
    <row r="6425" ht="15.75" customHeight="1">
      <c r="A6425" s="1119">
        <v>104217.0</v>
      </c>
      <c r="B6425" s="1125" t="s">
        <v>16703</v>
      </c>
      <c r="C6425" s="1126" t="s">
        <v>1814</v>
      </c>
      <c r="D6425" s="1119">
        <v>53.46</v>
      </c>
      <c r="E6425" s="1120">
        <v>27.88</v>
      </c>
      <c r="F6425" s="1121">
        <f t="shared" si="1"/>
        <v>25.59</v>
      </c>
      <c r="G6425" s="1120">
        <v>25.53</v>
      </c>
      <c r="H6425" s="1127">
        <v>0.04</v>
      </c>
      <c r="I6425" s="1127">
        <v>0.0</v>
      </c>
      <c r="J6425" s="1127">
        <v>0.02</v>
      </c>
      <c r="K6425" s="1124"/>
    </row>
    <row r="6426" ht="15.75" customHeight="1">
      <c r="A6426" s="1119">
        <v>104218.0</v>
      </c>
      <c r="B6426" s="1125" t="s">
        <v>16704</v>
      </c>
      <c r="C6426" s="1126" t="s">
        <v>1814</v>
      </c>
      <c r="D6426" s="1119">
        <v>58.44</v>
      </c>
      <c r="E6426" s="1120">
        <v>31.41</v>
      </c>
      <c r="F6426" s="1121">
        <f t="shared" si="1"/>
        <v>27.02</v>
      </c>
      <c r="G6426" s="1120">
        <v>27.02</v>
      </c>
      <c r="H6426" s="1127">
        <v>0.0</v>
      </c>
      <c r="I6426" s="1127">
        <v>0.0</v>
      </c>
      <c r="J6426" s="1127">
        <v>0.0</v>
      </c>
      <c r="K6426" s="1124"/>
    </row>
    <row r="6427" ht="15.75" customHeight="1">
      <c r="A6427" s="1119">
        <v>104219.0</v>
      </c>
      <c r="B6427" s="1125" t="s">
        <v>16705</v>
      </c>
      <c r="C6427" s="1126" t="s">
        <v>1814</v>
      </c>
      <c r="D6427" s="1119">
        <v>84.19</v>
      </c>
      <c r="E6427" s="1120">
        <v>25.42</v>
      </c>
      <c r="F6427" s="1121">
        <f t="shared" si="1"/>
        <v>58.77</v>
      </c>
      <c r="G6427" s="1120">
        <v>57.91</v>
      </c>
      <c r="H6427" s="1127">
        <v>0.85</v>
      </c>
      <c r="I6427" s="1127">
        <v>0.0</v>
      </c>
      <c r="J6427" s="1127">
        <v>0.01</v>
      </c>
      <c r="K6427" s="1124"/>
    </row>
    <row r="6428" ht="15.75" customHeight="1">
      <c r="A6428" s="1119">
        <v>104220.0</v>
      </c>
      <c r="B6428" s="1125" t="s">
        <v>16706</v>
      </c>
      <c r="C6428" s="1126" t="s">
        <v>1814</v>
      </c>
      <c r="D6428" s="1119">
        <v>55.71</v>
      </c>
      <c r="E6428" s="1120">
        <v>25.62</v>
      </c>
      <c r="F6428" s="1121">
        <f t="shared" si="1"/>
        <v>30.11</v>
      </c>
      <c r="G6428" s="1120">
        <v>25.53</v>
      </c>
      <c r="H6428" s="1127">
        <v>4.56</v>
      </c>
      <c r="I6428" s="1127">
        <v>0.0</v>
      </c>
      <c r="J6428" s="1127">
        <v>0.02</v>
      </c>
      <c r="K6428" s="1124"/>
    </row>
    <row r="6429" ht="15.75" customHeight="1">
      <c r="A6429" s="1119">
        <v>104221.0</v>
      </c>
      <c r="B6429" s="1125" t="s">
        <v>16707</v>
      </c>
      <c r="C6429" s="1126" t="s">
        <v>1814</v>
      </c>
      <c r="D6429" s="1119">
        <v>68.73</v>
      </c>
      <c r="E6429" s="1120">
        <v>35.81</v>
      </c>
      <c r="F6429" s="1121">
        <f t="shared" si="1"/>
        <v>32.94</v>
      </c>
      <c r="G6429" s="1120">
        <v>32.85</v>
      </c>
      <c r="H6429" s="1127">
        <v>0.06</v>
      </c>
      <c r="I6429" s="1127">
        <v>0.0</v>
      </c>
      <c r="J6429" s="1127">
        <v>0.03</v>
      </c>
      <c r="K6429" s="1124"/>
    </row>
    <row r="6430" ht="15.75" customHeight="1">
      <c r="A6430" s="1119">
        <v>104222.0</v>
      </c>
      <c r="B6430" s="1125" t="s">
        <v>16708</v>
      </c>
      <c r="C6430" s="1126" t="s">
        <v>1814</v>
      </c>
      <c r="D6430" s="1119">
        <v>75.41</v>
      </c>
      <c r="E6430" s="1120">
        <v>40.55</v>
      </c>
      <c r="F6430" s="1121">
        <f t="shared" si="1"/>
        <v>34.87</v>
      </c>
      <c r="G6430" s="1120">
        <v>34.87</v>
      </c>
      <c r="H6430" s="1127">
        <v>0.0</v>
      </c>
      <c r="I6430" s="1127">
        <v>0.0</v>
      </c>
      <c r="J6430" s="1127">
        <v>0.0</v>
      </c>
      <c r="K6430" s="1124"/>
    </row>
    <row r="6431" ht="15.75" customHeight="1">
      <c r="A6431" s="1119">
        <v>104223.0</v>
      </c>
      <c r="B6431" s="1125" t="s">
        <v>16709</v>
      </c>
      <c r="C6431" s="1126" t="s">
        <v>1814</v>
      </c>
      <c r="D6431" s="1119">
        <v>110.13</v>
      </c>
      <c r="E6431" s="1120">
        <v>32.67</v>
      </c>
      <c r="F6431" s="1121">
        <f t="shared" si="1"/>
        <v>77.45</v>
      </c>
      <c r="G6431" s="1120">
        <v>76.3</v>
      </c>
      <c r="H6431" s="1127">
        <v>1.14</v>
      </c>
      <c r="I6431" s="1127">
        <v>0.0</v>
      </c>
      <c r="J6431" s="1127">
        <v>0.01</v>
      </c>
      <c r="K6431" s="1124"/>
    </row>
    <row r="6432" ht="15.75" customHeight="1">
      <c r="A6432" s="1119">
        <v>104224.0</v>
      </c>
      <c r="B6432" s="1125" t="s">
        <v>16710</v>
      </c>
      <c r="C6432" s="1126" t="s">
        <v>1814</v>
      </c>
      <c r="D6432" s="1119">
        <v>71.78</v>
      </c>
      <c r="E6432" s="1120">
        <v>32.9</v>
      </c>
      <c r="F6432" s="1121">
        <f t="shared" si="1"/>
        <v>38.88</v>
      </c>
      <c r="G6432" s="1120">
        <v>32.92</v>
      </c>
      <c r="H6432" s="1127">
        <v>5.93</v>
      </c>
      <c r="I6432" s="1127">
        <v>0.0</v>
      </c>
      <c r="J6432" s="1127">
        <v>0.03</v>
      </c>
      <c r="K6432" s="1124"/>
    </row>
    <row r="6433" ht="15.75" customHeight="1">
      <c r="A6433" s="1119">
        <v>104225.0</v>
      </c>
      <c r="B6433" s="1125" t="s">
        <v>16711</v>
      </c>
      <c r="C6433" s="1126" t="s">
        <v>1814</v>
      </c>
      <c r="D6433" s="1119">
        <v>74.31</v>
      </c>
      <c r="E6433" s="1120">
        <v>36.66</v>
      </c>
      <c r="F6433" s="1121">
        <f t="shared" si="1"/>
        <v>37.66</v>
      </c>
      <c r="G6433" s="1120">
        <v>37.55</v>
      </c>
      <c r="H6433" s="1127">
        <v>0.07</v>
      </c>
      <c r="I6433" s="1127">
        <v>0.0</v>
      </c>
      <c r="J6433" s="1127">
        <v>0.04</v>
      </c>
      <c r="K6433" s="1124"/>
    </row>
    <row r="6434" ht="15.75" customHeight="1">
      <c r="A6434" s="1119">
        <v>104226.0</v>
      </c>
      <c r="B6434" s="1125" t="s">
        <v>16712</v>
      </c>
      <c r="C6434" s="1126" t="s">
        <v>1814</v>
      </c>
      <c r="D6434" s="1119">
        <v>82.69</v>
      </c>
      <c r="E6434" s="1120">
        <v>42.62</v>
      </c>
      <c r="F6434" s="1121">
        <f t="shared" si="1"/>
        <v>40.08</v>
      </c>
      <c r="G6434" s="1120">
        <v>40.08</v>
      </c>
      <c r="H6434" s="1127">
        <v>0.0</v>
      </c>
      <c r="I6434" s="1127">
        <v>0.0</v>
      </c>
      <c r="J6434" s="1127">
        <v>0.0</v>
      </c>
      <c r="K6434" s="1124"/>
    </row>
    <row r="6435" ht="15.75" customHeight="1">
      <c r="A6435" s="1119">
        <v>104227.0</v>
      </c>
      <c r="B6435" s="1125" t="s">
        <v>16713</v>
      </c>
      <c r="C6435" s="1126" t="s">
        <v>1814</v>
      </c>
      <c r="D6435" s="1119">
        <v>127.24</v>
      </c>
      <c r="E6435" s="1120">
        <v>33.48</v>
      </c>
      <c r="F6435" s="1121">
        <f t="shared" si="1"/>
        <v>93.77</v>
      </c>
      <c r="G6435" s="1120">
        <v>92.29</v>
      </c>
      <c r="H6435" s="1127">
        <v>1.46</v>
      </c>
      <c r="I6435" s="1127">
        <v>0.0</v>
      </c>
      <c r="J6435" s="1127">
        <v>0.02</v>
      </c>
      <c r="K6435" s="1124"/>
    </row>
    <row r="6436" ht="15.75" customHeight="1">
      <c r="A6436" s="1119">
        <v>104228.0</v>
      </c>
      <c r="B6436" s="1125" t="s">
        <v>16714</v>
      </c>
      <c r="C6436" s="1126" t="s">
        <v>1814</v>
      </c>
      <c r="D6436" s="1119">
        <v>77.92</v>
      </c>
      <c r="E6436" s="1120">
        <v>33.77</v>
      </c>
      <c r="F6436" s="1121">
        <f t="shared" si="1"/>
        <v>44.15</v>
      </c>
      <c r="G6436" s="1120">
        <v>37.95</v>
      </c>
      <c r="H6436" s="1127">
        <v>6.16</v>
      </c>
      <c r="I6436" s="1127">
        <v>0.0</v>
      </c>
      <c r="J6436" s="1127">
        <v>0.04</v>
      </c>
      <c r="K6436" s="1124"/>
    </row>
    <row r="6437" ht="15.75" customHeight="1">
      <c r="A6437" s="1119">
        <v>104229.0</v>
      </c>
      <c r="B6437" s="1125" t="s">
        <v>16715</v>
      </c>
      <c r="C6437" s="1126" t="s">
        <v>1814</v>
      </c>
      <c r="D6437" s="1119">
        <v>88.16</v>
      </c>
      <c r="E6437" s="1120">
        <v>45.2</v>
      </c>
      <c r="F6437" s="1121">
        <f t="shared" si="1"/>
        <v>42.97</v>
      </c>
      <c r="G6437" s="1120">
        <v>42.86</v>
      </c>
      <c r="H6437" s="1127">
        <v>0.07</v>
      </c>
      <c r="I6437" s="1127">
        <v>0.0</v>
      </c>
      <c r="J6437" s="1127">
        <v>0.04</v>
      </c>
      <c r="K6437" s="1124"/>
    </row>
    <row r="6438" ht="15.75" customHeight="1">
      <c r="A6438" s="1119">
        <v>104230.0</v>
      </c>
      <c r="B6438" s="1125" t="s">
        <v>16716</v>
      </c>
      <c r="C6438" s="1126" t="s">
        <v>1814</v>
      </c>
      <c r="D6438" s="1119">
        <v>97.37</v>
      </c>
      <c r="E6438" s="1120">
        <v>51.73</v>
      </c>
      <c r="F6438" s="1121">
        <f t="shared" si="1"/>
        <v>45.64</v>
      </c>
      <c r="G6438" s="1120">
        <v>45.64</v>
      </c>
      <c r="H6438" s="1127">
        <v>0.0</v>
      </c>
      <c r="I6438" s="1127">
        <v>0.0</v>
      </c>
      <c r="J6438" s="1127">
        <v>0.0</v>
      </c>
      <c r="K6438" s="1124"/>
    </row>
    <row r="6439" ht="15.75" customHeight="1">
      <c r="A6439" s="1119">
        <v>104231.0</v>
      </c>
      <c r="B6439" s="1125" t="s">
        <v>16717</v>
      </c>
      <c r="C6439" s="1126" t="s">
        <v>1814</v>
      </c>
      <c r="D6439" s="1119">
        <v>140.33</v>
      </c>
      <c r="E6439" s="1120">
        <v>37.24</v>
      </c>
      <c r="F6439" s="1121">
        <f t="shared" si="1"/>
        <v>103.1</v>
      </c>
      <c r="G6439" s="1120">
        <v>101.48</v>
      </c>
      <c r="H6439" s="1127">
        <v>1.6</v>
      </c>
      <c r="I6439" s="1127">
        <v>0.0</v>
      </c>
      <c r="J6439" s="1127">
        <v>0.02</v>
      </c>
      <c r="K6439" s="1124"/>
    </row>
    <row r="6440" ht="15.75" customHeight="1">
      <c r="A6440" s="1119">
        <v>104232.0</v>
      </c>
      <c r="B6440" s="1125" t="s">
        <v>16718</v>
      </c>
      <c r="C6440" s="1126" t="s">
        <v>1814</v>
      </c>
      <c r="D6440" s="1119">
        <v>86.16</v>
      </c>
      <c r="E6440" s="1120">
        <v>37.56</v>
      </c>
      <c r="F6440" s="1121">
        <f t="shared" si="1"/>
        <v>48.61</v>
      </c>
      <c r="G6440" s="1120">
        <v>41.71</v>
      </c>
      <c r="H6440" s="1127">
        <v>6.86</v>
      </c>
      <c r="I6440" s="1127">
        <v>0.0</v>
      </c>
      <c r="J6440" s="1127">
        <v>0.04</v>
      </c>
      <c r="K6440" s="1124"/>
    </row>
    <row r="6441" ht="15.75" customHeight="1">
      <c r="A6441" s="1119">
        <v>104233.0</v>
      </c>
      <c r="B6441" s="1125" t="s">
        <v>16719</v>
      </c>
      <c r="C6441" s="1126" t="s">
        <v>1814</v>
      </c>
      <c r="D6441" s="1119">
        <v>38.97</v>
      </c>
      <c r="E6441" s="1120">
        <v>17.67</v>
      </c>
      <c r="F6441" s="1121">
        <f t="shared" si="1"/>
        <v>21.31</v>
      </c>
      <c r="G6441" s="1120">
        <v>21.27</v>
      </c>
      <c r="H6441" s="1127">
        <v>0.02</v>
      </c>
      <c r="I6441" s="1127">
        <v>0.0</v>
      </c>
      <c r="J6441" s="1127">
        <v>0.02</v>
      </c>
      <c r="K6441" s="1124"/>
    </row>
    <row r="6442" ht="15.75" customHeight="1">
      <c r="A6442" s="1119">
        <v>104234.0</v>
      </c>
      <c r="B6442" s="1125" t="s">
        <v>16720</v>
      </c>
      <c r="C6442" s="1126" t="s">
        <v>1814</v>
      </c>
      <c r="D6442" s="1119">
        <v>43.62</v>
      </c>
      <c r="E6442" s="1120">
        <v>20.96</v>
      </c>
      <c r="F6442" s="1121">
        <f t="shared" si="1"/>
        <v>22.67</v>
      </c>
      <c r="G6442" s="1120">
        <v>22.67</v>
      </c>
      <c r="H6442" s="1127">
        <v>0.0</v>
      </c>
      <c r="I6442" s="1127">
        <v>0.0</v>
      </c>
      <c r="J6442" s="1127">
        <v>0.0</v>
      </c>
      <c r="K6442" s="1124"/>
    </row>
    <row r="6443" ht="15.75" customHeight="1">
      <c r="A6443" s="1119">
        <v>104235.0</v>
      </c>
      <c r="B6443" s="1125" t="s">
        <v>16721</v>
      </c>
      <c r="C6443" s="1126" t="s">
        <v>1814</v>
      </c>
      <c r="D6443" s="1119">
        <v>68.59</v>
      </c>
      <c r="E6443" s="1120">
        <v>16.06</v>
      </c>
      <c r="F6443" s="1121">
        <f t="shared" si="1"/>
        <v>52.54</v>
      </c>
      <c r="G6443" s="1120">
        <v>51.73</v>
      </c>
      <c r="H6443" s="1127">
        <v>0.8</v>
      </c>
      <c r="I6443" s="1127">
        <v>0.0</v>
      </c>
      <c r="J6443" s="1127">
        <v>0.01</v>
      </c>
      <c r="K6443" s="1124"/>
    </row>
    <row r="6444" ht="15.75" customHeight="1">
      <c r="A6444" s="1119">
        <v>104236.0</v>
      </c>
      <c r="B6444" s="1125" t="s">
        <v>16722</v>
      </c>
      <c r="C6444" s="1126" t="s">
        <v>1814</v>
      </c>
      <c r="D6444" s="1119">
        <v>40.79</v>
      </c>
      <c r="E6444" s="1120">
        <v>16.24</v>
      </c>
      <c r="F6444" s="1121">
        <f t="shared" si="1"/>
        <v>24.57</v>
      </c>
      <c r="G6444" s="1120">
        <v>21.58</v>
      </c>
      <c r="H6444" s="1127">
        <v>2.97</v>
      </c>
      <c r="I6444" s="1127">
        <v>0.0</v>
      </c>
      <c r="J6444" s="1127">
        <v>0.02</v>
      </c>
      <c r="K6444" s="1124"/>
    </row>
    <row r="6445" ht="15.75" customHeight="1">
      <c r="A6445" s="1119">
        <v>104237.0</v>
      </c>
      <c r="B6445" s="1125" t="s">
        <v>16723</v>
      </c>
      <c r="C6445" s="1126" t="s">
        <v>1814</v>
      </c>
      <c r="D6445" s="1119">
        <v>53.94</v>
      </c>
      <c r="E6445" s="1120">
        <v>25.6</v>
      </c>
      <c r="F6445" s="1121">
        <f t="shared" si="1"/>
        <v>28.34</v>
      </c>
      <c r="G6445" s="1120">
        <v>28.26</v>
      </c>
      <c r="H6445" s="1127">
        <v>0.05</v>
      </c>
      <c r="I6445" s="1127">
        <v>0.0</v>
      </c>
      <c r="J6445" s="1127">
        <v>0.03</v>
      </c>
      <c r="K6445" s="1124"/>
    </row>
    <row r="6446" ht="15.75" customHeight="1">
      <c r="A6446" s="1119">
        <v>104238.0</v>
      </c>
      <c r="B6446" s="1125" t="s">
        <v>16724</v>
      </c>
      <c r="C6446" s="1126" t="s">
        <v>1814</v>
      </c>
      <c r="D6446" s="1119">
        <v>60.17</v>
      </c>
      <c r="E6446" s="1120">
        <v>30.02</v>
      </c>
      <c r="F6446" s="1121">
        <f t="shared" si="1"/>
        <v>30.15</v>
      </c>
      <c r="G6446" s="1120">
        <v>30.15</v>
      </c>
      <c r="H6446" s="1127">
        <v>0.0</v>
      </c>
      <c r="I6446" s="1127">
        <v>0.0</v>
      </c>
      <c r="J6446" s="1127">
        <v>0.0</v>
      </c>
      <c r="K6446" s="1124"/>
    </row>
    <row r="6447" ht="15.75" customHeight="1">
      <c r="A6447" s="1119">
        <v>104239.0</v>
      </c>
      <c r="B6447" s="1125" t="s">
        <v>16725</v>
      </c>
      <c r="C6447" s="1126" t="s">
        <v>1814</v>
      </c>
      <c r="D6447" s="1119">
        <v>93.48</v>
      </c>
      <c r="E6447" s="1120">
        <v>23.31</v>
      </c>
      <c r="F6447" s="1121">
        <f t="shared" si="1"/>
        <v>70.16</v>
      </c>
      <c r="G6447" s="1120">
        <v>69.08</v>
      </c>
      <c r="H6447" s="1127">
        <v>1.07</v>
      </c>
      <c r="I6447" s="1127">
        <v>0.0</v>
      </c>
      <c r="J6447" s="1127">
        <v>0.01</v>
      </c>
      <c r="K6447" s="1124"/>
    </row>
    <row r="6448" ht="15.75" customHeight="1">
      <c r="A6448" s="1119">
        <v>104240.0</v>
      </c>
      <c r="B6448" s="1125" t="s">
        <v>16726</v>
      </c>
      <c r="C6448" s="1126" t="s">
        <v>1814</v>
      </c>
      <c r="D6448" s="1119">
        <v>56.58</v>
      </c>
      <c r="E6448" s="1120">
        <v>23.53</v>
      </c>
      <c r="F6448" s="1121">
        <f t="shared" si="1"/>
        <v>33.04</v>
      </c>
      <c r="G6448" s="1120">
        <v>28.67</v>
      </c>
      <c r="H6448" s="1127">
        <v>4.34</v>
      </c>
      <c r="I6448" s="1127">
        <v>0.0</v>
      </c>
      <c r="J6448" s="1127">
        <v>0.03</v>
      </c>
      <c r="K6448" s="1124"/>
    </row>
    <row r="6449" ht="15.75" customHeight="1">
      <c r="A6449" s="1119">
        <v>104241.0</v>
      </c>
      <c r="B6449" s="1125" t="s">
        <v>16727</v>
      </c>
      <c r="C6449" s="1126" t="s">
        <v>1814</v>
      </c>
      <c r="D6449" s="1119">
        <v>59.16</v>
      </c>
      <c r="E6449" s="1120">
        <v>26.4</v>
      </c>
      <c r="F6449" s="1121">
        <f t="shared" si="1"/>
        <v>32.76</v>
      </c>
      <c r="G6449" s="1120">
        <v>32.66</v>
      </c>
      <c r="H6449" s="1127">
        <v>0.06</v>
      </c>
      <c r="I6449" s="1127">
        <v>0.0</v>
      </c>
      <c r="J6449" s="1127">
        <v>0.04</v>
      </c>
      <c r="K6449" s="1124"/>
    </row>
    <row r="6450" ht="15.75" customHeight="1">
      <c r="A6450" s="1119">
        <v>104242.0</v>
      </c>
      <c r="B6450" s="1125" t="s">
        <v>16728</v>
      </c>
      <c r="C6450" s="1126" t="s">
        <v>1814</v>
      </c>
      <c r="D6450" s="1119">
        <v>66.98</v>
      </c>
      <c r="E6450" s="1120">
        <v>31.96</v>
      </c>
      <c r="F6450" s="1121">
        <f t="shared" si="1"/>
        <v>35.02</v>
      </c>
      <c r="G6450" s="1120">
        <v>35.02</v>
      </c>
      <c r="H6450" s="1127">
        <v>0.0</v>
      </c>
      <c r="I6450" s="1127">
        <v>0.0</v>
      </c>
      <c r="J6450" s="1127">
        <v>0.0</v>
      </c>
      <c r="K6450" s="1124"/>
    </row>
    <row r="6451" ht="15.75" customHeight="1">
      <c r="A6451" s="1119">
        <v>104243.0</v>
      </c>
      <c r="B6451" s="1125" t="s">
        <v>16729</v>
      </c>
      <c r="C6451" s="1126" t="s">
        <v>1814</v>
      </c>
      <c r="D6451" s="1119">
        <v>109.48</v>
      </c>
      <c r="E6451" s="1120">
        <v>24.07</v>
      </c>
      <c r="F6451" s="1121">
        <f t="shared" si="1"/>
        <v>85.4</v>
      </c>
      <c r="G6451" s="1120">
        <v>84.04</v>
      </c>
      <c r="H6451" s="1127">
        <v>1.34</v>
      </c>
      <c r="I6451" s="1127">
        <v>0.0</v>
      </c>
      <c r="J6451" s="1127">
        <v>0.02</v>
      </c>
      <c r="K6451" s="1124"/>
    </row>
    <row r="6452" ht="15.75" customHeight="1">
      <c r="A6452" s="1119">
        <v>104244.0</v>
      </c>
      <c r="B6452" s="1125" t="s">
        <v>16730</v>
      </c>
      <c r="C6452" s="1126" t="s">
        <v>1814</v>
      </c>
      <c r="D6452" s="1119">
        <v>62.35</v>
      </c>
      <c r="E6452" s="1120">
        <v>24.33</v>
      </c>
      <c r="F6452" s="1121">
        <f t="shared" si="1"/>
        <v>38.01</v>
      </c>
      <c r="G6452" s="1120">
        <v>33.4</v>
      </c>
      <c r="H6452" s="1127">
        <v>4.57</v>
      </c>
      <c r="I6452" s="1127">
        <v>0.0</v>
      </c>
      <c r="J6452" s="1127">
        <v>0.04</v>
      </c>
      <c r="K6452" s="1124"/>
    </row>
    <row r="6453" ht="15.75" customHeight="1">
      <c r="A6453" s="1119">
        <v>104245.0</v>
      </c>
      <c r="B6453" s="1125" t="s">
        <v>16731</v>
      </c>
      <c r="C6453" s="1126" t="s">
        <v>1814</v>
      </c>
      <c r="D6453" s="1119">
        <v>64.53</v>
      </c>
      <c r="E6453" s="1120">
        <v>28.81</v>
      </c>
      <c r="F6453" s="1121">
        <f t="shared" si="1"/>
        <v>35.72</v>
      </c>
      <c r="G6453" s="1120">
        <v>35.61</v>
      </c>
      <c r="H6453" s="1127">
        <v>0.07</v>
      </c>
      <c r="I6453" s="1127">
        <v>0.0</v>
      </c>
      <c r="J6453" s="1127">
        <v>0.04</v>
      </c>
      <c r="K6453" s="1124"/>
    </row>
    <row r="6454" ht="15.75" customHeight="1">
      <c r="A6454" s="1119">
        <v>104246.0</v>
      </c>
      <c r="B6454" s="1125" t="s">
        <v>16732</v>
      </c>
      <c r="C6454" s="1126" t="s">
        <v>1814</v>
      </c>
      <c r="D6454" s="1119">
        <v>73.14</v>
      </c>
      <c r="E6454" s="1120">
        <v>34.93</v>
      </c>
      <c r="F6454" s="1121">
        <f t="shared" si="1"/>
        <v>38.21</v>
      </c>
      <c r="G6454" s="1120">
        <v>38.21</v>
      </c>
      <c r="H6454" s="1127">
        <v>0.0</v>
      </c>
      <c r="I6454" s="1127">
        <v>0.0</v>
      </c>
      <c r="J6454" s="1127">
        <v>0.0</v>
      </c>
      <c r="K6454" s="1124"/>
    </row>
    <row r="6455" ht="15.75" customHeight="1">
      <c r="A6455" s="1119">
        <v>104247.0</v>
      </c>
      <c r="B6455" s="1125" t="s">
        <v>16733</v>
      </c>
      <c r="C6455" s="1126" t="s">
        <v>1814</v>
      </c>
      <c r="D6455" s="1119">
        <v>116.78</v>
      </c>
      <c r="E6455" s="1120">
        <v>23.94</v>
      </c>
      <c r="F6455" s="1121">
        <f t="shared" si="1"/>
        <v>92.83</v>
      </c>
      <c r="G6455" s="1120">
        <v>91.32</v>
      </c>
      <c r="H6455" s="1127">
        <v>1.49</v>
      </c>
      <c r="I6455" s="1127">
        <v>0.0</v>
      </c>
      <c r="J6455" s="1127">
        <v>0.02</v>
      </c>
      <c r="K6455" s="1124"/>
    </row>
    <row r="6456" ht="15.75" customHeight="1">
      <c r="A6456" s="1119">
        <v>104248.0</v>
      </c>
      <c r="B6456" s="1125" t="s">
        <v>16734</v>
      </c>
      <c r="C6456" s="1126" t="s">
        <v>1814</v>
      </c>
      <c r="D6456" s="1119">
        <v>64.47</v>
      </c>
      <c r="E6456" s="1120">
        <v>24.24</v>
      </c>
      <c r="F6456" s="1121">
        <f t="shared" si="1"/>
        <v>40.22</v>
      </c>
      <c r="G6456" s="1120">
        <v>35.56</v>
      </c>
      <c r="H6456" s="1127">
        <v>4.62</v>
      </c>
      <c r="I6456" s="1127">
        <v>0.0</v>
      </c>
      <c r="J6456" s="1127">
        <v>0.04</v>
      </c>
      <c r="K6456" s="1124"/>
    </row>
    <row r="6457" ht="15.75" customHeight="1">
      <c r="A6457" s="1119">
        <v>104249.0</v>
      </c>
      <c r="B6457" s="1125" t="s">
        <v>16735</v>
      </c>
      <c r="C6457" s="1126" t="s">
        <v>1814</v>
      </c>
      <c r="D6457" s="1119">
        <v>77.32</v>
      </c>
      <c r="E6457" s="1120">
        <v>47.74</v>
      </c>
      <c r="F6457" s="1121">
        <f t="shared" si="1"/>
        <v>29.59</v>
      </c>
      <c r="G6457" s="1120">
        <v>29.55</v>
      </c>
      <c r="H6457" s="1127">
        <v>0.02</v>
      </c>
      <c r="I6457" s="1127">
        <v>0.0</v>
      </c>
      <c r="J6457" s="1127">
        <v>0.02</v>
      </c>
      <c r="K6457" s="1124"/>
    </row>
    <row r="6458" ht="15.75" customHeight="1">
      <c r="A6458" s="1119">
        <v>104250.0</v>
      </c>
      <c r="B6458" s="1125" t="s">
        <v>16736</v>
      </c>
      <c r="C6458" s="1126" t="s">
        <v>1814</v>
      </c>
      <c r="D6458" s="1119">
        <v>81.97</v>
      </c>
      <c r="E6458" s="1120">
        <v>51.02</v>
      </c>
      <c r="F6458" s="1121">
        <f t="shared" si="1"/>
        <v>30.95</v>
      </c>
      <c r="G6458" s="1120">
        <v>30.95</v>
      </c>
      <c r="H6458" s="1127">
        <v>0.0</v>
      </c>
      <c r="I6458" s="1127">
        <v>0.0</v>
      </c>
      <c r="J6458" s="1127">
        <v>0.0</v>
      </c>
      <c r="K6458" s="1124"/>
    </row>
    <row r="6459" ht="15.75" customHeight="1">
      <c r="A6459" s="1119">
        <v>104251.0</v>
      </c>
      <c r="B6459" s="1125" t="s">
        <v>16737</v>
      </c>
      <c r="C6459" s="1126" t="s">
        <v>1814</v>
      </c>
      <c r="D6459" s="1119">
        <v>103.31</v>
      </c>
      <c r="E6459" s="1120">
        <v>43.45</v>
      </c>
      <c r="F6459" s="1121">
        <f t="shared" si="1"/>
        <v>59.86</v>
      </c>
      <c r="G6459" s="1120">
        <v>59.05</v>
      </c>
      <c r="H6459" s="1127">
        <v>0.8</v>
      </c>
      <c r="I6459" s="1127">
        <v>0.0</v>
      </c>
      <c r="J6459" s="1127">
        <v>0.01</v>
      </c>
      <c r="K6459" s="1124"/>
    </row>
    <row r="6460" ht="15.75" customHeight="1">
      <c r="A6460" s="1119">
        <v>104252.0</v>
      </c>
      <c r="B6460" s="1125" t="s">
        <v>16738</v>
      </c>
      <c r="C6460" s="1126" t="s">
        <v>1814</v>
      </c>
      <c r="D6460" s="1119">
        <v>80.23</v>
      </c>
      <c r="E6460" s="1120">
        <v>43.66</v>
      </c>
      <c r="F6460" s="1121">
        <f t="shared" si="1"/>
        <v>36.58</v>
      </c>
      <c r="G6460" s="1120">
        <v>28.88</v>
      </c>
      <c r="H6460" s="1127">
        <v>7.68</v>
      </c>
      <c r="I6460" s="1127">
        <v>0.0</v>
      </c>
      <c r="J6460" s="1127">
        <v>0.02</v>
      </c>
      <c r="K6460" s="1124"/>
    </row>
    <row r="6461" ht="15.75" customHeight="1">
      <c r="A6461" s="1119">
        <v>104253.0</v>
      </c>
      <c r="B6461" s="1125" t="s">
        <v>16739</v>
      </c>
      <c r="C6461" s="1126" t="s">
        <v>1814</v>
      </c>
      <c r="D6461" s="1119">
        <v>92.29</v>
      </c>
      <c r="E6461" s="1120">
        <v>55.64</v>
      </c>
      <c r="F6461" s="1121">
        <f t="shared" si="1"/>
        <v>36.65</v>
      </c>
      <c r="G6461" s="1120">
        <v>36.57</v>
      </c>
      <c r="H6461" s="1127">
        <v>0.05</v>
      </c>
      <c r="I6461" s="1127">
        <v>0.0</v>
      </c>
      <c r="J6461" s="1127">
        <v>0.03</v>
      </c>
      <c r="K6461" s="1124"/>
    </row>
    <row r="6462" ht="15.75" customHeight="1">
      <c r="A6462" s="1119">
        <v>104254.0</v>
      </c>
      <c r="B6462" s="1125" t="s">
        <v>16740</v>
      </c>
      <c r="C6462" s="1126" t="s">
        <v>1814</v>
      </c>
      <c r="D6462" s="1119">
        <v>98.52</v>
      </c>
      <c r="E6462" s="1120">
        <v>60.06</v>
      </c>
      <c r="F6462" s="1121">
        <f t="shared" si="1"/>
        <v>38.46</v>
      </c>
      <c r="G6462" s="1120">
        <v>38.46</v>
      </c>
      <c r="H6462" s="1127">
        <v>0.0</v>
      </c>
      <c r="I6462" s="1127">
        <v>0.0</v>
      </c>
      <c r="J6462" s="1127">
        <v>0.0</v>
      </c>
      <c r="K6462" s="1124"/>
    </row>
    <row r="6463" ht="15.75" customHeight="1">
      <c r="A6463" s="1119">
        <v>104255.0</v>
      </c>
      <c r="B6463" s="1125" t="s">
        <v>16741</v>
      </c>
      <c r="C6463" s="1126" t="s">
        <v>1814</v>
      </c>
      <c r="D6463" s="1119">
        <v>128.19</v>
      </c>
      <c r="E6463" s="1120">
        <v>50.7</v>
      </c>
      <c r="F6463" s="1121">
        <f t="shared" si="1"/>
        <v>77.49</v>
      </c>
      <c r="G6463" s="1120">
        <v>76.41</v>
      </c>
      <c r="H6463" s="1127">
        <v>1.07</v>
      </c>
      <c r="I6463" s="1127">
        <v>0.0</v>
      </c>
      <c r="J6463" s="1127">
        <v>0.01</v>
      </c>
      <c r="K6463" s="1124"/>
    </row>
    <row r="6464" ht="15.75" customHeight="1">
      <c r="A6464" s="1119">
        <v>104256.0</v>
      </c>
      <c r="B6464" s="1125" t="s">
        <v>16742</v>
      </c>
      <c r="C6464" s="1126" t="s">
        <v>1814</v>
      </c>
      <c r="D6464" s="1119">
        <v>96.01</v>
      </c>
      <c r="E6464" s="1120">
        <v>50.94</v>
      </c>
      <c r="F6464" s="1121">
        <f t="shared" si="1"/>
        <v>45.07</v>
      </c>
      <c r="G6464" s="1120">
        <v>35.98</v>
      </c>
      <c r="H6464" s="1127">
        <v>9.06</v>
      </c>
      <c r="I6464" s="1127">
        <v>0.0</v>
      </c>
      <c r="J6464" s="1127">
        <v>0.03</v>
      </c>
      <c r="K6464" s="1124"/>
    </row>
    <row r="6465" ht="15.75" customHeight="1">
      <c r="A6465" s="1119">
        <v>104257.0</v>
      </c>
      <c r="B6465" s="1125" t="s">
        <v>16743</v>
      </c>
      <c r="C6465" s="1126" t="s">
        <v>1814</v>
      </c>
      <c r="D6465" s="1119">
        <v>97.51</v>
      </c>
      <c r="E6465" s="1120">
        <v>56.45</v>
      </c>
      <c r="F6465" s="1121">
        <f t="shared" si="1"/>
        <v>41.06</v>
      </c>
      <c r="G6465" s="1120">
        <v>40.96</v>
      </c>
      <c r="H6465" s="1127">
        <v>0.06</v>
      </c>
      <c r="I6465" s="1127">
        <v>0.0</v>
      </c>
      <c r="J6465" s="1127">
        <v>0.04</v>
      </c>
      <c r="K6465" s="1124"/>
    </row>
    <row r="6466" ht="15.75" customHeight="1">
      <c r="A6466" s="1119">
        <v>104258.0</v>
      </c>
      <c r="B6466" s="1125" t="s">
        <v>16744</v>
      </c>
      <c r="C6466" s="1126" t="s">
        <v>1814</v>
      </c>
      <c r="D6466" s="1119">
        <v>105.33</v>
      </c>
      <c r="E6466" s="1120">
        <v>62.0</v>
      </c>
      <c r="F6466" s="1121">
        <f t="shared" si="1"/>
        <v>43.33</v>
      </c>
      <c r="G6466" s="1120">
        <v>43.33</v>
      </c>
      <c r="H6466" s="1127">
        <v>0.0</v>
      </c>
      <c r="I6466" s="1127">
        <v>0.0</v>
      </c>
      <c r="J6466" s="1127">
        <v>0.0</v>
      </c>
      <c r="K6466" s="1124"/>
    </row>
    <row r="6467" ht="15.75" customHeight="1">
      <c r="A6467" s="1119">
        <v>104259.0</v>
      </c>
      <c r="B6467" s="1125" t="s">
        <v>16745</v>
      </c>
      <c r="C6467" s="1126" t="s">
        <v>1814</v>
      </c>
      <c r="D6467" s="1119">
        <v>144.19</v>
      </c>
      <c r="E6467" s="1120">
        <v>51.46</v>
      </c>
      <c r="F6467" s="1121">
        <f t="shared" si="1"/>
        <v>92.74</v>
      </c>
      <c r="G6467" s="1120">
        <v>91.38</v>
      </c>
      <c r="H6467" s="1127">
        <v>1.34</v>
      </c>
      <c r="I6467" s="1127">
        <v>0.0</v>
      </c>
      <c r="J6467" s="1127">
        <v>0.02</v>
      </c>
      <c r="K6467" s="1124"/>
    </row>
    <row r="6468" ht="15.75" customHeight="1">
      <c r="A6468" s="1119">
        <v>104260.0</v>
      </c>
      <c r="B6468" s="1125" t="s">
        <v>16746</v>
      </c>
      <c r="C6468" s="1126" t="s">
        <v>1814</v>
      </c>
      <c r="D6468" s="1119">
        <v>101.78</v>
      </c>
      <c r="E6468" s="1120">
        <v>51.74</v>
      </c>
      <c r="F6468" s="1121">
        <f t="shared" si="1"/>
        <v>50.05</v>
      </c>
      <c r="G6468" s="1120">
        <v>40.71</v>
      </c>
      <c r="H6468" s="1127">
        <v>9.3</v>
      </c>
      <c r="I6468" s="1127">
        <v>0.0</v>
      </c>
      <c r="J6468" s="1127">
        <v>0.04</v>
      </c>
      <c r="K6468" s="1124"/>
    </row>
    <row r="6469" ht="15.75" customHeight="1">
      <c r="A6469" s="1119">
        <v>104261.0</v>
      </c>
      <c r="B6469" s="1125" t="s">
        <v>16747</v>
      </c>
      <c r="C6469" s="1126" t="s">
        <v>1814</v>
      </c>
      <c r="D6469" s="1119">
        <v>127.69</v>
      </c>
      <c r="E6469" s="1120">
        <v>76.96</v>
      </c>
      <c r="F6469" s="1121">
        <f t="shared" si="1"/>
        <v>50.72</v>
      </c>
      <c r="G6469" s="1120">
        <v>50.61</v>
      </c>
      <c r="H6469" s="1127">
        <v>0.07</v>
      </c>
      <c r="I6469" s="1127">
        <v>0.0</v>
      </c>
      <c r="J6469" s="1127">
        <v>0.04</v>
      </c>
      <c r="K6469" s="1124"/>
    </row>
    <row r="6470" ht="15.75" customHeight="1">
      <c r="A6470" s="1119">
        <v>104262.0</v>
      </c>
      <c r="B6470" s="1125" t="s">
        <v>16748</v>
      </c>
      <c r="C6470" s="1126" t="s">
        <v>1814</v>
      </c>
      <c r="D6470" s="1119">
        <v>136.3</v>
      </c>
      <c r="E6470" s="1120">
        <v>83.08</v>
      </c>
      <c r="F6470" s="1121">
        <f t="shared" si="1"/>
        <v>53.22</v>
      </c>
      <c r="G6470" s="1120">
        <v>53.22</v>
      </c>
      <c r="H6470" s="1127">
        <v>0.0</v>
      </c>
      <c r="I6470" s="1127">
        <v>0.0</v>
      </c>
      <c r="J6470" s="1127">
        <v>0.0</v>
      </c>
      <c r="K6470" s="1124"/>
    </row>
    <row r="6471" ht="15.75" customHeight="1">
      <c r="A6471" s="1119">
        <v>104263.0</v>
      </c>
      <c r="B6471" s="1125" t="s">
        <v>16749</v>
      </c>
      <c r="C6471" s="1126" t="s">
        <v>1814</v>
      </c>
      <c r="D6471" s="1119">
        <v>167.41</v>
      </c>
      <c r="E6471" s="1120">
        <v>62.94</v>
      </c>
      <c r="F6471" s="1121">
        <f t="shared" si="1"/>
        <v>104.46</v>
      </c>
      <c r="G6471" s="1120">
        <v>102.95</v>
      </c>
      <c r="H6471" s="1127">
        <v>1.49</v>
      </c>
      <c r="I6471" s="1127">
        <v>0.0</v>
      </c>
      <c r="J6471" s="1127">
        <v>0.02</v>
      </c>
      <c r="K6471" s="1124"/>
    </row>
    <row r="6472" ht="15.75" customHeight="1">
      <c r="A6472" s="1119">
        <v>104264.0</v>
      </c>
      <c r="B6472" s="1125" t="s">
        <v>16750</v>
      </c>
      <c r="C6472" s="1126" t="s">
        <v>1814</v>
      </c>
      <c r="D6472" s="1119">
        <v>121.82</v>
      </c>
      <c r="E6472" s="1120">
        <v>63.26</v>
      </c>
      <c r="F6472" s="1121">
        <f t="shared" si="1"/>
        <v>58.56</v>
      </c>
      <c r="G6472" s="1120">
        <v>47.18</v>
      </c>
      <c r="H6472" s="1127">
        <v>11.34</v>
      </c>
      <c r="I6472" s="1127">
        <v>0.0</v>
      </c>
      <c r="J6472" s="1127">
        <v>0.04</v>
      </c>
      <c r="K6472" s="1124"/>
    </row>
    <row r="6473" ht="15.75" customHeight="1">
      <c r="A6473" s="1119">
        <v>104627.0</v>
      </c>
      <c r="B6473" s="1125" t="s">
        <v>16751</v>
      </c>
      <c r="C6473" s="1126" t="s">
        <v>1814</v>
      </c>
      <c r="D6473" s="1119">
        <v>20.32</v>
      </c>
      <c r="E6473" s="1120">
        <v>9.5</v>
      </c>
      <c r="F6473" s="1121">
        <f t="shared" si="1"/>
        <v>10.81</v>
      </c>
      <c r="G6473" s="1120">
        <v>10.81</v>
      </c>
      <c r="H6473" s="1127">
        <v>0.0</v>
      </c>
      <c r="I6473" s="1127">
        <v>0.0</v>
      </c>
      <c r="J6473" s="1127">
        <v>0.0</v>
      </c>
      <c r="K6473" s="1124"/>
    </row>
    <row r="6474" ht="15.75" customHeight="1">
      <c r="A6474" s="1119">
        <v>104628.0</v>
      </c>
      <c r="B6474" s="1125" t="s">
        <v>16752</v>
      </c>
      <c r="C6474" s="1126" t="s">
        <v>1814</v>
      </c>
      <c r="D6474" s="1119">
        <v>32.48</v>
      </c>
      <c r="E6474" s="1120">
        <v>18.48</v>
      </c>
      <c r="F6474" s="1121">
        <f t="shared" si="1"/>
        <v>14</v>
      </c>
      <c r="G6474" s="1120">
        <v>14.0</v>
      </c>
      <c r="H6474" s="1127">
        <v>0.0</v>
      </c>
      <c r="I6474" s="1127">
        <v>0.0</v>
      </c>
      <c r="J6474" s="1127">
        <v>0.0</v>
      </c>
      <c r="K6474" s="1124"/>
    </row>
    <row r="6475" ht="15.75" customHeight="1">
      <c r="A6475" s="1119">
        <v>104629.0</v>
      </c>
      <c r="B6475" s="1125" t="s">
        <v>16753</v>
      </c>
      <c r="C6475" s="1126" t="s">
        <v>1814</v>
      </c>
      <c r="D6475" s="1119">
        <v>39.46</v>
      </c>
      <c r="E6475" s="1120">
        <v>23.62</v>
      </c>
      <c r="F6475" s="1121">
        <f t="shared" si="1"/>
        <v>15.85</v>
      </c>
      <c r="G6475" s="1120">
        <v>15.85</v>
      </c>
      <c r="H6475" s="1127">
        <v>0.0</v>
      </c>
      <c r="I6475" s="1127">
        <v>0.0</v>
      </c>
      <c r="J6475" s="1127">
        <v>0.0</v>
      </c>
      <c r="K6475" s="1124"/>
    </row>
    <row r="6476" ht="15.75" customHeight="1">
      <c r="A6476" s="1119">
        <v>104630.0</v>
      </c>
      <c r="B6476" s="1125" t="s">
        <v>16754</v>
      </c>
      <c r="C6476" s="1126" t="s">
        <v>1814</v>
      </c>
      <c r="D6476" s="1119">
        <v>31.61</v>
      </c>
      <c r="E6476" s="1120">
        <v>13.62</v>
      </c>
      <c r="F6476" s="1121">
        <f t="shared" si="1"/>
        <v>18</v>
      </c>
      <c r="G6476" s="1120">
        <v>18.0</v>
      </c>
      <c r="H6476" s="1127">
        <v>0.0</v>
      </c>
      <c r="I6476" s="1127">
        <v>0.0</v>
      </c>
      <c r="J6476" s="1127">
        <v>0.0</v>
      </c>
      <c r="K6476" s="1124"/>
    </row>
    <row r="6477" ht="15.75" customHeight="1">
      <c r="A6477" s="1119">
        <v>104631.0</v>
      </c>
      <c r="B6477" s="1125" t="s">
        <v>16755</v>
      </c>
      <c r="C6477" s="1126" t="s">
        <v>1814</v>
      </c>
      <c r="D6477" s="1119">
        <v>43.77</v>
      </c>
      <c r="E6477" s="1120">
        <v>22.59</v>
      </c>
      <c r="F6477" s="1121">
        <f t="shared" si="1"/>
        <v>21.2</v>
      </c>
      <c r="G6477" s="1120">
        <v>21.2</v>
      </c>
      <c r="H6477" s="1127">
        <v>0.0</v>
      </c>
      <c r="I6477" s="1127">
        <v>0.0</v>
      </c>
      <c r="J6477" s="1127">
        <v>0.0</v>
      </c>
      <c r="K6477" s="1124"/>
    </row>
    <row r="6478" ht="15.75" customHeight="1">
      <c r="A6478" s="1119">
        <v>104632.0</v>
      </c>
      <c r="B6478" s="1125" t="s">
        <v>16756</v>
      </c>
      <c r="C6478" s="1126" t="s">
        <v>1814</v>
      </c>
      <c r="D6478" s="1119">
        <v>50.76</v>
      </c>
      <c r="E6478" s="1120">
        <v>27.74</v>
      </c>
      <c r="F6478" s="1121">
        <f t="shared" si="1"/>
        <v>23.02</v>
      </c>
      <c r="G6478" s="1120">
        <v>23.02</v>
      </c>
      <c r="H6478" s="1127">
        <v>0.0</v>
      </c>
      <c r="I6478" s="1127">
        <v>0.0</v>
      </c>
      <c r="J6478" s="1127">
        <v>0.0</v>
      </c>
      <c r="K6478" s="1124"/>
    </row>
    <row r="6479" ht="15.75" customHeight="1">
      <c r="A6479" s="1119">
        <v>104633.0</v>
      </c>
      <c r="B6479" s="1125" t="s">
        <v>16757</v>
      </c>
      <c r="C6479" s="1126" t="s">
        <v>1814</v>
      </c>
      <c r="D6479" s="1119">
        <v>28.49</v>
      </c>
      <c r="E6479" s="1120">
        <v>15.53</v>
      </c>
      <c r="F6479" s="1121">
        <f t="shared" si="1"/>
        <v>12.96</v>
      </c>
      <c r="G6479" s="1120">
        <v>12.96</v>
      </c>
      <c r="H6479" s="1127">
        <v>0.0</v>
      </c>
      <c r="I6479" s="1127">
        <v>0.0</v>
      </c>
      <c r="J6479" s="1127">
        <v>0.0</v>
      </c>
      <c r="K6479" s="1124"/>
    </row>
    <row r="6480" ht="15.75" customHeight="1">
      <c r="A6480" s="1119">
        <v>104634.0</v>
      </c>
      <c r="B6480" s="1125" t="s">
        <v>16758</v>
      </c>
      <c r="C6480" s="1126" t="s">
        <v>1814</v>
      </c>
      <c r="D6480" s="1119">
        <v>41.62</v>
      </c>
      <c r="E6480" s="1120">
        <v>21.0</v>
      </c>
      <c r="F6480" s="1121">
        <f t="shared" si="1"/>
        <v>20.64</v>
      </c>
      <c r="G6480" s="1120">
        <v>20.64</v>
      </c>
      <c r="H6480" s="1127">
        <v>0.0</v>
      </c>
      <c r="I6480" s="1127">
        <v>0.0</v>
      </c>
      <c r="J6480" s="1127">
        <v>0.0</v>
      </c>
      <c r="K6480" s="1124"/>
    </row>
    <row r="6481" ht="15.75" customHeight="1">
      <c r="A6481" s="1119">
        <v>104635.0</v>
      </c>
      <c r="B6481" s="1125" t="s">
        <v>16759</v>
      </c>
      <c r="C6481" s="1126" t="s">
        <v>1814</v>
      </c>
      <c r="D6481" s="1119">
        <v>58.56</v>
      </c>
      <c r="E6481" s="1120">
        <v>33.49</v>
      </c>
      <c r="F6481" s="1121">
        <f t="shared" si="1"/>
        <v>25.08</v>
      </c>
      <c r="G6481" s="1120">
        <v>25.08</v>
      </c>
      <c r="H6481" s="1127">
        <v>0.0</v>
      </c>
      <c r="I6481" s="1127">
        <v>0.0</v>
      </c>
      <c r="J6481" s="1127">
        <v>0.0</v>
      </c>
      <c r="K6481" s="1124"/>
    </row>
    <row r="6482" ht="15.75" customHeight="1">
      <c r="A6482" s="1119">
        <v>104636.0</v>
      </c>
      <c r="B6482" s="1125" t="s">
        <v>16760</v>
      </c>
      <c r="C6482" s="1126" t="s">
        <v>1814</v>
      </c>
      <c r="D6482" s="1119">
        <v>67.71</v>
      </c>
      <c r="E6482" s="1120">
        <v>37.29</v>
      </c>
      <c r="F6482" s="1121">
        <f t="shared" si="1"/>
        <v>30.42</v>
      </c>
      <c r="G6482" s="1120">
        <v>30.42</v>
      </c>
      <c r="H6482" s="1127">
        <v>0.0</v>
      </c>
      <c r="I6482" s="1127">
        <v>0.0</v>
      </c>
      <c r="J6482" s="1127">
        <v>0.0</v>
      </c>
      <c r="K6482" s="1124"/>
    </row>
    <row r="6483" ht="15.75" customHeight="1">
      <c r="A6483" s="1119">
        <v>87244.0</v>
      </c>
      <c r="B6483" s="1125" t="s">
        <v>16761</v>
      </c>
      <c r="C6483" s="1126" t="s">
        <v>1814</v>
      </c>
      <c r="D6483" s="1119">
        <v>225.13</v>
      </c>
      <c r="E6483" s="1120">
        <v>38.39</v>
      </c>
      <c r="F6483" s="1121">
        <f t="shared" si="1"/>
        <v>186.75</v>
      </c>
      <c r="G6483" s="1120">
        <v>186.75</v>
      </c>
      <c r="H6483" s="1127">
        <v>0.0</v>
      </c>
      <c r="I6483" s="1127">
        <v>0.0</v>
      </c>
      <c r="J6483" s="1127">
        <v>0.0</v>
      </c>
      <c r="K6483" s="1124"/>
    </row>
    <row r="6484" ht="15.75" customHeight="1">
      <c r="A6484" s="1119">
        <v>87245.0</v>
      </c>
      <c r="B6484" s="1125" t="s">
        <v>16762</v>
      </c>
      <c r="C6484" s="1126" t="s">
        <v>1814</v>
      </c>
      <c r="D6484" s="1119">
        <v>268.59</v>
      </c>
      <c r="E6484" s="1120">
        <v>44.62</v>
      </c>
      <c r="F6484" s="1121">
        <f t="shared" si="1"/>
        <v>223.97</v>
      </c>
      <c r="G6484" s="1120">
        <v>223.97</v>
      </c>
      <c r="H6484" s="1127">
        <v>0.0</v>
      </c>
      <c r="I6484" s="1127">
        <v>0.0</v>
      </c>
      <c r="J6484" s="1127">
        <v>0.0</v>
      </c>
      <c r="K6484" s="1124"/>
    </row>
    <row r="6485" ht="15.75" customHeight="1">
      <c r="A6485" s="1119">
        <v>87265.0</v>
      </c>
      <c r="B6485" s="1125" t="s">
        <v>16763</v>
      </c>
      <c r="C6485" s="1126" t="s">
        <v>1814</v>
      </c>
      <c r="D6485" s="1119">
        <v>68.35</v>
      </c>
      <c r="E6485" s="1120">
        <v>17.76</v>
      </c>
      <c r="F6485" s="1121">
        <f t="shared" si="1"/>
        <v>50.59</v>
      </c>
      <c r="G6485" s="1120">
        <v>50.59</v>
      </c>
      <c r="H6485" s="1127">
        <v>0.0</v>
      </c>
      <c r="I6485" s="1127">
        <v>0.0</v>
      </c>
      <c r="J6485" s="1127">
        <v>0.0</v>
      </c>
      <c r="K6485" s="1124"/>
    </row>
    <row r="6486" ht="15.75" customHeight="1">
      <c r="A6486" s="1119">
        <v>87267.0</v>
      </c>
      <c r="B6486" s="1125" t="s">
        <v>16764</v>
      </c>
      <c r="C6486" s="1126" t="s">
        <v>1814</v>
      </c>
      <c r="D6486" s="1119">
        <v>74.31</v>
      </c>
      <c r="E6486" s="1120">
        <v>22.03</v>
      </c>
      <c r="F6486" s="1121">
        <f t="shared" si="1"/>
        <v>52.28</v>
      </c>
      <c r="G6486" s="1120">
        <v>52.28</v>
      </c>
      <c r="H6486" s="1127">
        <v>0.0</v>
      </c>
      <c r="I6486" s="1127">
        <v>0.0</v>
      </c>
      <c r="J6486" s="1127">
        <v>0.0</v>
      </c>
      <c r="K6486" s="1124"/>
    </row>
    <row r="6487" ht="15.75" customHeight="1">
      <c r="A6487" s="1119">
        <v>87269.0</v>
      </c>
      <c r="B6487" s="1125" t="s">
        <v>16765</v>
      </c>
      <c r="C6487" s="1126" t="s">
        <v>1814</v>
      </c>
      <c r="D6487" s="1119">
        <v>72.94</v>
      </c>
      <c r="E6487" s="1120">
        <v>21.15</v>
      </c>
      <c r="F6487" s="1121">
        <f t="shared" si="1"/>
        <v>51.81</v>
      </c>
      <c r="G6487" s="1120">
        <v>51.81</v>
      </c>
      <c r="H6487" s="1127">
        <v>0.0</v>
      </c>
      <c r="I6487" s="1127">
        <v>0.0</v>
      </c>
      <c r="J6487" s="1127">
        <v>0.0</v>
      </c>
      <c r="K6487" s="1124"/>
    </row>
    <row r="6488" ht="15.75" customHeight="1">
      <c r="A6488" s="1119">
        <v>87271.0</v>
      </c>
      <c r="B6488" s="1125" t="s">
        <v>16766</v>
      </c>
      <c r="C6488" s="1126" t="s">
        <v>1814</v>
      </c>
      <c r="D6488" s="1119">
        <v>78.98</v>
      </c>
      <c r="E6488" s="1120">
        <v>25.46</v>
      </c>
      <c r="F6488" s="1121">
        <f t="shared" si="1"/>
        <v>53.52</v>
      </c>
      <c r="G6488" s="1120">
        <v>53.52</v>
      </c>
      <c r="H6488" s="1127">
        <v>0.0</v>
      </c>
      <c r="I6488" s="1127">
        <v>0.0</v>
      </c>
      <c r="J6488" s="1127">
        <v>0.0</v>
      </c>
      <c r="K6488" s="1124"/>
    </row>
    <row r="6489" ht="15.75" customHeight="1">
      <c r="A6489" s="1119">
        <v>87273.0</v>
      </c>
      <c r="B6489" s="1125" t="s">
        <v>16767</v>
      </c>
      <c r="C6489" s="1126" t="s">
        <v>1814</v>
      </c>
      <c r="D6489" s="1119">
        <v>76.24</v>
      </c>
      <c r="E6489" s="1120">
        <v>22.56</v>
      </c>
      <c r="F6489" s="1121">
        <f t="shared" si="1"/>
        <v>53.67</v>
      </c>
      <c r="G6489" s="1120">
        <v>53.67</v>
      </c>
      <c r="H6489" s="1127">
        <v>0.0</v>
      </c>
      <c r="I6489" s="1127">
        <v>0.0</v>
      </c>
      <c r="J6489" s="1127">
        <v>0.0</v>
      </c>
      <c r="K6489" s="1124"/>
    </row>
    <row r="6490" ht="15.75" customHeight="1">
      <c r="A6490" s="1119">
        <v>87275.0</v>
      </c>
      <c r="B6490" s="1125" t="s">
        <v>16768</v>
      </c>
      <c r="C6490" s="1126" t="s">
        <v>1814</v>
      </c>
      <c r="D6490" s="1119">
        <v>84.25</v>
      </c>
      <c r="E6490" s="1120">
        <v>28.17</v>
      </c>
      <c r="F6490" s="1121">
        <f t="shared" si="1"/>
        <v>56.08</v>
      </c>
      <c r="G6490" s="1120">
        <v>56.08</v>
      </c>
      <c r="H6490" s="1127">
        <v>0.0</v>
      </c>
      <c r="I6490" s="1127">
        <v>0.0</v>
      </c>
      <c r="J6490" s="1127">
        <v>0.0</v>
      </c>
      <c r="K6490" s="1124"/>
    </row>
    <row r="6491" ht="15.75" customHeight="1">
      <c r="A6491" s="1119">
        <v>88788.0</v>
      </c>
      <c r="B6491" s="1125" t="s">
        <v>16769</v>
      </c>
      <c r="C6491" s="1126" t="s">
        <v>1814</v>
      </c>
      <c r="D6491" s="1119">
        <v>316.98</v>
      </c>
      <c r="E6491" s="1120">
        <v>39.73</v>
      </c>
      <c r="F6491" s="1121">
        <f t="shared" si="1"/>
        <v>277.24</v>
      </c>
      <c r="G6491" s="1120">
        <v>277.24</v>
      </c>
      <c r="H6491" s="1127">
        <v>0.0</v>
      </c>
      <c r="I6491" s="1127">
        <v>0.0</v>
      </c>
      <c r="J6491" s="1127">
        <v>0.0</v>
      </c>
      <c r="K6491" s="1124"/>
    </row>
    <row r="6492" ht="15.75" customHeight="1">
      <c r="A6492" s="1119">
        <v>88789.0</v>
      </c>
      <c r="B6492" s="1125" t="s">
        <v>16770</v>
      </c>
      <c r="C6492" s="1126" t="s">
        <v>1814</v>
      </c>
      <c r="D6492" s="1119">
        <v>379.75</v>
      </c>
      <c r="E6492" s="1120">
        <v>45.91</v>
      </c>
      <c r="F6492" s="1121">
        <f t="shared" si="1"/>
        <v>333.84</v>
      </c>
      <c r="G6492" s="1120">
        <v>333.84</v>
      </c>
      <c r="H6492" s="1127">
        <v>0.0</v>
      </c>
      <c r="I6492" s="1127">
        <v>0.0</v>
      </c>
      <c r="J6492" s="1127">
        <v>0.0</v>
      </c>
      <c r="K6492" s="1124"/>
    </row>
    <row r="6493" ht="15.75" customHeight="1">
      <c r="A6493" s="1119">
        <v>89045.0</v>
      </c>
      <c r="B6493" s="1125" t="s">
        <v>16771</v>
      </c>
      <c r="C6493" s="1126" t="s">
        <v>1814</v>
      </c>
      <c r="D6493" s="1119">
        <v>69.83</v>
      </c>
      <c r="E6493" s="1120">
        <v>18.83</v>
      </c>
      <c r="F6493" s="1121">
        <f t="shared" si="1"/>
        <v>51</v>
      </c>
      <c r="G6493" s="1120">
        <v>51.0</v>
      </c>
      <c r="H6493" s="1127">
        <v>0.0</v>
      </c>
      <c r="I6493" s="1127">
        <v>0.0</v>
      </c>
      <c r="J6493" s="1127">
        <v>0.0</v>
      </c>
      <c r="K6493" s="1124"/>
    </row>
    <row r="6494" ht="15.75" customHeight="1">
      <c r="A6494" s="1119">
        <v>89170.0</v>
      </c>
      <c r="B6494" s="1125" t="s">
        <v>16772</v>
      </c>
      <c r="C6494" s="1126" t="s">
        <v>1814</v>
      </c>
      <c r="D6494" s="1119">
        <v>69.83</v>
      </c>
      <c r="E6494" s="1120">
        <v>18.83</v>
      </c>
      <c r="F6494" s="1121">
        <f t="shared" si="1"/>
        <v>51</v>
      </c>
      <c r="G6494" s="1120">
        <v>51.0</v>
      </c>
      <c r="H6494" s="1127">
        <v>0.0</v>
      </c>
      <c r="I6494" s="1127">
        <v>0.0</v>
      </c>
      <c r="J6494" s="1127">
        <v>0.0</v>
      </c>
      <c r="K6494" s="1124"/>
    </row>
    <row r="6495" ht="15.75" customHeight="1">
      <c r="A6495" s="1119">
        <v>93393.0</v>
      </c>
      <c r="B6495" s="1125" t="s">
        <v>16773</v>
      </c>
      <c r="C6495" s="1126" t="s">
        <v>1814</v>
      </c>
      <c r="D6495" s="1119">
        <v>57.94</v>
      </c>
      <c r="E6495" s="1120">
        <v>17.77</v>
      </c>
      <c r="F6495" s="1121">
        <f t="shared" si="1"/>
        <v>40.18</v>
      </c>
      <c r="G6495" s="1120">
        <v>40.18</v>
      </c>
      <c r="H6495" s="1127">
        <v>0.0</v>
      </c>
      <c r="I6495" s="1127">
        <v>0.0</v>
      </c>
      <c r="J6495" s="1127">
        <v>0.0</v>
      </c>
      <c r="K6495" s="1124"/>
    </row>
    <row r="6496" ht="15.75" customHeight="1">
      <c r="A6496" s="1119">
        <v>93395.0</v>
      </c>
      <c r="B6496" s="1125" t="s">
        <v>16774</v>
      </c>
      <c r="C6496" s="1126" t="s">
        <v>1814</v>
      </c>
      <c r="D6496" s="1119">
        <v>63.84</v>
      </c>
      <c r="E6496" s="1120">
        <v>22.03</v>
      </c>
      <c r="F6496" s="1121">
        <f t="shared" si="1"/>
        <v>41.81</v>
      </c>
      <c r="G6496" s="1120">
        <v>41.81</v>
      </c>
      <c r="H6496" s="1127">
        <v>0.0</v>
      </c>
      <c r="I6496" s="1127">
        <v>0.0</v>
      </c>
      <c r="J6496" s="1127">
        <v>0.0</v>
      </c>
      <c r="K6496" s="1124"/>
    </row>
    <row r="6497" ht="15.75" customHeight="1">
      <c r="A6497" s="1119">
        <v>99195.0</v>
      </c>
      <c r="B6497" s="1125" t="s">
        <v>16775</v>
      </c>
      <c r="C6497" s="1126" t="s">
        <v>1814</v>
      </c>
      <c r="D6497" s="1119">
        <v>65.35</v>
      </c>
      <c r="E6497" s="1120">
        <v>17.76</v>
      </c>
      <c r="F6497" s="1121">
        <f t="shared" si="1"/>
        <v>47.59</v>
      </c>
      <c r="G6497" s="1120">
        <v>47.59</v>
      </c>
      <c r="H6497" s="1127">
        <v>0.0</v>
      </c>
      <c r="I6497" s="1127">
        <v>0.0</v>
      </c>
      <c r="J6497" s="1127">
        <v>0.0</v>
      </c>
      <c r="K6497" s="1124"/>
    </row>
    <row r="6498" ht="15.75" customHeight="1">
      <c r="A6498" s="1119">
        <v>99198.0</v>
      </c>
      <c r="B6498" s="1125" t="s">
        <v>16776</v>
      </c>
      <c r="C6498" s="1126" t="s">
        <v>1814</v>
      </c>
      <c r="D6498" s="1119">
        <v>71.25</v>
      </c>
      <c r="E6498" s="1120">
        <v>22.03</v>
      </c>
      <c r="F6498" s="1121">
        <f t="shared" si="1"/>
        <v>49.22</v>
      </c>
      <c r="G6498" s="1120">
        <v>49.22</v>
      </c>
      <c r="H6498" s="1127">
        <v>0.0</v>
      </c>
      <c r="I6498" s="1127">
        <v>0.0</v>
      </c>
      <c r="J6498" s="1127">
        <v>0.0</v>
      </c>
      <c r="K6498" s="1124"/>
    </row>
    <row r="6499" ht="15.75" customHeight="1">
      <c r="A6499" s="1119">
        <v>104611.0</v>
      </c>
      <c r="B6499" s="1125" t="s">
        <v>16777</v>
      </c>
      <c r="C6499" s="1126" t="s">
        <v>1814</v>
      </c>
      <c r="D6499" s="1119">
        <v>93.18</v>
      </c>
      <c r="E6499" s="1120">
        <v>23.83</v>
      </c>
      <c r="F6499" s="1121">
        <f t="shared" si="1"/>
        <v>69.34</v>
      </c>
      <c r="G6499" s="1120">
        <v>69.34</v>
      </c>
      <c r="H6499" s="1127">
        <v>0.0</v>
      </c>
      <c r="I6499" s="1127">
        <v>0.0</v>
      </c>
      <c r="J6499" s="1127">
        <v>0.0</v>
      </c>
      <c r="K6499" s="1124"/>
    </row>
    <row r="6500" ht="15.75" customHeight="1">
      <c r="A6500" s="1119">
        <v>104612.0</v>
      </c>
      <c r="B6500" s="1125" t="s">
        <v>16778</v>
      </c>
      <c r="C6500" s="1126" t="s">
        <v>1814</v>
      </c>
      <c r="D6500" s="1119">
        <v>94.07</v>
      </c>
      <c r="E6500" s="1120">
        <v>24.88</v>
      </c>
      <c r="F6500" s="1121">
        <f t="shared" si="1"/>
        <v>69.19</v>
      </c>
      <c r="G6500" s="1120">
        <v>69.19</v>
      </c>
      <c r="H6500" s="1127">
        <v>0.0</v>
      </c>
      <c r="I6500" s="1127">
        <v>0.0</v>
      </c>
      <c r="J6500" s="1127">
        <v>0.0</v>
      </c>
      <c r="K6500" s="1124"/>
    </row>
    <row r="6501" ht="15.75" customHeight="1">
      <c r="A6501" s="1119">
        <v>104613.0</v>
      </c>
      <c r="B6501" s="1125" t="s">
        <v>16779</v>
      </c>
      <c r="C6501" s="1126" t="s">
        <v>1814</v>
      </c>
      <c r="D6501" s="1119">
        <v>72.35</v>
      </c>
      <c r="E6501" s="1120">
        <v>20.39</v>
      </c>
      <c r="F6501" s="1121">
        <f t="shared" si="1"/>
        <v>51.97</v>
      </c>
      <c r="G6501" s="1120">
        <v>51.97</v>
      </c>
      <c r="H6501" s="1127">
        <v>0.0</v>
      </c>
      <c r="I6501" s="1127">
        <v>0.0</v>
      </c>
      <c r="J6501" s="1127">
        <v>0.0</v>
      </c>
      <c r="K6501" s="1124"/>
    </row>
    <row r="6502" ht="15.75" customHeight="1">
      <c r="A6502" s="1119">
        <v>104614.0</v>
      </c>
      <c r="B6502" s="1125" t="s">
        <v>16780</v>
      </c>
      <c r="C6502" s="1126" t="s">
        <v>1814</v>
      </c>
      <c r="D6502" s="1119">
        <v>80.13</v>
      </c>
      <c r="E6502" s="1120">
        <v>25.84</v>
      </c>
      <c r="F6502" s="1121">
        <f t="shared" si="1"/>
        <v>54.28</v>
      </c>
      <c r="G6502" s="1120">
        <v>54.28</v>
      </c>
      <c r="H6502" s="1127">
        <v>0.0</v>
      </c>
      <c r="I6502" s="1127">
        <v>0.0</v>
      </c>
      <c r="J6502" s="1127">
        <v>0.0</v>
      </c>
      <c r="K6502" s="1124"/>
    </row>
    <row r="6503" ht="15.75" customHeight="1">
      <c r="A6503" s="1119">
        <v>104615.0</v>
      </c>
      <c r="B6503" s="1125" t="s">
        <v>16781</v>
      </c>
      <c r="C6503" s="1126" t="s">
        <v>1814</v>
      </c>
      <c r="D6503" s="1119">
        <v>221.46</v>
      </c>
      <c r="E6503" s="1120">
        <v>32.87</v>
      </c>
      <c r="F6503" s="1121">
        <f t="shared" si="1"/>
        <v>188.6</v>
      </c>
      <c r="G6503" s="1120">
        <v>188.6</v>
      </c>
      <c r="H6503" s="1127">
        <v>0.0</v>
      </c>
      <c r="I6503" s="1127">
        <v>0.0</v>
      </c>
      <c r="J6503" s="1127">
        <v>0.0</v>
      </c>
      <c r="K6503" s="1124"/>
    </row>
    <row r="6504" ht="15.75" customHeight="1">
      <c r="A6504" s="1119">
        <v>104616.0</v>
      </c>
      <c r="B6504" s="1125" t="s">
        <v>16782</v>
      </c>
      <c r="C6504" s="1126" t="s">
        <v>1814</v>
      </c>
      <c r="D6504" s="1119">
        <v>316.65</v>
      </c>
      <c r="E6504" s="1120">
        <v>32.86</v>
      </c>
      <c r="F6504" s="1121">
        <f t="shared" si="1"/>
        <v>283.8</v>
      </c>
      <c r="G6504" s="1120">
        <v>283.8</v>
      </c>
      <c r="H6504" s="1127">
        <v>0.0</v>
      </c>
      <c r="I6504" s="1127">
        <v>0.0</v>
      </c>
      <c r="J6504" s="1127">
        <v>0.0</v>
      </c>
      <c r="K6504" s="1124"/>
    </row>
    <row r="6505" ht="15.75" customHeight="1">
      <c r="A6505" s="1119">
        <v>104617.0</v>
      </c>
      <c r="B6505" s="1125" t="s">
        <v>16783</v>
      </c>
      <c r="C6505" s="1126" t="s">
        <v>1814</v>
      </c>
      <c r="D6505" s="1119">
        <v>233.45</v>
      </c>
      <c r="E6505" s="1120">
        <v>41.81</v>
      </c>
      <c r="F6505" s="1121">
        <f t="shared" si="1"/>
        <v>191.64</v>
      </c>
      <c r="G6505" s="1120">
        <v>191.64</v>
      </c>
      <c r="H6505" s="1127">
        <v>0.0</v>
      </c>
      <c r="I6505" s="1127">
        <v>0.0</v>
      </c>
      <c r="J6505" s="1127">
        <v>0.0</v>
      </c>
      <c r="K6505" s="1124"/>
    </row>
    <row r="6506" ht="15.75" customHeight="1">
      <c r="A6506" s="1119">
        <v>104618.0</v>
      </c>
      <c r="B6506" s="1125" t="s">
        <v>16784</v>
      </c>
      <c r="C6506" s="1126" t="s">
        <v>1814</v>
      </c>
      <c r="D6506" s="1119">
        <v>328.64</v>
      </c>
      <c r="E6506" s="1120">
        <v>41.81</v>
      </c>
      <c r="F6506" s="1121">
        <f t="shared" si="1"/>
        <v>286.84</v>
      </c>
      <c r="G6506" s="1120">
        <v>286.84</v>
      </c>
      <c r="H6506" s="1127">
        <v>0.0</v>
      </c>
      <c r="I6506" s="1127">
        <v>0.0</v>
      </c>
      <c r="J6506" s="1127">
        <v>0.0</v>
      </c>
      <c r="K6506" s="1124"/>
    </row>
    <row r="6507" ht="15.75" customHeight="1">
      <c r="A6507" s="1119">
        <v>104619.0</v>
      </c>
      <c r="B6507" s="1125" t="s">
        <v>16785</v>
      </c>
      <c r="C6507" s="1126" t="s">
        <v>1731</v>
      </c>
      <c r="D6507" s="1119">
        <v>19.77</v>
      </c>
      <c r="E6507" s="1120">
        <v>2.88</v>
      </c>
      <c r="F6507" s="1121">
        <f t="shared" si="1"/>
        <v>16.89</v>
      </c>
      <c r="G6507" s="1120">
        <v>16.89</v>
      </c>
      <c r="H6507" s="1127">
        <v>0.0</v>
      </c>
      <c r="I6507" s="1127">
        <v>0.0</v>
      </c>
      <c r="J6507" s="1127">
        <v>0.0</v>
      </c>
      <c r="K6507" s="1124"/>
    </row>
    <row r="6508" ht="15.75" customHeight="1">
      <c r="A6508" s="1119">
        <v>101965.0</v>
      </c>
      <c r="B6508" s="1125" t="s">
        <v>16786</v>
      </c>
      <c r="C6508" s="1126" t="s">
        <v>1731</v>
      </c>
      <c r="D6508" s="1119">
        <v>156.54</v>
      </c>
      <c r="E6508" s="1120">
        <v>26.1</v>
      </c>
      <c r="F6508" s="1121">
        <f t="shared" si="1"/>
        <v>130.42</v>
      </c>
      <c r="G6508" s="1120">
        <v>130.37</v>
      </c>
      <c r="H6508" s="1127">
        <v>0.03</v>
      </c>
      <c r="I6508" s="1127">
        <v>0.0</v>
      </c>
      <c r="J6508" s="1127">
        <v>0.02</v>
      </c>
      <c r="K6508" s="1124"/>
    </row>
    <row r="6509" ht="15.75" customHeight="1">
      <c r="A6509" s="1119">
        <v>101966.0</v>
      </c>
      <c r="B6509" s="1125" t="s">
        <v>16787</v>
      </c>
      <c r="C6509" s="1126" t="s">
        <v>1731</v>
      </c>
      <c r="D6509" s="1119">
        <v>196.95</v>
      </c>
      <c r="E6509" s="1120">
        <v>11.97</v>
      </c>
      <c r="F6509" s="1121">
        <f t="shared" si="1"/>
        <v>184.99</v>
      </c>
      <c r="G6509" s="1120">
        <v>184.97</v>
      </c>
      <c r="H6509" s="1127">
        <v>0.01</v>
      </c>
      <c r="I6509" s="1127">
        <v>0.0</v>
      </c>
      <c r="J6509" s="1127">
        <v>0.01</v>
      </c>
      <c r="K6509" s="1124"/>
    </row>
    <row r="6510" ht="15.75" customHeight="1">
      <c r="A6510" s="1119">
        <v>101979.0</v>
      </c>
      <c r="B6510" s="1125" t="s">
        <v>16788</v>
      </c>
      <c r="C6510" s="1126" t="s">
        <v>1731</v>
      </c>
      <c r="D6510" s="1119">
        <v>43.6</v>
      </c>
      <c r="E6510" s="1120">
        <v>5.97</v>
      </c>
      <c r="F6510" s="1121">
        <f t="shared" si="1"/>
        <v>37.63</v>
      </c>
      <c r="G6510" s="1120">
        <v>37.63</v>
      </c>
      <c r="H6510" s="1127">
        <v>0.0</v>
      </c>
      <c r="I6510" s="1127">
        <v>0.0</v>
      </c>
      <c r="J6510" s="1127">
        <v>0.0</v>
      </c>
      <c r="K6510" s="1124"/>
    </row>
    <row r="6511" ht="15.75" customHeight="1">
      <c r="A6511" s="1119">
        <v>96112.0</v>
      </c>
      <c r="B6511" s="1125" t="s">
        <v>16789</v>
      </c>
      <c r="C6511" s="1126" t="s">
        <v>1814</v>
      </c>
      <c r="D6511" s="1119">
        <v>179.79</v>
      </c>
      <c r="E6511" s="1120">
        <v>62.25</v>
      </c>
      <c r="F6511" s="1121">
        <f t="shared" si="1"/>
        <v>117.55</v>
      </c>
      <c r="G6511" s="1120">
        <v>117.55</v>
      </c>
      <c r="H6511" s="1127">
        <v>0.0</v>
      </c>
      <c r="I6511" s="1127">
        <v>0.0</v>
      </c>
      <c r="J6511" s="1127">
        <v>0.0</v>
      </c>
      <c r="K6511" s="1124"/>
    </row>
    <row r="6512" ht="15.75" customHeight="1">
      <c r="A6512" s="1119">
        <v>96117.0</v>
      </c>
      <c r="B6512" s="1125" t="s">
        <v>16790</v>
      </c>
      <c r="C6512" s="1126" t="s">
        <v>1814</v>
      </c>
      <c r="D6512" s="1119">
        <v>233.47</v>
      </c>
      <c r="E6512" s="1120">
        <v>49.27</v>
      </c>
      <c r="F6512" s="1121">
        <f t="shared" si="1"/>
        <v>184.21</v>
      </c>
      <c r="G6512" s="1120">
        <v>184.21</v>
      </c>
      <c r="H6512" s="1127">
        <v>0.0</v>
      </c>
      <c r="I6512" s="1127">
        <v>0.0</v>
      </c>
      <c r="J6512" s="1127">
        <v>0.0</v>
      </c>
      <c r="K6512" s="1124"/>
    </row>
    <row r="6513" ht="15.75" customHeight="1">
      <c r="A6513" s="1119">
        <v>96122.0</v>
      </c>
      <c r="B6513" s="1125" t="s">
        <v>16791</v>
      </c>
      <c r="C6513" s="1126" t="s">
        <v>1731</v>
      </c>
      <c r="D6513" s="1119">
        <v>56.87</v>
      </c>
      <c r="E6513" s="1120">
        <v>10.79</v>
      </c>
      <c r="F6513" s="1121">
        <f t="shared" si="1"/>
        <v>46.09</v>
      </c>
      <c r="G6513" s="1120">
        <v>46.09</v>
      </c>
      <c r="H6513" s="1127">
        <v>0.0</v>
      </c>
      <c r="I6513" s="1127">
        <v>0.0</v>
      </c>
      <c r="J6513" s="1127">
        <v>0.0</v>
      </c>
      <c r="K6513" s="1124"/>
    </row>
    <row r="6514" ht="15.75" customHeight="1">
      <c r="A6514" s="1119">
        <v>96109.0</v>
      </c>
      <c r="B6514" s="1125" t="s">
        <v>16792</v>
      </c>
      <c r="C6514" s="1126" t="s">
        <v>1814</v>
      </c>
      <c r="D6514" s="1119">
        <v>48.75</v>
      </c>
      <c r="E6514" s="1120">
        <v>25.54</v>
      </c>
      <c r="F6514" s="1121">
        <f t="shared" si="1"/>
        <v>23.22</v>
      </c>
      <c r="G6514" s="1120">
        <v>23.22</v>
      </c>
      <c r="H6514" s="1127">
        <v>0.0</v>
      </c>
      <c r="I6514" s="1127">
        <v>0.0</v>
      </c>
      <c r="J6514" s="1127">
        <v>0.0</v>
      </c>
      <c r="K6514" s="1124"/>
    </row>
    <row r="6515" ht="15.75" customHeight="1">
      <c r="A6515" s="1119">
        <v>96110.0</v>
      </c>
      <c r="B6515" s="1125" t="s">
        <v>16793</v>
      </c>
      <c r="C6515" s="1126" t="s">
        <v>1814</v>
      </c>
      <c r="D6515" s="1119">
        <v>76.38</v>
      </c>
      <c r="E6515" s="1120">
        <v>18.44</v>
      </c>
      <c r="F6515" s="1121">
        <f t="shared" si="1"/>
        <v>57.94</v>
      </c>
      <c r="G6515" s="1120">
        <v>57.94</v>
      </c>
      <c r="H6515" s="1127">
        <v>0.0</v>
      </c>
      <c r="I6515" s="1127">
        <v>0.0</v>
      </c>
      <c r="J6515" s="1127">
        <v>0.0</v>
      </c>
      <c r="K6515" s="1124"/>
    </row>
    <row r="6516" ht="15.75" customHeight="1">
      <c r="A6516" s="1119">
        <v>96113.0</v>
      </c>
      <c r="B6516" s="1125" t="s">
        <v>16794</v>
      </c>
      <c r="C6516" s="1126" t="s">
        <v>1814</v>
      </c>
      <c r="D6516" s="1119">
        <v>41.97</v>
      </c>
      <c r="E6516" s="1120">
        <v>20.21</v>
      </c>
      <c r="F6516" s="1121">
        <f t="shared" si="1"/>
        <v>21.76</v>
      </c>
      <c r="G6516" s="1120">
        <v>21.76</v>
      </c>
      <c r="H6516" s="1127">
        <v>0.0</v>
      </c>
      <c r="I6516" s="1127">
        <v>0.0</v>
      </c>
      <c r="J6516" s="1127">
        <v>0.0</v>
      </c>
      <c r="K6516" s="1124"/>
    </row>
    <row r="6517" ht="15.75" customHeight="1">
      <c r="A6517" s="1119">
        <v>96114.0</v>
      </c>
      <c r="B6517" s="1125" t="s">
        <v>16795</v>
      </c>
      <c r="C6517" s="1126" t="s">
        <v>1814</v>
      </c>
      <c r="D6517" s="1119">
        <v>78.54</v>
      </c>
      <c r="E6517" s="1120">
        <v>14.66</v>
      </c>
      <c r="F6517" s="1121">
        <f t="shared" si="1"/>
        <v>63.89</v>
      </c>
      <c r="G6517" s="1120">
        <v>63.89</v>
      </c>
      <c r="H6517" s="1127">
        <v>0.0</v>
      </c>
      <c r="I6517" s="1127">
        <v>0.0</v>
      </c>
      <c r="J6517" s="1127">
        <v>0.0</v>
      </c>
      <c r="K6517" s="1124"/>
    </row>
    <row r="6518" ht="15.75" customHeight="1">
      <c r="A6518" s="1119">
        <v>96120.0</v>
      </c>
      <c r="B6518" s="1125" t="s">
        <v>16796</v>
      </c>
      <c r="C6518" s="1126" t="s">
        <v>1731</v>
      </c>
      <c r="D6518" s="1119">
        <v>3.24</v>
      </c>
      <c r="E6518" s="1120">
        <v>1.44</v>
      </c>
      <c r="F6518" s="1121">
        <f t="shared" si="1"/>
        <v>1.81</v>
      </c>
      <c r="G6518" s="1120">
        <v>1.81</v>
      </c>
      <c r="H6518" s="1127">
        <v>0.0</v>
      </c>
      <c r="I6518" s="1127">
        <v>0.0</v>
      </c>
      <c r="J6518" s="1127">
        <v>0.0</v>
      </c>
      <c r="K6518" s="1124"/>
    </row>
    <row r="6519" ht="15.75" customHeight="1">
      <c r="A6519" s="1119">
        <v>96123.0</v>
      </c>
      <c r="B6519" s="1125" t="s">
        <v>16797</v>
      </c>
      <c r="C6519" s="1126" t="s">
        <v>1731</v>
      </c>
      <c r="D6519" s="1119">
        <v>37.27</v>
      </c>
      <c r="E6519" s="1120">
        <v>8.18</v>
      </c>
      <c r="F6519" s="1121">
        <f t="shared" si="1"/>
        <v>29.09</v>
      </c>
      <c r="G6519" s="1120">
        <v>29.09</v>
      </c>
      <c r="H6519" s="1127">
        <v>0.0</v>
      </c>
      <c r="I6519" s="1127">
        <v>0.0</v>
      </c>
      <c r="J6519" s="1127">
        <v>0.0</v>
      </c>
      <c r="K6519" s="1124"/>
    </row>
    <row r="6520" ht="15.75" customHeight="1">
      <c r="A6520" s="1119">
        <v>99054.0</v>
      </c>
      <c r="B6520" s="1125" t="s">
        <v>16798</v>
      </c>
      <c r="C6520" s="1126" t="s">
        <v>1814</v>
      </c>
      <c r="D6520" s="1119">
        <v>61.4</v>
      </c>
      <c r="E6520" s="1120">
        <v>34.39</v>
      </c>
      <c r="F6520" s="1121">
        <f t="shared" si="1"/>
        <v>27.01</v>
      </c>
      <c r="G6520" s="1120">
        <v>27.01</v>
      </c>
      <c r="H6520" s="1127">
        <v>0.0</v>
      </c>
      <c r="I6520" s="1127">
        <v>0.0</v>
      </c>
      <c r="J6520" s="1127">
        <v>0.0</v>
      </c>
      <c r="K6520" s="1124"/>
    </row>
    <row r="6521" ht="15.75" customHeight="1">
      <c r="A6521" s="1119">
        <v>96111.0</v>
      </c>
      <c r="B6521" s="1125" t="s">
        <v>16799</v>
      </c>
      <c r="C6521" s="1126" t="s">
        <v>1814</v>
      </c>
      <c r="D6521" s="1119">
        <v>80.44</v>
      </c>
      <c r="E6521" s="1120">
        <v>13.04</v>
      </c>
      <c r="F6521" s="1121">
        <f t="shared" si="1"/>
        <v>67.4</v>
      </c>
      <c r="G6521" s="1120">
        <v>67.4</v>
      </c>
      <c r="H6521" s="1127">
        <v>0.0</v>
      </c>
      <c r="I6521" s="1127">
        <v>0.0</v>
      </c>
      <c r="J6521" s="1127">
        <v>0.0</v>
      </c>
      <c r="K6521" s="1124"/>
    </row>
    <row r="6522" ht="15.75" customHeight="1">
      <c r="A6522" s="1119">
        <v>96116.0</v>
      </c>
      <c r="B6522" s="1125" t="s">
        <v>16800</v>
      </c>
      <c r="C6522" s="1126" t="s">
        <v>1814</v>
      </c>
      <c r="D6522" s="1119">
        <v>87.42</v>
      </c>
      <c r="E6522" s="1120">
        <v>11.48</v>
      </c>
      <c r="F6522" s="1121">
        <f t="shared" si="1"/>
        <v>75.94</v>
      </c>
      <c r="G6522" s="1120">
        <v>75.94</v>
      </c>
      <c r="H6522" s="1127">
        <v>0.0</v>
      </c>
      <c r="I6522" s="1127">
        <v>0.0</v>
      </c>
      <c r="J6522" s="1127">
        <v>0.0</v>
      </c>
      <c r="K6522" s="1124"/>
    </row>
    <row r="6523" ht="15.75" customHeight="1">
      <c r="A6523" s="1119">
        <v>96121.0</v>
      </c>
      <c r="B6523" s="1125" t="s">
        <v>16801</v>
      </c>
      <c r="C6523" s="1126" t="s">
        <v>1731</v>
      </c>
      <c r="D6523" s="1119">
        <v>15.45</v>
      </c>
      <c r="E6523" s="1120">
        <v>3.36</v>
      </c>
      <c r="F6523" s="1121">
        <f t="shared" si="1"/>
        <v>12.09</v>
      </c>
      <c r="G6523" s="1120">
        <v>12.09</v>
      </c>
      <c r="H6523" s="1127">
        <v>0.0</v>
      </c>
      <c r="I6523" s="1127">
        <v>0.0</v>
      </c>
      <c r="J6523" s="1127">
        <v>0.0</v>
      </c>
      <c r="K6523" s="1124"/>
    </row>
    <row r="6524" ht="15.75" customHeight="1">
      <c r="A6524" s="1119">
        <v>96485.0</v>
      </c>
      <c r="B6524" s="1125" t="s">
        <v>16802</v>
      </c>
      <c r="C6524" s="1126" t="s">
        <v>1814</v>
      </c>
      <c r="D6524" s="1119">
        <v>95.28</v>
      </c>
      <c r="E6524" s="1120">
        <v>13.04</v>
      </c>
      <c r="F6524" s="1121">
        <f t="shared" si="1"/>
        <v>82.24</v>
      </c>
      <c r="G6524" s="1120">
        <v>82.24</v>
      </c>
      <c r="H6524" s="1127">
        <v>0.0</v>
      </c>
      <c r="I6524" s="1127">
        <v>0.0</v>
      </c>
      <c r="J6524" s="1127">
        <v>0.0</v>
      </c>
      <c r="K6524" s="1124"/>
    </row>
    <row r="6525" ht="15.75" customHeight="1">
      <c r="A6525" s="1119">
        <v>96486.0</v>
      </c>
      <c r="B6525" s="1125" t="s">
        <v>16803</v>
      </c>
      <c r="C6525" s="1126" t="s">
        <v>1814</v>
      </c>
      <c r="D6525" s="1119">
        <v>103.17</v>
      </c>
      <c r="E6525" s="1120">
        <v>11.48</v>
      </c>
      <c r="F6525" s="1121">
        <f t="shared" si="1"/>
        <v>91.69</v>
      </c>
      <c r="G6525" s="1120">
        <v>91.69</v>
      </c>
      <c r="H6525" s="1127">
        <v>0.0</v>
      </c>
      <c r="I6525" s="1127">
        <v>0.0</v>
      </c>
      <c r="J6525" s="1127">
        <v>0.0</v>
      </c>
      <c r="K6525" s="1124"/>
    </row>
    <row r="6526" ht="15.75" customHeight="1">
      <c r="A6526" s="1119">
        <v>91515.0</v>
      </c>
      <c r="B6526" s="1125" t="s">
        <v>16804</v>
      </c>
      <c r="C6526" s="1126" t="s">
        <v>1814</v>
      </c>
      <c r="D6526" s="1119">
        <v>7.34</v>
      </c>
      <c r="E6526" s="1120">
        <v>5.38</v>
      </c>
      <c r="F6526" s="1121">
        <f t="shared" si="1"/>
        <v>1.96</v>
      </c>
      <c r="G6526" s="1120">
        <v>1.96</v>
      </c>
      <c r="H6526" s="1127">
        <v>0.0</v>
      </c>
      <c r="I6526" s="1127">
        <v>0.0</v>
      </c>
      <c r="J6526" s="1127">
        <v>0.0</v>
      </c>
      <c r="K6526" s="1124"/>
    </row>
    <row r="6527" ht="15.75" customHeight="1">
      <c r="A6527" s="1119">
        <v>91519.0</v>
      </c>
      <c r="B6527" s="1125" t="s">
        <v>16805</v>
      </c>
      <c r="C6527" s="1126" t="s">
        <v>1814</v>
      </c>
      <c r="D6527" s="1119">
        <v>9.87</v>
      </c>
      <c r="E6527" s="1120">
        <v>7.28</v>
      </c>
      <c r="F6527" s="1121">
        <f t="shared" si="1"/>
        <v>2.59</v>
      </c>
      <c r="G6527" s="1120">
        <v>2.59</v>
      </c>
      <c r="H6527" s="1127">
        <v>0.0</v>
      </c>
      <c r="I6527" s="1127">
        <v>0.0</v>
      </c>
      <c r="J6527" s="1127">
        <v>0.0</v>
      </c>
      <c r="K6527" s="1124"/>
    </row>
    <row r="6528" ht="15.75" customHeight="1">
      <c r="A6528" s="1119">
        <v>91520.0</v>
      </c>
      <c r="B6528" s="1125" t="s">
        <v>16806</v>
      </c>
      <c r="C6528" s="1126" t="s">
        <v>1814</v>
      </c>
      <c r="D6528" s="1119">
        <v>2.74</v>
      </c>
      <c r="E6528" s="1120">
        <v>2.0</v>
      </c>
      <c r="F6528" s="1121">
        <f t="shared" si="1"/>
        <v>0.73</v>
      </c>
      <c r="G6528" s="1120">
        <v>0.73</v>
      </c>
      <c r="H6528" s="1127">
        <v>0.0</v>
      </c>
      <c r="I6528" s="1127">
        <v>0.0</v>
      </c>
      <c r="J6528" s="1127">
        <v>0.0</v>
      </c>
      <c r="K6528" s="1124"/>
    </row>
    <row r="6529" ht="15.75" customHeight="1">
      <c r="A6529" s="1119">
        <v>91522.0</v>
      </c>
      <c r="B6529" s="1125" t="s">
        <v>16807</v>
      </c>
      <c r="C6529" s="1126" t="s">
        <v>1814</v>
      </c>
      <c r="D6529" s="1119">
        <v>3.78</v>
      </c>
      <c r="E6529" s="1120">
        <v>2.79</v>
      </c>
      <c r="F6529" s="1121">
        <f t="shared" si="1"/>
        <v>1</v>
      </c>
      <c r="G6529" s="1120">
        <v>1.0</v>
      </c>
      <c r="H6529" s="1127">
        <v>0.0</v>
      </c>
      <c r="I6529" s="1127">
        <v>0.0</v>
      </c>
      <c r="J6529" s="1127">
        <v>0.0</v>
      </c>
      <c r="K6529" s="1124"/>
    </row>
    <row r="6530" ht="15.75" customHeight="1">
      <c r="A6530" s="1119">
        <v>91525.0</v>
      </c>
      <c r="B6530" s="1125" t="s">
        <v>16808</v>
      </c>
      <c r="C6530" s="1126" t="s">
        <v>1814</v>
      </c>
      <c r="D6530" s="1119">
        <v>8.25</v>
      </c>
      <c r="E6530" s="1120">
        <v>4.44</v>
      </c>
      <c r="F6530" s="1121">
        <f t="shared" si="1"/>
        <v>3.82</v>
      </c>
      <c r="G6530" s="1120">
        <v>3.82</v>
      </c>
      <c r="H6530" s="1127">
        <v>0.0</v>
      </c>
      <c r="I6530" s="1127">
        <v>0.0</v>
      </c>
      <c r="J6530" s="1127">
        <v>0.0</v>
      </c>
      <c r="K6530" s="1124"/>
    </row>
    <row r="6531" ht="15.75" customHeight="1">
      <c r="A6531" s="1119">
        <v>104412.0</v>
      </c>
      <c r="B6531" s="1125" t="s">
        <v>16809</v>
      </c>
      <c r="C6531" s="1126" t="s">
        <v>1814</v>
      </c>
      <c r="D6531" s="1119">
        <v>3.39</v>
      </c>
      <c r="E6531" s="1120">
        <v>2.49</v>
      </c>
      <c r="F6531" s="1121">
        <f t="shared" si="1"/>
        <v>0.9</v>
      </c>
      <c r="G6531" s="1120">
        <v>0.9</v>
      </c>
      <c r="H6531" s="1127">
        <v>0.0</v>
      </c>
      <c r="I6531" s="1127">
        <v>0.0</v>
      </c>
      <c r="J6531" s="1127">
        <v>0.0</v>
      </c>
      <c r="K6531" s="1124"/>
    </row>
    <row r="6532" ht="15.75" customHeight="1">
      <c r="A6532" s="1119">
        <v>104413.0</v>
      </c>
      <c r="B6532" s="1125" t="s">
        <v>16810</v>
      </c>
      <c r="C6532" s="1126" t="s">
        <v>1814</v>
      </c>
      <c r="D6532" s="1119">
        <v>5.99</v>
      </c>
      <c r="E6532" s="1120">
        <v>4.43</v>
      </c>
      <c r="F6532" s="1121">
        <f t="shared" si="1"/>
        <v>1.56</v>
      </c>
      <c r="G6532" s="1120">
        <v>1.56</v>
      </c>
      <c r="H6532" s="1127">
        <v>0.0</v>
      </c>
      <c r="I6532" s="1127">
        <v>0.0</v>
      </c>
      <c r="J6532" s="1127">
        <v>0.0</v>
      </c>
      <c r="K6532" s="1124"/>
    </row>
    <row r="6533" ht="15.75" customHeight="1">
      <c r="A6533" s="1119">
        <v>104414.0</v>
      </c>
      <c r="B6533" s="1125" t="s">
        <v>16811</v>
      </c>
      <c r="C6533" s="1126" t="s">
        <v>1814</v>
      </c>
      <c r="D6533" s="1119">
        <v>7.35</v>
      </c>
      <c r="E6533" s="1120">
        <v>3.78</v>
      </c>
      <c r="F6533" s="1121">
        <f t="shared" si="1"/>
        <v>3.59</v>
      </c>
      <c r="G6533" s="1120">
        <v>3.59</v>
      </c>
      <c r="H6533" s="1127">
        <v>0.0</v>
      </c>
      <c r="I6533" s="1127">
        <v>0.0</v>
      </c>
      <c r="J6533" s="1127">
        <v>0.0</v>
      </c>
      <c r="K6533" s="1124"/>
    </row>
    <row r="6534" ht="15.75" customHeight="1">
      <c r="A6534" s="1119">
        <v>104415.0</v>
      </c>
      <c r="B6534" s="1125" t="s">
        <v>16812</v>
      </c>
      <c r="C6534" s="1126" t="s">
        <v>1814</v>
      </c>
      <c r="D6534" s="1119">
        <v>13.17</v>
      </c>
      <c r="E6534" s="1120">
        <v>8.12</v>
      </c>
      <c r="F6534" s="1121">
        <f t="shared" si="1"/>
        <v>5.05</v>
      </c>
      <c r="G6534" s="1120">
        <v>5.05</v>
      </c>
      <c r="H6534" s="1127">
        <v>0.0</v>
      </c>
      <c r="I6534" s="1127">
        <v>0.0</v>
      </c>
      <c r="J6534" s="1127">
        <v>0.0</v>
      </c>
      <c r="K6534" s="1124"/>
    </row>
    <row r="6535" ht="15.75" customHeight="1">
      <c r="A6535" s="1119">
        <v>104416.0</v>
      </c>
      <c r="B6535" s="1125" t="s">
        <v>16813</v>
      </c>
      <c r="C6535" s="1126" t="s">
        <v>1814</v>
      </c>
      <c r="D6535" s="1119">
        <v>2.33</v>
      </c>
      <c r="E6535" s="1120">
        <v>1.71</v>
      </c>
      <c r="F6535" s="1121">
        <f t="shared" si="1"/>
        <v>0.62</v>
      </c>
      <c r="G6535" s="1120">
        <v>0.62</v>
      </c>
      <c r="H6535" s="1127">
        <v>0.0</v>
      </c>
      <c r="I6535" s="1127">
        <v>0.0</v>
      </c>
      <c r="J6535" s="1127">
        <v>0.0</v>
      </c>
      <c r="K6535" s="1124"/>
    </row>
    <row r="6536" ht="15.75" customHeight="1">
      <c r="A6536" s="1119">
        <v>104417.0</v>
      </c>
      <c r="B6536" s="1125" t="s">
        <v>16814</v>
      </c>
      <c r="C6536" s="1126" t="s">
        <v>1814</v>
      </c>
      <c r="D6536" s="1119">
        <v>4.93</v>
      </c>
      <c r="E6536" s="1120">
        <v>3.65</v>
      </c>
      <c r="F6536" s="1121">
        <f t="shared" si="1"/>
        <v>1.28</v>
      </c>
      <c r="G6536" s="1120">
        <v>1.28</v>
      </c>
      <c r="H6536" s="1127">
        <v>0.0</v>
      </c>
      <c r="I6536" s="1127">
        <v>0.0</v>
      </c>
      <c r="J6536" s="1127">
        <v>0.0</v>
      </c>
      <c r="K6536" s="1124"/>
    </row>
    <row r="6537" ht="15.75" customHeight="1">
      <c r="A6537" s="1119">
        <v>104418.0</v>
      </c>
      <c r="B6537" s="1125" t="s">
        <v>16815</v>
      </c>
      <c r="C6537" s="1126" t="s">
        <v>1814</v>
      </c>
      <c r="D6537" s="1119">
        <v>3.16</v>
      </c>
      <c r="E6537" s="1120">
        <v>2.27</v>
      </c>
      <c r="F6537" s="1121">
        <f t="shared" si="1"/>
        <v>0.9</v>
      </c>
      <c r="G6537" s="1120">
        <v>0.9</v>
      </c>
      <c r="H6537" s="1127">
        <v>0.0</v>
      </c>
      <c r="I6537" s="1127">
        <v>0.0</v>
      </c>
      <c r="J6537" s="1127">
        <v>0.0</v>
      </c>
      <c r="K6537" s="1124"/>
    </row>
    <row r="6538" ht="15.75" customHeight="1">
      <c r="A6538" s="1119">
        <v>104419.0</v>
      </c>
      <c r="B6538" s="1125" t="s">
        <v>16816</v>
      </c>
      <c r="C6538" s="1126" t="s">
        <v>1814</v>
      </c>
      <c r="D6538" s="1119">
        <v>13.22</v>
      </c>
      <c r="E6538" s="1120">
        <v>9.78</v>
      </c>
      <c r="F6538" s="1121">
        <f t="shared" si="1"/>
        <v>3.44</v>
      </c>
      <c r="G6538" s="1120">
        <v>3.44</v>
      </c>
      <c r="H6538" s="1127">
        <v>0.0</v>
      </c>
      <c r="I6538" s="1127">
        <v>0.0</v>
      </c>
      <c r="J6538" s="1127">
        <v>0.0</v>
      </c>
      <c r="K6538" s="1124"/>
    </row>
    <row r="6539" ht="15.75" customHeight="1">
      <c r="A6539" s="1119">
        <v>104420.0</v>
      </c>
      <c r="B6539" s="1125" t="s">
        <v>16817</v>
      </c>
      <c r="C6539" s="1126" t="s">
        <v>1814</v>
      </c>
      <c r="D6539" s="1119">
        <v>11.92</v>
      </c>
      <c r="E6539" s="1120">
        <v>8.8</v>
      </c>
      <c r="F6539" s="1121">
        <f t="shared" si="1"/>
        <v>3.12</v>
      </c>
      <c r="G6539" s="1120">
        <v>3.12</v>
      </c>
      <c r="H6539" s="1127">
        <v>0.0</v>
      </c>
      <c r="I6539" s="1127">
        <v>0.0</v>
      </c>
      <c r="J6539" s="1127">
        <v>0.0</v>
      </c>
      <c r="K6539" s="1124"/>
    </row>
    <row r="6540" ht="15.75" customHeight="1">
      <c r="A6540" s="1119">
        <v>104421.0</v>
      </c>
      <c r="B6540" s="1125" t="s">
        <v>16818</v>
      </c>
      <c r="C6540" s="1126" t="s">
        <v>1814</v>
      </c>
      <c r="D6540" s="1119">
        <v>15.92</v>
      </c>
      <c r="E6540" s="1120">
        <v>9.03</v>
      </c>
      <c r="F6540" s="1121">
        <f t="shared" si="1"/>
        <v>6.89</v>
      </c>
      <c r="G6540" s="1120">
        <v>6.89</v>
      </c>
      <c r="H6540" s="1127">
        <v>0.0</v>
      </c>
      <c r="I6540" s="1127">
        <v>0.0</v>
      </c>
      <c r="J6540" s="1127">
        <v>0.0</v>
      </c>
      <c r="K6540" s="1124"/>
    </row>
    <row r="6541" ht="15.75" customHeight="1">
      <c r="A6541" s="1119">
        <v>104422.0</v>
      </c>
      <c r="B6541" s="1125" t="s">
        <v>16819</v>
      </c>
      <c r="C6541" s="1126" t="s">
        <v>1814</v>
      </c>
      <c r="D6541" s="1119">
        <v>8.92</v>
      </c>
      <c r="E6541" s="1120">
        <v>3.78</v>
      </c>
      <c r="F6541" s="1121">
        <f t="shared" si="1"/>
        <v>5.15</v>
      </c>
      <c r="G6541" s="1120">
        <v>5.15</v>
      </c>
      <c r="H6541" s="1127">
        <v>0.0</v>
      </c>
      <c r="I6541" s="1127">
        <v>0.0</v>
      </c>
      <c r="J6541" s="1127">
        <v>0.0</v>
      </c>
      <c r="K6541" s="1124"/>
    </row>
    <row r="6542" ht="15.75" customHeight="1">
      <c r="A6542" s="1119">
        <v>104423.0</v>
      </c>
      <c r="B6542" s="1125" t="s">
        <v>16820</v>
      </c>
      <c r="C6542" s="1126" t="s">
        <v>1814</v>
      </c>
      <c r="D6542" s="1119">
        <v>25.84</v>
      </c>
      <c r="E6542" s="1120">
        <v>16.45</v>
      </c>
      <c r="F6542" s="1121">
        <f t="shared" si="1"/>
        <v>9.4</v>
      </c>
      <c r="G6542" s="1120">
        <v>9.4</v>
      </c>
      <c r="H6542" s="1127">
        <v>0.0</v>
      </c>
      <c r="I6542" s="1127">
        <v>0.0</v>
      </c>
      <c r="J6542" s="1127">
        <v>0.0</v>
      </c>
      <c r="K6542" s="1124"/>
    </row>
    <row r="6543" ht="15.75" customHeight="1">
      <c r="A6543" s="1119">
        <v>104424.0</v>
      </c>
      <c r="B6543" s="1125" t="s">
        <v>16821</v>
      </c>
      <c r="C6543" s="1126" t="s">
        <v>1814</v>
      </c>
      <c r="D6543" s="1119">
        <v>23.74</v>
      </c>
      <c r="E6543" s="1120">
        <v>14.88</v>
      </c>
      <c r="F6543" s="1121">
        <f t="shared" si="1"/>
        <v>8.85</v>
      </c>
      <c r="G6543" s="1120">
        <v>8.85</v>
      </c>
      <c r="H6543" s="1127">
        <v>0.0</v>
      </c>
      <c r="I6543" s="1127">
        <v>0.0</v>
      </c>
      <c r="J6543" s="1127">
        <v>0.0</v>
      </c>
      <c r="K6543" s="1124"/>
    </row>
    <row r="6544" ht="15.75" customHeight="1">
      <c r="A6544" s="1119">
        <v>104425.0</v>
      </c>
      <c r="B6544" s="1125" t="s">
        <v>16822</v>
      </c>
      <c r="C6544" s="1126" t="s">
        <v>1814</v>
      </c>
      <c r="D6544" s="1119">
        <v>20.23</v>
      </c>
      <c r="E6544" s="1120">
        <v>12.26</v>
      </c>
      <c r="F6544" s="1121">
        <f t="shared" si="1"/>
        <v>7.98</v>
      </c>
      <c r="G6544" s="1120">
        <v>7.98</v>
      </c>
      <c r="H6544" s="1127">
        <v>0.0</v>
      </c>
      <c r="I6544" s="1127">
        <v>0.0</v>
      </c>
      <c r="J6544" s="1127">
        <v>0.0</v>
      </c>
      <c r="K6544" s="1124"/>
    </row>
    <row r="6545" ht="15.75" customHeight="1">
      <c r="A6545" s="1119">
        <v>87280.0</v>
      </c>
      <c r="B6545" s="1125" t="s">
        <v>16823</v>
      </c>
      <c r="C6545" s="1126" t="s">
        <v>2178</v>
      </c>
      <c r="D6545" s="1119">
        <v>436.57</v>
      </c>
      <c r="E6545" s="1120">
        <v>86.28</v>
      </c>
      <c r="F6545" s="1121">
        <f t="shared" si="1"/>
        <v>350.29</v>
      </c>
      <c r="G6545" s="1120">
        <v>347.52</v>
      </c>
      <c r="H6545" s="1127">
        <v>1.88</v>
      </c>
      <c r="I6545" s="1127">
        <v>0.0</v>
      </c>
      <c r="J6545" s="1127">
        <v>0.89</v>
      </c>
      <c r="K6545" s="1124"/>
    </row>
    <row r="6546" ht="15.75" customHeight="1">
      <c r="A6546" s="1119">
        <v>87281.0</v>
      </c>
      <c r="B6546" s="1125" t="s">
        <v>16824</v>
      </c>
      <c r="C6546" s="1126" t="s">
        <v>2178</v>
      </c>
      <c r="D6546" s="1119">
        <v>428.3</v>
      </c>
      <c r="E6546" s="1120">
        <v>75.87</v>
      </c>
      <c r="F6546" s="1121">
        <f t="shared" si="1"/>
        <v>352.43</v>
      </c>
      <c r="G6546" s="1120">
        <v>345.36</v>
      </c>
      <c r="H6546" s="1127">
        <v>5.78</v>
      </c>
      <c r="I6546" s="1127">
        <v>0.0</v>
      </c>
      <c r="J6546" s="1127">
        <v>1.29</v>
      </c>
      <c r="K6546" s="1124"/>
    </row>
    <row r="6547" ht="15.75" customHeight="1">
      <c r="A6547" s="1119">
        <v>87283.0</v>
      </c>
      <c r="B6547" s="1125" t="s">
        <v>16825</v>
      </c>
      <c r="C6547" s="1126" t="s">
        <v>2178</v>
      </c>
      <c r="D6547" s="1119">
        <v>448.12</v>
      </c>
      <c r="E6547" s="1120">
        <v>77.49</v>
      </c>
      <c r="F6547" s="1121">
        <f t="shared" si="1"/>
        <v>370.62</v>
      </c>
      <c r="G6547" s="1120">
        <v>365.49</v>
      </c>
      <c r="H6547" s="1127">
        <v>2.47</v>
      </c>
      <c r="I6547" s="1127">
        <v>0.0</v>
      </c>
      <c r="J6547" s="1127">
        <v>2.66</v>
      </c>
      <c r="K6547" s="1124"/>
    </row>
    <row r="6548" ht="15.75" customHeight="1">
      <c r="A6548" s="1119">
        <v>87284.0</v>
      </c>
      <c r="B6548" s="1125" t="s">
        <v>16826</v>
      </c>
      <c r="C6548" s="1126" t="s">
        <v>2178</v>
      </c>
      <c r="D6548" s="1119">
        <v>439.44</v>
      </c>
      <c r="E6548" s="1120">
        <v>68.03</v>
      </c>
      <c r="F6548" s="1121">
        <f t="shared" si="1"/>
        <v>371.42</v>
      </c>
      <c r="G6548" s="1120">
        <v>365.09</v>
      </c>
      <c r="H6548" s="1127">
        <v>5.17</v>
      </c>
      <c r="I6548" s="1127">
        <v>0.0</v>
      </c>
      <c r="J6548" s="1127">
        <v>1.16</v>
      </c>
      <c r="K6548" s="1124"/>
    </row>
    <row r="6549" ht="15.75" customHeight="1">
      <c r="A6549" s="1119">
        <v>87286.0</v>
      </c>
      <c r="B6549" s="1125" t="s">
        <v>16827</v>
      </c>
      <c r="C6549" s="1126" t="s">
        <v>2178</v>
      </c>
      <c r="D6549" s="1119">
        <v>539.78</v>
      </c>
      <c r="E6549" s="1120">
        <v>92.36</v>
      </c>
      <c r="F6549" s="1121">
        <f t="shared" si="1"/>
        <v>447.42</v>
      </c>
      <c r="G6549" s="1120">
        <v>444.45</v>
      </c>
      <c r="H6549" s="1127">
        <v>2.01</v>
      </c>
      <c r="I6549" s="1127">
        <v>0.0</v>
      </c>
      <c r="J6549" s="1127">
        <v>0.96</v>
      </c>
      <c r="K6549" s="1124"/>
    </row>
    <row r="6550" ht="15.75" customHeight="1">
      <c r="A6550" s="1119">
        <v>87287.0</v>
      </c>
      <c r="B6550" s="1125" t="s">
        <v>16828</v>
      </c>
      <c r="C6550" s="1126" t="s">
        <v>2178</v>
      </c>
      <c r="D6550" s="1119">
        <v>518.1</v>
      </c>
      <c r="E6550" s="1120">
        <v>69.44</v>
      </c>
      <c r="F6550" s="1121">
        <f t="shared" si="1"/>
        <v>448.66</v>
      </c>
      <c r="G6550" s="1120">
        <v>442.3</v>
      </c>
      <c r="H6550" s="1127">
        <v>5.2</v>
      </c>
      <c r="I6550" s="1127">
        <v>0.0</v>
      </c>
      <c r="J6550" s="1127">
        <v>1.16</v>
      </c>
      <c r="K6550" s="1124"/>
    </row>
    <row r="6551" ht="15.75" customHeight="1">
      <c r="A6551" s="1119">
        <v>87289.0</v>
      </c>
      <c r="B6551" s="1125" t="s">
        <v>16829</v>
      </c>
      <c r="C6551" s="1126" t="s">
        <v>2178</v>
      </c>
      <c r="D6551" s="1119">
        <v>516.87</v>
      </c>
      <c r="E6551" s="1120">
        <v>87.17</v>
      </c>
      <c r="F6551" s="1121">
        <f t="shared" si="1"/>
        <v>429.7</v>
      </c>
      <c r="G6551" s="1120">
        <v>426.9</v>
      </c>
      <c r="H6551" s="1127">
        <v>1.9</v>
      </c>
      <c r="I6551" s="1127">
        <v>0.0</v>
      </c>
      <c r="J6551" s="1127">
        <v>0.9</v>
      </c>
      <c r="K6551" s="1124"/>
    </row>
    <row r="6552" ht="15.75" customHeight="1">
      <c r="A6552" s="1119">
        <v>87290.0</v>
      </c>
      <c r="B6552" s="1125" t="s">
        <v>16830</v>
      </c>
      <c r="C6552" s="1126" t="s">
        <v>2178</v>
      </c>
      <c r="D6552" s="1119">
        <v>505.17</v>
      </c>
      <c r="E6552" s="1120">
        <v>74.28</v>
      </c>
      <c r="F6552" s="1121">
        <f t="shared" si="1"/>
        <v>430.91</v>
      </c>
      <c r="G6552" s="1120">
        <v>423.94</v>
      </c>
      <c r="H6552" s="1127">
        <v>5.69</v>
      </c>
      <c r="I6552" s="1127">
        <v>0.0</v>
      </c>
      <c r="J6552" s="1127">
        <v>1.28</v>
      </c>
      <c r="K6552" s="1124"/>
    </row>
    <row r="6553" ht="15.75" customHeight="1">
      <c r="A6553" s="1119">
        <v>87292.0</v>
      </c>
      <c r="B6553" s="1125" t="s">
        <v>16831</v>
      </c>
      <c r="C6553" s="1126" t="s">
        <v>2178</v>
      </c>
      <c r="D6553" s="1119">
        <v>521.78</v>
      </c>
      <c r="E6553" s="1120">
        <v>80.54</v>
      </c>
      <c r="F6553" s="1121">
        <f t="shared" si="1"/>
        <v>441.24</v>
      </c>
      <c r="G6553" s="1120">
        <v>438.64</v>
      </c>
      <c r="H6553" s="1127">
        <v>1.76</v>
      </c>
      <c r="I6553" s="1127">
        <v>0.0</v>
      </c>
      <c r="J6553" s="1127">
        <v>0.84</v>
      </c>
      <c r="K6553" s="1124"/>
    </row>
    <row r="6554" ht="15.75" customHeight="1">
      <c r="A6554" s="1119">
        <v>87294.0</v>
      </c>
      <c r="B6554" s="1125" t="s">
        <v>16832</v>
      </c>
      <c r="C6554" s="1126" t="s">
        <v>2178</v>
      </c>
      <c r="D6554" s="1119">
        <v>500.78</v>
      </c>
      <c r="E6554" s="1120">
        <v>79.08</v>
      </c>
      <c r="F6554" s="1121">
        <f t="shared" si="1"/>
        <v>421.68</v>
      </c>
      <c r="G6554" s="1120">
        <v>414.26</v>
      </c>
      <c r="H6554" s="1127">
        <v>6.06</v>
      </c>
      <c r="I6554" s="1127">
        <v>0.0</v>
      </c>
      <c r="J6554" s="1127">
        <v>1.36</v>
      </c>
      <c r="K6554" s="1124"/>
    </row>
    <row r="6555" ht="15.75" customHeight="1">
      <c r="A6555" s="1119">
        <v>87295.0</v>
      </c>
      <c r="B6555" s="1125" t="s">
        <v>16833</v>
      </c>
      <c r="C6555" s="1126" t="s">
        <v>2178</v>
      </c>
      <c r="D6555" s="1119">
        <v>513.96</v>
      </c>
      <c r="E6555" s="1120">
        <v>98.98</v>
      </c>
      <c r="F6555" s="1121">
        <f t="shared" si="1"/>
        <v>414.98</v>
      </c>
      <c r="G6555" s="1120">
        <v>411.78</v>
      </c>
      <c r="H6555" s="1127">
        <v>2.17</v>
      </c>
      <c r="I6555" s="1127">
        <v>0.0</v>
      </c>
      <c r="J6555" s="1127">
        <v>1.03</v>
      </c>
      <c r="K6555" s="1124"/>
    </row>
    <row r="6556" ht="15.75" customHeight="1">
      <c r="A6556" s="1119">
        <v>87296.0</v>
      </c>
      <c r="B6556" s="1125" t="s">
        <v>16834</v>
      </c>
      <c r="C6556" s="1126" t="s">
        <v>2178</v>
      </c>
      <c r="D6556" s="1119">
        <v>481.38</v>
      </c>
      <c r="E6556" s="1120">
        <v>69.97</v>
      </c>
      <c r="F6556" s="1121">
        <f t="shared" si="1"/>
        <v>411.4</v>
      </c>
      <c r="G6556" s="1120">
        <v>404.96</v>
      </c>
      <c r="H6556" s="1127">
        <v>5.26</v>
      </c>
      <c r="I6556" s="1127">
        <v>0.0</v>
      </c>
      <c r="J6556" s="1127">
        <v>1.18</v>
      </c>
      <c r="K6556" s="1124"/>
    </row>
    <row r="6557" ht="15.75" customHeight="1">
      <c r="A6557" s="1119">
        <v>87298.0</v>
      </c>
      <c r="B6557" s="1125" t="s">
        <v>16835</v>
      </c>
      <c r="C6557" s="1126" t="s">
        <v>2178</v>
      </c>
      <c r="D6557" s="1119">
        <v>651.72</v>
      </c>
      <c r="E6557" s="1120">
        <v>79.11</v>
      </c>
      <c r="F6557" s="1121">
        <f t="shared" si="1"/>
        <v>572.62</v>
      </c>
      <c r="G6557" s="1120">
        <v>570.08</v>
      </c>
      <c r="H6557" s="1127">
        <v>1.72</v>
      </c>
      <c r="I6557" s="1127">
        <v>0.0</v>
      </c>
      <c r="J6557" s="1127">
        <v>0.82</v>
      </c>
      <c r="K6557" s="1124"/>
    </row>
    <row r="6558" ht="15.75" customHeight="1">
      <c r="A6558" s="1119">
        <v>87299.0</v>
      </c>
      <c r="B6558" s="1125" t="s">
        <v>16836</v>
      </c>
      <c r="C6558" s="1126" t="s">
        <v>2178</v>
      </c>
      <c r="D6558" s="1119">
        <v>438.05</v>
      </c>
      <c r="E6558" s="1120">
        <v>72.82</v>
      </c>
      <c r="F6558" s="1121">
        <f t="shared" si="1"/>
        <v>365.22</v>
      </c>
      <c r="G6558" s="1120">
        <v>358.51</v>
      </c>
      <c r="H6558" s="1127">
        <v>5.48</v>
      </c>
      <c r="I6558" s="1127">
        <v>0.0</v>
      </c>
      <c r="J6558" s="1127">
        <v>1.23</v>
      </c>
      <c r="K6558" s="1124"/>
    </row>
    <row r="6559" ht="15.75" customHeight="1">
      <c r="A6559" s="1119">
        <v>87301.0</v>
      </c>
      <c r="B6559" s="1125" t="s">
        <v>16837</v>
      </c>
      <c r="C6559" s="1126" t="s">
        <v>2178</v>
      </c>
      <c r="D6559" s="1119">
        <v>592.76</v>
      </c>
      <c r="E6559" s="1120">
        <v>86.81</v>
      </c>
      <c r="F6559" s="1121">
        <f t="shared" si="1"/>
        <v>505.95</v>
      </c>
      <c r="G6559" s="1120">
        <v>503.15</v>
      </c>
      <c r="H6559" s="1127">
        <v>1.9</v>
      </c>
      <c r="I6559" s="1127">
        <v>0.0</v>
      </c>
      <c r="J6559" s="1127">
        <v>0.9</v>
      </c>
      <c r="K6559" s="1124"/>
    </row>
    <row r="6560" ht="15.75" customHeight="1">
      <c r="A6560" s="1119">
        <v>87302.0</v>
      </c>
      <c r="B6560" s="1125" t="s">
        <v>16838</v>
      </c>
      <c r="C6560" s="1126" t="s">
        <v>2178</v>
      </c>
      <c r="D6560" s="1119">
        <v>581.33</v>
      </c>
      <c r="E6560" s="1120">
        <v>73.55</v>
      </c>
      <c r="F6560" s="1121">
        <f t="shared" si="1"/>
        <v>507.79</v>
      </c>
      <c r="G6560" s="1120">
        <v>500.97</v>
      </c>
      <c r="H6560" s="1127">
        <v>5.58</v>
      </c>
      <c r="I6560" s="1127">
        <v>0.0</v>
      </c>
      <c r="J6560" s="1127">
        <v>1.24</v>
      </c>
      <c r="K6560" s="1124"/>
    </row>
    <row r="6561" ht="15.75" customHeight="1">
      <c r="A6561" s="1119">
        <v>87304.0</v>
      </c>
      <c r="B6561" s="1125" t="s">
        <v>16839</v>
      </c>
      <c r="C6561" s="1126" t="s">
        <v>2178</v>
      </c>
      <c r="D6561" s="1119">
        <v>538.24</v>
      </c>
      <c r="E6561" s="1120">
        <v>78.76</v>
      </c>
      <c r="F6561" s="1121">
        <f t="shared" si="1"/>
        <v>459.48</v>
      </c>
      <c r="G6561" s="1120">
        <v>456.94</v>
      </c>
      <c r="H6561" s="1127">
        <v>1.72</v>
      </c>
      <c r="I6561" s="1127">
        <v>0.0</v>
      </c>
      <c r="J6561" s="1127">
        <v>0.82</v>
      </c>
      <c r="K6561" s="1124"/>
    </row>
    <row r="6562" ht="15.75" customHeight="1">
      <c r="A6562" s="1119">
        <v>87305.0</v>
      </c>
      <c r="B6562" s="1125" t="s">
        <v>16840</v>
      </c>
      <c r="C6562" s="1126" t="s">
        <v>2178</v>
      </c>
      <c r="D6562" s="1119">
        <v>540.01</v>
      </c>
      <c r="E6562" s="1120">
        <v>76.22</v>
      </c>
      <c r="F6562" s="1121">
        <f t="shared" si="1"/>
        <v>463.8</v>
      </c>
      <c r="G6562" s="1120">
        <v>456.75</v>
      </c>
      <c r="H6562" s="1127">
        <v>5.76</v>
      </c>
      <c r="I6562" s="1127">
        <v>0.0</v>
      </c>
      <c r="J6562" s="1127">
        <v>1.29</v>
      </c>
      <c r="K6562" s="1124"/>
    </row>
    <row r="6563" ht="15.75" customHeight="1">
      <c r="A6563" s="1119">
        <v>87307.0</v>
      </c>
      <c r="B6563" s="1125" t="s">
        <v>16841</v>
      </c>
      <c r="C6563" s="1126" t="s">
        <v>2178</v>
      </c>
      <c r="D6563" s="1119">
        <v>516.67</v>
      </c>
      <c r="E6563" s="1120">
        <v>86.81</v>
      </c>
      <c r="F6563" s="1121">
        <f t="shared" si="1"/>
        <v>429.86</v>
      </c>
      <c r="G6563" s="1120">
        <v>427.06</v>
      </c>
      <c r="H6563" s="1127">
        <v>1.9</v>
      </c>
      <c r="I6563" s="1127">
        <v>0.0</v>
      </c>
      <c r="J6563" s="1127">
        <v>0.9</v>
      </c>
      <c r="K6563" s="1124"/>
    </row>
    <row r="6564" ht="15.75" customHeight="1">
      <c r="A6564" s="1119">
        <v>87308.0</v>
      </c>
      <c r="B6564" s="1125" t="s">
        <v>16842</v>
      </c>
      <c r="C6564" s="1126" t="s">
        <v>2178</v>
      </c>
      <c r="D6564" s="1119">
        <v>504.87</v>
      </c>
      <c r="E6564" s="1120">
        <v>75.7</v>
      </c>
      <c r="F6564" s="1121">
        <f t="shared" si="1"/>
        <v>429.17</v>
      </c>
      <c r="G6564" s="1120">
        <v>422.11</v>
      </c>
      <c r="H6564" s="1127">
        <v>5.77</v>
      </c>
      <c r="I6564" s="1127">
        <v>0.0</v>
      </c>
      <c r="J6564" s="1127">
        <v>1.29</v>
      </c>
      <c r="K6564" s="1124"/>
    </row>
    <row r="6565" ht="15.75" customHeight="1">
      <c r="A6565" s="1119">
        <v>87310.0</v>
      </c>
      <c r="B6565" s="1125" t="s">
        <v>16843</v>
      </c>
      <c r="C6565" s="1126" t="s">
        <v>2178</v>
      </c>
      <c r="D6565" s="1119">
        <v>429.35</v>
      </c>
      <c r="E6565" s="1120">
        <v>76.96</v>
      </c>
      <c r="F6565" s="1121">
        <f t="shared" si="1"/>
        <v>352.39</v>
      </c>
      <c r="G6565" s="1120">
        <v>349.89</v>
      </c>
      <c r="H6565" s="1127">
        <v>1.7</v>
      </c>
      <c r="I6565" s="1127">
        <v>0.0</v>
      </c>
      <c r="J6565" s="1127">
        <v>0.8</v>
      </c>
      <c r="K6565" s="1124"/>
    </row>
    <row r="6566" ht="15.75" customHeight="1">
      <c r="A6566" s="1119">
        <v>87311.0</v>
      </c>
      <c r="B6566" s="1125" t="s">
        <v>16844</v>
      </c>
      <c r="C6566" s="1126" t="s">
        <v>2178</v>
      </c>
      <c r="D6566" s="1119">
        <v>417.58</v>
      </c>
      <c r="E6566" s="1120">
        <v>65.72</v>
      </c>
      <c r="F6566" s="1121">
        <f t="shared" si="1"/>
        <v>351.86</v>
      </c>
      <c r="G6566" s="1120">
        <v>345.72</v>
      </c>
      <c r="H6566" s="1127">
        <v>5.01</v>
      </c>
      <c r="I6566" s="1127">
        <v>0.0</v>
      </c>
      <c r="J6566" s="1127">
        <v>1.13</v>
      </c>
      <c r="K6566" s="1124"/>
    </row>
    <row r="6567" ht="15.75" customHeight="1">
      <c r="A6567" s="1119">
        <v>87313.0</v>
      </c>
      <c r="B6567" s="1125" t="s">
        <v>16845</v>
      </c>
      <c r="C6567" s="1126" t="s">
        <v>2178</v>
      </c>
      <c r="D6567" s="1119">
        <v>512.56</v>
      </c>
      <c r="E6567" s="1120">
        <v>77.32</v>
      </c>
      <c r="F6567" s="1121">
        <f t="shared" si="1"/>
        <v>435.24</v>
      </c>
      <c r="G6567" s="1120">
        <v>432.74</v>
      </c>
      <c r="H6567" s="1127">
        <v>1.7</v>
      </c>
      <c r="I6567" s="1127">
        <v>0.0</v>
      </c>
      <c r="J6567" s="1127">
        <v>0.8</v>
      </c>
      <c r="K6567" s="1124"/>
    </row>
    <row r="6568" ht="15.75" customHeight="1">
      <c r="A6568" s="1119">
        <v>87314.0</v>
      </c>
      <c r="B6568" s="1125" t="s">
        <v>16846</v>
      </c>
      <c r="C6568" s="1126" t="s">
        <v>2178</v>
      </c>
      <c r="D6568" s="1119">
        <v>502.5</v>
      </c>
      <c r="E6568" s="1120">
        <v>66.07</v>
      </c>
      <c r="F6568" s="1121">
        <f t="shared" si="1"/>
        <v>436.44</v>
      </c>
      <c r="G6568" s="1120">
        <v>430.27</v>
      </c>
      <c r="H6568" s="1127">
        <v>5.04</v>
      </c>
      <c r="I6568" s="1127">
        <v>0.0</v>
      </c>
      <c r="J6568" s="1127">
        <v>1.13</v>
      </c>
      <c r="K6568" s="1124"/>
    </row>
    <row r="6569" ht="15.75" customHeight="1">
      <c r="A6569" s="1119">
        <v>87316.0</v>
      </c>
      <c r="B6569" s="1125" t="s">
        <v>16847</v>
      </c>
      <c r="C6569" s="1126" t="s">
        <v>2178</v>
      </c>
      <c r="D6569" s="1119">
        <v>470.29</v>
      </c>
      <c r="E6569" s="1120">
        <v>83.05</v>
      </c>
      <c r="F6569" s="1121">
        <f t="shared" si="1"/>
        <v>387.24</v>
      </c>
      <c r="G6569" s="1120">
        <v>384.56</v>
      </c>
      <c r="H6569" s="1127">
        <v>1.82</v>
      </c>
      <c r="I6569" s="1127">
        <v>0.0</v>
      </c>
      <c r="J6569" s="1127">
        <v>0.86</v>
      </c>
      <c r="K6569" s="1124"/>
    </row>
    <row r="6570" ht="15.75" customHeight="1">
      <c r="A6570" s="1119">
        <v>87317.0</v>
      </c>
      <c r="B6570" s="1125" t="s">
        <v>16848</v>
      </c>
      <c r="C6570" s="1126" t="s">
        <v>2178</v>
      </c>
      <c r="D6570" s="1119">
        <v>452.39</v>
      </c>
      <c r="E6570" s="1120">
        <v>66.07</v>
      </c>
      <c r="F6570" s="1121">
        <f t="shared" si="1"/>
        <v>386.32</v>
      </c>
      <c r="G6570" s="1120">
        <v>380.18</v>
      </c>
      <c r="H6570" s="1127">
        <v>5.02</v>
      </c>
      <c r="I6570" s="1127">
        <v>0.0</v>
      </c>
      <c r="J6570" s="1127">
        <v>1.12</v>
      </c>
      <c r="K6570" s="1124"/>
    </row>
    <row r="6571" ht="15.75" customHeight="1">
      <c r="A6571" s="1119">
        <v>87319.0</v>
      </c>
      <c r="B6571" s="1125" t="s">
        <v>16849</v>
      </c>
      <c r="C6571" s="1126" t="s">
        <v>2178</v>
      </c>
      <c r="D6571" s="1128">
        <v>3238.0</v>
      </c>
      <c r="E6571" s="1120">
        <v>77.32</v>
      </c>
      <c r="F6571" s="1121">
        <f t="shared" si="1"/>
        <v>3160.68</v>
      </c>
      <c r="G6571" s="1120">
        <v>3158.18</v>
      </c>
      <c r="H6571" s="1127">
        <v>1.7</v>
      </c>
      <c r="I6571" s="1127">
        <v>0.0</v>
      </c>
      <c r="J6571" s="1127">
        <v>0.8</v>
      </c>
      <c r="K6571" s="1124"/>
    </row>
    <row r="6572" ht="15.75" customHeight="1">
      <c r="A6572" s="1119">
        <v>87320.0</v>
      </c>
      <c r="B6572" s="1125" t="s">
        <v>16850</v>
      </c>
      <c r="C6572" s="1126" t="s">
        <v>2178</v>
      </c>
      <c r="D6572" s="1128">
        <v>3240.6</v>
      </c>
      <c r="E6572" s="1120">
        <v>66.79</v>
      </c>
      <c r="F6572" s="1121">
        <f t="shared" si="1"/>
        <v>3173.81</v>
      </c>
      <c r="G6572" s="1120">
        <v>3167.52</v>
      </c>
      <c r="H6572" s="1127">
        <v>5.14</v>
      </c>
      <c r="I6572" s="1127">
        <v>0.0</v>
      </c>
      <c r="J6572" s="1127">
        <v>1.15</v>
      </c>
      <c r="K6572" s="1124"/>
    </row>
    <row r="6573" ht="15.75" customHeight="1">
      <c r="A6573" s="1119">
        <v>87322.0</v>
      </c>
      <c r="B6573" s="1125" t="s">
        <v>16851</v>
      </c>
      <c r="C6573" s="1126" t="s">
        <v>2178</v>
      </c>
      <c r="D6573" s="1128">
        <v>3338.28</v>
      </c>
      <c r="E6573" s="1120">
        <v>81.62</v>
      </c>
      <c r="F6573" s="1121">
        <f t="shared" si="1"/>
        <v>3256.66</v>
      </c>
      <c r="G6573" s="1120">
        <v>3254.03</v>
      </c>
      <c r="H6573" s="1127">
        <v>1.79</v>
      </c>
      <c r="I6573" s="1127">
        <v>0.0</v>
      </c>
      <c r="J6573" s="1127">
        <v>0.84</v>
      </c>
      <c r="K6573" s="1124"/>
    </row>
    <row r="6574" ht="15.75" customHeight="1">
      <c r="A6574" s="1119">
        <v>87323.0</v>
      </c>
      <c r="B6574" s="1125" t="s">
        <v>16852</v>
      </c>
      <c r="C6574" s="1126" t="s">
        <v>2178</v>
      </c>
      <c r="D6574" s="1128">
        <v>3333.07</v>
      </c>
      <c r="E6574" s="1120">
        <v>64.64</v>
      </c>
      <c r="F6574" s="1121">
        <f t="shared" si="1"/>
        <v>3268.43</v>
      </c>
      <c r="G6574" s="1120">
        <v>3262.43</v>
      </c>
      <c r="H6574" s="1127">
        <v>4.9</v>
      </c>
      <c r="I6574" s="1127">
        <v>0.0</v>
      </c>
      <c r="J6574" s="1127">
        <v>1.1</v>
      </c>
      <c r="K6574" s="1124"/>
    </row>
    <row r="6575" ht="15.75" customHeight="1">
      <c r="A6575" s="1119">
        <v>87325.0</v>
      </c>
      <c r="B6575" s="1125" t="s">
        <v>16853</v>
      </c>
      <c r="C6575" s="1126" t="s">
        <v>2178</v>
      </c>
      <c r="D6575" s="1128">
        <v>3264.68</v>
      </c>
      <c r="E6575" s="1120">
        <v>83.94</v>
      </c>
      <c r="F6575" s="1121">
        <f t="shared" si="1"/>
        <v>3180.75</v>
      </c>
      <c r="G6575" s="1120">
        <v>3178.05</v>
      </c>
      <c r="H6575" s="1127">
        <v>1.83</v>
      </c>
      <c r="I6575" s="1127">
        <v>0.0</v>
      </c>
      <c r="J6575" s="1127">
        <v>0.87</v>
      </c>
      <c r="K6575" s="1124"/>
    </row>
    <row r="6576" ht="15.75" customHeight="1">
      <c r="A6576" s="1119">
        <v>87326.0</v>
      </c>
      <c r="B6576" s="1125" t="s">
        <v>16854</v>
      </c>
      <c r="C6576" s="1126" t="s">
        <v>2178</v>
      </c>
      <c r="D6576" s="1128">
        <v>3267.1</v>
      </c>
      <c r="E6576" s="1120">
        <v>60.91</v>
      </c>
      <c r="F6576" s="1121">
        <f t="shared" si="1"/>
        <v>3206.19</v>
      </c>
      <c r="G6576" s="1120">
        <v>3200.51</v>
      </c>
      <c r="H6576" s="1127">
        <v>4.64</v>
      </c>
      <c r="I6576" s="1127">
        <v>0.0</v>
      </c>
      <c r="J6576" s="1127">
        <v>1.04</v>
      </c>
      <c r="K6576" s="1124"/>
    </row>
    <row r="6577" ht="15.75" customHeight="1">
      <c r="A6577" s="1119">
        <v>87327.0</v>
      </c>
      <c r="B6577" s="1125" t="s">
        <v>16855</v>
      </c>
      <c r="C6577" s="1126" t="s">
        <v>2178</v>
      </c>
      <c r="D6577" s="1119">
        <v>460.92</v>
      </c>
      <c r="E6577" s="1120">
        <v>104.54</v>
      </c>
      <c r="F6577" s="1121">
        <f t="shared" si="1"/>
        <v>356.39</v>
      </c>
      <c r="G6577" s="1120">
        <v>347.36</v>
      </c>
      <c r="H6577" s="1127">
        <v>6.31</v>
      </c>
      <c r="I6577" s="1127">
        <v>0.0</v>
      </c>
      <c r="J6577" s="1127">
        <v>2.72</v>
      </c>
      <c r="K6577" s="1124"/>
    </row>
    <row r="6578" ht="15.75" customHeight="1">
      <c r="A6578" s="1119">
        <v>87328.0</v>
      </c>
      <c r="B6578" s="1125" t="s">
        <v>16856</v>
      </c>
      <c r="C6578" s="1126" t="s">
        <v>2178</v>
      </c>
      <c r="D6578" s="1119">
        <v>396.69</v>
      </c>
      <c r="E6578" s="1120">
        <v>57.69</v>
      </c>
      <c r="F6578" s="1121">
        <f t="shared" si="1"/>
        <v>338.98</v>
      </c>
      <c r="G6578" s="1120">
        <v>333.71</v>
      </c>
      <c r="H6578" s="1127">
        <v>3.41</v>
      </c>
      <c r="I6578" s="1127">
        <v>0.0</v>
      </c>
      <c r="J6578" s="1127">
        <v>1.86</v>
      </c>
      <c r="K6578" s="1124"/>
    </row>
    <row r="6579" ht="15.75" customHeight="1">
      <c r="A6579" s="1119">
        <v>87329.0</v>
      </c>
      <c r="B6579" s="1125" t="s">
        <v>16857</v>
      </c>
      <c r="C6579" s="1126" t="s">
        <v>2178</v>
      </c>
      <c r="D6579" s="1119">
        <v>493.62</v>
      </c>
      <c r="E6579" s="1120">
        <v>113.12</v>
      </c>
      <c r="F6579" s="1121">
        <f t="shared" si="1"/>
        <v>380.5</v>
      </c>
      <c r="G6579" s="1120">
        <v>370.73</v>
      </c>
      <c r="H6579" s="1127">
        <v>6.83</v>
      </c>
      <c r="I6579" s="1127">
        <v>0.0</v>
      </c>
      <c r="J6579" s="1127">
        <v>2.94</v>
      </c>
      <c r="K6579" s="1124"/>
    </row>
    <row r="6580" ht="15.75" customHeight="1">
      <c r="A6580" s="1119">
        <v>87330.0</v>
      </c>
      <c r="B6580" s="1125" t="s">
        <v>16858</v>
      </c>
      <c r="C6580" s="1126" t="s">
        <v>2178</v>
      </c>
      <c r="D6580" s="1119">
        <v>420.77</v>
      </c>
      <c r="E6580" s="1120">
        <v>60.39</v>
      </c>
      <c r="F6580" s="1121">
        <f t="shared" si="1"/>
        <v>360.37</v>
      </c>
      <c r="G6580" s="1120">
        <v>354.82</v>
      </c>
      <c r="H6580" s="1127">
        <v>3.6</v>
      </c>
      <c r="I6580" s="1127">
        <v>0.0</v>
      </c>
      <c r="J6580" s="1127">
        <v>1.95</v>
      </c>
      <c r="K6580" s="1124"/>
    </row>
    <row r="6581" ht="15.75" customHeight="1">
      <c r="A6581" s="1119">
        <v>87331.0</v>
      </c>
      <c r="B6581" s="1125" t="s">
        <v>16859</v>
      </c>
      <c r="C6581" s="1126" t="s">
        <v>2178</v>
      </c>
      <c r="D6581" s="1119">
        <v>563.7</v>
      </c>
      <c r="E6581" s="1120">
        <v>110.98</v>
      </c>
      <c r="F6581" s="1121">
        <f t="shared" si="1"/>
        <v>452.73</v>
      </c>
      <c r="G6581" s="1120">
        <v>443.11</v>
      </c>
      <c r="H6581" s="1127">
        <v>6.72</v>
      </c>
      <c r="I6581" s="1127">
        <v>0.0</v>
      </c>
      <c r="J6581" s="1127">
        <v>2.9</v>
      </c>
      <c r="K6581" s="1124"/>
    </row>
    <row r="6582" ht="15.75" customHeight="1">
      <c r="A6582" s="1119">
        <v>87332.0</v>
      </c>
      <c r="B6582" s="1125" t="s">
        <v>16860</v>
      </c>
      <c r="C6582" s="1126" t="s">
        <v>2178</v>
      </c>
      <c r="D6582" s="1119">
        <v>496.54</v>
      </c>
      <c r="E6582" s="1120">
        <v>61.26</v>
      </c>
      <c r="F6582" s="1121">
        <f t="shared" si="1"/>
        <v>435.28</v>
      </c>
      <c r="G6582" s="1120">
        <v>429.68</v>
      </c>
      <c r="H6582" s="1127">
        <v>3.62</v>
      </c>
      <c r="I6582" s="1127">
        <v>0.0</v>
      </c>
      <c r="J6582" s="1127">
        <v>1.98</v>
      </c>
      <c r="K6582" s="1124"/>
    </row>
    <row r="6583" ht="15.75" customHeight="1">
      <c r="A6583" s="1119">
        <v>87333.0</v>
      </c>
      <c r="B6583" s="1125" t="s">
        <v>16861</v>
      </c>
      <c r="C6583" s="1126" t="s">
        <v>2178</v>
      </c>
      <c r="D6583" s="1119">
        <v>522.43</v>
      </c>
      <c r="E6583" s="1120">
        <v>95.94</v>
      </c>
      <c r="F6583" s="1121">
        <f t="shared" si="1"/>
        <v>426.5</v>
      </c>
      <c r="G6583" s="1120">
        <v>418.19</v>
      </c>
      <c r="H6583" s="1127">
        <v>5.81</v>
      </c>
      <c r="I6583" s="1127">
        <v>0.0</v>
      </c>
      <c r="J6583" s="1127">
        <v>2.5</v>
      </c>
      <c r="K6583" s="1124"/>
    </row>
    <row r="6584" ht="15.75" customHeight="1">
      <c r="A6584" s="1119">
        <v>87334.0</v>
      </c>
      <c r="B6584" s="1125" t="s">
        <v>16862</v>
      </c>
      <c r="C6584" s="1126" t="s">
        <v>2178</v>
      </c>
      <c r="D6584" s="1119">
        <v>481.89</v>
      </c>
      <c r="E6584" s="1120">
        <v>65.74</v>
      </c>
      <c r="F6584" s="1121">
        <f t="shared" si="1"/>
        <v>416.15</v>
      </c>
      <c r="G6584" s="1120">
        <v>410.09</v>
      </c>
      <c r="H6584" s="1127">
        <v>3.93</v>
      </c>
      <c r="I6584" s="1127">
        <v>0.0</v>
      </c>
      <c r="J6584" s="1127">
        <v>2.13</v>
      </c>
      <c r="K6584" s="1124"/>
    </row>
    <row r="6585" ht="15.75" customHeight="1">
      <c r="A6585" s="1119">
        <v>87335.0</v>
      </c>
      <c r="B6585" s="1125" t="s">
        <v>16863</v>
      </c>
      <c r="C6585" s="1126" t="s">
        <v>2178</v>
      </c>
      <c r="D6585" s="1119">
        <v>514.18</v>
      </c>
      <c r="E6585" s="1120">
        <v>88.79</v>
      </c>
      <c r="F6585" s="1121">
        <f t="shared" si="1"/>
        <v>425.4</v>
      </c>
      <c r="G6585" s="1120">
        <v>417.72</v>
      </c>
      <c r="H6585" s="1127">
        <v>5.36</v>
      </c>
      <c r="I6585" s="1127">
        <v>0.0</v>
      </c>
      <c r="J6585" s="1127">
        <v>2.32</v>
      </c>
      <c r="K6585" s="1124"/>
    </row>
    <row r="6586" ht="15.75" customHeight="1">
      <c r="A6586" s="1119">
        <v>87336.0</v>
      </c>
      <c r="B6586" s="1125" t="s">
        <v>16864</v>
      </c>
      <c r="C6586" s="1126" t="s">
        <v>2178</v>
      </c>
      <c r="D6586" s="1119">
        <v>492.06</v>
      </c>
      <c r="E6586" s="1120">
        <v>63.06</v>
      </c>
      <c r="F6586" s="1121">
        <f t="shared" si="1"/>
        <v>429.01</v>
      </c>
      <c r="G6586" s="1120">
        <v>423.21</v>
      </c>
      <c r="H6586" s="1127">
        <v>3.76</v>
      </c>
      <c r="I6586" s="1127">
        <v>0.0</v>
      </c>
      <c r="J6586" s="1127">
        <v>2.04</v>
      </c>
      <c r="K6586" s="1124"/>
    </row>
    <row r="6587" ht="15.75" customHeight="1">
      <c r="A6587" s="1119">
        <v>87337.0</v>
      </c>
      <c r="B6587" s="1125" t="s">
        <v>16865</v>
      </c>
      <c r="C6587" s="1126" t="s">
        <v>2178</v>
      </c>
      <c r="D6587" s="1119">
        <v>504.3</v>
      </c>
      <c r="E6587" s="1120">
        <v>87.35</v>
      </c>
      <c r="F6587" s="1121">
        <f t="shared" si="1"/>
        <v>416.96</v>
      </c>
      <c r="G6587" s="1120">
        <v>409.41</v>
      </c>
      <c r="H6587" s="1127">
        <v>5.27</v>
      </c>
      <c r="I6587" s="1127">
        <v>0.0</v>
      </c>
      <c r="J6587" s="1127">
        <v>2.28</v>
      </c>
      <c r="K6587" s="1124"/>
    </row>
    <row r="6588" ht="15.75" customHeight="1">
      <c r="A6588" s="1119">
        <v>87338.0</v>
      </c>
      <c r="B6588" s="1125" t="s">
        <v>16866</v>
      </c>
      <c r="C6588" s="1126" t="s">
        <v>2178</v>
      </c>
      <c r="D6588" s="1119">
        <v>481.34</v>
      </c>
      <c r="E6588" s="1120">
        <v>77.51</v>
      </c>
      <c r="F6588" s="1121">
        <f t="shared" si="1"/>
        <v>403.82</v>
      </c>
      <c r="G6588" s="1120">
        <v>396.56</v>
      </c>
      <c r="H6588" s="1127">
        <v>4.71</v>
      </c>
      <c r="I6588" s="1127">
        <v>0.0</v>
      </c>
      <c r="J6588" s="1127">
        <v>2.55</v>
      </c>
      <c r="K6588" s="1124"/>
    </row>
    <row r="6589" ht="15.75" customHeight="1">
      <c r="A6589" s="1119">
        <v>87339.0</v>
      </c>
      <c r="B6589" s="1125" t="s">
        <v>16867</v>
      </c>
      <c r="C6589" s="1126" t="s">
        <v>2178</v>
      </c>
      <c r="D6589" s="1119">
        <v>787.13</v>
      </c>
      <c r="E6589" s="1120">
        <v>185.26</v>
      </c>
      <c r="F6589" s="1121">
        <f t="shared" si="1"/>
        <v>601.87</v>
      </c>
      <c r="G6589" s="1120">
        <v>588.51</v>
      </c>
      <c r="H6589" s="1127">
        <v>10.47</v>
      </c>
      <c r="I6589" s="1127">
        <v>0.0</v>
      </c>
      <c r="J6589" s="1127">
        <v>2.89</v>
      </c>
      <c r="K6589" s="1124"/>
    </row>
    <row r="6590" ht="15.75" customHeight="1">
      <c r="A6590" s="1119">
        <v>87340.0</v>
      </c>
      <c r="B6590" s="1125" t="s">
        <v>16868</v>
      </c>
      <c r="C6590" s="1126" t="s">
        <v>2178</v>
      </c>
      <c r="D6590" s="1119">
        <v>650.31</v>
      </c>
      <c r="E6590" s="1120">
        <v>85.55</v>
      </c>
      <c r="F6590" s="1121">
        <f t="shared" si="1"/>
        <v>564.75</v>
      </c>
      <c r="G6590" s="1120">
        <v>557.34</v>
      </c>
      <c r="H6590" s="1127">
        <v>5.17</v>
      </c>
      <c r="I6590" s="1127">
        <v>0.0</v>
      </c>
      <c r="J6590" s="1127">
        <v>2.24</v>
      </c>
      <c r="K6590" s="1124"/>
    </row>
    <row r="6591" ht="15.75" customHeight="1">
      <c r="A6591" s="1119">
        <v>87341.0</v>
      </c>
      <c r="B6591" s="1125" t="s">
        <v>16869</v>
      </c>
      <c r="C6591" s="1126" t="s">
        <v>2178</v>
      </c>
      <c r="D6591" s="1119">
        <v>616.34</v>
      </c>
      <c r="E6591" s="1120">
        <v>60.02</v>
      </c>
      <c r="F6591" s="1121">
        <f t="shared" si="1"/>
        <v>556.32</v>
      </c>
      <c r="G6591" s="1120">
        <v>550.78</v>
      </c>
      <c r="H6591" s="1127">
        <v>3.59</v>
      </c>
      <c r="I6591" s="1127">
        <v>0.0</v>
      </c>
      <c r="J6591" s="1127">
        <v>1.95</v>
      </c>
      <c r="K6591" s="1124"/>
    </row>
    <row r="6592" ht="15.75" customHeight="1">
      <c r="A6592" s="1119">
        <v>87342.0</v>
      </c>
      <c r="B6592" s="1125" t="s">
        <v>16870</v>
      </c>
      <c r="C6592" s="1126" t="s">
        <v>2178</v>
      </c>
      <c r="D6592" s="1119">
        <v>671.69</v>
      </c>
      <c r="E6592" s="1120">
        <v>149.46</v>
      </c>
      <c r="F6592" s="1121">
        <f t="shared" si="1"/>
        <v>522.24</v>
      </c>
      <c r="G6592" s="1120">
        <v>511.46</v>
      </c>
      <c r="H6592" s="1127">
        <v>8.44</v>
      </c>
      <c r="I6592" s="1127">
        <v>0.0</v>
      </c>
      <c r="J6592" s="1127">
        <v>2.34</v>
      </c>
      <c r="K6592" s="1124"/>
    </row>
    <row r="6593" ht="15.75" customHeight="1">
      <c r="A6593" s="1119">
        <v>87343.0</v>
      </c>
      <c r="B6593" s="1125" t="s">
        <v>16871</v>
      </c>
      <c r="C6593" s="1126" t="s">
        <v>2178</v>
      </c>
      <c r="D6593" s="1119">
        <v>594.04</v>
      </c>
      <c r="E6593" s="1120">
        <v>92.71</v>
      </c>
      <c r="F6593" s="1121">
        <f t="shared" si="1"/>
        <v>501.33</v>
      </c>
      <c r="G6593" s="1120">
        <v>493.32</v>
      </c>
      <c r="H6593" s="1127">
        <v>5.59</v>
      </c>
      <c r="I6593" s="1127">
        <v>0.0</v>
      </c>
      <c r="J6593" s="1127">
        <v>2.42</v>
      </c>
      <c r="K6593" s="1124"/>
    </row>
    <row r="6594" ht="15.75" customHeight="1">
      <c r="A6594" s="1119">
        <v>87344.0</v>
      </c>
      <c r="B6594" s="1125" t="s">
        <v>16872</v>
      </c>
      <c r="C6594" s="1126" t="s">
        <v>2178</v>
      </c>
      <c r="D6594" s="1119">
        <v>551.59</v>
      </c>
      <c r="E6594" s="1120">
        <v>59.84</v>
      </c>
      <c r="F6594" s="1121">
        <f t="shared" si="1"/>
        <v>491.74</v>
      </c>
      <c r="G6594" s="1120">
        <v>486.23</v>
      </c>
      <c r="H6594" s="1127">
        <v>3.56</v>
      </c>
      <c r="I6594" s="1127">
        <v>0.0</v>
      </c>
      <c r="J6594" s="1127">
        <v>1.95</v>
      </c>
      <c r="K6594" s="1124"/>
    </row>
    <row r="6595" ht="15.75" customHeight="1">
      <c r="A6595" s="1119">
        <v>87345.0</v>
      </c>
      <c r="B6595" s="1125" t="s">
        <v>16873</v>
      </c>
      <c r="C6595" s="1126" t="s">
        <v>2178</v>
      </c>
      <c r="D6595" s="1119">
        <v>604.71</v>
      </c>
      <c r="E6595" s="1120">
        <v>133.17</v>
      </c>
      <c r="F6595" s="1121">
        <f t="shared" si="1"/>
        <v>471.55</v>
      </c>
      <c r="G6595" s="1120">
        <v>461.95</v>
      </c>
      <c r="H6595" s="1127">
        <v>7.52</v>
      </c>
      <c r="I6595" s="1127">
        <v>0.0</v>
      </c>
      <c r="J6595" s="1127">
        <v>2.08</v>
      </c>
      <c r="K6595" s="1124"/>
    </row>
    <row r="6596" ht="15.75" customHeight="1">
      <c r="A6596" s="1119">
        <v>87346.0</v>
      </c>
      <c r="B6596" s="1125" t="s">
        <v>16874</v>
      </c>
      <c r="C6596" s="1126" t="s">
        <v>2178</v>
      </c>
      <c r="D6596" s="1119">
        <v>540.53</v>
      </c>
      <c r="E6596" s="1120">
        <v>85.73</v>
      </c>
      <c r="F6596" s="1121">
        <f t="shared" si="1"/>
        <v>454.8</v>
      </c>
      <c r="G6596" s="1120">
        <v>447.38</v>
      </c>
      <c r="H6596" s="1127">
        <v>5.18</v>
      </c>
      <c r="I6596" s="1127">
        <v>0.0</v>
      </c>
      <c r="J6596" s="1127">
        <v>2.24</v>
      </c>
      <c r="K6596" s="1124"/>
    </row>
    <row r="6597" ht="15.75" customHeight="1">
      <c r="A6597" s="1119">
        <v>87347.0</v>
      </c>
      <c r="B6597" s="1125" t="s">
        <v>16875</v>
      </c>
      <c r="C6597" s="1126" t="s">
        <v>2178</v>
      </c>
      <c r="D6597" s="1119">
        <v>506.97</v>
      </c>
      <c r="E6597" s="1120">
        <v>60.21</v>
      </c>
      <c r="F6597" s="1121">
        <f t="shared" si="1"/>
        <v>446.76</v>
      </c>
      <c r="G6597" s="1120">
        <v>441.21</v>
      </c>
      <c r="H6597" s="1127">
        <v>3.6</v>
      </c>
      <c r="I6597" s="1127">
        <v>0.0</v>
      </c>
      <c r="J6597" s="1127">
        <v>1.95</v>
      </c>
      <c r="K6597" s="1124"/>
    </row>
    <row r="6598" ht="15.75" customHeight="1">
      <c r="A6598" s="1119">
        <v>87348.0</v>
      </c>
      <c r="B6598" s="1125" t="s">
        <v>16876</v>
      </c>
      <c r="C6598" s="1126" t="s">
        <v>2178</v>
      </c>
      <c r="D6598" s="1119">
        <v>554.59</v>
      </c>
      <c r="E6598" s="1120">
        <v>119.93</v>
      </c>
      <c r="F6598" s="1121">
        <f t="shared" si="1"/>
        <v>434.66</v>
      </c>
      <c r="G6598" s="1120">
        <v>426.03</v>
      </c>
      <c r="H6598" s="1127">
        <v>6.76</v>
      </c>
      <c r="I6598" s="1127">
        <v>0.0</v>
      </c>
      <c r="J6598" s="1127">
        <v>1.87</v>
      </c>
      <c r="K6598" s="1124"/>
    </row>
    <row r="6599" ht="15.75" customHeight="1">
      <c r="A6599" s="1119">
        <v>87349.0</v>
      </c>
      <c r="B6599" s="1125" t="s">
        <v>16877</v>
      </c>
      <c r="C6599" s="1126" t="s">
        <v>2178</v>
      </c>
      <c r="D6599" s="1119">
        <v>470.96</v>
      </c>
      <c r="E6599" s="1120">
        <v>56.63</v>
      </c>
      <c r="F6599" s="1121">
        <f t="shared" si="1"/>
        <v>414.34</v>
      </c>
      <c r="G6599" s="1120">
        <v>409.16</v>
      </c>
      <c r="H6599" s="1127">
        <v>3.35</v>
      </c>
      <c r="I6599" s="1127">
        <v>0.0</v>
      </c>
      <c r="J6599" s="1127">
        <v>1.83</v>
      </c>
      <c r="K6599" s="1124"/>
    </row>
    <row r="6600" ht="15.75" customHeight="1">
      <c r="A6600" s="1119">
        <v>87350.0</v>
      </c>
      <c r="B6600" s="1125" t="s">
        <v>16878</v>
      </c>
      <c r="C6600" s="1126" t="s">
        <v>2178</v>
      </c>
      <c r="D6600" s="1119">
        <v>479.06</v>
      </c>
      <c r="E6600" s="1120">
        <v>114.74</v>
      </c>
      <c r="F6600" s="1121">
        <f t="shared" si="1"/>
        <v>364.32</v>
      </c>
      <c r="G6600" s="1120">
        <v>354.37</v>
      </c>
      <c r="H6600" s="1127">
        <v>6.95</v>
      </c>
      <c r="I6600" s="1127">
        <v>0.0</v>
      </c>
      <c r="J6600" s="1127">
        <v>3.0</v>
      </c>
      <c r="K6600" s="1124"/>
    </row>
    <row r="6601" ht="15.75" customHeight="1">
      <c r="A6601" s="1119">
        <v>87351.0</v>
      </c>
      <c r="B6601" s="1125" t="s">
        <v>16879</v>
      </c>
      <c r="C6601" s="1126" t="s">
        <v>2178</v>
      </c>
      <c r="D6601" s="1119">
        <v>400.83</v>
      </c>
      <c r="E6601" s="1120">
        <v>58.62</v>
      </c>
      <c r="F6601" s="1121">
        <f t="shared" si="1"/>
        <v>342.21</v>
      </c>
      <c r="G6601" s="1120">
        <v>336.91</v>
      </c>
      <c r="H6601" s="1127">
        <v>3.47</v>
      </c>
      <c r="I6601" s="1127">
        <v>0.0</v>
      </c>
      <c r="J6601" s="1127">
        <v>1.83</v>
      </c>
      <c r="K6601" s="1124"/>
    </row>
    <row r="6602" ht="15.75" customHeight="1">
      <c r="A6602" s="1119">
        <v>87352.0</v>
      </c>
      <c r="B6602" s="1125" t="s">
        <v>16880</v>
      </c>
      <c r="C6602" s="1126" t="s">
        <v>2178</v>
      </c>
      <c r="D6602" s="1119">
        <v>602.05</v>
      </c>
      <c r="E6602" s="1120">
        <v>145.52</v>
      </c>
      <c r="F6602" s="1121">
        <f t="shared" si="1"/>
        <v>456.53</v>
      </c>
      <c r="G6602" s="1120">
        <v>446.04</v>
      </c>
      <c r="H6602" s="1127">
        <v>8.21</v>
      </c>
      <c r="I6602" s="1127">
        <v>0.0</v>
      </c>
      <c r="J6602" s="1127">
        <v>2.28</v>
      </c>
      <c r="K6602" s="1124"/>
    </row>
    <row r="6603" ht="15.75" customHeight="1">
      <c r="A6603" s="1119">
        <v>87353.0</v>
      </c>
      <c r="B6603" s="1125" t="s">
        <v>16881</v>
      </c>
      <c r="C6603" s="1126" t="s">
        <v>2178</v>
      </c>
      <c r="D6603" s="1119">
        <v>517.38</v>
      </c>
      <c r="E6603" s="1120">
        <v>85.2</v>
      </c>
      <c r="F6603" s="1121">
        <f t="shared" si="1"/>
        <v>432.2</v>
      </c>
      <c r="G6603" s="1120">
        <v>424.84</v>
      </c>
      <c r="H6603" s="1127">
        <v>5.14</v>
      </c>
      <c r="I6603" s="1127">
        <v>0.0</v>
      </c>
      <c r="J6603" s="1127">
        <v>2.22</v>
      </c>
      <c r="K6603" s="1124"/>
    </row>
    <row r="6604" ht="15.75" customHeight="1">
      <c r="A6604" s="1119">
        <v>87354.0</v>
      </c>
      <c r="B6604" s="1125" t="s">
        <v>16882</v>
      </c>
      <c r="C6604" s="1126" t="s">
        <v>2178</v>
      </c>
      <c r="D6604" s="1119">
        <v>479.74</v>
      </c>
      <c r="E6604" s="1120">
        <v>55.74</v>
      </c>
      <c r="F6604" s="1121">
        <f t="shared" si="1"/>
        <v>423.99</v>
      </c>
      <c r="G6604" s="1120">
        <v>418.86</v>
      </c>
      <c r="H6604" s="1127">
        <v>3.33</v>
      </c>
      <c r="I6604" s="1127">
        <v>0.0</v>
      </c>
      <c r="J6604" s="1127">
        <v>1.8</v>
      </c>
      <c r="K6604" s="1124"/>
    </row>
    <row r="6605" ht="15.75" customHeight="1">
      <c r="A6605" s="1119">
        <v>87355.0</v>
      </c>
      <c r="B6605" s="1125" t="s">
        <v>16883</v>
      </c>
      <c r="C6605" s="1126" t="s">
        <v>2178</v>
      </c>
      <c r="D6605" s="1119">
        <v>512.57</v>
      </c>
      <c r="E6605" s="1120">
        <v>117.25</v>
      </c>
      <c r="F6605" s="1121">
        <f t="shared" si="1"/>
        <v>395.32</v>
      </c>
      <c r="G6605" s="1120">
        <v>386.88</v>
      </c>
      <c r="H6605" s="1127">
        <v>6.61</v>
      </c>
      <c r="I6605" s="1127">
        <v>0.0</v>
      </c>
      <c r="J6605" s="1127">
        <v>1.83</v>
      </c>
      <c r="K6605" s="1124"/>
    </row>
    <row r="6606" ht="15.75" customHeight="1">
      <c r="A6606" s="1119">
        <v>87356.0</v>
      </c>
      <c r="B6606" s="1125" t="s">
        <v>16884</v>
      </c>
      <c r="C6606" s="1126" t="s">
        <v>2178</v>
      </c>
      <c r="D6606" s="1119">
        <v>455.18</v>
      </c>
      <c r="E6606" s="1120">
        <v>74.81</v>
      </c>
      <c r="F6606" s="1121">
        <f t="shared" si="1"/>
        <v>380.37</v>
      </c>
      <c r="G6606" s="1120">
        <v>373.89</v>
      </c>
      <c r="H6606" s="1127">
        <v>4.52</v>
      </c>
      <c r="I6606" s="1127">
        <v>0.0</v>
      </c>
      <c r="J6606" s="1127">
        <v>1.96</v>
      </c>
      <c r="K6606" s="1124"/>
    </row>
    <row r="6607" ht="15.75" customHeight="1">
      <c r="A6607" s="1119">
        <v>87357.0</v>
      </c>
      <c r="B6607" s="1125" t="s">
        <v>16885</v>
      </c>
      <c r="C6607" s="1126" t="s">
        <v>2178</v>
      </c>
      <c r="D6607" s="1119">
        <v>427.88</v>
      </c>
      <c r="E6607" s="1120">
        <v>54.33</v>
      </c>
      <c r="F6607" s="1121">
        <f t="shared" si="1"/>
        <v>373.56</v>
      </c>
      <c r="G6607" s="1120">
        <v>368.56</v>
      </c>
      <c r="H6607" s="1127">
        <v>3.23</v>
      </c>
      <c r="I6607" s="1127">
        <v>0.0</v>
      </c>
      <c r="J6607" s="1127">
        <v>1.77</v>
      </c>
      <c r="K6607" s="1124"/>
    </row>
    <row r="6608" ht="15.75" customHeight="1">
      <c r="A6608" s="1119">
        <v>87358.0</v>
      </c>
      <c r="B6608" s="1125" t="s">
        <v>16886</v>
      </c>
      <c r="C6608" s="1126" t="s">
        <v>2178</v>
      </c>
      <c r="D6608" s="1128">
        <v>3206.45</v>
      </c>
      <c r="E6608" s="1120">
        <v>96.11</v>
      </c>
      <c r="F6608" s="1121">
        <f t="shared" si="1"/>
        <v>3110.34</v>
      </c>
      <c r="G6608" s="1120">
        <v>3102.02</v>
      </c>
      <c r="H6608" s="1127">
        <v>5.82</v>
      </c>
      <c r="I6608" s="1127">
        <v>0.0</v>
      </c>
      <c r="J6608" s="1127">
        <v>2.5</v>
      </c>
      <c r="K6608" s="1124"/>
    </row>
    <row r="6609" ht="15.75" customHeight="1">
      <c r="A6609" s="1119">
        <v>87359.0</v>
      </c>
      <c r="B6609" s="1125" t="s">
        <v>16887</v>
      </c>
      <c r="C6609" s="1126" t="s">
        <v>2178</v>
      </c>
      <c r="D6609" s="1128">
        <v>3173.7</v>
      </c>
      <c r="E6609" s="1120">
        <v>64.14</v>
      </c>
      <c r="F6609" s="1121">
        <f t="shared" si="1"/>
        <v>3109.56</v>
      </c>
      <c r="G6609" s="1120">
        <v>3103.58</v>
      </c>
      <c r="H6609" s="1127">
        <v>3.88</v>
      </c>
      <c r="I6609" s="1127">
        <v>0.0</v>
      </c>
      <c r="J6609" s="1127">
        <v>2.1</v>
      </c>
      <c r="K6609" s="1124"/>
    </row>
    <row r="6610" ht="15.75" customHeight="1">
      <c r="A6610" s="1119">
        <v>87360.0</v>
      </c>
      <c r="B6610" s="1125" t="s">
        <v>16888</v>
      </c>
      <c r="C6610" s="1126" t="s">
        <v>2178</v>
      </c>
      <c r="D6610" s="1128">
        <v>3309.0</v>
      </c>
      <c r="E6610" s="1120">
        <v>123.32</v>
      </c>
      <c r="F6610" s="1121">
        <f t="shared" si="1"/>
        <v>3185.68</v>
      </c>
      <c r="G6610" s="1120">
        <v>3176.79</v>
      </c>
      <c r="H6610" s="1127">
        <v>6.96</v>
      </c>
      <c r="I6610" s="1127">
        <v>0.0</v>
      </c>
      <c r="J6610" s="1127">
        <v>1.93</v>
      </c>
      <c r="K6610" s="1124"/>
    </row>
    <row r="6611" ht="15.75" customHeight="1">
      <c r="A6611" s="1119">
        <v>87361.0</v>
      </c>
      <c r="B6611" s="1125" t="s">
        <v>16889</v>
      </c>
      <c r="C6611" s="1126" t="s">
        <v>2178</v>
      </c>
      <c r="D6611" s="1128">
        <v>3257.34</v>
      </c>
      <c r="E6611" s="1120">
        <v>73.74</v>
      </c>
      <c r="F6611" s="1121">
        <f t="shared" si="1"/>
        <v>3183.6</v>
      </c>
      <c r="G6611" s="1120">
        <v>3177.24</v>
      </c>
      <c r="H6611" s="1127">
        <v>4.44</v>
      </c>
      <c r="I6611" s="1127">
        <v>0.0</v>
      </c>
      <c r="J6611" s="1127">
        <v>1.92</v>
      </c>
      <c r="K6611" s="1124"/>
    </row>
    <row r="6612" ht="15.75" customHeight="1">
      <c r="A6612" s="1119">
        <v>87362.0</v>
      </c>
      <c r="B6612" s="1125" t="s">
        <v>16890</v>
      </c>
      <c r="C6612" s="1126" t="s">
        <v>2178</v>
      </c>
      <c r="D6612" s="1128">
        <v>3252.35</v>
      </c>
      <c r="E6612" s="1120">
        <v>53.96</v>
      </c>
      <c r="F6612" s="1121">
        <f t="shared" si="1"/>
        <v>3198.39</v>
      </c>
      <c r="G6612" s="1120">
        <v>3193.45</v>
      </c>
      <c r="H6612" s="1127">
        <v>3.2</v>
      </c>
      <c r="I6612" s="1127">
        <v>0.0</v>
      </c>
      <c r="J6612" s="1127">
        <v>1.74</v>
      </c>
      <c r="K6612" s="1124"/>
    </row>
    <row r="6613" ht="15.75" customHeight="1">
      <c r="A6613" s="1119">
        <v>87363.0</v>
      </c>
      <c r="B6613" s="1125" t="s">
        <v>16891</v>
      </c>
      <c r="C6613" s="1126" t="s">
        <v>2178</v>
      </c>
      <c r="D6613" s="1128">
        <v>3242.16</v>
      </c>
      <c r="E6613" s="1120">
        <v>104.88</v>
      </c>
      <c r="F6613" s="1121">
        <f t="shared" si="1"/>
        <v>3137.28</v>
      </c>
      <c r="G6613" s="1120">
        <v>3128.2</v>
      </c>
      <c r="H6613" s="1127">
        <v>6.34</v>
      </c>
      <c r="I6613" s="1127">
        <v>0.0</v>
      </c>
      <c r="J6613" s="1127">
        <v>2.74</v>
      </c>
      <c r="K6613" s="1124"/>
    </row>
    <row r="6614" ht="15.75" customHeight="1">
      <c r="A6614" s="1119">
        <v>87364.0</v>
      </c>
      <c r="B6614" s="1125" t="s">
        <v>16892</v>
      </c>
      <c r="C6614" s="1126" t="s">
        <v>2178</v>
      </c>
      <c r="D6614" s="1128">
        <v>3206.27</v>
      </c>
      <c r="E6614" s="1120">
        <v>56.64</v>
      </c>
      <c r="F6614" s="1121">
        <f t="shared" si="1"/>
        <v>3149.63</v>
      </c>
      <c r="G6614" s="1120">
        <v>3144.42</v>
      </c>
      <c r="H6614" s="1127">
        <v>3.38</v>
      </c>
      <c r="I6614" s="1127">
        <v>0.0</v>
      </c>
      <c r="J6614" s="1127">
        <v>1.83</v>
      </c>
      <c r="K6614" s="1124"/>
    </row>
    <row r="6615" ht="15.75" customHeight="1">
      <c r="A6615" s="1119">
        <v>87365.0</v>
      </c>
      <c r="B6615" s="1125" t="s">
        <v>16893</v>
      </c>
      <c r="C6615" s="1126" t="s">
        <v>2178</v>
      </c>
      <c r="D6615" s="1119">
        <v>584.3</v>
      </c>
      <c r="E6615" s="1120">
        <v>188.13</v>
      </c>
      <c r="F6615" s="1121">
        <f t="shared" si="1"/>
        <v>396.17</v>
      </c>
      <c r="G6615" s="1120">
        <v>396.17</v>
      </c>
      <c r="H6615" s="1127">
        <v>0.0</v>
      </c>
      <c r="I6615" s="1127">
        <v>0.0</v>
      </c>
      <c r="J6615" s="1127">
        <v>0.0</v>
      </c>
      <c r="K6615" s="1124"/>
    </row>
    <row r="6616" ht="15.75" customHeight="1">
      <c r="A6616" s="1119">
        <v>87366.0</v>
      </c>
      <c r="B6616" s="1125" t="s">
        <v>16894</v>
      </c>
      <c r="C6616" s="1126" t="s">
        <v>2178</v>
      </c>
      <c r="D6616" s="1119">
        <v>613.67</v>
      </c>
      <c r="E6616" s="1120">
        <v>194.05</v>
      </c>
      <c r="F6616" s="1121">
        <f t="shared" si="1"/>
        <v>419.62</v>
      </c>
      <c r="G6616" s="1120">
        <v>419.62</v>
      </c>
      <c r="H6616" s="1127">
        <v>0.0</v>
      </c>
      <c r="I6616" s="1127">
        <v>0.0</v>
      </c>
      <c r="J6616" s="1127">
        <v>0.0</v>
      </c>
      <c r="K6616" s="1124"/>
    </row>
    <row r="6617" ht="15.75" customHeight="1">
      <c r="A6617" s="1119">
        <v>87367.0</v>
      </c>
      <c r="B6617" s="1125" t="s">
        <v>16895</v>
      </c>
      <c r="C6617" s="1126" t="s">
        <v>2178</v>
      </c>
      <c r="D6617" s="1119">
        <v>688.93</v>
      </c>
      <c r="E6617" s="1120">
        <v>195.62</v>
      </c>
      <c r="F6617" s="1121">
        <f t="shared" si="1"/>
        <v>493.31</v>
      </c>
      <c r="G6617" s="1120">
        <v>493.31</v>
      </c>
      <c r="H6617" s="1127">
        <v>0.0</v>
      </c>
      <c r="I6617" s="1127">
        <v>0.0</v>
      </c>
      <c r="J6617" s="1127">
        <v>0.0</v>
      </c>
      <c r="K6617" s="1124"/>
    </row>
    <row r="6618" ht="15.75" customHeight="1">
      <c r="A6618" s="1119">
        <v>87368.0</v>
      </c>
      <c r="B6618" s="1125" t="s">
        <v>16896</v>
      </c>
      <c r="C6618" s="1126" t="s">
        <v>2178</v>
      </c>
      <c r="D6618" s="1119">
        <v>671.95</v>
      </c>
      <c r="E6618" s="1120">
        <v>197.18</v>
      </c>
      <c r="F6618" s="1121">
        <f t="shared" si="1"/>
        <v>474.77</v>
      </c>
      <c r="G6618" s="1120">
        <v>474.77</v>
      </c>
      <c r="H6618" s="1127">
        <v>0.0</v>
      </c>
      <c r="I6618" s="1127">
        <v>0.0</v>
      </c>
      <c r="J6618" s="1127">
        <v>0.0</v>
      </c>
      <c r="K6618" s="1124"/>
    </row>
    <row r="6619" ht="15.75" customHeight="1">
      <c r="A6619" s="1119">
        <v>87369.0</v>
      </c>
      <c r="B6619" s="1125" t="s">
        <v>16897</v>
      </c>
      <c r="C6619" s="1126" t="s">
        <v>2178</v>
      </c>
      <c r="D6619" s="1119">
        <v>680.34</v>
      </c>
      <c r="E6619" s="1120">
        <v>193.36</v>
      </c>
      <c r="F6619" s="1121">
        <f t="shared" si="1"/>
        <v>486.97</v>
      </c>
      <c r="G6619" s="1120">
        <v>486.97</v>
      </c>
      <c r="H6619" s="1127">
        <v>0.0</v>
      </c>
      <c r="I6619" s="1127">
        <v>0.0</v>
      </c>
      <c r="J6619" s="1127">
        <v>0.0</v>
      </c>
      <c r="K6619" s="1124"/>
    </row>
    <row r="6620" ht="15.75" customHeight="1">
      <c r="A6620" s="1119">
        <v>87370.0</v>
      </c>
      <c r="B6620" s="1125" t="s">
        <v>16898</v>
      </c>
      <c r="C6620" s="1126" t="s">
        <v>2178</v>
      </c>
      <c r="D6620" s="1119">
        <v>660.68</v>
      </c>
      <c r="E6620" s="1120">
        <v>194.57</v>
      </c>
      <c r="F6620" s="1121">
        <f t="shared" si="1"/>
        <v>466.11</v>
      </c>
      <c r="G6620" s="1120">
        <v>466.11</v>
      </c>
      <c r="H6620" s="1127">
        <v>0.0</v>
      </c>
      <c r="I6620" s="1127">
        <v>0.0</v>
      </c>
      <c r="J6620" s="1127">
        <v>0.0</v>
      </c>
      <c r="K6620" s="1124"/>
    </row>
    <row r="6621" ht="15.75" customHeight="1">
      <c r="A6621" s="1119">
        <v>87371.0</v>
      </c>
      <c r="B6621" s="1125" t="s">
        <v>16899</v>
      </c>
      <c r="C6621" s="1126" t="s">
        <v>2178</v>
      </c>
      <c r="D6621" s="1119">
        <v>644.56</v>
      </c>
      <c r="E6621" s="1120">
        <v>189.52</v>
      </c>
      <c r="F6621" s="1121">
        <f t="shared" si="1"/>
        <v>455.04</v>
      </c>
      <c r="G6621" s="1120">
        <v>455.04</v>
      </c>
      <c r="H6621" s="1127">
        <v>0.0</v>
      </c>
      <c r="I6621" s="1127">
        <v>0.0</v>
      </c>
      <c r="J6621" s="1127">
        <v>0.0</v>
      </c>
      <c r="K6621" s="1124"/>
    </row>
    <row r="6622" ht="15.75" customHeight="1">
      <c r="A6622" s="1119">
        <v>87372.0</v>
      </c>
      <c r="B6622" s="1125" t="s">
        <v>16900</v>
      </c>
      <c r="C6622" s="1126" t="s">
        <v>2178</v>
      </c>
      <c r="D6622" s="1119">
        <v>823.91</v>
      </c>
      <c r="E6622" s="1120">
        <v>202.94</v>
      </c>
      <c r="F6622" s="1121">
        <f t="shared" si="1"/>
        <v>620.98</v>
      </c>
      <c r="G6622" s="1120">
        <v>620.98</v>
      </c>
      <c r="H6622" s="1127">
        <v>0.0</v>
      </c>
      <c r="I6622" s="1127">
        <v>0.0</v>
      </c>
      <c r="J6622" s="1127">
        <v>0.0</v>
      </c>
      <c r="K6622" s="1124"/>
    </row>
    <row r="6623" ht="15.75" customHeight="1">
      <c r="A6623" s="1119">
        <v>87373.0</v>
      </c>
      <c r="B6623" s="1125" t="s">
        <v>16901</v>
      </c>
      <c r="C6623" s="1126" t="s">
        <v>2178</v>
      </c>
      <c r="D6623" s="1119">
        <v>742.72</v>
      </c>
      <c r="E6623" s="1120">
        <v>191.96</v>
      </c>
      <c r="F6623" s="1121">
        <f t="shared" si="1"/>
        <v>550.76</v>
      </c>
      <c r="G6623" s="1120">
        <v>550.76</v>
      </c>
      <c r="H6623" s="1127">
        <v>0.0</v>
      </c>
      <c r="I6623" s="1127">
        <v>0.0</v>
      </c>
      <c r="J6623" s="1127">
        <v>0.0</v>
      </c>
      <c r="K6623" s="1124"/>
    </row>
    <row r="6624" ht="15.75" customHeight="1">
      <c r="A6624" s="1119">
        <v>87374.0</v>
      </c>
      <c r="B6624" s="1125" t="s">
        <v>16902</v>
      </c>
      <c r="C6624" s="1126" t="s">
        <v>2178</v>
      </c>
      <c r="D6624" s="1119">
        <v>699.72</v>
      </c>
      <c r="E6624" s="1120">
        <v>193.36</v>
      </c>
      <c r="F6624" s="1121">
        <f t="shared" si="1"/>
        <v>506.36</v>
      </c>
      <c r="G6624" s="1120">
        <v>506.36</v>
      </c>
      <c r="H6624" s="1127">
        <v>0.0</v>
      </c>
      <c r="I6624" s="1127">
        <v>0.0</v>
      </c>
      <c r="J6624" s="1127">
        <v>0.0</v>
      </c>
      <c r="K6624" s="1124"/>
    </row>
    <row r="6625" ht="15.75" customHeight="1">
      <c r="A6625" s="1119">
        <v>87375.0</v>
      </c>
      <c r="B6625" s="1125" t="s">
        <v>16903</v>
      </c>
      <c r="C6625" s="1126" t="s">
        <v>2178</v>
      </c>
      <c r="D6625" s="1119">
        <v>673.27</v>
      </c>
      <c r="E6625" s="1120">
        <v>197.01</v>
      </c>
      <c r="F6625" s="1121">
        <f t="shared" si="1"/>
        <v>476.26</v>
      </c>
      <c r="G6625" s="1120">
        <v>476.26</v>
      </c>
      <c r="H6625" s="1127">
        <v>0.0</v>
      </c>
      <c r="I6625" s="1127">
        <v>0.0</v>
      </c>
      <c r="J6625" s="1127">
        <v>0.0</v>
      </c>
      <c r="K6625" s="1124"/>
    </row>
    <row r="6626" ht="15.75" customHeight="1">
      <c r="A6626" s="1119">
        <v>87376.0</v>
      </c>
      <c r="B6626" s="1125" t="s">
        <v>16904</v>
      </c>
      <c r="C6626" s="1126" t="s">
        <v>2178</v>
      </c>
      <c r="D6626" s="1119">
        <v>588.25</v>
      </c>
      <c r="E6626" s="1120">
        <v>188.13</v>
      </c>
      <c r="F6626" s="1121">
        <f t="shared" si="1"/>
        <v>400.12</v>
      </c>
      <c r="G6626" s="1120">
        <v>400.12</v>
      </c>
      <c r="H6626" s="1127">
        <v>0.0</v>
      </c>
      <c r="I6626" s="1127">
        <v>0.0</v>
      </c>
      <c r="J6626" s="1127">
        <v>0.0</v>
      </c>
      <c r="K6626" s="1124"/>
    </row>
    <row r="6627" ht="15.75" customHeight="1">
      <c r="A6627" s="1119">
        <v>87377.0</v>
      </c>
      <c r="B6627" s="1125" t="s">
        <v>16905</v>
      </c>
      <c r="C6627" s="1126" t="s">
        <v>2178</v>
      </c>
      <c r="D6627" s="1119">
        <v>676.84</v>
      </c>
      <c r="E6627" s="1120">
        <v>191.96</v>
      </c>
      <c r="F6627" s="1121">
        <f t="shared" si="1"/>
        <v>484.88</v>
      </c>
      <c r="G6627" s="1120">
        <v>484.88</v>
      </c>
      <c r="H6627" s="1127">
        <v>0.0</v>
      </c>
      <c r="I6627" s="1127">
        <v>0.0</v>
      </c>
      <c r="J6627" s="1127">
        <v>0.0</v>
      </c>
      <c r="K6627" s="1124"/>
    </row>
    <row r="6628" ht="15.75" customHeight="1">
      <c r="A6628" s="1119">
        <v>87378.0</v>
      </c>
      <c r="B6628" s="1125" t="s">
        <v>16906</v>
      </c>
      <c r="C6628" s="1126" t="s">
        <v>2178</v>
      </c>
      <c r="D6628" s="1119">
        <v>617.99</v>
      </c>
      <c r="E6628" s="1120">
        <v>185.69</v>
      </c>
      <c r="F6628" s="1121">
        <f t="shared" si="1"/>
        <v>432.3</v>
      </c>
      <c r="G6628" s="1120">
        <v>432.3</v>
      </c>
      <c r="H6628" s="1127">
        <v>0.0</v>
      </c>
      <c r="I6628" s="1127">
        <v>0.0</v>
      </c>
      <c r="J6628" s="1127">
        <v>0.0</v>
      </c>
      <c r="K6628" s="1124"/>
    </row>
    <row r="6629" ht="15.75" customHeight="1">
      <c r="A6629" s="1119">
        <v>87379.0</v>
      </c>
      <c r="B6629" s="1125" t="s">
        <v>16907</v>
      </c>
      <c r="C6629" s="1126" t="s">
        <v>2178</v>
      </c>
      <c r="D6629" s="1128">
        <v>3376.63</v>
      </c>
      <c r="E6629" s="1120">
        <v>185.52</v>
      </c>
      <c r="F6629" s="1121">
        <f t="shared" si="1"/>
        <v>3191.12</v>
      </c>
      <c r="G6629" s="1120">
        <v>3191.12</v>
      </c>
      <c r="H6629" s="1127">
        <v>0.0</v>
      </c>
      <c r="I6629" s="1127">
        <v>0.0</v>
      </c>
      <c r="J6629" s="1127">
        <v>0.0</v>
      </c>
      <c r="K6629" s="1124"/>
    </row>
    <row r="6630" ht="15.75" customHeight="1">
      <c r="A6630" s="1119">
        <v>87380.0</v>
      </c>
      <c r="B6630" s="1125" t="s">
        <v>16908</v>
      </c>
      <c r="C6630" s="1126" t="s">
        <v>2178</v>
      </c>
      <c r="D6630" s="1128">
        <v>3463.15</v>
      </c>
      <c r="E6630" s="1120">
        <v>189.35</v>
      </c>
      <c r="F6630" s="1121">
        <f t="shared" si="1"/>
        <v>3273.81</v>
      </c>
      <c r="G6630" s="1120">
        <v>3273.81</v>
      </c>
      <c r="H6630" s="1127">
        <v>0.0</v>
      </c>
      <c r="I6630" s="1127">
        <v>0.0</v>
      </c>
      <c r="J6630" s="1127">
        <v>0.0</v>
      </c>
      <c r="K6630" s="1124"/>
    </row>
    <row r="6631" ht="15.75" customHeight="1">
      <c r="A6631" s="1119">
        <v>87381.0</v>
      </c>
      <c r="B6631" s="1125" t="s">
        <v>16909</v>
      </c>
      <c r="C6631" s="1126" t="s">
        <v>2178</v>
      </c>
      <c r="D6631" s="1128">
        <v>3405.31</v>
      </c>
      <c r="E6631" s="1120">
        <v>183.07</v>
      </c>
      <c r="F6631" s="1121">
        <f t="shared" si="1"/>
        <v>3222.23</v>
      </c>
      <c r="G6631" s="1120">
        <v>3222.23</v>
      </c>
      <c r="H6631" s="1127">
        <v>0.0</v>
      </c>
      <c r="I6631" s="1127">
        <v>0.0</v>
      </c>
      <c r="J6631" s="1127">
        <v>0.0</v>
      </c>
      <c r="K6631" s="1124"/>
    </row>
    <row r="6632" ht="15.75" customHeight="1">
      <c r="A6632" s="1119">
        <v>87382.0</v>
      </c>
      <c r="B6632" s="1125" t="s">
        <v>16910</v>
      </c>
      <c r="C6632" s="1126" t="s">
        <v>2178</v>
      </c>
      <c r="D6632" s="1128">
        <v>1568.74</v>
      </c>
      <c r="E6632" s="1120">
        <v>79.82</v>
      </c>
      <c r="F6632" s="1121">
        <f t="shared" si="1"/>
        <v>1488.92</v>
      </c>
      <c r="G6632" s="1120">
        <v>1483.19</v>
      </c>
      <c r="H6632" s="1127">
        <v>4.49</v>
      </c>
      <c r="I6632" s="1127">
        <v>0.0</v>
      </c>
      <c r="J6632" s="1127">
        <v>1.24</v>
      </c>
      <c r="K6632" s="1124"/>
    </row>
    <row r="6633" ht="15.75" customHeight="1">
      <c r="A6633" s="1119">
        <v>87383.0</v>
      </c>
      <c r="B6633" s="1125" t="s">
        <v>16911</v>
      </c>
      <c r="C6633" s="1126" t="s">
        <v>2178</v>
      </c>
      <c r="D6633" s="1128">
        <v>1559.54</v>
      </c>
      <c r="E6633" s="1120">
        <v>62.64</v>
      </c>
      <c r="F6633" s="1121">
        <f t="shared" si="1"/>
        <v>1496.9</v>
      </c>
      <c r="G6633" s="1120">
        <v>1491.48</v>
      </c>
      <c r="H6633" s="1127">
        <v>3.78</v>
      </c>
      <c r="I6633" s="1127">
        <v>0.0</v>
      </c>
      <c r="J6633" s="1127">
        <v>1.64</v>
      </c>
      <c r="K6633" s="1124"/>
    </row>
    <row r="6634" ht="15.75" customHeight="1">
      <c r="A6634" s="1119">
        <v>87384.0</v>
      </c>
      <c r="B6634" s="1125" t="s">
        <v>16912</v>
      </c>
      <c r="C6634" s="1126" t="s">
        <v>2178</v>
      </c>
      <c r="D6634" s="1128">
        <v>1548.26</v>
      </c>
      <c r="E6634" s="1120">
        <v>47.35</v>
      </c>
      <c r="F6634" s="1121">
        <f t="shared" si="1"/>
        <v>1500.91</v>
      </c>
      <c r="G6634" s="1120">
        <v>1496.66</v>
      </c>
      <c r="H6634" s="1127">
        <v>2.75</v>
      </c>
      <c r="I6634" s="1127">
        <v>0.0</v>
      </c>
      <c r="J6634" s="1127">
        <v>1.5</v>
      </c>
      <c r="K6634" s="1124"/>
    </row>
    <row r="6635" ht="15.75" customHeight="1">
      <c r="A6635" s="1119">
        <v>87385.0</v>
      </c>
      <c r="B6635" s="1125" t="s">
        <v>16913</v>
      </c>
      <c r="C6635" s="1126" t="s">
        <v>2178</v>
      </c>
      <c r="D6635" s="1128">
        <v>1827.58</v>
      </c>
      <c r="E6635" s="1120">
        <v>95.22</v>
      </c>
      <c r="F6635" s="1121">
        <f t="shared" si="1"/>
        <v>1732.36</v>
      </c>
      <c r="G6635" s="1120">
        <v>1725.52</v>
      </c>
      <c r="H6635" s="1127">
        <v>5.36</v>
      </c>
      <c r="I6635" s="1127">
        <v>0.0</v>
      </c>
      <c r="J6635" s="1127">
        <v>1.48</v>
      </c>
      <c r="K6635" s="1124"/>
    </row>
    <row r="6636" ht="15.75" customHeight="1">
      <c r="A6636" s="1119">
        <v>87386.0</v>
      </c>
      <c r="B6636" s="1125" t="s">
        <v>16914</v>
      </c>
      <c r="C6636" s="1126" t="s">
        <v>2178</v>
      </c>
      <c r="D6636" s="1128">
        <v>1812.09</v>
      </c>
      <c r="E6636" s="1120">
        <v>71.95</v>
      </c>
      <c r="F6636" s="1121">
        <f t="shared" si="1"/>
        <v>1740.14</v>
      </c>
      <c r="G6636" s="1120">
        <v>1733.92</v>
      </c>
      <c r="H6636" s="1127">
        <v>4.34</v>
      </c>
      <c r="I6636" s="1127">
        <v>0.0</v>
      </c>
      <c r="J6636" s="1127">
        <v>1.88</v>
      </c>
      <c r="K6636" s="1124"/>
    </row>
    <row r="6637" ht="15.75" customHeight="1">
      <c r="A6637" s="1119">
        <v>87387.0</v>
      </c>
      <c r="B6637" s="1125" t="s">
        <v>16915</v>
      </c>
      <c r="C6637" s="1126" t="s">
        <v>2178</v>
      </c>
      <c r="D6637" s="1128">
        <v>1802.43</v>
      </c>
      <c r="E6637" s="1120">
        <v>55.53</v>
      </c>
      <c r="F6637" s="1121">
        <f t="shared" si="1"/>
        <v>1746.9</v>
      </c>
      <c r="G6637" s="1120">
        <v>1741.97</v>
      </c>
      <c r="H6637" s="1127">
        <v>3.19</v>
      </c>
      <c r="I6637" s="1127">
        <v>0.0</v>
      </c>
      <c r="J6637" s="1127">
        <v>1.74</v>
      </c>
      <c r="K6637" s="1124"/>
    </row>
    <row r="6638" ht="15.75" customHeight="1">
      <c r="A6638" s="1119">
        <v>87388.0</v>
      </c>
      <c r="B6638" s="1125" t="s">
        <v>16916</v>
      </c>
      <c r="C6638" s="1126" t="s">
        <v>2178</v>
      </c>
      <c r="D6638" s="1128">
        <v>4338.18</v>
      </c>
      <c r="E6638" s="1120">
        <v>80.36</v>
      </c>
      <c r="F6638" s="1121">
        <f t="shared" si="1"/>
        <v>4257.82</v>
      </c>
      <c r="G6638" s="1120">
        <v>4252.03</v>
      </c>
      <c r="H6638" s="1127">
        <v>4.53</v>
      </c>
      <c r="I6638" s="1127">
        <v>0.0</v>
      </c>
      <c r="J6638" s="1127">
        <v>1.26</v>
      </c>
      <c r="K6638" s="1124"/>
    </row>
    <row r="6639" ht="15.75" customHeight="1">
      <c r="A6639" s="1119">
        <v>87389.0</v>
      </c>
      <c r="B6639" s="1125" t="s">
        <v>16917</v>
      </c>
      <c r="C6639" s="1126" t="s">
        <v>2178</v>
      </c>
      <c r="D6639" s="1128">
        <v>4348.35</v>
      </c>
      <c r="E6639" s="1120">
        <v>62.11</v>
      </c>
      <c r="F6639" s="1121">
        <f t="shared" si="1"/>
        <v>4286.24</v>
      </c>
      <c r="G6639" s="1120">
        <v>4280.88</v>
      </c>
      <c r="H6639" s="1127">
        <v>3.74</v>
      </c>
      <c r="I6639" s="1127">
        <v>0.0</v>
      </c>
      <c r="J6639" s="1127">
        <v>1.62</v>
      </c>
      <c r="K6639" s="1124"/>
    </row>
    <row r="6640" ht="15.75" customHeight="1">
      <c r="A6640" s="1119">
        <v>87390.0</v>
      </c>
      <c r="B6640" s="1125" t="s">
        <v>16918</v>
      </c>
      <c r="C6640" s="1126" t="s">
        <v>2178</v>
      </c>
      <c r="D6640" s="1128">
        <v>4365.82</v>
      </c>
      <c r="E6640" s="1120">
        <v>47.35</v>
      </c>
      <c r="F6640" s="1121">
        <f t="shared" si="1"/>
        <v>4318.47</v>
      </c>
      <c r="G6640" s="1120">
        <v>4314.22</v>
      </c>
      <c r="H6640" s="1127">
        <v>2.75</v>
      </c>
      <c r="I6640" s="1127">
        <v>0.0</v>
      </c>
      <c r="J6640" s="1127">
        <v>1.5</v>
      </c>
      <c r="K6640" s="1124"/>
    </row>
    <row r="6641" ht="15.75" customHeight="1">
      <c r="A6641" s="1119">
        <v>87391.0</v>
      </c>
      <c r="B6641" s="1125" t="s">
        <v>16919</v>
      </c>
      <c r="C6641" s="1126" t="s">
        <v>2178</v>
      </c>
      <c r="D6641" s="1128">
        <v>4823.0</v>
      </c>
      <c r="E6641" s="1120">
        <v>104.17</v>
      </c>
      <c r="F6641" s="1121">
        <f t="shared" si="1"/>
        <v>4718.83</v>
      </c>
      <c r="G6641" s="1120">
        <v>4711.33</v>
      </c>
      <c r="H6641" s="1127">
        <v>5.87</v>
      </c>
      <c r="I6641" s="1127">
        <v>0.0</v>
      </c>
      <c r="J6641" s="1127">
        <v>1.63</v>
      </c>
      <c r="K6641" s="1124"/>
    </row>
    <row r="6642" ht="15.75" customHeight="1">
      <c r="A6642" s="1119">
        <v>87393.0</v>
      </c>
      <c r="B6642" s="1125" t="s">
        <v>16920</v>
      </c>
      <c r="C6642" s="1126" t="s">
        <v>2178</v>
      </c>
      <c r="D6642" s="1128">
        <v>4858.5</v>
      </c>
      <c r="E6642" s="1120">
        <v>84.48</v>
      </c>
      <c r="F6642" s="1121">
        <f t="shared" si="1"/>
        <v>4774.02</v>
      </c>
      <c r="G6642" s="1120">
        <v>4766.72</v>
      </c>
      <c r="H6642" s="1127">
        <v>5.1</v>
      </c>
      <c r="I6642" s="1127">
        <v>0.0</v>
      </c>
      <c r="J6642" s="1127">
        <v>2.2</v>
      </c>
      <c r="K6642" s="1124"/>
    </row>
    <row r="6643" ht="15.75" customHeight="1">
      <c r="A6643" s="1119">
        <v>87394.0</v>
      </c>
      <c r="B6643" s="1125" t="s">
        <v>16921</v>
      </c>
      <c r="C6643" s="1126" t="s">
        <v>2178</v>
      </c>
      <c r="D6643" s="1128">
        <v>4896.17</v>
      </c>
      <c r="E6643" s="1120">
        <v>68.48</v>
      </c>
      <c r="F6643" s="1121">
        <f t="shared" si="1"/>
        <v>4827.68</v>
      </c>
      <c r="G6643" s="1120">
        <v>4821.72</v>
      </c>
      <c r="H6643" s="1127">
        <v>3.86</v>
      </c>
      <c r="I6643" s="1127">
        <v>0.0</v>
      </c>
      <c r="J6643" s="1127">
        <v>2.1</v>
      </c>
      <c r="K6643" s="1124"/>
    </row>
    <row r="6644" ht="15.75" customHeight="1">
      <c r="A6644" s="1119">
        <v>87395.0</v>
      </c>
      <c r="B6644" s="1125" t="s">
        <v>16922</v>
      </c>
      <c r="C6644" s="1126" t="s">
        <v>2178</v>
      </c>
      <c r="D6644" s="1128">
        <v>3063.53</v>
      </c>
      <c r="E6644" s="1120">
        <v>104.17</v>
      </c>
      <c r="F6644" s="1121">
        <f t="shared" si="1"/>
        <v>2959.36</v>
      </c>
      <c r="G6644" s="1120">
        <v>2951.86</v>
      </c>
      <c r="H6644" s="1127">
        <v>5.87</v>
      </c>
      <c r="I6644" s="1127">
        <v>0.0</v>
      </c>
      <c r="J6644" s="1127">
        <v>1.63</v>
      </c>
      <c r="K6644" s="1124"/>
    </row>
    <row r="6645" ht="15.75" customHeight="1">
      <c r="A6645" s="1119">
        <v>87396.0</v>
      </c>
      <c r="B6645" s="1125" t="s">
        <v>16923</v>
      </c>
      <c r="C6645" s="1126" t="s">
        <v>2178</v>
      </c>
      <c r="D6645" s="1128">
        <v>3075.4</v>
      </c>
      <c r="E6645" s="1120">
        <v>84.48</v>
      </c>
      <c r="F6645" s="1121">
        <f t="shared" si="1"/>
        <v>2990.92</v>
      </c>
      <c r="G6645" s="1120">
        <v>2983.62</v>
      </c>
      <c r="H6645" s="1127">
        <v>5.1</v>
      </c>
      <c r="I6645" s="1127">
        <v>0.0</v>
      </c>
      <c r="J6645" s="1127">
        <v>2.2</v>
      </c>
      <c r="K6645" s="1124"/>
    </row>
    <row r="6646" ht="15.75" customHeight="1">
      <c r="A6646" s="1119">
        <v>87397.0</v>
      </c>
      <c r="B6646" s="1125" t="s">
        <v>16924</v>
      </c>
      <c r="C6646" s="1126" t="s">
        <v>2178</v>
      </c>
      <c r="D6646" s="1128">
        <v>3090.49</v>
      </c>
      <c r="E6646" s="1120">
        <v>68.48</v>
      </c>
      <c r="F6646" s="1121">
        <f t="shared" si="1"/>
        <v>3022</v>
      </c>
      <c r="G6646" s="1120">
        <v>3016.04</v>
      </c>
      <c r="H6646" s="1127">
        <v>3.86</v>
      </c>
      <c r="I6646" s="1127">
        <v>0.0</v>
      </c>
      <c r="J6646" s="1127">
        <v>2.1</v>
      </c>
      <c r="K6646" s="1124"/>
    </row>
    <row r="6647" ht="15.75" customHeight="1">
      <c r="A6647" s="1119">
        <v>87398.0</v>
      </c>
      <c r="B6647" s="1125" t="s">
        <v>16925</v>
      </c>
      <c r="C6647" s="1126" t="s">
        <v>2178</v>
      </c>
      <c r="D6647" s="1128">
        <v>1809.36</v>
      </c>
      <c r="E6647" s="1120">
        <v>219.3</v>
      </c>
      <c r="F6647" s="1121">
        <f t="shared" si="1"/>
        <v>1590.05</v>
      </c>
      <c r="G6647" s="1120">
        <v>1590.05</v>
      </c>
      <c r="H6647" s="1127">
        <v>0.0</v>
      </c>
      <c r="I6647" s="1127">
        <v>0.0</v>
      </c>
      <c r="J6647" s="1127">
        <v>0.0</v>
      </c>
      <c r="K6647" s="1124"/>
    </row>
    <row r="6648" ht="15.75" customHeight="1">
      <c r="A6648" s="1119">
        <v>87399.0</v>
      </c>
      <c r="B6648" s="1125" t="s">
        <v>16926</v>
      </c>
      <c r="C6648" s="1126" t="s">
        <v>2178</v>
      </c>
      <c r="D6648" s="1128">
        <v>2072.37</v>
      </c>
      <c r="E6648" s="1120">
        <v>235.68</v>
      </c>
      <c r="F6648" s="1121">
        <f t="shared" si="1"/>
        <v>1836.69</v>
      </c>
      <c r="G6648" s="1120">
        <v>1836.69</v>
      </c>
      <c r="H6648" s="1127">
        <v>0.0</v>
      </c>
      <c r="I6648" s="1127">
        <v>0.0</v>
      </c>
      <c r="J6648" s="1127">
        <v>0.0</v>
      </c>
      <c r="K6648" s="1124"/>
    </row>
    <row r="6649" ht="15.75" customHeight="1">
      <c r="A6649" s="1119">
        <v>87401.0</v>
      </c>
      <c r="B6649" s="1125" t="s">
        <v>16927</v>
      </c>
      <c r="C6649" s="1126" t="s">
        <v>2178</v>
      </c>
      <c r="D6649" s="1128">
        <v>5164.44</v>
      </c>
      <c r="E6649" s="1120">
        <v>274.87</v>
      </c>
      <c r="F6649" s="1121">
        <f t="shared" si="1"/>
        <v>4889.57</v>
      </c>
      <c r="G6649" s="1120">
        <v>4889.57</v>
      </c>
      <c r="H6649" s="1127">
        <v>0.0</v>
      </c>
      <c r="I6649" s="1127">
        <v>0.0</v>
      </c>
      <c r="J6649" s="1127">
        <v>0.0</v>
      </c>
      <c r="K6649" s="1124"/>
    </row>
    <row r="6650" ht="15.75" customHeight="1">
      <c r="A6650" s="1119">
        <v>87402.0</v>
      </c>
      <c r="B6650" s="1125" t="s">
        <v>16928</v>
      </c>
      <c r="C6650" s="1126" t="s">
        <v>2178</v>
      </c>
      <c r="D6650" s="1128">
        <v>3368.94</v>
      </c>
      <c r="E6650" s="1120">
        <v>274.87</v>
      </c>
      <c r="F6650" s="1121">
        <f t="shared" si="1"/>
        <v>3094.07</v>
      </c>
      <c r="G6650" s="1120">
        <v>3094.07</v>
      </c>
      <c r="H6650" s="1127">
        <v>0.0</v>
      </c>
      <c r="I6650" s="1127">
        <v>0.0</v>
      </c>
      <c r="J6650" s="1127">
        <v>0.0</v>
      </c>
      <c r="K6650" s="1124"/>
    </row>
    <row r="6651" ht="15.75" customHeight="1">
      <c r="A6651" s="1119">
        <v>87404.0</v>
      </c>
      <c r="B6651" s="1125" t="s">
        <v>16929</v>
      </c>
      <c r="C6651" s="1126" t="s">
        <v>2178</v>
      </c>
      <c r="D6651" s="1128">
        <v>4519.38</v>
      </c>
      <c r="E6651" s="1120">
        <v>112.41</v>
      </c>
      <c r="F6651" s="1121">
        <f t="shared" si="1"/>
        <v>4406.98</v>
      </c>
      <c r="G6651" s="1120">
        <v>4367.34</v>
      </c>
      <c r="H6651" s="1127">
        <v>39.2</v>
      </c>
      <c r="I6651" s="1127">
        <v>0.0</v>
      </c>
      <c r="J6651" s="1127">
        <v>0.44</v>
      </c>
      <c r="K6651" s="1124"/>
    </row>
    <row r="6652" ht="15.75" customHeight="1">
      <c r="A6652" s="1119">
        <v>87405.0</v>
      </c>
      <c r="B6652" s="1125" t="s">
        <v>16930</v>
      </c>
      <c r="C6652" s="1126" t="s">
        <v>2178</v>
      </c>
      <c r="D6652" s="1128">
        <v>4520.04</v>
      </c>
      <c r="E6652" s="1120">
        <v>84.3</v>
      </c>
      <c r="F6652" s="1121">
        <f t="shared" si="1"/>
        <v>4435.74</v>
      </c>
      <c r="G6652" s="1120">
        <v>4396.49</v>
      </c>
      <c r="H6652" s="1127">
        <v>38.92</v>
      </c>
      <c r="I6652" s="1127">
        <v>0.0</v>
      </c>
      <c r="J6652" s="1127">
        <v>0.33</v>
      </c>
      <c r="K6652" s="1124"/>
    </row>
    <row r="6653" ht="15.75" customHeight="1">
      <c r="A6653" s="1119">
        <v>87407.0</v>
      </c>
      <c r="B6653" s="1125" t="s">
        <v>16931</v>
      </c>
      <c r="C6653" s="1126" t="s">
        <v>2178</v>
      </c>
      <c r="D6653" s="1128">
        <v>1599.61</v>
      </c>
      <c r="E6653" s="1120">
        <v>75.89</v>
      </c>
      <c r="F6653" s="1121">
        <f t="shared" si="1"/>
        <v>1523.71</v>
      </c>
      <c r="G6653" s="1120">
        <v>1495.45</v>
      </c>
      <c r="H6653" s="1127">
        <v>27.82</v>
      </c>
      <c r="I6653" s="1127">
        <v>0.0</v>
      </c>
      <c r="J6653" s="1127">
        <v>0.44</v>
      </c>
      <c r="K6653" s="1124"/>
    </row>
    <row r="6654" ht="15.75" customHeight="1">
      <c r="A6654" s="1119">
        <v>87408.0</v>
      </c>
      <c r="B6654" s="1125" t="s">
        <v>16932</v>
      </c>
      <c r="C6654" s="1126" t="s">
        <v>2178</v>
      </c>
      <c r="D6654" s="1128">
        <v>1582.43</v>
      </c>
      <c r="E6654" s="1120">
        <v>56.91</v>
      </c>
      <c r="F6654" s="1121">
        <f t="shared" si="1"/>
        <v>1525.52</v>
      </c>
      <c r="G6654" s="1120">
        <v>1497.57</v>
      </c>
      <c r="H6654" s="1127">
        <v>27.62</v>
      </c>
      <c r="I6654" s="1127">
        <v>0.0</v>
      </c>
      <c r="J6654" s="1127">
        <v>0.33</v>
      </c>
      <c r="K6654" s="1124"/>
    </row>
    <row r="6655" ht="15.75" customHeight="1">
      <c r="A6655" s="1119">
        <v>87410.0</v>
      </c>
      <c r="B6655" s="1125" t="s">
        <v>16933</v>
      </c>
      <c r="C6655" s="1126" t="s">
        <v>2178</v>
      </c>
      <c r="D6655" s="1119">
        <v>839.64</v>
      </c>
      <c r="E6655" s="1120">
        <v>105.78</v>
      </c>
      <c r="F6655" s="1121">
        <f t="shared" si="1"/>
        <v>733.86</v>
      </c>
      <c r="G6655" s="1120">
        <v>696.28</v>
      </c>
      <c r="H6655" s="1127">
        <v>37.14</v>
      </c>
      <c r="I6655" s="1127">
        <v>0.0</v>
      </c>
      <c r="J6655" s="1127">
        <v>0.44</v>
      </c>
      <c r="K6655" s="1124"/>
    </row>
    <row r="6656" ht="15.75" customHeight="1">
      <c r="A6656" s="1119">
        <v>88626.0</v>
      </c>
      <c r="B6656" s="1125" t="s">
        <v>16934</v>
      </c>
      <c r="C6656" s="1126" t="s">
        <v>2178</v>
      </c>
      <c r="D6656" s="1119">
        <v>521.64</v>
      </c>
      <c r="E6656" s="1120">
        <v>69.45</v>
      </c>
      <c r="F6656" s="1121">
        <f t="shared" si="1"/>
        <v>452.2</v>
      </c>
      <c r="G6656" s="1120">
        <v>449.97</v>
      </c>
      <c r="H6656" s="1127">
        <v>1.51</v>
      </c>
      <c r="I6656" s="1127">
        <v>0.0</v>
      </c>
      <c r="J6656" s="1127">
        <v>0.72</v>
      </c>
      <c r="K6656" s="1124"/>
    </row>
    <row r="6657" ht="15.75" customHeight="1">
      <c r="A6657" s="1119">
        <v>88627.0</v>
      </c>
      <c r="B6657" s="1125" t="s">
        <v>16935</v>
      </c>
      <c r="C6657" s="1126" t="s">
        <v>2178</v>
      </c>
      <c r="D6657" s="1119">
        <v>644.55</v>
      </c>
      <c r="E6657" s="1120">
        <v>152.93</v>
      </c>
      <c r="F6657" s="1121">
        <f t="shared" si="1"/>
        <v>491.62</v>
      </c>
      <c r="G6657" s="1120">
        <v>491.62</v>
      </c>
      <c r="H6657" s="1127">
        <v>0.0</v>
      </c>
      <c r="I6657" s="1127">
        <v>0.0</v>
      </c>
      <c r="J6657" s="1127">
        <v>0.0</v>
      </c>
      <c r="K6657" s="1124"/>
    </row>
    <row r="6658" ht="15.75" customHeight="1">
      <c r="A6658" s="1119">
        <v>88628.0</v>
      </c>
      <c r="B6658" s="1125" t="s">
        <v>16936</v>
      </c>
      <c r="C6658" s="1126" t="s">
        <v>2178</v>
      </c>
      <c r="D6658" s="1119">
        <v>541.73</v>
      </c>
      <c r="E6658" s="1120">
        <v>61.21</v>
      </c>
      <c r="F6658" s="1121">
        <f t="shared" si="1"/>
        <v>480.53</v>
      </c>
      <c r="G6658" s="1120">
        <v>478.55</v>
      </c>
      <c r="H6658" s="1127">
        <v>1.34</v>
      </c>
      <c r="I6658" s="1127">
        <v>0.0</v>
      </c>
      <c r="J6658" s="1127">
        <v>0.64</v>
      </c>
      <c r="K6658" s="1124"/>
    </row>
    <row r="6659" ht="15.75" customHeight="1">
      <c r="A6659" s="1119">
        <v>88629.0</v>
      </c>
      <c r="B6659" s="1125" t="s">
        <v>16937</v>
      </c>
      <c r="C6659" s="1126" t="s">
        <v>2178</v>
      </c>
      <c r="D6659" s="1119">
        <v>670.4</v>
      </c>
      <c r="E6659" s="1120">
        <v>149.28</v>
      </c>
      <c r="F6659" s="1121">
        <f t="shared" si="1"/>
        <v>521.13</v>
      </c>
      <c r="G6659" s="1120">
        <v>521.13</v>
      </c>
      <c r="H6659" s="1127">
        <v>0.0</v>
      </c>
      <c r="I6659" s="1127">
        <v>0.0</v>
      </c>
      <c r="J6659" s="1127">
        <v>0.0</v>
      </c>
      <c r="K6659" s="1124"/>
    </row>
    <row r="6660" ht="15.75" customHeight="1">
      <c r="A6660" s="1119">
        <v>88630.0</v>
      </c>
      <c r="B6660" s="1125" t="s">
        <v>16938</v>
      </c>
      <c r="C6660" s="1126" t="s">
        <v>2178</v>
      </c>
      <c r="D6660" s="1119">
        <v>467.66</v>
      </c>
      <c r="E6660" s="1120">
        <v>60.14</v>
      </c>
      <c r="F6660" s="1121">
        <f t="shared" si="1"/>
        <v>407.53</v>
      </c>
      <c r="G6660" s="1120">
        <v>405.6</v>
      </c>
      <c r="H6660" s="1127">
        <v>1.31</v>
      </c>
      <c r="I6660" s="1127">
        <v>0.0</v>
      </c>
      <c r="J6660" s="1127">
        <v>0.62</v>
      </c>
      <c r="K6660" s="1124"/>
    </row>
    <row r="6661" ht="15.75" customHeight="1">
      <c r="A6661" s="1119">
        <v>88631.0</v>
      </c>
      <c r="B6661" s="1125" t="s">
        <v>16939</v>
      </c>
      <c r="C6661" s="1126" t="s">
        <v>2178</v>
      </c>
      <c r="D6661" s="1119">
        <v>606.73</v>
      </c>
      <c r="E6661" s="1120">
        <v>144.4</v>
      </c>
      <c r="F6661" s="1121">
        <f t="shared" si="1"/>
        <v>462.32</v>
      </c>
      <c r="G6661" s="1120">
        <v>462.32</v>
      </c>
      <c r="H6661" s="1127">
        <v>0.0</v>
      </c>
      <c r="I6661" s="1127">
        <v>0.0</v>
      </c>
      <c r="J6661" s="1127">
        <v>0.0</v>
      </c>
      <c r="K6661" s="1124"/>
    </row>
    <row r="6662" ht="15.75" customHeight="1">
      <c r="A6662" s="1119">
        <v>88715.0</v>
      </c>
      <c r="B6662" s="1125" t="s">
        <v>16940</v>
      </c>
      <c r="C6662" s="1126" t="s">
        <v>2178</v>
      </c>
      <c r="D6662" s="1119">
        <v>494.5</v>
      </c>
      <c r="E6662" s="1120">
        <v>76.24</v>
      </c>
      <c r="F6662" s="1121">
        <f t="shared" si="1"/>
        <v>418.26</v>
      </c>
      <c r="G6662" s="1120">
        <v>415.81</v>
      </c>
      <c r="H6662" s="1127">
        <v>1.66</v>
      </c>
      <c r="I6662" s="1127">
        <v>0.0</v>
      </c>
      <c r="J6662" s="1127">
        <v>0.79</v>
      </c>
      <c r="K6662" s="1124"/>
    </row>
    <row r="6663" ht="15.75" customHeight="1">
      <c r="A6663" s="1119">
        <v>95563.0</v>
      </c>
      <c r="B6663" s="1125" t="s">
        <v>16941</v>
      </c>
      <c r="C6663" s="1126" t="s">
        <v>2178</v>
      </c>
      <c r="D6663" s="1119">
        <v>805.41</v>
      </c>
      <c r="E6663" s="1120">
        <v>142.76</v>
      </c>
      <c r="F6663" s="1121">
        <f t="shared" si="1"/>
        <v>662.65</v>
      </c>
      <c r="G6663" s="1120">
        <v>643.09</v>
      </c>
      <c r="H6663" s="1127">
        <v>16.56</v>
      </c>
      <c r="I6663" s="1127">
        <v>0.0</v>
      </c>
      <c r="J6663" s="1127">
        <v>3.0</v>
      </c>
      <c r="K6663" s="1124"/>
    </row>
    <row r="6664" ht="15.75" customHeight="1">
      <c r="A6664" s="1119">
        <v>100464.0</v>
      </c>
      <c r="B6664" s="1125" t="s">
        <v>16942</v>
      </c>
      <c r="C6664" s="1126" t="s">
        <v>2178</v>
      </c>
      <c r="D6664" s="1119">
        <v>550.63</v>
      </c>
      <c r="E6664" s="1120">
        <v>95.22</v>
      </c>
      <c r="F6664" s="1121">
        <f t="shared" si="1"/>
        <v>455.41</v>
      </c>
      <c r="G6664" s="1120">
        <v>448.57</v>
      </c>
      <c r="H6664" s="1127">
        <v>5.36</v>
      </c>
      <c r="I6664" s="1127">
        <v>0.0</v>
      </c>
      <c r="J6664" s="1127">
        <v>1.48</v>
      </c>
      <c r="K6664" s="1124"/>
    </row>
    <row r="6665" ht="15.75" customHeight="1">
      <c r="A6665" s="1119">
        <v>100465.0</v>
      </c>
      <c r="B6665" s="1125" t="s">
        <v>16943</v>
      </c>
      <c r="C6665" s="1126" t="s">
        <v>2178</v>
      </c>
      <c r="D6665" s="1119">
        <v>507.86</v>
      </c>
      <c r="E6665" s="1120">
        <v>62.82</v>
      </c>
      <c r="F6665" s="1121">
        <f t="shared" si="1"/>
        <v>445.04</v>
      </c>
      <c r="G6665" s="1120">
        <v>439.61</v>
      </c>
      <c r="H6665" s="1127">
        <v>3.79</v>
      </c>
      <c r="I6665" s="1127">
        <v>0.0</v>
      </c>
      <c r="J6665" s="1127">
        <v>1.64</v>
      </c>
      <c r="K6665" s="1124"/>
    </row>
    <row r="6666" ht="15.75" customHeight="1">
      <c r="A6666" s="1119">
        <v>100466.0</v>
      </c>
      <c r="B6666" s="1125" t="s">
        <v>16944</v>
      </c>
      <c r="C6666" s="1126" t="s">
        <v>2178</v>
      </c>
      <c r="D6666" s="1119">
        <v>487.39</v>
      </c>
      <c r="E6666" s="1120">
        <v>46.6</v>
      </c>
      <c r="F6666" s="1121">
        <f t="shared" si="1"/>
        <v>440.79</v>
      </c>
      <c r="G6666" s="1120">
        <v>436.72</v>
      </c>
      <c r="H6666" s="1127">
        <v>2.63</v>
      </c>
      <c r="I6666" s="1127">
        <v>0.0</v>
      </c>
      <c r="J6666" s="1127">
        <v>1.44</v>
      </c>
      <c r="K6666" s="1124"/>
    </row>
    <row r="6667" ht="15.75" customHeight="1">
      <c r="A6667" s="1119">
        <v>100468.0</v>
      </c>
      <c r="B6667" s="1125" t="s">
        <v>16945</v>
      </c>
      <c r="C6667" s="1126" t="s">
        <v>2178</v>
      </c>
      <c r="D6667" s="1119">
        <v>656.53</v>
      </c>
      <c r="E6667" s="1120">
        <v>121.53</v>
      </c>
      <c r="F6667" s="1121">
        <f t="shared" si="1"/>
        <v>535</v>
      </c>
      <c r="G6667" s="1120">
        <v>487.79</v>
      </c>
      <c r="H6667" s="1127">
        <v>45.32</v>
      </c>
      <c r="I6667" s="1127">
        <v>0.0</v>
      </c>
      <c r="J6667" s="1127">
        <v>1.89</v>
      </c>
      <c r="K6667" s="1124"/>
    </row>
    <row r="6668" ht="15.75" customHeight="1">
      <c r="A6668" s="1119">
        <v>100469.0</v>
      </c>
      <c r="B6668" s="1125" t="s">
        <v>16946</v>
      </c>
      <c r="C6668" s="1126" t="s">
        <v>2178</v>
      </c>
      <c r="D6668" s="1119">
        <v>531.28</v>
      </c>
      <c r="E6668" s="1120">
        <v>58.16</v>
      </c>
      <c r="F6668" s="1121">
        <f t="shared" si="1"/>
        <v>473.12</v>
      </c>
      <c r="G6668" s="1120">
        <v>468.1</v>
      </c>
      <c r="H6668" s="1127">
        <v>3.5</v>
      </c>
      <c r="I6668" s="1127">
        <v>0.0</v>
      </c>
      <c r="J6668" s="1127">
        <v>1.52</v>
      </c>
      <c r="K6668" s="1124"/>
    </row>
    <row r="6669" ht="15.75" customHeight="1">
      <c r="A6669" s="1119">
        <v>100470.0</v>
      </c>
      <c r="B6669" s="1125" t="s">
        <v>16947</v>
      </c>
      <c r="C6669" s="1126" t="s">
        <v>2178</v>
      </c>
      <c r="D6669" s="1119">
        <v>484.53</v>
      </c>
      <c r="E6669" s="1120">
        <v>58.16</v>
      </c>
      <c r="F6669" s="1121">
        <f t="shared" si="1"/>
        <v>426.37</v>
      </c>
      <c r="G6669" s="1120">
        <v>419.9</v>
      </c>
      <c r="H6669" s="1127">
        <v>4.19</v>
      </c>
      <c r="I6669" s="1127">
        <v>0.0</v>
      </c>
      <c r="J6669" s="1127">
        <v>2.28</v>
      </c>
      <c r="K6669" s="1124"/>
    </row>
    <row r="6670" ht="15.75" customHeight="1">
      <c r="A6670" s="1119">
        <v>100472.0</v>
      </c>
      <c r="B6670" s="1125" t="s">
        <v>16948</v>
      </c>
      <c r="C6670" s="1126" t="s">
        <v>2178</v>
      </c>
      <c r="D6670" s="1119">
        <v>536.35</v>
      </c>
      <c r="E6670" s="1120">
        <v>102.74</v>
      </c>
      <c r="F6670" s="1121">
        <f t="shared" si="1"/>
        <v>433.61</v>
      </c>
      <c r="G6670" s="1120">
        <v>426.21</v>
      </c>
      <c r="H6670" s="1127">
        <v>5.8</v>
      </c>
      <c r="I6670" s="1127">
        <v>0.0</v>
      </c>
      <c r="J6670" s="1127">
        <v>1.6</v>
      </c>
      <c r="K6670" s="1124"/>
    </row>
    <row r="6671" ht="15.75" customHeight="1">
      <c r="A6671" s="1119">
        <v>100473.0</v>
      </c>
      <c r="B6671" s="1125" t="s">
        <v>16949</v>
      </c>
      <c r="C6671" s="1126" t="s">
        <v>2178</v>
      </c>
      <c r="D6671" s="1119">
        <v>482.45</v>
      </c>
      <c r="E6671" s="1120">
        <v>63.17</v>
      </c>
      <c r="F6671" s="1121">
        <f t="shared" si="1"/>
        <v>419.28</v>
      </c>
      <c r="G6671" s="1120">
        <v>413.84</v>
      </c>
      <c r="H6671" s="1127">
        <v>3.8</v>
      </c>
      <c r="I6671" s="1127">
        <v>0.0</v>
      </c>
      <c r="J6671" s="1127">
        <v>1.64</v>
      </c>
      <c r="K6671" s="1124"/>
    </row>
    <row r="6672" ht="15.75" customHeight="1">
      <c r="A6672" s="1119">
        <v>100474.0</v>
      </c>
      <c r="B6672" s="1125" t="s">
        <v>16950</v>
      </c>
      <c r="C6672" s="1126" t="s">
        <v>2178</v>
      </c>
      <c r="D6672" s="1119">
        <v>459.41</v>
      </c>
      <c r="E6672" s="1120">
        <v>44.45</v>
      </c>
      <c r="F6672" s="1121">
        <f t="shared" si="1"/>
        <v>414.97</v>
      </c>
      <c r="G6672" s="1120">
        <v>411.14</v>
      </c>
      <c r="H6672" s="1127">
        <v>2.48</v>
      </c>
      <c r="I6672" s="1127">
        <v>0.0</v>
      </c>
      <c r="J6672" s="1127">
        <v>1.35</v>
      </c>
      <c r="K6672" s="1124"/>
    </row>
    <row r="6673" ht="15.75" customHeight="1">
      <c r="A6673" s="1119">
        <v>100475.0</v>
      </c>
      <c r="B6673" s="1125" t="s">
        <v>16951</v>
      </c>
      <c r="C6673" s="1126" t="s">
        <v>2178</v>
      </c>
      <c r="D6673" s="1119">
        <v>688.63</v>
      </c>
      <c r="E6673" s="1120">
        <v>67.12</v>
      </c>
      <c r="F6673" s="1121">
        <f t="shared" si="1"/>
        <v>621.52</v>
      </c>
      <c r="G6673" s="1120">
        <v>619.37</v>
      </c>
      <c r="H6673" s="1127">
        <v>1.46</v>
      </c>
      <c r="I6673" s="1127">
        <v>0.0</v>
      </c>
      <c r="J6673" s="1127">
        <v>0.69</v>
      </c>
      <c r="K6673" s="1124"/>
    </row>
    <row r="6674" ht="15.75" customHeight="1">
      <c r="A6674" s="1119">
        <v>100477.0</v>
      </c>
      <c r="B6674" s="1125" t="s">
        <v>16952</v>
      </c>
      <c r="C6674" s="1126" t="s">
        <v>2178</v>
      </c>
      <c r="D6674" s="1119">
        <v>758.29</v>
      </c>
      <c r="E6674" s="1120">
        <v>127.45</v>
      </c>
      <c r="F6674" s="1121">
        <f t="shared" si="1"/>
        <v>630.85</v>
      </c>
      <c r="G6674" s="1120">
        <v>621.67</v>
      </c>
      <c r="H6674" s="1127">
        <v>7.19</v>
      </c>
      <c r="I6674" s="1127">
        <v>0.0</v>
      </c>
      <c r="J6674" s="1127">
        <v>1.99</v>
      </c>
      <c r="K6674" s="1124"/>
    </row>
    <row r="6675" ht="15.75" customHeight="1">
      <c r="A6675" s="1119">
        <v>100478.0</v>
      </c>
      <c r="B6675" s="1125" t="s">
        <v>16953</v>
      </c>
      <c r="C6675" s="1126" t="s">
        <v>2178</v>
      </c>
      <c r="D6675" s="1119">
        <v>674.68</v>
      </c>
      <c r="E6675" s="1120">
        <v>64.07</v>
      </c>
      <c r="F6675" s="1121">
        <f t="shared" si="1"/>
        <v>610.6</v>
      </c>
      <c r="G6675" s="1120">
        <v>605.07</v>
      </c>
      <c r="H6675" s="1127">
        <v>3.87</v>
      </c>
      <c r="I6675" s="1127">
        <v>0.0</v>
      </c>
      <c r="J6675" s="1127">
        <v>1.66</v>
      </c>
      <c r="K6675" s="1124"/>
    </row>
    <row r="6676" ht="15.75" customHeight="1">
      <c r="A6676" s="1119">
        <v>100479.0</v>
      </c>
      <c r="B6676" s="1125" t="s">
        <v>16954</v>
      </c>
      <c r="C6676" s="1126" t="s">
        <v>2178</v>
      </c>
      <c r="D6676" s="1119">
        <v>657.46</v>
      </c>
      <c r="E6676" s="1120">
        <v>49.79</v>
      </c>
      <c r="F6676" s="1121">
        <f t="shared" si="1"/>
        <v>607.67</v>
      </c>
      <c r="G6676" s="1120">
        <v>603.42</v>
      </c>
      <c r="H6676" s="1127">
        <v>2.75</v>
      </c>
      <c r="I6676" s="1127">
        <v>0.0</v>
      </c>
      <c r="J6676" s="1127">
        <v>1.5</v>
      </c>
      <c r="K6676" s="1124"/>
    </row>
    <row r="6677" ht="15.75" customHeight="1">
      <c r="A6677" s="1119">
        <v>100480.0</v>
      </c>
      <c r="B6677" s="1125" t="s">
        <v>16955</v>
      </c>
      <c r="C6677" s="1126" t="s">
        <v>2178</v>
      </c>
      <c r="D6677" s="1119">
        <v>816.51</v>
      </c>
      <c r="E6677" s="1120">
        <v>155.03</v>
      </c>
      <c r="F6677" s="1121">
        <f t="shared" si="1"/>
        <v>661.48</v>
      </c>
      <c r="G6677" s="1120">
        <v>661.48</v>
      </c>
      <c r="H6677" s="1127">
        <v>0.0</v>
      </c>
      <c r="I6677" s="1127">
        <v>0.0</v>
      </c>
      <c r="J6677" s="1127">
        <v>0.0</v>
      </c>
      <c r="K6677" s="1124"/>
    </row>
    <row r="6678" ht="15.75" customHeight="1">
      <c r="A6678" s="1119">
        <v>100481.0</v>
      </c>
      <c r="B6678" s="1125" t="s">
        <v>16956</v>
      </c>
      <c r="C6678" s="1126" t="s">
        <v>2178</v>
      </c>
      <c r="D6678" s="1119">
        <v>597.79</v>
      </c>
      <c r="E6678" s="1120">
        <v>62.82</v>
      </c>
      <c r="F6678" s="1121">
        <f t="shared" si="1"/>
        <v>534.97</v>
      </c>
      <c r="G6678" s="1120">
        <v>532.95</v>
      </c>
      <c r="H6678" s="1127">
        <v>1.37</v>
      </c>
      <c r="I6678" s="1127">
        <v>0.0</v>
      </c>
      <c r="J6678" s="1127">
        <v>0.65</v>
      </c>
      <c r="K6678" s="1124"/>
    </row>
    <row r="6679" ht="15.75" customHeight="1">
      <c r="A6679" s="1119">
        <v>100483.0</v>
      </c>
      <c r="B6679" s="1125" t="s">
        <v>16957</v>
      </c>
      <c r="C6679" s="1126" t="s">
        <v>2178</v>
      </c>
      <c r="D6679" s="1119">
        <v>649.64</v>
      </c>
      <c r="E6679" s="1120">
        <v>107.57</v>
      </c>
      <c r="F6679" s="1121">
        <f t="shared" si="1"/>
        <v>542.07</v>
      </c>
      <c r="G6679" s="1120">
        <v>534.32</v>
      </c>
      <c r="H6679" s="1127">
        <v>6.07</v>
      </c>
      <c r="I6679" s="1127">
        <v>0.0</v>
      </c>
      <c r="J6679" s="1127">
        <v>1.68</v>
      </c>
      <c r="K6679" s="1124"/>
    </row>
    <row r="6680" ht="15.75" customHeight="1">
      <c r="A6680" s="1119">
        <v>100484.0</v>
      </c>
      <c r="B6680" s="1125" t="s">
        <v>16958</v>
      </c>
      <c r="C6680" s="1126" t="s">
        <v>2178</v>
      </c>
      <c r="D6680" s="1119">
        <v>596.71</v>
      </c>
      <c r="E6680" s="1120">
        <v>68.02</v>
      </c>
      <c r="F6680" s="1121">
        <f t="shared" si="1"/>
        <v>528.69</v>
      </c>
      <c r="G6680" s="1120">
        <v>522.81</v>
      </c>
      <c r="H6680" s="1127">
        <v>4.1</v>
      </c>
      <c r="I6680" s="1127">
        <v>0.0</v>
      </c>
      <c r="J6680" s="1127">
        <v>1.78</v>
      </c>
      <c r="K6680" s="1124"/>
    </row>
    <row r="6681" ht="15.75" customHeight="1">
      <c r="A6681" s="1119">
        <v>100485.0</v>
      </c>
      <c r="B6681" s="1125" t="s">
        <v>16959</v>
      </c>
      <c r="C6681" s="1126" t="s">
        <v>2178</v>
      </c>
      <c r="D6681" s="1119">
        <v>575.79</v>
      </c>
      <c r="E6681" s="1120">
        <v>49.6</v>
      </c>
      <c r="F6681" s="1121">
        <f t="shared" si="1"/>
        <v>526.19</v>
      </c>
      <c r="G6681" s="1120">
        <v>521.96</v>
      </c>
      <c r="H6681" s="1127">
        <v>2.73</v>
      </c>
      <c r="I6681" s="1127">
        <v>0.0</v>
      </c>
      <c r="J6681" s="1127">
        <v>1.5</v>
      </c>
      <c r="K6681" s="1124"/>
    </row>
    <row r="6682" ht="15.75" customHeight="1">
      <c r="A6682" s="1119">
        <v>100486.0</v>
      </c>
      <c r="B6682" s="1125" t="s">
        <v>16960</v>
      </c>
      <c r="C6682" s="1126" t="s">
        <v>2178</v>
      </c>
      <c r="D6682" s="1119">
        <v>729.46</v>
      </c>
      <c r="E6682" s="1120">
        <v>148.93</v>
      </c>
      <c r="F6682" s="1121">
        <f t="shared" si="1"/>
        <v>580.53</v>
      </c>
      <c r="G6682" s="1120">
        <v>580.53</v>
      </c>
      <c r="H6682" s="1127">
        <v>0.0</v>
      </c>
      <c r="I6682" s="1127">
        <v>0.0</v>
      </c>
      <c r="J6682" s="1127">
        <v>0.0</v>
      </c>
      <c r="K6682" s="1124"/>
    </row>
    <row r="6683" ht="15.75" customHeight="1">
      <c r="A6683" s="1119">
        <v>100487.0</v>
      </c>
      <c r="B6683" s="1125" t="s">
        <v>16961</v>
      </c>
      <c r="C6683" s="1126" t="s">
        <v>2178</v>
      </c>
      <c r="D6683" s="1119">
        <v>467.85</v>
      </c>
      <c r="E6683" s="1120">
        <v>60.73</v>
      </c>
      <c r="F6683" s="1121">
        <f t="shared" si="1"/>
        <v>407.12</v>
      </c>
      <c r="G6683" s="1120">
        <v>401.58</v>
      </c>
      <c r="H6683" s="1127">
        <v>3.59</v>
      </c>
      <c r="I6683" s="1127">
        <v>0.0</v>
      </c>
      <c r="J6683" s="1127">
        <v>1.95</v>
      </c>
      <c r="K6683" s="1124"/>
    </row>
    <row r="6684" ht="15.75" customHeight="1">
      <c r="A6684" s="1119">
        <v>100488.0</v>
      </c>
      <c r="B6684" s="1125" t="s">
        <v>16962</v>
      </c>
      <c r="C6684" s="1126" t="s">
        <v>2178</v>
      </c>
      <c r="D6684" s="1119">
        <v>511.65</v>
      </c>
      <c r="E6684" s="1120">
        <v>57.96</v>
      </c>
      <c r="F6684" s="1121">
        <f t="shared" si="1"/>
        <v>453.69</v>
      </c>
      <c r="G6684" s="1120">
        <v>448.65</v>
      </c>
      <c r="H6684" s="1127">
        <v>4.12</v>
      </c>
      <c r="I6684" s="1127">
        <v>0.0</v>
      </c>
      <c r="J6684" s="1127">
        <v>0.92</v>
      </c>
      <c r="K6684" s="1124"/>
    </row>
    <row r="6685" ht="15.75" customHeight="1">
      <c r="A6685" s="1119">
        <v>100489.0</v>
      </c>
      <c r="B6685" s="1125" t="s">
        <v>16963</v>
      </c>
      <c r="C6685" s="1126" t="s">
        <v>2178</v>
      </c>
      <c r="D6685" s="1119">
        <v>539.46</v>
      </c>
      <c r="E6685" s="1120">
        <v>56.72</v>
      </c>
      <c r="F6685" s="1121">
        <f t="shared" si="1"/>
        <v>482.74</v>
      </c>
      <c r="G6685" s="1120">
        <v>477.79</v>
      </c>
      <c r="H6685" s="1127">
        <v>4.04</v>
      </c>
      <c r="I6685" s="1127">
        <v>0.0</v>
      </c>
      <c r="J6685" s="1127">
        <v>0.91</v>
      </c>
      <c r="K6685" s="1124"/>
    </row>
    <row r="6686" ht="15.75" customHeight="1">
      <c r="A6686" s="1119">
        <v>100490.0</v>
      </c>
      <c r="B6686" s="1125" t="s">
        <v>16964</v>
      </c>
      <c r="C6686" s="1126" t="s">
        <v>2178</v>
      </c>
      <c r="D6686" s="1119">
        <v>479.09</v>
      </c>
      <c r="E6686" s="1120">
        <v>53.52</v>
      </c>
      <c r="F6686" s="1121">
        <f t="shared" si="1"/>
        <v>425.58</v>
      </c>
      <c r="G6686" s="1120">
        <v>420.9</v>
      </c>
      <c r="H6686" s="1127">
        <v>3.82</v>
      </c>
      <c r="I6686" s="1127">
        <v>0.0</v>
      </c>
      <c r="J6686" s="1127">
        <v>0.86</v>
      </c>
      <c r="K6686" s="1124"/>
    </row>
    <row r="6687" ht="15.75" customHeight="1">
      <c r="A6687" s="1119">
        <v>100491.0</v>
      </c>
      <c r="B6687" s="1125" t="s">
        <v>16965</v>
      </c>
      <c r="C6687" s="1126" t="s">
        <v>2178</v>
      </c>
      <c r="D6687" s="1119">
        <v>687.69</v>
      </c>
      <c r="E6687" s="1120">
        <v>63.29</v>
      </c>
      <c r="F6687" s="1121">
        <f t="shared" si="1"/>
        <v>624.41</v>
      </c>
      <c r="G6687" s="1120">
        <v>618.99</v>
      </c>
      <c r="H6687" s="1127">
        <v>4.43</v>
      </c>
      <c r="I6687" s="1127">
        <v>0.0</v>
      </c>
      <c r="J6687" s="1127">
        <v>0.99</v>
      </c>
      <c r="K6687" s="1124"/>
    </row>
    <row r="6688" ht="15.75" customHeight="1">
      <c r="A6688" s="1119">
        <v>100492.0</v>
      </c>
      <c r="B6688" s="1125" t="s">
        <v>16966</v>
      </c>
      <c r="C6688" s="1126" t="s">
        <v>2178</v>
      </c>
      <c r="D6688" s="1119">
        <v>597.2</v>
      </c>
      <c r="E6688" s="1120">
        <v>58.66</v>
      </c>
      <c r="F6688" s="1121">
        <f t="shared" si="1"/>
        <v>538.55</v>
      </c>
      <c r="G6688" s="1120">
        <v>533.5</v>
      </c>
      <c r="H6688" s="1127">
        <v>4.13</v>
      </c>
      <c r="I6688" s="1127">
        <v>0.0</v>
      </c>
      <c r="J6688" s="1127">
        <v>0.92</v>
      </c>
      <c r="K6688" s="1124"/>
    </row>
    <row r="6689" ht="15.75" customHeight="1">
      <c r="A6689" s="1119">
        <v>92121.0</v>
      </c>
      <c r="B6689" s="1125" t="s">
        <v>16967</v>
      </c>
      <c r="C6689" s="1126" t="s">
        <v>2178</v>
      </c>
      <c r="D6689" s="1119">
        <v>35.25</v>
      </c>
      <c r="E6689" s="1120">
        <v>23.01</v>
      </c>
      <c r="F6689" s="1121">
        <f t="shared" si="1"/>
        <v>12.23</v>
      </c>
      <c r="G6689" s="1120">
        <v>10.13</v>
      </c>
      <c r="H6689" s="1127">
        <v>1.76</v>
      </c>
      <c r="I6689" s="1127">
        <v>0.0</v>
      </c>
      <c r="J6689" s="1127">
        <v>0.34</v>
      </c>
      <c r="K6689" s="1124"/>
    </row>
    <row r="6690" ht="15.75" customHeight="1">
      <c r="A6690" s="1119">
        <v>92122.0</v>
      </c>
      <c r="B6690" s="1125" t="s">
        <v>16968</v>
      </c>
      <c r="C6690" s="1126" t="s">
        <v>2178</v>
      </c>
      <c r="D6690" s="1119">
        <v>60.23</v>
      </c>
      <c r="E6690" s="1120">
        <v>41.79</v>
      </c>
      <c r="F6690" s="1121">
        <f t="shared" si="1"/>
        <v>18.44</v>
      </c>
      <c r="G6690" s="1120">
        <v>18.44</v>
      </c>
      <c r="H6690" s="1127">
        <v>0.0</v>
      </c>
      <c r="I6690" s="1127">
        <v>0.0</v>
      </c>
      <c r="J6690" s="1127">
        <v>0.0</v>
      </c>
      <c r="K6690" s="1124"/>
    </row>
    <row r="6691" ht="15.75" customHeight="1">
      <c r="A6691" s="1119">
        <v>92123.0</v>
      </c>
      <c r="B6691" s="1125" t="s">
        <v>16969</v>
      </c>
      <c r="C6691" s="1126" t="s">
        <v>2178</v>
      </c>
      <c r="D6691" s="1119">
        <v>55.8</v>
      </c>
      <c r="E6691" s="1120">
        <v>26.85</v>
      </c>
      <c r="F6691" s="1121">
        <f t="shared" si="1"/>
        <v>28.95</v>
      </c>
      <c r="G6691" s="1120">
        <v>28.51</v>
      </c>
      <c r="H6691" s="1127">
        <v>0.44</v>
      </c>
      <c r="I6691" s="1127">
        <v>0.0</v>
      </c>
      <c r="J6691" s="1127">
        <v>0.0</v>
      </c>
      <c r="K6691" s="1124"/>
    </row>
    <row r="6692" ht="15.75" customHeight="1">
      <c r="A6692" s="1119">
        <v>100195.0</v>
      </c>
      <c r="B6692" s="1125" t="s">
        <v>16970</v>
      </c>
      <c r="C6692" s="1126" t="s">
        <v>16971</v>
      </c>
      <c r="D6692" s="1119">
        <v>0.92</v>
      </c>
      <c r="E6692" s="1120">
        <v>0.66</v>
      </c>
      <c r="F6692" s="1121">
        <f t="shared" si="1"/>
        <v>0.26</v>
      </c>
      <c r="G6692" s="1120">
        <v>0.26</v>
      </c>
      <c r="H6692" s="1127">
        <v>0.0</v>
      </c>
      <c r="I6692" s="1127">
        <v>0.0</v>
      </c>
      <c r="J6692" s="1127">
        <v>0.0</v>
      </c>
      <c r="K6692" s="1124"/>
    </row>
    <row r="6693" ht="15.75" customHeight="1">
      <c r="A6693" s="1119">
        <v>100196.0</v>
      </c>
      <c r="B6693" s="1125" t="s">
        <v>16972</v>
      </c>
      <c r="C6693" s="1126" t="s">
        <v>16971</v>
      </c>
      <c r="D6693" s="1119">
        <v>1.53</v>
      </c>
      <c r="E6693" s="1120">
        <v>1.09</v>
      </c>
      <c r="F6693" s="1121">
        <f t="shared" si="1"/>
        <v>0.45</v>
      </c>
      <c r="G6693" s="1120">
        <v>0.45</v>
      </c>
      <c r="H6693" s="1127">
        <v>0.0</v>
      </c>
      <c r="I6693" s="1127">
        <v>0.0</v>
      </c>
      <c r="J6693" s="1127">
        <v>0.0</v>
      </c>
      <c r="K6693" s="1124"/>
    </row>
    <row r="6694" ht="15.75" customHeight="1">
      <c r="A6694" s="1119">
        <v>100197.0</v>
      </c>
      <c r="B6694" s="1125" t="s">
        <v>16973</v>
      </c>
      <c r="C6694" s="1126" t="s">
        <v>16971</v>
      </c>
      <c r="D6694" s="1119">
        <v>2.3</v>
      </c>
      <c r="E6694" s="1120">
        <v>1.62</v>
      </c>
      <c r="F6694" s="1121">
        <f t="shared" si="1"/>
        <v>0.68</v>
      </c>
      <c r="G6694" s="1120">
        <v>0.68</v>
      </c>
      <c r="H6694" s="1127">
        <v>0.0</v>
      </c>
      <c r="I6694" s="1127">
        <v>0.0</v>
      </c>
      <c r="J6694" s="1127">
        <v>0.0</v>
      </c>
      <c r="K6694" s="1124"/>
    </row>
    <row r="6695" ht="15.75" customHeight="1">
      <c r="A6695" s="1119">
        <v>100198.0</v>
      </c>
      <c r="B6695" s="1125" t="s">
        <v>16974</v>
      </c>
      <c r="C6695" s="1126" t="s">
        <v>16971</v>
      </c>
      <c r="D6695" s="1119">
        <v>0.32</v>
      </c>
      <c r="E6695" s="1120">
        <v>0.24</v>
      </c>
      <c r="F6695" s="1121">
        <f t="shared" si="1"/>
        <v>0.08</v>
      </c>
      <c r="G6695" s="1120">
        <v>0.08</v>
      </c>
      <c r="H6695" s="1127">
        <v>0.0</v>
      </c>
      <c r="I6695" s="1127">
        <v>0.0</v>
      </c>
      <c r="J6695" s="1127">
        <v>0.0</v>
      </c>
      <c r="K6695" s="1124"/>
    </row>
    <row r="6696" ht="15.75" customHeight="1">
      <c r="A6696" s="1119">
        <v>100199.0</v>
      </c>
      <c r="B6696" s="1125" t="s">
        <v>16975</v>
      </c>
      <c r="C6696" s="1126" t="s">
        <v>16971</v>
      </c>
      <c r="D6696" s="1119">
        <v>0.38</v>
      </c>
      <c r="E6696" s="1120">
        <v>0.3</v>
      </c>
      <c r="F6696" s="1121">
        <f t="shared" si="1"/>
        <v>0.09</v>
      </c>
      <c r="G6696" s="1120">
        <v>0.09</v>
      </c>
      <c r="H6696" s="1127">
        <v>0.0</v>
      </c>
      <c r="I6696" s="1127">
        <v>0.0</v>
      </c>
      <c r="J6696" s="1127">
        <v>0.0</v>
      </c>
      <c r="K6696" s="1124"/>
    </row>
    <row r="6697" ht="15.75" customHeight="1">
      <c r="A6697" s="1119">
        <v>100200.0</v>
      </c>
      <c r="B6697" s="1125" t="s">
        <v>16976</v>
      </c>
      <c r="C6697" s="1126" t="s">
        <v>16971</v>
      </c>
      <c r="D6697" s="1119">
        <v>0.47</v>
      </c>
      <c r="E6697" s="1120">
        <v>0.34</v>
      </c>
      <c r="F6697" s="1121">
        <f t="shared" si="1"/>
        <v>0.13</v>
      </c>
      <c r="G6697" s="1120">
        <v>0.13</v>
      </c>
      <c r="H6697" s="1127">
        <v>0.0</v>
      </c>
      <c r="I6697" s="1127">
        <v>0.0</v>
      </c>
      <c r="J6697" s="1127">
        <v>0.0</v>
      </c>
      <c r="K6697" s="1124"/>
    </row>
    <row r="6698" ht="15.75" customHeight="1">
      <c r="A6698" s="1119">
        <v>100201.0</v>
      </c>
      <c r="B6698" s="1125" t="s">
        <v>16977</v>
      </c>
      <c r="C6698" s="1126" t="s">
        <v>16971</v>
      </c>
      <c r="D6698" s="1119">
        <v>0.93</v>
      </c>
      <c r="E6698" s="1120">
        <v>0.66</v>
      </c>
      <c r="F6698" s="1121">
        <f t="shared" si="1"/>
        <v>0.27</v>
      </c>
      <c r="G6698" s="1120">
        <v>0.27</v>
      </c>
      <c r="H6698" s="1127">
        <v>0.0</v>
      </c>
      <c r="I6698" s="1127">
        <v>0.0</v>
      </c>
      <c r="J6698" s="1127">
        <v>0.0</v>
      </c>
      <c r="K6698" s="1124"/>
    </row>
    <row r="6699" ht="15.75" customHeight="1">
      <c r="A6699" s="1119">
        <v>100202.0</v>
      </c>
      <c r="B6699" s="1125" t="s">
        <v>16978</v>
      </c>
      <c r="C6699" s="1126" t="s">
        <v>16971</v>
      </c>
      <c r="D6699" s="1119">
        <v>1.09</v>
      </c>
      <c r="E6699" s="1120">
        <v>0.78</v>
      </c>
      <c r="F6699" s="1121">
        <f t="shared" si="1"/>
        <v>0.31</v>
      </c>
      <c r="G6699" s="1120">
        <v>0.31</v>
      </c>
      <c r="H6699" s="1127">
        <v>0.0</v>
      </c>
      <c r="I6699" s="1127">
        <v>0.0</v>
      </c>
      <c r="J6699" s="1127">
        <v>0.0</v>
      </c>
      <c r="K6699" s="1124"/>
    </row>
    <row r="6700" ht="15.75" customHeight="1">
      <c r="A6700" s="1119">
        <v>100203.0</v>
      </c>
      <c r="B6700" s="1125" t="s">
        <v>16979</v>
      </c>
      <c r="C6700" s="1126" t="s">
        <v>16971</v>
      </c>
      <c r="D6700" s="1119">
        <v>1.29</v>
      </c>
      <c r="E6700" s="1120">
        <v>0.91</v>
      </c>
      <c r="F6700" s="1121">
        <f t="shared" si="1"/>
        <v>0.38</v>
      </c>
      <c r="G6700" s="1120">
        <v>0.38</v>
      </c>
      <c r="H6700" s="1127">
        <v>0.0</v>
      </c>
      <c r="I6700" s="1127">
        <v>0.0</v>
      </c>
      <c r="J6700" s="1127">
        <v>0.0</v>
      </c>
      <c r="K6700" s="1124"/>
    </row>
    <row r="6701" ht="15.75" customHeight="1">
      <c r="A6701" s="1119">
        <v>100204.0</v>
      </c>
      <c r="B6701" s="1125" t="s">
        <v>16980</v>
      </c>
      <c r="C6701" s="1126" t="s">
        <v>16971</v>
      </c>
      <c r="D6701" s="1119">
        <v>0.1</v>
      </c>
      <c r="E6701" s="1120">
        <v>0.02</v>
      </c>
      <c r="F6701" s="1121">
        <f t="shared" si="1"/>
        <v>0.08</v>
      </c>
      <c r="G6701" s="1120">
        <v>0.01</v>
      </c>
      <c r="H6701" s="1127">
        <v>0.07</v>
      </c>
      <c r="I6701" s="1127">
        <v>0.0</v>
      </c>
      <c r="J6701" s="1127">
        <v>0.0</v>
      </c>
      <c r="K6701" s="1124"/>
    </row>
    <row r="6702" ht="15.75" customHeight="1">
      <c r="A6702" s="1119">
        <v>100205.0</v>
      </c>
      <c r="B6702" s="1125" t="s">
        <v>16981</v>
      </c>
      <c r="C6702" s="1126" t="s">
        <v>16982</v>
      </c>
      <c r="D6702" s="1128">
        <v>1715.85</v>
      </c>
      <c r="E6702" s="1120">
        <v>1189.91</v>
      </c>
      <c r="F6702" s="1121">
        <f t="shared" si="1"/>
        <v>525.95</v>
      </c>
      <c r="G6702" s="1120">
        <v>525.95</v>
      </c>
      <c r="H6702" s="1127">
        <v>0.0</v>
      </c>
      <c r="I6702" s="1127">
        <v>0.0</v>
      </c>
      <c r="J6702" s="1127">
        <v>0.0</v>
      </c>
      <c r="K6702" s="1124"/>
    </row>
    <row r="6703" ht="15.75" customHeight="1">
      <c r="A6703" s="1119">
        <v>100206.0</v>
      </c>
      <c r="B6703" s="1125" t="s">
        <v>16983</v>
      </c>
      <c r="C6703" s="1126" t="s">
        <v>16982</v>
      </c>
      <c r="D6703" s="1128">
        <v>1240.27</v>
      </c>
      <c r="E6703" s="1120">
        <v>860.11</v>
      </c>
      <c r="F6703" s="1121">
        <f t="shared" si="1"/>
        <v>380.16</v>
      </c>
      <c r="G6703" s="1120">
        <v>380.16</v>
      </c>
      <c r="H6703" s="1127">
        <v>0.0</v>
      </c>
      <c r="I6703" s="1127">
        <v>0.0</v>
      </c>
      <c r="J6703" s="1127">
        <v>0.0</v>
      </c>
      <c r="K6703" s="1124"/>
    </row>
    <row r="6704" ht="15.75" customHeight="1">
      <c r="A6704" s="1119">
        <v>100207.0</v>
      </c>
      <c r="B6704" s="1125" t="s">
        <v>16984</v>
      </c>
      <c r="C6704" s="1126" t="s">
        <v>16982</v>
      </c>
      <c r="D6704" s="1119">
        <v>450.06</v>
      </c>
      <c r="E6704" s="1120">
        <v>161.18</v>
      </c>
      <c r="F6704" s="1121">
        <f t="shared" si="1"/>
        <v>288.88</v>
      </c>
      <c r="G6704" s="1120">
        <v>105.79</v>
      </c>
      <c r="H6704" s="1127">
        <v>183.09</v>
      </c>
      <c r="I6704" s="1127">
        <v>0.0</v>
      </c>
      <c r="J6704" s="1127">
        <v>0.0</v>
      </c>
      <c r="K6704" s="1124"/>
    </row>
    <row r="6705" ht="15.75" customHeight="1">
      <c r="A6705" s="1119">
        <v>100208.0</v>
      </c>
      <c r="B6705" s="1125" t="s">
        <v>16985</v>
      </c>
      <c r="C6705" s="1126" t="s">
        <v>16986</v>
      </c>
      <c r="D6705" s="1119">
        <v>22.7</v>
      </c>
      <c r="E6705" s="1120">
        <v>15.76</v>
      </c>
      <c r="F6705" s="1121">
        <f t="shared" si="1"/>
        <v>6.94</v>
      </c>
      <c r="G6705" s="1120">
        <v>6.94</v>
      </c>
      <c r="H6705" s="1127">
        <v>0.0</v>
      </c>
      <c r="I6705" s="1127">
        <v>0.0</v>
      </c>
      <c r="J6705" s="1127">
        <v>0.0</v>
      </c>
      <c r="K6705" s="1124"/>
    </row>
    <row r="6706" ht="15.75" customHeight="1">
      <c r="A6706" s="1119">
        <v>100209.0</v>
      </c>
      <c r="B6706" s="1125" t="s">
        <v>16987</v>
      </c>
      <c r="C6706" s="1126" t="s">
        <v>16986</v>
      </c>
      <c r="D6706" s="1119">
        <v>11.35</v>
      </c>
      <c r="E6706" s="1120">
        <v>7.89</v>
      </c>
      <c r="F6706" s="1121">
        <f t="shared" si="1"/>
        <v>3.46</v>
      </c>
      <c r="G6706" s="1120">
        <v>3.46</v>
      </c>
      <c r="H6706" s="1127">
        <v>0.0</v>
      </c>
      <c r="I6706" s="1127">
        <v>0.0</v>
      </c>
      <c r="J6706" s="1127">
        <v>0.0</v>
      </c>
      <c r="K6706" s="1124"/>
    </row>
    <row r="6707" ht="15.75" customHeight="1">
      <c r="A6707" s="1119">
        <v>100210.0</v>
      </c>
      <c r="B6707" s="1125" t="s">
        <v>16988</v>
      </c>
      <c r="C6707" s="1126" t="s">
        <v>16986</v>
      </c>
      <c r="D6707" s="1119">
        <v>20.91</v>
      </c>
      <c r="E6707" s="1120">
        <v>14.52</v>
      </c>
      <c r="F6707" s="1121">
        <f t="shared" si="1"/>
        <v>6.39</v>
      </c>
      <c r="G6707" s="1120">
        <v>6.39</v>
      </c>
      <c r="H6707" s="1127">
        <v>0.0</v>
      </c>
      <c r="I6707" s="1127">
        <v>0.0</v>
      </c>
      <c r="J6707" s="1127">
        <v>0.0</v>
      </c>
      <c r="K6707" s="1124"/>
    </row>
    <row r="6708" ht="15.75" customHeight="1">
      <c r="A6708" s="1119">
        <v>100211.0</v>
      </c>
      <c r="B6708" s="1125" t="s">
        <v>16989</v>
      </c>
      <c r="C6708" s="1126" t="s">
        <v>16986</v>
      </c>
      <c r="D6708" s="1119">
        <v>8.07</v>
      </c>
      <c r="E6708" s="1120">
        <v>5.62</v>
      </c>
      <c r="F6708" s="1121">
        <f t="shared" si="1"/>
        <v>2.45</v>
      </c>
      <c r="G6708" s="1120">
        <v>2.45</v>
      </c>
      <c r="H6708" s="1127">
        <v>0.0</v>
      </c>
      <c r="I6708" s="1127">
        <v>0.0</v>
      </c>
      <c r="J6708" s="1127">
        <v>0.0</v>
      </c>
      <c r="K6708" s="1124"/>
    </row>
    <row r="6709" ht="15.75" customHeight="1">
      <c r="A6709" s="1119">
        <v>100212.0</v>
      </c>
      <c r="B6709" s="1125" t="s">
        <v>16990</v>
      </c>
      <c r="C6709" s="1126" t="s">
        <v>16986</v>
      </c>
      <c r="D6709" s="1119">
        <v>8.91</v>
      </c>
      <c r="E6709" s="1120">
        <v>6.2</v>
      </c>
      <c r="F6709" s="1121">
        <f t="shared" si="1"/>
        <v>2.71</v>
      </c>
      <c r="G6709" s="1120">
        <v>2.71</v>
      </c>
      <c r="H6709" s="1127">
        <v>0.0</v>
      </c>
      <c r="I6709" s="1127">
        <v>0.0</v>
      </c>
      <c r="J6709" s="1127">
        <v>0.0</v>
      </c>
      <c r="K6709" s="1124"/>
    </row>
    <row r="6710" ht="15.75" customHeight="1">
      <c r="A6710" s="1119">
        <v>100213.0</v>
      </c>
      <c r="B6710" s="1125" t="s">
        <v>16991</v>
      </c>
      <c r="C6710" s="1126" t="s">
        <v>16986</v>
      </c>
      <c r="D6710" s="1119">
        <v>3.2</v>
      </c>
      <c r="E6710" s="1120">
        <v>2.25</v>
      </c>
      <c r="F6710" s="1121">
        <f t="shared" si="1"/>
        <v>0.95</v>
      </c>
      <c r="G6710" s="1120">
        <v>0.95</v>
      </c>
      <c r="H6710" s="1127">
        <v>0.0</v>
      </c>
      <c r="I6710" s="1127">
        <v>0.0</v>
      </c>
      <c r="J6710" s="1127">
        <v>0.0</v>
      </c>
      <c r="K6710" s="1124"/>
    </row>
    <row r="6711" ht="15.75" customHeight="1">
      <c r="A6711" s="1119">
        <v>100214.0</v>
      </c>
      <c r="B6711" s="1125" t="s">
        <v>16992</v>
      </c>
      <c r="C6711" s="1126" t="s">
        <v>16986</v>
      </c>
      <c r="D6711" s="1119">
        <v>4.91</v>
      </c>
      <c r="E6711" s="1120">
        <v>3.43</v>
      </c>
      <c r="F6711" s="1121">
        <f t="shared" si="1"/>
        <v>1.49</v>
      </c>
      <c r="G6711" s="1120">
        <v>1.49</v>
      </c>
      <c r="H6711" s="1127">
        <v>0.0</v>
      </c>
      <c r="I6711" s="1127">
        <v>0.0</v>
      </c>
      <c r="J6711" s="1127">
        <v>0.0</v>
      </c>
      <c r="K6711" s="1124"/>
    </row>
    <row r="6712" ht="15.75" customHeight="1">
      <c r="A6712" s="1119">
        <v>100215.0</v>
      </c>
      <c r="B6712" s="1125" t="s">
        <v>16993</v>
      </c>
      <c r="C6712" s="1126" t="s">
        <v>16986</v>
      </c>
      <c r="D6712" s="1119">
        <v>4.21</v>
      </c>
      <c r="E6712" s="1120">
        <v>2.94</v>
      </c>
      <c r="F6712" s="1121">
        <f t="shared" si="1"/>
        <v>1.27</v>
      </c>
      <c r="G6712" s="1120">
        <v>1.27</v>
      </c>
      <c r="H6712" s="1127">
        <v>0.0</v>
      </c>
      <c r="I6712" s="1127">
        <v>0.0</v>
      </c>
      <c r="J6712" s="1127">
        <v>0.0</v>
      </c>
      <c r="K6712" s="1124"/>
    </row>
    <row r="6713" ht="15.75" customHeight="1">
      <c r="A6713" s="1119">
        <v>100216.0</v>
      </c>
      <c r="B6713" s="1125" t="s">
        <v>16994</v>
      </c>
      <c r="C6713" s="1126" t="s">
        <v>16986</v>
      </c>
      <c r="D6713" s="1119">
        <v>1.13</v>
      </c>
      <c r="E6713" s="1120">
        <v>0.81</v>
      </c>
      <c r="F6713" s="1121">
        <f t="shared" si="1"/>
        <v>0.32</v>
      </c>
      <c r="G6713" s="1120">
        <v>0.32</v>
      </c>
      <c r="H6713" s="1127">
        <v>0.0</v>
      </c>
      <c r="I6713" s="1127">
        <v>0.0</v>
      </c>
      <c r="J6713" s="1127">
        <v>0.0</v>
      </c>
      <c r="K6713" s="1124"/>
    </row>
    <row r="6714" ht="15.75" customHeight="1">
      <c r="A6714" s="1119">
        <v>100217.0</v>
      </c>
      <c r="B6714" s="1125" t="s">
        <v>16995</v>
      </c>
      <c r="C6714" s="1126" t="s">
        <v>16986</v>
      </c>
      <c r="D6714" s="1119">
        <v>2.98</v>
      </c>
      <c r="E6714" s="1120">
        <v>0.87</v>
      </c>
      <c r="F6714" s="1121">
        <f t="shared" si="1"/>
        <v>2.12</v>
      </c>
      <c r="G6714" s="1120">
        <v>0.64</v>
      </c>
      <c r="H6714" s="1127">
        <v>1.48</v>
      </c>
      <c r="I6714" s="1127">
        <v>0.0</v>
      </c>
      <c r="J6714" s="1127">
        <v>0.0</v>
      </c>
      <c r="K6714" s="1124"/>
    </row>
    <row r="6715" ht="15.75" customHeight="1">
      <c r="A6715" s="1119">
        <v>100218.0</v>
      </c>
      <c r="B6715" s="1125" t="s">
        <v>16996</v>
      </c>
      <c r="C6715" s="1126" t="s">
        <v>16986</v>
      </c>
      <c r="D6715" s="1119">
        <v>2.04</v>
      </c>
      <c r="E6715" s="1120">
        <v>0.6</v>
      </c>
      <c r="F6715" s="1121">
        <f t="shared" si="1"/>
        <v>1.45</v>
      </c>
      <c r="G6715" s="1120">
        <v>0.42</v>
      </c>
      <c r="H6715" s="1127">
        <v>1.03</v>
      </c>
      <c r="I6715" s="1127">
        <v>0.0</v>
      </c>
      <c r="J6715" s="1127">
        <v>0.0</v>
      </c>
      <c r="K6715" s="1124"/>
    </row>
    <row r="6716" ht="15.75" customHeight="1">
      <c r="A6716" s="1119">
        <v>100219.0</v>
      </c>
      <c r="B6716" s="1125" t="s">
        <v>16997</v>
      </c>
      <c r="C6716" s="1126" t="s">
        <v>16986</v>
      </c>
      <c r="D6716" s="1119">
        <v>0.44</v>
      </c>
      <c r="E6716" s="1120">
        <v>0.13</v>
      </c>
      <c r="F6716" s="1121">
        <f t="shared" si="1"/>
        <v>0.31</v>
      </c>
      <c r="G6716" s="1120">
        <v>0.08</v>
      </c>
      <c r="H6716" s="1127">
        <v>0.23</v>
      </c>
      <c r="I6716" s="1127">
        <v>0.0</v>
      </c>
      <c r="J6716" s="1127">
        <v>0.0</v>
      </c>
      <c r="K6716" s="1124"/>
    </row>
    <row r="6717" ht="15.75" customHeight="1">
      <c r="A6717" s="1119">
        <v>100220.0</v>
      </c>
      <c r="B6717" s="1125" t="s">
        <v>16998</v>
      </c>
      <c r="C6717" s="1126" t="s">
        <v>16999</v>
      </c>
      <c r="D6717" s="1119">
        <v>32.61</v>
      </c>
      <c r="E6717" s="1120">
        <v>22.64</v>
      </c>
      <c r="F6717" s="1121">
        <f t="shared" si="1"/>
        <v>9.98</v>
      </c>
      <c r="G6717" s="1120">
        <v>9.98</v>
      </c>
      <c r="H6717" s="1127">
        <v>0.0</v>
      </c>
      <c r="I6717" s="1127">
        <v>0.0</v>
      </c>
      <c r="J6717" s="1127">
        <v>0.0</v>
      </c>
      <c r="K6717" s="1124"/>
    </row>
    <row r="6718" ht="15.75" customHeight="1">
      <c r="A6718" s="1119">
        <v>100221.0</v>
      </c>
      <c r="B6718" s="1125" t="s">
        <v>17000</v>
      </c>
      <c r="C6718" s="1126" t="s">
        <v>16999</v>
      </c>
      <c r="D6718" s="1119">
        <v>36.96</v>
      </c>
      <c r="E6718" s="1120">
        <v>25.66</v>
      </c>
      <c r="F6718" s="1121">
        <f t="shared" si="1"/>
        <v>11.3</v>
      </c>
      <c r="G6718" s="1120">
        <v>11.3</v>
      </c>
      <c r="H6718" s="1127">
        <v>0.0</v>
      </c>
      <c r="I6718" s="1127">
        <v>0.0</v>
      </c>
      <c r="J6718" s="1127">
        <v>0.0</v>
      </c>
      <c r="K6718" s="1124"/>
    </row>
    <row r="6719" ht="15.75" customHeight="1">
      <c r="A6719" s="1119">
        <v>100222.0</v>
      </c>
      <c r="B6719" s="1125" t="s">
        <v>17001</v>
      </c>
      <c r="C6719" s="1126" t="s">
        <v>16999</v>
      </c>
      <c r="D6719" s="1119">
        <v>14.0</v>
      </c>
      <c r="E6719" s="1120">
        <v>9.74</v>
      </c>
      <c r="F6719" s="1121">
        <f t="shared" si="1"/>
        <v>4.26</v>
      </c>
      <c r="G6719" s="1120">
        <v>4.26</v>
      </c>
      <c r="H6719" s="1127">
        <v>0.0</v>
      </c>
      <c r="I6719" s="1127">
        <v>0.0</v>
      </c>
      <c r="J6719" s="1127">
        <v>0.0</v>
      </c>
      <c r="K6719" s="1124"/>
    </row>
    <row r="6720" ht="15.75" customHeight="1">
      <c r="A6720" s="1119">
        <v>100223.0</v>
      </c>
      <c r="B6720" s="1125" t="s">
        <v>17002</v>
      </c>
      <c r="C6720" s="1126" t="s">
        <v>16999</v>
      </c>
      <c r="D6720" s="1119">
        <v>6.55</v>
      </c>
      <c r="E6720" s="1120">
        <v>4.57</v>
      </c>
      <c r="F6720" s="1121">
        <f t="shared" si="1"/>
        <v>1.98</v>
      </c>
      <c r="G6720" s="1120">
        <v>1.98</v>
      </c>
      <c r="H6720" s="1127">
        <v>0.0</v>
      </c>
      <c r="I6720" s="1127">
        <v>0.0</v>
      </c>
      <c r="J6720" s="1127">
        <v>0.0</v>
      </c>
      <c r="K6720" s="1124"/>
    </row>
    <row r="6721" ht="15.75" customHeight="1">
      <c r="A6721" s="1119">
        <v>100224.0</v>
      </c>
      <c r="B6721" s="1125" t="s">
        <v>17003</v>
      </c>
      <c r="C6721" s="1126" t="s">
        <v>16999</v>
      </c>
      <c r="D6721" s="1119">
        <v>2.98</v>
      </c>
      <c r="E6721" s="1120">
        <v>0.87</v>
      </c>
      <c r="F6721" s="1121">
        <f t="shared" si="1"/>
        <v>2.12</v>
      </c>
      <c r="G6721" s="1120">
        <v>0.64</v>
      </c>
      <c r="H6721" s="1127">
        <v>1.48</v>
      </c>
      <c r="I6721" s="1127">
        <v>0.0</v>
      </c>
      <c r="J6721" s="1127">
        <v>0.0</v>
      </c>
      <c r="K6721" s="1124"/>
    </row>
    <row r="6722" ht="15.75" customHeight="1">
      <c r="A6722" s="1119">
        <v>100225.0</v>
      </c>
      <c r="B6722" s="1125" t="s">
        <v>17004</v>
      </c>
      <c r="C6722" s="1126" t="s">
        <v>17005</v>
      </c>
      <c r="D6722" s="1119">
        <v>2.56</v>
      </c>
      <c r="E6722" s="1120">
        <v>1.8</v>
      </c>
      <c r="F6722" s="1121">
        <f t="shared" si="1"/>
        <v>0.76</v>
      </c>
      <c r="G6722" s="1120">
        <v>0.76</v>
      </c>
      <c r="H6722" s="1127">
        <v>0.0</v>
      </c>
      <c r="I6722" s="1127">
        <v>0.0</v>
      </c>
      <c r="J6722" s="1127">
        <v>0.0</v>
      </c>
      <c r="K6722" s="1124"/>
    </row>
    <row r="6723" ht="15.75" customHeight="1">
      <c r="A6723" s="1119">
        <v>100226.0</v>
      </c>
      <c r="B6723" s="1125" t="s">
        <v>17006</v>
      </c>
      <c r="C6723" s="1126" t="s">
        <v>17005</v>
      </c>
      <c r="D6723" s="1119">
        <v>0.8</v>
      </c>
      <c r="E6723" s="1120">
        <v>0.58</v>
      </c>
      <c r="F6723" s="1121">
        <f t="shared" si="1"/>
        <v>0.22</v>
      </c>
      <c r="G6723" s="1120">
        <v>0.22</v>
      </c>
      <c r="H6723" s="1127">
        <v>0.0</v>
      </c>
      <c r="I6723" s="1127">
        <v>0.0</v>
      </c>
      <c r="J6723" s="1127">
        <v>0.0</v>
      </c>
      <c r="K6723" s="1124"/>
    </row>
    <row r="6724" ht="15.75" customHeight="1">
      <c r="A6724" s="1119">
        <v>100227.0</v>
      </c>
      <c r="B6724" s="1125" t="s">
        <v>17007</v>
      </c>
      <c r="C6724" s="1126" t="s">
        <v>17005</v>
      </c>
      <c r="D6724" s="1119">
        <v>1.19</v>
      </c>
      <c r="E6724" s="1120">
        <v>0.85</v>
      </c>
      <c r="F6724" s="1121">
        <f t="shared" si="1"/>
        <v>0.34</v>
      </c>
      <c r="G6724" s="1120">
        <v>0.34</v>
      </c>
      <c r="H6724" s="1127">
        <v>0.0</v>
      </c>
      <c r="I6724" s="1127">
        <v>0.0</v>
      </c>
      <c r="J6724" s="1127">
        <v>0.0</v>
      </c>
      <c r="K6724" s="1124"/>
    </row>
    <row r="6725" ht="15.75" customHeight="1">
      <c r="A6725" s="1119">
        <v>100228.0</v>
      </c>
      <c r="B6725" s="1125" t="s">
        <v>17008</v>
      </c>
      <c r="C6725" s="1126" t="s">
        <v>17005</v>
      </c>
      <c r="D6725" s="1119">
        <v>0.29</v>
      </c>
      <c r="E6725" s="1120">
        <v>0.08</v>
      </c>
      <c r="F6725" s="1121">
        <f t="shared" si="1"/>
        <v>0.2</v>
      </c>
      <c r="G6725" s="1120">
        <v>0.04</v>
      </c>
      <c r="H6725" s="1127">
        <v>0.16</v>
      </c>
      <c r="I6725" s="1127">
        <v>0.0</v>
      </c>
      <c r="J6725" s="1127">
        <v>0.0</v>
      </c>
      <c r="K6725" s="1124"/>
    </row>
    <row r="6726" ht="15.75" customHeight="1">
      <c r="A6726" s="1119">
        <v>100229.0</v>
      </c>
      <c r="B6726" s="1125" t="s">
        <v>17009</v>
      </c>
      <c r="C6726" s="1126" t="s">
        <v>3606</v>
      </c>
      <c r="D6726" s="1119">
        <v>0.01</v>
      </c>
      <c r="E6726" s="1120">
        <v>0.01</v>
      </c>
      <c r="F6726" s="1121">
        <f t="shared" si="1"/>
        <v>0</v>
      </c>
      <c r="G6726" s="1120">
        <v>0.0</v>
      </c>
      <c r="H6726" s="1127">
        <v>0.0</v>
      </c>
      <c r="I6726" s="1127">
        <v>0.0</v>
      </c>
      <c r="J6726" s="1127">
        <v>0.0</v>
      </c>
      <c r="K6726" s="1124"/>
    </row>
    <row r="6727" ht="15.75" customHeight="1">
      <c r="A6727" s="1119">
        <v>100230.0</v>
      </c>
      <c r="B6727" s="1125" t="s">
        <v>17010</v>
      </c>
      <c r="C6727" s="1126" t="s">
        <v>3606</v>
      </c>
      <c r="D6727" s="1119">
        <v>0.03</v>
      </c>
      <c r="E6727" s="1120">
        <v>0.03</v>
      </c>
      <c r="F6727" s="1121">
        <f t="shared" si="1"/>
        <v>0</v>
      </c>
      <c r="G6727" s="1120">
        <v>0.0</v>
      </c>
      <c r="H6727" s="1127">
        <v>0.0</v>
      </c>
      <c r="I6727" s="1127">
        <v>0.0</v>
      </c>
      <c r="J6727" s="1127">
        <v>0.0</v>
      </c>
      <c r="K6727" s="1124"/>
    </row>
    <row r="6728" ht="15.75" customHeight="1">
      <c r="A6728" s="1119">
        <v>100231.0</v>
      </c>
      <c r="B6728" s="1125" t="s">
        <v>17011</v>
      </c>
      <c r="C6728" s="1126" t="s">
        <v>3606</v>
      </c>
      <c r="D6728" s="1119">
        <v>0.04</v>
      </c>
      <c r="E6728" s="1120">
        <v>0.04</v>
      </c>
      <c r="F6728" s="1121">
        <f t="shared" si="1"/>
        <v>0</v>
      </c>
      <c r="G6728" s="1120">
        <v>0.0</v>
      </c>
      <c r="H6728" s="1127">
        <v>0.0</v>
      </c>
      <c r="I6728" s="1127">
        <v>0.0</v>
      </c>
      <c r="J6728" s="1127">
        <v>0.0</v>
      </c>
      <c r="K6728" s="1124"/>
    </row>
    <row r="6729" ht="15.75" customHeight="1">
      <c r="A6729" s="1119">
        <v>100232.0</v>
      </c>
      <c r="B6729" s="1125" t="s">
        <v>17012</v>
      </c>
      <c r="C6729" s="1126" t="s">
        <v>1788</v>
      </c>
      <c r="D6729" s="1119">
        <v>0.43</v>
      </c>
      <c r="E6729" s="1120">
        <v>0.32</v>
      </c>
      <c r="F6729" s="1121">
        <f t="shared" si="1"/>
        <v>0.11</v>
      </c>
      <c r="G6729" s="1120">
        <v>0.11</v>
      </c>
      <c r="H6729" s="1127">
        <v>0.0</v>
      </c>
      <c r="I6729" s="1127">
        <v>0.0</v>
      </c>
      <c r="J6729" s="1127">
        <v>0.0</v>
      </c>
      <c r="K6729" s="1124"/>
    </row>
    <row r="6730" ht="15.75" customHeight="1">
      <c r="A6730" s="1119">
        <v>100233.0</v>
      </c>
      <c r="B6730" s="1125" t="s">
        <v>17013</v>
      </c>
      <c r="C6730" s="1126" t="s">
        <v>1788</v>
      </c>
      <c r="D6730" s="1119">
        <v>0.21</v>
      </c>
      <c r="E6730" s="1120">
        <v>0.17</v>
      </c>
      <c r="F6730" s="1121">
        <f t="shared" si="1"/>
        <v>0.04</v>
      </c>
      <c r="G6730" s="1120">
        <v>0.04</v>
      </c>
      <c r="H6730" s="1127">
        <v>0.0</v>
      </c>
      <c r="I6730" s="1127">
        <v>0.0</v>
      </c>
      <c r="J6730" s="1127">
        <v>0.0</v>
      </c>
      <c r="K6730" s="1124"/>
    </row>
    <row r="6731" ht="15.75" customHeight="1">
      <c r="A6731" s="1119">
        <v>100234.0</v>
      </c>
      <c r="B6731" s="1125" t="s">
        <v>17014</v>
      </c>
      <c r="C6731" s="1126" t="s">
        <v>1814</v>
      </c>
      <c r="D6731" s="1119">
        <v>0.64</v>
      </c>
      <c r="E6731" s="1120">
        <v>0.46</v>
      </c>
      <c r="F6731" s="1121">
        <f t="shared" si="1"/>
        <v>0.18</v>
      </c>
      <c r="G6731" s="1120">
        <v>0.18</v>
      </c>
      <c r="H6731" s="1127">
        <v>0.0</v>
      </c>
      <c r="I6731" s="1127">
        <v>0.0</v>
      </c>
      <c r="J6731" s="1127">
        <v>0.0</v>
      </c>
      <c r="K6731" s="1124"/>
    </row>
    <row r="6732" ht="15.75" customHeight="1">
      <c r="A6732" s="1119">
        <v>100235.0</v>
      </c>
      <c r="B6732" s="1125" t="s">
        <v>17015</v>
      </c>
      <c r="C6732" s="1126" t="s">
        <v>2386</v>
      </c>
      <c r="D6732" s="1119">
        <v>0.05</v>
      </c>
      <c r="E6732" s="1120">
        <v>0.05</v>
      </c>
      <c r="F6732" s="1121">
        <f t="shared" si="1"/>
        <v>0</v>
      </c>
      <c r="G6732" s="1120">
        <v>0.0</v>
      </c>
      <c r="H6732" s="1127">
        <v>0.0</v>
      </c>
      <c r="I6732" s="1127">
        <v>0.0</v>
      </c>
      <c r="J6732" s="1127">
        <v>0.0</v>
      </c>
      <c r="K6732" s="1124"/>
    </row>
    <row r="6733" ht="15.75" customHeight="1">
      <c r="A6733" s="1119">
        <v>100236.0</v>
      </c>
      <c r="B6733" s="1125" t="s">
        <v>17016</v>
      </c>
      <c r="C6733" s="1126" t="s">
        <v>17017</v>
      </c>
      <c r="D6733" s="1119">
        <v>3.25</v>
      </c>
      <c r="E6733" s="1120">
        <v>2.27</v>
      </c>
      <c r="F6733" s="1121">
        <f t="shared" si="1"/>
        <v>0.97</v>
      </c>
      <c r="G6733" s="1120">
        <v>0.97</v>
      </c>
      <c r="H6733" s="1127">
        <v>0.0</v>
      </c>
      <c r="I6733" s="1127">
        <v>0.0</v>
      </c>
      <c r="J6733" s="1127">
        <v>0.0</v>
      </c>
      <c r="K6733" s="1124"/>
    </row>
    <row r="6734" ht="15.75" customHeight="1">
      <c r="A6734" s="1119">
        <v>100237.0</v>
      </c>
      <c r="B6734" s="1125" t="s">
        <v>17018</v>
      </c>
      <c r="C6734" s="1126" t="s">
        <v>17017</v>
      </c>
      <c r="D6734" s="1119">
        <v>3.9</v>
      </c>
      <c r="E6734" s="1120">
        <v>2.72</v>
      </c>
      <c r="F6734" s="1121">
        <f t="shared" si="1"/>
        <v>1.18</v>
      </c>
      <c r="G6734" s="1120">
        <v>1.18</v>
      </c>
      <c r="H6734" s="1127">
        <v>0.0</v>
      </c>
      <c r="I6734" s="1127">
        <v>0.0</v>
      </c>
      <c r="J6734" s="1127">
        <v>0.0</v>
      </c>
      <c r="K6734" s="1124"/>
    </row>
    <row r="6735" ht="15.75" customHeight="1">
      <c r="A6735" s="1119">
        <v>100238.0</v>
      </c>
      <c r="B6735" s="1125" t="s">
        <v>17019</v>
      </c>
      <c r="C6735" s="1126" t="s">
        <v>17017</v>
      </c>
      <c r="D6735" s="1119">
        <v>6.24</v>
      </c>
      <c r="E6735" s="1120">
        <v>4.35</v>
      </c>
      <c r="F6735" s="1121">
        <f t="shared" si="1"/>
        <v>1.9</v>
      </c>
      <c r="G6735" s="1120">
        <v>1.9</v>
      </c>
      <c r="H6735" s="1127">
        <v>0.0</v>
      </c>
      <c r="I6735" s="1127">
        <v>0.0</v>
      </c>
      <c r="J6735" s="1127">
        <v>0.0</v>
      </c>
      <c r="K6735" s="1124"/>
    </row>
    <row r="6736" ht="15.75" customHeight="1">
      <c r="A6736" s="1119">
        <v>100239.0</v>
      </c>
      <c r="B6736" s="1125" t="s">
        <v>17020</v>
      </c>
      <c r="C6736" s="1126" t="s">
        <v>17017</v>
      </c>
      <c r="D6736" s="1119">
        <v>7.8</v>
      </c>
      <c r="E6736" s="1120">
        <v>5.43</v>
      </c>
      <c r="F6736" s="1121">
        <f t="shared" si="1"/>
        <v>2.37</v>
      </c>
      <c r="G6736" s="1120">
        <v>2.37</v>
      </c>
      <c r="H6736" s="1127">
        <v>0.0</v>
      </c>
      <c r="I6736" s="1127">
        <v>0.0</v>
      </c>
      <c r="J6736" s="1127">
        <v>0.0</v>
      </c>
      <c r="K6736" s="1124"/>
    </row>
    <row r="6737" ht="15.75" customHeight="1">
      <c r="A6737" s="1119">
        <v>100240.0</v>
      </c>
      <c r="B6737" s="1125" t="s">
        <v>17021</v>
      </c>
      <c r="C6737" s="1126" t="s">
        <v>17017</v>
      </c>
      <c r="D6737" s="1119">
        <v>4.67</v>
      </c>
      <c r="E6737" s="1120">
        <v>3.26</v>
      </c>
      <c r="F6737" s="1121">
        <f t="shared" si="1"/>
        <v>1.42</v>
      </c>
      <c r="G6737" s="1120">
        <v>1.42</v>
      </c>
      <c r="H6737" s="1127">
        <v>0.0</v>
      </c>
      <c r="I6737" s="1127">
        <v>0.0</v>
      </c>
      <c r="J6737" s="1127">
        <v>0.0</v>
      </c>
      <c r="K6737" s="1124"/>
    </row>
    <row r="6738" ht="15.75" customHeight="1">
      <c r="A6738" s="1119">
        <v>100241.0</v>
      </c>
      <c r="B6738" s="1125" t="s">
        <v>17022</v>
      </c>
      <c r="C6738" s="1126" t="s">
        <v>17017</v>
      </c>
      <c r="D6738" s="1119">
        <v>7.8</v>
      </c>
      <c r="E6738" s="1120">
        <v>5.43</v>
      </c>
      <c r="F6738" s="1121">
        <f t="shared" si="1"/>
        <v>2.37</v>
      </c>
      <c r="G6738" s="1120">
        <v>2.37</v>
      </c>
      <c r="H6738" s="1127">
        <v>0.0</v>
      </c>
      <c r="I6738" s="1127">
        <v>0.0</v>
      </c>
      <c r="J6738" s="1127">
        <v>0.0</v>
      </c>
      <c r="K6738" s="1124"/>
    </row>
    <row r="6739" ht="15.75" customHeight="1">
      <c r="A6739" s="1119">
        <v>100242.0</v>
      </c>
      <c r="B6739" s="1125" t="s">
        <v>17023</v>
      </c>
      <c r="C6739" s="1126" t="s">
        <v>17017</v>
      </c>
      <c r="D6739" s="1119">
        <v>23.05</v>
      </c>
      <c r="E6739" s="1120">
        <v>16.01</v>
      </c>
      <c r="F6739" s="1121">
        <f t="shared" si="1"/>
        <v>7.04</v>
      </c>
      <c r="G6739" s="1120">
        <v>7.04</v>
      </c>
      <c r="H6739" s="1127">
        <v>0.0</v>
      </c>
      <c r="I6739" s="1127">
        <v>0.0</v>
      </c>
      <c r="J6739" s="1127">
        <v>0.0</v>
      </c>
      <c r="K6739" s="1124"/>
    </row>
    <row r="6740" ht="15.75" customHeight="1">
      <c r="A6740" s="1119">
        <v>100243.0</v>
      </c>
      <c r="B6740" s="1125" t="s">
        <v>17024</v>
      </c>
      <c r="C6740" s="1126" t="s">
        <v>17017</v>
      </c>
      <c r="D6740" s="1119">
        <v>3.74</v>
      </c>
      <c r="E6740" s="1120">
        <v>2.62</v>
      </c>
      <c r="F6740" s="1121">
        <f t="shared" si="1"/>
        <v>1.12</v>
      </c>
      <c r="G6740" s="1120">
        <v>1.12</v>
      </c>
      <c r="H6740" s="1127">
        <v>0.0</v>
      </c>
      <c r="I6740" s="1127">
        <v>0.0</v>
      </c>
      <c r="J6740" s="1127">
        <v>0.0</v>
      </c>
      <c r="K6740" s="1124"/>
    </row>
    <row r="6741" ht="15.75" customHeight="1">
      <c r="A6741" s="1119">
        <v>100244.0</v>
      </c>
      <c r="B6741" s="1125" t="s">
        <v>17025</v>
      </c>
      <c r="C6741" s="1126" t="s">
        <v>17017</v>
      </c>
      <c r="D6741" s="1119">
        <v>4.67</v>
      </c>
      <c r="E6741" s="1120">
        <v>3.26</v>
      </c>
      <c r="F6741" s="1121">
        <f t="shared" si="1"/>
        <v>1.42</v>
      </c>
      <c r="G6741" s="1120">
        <v>1.42</v>
      </c>
      <c r="H6741" s="1127">
        <v>0.0</v>
      </c>
      <c r="I6741" s="1127">
        <v>0.0</v>
      </c>
      <c r="J6741" s="1127">
        <v>0.0</v>
      </c>
      <c r="K6741" s="1124"/>
    </row>
    <row r="6742" ht="15.75" customHeight="1">
      <c r="A6742" s="1119">
        <v>100245.0</v>
      </c>
      <c r="B6742" s="1125" t="s">
        <v>17026</v>
      </c>
      <c r="C6742" s="1126" t="s">
        <v>17017</v>
      </c>
      <c r="D6742" s="1119">
        <v>9.36</v>
      </c>
      <c r="E6742" s="1120">
        <v>6.51</v>
      </c>
      <c r="F6742" s="1121">
        <f t="shared" si="1"/>
        <v>2.85</v>
      </c>
      <c r="G6742" s="1120">
        <v>2.85</v>
      </c>
      <c r="H6742" s="1127">
        <v>0.0</v>
      </c>
      <c r="I6742" s="1127">
        <v>0.0</v>
      </c>
      <c r="J6742" s="1127">
        <v>0.0</v>
      </c>
      <c r="K6742" s="1124"/>
    </row>
    <row r="6743" ht="15.75" customHeight="1">
      <c r="A6743" s="1119">
        <v>100246.0</v>
      </c>
      <c r="B6743" s="1125" t="s">
        <v>17027</v>
      </c>
      <c r="C6743" s="1126" t="s">
        <v>17017</v>
      </c>
      <c r="D6743" s="1119">
        <v>3.11</v>
      </c>
      <c r="E6743" s="1120">
        <v>2.18</v>
      </c>
      <c r="F6743" s="1121">
        <f t="shared" si="1"/>
        <v>0.94</v>
      </c>
      <c r="G6743" s="1120">
        <v>0.94</v>
      </c>
      <c r="H6743" s="1127">
        <v>0.0</v>
      </c>
      <c r="I6743" s="1127">
        <v>0.0</v>
      </c>
      <c r="J6743" s="1127">
        <v>0.0</v>
      </c>
      <c r="K6743" s="1124"/>
    </row>
    <row r="6744" ht="15.75" customHeight="1">
      <c r="A6744" s="1119">
        <v>100247.0</v>
      </c>
      <c r="B6744" s="1125" t="s">
        <v>17028</v>
      </c>
      <c r="C6744" s="1126" t="s">
        <v>17017</v>
      </c>
      <c r="D6744" s="1119">
        <v>3.9</v>
      </c>
      <c r="E6744" s="1120">
        <v>2.72</v>
      </c>
      <c r="F6744" s="1121">
        <f t="shared" si="1"/>
        <v>1.18</v>
      </c>
      <c r="G6744" s="1120">
        <v>1.18</v>
      </c>
      <c r="H6744" s="1127">
        <v>0.0</v>
      </c>
      <c r="I6744" s="1127">
        <v>0.0</v>
      </c>
      <c r="J6744" s="1127">
        <v>0.0</v>
      </c>
      <c r="K6744" s="1124"/>
    </row>
    <row r="6745" ht="15.75" customHeight="1">
      <c r="A6745" s="1119">
        <v>100248.0</v>
      </c>
      <c r="B6745" s="1125" t="s">
        <v>17029</v>
      </c>
      <c r="C6745" s="1126" t="s">
        <v>17017</v>
      </c>
      <c r="D6745" s="1119">
        <v>15.36</v>
      </c>
      <c r="E6745" s="1120">
        <v>10.68</v>
      </c>
      <c r="F6745" s="1121">
        <f t="shared" si="1"/>
        <v>4.69</v>
      </c>
      <c r="G6745" s="1120">
        <v>4.69</v>
      </c>
      <c r="H6745" s="1127">
        <v>0.0</v>
      </c>
      <c r="I6745" s="1127">
        <v>0.0</v>
      </c>
      <c r="J6745" s="1127">
        <v>0.0</v>
      </c>
      <c r="K6745" s="1124"/>
    </row>
    <row r="6746" ht="15.75" customHeight="1">
      <c r="A6746" s="1119">
        <v>100249.0</v>
      </c>
      <c r="B6746" s="1125" t="s">
        <v>17030</v>
      </c>
      <c r="C6746" s="1126" t="s">
        <v>17017</v>
      </c>
      <c r="D6746" s="1119">
        <v>3.11</v>
      </c>
      <c r="E6746" s="1120">
        <v>2.18</v>
      </c>
      <c r="F6746" s="1121">
        <f t="shared" si="1"/>
        <v>0.94</v>
      </c>
      <c r="G6746" s="1120">
        <v>0.94</v>
      </c>
      <c r="H6746" s="1127">
        <v>0.0</v>
      </c>
      <c r="I6746" s="1127">
        <v>0.0</v>
      </c>
      <c r="J6746" s="1127">
        <v>0.0</v>
      </c>
      <c r="K6746" s="1124"/>
    </row>
    <row r="6747" ht="15.75" customHeight="1">
      <c r="A6747" s="1119">
        <v>100250.0</v>
      </c>
      <c r="B6747" s="1125" t="s">
        <v>17031</v>
      </c>
      <c r="C6747" s="1126" t="s">
        <v>17017</v>
      </c>
      <c r="D6747" s="1119">
        <v>5.19</v>
      </c>
      <c r="E6747" s="1120">
        <v>3.62</v>
      </c>
      <c r="F6747" s="1121">
        <f t="shared" si="1"/>
        <v>1.57</v>
      </c>
      <c r="G6747" s="1120">
        <v>1.57</v>
      </c>
      <c r="H6747" s="1127">
        <v>0.0</v>
      </c>
      <c r="I6747" s="1127">
        <v>0.0</v>
      </c>
      <c r="J6747" s="1127">
        <v>0.0</v>
      </c>
      <c r="K6747" s="1124"/>
    </row>
    <row r="6748" ht="15.75" customHeight="1">
      <c r="A6748" s="1119">
        <v>100251.0</v>
      </c>
      <c r="B6748" s="1125" t="s">
        <v>17032</v>
      </c>
      <c r="C6748" s="1126" t="s">
        <v>17017</v>
      </c>
      <c r="D6748" s="1119">
        <v>15.36</v>
      </c>
      <c r="E6748" s="1120">
        <v>10.68</v>
      </c>
      <c r="F6748" s="1121">
        <f t="shared" si="1"/>
        <v>4.69</v>
      </c>
      <c r="G6748" s="1120">
        <v>4.69</v>
      </c>
      <c r="H6748" s="1127">
        <v>0.0</v>
      </c>
      <c r="I6748" s="1127">
        <v>0.0</v>
      </c>
      <c r="J6748" s="1127">
        <v>0.0</v>
      </c>
      <c r="K6748" s="1124"/>
    </row>
    <row r="6749" ht="15.75" customHeight="1">
      <c r="A6749" s="1119">
        <v>100252.0</v>
      </c>
      <c r="B6749" s="1125" t="s">
        <v>17033</v>
      </c>
      <c r="C6749" s="1126" t="s">
        <v>17017</v>
      </c>
      <c r="D6749" s="1119">
        <v>23.05</v>
      </c>
      <c r="E6749" s="1120">
        <v>16.01</v>
      </c>
      <c r="F6749" s="1121">
        <f t="shared" si="1"/>
        <v>7.04</v>
      </c>
      <c r="G6749" s="1120">
        <v>7.04</v>
      </c>
      <c r="H6749" s="1127">
        <v>0.0</v>
      </c>
      <c r="I6749" s="1127">
        <v>0.0</v>
      </c>
      <c r="J6749" s="1127">
        <v>0.0</v>
      </c>
      <c r="K6749" s="1124"/>
    </row>
    <row r="6750" ht="15.75" customHeight="1">
      <c r="A6750" s="1119">
        <v>100253.0</v>
      </c>
      <c r="B6750" s="1125" t="s">
        <v>17034</v>
      </c>
      <c r="C6750" s="1126" t="s">
        <v>17017</v>
      </c>
      <c r="D6750" s="1119">
        <v>30.73</v>
      </c>
      <c r="E6750" s="1120">
        <v>21.34</v>
      </c>
      <c r="F6750" s="1121">
        <f t="shared" si="1"/>
        <v>9.4</v>
      </c>
      <c r="G6750" s="1120">
        <v>9.4</v>
      </c>
      <c r="H6750" s="1127">
        <v>0.0</v>
      </c>
      <c r="I6750" s="1127">
        <v>0.0</v>
      </c>
      <c r="J6750" s="1127">
        <v>0.0</v>
      </c>
      <c r="K6750" s="1124"/>
    </row>
    <row r="6751" ht="15.75" customHeight="1">
      <c r="A6751" s="1119">
        <v>100254.0</v>
      </c>
      <c r="B6751" s="1125" t="s">
        <v>17035</v>
      </c>
      <c r="C6751" s="1126" t="s">
        <v>17017</v>
      </c>
      <c r="D6751" s="1119">
        <v>46.1</v>
      </c>
      <c r="E6751" s="1120">
        <v>31.99</v>
      </c>
      <c r="F6751" s="1121">
        <f t="shared" si="1"/>
        <v>14.11</v>
      </c>
      <c r="G6751" s="1120">
        <v>14.11</v>
      </c>
      <c r="H6751" s="1127">
        <v>0.0</v>
      </c>
      <c r="I6751" s="1127">
        <v>0.0</v>
      </c>
      <c r="J6751" s="1127">
        <v>0.0</v>
      </c>
      <c r="K6751" s="1124"/>
    </row>
    <row r="6752" ht="15.75" customHeight="1">
      <c r="A6752" s="1119">
        <v>100255.0</v>
      </c>
      <c r="B6752" s="1125" t="s">
        <v>17036</v>
      </c>
      <c r="C6752" s="1126" t="s">
        <v>17017</v>
      </c>
      <c r="D6752" s="1119">
        <v>15.6</v>
      </c>
      <c r="E6752" s="1120">
        <v>10.84</v>
      </c>
      <c r="F6752" s="1121">
        <f t="shared" si="1"/>
        <v>4.76</v>
      </c>
      <c r="G6752" s="1120">
        <v>4.76</v>
      </c>
      <c r="H6752" s="1127">
        <v>0.0</v>
      </c>
      <c r="I6752" s="1127">
        <v>0.0</v>
      </c>
      <c r="J6752" s="1127">
        <v>0.0</v>
      </c>
      <c r="K6752" s="1124"/>
    </row>
    <row r="6753" ht="15.75" customHeight="1">
      <c r="A6753" s="1119">
        <v>100256.0</v>
      </c>
      <c r="B6753" s="1125" t="s">
        <v>17037</v>
      </c>
      <c r="C6753" s="1126" t="s">
        <v>17017</v>
      </c>
      <c r="D6753" s="1119">
        <v>10.4</v>
      </c>
      <c r="E6753" s="1120">
        <v>7.24</v>
      </c>
      <c r="F6753" s="1121">
        <f t="shared" si="1"/>
        <v>3.16</v>
      </c>
      <c r="G6753" s="1120">
        <v>3.16</v>
      </c>
      <c r="H6753" s="1127">
        <v>0.0</v>
      </c>
      <c r="I6753" s="1127">
        <v>0.0</v>
      </c>
      <c r="J6753" s="1127">
        <v>0.0</v>
      </c>
      <c r="K6753" s="1124"/>
    </row>
    <row r="6754" ht="15.75" customHeight="1">
      <c r="A6754" s="1119">
        <v>100257.0</v>
      </c>
      <c r="B6754" s="1125" t="s">
        <v>17038</v>
      </c>
      <c r="C6754" s="1126" t="s">
        <v>17017</v>
      </c>
      <c r="D6754" s="1119">
        <v>6.24</v>
      </c>
      <c r="E6754" s="1120">
        <v>4.35</v>
      </c>
      <c r="F6754" s="1121">
        <f t="shared" si="1"/>
        <v>1.9</v>
      </c>
      <c r="G6754" s="1120">
        <v>1.9</v>
      </c>
      <c r="H6754" s="1127">
        <v>0.0</v>
      </c>
      <c r="I6754" s="1127">
        <v>0.0</v>
      </c>
      <c r="J6754" s="1127">
        <v>0.0</v>
      </c>
      <c r="K6754" s="1124"/>
    </row>
    <row r="6755" ht="15.75" customHeight="1">
      <c r="A6755" s="1119">
        <v>100258.0</v>
      </c>
      <c r="B6755" s="1125" t="s">
        <v>17039</v>
      </c>
      <c r="C6755" s="1126" t="s">
        <v>17017</v>
      </c>
      <c r="D6755" s="1119">
        <v>15.6</v>
      </c>
      <c r="E6755" s="1120">
        <v>10.84</v>
      </c>
      <c r="F6755" s="1121">
        <f t="shared" si="1"/>
        <v>4.76</v>
      </c>
      <c r="G6755" s="1120">
        <v>4.76</v>
      </c>
      <c r="H6755" s="1127">
        <v>0.0</v>
      </c>
      <c r="I6755" s="1127">
        <v>0.0</v>
      </c>
      <c r="J6755" s="1127">
        <v>0.0</v>
      </c>
      <c r="K6755" s="1124"/>
    </row>
    <row r="6756" ht="15.75" customHeight="1">
      <c r="A6756" s="1119">
        <v>100259.0</v>
      </c>
      <c r="B6756" s="1125" t="s">
        <v>17040</v>
      </c>
      <c r="C6756" s="1126" t="s">
        <v>17017</v>
      </c>
      <c r="D6756" s="1119">
        <v>30.73</v>
      </c>
      <c r="E6756" s="1120">
        <v>21.34</v>
      </c>
      <c r="F6756" s="1121">
        <f t="shared" si="1"/>
        <v>9.4</v>
      </c>
      <c r="G6756" s="1120">
        <v>9.4</v>
      </c>
      <c r="H6756" s="1127">
        <v>0.0</v>
      </c>
      <c r="I6756" s="1127">
        <v>0.0</v>
      </c>
      <c r="J6756" s="1127">
        <v>0.0</v>
      </c>
      <c r="K6756" s="1124"/>
    </row>
    <row r="6757" ht="15.75" customHeight="1">
      <c r="A6757" s="1119">
        <v>100260.0</v>
      </c>
      <c r="B6757" s="1125" t="s">
        <v>17041</v>
      </c>
      <c r="C6757" s="1126" t="s">
        <v>16971</v>
      </c>
      <c r="D6757" s="1119">
        <v>10.13</v>
      </c>
      <c r="E6757" s="1120">
        <v>7.06</v>
      </c>
      <c r="F6757" s="1121">
        <f t="shared" si="1"/>
        <v>3.08</v>
      </c>
      <c r="G6757" s="1120">
        <v>3.08</v>
      </c>
      <c r="H6757" s="1127">
        <v>0.0</v>
      </c>
      <c r="I6757" s="1127">
        <v>0.0</v>
      </c>
      <c r="J6757" s="1127">
        <v>0.0</v>
      </c>
      <c r="K6757" s="1124"/>
    </row>
    <row r="6758" ht="15.75" customHeight="1">
      <c r="A6758" s="1119">
        <v>100261.0</v>
      </c>
      <c r="B6758" s="1125" t="s">
        <v>17042</v>
      </c>
      <c r="C6758" s="1126" t="s">
        <v>16971</v>
      </c>
      <c r="D6758" s="1119">
        <v>6.36</v>
      </c>
      <c r="E6758" s="1120">
        <v>4.44</v>
      </c>
      <c r="F6758" s="1121">
        <f t="shared" si="1"/>
        <v>1.92</v>
      </c>
      <c r="G6758" s="1120">
        <v>1.92</v>
      </c>
      <c r="H6758" s="1127">
        <v>0.0</v>
      </c>
      <c r="I6758" s="1127">
        <v>0.0</v>
      </c>
      <c r="J6758" s="1127">
        <v>0.0</v>
      </c>
      <c r="K6758" s="1124"/>
    </row>
    <row r="6759" ht="15.75" customHeight="1">
      <c r="A6759" s="1119">
        <v>100262.0</v>
      </c>
      <c r="B6759" s="1125" t="s">
        <v>17043</v>
      </c>
      <c r="C6759" s="1126" t="s">
        <v>16971</v>
      </c>
      <c r="D6759" s="1119">
        <v>3.94</v>
      </c>
      <c r="E6759" s="1120">
        <v>2.76</v>
      </c>
      <c r="F6759" s="1121">
        <f t="shared" si="1"/>
        <v>1.18</v>
      </c>
      <c r="G6759" s="1120">
        <v>1.18</v>
      </c>
      <c r="H6759" s="1127">
        <v>0.0</v>
      </c>
      <c r="I6759" s="1127">
        <v>0.0</v>
      </c>
      <c r="J6759" s="1127">
        <v>0.0</v>
      </c>
      <c r="K6759" s="1124"/>
    </row>
    <row r="6760" ht="15.75" customHeight="1">
      <c r="A6760" s="1119">
        <v>100263.0</v>
      </c>
      <c r="B6760" s="1125" t="s">
        <v>17044</v>
      </c>
      <c r="C6760" s="1126" t="s">
        <v>16971</v>
      </c>
      <c r="D6760" s="1119">
        <v>2.52</v>
      </c>
      <c r="E6760" s="1120">
        <v>1.77</v>
      </c>
      <c r="F6760" s="1121">
        <f t="shared" si="1"/>
        <v>0.74</v>
      </c>
      <c r="G6760" s="1120">
        <v>0.74</v>
      </c>
      <c r="H6760" s="1127">
        <v>0.0</v>
      </c>
      <c r="I6760" s="1127">
        <v>0.0</v>
      </c>
      <c r="J6760" s="1127">
        <v>0.0</v>
      </c>
      <c r="K6760" s="1124"/>
    </row>
    <row r="6761" ht="15.75" customHeight="1">
      <c r="A6761" s="1119">
        <v>100264.0</v>
      </c>
      <c r="B6761" s="1125" t="s">
        <v>17045</v>
      </c>
      <c r="C6761" s="1126" t="s">
        <v>16999</v>
      </c>
      <c r="D6761" s="1119">
        <v>46.03</v>
      </c>
      <c r="E6761" s="1120">
        <v>31.94</v>
      </c>
      <c r="F6761" s="1121">
        <f t="shared" si="1"/>
        <v>14.09</v>
      </c>
      <c r="G6761" s="1120">
        <v>14.09</v>
      </c>
      <c r="H6761" s="1127">
        <v>0.0</v>
      </c>
      <c r="I6761" s="1127">
        <v>0.0</v>
      </c>
      <c r="J6761" s="1127">
        <v>0.0</v>
      </c>
      <c r="K6761" s="1124"/>
    </row>
    <row r="6762" ht="15.75" customHeight="1">
      <c r="A6762" s="1119">
        <v>100265.0</v>
      </c>
      <c r="B6762" s="1125" t="s">
        <v>17046</v>
      </c>
      <c r="C6762" s="1126" t="s">
        <v>1814</v>
      </c>
      <c r="D6762" s="1119">
        <v>0.96</v>
      </c>
      <c r="E6762" s="1120">
        <v>0.69</v>
      </c>
      <c r="F6762" s="1121">
        <f t="shared" si="1"/>
        <v>0.27</v>
      </c>
      <c r="G6762" s="1120">
        <v>0.27</v>
      </c>
      <c r="H6762" s="1127">
        <v>0.0</v>
      </c>
      <c r="I6762" s="1127">
        <v>0.0</v>
      </c>
      <c r="J6762" s="1127">
        <v>0.0</v>
      </c>
      <c r="K6762" s="1124"/>
    </row>
    <row r="6763" ht="15.75" customHeight="1">
      <c r="A6763" s="1119">
        <v>100266.0</v>
      </c>
      <c r="B6763" s="1125" t="s">
        <v>17047</v>
      </c>
      <c r="C6763" s="1126" t="s">
        <v>16986</v>
      </c>
      <c r="D6763" s="1119">
        <v>97.83</v>
      </c>
      <c r="E6763" s="1120">
        <v>67.87</v>
      </c>
      <c r="F6763" s="1121">
        <f t="shared" si="1"/>
        <v>29.96</v>
      </c>
      <c r="G6763" s="1120">
        <v>29.96</v>
      </c>
      <c r="H6763" s="1127">
        <v>0.0</v>
      </c>
      <c r="I6763" s="1127">
        <v>0.0</v>
      </c>
      <c r="J6763" s="1127">
        <v>0.0</v>
      </c>
      <c r="K6763" s="1124"/>
    </row>
    <row r="6764" ht="15.75" customHeight="1">
      <c r="A6764" s="1119">
        <v>100267.0</v>
      </c>
      <c r="B6764" s="1125" t="s">
        <v>17048</v>
      </c>
      <c r="C6764" s="1126" t="s">
        <v>1788</v>
      </c>
      <c r="D6764" s="1119">
        <v>1.93</v>
      </c>
      <c r="E6764" s="1120">
        <v>1.36</v>
      </c>
      <c r="F6764" s="1121">
        <f t="shared" si="1"/>
        <v>0.57</v>
      </c>
      <c r="G6764" s="1120">
        <v>0.57</v>
      </c>
      <c r="H6764" s="1127">
        <v>0.0</v>
      </c>
      <c r="I6764" s="1127">
        <v>0.0</v>
      </c>
      <c r="J6764" s="1127">
        <v>0.0</v>
      </c>
      <c r="K6764" s="1124"/>
    </row>
    <row r="6765" ht="15.75" customHeight="1">
      <c r="A6765" s="1119">
        <v>100268.0</v>
      </c>
      <c r="B6765" s="1125" t="s">
        <v>17049</v>
      </c>
      <c r="C6765" s="1126" t="s">
        <v>16986</v>
      </c>
      <c r="D6765" s="1119">
        <v>97.83</v>
      </c>
      <c r="E6765" s="1120">
        <v>67.87</v>
      </c>
      <c r="F6765" s="1121">
        <f t="shared" si="1"/>
        <v>29.96</v>
      </c>
      <c r="G6765" s="1120">
        <v>29.96</v>
      </c>
      <c r="H6765" s="1127">
        <v>0.0</v>
      </c>
      <c r="I6765" s="1127">
        <v>0.0</v>
      </c>
      <c r="J6765" s="1127">
        <v>0.0</v>
      </c>
      <c r="K6765" s="1124"/>
    </row>
    <row r="6766" ht="15.75" customHeight="1">
      <c r="A6766" s="1119">
        <v>100269.0</v>
      </c>
      <c r="B6766" s="1125" t="s">
        <v>17050</v>
      </c>
      <c r="C6766" s="1126" t="s">
        <v>1788</v>
      </c>
      <c r="D6766" s="1119">
        <v>1.93</v>
      </c>
      <c r="E6766" s="1120">
        <v>1.36</v>
      </c>
      <c r="F6766" s="1121">
        <f t="shared" si="1"/>
        <v>0.57</v>
      </c>
      <c r="G6766" s="1120">
        <v>0.57</v>
      </c>
      <c r="H6766" s="1127">
        <v>0.0</v>
      </c>
      <c r="I6766" s="1127">
        <v>0.0</v>
      </c>
      <c r="J6766" s="1127">
        <v>0.0</v>
      </c>
      <c r="K6766" s="1124"/>
    </row>
    <row r="6767" ht="15.75" customHeight="1">
      <c r="A6767" s="1119">
        <v>100270.0</v>
      </c>
      <c r="B6767" s="1125" t="s">
        <v>17051</v>
      </c>
      <c r="C6767" s="1126" t="s">
        <v>16986</v>
      </c>
      <c r="D6767" s="1119">
        <v>73.33</v>
      </c>
      <c r="E6767" s="1120">
        <v>50.88</v>
      </c>
      <c r="F6767" s="1121">
        <f t="shared" si="1"/>
        <v>22.46</v>
      </c>
      <c r="G6767" s="1120">
        <v>22.46</v>
      </c>
      <c r="H6767" s="1127">
        <v>0.0</v>
      </c>
      <c r="I6767" s="1127">
        <v>0.0</v>
      </c>
      <c r="J6767" s="1127">
        <v>0.0</v>
      </c>
      <c r="K6767" s="1124"/>
    </row>
    <row r="6768" ht="15.75" customHeight="1">
      <c r="A6768" s="1119">
        <v>100271.0</v>
      </c>
      <c r="B6768" s="1125" t="s">
        <v>17052</v>
      </c>
      <c r="C6768" s="1126" t="s">
        <v>16999</v>
      </c>
      <c r="D6768" s="1119">
        <v>73.37</v>
      </c>
      <c r="E6768" s="1120">
        <v>50.9</v>
      </c>
      <c r="F6768" s="1121">
        <f t="shared" si="1"/>
        <v>22.48</v>
      </c>
      <c r="G6768" s="1120">
        <v>22.48</v>
      </c>
      <c r="H6768" s="1127">
        <v>0.0</v>
      </c>
      <c r="I6768" s="1127">
        <v>0.0</v>
      </c>
      <c r="J6768" s="1127">
        <v>0.0</v>
      </c>
      <c r="K6768" s="1124"/>
    </row>
    <row r="6769" ht="15.75" customHeight="1">
      <c r="A6769" s="1119">
        <v>100272.0</v>
      </c>
      <c r="B6769" s="1125" t="s">
        <v>17053</v>
      </c>
      <c r="C6769" s="1126" t="s">
        <v>1814</v>
      </c>
      <c r="D6769" s="1119">
        <v>1.45</v>
      </c>
      <c r="E6769" s="1120">
        <v>1.03</v>
      </c>
      <c r="F6769" s="1121">
        <f t="shared" si="1"/>
        <v>0.42</v>
      </c>
      <c r="G6769" s="1120">
        <v>0.42</v>
      </c>
      <c r="H6769" s="1127">
        <v>0.0</v>
      </c>
      <c r="I6769" s="1127">
        <v>0.0</v>
      </c>
      <c r="J6769" s="1127">
        <v>0.0</v>
      </c>
      <c r="K6769" s="1124"/>
    </row>
    <row r="6770" ht="15.75" customHeight="1">
      <c r="A6770" s="1119">
        <v>100273.0</v>
      </c>
      <c r="B6770" s="1125" t="s">
        <v>17054</v>
      </c>
      <c r="C6770" s="1126" t="s">
        <v>16971</v>
      </c>
      <c r="D6770" s="1119">
        <v>3.82</v>
      </c>
      <c r="E6770" s="1120">
        <v>2.67</v>
      </c>
      <c r="F6770" s="1121">
        <f t="shared" si="1"/>
        <v>1.16</v>
      </c>
      <c r="G6770" s="1120">
        <v>1.16</v>
      </c>
      <c r="H6770" s="1127">
        <v>0.0</v>
      </c>
      <c r="I6770" s="1127">
        <v>0.0</v>
      </c>
      <c r="J6770" s="1127">
        <v>0.0</v>
      </c>
      <c r="K6770" s="1124"/>
    </row>
    <row r="6771" ht="15.75" customHeight="1">
      <c r="A6771" s="1119">
        <v>100274.0</v>
      </c>
      <c r="B6771" s="1125" t="s">
        <v>17055</v>
      </c>
      <c r="C6771" s="1126" t="s">
        <v>16999</v>
      </c>
      <c r="D6771" s="1119">
        <v>32.62</v>
      </c>
      <c r="E6771" s="1120">
        <v>22.64</v>
      </c>
      <c r="F6771" s="1121">
        <f t="shared" si="1"/>
        <v>9.99</v>
      </c>
      <c r="G6771" s="1120">
        <v>9.99</v>
      </c>
      <c r="H6771" s="1127">
        <v>0.0</v>
      </c>
      <c r="I6771" s="1127">
        <v>0.0</v>
      </c>
      <c r="J6771" s="1127">
        <v>0.0</v>
      </c>
      <c r="K6771" s="1124"/>
    </row>
    <row r="6772" ht="15.75" customHeight="1">
      <c r="A6772" s="1119">
        <v>100275.0</v>
      </c>
      <c r="B6772" s="1125" t="s">
        <v>17056</v>
      </c>
      <c r="C6772" s="1126" t="s">
        <v>16999</v>
      </c>
      <c r="D6772" s="1119">
        <v>21.09</v>
      </c>
      <c r="E6772" s="1120">
        <v>14.65</v>
      </c>
      <c r="F6772" s="1121">
        <f t="shared" si="1"/>
        <v>6.44</v>
      </c>
      <c r="G6772" s="1120">
        <v>6.44</v>
      </c>
      <c r="H6772" s="1127">
        <v>0.0</v>
      </c>
      <c r="I6772" s="1127">
        <v>0.0</v>
      </c>
      <c r="J6772" s="1127">
        <v>0.0</v>
      </c>
      <c r="K6772" s="1124"/>
    </row>
    <row r="6773" ht="15.75" customHeight="1">
      <c r="A6773" s="1119">
        <v>100276.0</v>
      </c>
      <c r="B6773" s="1125" t="s">
        <v>17057</v>
      </c>
      <c r="C6773" s="1126" t="s">
        <v>16999</v>
      </c>
      <c r="D6773" s="1119">
        <v>38.49</v>
      </c>
      <c r="E6773" s="1120">
        <v>26.72</v>
      </c>
      <c r="F6773" s="1121">
        <f t="shared" si="1"/>
        <v>11.77</v>
      </c>
      <c r="G6773" s="1120">
        <v>11.77</v>
      </c>
      <c r="H6773" s="1127">
        <v>0.0</v>
      </c>
      <c r="I6773" s="1127">
        <v>0.0</v>
      </c>
      <c r="J6773" s="1127">
        <v>0.0</v>
      </c>
      <c r="K6773" s="1124"/>
    </row>
    <row r="6774" ht="15.75" customHeight="1">
      <c r="A6774" s="1119">
        <v>100277.0</v>
      </c>
      <c r="B6774" s="1125" t="s">
        <v>17058</v>
      </c>
      <c r="C6774" s="1126" t="s">
        <v>16999</v>
      </c>
      <c r="D6774" s="1119">
        <v>1.9</v>
      </c>
      <c r="E6774" s="1120">
        <v>0.55</v>
      </c>
      <c r="F6774" s="1121">
        <f t="shared" si="1"/>
        <v>1.35</v>
      </c>
      <c r="G6774" s="1120">
        <v>0.4</v>
      </c>
      <c r="H6774" s="1127">
        <v>0.95</v>
      </c>
      <c r="I6774" s="1127">
        <v>0.0</v>
      </c>
      <c r="J6774" s="1127">
        <v>0.0</v>
      </c>
      <c r="K6774" s="1124"/>
    </row>
    <row r="6775" ht="15.75" customHeight="1">
      <c r="A6775" s="1119">
        <v>100278.0</v>
      </c>
      <c r="B6775" s="1125" t="s">
        <v>17059</v>
      </c>
      <c r="C6775" s="1126" t="s">
        <v>16986</v>
      </c>
      <c r="D6775" s="1119">
        <v>46.8</v>
      </c>
      <c r="E6775" s="1120">
        <v>32.48</v>
      </c>
      <c r="F6775" s="1121">
        <f t="shared" si="1"/>
        <v>14.33</v>
      </c>
      <c r="G6775" s="1120">
        <v>14.33</v>
      </c>
      <c r="H6775" s="1127">
        <v>0.0</v>
      </c>
      <c r="I6775" s="1127">
        <v>0.0</v>
      </c>
      <c r="J6775" s="1127">
        <v>0.0</v>
      </c>
      <c r="K6775" s="1124"/>
    </row>
    <row r="6776" ht="15.75" customHeight="1">
      <c r="A6776" s="1119">
        <v>100279.0</v>
      </c>
      <c r="B6776" s="1125" t="s">
        <v>17060</v>
      </c>
      <c r="C6776" s="1126" t="s">
        <v>1788</v>
      </c>
      <c r="D6776" s="1119">
        <v>0.9</v>
      </c>
      <c r="E6776" s="1120">
        <v>0.64</v>
      </c>
      <c r="F6776" s="1121">
        <f t="shared" si="1"/>
        <v>0.26</v>
      </c>
      <c r="G6776" s="1120">
        <v>0.26</v>
      </c>
      <c r="H6776" s="1127">
        <v>0.0</v>
      </c>
      <c r="I6776" s="1127">
        <v>0.0</v>
      </c>
      <c r="J6776" s="1127">
        <v>0.0</v>
      </c>
      <c r="K6776" s="1124"/>
    </row>
    <row r="6777" ht="15.75" customHeight="1">
      <c r="A6777" s="1119">
        <v>100280.0</v>
      </c>
      <c r="B6777" s="1125" t="s">
        <v>17061</v>
      </c>
      <c r="C6777" s="1126" t="s">
        <v>16986</v>
      </c>
      <c r="D6777" s="1119">
        <v>21.49</v>
      </c>
      <c r="E6777" s="1120">
        <v>14.93</v>
      </c>
      <c r="F6777" s="1121">
        <f t="shared" si="1"/>
        <v>6.56</v>
      </c>
      <c r="G6777" s="1120">
        <v>6.56</v>
      </c>
      <c r="H6777" s="1127">
        <v>0.0</v>
      </c>
      <c r="I6777" s="1127">
        <v>0.0</v>
      </c>
      <c r="J6777" s="1127">
        <v>0.0</v>
      </c>
      <c r="K6777" s="1124"/>
    </row>
    <row r="6778" ht="15.75" customHeight="1">
      <c r="A6778" s="1119">
        <v>100281.0</v>
      </c>
      <c r="B6778" s="1125" t="s">
        <v>17062</v>
      </c>
      <c r="C6778" s="1126" t="s">
        <v>16986</v>
      </c>
      <c r="D6778" s="1119">
        <v>3.66</v>
      </c>
      <c r="E6778" s="1120">
        <v>1.07</v>
      </c>
      <c r="F6778" s="1121">
        <f t="shared" si="1"/>
        <v>2.6</v>
      </c>
      <c r="G6778" s="1120">
        <v>0.8</v>
      </c>
      <c r="H6778" s="1127">
        <v>1.8</v>
      </c>
      <c r="I6778" s="1127">
        <v>0.0</v>
      </c>
      <c r="J6778" s="1127">
        <v>0.0</v>
      </c>
      <c r="K6778" s="1124"/>
    </row>
    <row r="6779" ht="15.75" customHeight="1">
      <c r="A6779" s="1119">
        <v>100282.0</v>
      </c>
      <c r="B6779" s="1125" t="s">
        <v>17063</v>
      </c>
      <c r="C6779" s="1126" t="s">
        <v>16999</v>
      </c>
      <c r="D6779" s="1119">
        <v>183.29</v>
      </c>
      <c r="E6779" s="1120">
        <v>127.12</v>
      </c>
      <c r="F6779" s="1121">
        <f t="shared" si="1"/>
        <v>56.17</v>
      </c>
      <c r="G6779" s="1120">
        <v>56.17</v>
      </c>
      <c r="H6779" s="1127">
        <v>0.0</v>
      </c>
      <c r="I6779" s="1127">
        <v>0.0</v>
      </c>
      <c r="J6779" s="1127">
        <v>0.0</v>
      </c>
      <c r="K6779" s="1124"/>
    </row>
    <row r="6780" ht="15.75" customHeight="1">
      <c r="A6780" s="1119">
        <v>100283.0</v>
      </c>
      <c r="B6780" s="1125" t="s">
        <v>17064</v>
      </c>
      <c r="C6780" s="1126" t="s">
        <v>16999</v>
      </c>
      <c r="D6780" s="1119">
        <v>29.61</v>
      </c>
      <c r="E6780" s="1120">
        <v>20.55</v>
      </c>
      <c r="F6780" s="1121">
        <f t="shared" si="1"/>
        <v>9.06</v>
      </c>
      <c r="G6780" s="1120">
        <v>9.06</v>
      </c>
      <c r="H6780" s="1127">
        <v>0.0</v>
      </c>
      <c r="I6780" s="1127">
        <v>0.0</v>
      </c>
      <c r="J6780" s="1127">
        <v>0.0</v>
      </c>
      <c r="K6780" s="1124"/>
    </row>
    <row r="6781" ht="15.75" customHeight="1">
      <c r="A6781" s="1119">
        <v>100284.0</v>
      </c>
      <c r="B6781" s="1125" t="s">
        <v>17065</v>
      </c>
      <c r="C6781" s="1126" t="s">
        <v>16999</v>
      </c>
      <c r="D6781" s="1119">
        <v>10.7</v>
      </c>
      <c r="E6781" s="1120">
        <v>3.1</v>
      </c>
      <c r="F6781" s="1121">
        <f t="shared" si="1"/>
        <v>7.6</v>
      </c>
      <c r="G6781" s="1120">
        <v>2.44</v>
      </c>
      <c r="H6781" s="1127">
        <v>5.16</v>
      </c>
      <c r="I6781" s="1127">
        <v>0.0</v>
      </c>
      <c r="J6781" s="1127">
        <v>0.0</v>
      </c>
      <c r="K6781" s="1124"/>
    </row>
    <row r="6782" ht="15.75" customHeight="1">
      <c r="A6782" s="1119">
        <v>100285.0</v>
      </c>
      <c r="B6782" s="1125" t="s">
        <v>17066</v>
      </c>
      <c r="C6782" s="1126" t="s">
        <v>17017</v>
      </c>
      <c r="D6782" s="1119">
        <v>49.24</v>
      </c>
      <c r="E6782" s="1120">
        <v>34.17</v>
      </c>
      <c r="F6782" s="1121">
        <f t="shared" si="1"/>
        <v>15.08</v>
      </c>
      <c r="G6782" s="1120">
        <v>15.08</v>
      </c>
      <c r="H6782" s="1127">
        <v>0.0</v>
      </c>
      <c r="I6782" s="1127">
        <v>0.0</v>
      </c>
      <c r="J6782" s="1127">
        <v>0.0</v>
      </c>
      <c r="K6782" s="1124"/>
    </row>
    <row r="6783" ht="15.75" customHeight="1">
      <c r="A6783" s="1119">
        <v>100286.0</v>
      </c>
      <c r="B6783" s="1125" t="s">
        <v>17067</v>
      </c>
      <c r="C6783" s="1126" t="s">
        <v>17017</v>
      </c>
      <c r="D6783" s="1119">
        <v>16.04</v>
      </c>
      <c r="E6783" s="1120">
        <v>11.15</v>
      </c>
      <c r="F6783" s="1121">
        <f t="shared" si="1"/>
        <v>4.89</v>
      </c>
      <c r="G6783" s="1120">
        <v>4.89</v>
      </c>
      <c r="H6783" s="1127">
        <v>0.0</v>
      </c>
      <c r="I6783" s="1127">
        <v>0.0</v>
      </c>
      <c r="J6783" s="1127">
        <v>0.0</v>
      </c>
      <c r="K6783" s="1124"/>
    </row>
    <row r="6784" ht="15.75" customHeight="1">
      <c r="A6784" s="1119">
        <v>100287.0</v>
      </c>
      <c r="B6784" s="1125" t="s">
        <v>17068</v>
      </c>
      <c r="C6784" s="1126" t="s">
        <v>17017</v>
      </c>
      <c r="D6784" s="1119">
        <v>15.36</v>
      </c>
      <c r="E6784" s="1120">
        <v>10.68</v>
      </c>
      <c r="F6784" s="1121">
        <f t="shared" si="1"/>
        <v>4.69</v>
      </c>
      <c r="G6784" s="1120">
        <v>4.69</v>
      </c>
      <c r="H6784" s="1127">
        <v>0.0</v>
      </c>
      <c r="I6784" s="1127">
        <v>0.0</v>
      </c>
      <c r="J6784" s="1127">
        <v>0.0</v>
      </c>
      <c r="K6784" s="1124"/>
    </row>
    <row r="6785" ht="15.75" customHeight="1">
      <c r="A6785" s="1119">
        <v>99802.0</v>
      </c>
      <c r="B6785" s="1125" t="s">
        <v>17069</v>
      </c>
      <c r="C6785" s="1126" t="s">
        <v>1814</v>
      </c>
      <c r="D6785" s="1119">
        <v>0.62</v>
      </c>
      <c r="E6785" s="1120">
        <v>0.45</v>
      </c>
      <c r="F6785" s="1121">
        <f t="shared" si="1"/>
        <v>0.17</v>
      </c>
      <c r="G6785" s="1120">
        <v>0.17</v>
      </c>
      <c r="H6785" s="1127">
        <v>0.0</v>
      </c>
      <c r="I6785" s="1127">
        <v>0.0</v>
      </c>
      <c r="J6785" s="1127">
        <v>0.0</v>
      </c>
      <c r="K6785" s="1124"/>
    </row>
    <row r="6786" ht="15.75" customHeight="1">
      <c r="A6786" s="1119">
        <v>99803.0</v>
      </c>
      <c r="B6786" s="1125" t="s">
        <v>17070</v>
      </c>
      <c r="C6786" s="1126" t="s">
        <v>1814</v>
      </c>
      <c r="D6786" s="1119">
        <v>2.43</v>
      </c>
      <c r="E6786" s="1120">
        <v>1.71</v>
      </c>
      <c r="F6786" s="1121">
        <f t="shared" si="1"/>
        <v>0.72</v>
      </c>
      <c r="G6786" s="1120">
        <v>0.72</v>
      </c>
      <c r="H6786" s="1127">
        <v>0.0</v>
      </c>
      <c r="I6786" s="1127">
        <v>0.0</v>
      </c>
      <c r="J6786" s="1127">
        <v>0.0</v>
      </c>
      <c r="K6786" s="1124"/>
    </row>
    <row r="6787" ht="15.75" customHeight="1">
      <c r="A6787" s="1119">
        <v>99804.0</v>
      </c>
      <c r="B6787" s="1125" t="s">
        <v>17071</v>
      </c>
      <c r="C6787" s="1126" t="s">
        <v>1814</v>
      </c>
      <c r="D6787" s="1119">
        <v>6.3</v>
      </c>
      <c r="E6787" s="1120">
        <v>4.34</v>
      </c>
      <c r="F6787" s="1121">
        <f t="shared" si="1"/>
        <v>1.97</v>
      </c>
      <c r="G6787" s="1120">
        <v>1.97</v>
      </c>
      <c r="H6787" s="1127">
        <v>0.0</v>
      </c>
      <c r="I6787" s="1127">
        <v>0.0</v>
      </c>
      <c r="J6787" s="1127">
        <v>0.0</v>
      </c>
      <c r="K6787" s="1124"/>
    </row>
    <row r="6788" ht="15.75" customHeight="1">
      <c r="A6788" s="1119">
        <v>99805.0</v>
      </c>
      <c r="B6788" s="1125" t="s">
        <v>17072</v>
      </c>
      <c r="C6788" s="1126" t="s">
        <v>1814</v>
      </c>
      <c r="D6788" s="1119">
        <v>13.13</v>
      </c>
      <c r="E6788" s="1120">
        <v>8.6</v>
      </c>
      <c r="F6788" s="1121">
        <f t="shared" si="1"/>
        <v>4.53</v>
      </c>
      <c r="G6788" s="1120">
        <v>4.53</v>
      </c>
      <c r="H6788" s="1127">
        <v>0.0</v>
      </c>
      <c r="I6788" s="1127">
        <v>0.0</v>
      </c>
      <c r="J6788" s="1127">
        <v>0.0</v>
      </c>
      <c r="K6788" s="1124"/>
    </row>
    <row r="6789" ht="15.75" customHeight="1">
      <c r="A6789" s="1119">
        <v>99806.0</v>
      </c>
      <c r="B6789" s="1125" t="s">
        <v>17073</v>
      </c>
      <c r="C6789" s="1126" t="s">
        <v>1814</v>
      </c>
      <c r="D6789" s="1119">
        <v>1.0</v>
      </c>
      <c r="E6789" s="1120">
        <v>0.71</v>
      </c>
      <c r="F6789" s="1121">
        <f t="shared" si="1"/>
        <v>0.29</v>
      </c>
      <c r="G6789" s="1120">
        <v>0.29</v>
      </c>
      <c r="H6789" s="1127">
        <v>0.0</v>
      </c>
      <c r="I6789" s="1127">
        <v>0.0</v>
      </c>
      <c r="J6789" s="1127">
        <v>0.0</v>
      </c>
      <c r="K6789" s="1124"/>
    </row>
    <row r="6790" ht="15.75" customHeight="1">
      <c r="A6790" s="1119">
        <v>99807.0</v>
      </c>
      <c r="B6790" s="1125" t="s">
        <v>17074</v>
      </c>
      <c r="C6790" s="1126" t="s">
        <v>1814</v>
      </c>
      <c r="D6790" s="1119">
        <v>1.91</v>
      </c>
      <c r="E6790" s="1120">
        <v>1.29</v>
      </c>
      <c r="F6790" s="1121">
        <f t="shared" si="1"/>
        <v>0.62</v>
      </c>
      <c r="G6790" s="1120">
        <v>0.62</v>
      </c>
      <c r="H6790" s="1127">
        <v>0.0</v>
      </c>
      <c r="I6790" s="1127">
        <v>0.0</v>
      </c>
      <c r="J6790" s="1127">
        <v>0.0</v>
      </c>
      <c r="K6790" s="1124"/>
    </row>
    <row r="6791" ht="15.75" customHeight="1">
      <c r="A6791" s="1119">
        <v>99808.0</v>
      </c>
      <c r="B6791" s="1125" t="s">
        <v>17075</v>
      </c>
      <c r="C6791" s="1126" t="s">
        <v>1814</v>
      </c>
      <c r="D6791" s="1119">
        <v>4.59</v>
      </c>
      <c r="E6791" s="1120">
        <v>2.67</v>
      </c>
      <c r="F6791" s="1121">
        <f t="shared" si="1"/>
        <v>1.92</v>
      </c>
      <c r="G6791" s="1120">
        <v>1.92</v>
      </c>
      <c r="H6791" s="1127">
        <v>0.0</v>
      </c>
      <c r="I6791" s="1127">
        <v>0.0</v>
      </c>
      <c r="J6791" s="1127">
        <v>0.0</v>
      </c>
      <c r="K6791" s="1124"/>
    </row>
    <row r="6792" ht="15.75" customHeight="1">
      <c r="A6792" s="1119">
        <v>99809.0</v>
      </c>
      <c r="B6792" s="1125" t="s">
        <v>17076</v>
      </c>
      <c r="C6792" s="1126" t="s">
        <v>1814</v>
      </c>
      <c r="D6792" s="1119">
        <v>6.93</v>
      </c>
      <c r="E6792" s="1120">
        <v>4.83</v>
      </c>
      <c r="F6792" s="1121">
        <f t="shared" si="1"/>
        <v>2.1</v>
      </c>
      <c r="G6792" s="1120">
        <v>2.1</v>
      </c>
      <c r="H6792" s="1127">
        <v>0.0</v>
      </c>
      <c r="I6792" s="1127">
        <v>0.0</v>
      </c>
      <c r="J6792" s="1127">
        <v>0.0</v>
      </c>
      <c r="K6792" s="1124"/>
    </row>
    <row r="6793" ht="15.75" customHeight="1">
      <c r="A6793" s="1119">
        <v>99810.0</v>
      </c>
      <c r="B6793" s="1125" t="s">
        <v>17077</v>
      </c>
      <c r="C6793" s="1126" t="s">
        <v>1814</v>
      </c>
      <c r="D6793" s="1119">
        <v>8.62</v>
      </c>
      <c r="E6793" s="1120">
        <v>5.94</v>
      </c>
      <c r="F6793" s="1121">
        <f t="shared" si="1"/>
        <v>2.68</v>
      </c>
      <c r="G6793" s="1120">
        <v>2.68</v>
      </c>
      <c r="H6793" s="1127">
        <v>0.0</v>
      </c>
      <c r="I6793" s="1127">
        <v>0.0</v>
      </c>
      <c r="J6793" s="1127">
        <v>0.0</v>
      </c>
      <c r="K6793" s="1124"/>
    </row>
    <row r="6794" ht="15.75" customHeight="1">
      <c r="A6794" s="1119">
        <v>99811.0</v>
      </c>
      <c r="B6794" s="1125" t="s">
        <v>17078</v>
      </c>
      <c r="C6794" s="1126" t="s">
        <v>1814</v>
      </c>
      <c r="D6794" s="1119">
        <v>4.14</v>
      </c>
      <c r="E6794" s="1120">
        <v>2.9</v>
      </c>
      <c r="F6794" s="1121">
        <f t="shared" si="1"/>
        <v>1.25</v>
      </c>
      <c r="G6794" s="1120">
        <v>1.25</v>
      </c>
      <c r="H6794" s="1127">
        <v>0.0</v>
      </c>
      <c r="I6794" s="1127">
        <v>0.0</v>
      </c>
      <c r="J6794" s="1127">
        <v>0.0</v>
      </c>
      <c r="K6794" s="1124"/>
    </row>
    <row r="6795" ht="15.75" customHeight="1">
      <c r="A6795" s="1119">
        <v>99812.0</v>
      </c>
      <c r="B6795" s="1125" t="s">
        <v>17079</v>
      </c>
      <c r="C6795" s="1126" t="s">
        <v>1814</v>
      </c>
      <c r="D6795" s="1119">
        <v>1.33</v>
      </c>
      <c r="E6795" s="1120">
        <v>0.94</v>
      </c>
      <c r="F6795" s="1121">
        <f t="shared" si="1"/>
        <v>0.39</v>
      </c>
      <c r="G6795" s="1120">
        <v>0.39</v>
      </c>
      <c r="H6795" s="1127">
        <v>0.0</v>
      </c>
      <c r="I6795" s="1127">
        <v>0.0</v>
      </c>
      <c r="J6795" s="1127">
        <v>0.0</v>
      </c>
      <c r="K6795" s="1124"/>
    </row>
    <row r="6796" ht="15.75" customHeight="1">
      <c r="A6796" s="1119">
        <v>99813.0</v>
      </c>
      <c r="B6796" s="1125" t="s">
        <v>17080</v>
      </c>
      <c r="C6796" s="1126" t="s">
        <v>1814</v>
      </c>
      <c r="D6796" s="1119">
        <v>1.13</v>
      </c>
      <c r="E6796" s="1120">
        <v>0.75</v>
      </c>
      <c r="F6796" s="1121">
        <f t="shared" si="1"/>
        <v>0.38</v>
      </c>
      <c r="G6796" s="1120">
        <v>0.38</v>
      </c>
      <c r="H6796" s="1127">
        <v>0.0</v>
      </c>
      <c r="I6796" s="1127">
        <v>0.0</v>
      </c>
      <c r="J6796" s="1127">
        <v>0.0</v>
      </c>
      <c r="K6796" s="1124"/>
    </row>
    <row r="6797" ht="15.75" customHeight="1">
      <c r="A6797" s="1119">
        <v>99814.0</v>
      </c>
      <c r="B6797" s="1125" t="s">
        <v>17081</v>
      </c>
      <c r="C6797" s="1126" t="s">
        <v>1814</v>
      </c>
      <c r="D6797" s="1119">
        <v>2.25</v>
      </c>
      <c r="E6797" s="1120">
        <v>1.57</v>
      </c>
      <c r="F6797" s="1121">
        <f t="shared" si="1"/>
        <v>0.68</v>
      </c>
      <c r="G6797" s="1120">
        <v>0.67</v>
      </c>
      <c r="H6797" s="1127">
        <v>0.0</v>
      </c>
      <c r="I6797" s="1127">
        <v>0.0</v>
      </c>
      <c r="J6797" s="1127">
        <v>0.01</v>
      </c>
      <c r="K6797" s="1124"/>
    </row>
    <row r="6798" ht="15.75" customHeight="1">
      <c r="A6798" s="1119">
        <v>99815.0</v>
      </c>
      <c r="B6798" s="1125" t="s">
        <v>17082</v>
      </c>
      <c r="C6798" s="1126" t="s">
        <v>1788</v>
      </c>
      <c r="D6798" s="1119">
        <v>10.02</v>
      </c>
      <c r="E6798" s="1120">
        <v>4.75</v>
      </c>
      <c r="F6798" s="1121">
        <f t="shared" si="1"/>
        <v>5.27</v>
      </c>
      <c r="G6798" s="1120">
        <v>5.27</v>
      </c>
      <c r="H6798" s="1127">
        <v>0.0</v>
      </c>
      <c r="I6798" s="1127">
        <v>0.0</v>
      </c>
      <c r="J6798" s="1127">
        <v>0.0</v>
      </c>
      <c r="K6798" s="1124"/>
    </row>
    <row r="6799" ht="15.75" customHeight="1">
      <c r="A6799" s="1119">
        <v>99816.0</v>
      </c>
      <c r="B6799" s="1125" t="s">
        <v>17083</v>
      </c>
      <c r="C6799" s="1126" t="s">
        <v>1788</v>
      </c>
      <c r="D6799" s="1119">
        <v>10.65</v>
      </c>
      <c r="E6799" s="1120">
        <v>5.2</v>
      </c>
      <c r="F6799" s="1121">
        <f t="shared" si="1"/>
        <v>5.46</v>
      </c>
      <c r="G6799" s="1120">
        <v>5.46</v>
      </c>
      <c r="H6799" s="1127">
        <v>0.0</v>
      </c>
      <c r="I6799" s="1127">
        <v>0.0</v>
      </c>
      <c r="J6799" s="1127">
        <v>0.0</v>
      </c>
      <c r="K6799" s="1124"/>
    </row>
    <row r="6800" ht="15.75" customHeight="1">
      <c r="A6800" s="1119">
        <v>99817.0</v>
      </c>
      <c r="B6800" s="1125" t="s">
        <v>17084</v>
      </c>
      <c r="C6800" s="1126" t="s">
        <v>1788</v>
      </c>
      <c r="D6800" s="1119">
        <v>6.28</v>
      </c>
      <c r="E6800" s="1120">
        <v>2.16</v>
      </c>
      <c r="F6800" s="1121">
        <f t="shared" si="1"/>
        <v>4.12</v>
      </c>
      <c r="G6800" s="1120">
        <v>4.12</v>
      </c>
      <c r="H6800" s="1127">
        <v>0.0</v>
      </c>
      <c r="I6800" s="1127">
        <v>0.0</v>
      </c>
      <c r="J6800" s="1127">
        <v>0.0</v>
      </c>
      <c r="K6800" s="1124"/>
    </row>
    <row r="6801" ht="15.75" customHeight="1">
      <c r="A6801" s="1119">
        <v>99818.0</v>
      </c>
      <c r="B6801" s="1125" t="s">
        <v>17085</v>
      </c>
      <c r="C6801" s="1126" t="s">
        <v>1788</v>
      </c>
      <c r="D6801" s="1119">
        <v>6.28</v>
      </c>
      <c r="E6801" s="1120">
        <v>2.16</v>
      </c>
      <c r="F6801" s="1121">
        <f t="shared" si="1"/>
        <v>4.12</v>
      </c>
      <c r="G6801" s="1120">
        <v>4.12</v>
      </c>
      <c r="H6801" s="1127">
        <v>0.0</v>
      </c>
      <c r="I6801" s="1127">
        <v>0.0</v>
      </c>
      <c r="J6801" s="1127">
        <v>0.0</v>
      </c>
      <c r="K6801" s="1124"/>
    </row>
    <row r="6802" ht="15.75" customHeight="1">
      <c r="A6802" s="1119">
        <v>99819.0</v>
      </c>
      <c r="B6802" s="1125" t="s">
        <v>17086</v>
      </c>
      <c r="C6802" s="1126" t="s">
        <v>1814</v>
      </c>
      <c r="D6802" s="1119">
        <v>19.72</v>
      </c>
      <c r="E6802" s="1120">
        <v>13.55</v>
      </c>
      <c r="F6802" s="1121">
        <f t="shared" si="1"/>
        <v>6.17</v>
      </c>
      <c r="G6802" s="1120">
        <v>6.17</v>
      </c>
      <c r="H6802" s="1127">
        <v>0.0</v>
      </c>
      <c r="I6802" s="1127">
        <v>0.0</v>
      </c>
      <c r="J6802" s="1127">
        <v>0.0</v>
      </c>
      <c r="K6802" s="1124"/>
    </row>
    <row r="6803" ht="15.75" customHeight="1">
      <c r="A6803" s="1119">
        <v>99820.0</v>
      </c>
      <c r="B6803" s="1125" t="s">
        <v>17087</v>
      </c>
      <c r="C6803" s="1126" t="s">
        <v>1814</v>
      </c>
      <c r="D6803" s="1119">
        <v>2.27</v>
      </c>
      <c r="E6803" s="1120">
        <v>1.1</v>
      </c>
      <c r="F6803" s="1121">
        <f t="shared" si="1"/>
        <v>1.17</v>
      </c>
      <c r="G6803" s="1120">
        <v>1.17</v>
      </c>
      <c r="H6803" s="1127">
        <v>0.0</v>
      </c>
      <c r="I6803" s="1127">
        <v>0.0</v>
      </c>
      <c r="J6803" s="1127">
        <v>0.0</v>
      </c>
      <c r="K6803" s="1124"/>
    </row>
    <row r="6804" ht="15.75" customHeight="1">
      <c r="A6804" s="1119">
        <v>99821.0</v>
      </c>
      <c r="B6804" s="1125" t="s">
        <v>17088</v>
      </c>
      <c r="C6804" s="1126" t="s">
        <v>1814</v>
      </c>
      <c r="D6804" s="1119">
        <v>3.51</v>
      </c>
      <c r="E6804" s="1120">
        <v>1.61</v>
      </c>
      <c r="F6804" s="1121">
        <f t="shared" si="1"/>
        <v>1.9</v>
      </c>
      <c r="G6804" s="1120">
        <v>1.9</v>
      </c>
      <c r="H6804" s="1127">
        <v>0.0</v>
      </c>
      <c r="I6804" s="1127">
        <v>0.0</v>
      </c>
      <c r="J6804" s="1127">
        <v>0.0</v>
      </c>
      <c r="K6804" s="1124"/>
    </row>
    <row r="6805" ht="15.75" customHeight="1">
      <c r="A6805" s="1119">
        <v>99822.0</v>
      </c>
      <c r="B6805" s="1125" t="s">
        <v>17089</v>
      </c>
      <c r="C6805" s="1126" t="s">
        <v>1814</v>
      </c>
      <c r="D6805" s="1119">
        <v>1.18</v>
      </c>
      <c r="E6805" s="1120">
        <v>0.84</v>
      </c>
      <c r="F6805" s="1121">
        <f t="shared" si="1"/>
        <v>0.33</v>
      </c>
      <c r="G6805" s="1120">
        <v>0.33</v>
      </c>
      <c r="H6805" s="1127">
        <v>0.0</v>
      </c>
      <c r="I6805" s="1127">
        <v>0.0</v>
      </c>
      <c r="J6805" s="1127">
        <v>0.0</v>
      </c>
      <c r="K6805" s="1124"/>
    </row>
    <row r="6806" ht="15.75" customHeight="1">
      <c r="A6806" s="1119">
        <v>99823.0</v>
      </c>
      <c r="B6806" s="1125" t="s">
        <v>17090</v>
      </c>
      <c r="C6806" s="1126" t="s">
        <v>1814</v>
      </c>
      <c r="D6806" s="1119">
        <v>2.67</v>
      </c>
      <c r="E6806" s="1120">
        <v>1.39</v>
      </c>
      <c r="F6806" s="1121">
        <f t="shared" si="1"/>
        <v>1.29</v>
      </c>
      <c r="G6806" s="1120">
        <v>1.29</v>
      </c>
      <c r="H6806" s="1127">
        <v>0.0</v>
      </c>
      <c r="I6806" s="1127">
        <v>0.0</v>
      </c>
      <c r="J6806" s="1127">
        <v>0.0</v>
      </c>
      <c r="K6806" s="1124"/>
    </row>
    <row r="6807" ht="15.75" customHeight="1">
      <c r="A6807" s="1119">
        <v>99824.0</v>
      </c>
      <c r="B6807" s="1125" t="s">
        <v>17091</v>
      </c>
      <c r="C6807" s="1126" t="s">
        <v>1814</v>
      </c>
      <c r="D6807" s="1119">
        <v>2.92</v>
      </c>
      <c r="E6807" s="1120">
        <v>1.64</v>
      </c>
      <c r="F6807" s="1121">
        <f t="shared" si="1"/>
        <v>1.29</v>
      </c>
      <c r="G6807" s="1120">
        <v>1.29</v>
      </c>
      <c r="H6807" s="1127">
        <v>0.0</v>
      </c>
      <c r="I6807" s="1127">
        <v>0.0</v>
      </c>
      <c r="J6807" s="1127">
        <v>0.0</v>
      </c>
      <c r="K6807" s="1124"/>
    </row>
    <row r="6808" ht="15.75" customHeight="1">
      <c r="A6808" s="1119">
        <v>99825.0</v>
      </c>
      <c r="B6808" s="1125" t="s">
        <v>17092</v>
      </c>
      <c r="C6808" s="1126" t="s">
        <v>1814</v>
      </c>
      <c r="D6808" s="1119">
        <v>4.11</v>
      </c>
      <c r="E6808" s="1120">
        <v>2.03</v>
      </c>
      <c r="F6808" s="1121">
        <f t="shared" si="1"/>
        <v>2.08</v>
      </c>
      <c r="G6808" s="1120">
        <v>2.08</v>
      </c>
      <c r="H6808" s="1127">
        <v>0.0</v>
      </c>
      <c r="I6808" s="1127">
        <v>0.0</v>
      </c>
      <c r="J6808" s="1127">
        <v>0.0</v>
      </c>
      <c r="K6808" s="1124"/>
    </row>
    <row r="6809" ht="15.75" customHeight="1">
      <c r="A6809" s="1119">
        <v>99826.0</v>
      </c>
      <c r="B6809" s="1125" t="s">
        <v>17093</v>
      </c>
      <c r="C6809" s="1126" t="s">
        <v>1814</v>
      </c>
      <c r="D6809" s="1119">
        <v>1.8</v>
      </c>
      <c r="E6809" s="1120">
        <v>1.26</v>
      </c>
      <c r="F6809" s="1121">
        <f t="shared" si="1"/>
        <v>0.54</v>
      </c>
      <c r="G6809" s="1120">
        <v>0.54</v>
      </c>
      <c r="H6809" s="1127">
        <v>0.0</v>
      </c>
      <c r="I6809" s="1127">
        <v>0.0</v>
      </c>
      <c r="J6809" s="1127">
        <v>0.0</v>
      </c>
      <c r="K6809" s="1124"/>
    </row>
    <row r="6810" ht="15.75" customHeight="1">
      <c r="A6810" s="1119">
        <v>97010.0</v>
      </c>
      <c r="B6810" s="1125" t="s">
        <v>17094</v>
      </c>
      <c r="C6810" s="1126" t="s">
        <v>1731</v>
      </c>
      <c r="D6810" s="1119">
        <v>86.93</v>
      </c>
      <c r="E6810" s="1120">
        <v>15.4</v>
      </c>
      <c r="F6810" s="1121">
        <f t="shared" si="1"/>
        <v>71.53</v>
      </c>
      <c r="G6810" s="1120">
        <v>71.53</v>
      </c>
      <c r="H6810" s="1127">
        <v>0.0</v>
      </c>
      <c r="I6810" s="1127">
        <v>0.0</v>
      </c>
      <c r="J6810" s="1127">
        <v>0.0</v>
      </c>
      <c r="K6810" s="1124"/>
    </row>
    <row r="6811" ht="15.75" customHeight="1">
      <c r="A6811" s="1119">
        <v>97011.0</v>
      </c>
      <c r="B6811" s="1125" t="s">
        <v>17095</v>
      </c>
      <c r="C6811" s="1126" t="s">
        <v>1731</v>
      </c>
      <c r="D6811" s="1119">
        <v>65.96</v>
      </c>
      <c r="E6811" s="1120">
        <v>15.41</v>
      </c>
      <c r="F6811" s="1121">
        <f t="shared" si="1"/>
        <v>50.56</v>
      </c>
      <c r="G6811" s="1120">
        <v>50.56</v>
      </c>
      <c r="H6811" s="1127">
        <v>0.0</v>
      </c>
      <c r="I6811" s="1127">
        <v>0.0</v>
      </c>
      <c r="J6811" s="1127">
        <v>0.0</v>
      </c>
      <c r="K6811" s="1124"/>
    </row>
    <row r="6812" ht="15.75" customHeight="1">
      <c r="A6812" s="1119">
        <v>97012.0</v>
      </c>
      <c r="B6812" s="1125" t="s">
        <v>17096</v>
      </c>
      <c r="C6812" s="1126" t="s">
        <v>1731</v>
      </c>
      <c r="D6812" s="1119">
        <v>55.46</v>
      </c>
      <c r="E6812" s="1120">
        <v>15.41</v>
      </c>
      <c r="F6812" s="1121">
        <f t="shared" si="1"/>
        <v>40.05</v>
      </c>
      <c r="G6812" s="1120">
        <v>40.05</v>
      </c>
      <c r="H6812" s="1127">
        <v>0.0</v>
      </c>
      <c r="I6812" s="1127">
        <v>0.0</v>
      </c>
      <c r="J6812" s="1127">
        <v>0.0</v>
      </c>
      <c r="K6812" s="1124"/>
    </row>
    <row r="6813" ht="15.75" customHeight="1">
      <c r="A6813" s="1119">
        <v>97013.0</v>
      </c>
      <c r="B6813" s="1125" t="s">
        <v>17097</v>
      </c>
      <c r="C6813" s="1126" t="s">
        <v>1731</v>
      </c>
      <c r="D6813" s="1119">
        <v>107.12</v>
      </c>
      <c r="E6813" s="1120">
        <v>16.34</v>
      </c>
      <c r="F6813" s="1121">
        <f t="shared" si="1"/>
        <v>90.78</v>
      </c>
      <c r="G6813" s="1120">
        <v>90.78</v>
      </c>
      <c r="H6813" s="1127">
        <v>0.0</v>
      </c>
      <c r="I6813" s="1127">
        <v>0.0</v>
      </c>
      <c r="J6813" s="1127">
        <v>0.0</v>
      </c>
      <c r="K6813" s="1124"/>
    </row>
    <row r="6814" ht="15.75" customHeight="1">
      <c r="A6814" s="1119">
        <v>97014.0</v>
      </c>
      <c r="B6814" s="1125" t="s">
        <v>17098</v>
      </c>
      <c r="C6814" s="1126" t="s">
        <v>1731</v>
      </c>
      <c r="D6814" s="1119">
        <v>79.75</v>
      </c>
      <c r="E6814" s="1120">
        <v>16.34</v>
      </c>
      <c r="F6814" s="1121">
        <f t="shared" si="1"/>
        <v>63.41</v>
      </c>
      <c r="G6814" s="1120">
        <v>63.41</v>
      </c>
      <c r="H6814" s="1127">
        <v>0.0</v>
      </c>
      <c r="I6814" s="1127">
        <v>0.0</v>
      </c>
      <c r="J6814" s="1127">
        <v>0.0</v>
      </c>
      <c r="K6814" s="1124"/>
    </row>
    <row r="6815" ht="15.75" customHeight="1">
      <c r="A6815" s="1119">
        <v>97015.0</v>
      </c>
      <c r="B6815" s="1125" t="s">
        <v>17099</v>
      </c>
      <c r="C6815" s="1126" t="s">
        <v>1731</v>
      </c>
      <c r="D6815" s="1119">
        <v>65.9</v>
      </c>
      <c r="E6815" s="1120">
        <v>16.34</v>
      </c>
      <c r="F6815" s="1121">
        <f t="shared" si="1"/>
        <v>49.56</v>
      </c>
      <c r="G6815" s="1120">
        <v>49.56</v>
      </c>
      <c r="H6815" s="1127">
        <v>0.0</v>
      </c>
      <c r="I6815" s="1127">
        <v>0.0</v>
      </c>
      <c r="J6815" s="1127">
        <v>0.0</v>
      </c>
      <c r="K6815" s="1124"/>
    </row>
    <row r="6816" ht="15.75" customHeight="1">
      <c r="A6816" s="1119">
        <v>97016.0</v>
      </c>
      <c r="B6816" s="1125" t="s">
        <v>17100</v>
      </c>
      <c r="C6816" s="1126" t="s">
        <v>1731</v>
      </c>
      <c r="D6816" s="1119">
        <v>77.69</v>
      </c>
      <c r="E6816" s="1120">
        <v>9.57</v>
      </c>
      <c r="F6816" s="1121">
        <f t="shared" si="1"/>
        <v>68.09</v>
      </c>
      <c r="G6816" s="1120">
        <v>68.09</v>
      </c>
      <c r="H6816" s="1127">
        <v>0.0</v>
      </c>
      <c r="I6816" s="1127">
        <v>0.0</v>
      </c>
      <c r="J6816" s="1127">
        <v>0.0</v>
      </c>
      <c r="K6816" s="1124"/>
    </row>
    <row r="6817" ht="15.75" customHeight="1">
      <c r="A6817" s="1119">
        <v>97017.0</v>
      </c>
      <c r="B6817" s="1125" t="s">
        <v>17101</v>
      </c>
      <c r="C6817" s="1126" t="s">
        <v>1731</v>
      </c>
      <c r="D6817" s="1119">
        <v>57.71</v>
      </c>
      <c r="E6817" s="1120">
        <v>9.58</v>
      </c>
      <c r="F6817" s="1121">
        <f t="shared" si="1"/>
        <v>48.11</v>
      </c>
      <c r="G6817" s="1120">
        <v>48.11</v>
      </c>
      <c r="H6817" s="1127">
        <v>0.0</v>
      </c>
      <c r="I6817" s="1127">
        <v>0.0</v>
      </c>
      <c r="J6817" s="1127">
        <v>0.0</v>
      </c>
      <c r="K6817" s="1124"/>
    </row>
    <row r="6818" ht="15.75" customHeight="1">
      <c r="A6818" s="1119">
        <v>97018.0</v>
      </c>
      <c r="B6818" s="1125" t="s">
        <v>17102</v>
      </c>
      <c r="C6818" s="1126" t="s">
        <v>1731</v>
      </c>
      <c r="D6818" s="1119">
        <v>47.33</v>
      </c>
      <c r="E6818" s="1120">
        <v>9.58</v>
      </c>
      <c r="F6818" s="1121">
        <f t="shared" si="1"/>
        <v>37.73</v>
      </c>
      <c r="G6818" s="1120">
        <v>37.73</v>
      </c>
      <c r="H6818" s="1127">
        <v>0.0</v>
      </c>
      <c r="I6818" s="1127">
        <v>0.0</v>
      </c>
      <c r="J6818" s="1127">
        <v>0.0</v>
      </c>
      <c r="K6818" s="1124"/>
    </row>
    <row r="6819" ht="15.75" customHeight="1">
      <c r="A6819" s="1119">
        <v>97031.0</v>
      </c>
      <c r="B6819" s="1125" t="s">
        <v>17103</v>
      </c>
      <c r="C6819" s="1126" t="s">
        <v>1731</v>
      </c>
      <c r="D6819" s="1119">
        <v>114.62</v>
      </c>
      <c r="E6819" s="1120">
        <v>15.6</v>
      </c>
      <c r="F6819" s="1121">
        <f t="shared" si="1"/>
        <v>99.04</v>
      </c>
      <c r="G6819" s="1120">
        <v>99.04</v>
      </c>
      <c r="H6819" s="1127">
        <v>0.0</v>
      </c>
      <c r="I6819" s="1127">
        <v>0.0</v>
      </c>
      <c r="J6819" s="1127">
        <v>0.0</v>
      </c>
      <c r="K6819" s="1124"/>
    </row>
    <row r="6820" ht="15.75" customHeight="1">
      <c r="A6820" s="1119">
        <v>97032.0</v>
      </c>
      <c r="B6820" s="1125" t="s">
        <v>17104</v>
      </c>
      <c r="C6820" s="1126" t="s">
        <v>1731</v>
      </c>
      <c r="D6820" s="1119">
        <v>70.04</v>
      </c>
      <c r="E6820" s="1120">
        <v>15.61</v>
      </c>
      <c r="F6820" s="1121">
        <f t="shared" si="1"/>
        <v>54.45</v>
      </c>
      <c r="G6820" s="1120">
        <v>54.45</v>
      </c>
      <c r="H6820" s="1127">
        <v>0.0</v>
      </c>
      <c r="I6820" s="1127">
        <v>0.0</v>
      </c>
      <c r="J6820" s="1127">
        <v>0.0</v>
      </c>
      <c r="K6820" s="1124"/>
    </row>
    <row r="6821" ht="15.75" customHeight="1">
      <c r="A6821" s="1119">
        <v>97033.0</v>
      </c>
      <c r="B6821" s="1125" t="s">
        <v>17105</v>
      </c>
      <c r="C6821" s="1126" t="s">
        <v>1731</v>
      </c>
      <c r="D6821" s="1119">
        <v>145.75</v>
      </c>
      <c r="E6821" s="1120">
        <v>14.7</v>
      </c>
      <c r="F6821" s="1121">
        <f t="shared" si="1"/>
        <v>131.03</v>
      </c>
      <c r="G6821" s="1120">
        <v>83.69</v>
      </c>
      <c r="H6821" s="1127">
        <v>47.34</v>
      </c>
      <c r="I6821" s="1127">
        <v>0.0</v>
      </c>
      <c r="J6821" s="1127">
        <v>0.0</v>
      </c>
      <c r="K6821" s="1124"/>
    </row>
    <row r="6822" ht="15.75" customHeight="1">
      <c r="A6822" s="1119">
        <v>97034.0</v>
      </c>
      <c r="B6822" s="1125" t="s">
        <v>17106</v>
      </c>
      <c r="C6822" s="1126" t="s">
        <v>1731</v>
      </c>
      <c r="D6822" s="1119">
        <v>84.48</v>
      </c>
      <c r="E6822" s="1120">
        <v>14.71</v>
      </c>
      <c r="F6822" s="1121">
        <f t="shared" si="1"/>
        <v>69.76</v>
      </c>
      <c r="G6822" s="1120">
        <v>46.09</v>
      </c>
      <c r="H6822" s="1127">
        <v>23.67</v>
      </c>
      <c r="I6822" s="1127">
        <v>0.0</v>
      </c>
      <c r="J6822" s="1127">
        <v>0.0</v>
      </c>
      <c r="K6822" s="1124"/>
    </row>
    <row r="6823" ht="15.75" customHeight="1">
      <c r="A6823" s="1119">
        <v>97039.0</v>
      </c>
      <c r="B6823" s="1125" t="s">
        <v>17107</v>
      </c>
      <c r="C6823" s="1126" t="s">
        <v>1814</v>
      </c>
      <c r="D6823" s="1119">
        <v>46.98</v>
      </c>
      <c r="E6823" s="1120">
        <v>15.17</v>
      </c>
      <c r="F6823" s="1121">
        <f t="shared" si="1"/>
        <v>31.82</v>
      </c>
      <c r="G6823" s="1120">
        <v>31.81</v>
      </c>
      <c r="H6823" s="1127">
        <v>0.0</v>
      </c>
      <c r="I6823" s="1127">
        <v>0.0</v>
      </c>
      <c r="J6823" s="1127">
        <v>0.01</v>
      </c>
      <c r="K6823" s="1124"/>
    </row>
    <row r="6824" ht="15.75" customHeight="1">
      <c r="A6824" s="1119">
        <v>97040.0</v>
      </c>
      <c r="B6824" s="1125" t="s">
        <v>17108</v>
      </c>
      <c r="C6824" s="1126" t="s">
        <v>1814</v>
      </c>
      <c r="D6824" s="1119">
        <v>17.88</v>
      </c>
      <c r="E6824" s="1120">
        <v>9.36</v>
      </c>
      <c r="F6824" s="1121">
        <f t="shared" si="1"/>
        <v>8.54</v>
      </c>
      <c r="G6824" s="1120">
        <v>8.52</v>
      </c>
      <c r="H6824" s="1127">
        <v>0.0</v>
      </c>
      <c r="I6824" s="1127">
        <v>0.0</v>
      </c>
      <c r="J6824" s="1127">
        <v>0.02</v>
      </c>
      <c r="K6824" s="1124"/>
    </row>
    <row r="6825" ht="15.75" customHeight="1">
      <c r="A6825" s="1119">
        <v>97041.0</v>
      </c>
      <c r="B6825" s="1125" t="s">
        <v>17109</v>
      </c>
      <c r="C6825" s="1126" t="s">
        <v>1814</v>
      </c>
      <c r="D6825" s="1119">
        <v>351.53</v>
      </c>
      <c r="E6825" s="1120">
        <v>24.98</v>
      </c>
      <c r="F6825" s="1121">
        <f t="shared" si="1"/>
        <v>326.55</v>
      </c>
      <c r="G6825" s="1120">
        <v>326.5</v>
      </c>
      <c r="H6825" s="1127">
        <v>0.0</v>
      </c>
      <c r="I6825" s="1127">
        <v>0.0</v>
      </c>
      <c r="J6825" s="1127">
        <v>0.05</v>
      </c>
      <c r="K6825" s="1124"/>
    </row>
    <row r="6826" ht="15.75" customHeight="1">
      <c r="A6826" s="1119">
        <v>97046.0</v>
      </c>
      <c r="B6826" s="1125" t="s">
        <v>17110</v>
      </c>
      <c r="C6826" s="1126" t="s">
        <v>1814</v>
      </c>
      <c r="D6826" s="1119">
        <v>0.39</v>
      </c>
      <c r="E6826" s="1120">
        <v>0.07</v>
      </c>
      <c r="F6826" s="1121">
        <f t="shared" si="1"/>
        <v>0.32</v>
      </c>
      <c r="G6826" s="1120">
        <v>0.32</v>
      </c>
      <c r="H6826" s="1127">
        <v>0.0</v>
      </c>
      <c r="I6826" s="1127">
        <v>0.0</v>
      </c>
      <c r="J6826" s="1127">
        <v>0.0</v>
      </c>
      <c r="K6826" s="1124"/>
    </row>
    <row r="6827" ht="15.75" customHeight="1">
      <c r="A6827" s="1119">
        <v>97047.0</v>
      </c>
      <c r="B6827" s="1125" t="s">
        <v>17111</v>
      </c>
      <c r="C6827" s="1126" t="s">
        <v>1814</v>
      </c>
      <c r="D6827" s="1119">
        <v>0.14</v>
      </c>
      <c r="E6827" s="1120">
        <v>0.02</v>
      </c>
      <c r="F6827" s="1121">
        <f t="shared" si="1"/>
        <v>0.12</v>
      </c>
      <c r="G6827" s="1120">
        <v>0.12</v>
      </c>
      <c r="H6827" s="1127">
        <v>0.0</v>
      </c>
      <c r="I6827" s="1127">
        <v>0.0</v>
      </c>
      <c r="J6827" s="1127">
        <v>0.0</v>
      </c>
      <c r="K6827" s="1124"/>
    </row>
    <row r="6828" ht="15.75" customHeight="1">
      <c r="A6828" s="1119">
        <v>97048.0</v>
      </c>
      <c r="B6828" s="1125" t="s">
        <v>17112</v>
      </c>
      <c r="C6828" s="1126" t="s">
        <v>1814</v>
      </c>
      <c r="D6828" s="1119">
        <v>0.11</v>
      </c>
      <c r="E6828" s="1120">
        <v>0.02</v>
      </c>
      <c r="F6828" s="1121">
        <f t="shared" si="1"/>
        <v>0.09</v>
      </c>
      <c r="G6828" s="1120">
        <v>0.09</v>
      </c>
      <c r="H6828" s="1127">
        <v>0.0</v>
      </c>
      <c r="I6828" s="1127">
        <v>0.0</v>
      </c>
      <c r="J6828" s="1127">
        <v>0.0</v>
      </c>
      <c r="K6828" s="1124"/>
    </row>
    <row r="6829" ht="15.75" customHeight="1">
      <c r="A6829" s="1119">
        <v>97054.0</v>
      </c>
      <c r="B6829" s="1125" t="s">
        <v>17113</v>
      </c>
      <c r="C6829" s="1126" t="s">
        <v>1788</v>
      </c>
      <c r="D6829" s="1119">
        <v>28.63</v>
      </c>
      <c r="E6829" s="1120">
        <v>9.75</v>
      </c>
      <c r="F6829" s="1121">
        <f t="shared" si="1"/>
        <v>18.88</v>
      </c>
      <c r="G6829" s="1120">
        <v>18.88</v>
      </c>
      <c r="H6829" s="1127">
        <v>0.0</v>
      </c>
      <c r="I6829" s="1127">
        <v>0.0</v>
      </c>
      <c r="J6829" s="1127">
        <v>0.0</v>
      </c>
      <c r="K6829" s="1124"/>
    </row>
    <row r="6830" ht="15.75" customHeight="1">
      <c r="A6830" s="1119">
        <v>97062.0</v>
      </c>
      <c r="B6830" s="1125" t="s">
        <v>17114</v>
      </c>
      <c r="C6830" s="1126" t="s">
        <v>1814</v>
      </c>
      <c r="D6830" s="1119">
        <v>6.93</v>
      </c>
      <c r="E6830" s="1120">
        <v>3.11</v>
      </c>
      <c r="F6830" s="1121">
        <f t="shared" si="1"/>
        <v>3.83</v>
      </c>
      <c r="G6830" s="1120">
        <v>3.83</v>
      </c>
      <c r="H6830" s="1127">
        <v>0.0</v>
      </c>
      <c r="I6830" s="1127">
        <v>0.0</v>
      </c>
      <c r="J6830" s="1127">
        <v>0.0</v>
      </c>
      <c r="K6830" s="1124"/>
    </row>
    <row r="6831" ht="15.75" customHeight="1">
      <c r="A6831" s="1119">
        <v>97063.0</v>
      </c>
      <c r="B6831" s="1125" t="s">
        <v>17115</v>
      </c>
      <c r="C6831" s="1126" t="s">
        <v>1814</v>
      </c>
      <c r="D6831" s="1119">
        <v>12.8</v>
      </c>
      <c r="E6831" s="1120">
        <v>9.65</v>
      </c>
      <c r="F6831" s="1121">
        <f t="shared" si="1"/>
        <v>3.16</v>
      </c>
      <c r="G6831" s="1120">
        <v>3.16</v>
      </c>
      <c r="H6831" s="1127">
        <v>0.0</v>
      </c>
      <c r="I6831" s="1127">
        <v>0.0</v>
      </c>
      <c r="J6831" s="1127">
        <v>0.0</v>
      </c>
      <c r="K6831" s="1124"/>
    </row>
    <row r="6832" ht="15.75" customHeight="1">
      <c r="A6832" s="1119">
        <v>97064.0</v>
      </c>
      <c r="B6832" s="1125" t="s">
        <v>17116</v>
      </c>
      <c r="C6832" s="1126" t="s">
        <v>1731</v>
      </c>
      <c r="D6832" s="1119">
        <v>23.53</v>
      </c>
      <c r="E6832" s="1120">
        <v>17.6</v>
      </c>
      <c r="F6832" s="1121">
        <f t="shared" si="1"/>
        <v>5.93</v>
      </c>
      <c r="G6832" s="1120">
        <v>5.93</v>
      </c>
      <c r="H6832" s="1127">
        <v>0.0</v>
      </c>
      <c r="I6832" s="1127">
        <v>0.0</v>
      </c>
      <c r="J6832" s="1127">
        <v>0.0</v>
      </c>
      <c r="K6832" s="1124"/>
    </row>
    <row r="6833" ht="15.75" customHeight="1">
      <c r="A6833" s="1119">
        <v>97065.0</v>
      </c>
      <c r="B6833" s="1125" t="s">
        <v>17117</v>
      </c>
      <c r="C6833" s="1126" t="s">
        <v>2178</v>
      </c>
      <c r="D6833" s="1119">
        <v>8.09</v>
      </c>
      <c r="E6833" s="1120">
        <v>5.99</v>
      </c>
      <c r="F6833" s="1121">
        <f t="shared" si="1"/>
        <v>2.09</v>
      </c>
      <c r="G6833" s="1120">
        <v>2.09</v>
      </c>
      <c r="H6833" s="1127">
        <v>0.0</v>
      </c>
      <c r="I6833" s="1127">
        <v>0.0</v>
      </c>
      <c r="J6833" s="1127">
        <v>0.0</v>
      </c>
      <c r="K6833" s="1124"/>
    </row>
    <row r="6834" ht="15.75" customHeight="1">
      <c r="A6834" s="1119">
        <v>97066.0</v>
      </c>
      <c r="B6834" s="1125" t="s">
        <v>17118</v>
      </c>
      <c r="C6834" s="1126" t="s">
        <v>1814</v>
      </c>
      <c r="D6834" s="1119">
        <v>100.22</v>
      </c>
      <c r="E6834" s="1120">
        <v>26.56</v>
      </c>
      <c r="F6834" s="1121">
        <f t="shared" si="1"/>
        <v>73.68</v>
      </c>
      <c r="G6834" s="1120">
        <v>73.68</v>
      </c>
      <c r="H6834" s="1127">
        <v>0.0</v>
      </c>
      <c r="I6834" s="1127">
        <v>0.0</v>
      </c>
      <c r="J6834" s="1127">
        <v>0.0</v>
      </c>
      <c r="K6834" s="1124"/>
    </row>
    <row r="6835" ht="15.75" customHeight="1">
      <c r="A6835" s="1119">
        <v>97067.0</v>
      </c>
      <c r="B6835" s="1125" t="s">
        <v>17119</v>
      </c>
      <c r="C6835" s="1126" t="s">
        <v>1731</v>
      </c>
      <c r="D6835" s="1119">
        <v>932.4</v>
      </c>
      <c r="E6835" s="1120">
        <v>248.65</v>
      </c>
      <c r="F6835" s="1121">
        <f t="shared" si="1"/>
        <v>683.74</v>
      </c>
      <c r="G6835" s="1120">
        <v>683.74</v>
      </c>
      <c r="H6835" s="1127">
        <v>0.0</v>
      </c>
      <c r="I6835" s="1127">
        <v>0.0</v>
      </c>
      <c r="J6835" s="1127">
        <v>0.0</v>
      </c>
      <c r="K6835" s="1124"/>
    </row>
    <row r="6836" ht="15.75" customHeight="1">
      <c r="A6836" s="1119">
        <v>97621.0</v>
      </c>
      <c r="B6836" s="1125" t="s">
        <v>17120</v>
      </c>
      <c r="C6836" s="1126" t="s">
        <v>2178</v>
      </c>
      <c r="D6836" s="1119">
        <v>134.83</v>
      </c>
      <c r="E6836" s="1120">
        <v>94.51</v>
      </c>
      <c r="F6836" s="1121">
        <f t="shared" si="1"/>
        <v>40.31</v>
      </c>
      <c r="G6836" s="1120">
        <v>40.31</v>
      </c>
      <c r="H6836" s="1127">
        <v>0.0</v>
      </c>
      <c r="I6836" s="1127">
        <v>0.0</v>
      </c>
      <c r="J6836" s="1127">
        <v>0.0</v>
      </c>
      <c r="K6836" s="1124"/>
    </row>
    <row r="6837" ht="15.75" customHeight="1">
      <c r="A6837" s="1119">
        <v>97622.0</v>
      </c>
      <c r="B6837" s="1125" t="s">
        <v>17121</v>
      </c>
      <c r="C6837" s="1126" t="s">
        <v>2178</v>
      </c>
      <c r="D6837" s="1119">
        <v>65.71</v>
      </c>
      <c r="E6837" s="1120">
        <v>46.08</v>
      </c>
      <c r="F6837" s="1121">
        <f t="shared" si="1"/>
        <v>19.63</v>
      </c>
      <c r="G6837" s="1120">
        <v>19.63</v>
      </c>
      <c r="H6837" s="1127">
        <v>0.0</v>
      </c>
      <c r="I6837" s="1127">
        <v>0.0</v>
      </c>
      <c r="J6837" s="1127">
        <v>0.0</v>
      </c>
      <c r="K6837" s="1124"/>
    </row>
    <row r="6838" ht="15.75" customHeight="1">
      <c r="A6838" s="1119">
        <v>97623.0</v>
      </c>
      <c r="B6838" s="1125" t="s">
        <v>17122</v>
      </c>
      <c r="C6838" s="1126" t="s">
        <v>2178</v>
      </c>
      <c r="D6838" s="1119">
        <v>201.31</v>
      </c>
      <c r="E6838" s="1120">
        <v>141.1</v>
      </c>
      <c r="F6838" s="1121">
        <f t="shared" si="1"/>
        <v>60.21</v>
      </c>
      <c r="G6838" s="1120">
        <v>60.21</v>
      </c>
      <c r="H6838" s="1127">
        <v>0.0</v>
      </c>
      <c r="I6838" s="1127">
        <v>0.0</v>
      </c>
      <c r="J6838" s="1127">
        <v>0.0</v>
      </c>
      <c r="K6838" s="1124"/>
    </row>
    <row r="6839" ht="15.75" customHeight="1">
      <c r="A6839" s="1119">
        <v>97624.0</v>
      </c>
      <c r="B6839" s="1125" t="s">
        <v>17123</v>
      </c>
      <c r="C6839" s="1126" t="s">
        <v>2178</v>
      </c>
      <c r="D6839" s="1119">
        <v>123.54</v>
      </c>
      <c r="E6839" s="1120">
        <v>86.6</v>
      </c>
      <c r="F6839" s="1121">
        <f t="shared" si="1"/>
        <v>36.94</v>
      </c>
      <c r="G6839" s="1120">
        <v>36.94</v>
      </c>
      <c r="H6839" s="1127">
        <v>0.0</v>
      </c>
      <c r="I6839" s="1127">
        <v>0.0</v>
      </c>
      <c r="J6839" s="1127">
        <v>0.0</v>
      </c>
      <c r="K6839" s="1124"/>
    </row>
    <row r="6840" ht="15.75" customHeight="1">
      <c r="A6840" s="1119">
        <v>97625.0</v>
      </c>
      <c r="B6840" s="1125" t="s">
        <v>17124</v>
      </c>
      <c r="C6840" s="1126" t="s">
        <v>2178</v>
      </c>
      <c r="D6840" s="1119">
        <v>58.65</v>
      </c>
      <c r="E6840" s="1120">
        <v>8.92</v>
      </c>
      <c r="F6840" s="1121">
        <f t="shared" si="1"/>
        <v>49.71</v>
      </c>
      <c r="G6840" s="1120">
        <v>10.82</v>
      </c>
      <c r="H6840" s="1127">
        <v>38.89</v>
      </c>
      <c r="I6840" s="1127">
        <v>0.0</v>
      </c>
      <c r="J6840" s="1127">
        <v>0.0</v>
      </c>
      <c r="K6840" s="1124"/>
    </row>
    <row r="6841" ht="15.75" customHeight="1">
      <c r="A6841" s="1119">
        <v>97626.0</v>
      </c>
      <c r="B6841" s="1125" t="s">
        <v>17125</v>
      </c>
      <c r="C6841" s="1126" t="s">
        <v>2178</v>
      </c>
      <c r="D6841" s="1119">
        <v>702.48</v>
      </c>
      <c r="E6841" s="1120">
        <v>474.81</v>
      </c>
      <c r="F6841" s="1121">
        <f t="shared" si="1"/>
        <v>227.67</v>
      </c>
      <c r="G6841" s="1120">
        <v>227.67</v>
      </c>
      <c r="H6841" s="1127">
        <v>0.0</v>
      </c>
      <c r="I6841" s="1127">
        <v>0.0</v>
      </c>
      <c r="J6841" s="1127">
        <v>0.0</v>
      </c>
      <c r="K6841" s="1124"/>
    </row>
    <row r="6842" ht="15.75" customHeight="1">
      <c r="A6842" s="1119">
        <v>97627.0</v>
      </c>
      <c r="B6842" s="1125" t="s">
        <v>17126</v>
      </c>
      <c r="C6842" s="1126" t="s">
        <v>2178</v>
      </c>
      <c r="D6842" s="1119">
        <v>332.08</v>
      </c>
      <c r="E6842" s="1120">
        <v>212.89</v>
      </c>
      <c r="F6842" s="1121">
        <f t="shared" si="1"/>
        <v>119.2</v>
      </c>
      <c r="G6842" s="1120">
        <v>108.37</v>
      </c>
      <c r="H6842" s="1127">
        <v>10.83</v>
      </c>
      <c r="I6842" s="1127">
        <v>0.0</v>
      </c>
      <c r="J6842" s="1127">
        <v>0.0</v>
      </c>
      <c r="K6842" s="1124"/>
    </row>
    <row r="6843" ht="15.75" customHeight="1">
      <c r="A6843" s="1119">
        <v>97628.0</v>
      </c>
      <c r="B6843" s="1125" t="s">
        <v>17127</v>
      </c>
      <c r="C6843" s="1126" t="s">
        <v>2178</v>
      </c>
      <c r="D6843" s="1119">
        <v>324.76</v>
      </c>
      <c r="E6843" s="1120">
        <v>227.59</v>
      </c>
      <c r="F6843" s="1121">
        <f t="shared" si="1"/>
        <v>97.17</v>
      </c>
      <c r="G6843" s="1120">
        <v>97.17</v>
      </c>
      <c r="H6843" s="1127">
        <v>0.0</v>
      </c>
      <c r="I6843" s="1127">
        <v>0.0</v>
      </c>
      <c r="J6843" s="1127">
        <v>0.0</v>
      </c>
      <c r="K6843" s="1124"/>
    </row>
    <row r="6844" ht="15.75" customHeight="1">
      <c r="A6844" s="1119">
        <v>97629.0</v>
      </c>
      <c r="B6844" s="1125" t="s">
        <v>17128</v>
      </c>
      <c r="C6844" s="1126" t="s">
        <v>2178</v>
      </c>
      <c r="D6844" s="1119">
        <v>147.23</v>
      </c>
      <c r="E6844" s="1120">
        <v>102.08</v>
      </c>
      <c r="F6844" s="1121">
        <f t="shared" si="1"/>
        <v>45.15</v>
      </c>
      <c r="G6844" s="1120">
        <v>39.97</v>
      </c>
      <c r="H6844" s="1127">
        <v>5.18</v>
      </c>
      <c r="I6844" s="1127">
        <v>0.0</v>
      </c>
      <c r="J6844" s="1127">
        <v>0.0</v>
      </c>
      <c r="K6844" s="1124"/>
    </row>
    <row r="6845" ht="15.75" customHeight="1">
      <c r="A6845" s="1119">
        <v>97631.0</v>
      </c>
      <c r="B6845" s="1125" t="s">
        <v>17129</v>
      </c>
      <c r="C6845" s="1126" t="s">
        <v>1814</v>
      </c>
      <c r="D6845" s="1119">
        <v>3.85</v>
      </c>
      <c r="E6845" s="1120">
        <v>2.77</v>
      </c>
      <c r="F6845" s="1121">
        <f t="shared" si="1"/>
        <v>1.08</v>
      </c>
      <c r="G6845" s="1120">
        <v>1.08</v>
      </c>
      <c r="H6845" s="1127">
        <v>0.0</v>
      </c>
      <c r="I6845" s="1127">
        <v>0.0</v>
      </c>
      <c r="J6845" s="1127">
        <v>0.0</v>
      </c>
      <c r="K6845" s="1124"/>
    </row>
    <row r="6846" ht="15.75" customHeight="1">
      <c r="A6846" s="1119">
        <v>97632.0</v>
      </c>
      <c r="B6846" s="1125" t="s">
        <v>17130</v>
      </c>
      <c r="C6846" s="1126" t="s">
        <v>1731</v>
      </c>
      <c r="D6846" s="1119">
        <v>3.01</v>
      </c>
      <c r="E6846" s="1120">
        <v>2.18</v>
      </c>
      <c r="F6846" s="1121">
        <f t="shared" si="1"/>
        <v>0.83</v>
      </c>
      <c r="G6846" s="1120">
        <v>0.83</v>
      </c>
      <c r="H6846" s="1127">
        <v>0.0</v>
      </c>
      <c r="I6846" s="1127">
        <v>0.0</v>
      </c>
      <c r="J6846" s="1127">
        <v>0.0</v>
      </c>
      <c r="K6846" s="1124"/>
    </row>
    <row r="6847" ht="15.75" customHeight="1">
      <c r="A6847" s="1119">
        <v>97633.0</v>
      </c>
      <c r="B6847" s="1125" t="s">
        <v>17131</v>
      </c>
      <c r="C6847" s="1126" t="s">
        <v>1814</v>
      </c>
      <c r="D6847" s="1119">
        <v>26.33</v>
      </c>
      <c r="E6847" s="1120">
        <v>18.83</v>
      </c>
      <c r="F6847" s="1121">
        <f t="shared" si="1"/>
        <v>7.5</v>
      </c>
      <c r="G6847" s="1120">
        <v>7.5</v>
      </c>
      <c r="H6847" s="1127">
        <v>0.0</v>
      </c>
      <c r="I6847" s="1127">
        <v>0.0</v>
      </c>
      <c r="J6847" s="1127">
        <v>0.0</v>
      </c>
      <c r="K6847" s="1124"/>
    </row>
    <row r="6848" ht="15.75" customHeight="1">
      <c r="A6848" s="1119">
        <v>97634.0</v>
      </c>
      <c r="B6848" s="1125" t="s">
        <v>17132</v>
      </c>
      <c r="C6848" s="1126" t="s">
        <v>1814</v>
      </c>
      <c r="D6848" s="1119">
        <v>14.26</v>
      </c>
      <c r="E6848" s="1120">
        <v>10.18</v>
      </c>
      <c r="F6848" s="1121">
        <f t="shared" si="1"/>
        <v>4.09</v>
      </c>
      <c r="G6848" s="1120">
        <v>3.85</v>
      </c>
      <c r="H6848" s="1127">
        <v>0.24</v>
      </c>
      <c r="I6848" s="1127">
        <v>0.0</v>
      </c>
      <c r="J6848" s="1127">
        <v>0.0</v>
      </c>
      <c r="K6848" s="1124"/>
    </row>
    <row r="6849" ht="15.75" customHeight="1">
      <c r="A6849" s="1119">
        <v>97635.0</v>
      </c>
      <c r="B6849" s="1125" t="s">
        <v>17133</v>
      </c>
      <c r="C6849" s="1126" t="s">
        <v>1814</v>
      </c>
      <c r="D6849" s="1119">
        <v>17.1</v>
      </c>
      <c r="E6849" s="1120">
        <v>12.32</v>
      </c>
      <c r="F6849" s="1121">
        <f t="shared" si="1"/>
        <v>4.79</v>
      </c>
      <c r="G6849" s="1120">
        <v>4.79</v>
      </c>
      <c r="H6849" s="1127">
        <v>0.0</v>
      </c>
      <c r="I6849" s="1127">
        <v>0.0</v>
      </c>
      <c r="J6849" s="1127">
        <v>0.0</v>
      </c>
      <c r="K6849" s="1124"/>
    </row>
    <row r="6850" ht="15.75" customHeight="1">
      <c r="A6850" s="1119">
        <v>97636.0</v>
      </c>
      <c r="B6850" s="1125" t="s">
        <v>17134</v>
      </c>
      <c r="C6850" s="1126" t="s">
        <v>1814</v>
      </c>
      <c r="D6850" s="1119">
        <v>18.99</v>
      </c>
      <c r="E6850" s="1120">
        <v>6.43</v>
      </c>
      <c r="F6850" s="1121">
        <f t="shared" si="1"/>
        <v>12.55</v>
      </c>
      <c r="G6850" s="1120">
        <v>3.68</v>
      </c>
      <c r="H6850" s="1127">
        <v>8.87</v>
      </c>
      <c r="I6850" s="1127">
        <v>0.0</v>
      </c>
      <c r="J6850" s="1127">
        <v>0.0</v>
      </c>
      <c r="K6850" s="1124"/>
    </row>
    <row r="6851" ht="15.75" customHeight="1">
      <c r="A6851" s="1119">
        <v>97637.0</v>
      </c>
      <c r="B6851" s="1125" t="s">
        <v>17135</v>
      </c>
      <c r="C6851" s="1126" t="s">
        <v>1814</v>
      </c>
      <c r="D6851" s="1119">
        <v>3.22</v>
      </c>
      <c r="E6851" s="1120">
        <v>2.37</v>
      </c>
      <c r="F6851" s="1121">
        <f t="shared" si="1"/>
        <v>0.86</v>
      </c>
      <c r="G6851" s="1120">
        <v>0.86</v>
      </c>
      <c r="H6851" s="1127">
        <v>0.0</v>
      </c>
      <c r="I6851" s="1127">
        <v>0.0</v>
      </c>
      <c r="J6851" s="1127">
        <v>0.0</v>
      </c>
      <c r="K6851" s="1124"/>
    </row>
    <row r="6852" ht="15.75" customHeight="1">
      <c r="A6852" s="1119">
        <v>97638.0</v>
      </c>
      <c r="B6852" s="1125" t="s">
        <v>17136</v>
      </c>
      <c r="C6852" s="1126" t="s">
        <v>1814</v>
      </c>
      <c r="D6852" s="1119">
        <v>9.37</v>
      </c>
      <c r="E6852" s="1120">
        <v>6.83</v>
      </c>
      <c r="F6852" s="1121">
        <f t="shared" si="1"/>
        <v>2.55</v>
      </c>
      <c r="G6852" s="1120">
        <v>2.55</v>
      </c>
      <c r="H6852" s="1127">
        <v>0.0</v>
      </c>
      <c r="I6852" s="1127">
        <v>0.0</v>
      </c>
      <c r="J6852" s="1127">
        <v>0.0</v>
      </c>
      <c r="K6852" s="1124"/>
    </row>
    <row r="6853" ht="15.75" customHeight="1">
      <c r="A6853" s="1119">
        <v>97639.0</v>
      </c>
      <c r="B6853" s="1125" t="s">
        <v>17137</v>
      </c>
      <c r="C6853" s="1126" t="s">
        <v>1814</v>
      </c>
      <c r="D6853" s="1119">
        <v>23.28</v>
      </c>
      <c r="E6853" s="1120">
        <v>16.8</v>
      </c>
      <c r="F6853" s="1121">
        <f t="shared" si="1"/>
        <v>6.48</v>
      </c>
      <c r="G6853" s="1120">
        <v>6.48</v>
      </c>
      <c r="H6853" s="1127">
        <v>0.0</v>
      </c>
      <c r="I6853" s="1127">
        <v>0.0</v>
      </c>
      <c r="J6853" s="1127">
        <v>0.0</v>
      </c>
      <c r="K6853" s="1124"/>
    </row>
    <row r="6854" ht="15.75" customHeight="1">
      <c r="A6854" s="1119">
        <v>97640.0</v>
      </c>
      <c r="B6854" s="1125" t="s">
        <v>17138</v>
      </c>
      <c r="C6854" s="1126" t="s">
        <v>1814</v>
      </c>
      <c r="D6854" s="1119">
        <v>2.03</v>
      </c>
      <c r="E6854" s="1120">
        <v>1.51</v>
      </c>
      <c r="F6854" s="1121">
        <f t="shared" si="1"/>
        <v>0.53</v>
      </c>
      <c r="G6854" s="1120">
        <v>0.53</v>
      </c>
      <c r="H6854" s="1127">
        <v>0.0</v>
      </c>
      <c r="I6854" s="1127">
        <v>0.0</v>
      </c>
      <c r="J6854" s="1127">
        <v>0.0</v>
      </c>
      <c r="K6854" s="1124"/>
    </row>
    <row r="6855" ht="15.75" customHeight="1">
      <c r="A6855" s="1119">
        <v>97641.0</v>
      </c>
      <c r="B6855" s="1125" t="s">
        <v>17139</v>
      </c>
      <c r="C6855" s="1126" t="s">
        <v>1814</v>
      </c>
      <c r="D6855" s="1119">
        <v>5.73</v>
      </c>
      <c r="E6855" s="1120">
        <v>4.13</v>
      </c>
      <c r="F6855" s="1121">
        <f t="shared" si="1"/>
        <v>1.61</v>
      </c>
      <c r="G6855" s="1120">
        <v>1.61</v>
      </c>
      <c r="H6855" s="1127">
        <v>0.0</v>
      </c>
      <c r="I6855" s="1127">
        <v>0.0</v>
      </c>
      <c r="J6855" s="1127">
        <v>0.0</v>
      </c>
      <c r="K6855" s="1124"/>
    </row>
    <row r="6856" ht="15.75" customHeight="1">
      <c r="A6856" s="1119">
        <v>97642.0</v>
      </c>
      <c r="B6856" s="1125" t="s">
        <v>17140</v>
      </c>
      <c r="C6856" s="1126" t="s">
        <v>1814</v>
      </c>
      <c r="D6856" s="1119">
        <v>3.63</v>
      </c>
      <c r="E6856" s="1120">
        <v>2.67</v>
      </c>
      <c r="F6856" s="1121">
        <f t="shared" si="1"/>
        <v>0.96</v>
      </c>
      <c r="G6856" s="1120">
        <v>0.96</v>
      </c>
      <c r="H6856" s="1127">
        <v>0.0</v>
      </c>
      <c r="I6856" s="1127">
        <v>0.0</v>
      </c>
      <c r="J6856" s="1127">
        <v>0.0</v>
      </c>
      <c r="K6856" s="1124"/>
    </row>
    <row r="6857" ht="15.75" customHeight="1">
      <c r="A6857" s="1119">
        <v>97643.0</v>
      </c>
      <c r="B6857" s="1125" t="s">
        <v>17141</v>
      </c>
      <c r="C6857" s="1126" t="s">
        <v>1814</v>
      </c>
      <c r="D6857" s="1119">
        <v>28.53</v>
      </c>
      <c r="E6857" s="1120">
        <v>20.59</v>
      </c>
      <c r="F6857" s="1121">
        <f t="shared" si="1"/>
        <v>7.94</v>
      </c>
      <c r="G6857" s="1120">
        <v>7.94</v>
      </c>
      <c r="H6857" s="1127">
        <v>0.0</v>
      </c>
      <c r="I6857" s="1127">
        <v>0.0</v>
      </c>
      <c r="J6857" s="1127">
        <v>0.0</v>
      </c>
      <c r="K6857" s="1124"/>
    </row>
    <row r="6858" ht="15.75" customHeight="1">
      <c r="A6858" s="1119">
        <v>97644.0</v>
      </c>
      <c r="B6858" s="1125" t="s">
        <v>17142</v>
      </c>
      <c r="C6858" s="1126" t="s">
        <v>1814</v>
      </c>
      <c r="D6858" s="1119">
        <v>10.76</v>
      </c>
      <c r="E6858" s="1120">
        <v>7.78</v>
      </c>
      <c r="F6858" s="1121">
        <f t="shared" si="1"/>
        <v>2.98</v>
      </c>
      <c r="G6858" s="1120">
        <v>2.98</v>
      </c>
      <c r="H6858" s="1127">
        <v>0.0</v>
      </c>
      <c r="I6858" s="1127">
        <v>0.0</v>
      </c>
      <c r="J6858" s="1127">
        <v>0.0</v>
      </c>
      <c r="K6858" s="1124"/>
    </row>
    <row r="6859" ht="15.75" customHeight="1">
      <c r="A6859" s="1119">
        <v>97645.0</v>
      </c>
      <c r="B6859" s="1125" t="s">
        <v>17143</v>
      </c>
      <c r="C6859" s="1126" t="s">
        <v>1814</v>
      </c>
      <c r="D6859" s="1119">
        <v>38.45</v>
      </c>
      <c r="E6859" s="1120">
        <v>21.47</v>
      </c>
      <c r="F6859" s="1121">
        <f t="shared" si="1"/>
        <v>16.98</v>
      </c>
      <c r="G6859" s="1120">
        <v>16.98</v>
      </c>
      <c r="H6859" s="1127">
        <v>0.0</v>
      </c>
      <c r="I6859" s="1127">
        <v>0.0</v>
      </c>
      <c r="J6859" s="1127">
        <v>0.0</v>
      </c>
      <c r="K6859" s="1124"/>
    </row>
    <row r="6860" ht="15.75" customHeight="1">
      <c r="A6860" s="1119">
        <v>97647.0</v>
      </c>
      <c r="B6860" s="1125" t="s">
        <v>17144</v>
      </c>
      <c r="C6860" s="1126" t="s">
        <v>1814</v>
      </c>
      <c r="D6860" s="1119">
        <v>4.0</v>
      </c>
      <c r="E6860" s="1120">
        <v>2.92</v>
      </c>
      <c r="F6860" s="1121">
        <f t="shared" si="1"/>
        <v>1.08</v>
      </c>
      <c r="G6860" s="1120">
        <v>1.08</v>
      </c>
      <c r="H6860" s="1127">
        <v>0.0</v>
      </c>
      <c r="I6860" s="1127">
        <v>0.0</v>
      </c>
      <c r="J6860" s="1127">
        <v>0.0</v>
      </c>
      <c r="K6860" s="1124"/>
    </row>
    <row r="6861" ht="15.75" customHeight="1">
      <c r="A6861" s="1119">
        <v>97648.0</v>
      </c>
      <c r="B6861" s="1125" t="s">
        <v>17145</v>
      </c>
      <c r="C6861" s="1126" t="s">
        <v>1814</v>
      </c>
      <c r="D6861" s="1119">
        <v>2.3</v>
      </c>
      <c r="E6861" s="1120">
        <v>1.7</v>
      </c>
      <c r="F6861" s="1121">
        <f t="shared" si="1"/>
        <v>0.61</v>
      </c>
      <c r="G6861" s="1120">
        <v>0.61</v>
      </c>
      <c r="H6861" s="1127">
        <v>0.0</v>
      </c>
      <c r="I6861" s="1127">
        <v>0.0</v>
      </c>
      <c r="J6861" s="1127">
        <v>0.0</v>
      </c>
      <c r="K6861" s="1124"/>
    </row>
    <row r="6862" ht="15.75" customHeight="1">
      <c r="A6862" s="1119">
        <v>97649.0</v>
      </c>
      <c r="B6862" s="1125" t="s">
        <v>17146</v>
      </c>
      <c r="C6862" s="1126" t="s">
        <v>1814</v>
      </c>
      <c r="D6862" s="1119">
        <v>5.04</v>
      </c>
      <c r="E6862" s="1120">
        <v>3.33</v>
      </c>
      <c r="F6862" s="1121">
        <f t="shared" si="1"/>
        <v>1.71</v>
      </c>
      <c r="G6862" s="1120">
        <v>1.16</v>
      </c>
      <c r="H6862" s="1127">
        <v>0.55</v>
      </c>
      <c r="I6862" s="1127">
        <v>0.0</v>
      </c>
      <c r="J6862" s="1127">
        <v>0.0</v>
      </c>
      <c r="K6862" s="1124"/>
    </row>
    <row r="6863" ht="15.75" customHeight="1">
      <c r="A6863" s="1119">
        <v>97650.0</v>
      </c>
      <c r="B6863" s="1125" t="s">
        <v>17147</v>
      </c>
      <c r="C6863" s="1126" t="s">
        <v>1814</v>
      </c>
      <c r="D6863" s="1119">
        <v>8.61</v>
      </c>
      <c r="E6863" s="1120">
        <v>6.22</v>
      </c>
      <c r="F6863" s="1121">
        <f t="shared" si="1"/>
        <v>2.39</v>
      </c>
      <c r="G6863" s="1120">
        <v>2.39</v>
      </c>
      <c r="H6863" s="1127">
        <v>0.0</v>
      </c>
      <c r="I6863" s="1127">
        <v>0.0</v>
      </c>
      <c r="J6863" s="1127">
        <v>0.0</v>
      </c>
      <c r="K6863" s="1124"/>
    </row>
    <row r="6864" ht="15.75" customHeight="1">
      <c r="A6864" s="1119">
        <v>97651.0</v>
      </c>
      <c r="B6864" s="1125" t="s">
        <v>17148</v>
      </c>
      <c r="C6864" s="1126" t="s">
        <v>1788</v>
      </c>
      <c r="D6864" s="1119">
        <v>95.3</v>
      </c>
      <c r="E6864" s="1120">
        <v>68.54</v>
      </c>
      <c r="F6864" s="1121">
        <f t="shared" si="1"/>
        <v>26.77</v>
      </c>
      <c r="G6864" s="1120">
        <v>26.77</v>
      </c>
      <c r="H6864" s="1127">
        <v>0.0</v>
      </c>
      <c r="I6864" s="1127">
        <v>0.0</v>
      </c>
      <c r="J6864" s="1127">
        <v>0.0</v>
      </c>
      <c r="K6864" s="1124"/>
    </row>
    <row r="6865" ht="15.75" customHeight="1">
      <c r="A6865" s="1119">
        <v>97652.0</v>
      </c>
      <c r="B6865" s="1125" t="s">
        <v>17149</v>
      </c>
      <c r="C6865" s="1126" t="s">
        <v>1788</v>
      </c>
      <c r="D6865" s="1119">
        <v>216.05</v>
      </c>
      <c r="E6865" s="1120">
        <v>155.36</v>
      </c>
      <c r="F6865" s="1121">
        <f t="shared" si="1"/>
        <v>60.69</v>
      </c>
      <c r="G6865" s="1120">
        <v>60.69</v>
      </c>
      <c r="H6865" s="1127">
        <v>0.0</v>
      </c>
      <c r="I6865" s="1127">
        <v>0.0</v>
      </c>
      <c r="J6865" s="1127">
        <v>0.0</v>
      </c>
      <c r="K6865" s="1124"/>
    </row>
    <row r="6866" ht="15.75" customHeight="1">
      <c r="A6866" s="1119">
        <v>97653.0</v>
      </c>
      <c r="B6866" s="1125" t="s">
        <v>17150</v>
      </c>
      <c r="C6866" s="1126" t="s">
        <v>1788</v>
      </c>
      <c r="D6866" s="1119">
        <v>148.69</v>
      </c>
      <c r="E6866" s="1120">
        <v>51.08</v>
      </c>
      <c r="F6866" s="1121">
        <f t="shared" si="1"/>
        <v>97.6</v>
      </c>
      <c r="G6866" s="1120">
        <v>11.02</v>
      </c>
      <c r="H6866" s="1127">
        <v>85.87</v>
      </c>
      <c r="I6866" s="1127">
        <v>0.0</v>
      </c>
      <c r="J6866" s="1127">
        <v>0.71</v>
      </c>
      <c r="K6866" s="1124"/>
    </row>
    <row r="6867" ht="15.75" customHeight="1">
      <c r="A6867" s="1119">
        <v>97654.0</v>
      </c>
      <c r="B6867" s="1125" t="s">
        <v>17151</v>
      </c>
      <c r="C6867" s="1126" t="s">
        <v>1788</v>
      </c>
      <c r="D6867" s="1119">
        <v>181.74</v>
      </c>
      <c r="E6867" s="1120">
        <v>74.85</v>
      </c>
      <c r="F6867" s="1121">
        <f t="shared" si="1"/>
        <v>106.89</v>
      </c>
      <c r="G6867" s="1120">
        <v>20.32</v>
      </c>
      <c r="H6867" s="1127">
        <v>85.86</v>
      </c>
      <c r="I6867" s="1127">
        <v>0.0</v>
      </c>
      <c r="J6867" s="1127">
        <v>0.71</v>
      </c>
      <c r="K6867" s="1124"/>
    </row>
    <row r="6868" ht="15.75" customHeight="1">
      <c r="A6868" s="1119">
        <v>97655.0</v>
      </c>
      <c r="B6868" s="1125" t="s">
        <v>17152</v>
      </c>
      <c r="C6868" s="1126" t="s">
        <v>1814</v>
      </c>
      <c r="D6868" s="1119">
        <v>35.78</v>
      </c>
      <c r="E6868" s="1120">
        <v>13.94</v>
      </c>
      <c r="F6868" s="1121">
        <f t="shared" si="1"/>
        <v>21.84</v>
      </c>
      <c r="G6868" s="1120">
        <v>21.7</v>
      </c>
      <c r="H6868" s="1127">
        <v>0.14</v>
      </c>
      <c r="I6868" s="1127">
        <v>0.0</v>
      </c>
      <c r="J6868" s="1127">
        <v>0.0</v>
      </c>
      <c r="K6868" s="1124"/>
    </row>
    <row r="6869" ht="15.75" customHeight="1">
      <c r="A6869" s="1119">
        <v>97656.0</v>
      </c>
      <c r="B6869" s="1125" t="s">
        <v>17153</v>
      </c>
      <c r="C6869" s="1126" t="s">
        <v>1788</v>
      </c>
      <c r="D6869" s="1119">
        <v>334.71</v>
      </c>
      <c r="E6869" s="1120">
        <v>148.14</v>
      </c>
      <c r="F6869" s="1121">
        <f t="shared" si="1"/>
        <v>186.57</v>
      </c>
      <c r="G6869" s="1120">
        <v>185.31</v>
      </c>
      <c r="H6869" s="1127">
        <v>1.26</v>
      </c>
      <c r="I6869" s="1127">
        <v>0.0</v>
      </c>
      <c r="J6869" s="1127">
        <v>0.0</v>
      </c>
      <c r="K6869" s="1124"/>
    </row>
    <row r="6870" ht="15.75" customHeight="1">
      <c r="A6870" s="1119">
        <v>97657.0</v>
      </c>
      <c r="B6870" s="1125" t="s">
        <v>17154</v>
      </c>
      <c r="C6870" s="1126" t="s">
        <v>1788</v>
      </c>
      <c r="D6870" s="1119">
        <v>663.41</v>
      </c>
      <c r="E6870" s="1120">
        <v>293.6</v>
      </c>
      <c r="F6870" s="1121">
        <f t="shared" si="1"/>
        <v>369.82</v>
      </c>
      <c r="G6870" s="1120">
        <v>367.33</v>
      </c>
      <c r="H6870" s="1127">
        <v>2.49</v>
      </c>
      <c r="I6870" s="1127">
        <v>0.0</v>
      </c>
      <c r="J6870" s="1127">
        <v>0.0</v>
      </c>
      <c r="K6870" s="1124"/>
    </row>
    <row r="6871" ht="15.75" customHeight="1">
      <c r="A6871" s="1119">
        <v>97658.0</v>
      </c>
      <c r="B6871" s="1125" t="s">
        <v>17155</v>
      </c>
      <c r="C6871" s="1126" t="s">
        <v>1788</v>
      </c>
      <c r="D6871" s="1119">
        <v>230.63</v>
      </c>
      <c r="E6871" s="1120">
        <v>86.8</v>
      </c>
      <c r="F6871" s="1121">
        <f t="shared" si="1"/>
        <v>143.85</v>
      </c>
      <c r="G6871" s="1120">
        <v>56.99</v>
      </c>
      <c r="H6871" s="1127">
        <v>86.15</v>
      </c>
      <c r="I6871" s="1127">
        <v>0.0</v>
      </c>
      <c r="J6871" s="1127">
        <v>0.71</v>
      </c>
      <c r="K6871" s="1124"/>
    </row>
    <row r="6872" ht="15.75" customHeight="1">
      <c r="A6872" s="1119">
        <v>97659.0</v>
      </c>
      <c r="B6872" s="1125" t="s">
        <v>17156</v>
      </c>
      <c r="C6872" s="1126" t="s">
        <v>1788</v>
      </c>
      <c r="D6872" s="1119">
        <v>318.3</v>
      </c>
      <c r="E6872" s="1120">
        <v>130.97</v>
      </c>
      <c r="F6872" s="1121">
        <f t="shared" si="1"/>
        <v>187.34</v>
      </c>
      <c r="G6872" s="1120">
        <v>100.24</v>
      </c>
      <c r="H6872" s="1127">
        <v>86.39</v>
      </c>
      <c r="I6872" s="1127">
        <v>0.0</v>
      </c>
      <c r="J6872" s="1127">
        <v>0.71</v>
      </c>
      <c r="K6872" s="1124"/>
    </row>
    <row r="6873" ht="15.75" customHeight="1">
      <c r="A6873" s="1119">
        <v>97660.0</v>
      </c>
      <c r="B6873" s="1125" t="s">
        <v>17157</v>
      </c>
      <c r="C6873" s="1126" t="s">
        <v>1788</v>
      </c>
      <c r="D6873" s="1119">
        <v>0.77</v>
      </c>
      <c r="E6873" s="1120">
        <v>0.58</v>
      </c>
      <c r="F6873" s="1121">
        <f t="shared" si="1"/>
        <v>0.19</v>
      </c>
      <c r="G6873" s="1120">
        <v>0.19</v>
      </c>
      <c r="H6873" s="1127">
        <v>0.0</v>
      </c>
      <c r="I6873" s="1127">
        <v>0.0</v>
      </c>
      <c r="J6873" s="1127">
        <v>0.0</v>
      </c>
      <c r="K6873" s="1124"/>
    </row>
    <row r="6874" ht="15.75" customHeight="1">
      <c r="A6874" s="1119">
        <v>97661.0</v>
      </c>
      <c r="B6874" s="1125" t="s">
        <v>17158</v>
      </c>
      <c r="C6874" s="1126" t="s">
        <v>1731</v>
      </c>
      <c r="D6874" s="1119">
        <v>0.78</v>
      </c>
      <c r="E6874" s="1120">
        <v>0.59</v>
      </c>
      <c r="F6874" s="1121">
        <f t="shared" si="1"/>
        <v>0.19</v>
      </c>
      <c r="G6874" s="1120">
        <v>0.19</v>
      </c>
      <c r="H6874" s="1127">
        <v>0.0</v>
      </c>
      <c r="I6874" s="1127">
        <v>0.0</v>
      </c>
      <c r="J6874" s="1127">
        <v>0.0</v>
      </c>
      <c r="K6874" s="1124"/>
    </row>
    <row r="6875" ht="15.75" customHeight="1">
      <c r="A6875" s="1119">
        <v>97662.0</v>
      </c>
      <c r="B6875" s="1125" t="s">
        <v>17159</v>
      </c>
      <c r="C6875" s="1126" t="s">
        <v>1731</v>
      </c>
      <c r="D6875" s="1119">
        <v>0.57</v>
      </c>
      <c r="E6875" s="1120">
        <v>0.46</v>
      </c>
      <c r="F6875" s="1121">
        <f t="shared" si="1"/>
        <v>0.11</v>
      </c>
      <c r="G6875" s="1120">
        <v>0.11</v>
      </c>
      <c r="H6875" s="1127">
        <v>0.0</v>
      </c>
      <c r="I6875" s="1127">
        <v>0.0</v>
      </c>
      <c r="J6875" s="1127">
        <v>0.0</v>
      </c>
      <c r="K6875" s="1124"/>
    </row>
    <row r="6876" ht="15.75" customHeight="1">
      <c r="A6876" s="1119">
        <v>97663.0</v>
      </c>
      <c r="B6876" s="1125" t="s">
        <v>17160</v>
      </c>
      <c r="C6876" s="1126" t="s">
        <v>1788</v>
      </c>
      <c r="D6876" s="1119">
        <v>14.23</v>
      </c>
      <c r="E6876" s="1120">
        <v>10.35</v>
      </c>
      <c r="F6876" s="1121">
        <f t="shared" si="1"/>
        <v>3.88</v>
      </c>
      <c r="G6876" s="1120">
        <v>3.88</v>
      </c>
      <c r="H6876" s="1127">
        <v>0.0</v>
      </c>
      <c r="I6876" s="1127">
        <v>0.0</v>
      </c>
      <c r="J6876" s="1127">
        <v>0.0</v>
      </c>
      <c r="K6876" s="1124"/>
    </row>
    <row r="6877" ht="15.75" customHeight="1">
      <c r="A6877" s="1119">
        <v>97664.0</v>
      </c>
      <c r="B6877" s="1125" t="s">
        <v>17161</v>
      </c>
      <c r="C6877" s="1126" t="s">
        <v>1788</v>
      </c>
      <c r="D6877" s="1119">
        <v>1.77</v>
      </c>
      <c r="E6877" s="1120">
        <v>1.32</v>
      </c>
      <c r="F6877" s="1121">
        <f t="shared" si="1"/>
        <v>0.44</v>
      </c>
      <c r="G6877" s="1120">
        <v>0.44</v>
      </c>
      <c r="H6877" s="1127">
        <v>0.0</v>
      </c>
      <c r="I6877" s="1127">
        <v>0.0</v>
      </c>
      <c r="J6877" s="1127">
        <v>0.0</v>
      </c>
      <c r="K6877" s="1124"/>
    </row>
    <row r="6878" ht="15.75" customHeight="1">
      <c r="A6878" s="1119">
        <v>97665.0</v>
      </c>
      <c r="B6878" s="1125" t="s">
        <v>17162</v>
      </c>
      <c r="C6878" s="1126" t="s">
        <v>1788</v>
      </c>
      <c r="D6878" s="1119">
        <v>1.5</v>
      </c>
      <c r="E6878" s="1120">
        <v>1.11</v>
      </c>
      <c r="F6878" s="1121">
        <f t="shared" si="1"/>
        <v>0.39</v>
      </c>
      <c r="G6878" s="1120">
        <v>0.39</v>
      </c>
      <c r="H6878" s="1127">
        <v>0.0</v>
      </c>
      <c r="I6878" s="1127">
        <v>0.0</v>
      </c>
      <c r="J6878" s="1127">
        <v>0.0</v>
      </c>
      <c r="K6878" s="1124"/>
    </row>
    <row r="6879" ht="15.75" customHeight="1">
      <c r="A6879" s="1119">
        <v>97666.0</v>
      </c>
      <c r="B6879" s="1125" t="s">
        <v>17163</v>
      </c>
      <c r="C6879" s="1126" t="s">
        <v>1788</v>
      </c>
      <c r="D6879" s="1119">
        <v>10.37</v>
      </c>
      <c r="E6879" s="1120">
        <v>7.57</v>
      </c>
      <c r="F6879" s="1121">
        <f t="shared" si="1"/>
        <v>2.81</v>
      </c>
      <c r="G6879" s="1120">
        <v>2.81</v>
      </c>
      <c r="H6879" s="1127">
        <v>0.0</v>
      </c>
      <c r="I6879" s="1127">
        <v>0.0</v>
      </c>
      <c r="J6879" s="1127">
        <v>0.0</v>
      </c>
      <c r="K6879" s="1124"/>
    </row>
    <row r="6880" ht="15.75" customHeight="1">
      <c r="A6880" s="1119">
        <v>95967.0</v>
      </c>
      <c r="B6880" s="1125" t="s">
        <v>17164</v>
      </c>
      <c r="C6880" s="1126" t="s">
        <v>1470</v>
      </c>
      <c r="D6880" s="1119">
        <v>167.48</v>
      </c>
      <c r="E6880" s="1120">
        <v>163.06</v>
      </c>
      <c r="F6880" s="1121">
        <f t="shared" si="1"/>
        <v>4.42</v>
      </c>
      <c r="G6880" s="1120">
        <v>4.42</v>
      </c>
      <c r="H6880" s="1127">
        <v>0.0</v>
      </c>
      <c r="I6880" s="1127">
        <v>0.0</v>
      </c>
      <c r="J6880" s="1127">
        <v>0.0</v>
      </c>
      <c r="K6880" s="1124"/>
    </row>
    <row r="6881" ht="15.75" customHeight="1">
      <c r="A6881" s="1119">
        <v>99058.0</v>
      </c>
      <c r="B6881" s="1125" t="s">
        <v>17165</v>
      </c>
      <c r="C6881" s="1126" t="s">
        <v>1788</v>
      </c>
      <c r="D6881" s="1119">
        <v>8.69</v>
      </c>
      <c r="E6881" s="1120">
        <v>7.04</v>
      </c>
      <c r="F6881" s="1121">
        <f t="shared" si="1"/>
        <v>1.65</v>
      </c>
      <c r="G6881" s="1120">
        <v>1.26</v>
      </c>
      <c r="H6881" s="1127">
        <v>0.39</v>
      </c>
      <c r="I6881" s="1127">
        <v>0.0</v>
      </c>
      <c r="J6881" s="1127">
        <v>0.0</v>
      </c>
      <c r="K6881" s="1124"/>
    </row>
    <row r="6882" ht="15.75" customHeight="1">
      <c r="A6882" s="1119">
        <v>99059.0</v>
      </c>
      <c r="B6882" s="1125" t="s">
        <v>17166</v>
      </c>
      <c r="C6882" s="1126" t="s">
        <v>1731</v>
      </c>
      <c r="D6882" s="1119">
        <v>68.54</v>
      </c>
      <c r="E6882" s="1120">
        <v>28.41</v>
      </c>
      <c r="F6882" s="1121">
        <f t="shared" si="1"/>
        <v>40.14</v>
      </c>
      <c r="G6882" s="1120">
        <v>40.14</v>
      </c>
      <c r="H6882" s="1127">
        <v>0.0</v>
      </c>
      <c r="I6882" s="1127">
        <v>0.0</v>
      </c>
      <c r="J6882" s="1127">
        <v>0.0</v>
      </c>
      <c r="K6882" s="1124"/>
    </row>
    <row r="6883" ht="15.75" customHeight="1">
      <c r="A6883" s="1119">
        <v>99060.0</v>
      </c>
      <c r="B6883" s="1125" t="s">
        <v>17167</v>
      </c>
      <c r="C6883" s="1126" t="s">
        <v>1788</v>
      </c>
      <c r="D6883" s="1119">
        <v>190.09</v>
      </c>
      <c r="E6883" s="1120">
        <v>78.2</v>
      </c>
      <c r="F6883" s="1121">
        <f t="shared" si="1"/>
        <v>111.88</v>
      </c>
      <c r="G6883" s="1120">
        <v>111.87</v>
      </c>
      <c r="H6883" s="1127">
        <v>0.0</v>
      </c>
      <c r="I6883" s="1127">
        <v>0.0</v>
      </c>
      <c r="J6883" s="1127">
        <v>0.01</v>
      </c>
      <c r="K6883" s="1124"/>
    </row>
    <row r="6884" ht="15.75" customHeight="1">
      <c r="A6884" s="1119">
        <v>99061.0</v>
      </c>
      <c r="B6884" s="1125" t="s">
        <v>17168</v>
      </c>
      <c r="C6884" s="1126" t="s">
        <v>1788</v>
      </c>
      <c r="D6884" s="1119">
        <v>124.93</v>
      </c>
      <c r="E6884" s="1120">
        <v>57.5</v>
      </c>
      <c r="F6884" s="1121">
        <f t="shared" si="1"/>
        <v>67.43</v>
      </c>
      <c r="G6884" s="1120">
        <v>67.43</v>
      </c>
      <c r="H6884" s="1127">
        <v>0.0</v>
      </c>
      <c r="I6884" s="1127">
        <v>0.0</v>
      </c>
      <c r="J6884" s="1127">
        <v>0.0</v>
      </c>
      <c r="K6884" s="1124"/>
    </row>
    <row r="6885" ht="15.75" customHeight="1">
      <c r="A6885" s="1119">
        <v>99062.0</v>
      </c>
      <c r="B6885" s="1125" t="s">
        <v>17169</v>
      </c>
      <c r="C6885" s="1126" t="s">
        <v>1788</v>
      </c>
      <c r="D6885" s="1119">
        <v>2.97</v>
      </c>
      <c r="E6885" s="1120">
        <v>2.21</v>
      </c>
      <c r="F6885" s="1121">
        <f t="shared" si="1"/>
        <v>0.75</v>
      </c>
      <c r="G6885" s="1120">
        <v>0.75</v>
      </c>
      <c r="H6885" s="1127">
        <v>0.0</v>
      </c>
      <c r="I6885" s="1127">
        <v>0.0</v>
      </c>
      <c r="J6885" s="1127">
        <v>0.0</v>
      </c>
      <c r="K6885" s="1124"/>
    </row>
    <row r="6886" ht="15.75" customHeight="1">
      <c r="A6886" s="1119">
        <v>99063.0</v>
      </c>
      <c r="B6886" s="1125" t="s">
        <v>17170</v>
      </c>
      <c r="C6886" s="1126" t="s">
        <v>1731</v>
      </c>
      <c r="D6886" s="1119">
        <v>6.24</v>
      </c>
      <c r="E6886" s="1120">
        <v>2.91</v>
      </c>
      <c r="F6886" s="1121">
        <f t="shared" si="1"/>
        <v>3.34</v>
      </c>
      <c r="G6886" s="1120">
        <v>3.34</v>
      </c>
      <c r="H6886" s="1127">
        <v>0.0</v>
      </c>
      <c r="I6886" s="1127">
        <v>0.0</v>
      </c>
      <c r="J6886" s="1127">
        <v>0.0</v>
      </c>
      <c r="K6886" s="1124"/>
    </row>
    <row r="6887" ht="15.75" customHeight="1">
      <c r="A6887" s="1119">
        <v>99064.0</v>
      </c>
      <c r="B6887" s="1125" t="s">
        <v>17171</v>
      </c>
      <c r="C6887" s="1126" t="s">
        <v>1731</v>
      </c>
      <c r="D6887" s="1119">
        <v>0.43</v>
      </c>
      <c r="E6887" s="1120">
        <v>0.38</v>
      </c>
      <c r="F6887" s="1121">
        <f t="shared" si="1"/>
        <v>0.05</v>
      </c>
      <c r="G6887" s="1120">
        <v>0.04</v>
      </c>
      <c r="H6887" s="1127">
        <v>0.01</v>
      </c>
      <c r="I6887" s="1127">
        <v>0.0</v>
      </c>
      <c r="J6887" s="1127">
        <v>0.0</v>
      </c>
      <c r="K6887" s="1124"/>
    </row>
    <row r="6888" ht="15.75" customHeight="1">
      <c r="A6888" s="1119">
        <v>93588.0</v>
      </c>
      <c r="B6888" s="1125" t="s">
        <v>17172</v>
      </c>
      <c r="C6888" s="1126" t="s">
        <v>16982</v>
      </c>
      <c r="D6888" s="1119">
        <v>2.83</v>
      </c>
      <c r="E6888" s="1120">
        <v>0.38</v>
      </c>
      <c r="F6888" s="1121">
        <f t="shared" si="1"/>
        <v>2.44</v>
      </c>
      <c r="G6888" s="1120">
        <v>1.24</v>
      </c>
      <c r="H6888" s="1127">
        <v>1.2</v>
      </c>
      <c r="I6888" s="1127">
        <v>0.0</v>
      </c>
      <c r="J6888" s="1127">
        <v>0.0</v>
      </c>
      <c r="K6888" s="1124"/>
    </row>
    <row r="6889" ht="15.75" customHeight="1">
      <c r="A6889" s="1119">
        <v>93589.0</v>
      </c>
      <c r="B6889" s="1125" t="s">
        <v>17173</v>
      </c>
      <c r="C6889" s="1126" t="s">
        <v>16982</v>
      </c>
      <c r="D6889" s="1119">
        <v>2.43</v>
      </c>
      <c r="E6889" s="1120">
        <v>0.34</v>
      </c>
      <c r="F6889" s="1121">
        <f t="shared" si="1"/>
        <v>2.1</v>
      </c>
      <c r="G6889" s="1120">
        <v>1.08</v>
      </c>
      <c r="H6889" s="1127">
        <v>1.02</v>
      </c>
      <c r="I6889" s="1127">
        <v>0.0</v>
      </c>
      <c r="J6889" s="1127">
        <v>0.0</v>
      </c>
      <c r="K6889" s="1124"/>
    </row>
    <row r="6890" ht="15.75" customHeight="1">
      <c r="A6890" s="1119">
        <v>93590.0</v>
      </c>
      <c r="B6890" s="1125" t="s">
        <v>17174</v>
      </c>
      <c r="C6890" s="1126" t="s">
        <v>16982</v>
      </c>
      <c r="D6890" s="1119">
        <v>0.88</v>
      </c>
      <c r="E6890" s="1120">
        <v>0.12</v>
      </c>
      <c r="F6890" s="1121">
        <f t="shared" si="1"/>
        <v>0.75</v>
      </c>
      <c r="G6890" s="1120">
        <v>0.41</v>
      </c>
      <c r="H6890" s="1127">
        <v>0.34</v>
      </c>
      <c r="I6890" s="1127">
        <v>0.0</v>
      </c>
      <c r="J6890" s="1127">
        <v>0.0</v>
      </c>
      <c r="K6890" s="1124"/>
    </row>
    <row r="6891" ht="15.75" customHeight="1">
      <c r="A6891" s="1119">
        <v>93591.0</v>
      </c>
      <c r="B6891" s="1125" t="s">
        <v>17175</v>
      </c>
      <c r="C6891" s="1126" t="s">
        <v>16982</v>
      </c>
      <c r="D6891" s="1119">
        <v>2.48</v>
      </c>
      <c r="E6891" s="1120">
        <v>0.28</v>
      </c>
      <c r="F6891" s="1121">
        <f t="shared" si="1"/>
        <v>2.2</v>
      </c>
      <c r="G6891" s="1120">
        <v>1.08</v>
      </c>
      <c r="H6891" s="1127">
        <v>1.12</v>
      </c>
      <c r="I6891" s="1127">
        <v>0.0</v>
      </c>
      <c r="J6891" s="1127">
        <v>0.0</v>
      </c>
      <c r="K6891" s="1124"/>
    </row>
    <row r="6892" ht="15.75" customHeight="1">
      <c r="A6892" s="1119">
        <v>93592.0</v>
      </c>
      <c r="B6892" s="1125" t="s">
        <v>17176</v>
      </c>
      <c r="C6892" s="1126" t="s">
        <v>16982</v>
      </c>
      <c r="D6892" s="1119">
        <v>2.14</v>
      </c>
      <c r="E6892" s="1120">
        <v>0.24</v>
      </c>
      <c r="F6892" s="1121">
        <f t="shared" si="1"/>
        <v>1.91</v>
      </c>
      <c r="G6892" s="1120">
        <v>0.94</v>
      </c>
      <c r="H6892" s="1127">
        <v>0.97</v>
      </c>
      <c r="I6892" s="1127">
        <v>0.0</v>
      </c>
      <c r="J6892" s="1127">
        <v>0.0</v>
      </c>
      <c r="K6892" s="1124"/>
    </row>
    <row r="6893" ht="15.75" customHeight="1">
      <c r="A6893" s="1119">
        <v>93593.0</v>
      </c>
      <c r="B6893" s="1125" t="s">
        <v>17177</v>
      </c>
      <c r="C6893" s="1126" t="s">
        <v>16982</v>
      </c>
      <c r="D6893" s="1119">
        <v>0.78</v>
      </c>
      <c r="E6893" s="1120">
        <v>0.08</v>
      </c>
      <c r="F6893" s="1121">
        <f t="shared" si="1"/>
        <v>0.7</v>
      </c>
      <c r="G6893" s="1120">
        <v>0.36</v>
      </c>
      <c r="H6893" s="1127">
        <v>0.34</v>
      </c>
      <c r="I6893" s="1127">
        <v>0.0</v>
      </c>
      <c r="J6893" s="1127">
        <v>0.0</v>
      </c>
      <c r="K6893" s="1124"/>
    </row>
    <row r="6894" ht="15.75" customHeight="1">
      <c r="A6894" s="1119">
        <v>93594.0</v>
      </c>
      <c r="B6894" s="1125" t="s">
        <v>17178</v>
      </c>
      <c r="C6894" s="1126" t="s">
        <v>16017</v>
      </c>
      <c r="D6894" s="1119">
        <v>1.88</v>
      </c>
      <c r="E6894" s="1120">
        <v>0.25</v>
      </c>
      <c r="F6894" s="1121">
        <f t="shared" si="1"/>
        <v>1.63</v>
      </c>
      <c r="G6894" s="1120">
        <v>0.84</v>
      </c>
      <c r="H6894" s="1127">
        <v>0.79</v>
      </c>
      <c r="I6894" s="1127">
        <v>0.0</v>
      </c>
      <c r="J6894" s="1127">
        <v>0.0</v>
      </c>
      <c r="K6894" s="1124"/>
    </row>
    <row r="6895" ht="15.75" customHeight="1">
      <c r="A6895" s="1119">
        <v>93595.0</v>
      </c>
      <c r="B6895" s="1125" t="s">
        <v>17179</v>
      </c>
      <c r="C6895" s="1126" t="s">
        <v>16017</v>
      </c>
      <c r="D6895" s="1119">
        <v>1.64</v>
      </c>
      <c r="E6895" s="1120">
        <v>0.22</v>
      </c>
      <c r="F6895" s="1121">
        <f t="shared" si="1"/>
        <v>1.42</v>
      </c>
      <c r="G6895" s="1120">
        <v>0.73</v>
      </c>
      <c r="H6895" s="1127">
        <v>0.69</v>
      </c>
      <c r="I6895" s="1127">
        <v>0.0</v>
      </c>
      <c r="J6895" s="1127">
        <v>0.0</v>
      </c>
      <c r="K6895" s="1124"/>
    </row>
    <row r="6896" ht="15.75" customHeight="1">
      <c r="A6896" s="1119">
        <v>93596.0</v>
      </c>
      <c r="B6896" s="1125" t="s">
        <v>17180</v>
      </c>
      <c r="C6896" s="1126" t="s">
        <v>16017</v>
      </c>
      <c r="D6896" s="1119">
        <v>0.59</v>
      </c>
      <c r="E6896" s="1120">
        <v>0.08</v>
      </c>
      <c r="F6896" s="1121">
        <f t="shared" si="1"/>
        <v>0.51</v>
      </c>
      <c r="G6896" s="1120">
        <v>0.28</v>
      </c>
      <c r="H6896" s="1127">
        <v>0.23</v>
      </c>
      <c r="I6896" s="1127">
        <v>0.0</v>
      </c>
      <c r="J6896" s="1127">
        <v>0.0</v>
      </c>
      <c r="K6896" s="1124"/>
    </row>
    <row r="6897" ht="15.75" customHeight="1">
      <c r="A6897" s="1119">
        <v>93597.0</v>
      </c>
      <c r="B6897" s="1125" t="s">
        <v>17181</v>
      </c>
      <c r="C6897" s="1126" t="s">
        <v>16017</v>
      </c>
      <c r="D6897" s="1119">
        <v>1.64</v>
      </c>
      <c r="E6897" s="1120">
        <v>0.18</v>
      </c>
      <c r="F6897" s="1121">
        <f t="shared" si="1"/>
        <v>1.46</v>
      </c>
      <c r="G6897" s="1120">
        <v>0.72</v>
      </c>
      <c r="H6897" s="1127">
        <v>0.74</v>
      </c>
      <c r="I6897" s="1127">
        <v>0.0</v>
      </c>
      <c r="J6897" s="1127">
        <v>0.0</v>
      </c>
      <c r="K6897" s="1124"/>
    </row>
    <row r="6898" ht="15.75" customHeight="1">
      <c r="A6898" s="1119">
        <v>93598.0</v>
      </c>
      <c r="B6898" s="1125" t="s">
        <v>17182</v>
      </c>
      <c r="C6898" s="1126" t="s">
        <v>16017</v>
      </c>
      <c r="D6898" s="1119">
        <v>1.42</v>
      </c>
      <c r="E6898" s="1120">
        <v>0.16</v>
      </c>
      <c r="F6898" s="1121">
        <f t="shared" si="1"/>
        <v>1.26</v>
      </c>
      <c r="G6898" s="1120">
        <v>0.62</v>
      </c>
      <c r="H6898" s="1127">
        <v>0.64</v>
      </c>
      <c r="I6898" s="1127">
        <v>0.0</v>
      </c>
      <c r="J6898" s="1127">
        <v>0.0</v>
      </c>
      <c r="K6898" s="1124"/>
    </row>
    <row r="6899" ht="15.75" customHeight="1">
      <c r="A6899" s="1119">
        <v>93599.0</v>
      </c>
      <c r="B6899" s="1125" t="s">
        <v>17183</v>
      </c>
      <c r="C6899" s="1126" t="s">
        <v>16017</v>
      </c>
      <c r="D6899" s="1119">
        <v>0.52</v>
      </c>
      <c r="E6899" s="1120">
        <v>0.05</v>
      </c>
      <c r="F6899" s="1121">
        <f t="shared" si="1"/>
        <v>0.47</v>
      </c>
      <c r="G6899" s="1120">
        <v>0.26</v>
      </c>
      <c r="H6899" s="1127">
        <v>0.21</v>
      </c>
      <c r="I6899" s="1127">
        <v>0.0</v>
      </c>
      <c r="J6899" s="1127">
        <v>0.0</v>
      </c>
      <c r="K6899" s="1124"/>
    </row>
    <row r="6900" ht="15.75" customHeight="1">
      <c r="A6900" s="1119">
        <v>95425.0</v>
      </c>
      <c r="B6900" s="1125" t="s">
        <v>17184</v>
      </c>
      <c r="C6900" s="1126" t="s">
        <v>16982</v>
      </c>
      <c r="D6900" s="1119">
        <v>2.1</v>
      </c>
      <c r="E6900" s="1120">
        <v>0.21</v>
      </c>
      <c r="F6900" s="1121">
        <f t="shared" si="1"/>
        <v>1.89</v>
      </c>
      <c r="G6900" s="1120">
        <v>0.97</v>
      </c>
      <c r="H6900" s="1127">
        <v>0.92</v>
      </c>
      <c r="I6900" s="1127">
        <v>0.0</v>
      </c>
      <c r="J6900" s="1127">
        <v>0.0</v>
      </c>
      <c r="K6900" s="1124"/>
    </row>
    <row r="6901" ht="15.75" customHeight="1">
      <c r="A6901" s="1119">
        <v>95426.0</v>
      </c>
      <c r="B6901" s="1125" t="s">
        <v>17185</v>
      </c>
      <c r="C6901" s="1126" t="s">
        <v>16982</v>
      </c>
      <c r="D6901" s="1119">
        <v>1.81</v>
      </c>
      <c r="E6901" s="1120">
        <v>0.18</v>
      </c>
      <c r="F6901" s="1121">
        <f t="shared" si="1"/>
        <v>1.63</v>
      </c>
      <c r="G6901" s="1120">
        <v>0.85</v>
      </c>
      <c r="H6901" s="1127">
        <v>0.78</v>
      </c>
      <c r="I6901" s="1127">
        <v>0.0</v>
      </c>
      <c r="J6901" s="1127">
        <v>0.0</v>
      </c>
      <c r="K6901" s="1124"/>
    </row>
    <row r="6902" ht="15.75" customHeight="1">
      <c r="A6902" s="1119">
        <v>95427.0</v>
      </c>
      <c r="B6902" s="1125" t="s">
        <v>17186</v>
      </c>
      <c r="C6902" s="1126" t="s">
        <v>16982</v>
      </c>
      <c r="D6902" s="1119">
        <v>0.68</v>
      </c>
      <c r="E6902" s="1120">
        <v>0.06</v>
      </c>
      <c r="F6902" s="1121">
        <f t="shared" si="1"/>
        <v>0.62</v>
      </c>
      <c r="G6902" s="1120">
        <v>0.34</v>
      </c>
      <c r="H6902" s="1127">
        <v>0.28</v>
      </c>
      <c r="I6902" s="1127">
        <v>0.0</v>
      </c>
      <c r="J6902" s="1127">
        <v>0.0</v>
      </c>
      <c r="K6902" s="1124"/>
    </row>
    <row r="6903" ht="15.75" customHeight="1">
      <c r="A6903" s="1119">
        <v>95428.0</v>
      </c>
      <c r="B6903" s="1125" t="s">
        <v>17187</v>
      </c>
      <c r="C6903" s="1126" t="s">
        <v>16017</v>
      </c>
      <c r="D6903" s="1119">
        <v>1.4</v>
      </c>
      <c r="E6903" s="1120">
        <v>0.15</v>
      </c>
      <c r="F6903" s="1121">
        <f t="shared" si="1"/>
        <v>1.27</v>
      </c>
      <c r="G6903" s="1120">
        <v>0.68</v>
      </c>
      <c r="H6903" s="1127">
        <v>0.59</v>
      </c>
      <c r="I6903" s="1127">
        <v>0.0</v>
      </c>
      <c r="J6903" s="1127">
        <v>0.0</v>
      </c>
      <c r="K6903" s="1124"/>
    </row>
    <row r="6904" ht="15.75" customHeight="1">
      <c r="A6904" s="1119">
        <v>95429.0</v>
      </c>
      <c r="B6904" s="1125" t="s">
        <v>17188</v>
      </c>
      <c r="C6904" s="1126" t="s">
        <v>16017</v>
      </c>
      <c r="D6904" s="1119">
        <v>1.21</v>
      </c>
      <c r="E6904" s="1120">
        <v>0.12</v>
      </c>
      <c r="F6904" s="1121">
        <f t="shared" si="1"/>
        <v>1.09</v>
      </c>
      <c r="G6904" s="1120">
        <v>0.59</v>
      </c>
      <c r="H6904" s="1127">
        <v>0.5</v>
      </c>
      <c r="I6904" s="1127">
        <v>0.0</v>
      </c>
      <c r="J6904" s="1127">
        <v>0.0</v>
      </c>
      <c r="K6904" s="1124"/>
    </row>
    <row r="6905" ht="15.75" customHeight="1">
      <c r="A6905" s="1119">
        <v>95430.0</v>
      </c>
      <c r="B6905" s="1125" t="s">
        <v>17189</v>
      </c>
      <c r="C6905" s="1126" t="s">
        <v>16017</v>
      </c>
      <c r="D6905" s="1119">
        <v>0.42</v>
      </c>
      <c r="E6905" s="1120">
        <v>0.04</v>
      </c>
      <c r="F6905" s="1121">
        <f t="shared" si="1"/>
        <v>0.39</v>
      </c>
      <c r="G6905" s="1120">
        <v>0.23</v>
      </c>
      <c r="H6905" s="1127">
        <v>0.16</v>
      </c>
      <c r="I6905" s="1127">
        <v>0.0</v>
      </c>
      <c r="J6905" s="1127">
        <v>0.0</v>
      </c>
      <c r="K6905" s="1124"/>
    </row>
    <row r="6906" ht="15.75" customHeight="1">
      <c r="A6906" s="1119">
        <v>95875.0</v>
      </c>
      <c r="B6906" s="1125" t="s">
        <v>17190</v>
      </c>
      <c r="C6906" s="1126" t="s">
        <v>16982</v>
      </c>
      <c r="D6906" s="1119">
        <v>2.23</v>
      </c>
      <c r="E6906" s="1120">
        <v>0.31</v>
      </c>
      <c r="F6906" s="1121">
        <f t="shared" si="1"/>
        <v>1.93</v>
      </c>
      <c r="G6906" s="1120">
        <v>0.99</v>
      </c>
      <c r="H6906" s="1127">
        <v>0.94</v>
      </c>
      <c r="I6906" s="1127">
        <v>0.0</v>
      </c>
      <c r="J6906" s="1127">
        <v>0.0</v>
      </c>
      <c r="K6906" s="1124"/>
    </row>
    <row r="6907" ht="15.75" customHeight="1">
      <c r="A6907" s="1119">
        <v>95876.0</v>
      </c>
      <c r="B6907" s="1125" t="s">
        <v>17191</v>
      </c>
      <c r="C6907" s="1126" t="s">
        <v>16982</v>
      </c>
      <c r="D6907" s="1119">
        <v>1.95</v>
      </c>
      <c r="E6907" s="1120">
        <v>0.22</v>
      </c>
      <c r="F6907" s="1121">
        <f t="shared" si="1"/>
        <v>1.74</v>
      </c>
      <c r="G6907" s="1120">
        <v>0.85</v>
      </c>
      <c r="H6907" s="1127">
        <v>0.89</v>
      </c>
      <c r="I6907" s="1127">
        <v>0.0</v>
      </c>
      <c r="J6907" s="1127">
        <v>0.0</v>
      </c>
      <c r="K6907" s="1124"/>
    </row>
    <row r="6908" ht="15.75" customHeight="1">
      <c r="A6908" s="1119">
        <v>95877.0</v>
      </c>
      <c r="B6908" s="1125" t="s">
        <v>17192</v>
      </c>
      <c r="C6908" s="1126" t="s">
        <v>16982</v>
      </c>
      <c r="D6908" s="1119">
        <v>1.66</v>
      </c>
      <c r="E6908" s="1120">
        <v>0.17</v>
      </c>
      <c r="F6908" s="1121">
        <f t="shared" si="1"/>
        <v>1.49</v>
      </c>
      <c r="G6908" s="1120">
        <v>0.78</v>
      </c>
      <c r="H6908" s="1127">
        <v>0.71</v>
      </c>
      <c r="I6908" s="1127">
        <v>0.0</v>
      </c>
      <c r="J6908" s="1127">
        <v>0.0</v>
      </c>
      <c r="K6908" s="1124"/>
    </row>
    <row r="6909" ht="15.75" customHeight="1">
      <c r="A6909" s="1119">
        <v>95878.0</v>
      </c>
      <c r="B6909" s="1125" t="s">
        <v>17193</v>
      </c>
      <c r="C6909" s="1126" t="s">
        <v>16017</v>
      </c>
      <c r="D6909" s="1119">
        <v>1.5</v>
      </c>
      <c r="E6909" s="1120">
        <v>0.21</v>
      </c>
      <c r="F6909" s="1121">
        <f t="shared" si="1"/>
        <v>1.3</v>
      </c>
      <c r="G6909" s="1120">
        <v>0.67</v>
      </c>
      <c r="H6909" s="1127">
        <v>0.63</v>
      </c>
      <c r="I6909" s="1127">
        <v>0.0</v>
      </c>
      <c r="J6909" s="1127">
        <v>0.0</v>
      </c>
      <c r="K6909" s="1124"/>
    </row>
    <row r="6910" ht="15.75" customHeight="1">
      <c r="A6910" s="1119">
        <v>95879.0</v>
      </c>
      <c r="B6910" s="1125" t="s">
        <v>17194</v>
      </c>
      <c r="C6910" s="1126" t="s">
        <v>16017</v>
      </c>
      <c r="D6910" s="1119">
        <v>1.31</v>
      </c>
      <c r="E6910" s="1120">
        <v>0.15</v>
      </c>
      <c r="F6910" s="1121">
        <f t="shared" si="1"/>
        <v>1.17</v>
      </c>
      <c r="G6910" s="1120">
        <v>0.6</v>
      </c>
      <c r="H6910" s="1127">
        <v>0.57</v>
      </c>
      <c r="I6910" s="1127">
        <v>0.0</v>
      </c>
      <c r="J6910" s="1127">
        <v>0.0</v>
      </c>
      <c r="K6910" s="1124"/>
    </row>
    <row r="6911" ht="15.75" customHeight="1">
      <c r="A6911" s="1119">
        <v>95880.0</v>
      </c>
      <c r="B6911" s="1125" t="s">
        <v>17195</v>
      </c>
      <c r="C6911" s="1126" t="s">
        <v>16017</v>
      </c>
      <c r="D6911" s="1119">
        <v>1.11</v>
      </c>
      <c r="E6911" s="1120">
        <v>0.11</v>
      </c>
      <c r="F6911" s="1121">
        <f t="shared" si="1"/>
        <v>1.02</v>
      </c>
      <c r="G6911" s="1120">
        <v>0.55</v>
      </c>
      <c r="H6911" s="1127">
        <v>0.47</v>
      </c>
      <c r="I6911" s="1127">
        <v>0.0</v>
      </c>
      <c r="J6911" s="1127">
        <v>0.0</v>
      </c>
      <c r="K6911" s="1124"/>
    </row>
    <row r="6912" ht="15.75" customHeight="1">
      <c r="A6912" s="1119">
        <v>97912.0</v>
      </c>
      <c r="B6912" s="1125" t="s">
        <v>17196</v>
      </c>
      <c r="C6912" s="1126" t="s">
        <v>16982</v>
      </c>
      <c r="D6912" s="1119">
        <v>3.48</v>
      </c>
      <c r="E6912" s="1120">
        <v>0.65</v>
      </c>
      <c r="F6912" s="1121">
        <f t="shared" si="1"/>
        <v>2.83</v>
      </c>
      <c r="G6912" s="1120">
        <v>1.23</v>
      </c>
      <c r="H6912" s="1127">
        <v>1.6</v>
      </c>
      <c r="I6912" s="1127">
        <v>0.0</v>
      </c>
      <c r="J6912" s="1127">
        <v>0.0</v>
      </c>
      <c r="K6912" s="1124"/>
    </row>
    <row r="6913" ht="15.75" customHeight="1">
      <c r="A6913" s="1119">
        <v>97913.0</v>
      </c>
      <c r="B6913" s="1125" t="s">
        <v>17197</v>
      </c>
      <c r="C6913" s="1126" t="s">
        <v>16982</v>
      </c>
      <c r="D6913" s="1119">
        <v>3.02</v>
      </c>
      <c r="E6913" s="1120">
        <v>0.57</v>
      </c>
      <c r="F6913" s="1121">
        <f t="shared" si="1"/>
        <v>2.47</v>
      </c>
      <c r="G6913" s="1120">
        <v>1.08</v>
      </c>
      <c r="H6913" s="1127">
        <v>1.39</v>
      </c>
      <c r="I6913" s="1127">
        <v>0.0</v>
      </c>
      <c r="J6913" s="1127">
        <v>0.0</v>
      </c>
      <c r="K6913" s="1124"/>
    </row>
    <row r="6914" ht="15.75" customHeight="1">
      <c r="A6914" s="1119">
        <v>97914.0</v>
      </c>
      <c r="B6914" s="1125" t="s">
        <v>17198</v>
      </c>
      <c r="C6914" s="1126" t="s">
        <v>16982</v>
      </c>
      <c r="D6914" s="1119">
        <v>2.77</v>
      </c>
      <c r="E6914" s="1120">
        <v>0.52</v>
      </c>
      <c r="F6914" s="1121">
        <f t="shared" si="1"/>
        <v>2.26</v>
      </c>
      <c r="G6914" s="1120">
        <v>1.0</v>
      </c>
      <c r="H6914" s="1127">
        <v>1.26</v>
      </c>
      <c r="I6914" s="1127">
        <v>0.0</v>
      </c>
      <c r="J6914" s="1127">
        <v>0.0</v>
      </c>
      <c r="K6914" s="1124"/>
    </row>
    <row r="6915" ht="15.75" customHeight="1">
      <c r="A6915" s="1119">
        <v>97915.0</v>
      </c>
      <c r="B6915" s="1125" t="s">
        <v>17199</v>
      </c>
      <c r="C6915" s="1126" t="s">
        <v>16982</v>
      </c>
      <c r="D6915" s="1119">
        <v>1.1</v>
      </c>
      <c r="E6915" s="1120">
        <v>0.21</v>
      </c>
      <c r="F6915" s="1121">
        <f t="shared" si="1"/>
        <v>0.89</v>
      </c>
      <c r="G6915" s="1120">
        <v>0.38</v>
      </c>
      <c r="H6915" s="1127">
        <v>0.51</v>
      </c>
      <c r="I6915" s="1127">
        <v>0.0</v>
      </c>
      <c r="J6915" s="1127">
        <v>0.0</v>
      </c>
      <c r="K6915" s="1124"/>
    </row>
    <row r="6916" ht="15.75" customHeight="1">
      <c r="A6916" s="1119">
        <v>100937.0</v>
      </c>
      <c r="B6916" s="1125" t="s">
        <v>17200</v>
      </c>
      <c r="C6916" s="1126" t="s">
        <v>16982</v>
      </c>
      <c r="D6916" s="1119">
        <v>8.31</v>
      </c>
      <c r="E6916" s="1120">
        <v>1.54</v>
      </c>
      <c r="F6916" s="1121">
        <f t="shared" si="1"/>
        <v>6.76</v>
      </c>
      <c r="G6916" s="1120">
        <v>2.98</v>
      </c>
      <c r="H6916" s="1127">
        <v>3.78</v>
      </c>
      <c r="I6916" s="1127">
        <v>0.0</v>
      </c>
      <c r="J6916" s="1127">
        <v>0.0</v>
      </c>
      <c r="K6916" s="1124"/>
    </row>
    <row r="6917" ht="15.75" customHeight="1">
      <c r="A6917" s="1119">
        <v>100938.0</v>
      </c>
      <c r="B6917" s="1125" t="s">
        <v>17201</v>
      </c>
      <c r="C6917" s="1126" t="s">
        <v>16982</v>
      </c>
      <c r="D6917" s="1119">
        <v>6.74</v>
      </c>
      <c r="E6917" s="1120">
        <v>0.92</v>
      </c>
      <c r="F6917" s="1121">
        <f t="shared" si="1"/>
        <v>5.82</v>
      </c>
      <c r="G6917" s="1120">
        <v>2.95</v>
      </c>
      <c r="H6917" s="1127">
        <v>2.87</v>
      </c>
      <c r="I6917" s="1127">
        <v>0.0</v>
      </c>
      <c r="J6917" s="1127">
        <v>0.0</v>
      </c>
      <c r="K6917" s="1124"/>
    </row>
    <row r="6918" ht="15.75" customHeight="1">
      <c r="A6918" s="1119">
        <v>100939.0</v>
      </c>
      <c r="B6918" s="1125" t="s">
        <v>17202</v>
      </c>
      <c r="C6918" s="1126" t="s">
        <v>16982</v>
      </c>
      <c r="D6918" s="1119">
        <v>5.92</v>
      </c>
      <c r="E6918" s="1120">
        <v>0.65</v>
      </c>
      <c r="F6918" s="1121">
        <f t="shared" si="1"/>
        <v>5.27</v>
      </c>
      <c r="G6918" s="1120">
        <v>2.57</v>
      </c>
      <c r="H6918" s="1127">
        <v>2.7</v>
      </c>
      <c r="I6918" s="1127">
        <v>0.0</v>
      </c>
      <c r="J6918" s="1127">
        <v>0.0</v>
      </c>
      <c r="K6918" s="1124"/>
    </row>
    <row r="6919" ht="15.75" customHeight="1">
      <c r="A6919" s="1119">
        <v>100940.0</v>
      </c>
      <c r="B6919" s="1125" t="s">
        <v>17203</v>
      </c>
      <c r="C6919" s="1126" t="s">
        <v>16982</v>
      </c>
      <c r="D6919" s="1119">
        <v>5.03</v>
      </c>
      <c r="E6919" s="1120">
        <v>0.51</v>
      </c>
      <c r="F6919" s="1121">
        <f t="shared" si="1"/>
        <v>4.52</v>
      </c>
      <c r="G6919" s="1120">
        <v>2.31</v>
      </c>
      <c r="H6919" s="1127">
        <v>2.21</v>
      </c>
      <c r="I6919" s="1127">
        <v>0.0</v>
      </c>
      <c r="J6919" s="1127">
        <v>0.0</v>
      </c>
      <c r="K6919" s="1124"/>
    </row>
    <row r="6920" ht="15.75" customHeight="1">
      <c r="A6920" s="1119">
        <v>100941.0</v>
      </c>
      <c r="B6920" s="1125" t="s">
        <v>17204</v>
      </c>
      <c r="C6920" s="1126" t="s">
        <v>16017</v>
      </c>
      <c r="D6920" s="1119">
        <v>5.53</v>
      </c>
      <c r="E6920" s="1120">
        <v>1.02</v>
      </c>
      <c r="F6920" s="1121">
        <f t="shared" si="1"/>
        <v>4.51</v>
      </c>
      <c r="G6920" s="1120">
        <v>1.98</v>
      </c>
      <c r="H6920" s="1127">
        <v>2.53</v>
      </c>
      <c r="I6920" s="1127">
        <v>0.0</v>
      </c>
      <c r="J6920" s="1127">
        <v>0.0</v>
      </c>
      <c r="K6920" s="1124"/>
    </row>
    <row r="6921" ht="15.75" customHeight="1">
      <c r="A6921" s="1119">
        <v>100942.0</v>
      </c>
      <c r="B6921" s="1125" t="s">
        <v>17205</v>
      </c>
      <c r="C6921" s="1126" t="s">
        <v>16017</v>
      </c>
      <c r="D6921" s="1119">
        <v>4.49</v>
      </c>
      <c r="E6921" s="1120">
        <v>0.61</v>
      </c>
      <c r="F6921" s="1121">
        <f t="shared" si="1"/>
        <v>3.89</v>
      </c>
      <c r="G6921" s="1120">
        <v>1.98</v>
      </c>
      <c r="H6921" s="1127">
        <v>1.91</v>
      </c>
      <c r="I6921" s="1127">
        <v>0.0</v>
      </c>
      <c r="J6921" s="1127">
        <v>0.0</v>
      </c>
      <c r="K6921" s="1124"/>
    </row>
    <row r="6922" ht="15.75" customHeight="1">
      <c r="A6922" s="1119">
        <v>100943.0</v>
      </c>
      <c r="B6922" s="1125" t="s">
        <v>17206</v>
      </c>
      <c r="C6922" s="1126" t="s">
        <v>16017</v>
      </c>
      <c r="D6922" s="1119">
        <v>3.93</v>
      </c>
      <c r="E6922" s="1120">
        <v>0.44</v>
      </c>
      <c r="F6922" s="1121">
        <f t="shared" si="1"/>
        <v>3.5</v>
      </c>
      <c r="G6922" s="1120">
        <v>1.71</v>
      </c>
      <c r="H6922" s="1127">
        <v>1.79</v>
      </c>
      <c r="I6922" s="1127">
        <v>0.0</v>
      </c>
      <c r="J6922" s="1127">
        <v>0.0</v>
      </c>
      <c r="K6922" s="1124"/>
    </row>
    <row r="6923" ht="15.75" customHeight="1">
      <c r="A6923" s="1119">
        <v>100944.0</v>
      </c>
      <c r="B6923" s="1125" t="s">
        <v>17207</v>
      </c>
      <c r="C6923" s="1126" t="s">
        <v>16017</v>
      </c>
      <c r="D6923" s="1119">
        <v>3.36</v>
      </c>
      <c r="E6923" s="1120">
        <v>0.34</v>
      </c>
      <c r="F6923" s="1121">
        <f t="shared" si="1"/>
        <v>3.03</v>
      </c>
      <c r="G6923" s="1120">
        <v>1.55</v>
      </c>
      <c r="H6923" s="1127">
        <v>1.48</v>
      </c>
      <c r="I6923" s="1127">
        <v>0.0</v>
      </c>
      <c r="J6923" s="1127">
        <v>0.0</v>
      </c>
      <c r="K6923" s="1124"/>
    </row>
    <row r="6924" ht="15.75" customHeight="1">
      <c r="A6924" s="1119">
        <v>100945.0</v>
      </c>
      <c r="B6924" s="1125" t="s">
        <v>17208</v>
      </c>
      <c r="C6924" s="1126" t="s">
        <v>16017</v>
      </c>
      <c r="D6924" s="1119">
        <v>2.53</v>
      </c>
      <c r="E6924" s="1120">
        <v>0.41</v>
      </c>
      <c r="F6924" s="1121">
        <f t="shared" si="1"/>
        <v>2.13</v>
      </c>
      <c r="G6924" s="1120">
        <v>1.16</v>
      </c>
      <c r="H6924" s="1127">
        <v>0.97</v>
      </c>
      <c r="I6924" s="1127">
        <v>0.0</v>
      </c>
      <c r="J6924" s="1127">
        <v>0.0</v>
      </c>
      <c r="K6924" s="1124"/>
    </row>
    <row r="6925" ht="15.75" customHeight="1">
      <c r="A6925" s="1119">
        <v>100946.0</v>
      </c>
      <c r="B6925" s="1125" t="s">
        <v>17209</v>
      </c>
      <c r="C6925" s="1126" t="s">
        <v>16017</v>
      </c>
      <c r="D6925" s="1119">
        <v>2.18</v>
      </c>
      <c r="E6925" s="1120">
        <v>0.35</v>
      </c>
      <c r="F6925" s="1121">
        <f t="shared" si="1"/>
        <v>1.83</v>
      </c>
      <c r="G6925" s="1120">
        <v>1.0</v>
      </c>
      <c r="H6925" s="1127">
        <v>0.83</v>
      </c>
      <c r="I6925" s="1127">
        <v>0.0</v>
      </c>
      <c r="J6925" s="1127">
        <v>0.0</v>
      </c>
      <c r="K6925" s="1124"/>
    </row>
    <row r="6926" ht="15.75" customHeight="1">
      <c r="A6926" s="1119">
        <v>100947.0</v>
      </c>
      <c r="B6926" s="1125" t="s">
        <v>17210</v>
      </c>
      <c r="C6926" s="1126" t="s">
        <v>16017</v>
      </c>
      <c r="D6926" s="1119">
        <v>2.01</v>
      </c>
      <c r="E6926" s="1120">
        <v>0.32</v>
      </c>
      <c r="F6926" s="1121">
        <f t="shared" si="1"/>
        <v>1.69</v>
      </c>
      <c r="G6926" s="1120">
        <v>0.93</v>
      </c>
      <c r="H6926" s="1127">
        <v>0.76</v>
      </c>
      <c r="I6926" s="1127">
        <v>0.0</v>
      </c>
      <c r="J6926" s="1127">
        <v>0.0</v>
      </c>
      <c r="K6926" s="1124"/>
    </row>
    <row r="6927" ht="15.75" customHeight="1">
      <c r="A6927" s="1119">
        <v>100948.0</v>
      </c>
      <c r="B6927" s="1125" t="s">
        <v>17211</v>
      </c>
      <c r="C6927" s="1126" t="s">
        <v>16017</v>
      </c>
      <c r="D6927" s="1119">
        <v>0.79</v>
      </c>
      <c r="E6927" s="1120">
        <v>0.13</v>
      </c>
      <c r="F6927" s="1121">
        <f t="shared" si="1"/>
        <v>0.67</v>
      </c>
      <c r="G6927" s="1120">
        <v>0.38</v>
      </c>
      <c r="H6927" s="1127">
        <v>0.29</v>
      </c>
      <c r="I6927" s="1127">
        <v>0.0</v>
      </c>
      <c r="J6927" s="1127">
        <v>0.0</v>
      </c>
      <c r="K6927" s="1124"/>
    </row>
    <row r="6928" ht="15.75" customHeight="1">
      <c r="A6928" s="1119">
        <v>100949.0</v>
      </c>
      <c r="B6928" s="1125" t="s">
        <v>17212</v>
      </c>
      <c r="C6928" s="1126" t="s">
        <v>16017</v>
      </c>
      <c r="D6928" s="1119">
        <v>6.03</v>
      </c>
      <c r="E6928" s="1120">
        <v>0.98</v>
      </c>
      <c r="F6928" s="1121">
        <f t="shared" si="1"/>
        <v>5.05</v>
      </c>
      <c r="G6928" s="1120">
        <v>2.75</v>
      </c>
      <c r="H6928" s="1127">
        <v>2.3</v>
      </c>
      <c r="I6928" s="1127">
        <v>0.0</v>
      </c>
      <c r="J6928" s="1127">
        <v>0.0</v>
      </c>
      <c r="K6928" s="1124"/>
    </row>
    <row r="6929" ht="15.75" customHeight="1">
      <c r="A6929" s="1119">
        <v>100950.0</v>
      </c>
      <c r="B6929" s="1125" t="s">
        <v>17213</v>
      </c>
      <c r="C6929" s="1126" t="s">
        <v>16017</v>
      </c>
      <c r="D6929" s="1119">
        <v>3.16</v>
      </c>
      <c r="E6929" s="1120">
        <v>0.47</v>
      </c>
      <c r="F6929" s="1121">
        <f t="shared" si="1"/>
        <v>2.71</v>
      </c>
      <c r="G6929" s="1120">
        <v>1.56</v>
      </c>
      <c r="H6929" s="1127">
        <v>1.15</v>
      </c>
      <c r="I6929" s="1127">
        <v>0.0</v>
      </c>
      <c r="J6929" s="1127">
        <v>0.0</v>
      </c>
      <c r="K6929" s="1124"/>
    </row>
    <row r="6930" ht="15.75" customHeight="1">
      <c r="A6930" s="1119">
        <v>100951.0</v>
      </c>
      <c r="B6930" s="1125" t="s">
        <v>17214</v>
      </c>
      <c r="C6930" s="1126" t="s">
        <v>16017</v>
      </c>
      <c r="D6930" s="1119">
        <v>2.73</v>
      </c>
      <c r="E6930" s="1120">
        <v>0.4</v>
      </c>
      <c r="F6930" s="1121">
        <f t="shared" si="1"/>
        <v>2.32</v>
      </c>
      <c r="G6930" s="1120">
        <v>1.33</v>
      </c>
      <c r="H6930" s="1127">
        <v>0.99</v>
      </c>
      <c r="I6930" s="1127">
        <v>0.0</v>
      </c>
      <c r="J6930" s="1127">
        <v>0.0</v>
      </c>
      <c r="K6930" s="1124"/>
    </row>
    <row r="6931" ht="15.75" customHeight="1">
      <c r="A6931" s="1119">
        <v>100952.0</v>
      </c>
      <c r="B6931" s="1125" t="s">
        <v>17215</v>
      </c>
      <c r="C6931" s="1126" t="s">
        <v>16017</v>
      </c>
      <c r="D6931" s="1119">
        <v>2.51</v>
      </c>
      <c r="E6931" s="1120">
        <v>0.37</v>
      </c>
      <c r="F6931" s="1121">
        <f t="shared" si="1"/>
        <v>2.14</v>
      </c>
      <c r="G6931" s="1120">
        <v>1.23</v>
      </c>
      <c r="H6931" s="1127">
        <v>0.91</v>
      </c>
      <c r="I6931" s="1127">
        <v>0.0</v>
      </c>
      <c r="J6931" s="1127">
        <v>0.0</v>
      </c>
      <c r="K6931" s="1124"/>
    </row>
    <row r="6932" ht="15.75" customHeight="1">
      <c r="A6932" s="1119">
        <v>100953.0</v>
      </c>
      <c r="B6932" s="1125" t="s">
        <v>17216</v>
      </c>
      <c r="C6932" s="1126" t="s">
        <v>16017</v>
      </c>
      <c r="D6932" s="1119">
        <v>0.99</v>
      </c>
      <c r="E6932" s="1120">
        <v>0.15</v>
      </c>
      <c r="F6932" s="1121">
        <f t="shared" si="1"/>
        <v>0.85</v>
      </c>
      <c r="G6932" s="1120">
        <v>0.5</v>
      </c>
      <c r="H6932" s="1127">
        <v>0.35</v>
      </c>
      <c r="I6932" s="1127">
        <v>0.0</v>
      </c>
      <c r="J6932" s="1127">
        <v>0.0</v>
      </c>
      <c r="K6932" s="1124"/>
    </row>
    <row r="6933" ht="15.75" customHeight="1">
      <c r="A6933" s="1119">
        <v>100954.0</v>
      </c>
      <c r="B6933" s="1125" t="s">
        <v>17217</v>
      </c>
      <c r="C6933" s="1126" t="s">
        <v>16017</v>
      </c>
      <c r="D6933" s="1119">
        <v>7.51</v>
      </c>
      <c r="E6933" s="1120">
        <v>1.11</v>
      </c>
      <c r="F6933" s="1121">
        <f t="shared" si="1"/>
        <v>6.41</v>
      </c>
      <c r="G6933" s="1120">
        <v>3.63</v>
      </c>
      <c r="H6933" s="1127">
        <v>2.78</v>
      </c>
      <c r="I6933" s="1127">
        <v>0.0</v>
      </c>
      <c r="J6933" s="1127">
        <v>0.0</v>
      </c>
      <c r="K6933" s="1124"/>
    </row>
    <row r="6934" ht="15.75" customHeight="1">
      <c r="A6934" s="1119">
        <v>100955.0</v>
      </c>
      <c r="B6934" s="1125" t="s">
        <v>17218</v>
      </c>
      <c r="C6934" s="1126" t="s">
        <v>16982</v>
      </c>
      <c r="D6934" s="1119">
        <v>4.3</v>
      </c>
      <c r="E6934" s="1120">
        <v>0.62</v>
      </c>
      <c r="F6934" s="1121">
        <f t="shared" si="1"/>
        <v>3.69</v>
      </c>
      <c r="G6934" s="1120">
        <v>2.29</v>
      </c>
      <c r="H6934" s="1127">
        <v>1.4</v>
      </c>
      <c r="I6934" s="1127">
        <v>0.0</v>
      </c>
      <c r="J6934" s="1127">
        <v>0.0</v>
      </c>
      <c r="K6934" s="1124"/>
    </row>
    <row r="6935" ht="15.75" customHeight="1">
      <c r="A6935" s="1119">
        <v>100956.0</v>
      </c>
      <c r="B6935" s="1125" t="s">
        <v>17219</v>
      </c>
      <c r="C6935" s="1126" t="s">
        <v>16982</v>
      </c>
      <c r="D6935" s="1119">
        <v>3.73</v>
      </c>
      <c r="E6935" s="1120">
        <v>0.54</v>
      </c>
      <c r="F6935" s="1121">
        <f t="shared" si="1"/>
        <v>3.2</v>
      </c>
      <c r="G6935" s="1120">
        <v>2.0</v>
      </c>
      <c r="H6935" s="1127">
        <v>1.2</v>
      </c>
      <c r="I6935" s="1127">
        <v>0.0</v>
      </c>
      <c r="J6935" s="1127">
        <v>0.0</v>
      </c>
      <c r="K6935" s="1124"/>
    </row>
    <row r="6936" ht="15.75" customHeight="1">
      <c r="A6936" s="1119">
        <v>100957.0</v>
      </c>
      <c r="B6936" s="1125" t="s">
        <v>17220</v>
      </c>
      <c r="C6936" s="1126" t="s">
        <v>16982</v>
      </c>
      <c r="D6936" s="1119">
        <v>3.41</v>
      </c>
      <c r="E6936" s="1120">
        <v>0.49</v>
      </c>
      <c r="F6936" s="1121">
        <f t="shared" si="1"/>
        <v>2.93</v>
      </c>
      <c r="G6936" s="1120">
        <v>1.84</v>
      </c>
      <c r="H6936" s="1127">
        <v>1.09</v>
      </c>
      <c r="I6936" s="1127">
        <v>0.0</v>
      </c>
      <c r="J6936" s="1127">
        <v>0.0</v>
      </c>
      <c r="K6936" s="1124"/>
    </row>
    <row r="6937" ht="15.75" customHeight="1">
      <c r="A6937" s="1119">
        <v>100958.0</v>
      </c>
      <c r="B6937" s="1125" t="s">
        <v>17221</v>
      </c>
      <c r="C6937" s="1126" t="s">
        <v>16982</v>
      </c>
      <c r="D6937" s="1119">
        <v>1.37</v>
      </c>
      <c r="E6937" s="1120">
        <v>0.19</v>
      </c>
      <c r="F6937" s="1121">
        <f t="shared" si="1"/>
        <v>1.17</v>
      </c>
      <c r="G6937" s="1120">
        <v>0.75</v>
      </c>
      <c r="H6937" s="1127">
        <v>0.42</v>
      </c>
      <c r="I6937" s="1127">
        <v>0.0</v>
      </c>
      <c r="J6937" s="1127">
        <v>0.0</v>
      </c>
      <c r="K6937" s="1124"/>
    </row>
    <row r="6938" ht="15.75" customHeight="1">
      <c r="A6938" s="1119">
        <v>100959.0</v>
      </c>
      <c r="B6938" s="1125" t="s">
        <v>17222</v>
      </c>
      <c r="C6938" s="1126" t="s">
        <v>16982</v>
      </c>
      <c r="D6938" s="1119">
        <v>10.26</v>
      </c>
      <c r="E6938" s="1120">
        <v>1.48</v>
      </c>
      <c r="F6938" s="1121">
        <f t="shared" si="1"/>
        <v>8.79</v>
      </c>
      <c r="G6938" s="1120">
        <v>5.43</v>
      </c>
      <c r="H6938" s="1127">
        <v>3.36</v>
      </c>
      <c r="I6938" s="1127">
        <v>0.0</v>
      </c>
      <c r="J6938" s="1127">
        <v>0.0</v>
      </c>
      <c r="K6938" s="1124"/>
    </row>
    <row r="6939" ht="15.75" customHeight="1">
      <c r="A6939" s="1119">
        <v>100960.0</v>
      </c>
      <c r="B6939" s="1125" t="s">
        <v>17223</v>
      </c>
      <c r="C6939" s="1126" t="s">
        <v>16982</v>
      </c>
      <c r="D6939" s="1119">
        <v>3.18</v>
      </c>
      <c r="E6939" s="1120">
        <v>0.37</v>
      </c>
      <c r="F6939" s="1121">
        <f t="shared" si="1"/>
        <v>2.82</v>
      </c>
      <c r="G6939" s="1120">
        <v>1.66</v>
      </c>
      <c r="H6939" s="1127">
        <v>1.16</v>
      </c>
      <c r="I6939" s="1127">
        <v>0.0</v>
      </c>
      <c r="J6939" s="1127">
        <v>0.0</v>
      </c>
      <c r="K6939" s="1124"/>
    </row>
    <row r="6940" ht="15.75" customHeight="1">
      <c r="A6940" s="1119">
        <v>100961.0</v>
      </c>
      <c r="B6940" s="1125" t="s">
        <v>17224</v>
      </c>
      <c r="C6940" s="1126" t="s">
        <v>16982</v>
      </c>
      <c r="D6940" s="1119">
        <v>2.76</v>
      </c>
      <c r="E6940" s="1120">
        <v>0.32</v>
      </c>
      <c r="F6940" s="1121">
        <f t="shared" si="1"/>
        <v>2.44</v>
      </c>
      <c r="G6940" s="1120">
        <v>1.45</v>
      </c>
      <c r="H6940" s="1127">
        <v>0.99</v>
      </c>
      <c r="I6940" s="1127">
        <v>0.0</v>
      </c>
      <c r="J6940" s="1127">
        <v>0.0</v>
      </c>
      <c r="K6940" s="1124"/>
    </row>
    <row r="6941" ht="15.75" customHeight="1">
      <c r="A6941" s="1119">
        <v>100962.0</v>
      </c>
      <c r="B6941" s="1125" t="s">
        <v>17225</v>
      </c>
      <c r="C6941" s="1126" t="s">
        <v>16982</v>
      </c>
      <c r="D6941" s="1119">
        <v>2.52</v>
      </c>
      <c r="E6941" s="1120">
        <v>0.29</v>
      </c>
      <c r="F6941" s="1121">
        <f t="shared" si="1"/>
        <v>2.22</v>
      </c>
      <c r="G6941" s="1120">
        <v>1.31</v>
      </c>
      <c r="H6941" s="1127">
        <v>0.91</v>
      </c>
      <c r="I6941" s="1127">
        <v>0.0</v>
      </c>
      <c r="J6941" s="1127">
        <v>0.0</v>
      </c>
      <c r="K6941" s="1124"/>
    </row>
    <row r="6942" ht="15.75" customHeight="1">
      <c r="A6942" s="1119">
        <v>100963.0</v>
      </c>
      <c r="B6942" s="1125" t="s">
        <v>17226</v>
      </c>
      <c r="C6942" s="1126" t="s">
        <v>16982</v>
      </c>
      <c r="D6942" s="1119">
        <v>1.0</v>
      </c>
      <c r="E6942" s="1120">
        <v>0.12</v>
      </c>
      <c r="F6942" s="1121">
        <f t="shared" si="1"/>
        <v>0.89</v>
      </c>
      <c r="G6942" s="1120">
        <v>0.55</v>
      </c>
      <c r="H6942" s="1127">
        <v>0.34</v>
      </c>
      <c r="I6942" s="1127">
        <v>0.0</v>
      </c>
      <c r="J6942" s="1127">
        <v>0.0</v>
      </c>
      <c r="K6942" s="1124"/>
    </row>
    <row r="6943" ht="15.75" customHeight="1">
      <c r="A6943" s="1119">
        <v>100964.0</v>
      </c>
      <c r="B6943" s="1125" t="s">
        <v>17227</v>
      </c>
      <c r="C6943" s="1126" t="s">
        <v>16982</v>
      </c>
      <c r="D6943" s="1119">
        <v>7.65</v>
      </c>
      <c r="E6943" s="1120">
        <v>0.89</v>
      </c>
      <c r="F6943" s="1121">
        <f t="shared" si="1"/>
        <v>6.77</v>
      </c>
      <c r="G6943" s="1120">
        <v>3.95</v>
      </c>
      <c r="H6943" s="1127">
        <v>2.82</v>
      </c>
      <c r="I6943" s="1127">
        <v>0.0</v>
      </c>
      <c r="J6943" s="1127">
        <v>0.0</v>
      </c>
      <c r="K6943" s="1124"/>
    </row>
    <row r="6944" ht="15.75" customHeight="1">
      <c r="A6944" s="1119">
        <v>100973.0</v>
      </c>
      <c r="B6944" s="1125" t="s">
        <v>17228</v>
      </c>
      <c r="C6944" s="1126" t="s">
        <v>2178</v>
      </c>
      <c r="D6944" s="1119">
        <v>8.75</v>
      </c>
      <c r="E6944" s="1120">
        <v>1.78</v>
      </c>
      <c r="F6944" s="1121">
        <f t="shared" si="1"/>
        <v>6.99</v>
      </c>
      <c r="G6944" s="1120">
        <v>2.37</v>
      </c>
      <c r="H6944" s="1127">
        <v>4.62</v>
      </c>
      <c r="I6944" s="1127">
        <v>0.0</v>
      </c>
      <c r="J6944" s="1127">
        <v>0.0</v>
      </c>
      <c r="K6944" s="1124"/>
    </row>
    <row r="6945" ht="15.75" customHeight="1">
      <c r="A6945" s="1119">
        <v>100974.0</v>
      </c>
      <c r="B6945" s="1125" t="s">
        <v>17229</v>
      </c>
      <c r="C6945" s="1126" t="s">
        <v>2178</v>
      </c>
      <c r="D6945" s="1119">
        <v>8.21</v>
      </c>
      <c r="E6945" s="1120">
        <v>1.31</v>
      </c>
      <c r="F6945" s="1121">
        <f t="shared" si="1"/>
        <v>6.91</v>
      </c>
      <c r="G6945" s="1120">
        <v>2.73</v>
      </c>
      <c r="H6945" s="1127">
        <v>4.18</v>
      </c>
      <c r="I6945" s="1127">
        <v>0.0</v>
      </c>
      <c r="J6945" s="1127">
        <v>0.0</v>
      </c>
      <c r="K6945" s="1124"/>
    </row>
    <row r="6946" ht="15.75" customHeight="1">
      <c r="A6946" s="1119">
        <v>100975.0</v>
      </c>
      <c r="B6946" s="1125" t="s">
        <v>17230</v>
      </c>
      <c r="C6946" s="1126" t="s">
        <v>2178</v>
      </c>
      <c r="D6946" s="1119">
        <v>8.24</v>
      </c>
      <c r="E6946" s="1120">
        <v>1.11</v>
      </c>
      <c r="F6946" s="1121">
        <f t="shared" si="1"/>
        <v>7.12</v>
      </c>
      <c r="G6946" s="1120">
        <v>2.81</v>
      </c>
      <c r="H6946" s="1127">
        <v>4.31</v>
      </c>
      <c r="I6946" s="1127">
        <v>0.0</v>
      </c>
      <c r="J6946" s="1127">
        <v>0.0</v>
      </c>
      <c r="K6946" s="1124"/>
    </row>
    <row r="6947" ht="15.75" customHeight="1">
      <c r="A6947" s="1119">
        <v>100965.0</v>
      </c>
      <c r="B6947" s="1125" t="s">
        <v>17231</v>
      </c>
      <c r="C6947" s="1126" t="s">
        <v>16017</v>
      </c>
      <c r="D6947" s="1119">
        <v>1.52</v>
      </c>
      <c r="E6947" s="1120">
        <v>0.14</v>
      </c>
      <c r="F6947" s="1121">
        <f t="shared" si="1"/>
        <v>1.38</v>
      </c>
      <c r="G6947" s="1120">
        <v>0.87</v>
      </c>
      <c r="H6947" s="1127">
        <v>0.51</v>
      </c>
      <c r="I6947" s="1127">
        <v>0.0</v>
      </c>
      <c r="J6947" s="1127">
        <v>0.0</v>
      </c>
      <c r="K6947" s="1124"/>
    </row>
    <row r="6948" ht="15.75" customHeight="1">
      <c r="A6948" s="1119">
        <v>100966.0</v>
      </c>
      <c r="B6948" s="1125" t="s">
        <v>17232</v>
      </c>
      <c r="C6948" s="1126" t="s">
        <v>16017</v>
      </c>
      <c r="D6948" s="1119">
        <v>1.3</v>
      </c>
      <c r="E6948" s="1120">
        <v>0.13</v>
      </c>
      <c r="F6948" s="1121">
        <f t="shared" si="1"/>
        <v>1.18</v>
      </c>
      <c r="G6948" s="1120">
        <v>0.76</v>
      </c>
      <c r="H6948" s="1127">
        <v>0.42</v>
      </c>
      <c r="I6948" s="1127">
        <v>0.0</v>
      </c>
      <c r="J6948" s="1127">
        <v>0.0</v>
      </c>
      <c r="K6948" s="1124"/>
    </row>
    <row r="6949" ht="15.75" customHeight="1">
      <c r="A6949" s="1119">
        <v>100969.0</v>
      </c>
      <c r="B6949" s="1125" t="s">
        <v>17233</v>
      </c>
      <c r="C6949" s="1126" t="s">
        <v>16017</v>
      </c>
      <c r="D6949" s="1119">
        <v>1.99</v>
      </c>
      <c r="E6949" s="1120">
        <v>0.24</v>
      </c>
      <c r="F6949" s="1121">
        <f t="shared" si="1"/>
        <v>1.74</v>
      </c>
      <c r="G6949" s="1120">
        <v>1.2</v>
      </c>
      <c r="H6949" s="1127">
        <v>0.54</v>
      </c>
      <c r="I6949" s="1127">
        <v>0.0</v>
      </c>
      <c r="J6949" s="1127">
        <v>0.0</v>
      </c>
      <c r="K6949" s="1124"/>
    </row>
    <row r="6950" ht="15.75" customHeight="1">
      <c r="A6950" s="1119">
        <v>100970.0</v>
      </c>
      <c r="B6950" s="1125" t="s">
        <v>17234</v>
      </c>
      <c r="C6950" s="1126" t="s">
        <v>16017</v>
      </c>
      <c r="D6950" s="1119">
        <v>1.67</v>
      </c>
      <c r="E6950" s="1120">
        <v>0.19</v>
      </c>
      <c r="F6950" s="1121">
        <f t="shared" si="1"/>
        <v>1.48</v>
      </c>
      <c r="G6950" s="1120">
        <v>1.02</v>
      </c>
      <c r="H6950" s="1127">
        <v>0.46</v>
      </c>
      <c r="I6950" s="1127">
        <v>0.0</v>
      </c>
      <c r="J6950" s="1127">
        <v>0.0</v>
      </c>
      <c r="K6950" s="1124"/>
    </row>
    <row r="6951" ht="15.75" customHeight="1">
      <c r="A6951" s="1119">
        <v>102330.0</v>
      </c>
      <c r="B6951" s="1125" t="s">
        <v>17235</v>
      </c>
      <c r="C6951" s="1126" t="s">
        <v>16017</v>
      </c>
      <c r="D6951" s="1119">
        <v>1.21</v>
      </c>
      <c r="E6951" s="1120">
        <v>0.11</v>
      </c>
      <c r="F6951" s="1121">
        <f t="shared" si="1"/>
        <v>1.09</v>
      </c>
      <c r="G6951" s="1120">
        <v>0.7</v>
      </c>
      <c r="H6951" s="1127">
        <v>0.39</v>
      </c>
      <c r="I6951" s="1127">
        <v>0.0</v>
      </c>
      <c r="J6951" s="1127">
        <v>0.0</v>
      </c>
      <c r="K6951" s="1124"/>
    </row>
    <row r="6952" ht="15.75" customHeight="1">
      <c r="A6952" s="1119">
        <v>102331.0</v>
      </c>
      <c r="B6952" s="1125" t="s">
        <v>17236</v>
      </c>
      <c r="C6952" s="1126" t="s">
        <v>16017</v>
      </c>
      <c r="D6952" s="1119">
        <v>0.47</v>
      </c>
      <c r="E6952" s="1120">
        <v>0.04</v>
      </c>
      <c r="F6952" s="1121">
        <f t="shared" si="1"/>
        <v>0.44</v>
      </c>
      <c r="G6952" s="1120">
        <v>0.31</v>
      </c>
      <c r="H6952" s="1127">
        <v>0.13</v>
      </c>
      <c r="I6952" s="1127">
        <v>0.0</v>
      </c>
      <c r="J6952" s="1127">
        <v>0.0</v>
      </c>
      <c r="K6952" s="1124"/>
    </row>
    <row r="6953" ht="15.75" customHeight="1">
      <c r="A6953" s="1119">
        <v>102332.0</v>
      </c>
      <c r="B6953" s="1125" t="s">
        <v>17237</v>
      </c>
      <c r="C6953" s="1126" t="s">
        <v>16017</v>
      </c>
      <c r="D6953" s="1119">
        <v>1.57</v>
      </c>
      <c r="E6953" s="1120">
        <v>0.18</v>
      </c>
      <c r="F6953" s="1121">
        <f t="shared" si="1"/>
        <v>1.38</v>
      </c>
      <c r="G6953" s="1120">
        <v>0.96</v>
      </c>
      <c r="H6953" s="1127">
        <v>0.42</v>
      </c>
      <c r="I6953" s="1127">
        <v>0.0</v>
      </c>
      <c r="J6953" s="1127">
        <v>0.0</v>
      </c>
      <c r="K6953" s="1124"/>
    </row>
    <row r="6954" ht="15.75" customHeight="1">
      <c r="A6954" s="1119">
        <v>102333.0</v>
      </c>
      <c r="B6954" s="1125" t="s">
        <v>17238</v>
      </c>
      <c r="C6954" s="1126" t="s">
        <v>16017</v>
      </c>
      <c r="D6954" s="1119">
        <v>0.63</v>
      </c>
      <c r="E6954" s="1120">
        <v>0.08</v>
      </c>
      <c r="F6954" s="1121">
        <f t="shared" si="1"/>
        <v>0.57</v>
      </c>
      <c r="G6954" s="1120">
        <v>0.42</v>
      </c>
      <c r="H6954" s="1127">
        <v>0.15</v>
      </c>
      <c r="I6954" s="1127">
        <v>0.0</v>
      </c>
      <c r="J6954" s="1127">
        <v>0.0</v>
      </c>
      <c r="K6954" s="1124"/>
    </row>
    <row r="6955" ht="15.75" customHeight="1">
      <c r="A6955" s="1119">
        <v>101019.0</v>
      </c>
      <c r="B6955" s="1125" t="s">
        <v>17239</v>
      </c>
      <c r="C6955" s="1126" t="s">
        <v>6370</v>
      </c>
      <c r="D6955" s="1119">
        <v>557.91</v>
      </c>
      <c r="E6955" s="1120">
        <v>189.05</v>
      </c>
      <c r="F6955" s="1121">
        <f t="shared" si="1"/>
        <v>368.86</v>
      </c>
      <c r="G6955" s="1120">
        <v>225.04</v>
      </c>
      <c r="H6955" s="1127">
        <v>143.82</v>
      </c>
      <c r="I6955" s="1127">
        <v>0.0</v>
      </c>
      <c r="J6955" s="1127">
        <v>0.0</v>
      </c>
      <c r="K6955" s="1124"/>
    </row>
    <row r="6956" ht="15.75" customHeight="1">
      <c r="A6956" s="1119">
        <v>101479.0</v>
      </c>
      <c r="B6956" s="1125" t="s">
        <v>17240</v>
      </c>
      <c r="C6956" s="1126" t="s">
        <v>6370</v>
      </c>
      <c r="D6956" s="1119">
        <v>162.54</v>
      </c>
      <c r="E6956" s="1120">
        <v>55.09</v>
      </c>
      <c r="F6956" s="1121">
        <f t="shared" si="1"/>
        <v>107.45</v>
      </c>
      <c r="G6956" s="1120">
        <v>65.58</v>
      </c>
      <c r="H6956" s="1127">
        <v>41.87</v>
      </c>
      <c r="I6956" s="1127">
        <v>0.0</v>
      </c>
      <c r="J6956" s="1127">
        <v>0.0</v>
      </c>
      <c r="K6956" s="1124"/>
    </row>
    <row r="6957" ht="15.75" customHeight="1">
      <c r="A6957" s="1119">
        <v>102568.0</v>
      </c>
      <c r="B6957" s="1125" t="s">
        <v>17241</v>
      </c>
      <c r="C6957" s="1126" t="s">
        <v>6370</v>
      </c>
      <c r="D6957" s="1119">
        <v>276.9</v>
      </c>
      <c r="E6957" s="1120">
        <v>93.84</v>
      </c>
      <c r="F6957" s="1121">
        <f t="shared" si="1"/>
        <v>183.06</v>
      </c>
      <c r="G6957" s="1120">
        <v>111.68</v>
      </c>
      <c r="H6957" s="1127">
        <v>71.38</v>
      </c>
      <c r="I6957" s="1127">
        <v>0.0</v>
      </c>
      <c r="J6957" s="1127">
        <v>0.0</v>
      </c>
      <c r="K6957" s="1124"/>
    </row>
    <row r="6958" ht="15.75" customHeight="1">
      <c r="A6958" s="1119">
        <v>100976.0</v>
      </c>
      <c r="B6958" s="1125" t="s">
        <v>17242</v>
      </c>
      <c r="C6958" s="1126" t="s">
        <v>2178</v>
      </c>
      <c r="D6958" s="1119">
        <v>8.04</v>
      </c>
      <c r="E6958" s="1120">
        <v>1.01</v>
      </c>
      <c r="F6958" s="1121">
        <f t="shared" si="1"/>
        <v>7.03</v>
      </c>
      <c r="G6958" s="1120">
        <v>2.89</v>
      </c>
      <c r="H6958" s="1127">
        <v>4.14</v>
      </c>
      <c r="I6958" s="1127">
        <v>0.0</v>
      </c>
      <c r="J6958" s="1127">
        <v>0.0</v>
      </c>
      <c r="K6958" s="1124"/>
    </row>
    <row r="6959" ht="15.75" customHeight="1">
      <c r="A6959" s="1119">
        <v>100977.0</v>
      </c>
      <c r="B6959" s="1125" t="s">
        <v>17243</v>
      </c>
      <c r="C6959" s="1126" t="s">
        <v>2178</v>
      </c>
      <c r="D6959" s="1119">
        <v>7.24</v>
      </c>
      <c r="E6959" s="1120">
        <v>1.5</v>
      </c>
      <c r="F6959" s="1121">
        <f t="shared" si="1"/>
        <v>5.75</v>
      </c>
      <c r="G6959" s="1120">
        <v>2.04</v>
      </c>
      <c r="H6959" s="1127">
        <v>3.71</v>
      </c>
      <c r="I6959" s="1127">
        <v>0.0</v>
      </c>
      <c r="J6959" s="1127">
        <v>0.0</v>
      </c>
      <c r="K6959" s="1124"/>
    </row>
    <row r="6960" ht="15.75" customHeight="1">
      <c r="A6960" s="1119">
        <v>100978.0</v>
      </c>
      <c r="B6960" s="1125" t="s">
        <v>17244</v>
      </c>
      <c r="C6960" s="1126" t="s">
        <v>2178</v>
      </c>
      <c r="D6960" s="1119">
        <v>6.37</v>
      </c>
      <c r="E6960" s="1120">
        <v>1.04</v>
      </c>
      <c r="F6960" s="1121">
        <f t="shared" si="1"/>
        <v>5.35</v>
      </c>
      <c r="G6960" s="1120">
        <v>2.22</v>
      </c>
      <c r="H6960" s="1127">
        <v>3.13</v>
      </c>
      <c r="I6960" s="1127">
        <v>0.0</v>
      </c>
      <c r="J6960" s="1127">
        <v>0.0</v>
      </c>
      <c r="K6960" s="1124"/>
    </row>
    <row r="6961" ht="15.75" customHeight="1">
      <c r="A6961" s="1119">
        <v>100979.0</v>
      </c>
      <c r="B6961" s="1125" t="s">
        <v>17245</v>
      </c>
      <c r="C6961" s="1126" t="s">
        <v>2178</v>
      </c>
      <c r="D6961" s="1119">
        <v>6.1</v>
      </c>
      <c r="E6961" s="1120">
        <v>0.83</v>
      </c>
      <c r="F6961" s="1121">
        <f t="shared" si="1"/>
        <v>5.27</v>
      </c>
      <c r="G6961" s="1120">
        <v>2.19</v>
      </c>
      <c r="H6961" s="1127">
        <v>3.08</v>
      </c>
      <c r="I6961" s="1127">
        <v>0.0</v>
      </c>
      <c r="J6961" s="1127">
        <v>0.0</v>
      </c>
      <c r="K6961" s="1124"/>
    </row>
    <row r="6962" ht="15.75" customHeight="1">
      <c r="A6962" s="1119">
        <v>100980.0</v>
      </c>
      <c r="B6962" s="1125" t="s">
        <v>17246</v>
      </c>
      <c r="C6962" s="1126" t="s">
        <v>2178</v>
      </c>
      <c r="D6962" s="1119">
        <v>5.74</v>
      </c>
      <c r="E6962" s="1120">
        <v>0.72</v>
      </c>
      <c r="F6962" s="1121">
        <f t="shared" si="1"/>
        <v>5.03</v>
      </c>
      <c r="G6962" s="1120">
        <v>2.16</v>
      </c>
      <c r="H6962" s="1127">
        <v>2.87</v>
      </c>
      <c r="I6962" s="1127">
        <v>0.0</v>
      </c>
      <c r="J6962" s="1127">
        <v>0.0</v>
      </c>
      <c r="K6962" s="1124"/>
    </row>
    <row r="6963" ht="15.75" customHeight="1">
      <c r="A6963" s="1119">
        <v>100981.0</v>
      </c>
      <c r="B6963" s="1125" t="s">
        <v>17247</v>
      </c>
      <c r="C6963" s="1126" t="s">
        <v>2178</v>
      </c>
      <c r="D6963" s="1119">
        <v>8.81</v>
      </c>
      <c r="E6963" s="1120">
        <v>1.81</v>
      </c>
      <c r="F6963" s="1121">
        <f t="shared" si="1"/>
        <v>7.01</v>
      </c>
      <c r="G6963" s="1120">
        <v>2.5</v>
      </c>
      <c r="H6963" s="1127">
        <v>4.51</v>
      </c>
      <c r="I6963" s="1127">
        <v>0.0</v>
      </c>
      <c r="J6963" s="1127">
        <v>0.0</v>
      </c>
      <c r="K6963" s="1124"/>
    </row>
    <row r="6964" ht="15.75" customHeight="1">
      <c r="A6964" s="1119">
        <v>100982.0</v>
      </c>
      <c r="B6964" s="1125" t="s">
        <v>17248</v>
      </c>
      <c r="C6964" s="1126" t="s">
        <v>2178</v>
      </c>
      <c r="D6964" s="1119">
        <v>8.25</v>
      </c>
      <c r="E6964" s="1120">
        <v>1.34</v>
      </c>
      <c r="F6964" s="1121">
        <f t="shared" si="1"/>
        <v>6.93</v>
      </c>
      <c r="G6964" s="1120">
        <v>2.86</v>
      </c>
      <c r="H6964" s="1127">
        <v>4.07</v>
      </c>
      <c r="I6964" s="1127">
        <v>0.0</v>
      </c>
      <c r="J6964" s="1127">
        <v>0.0</v>
      </c>
      <c r="K6964" s="1124"/>
    </row>
    <row r="6965" ht="15.75" customHeight="1">
      <c r="A6965" s="1119">
        <v>100983.0</v>
      </c>
      <c r="B6965" s="1125" t="s">
        <v>17249</v>
      </c>
      <c r="C6965" s="1126" t="s">
        <v>2178</v>
      </c>
      <c r="D6965" s="1119">
        <v>8.27</v>
      </c>
      <c r="E6965" s="1120">
        <v>1.15</v>
      </c>
      <c r="F6965" s="1121">
        <f t="shared" si="1"/>
        <v>7.13</v>
      </c>
      <c r="G6965" s="1120">
        <v>2.94</v>
      </c>
      <c r="H6965" s="1127">
        <v>4.19</v>
      </c>
      <c r="I6965" s="1127">
        <v>0.0</v>
      </c>
      <c r="J6965" s="1127">
        <v>0.0</v>
      </c>
      <c r="K6965" s="1124"/>
    </row>
    <row r="6966" ht="15.75" customHeight="1">
      <c r="A6966" s="1119">
        <v>100984.0</v>
      </c>
      <c r="B6966" s="1125" t="s">
        <v>17250</v>
      </c>
      <c r="C6966" s="1126" t="s">
        <v>2178</v>
      </c>
      <c r="D6966" s="1119">
        <v>8.07</v>
      </c>
      <c r="E6966" s="1120">
        <v>1.04</v>
      </c>
      <c r="F6966" s="1121">
        <f t="shared" si="1"/>
        <v>7.04</v>
      </c>
      <c r="G6966" s="1120">
        <v>3.02</v>
      </c>
      <c r="H6966" s="1127">
        <v>4.02</v>
      </c>
      <c r="I6966" s="1127">
        <v>0.0</v>
      </c>
      <c r="J6966" s="1127">
        <v>0.0</v>
      </c>
      <c r="K6966" s="1124"/>
    </row>
    <row r="6967" ht="15.75" customHeight="1">
      <c r="A6967" s="1119">
        <v>100985.0</v>
      </c>
      <c r="B6967" s="1125" t="s">
        <v>17251</v>
      </c>
      <c r="C6967" s="1126" t="s">
        <v>2178</v>
      </c>
      <c r="D6967" s="1119">
        <v>7.06</v>
      </c>
      <c r="E6967" s="1120">
        <v>1.44</v>
      </c>
      <c r="F6967" s="1121">
        <f t="shared" si="1"/>
        <v>5.62</v>
      </c>
      <c r="G6967" s="1120">
        <v>2.37</v>
      </c>
      <c r="H6967" s="1127">
        <v>3.25</v>
      </c>
      <c r="I6967" s="1127">
        <v>0.0</v>
      </c>
      <c r="J6967" s="1127">
        <v>0.0</v>
      </c>
      <c r="K6967" s="1124"/>
    </row>
    <row r="6968" ht="15.75" customHeight="1">
      <c r="A6968" s="1119">
        <v>100986.0</v>
      </c>
      <c r="B6968" s="1125" t="s">
        <v>17252</v>
      </c>
      <c r="C6968" s="1126" t="s">
        <v>2178</v>
      </c>
      <c r="D6968" s="1119">
        <v>8.21</v>
      </c>
      <c r="E6968" s="1120">
        <v>1.2</v>
      </c>
      <c r="F6968" s="1121">
        <f t="shared" si="1"/>
        <v>7.01</v>
      </c>
      <c r="G6968" s="1120">
        <v>3.44</v>
      </c>
      <c r="H6968" s="1127">
        <v>3.57</v>
      </c>
      <c r="I6968" s="1127">
        <v>0.0</v>
      </c>
      <c r="J6968" s="1127">
        <v>0.0</v>
      </c>
      <c r="K6968" s="1124"/>
    </row>
    <row r="6969" ht="15.75" customHeight="1">
      <c r="A6969" s="1119">
        <v>100987.0</v>
      </c>
      <c r="B6969" s="1125" t="s">
        <v>17253</v>
      </c>
      <c r="C6969" s="1126" t="s">
        <v>2178</v>
      </c>
      <c r="D6969" s="1119">
        <v>9.44</v>
      </c>
      <c r="E6969" s="1120">
        <v>1.11</v>
      </c>
      <c r="F6969" s="1121">
        <f t="shared" si="1"/>
        <v>8.33</v>
      </c>
      <c r="G6969" s="1120">
        <v>3.98</v>
      </c>
      <c r="H6969" s="1127">
        <v>4.35</v>
      </c>
      <c r="I6969" s="1127">
        <v>0.0</v>
      </c>
      <c r="J6969" s="1127">
        <v>0.0</v>
      </c>
      <c r="K6969" s="1124"/>
    </row>
    <row r="6970" ht="15.75" customHeight="1">
      <c r="A6970" s="1119">
        <v>100988.0</v>
      </c>
      <c r="B6970" s="1125" t="s">
        <v>17254</v>
      </c>
      <c r="C6970" s="1126" t="s">
        <v>2178</v>
      </c>
      <c r="D6970" s="1119">
        <v>9.94</v>
      </c>
      <c r="E6970" s="1120">
        <v>1.05</v>
      </c>
      <c r="F6970" s="1121">
        <f t="shared" si="1"/>
        <v>8.89</v>
      </c>
      <c r="G6970" s="1120">
        <v>4.42</v>
      </c>
      <c r="H6970" s="1127">
        <v>4.47</v>
      </c>
      <c r="I6970" s="1127">
        <v>0.0</v>
      </c>
      <c r="J6970" s="1127">
        <v>0.0</v>
      </c>
      <c r="K6970" s="1124"/>
    </row>
    <row r="6971" ht="15.75" customHeight="1">
      <c r="A6971" s="1119">
        <v>100989.0</v>
      </c>
      <c r="B6971" s="1125" t="s">
        <v>17255</v>
      </c>
      <c r="C6971" s="1126" t="s">
        <v>6370</v>
      </c>
      <c r="D6971" s="1119">
        <v>5.84</v>
      </c>
      <c r="E6971" s="1120">
        <v>1.18</v>
      </c>
      <c r="F6971" s="1121">
        <f t="shared" si="1"/>
        <v>4.65</v>
      </c>
      <c r="G6971" s="1120">
        <v>1.58</v>
      </c>
      <c r="H6971" s="1127">
        <v>3.07</v>
      </c>
      <c r="I6971" s="1127">
        <v>0.0</v>
      </c>
      <c r="J6971" s="1127">
        <v>0.0</v>
      </c>
      <c r="K6971" s="1124"/>
    </row>
    <row r="6972" ht="15.75" customHeight="1">
      <c r="A6972" s="1119">
        <v>100990.0</v>
      </c>
      <c r="B6972" s="1125" t="s">
        <v>17256</v>
      </c>
      <c r="C6972" s="1126" t="s">
        <v>6370</v>
      </c>
      <c r="D6972" s="1119">
        <v>5.49</v>
      </c>
      <c r="E6972" s="1120">
        <v>0.88</v>
      </c>
      <c r="F6972" s="1121">
        <f t="shared" si="1"/>
        <v>4.6</v>
      </c>
      <c r="G6972" s="1120">
        <v>1.83</v>
      </c>
      <c r="H6972" s="1127">
        <v>2.77</v>
      </c>
      <c r="I6972" s="1127">
        <v>0.0</v>
      </c>
      <c r="J6972" s="1127">
        <v>0.0</v>
      </c>
      <c r="K6972" s="1124"/>
    </row>
    <row r="6973" ht="15.75" customHeight="1">
      <c r="A6973" s="1119">
        <v>100991.0</v>
      </c>
      <c r="B6973" s="1125" t="s">
        <v>17257</v>
      </c>
      <c r="C6973" s="1126" t="s">
        <v>6370</v>
      </c>
      <c r="D6973" s="1119">
        <v>5.52</v>
      </c>
      <c r="E6973" s="1120">
        <v>0.75</v>
      </c>
      <c r="F6973" s="1121">
        <f t="shared" si="1"/>
        <v>4.76</v>
      </c>
      <c r="G6973" s="1120">
        <v>1.87</v>
      </c>
      <c r="H6973" s="1127">
        <v>2.89</v>
      </c>
      <c r="I6973" s="1127">
        <v>0.0</v>
      </c>
      <c r="J6973" s="1127">
        <v>0.0</v>
      </c>
      <c r="K6973" s="1124"/>
    </row>
    <row r="6974" ht="15.75" customHeight="1">
      <c r="A6974" s="1119">
        <v>100992.0</v>
      </c>
      <c r="B6974" s="1125" t="s">
        <v>17258</v>
      </c>
      <c r="C6974" s="1126" t="s">
        <v>6370</v>
      </c>
      <c r="D6974" s="1119">
        <v>5.36</v>
      </c>
      <c r="E6974" s="1120">
        <v>0.68</v>
      </c>
      <c r="F6974" s="1121">
        <f t="shared" si="1"/>
        <v>4.7</v>
      </c>
      <c r="G6974" s="1120">
        <v>1.91</v>
      </c>
      <c r="H6974" s="1127">
        <v>2.79</v>
      </c>
      <c r="I6974" s="1127">
        <v>0.0</v>
      </c>
      <c r="J6974" s="1127">
        <v>0.0</v>
      </c>
      <c r="K6974" s="1124"/>
    </row>
    <row r="6975" ht="15.75" customHeight="1">
      <c r="A6975" s="1119">
        <v>100993.0</v>
      </c>
      <c r="B6975" s="1125" t="s">
        <v>17259</v>
      </c>
      <c r="C6975" s="1126" t="s">
        <v>6370</v>
      </c>
      <c r="D6975" s="1119">
        <v>4.82</v>
      </c>
      <c r="E6975" s="1120">
        <v>1.0</v>
      </c>
      <c r="F6975" s="1121">
        <f t="shared" si="1"/>
        <v>3.82</v>
      </c>
      <c r="G6975" s="1120">
        <v>1.35</v>
      </c>
      <c r="H6975" s="1127">
        <v>2.47</v>
      </c>
      <c r="I6975" s="1127">
        <v>0.0</v>
      </c>
      <c r="J6975" s="1127">
        <v>0.0</v>
      </c>
      <c r="K6975" s="1124"/>
    </row>
    <row r="6976" ht="15.75" customHeight="1">
      <c r="A6976" s="1119">
        <v>100994.0</v>
      </c>
      <c r="B6976" s="1125" t="s">
        <v>17260</v>
      </c>
      <c r="C6976" s="1126" t="s">
        <v>6370</v>
      </c>
      <c r="D6976" s="1119">
        <v>4.22</v>
      </c>
      <c r="E6976" s="1120">
        <v>0.68</v>
      </c>
      <c r="F6976" s="1121">
        <f t="shared" si="1"/>
        <v>3.53</v>
      </c>
      <c r="G6976" s="1120">
        <v>1.46</v>
      </c>
      <c r="H6976" s="1127">
        <v>2.07</v>
      </c>
      <c r="I6976" s="1127">
        <v>0.0</v>
      </c>
      <c r="J6976" s="1127">
        <v>0.0</v>
      </c>
      <c r="K6976" s="1124"/>
    </row>
    <row r="6977" ht="15.75" customHeight="1">
      <c r="A6977" s="1119">
        <v>100995.0</v>
      </c>
      <c r="B6977" s="1125" t="s">
        <v>17261</v>
      </c>
      <c r="C6977" s="1126" t="s">
        <v>6370</v>
      </c>
      <c r="D6977" s="1119">
        <v>4.07</v>
      </c>
      <c r="E6977" s="1120">
        <v>0.55</v>
      </c>
      <c r="F6977" s="1121">
        <f t="shared" si="1"/>
        <v>3.53</v>
      </c>
      <c r="G6977" s="1120">
        <v>1.45</v>
      </c>
      <c r="H6977" s="1127">
        <v>2.08</v>
      </c>
      <c r="I6977" s="1127">
        <v>0.0</v>
      </c>
      <c r="J6977" s="1127">
        <v>0.0</v>
      </c>
      <c r="K6977" s="1124"/>
    </row>
    <row r="6978" ht="15.75" customHeight="1">
      <c r="A6978" s="1119">
        <v>100996.0</v>
      </c>
      <c r="B6978" s="1125" t="s">
        <v>17262</v>
      </c>
      <c r="C6978" s="1126" t="s">
        <v>6370</v>
      </c>
      <c r="D6978" s="1119">
        <v>3.81</v>
      </c>
      <c r="E6978" s="1120">
        <v>0.48</v>
      </c>
      <c r="F6978" s="1121">
        <f t="shared" si="1"/>
        <v>3.34</v>
      </c>
      <c r="G6978" s="1120">
        <v>1.45</v>
      </c>
      <c r="H6978" s="1127">
        <v>1.89</v>
      </c>
      <c r="I6978" s="1127">
        <v>0.0</v>
      </c>
      <c r="J6978" s="1127">
        <v>0.0</v>
      </c>
      <c r="K6978" s="1124"/>
    </row>
    <row r="6979" ht="15.75" customHeight="1">
      <c r="A6979" s="1119">
        <v>100997.0</v>
      </c>
      <c r="B6979" s="1125" t="s">
        <v>17263</v>
      </c>
      <c r="C6979" s="1126" t="s">
        <v>6370</v>
      </c>
      <c r="D6979" s="1119">
        <v>5.89</v>
      </c>
      <c r="E6979" s="1120">
        <v>1.21</v>
      </c>
      <c r="F6979" s="1121">
        <f t="shared" si="1"/>
        <v>4.67</v>
      </c>
      <c r="G6979" s="1120">
        <v>1.67</v>
      </c>
      <c r="H6979" s="1127">
        <v>3.0</v>
      </c>
      <c r="I6979" s="1127">
        <v>0.0</v>
      </c>
      <c r="J6979" s="1127">
        <v>0.0</v>
      </c>
      <c r="K6979" s="1124"/>
    </row>
    <row r="6980" ht="15.75" customHeight="1">
      <c r="A6980" s="1119">
        <v>100998.0</v>
      </c>
      <c r="B6980" s="1125" t="s">
        <v>17264</v>
      </c>
      <c r="C6980" s="1126" t="s">
        <v>6370</v>
      </c>
      <c r="D6980" s="1119">
        <v>5.51</v>
      </c>
      <c r="E6980" s="1120">
        <v>0.89</v>
      </c>
      <c r="F6980" s="1121">
        <f t="shared" si="1"/>
        <v>4.62</v>
      </c>
      <c r="G6980" s="1120">
        <v>1.92</v>
      </c>
      <c r="H6980" s="1127">
        <v>2.7</v>
      </c>
      <c r="I6980" s="1127">
        <v>0.0</v>
      </c>
      <c r="J6980" s="1127">
        <v>0.0</v>
      </c>
      <c r="K6980" s="1124"/>
    </row>
    <row r="6981" ht="15.75" customHeight="1">
      <c r="A6981" s="1119">
        <v>100999.0</v>
      </c>
      <c r="B6981" s="1125" t="s">
        <v>17265</v>
      </c>
      <c r="C6981" s="1126" t="s">
        <v>6370</v>
      </c>
      <c r="D6981" s="1119">
        <v>5.54</v>
      </c>
      <c r="E6981" s="1120">
        <v>0.77</v>
      </c>
      <c r="F6981" s="1121">
        <f t="shared" si="1"/>
        <v>4.77</v>
      </c>
      <c r="G6981" s="1120">
        <v>1.96</v>
      </c>
      <c r="H6981" s="1127">
        <v>2.81</v>
      </c>
      <c r="I6981" s="1127">
        <v>0.0</v>
      </c>
      <c r="J6981" s="1127">
        <v>0.0</v>
      </c>
      <c r="K6981" s="1124"/>
    </row>
    <row r="6982" ht="15.75" customHeight="1">
      <c r="A6982" s="1119">
        <v>101000.0</v>
      </c>
      <c r="B6982" s="1125" t="s">
        <v>17266</v>
      </c>
      <c r="C6982" s="1126" t="s">
        <v>6370</v>
      </c>
      <c r="D6982" s="1119">
        <v>5.38</v>
      </c>
      <c r="E6982" s="1120">
        <v>0.69</v>
      </c>
      <c r="F6982" s="1121">
        <f t="shared" si="1"/>
        <v>4.69</v>
      </c>
      <c r="G6982" s="1120">
        <v>2.0</v>
      </c>
      <c r="H6982" s="1127">
        <v>2.69</v>
      </c>
      <c r="I6982" s="1127">
        <v>0.0</v>
      </c>
      <c r="J6982" s="1127">
        <v>0.0</v>
      </c>
      <c r="K6982" s="1124"/>
    </row>
    <row r="6983" ht="15.75" customHeight="1">
      <c r="A6983" s="1119">
        <v>101001.0</v>
      </c>
      <c r="B6983" s="1125" t="s">
        <v>17267</v>
      </c>
      <c r="C6983" s="1126" t="s">
        <v>6370</v>
      </c>
      <c r="D6983" s="1119">
        <v>4.7</v>
      </c>
      <c r="E6983" s="1120">
        <v>0.96</v>
      </c>
      <c r="F6983" s="1121">
        <f t="shared" si="1"/>
        <v>3.75</v>
      </c>
      <c r="G6983" s="1120">
        <v>1.58</v>
      </c>
      <c r="H6983" s="1127">
        <v>2.17</v>
      </c>
      <c r="I6983" s="1127">
        <v>0.0</v>
      </c>
      <c r="J6983" s="1127">
        <v>0.0</v>
      </c>
      <c r="K6983" s="1124"/>
    </row>
    <row r="6984" ht="15.75" customHeight="1">
      <c r="A6984" s="1119">
        <v>101002.0</v>
      </c>
      <c r="B6984" s="1125" t="s">
        <v>17268</v>
      </c>
      <c r="C6984" s="1126" t="s">
        <v>6370</v>
      </c>
      <c r="D6984" s="1119">
        <v>5.46</v>
      </c>
      <c r="E6984" s="1120">
        <v>0.8</v>
      </c>
      <c r="F6984" s="1121">
        <f t="shared" si="1"/>
        <v>4.66</v>
      </c>
      <c r="G6984" s="1120">
        <v>2.3</v>
      </c>
      <c r="H6984" s="1127">
        <v>2.36</v>
      </c>
      <c r="I6984" s="1127">
        <v>0.0</v>
      </c>
      <c r="J6984" s="1127">
        <v>0.0</v>
      </c>
      <c r="K6984" s="1124"/>
    </row>
    <row r="6985" ht="15.75" customHeight="1">
      <c r="A6985" s="1119">
        <v>101003.0</v>
      </c>
      <c r="B6985" s="1125" t="s">
        <v>17269</v>
      </c>
      <c r="C6985" s="1126" t="s">
        <v>6370</v>
      </c>
      <c r="D6985" s="1119">
        <v>6.28</v>
      </c>
      <c r="E6985" s="1120">
        <v>0.73</v>
      </c>
      <c r="F6985" s="1121">
        <f t="shared" si="1"/>
        <v>5.53</v>
      </c>
      <c r="G6985" s="1120">
        <v>2.63</v>
      </c>
      <c r="H6985" s="1127">
        <v>2.9</v>
      </c>
      <c r="I6985" s="1127">
        <v>0.0</v>
      </c>
      <c r="J6985" s="1127">
        <v>0.0</v>
      </c>
      <c r="K6985" s="1124"/>
    </row>
    <row r="6986" ht="15.75" customHeight="1">
      <c r="A6986" s="1119">
        <v>101004.0</v>
      </c>
      <c r="B6986" s="1125" t="s">
        <v>17270</v>
      </c>
      <c r="C6986" s="1126" t="s">
        <v>6370</v>
      </c>
      <c r="D6986" s="1119">
        <v>6.62</v>
      </c>
      <c r="E6986" s="1120">
        <v>0.7</v>
      </c>
      <c r="F6986" s="1121">
        <f t="shared" si="1"/>
        <v>5.91</v>
      </c>
      <c r="G6986" s="1120">
        <v>2.93</v>
      </c>
      <c r="H6986" s="1127">
        <v>2.98</v>
      </c>
      <c r="I6986" s="1127">
        <v>0.0</v>
      </c>
      <c r="J6986" s="1127">
        <v>0.0</v>
      </c>
      <c r="K6986" s="1124"/>
    </row>
    <row r="6987" ht="15.75" customHeight="1">
      <c r="A6987" s="1119">
        <v>101005.0</v>
      </c>
      <c r="B6987" s="1125" t="s">
        <v>17271</v>
      </c>
      <c r="C6987" s="1126" t="s">
        <v>2178</v>
      </c>
      <c r="D6987" s="1119">
        <v>16.37</v>
      </c>
      <c r="E6987" s="1120">
        <v>2.35</v>
      </c>
      <c r="F6987" s="1121">
        <f t="shared" si="1"/>
        <v>14.03</v>
      </c>
      <c r="G6987" s="1120">
        <v>8.67</v>
      </c>
      <c r="H6987" s="1127">
        <v>5.36</v>
      </c>
      <c r="I6987" s="1127">
        <v>0.0</v>
      </c>
      <c r="J6987" s="1127">
        <v>0.0</v>
      </c>
      <c r="K6987" s="1124"/>
    </row>
    <row r="6988" ht="15.75" customHeight="1">
      <c r="A6988" s="1119">
        <v>101006.0</v>
      </c>
      <c r="B6988" s="1125" t="s">
        <v>17272</v>
      </c>
      <c r="C6988" s="1126" t="s">
        <v>2178</v>
      </c>
      <c r="D6988" s="1119">
        <v>18.17</v>
      </c>
      <c r="E6988" s="1120">
        <v>2.11</v>
      </c>
      <c r="F6988" s="1121">
        <f t="shared" si="1"/>
        <v>16.05</v>
      </c>
      <c r="G6988" s="1120">
        <v>9.33</v>
      </c>
      <c r="H6988" s="1127">
        <v>6.72</v>
      </c>
      <c r="I6988" s="1127">
        <v>0.0</v>
      </c>
      <c r="J6988" s="1127">
        <v>0.0</v>
      </c>
      <c r="K6988" s="1124"/>
    </row>
    <row r="6989" ht="15.75" customHeight="1">
      <c r="A6989" s="1119">
        <v>101007.0</v>
      </c>
      <c r="B6989" s="1125" t="s">
        <v>17273</v>
      </c>
      <c r="C6989" s="1126" t="s">
        <v>2178</v>
      </c>
      <c r="D6989" s="1119">
        <v>4.74</v>
      </c>
      <c r="E6989" s="1120">
        <v>0.68</v>
      </c>
      <c r="F6989" s="1121">
        <f t="shared" si="1"/>
        <v>4.06</v>
      </c>
      <c r="G6989" s="1120">
        <v>2.52</v>
      </c>
      <c r="H6989" s="1127">
        <v>1.54</v>
      </c>
      <c r="I6989" s="1127">
        <v>0.0</v>
      </c>
      <c r="J6989" s="1127">
        <v>0.0</v>
      </c>
      <c r="K6989" s="1124"/>
    </row>
    <row r="6990" ht="15.75" customHeight="1">
      <c r="A6990" s="1119">
        <v>101008.0</v>
      </c>
      <c r="B6990" s="1125" t="s">
        <v>17274</v>
      </c>
      <c r="C6990" s="1126" t="s">
        <v>2178</v>
      </c>
      <c r="D6990" s="1119">
        <v>4.8</v>
      </c>
      <c r="E6990" s="1120">
        <v>0.56</v>
      </c>
      <c r="F6990" s="1121">
        <f t="shared" si="1"/>
        <v>4.25</v>
      </c>
      <c r="G6990" s="1120">
        <v>2.48</v>
      </c>
      <c r="H6990" s="1127">
        <v>1.77</v>
      </c>
      <c r="I6990" s="1127">
        <v>0.0</v>
      </c>
      <c r="J6990" s="1127">
        <v>0.0</v>
      </c>
      <c r="K6990" s="1124"/>
    </row>
    <row r="6991" ht="15.75" customHeight="1">
      <c r="A6991" s="1119">
        <v>101009.0</v>
      </c>
      <c r="B6991" s="1125" t="s">
        <v>17275</v>
      </c>
      <c r="C6991" s="1126" t="s">
        <v>6370</v>
      </c>
      <c r="D6991" s="1119">
        <v>38.09</v>
      </c>
      <c r="E6991" s="1120">
        <v>5.65</v>
      </c>
      <c r="F6991" s="1121">
        <f t="shared" si="1"/>
        <v>32.43</v>
      </c>
      <c r="G6991" s="1120">
        <v>18.27</v>
      </c>
      <c r="H6991" s="1127">
        <v>14.16</v>
      </c>
      <c r="I6991" s="1127">
        <v>0.0</v>
      </c>
      <c r="J6991" s="1127">
        <v>0.0</v>
      </c>
      <c r="K6991" s="1124"/>
    </row>
    <row r="6992" ht="15.75" customHeight="1">
      <c r="A6992" s="1119">
        <v>101010.0</v>
      </c>
      <c r="B6992" s="1125" t="s">
        <v>17276</v>
      </c>
      <c r="C6992" s="1126" t="s">
        <v>6370</v>
      </c>
      <c r="D6992" s="1119">
        <v>23.99</v>
      </c>
      <c r="E6992" s="1120">
        <v>3.56</v>
      </c>
      <c r="F6992" s="1121">
        <f t="shared" si="1"/>
        <v>20.43</v>
      </c>
      <c r="G6992" s="1120">
        <v>11.53</v>
      </c>
      <c r="H6992" s="1127">
        <v>8.9</v>
      </c>
      <c r="I6992" s="1127">
        <v>0.0</v>
      </c>
      <c r="J6992" s="1127">
        <v>0.0</v>
      </c>
      <c r="K6992" s="1124"/>
    </row>
    <row r="6993" ht="15.75" customHeight="1">
      <c r="A6993" s="1119">
        <v>101013.0</v>
      </c>
      <c r="B6993" s="1125" t="s">
        <v>17277</v>
      </c>
      <c r="C6993" s="1126" t="s">
        <v>6370</v>
      </c>
      <c r="D6993" s="1119">
        <v>42.09</v>
      </c>
      <c r="E6993" s="1120">
        <v>11.07</v>
      </c>
      <c r="F6993" s="1121">
        <f t="shared" si="1"/>
        <v>31.02</v>
      </c>
      <c r="G6993" s="1120">
        <v>18.66</v>
      </c>
      <c r="H6993" s="1127">
        <v>12.36</v>
      </c>
      <c r="I6993" s="1127">
        <v>0.0</v>
      </c>
      <c r="J6993" s="1127">
        <v>0.0</v>
      </c>
      <c r="K6993" s="1124"/>
    </row>
    <row r="6994" ht="15.75" customHeight="1">
      <c r="A6994" s="1119">
        <v>101014.0</v>
      </c>
      <c r="B6994" s="1125" t="s">
        <v>17278</v>
      </c>
      <c r="C6994" s="1126" t="s">
        <v>6370</v>
      </c>
      <c r="D6994" s="1119">
        <v>38.56</v>
      </c>
      <c r="E6994" s="1120">
        <v>10.15</v>
      </c>
      <c r="F6994" s="1121">
        <f t="shared" si="1"/>
        <v>28.41</v>
      </c>
      <c r="G6994" s="1120">
        <v>17.08</v>
      </c>
      <c r="H6994" s="1127">
        <v>11.33</v>
      </c>
      <c r="I6994" s="1127">
        <v>0.0</v>
      </c>
      <c r="J6994" s="1127">
        <v>0.0</v>
      </c>
      <c r="K6994" s="1124"/>
    </row>
    <row r="6995" ht="15.75" customHeight="1">
      <c r="A6995" s="1119">
        <v>101015.0</v>
      </c>
      <c r="B6995" s="1125" t="s">
        <v>17279</v>
      </c>
      <c r="C6995" s="1126" t="s">
        <v>6370</v>
      </c>
      <c r="D6995" s="1119">
        <v>31.68</v>
      </c>
      <c r="E6995" s="1120">
        <v>8.33</v>
      </c>
      <c r="F6995" s="1121">
        <f t="shared" si="1"/>
        <v>23.35</v>
      </c>
      <c r="G6995" s="1120">
        <v>14.05</v>
      </c>
      <c r="H6995" s="1127">
        <v>9.3</v>
      </c>
      <c r="I6995" s="1127">
        <v>0.0</v>
      </c>
      <c r="J6995" s="1127">
        <v>0.0</v>
      </c>
      <c r="K6995" s="1124"/>
    </row>
    <row r="6996" ht="15.75" customHeight="1">
      <c r="A6996" s="1119">
        <v>101016.0</v>
      </c>
      <c r="B6996" s="1125" t="s">
        <v>17280</v>
      </c>
      <c r="C6996" s="1126" t="s">
        <v>6370</v>
      </c>
      <c r="D6996" s="1119">
        <v>36.67</v>
      </c>
      <c r="E6996" s="1120">
        <v>9.66</v>
      </c>
      <c r="F6996" s="1121">
        <f t="shared" si="1"/>
        <v>27.04</v>
      </c>
      <c r="G6996" s="1120">
        <v>16.27</v>
      </c>
      <c r="H6996" s="1127">
        <v>10.77</v>
      </c>
      <c r="I6996" s="1127">
        <v>0.0</v>
      </c>
      <c r="J6996" s="1127">
        <v>0.0</v>
      </c>
      <c r="K6996" s="1124"/>
    </row>
    <row r="6997" ht="15.75" customHeight="1">
      <c r="A6997" s="1119">
        <v>101017.0</v>
      </c>
      <c r="B6997" s="1125" t="s">
        <v>17281</v>
      </c>
      <c r="C6997" s="1126" t="s">
        <v>6370</v>
      </c>
      <c r="D6997" s="1119">
        <v>27.81</v>
      </c>
      <c r="E6997" s="1120">
        <v>7.33</v>
      </c>
      <c r="F6997" s="1121">
        <f t="shared" si="1"/>
        <v>20.48</v>
      </c>
      <c r="G6997" s="1120">
        <v>12.32</v>
      </c>
      <c r="H6997" s="1127">
        <v>8.16</v>
      </c>
      <c r="I6997" s="1127">
        <v>0.0</v>
      </c>
      <c r="J6997" s="1127">
        <v>0.0</v>
      </c>
      <c r="K6997" s="1124"/>
    </row>
    <row r="6998" ht="15.75" customHeight="1">
      <c r="A6998" s="1119">
        <v>101018.0</v>
      </c>
      <c r="B6998" s="1125" t="s">
        <v>17282</v>
      </c>
      <c r="C6998" s="1126" t="s">
        <v>6370</v>
      </c>
      <c r="D6998" s="1119">
        <v>22.84</v>
      </c>
      <c r="E6998" s="1120">
        <v>6.02</v>
      </c>
      <c r="F6998" s="1121">
        <f t="shared" si="1"/>
        <v>16.82</v>
      </c>
      <c r="G6998" s="1120">
        <v>10.13</v>
      </c>
      <c r="H6998" s="1127">
        <v>6.69</v>
      </c>
      <c r="I6998" s="1127">
        <v>0.0</v>
      </c>
      <c r="J6998" s="1127">
        <v>0.0</v>
      </c>
      <c r="K6998" s="1124"/>
    </row>
    <row r="6999" ht="15.75" customHeight="1">
      <c r="A6999" s="1119">
        <v>101463.0</v>
      </c>
      <c r="B6999" s="1125" t="s">
        <v>17283</v>
      </c>
      <c r="C6999" s="1126" t="s">
        <v>6370</v>
      </c>
      <c r="D6999" s="1119">
        <v>42.21</v>
      </c>
      <c r="E6999" s="1120">
        <v>11.1</v>
      </c>
      <c r="F6999" s="1121">
        <f t="shared" si="1"/>
        <v>31.11</v>
      </c>
      <c r="G6999" s="1120">
        <v>18.73</v>
      </c>
      <c r="H6999" s="1127">
        <v>12.38</v>
      </c>
      <c r="I6999" s="1127">
        <v>0.0</v>
      </c>
      <c r="J6999" s="1127">
        <v>0.0</v>
      </c>
      <c r="K6999" s="1124"/>
    </row>
    <row r="7000" ht="15.75" customHeight="1">
      <c r="A7000" s="1119">
        <v>101464.0</v>
      </c>
      <c r="B7000" s="1125" t="s">
        <v>17284</v>
      </c>
      <c r="C7000" s="1126" t="s">
        <v>6370</v>
      </c>
      <c r="D7000" s="1119">
        <v>32.42</v>
      </c>
      <c r="E7000" s="1120">
        <v>8.54</v>
      </c>
      <c r="F7000" s="1121">
        <f t="shared" si="1"/>
        <v>23.9</v>
      </c>
      <c r="G7000" s="1120">
        <v>14.37</v>
      </c>
      <c r="H7000" s="1127">
        <v>9.53</v>
      </c>
      <c r="I7000" s="1127">
        <v>0.0</v>
      </c>
      <c r="J7000" s="1127">
        <v>0.0</v>
      </c>
      <c r="K7000" s="1124"/>
    </row>
    <row r="7001" ht="15.75" customHeight="1">
      <c r="A7001" s="1119">
        <v>101465.0</v>
      </c>
      <c r="B7001" s="1125" t="s">
        <v>17285</v>
      </c>
      <c r="C7001" s="1126" t="s">
        <v>6370</v>
      </c>
      <c r="D7001" s="1119">
        <v>24.78</v>
      </c>
      <c r="E7001" s="1120">
        <v>6.52</v>
      </c>
      <c r="F7001" s="1121">
        <f t="shared" si="1"/>
        <v>18.26</v>
      </c>
      <c r="G7001" s="1120">
        <v>10.98</v>
      </c>
      <c r="H7001" s="1127">
        <v>7.28</v>
      </c>
      <c r="I7001" s="1127">
        <v>0.0</v>
      </c>
      <c r="J7001" s="1127">
        <v>0.0</v>
      </c>
      <c r="K7001" s="1124"/>
    </row>
    <row r="7002" ht="15.75" customHeight="1">
      <c r="A7002" s="1119">
        <v>101466.0</v>
      </c>
      <c r="B7002" s="1125" t="s">
        <v>17286</v>
      </c>
      <c r="C7002" s="1126" t="s">
        <v>6370</v>
      </c>
      <c r="D7002" s="1119">
        <v>20.16</v>
      </c>
      <c r="E7002" s="1120">
        <v>5.32</v>
      </c>
      <c r="F7002" s="1121">
        <f t="shared" si="1"/>
        <v>14.85</v>
      </c>
      <c r="G7002" s="1120">
        <v>8.96</v>
      </c>
      <c r="H7002" s="1127">
        <v>5.89</v>
      </c>
      <c r="I7002" s="1127">
        <v>0.0</v>
      </c>
      <c r="J7002" s="1127">
        <v>0.0</v>
      </c>
      <c r="K7002" s="1124"/>
    </row>
    <row r="7003" ht="15.75" customHeight="1">
      <c r="A7003" s="1119">
        <v>101467.0</v>
      </c>
      <c r="B7003" s="1125" t="s">
        <v>17287</v>
      </c>
      <c r="C7003" s="1126" t="s">
        <v>6370</v>
      </c>
      <c r="D7003" s="1119">
        <v>16.88</v>
      </c>
      <c r="E7003" s="1120">
        <v>4.46</v>
      </c>
      <c r="F7003" s="1121">
        <f t="shared" si="1"/>
        <v>12.43</v>
      </c>
      <c r="G7003" s="1120">
        <v>7.5</v>
      </c>
      <c r="H7003" s="1127">
        <v>4.93</v>
      </c>
      <c r="I7003" s="1127">
        <v>0.0</v>
      </c>
      <c r="J7003" s="1127">
        <v>0.0</v>
      </c>
      <c r="K7003" s="1124"/>
    </row>
    <row r="7004" ht="15.75" customHeight="1">
      <c r="A7004" s="1119">
        <v>101468.0</v>
      </c>
      <c r="B7004" s="1125" t="s">
        <v>17288</v>
      </c>
      <c r="C7004" s="1126" t="s">
        <v>6370</v>
      </c>
      <c r="D7004" s="1119">
        <v>15.43</v>
      </c>
      <c r="E7004" s="1120">
        <v>4.06</v>
      </c>
      <c r="F7004" s="1121">
        <f t="shared" si="1"/>
        <v>11.37</v>
      </c>
      <c r="G7004" s="1120">
        <v>6.86</v>
      </c>
      <c r="H7004" s="1127">
        <v>4.51</v>
      </c>
      <c r="I7004" s="1127">
        <v>0.0</v>
      </c>
      <c r="J7004" s="1127">
        <v>0.0</v>
      </c>
      <c r="K7004" s="1124"/>
    </row>
    <row r="7005" ht="15.75" customHeight="1">
      <c r="A7005" s="1119">
        <v>101469.0</v>
      </c>
      <c r="B7005" s="1125" t="s">
        <v>17289</v>
      </c>
      <c r="C7005" s="1126" t="s">
        <v>6370</v>
      </c>
      <c r="D7005" s="1119">
        <v>34.55</v>
      </c>
      <c r="E7005" s="1120">
        <v>9.09</v>
      </c>
      <c r="F7005" s="1121">
        <f t="shared" si="1"/>
        <v>25.46</v>
      </c>
      <c r="G7005" s="1120">
        <v>15.32</v>
      </c>
      <c r="H7005" s="1127">
        <v>10.14</v>
      </c>
      <c r="I7005" s="1127">
        <v>0.0</v>
      </c>
      <c r="J7005" s="1127">
        <v>0.0</v>
      </c>
      <c r="K7005" s="1124"/>
    </row>
    <row r="7006" ht="15.75" customHeight="1">
      <c r="A7006" s="1119">
        <v>101470.0</v>
      </c>
      <c r="B7006" s="1125" t="s">
        <v>17290</v>
      </c>
      <c r="C7006" s="1126" t="s">
        <v>6370</v>
      </c>
      <c r="D7006" s="1119">
        <v>27.42</v>
      </c>
      <c r="E7006" s="1120">
        <v>7.22</v>
      </c>
      <c r="F7006" s="1121">
        <f t="shared" si="1"/>
        <v>20.21</v>
      </c>
      <c r="G7006" s="1120">
        <v>12.16</v>
      </c>
      <c r="H7006" s="1127">
        <v>8.05</v>
      </c>
      <c r="I7006" s="1127">
        <v>0.0</v>
      </c>
      <c r="J7006" s="1127">
        <v>0.0</v>
      </c>
      <c r="K7006" s="1124"/>
    </row>
    <row r="7007" ht="15.75" customHeight="1">
      <c r="A7007" s="1119">
        <v>101471.0</v>
      </c>
      <c r="B7007" s="1125" t="s">
        <v>17291</v>
      </c>
      <c r="C7007" s="1126" t="s">
        <v>6370</v>
      </c>
      <c r="D7007" s="1119">
        <v>23.52</v>
      </c>
      <c r="E7007" s="1120">
        <v>6.2</v>
      </c>
      <c r="F7007" s="1121">
        <f t="shared" si="1"/>
        <v>17.33</v>
      </c>
      <c r="G7007" s="1120">
        <v>10.43</v>
      </c>
      <c r="H7007" s="1127">
        <v>6.9</v>
      </c>
      <c r="I7007" s="1127">
        <v>0.0</v>
      </c>
      <c r="J7007" s="1127">
        <v>0.0</v>
      </c>
      <c r="K7007" s="1124"/>
    </row>
    <row r="7008" ht="15.75" customHeight="1">
      <c r="A7008" s="1119">
        <v>101472.0</v>
      </c>
      <c r="B7008" s="1125" t="s">
        <v>17292</v>
      </c>
      <c r="C7008" s="1126" t="s">
        <v>6370</v>
      </c>
      <c r="D7008" s="1119">
        <v>18.32</v>
      </c>
      <c r="E7008" s="1120">
        <v>4.83</v>
      </c>
      <c r="F7008" s="1121">
        <f t="shared" si="1"/>
        <v>13.51</v>
      </c>
      <c r="G7008" s="1120">
        <v>8.14</v>
      </c>
      <c r="H7008" s="1127">
        <v>5.37</v>
      </c>
      <c r="I7008" s="1127">
        <v>0.0</v>
      </c>
      <c r="J7008" s="1127">
        <v>0.0</v>
      </c>
      <c r="K7008" s="1124"/>
    </row>
    <row r="7009" ht="15.75" customHeight="1">
      <c r="A7009" s="1119">
        <v>101473.0</v>
      </c>
      <c r="B7009" s="1125" t="s">
        <v>17293</v>
      </c>
      <c r="C7009" s="1126" t="s">
        <v>6370</v>
      </c>
      <c r="D7009" s="1119">
        <v>26.36</v>
      </c>
      <c r="E7009" s="1120">
        <v>6.95</v>
      </c>
      <c r="F7009" s="1121">
        <f t="shared" si="1"/>
        <v>19.42</v>
      </c>
      <c r="G7009" s="1120">
        <v>11.68</v>
      </c>
      <c r="H7009" s="1127">
        <v>7.74</v>
      </c>
      <c r="I7009" s="1127">
        <v>0.0</v>
      </c>
      <c r="J7009" s="1127">
        <v>0.0</v>
      </c>
      <c r="K7009" s="1124"/>
    </row>
    <row r="7010" ht="15.75" customHeight="1">
      <c r="A7010" s="1119">
        <v>101474.0</v>
      </c>
      <c r="B7010" s="1125" t="s">
        <v>17294</v>
      </c>
      <c r="C7010" s="1126" t="s">
        <v>6370</v>
      </c>
      <c r="D7010" s="1119">
        <v>18.86</v>
      </c>
      <c r="E7010" s="1120">
        <v>4.97</v>
      </c>
      <c r="F7010" s="1121">
        <f t="shared" si="1"/>
        <v>13.89</v>
      </c>
      <c r="G7010" s="1120">
        <v>8.36</v>
      </c>
      <c r="H7010" s="1127">
        <v>5.53</v>
      </c>
      <c r="I7010" s="1127">
        <v>0.0</v>
      </c>
      <c r="J7010" s="1127">
        <v>0.0</v>
      </c>
      <c r="K7010" s="1124"/>
    </row>
    <row r="7011" ht="15.75" customHeight="1">
      <c r="A7011" s="1119">
        <v>101475.0</v>
      </c>
      <c r="B7011" s="1125" t="s">
        <v>17295</v>
      </c>
      <c r="C7011" s="1126" t="s">
        <v>6370</v>
      </c>
      <c r="D7011" s="1119">
        <v>16.72</v>
      </c>
      <c r="E7011" s="1120">
        <v>4.4</v>
      </c>
      <c r="F7011" s="1121">
        <f t="shared" si="1"/>
        <v>12.33</v>
      </c>
      <c r="G7011" s="1120">
        <v>7.43</v>
      </c>
      <c r="H7011" s="1127">
        <v>4.9</v>
      </c>
      <c r="I7011" s="1127">
        <v>0.0</v>
      </c>
      <c r="J7011" s="1127">
        <v>0.0</v>
      </c>
      <c r="K7011" s="1124"/>
    </row>
    <row r="7012" ht="15.75" customHeight="1">
      <c r="A7012" s="1119">
        <v>101476.0</v>
      </c>
      <c r="B7012" s="1125" t="s">
        <v>17296</v>
      </c>
      <c r="C7012" s="1126" t="s">
        <v>6370</v>
      </c>
      <c r="D7012" s="1119">
        <v>14.91</v>
      </c>
      <c r="E7012" s="1120">
        <v>3.93</v>
      </c>
      <c r="F7012" s="1121">
        <f t="shared" si="1"/>
        <v>10.99</v>
      </c>
      <c r="G7012" s="1120">
        <v>6.63</v>
      </c>
      <c r="H7012" s="1127">
        <v>4.36</v>
      </c>
      <c r="I7012" s="1127">
        <v>0.0</v>
      </c>
      <c r="J7012" s="1127">
        <v>0.0</v>
      </c>
      <c r="K7012" s="1124"/>
    </row>
    <row r="7013" ht="15.75" customHeight="1">
      <c r="A7013" s="1119">
        <v>101477.0</v>
      </c>
      <c r="B7013" s="1125" t="s">
        <v>17297</v>
      </c>
      <c r="C7013" s="1126" t="s">
        <v>6370</v>
      </c>
      <c r="D7013" s="1119">
        <v>12.22</v>
      </c>
      <c r="E7013" s="1120">
        <v>3.22</v>
      </c>
      <c r="F7013" s="1121">
        <f t="shared" si="1"/>
        <v>8.99</v>
      </c>
      <c r="G7013" s="1120">
        <v>5.42</v>
      </c>
      <c r="H7013" s="1127">
        <v>3.57</v>
      </c>
      <c r="I7013" s="1127">
        <v>0.0</v>
      </c>
      <c r="J7013" s="1127">
        <v>0.0</v>
      </c>
      <c r="K7013" s="1124"/>
    </row>
    <row r="7014" ht="15.75" customHeight="1">
      <c r="A7014" s="1119">
        <v>101478.0</v>
      </c>
      <c r="B7014" s="1125" t="s">
        <v>17298</v>
      </c>
      <c r="C7014" s="1126" t="s">
        <v>6370</v>
      </c>
      <c r="D7014" s="1119">
        <v>10.4</v>
      </c>
      <c r="E7014" s="1120">
        <v>2.74</v>
      </c>
      <c r="F7014" s="1121">
        <f t="shared" si="1"/>
        <v>7.66</v>
      </c>
      <c r="G7014" s="1120">
        <v>4.61</v>
      </c>
      <c r="H7014" s="1127">
        <v>3.05</v>
      </c>
      <c r="I7014" s="1127">
        <v>0.0</v>
      </c>
      <c r="J7014" s="1127">
        <v>0.0</v>
      </c>
      <c r="K7014" s="1124"/>
    </row>
    <row r="7015" ht="15.75" customHeight="1">
      <c r="A7015" s="1119">
        <v>101480.0</v>
      </c>
      <c r="B7015" s="1125" t="s">
        <v>17299</v>
      </c>
      <c r="C7015" s="1126" t="s">
        <v>6370</v>
      </c>
      <c r="D7015" s="1119">
        <v>61.79</v>
      </c>
      <c r="E7015" s="1120">
        <v>16.26</v>
      </c>
      <c r="F7015" s="1121">
        <f t="shared" si="1"/>
        <v>45.54</v>
      </c>
      <c r="G7015" s="1120">
        <v>27.39</v>
      </c>
      <c r="H7015" s="1127">
        <v>18.15</v>
      </c>
      <c r="I7015" s="1127">
        <v>0.0</v>
      </c>
      <c r="J7015" s="1127">
        <v>0.0</v>
      </c>
      <c r="K7015" s="1124"/>
    </row>
    <row r="7016" ht="15.75" customHeight="1">
      <c r="A7016" s="1119">
        <v>101481.0</v>
      </c>
      <c r="B7016" s="1125" t="s">
        <v>17300</v>
      </c>
      <c r="C7016" s="1126" t="s">
        <v>6370</v>
      </c>
      <c r="D7016" s="1119">
        <v>44.63</v>
      </c>
      <c r="E7016" s="1120">
        <v>11.74</v>
      </c>
      <c r="F7016" s="1121">
        <f t="shared" si="1"/>
        <v>32.88</v>
      </c>
      <c r="G7016" s="1120">
        <v>19.77</v>
      </c>
      <c r="H7016" s="1127">
        <v>13.11</v>
      </c>
      <c r="I7016" s="1127">
        <v>0.0</v>
      </c>
      <c r="J7016" s="1127">
        <v>0.0</v>
      </c>
      <c r="K7016" s="1124"/>
    </row>
    <row r="7017" ht="15.75" customHeight="1">
      <c r="A7017" s="1119">
        <v>101482.0</v>
      </c>
      <c r="B7017" s="1125" t="s">
        <v>17301</v>
      </c>
      <c r="C7017" s="1126" t="s">
        <v>6370</v>
      </c>
      <c r="D7017" s="1119">
        <v>33.36</v>
      </c>
      <c r="E7017" s="1120">
        <v>8.78</v>
      </c>
      <c r="F7017" s="1121">
        <f t="shared" si="1"/>
        <v>24.59</v>
      </c>
      <c r="G7017" s="1120">
        <v>14.79</v>
      </c>
      <c r="H7017" s="1127">
        <v>9.8</v>
      </c>
      <c r="I7017" s="1127">
        <v>0.0</v>
      </c>
      <c r="J7017" s="1127">
        <v>0.0</v>
      </c>
      <c r="K7017" s="1124"/>
    </row>
    <row r="7018" ht="15.75" customHeight="1">
      <c r="A7018" s="1119">
        <v>101483.0</v>
      </c>
      <c r="B7018" s="1125" t="s">
        <v>17302</v>
      </c>
      <c r="C7018" s="1126" t="s">
        <v>6370</v>
      </c>
      <c r="D7018" s="1119">
        <v>34.61</v>
      </c>
      <c r="E7018" s="1120">
        <v>9.11</v>
      </c>
      <c r="F7018" s="1121">
        <f t="shared" si="1"/>
        <v>25.51</v>
      </c>
      <c r="G7018" s="1120">
        <v>15.35</v>
      </c>
      <c r="H7018" s="1127">
        <v>10.16</v>
      </c>
      <c r="I7018" s="1127">
        <v>0.0</v>
      </c>
      <c r="J7018" s="1127">
        <v>0.0</v>
      </c>
      <c r="K7018" s="1124"/>
    </row>
    <row r="7019" ht="15.75" customHeight="1">
      <c r="A7019" s="1119">
        <v>101484.0</v>
      </c>
      <c r="B7019" s="1125" t="s">
        <v>17303</v>
      </c>
      <c r="C7019" s="1126" t="s">
        <v>6370</v>
      </c>
      <c r="D7019" s="1119">
        <v>179.41</v>
      </c>
      <c r="E7019" s="1120">
        <v>47.17</v>
      </c>
      <c r="F7019" s="1121">
        <f t="shared" si="1"/>
        <v>132.25</v>
      </c>
      <c r="G7019" s="1120">
        <v>79.53</v>
      </c>
      <c r="H7019" s="1127">
        <v>52.72</v>
      </c>
      <c r="I7019" s="1127">
        <v>0.0</v>
      </c>
      <c r="J7019" s="1127">
        <v>0.0</v>
      </c>
      <c r="K7019" s="1124"/>
    </row>
    <row r="7020" ht="15.75" customHeight="1">
      <c r="A7020" s="1119">
        <v>101485.0</v>
      </c>
      <c r="B7020" s="1125" t="s">
        <v>17304</v>
      </c>
      <c r="C7020" s="1126" t="s">
        <v>6370</v>
      </c>
      <c r="D7020" s="1119">
        <v>137.71</v>
      </c>
      <c r="E7020" s="1120">
        <v>36.21</v>
      </c>
      <c r="F7020" s="1121">
        <f t="shared" si="1"/>
        <v>101.51</v>
      </c>
      <c r="G7020" s="1120">
        <v>61.04</v>
      </c>
      <c r="H7020" s="1127">
        <v>40.47</v>
      </c>
      <c r="I7020" s="1127">
        <v>0.0</v>
      </c>
      <c r="J7020" s="1127">
        <v>0.0</v>
      </c>
      <c r="K7020" s="1124"/>
    </row>
    <row r="7021" ht="15.75" customHeight="1">
      <c r="A7021" s="1119">
        <v>101486.0</v>
      </c>
      <c r="B7021" s="1125" t="s">
        <v>17305</v>
      </c>
      <c r="C7021" s="1126" t="s">
        <v>6370</v>
      </c>
      <c r="D7021" s="1119">
        <v>124.05</v>
      </c>
      <c r="E7021" s="1120">
        <v>32.62</v>
      </c>
      <c r="F7021" s="1121">
        <f t="shared" si="1"/>
        <v>91.45</v>
      </c>
      <c r="G7021" s="1120">
        <v>55.0</v>
      </c>
      <c r="H7021" s="1127">
        <v>36.45</v>
      </c>
      <c r="I7021" s="1127">
        <v>0.0</v>
      </c>
      <c r="J7021" s="1127">
        <v>0.0</v>
      </c>
      <c r="K7021" s="1124"/>
    </row>
    <row r="7022" ht="15.75" customHeight="1">
      <c r="A7022" s="1119">
        <v>101487.0</v>
      </c>
      <c r="B7022" s="1125" t="s">
        <v>17306</v>
      </c>
      <c r="C7022" s="1126" t="s">
        <v>6370</v>
      </c>
      <c r="D7022" s="1119">
        <v>90.84</v>
      </c>
      <c r="E7022" s="1120">
        <v>23.89</v>
      </c>
      <c r="F7022" s="1121">
        <f t="shared" si="1"/>
        <v>66.96</v>
      </c>
      <c r="G7022" s="1120">
        <v>40.26</v>
      </c>
      <c r="H7022" s="1127">
        <v>26.7</v>
      </c>
      <c r="I7022" s="1127">
        <v>0.0</v>
      </c>
      <c r="J7022" s="1127">
        <v>0.0</v>
      </c>
      <c r="K7022" s="1124"/>
    </row>
    <row r="7023" ht="15.75" customHeight="1">
      <c r="A7023" s="1119">
        <v>101488.0</v>
      </c>
      <c r="B7023" s="1125" t="s">
        <v>17307</v>
      </c>
      <c r="C7023" s="1126" t="s">
        <v>6370</v>
      </c>
      <c r="D7023" s="1119">
        <v>78.59</v>
      </c>
      <c r="E7023" s="1120">
        <v>20.67</v>
      </c>
      <c r="F7023" s="1121">
        <f t="shared" si="1"/>
        <v>57.92</v>
      </c>
      <c r="G7023" s="1120">
        <v>34.84</v>
      </c>
      <c r="H7023" s="1127">
        <v>23.08</v>
      </c>
      <c r="I7023" s="1127">
        <v>0.0</v>
      </c>
      <c r="J7023" s="1127">
        <v>0.0</v>
      </c>
      <c r="K7023" s="1124"/>
    </row>
    <row r="7024" ht="15.75" customHeight="1">
      <c r="A7024" s="1119">
        <v>101188.0</v>
      </c>
      <c r="B7024" s="1125" t="s">
        <v>17308</v>
      </c>
      <c r="C7024" s="1126" t="s">
        <v>1731</v>
      </c>
      <c r="D7024" s="1119">
        <v>7.21</v>
      </c>
      <c r="E7024" s="1120">
        <v>3.92</v>
      </c>
      <c r="F7024" s="1121">
        <f t="shared" si="1"/>
        <v>3.28</v>
      </c>
      <c r="G7024" s="1120">
        <v>3.28</v>
      </c>
      <c r="H7024" s="1127">
        <v>0.0</v>
      </c>
      <c r="I7024" s="1127">
        <v>0.0</v>
      </c>
      <c r="J7024" s="1127">
        <v>0.0</v>
      </c>
      <c r="K7024" s="1124"/>
    </row>
    <row r="7025" ht="15.75" customHeight="1">
      <c r="A7025" s="1119">
        <v>101189.0</v>
      </c>
      <c r="B7025" s="1125" t="s">
        <v>17309</v>
      </c>
      <c r="C7025" s="1126" t="s">
        <v>1731</v>
      </c>
      <c r="D7025" s="1119">
        <v>62.25</v>
      </c>
      <c r="E7025" s="1120">
        <v>22.84</v>
      </c>
      <c r="F7025" s="1121">
        <f t="shared" si="1"/>
        <v>39.41</v>
      </c>
      <c r="G7025" s="1120">
        <v>39.41</v>
      </c>
      <c r="H7025" s="1127">
        <v>0.0</v>
      </c>
      <c r="I7025" s="1127">
        <v>0.0</v>
      </c>
      <c r="J7025" s="1127">
        <v>0.0</v>
      </c>
      <c r="K7025" s="1124"/>
    </row>
    <row r="7026" ht="15.75" customHeight="1">
      <c r="A7026" s="1119">
        <v>101190.0</v>
      </c>
      <c r="B7026" s="1125" t="s">
        <v>17310</v>
      </c>
      <c r="C7026" s="1126" t="s">
        <v>1731</v>
      </c>
      <c r="D7026" s="1119">
        <v>61.4</v>
      </c>
      <c r="E7026" s="1120">
        <v>22.84</v>
      </c>
      <c r="F7026" s="1121">
        <f t="shared" si="1"/>
        <v>38.56</v>
      </c>
      <c r="G7026" s="1120">
        <v>38.56</v>
      </c>
      <c r="H7026" s="1127">
        <v>0.0</v>
      </c>
      <c r="I7026" s="1127">
        <v>0.0</v>
      </c>
      <c r="J7026" s="1127">
        <v>0.0</v>
      </c>
      <c r="K7026" s="1124"/>
    </row>
    <row r="7027" ht="15.75" customHeight="1">
      <c r="A7027" s="1119">
        <v>101191.0</v>
      </c>
      <c r="B7027" s="1125" t="s">
        <v>17311</v>
      </c>
      <c r="C7027" s="1126" t="s">
        <v>1731</v>
      </c>
      <c r="D7027" s="1119">
        <v>61.82</v>
      </c>
      <c r="E7027" s="1120">
        <v>22.84</v>
      </c>
      <c r="F7027" s="1121">
        <f t="shared" si="1"/>
        <v>38.98</v>
      </c>
      <c r="G7027" s="1120">
        <v>38.98</v>
      </c>
      <c r="H7027" s="1127">
        <v>0.0</v>
      </c>
      <c r="I7027" s="1127">
        <v>0.0</v>
      </c>
      <c r="J7027" s="1127">
        <v>0.0</v>
      </c>
      <c r="K7027" s="1124"/>
    </row>
    <row r="7028" ht="15.75" customHeight="1">
      <c r="A7028" s="1119">
        <v>101192.0</v>
      </c>
      <c r="B7028" s="1125" t="s">
        <v>17312</v>
      </c>
      <c r="C7028" s="1126" t="s">
        <v>1731</v>
      </c>
      <c r="D7028" s="1119">
        <v>65.64</v>
      </c>
      <c r="E7028" s="1120">
        <v>22.83</v>
      </c>
      <c r="F7028" s="1121">
        <f t="shared" si="1"/>
        <v>42.8</v>
      </c>
      <c r="G7028" s="1120">
        <v>42.8</v>
      </c>
      <c r="H7028" s="1127">
        <v>0.0</v>
      </c>
      <c r="I7028" s="1127">
        <v>0.0</v>
      </c>
      <c r="J7028" s="1127">
        <v>0.0</v>
      </c>
      <c r="K7028" s="1124"/>
    </row>
    <row r="7029" ht="15.75" customHeight="1">
      <c r="A7029" s="1119">
        <v>101193.0</v>
      </c>
      <c r="B7029" s="1125" t="s">
        <v>17313</v>
      </c>
      <c r="C7029" s="1126" t="s">
        <v>1731</v>
      </c>
      <c r="D7029" s="1119">
        <v>57.62</v>
      </c>
      <c r="E7029" s="1120">
        <v>22.84</v>
      </c>
      <c r="F7029" s="1121">
        <f t="shared" si="1"/>
        <v>34.78</v>
      </c>
      <c r="G7029" s="1120">
        <v>34.78</v>
      </c>
      <c r="H7029" s="1127">
        <v>0.0</v>
      </c>
      <c r="I7029" s="1127">
        <v>0.0</v>
      </c>
      <c r="J7029" s="1127">
        <v>0.0</v>
      </c>
      <c r="K7029" s="1124"/>
    </row>
    <row r="7030" ht="15.75" customHeight="1">
      <c r="A7030" s="1119">
        <v>101194.0</v>
      </c>
      <c r="B7030" s="1125" t="s">
        <v>17314</v>
      </c>
      <c r="C7030" s="1126" t="s">
        <v>1731</v>
      </c>
      <c r="D7030" s="1119">
        <v>58.04</v>
      </c>
      <c r="E7030" s="1120">
        <v>22.84</v>
      </c>
      <c r="F7030" s="1121">
        <f t="shared" si="1"/>
        <v>35.2</v>
      </c>
      <c r="G7030" s="1120">
        <v>35.2</v>
      </c>
      <c r="H7030" s="1127">
        <v>0.0</v>
      </c>
      <c r="I7030" s="1127">
        <v>0.0</v>
      </c>
      <c r="J7030" s="1127">
        <v>0.0</v>
      </c>
      <c r="K7030" s="1124"/>
    </row>
    <row r="7031" ht="15.75" customHeight="1">
      <c r="A7031" s="1119">
        <v>101197.0</v>
      </c>
      <c r="B7031" s="1125" t="s">
        <v>17315</v>
      </c>
      <c r="C7031" s="1126" t="s">
        <v>1731</v>
      </c>
      <c r="D7031" s="1119">
        <v>123.89</v>
      </c>
      <c r="E7031" s="1120">
        <v>41.94</v>
      </c>
      <c r="F7031" s="1121">
        <f t="shared" si="1"/>
        <v>81.97</v>
      </c>
      <c r="G7031" s="1120">
        <v>81.88</v>
      </c>
      <c r="H7031" s="1127">
        <v>0.04</v>
      </c>
      <c r="I7031" s="1127">
        <v>0.0</v>
      </c>
      <c r="J7031" s="1127">
        <v>0.05</v>
      </c>
      <c r="K7031" s="1124"/>
    </row>
    <row r="7032" ht="15.75" customHeight="1">
      <c r="A7032" s="1119">
        <v>101198.0</v>
      </c>
      <c r="B7032" s="1125" t="s">
        <v>17316</v>
      </c>
      <c r="C7032" s="1126" t="s">
        <v>1731</v>
      </c>
      <c r="D7032" s="1119">
        <v>91.33</v>
      </c>
      <c r="E7032" s="1120">
        <v>36.48</v>
      </c>
      <c r="F7032" s="1121">
        <f t="shared" si="1"/>
        <v>54.85</v>
      </c>
      <c r="G7032" s="1120">
        <v>54.85</v>
      </c>
      <c r="H7032" s="1127">
        <v>0.0</v>
      </c>
      <c r="I7032" s="1127">
        <v>0.0</v>
      </c>
      <c r="J7032" s="1127">
        <v>0.0</v>
      </c>
      <c r="K7032" s="1124"/>
    </row>
    <row r="7033" ht="15.75" customHeight="1">
      <c r="A7033" s="1119">
        <v>101199.0</v>
      </c>
      <c r="B7033" s="1125" t="s">
        <v>17317</v>
      </c>
      <c r="C7033" s="1126" t="s">
        <v>1731</v>
      </c>
      <c r="D7033" s="1119">
        <v>92.38</v>
      </c>
      <c r="E7033" s="1120">
        <v>36.48</v>
      </c>
      <c r="F7033" s="1121">
        <f t="shared" si="1"/>
        <v>55.9</v>
      </c>
      <c r="G7033" s="1120">
        <v>55.9</v>
      </c>
      <c r="H7033" s="1127">
        <v>0.0</v>
      </c>
      <c r="I7033" s="1127">
        <v>0.0</v>
      </c>
      <c r="J7033" s="1127">
        <v>0.0</v>
      </c>
      <c r="K7033" s="1124"/>
    </row>
    <row r="7034" ht="15.75" customHeight="1">
      <c r="A7034" s="1119">
        <v>101200.0</v>
      </c>
      <c r="B7034" s="1125" t="s">
        <v>17318</v>
      </c>
      <c r="C7034" s="1126" t="s">
        <v>1731</v>
      </c>
      <c r="D7034" s="1119">
        <v>71.81</v>
      </c>
      <c r="E7034" s="1120">
        <v>21.32</v>
      </c>
      <c r="F7034" s="1121">
        <f t="shared" si="1"/>
        <v>50.49</v>
      </c>
      <c r="G7034" s="1120">
        <v>50.49</v>
      </c>
      <c r="H7034" s="1127">
        <v>0.0</v>
      </c>
      <c r="I7034" s="1127">
        <v>0.0</v>
      </c>
      <c r="J7034" s="1127">
        <v>0.0</v>
      </c>
      <c r="K7034" s="1124"/>
    </row>
    <row r="7035" ht="15.75" customHeight="1">
      <c r="A7035" s="1119">
        <v>101201.0</v>
      </c>
      <c r="B7035" s="1125" t="s">
        <v>17319</v>
      </c>
      <c r="C7035" s="1126" t="s">
        <v>1731</v>
      </c>
      <c r="D7035" s="1119">
        <v>87.35</v>
      </c>
      <c r="E7035" s="1120">
        <v>27.69</v>
      </c>
      <c r="F7035" s="1121">
        <f t="shared" si="1"/>
        <v>59.66</v>
      </c>
      <c r="G7035" s="1120">
        <v>59.66</v>
      </c>
      <c r="H7035" s="1127">
        <v>0.0</v>
      </c>
      <c r="I7035" s="1127">
        <v>0.0</v>
      </c>
      <c r="J7035" s="1127">
        <v>0.0</v>
      </c>
      <c r="K7035" s="1124"/>
    </row>
    <row r="7036" ht="15.75" customHeight="1">
      <c r="A7036" s="1119">
        <v>101202.0</v>
      </c>
      <c r="B7036" s="1125" t="s">
        <v>17320</v>
      </c>
      <c r="C7036" s="1126" t="s">
        <v>1731</v>
      </c>
      <c r="D7036" s="1119">
        <v>49.32</v>
      </c>
      <c r="E7036" s="1120">
        <v>22.92</v>
      </c>
      <c r="F7036" s="1121">
        <f t="shared" si="1"/>
        <v>26.4</v>
      </c>
      <c r="G7036" s="1120">
        <v>26.4</v>
      </c>
      <c r="H7036" s="1127">
        <v>0.0</v>
      </c>
      <c r="I7036" s="1127">
        <v>0.0</v>
      </c>
      <c r="J7036" s="1127">
        <v>0.0</v>
      </c>
      <c r="K7036" s="1124"/>
    </row>
    <row r="7037" ht="15.75" customHeight="1">
      <c r="A7037" s="1119">
        <v>101203.0</v>
      </c>
      <c r="B7037" s="1125" t="s">
        <v>17321</v>
      </c>
      <c r="C7037" s="1126" t="s">
        <v>1731</v>
      </c>
      <c r="D7037" s="1119">
        <v>48.26</v>
      </c>
      <c r="E7037" s="1120">
        <v>22.92</v>
      </c>
      <c r="F7037" s="1121">
        <f t="shared" si="1"/>
        <v>25.34</v>
      </c>
      <c r="G7037" s="1120">
        <v>25.34</v>
      </c>
      <c r="H7037" s="1127">
        <v>0.0</v>
      </c>
      <c r="I7037" s="1127">
        <v>0.0</v>
      </c>
      <c r="J7037" s="1127">
        <v>0.0</v>
      </c>
      <c r="K7037" s="1124"/>
    </row>
    <row r="7038" ht="15.75" customHeight="1">
      <c r="A7038" s="1119">
        <v>101204.0</v>
      </c>
      <c r="B7038" s="1125" t="s">
        <v>17322</v>
      </c>
      <c r="C7038" s="1126" t="s">
        <v>1731</v>
      </c>
      <c r="D7038" s="1119">
        <v>48.68</v>
      </c>
      <c r="E7038" s="1120">
        <v>22.92</v>
      </c>
      <c r="F7038" s="1121">
        <f t="shared" si="1"/>
        <v>25.76</v>
      </c>
      <c r="G7038" s="1120">
        <v>25.76</v>
      </c>
      <c r="H7038" s="1127">
        <v>0.0</v>
      </c>
      <c r="I7038" s="1127">
        <v>0.0</v>
      </c>
      <c r="J7038" s="1127">
        <v>0.0</v>
      </c>
      <c r="K7038" s="1124"/>
    </row>
    <row r="7039" ht="15.75" customHeight="1">
      <c r="A7039" s="1119">
        <v>101205.0</v>
      </c>
      <c r="B7039" s="1125" t="s">
        <v>17323</v>
      </c>
      <c r="C7039" s="1126" t="s">
        <v>1731</v>
      </c>
      <c r="D7039" s="1119">
        <v>49.32</v>
      </c>
      <c r="E7039" s="1120">
        <v>22.92</v>
      </c>
      <c r="F7039" s="1121">
        <f t="shared" si="1"/>
        <v>26.4</v>
      </c>
      <c r="G7039" s="1120">
        <v>26.4</v>
      </c>
      <c r="H7039" s="1127">
        <v>0.0</v>
      </c>
      <c r="I7039" s="1127">
        <v>0.0</v>
      </c>
      <c r="J7039" s="1127">
        <v>0.0</v>
      </c>
      <c r="K7039" s="1124"/>
    </row>
    <row r="7040" ht="15.75" customHeight="1">
      <c r="A7040" s="1119">
        <v>102362.0</v>
      </c>
      <c r="B7040" s="1125" t="s">
        <v>17324</v>
      </c>
      <c r="C7040" s="1126" t="s">
        <v>1814</v>
      </c>
      <c r="D7040" s="1119">
        <v>174.05</v>
      </c>
      <c r="E7040" s="1120">
        <v>41.56</v>
      </c>
      <c r="F7040" s="1121">
        <f t="shared" si="1"/>
        <v>132.49</v>
      </c>
      <c r="G7040" s="1120">
        <v>132.49</v>
      </c>
      <c r="H7040" s="1127">
        <v>0.0</v>
      </c>
      <c r="I7040" s="1127">
        <v>0.0</v>
      </c>
      <c r="J7040" s="1127">
        <v>0.0</v>
      </c>
      <c r="K7040" s="1124"/>
    </row>
    <row r="7041" ht="15.75" customHeight="1">
      <c r="A7041" s="1119">
        <v>102363.0</v>
      </c>
      <c r="B7041" s="1125" t="s">
        <v>17325</v>
      </c>
      <c r="C7041" s="1126" t="s">
        <v>1814</v>
      </c>
      <c r="D7041" s="1119">
        <v>187.62</v>
      </c>
      <c r="E7041" s="1120">
        <v>41.21</v>
      </c>
      <c r="F7041" s="1121">
        <f t="shared" si="1"/>
        <v>146.41</v>
      </c>
      <c r="G7041" s="1120">
        <v>146.41</v>
      </c>
      <c r="H7041" s="1127">
        <v>0.0</v>
      </c>
      <c r="I7041" s="1127">
        <v>0.0</v>
      </c>
      <c r="J7041" s="1127">
        <v>0.0</v>
      </c>
      <c r="K7041" s="1124"/>
    </row>
    <row r="7042" ht="15.75" customHeight="1">
      <c r="A7042" s="1119">
        <v>102364.0</v>
      </c>
      <c r="B7042" s="1125" t="s">
        <v>17326</v>
      </c>
      <c r="C7042" s="1126" t="s">
        <v>1814</v>
      </c>
      <c r="D7042" s="1119">
        <v>212.48</v>
      </c>
      <c r="E7042" s="1120">
        <v>41.2</v>
      </c>
      <c r="F7042" s="1121">
        <f t="shared" si="1"/>
        <v>171.27</v>
      </c>
      <c r="G7042" s="1120">
        <v>171.27</v>
      </c>
      <c r="H7042" s="1127">
        <v>0.0</v>
      </c>
      <c r="I7042" s="1127">
        <v>0.0</v>
      </c>
      <c r="J7042" s="1127">
        <v>0.0</v>
      </c>
      <c r="K7042" s="1124"/>
    </row>
    <row r="7043" ht="15.75" customHeight="1">
      <c r="A7043" s="1119">
        <v>98509.0</v>
      </c>
      <c r="B7043" s="1125" t="s">
        <v>17327</v>
      </c>
      <c r="C7043" s="1126" t="s">
        <v>1788</v>
      </c>
      <c r="D7043" s="1119">
        <v>32.96</v>
      </c>
      <c r="E7043" s="1120">
        <v>2.22</v>
      </c>
      <c r="F7043" s="1121">
        <f t="shared" si="1"/>
        <v>30.74</v>
      </c>
      <c r="G7043" s="1120">
        <v>30.74</v>
      </c>
      <c r="H7043" s="1127">
        <v>0.0</v>
      </c>
      <c r="I7043" s="1127">
        <v>0.0</v>
      </c>
      <c r="J7043" s="1127">
        <v>0.0</v>
      </c>
      <c r="K7043" s="1124"/>
    </row>
    <row r="7044" ht="15.75" customHeight="1">
      <c r="A7044" s="1119">
        <v>98510.0</v>
      </c>
      <c r="B7044" s="1125" t="s">
        <v>17328</v>
      </c>
      <c r="C7044" s="1126" t="s">
        <v>1788</v>
      </c>
      <c r="D7044" s="1119">
        <v>58.52</v>
      </c>
      <c r="E7044" s="1120">
        <v>15.98</v>
      </c>
      <c r="F7044" s="1121">
        <f t="shared" si="1"/>
        <v>42.54</v>
      </c>
      <c r="G7044" s="1120">
        <v>42.54</v>
      </c>
      <c r="H7044" s="1127">
        <v>0.0</v>
      </c>
      <c r="I7044" s="1127">
        <v>0.0</v>
      </c>
      <c r="J7044" s="1127">
        <v>0.0</v>
      </c>
      <c r="K7044" s="1124"/>
    </row>
    <row r="7045" ht="15.75" customHeight="1">
      <c r="A7045" s="1119">
        <v>98511.0</v>
      </c>
      <c r="B7045" s="1125" t="s">
        <v>17329</v>
      </c>
      <c r="C7045" s="1126" t="s">
        <v>1788</v>
      </c>
      <c r="D7045" s="1119">
        <v>105.86</v>
      </c>
      <c r="E7045" s="1120">
        <v>22.87</v>
      </c>
      <c r="F7045" s="1121">
        <f t="shared" si="1"/>
        <v>83</v>
      </c>
      <c r="G7045" s="1120">
        <v>83.0</v>
      </c>
      <c r="H7045" s="1127">
        <v>0.0</v>
      </c>
      <c r="I7045" s="1127">
        <v>0.0</v>
      </c>
      <c r="J7045" s="1127">
        <v>0.0</v>
      </c>
      <c r="K7045" s="1124"/>
    </row>
    <row r="7046" ht="15.75" customHeight="1">
      <c r="A7046" s="1119">
        <v>98516.0</v>
      </c>
      <c r="B7046" s="1125" t="s">
        <v>17330</v>
      </c>
      <c r="C7046" s="1126" t="s">
        <v>1788</v>
      </c>
      <c r="D7046" s="1119">
        <v>350.42</v>
      </c>
      <c r="E7046" s="1120">
        <v>138.95</v>
      </c>
      <c r="F7046" s="1121">
        <f t="shared" si="1"/>
        <v>211.47</v>
      </c>
      <c r="G7046" s="1120">
        <v>154.87</v>
      </c>
      <c r="H7046" s="1127">
        <v>56.6</v>
      </c>
      <c r="I7046" s="1127">
        <v>0.0</v>
      </c>
      <c r="J7046" s="1127">
        <v>0.0</v>
      </c>
      <c r="K7046" s="1124"/>
    </row>
    <row r="7047" ht="15.75" customHeight="1">
      <c r="A7047" s="1119">
        <v>98519.0</v>
      </c>
      <c r="B7047" s="1125" t="s">
        <v>17331</v>
      </c>
      <c r="C7047" s="1126" t="s">
        <v>1814</v>
      </c>
      <c r="D7047" s="1119">
        <v>2.39</v>
      </c>
      <c r="E7047" s="1120">
        <v>1.7</v>
      </c>
      <c r="F7047" s="1121">
        <f t="shared" si="1"/>
        <v>0.69</v>
      </c>
      <c r="G7047" s="1120">
        <v>0.69</v>
      </c>
      <c r="H7047" s="1127">
        <v>0.0</v>
      </c>
      <c r="I7047" s="1127">
        <v>0.0</v>
      </c>
      <c r="J7047" s="1127">
        <v>0.0</v>
      </c>
      <c r="K7047" s="1124"/>
    </row>
    <row r="7048" ht="15.75" customHeight="1">
      <c r="A7048" s="1119">
        <v>98520.0</v>
      </c>
      <c r="B7048" s="1125" t="s">
        <v>17332</v>
      </c>
      <c r="C7048" s="1126" t="s">
        <v>1814</v>
      </c>
      <c r="D7048" s="1119">
        <v>5.45</v>
      </c>
      <c r="E7048" s="1120">
        <v>1.39</v>
      </c>
      <c r="F7048" s="1121">
        <f t="shared" si="1"/>
        <v>4.07</v>
      </c>
      <c r="G7048" s="1120">
        <v>4.07</v>
      </c>
      <c r="H7048" s="1127">
        <v>0.0</v>
      </c>
      <c r="I7048" s="1127">
        <v>0.0</v>
      </c>
      <c r="J7048" s="1127">
        <v>0.0</v>
      </c>
      <c r="K7048" s="1124"/>
    </row>
    <row r="7049" ht="15.75" customHeight="1">
      <c r="A7049" s="1119">
        <v>98521.0</v>
      </c>
      <c r="B7049" s="1125" t="s">
        <v>17333</v>
      </c>
      <c r="C7049" s="1126" t="s">
        <v>1814</v>
      </c>
      <c r="D7049" s="1119">
        <v>0.42</v>
      </c>
      <c r="E7049" s="1120">
        <v>0.31</v>
      </c>
      <c r="F7049" s="1121">
        <f t="shared" si="1"/>
        <v>0.11</v>
      </c>
      <c r="G7049" s="1120">
        <v>0.11</v>
      </c>
      <c r="H7049" s="1127">
        <v>0.0</v>
      </c>
      <c r="I7049" s="1127">
        <v>0.0</v>
      </c>
      <c r="J7049" s="1127">
        <v>0.0</v>
      </c>
      <c r="K7049" s="1124"/>
    </row>
    <row r="7050" ht="15.75" customHeight="1">
      <c r="A7050" s="1119">
        <v>98522.0</v>
      </c>
      <c r="B7050" s="1125" t="s">
        <v>17334</v>
      </c>
      <c r="C7050" s="1126" t="s">
        <v>1731</v>
      </c>
      <c r="D7050" s="1119">
        <v>176.7</v>
      </c>
      <c r="E7050" s="1120">
        <v>48.86</v>
      </c>
      <c r="F7050" s="1121">
        <f t="shared" si="1"/>
        <v>127.86</v>
      </c>
      <c r="G7050" s="1120">
        <v>127.86</v>
      </c>
      <c r="H7050" s="1127">
        <v>0.0</v>
      </c>
      <c r="I7050" s="1127">
        <v>0.0</v>
      </c>
      <c r="J7050" s="1127">
        <v>0.0</v>
      </c>
      <c r="K7050" s="1124"/>
    </row>
    <row r="7051" ht="15.75" customHeight="1">
      <c r="A7051" s="1119">
        <v>98524.0</v>
      </c>
      <c r="B7051" s="1125" t="s">
        <v>17335</v>
      </c>
      <c r="C7051" s="1126" t="s">
        <v>1814</v>
      </c>
      <c r="D7051" s="1119">
        <v>3.67</v>
      </c>
      <c r="E7051" s="1120">
        <v>2.58</v>
      </c>
      <c r="F7051" s="1121">
        <f t="shared" si="1"/>
        <v>1.09</v>
      </c>
      <c r="G7051" s="1120">
        <v>1.09</v>
      </c>
      <c r="H7051" s="1127">
        <v>0.0</v>
      </c>
      <c r="I7051" s="1127">
        <v>0.0</v>
      </c>
      <c r="J7051" s="1127">
        <v>0.0</v>
      </c>
      <c r="K7051" s="1124"/>
    </row>
    <row r="7052" ht="15.75" customHeight="1">
      <c r="A7052" s="1119">
        <v>98503.0</v>
      </c>
      <c r="B7052" s="1125" t="s">
        <v>17336</v>
      </c>
      <c r="C7052" s="1126" t="s">
        <v>1814</v>
      </c>
      <c r="D7052" s="1119">
        <v>18.65</v>
      </c>
      <c r="E7052" s="1120">
        <v>4.22</v>
      </c>
      <c r="F7052" s="1121">
        <f t="shared" si="1"/>
        <v>14.42</v>
      </c>
      <c r="G7052" s="1120">
        <v>14.42</v>
      </c>
      <c r="H7052" s="1127">
        <v>0.0</v>
      </c>
      <c r="I7052" s="1127">
        <v>0.0</v>
      </c>
      <c r="J7052" s="1127">
        <v>0.0</v>
      </c>
      <c r="K7052" s="1124"/>
    </row>
    <row r="7053" ht="15.75" customHeight="1">
      <c r="A7053" s="1119">
        <v>98504.0</v>
      </c>
      <c r="B7053" s="1125" t="s">
        <v>17337</v>
      </c>
      <c r="C7053" s="1126" t="s">
        <v>1814</v>
      </c>
      <c r="D7053" s="1119">
        <v>11.01</v>
      </c>
      <c r="E7053" s="1120">
        <v>3.43</v>
      </c>
      <c r="F7053" s="1121">
        <f t="shared" si="1"/>
        <v>7.58</v>
      </c>
      <c r="G7053" s="1120">
        <v>7.58</v>
      </c>
      <c r="H7053" s="1127">
        <v>0.0</v>
      </c>
      <c r="I7053" s="1127">
        <v>0.0</v>
      </c>
      <c r="J7053" s="1127">
        <v>0.0</v>
      </c>
      <c r="K7053" s="1124"/>
    </row>
    <row r="7054" ht="15.75" customHeight="1">
      <c r="A7054" s="1119">
        <v>98505.0</v>
      </c>
      <c r="B7054" s="1125" t="s">
        <v>17338</v>
      </c>
      <c r="C7054" s="1126" t="s">
        <v>1814</v>
      </c>
      <c r="D7054" s="1119">
        <v>48.43</v>
      </c>
      <c r="E7054" s="1120">
        <v>4.62</v>
      </c>
      <c r="F7054" s="1121">
        <f t="shared" si="1"/>
        <v>43.8</v>
      </c>
      <c r="G7054" s="1120">
        <v>43.8</v>
      </c>
      <c r="H7054" s="1127">
        <v>0.0</v>
      </c>
      <c r="I7054" s="1127">
        <v>0.0</v>
      </c>
      <c r="J7054" s="1127">
        <v>0.0</v>
      </c>
      <c r="K7054" s="1124"/>
    </row>
    <row r="7055" ht="15.75" customHeight="1">
      <c r="A7055" s="1119">
        <v>103946.0</v>
      </c>
      <c r="B7055" s="1125" t="s">
        <v>17339</v>
      </c>
      <c r="C7055" s="1126" t="s">
        <v>1814</v>
      </c>
      <c r="D7055" s="1119">
        <v>13.44</v>
      </c>
      <c r="E7055" s="1120">
        <v>3.43</v>
      </c>
      <c r="F7055" s="1121">
        <f t="shared" si="1"/>
        <v>10.01</v>
      </c>
      <c r="G7055" s="1120">
        <v>10.01</v>
      </c>
      <c r="H7055" s="1127">
        <v>0.0</v>
      </c>
      <c r="I7055" s="1127">
        <v>0.0</v>
      </c>
      <c r="J7055" s="1127">
        <v>0.0</v>
      </c>
      <c r="K7055" s="1124"/>
    </row>
    <row r="7056" ht="15.75" customHeight="1">
      <c r="A7056" s="1119">
        <v>103185.0</v>
      </c>
      <c r="B7056" s="1125" t="s">
        <v>17340</v>
      </c>
      <c r="C7056" s="1126" t="s">
        <v>1788</v>
      </c>
      <c r="D7056" s="1128">
        <v>6176.34</v>
      </c>
      <c r="E7056" s="1120">
        <v>111.94</v>
      </c>
      <c r="F7056" s="1121">
        <f t="shared" si="1"/>
        <v>6064.4</v>
      </c>
      <c r="G7056" s="1120">
        <v>6064.4</v>
      </c>
      <c r="H7056" s="1127">
        <v>0.0</v>
      </c>
      <c r="I7056" s="1127">
        <v>0.0</v>
      </c>
      <c r="J7056" s="1127">
        <v>0.0</v>
      </c>
      <c r="K7056" s="1124"/>
    </row>
    <row r="7057" ht="15.75" customHeight="1">
      <c r="A7057" s="1119">
        <v>103186.0</v>
      </c>
      <c r="B7057" s="1125" t="s">
        <v>17341</v>
      </c>
      <c r="C7057" s="1126" t="s">
        <v>1788</v>
      </c>
      <c r="D7057" s="1128">
        <v>6496.18</v>
      </c>
      <c r="E7057" s="1120">
        <v>45.84</v>
      </c>
      <c r="F7057" s="1121">
        <f t="shared" si="1"/>
        <v>6450.34</v>
      </c>
      <c r="G7057" s="1120">
        <v>6450.34</v>
      </c>
      <c r="H7057" s="1127">
        <v>0.0</v>
      </c>
      <c r="I7057" s="1127">
        <v>0.0</v>
      </c>
      <c r="J7057" s="1127">
        <v>0.0</v>
      </c>
      <c r="K7057" s="1124"/>
    </row>
    <row r="7058" ht="15.75" customHeight="1">
      <c r="A7058" s="1119">
        <v>103187.0</v>
      </c>
      <c r="B7058" s="1125" t="s">
        <v>17342</v>
      </c>
      <c r="C7058" s="1126" t="s">
        <v>1788</v>
      </c>
      <c r="D7058" s="1128">
        <v>4892.63</v>
      </c>
      <c r="E7058" s="1120">
        <v>76.56</v>
      </c>
      <c r="F7058" s="1121">
        <f t="shared" si="1"/>
        <v>4816.07</v>
      </c>
      <c r="G7058" s="1120">
        <v>4816.07</v>
      </c>
      <c r="H7058" s="1127">
        <v>0.0</v>
      </c>
      <c r="I7058" s="1127">
        <v>0.0</v>
      </c>
      <c r="J7058" s="1127">
        <v>0.0</v>
      </c>
      <c r="K7058" s="1124"/>
    </row>
    <row r="7059" ht="15.75" customHeight="1">
      <c r="A7059" s="1119">
        <v>103188.0</v>
      </c>
      <c r="B7059" s="1125" t="s">
        <v>17343</v>
      </c>
      <c r="C7059" s="1126" t="s">
        <v>1788</v>
      </c>
      <c r="D7059" s="1128">
        <v>5254.96</v>
      </c>
      <c r="E7059" s="1120">
        <v>58.87</v>
      </c>
      <c r="F7059" s="1121">
        <f t="shared" si="1"/>
        <v>5196.07</v>
      </c>
      <c r="G7059" s="1120">
        <v>5196.07</v>
      </c>
      <c r="H7059" s="1127">
        <v>0.0</v>
      </c>
      <c r="I7059" s="1127">
        <v>0.0</v>
      </c>
      <c r="J7059" s="1127">
        <v>0.0</v>
      </c>
      <c r="K7059" s="1124"/>
    </row>
    <row r="7060" ht="15.75" customHeight="1">
      <c r="A7060" s="1119">
        <v>103189.0</v>
      </c>
      <c r="B7060" s="1125" t="s">
        <v>17344</v>
      </c>
      <c r="C7060" s="1126" t="s">
        <v>1788</v>
      </c>
      <c r="D7060" s="1128">
        <v>2636.43</v>
      </c>
      <c r="E7060" s="1120">
        <v>41.18</v>
      </c>
      <c r="F7060" s="1121">
        <f t="shared" si="1"/>
        <v>2595.26</v>
      </c>
      <c r="G7060" s="1120">
        <v>2595.26</v>
      </c>
      <c r="H7060" s="1127">
        <v>0.0</v>
      </c>
      <c r="I7060" s="1127">
        <v>0.0</v>
      </c>
      <c r="J7060" s="1127">
        <v>0.0</v>
      </c>
      <c r="K7060" s="1124"/>
    </row>
    <row r="7061" ht="15.75" customHeight="1">
      <c r="A7061" s="1119">
        <v>103190.0</v>
      </c>
      <c r="B7061" s="1125" t="s">
        <v>17345</v>
      </c>
      <c r="C7061" s="1126" t="s">
        <v>1788</v>
      </c>
      <c r="D7061" s="1128">
        <v>4093.53</v>
      </c>
      <c r="E7061" s="1120">
        <v>77.53</v>
      </c>
      <c r="F7061" s="1121">
        <f t="shared" si="1"/>
        <v>4016</v>
      </c>
      <c r="G7061" s="1120">
        <v>4016.0</v>
      </c>
      <c r="H7061" s="1127">
        <v>0.0</v>
      </c>
      <c r="I7061" s="1127">
        <v>0.0</v>
      </c>
      <c r="J7061" s="1127">
        <v>0.0</v>
      </c>
      <c r="K7061" s="1124"/>
    </row>
    <row r="7062" ht="15.75" customHeight="1">
      <c r="A7062" s="1119">
        <v>103191.0</v>
      </c>
      <c r="B7062" s="1125" t="s">
        <v>17346</v>
      </c>
      <c r="C7062" s="1126" t="s">
        <v>1788</v>
      </c>
      <c r="D7062" s="1128">
        <v>2387.8</v>
      </c>
      <c r="E7062" s="1120">
        <v>63.55</v>
      </c>
      <c r="F7062" s="1121">
        <f t="shared" si="1"/>
        <v>2324.22</v>
      </c>
      <c r="G7062" s="1120">
        <v>2324.22</v>
      </c>
      <c r="H7062" s="1127">
        <v>0.0</v>
      </c>
      <c r="I7062" s="1127">
        <v>0.0</v>
      </c>
      <c r="J7062" s="1127">
        <v>0.0</v>
      </c>
      <c r="K7062" s="1124"/>
    </row>
    <row r="7063" ht="15.75" customHeight="1">
      <c r="A7063" s="1119">
        <v>103192.0</v>
      </c>
      <c r="B7063" s="1125" t="s">
        <v>17347</v>
      </c>
      <c r="C7063" s="1126" t="s">
        <v>1788</v>
      </c>
      <c r="D7063" s="1128">
        <v>2541.44</v>
      </c>
      <c r="E7063" s="1120">
        <v>63.55</v>
      </c>
      <c r="F7063" s="1121">
        <f t="shared" si="1"/>
        <v>2477.86</v>
      </c>
      <c r="G7063" s="1120">
        <v>2477.86</v>
      </c>
      <c r="H7063" s="1127">
        <v>0.0</v>
      </c>
      <c r="I7063" s="1127">
        <v>0.0</v>
      </c>
      <c r="J7063" s="1127">
        <v>0.0</v>
      </c>
      <c r="K7063" s="1124"/>
    </row>
    <row r="7064" ht="15.75" customHeight="1">
      <c r="A7064" s="1119">
        <v>103193.0</v>
      </c>
      <c r="B7064" s="1125" t="s">
        <v>17348</v>
      </c>
      <c r="C7064" s="1126" t="s">
        <v>1788</v>
      </c>
      <c r="D7064" s="1128">
        <v>1960.17</v>
      </c>
      <c r="E7064" s="1120">
        <v>63.55</v>
      </c>
      <c r="F7064" s="1121">
        <f t="shared" si="1"/>
        <v>1896.59</v>
      </c>
      <c r="G7064" s="1120">
        <v>1896.59</v>
      </c>
      <c r="H7064" s="1127">
        <v>0.0</v>
      </c>
      <c r="I7064" s="1127">
        <v>0.0</v>
      </c>
      <c r="J7064" s="1127">
        <v>0.0</v>
      </c>
      <c r="K7064" s="1124"/>
    </row>
    <row r="7065" ht="15.75" customHeight="1">
      <c r="A7065" s="1119">
        <v>103194.0</v>
      </c>
      <c r="B7065" s="1125" t="s">
        <v>17349</v>
      </c>
      <c r="C7065" s="1126" t="s">
        <v>1788</v>
      </c>
      <c r="D7065" s="1128">
        <v>2818.14</v>
      </c>
      <c r="E7065" s="1120">
        <v>63.55</v>
      </c>
      <c r="F7065" s="1121">
        <f t="shared" si="1"/>
        <v>2754.56</v>
      </c>
      <c r="G7065" s="1120">
        <v>2754.56</v>
      </c>
      <c r="H7065" s="1127">
        <v>0.0</v>
      </c>
      <c r="I7065" s="1127">
        <v>0.0</v>
      </c>
      <c r="J7065" s="1127">
        <v>0.0</v>
      </c>
      <c r="K7065" s="1124"/>
    </row>
    <row r="7066" ht="15.75" customHeight="1">
      <c r="A7066" s="1119">
        <v>103195.0</v>
      </c>
      <c r="B7066" s="1125" t="s">
        <v>17350</v>
      </c>
      <c r="C7066" s="1126" t="s">
        <v>1788</v>
      </c>
      <c r="D7066" s="1128">
        <v>2203.54</v>
      </c>
      <c r="E7066" s="1120">
        <v>65.33</v>
      </c>
      <c r="F7066" s="1121">
        <f t="shared" si="1"/>
        <v>2138.2</v>
      </c>
      <c r="G7066" s="1120">
        <v>2138.2</v>
      </c>
      <c r="H7066" s="1127">
        <v>0.0</v>
      </c>
      <c r="I7066" s="1127">
        <v>0.0</v>
      </c>
      <c r="J7066" s="1127">
        <v>0.0</v>
      </c>
      <c r="K7066" s="1124"/>
    </row>
    <row r="7067" ht="15.75" customHeight="1">
      <c r="A7067" s="1119">
        <v>103205.0</v>
      </c>
      <c r="B7067" s="1125" t="s">
        <v>17351</v>
      </c>
      <c r="C7067" s="1126" t="s">
        <v>1788</v>
      </c>
      <c r="D7067" s="1128">
        <v>4111.98</v>
      </c>
      <c r="E7067" s="1120">
        <v>97.29</v>
      </c>
      <c r="F7067" s="1121">
        <f t="shared" si="1"/>
        <v>4014.68</v>
      </c>
      <c r="G7067" s="1120">
        <v>4013.64</v>
      </c>
      <c r="H7067" s="1127">
        <v>1.04</v>
      </c>
      <c r="I7067" s="1127">
        <v>0.0</v>
      </c>
      <c r="J7067" s="1127">
        <v>0.0</v>
      </c>
      <c r="K7067" s="1124"/>
    </row>
    <row r="7068" ht="15.75" customHeight="1">
      <c r="A7068" s="1119">
        <v>103206.0</v>
      </c>
      <c r="B7068" s="1125" t="s">
        <v>17352</v>
      </c>
      <c r="C7068" s="1126" t="s">
        <v>1788</v>
      </c>
      <c r="D7068" s="1128">
        <v>2406.26</v>
      </c>
      <c r="E7068" s="1120">
        <v>83.33</v>
      </c>
      <c r="F7068" s="1121">
        <f t="shared" si="1"/>
        <v>2322.93</v>
      </c>
      <c r="G7068" s="1120">
        <v>2321.89</v>
      </c>
      <c r="H7068" s="1127">
        <v>1.04</v>
      </c>
      <c r="I7068" s="1127">
        <v>0.0</v>
      </c>
      <c r="J7068" s="1127">
        <v>0.0</v>
      </c>
      <c r="K7068" s="1124"/>
    </row>
    <row r="7069" ht="15.75" customHeight="1">
      <c r="A7069" s="1119">
        <v>103207.0</v>
      </c>
      <c r="B7069" s="1125" t="s">
        <v>17353</v>
      </c>
      <c r="C7069" s="1126" t="s">
        <v>1788</v>
      </c>
      <c r="D7069" s="1128">
        <v>2559.9</v>
      </c>
      <c r="E7069" s="1120">
        <v>83.33</v>
      </c>
      <c r="F7069" s="1121">
        <f t="shared" si="1"/>
        <v>2476.57</v>
      </c>
      <c r="G7069" s="1120">
        <v>2475.53</v>
      </c>
      <c r="H7069" s="1127">
        <v>1.04</v>
      </c>
      <c r="I7069" s="1127">
        <v>0.0</v>
      </c>
      <c r="J7069" s="1127">
        <v>0.0</v>
      </c>
      <c r="K7069" s="1124"/>
    </row>
    <row r="7070" ht="15.75" customHeight="1">
      <c r="A7070" s="1119">
        <v>103208.0</v>
      </c>
      <c r="B7070" s="1125" t="s">
        <v>17354</v>
      </c>
      <c r="C7070" s="1126" t="s">
        <v>1788</v>
      </c>
      <c r="D7070" s="1128">
        <v>1978.63</v>
      </c>
      <c r="E7070" s="1120">
        <v>83.34</v>
      </c>
      <c r="F7070" s="1121">
        <f t="shared" si="1"/>
        <v>1895.3</v>
      </c>
      <c r="G7070" s="1120">
        <v>1894.26</v>
      </c>
      <c r="H7070" s="1127">
        <v>1.04</v>
      </c>
      <c r="I7070" s="1127">
        <v>0.0</v>
      </c>
      <c r="J7070" s="1127">
        <v>0.0</v>
      </c>
      <c r="K7070" s="1124"/>
    </row>
    <row r="7071" ht="15.75" customHeight="1">
      <c r="A7071" s="1119">
        <v>103209.0</v>
      </c>
      <c r="B7071" s="1125" t="s">
        <v>17355</v>
      </c>
      <c r="C7071" s="1126" t="s">
        <v>1788</v>
      </c>
      <c r="D7071" s="1128">
        <v>2836.6</v>
      </c>
      <c r="E7071" s="1120">
        <v>83.33</v>
      </c>
      <c r="F7071" s="1121">
        <f t="shared" si="1"/>
        <v>2753.27</v>
      </c>
      <c r="G7071" s="1120">
        <v>2752.23</v>
      </c>
      <c r="H7071" s="1127">
        <v>1.04</v>
      </c>
      <c r="I7071" s="1127">
        <v>0.0</v>
      </c>
      <c r="J7071" s="1127">
        <v>0.0</v>
      </c>
      <c r="K7071" s="1124"/>
    </row>
    <row r="7072" ht="15.75" customHeight="1">
      <c r="A7072" s="1119">
        <v>103210.0</v>
      </c>
      <c r="B7072" s="1125" t="s">
        <v>17356</v>
      </c>
      <c r="C7072" s="1126" t="s">
        <v>1788</v>
      </c>
      <c r="D7072" s="1128">
        <v>2322.4</v>
      </c>
      <c r="E7072" s="1120">
        <v>150.73</v>
      </c>
      <c r="F7072" s="1121">
        <f t="shared" si="1"/>
        <v>2171.71</v>
      </c>
      <c r="G7072" s="1120">
        <v>2169.61</v>
      </c>
      <c r="H7072" s="1127">
        <v>2.1</v>
      </c>
      <c r="I7072" s="1127">
        <v>0.0</v>
      </c>
      <c r="J7072" s="1127">
        <v>0.0</v>
      </c>
      <c r="K7072" s="1124"/>
    </row>
    <row r="7073" ht="15.75" customHeight="1">
      <c r="A7073" s="1119">
        <v>103304.0</v>
      </c>
      <c r="B7073" s="1125" t="s">
        <v>17357</v>
      </c>
      <c r="C7073" s="1126" t="s">
        <v>1788</v>
      </c>
      <c r="D7073" s="1128">
        <v>1255.64</v>
      </c>
      <c r="E7073" s="1120">
        <v>35.17</v>
      </c>
      <c r="F7073" s="1121">
        <f t="shared" si="1"/>
        <v>1220.46</v>
      </c>
      <c r="G7073" s="1120">
        <v>1220.46</v>
      </c>
      <c r="H7073" s="1127">
        <v>0.0</v>
      </c>
      <c r="I7073" s="1127">
        <v>0.0</v>
      </c>
      <c r="J7073" s="1127">
        <v>0.0</v>
      </c>
      <c r="K7073" s="1124"/>
    </row>
    <row r="7074" ht="15.75" customHeight="1">
      <c r="A7074" s="1119">
        <v>103307.0</v>
      </c>
      <c r="B7074" s="1125" t="s">
        <v>17358</v>
      </c>
      <c r="C7074" s="1126" t="s">
        <v>1788</v>
      </c>
      <c r="D7074" s="1128">
        <v>1350.23</v>
      </c>
      <c r="E7074" s="1120">
        <v>76.14</v>
      </c>
      <c r="F7074" s="1121">
        <f t="shared" si="1"/>
        <v>1274.1</v>
      </c>
      <c r="G7074" s="1120">
        <v>1273.54</v>
      </c>
      <c r="H7074" s="1127">
        <v>0.56</v>
      </c>
      <c r="I7074" s="1127">
        <v>0.0</v>
      </c>
      <c r="J7074" s="1127">
        <v>0.0</v>
      </c>
      <c r="K7074" s="1124"/>
    </row>
    <row r="7075" ht="15.75" customHeight="1">
      <c r="A7075" s="1119">
        <v>103310.0</v>
      </c>
      <c r="B7075" s="1125" t="s">
        <v>17359</v>
      </c>
      <c r="C7075" s="1126" t="s">
        <v>1788</v>
      </c>
      <c r="D7075" s="1128">
        <v>1291.51</v>
      </c>
      <c r="E7075" s="1120">
        <v>33.9</v>
      </c>
      <c r="F7075" s="1121">
        <f t="shared" si="1"/>
        <v>1257.63</v>
      </c>
      <c r="G7075" s="1120">
        <v>1257.63</v>
      </c>
      <c r="H7075" s="1127">
        <v>0.0</v>
      </c>
      <c r="I7075" s="1127">
        <v>0.0</v>
      </c>
      <c r="J7075" s="1127">
        <v>0.0</v>
      </c>
      <c r="K7075" s="1124"/>
    </row>
    <row r="7076" ht="15.75" customHeight="1">
      <c r="A7076" s="1119">
        <v>103314.0</v>
      </c>
      <c r="B7076" s="1125" t="s">
        <v>17360</v>
      </c>
      <c r="C7076" s="1126" t="s">
        <v>1814</v>
      </c>
      <c r="D7076" s="1119">
        <v>350.87</v>
      </c>
      <c r="E7076" s="1120">
        <v>26.93</v>
      </c>
      <c r="F7076" s="1121">
        <f t="shared" si="1"/>
        <v>323.95</v>
      </c>
      <c r="G7076" s="1120">
        <v>323.84</v>
      </c>
      <c r="H7076" s="1127">
        <v>0.11</v>
      </c>
      <c r="I7076" s="1127">
        <v>0.0</v>
      </c>
      <c r="J7076" s="1127">
        <v>0.0</v>
      </c>
      <c r="K7076" s="1124"/>
    </row>
    <row r="7077" ht="15.75" customHeight="1">
      <c r="A7077" s="1119">
        <v>103315.0</v>
      </c>
      <c r="B7077" s="1125" t="s">
        <v>17361</v>
      </c>
      <c r="C7077" s="1126" t="s">
        <v>1814</v>
      </c>
      <c r="D7077" s="1119">
        <v>341.28</v>
      </c>
      <c r="E7077" s="1120">
        <v>20.42</v>
      </c>
      <c r="F7077" s="1121">
        <f t="shared" si="1"/>
        <v>320.86</v>
      </c>
      <c r="G7077" s="1120">
        <v>320.86</v>
      </c>
      <c r="H7077" s="1127">
        <v>0.0</v>
      </c>
      <c r="I7077" s="1127">
        <v>0.0</v>
      </c>
      <c r="J7077" s="1127">
        <v>0.0</v>
      </c>
      <c r="K7077" s="1124"/>
    </row>
    <row r="7078" ht="15.75" customHeight="1">
      <c r="A7078" s="1119">
        <v>103769.0</v>
      </c>
      <c r="B7078" s="1125" t="s">
        <v>17362</v>
      </c>
      <c r="C7078" s="1126" t="s">
        <v>1788</v>
      </c>
      <c r="D7078" s="1128">
        <v>3183.38</v>
      </c>
      <c r="E7078" s="1120">
        <v>371.82</v>
      </c>
      <c r="F7078" s="1121">
        <f t="shared" si="1"/>
        <v>2811.51</v>
      </c>
      <c r="G7078" s="1120">
        <v>2810.74</v>
      </c>
      <c r="H7078" s="1127">
        <v>0.77</v>
      </c>
      <c r="I7078" s="1127">
        <v>0.0</v>
      </c>
      <c r="J7078" s="1127">
        <v>0.0</v>
      </c>
      <c r="K7078" s="1124"/>
    </row>
    <row r="7079" ht="15.75" customHeight="1">
      <c r="A7079" s="1119">
        <v>98525.0</v>
      </c>
      <c r="B7079" s="1125" t="s">
        <v>17363</v>
      </c>
      <c r="C7079" s="1126" t="s">
        <v>1814</v>
      </c>
      <c r="D7079" s="1119">
        <v>0.41</v>
      </c>
      <c r="E7079" s="1120">
        <v>0.21</v>
      </c>
      <c r="F7079" s="1121">
        <f t="shared" si="1"/>
        <v>0.22</v>
      </c>
      <c r="G7079" s="1120">
        <v>0.04</v>
      </c>
      <c r="H7079" s="1127">
        <v>0.18</v>
      </c>
      <c r="I7079" s="1127">
        <v>0.0</v>
      </c>
      <c r="J7079" s="1127">
        <v>0.0</v>
      </c>
      <c r="K7079" s="1124"/>
    </row>
    <row r="7080" ht="15.75" customHeight="1">
      <c r="A7080" s="1119">
        <v>98526.0</v>
      </c>
      <c r="B7080" s="1125" t="s">
        <v>17364</v>
      </c>
      <c r="C7080" s="1126" t="s">
        <v>1788</v>
      </c>
      <c r="D7080" s="1119">
        <v>84.86</v>
      </c>
      <c r="E7080" s="1120">
        <v>41.29</v>
      </c>
      <c r="F7080" s="1121">
        <f t="shared" si="1"/>
        <v>43.57</v>
      </c>
      <c r="G7080" s="1120">
        <v>20.17</v>
      </c>
      <c r="H7080" s="1127">
        <v>23.4</v>
      </c>
      <c r="I7080" s="1127">
        <v>0.0</v>
      </c>
      <c r="J7080" s="1127">
        <v>0.0</v>
      </c>
      <c r="K7080" s="1124"/>
    </row>
    <row r="7081" ht="15.75" customHeight="1">
      <c r="A7081" s="1119">
        <v>98527.0</v>
      </c>
      <c r="B7081" s="1125" t="s">
        <v>17365</v>
      </c>
      <c r="C7081" s="1126" t="s">
        <v>1788</v>
      </c>
      <c r="D7081" s="1119">
        <v>182.68</v>
      </c>
      <c r="E7081" s="1120">
        <v>88.8</v>
      </c>
      <c r="F7081" s="1121">
        <f t="shared" si="1"/>
        <v>93.88</v>
      </c>
      <c r="G7081" s="1120">
        <v>43.55</v>
      </c>
      <c r="H7081" s="1127">
        <v>50.33</v>
      </c>
      <c r="I7081" s="1127">
        <v>0.0</v>
      </c>
      <c r="J7081" s="1127">
        <v>0.0</v>
      </c>
      <c r="K7081" s="1124"/>
    </row>
    <row r="7082" ht="15.75" customHeight="1">
      <c r="A7082" s="1119">
        <v>98528.0</v>
      </c>
      <c r="B7082" s="1125" t="s">
        <v>17366</v>
      </c>
      <c r="C7082" s="1126" t="s">
        <v>1788</v>
      </c>
      <c r="D7082" s="1119">
        <v>267.14</v>
      </c>
      <c r="E7082" s="1120">
        <v>129.87</v>
      </c>
      <c r="F7082" s="1121">
        <f t="shared" si="1"/>
        <v>137.28</v>
      </c>
      <c r="G7082" s="1120">
        <v>63.69</v>
      </c>
      <c r="H7082" s="1127">
        <v>73.59</v>
      </c>
      <c r="I7082" s="1127">
        <v>0.0</v>
      </c>
      <c r="J7082" s="1127">
        <v>0.0</v>
      </c>
      <c r="K7082" s="1124"/>
    </row>
    <row r="7083" ht="15.75" customHeight="1">
      <c r="A7083" s="1119">
        <v>98529.0</v>
      </c>
      <c r="B7083" s="1125" t="s">
        <v>17367</v>
      </c>
      <c r="C7083" s="1126" t="s">
        <v>1788</v>
      </c>
      <c r="D7083" s="1119">
        <v>79.19</v>
      </c>
      <c r="E7083" s="1120">
        <v>55.18</v>
      </c>
      <c r="F7083" s="1121">
        <f t="shared" si="1"/>
        <v>24</v>
      </c>
      <c r="G7083" s="1120">
        <v>24.0</v>
      </c>
      <c r="H7083" s="1127">
        <v>0.0</v>
      </c>
      <c r="I7083" s="1127">
        <v>0.0</v>
      </c>
      <c r="J7083" s="1127">
        <v>0.0</v>
      </c>
      <c r="K7083" s="1124"/>
    </row>
    <row r="7084" ht="15.75" customHeight="1">
      <c r="A7084" s="1119">
        <v>98530.0</v>
      </c>
      <c r="B7084" s="1125" t="s">
        <v>17368</v>
      </c>
      <c r="C7084" s="1126" t="s">
        <v>1788</v>
      </c>
      <c r="D7084" s="1119">
        <v>141.06</v>
      </c>
      <c r="E7084" s="1120">
        <v>98.27</v>
      </c>
      <c r="F7084" s="1121">
        <f t="shared" si="1"/>
        <v>42.79</v>
      </c>
      <c r="G7084" s="1120">
        <v>42.79</v>
      </c>
      <c r="H7084" s="1127">
        <v>0.0</v>
      </c>
      <c r="I7084" s="1127">
        <v>0.0</v>
      </c>
      <c r="J7084" s="1127">
        <v>0.0</v>
      </c>
      <c r="K7084" s="1124"/>
    </row>
    <row r="7085" ht="15.75" customHeight="1">
      <c r="A7085" s="1119">
        <v>98531.0</v>
      </c>
      <c r="B7085" s="1125" t="s">
        <v>17369</v>
      </c>
      <c r="C7085" s="1126" t="s">
        <v>1788</v>
      </c>
      <c r="D7085" s="1119">
        <v>336.34</v>
      </c>
      <c r="E7085" s="1120">
        <v>187.49</v>
      </c>
      <c r="F7085" s="1121">
        <f t="shared" si="1"/>
        <v>148.87</v>
      </c>
      <c r="G7085" s="1120">
        <v>67.97</v>
      </c>
      <c r="H7085" s="1127">
        <v>80.9</v>
      </c>
      <c r="I7085" s="1127">
        <v>0.0</v>
      </c>
      <c r="J7085" s="1127">
        <v>0.0</v>
      </c>
      <c r="K7085" s="1124"/>
    </row>
    <row r="7086" ht="15.75" customHeight="1">
      <c r="A7086" s="1119">
        <v>98532.0</v>
      </c>
      <c r="B7086" s="1125" t="s">
        <v>17370</v>
      </c>
      <c r="C7086" s="1126" t="s">
        <v>1788</v>
      </c>
      <c r="D7086" s="1119">
        <v>119.75</v>
      </c>
      <c r="E7086" s="1120">
        <v>44.27</v>
      </c>
      <c r="F7086" s="1121">
        <f t="shared" si="1"/>
        <v>75.49</v>
      </c>
      <c r="G7086" s="1120">
        <v>39.97</v>
      </c>
      <c r="H7086" s="1127">
        <v>35.52</v>
      </c>
      <c r="I7086" s="1127">
        <v>0.0</v>
      </c>
      <c r="J7086" s="1127">
        <v>0.0</v>
      </c>
      <c r="K7086" s="1124"/>
    </row>
    <row r="7087" ht="15.75" customHeight="1">
      <c r="A7087" s="1119">
        <v>98533.0</v>
      </c>
      <c r="B7087" s="1125" t="s">
        <v>17371</v>
      </c>
      <c r="C7087" s="1126" t="s">
        <v>1788</v>
      </c>
      <c r="D7087" s="1119">
        <v>335.24</v>
      </c>
      <c r="E7087" s="1120">
        <v>138.04</v>
      </c>
      <c r="F7087" s="1121">
        <f t="shared" si="1"/>
        <v>197.2</v>
      </c>
      <c r="G7087" s="1120">
        <v>97.27</v>
      </c>
      <c r="H7087" s="1127">
        <v>99.93</v>
      </c>
      <c r="I7087" s="1127">
        <v>0.0</v>
      </c>
      <c r="J7087" s="1127">
        <v>0.0</v>
      </c>
      <c r="K7087" s="1124"/>
    </row>
    <row r="7088" ht="15.75" customHeight="1">
      <c r="A7088" s="1119">
        <v>98534.0</v>
      </c>
      <c r="B7088" s="1125" t="s">
        <v>17372</v>
      </c>
      <c r="C7088" s="1126" t="s">
        <v>1788</v>
      </c>
      <c r="D7088" s="1119">
        <v>850.2</v>
      </c>
      <c r="E7088" s="1120">
        <v>333.5</v>
      </c>
      <c r="F7088" s="1121">
        <f t="shared" si="1"/>
        <v>516.72</v>
      </c>
      <c r="G7088" s="1120">
        <v>263.87</v>
      </c>
      <c r="H7088" s="1127">
        <v>252.85</v>
      </c>
      <c r="I7088" s="1127">
        <v>0.0</v>
      </c>
      <c r="J7088" s="1127">
        <v>0.0</v>
      </c>
      <c r="K7088" s="1124"/>
    </row>
    <row r="7089" ht="15.75" customHeight="1">
      <c r="A7089" s="1119">
        <v>98535.0</v>
      </c>
      <c r="B7089" s="1125" t="s">
        <v>17373</v>
      </c>
      <c r="C7089" s="1126" t="s">
        <v>1788</v>
      </c>
      <c r="D7089" s="1128">
        <v>1360.43</v>
      </c>
      <c r="E7089" s="1120">
        <v>562.1</v>
      </c>
      <c r="F7089" s="1121">
        <f t="shared" si="1"/>
        <v>798.35</v>
      </c>
      <c r="G7089" s="1120">
        <v>392.74</v>
      </c>
      <c r="H7089" s="1127">
        <v>405.61</v>
      </c>
      <c r="I7089" s="1127">
        <v>0.0</v>
      </c>
      <c r="J7089" s="1127">
        <v>0.0</v>
      </c>
      <c r="K7089" s="1124"/>
    </row>
    <row r="7090" ht="15.75" customHeight="1">
      <c r="A7090" s="1119">
        <v>88238.0</v>
      </c>
      <c r="B7090" s="1125" t="s">
        <v>17374</v>
      </c>
      <c r="C7090" s="1126" t="s">
        <v>1470</v>
      </c>
      <c r="D7090" s="1119">
        <v>25.1</v>
      </c>
      <c r="E7090" s="1120">
        <v>17.23</v>
      </c>
      <c r="F7090" s="1121">
        <f t="shared" si="1"/>
        <v>7.87</v>
      </c>
      <c r="G7090" s="1120">
        <v>7.87</v>
      </c>
      <c r="H7090" s="1127">
        <v>0.0</v>
      </c>
      <c r="I7090" s="1127">
        <v>0.0</v>
      </c>
      <c r="J7090" s="1127">
        <v>0.0</v>
      </c>
      <c r="K7090" s="1124"/>
    </row>
    <row r="7091" ht="15.75" customHeight="1">
      <c r="A7091" s="1119">
        <v>88239.0</v>
      </c>
      <c r="B7091" s="1125" t="s">
        <v>17375</v>
      </c>
      <c r="C7091" s="1126" t="s">
        <v>1470</v>
      </c>
      <c r="D7091" s="1119">
        <v>26.45</v>
      </c>
      <c r="E7091" s="1120">
        <v>18.76</v>
      </c>
      <c r="F7091" s="1121">
        <f t="shared" si="1"/>
        <v>7.69</v>
      </c>
      <c r="G7091" s="1120">
        <v>7.69</v>
      </c>
      <c r="H7091" s="1127">
        <v>0.0</v>
      </c>
      <c r="I7091" s="1127">
        <v>0.0</v>
      </c>
      <c r="J7091" s="1127">
        <v>0.0</v>
      </c>
      <c r="K7091" s="1124"/>
    </row>
    <row r="7092" ht="15.75" customHeight="1">
      <c r="A7092" s="1119">
        <v>88240.0</v>
      </c>
      <c r="B7092" s="1125" t="s">
        <v>17376</v>
      </c>
      <c r="C7092" s="1126" t="s">
        <v>1470</v>
      </c>
      <c r="D7092" s="1119">
        <v>23.02</v>
      </c>
      <c r="E7092" s="1120">
        <v>16.33</v>
      </c>
      <c r="F7092" s="1121">
        <f t="shared" si="1"/>
        <v>6.69</v>
      </c>
      <c r="G7092" s="1120">
        <v>6.69</v>
      </c>
      <c r="H7092" s="1127">
        <v>0.0</v>
      </c>
      <c r="I7092" s="1127">
        <v>0.0</v>
      </c>
      <c r="J7092" s="1127">
        <v>0.0</v>
      </c>
      <c r="K7092" s="1124"/>
    </row>
    <row r="7093" ht="15.75" customHeight="1">
      <c r="A7093" s="1119">
        <v>88241.0</v>
      </c>
      <c r="B7093" s="1125" t="s">
        <v>17377</v>
      </c>
      <c r="C7093" s="1126" t="s">
        <v>1470</v>
      </c>
      <c r="D7093" s="1119">
        <v>26.57</v>
      </c>
      <c r="E7093" s="1120">
        <v>18.7</v>
      </c>
      <c r="F7093" s="1121">
        <f t="shared" si="1"/>
        <v>7.87</v>
      </c>
      <c r="G7093" s="1120">
        <v>7.87</v>
      </c>
      <c r="H7093" s="1127">
        <v>0.0</v>
      </c>
      <c r="I7093" s="1127">
        <v>0.0</v>
      </c>
      <c r="J7093" s="1127">
        <v>0.0</v>
      </c>
      <c r="K7093" s="1124"/>
    </row>
    <row r="7094" ht="15.75" customHeight="1">
      <c r="A7094" s="1119">
        <v>88242.0</v>
      </c>
      <c r="B7094" s="1125" t="s">
        <v>17378</v>
      </c>
      <c r="C7094" s="1126" t="s">
        <v>1470</v>
      </c>
      <c r="D7094" s="1119">
        <v>25.16</v>
      </c>
      <c r="E7094" s="1120">
        <v>17.29</v>
      </c>
      <c r="F7094" s="1121">
        <f t="shared" si="1"/>
        <v>7.87</v>
      </c>
      <c r="G7094" s="1120">
        <v>7.87</v>
      </c>
      <c r="H7094" s="1127">
        <v>0.0</v>
      </c>
      <c r="I7094" s="1127">
        <v>0.0</v>
      </c>
      <c r="J7094" s="1127">
        <v>0.0</v>
      </c>
      <c r="K7094" s="1124"/>
    </row>
    <row r="7095" ht="15.75" customHeight="1">
      <c r="A7095" s="1119">
        <v>88243.0</v>
      </c>
      <c r="B7095" s="1125" t="s">
        <v>17379</v>
      </c>
      <c r="C7095" s="1126" t="s">
        <v>1470</v>
      </c>
      <c r="D7095" s="1119">
        <v>26.4</v>
      </c>
      <c r="E7095" s="1120">
        <v>18.7</v>
      </c>
      <c r="F7095" s="1121">
        <f t="shared" si="1"/>
        <v>7.7</v>
      </c>
      <c r="G7095" s="1120">
        <v>7.7</v>
      </c>
      <c r="H7095" s="1127">
        <v>0.0</v>
      </c>
      <c r="I7095" s="1127">
        <v>0.0</v>
      </c>
      <c r="J7095" s="1127">
        <v>0.0</v>
      </c>
      <c r="K7095" s="1124"/>
    </row>
    <row r="7096" ht="15.75" customHeight="1">
      <c r="A7096" s="1119">
        <v>88245.0</v>
      </c>
      <c r="B7096" s="1125" t="s">
        <v>17380</v>
      </c>
      <c r="C7096" s="1126" t="s">
        <v>1470</v>
      </c>
      <c r="D7096" s="1119">
        <v>32.31</v>
      </c>
      <c r="E7096" s="1120">
        <v>24.44</v>
      </c>
      <c r="F7096" s="1121">
        <f t="shared" si="1"/>
        <v>7.87</v>
      </c>
      <c r="G7096" s="1120">
        <v>7.87</v>
      </c>
      <c r="H7096" s="1127">
        <v>0.0</v>
      </c>
      <c r="I7096" s="1127">
        <v>0.0</v>
      </c>
      <c r="J7096" s="1127">
        <v>0.0</v>
      </c>
      <c r="K7096" s="1124"/>
    </row>
    <row r="7097" ht="15.75" customHeight="1">
      <c r="A7097" s="1119">
        <v>88246.0</v>
      </c>
      <c r="B7097" s="1125" t="s">
        <v>17381</v>
      </c>
      <c r="C7097" s="1126" t="s">
        <v>1470</v>
      </c>
      <c r="D7097" s="1119">
        <v>29.35</v>
      </c>
      <c r="E7097" s="1120">
        <v>22.66</v>
      </c>
      <c r="F7097" s="1121">
        <f t="shared" si="1"/>
        <v>6.69</v>
      </c>
      <c r="G7097" s="1120">
        <v>6.69</v>
      </c>
      <c r="H7097" s="1127">
        <v>0.0</v>
      </c>
      <c r="I7097" s="1127">
        <v>0.0</v>
      </c>
      <c r="J7097" s="1127">
        <v>0.0</v>
      </c>
      <c r="K7097" s="1124"/>
    </row>
    <row r="7098" ht="15.75" customHeight="1">
      <c r="A7098" s="1119">
        <v>88247.0</v>
      </c>
      <c r="B7098" s="1125" t="s">
        <v>17382</v>
      </c>
      <c r="C7098" s="1126" t="s">
        <v>1470</v>
      </c>
      <c r="D7098" s="1119">
        <v>27.06</v>
      </c>
      <c r="E7098" s="1120">
        <v>19.2</v>
      </c>
      <c r="F7098" s="1121">
        <f t="shared" si="1"/>
        <v>7.86</v>
      </c>
      <c r="G7098" s="1120">
        <v>7.86</v>
      </c>
      <c r="H7098" s="1127">
        <v>0.0</v>
      </c>
      <c r="I7098" s="1127">
        <v>0.0</v>
      </c>
      <c r="J7098" s="1127">
        <v>0.0</v>
      </c>
      <c r="K7098" s="1124"/>
    </row>
    <row r="7099" ht="15.75" customHeight="1">
      <c r="A7099" s="1119">
        <v>88248.0</v>
      </c>
      <c r="B7099" s="1125" t="s">
        <v>17383</v>
      </c>
      <c r="C7099" s="1126" t="s">
        <v>1470</v>
      </c>
      <c r="D7099" s="1119">
        <v>26.01</v>
      </c>
      <c r="E7099" s="1120">
        <v>18.82</v>
      </c>
      <c r="F7099" s="1121">
        <f t="shared" si="1"/>
        <v>7.19</v>
      </c>
      <c r="G7099" s="1120">
        <v>7.19</v>
      </c>
      <c r="H7099" s="1127">
        <v>0.0</v>
      </c>
      <c r="I7099" s="1127">
        <v>0.0</v>
      </c>
      <c r="J7099" s="1127">
        <v>0.0</v>
      </c>
      <c r="K7099" s="1124"/>
    </row>
    <row r="7100" ht="15.75" customHeight="1">
      <c r="A7100" s="1119">
        <v>88249.0</v>
      </c>
      <c r="B7100" s="1125" t="s">
        <v>17384</v>
      </c>
      <c r="C7100" s="1126" t="s">
        <v>1470</v>
      </c>
      <c r="D7100" s="1119">
        <v>28.01</v>
      </c>
      <c r="E7100" s="1120">
        <v>25.99</v>
      </c>
      <c r="F7100" s="1121">
        <f t="shared" si="1"/>
        <v>2.02</v>
      </c>
      <c r="G7100" s="1120">
        <v>2.02</v>
      </c>
      <c r="H7100" s="1127">
        <v>0.0</v>
      </c>
      <c r="I7100" s="1127">
        <v>0.0</v>
      </c>
      <c r="J7100" s="1127">
        <v>0.0</v>
      </c>
      <c r="K7100" s="1124"/>
    </row>
    <row r="7101" ht="15.75" customHeight="1">
      <c r="A7101" s="1119">
        <v>88250.0</v>
      </c>
      <c r="B7101" s="1125" t="s">
        <v>17385</v>
      </c>
      <c r="C7101" s="1126" t="s">
        <v>1470</v>
      </c>
      <c r="D7101" s="1119">
        <v>22.95</v>
      </c>
      <c r="E7101" s="1120">
        <v>16.26</v>
      </c>
      <c r="F7101" s="1121">
        <f t="shared" si="1"/>
        <v>6.69</v>
      </c>
      <c r="G7101" s="1120">
        <v>6.69</v>
      </c>
      <c r="H7101" s="1127">
        <v>0.0</v>
      </c>
      <c r="I7101" s="1127">
        <v>0.0</v>
      </c>
      <c r="J7101" s="1127">
        <v>0.0</v>
      </c>
      <c r="K7101" s="1124"/>
    </row>
    <row r="7102" ht="15.75" customHeight="1">
      <c r="A7102" s="1119">
        <v>88251.0</v>
      </c>
      <c r="B7102" s="1125" t="s">
        <v>17386</v>
      </c>
      <c r="C7102" s="1126" t="s">
        <v>1470</v>
      </c>
      <c r="D7102" s="1119">
        <v>26.57</v>
      </c>
      <c r="E7102" s="1120">
        <v>18.7</v>
      </c>
      <c r="F7102" s="1121">
        <f t="shared" si="1"/>
        <v>7.87</v>
      </c>
      <c r="G7102" s="1120">
        <v>7.87</v>
      </c>
      <c r="H7102" s="1127">
        <v>0.0</v>
      </c>
      <c r="I7102" s="1127">
        <v>0.0</v>
      </c>
      <c r="J7102" s="1127">
        <v>0.0</v>
      </c>
      <c r="K7102" s="1124"/>
    </row>
    <row r="7103" ht="15.75" customHeight="1">
      <c r="A7103" s="1119">
        <v>88252.0</v>
      </c>
      <c r="B7103" s="1125" t="s">
        <v>17387</v>
      </c>
      <c r="C7103" s="1126" t="s">
        <v>1470</v>
      </c>
      <c r="D7103" s="1119">
        <v>24.95</v>
      </c>
      <c r="E7103" s="1120">
        <v>17.25</v>
      </c>
      <c r="F7103" s="1121">
        <f t="shared" si="1"/>
        <v>7.7</v>
      </c>
      <c r="G7103" s="1120">
        <v>7.7</v>
      </c>
      <c r="H7103" s="1127">
        <v>0.0</v>
      </c>
      <c r="I7103" s="1127">
        <v>0.0</v>
      </c>
      <c r="J7103" s="1127">
        <v>0.0</v>
      </c>
      <c r="K7103" s="1124"/>
    </row>
    <row r="7104" ht="15.75" customHeight="1">
      <c r="A7104" s="1119">
        <v>88253.0</v>
      </c>
      <c r="B7104" s="1125" t="s">
        <v>17388</v>
      </c>
      <c r="C7104" s="1126" t="s">
        <v>1470</v>
      </c>
      <c r="D7104" s="1119">
        <v>12.9</v>
      </c>
      <c r="E7104" s="1120">
        <v>10.94</v>
      </c>
      <c r="F7104" s="1121">
        <f t="shared" si="1"/>
        <v>1.96</v>
      </c>
      <c r="G7104" s="1120">
        <v>1.96</v>
      </c>
      <c r="H7104" s="1127">
        <v>0.0</v>
      </c>
      <c r="I7104" s="1127">
        <v>0.0</v>
      </c>
      <c r="J7104" s="1127">
        <v>0.0</v>
      </c>
      <c r="K7104" s="1124"/>
    </row>
    <row r="7105" ht="15.75" customHeight="1">
      <c r="A7105" s="1119">
        <v>88255.0</v>
      </c>
      <c r="B7105" s="1125" t="s">
        <v>17389</v>
      </c>
      <c r="C7105" s="1126" t="s">
        <v>1470</v>
      </c>
      <c r="D7105" s="1119">
        <v>40.62</v>
      </c>
      <c r="E7105" s="1120">
        <v>38.69</v>
      </c>
      <c r="F7105" s="1121">
        <f t="shared" si="1"/>
        <v>1.93</v>
      </c>
      <c r="G7105" s="1120">
        <v>1.93</v>
      </c>
      <c r="H7105" s="1127">
        <v>0.0</v>
      </c>
      <c r="I7105" s="1127">
        <v>0.0</v>
      </c>
      <c r="J7105" s="1127">
        <v>0.0</v>
      </c>
      <c r="K7105" s="1124"/>
    </row>
    <row r="7106" ht="15.75" customHeight="1">
      <c r="A7106" s="1119">
        <v>88256.0</v>
      </c>
      <c r="B7106" s="1125" t="s">
        <v>17390</v>
      </c>
      <c r="C7106" s="1126" t="s">
        <v>1470</v>
      </c>
      <c r="D7106" s="1119">
        <v>32.39</v>
      </c>
      <c r="E7106" s="1120">
        <v>24.52</v>
      </c>
      <c r="F7106" s="1121">
        <f t="shared" si="1"/>
        <v>7.87</v>
      </c>
      <c r="G7106" s="1120">
        <v>7.87</v>
      </c>
      <c r="H7106" s="1127">
        <v>0.0</v>
      </c>
      <c r="I7106" s="1127">
        <v>0.0</v>
      </c>
      <c r="J7106" s="1127">
        <v>0.0</v>
      </c>
      <c r="K7106" s="1124"/>
    </row>
    <row r="7107" ht="15.75" customHeight="1">
      <c r="A7107" s="1119">
        <v>88257.0</v>
      </c>
      <c r="B7107" s="1125" t="s">
        <v>17391</v>
      </c>
      <c r="C7107" s="1126" t="s">
        <v>1470</v>
      </c>
      <c r="D7107" s="1119">
        <v>28.5</v>
      </c>
      <c r="E7107" s="1120">
        <v>21.81</v>
      </c>
      <c r="F7107" s="1121">
        <f t="shared" si="1"/>
        <v>6.69</v>
      </c>
      <c r="G7107" s="1120">
        <v>6.69</v>
      </c>
      <c r="H7107" s="1127">
        <v>0.0</v>
      </c>
      <c r="I7107" s="1127">
        <v>0.0</v>
      </c>
      <c r="J7107" s="1127">
        <v>0.0</v>
      </c>
      <c r="K7107" s="1124"/>
    </row>
    <row r="7108" ht="15.75" customHeight="1">
      <c r="A7108" s="1119">
        <v>88258.0</v>
      </c>
      <c r="B7108" s="1125" t="s">
        <v>17392</v>
      </c>
      <c r="C7108" s="1126" t="s">
        <v>1470</v>
      </c>
      <c r="D7108" s="1119">
        <v>21.58</v>
      </c>
      <c r="E7108" s="1120">
        <v>19.56</v>
      </c>
      <c r="F7108" s="1121">
        <f t="shared" si="1"/>
        <v>2.02</v>
      </c>
      <c r="G7108" s="1120">
        <v>2.02</v>
      </c>
      <c r="H7108" s="1127">
        <v>0.0</v>
      </c>
      <c r="I7108" s="1127">
        <v>0.0</v>
      </c>
      <c r="J7108" s="1127">
        <v>0.0</v>
      </c>
      <c r="K7108" s="1124"/>
    </row>
    <row r="7109" ht="15.75" customHeight="1">
      <c r="A7109" s="1119">
        <v>88260.0</v>
      </c>
      <c r="B7109" s="1125" t="s">
        <v>17393</v>
      </c>
      <c r="C7109" s="1126" t="s">
        <v>1470</v>
      </c>
      <c r="D7109" s="1119">
        <v>28.61</v>
      </c>
      <c r="E7109" s="1120">
        <v>20.74</v>
      </c>
      <c r="F7109" s="1121">
        <f t="shared" si="1"/>
        <v>7.87</v>
      </c>
      <c r="G7109" s="1120">
        <v>7.87</v>
      </c>
      <c r="H7109" s="1127">
        <v>0.0</v>
      </c>
      <c r="I7109" s="1127">
        <v>0.0</v>
      </c>
      <c r="J7109" s="1127">
        <v>0.0</v>
      </c>
      <c r="K7109" s="1124"/>
    </row>
    <row r="7110" ht="15.75" customHeight="1">
      <c r="A7110" s="1119">
        <v>88261.0</v>
      </c>
      <c r="B7110" s="1125" t="s">
        <v>17394</v>
      </c>
      <c r="C7110" s="1126" t="s">
        <v>1470</v>
      </c>
      <c r="D7110" s="1119">
        <v>30.78</v>
      </c>
      <c r="E7110" s="1120">
        <v>23.09</v>
      </c>
      <c r="F7110" s="1121">
        <f t="shared" si="1"/>
        <v>7.69</v>
      </c>
      <c r="G7110" s="1120">
        <v>7.69</v>
      </c>
      <c r="H7110" s="1127">
        <v>0.0</v>
      </c>
      <c r="I7110" s="1127">
        <v>0.0</v>
      </c>
      <c r="J7110" s="1127">
        <v>0.0</v>
      </c>
      <c r="K7110" s="1124"/>
    </row>
    <row r="7111" ht="15.75" customHeight="1">
      <c r="A7111" s="1119">
        <v>88262.0</v>
      </c>
      <c r="B7111" s="1125" t="s">
        <v>17395</v>
      </c>
      <c r="C7111" s="1126" t="s">
        <v>1470</v>
      </c>
      <c r="D7111" s="1119">
        <v>32.13</v>
      </c>
      <c r="E7111" s="1120">
        <v>24.44</v>
      </c>
      <c r="F7111" s="1121">
        <f t="shared" si="1"/>
        <v>7.69</v>
      </c>
      <c r="G7111" s="1120">
        <v>7.69</v>
      </c>
      <c r="H7111" s="1127">
        <v>0.0</v>
      </c>
      <c r="I7111" s="1127">
        <v>0.0</v>
      </c>
      <c r="J7111" s="1127">
        <v>0.0</v>
      </c>
      <c r="K7111" s="1124"/>
    </row>
    <row r="7112" ht="15.75" customHeight="1">
      <c r="A7112" s="1119">
        <v>88263.0</v>
      </c>
      <c r="B7112" s="1125" t="s">
        <v>17396</v>
      </c>
      <c r="C7112" s="1126" t="s">
        <v>1470</v>
      </c>
      <c r="D7112" s="1119">
        <v>22.69</v>
      </c>
      <c r="E7112" s="1120">
        <v>16.0</v>
      </c>
      <c r="F7112" s="1121">
        <f t="shared" si="1"/>
        <v>6.69</v>
      </c>
      <c r="G7112" s="1120">
        <v>6.69</v>
      </c>
      <c r="H7112" s="1127">
        <v>0.0</v>
      </c>
      <c r="I7112" s="1127">
        <v>0.0</v>
      </c>
      <c r="J7112" s="1127">
        <v>0.0</v>
      </c>
      <c r="K7112" s="1124"/>
    </row>
    <row r="7113" ht="15.75" customHeight="1">
      <c r="A7113" s="1119">
        <v>88264.0</v>
      </c>
      <c r="B7113" s="1125" t="s">
        <v>17397</v>
      </c>
      <c r="C7113" s="1126" t="s">
        <v>1470</v>
      </c>
      <c r="D7113" s="1119">
        <v>32.95</v>
      </c>
      <c r="E7113" s="1120">
        <v>25.09</v>
      </c>
      <c r="F7113" s="1121">
        <f t="shared" si="1"/>
        <v>7.86</v>
      </c>
      <c r="G7113" s="1120">
        <v>7.86</v>
      </c>
      <c r="H7113" s="1127">
        <v>0.0</v>
      </c>
      <c r="I7113" s="1127">
        <v>0.0</v>
      </c>
      <c r="J7113" s="1127">
        <v>0.0</v>
      </c>
      <c r="K7113" s="1124"/>
    </row>
    <row r="7114" ht="15.75" customHeight="1">
      <c r="A7114" s="1119">
        <v>88265.0</v>
      </c>
      <c r="B7114" s="1125" t="s">
        <v>17398</v>
      </c>
      <c r="C7114" s="1126" t="s">
        <v>1470</v>
      </c>
      <c r="D7114" s="1119">
        <v>35.38</v>
      </c>
      <c r="E7114" s="1120">
        <v>27.52</v>
      </c>
      <c r="F7114" s="1121">
        <f t="shared" si="1"/>
        <v>7.86</v>
      </c>
      <c r="G7114" s="1120">
        <v>7.86</v>
      </c>
      <c r="H7114" s="1127">
        <v>0.0</v>
      </c>
      <c r="I7114" s="1127">
        <v>0.0</v>
      </c>
      <c r="J7114" s="1127">
        <v>0.0</v>
      </c>
      <c r="K7114" s="1124"/>
    </row>
    <row r="7115" ht="15.75" customHeight="1">
      <c r="A7115" s="1119">
        <v>88266.0</v>
      </c>
      <c r="B7115" s="1125" t="s">
        <v>17399</v>
      </c>
      <c r="C7115" s="1126" t="s">
        <v>1470</v>
      </c>
      <c r="D7115" s="1119">
        <v>39.22</v>
      </c>
      <c r="E7115" s="1120">
        <v>31.36</v>
      </c>
      <c r="F7115" s="1121">
        <f t="shared" si="1"/>
        <v>7.86</v>
      </c>
      <c r="G7115" s="1120">
        <v>7.86</v>
      </c>
      <c r="H7115" s="1127">
        <v>0.0</v>
      </c>
      <c r="I7115" s="1127">
        <v>0.0</v>
      </c>
      <c r="J7115" s="1127">
        <v>0.0</v>
      </c>
      <c r="K7115" s="1124"/>
    </row>
    <row r="7116" ht="15.75" customHeight="1">
      <c r="A7116" s="1119">
        <v>88267.0</v>
      </c>
      <c r="B7116" s="1125" t="s">
        <v>17400</v>
      </c>
      <c r="C7116" s="1126" t="s">
        <v>1470</v>
      </c>
      <c r="D7116" s="1119">
        <v>31.79</v>
      </c>
      <c r="E7116" s="1120">
        <v>24.6</v>
      </c>
      <c r="F7116" s="1121">
        <f t="shared" si="1"/>
        <v>7.19</v>
      </c>
      <c r="G7116" s="1120">
        <v>7.19</v>
      </c>
      <c r="H7116" s="1127">
        <v>0.0</v>
      </c>
      <c r="I7116" s="1127">
        <v>0.0</v>
      </c>
      <c r="J7116" s="1127">
        <v>0.0</v>
      </c>
      <c r="K7116" s="1124"/>
    </row>
    <row r="7117" ht="15.75" customHeight="1">
      <c r="A7117" s="1119">
        <v>88269.0</v>
      </c>
      <c r="B7117" s="1125" t="s">
        <v>17401</v>
      </c>
      <c r="C7117" s="1126" t="s">
        <v>1470</v>
      </c>
      <c r="D7117" s="1119">
        <v>31.16</v>
      </c>
      <c r="E7117" s="1120">
        <v>23.29</v>
      </c>
      <c r="F7117" s="1121">
        <f t="shared" si="1"/>
        <v>7.87</v>
      </c>
      <c r="G7117" s="1120">
        <v>7.87</v>
      </c>
      <c r="H7117" s="1127">
        <v>0.0</v>
      </c>
      <c r="I7117" s="1127">
        <v>0.0</v>
      </c>
      <c r="J7117" s="1127">
        <v>0.0</v>
      </c>
      <c r="K7117" s="1124"/>
    </row>
    <row r="7118" ht="15.75" customHeight="1">
      <c r="A7118" s="1119">
        <v>88270.0</v>
      </c>
      <c r="B7118" s="1125" t="s">
        <v>17402</v>
      </c>
      <c r="C7118" s="1126" t="s">
        <v>1470</v>
      </c>
      <c r="D7118" s="1119">
        <v>32.55</v>
      </c>
      <c r="E7118" s="1120">
        <v>24.68</v>
      </c>
      <c r="F7118" s="1121">
        <f t="shared" si="1"/>
        <v>7.87</v>
      </c>
      <c r="G7118" s="1120">
        <v>7.87</v>
      </c>
      <c r="H7118" s="1127">
        <v>0.0</v>
      </c>
      <c r="I7118" s="1127">
        <v>0.0</v>
      </c>
      <c r="J7118" s="1127">
        <v>0.0</v>
      </c>
      <c r="K7118" s="1124"/>
    </row>
    <row r="7119" ht="15.75" customHeight="1">
      <c r="A7119" s="1119">
        <v>88272.0</v>
      </c>
      <c r="B7119" s="1125" t="s">
        <v>17403</v>
      </c>
      <c r="C7119" s="1126" t="s">
        <v>1470</v>
      </c>
      <c r="D7119" s="1119">
        <v>33.35</v>
      </c>
      <c r="E7119" s="1120">
        <v>24.64</v>
      </c>
      <c r="F7119" s="1121">
        <f t="shared" si="1"/>
        <v>8.71</v>
      </c>
      <c r="G7119" s="1120">
        <v>8.71</v>
      </c>
      <c r="H7119" s="1127">
        <v>0.0</v>
      </c>
      <c r="I7119" s="1127">
        <v>0.0</v>
      </c>
      <c r="J7119" s="1127">
        <v>0.0</v>
      </c>
      <c r="K7119" s="1124"/>
    </row>
    <row r="7120" ht="15.75" customHeight="1">
      <c r="A7120" s="1119">
        <v>88273.0</v>
      </c>
      <c r="B7120" s="1125" t="s">
        <v>17404</v>
      </c>
      <c r="C7120" s="1126" t="s">
        <v>1470</v>
      </c>
      <c r="D7120" s="1119">
        <v>30.16</v>
      </c>
      <c r="E7120" s="1120">
        <v>22.47</v>
      </c>
      <c r="F7120" s="1121">
        <f t="shared" si="1"/>
        <v>7.69</v>
      </c>
      <c r="G7120" s="1120">
        <v>7.69</v>
      </c>
      <c r="H7120" s="1127">
        <v>0.0</v>
      </c>
      <c r="I7120" s="1127">
        <v>0.0</v>
      </c>
      <c r="J7120" s="1127">
        <v>0.0</v>
      </c>
      <c r="K7120" s="1124"/>
    </row>
    <row r="7121" ht="15.75" customHeight="1">
      <c r="A7121" s="1119">
        <v>88274.0</v>
      </c>
      <c r="B7121" s="1125" t="s">
        <v>17405</v>
      </c>
      <c r="C7121" s="1126" t="s">
        <v>1470</v>
      </c>
      <c r="D7121" s="1119">
        <v>35.71</v>
      </c>
      <c r="E7121" s="1120">
        <v>27.84</v>
      </c>
      <c r="F7121" s="1121">
        <f t="shared" si="1"/>
        <v>7.87</v>
      </c>
      <c r="G7121" s="1120">
        <v>7.87</v>
      </c>
      <c r="H7121" s="1127">
        <v>0.0</v>
      </c>
      <c r="I7121" s="1127">
        <v>0.0</v>
      </c>
      <c r="J7121" s="1127">
        <v>0.0</v>
      </c>
      <c r="K7121" s="1124"/>
    </row>
    <row r="7122" ht="15.75" customHeight="1">
      <c r="A7122" s="1119">
        <v>88275.0</v>
      </c>
      <c r="B7122" s="1125" t="s">
        <v>17406</v>
      </c>
      <c r="C7122" s="1126" t="s">
        <v>1470</v>
      </c>
      <c r="D7122" s="1119">
        <v>35.05</v>
      </c>
      <c r="E7122" s="1120">
        <v>28.36</v>
      </c>
      <c r="F7122" s="1121">
        <f t="shared" si="1"/>
        <v>6.69</v>
      </c>
      <c r="G7122" s="1120">
        <v>6.69</v>
      </c>
      <c r="H7122" s="1127">
        <v>0.0</v>
      </c>
      <c r="I7122" s="1127">
        <v>0.0</v>
      </c>
      <c r="J7122" s="1127">
        <v>0.0</v>
      </c>
      <c r="K7122" s="1124"/>
    </row>
    <row r="7123" ht="15.75" customHeight="1">
      <c r="A7123" s="1119">
        <v>88277.0</v>
      </c>
      <c r="B7123" s="1125" t="s">
        <v>17407</v>
      </c>
      <c r="C7123" s="1126" t="s">
        <v>1470</v>
      </c>
      <c r="D7123" s="1119">
        <v>35.15</v>
      </c>
      <c r="E7123" s="1120">
        <v>28.46</v>
      </c>
      <c r="F7123" s="1121">
        <f t="shared" si="1"/>
        <v>6.69</v>
      </c>
      <c r="G7123" s="1120">
        <v>6.69</v>
      </c>
      <c r="H7123" s="1127">
        <v>0.0</v>
      </c>
      <c r="I7123" s="1127">
        <v>0.0</v>
      </c>
      <c r="J7123" s="1127">
        <v>0.0</v>
      </c>
      <c r="K7123" s="1124"/>
    </row>
    <row r="7124" ht="15.75" customHeight="1">
      <c r="A7124" s="1119">
        <v>88278.0</v>
      </c>
      <c r="B7124" s="1125" t="s">
        <v>17408</v>
      </c>
      <c r="C7124" s="1126" t="s">
        <v>1470</v>
      </c>
      <c r="D7124" s="1119">
        <v>29.7</v>
      </c>
      <c r="E7124" s="1120">
        <v>23.01</v>
      </c>
      <c r="F7124" s="1121">
        <f t="shared" si="1"/>
        <v>6.69</v>
      </c>
      <c r="G7124" s="1120">
        <v>6.69</v>
      </c>
      <c r="H7124" s="1127">
        <v>0.0</v>
      </c>
      <c r="I7124" s="1127">
        <v>0.0</v>
      </c>
      <c r="J7124" s="1127">
        <v>0.0</v>
      </c>
      <c r="K7124" s="1124"/>
    </row>
    <row r="7125" ht="15.75" customHeight="1">
      <c r="A7125" s="1119">
        <v>88279.0</v>
      </c>
      <c r="B7125" s="1125" t="s">
        <v>17409</v>
      </c>
      <c r="C7125" s="1126" t="s">
        <v>1470</v>
      </c>
      <c r="D7125" s="1119">
        <v>39.39</v>
      </c>
      <c r="E7125" s="1120">
        <v>31.53</v>
      </c>
      <c r="F7125" s="1121">
        <f t="shared" si="1"/>
        <v>7.86</v>
      </c>
      <c r="G7125" s="1120">
        <v>7.86</v>
      </c>
      <c r="H7125" s="1127">
        <v>0.0</v>
      </c>
      <c r="I7125" s="1127">
        <v>0.0</v>
      </c>
      <c r="J7125" s="1127">
        <v>0.0</v>
      </c>
      <c r="K7125" s="1124"/>
    </row>
    <row r="7126" ht="15.75" customHeight="1">
      <c r="A7126" s="1119">
        <v>88281.0</v>
      </c>
      <c r="B7126" s="1125" t="s">
        <v>17410</v>
      </c>
      <c r="C7126" s="1126" t="s">
        <v>1470</v>
      </c>
      <c r="D7126" s="1119">
        <v>32.49</v>
      </c>
      <c r="E7126" s="1120">
        <v>25.8</v>
      </c>
      <c r="F7126" s="1121">
        <f t="shared" si="1"/>
        <v>6.69</v>
      </c>
      <c r="G7126" s="1120">
        <v>6.69</v>
      </c>
      <c r="H7126" s="1127">
        <v>0.0</v>
      </c>
      <c r="I7126" s="1127">
        <v>0.0</v>
      </c>
      <c r="J7126" s="1127">
        <v>0.0</v>
      </c>
      <c r="K7126" s="1124"/>
    </row>
    <row r="7127" ht="15.75" customHeight="1">
      <c r="A7127" s="1119">
        <v>88282.0</v>
      </c>
      <c r="B7127" s="1125" t="s">
        <v>17411</v>
      </c>
      <c r="C7127" s="1126" t="s">
        <v>1470</v>
      </c>
      <c r="D7127" s="1119">
        <v>31.53</v>
      </c>
      <c r="E7127" s="1120">
        <v>24.84</v>
      </c>
      <c r="F7127" s="1121">
        <f t="shared" si="1"/>
        <v>6.69</v>
      </c>
      <c r="G7127" s="1120">
        <v>6.69</v>
      </c>
      <c r="H7127" s="1127">
        <v>0.0</v>
      </c>
      <c r="I7127" s="1127">
        <v>0.0</v>
      </c>
      <c r="J7127" s="1127">
        <v>0.0</v>
      </c>
      <c r="K7127" s="1124"/>
    </row>
    <row r="7128" ht="15.75" customHeight="1">
      <c r="A7128" s="1119">
        <v>88283.0</v>
      </c>
      <c r="B7128" s="1125" t="s">
        <v>17412</v>
      </c>
      <c r="C7128" s="1126" t="s">
        <v>1470</v>
      </c>
      <c r="D7128" s="1119">
        <v>37.57</v>
      </c>
      <c r="E7128" s="1120">
        <v>30.88</v>
      </c>
      <c r="F7128" s="1121">
        <f t="shared" si="1"/>
        <v>6.69</v>
      </c>
      <c r="G7128" s="1120">
        <v>6.69</v>
      </c>
      <c r="H7128" s="1127">
        <v>0.0</v>
      </c>
      <c r="I7128" s="1127">
        <v>0.0</v>
      </c>
      <c r="J7128" s="1127">
        <v>0.0</v>
      </c>
      <c r="K7128" s="1124"/>
    </row>
    <row r="7129" ht="15.75" customHeight="1">
      <c r="A7129" s="1119">
        <v>88284.0</v>
      </c>
      <c r="B7129" s="1125" t="s">
        <v>17413</v>
      </c>
      <c r="C7129" s="1126" t="s">
        <v>1470</v>
      </c>
      <c r="D7129" s="1119">
        <v>28.73</v>
      </c>
      <c r="E7129" s="1120">
        <v>22.04</v>
      </c>
      <c r="F7129" s="1121">
        <f t="shared" si="1"/>
        <v>6.69</v>
      </c>
      <c r="G7129" s="1120">
        <v>6.69</v>
      </c>
      <c r="H7129" s="1127">
        <v>0.0</v>
      </c>
      <c r="I7129" s="1127">
        <v>0.0</v>
      </c>
      <c r="J7129" s="1127">
        <v>0.0</v>
      </c>
      <c r="K7129" s="1124"/>
    </row>
    <row r="7130" ht="15.75" customHeight="1">
      <c r="A7130" s="1119">
        <v>88285.0</v>
      </c>
      <c r="B7130" s="1125" t="s">
        <v>17414</v>
      </c>
      <c r="C7130" s="1126" t="s">
        <v>1470</v>
      </c>
      <c r="D7130" s="1119">
        <v>29.83</v>
      </c>
      <c r="E7130" s="1120">
        <v>23.14</v>
      </c>
      <c r="F7130" s="1121">
        <f t="shared" si="1"/>
        <v>6.69</v>
      </c>
      <c r="G7130" s="1120">
        <v>6.69</v>
      </c>
      <c r="H7130" s="1127">
        <v>0.0</v>
      </c>
      <c r="I7130" s="1127">
        <v>0.0</v>
      </c>
      <c r="J7130" s="1127">
        <v>0.0</v>
      </c>
      <c r="K7130" s="1124"/>
    </row>
    <row r="7131" ht="15.75" customHeight="1">
      <c r="A7131" s="1119">
        <v>88286.0</v>
      </c>
      <c r="B7131" s="1125" t="s">
        <v>17415</v>
      </c>
      <c r="C7131" s="1126" t="s">
        <v>1470</v>
      </c>
      <c r="D7131" s="1119">
        <v>34.87</v>
      </c>
      <c r="E7131" s="1120">
        <v>28.18</v>
      </c>
      <c r="F7131" s="1121">
        <f t="shared" si="1"/>
        <v>6.69</v>
      </c>
      <c r="G7131" s="1120">
        <v>6.69</v>
      </c>
      <c r="H7131" s="1127">
        <v>0.0</v>
      </c>
      <c r="I7131" s="1127">
        <v>0.0</v>
      </c>
      <c r="J7131" s="1127">
        <v>0.0</v>
      </c>
      <c r="K7131" s="1124"/>
    </row>
    <row r="7132" ht="15.75" customHeight="1">
      <c r="A7132" s="1119">
        <v>88288.0</v>
      </c>
      <c r="B7132" s="1125" t="s">
        <v>17416</v>
      </c>
      <c r="C7132" s="1126" t="s">
        <v>1470</v>
      </c>
      <c r="D7132" s="1119">
        <v>15.94</v>
      </c>
      <c r="E7132" s="1120">
        <v>13.98</v>
      </c>
      <c r="F7132" s="1121">
        <f t="shared" si="1"/>
        <v>1.96</v>
      </c>
      <c r="G7132" s="1120">
        <v>1.96</v>
      </c>
      <c r="H7132" s="1127">
        <v>0.0</v>
      </c>
      <c r="I7132" s="1127">
        <v>0.0</v>
      </c>
      <c r="J7132" s="1127">
        <v>0.0</v>
      </c>
      <c r="K7132" s="1124"/>
    </row>
    <row r="7133" ht="15.75" customHeight="1">
      <c r="A7133" s="1119">
        <v>88291.0</v>
      </c>
      <c r="B7133" s="1125" t="s">
        <v>17417</v>
      </c>
      <c r="C7133" s="1126" t="s">
        <v>1470</v>
      </c>
      <c r="D7133" s="1119">
        <v>25.25</v>
      </c>
      <c r="E7133" s="1120">
        <v>18.56</v>
      </c>
      <c r="F7133" s="1121">
        <f t="shared" si="1"/>
        <v>6.69</v>
      </c>
      <c r="G7133" s="1120">
        <v>6.69</v>
      </c>
      <c r="H7133" s="1127">
        <v>0.0</v>
      </c>
      <c r="I7133" s="1127">
        <v>0.0</v>
      </c>
      <c r="J7133" s="1127">
        <v>0.0</v>
      </c>
      <c r="K7133" s="1124"/>
    </row>
    <row r="7134" ht="15.75" customHeight="1">
      <c r="A7134" s="1119">
        <v>88292.0</v>
      </c>
      <c r="B7134" s="1125" t="s">
        <v>17418</v>
      </c>
      <c r="C7134" s="1126" t="s">
        <v>1470</v>
      </c>
      <c r="D7134" s="1119">
        <v>26.91</v>
      </c>
      <c r="E7134" s="1120">
        <v>20.22</v>
      </c>
      <c r="F7134" s="1121">
        <f t="shared" si="1"/>
        <v>6.69</v>
      </c>
      <c r="G7134" s="1120">
        <v>6.69</v>
      </c>
      <c r="H7134" s="1127">
        <v>0.0</v>
      </c>
      <c r="I7134" s="1127">
        <v>0.0</v>
      </c>
      <c r="J7134" s="1127">
        <v>0.0</v>
      </c>
      <c r="K7134" s="1124"/>
    </row>
    <row r="7135" ht="15.75" customHeight="1">
      <c r="A7135" s="1119">
        <v>88293.0</v>
      </c>
      <c r="B7135" s="1125" t="s">
        <v>17419</v>
      </c>
      <c r="C7135" s="1126" t="s">
        <v>1470</v>
      </c>
      <c r="D7135" s="1119">
        <v>29.53</v>
      </c>
      <c r="E7135" s="1120">
        <v>22.84</v>
      </c>
      <c r="F7135" s="1121">
        <f t="shared" si="1"/>
        <v>6.69</v>
      </c>
      <c r="G7135" s="1120">
        <v>6.69</v>
      </c>
      <c r="H7135" s="1127">
        <v>0.0</v>
      </c>
      <c r="I7135" s="1127">
        <v>0.0</v>
      </c>
      <c r="J7135" s="1127">
        <v>0.0</v>
      </c>
      <c r="K7135" s="1124"/>
    </row>
    <row r="7136" ht="15.75" customHeight="1">
      <c r="A7136" s="1119">
        <v>88294.0</v>
      </c>
      <c r="B7136" s="1125" t="s">
        <v>17420</v>
      </c>
      <c r="C7136" s="1126" t="s">
        <v>1470</v>
      </c>
      <c r="D7136" s="1119">
        <v>31.81</v>
      </c>
      <c r="E7136" s="1120">
        <v>25.12</v>
      </c>
      <c r="F7136" s="1121">
        <f t="shared" si="1"/>
        <v>6.69</v>
      </c>
      <c r="G7136" s="1120">
        <v>6.69</v>
      </c>
      <c r="H7136" s="1127">
        <v>0.0</v>
      </c>
      <c r="I7136" s="1127">
        <v>0.0</v>
      </c>
      <c r="J7136" s="1127">
        <v>0.0</v>
      </c>
      <c r="K7136" s="1124"/>
    </row>
    <row r="7137" ht="15.75" customHeight="1">
      <c r="A7137" s="1119">
        <v>88295.0</v>
      </c>
      <c r="B7137" s="1125" t="s">
        <v>17421</v>
      </c>
      <c r="C7137" s="1126" t="s">
        <v>1470</v>
      </c>
      <c r="D7137" s="1119">
        <v>29.86</v>
      </c>
      <c r="E7137" s="1120">
        <v>23.17</v>
      </c>
      <c r="F7137" s="1121">
        <f t="shared" si="1"/>
        <v>6.69</v>
      </c>
      <c r="G7137" s="1120">
        <v>6.69</v>
      </c>
      <c r="H7137" s="1127">
        <v>0.0</v>
      </c>
      <c r="I7137" s="1127">
        <v>0.0</v>
      </c>
      <c r="J7137" s="1127">
        <v>0.0</v>
      </c>
      <c r="K7137" s="1124"/>
    </row>
    <row r="7138" ht="15.75" customHeight="1">
      <c r="A7138" s="1119">
        <v>88296.0</v>
      </c>
      <c r="B7138" s="1125" t="s">
        <v>17422</v>
      </c>
      <c r="C7138" s="1126" t="s">
        <v>1470</v>
      </c>
      <c r="D7138" s="1119">
        <v>63.85</v>
      </c>
      <c r="E7138" s="1120">
        <v>57.16</v>
      </c>
      <c r="F7138" s="1121">
        <f t="shared" si="1"/>
        <v>6.69</v>
      </c>
      <c r="G7138" s="1120">
        <v>6.69</v>
      </c>
      <c r="H7138" s="1127">
        <v>0.0</v>
      </c>
      <c r="I7138" s="1127">
        <v>0.0</v>
      </c>
      <c r="J7138" s="1127">
        <v>0.0</v>
      </c>
      <c r="K7138" s="1124"/>
    </row>
    <row r="7139" ht="15.75" customHeight="1">
      <c r="A7139" s="1119">
        <v>88297.0</v>
      </c>
      <c r="B7139" s="1125" t="s">
        <v>17423</v>
      </c>
      <c r="C7139" s="1126" t="s">
        <v>1470</v>
      </c>
      <c r="D7139" s="1119">
        <v>31.39</v>
      </c>
      <c r="E7139" s="1120">
        <v>24.7</v>
      </c>
      <c r="F7139" s="1121">
        <f t="shared" si="1"/>
        <v>6.69</v>
      </c>
      <c r="G7139" s="1120">
        <v>6.69</v>
      </c>
      <c r="H7139" s="1127">
        <v>0.0</v>
      </c>
      <c r="I7139" s="1127">
        <v>0.0</v>
      </c>
      <c r="J7139" s="1127">
        <v>0.0</v>
      </c>
      <c r="K7139" s="1124"/>
    </row>
    <row r="7140" ht="15.75" customHeight="1">
      <c r="A7140" s="1119">
        <v>88298.0</v>
      </c>
      <c r="B7140" s="1125" t="s">
        <v>17424</v>
      </c>
      <c r="C7140" s="1126" t="s">
        <v>1470</v>
      </c>
      <c r="D7140" s="1119">
        <v>26.49</v>
      </c>
      <c r="E7140" s="1120">
        <v>19.8</v>
      </c>
      <c r="F7140" s="1121">
        <f t="shared" si="1"/>
        <v>6.69</v>
      </c>
      <c r="G7140" s="1120">
        <v>6.69</v>
      </c>
      <c r="H7140" s="1127">
        <v>0.0</v>
      </c>
      <c r="I7140" s="1127">
        <v>0.0</v>
      </c>
      <c r="J7140" s="1127">
        <v>0.0</v>
      </c>
      <c r="K7140" s="1124"/>
    </row>
    <row r="7141" ht="15.75" customHeight="1">
      <c r="A7141" s="1119">
        <v>88299.0</v>
      </c>
      <c r="B7141" s="1125" t="s">
        <v>17425</v>
      </c>
      <c r="C7141" s="1126" t="s">
        <v>1470</v>
      </c>
      <c r="D7141" s="1119">
        <v>29.93</v>
      </c>
      <c r="E7141" s="1120">
        <v>23.24</v>
      </c>
      <c r="F7141" s="1121">
        <f t="shared" si="1"/>
        <v>6.69</v>
      </c>
      <c r="G7141" s="1120">
        <v>6.69</v>
      </c>
      <c r="H7141" s="1127">
        <v>0.0</v>
      </c>
      <c r="I7141" s="1127">
        <v>0.0</v>
      </c>
      <c r="J7141" s="1127">
        <v>0.0</v>
      </c>
      <c r="K7141" s="1124"/>
    </row>
    <row r="7142" ht="15.75" customHeight="1">
      <c r="A7142" s="1119">
        <v>88300.0</v>
      </c>
      <c r="B7142" s="1125" t="s">
        <v>17426</v>
      </c>
      <c r="C7142" s="1126" t="s">
        <v>1470</v>
      </c>
      <c r="D7142" s="1119">
        <v>35.2</v>
      </c>
      <c r="E7142" s="1120">
        <v>28.51</v>
      </c>
      <c r="F7142" s="1121">
        <f t="shared" si="1"/>
        <v>6.69</v>
      </c>
      <c r="G7142" s="1120">
        <v>6.69</v>
      </c>
      <c r="H7142" s="1127">
        <v>0.0</v>
      </c>
      <c r="I7142" s="1127">
        <v>0.0</v>
      </c>
      <c r="J7142" s="1127">
        <v>0.0</v>
      </c>
      <c r="K7142" s="1124"/>
    </row>
    <row r="7143" ht="15.75" customHeight="1">
      <c r="A7143" s="1119">
        <v>88301.0</v>
      </c>
      <c r="B7143" s="1125" t="s">
        <v>17427</v>
      </c>
      <c r="C7143" s="1126" t="s">
        <v>1470</v>
      </c>
      <c r="D7143" s="1119">
        <v>30.26</v>
      </c>
      <c r="E7143" s="1120">
        <v>23.57</v>
      </c>
      <c r="F7143" s="1121">
        <f t="shared" si="1"/>
        <v>6.69</v>
      </c>
      <c r="G7143" s="1120">
        <v>6.69</v>
      </c>
      <c r="H7143" s="1127">
        <v>0.0</v>
      </c>
      <c r="I7143" s="1127">
        <v>0.0</v>
      </c>
      <c r="J7143" s="1127">
        <v>0.0</v>
      </c>
      <c r="K7143" s="1124"/>
    </row>
    <row r="7144" ht="15.75" customHeight="1">
      <c r="A7144" s="1119">
        <v>88302.0</v>
      </c>
      <c r="B7144" s="1125" t="s">
        <v>17428</v>
      </c>
      <c r="C7144" s="1126" t="s">
        <v>1470</v>
      </c>
      <c r="D7144" s="1119">
        <v>30.67</v>
      </c>
      <c r="E7144" s="1120">
        <v>23.98</v>
      </c>
      <c r="F7144" s="1121">
        <f t="shared" si="1"/>
        <v>6.69</v>
      </c>
      <c r="G7144" s="1120">
        <v>6.69</v>
      </c>
      <c r="H7144" s="1127">
        <v>0.0</v>
      </c>
      <c r="I7144" s="1127">
        <v>0.0</v>
      </c>
      <c r="J7144" s="1127">
        <v>0.0</v>
      </c>
      <c r="K7144" s="1124"/>
    </row>
    <row r="7145" ht="15.75" customHeight="1">
      <c r="A7145" s="1119">
        <v>88303.0</v>
      </c>
      <c r="B7145" s="1125" t="s">
        <v>17429</v>
      </c>
      <c r="C7145" s="1126" t="s">
        <v>1470</v>
      </c>
      <c r="D7145" s="1119">
        <v>27.59</v>
      </c>
      <c r="E7145" s="1120">
        <v>20.9</v>
      </c>
      <c r="F7145" s="1121">
        <f t="shared" si="1"/>
        <v>6.69</v>
      </c>
      <c r="G7145" s="1120">
        <v>6.69</v>
      </c>
      <c r="H7145" s="1127">
        <v>0.0</v>
      </c>
      <c r="I7145" s="1127">
        <v>0.0</v>
      </c>
      <c r="J7145" s="1127">
        <v>0.0</v>
      </c>
      <c r="K7145" s="1124"/>
    </row>
    <row r="7146" ht="15.75" customHeight="1">
      <c r="A7146" s="1119">
        <v>88304.0</v>
      </c>
      <c r="B7146" s="1125" t="s">
        <v>17430</v>
      </c>
      <c r="C7146" s="1126" t="s">
        <v>1470</v>
      </c>
      <c r="D7146" s="1119">
        <v>27.27</v>
      </c>
      <c r="E7146" s="1120">
        <v>20.58</v>
      </c>
      <c r="F7146" s="1121">
        <f t="shared" si="1"/>
        <v>6.69</v>
      </c>
      <c r="G7146" s="1120">
        <v>6.69</v>
      </c>
      <c r="H7146" s="1127">
        <v>0.0</v>
      </c>
      <c r="I7146" s="1127">
        <v>0.0</v>
      </c>
      <c r="J7146" s="1127">
        <v>0.0</v>
      </c>
      <c r="K7146" s="1124"/>
    </row>
    <row r="7147" ht="15.75" customHeight="1">
      <c r="A7147" s="1119">
        <v>88306.0</v>
      </c>
      <c r="B7147" s="1125" t="s">
        <v>17431</v>
      </c>
      <c r="C7147" s="1126" t="s">
        <v>1470</v>
      </c>
      <c r="D7147" s="1119">
        <v>29.17</v>
      </c>
      <c r="E7147" s="1120">
        <v>22.48</v>
      </c>
      <c r="F7147" s="1121">
        <f t="shared" si="1"/>
        <v>6.69</v>
      </c>
      <c r="G7147" s="1120">
        <v>6.69</v>
      </c>
      <c r="H7147" s="1127">
        <v>0.0</v>
      </c>
      <c r="I7147" s="1127">
        <v>0.0</v>
      </c>
      <c r="J7147" s="1127">
        <v>0.0</v>
      </c>
      <c r="K7147" s="1124"/>
    </row>
    <row r="7148" ht="15.75" customHeight="1">
      <c r="A7148" s="1119">
        <v>88307.0</v>
      </c>
      <c r="B7148" s="1125" t="s">
        <v>17432</v>
      </c>
      <c r="C7148" s="1126" t="s">
        <v>1470</v>
      </c>
      <c r="D7148" s="1119">
        <v>29.12</v>
      </c>
      <c r="E7148" s="1120">
        <v>22.43</v>
      </c>
      <c r="F7148" s="1121">
        <f t="shared" si="1"/>
        <v>6.69</v>
      </c>
      <c r="G7148" s="1120">
        <v>6.69</v>
      </c>
      <c r="H7148" s="1127">
        <v>0.0</v>
      </c>
      <c r="I7148" s="1127">
        <v>0.0</v>
      </c>
      <c r="J7148" s="1127">
        <v>0.0</v>
      </c>
      <c r="K7148" s="1124"/>
    </row>
    <row r="7149" ht="15.75" customHeight="1">
      <c r="A7149" s="1119">
        <v>88308.0</v>
      </c>
      <c r="B7149" s="1125" t="s">
        <v>17433</v>
      </c>
      <c r="C7149" s="1126" t="s">
        <v>1470</v>
      </c>
      <c r="D7149" s="1119">
        <v>32.39</v>
      </c>
      <c r="E7149" s="1120">
        <v>24.52</v>
      </c>
      <c r="F7149" s="1121">
        <f t="shared" si="1"/>
        <v>7.87</v>
      </c>
      <c r="G7149" s="1120">
        <v>7.87</v>
      </c>
      <c r="H7149" s="1127">
        <v>0.0</v>
      </c>
      <c r="I7149" s="1127">
        <v>0.0</v>
      </c>
      <c r="J7149" s="1127">
        <v>0.0</v>
      </c>
      <c r="K7149" s="1124"/>
    </row>
    <row r="7150" ht="15.75" customHeight="1">
      <c r="A7150" s="1119">
        <v>88309.0</v>
      </c>
      <c r="B7150" s="1125" t="s">
        <v>17434</v>
      </c>
      <c r="C7150" s="1126" t="s">
        <v>1470</v>
      </c>
      <c r="D7150" s="1119">
        <v>32.55</v>
      </c>
      <c r="E7150" s="1120">
        <v>24.68</v>
      </c>
      <c r="F7150" s="1121">
        <f t="shared" si="1"/>
        <v>7.87</v>
      </c>
      <c r="G7150" s="1120">
        <v>7.87</v>
      </c>
      <c r="H7150" s="1127">
        <v>0.0</v>
      </c>
      <c r="I7150" s="1127">
        <v>0.0</v>
      </c>
      <c r="J7150" s="1127">
        <v>0.0</v>
      </c>
      <c r="K7150" s="1124"/>
    </row>
    <row r="7151" ht="15.75" customHeight="1">
      <c r="A7151" s="1119">
        <v>88310.0</v>
      </c>
      <c r="B7151" s="1125" t="s">
        <v>17435</v>
      </c>
      <c r="C7151" s="1126" t="s">
        <v>1470</v>
      </c>
      <c r="D7151" s="1119">
        <v>33.74</v>
      </c>
      <c r="E7151" s="1120">
        <v>24.52</v>
      </c>
      <c r="F7151" s="1121">
        <f t="shared" si="1"/>
        <v>9.22</v>
      </c>
      <c r="G7151" s="1120">
        <v>9.22</v>
      </c>
      <c r="H7151" s="1127">
        <v>0.0</v>
      </c>
      <c r="I7151" s="1127">
        <v>0.0</v>
      </c>
      <c r="J7151" s="1127">
        <v>0.0</v>
      </c>
      <c r="K7151" s="1124"/>
    </row>
    <row r="7152" ht="15.75" customHeight="1">
      <c r="A7152" s="1119">
        <v>88311.0</v>
      </c>
      <c r="B7152" s="1125" t="s">
        <v>17436</v>
      </c>
      <c r="C7152" s="1126" t="s">
        <v>1470</v>
      </c>
      <c r="D7152" s="1119">
        <v>33.01</v>
      </c>
      <c r="E7152" s="1120">
        <v>23.79</v>
      </c>
      <c r="F7152" s="1121">
        <f t="shared" si="1"/>
        <v>9.22</v>
      </c>
      <c r="G7152" s="1120">
        <v>9.22</v>
      </c>
      <c r="H7152" s="1127">
        <v>0.0</v>
      </c>
      <c r="I7152" s="1127">
        <v>0.0</v>
      </c>
      <c r="J7152" s="1127">
        <v>0.0</v>
      </c>
      <c r="K7152" s="1124"/>
    </row>
    <row r="7153" ht="15.75" customHeight="1">
      <c r="A7153" s="1119">
        <v>88312.0</v>
      </c>
      <c r="B7153" s="1125" t="s">
        <v>17437</v>
      </c>
      <c r="C7153" s="1126" t="s">
        <v>1470</v>
      </c>
      <c r="D7153" s="1119">
        <v>33.74</v>
      </c>
      <c r="E7153" s="1120">
        <v>24.52</v>
      </c>
      <c r="F7153" s="1121">
        <f t="shared" si="1"/>
        <v>9.22</v>
      </c>
      <c r="G7153" s="1120">
        <v>9.22</v>
      </c>
      <c r="H7153" s="1127">
        <v>0.0</v>
      </c>
      <c r="I7153" s="1127">
        <v>0.0</v>
      </c>
      <c r="J7153" s="1127">
        <v>0.0</v>
      </c>
      <c r="K7153" s="1124"/>
    </row>
    <row r="7154" ht="15.75" customHeight="1">
      <c r="A7154" s="1119">
        <v>88313.0</v>
      </c>
      <c r="B7154" s="1125" t="s">
        <v>17438</v>
      </c>
      <c r="C7154" s="1126" t="s">
        <v>1470</v>
      </c>
      <c r="D7154" s="1119">
        <v>24.96</v>
      </c>
      <c r="E7154" s="1120">
        <v>18.27</v>
      </c>
      <c r="F7154" s="1121">
        <f t="shared" si="1"/>
        <v>6.69</v>
      </c>
      <c r="G7154" s="1120">
        <v>6.69</v>
      </c>
      <c r="H7154" s="1127">
        <v>0.0</v>
      </c>
      <c r="I7154" s="1127">
        <v>0.0</v>
      </c>
      <c r="J7154" s="1127">
        <v>0.0</v>
      </c>
      <c r="K7154" s="1124"/>
    </row>
    <row r="7155" ht="15.75" customHeight="1">
      <c r="A7155" s="1119">
        <v>88314.0</v>
      </c>
      <c r="B7155" s="1125" t="s">
        <v>17439</v>
      </c>
      <c r="C7155" s="1126" t="s">
        <v>1470</v>
      </c>
      <c r="D7155" s="1119">
        <v>22.84</v>
      </c>
      <c r="E7155" s="1120">
        <v>16.15</v>
      </c>
      <c r="F7155" s="1121">
        <f t="shared" si="1"/>
        <v>6.69</v>
      </c>
      <c r="G7155" s="1120">
        <v>6.69</v>
      </c>
      <c r="H7155" s="1127">
        <v>0.0</v>
      </c>
      <c r="I7155" s="1127">
        <v>0.0</v>
      </c>
      <c r="J7155" s="1127">
        <v>0.0</v>
      </c>
      <c r="K7155" s="1124"/>
    </row>
    <row r="7156" ht="15.75" customHeight="1">
      <c r="A7156" s="1119">
        <v>88315.0</v>
      </c>
      <c r="B7156" s="1125" t="s">
        <v>17440</v>
      </c>
      <c r="C7156" s="1126" t="s">
        <v>1470</v>
      </c>
      <c r="D7156" s="1119">
        <v>32.31</v>
      </c>
      <c r="E7156" s="1120">
        <v>24.44</v>
      </c>
      <c r="F7156" s="1121">
        <f t="shared" si="1"/>
        <v>7.87</v>
      </c>
      <c r="G7156" s="1120">
        <v>7.87</v>
      </c>
      <c r="H7156" s="1127">
        <v>0.0</v>
      </c>
      <c r="I7156" s="1127">
        <v>0.0</v>
      </c>
      <c r="J7156" s="1127">
        <v>0.0</v>
      </c>
      <c r="K7156" s="1124"/>
    </row>
    <row r="7157" ht="15.75" customHeight="1">
      <c r="A7157" s="1119">
        <v>88316.0</v>
      </c>
      <c r="B7157" s="1125" t="s">
        <v>17441</v>
      </c>
      <c r="C7157" s="1126" t="s">
        <v>1470</v>
      </c>
      <c r="D7157" s="1119">
        <v>25.12</v>
      </c>
      <c r="E7157" s="1120">
        <v>17.42</v>
      </c>
      <c r="F7157" s="1121">
        <f t="shared" si="1"/>
        <v>7.7</v>
      </c>
      <c r="G7157" s="1120">
        <v>7.7</v>
      </c>
      <c r="H7157" s="1127">
        <v>0.0</v>
      </c>
      <c r="I7157" s="1127">
        <v>0.0</v>
      </c>
      <c r="J7157" s="1127">
        <v>0.0</v>
      </c>
      <c r="K7157" s="1124"/>
    </row>
    <row r="7158" ht="15.75" customHeight="1">
      <c r="A7158" s="1119">
        <v>88317.0</v>
      </c>
      <c r="B7158" s="1125" t="s">
        <v>17442</v>
      </c>
      <c r="C7158" s="1126" t="s">
        <v>1470</v>
      </c>
      <c r="D7158" s="1119">
        <v>33.83</v>
      </c>
      <c r="E7158" s="1120">
        <v>25.12</v>
      </c>
      <c r="F7158" s="1121">
        <f t="shared" si="1"/>
        <v>8.71</v>
      </c>
      <c r="G7158" s="1120">
        <v>8.71</v>
      </c>
      <c r="H7158" s="1127">
        <v>0.0</v>
      </c>
      <c r="I7158" s="1127">
        <v>0.0</v>
      </c>
      <c r="J7158" s="1127">
        <v>0.0</v>
      </c>
      <c r="K7158" s="1124"/>
    </row>
    <row r="7159" ht="15.75" customHeight="1">
      <c r="A7159" s="1119">
        <v>88318.0</v>
      </c>
      <c r="B7159" s="1125" t="s">
        <v>17443</v>
      </c>
      <c r="C7159" s="1126" t="s">
        <v>1470</v>
      </c>
      <c r="D7159" s="1119">
        <v>29.04</v>
      </c>
      <c r="E7159" s="1120">
        <v>20.33</v>
      </c>
      <c r="F7159" s="1121">
        <f t="shared" si="1"/>
        <v>8.71</v>
      </c>
      <c r="G7159" s="1120">
        <v>8.71</v>
      </c>
      <c r="H7159" s="1127">
        <v>0.0</v>
      </c>
      <c r="I7159" s="1127">
        <v>0.0</v>
      </c>
      <c r="J7159" s="1127">
        <v>0.0</v>
      </c>
      <c r="K7159" s="1124"/>
    </row>
    <row r="7160" ht="15.75" customHeight="1">
      <c r="A7160" s="1119">
        <v>88320.0</v>
      </c>
      <c r="B7160" s="1125" t="s">
        <v>17444</v>
      </c>
      <c r="C7160" s="1126" t="s">
        <v>1470</v>
      </c>
      <c r="D7160" s="1119">
        <v>32.13</v>
      </c>
      <c r="E7160" s="1120">
        <v>24.44</v>
      </c>
      <c r="F7160" s="1121">
        <f t="shared" si="1"/>
        <v>7.69</v>
      </c>
      <c r="G7160" s="1120">
        <v>7.69</v>
      </c>
      <c r="H7160" s="1127">
        <v>0.0</v>
      </c>
      <c r="I7160" s="1127">
        <v>0.0</v>
      </c>
      <c r="J7160" s="1127">
        <v>0.0</v>
      </c>
      <c r="K7160" s="1124"/>
    </row>
    <row r="7161" ht="15.75" customHeight="1">
      <c r="A7161" s="1119">
        <v>88321.0</v>
      </c>
      <c r="B7161" s="1125" t="s">
        <v>17445</v>
      </c>
      <c r="C7161" s="1126" t="s">
        <v>1470</v>
      </c>
      <c r="D7161" s="1119">
        <v>37.64</v>
      </c>
      <c r="E7161" s="1120">
        <v>35.62</v>
      </c>
      <c r="F7161" s="1121">
        <f t="shared" si="1"/>
        <v>2.02</v>
      </c>
      <c r="G7161" s="1120">
        <v>2.02</v>
      </c>
      <c r="H7161" s="1127">
        <v>0.0</v>
      </c>
      <c r="I7161" s="1127">
        <v>0.0</v>
      </c>
      <c r="J7161" s="1127">
        <v>0.0</v>
      </c>
      <c r="K7161" s="1124"/>
    </row>
    <row r="7162" ht="15.75" customHeight="1">
      <c r="A7162" s="1119">
        <v>88322.0</v>
      </c>
      <c r="B7162" s="1125" t="s">
        <v>17446</v>
      </c>
      <c r="C7162" s="1126" t="s">
        <v>1470</v>
      </c>
      <c r="D7162" s="1119">
        <v>28.08</v>
      </c>
      <c r="E7162" s="1120">
        <v>26.04</v>
      </c>
      <c r="F7162" s="1121">
        <f t="shared" si="1"/>
        <v>2.04</v>
      </c>
      <c r="G7162" s="1120">
        <v>2.04</v>
      </c>
      <c r="H7162" s="1127">
        <v>0.0</v>
      </c>
      <c r="I7162" s="1127">
        <v>0.0</v>
      </c>
      <c r="J7162" s="1127">
        <v>0.0</v>
      </c>
      <c r="K7162" s="1124"/>
    </row>
    <row r="7163" ht="15.75" customHeight="1">
      <c r="A7163" s="1119">
        <v>88323.0</v>
      </c>
      <c r="B7163" s="1125" t="s">
        <v>17447</v>
      </c>
      <c r="C7163" s="1126" t="s">
        <v>1470</v>
      </c>
      <c r="D7163" s="1119">
        <v>31.81</v>
      </c>
      <c r="E7163" s="1120">
        <v>24.12</v>
      </c>
      <c r="F7163" s="1121">
        <f t="shared" si="1"/>
        <v>7.69</v>
      </c>
      <c r="G7163" s="1120">
        <v>7.69</v>
      </c>
      <c r="H7163" s="1127">
        <v>0.0</v>
      </c>
      <c r="I7163" s="1127">
        <v>0.0</v>
      </c>
      <c r="J7163" s="1127">
        <v>0.0</v>
      </c>
      <c r="K7163" s="1124"/>
    </row>
    <row r="7164" ht="15.75" customHeight="1">
      <c r="A7164" s="1119">
        <v>88324.0</v>
      </c>
      <c r="B7164" s="1125" t="s">
        <v>17448</v>
      </c>
      <c r="C7164" s="1126" t="s">
        <v>1470</v>
      </c>
      <c r="D7164" s="1119">
        <v>33.17</v>
      </c>
      <c r="E7164" s="1120">
        <v>26.48</v>
      </c>
      <c r="F7164" s="1121">
        <f t="shared" si="1"/>
        <v>6.69</v>
      </c>
      <c r="G7164" s="1120">
        <v>6.69</v>
      </c>
      <c r="H7164" s="1127">
        <v>0.0</v>
      </c>
      <c r="I7164" s="1127">
        <v>0.0</v>
      </c>
      <c r="J7164" s="1127">
        <v>0.0</v>
      </c>
      <c r="K7164" s="1124"/>
    </row>
    <row r="7165" ht="15.75" customHeight="1">
      <c r="A7165" s="1119">
        <v>88325.0</v>
      </c>
      <c r="B7165" s="1125" t="s">
        <v>17449</v>
      </c>
      <c r="C7165" s="1126" t="s">
        <v>1470</v>
      </c>
      <c r="D7165" s="1119">
        <v>32.73</v>
      </c>
      <c r="E7165" s="1120">
        <v>24.86</v>
      </c>
      <c r="F7165" s="1121">
        <f t="shared" si="1"/>
        <v>7.87</v>
      </c>
      <c r="G7165" s="1120">
        <v>7.87</v>
      </c>
      <c r="H7165" s="1127">
        <v>0.0</v>
      </c>
      <c r="I7165" s="1127">
        <v>0.0</v>
      </c>
      <c r="J7165" s="1127">
        <v>0.0</v>
      </c>
      <c r="K7165" s="1124"/>
    </row>
    <row r="7166" ht="15.75" customHeight="1">
      <c r="A7166" s="1119">
        <v>88326.0</v>
      </c>
      <c r="B7166" s="1125" t="s">
        <v>17450</v>
      </c>
      <c r="C7166" s="1126" t="s">
        <v>1470</v>
      </c>
      <c r="D7166" s="1119">
        <v>31.19</v>
      </c>
      <c r="E7166" s="1120">
        <v>23.49</v>
      </c>
      <c r="F7166" s="1121">
        <f t="shared" si="1"/>
        <v>7.7</v>
      </c>
      <c r="G7166" s="1120">
        <v>7.7</v>
      </c>
      <c r="H7166" s="1127">
        <v>0.0</v>
      </c>
      <c r="I7166" s="1127">
        <v>0.0</v>
      </c>
      <c r="J7166" s="1127">
        <v>0.0</v>
      </c>
      <c r="K7166" s="1124"/>
    </row>
    <row r="7167" ht="15.75" customHeight="1">
      <c r="A7167" s="1119">
        <v>88377.0</v>
      </c>
      <c r="B7167" s="1125" t="s">
        <v>17451</v>
      </c>
      <c r="C7167" s="1126" t="s">
        <v>1470</v>
      </c>
      <c r="D7167" s="1119">
        <v>24.59</v>
      </c>
      <c r="E7167" s="1120">
        <v>17.9</v>
      </c>
      <c r="F7167" s="1121">
        <f t="shared" si="1"/>
        <v>6.69</v>
      </c>
      <c r="G7167" s="1120">
        <v>6.69</v>
      </c>
      <c r="H7167" s="1127">
        <v>0.0</v>
      </c>
      <c r="I7167" s="1127">
        <v>0.0</v>
      </c>
      <c r="J7167" s="1127">
        <v>0.0</v>
      </c>
      <c r="K7167" s="1124"/>
    </row>
    <row r="7168" ht="15.75" customHeight="1">
      <c r="A7168" s="1119">
        <v>88441.0</v>
      </c>
      <c r="B7168" s="1125" t="s">
        <v>17452</v>
      </c>
      <c r="C7168" s="1126" t="s">
        <v>1470</v>
      </c>
      <c r="D7168" s="1119">
        <v>26.16</v>
      </c>
      <c r="E7168" s="1120">
        <v>18.29</v>
      </c>
      <c r="F7168" s="1121">
        <f t="shared" si="1"/>
        <v>7.87</v>
      </c>
      <c r="G7168" s="1120">
        <v>7.87</v>
      </c>
      <c r="H7168" s="1127">
        <v>0.0</v>
      </c>
      <c r="I7168" s="1127">
        <v>0.0</v>
      </c>
      <c r="J7168" s="1127">
        <v>0.0</v>
      </c>
      <c r="K7168" s="1124"/>
    </row>
    <row r="7169" ht="15.75" customHeight="1">
      <c r="A7169" s="1119">
        <v>88597.0</v>
      </c>
      <c r="B7169" s="1125" t="s">
        <v>17453</v>
      </c>
      <c r="C7169" s="1126" t="s">
        <v>1470</v>
      </c>
      <c r="D7169" s="1119">
        <v>39.51</v>
      </c>
      <c r="E7169" s="1120">
        <v>37.55</v>
      </c>
      <c r="F7169" s="1121">
        <f t="shared" si="1"/>
        <v>1.96</v>
      </c>
      <c r="G7169" s="1120">
        <v>1.96</v>
      </c>
      <c r="H7169" s="1127">
        <v>0.0</v>
      </c>
      <c r="I7169" s="1127">
        <v>0.0</v>
      </c>
      <c r="J7169" s="1127">
        <v>0.0</v>
      </c>
      <c r="K7169" s="1124"/>
    </row>
    <row r="7170" ht="15.75" customHeight="1">
      <c r="A7170" s="1119">
        <v>90766.0</v>
      </c>
      <c r="B7170" s="1125" t="s">
        <v>17454</v>
      </c>
      <c r="C7170" s="1126" t="s">
        <v>1470</v>
      </c>
      <c r="D7170" s="1119">
        <v>26.29</v>
      </c>
      <c r="E7170" s="1120">
        <v>24.27</v>
      </c>
      <c r="F7170" s="1121">
        <f t="shared" si="1"/>
        <v>2.02</v>
      </c>
      <c r="G7170" s="1120">
        <v>2.02</v>
      </c>
      <c r="H7170" s="1127">
        <v>0.0</v>
      </c>
      <c r="I7170" s="1127">
        <v>0.0</v>
      </c>
      <c r="J7170" s="1127">
        <v>0.0</v>
      </c>
      <c r="K7170" s="1124"/>
    </row>
    <row r="7171" ht="15.75" customHeight="1">
      <c r="A7171" s="1119">
        <v>90767.0</v>
      </c>
      <c r="B7171" s="1125" t="s">
        <v>17455</v>
      </c>
      <c r="C7171" s="1126" t="s">
        <v>1470</v>
      </c>
      <c r="D7171" s="1119">
        <v>23.79</v>
      </c>
      <c r="E7171" s="1120">
        <v>21.77</v>
      </c>
      <c r="F7171" s="1121">
        <f t="shared" si="1"/>
        <v>2.02</v>
      </c>
      <c r="G7171" s="1120">
        <v>2.02</v>
      </c>
      <c r="H7171" s="1127">
        <v>0.0</v>
      </c>
      <c r="I7171" s="1127">
        <v>0.0</v>
      </c>
      <c r="J7171" s="1127">
        <v>0.0</v>
      </c>
      <c r="K7171" s="1124"/>
    </row>
    <row r="7172" ht="15.75" customHeight="1">
      <c r="A7172" s="1119">
        <v>90768.0</v>
      </c>
      <c r="B7172" s="1125" t="s">
        <v>17456</v>
      </c>
      <c r="C7172" s="1126" t="s">
        <v>1470</v>
      </c>
      <c r="D7172" s="1119">
        <v>84.21</v>
      </c>
      <c r="E7172" s="1120">
        <v>82.28</v>
      </c>
      <c r="F7172" s="1121">
        <f t="shared" si="1"/>
        <v>1.93</v>
      </c>
      <c r="G7172" s="1120">
        <v>1.93</v>
      </c>
      <c r="H7172" s="1127">
        <v>0.0</v>
      </c>
      <c r="I7172" s="1127">
        <v>0.0</v>
      </c>
      <c r="J7172" s="1127">
        <v>0.0</v>
      </c>
      <c r="K7172" s="1124"/>
    </row>
    <row r="7173" ht="15.75" customHeight="1">
      <c r="A7173" s="1119">
        <v>90769.0</v>
      </c>
      <c r="B7173" s="1125" t="s">
        <v>17457</v>
      </c>
      <c r="C7173" s="1126" t="s">
        <v>1470</v>
      </c>
      <c r="D7173" s="1119">
        <v>118.79</v>
      </c>
      <c r="E7173" s="1120">
        <v>116.86</v>
      </c>
      <c r="F7173" s="1121">
        <f t="shared" si="1"/>
        <v>1.93</v>
      </c>
      <c r="G7173" s="1120">
        <v>1.93</v>
      </c>
      <c r="H7173" s="1127">
        <v>0.0</v>
      </c>
      <c r="I7173" s="1127">
        <v>0.0</v>
      </c>
      <c r="J7173" s="1127">
        <v>0.0</v>
      </c>
      <c r="K7173" s="1124"/>
    </row>
    <row r="7174" ht="15.75" customHeight="1">
      <c r="A7174" s="1119">
        <v>90770.0</v>
      </c>
      <c r="B7174" s="1125" t="s">
        <v>17458</v>
      </c>
      <c r="C7174" s="1126" t="s">
        <v>1470</v>
      </c>
      <c r="D7174" s="1119">
        <v>156.44</v>
      </c>
      <c r="E7174" s="1120">
        <v>154.51</v>
      </c>
      <c r="F7174" s="1121">
        <f t="shared" si="1"/>
        <v>1.93</v>
      </c>
      <c r="G7174" s="1120">
        <v>1.93</v>
      </c>
      <c r="H7174" s="1127">
        <v>0.0</v>
      </c>
      <c r="I7174" s="1127">
        <v>0.0</v>
      </c>
      <c r="J7174" s="1127">
        <v>0.0</v>
      </c>
      <c r="K7174" s="1124"/>
    </row>
    <row r="7175" ht="15.75" customHeight="1">
      <c r="A7175" s="1119">
        <v>90771.0</v>
      </c>
      <c r="B7175" s="1125" t="s">
        <v>17459</v>
      </c>
      <c r="C7175" s="1126" t="s">
        <v>1470</v>
      </c>
      <c r="D7175" s="1119">
        <v>18.74</v>
      </c>
      <c r="E7175" s="1120">
        <v>16.78</v>
      </c>
      <c r="F7175" s="1121">
        <f t="shared" si="1"/>
        <v>1.96</v>
      </c>
      <c r="G7175" s="1120">
        <v>1.96</v>
      </c>
      <c r="H7175" s="1127">
        <v>0.0</v>
      </c>
      <c r="I7175" s="1127">
        <v>0.0</v>
      </c>
      <c r="J7175" s="1127">
        <v>0.0</v>
      </c>
      <c r="K7175" s="1124"/>
    </row>
    <row r="7176" ht="15.75" customHeight="1">
      <c r="A7176" s="1119">
        <v>90772.0</v>
      </c>
      <c r="B7176" s="1125" t="s">
        <v>17460</v>
      </c>
      <c r="C7176" s="1126" t="s">
        <v>1470</v>
      </c>
      <c r="D7176" s="1119">
        <v>21.45</v>
      </c>
      <c r="E7176" s="1120">
        <v>19.43</v>
      </c>
      <c r="F7176" s="1121">
        <f t="shared" si="1"/>
        <v>2.02</v>
      </c>
      <c r="G7176" s="1120">
        <v>2.02</v>
      </c>
      <c r="H7176" s="1127">
        <v>0.0</v>
      </c>
      <c r="I7176" s="1127">
        <v>0.0</v>
      </c>
      <c r="J7176" s="1127">
        <v>0.0</v>
      </c>
      <c r="K7176" s="1124"/>
    </row>
    <row r="7177" ht="15.75" customHeight="1">
      <c r="A7177" s="1119">
        <v>90773.0</v>
      </c>
      <c r="B7177" s="1125" t="s">
        <v>17461</v>
      </c>
      <c r="C7177" s="1126" t="s">
        <v>1470</v>
      </c>
      <c r="D7177" s="1119">
        <v>14.32</v>
      </c>
      <c r="E7177" s="1120">
        <v>12.36</v>
      </c>
      <c r="F7177" s="1121">
        <f t="shared" si="1"/>
        <v>1.96</v>
      </c>
      <c r="G7177" s="1120">
        <v>1.96</v>
      </c>
      <c r="H7177" s="1127">
        <v>0.0</v>
      </c>
      <c r="I7177" s="1127">
        <v>0.0</v>
      </c>
      <c r="J7177" s="1127">
        <v>0.0</v>
      </c>
      <c r="K7177" s="1124"/>
    </row>
    <row r="7178" ht="15.75" customHeight="1">
      <c r="A7178" s="1119">
        <v>90775.0</v>
      </c>
      <c r="B7178" s="1125" t="s">
        <v>17462</v>
      </c>
      <c r="C7178" s="1126" t="s">
        <v>1470</v>
      </c>
      <c r="D7178" s="1119">
        <v>21.85</v>
      </c>
      <c r="E7178" s="1120">
        <v>19.89</v>
      </c>
      <c r="F7178" s="1121">
        <f t="shared" si="1"/>
        <v>1.96</v>
      </c>
      <c r="G7178" s="1120">
        <v>1.96</v>
      </c>
      <c r="H7178" s="1127">
        <v>0.0</v>
      </c>
      <c r="I7178" s="1127">
        <v>0.0</v>
      </c>
      <c r="J7178" s="1127">
        <v>0.0</v>
      </c>
      <c r="K7178" s="1124"/>
    </row>
    <row r="7179" ht="15.75" customHeight="1">
      <c r="A7179" s="1119">
        <v>90776.0</v>
      </c>
      <c r="B7179" s="1125" t="s">
        <v>17463</v>
      </c>
      <c r="C7179" s="1126" t="s">
        <v>1470</v>
      </c>
      <c r="D7179" s="1119">
        <v>37.66</v>
      </c>
      <c r="E7179" s="1120">
        <v>35.17</v>
      </c>
      <c r="F7179" s="1121">
        <f t="shared" si="1"/>
        <v>2.49</v>
      </c>
      <c r="G7179" s="1120">
        <v>2.49</v>
      </c>
      <c r="H7179" s="1127">
        <v>0.0</v>
      </c>
      <c r="I7179" s="1127">
        <v>0.0</v>
      </c>
      <c r="J7179" s="1127">
        <v>0.0</v>
      </c>
      <c r="K7179" s="1124"/>
    </row>
    <row r="7180" ht="15.75" customHeight="1">
      <c r="A7180" s="1119">
        <v>90777.0</v>
      </c>
      <c r="B7180" s="1125" t="s">
        <v>17464</v>
      </c>
      <c r="C7180" s="1126" t="s">
        <v>1470</v>
      </c>
      <c r="D7180" s="1119">
        <v>114.31</v>
      </c>
      <c r="E7180" s="1120">
        <v>112.38</v>
      </c>
      <c r="F7180" s="1121">
        <f t="shared" si="1"/>
        <v>1.93</v>
      </c>
      <c r="G7180" s="1120">
        <v>1.93</v>
      </c>
      <c r="H7180" s="1127">
        <v>0.0</v>
      </c>
      <c r="I7180" s="1127">
        <v>0.0</v>
      </c>
      <c r="J7180" s="1127">
        <v>0.0</v>
      </c>
      <c r="K7180" s="1124"/>
    </row>
    <row r="7181" ht="15.75" customHeight="1">
      <c r="A7181" s="1119">
        <v>90778.0</v>
      </c>
      <c r="B7181" s="1125" t="s">
        <v>17465</v>
      </c>
      <c r="C7181" s="1126" t="s">
        <v>1470</v>
      </c>
      <c r="D7181" s="1119">
        <v>129.82</v>
      </c>
      <c r="E7181" s="1120">
        <v>127.89</v>
      </c>
      <c r="F7181" s="1121">
        <f t="shared" si="1"/>
        <v>1.93</v>
      </c>
      <c r="G7181" s="1120">
        <v>1.93</v>
      </c>
      <c r="H7181" s="1127">
        <v>0.0</v>
      </c>
      <c r="I7181" s="1127">
        <v>0.0</v>
      </c>
      <c r="J7181" s="1127">
        <v>0.0</v>
      </c>
      <c r="K7181" s="1124"/>
    </row>
    <row r="7182" ht="15.75" customHeight="1">
      <c r="A7182" s="1119">
        <v>90779.0</v>
      </c>
      <c r="B7182" s="1125" t="s">
        <v>17466</v>
      </c>
      <c r="C7182" s="1126" t="s">
        <v>1470</v>
      </c>
      <c r="D7182" s="1119">
        <v>176.77</v>
      </c>
      <c r="E7182" s="1120">
        <v>174.84</v>
      </c>
      <c r="F7182" s="1121">
        <f t="shared" si="1"/>
        <v>1.93</v>
      </c>
      <c r="G7182" s="1120">
        <v>1.93</v>
      </c>
      <c r="H7182" s="1127">
        <v>0.0</v>
      </c>
      <c r="I7182" s="1127">
        <v>0.0</v>
      </c>
      <c r="J7182" s="1127">
        <v>0.0</v>
      </c>
      <c r="K7182" s="1124"/>
    </row>
    <row r="7183" ht="15.75" customHeight="1">
      <c r="A7183" s="1119">
        <v>90780.0</v>
      </c>
      <c r="B7183" s="1125" t="s">
        <v>17467</v>
      </c>
      <c r="C7183" s="1126" t="s">
        <v>1470</v>
      </c>
      <c r="D7183" s="1119">
        <v>62.73</v>
      </c>
      <c r="E7183" s="1120">
        <v>60.24</v>
      </c>
      <c r="F7183" s="1121">
        <f t="shared" si="1"/>
        <v>2.49</v>
      </c>
      <c r="G7183" s="1120">
        <v>2.49</v>
      </c>
      <c r="H7183" s="1127">
        <v>0.0</v>
      </c>
      <c r="I7183" s="1127">
        <v>0.0</v>
      </c>
      <c r="J7183" s="1127">
        <v>0.0</v>
      </c>
      <c r="K7183" s="1124"/>
    </row>
    <row r="7184" ht="15.75" customHeight="1">
      <c r="A7184" s="1119">
        <v>90781.0</v>
      </c>
      <c r="B7184" s="1125" t="s">
        <v>17468</v>
      </c>
      <c r="C7184" s="1126" t="s">
        <v>1470</v>
      </c>
      <c r="D7184" s="1119">
        <v>26.32</v>
      </c>
      <c r="E7184" s="1120">
        <v>24.36</v>
      </c>
      <c r="F7184" s="1121">
        <f t="shared" si="1"/>
        <v>1.96</v>
      </c>
      <c r="G7184" s="1120">
        <v>1.96</v>
      </c>
      <c r="H7184" s="1127">
        <v>0.0</v>
      </c>
      <c r="I7184" s="1127">
        <v>0.0</v>
      </c>
      <c r="J7184" s="1127">
        <v>0.0</v>
      </c>
      <c r="K7184" s="1124"/>
    </row>
    <row r="7185" ht="15.75" customHeight="1">
      <c r="A7185" s="1119">
        <v>91677.0</v>
      </c>
      <c r="B7185" s="1125" t="s">
        <v>17469</v>
      </c>
      <c r="C7185" s="1126" t="s">
        <v>1470</v>
      </c>
      <c r="D7185" s="1119">
        <v>114.91</v>
      </c>
      <c r="E7185" s="1120">
        <v>112.98</v>
      </c>
      <c r="F7185" s="1121">
        <f t="shared" si="1"/>
        <v>1.93</v>
      </c>
      <c r="G7185" s="1120">
        <v>1.93</v>
      </c>
      <c r="H7185" s="1127">
        <v>0.0</v>
      </c>
      <c r="I7185" s="1127">
        <v>0.0</v>
      </c>
      <c r="J7185" s="1127">
        <v>0.0</v>
      </c>
      <c r="K7185" s="1124"/>
    </row>
    <row r="7186" ht="15.75" customHeight="1">
      <c r="A7186" s="1119">
        <v>91678.0</v>
      </c>
      <c r="B7186" s="1125" t="s">
        <v>17470</v>
      </c>
      <c r="C7186" s="1126" t="s">
        <v>1470</v>
      </c>
      <c r="D7186" s="1119">
        <v>77.95</v>
      </c>
      <c r="E7186" s="1120">
        <v>76.02</v>
      </c>
      <c r="F7186" s="1121">
        <f t="shared" si="1"/>
        <v>1.93</v>
      </c>
      <c r="G7186" s="1120">
        <v>1.93</v>
      </c>
      <c r="H7186" s="1127">
        <v>0.0</v>
      </c>
      <c r="I7186" s="1127">
        <v>0.0</v>
      </c>
      <c r="J7186" s="1127">
        <v>0.0</v>
      </c>
      <c r="K7186" s="1124"/>
    </row>
    <row r="7187" ht="15.75" customHeight="1">
      <c r="A7187" s="1119">
        <v>93558.0</v>
      </c>
      <c r="B7187" s="1125" t="s">
        <v>17471</v>
      </c>
      <c r="C7187" s="1126" t="s">
        <v>5454</v>
      </c>
      <c r="D7187" s="1128">
        <v>5604.21</v>
      </c>
      <c r="E7187" s="1120">
        <v>4344.4</v>
      </c>
      <c r="F7187" s="1121">
        <f t="shared" si="1"/>
        <v>1259.81</v>
      </c>
      <c r="G7187" s="1120">
        <v>1259.81</v>
      </c>
      <c r="H7187" s="1127">
        <v>0.0</v>
      </c>
      <c r="I7187" s="1127">
        <v>0.0</v>
      </c>
      <c r="J7187" s="1127">
        <v>0.0</v>
      </c>
      <c r="K7187" s="1124"/>
    </row>
    <row r="7188" ht="15.75" customHeight="1">
      <c r="A7188" s="1119">
        <v>93559.0</v>
      </c>
      <c r="B7188" s="1125" t="s">
        <v>17453</v>
      </c>
      <c r="C7188" s="1126" t="s">
        <v>5454</v>
      </c>
      <c r="D7188" s="1128">
        <v>6940.82</v>
      </c>
      <c r="E7188" s="1120">
        <v>6570.49</v>
      </c>
      <c r="F7188" s="1121">
        <f t="shared" si="1"/>
        <v>370.33</v>
      </c>
      <c r="G7188" s="1120">
        <v>370.33</v>
      </c>
      <c r="H7188" s="1127">
        <v>0.0</v>
      </c>
      <c r="I7188" s="1127">
        <v>0.0</v>
      </c>
      <c r="J7188" s="1127">
        <v>0.0</v>
      </c>
      <c r="K7188" s="1124"/>
    </row>
    <row r="7189" ht="15.75" customHeight="1">
      <c r="A7189" s="1119">
        <v>93560.0</v>
      </c>
      <c r="B7189" s="1125" t="s">
        <v>17461</v>
      </c>
      <c r="C7189" s="1126" t="s">
        <v>5454</v>
      </c>
      <c r="D7189" s="1128">
        <v>2534.88</v>
      </c>
      <c r="E7189" s="1120">
        <v>2164.55</v>
      </c>
      <c r="F7189" s="1121">
        <f t="shared" si="1"/>
        <v>370.33</v>
      </c>
      <c r="G7189" s="1120">
        <v>370.33</v>
      </c>
      <c r="H7189" s="1127">
        <v>0.0</v>
      </c>
      <c r="I7189" s="1127">
        <v>0.0</v>
      </c>
      <c r="J7189" s="1127">
        <v>0.0</v>
      </c>
      <c r="K7189" s="1124"/>
    </row>
    <row r="7190" ht="15.75" customHeight="1">
      <c r="A7190" s="1119">
        <v>93561.0</v>
      </c>
      <c r="B7190" s="1125" t="s">
        <v>17462</v>
      </c>
      <c r="C7190" s="1126" t="s">
        <v>5454</v>
      </c>
      <c r="D7190" s="1128">
        <v>3850.82</v>
      </c>
      <c r="E7190" s="1120">
        <v>3480.49</v>
      </c>
      <c r="F7190" s="1121">
        <f t="shared" si="1"/>
        <v>370.33</v>
      </c>
      <c r="G7190" s="1120">
        <v>370.33</v>
      </c>
      <c r="H7190" s="1127">
        <v>0.0</v>
      </c>
      <c r="I7190" s="1127">
        <v>0.0</v>
      </c>
      <c r="J7190" s="1127">
        <v>0.0</v>
      </c>
      <c r="K7190" s="1124"/>
    </row>
    <row r="7191" ht="15.75" customHeight="1">
      <c r="A7191" s="1119">
        <v>93562.0</v>
      </c>
      <c r="B7191" s="1125" t="s">
        <v>17459</v>
      </c>
      <c r="C7191" s="1126" t="s">
        <v>5454</v>
      </c>
      <c r="D7191" s="1128">
        <v>3309.51</v>
      </c>
      <c r="E7191" s="1120">
        <v>2939.18</v>
      </c>
      <c r="F7191" s="1121">
        <f t="shared" si="1"/>
        <v>370.33</v>
      </c>
      <c r="G7191" s="1120">
        <v>370.33</v>
      </c>
      <c r="H7191" s="1127">
        <v>0.0</v>
      </c>
      <c r="I7191" s="1127">
        <v>0.0</v>
      </c>
      <c r="J7191" s="1127">
        <v>0.0</v>
      </c>
      <c r="K7191" s="1124"/>
    </row>
    <row r="7192" ht="15.75" customHeight="1">
      <c r="A7192" s="1119">
        <v>93563.0</v>
      </c>
      <c r="B7192" s="1125" t="s">
        <v>17454</v>
      </c>
      <c r="C7192" s="1126" t="s">
        <v>5454</v>
      </c>
      <c r="D7192" s="1128">
        <v>4624.97</v>
      </c>
      <c r="E7192" s="1120">
        <v>4245.23</v>
      </c>
      <c r="F7192" s="1121">
        <f t="shared" si="1"/>
        <v>379.74</v>
      </c>
      <c r="G7192" s="1120">
        <v>379.74</v>
      </c>
      <c r="H7192" s="1127">
        <v>0.0</v>
      </c>
      <c r="I7192" s="1127">
        <v>0.0</v>
      </c>
      <c r="J7192" s="1127">
        <v>0.0</v>
      </c>
      <c r="K7192" s="1124"/>
    </row>
    <row r="7193" ht="15.75" customHeight="1">
      <c r="A7193" s="1119">
        <v>93564.0</v>
      </c>
      <c r="B7193" s="1125" t="s">
        <v>17455</v>
      </c>
      <c r="C7193" s="1126" t="s">
        <v>5454</v>
      </c>
      <c r="D7193" s="1128">
        <v>4173.61</v>
      </c>
      <c r="E7193" s="1120">
        <v>3793.87</v>
      </c>
      <c r="F7193" s="1121">
        <f t="shared" si="1"/>
        <v>379.74</v>
      </c>
      <c r="G7193" s="1120">
        <v>379.74</v>
      </c>
      <c r="H7193" s="1127">
        <v>0.0</v>
      </c>
      <c r="I7193" s="1127">
        <v>0.0</v>
      </c>
      <c r="J7193" s="1127">
        <v>0.0</v>
      </c>
      <c r="K7193" s="1124"/>
    </row>
    <row r="7194" ht="15.75" customHeight="1">
      <c r="A7194" s="1119">
        <v>93565.0</v>
      </c>
      <c r="B7194" s="1125" t="s">
        <v>17464</v>
      </c>
      <c r="C7194" s="1126" t="s">
        <v>5454</v>
      </c>
      <c r="D7194" s="1128">
        <v>19965.03</v>
      </c>
      <c r="E7194" s="1120">
        <v>19600.59</v>
      </c>
      <c r="F7194" s="1121">
        <f t="shared" si="1"/>
        <v>364.44</v>
      </c>
      <c r="G7194" s="1120">
        <v>364.44</v>
      </c>
      <c r="H7194" s="1127">
        <v>0.0</v>
      </c>
      <c r="I7194" s="1127">
        <v>0.0</v>
      </c>
      <c r="J7194" s="1127">
        <v>0.0</v>
      </c>
      <c r="K7194" s="1124"/>
    </row>
    <row r="7195" ht="15.75" customHeight="1">
      <c r="A7195" s="1119">
        <v>93566.0</v>
      </c>
      <c r="B7195" s="1125" t="s">
        <v>17460</v>
      </c>
      <c r="C7195" s="1126" t="s">
        <v>5454</v>
      </c>
      <c r="D7195" s="1128">
        <v>3780.98</v>
      </c>
      <c r="E7195" s="1120">
        <v>3401.24</v>
      </c>
      <c r="F7195" s="1121">
        <f t="shared" si="1"/>
        <v>379.74</v>
      </c>
      <c r="G7195" s="1120">
        <v>379.74</v>
      </c>
      <c r="H7195" s="1127">
        <v>0.0</v>
      </c>
      <c r="I7195" s="1127">
        <v>0.0</v>
      </c>
      <c r="J7195" s="1127">
        <v>0.0</v>
      </c>
      <c r="K7195" s="1124"/>
    </row>
    <row r="7196" ht="15.75" customHeight="1">
      <c r="A7196" s="1119">
        <v>93567.0</v>
      </c>
      <c r="B7196" s="1125" t="s">
        <v>17465</v>
      </c>
      <c r="C7196" s="1126" t="s">
        <v>5454</v>
      </c>
      <c r="D7196" s="1128">
        <v>22673.96</v>
      </c>
      <c r="E7196" s="1120">
        <v>22309.52</v>
      </c>
      <c r="F7196" s="1121">
        <f t="shared" si="1"/>
        <v>364.44</v>
      </c>
      <c r="G7196" s="1120">
        <v>364.44</v>
      </c>
      <c r="H7196" s="1127">
        <v>0.0</v>
      </c>
      <c r="I7196" s="1127">
        <v>0.0</v>
      </c>
      <c r="J7196" s="1127">
        <v>0.0</v>
      </c>
      <c r="K7196" s="1124"/>
    </row>
    <row r="7197" ht="15.75" customHeight="1">
      <c r="A7197" s="1119">
        <v>93568.0</v>
      </c>
      <c r="B7197" s="1125" t="s">
        <v>17466</v>
      </c>
      <c r="C7197" s="1126" t="s">
        <v>5454</v>
      </c>
      <c r="D7197" s="1128">
        <v>30860.95</v>
      </c>
      <c r="E7197" s="1120">
        <v>30496.51</v>
      </c>
      <c r="F7197" s="1121">
        <f t="shared" si="1"/>
        <v>364.44</v>
      </c>
      <c r="G7197" s="1120">
        <v>364.44</v>
      </c>
      <c r="H7197" s="1127">
        <v>0.0</v>
      </c>
      <c r="I7197" s="1127">
        <v>0.0</v>
      </c>
      <c r="J7197" s="1127">
        <v>0.0</v>
      </c>
      <c r="K7197" s="1124"/>
    </row>
    <row r="7198" ht="15.75" customHeight="1">
      <c r="A7198" s="1119">
        <v>93569.0</v>
      </c>
      <c r="B7198" s="1125" t="s">
        <v>17472</v>
      </c>
      <c r="C7198" s="1126" t="s">
        <v>5454</v>
      </c>
      <c r="D7198" s="1128">
        <v>14739.36</v>
      </c>
      <c r="E7198" s="1120">
        <v>14374.92</v>
      </c>
      <c r="F7198" s="1121">
        <f t="shared" si="1"/>
        <v>364.44</v>
      </c>
      <c r="G7198" s="1120">
        <v>364.44</v>
      </c>
      <c r="H7198" s="1127">
        <v>0.0</v>
      </c>
      <c r="I7198" s="1127">
        <v>0.0</v>
      </c>
      <c r="J7198" s="1127">
        <v>0.0</v>
      </c>
      <c r="K7198" s="1124"/>
    </row>
    <row r="7199" ht="15.75" customHeight="1">
      <c r="A7199" s="1119">
        <v>93570.0</v>
      </c>
      <c r="B7199" s="1125" t="s">
        <v>17473</v>
      </c>
      <c r="C7199" s="1126" t="s">
        <v>5454</v>
      </c>
      <c r="D7199" s="1128">
        <v>20782.8</v>
      </c>
      <c r="E7199" s="1120">
        <v>20418.36</v>
      </c>
      <c r="F7199" s="1121">
        <f t="shared" si="1"/>
        <v>364.44</v>
      </c>
      <c r="G7199" s="1120">
        <v>364.44</v>
      </c>
      <c r="H7199" s="1127">
        <v>0.0</v>
      </c>
      <c r="I7199" s="1127">
        <v>0.0</v>
      </c>
      <c r="J7199" s="1127">
        <v>0.0</v>
      </c>
      <c r="K7199" s="1124"/>
    </row>
    <row r="7200" ht="15.75" customHeight="1">
      <c r="A7200" s="1119">
        <v>93571.0</v>
      </c>
      <c r="B7200" s="1125" t="s">
        <v>17474</v>
      </c>
      <c r="C7200" s="1126" t="s">
        <v>5454</v>
      </c>
      <c r="D7200" s="1128">
        <v>27359.33</v>
      </c>
      <c r="E7200" s="1120">
        <v>26994.89</v>
      </c>
      <c r="F7200" s="1121">
        <f t="shared" si="1"/>
        <v>364.44</v>
      </c>
      <c r="G7200" s="1120">
        <v>364.44</v>
      </c>
      <c r="H7200" s="1127">
        <v>0.0</v>
      </c>
      <c r="I7200" s="1127">
        <v>0.0</v>
      </c>
      <c r="J7200" s="1127">
        <v>0.0</v>
      </c>
      <c r="K7200" s="1124"/>
    </row>
    <row r="7201" ht="15.75" customHeight="1">
      <c r="A7201" s="1119">
        <v>93572.0</v>
      </c>
      <c r="B7201" s="1125" t="s">
        <v>17475</v>
      </c>
      <c r="C7201" s="1126" t="s">
        <v>5454</v>
      </c>
      <c r="D7201" s="1128">
        <v>6597.52</v>
      </c>
      <c r="E7201" s="1120">
        <v>6126.07</v>
      </c>
      <c r="F7201" s="1121">
        <f t="shared" si="1"/>
        <v>471.45</v>
      </c>
      <c r="G7201" s="1120">
        <v>471.45</v>
      </c>
      <c r="H7201" s="1127">
        <v>0.0</v>
      </c>
      <c r="I7201" s="1127">
        <v>0.0</v>
      </c>
      <c r="J7201" s="1127">
        <v>0.0</v>
      </c>
      <c r="K7201" s="1124"/>
    </row>
    <row r="7202" ht="15.75" customHeight="1">
      <c r="A7202" s="1119">
        <v>94295.0</v>
      </c>
      <c r="B7202" s="1125" t="s">
        <v>17467</v>
      </c>
      <c r="C7202" s="1126" t="s">
        <v>5454</v>
      </c>
      <c r="D7202" s="1128">
        <v>10963.47</v>
      </c>
      <c r="E7202" s="1120">
        <v>10492.02</v>
      </c>
      <c r="F7202" s="1121">
        <f t="shared" si="1"/>
        <v>471.45</v>
      </c>
      <c r="G7202" s="1120">
        <v>471.45</v>
      </c>
      <c r="H7202" s="1127">
        <v>0.0</v>
      </c>
      <c r="I7202" s="1127">
        <v>0.0</v>
      </c>
      <c r="J7202" s="1127">
        <v>0.0</v>
      </c>
      <c r="K7202" s="1124"/>
    </row>
    <row r="7203" ht="15.75" customHeight="1">
      <c r="A7203" s="1119">
        <v>94296.0</v>
      </c>
      <c r="B7203" s="1125" t="s">
        <v>17468</v>
      </c>
      <c r="C7203" s="1126" t="s">
        <v>5454</v>
      </c>
      <c r="D7203" s="1128">
        <v>4626.34</v>
      </c>
      <c r="E7203" s="1120">
        <v>4256.01</v>
      </c>
      <c r="F7203" s="1121">
        <f t="shared" si="1"/>
        <v>370.33</v>
      </c>
      <c r="G7203" s="1120">
        <v>370.33</v>
      </c>
      <c r="H7203" s="1127">
        <v>0.0</v>
      </c>
      <c r="I7203" s="1127">
        <v>0.0</v>
      </c>
      <c r="J7203" s="1127">
        <v>0.0</v>
      </c>
      <c r="K7203" s="1124"/>
    </row>
    <row r="7204" ht="15.75" customHeight="1">
      <c r="A7204" s="1119">
        <v>95308.0</v>
      </c>
      <c r="B7204" s="1125" t="s">
        <v>17476</v>
      </c>
      <c r="C7204" s="1126" t="s">
        <v>1470</v>
      </c>
      <c r="D7204" s="1119">
        <v>0.2</v>
      </c>
      <c r="E7204" s="1120">
        <v>0.2</v>
      </c>
      <c r="F7204" s="1121">
        <f t="shared" si="1"/>
        <v>0</v>
      </c>
      <c r="G7204" s="1120">
        <v>0.0</v>
      </c>
      <c r="H7204" s="1127">
        <v>0.0</v>
      </c>
      <c r="I7204" s="1127">
        <v>0.0</v>
      </c>
      <c r="J7204" s="1127">
        <v>0.0</v>
      </c>
      <c r="K7204" s="1124"/>
    </row>
    <row r="7205" ht="15.75" customHeight="1">
      <c r="A7205" s="1119">
        <v>95309.0</v>
      </c>
      <c r="B7205" s="1125" t="s">
        <v>17477</v>
      </c>
      <c r="C7205" s="1126" t="s">
        <v>1470</v>
      </c>
      <c r="D7205" s="1119">
        <v>0.28</v>
      </c>
      <c r="E7205" s="1120">
        <v>0.28</v>
      </c>
      <c r="F7205" s="1121">
        <f t="shared" si="1"/>
        <v>0</v>
      </c>
      <c r="G7205" s="1120">
        <v>0.0</v>
      </c>
      <c r="H7205" s="1127">
        <v>0.0</v>
      </c>
      <c r="I7205" s="1127">
        <v>0.0</v>
      </c>
      <c r="J7205" s="1127">
        <v>0.0</v>
      </c>
      <c r="K7205" s="1124"/>
    </row>
    <row r="7206" ht="15.75" customHeight="1">
      <c r="A7206" s="1119">
        <v>95310.0</v>
      </c>
      <c r="B7206" s="1125" t="s">
        <v>17478</v>
      </c>
      <c r="C7206" s="1126" t="s">
        <v>1470</v>
      </c>
      <c r="D7206" s="1119">
        <v>0.19</v>
      </c>
      <c r="E7206" s="1120">
        <v>0.19</v>
      </c>
      <c r="F7206" s="1121">
        <f t="shared" si="1"/>
        <v>0</v>
      </c>
      <c r="G7206" s="1120">
        <v>0.0</v>
      </c>
      <c r="H7206" s="1127">
        <v>0.0</v>
      </c>
      <c r="I7206" s="1127">
        <v>0.0</v>
      </c>
      <c r="J7206" s="1127">
        <v>0.0</v>
      </c>
      <c r="K7206" s="1124"/>
    </row>
    <row r="7207" ht="15.75" customHeight="1">
      <c r="A7207" s="1119">
        <v>95311.0</v>
      </c>
      <c r="B7207" s="1125" t="s">
        <v>17479</v>
      </c>
      <c r="C7207" s="1126" t="s">
        <v>1470</v>
      </c>
      <c r="D7207" s="1119">
        <v>0.22</v>
      </c>
      <c r="E7207" s="1120">
        <v>0.22</v>
      </c>
      <c r="F7207" s="1121">
        <f t="shared" si="1"/>
        <v>0</v>
      </c>
      <c r="G7207" s="1120">
        <v>0.0</v>
      </c>
      <c r="H7207" s="1127">
        <v>0.0</v>
      </c>
      <c r="I7207" s="1127">
        <v>0.0</v>
      </c>
      <c r="J7207" s="1127">
        <v>0.0</v>
      </c>
      <c r="K7207" s="1124"/>
    </row>
    <row r="7208" ht="15.75" customHeight="1">
      <c r="A7208" s="1119">
        <v>95312.0</v>
      </c>
      <c r="B7208" s="1125" t="s">
        <v>17480</v>
      </c>
      <c r="C7208" s="1126" t="s">
        <v>1470</v>
      </c>
      <c r="D7208" s="1119">
        <v>0.26</v>
      </c>
      <c r="E7208" s="1120">
        <v>0.26</v>
      </c>
      <c r="F7208" s="1121">
        <f t="shared" si="1"/>
        <v>0</v>
      </c>
      <c r="G7208" s="1120">
        <v>0.0</v>
      </c>
      <c r="H7208" s="1127">
        <v>0.0</v>
      </c>
      <c r="I7208" s="1127">
        <v>0.0</v>
      </c>
      <c r="J7208" s="1127">
        <v>0.0</v>
      </c>
      <c r="K7208" s="1124"/>
    </row>
    <row r="7209" ht="15.75" customHeight="1">
      <c r="A7209" s="1119">
        <v>95313.0</v>
      </c>
      <c r="B7209" s="1125" t="s">
        <v>17481</v>
      </c>
      <c r="C7209" s="1126" t="s">
        <v>1470</v>
      </c>
      <c r="D7209" s="1119">
        <v>0.22</v>
      </c>
      <c r="E7209" s="1120">
        <v>0.22</v>
      </c>
      <c r="F7209" s="1121">
        <f t="shared" si="1"/>
        <v>0</v>
      </c>
      <c r="G7209" s="1120">
        <v>0.0</v>
      </c>
      <c r="H7209" s="1127">
        <v>0.0</v>
      </c>
      <c r="I7209" s="1127">
        <v>0.0</v>
      </c>
      <c r="J7209" s="1127">
        <v>0.0</v>
      </c>
      <c r="K7209" s="1124"/>
    </row>
    <row r="7210" ht="15.75" customHeight="1">
      <c r="A7210" s="1119">
        <v>95314.0</v>
      </c>
      <c r="B7210" s="1125" t="s">
        <v>17482</v>
      </c>
      <c r="C7210" s="1126" t="s">
        <v>1470</v>
      </c>
      <c r="D7210" s="1119">
        <v>0.29</v>
      </c>
      <c r="E7210" s="1120">
        <v>0.29</v>
      </c>
      <c r="F7210" s="1121">
        <f t="shared" si="1"/>
        <v>0</v>
      </c>
      <c r="G7210" s="1120">
        <v>0.0</v>
      </c>
      <c r="H7210" s="1127">
        <v>0.0</v>
      </c>
      <c r="I7210" s="1127">
        <v>0.0</v>
      </c>
      <c r="J7210" s="1127">
        <v>0.0</v>
      </c>
      <c r="K7210" s="1124"/>
    </row>
    <row r="7211" ht="15.75" customHeight="1">
      <c r="A7211" s="1119">
        <v>95315.0</v>
      </c>
      <c r="B7211" s="1125" t="s">
        <v>17483</v>
      </c>
      <c r="C7211" s="1126" t="s">
        <v>1470</v>
      </c>
      <c r="D7211" s="1119">
        <v>0.34</v>
      </c>
      <c r="E7211" s="1120">
        <v>0.34</v>
      </c>
      <c r="F7211" s="1121">
        <f t="shared" si="1"/>
        <v>0</v>
      </c>
      <c r="G7211" s="1120">
        <v>0.0</v>
      </c>
      <c r="H7211" s="1127">
        <v>0.0</v>
      </c>
      <c r="I7211" s="1127">
        <v>0.0</v>
      </c>
      <c r="J7211" s="1127">
        <v>0.0</v>
      </c>
      <c r="K7211" s="1124"/>
    </row>
    <row r="7212" ht="15.75" customHeight="1">
      <c r="A7212" s="1119">
        <v>95316.0</v>
      </c>
      <c r="B7212" s="1125" t="s">
        <v>17484</v>
      </c>
      <c r="C7212" s="1126" t="s">
        <v>1470</v>
      </c>
      <c r="D7212" s="1119">
        <v>0.72</v>
      </c>
      <c r="E7212" s="1120">
        <v>0.72</v>
      </c>
      <c r="F7212" s="1121">
        <f t="shared" si="1"/>
        <v>0</v>
      </c>
      <c r="G7212" s="1120">
        <v>0.0</v>
      </c>
      <c r="H7212" s="1127">
        <v>0.0</v>
      </c>
      <c r="I7212" s="1127">
        <v>0.0</v>
      </c>
      <c r="J7212" s="1127">
        <v>0.0</v>
      </c>
      <c r="K7212" s="1124"/>
    </row>
    <row r="7213" ht="15.75" customHeight="1">
      <c r="A7213" s="1119">
        <v>95317.0</v>
      </c>
      <c r="B7213" s="1125" t="s">
        <v>17485</v>
      </c>
      <c r="C7213" s="1126" t="s">
        <v>1470</v>
      </c>
      <c r="D7213" s="1119">
        <v>0.34</v>
      </c>
      <c r="E7213" s="1120">
        <v>0.34</v>
      </c>
      <c r="F7213" s="1121">
        <f t="shared" si="1"/>
        <v>0</v>
      </c>
      <c r="G7213" s="1120">
        <v>0.0</v>
      </c>
      <c r="H7213" s="1127">
        <v>0.0</v>
      </c>
      <c r="I7213" s="1127">
        <v>0.0</v>
      </c>
      <c r="J7213" s="1127">
        <v>0.0</v>
      </c>
      <c r="K7213" s="1124"/>
    </row>
    <row r="7214" ht="15.75" customHeight="1">
      <c r="A7214" s="1119">
        <v>95318.0</v>
      </c>
      <c r="B7214" s="1125" t="s">
        <v>17486</v>
      </c>
      <c r="C7214" s="1126" t="s">
        <v>1470</v>
      </c>
      <c r="D7214" s="1119">
        <v>0.22</v>
      </c>
      <c r="E7214" s="1120">
        <v>0.22</v>
      </c>
      <c r="F7214" s="1121">
        <f t="shared" si="1"/>
        <v>0</v>
      </c>
      <c r="G7214" s="1120">
        <v>0.0</v>
      </c>
      <c r="H7214" s="1127">
        <v>0.0</v>
      </c>
      <c r="I7214" s="1127">
        <v>0.0</v>
      </c>
      <c r="J7214" s="1127">
        <v>0.0</v>
      </c>
      <c r="K7214" s="1124"/>
    </row>
    <row r="7215" ht="15.75" customHeight="1">
      <c r="A7215" s="1119">
        <v>95319.0</v>
      </c>
      <c r="B7215" s="1125" t="s">
        <v>17487</v>
      </c>
      <c r="C7215" s="1126" t="s">
        <v>1470</v>
      </c>
      <c r="D7215" s="1119">
        <v>0.19</v>
      </c>
      <c r="E7215" s="1120">
        <v>0.19</v>
      </c>
      <c r="F7215" s="1121">
        <f t="shared" si="1"/>
        <v>0</v>
      </c>
      <c r="G7215" s="1120">
        <v>0.0</v>
      </c>
      <c r="H7215" s="1127">
        <v>0.0</v>
      </c>
      <c r="I7215" s="1127">
        <v>0.0</v>
      </c>
      <c r="J7215" s="1127">
        <v>0.0</v>
      </c>
      <c r="K7215" s="1124"/>
    </row>
    <row r="7216" ht="15.75" customHeight="1">
      <c r="A7216" s="1119">
        <v>95320.0</v>
      </c>
      <c r="B7216" s="1125" t="s">
        <v>17488</v>
      </c>
      <c r="C7216" s="1126" t="s">
        <v>1470</v>
      </c>
      <c r="D7216" s="1119">
        <v>0.22</v>
      </c>
      <c r="E7216" s="1120">
        <v>0.22</v>
      </c>
      <c r="F7216" s="1121">
        <f t="shared" si="1"/>
        <v>0</v>
      </c>
      <c r="G7216" s="1120">
        <v>0.0</v>
      </c>
      <c r="H7216" s="1127">
        <v>0.0</v>
      </c>
      <c r="I7216" s="1127">
        <v>0.0</v>
      </c>
      <c r="J7216" s="1127">
        <v>0.0</v>
      </c>
      <c r="K7216" s="1124"/>
    </row>
    <row r="7217" ht="15.75" customHeight="1">
      <c r="A7217" s="1119">
        <v>95321.0</v>
      </c>
      <c r="B7217" s="1125" t="s">
        <v>17489</v>
      </c>
      <c r="C7217" s="1126" t="s">
        <v>1470</v>
      </c>
      <c r="D7217" s="1119">
        <v>0.2</v>
      </c>
      <c r="E7217" s="1120">
        <v>0.2</v>
      </c>
      <c r="F7217" s="1121">
        <f t="shared" si="1"/>
        <v>0</v>
      </c>
      <c r="G7217" s="1120">
        <v>0.0</v>
      </c>
      <c r="H7217" s="1127">
        <v>0.0</v>
      </c>
      <c r="I7217" s="1127">
        <v>0.0</v>
      </c>
      <c r="J7217" s="1127">
        <v>0.0</v>
      </c>
      <c r="K7217" s="1124"/>
    </row>
    <row r="7218" ht="15.75" customHeight="1">
      <c r="A7218" s="1119">
        <v>95322.0</v>
      </c>
      <c r="B7218" s="1125" t="s">
        <v>17490</v>
      </c>
      <c r="C7218" s="1126" t="s">
        <v>1470</v>
      </c>
      <c r="D7218" s="1119">
        <v>0.09</v>
      </c>
      <c r="E7218" s="1120">
        <v>0.09</v>
      </c>
      <c r="F7218" s="1121">
        <f t="shared" si="1"/>
        <v>0</v>
      </c>
      <c r="G7218" s="1120">
        <v>0.0</v>
      </c>
      <c r="H7218" s="1127">
        <v>0.0</v>
      </c>
      <c r="I7218" s="1127">
        <v>0.0</v>
      </c>
      <c r="J7218" s="1127">
        <v>0.0</v>
      </c>
      <c r="K7218" s="1124"/>
    </row>
    <row r="7219" ht="15.75" customHeight="1">
      <c r="A7219" s="1119">
        <v>95323.0</v>
      </c>
      <c r="B7219" s="1125" t="s">
        <v>17491</v>
      </c>
      <c r="C7219" s="1126" t="s">
        <v>1470</v>
      </c>
      <c r="D7219" s="1119">
        <v>0.33</v>
      </c>
      <c r="E7219" s="1120">
        <v>0.33</v>
      </c>
      <c r="F7219" s="1121">
        <f t="shared" si="1"/>
        <v>0</v>
      </c>
      <c r="G7219" s="1120">
        <v>0.0</v>
      </c>
      <c r="H7219" s="1127">
        <v>0.0</v>
      </c>
      <c r="I7219" s="1127">
        <v>0.0</v>
      </c>
      <c r="J7219" s="1127">
        <v>0.0</v>
      </c>
      <c r="K7219" s="1124"/>
    </row>
    <row r="7220" ht="15.75" customHeight="1">
      <c r="A7220" s="1119">
        <v>95324.0</v>
      </c>
      <c r="B7220" s="1125" t="s">
        <v>17492</v>
      </c>
      <c r="C7220" s="1126" t="s">
        <v>1470</v>
      </c>
      <c r="D7220" s="1119">
        <v>0.37</v>
      </c>
      <c r="E7220" s="1120">
        <v>0.37</v>
      </c>
      <c r="F7220" s="1121">
        <f t="shared" si="1"/>
        <v>0</v>
      </c>
      <c r="G7220" s="1120">
        <v>0.0</v>
      </c>
      <c r="H7220" s="1127">
        <v>0.0</v>
      </c>
      <c r="I7220" s="1127">
        <v>0.0</v>
      </c>
      <c r="J7220" s="1127">
        <v>0.0</v>
      </c>
      <c r="K7220" s="1124"/>
    </row>
    <row r="7221" ht="15.75" customHeight="1">
      <c r="A7221" s="1119">
        <v>95325.0</v>
      </c>
      <c r="B7221" s="1125" t="s">
        <v>17493</v>
      </c>
      <c r="C7221" s="1126" t="s">
        <v>1470</v>
      </c>
      <c r="D7221" s="1119">
        <v>0.4</v>
      </c>
      <c r="E7221" s="1120">
        <v>0.4</v>
      </c>
      <c r="F7221" s="1121">
        <f t="shared" si="1"/>
        <v>0</v>
      </c>
      <c r="G7221" s="1120">
        <v>0.0</v>
      </c>
      <c r="H7221" s="1127">
        <v>0.0</v>
      </c>
      <c r="I7221" s="1127">
        <v>0.0</v>
      </c>
      <c r="J7221" s="1127">
        <v>0.0</v>
      </c>
      <c r="K7221" s="1124"/>
    </row>
    <row r="7222" ht="15.75" customHeight="1">
      <c r="A7222" s="1119">
        <v>95326.0</v>
      </c>
      <c r="B7222" s="1125" t="s">
        <v>17494</v>
      </c>
      <c r="C7222" s="1126" t="s">
        <v>1470</v>
      </c>
      <c r="D7222" s="1119">
        <v>0.1</v>
      </c>
      <c r="E7222" s="1120">
        <v>0.1</v>
      </c>
      <c r="F7222" s="1121">
        <f t="shared" si="1"/>
        <v>0</v>
      </c>
      <c r="G7222" s="1120">
        <v>0.0</v>
      </c>
      <c r="H7222" s="1127">
        <v>0.0</v>
      </c>
      <c r="I7222" s="1127">
        <v>0.0</v>
      </c>
      <c r="J7222" s="1127">
        <v>0.0</v>
      </c>
      <c r="K7222" s="1124"/>
    </row>
    <row r="7223" ht="15.75" customHeight="1">
      <c r="A7223" s="1119">
        <v>95328.0</v>
      </c>
      <c r="B7223" s="1125" t="s">
        <v>17495</v>
      </c>
      <c r="C7223" s="1126" t="s">
        <v>1470</v>
      </c>
      <c r="D7223" s="1119">
        <v>0.24</v>
      </c>
      <c r="E7223" s="1120">
        <v>0.24</v>
      </c>
      <c r="F7223" s="1121">
        <f t="shared" si="1"/>
        <v>0</v>
      </c>
      <c r="G7223" s="1120">
        <v>0.0</v>
      </c>
      <c r="H7223" s="1127">
        <v>0.0</v>
      </c>
      <c r="I7223" s="1127">
        <v>0.0</v>
      </c>
      <c r="J7223" s="1127">
        <v>0.0</v>
      </c>
      <c r="K7223" s="1124"/>
    </row>
    <row r="7224" ht="15.75" customHeight="1">
      <c r="A7224" s="1119">
        <v>95329.0</v>
      </c>
      <c r="B7224" s="1125" t="s">
        <v>17496</v>
      </c>
      <c r="C7224" s="1126" t="s">
        <v>1470</v>
      </c>
      <c r="D7224" s="1119">
        <v>0.35</v>
      </c>
      <c r="E7224" s="1120">
        <v>0.35</v>
      </c>
      <c r="F7224" s="1121">
        <f t="shared" si="1"/>
        <v>0</v>
      </c>
      <c r="G7224" s="1120">
        <v>0.0</v>
      </c>
      <c r="H7224" s="1127">
        <v>0.0</v>
      </c>
      <c r="I7224" s="1127">
        <v>0.0</v>
      </c>
      <c r="J7224" s="1127">
        <v>0.0</v>
      </c>
      <c r="K7224" s="1124"/>
    </row>
    <row r="7225" ht="15.75" customHeight="1">
      <c r="A7225" s="1119">
        <v>95330.0</v>
      </c>
      <c r="B7225" s="1125" t="s">
        <v>17497</v>
      </c>
      <c r="C7225" s="1126" t="s">
        <v>1470</v>
      </c>
      <c r="D7225" s="1119">
        <v>0.29</v>
      </c>
      <c r="E7225" s="1120">
        <v>0.29</v>
      </c>
      <c r="F7225" s="1121">
        <f t="shared" si="1"/>
        <v>0</v>
      </c>
      <c r="G7225" s="1120">
        <v>0.0</v>
      </c>
      <c r="H7225" s="1127">
        <v>0.0</v>
      </c>
      <c r="I7225" s="1127">
        <v>0.0</v>
      </c>
      <c r="J7225" s="1127">
        <v>0.0</v>
      </c>
      <c r="K7225" s="1124"/>
    </row>
    <row r="7226" ht="15.75" customHeight="1">
      <c r="A7226" s="1119">
        <v>95331.0</v>
      </c>
      <c r="B7226" s="1125" t="s">
        <v>17498</v>
      </c>
      <c r="C7226" s="1126" t="s">
        <v>1470</v>
      </c>
      <c r="D7226" s="1119">
        <v>0.19</v>
      </c>
      <c r="E7226" s="1120">
        <v>0.19</v>
      </c>
      <c r="F7226" s="1121">
        <f t="shared" si="1"/>
        <v>0</v>
      </c>
      <c r="G7226" s="1120">
        <v>0.0</v>
      </c>
      <c r="H7226" s="1127">
        <v>0.0</v>
      </c>
      <c r="I7226" s="1127">
        <v>0.0</v>
      </c>
      <c r="J7226" s="1127">
        <v>0.0</v>
      </c>
      <c r="K7226" s="1124"/>
    </row>
    <row r="7227" ht="15.75" customHeight="1">
      <c r="A7227" s="1119">
        <v>95332.0</v>
      </c>
      <c r="B7227" s="1125" t="s">
        <v>17499</v>
      </c>
      <c r="C7227" s="1126" t="s">
        <v>1470</v>
      </c>
      <c r="D7227" s="1119">
        <v>0.94</v>
      </c>
      <c r="E7227" s="1120">
        <v>0.94</v>
      </c>
      <c r="F7227" s="1121">
        <f t="shared" si="1"/>
        <v>0</v>
      </c>
      <c r="G7227" s="1120">
        <v>0.0</v>
      </c>
      <c r="H7227" s="1127">
        <v>0.0</v>
      </c>
      <c r="I7227" s="1127">
        <v>0.0</v>
      </c>
      <c r="J7227" s="1127">
        <v>0.0</v>
      </c>
      <c r="K7227" s="1124"/>
    </row>
    <row r="7228" ht="15.75" customHeight="1">
      <c r="A7228" s="1119">
        <v>95333.0</v>
      </c>
      <c r="B7228" s="1125" t="s">
        <v>17500</v>
      </c>
      <c r="C7228" s="1126" t="s">
        <v>1470</v>
      </c>
      <c r="D7228" s="1119">
        <v>1.03</v>
      </c>
      <c r="E7228" s="1120">
        <v>1.03</v>
      </c>
      <c r="F7228" s="1121">
        <f t="shared" si="1"/>
        <v>0</v>
      </c>
      <c r="G7228" s="1120">
        <v>0.0</v>
      </c>
      <c r="H7228" s="1127">
        <v>0.0</v>
      </c>
      <c r="I7228" s="1127">
        <v>0.0</v>
      </c>
      <c r="J7228" s="1127">
        <v>0.0</v>
      </c>
      <c r="K7228" s="1124"/>
    </row>
    <row r="7229" ht="15.75" customHeight="1">
      <c r="A7229" s="1119">
        <v>95334.0</v>
      </c>
      <c r="B7229" s="1125" t="s">
        <v>17501</v>
      </c>
      <c r="C7229" s="1126" t="s">
        <v>1470</v>
      </c>
      <c r="D7229" s="1119">
        <v>0.98</v>
      </c>
      <c r="E7229" s="1120">
        <v>0.98</v>
      </c>
      <c r="F7229" s="1121">
        <f t="shared" si="1"/>
        <v>0</v>
      </c>
      <c r="G7229" s="1120">
        <v>0.0</v>
      </c>
      <c r="H7229" s="1127">
        <v>0.0</v>
      </c>
      <c r="I7229" s="1127">
        <v>0.0</v>
      </c>
      <c r="J7229" s="1127">
        <v>0.0</v>
      </c>
      <c r="K7229" s="1124"/>
    </row>
    <row r="7230" ht="15.75" customHeight="1">
      <c r="A7230" s="1119">
        <v>95335.0</v>
      </c>
      <c r="B7230" s="1125" t="s">
        <v>17502</v>
      </c>
      <c r="C7230" s="1126" t="s">
        <v>1470</v>
      </c>
      <c r="D7230" s="1119">
        <v>0.45</v>
      </c>
      <c r="E7230" s="1120">
        <v>0.45</v>
      </c>
      <c r="F7230" s="1121">
        <f t="shared" si="1"/>
        <v>0</v>
      </c>
      <c r="G7230" s="1120">
        <v>0.0</v>
      </c>
      <c r="H7230" s="1127">
        <v>0.0</v>
      </c>
      <c r="I7230" s="1127">
        <v>0.0</v>
      </c>
      <c r="J7230" s="1127">
        <v>0.0</v>
      </c>
      <c r="K7230" s="1124"/>
    </row>
    <row r="7231" ht="15.75" customHeight="1">
      <c r="A7231" s="1119">
        <v>95337.0</v>
      </c>
      <c r="B7231" s="1125" t="s">
        <v>17503</v>
      </c>
      <c r="C7231" s="1126" t="s">
        <v>1470</v>
      </c>
      <c r="D7231" s="1119">
        <v>0.27</v>
      </c>
      <c r="E7231" s="1120">
        <v>0.27</v>
      </c>
      <c r="F7231" s="1121">
        <f t="shared" si="1"/>
        <v>0</v>
      </c>
      <c r="G7231" s="1120">
        <v>0.0</v>
      </c>
      <c r="H7231" s="1127">
        <v>0.0</v>
      </c>
      <c r="I7231" s="1127">
        <v>0.0</v>
      </c>
      <c r="J7231" s="1127">
        <v>0.0</v>
      </c>
      <c r="K7231" s="1124"/>
    </row>
    <row r="7232" ht="15.75" customHeight="1">
      <c r="A7232" s="1119">
        <v>95338.0</v>
      </c>
      <c r="B7232" s="1125" t="s">
        <v>17504</v>
      </c>
      <c r="C7232" s="1126" t="s">
        <v>1470</v>
      </c>
      <c r="D7232" s="1119">
        <v>0.53</v>
      </c>
      <c r="E7232" s="1120">
        <v>0.53</v>
      </c>
      <c r="F7232" s="1121">
        <f t="shared" si="1"/>
        <v>0</v>
      </c>
      <c r="G7232" s="1120">
        <v>0.0</v>
      </c>
      <c r="H7232" s="1127">
        <v>0.0</v>
      </c>
      <c r="I7232" s="1127">
        <v>0.0</v>
      </c>
      <c r="J7232" s="1127">
        <v>0.0</v>
      </c>
      <c r="K7232" s="1124"/>
    </row>
    <row r="7233" ht="15.75" customHeight="1">
      <c r="A7233" s="1119">
        <v>95339.0</v>
      </c>
      <c r="B7233" s="1125" t="s">
        <v>17505</v>
      </c>
      <c r="C7233" s="1126" t="s">
        <v>1470</v>
      </c>
      <c r="D7233" s="1119">
        <v>0.45</v>
      </c>
      <c r="E7233" s="1120">
        <v>0.45</v>
      </c>
      <c r="F7233" s="1121">
        <f t="shared" si="1"/>
        <v>0</v>
      </c>
      <c r="G7233" s="1120">
        <v>0.0</v>
      </c>
      <c r="H7233" s="1127">
        <v>0.0</v>
      </c>
      <c r="I7233" s="1127">
        <v>0.0</v>
      </c>
      <c r="J7233" s="1127">
        <v>0.0</v>
      </c>
      <c r="K7233" s="1124"/>
    </row>
    <row r="7234" ht="15.75" customHeight="1">
      <c r="A7234" s="1119">
        <v>95340.0</v>
      </c>
      <c r="B7234" s="1125" t="s">
        <v>17506</v>
      </c>
      <c r="C7234" s="1126" t="s">
        <v>1470</v>
      </c>
      <c r="D7234" s="1119">
        <v>0.34</v>
      </c>
      <c r="E7234" s="1120">
        <v>0.34</v>
      </c>
      <c r="F7234" s="1121">
        <f t="shared" si="1"/>
        <v>0</v>
      </c>
      <c r="G7234" s="1120">
        <v>0.0</v>
      </c>
      <c r="H7234" s="1127">
        <v>0.0</v>
      </c>
      <c r="I7234" s="1127">
        <v>0.0</v>
      </c>
      <c r="J7234" s="1127">
        <v>0.0</v>
      </c>
      <c r="K7234" s="1124"/>
    </row>
    <row r="7235" ht="15.75" customHeight="1">
      <c r="A7235" s="1119">
        <v>95341.0</v>
      </c>
      <c r="B7235" s="1125" t="s">
        <v>17507</v>
      </c>
      <c r="C7235" s="1126" t="s">
        <v>1470</v>
      </c>
      <c r="D7235" s="1119">
        <v>0.42</v>
      </c>
      <c r="E7235" s="1120">
        <v>0.42</v>
      </c>
      <c r="F7235" s="1121">
        <f t="shared" si="1"/>
        <v>0</v>
      </c>
      <c r="G7235" s="1120">
        <v>0.0</v>
      </c>
      <c r="H7235" s="1127">
        <v>0.0</v>
      </c>
      <c r="I7235" s="1127">
        <v>0.0</v>
      </c>
      <c r="J7235" s="1127">
        <v>0.0</v>
      </c>
      <c r="K7235" s="1124"/>
    </row>
    <row r="7236" ht="15.75" customHeight="1">
      <c r="A7236" s="1119">
        <v>95342.0</v>
      </c>
      <c r="B7236" s="1125" t="s">
        <v>17508</v>
      </c>
      <c r="C7236" s="1126" t="s">
        <v>1470</v>
      </c>
      <c r="D7236" s="1119">
        <v>0.24</v>
      </c>
      <c r="E7236" s="1120">
        <v>0.24</v>
      </c>
      <c r="F7236" s="1121">
        <f t="shared" si="1"/>
        <v>0</v>
      </c>
      <c r="G7236" s="1120">
        <v>0.0</v>
      </c>
      <c r="H7236" s="1127">
        <v>0.0</v>
      </c>
      <c r="I7236" s="1127">
        <v>0.0</v>
      </c>
      <c r="J7236" s="1127">
        <v>0.0</v>
      </c>
      <c r="K7236" s="1124"/>
    </row>
    <row r="7237" ht="15.75" customHeight="1">
      <c r="A7237" s="1119">
        <v>95343.0</v>
      </c>
      <c r="B7237" s="1125" t="s">
        <v>17509</v>
      </c>
      <c r="C7237" s="1126" t="s">
        <v>1470</v>
      </c>
      <c r="D7237" s="1119">
        <v>0.43</v>
      </c>
      <c r="E7237" s="1120">
        <v>0.43</v>
      </c>
      <c r="F7237" s="1121">
        <f t="shared" si="1"/>
        <v>0</v>
      </c>
      <c r="G7237" s="1120">
        <v>0.0</v>
      </c>
      <c r="H7237" s="1127">
        <v>0.0</v>
      </c>
      <c r="I7237" s="1127">
        <v>0.0</v>
      </c>
      <c r="J7237" s="1127">
        <v>0.0</v>
      </c>
      <c r="K7237" s="1124"/>
    </row>
    <row r="7238" ht="15.75" customHeight="1">
      <c r="A7238" s="1119">
        <v>95344.0</v>
      </c>
      <c r="B7238" s="1125" t="s">
        <v>17510</v>
      </c>
      <c r="C7238" s="1126" t="s">
        <v>1470</v>
      </c>
      <c r="D7238" s="1119">
        <v>0.27</v>
      </c>
      <c r="E7238" s="1120">
        <v>0.27</v>
      </c>
      <c r="F7238" s="1121">
        <f t="shared" si="1"/>
        <v>0</v>
      </c>
      <c r="G7238" s="1120">
        <v>0.0</v>
      </c>
      <c r="H7238" s="1127">
        <v>0.0</v>
      </c>
      <c r="I7238" s="1127">
        <v>0.0</v>
      </c>
      <c r="J7238" s="1127">
        <v>0.0</v>
      </c>
      <c r="K7238" s="1124"/>
    </row>
    <row r="7239" ht="15.75" customHeight="1">
      <c r="A7239" s="1119">
        <v>95345.0</v>
      </c>
      <c r="B7239" s="1125" t="s">
        <v>17511</v>
      </c>
      <c r="C7239" s="1126" t="s">
        <v>1470</v>
      </c>
      <c r="D7239" s="1119">
        <v>0.98</v>
      </c>
      <c r="E7239" s="1120">
        <v>0.98</v>
      </c>
      <c r="F7239" s="1121">
        <f t="shared" si="1"/>
        <v>0</v>
      </c>
      <c r="G7239" s="1120">
        <v>0.0</v>
      </c>
      <c r="H7239" s="1127">
        <v>0.0</v>
      </c>
      <c r="I7239" s="1127">
        <v>0.0</v>
      </c>
      <c r="J7239" s="1127">
        <v>0.0</v>
      </c>
      <c r="K7239" s="1124"/>
    </row>
    <row r="7240" ht="15.75" customHeight="1">
      <c r="A7240" s="1119">
        <v>95346.0</v>
      </c>
      <c r="B7240" s="1125" t="s">
        <v>17512</v>
      </c>
      <c r="C7240" s="1126" t="s">
        <v>1470</v>
      </c>
      <c r="D7240" s="1119">
        <v>0.13</v>
      </c>
      <c r="E7240" s="1120">
        <v>0.13</v>
      </c>
      <c r="F7240" s="1121">
        <f t="shared" si="1"/>
        <v>0</v>
      </c>
      <c r="G7240" s="1120">
        <v>0.0</v>
      </c>
      <c r="H7240" s="1127">
        <v>0.0</v>
      </c>
      <c r="I7240" s="1127">
        <v>0.0</v>
      </c>
      <c r="J7240" s="1127">
        <v>0.0</v>
      </c>
      <c r="K7240" s="1124"/>
    </row>
    <row r="7241" ht="15.75" customHeight="1">
      <c r="A7241" s="1119">
        <v>95347.0</v>
      </c>
      <c r="B7241" s="1125" t="s">
        <v>17513</v>
      </c>
      <c r="C7241" s="1126" t="s">
        <v>1470</v>
      </c>
      <c r="D7241" s="1119">
        <v>0.13</v>
      </c>
      <c r="E7241" s="1120">
        <v>0.13</v>
      </c>
      <c r="F7241" s="1121">
        <f t="shared" si="1"/>
        <v>0</v>
      </c>
      <c r="G7241" s="1120">
        <v>0.0</v>
      </c>
      <c r="H7241" s="1127">
        <v>0.0</v>
      </c>
      <c r="I7241" s="1127">
        <v>0.0</v>
      </c>
      <c r="J7241" s="1127">
        <v>0.0</v>
      </c>
      <c r="K7241" s="1124"/>
    </row>
    <row r="7242" ht="15.75" customHeight="1">
      <c r="A7242" s="1119">
        <v>95348.0</v>
      </c>
      <c r="B7242" s="1125" t="s">
        <v>17514</v>
      </c>
      <c r="C7242" s="1126" t="s">
        <v>1470</v>
      </c>
      <c r="D7242" s="1119">
        <v>0.16</v>
      </c>
      <c r="E7242" s="1120">
        <v>0.16</v>
      </c>
      <c r="F7242" s="1121">
        <f t="shared" si="1"/>
        <v>0</v>
      </c>
      <c r="G7242" s="1120">
        <v>0.0</v>
      </c>
      <c r="H7242" s="1127">
        <v>0.0</v>
      </c>
      <c r="I7242" s="1127">
        <v>0.0</v>
      </c>
      <c r="J7242" s="1127">
        <v>0.0</v>
      </c>
      <c r="K7242" s="1124"/>
    </row>
    <row r="7243" ht="15.75" customHeight="1">
      <c r="A7243" s="1119">
        <v>95349.0</v>
      </c>
      <c r="B7243" s="1125" t="s">
        <v>17515</v>
      </c>
      <c r="C7243" s="1126" t="s">
        <v>1470</v>
      </c>
      <c r="D7243" s="1119">
        <v>0.11</v>
      </c>
      <c r="E7243" s="1120">
        <v>0.11</v>
      </c>
      <c r="F7243" s="1121">
        <f t="shared" si="1"/>
        <v>0</v>
      </c>
      <c r="G7243" s="1120">
        <v>0.0</v>
      </c>
      <c r="H7243" s="1127">
        <v>0.0</v>
      </c>
      <c r="I7243" s="1127">
        <v>0.0</v>
      </c>
      <c r="J7243" s="1127">
        <v>0.0</v>
      </c>
      <c r="K7243" s="1124"/>
    </row>
    <row r="7244" ht="15.75" customHeight="1">
      <c r="A7244" s="1119">
        <v>95350.0</v>
      </c>
      <c r="B7244" s="1125" t="s">
        <v>17516</v>
      </c>
      <c r="C7244" s="1126" t="s">
        <v>1470</v>
      </c>
      <c r="D7244" s="1119">
        <v>0.12</v>
      </c>
      <c r="E7244" s="1120">
        <v>0.12</v>
      </c>
      <c r="F7244" s="1121">
        <f t="shared" si="1"/>
        <v>0</v>
      </c>
      <c r="G7244" s="1120">
        <v>0.0</v>
      </c>
      <c r="H7244" s="1127">
        <v>0.0</v>
      </c>
      <c r="I7244" s="1127">
        <v>0.0</v>
      </c>
      <c r="J7244" s="1127">
        <v>0.0</v>
      </c>
      <c r="K7244" s="1124"/>
    </row>
    <row r="7245" ht="15.75" customHeight="1">
      <c r="A7245" s="1119">
        <v>95351.0</v>
      </c>
      <c r="B7245" s="1125" t="s">
        <v>17517</v>
      </c>
      <c r="C7245" s="1126" t="s">
        <v>1470</v>
      </c>
      <c r="D7245" s="1119">
        <v>0.47</v>
      </c>
      <c r="E7245" s="1120">
        <v>0.47</v>
      </c>
      <c r="F7245" s="1121">
        <f t="shared" si="1"/>
        <v>0</v>
      </c>
      <c r="G7245" s="1120">
        <v>0.0</v>
      </c>
      <c r="H7245" s="1127">
        <v>0.0</v>
      </c>
      <c r="I7245" s="1127">
        <v>0.0</v>
      </c>
      <c r="J7245" s="1127">
        <v>0.0</v>
      </c>
      <c r="K7245" s="1124"/>
    </row>
    <row r="7246" ht="15.75" customHeight="1">
      <c r="A7246" s="1119">
        <v>95352.0</v>
      </c>
      <c r="B7246" s="1125" t="s">
        <v>17518</v>
      </c>
      <c r="C7246" s="1126" t="s">
        <v>1470</v>
      </c>
      <c r="D7246" s="1119">
        <v>0.12</v>
      </c>
      <c r="E7246" s="1120">
        <v>0.12</v>
      </c>
      <c r="F7246" s="1121">
        <f t="shared" si="1"/>
        <v>0</v>
      </c>
      <c r="G7246" s="1120">
        <v>0.0</v>
      </c>
      <c r="H7246" s="1127">
        <v>0.0</v>
      </c>
      <c r="I7246" s="1127">
        <v>0.0</v>
      </c>
      <c r="J7246" s="1127">
        <v>0.0</v>
      </c>
      <c r="K7246" s="1124"/>
    </row>
    <row r="7247" ht="15.75" customHeight="1">
      <c r="A7247" s="1119">
        <v>95354.0</v>
      </c>
      <c r="B7247" s="1125" t="s">
        <v>17519</v>
      </c>
      <c r="C7247" s="1126" t="s">
        <v>1470</v>
      </c>
      <c r="D7247" s="1119">
        <v>0.16</v>
      </c>
      <c r="E7247" s="1120">
        <v>0.16</v>
      </c>
      <c r="F7247" s="1121">
        <f t="shared" si="1"/>
        <v>0</v>
      </c>
      <c r="G7247" s="1120">
        <v>0.0</v>
      </c>
      <c r="H7247" s="1127">
        <v>0.0</v>
      </c>
      <c r="I7247" s="1127">
        <v>0.0</v>
      </c>
      <c r="J7247" s="1127">
        <v>0.0</v>
      </c>
      <c r="K7247" s="1124"/>
    </row>
    <row r="7248" ht="15.75" customHeight="1">
      <c r="A7248" s="1119">
        <v>95355.0</v>
      </c>
      <c r="B7248" s="1125" t="s">
        <v>17520</v>
      </c>
      <c r="C7248" s="1126" t="s">
        <v>1470</v>
      </c>
      <c r="D7248" s="1119">
        <v>0.17</v>
      </c>
      <c r="E7248" s="1120">
        <v>0.17</v>
      </c>
      <c r="F7248" s="1121">
        <f t="shared" si="1"/>
        <v>0</v>
      </c>
      <c r="G7248" s="1120">
        <v>0.0</v>
      </c>
      <c r="H7248" s="1127">
        <v>0.0</v>
      </c>
      <c r="I7248" s="1127">
        <v>0.0</v>
      </c>
      <c r="J7248" s="1127">
        <v>0.0</v>
      </c>
      <c r="K7248" s="1124"/>
    </row>
    <row r="7249" ht="15.75" customHeight="1">
      <c r="A7249" s="1119">
        <v>95356.0</v>
      </c>
      <c r="B7249" s="1125" t="s">
        <v>17521</v>
      </c>
      <c r="C7249" s="1126" t="s">
        <v>1470</v>
      </c>
      <c r="D7249" s="1119">
        <v>0.19</v>
      </c>
      <c r="E7249" s="1120">
        <v>0.19</v>
      </c>
      <c r="F7249" s="1121">
        <f t="shared" si="1"/>
        <v>0</v>
      </c>
      <c r="G7249" s="1120">
        <v>0.0</v>
      </c>
      <c r="H7249" s="1127">
        <v>0.0</v>
      </c>
      <c r="I7249" s="1127">
        <v>0.0</v>
      </c>
      <c r="J7249" s="1127">
        <v>0.0</v>
      </c>
      <c r="K7249" s="1124"/>
    </row>
    <row r="7250" ht="15.75" customHeight="1">
      <c r="A7250" s="1119">
        <v>95357.0</v>
      </c>
      <c r="B7250" s="1125" t="s">
        <v>17522</v>
      </c>
      <c r="C7250" s="1126" t="s">
        <v>1470</v>
      </c>
      <c r="D7250" s="1119">
        <v>0.3</v>
      </c>
      <c r="E7250" s="1120">
        <v>0.3</v>
      </c>
      <c r="F7250" s="1121">
        <f t="shared" si="1"/>
        <v>0</v>
      </c>
      <c r="G7250" s="1120">
        <v>0.0</v>
      </c>
      <c r="H7250" s="1127">
        <v>0.0</v>
      </c>
      <c r="I7250" s="1127">
        <v>0.0</v>
      </c>
      <c r="J7250" s="1127">
        <v>0.0</v>
      </c>
      <c r="K7250" s="1124"/>
    </row>
    <row r="7251" ht="15.75" customHeight="1">
      <c r="A7251" s="1119">
        <v>95358.0</v>
      </c>
      <c r="B7251" s="1125" t="s">
        <v>17523</v>
      </c>
      <c r="C7251" s="1126" t="s">
        <v>1470</v>
      </c>
      <c r="D7251" s="1119">
        <v>0.39</v>
      </c>
      <c r="E7251" s="1120">
        <v>0.39</v>
      </c>
      <c r="F7251" s="1121">
        <f t="shared" si="1"/>
        <v>0</v>
      </c>
      <c r="G7251" s="1120">
        <v>0.0</v>
      </c>
      <c r="H7251" s="1127">
        <v>0.0</v>
      </c>
      <c r="I7251" s="1127">
        <v>0.0</v>
      </c>
      <c r="J7251" s="1127">
        <v>0.0</v>
      </c>
      <c r="K7251" s="1124"/>
    </row>
    <row r="7252" ht="15.75" customHeight="1">
      <c r="A7252" s="1119">
        <v>95359.0</v>
      </c>
      <c r="B7252" s="1125" t="s">
        <v>17524</v>
      </c>
      <c r="C7252" s="1126" t="s">
        <v>1470</v>
      </c>
      <c r="D7252" s="1119">
        <v>0.96</v>
      </c>
      <c r="E7252" s="1120">
        <v>0.96</v>
      </c>
      <c r="F7252" s="1121">
        <f t="shared" si="1"/>
        <v>0</v>
      </c>
      <c r="G7252" s="1120">
        <v>0.0</v>
      </c>
      <c r="H7252" s="1127">
        <v>0.0</v>
      </c>
      <c r="I7252" s="1127">
        <v>0.0</v>
      </c>
      <c r="J7252" s="1127">
        <v>0.0</v>
      </c>
      <c r="K7252" s="1124"/>
    </row>
    <row r="7253" ht="15.75" customHeight="1">
      <c r="A7253" s="1119">
        <v>95360.0</v>
      </c>
      <c r="B7253" s="1125" t="s">
        <v>17525</v>
      </c>
      <c r="C7253" s="1126" t="s">
        <v>1470</v>
      </c>
      <c r="D7253" s="1119">
        <v>0.29</v>
      </c>
      <c r="E7253" s="1120">
        <v>0.29</v>
      </c>
      <c r="F7253" s="1121">
        <f t="shared" si="1"/>
        <v>0</v>
      </c>
      <c r="G7253" s="1120">
        <v>0.0</v>
      </c>
      <c r="H7253" s="1127">
        <v>0.0</v>
      </c>
      <c r="I7253" s="1127">
        <v>0.0</v>
      </c>
      <c r="J7253" s="1127">
        <v>0.0</v>
      </c>
      <c r="K7253" s="1124"/>
    </row>
    <row r="7254" ht="15.75" customHeight="1">
      <c r="A7254" s="1119">
        <v>95361.0</v>
      </c>
      <c r="B7254" s="1125" t="s">
        <v>17526</v>
      </c>
      <c r="C7254" s="1126" t="s">
        <v>1470</v>
      </c>
      <c r="D7254" s="1119">
        <v>0.17</v>
      </c>
      <c r="E7254" s="1120">
        <v>0.17</v>
      </c>
      <c r="F7254" s="1121">
        <f t="shared" si="1"/>
        <v>0</v>
      </c>
      <c r="G7254" s="1120">
        <v>0.0</v>
      </c>
      <c r="H7254" s="1127">
        <v>0.0</v>
      </c>
      <c r="I7254" s="1127">
        <v>0.0</v>
      </c>
      <c r="J7254" s="1127">
        <v>0.0</v>
      </c>
      <c r="K7254" s="1124"/>
    </row>
    <row r="7255" ht="15.75" customHeight="1">
      <c r="A7255" s="1119">
        <v>95362.0</v>
      </c>
      <c r="B7255" s="1125" t="s">
        <v>17527</v>
      </c>
      <c r="C7255" s="1126" t="s">
        <v>1470</v>
      </c>
      <c r="D7255" s="1119">
        <v>0.2</v>
      </c>
      <c r="E7255" s="1120">
        <v>0.2</v>
      </c>
      <c r="F7255" s="1121">
        <f t="shared" si="1"/>
        <v>0</v>
      </c>
      <c r="G7255" s="1120">
        <v>0.0</v>
      </c>
      <c r="H7255" s="1127">
        <v>0.0</v>
      </c>
      <c r="I7255" s="1127">
        <v>0.0</v>
      </c>
      <c r="J7255" s="1127">
        <v>0.0</v>
      </c>
      <c r="K7255" s="1124"/>
    </row>
    <row r="7256" ht="15.75" customHeight="1">
      <c r="A7256" s="1119">
        <v>95363.0</v>
      </c>
      <c r="B7256" s="1125" t="s">
        <v>17528</v>
      </c>
      <c r="C7256" s="1126" t="s">
        <v>1470</v>
      </c>
      <c r="D7256" s="1119">
        <v>0.24</v>
      </c>
      <c r="E7256" s="1120">
        <v>0.24</v>
      </c>
      <c r="F7256" s="1121">
        <f t="shared" si="1"/>
        <v>0</v>
      </c>
      <c r="G7256" s="1120">
        <v>0.0</v>
      </c>
      <c r="H7256" s="1127">
        <v>0.0</v>
      </c>
      <c r="I7256" s="1127">
        <v>0.0</v>
      </c>
      <c r="J7256" s="1127">
        <v>0.0</v>
      </c>
      <c r="K7256" s="1124"/>
    </row>
    <row r="7257" ht="15.75" customHeight="1">
      <c r="A7257" s="1119">
        <v>95364.0</v>
      </c>
      <c r="B7257" s="1125" t="s">
        <v>17529</v>
      </c>
      <c r="C7257" s="1126" t="s">
        <v>1470</v>
      </c>
      <c r="D7257" s="1119">
        <v>0.2</v>
      </c>
      <c r="E7257" s="1120">
        <v>0.2</v>
      </c>
      <c r="F7257" s="1121">
        <f t="shared" si="1"/>
        <v>0</v>
      </c>
      <c r="G7257" s="1120">
        <v>0.0</v>
      </c>
      <c r="H7257" s="1127">
        <v>0.0</v>
      </c>
      <c r="I7257" s="1127">
        <v>0.0</v>
      </c>
      <c r="J7257" s="1127">
        <v>0.0</v>
      </c>
      <c r="K7257" s="1124"/>
    </row>
    <row r="7258" ht="15.75" customHeight="1">
      <c r="A7258" s="1119">
        <v>95365.0</v>
      </c>
      <c r="B7258" s="1125" t="s">
        <v>17530</v>
      </c>
      <c r="C7258" s="1126" t="s">
        <v>1470</v>
      </c>
      <c r="D7258" s="1119">
        <v>0.2</v>
      </c>
      <c r="E7258" s="1120">
        <v>0.2</v>
      </c>
      <c r="F7258" s="1121">
        <f t="shared" si="1"/>
        <v>0</v>
      </c>
      <c r="G7258" s="1120">
        <v>0.0</v>
      </c>
      <c r="H7258" s="1127">
        <v>0.0</v>
      </c>
      <c r="I7258" s="1127">
        <v>0.0</v>
      </c>
      <c r="J7258" s="1127">
        <v>0.0</v>
      </c>
      <c r="K7258" s="1124"/>
    </row>
    <row r="7259" ht="15.75" customHeight="1">
      <c r="A7259" s="1119">
        <v>95366.0</v>
      </c>
      <c r="B7259" s="1125" t="s">
        <v>17531</v>
      </c>
      <c r="C7259" s="1126" t="s">
        <v>1470</v>
      </c>
      <c r="D7259" s="1119">
        <v>0.18</v>
      </c>
      <c r="E7259" s="1120">
        <v>0.18</v>
      </c>
      <c r="F7259" s="1121">
        <f t="shared" si="1"/>
        <v>0</v>
      </c>
      <c r="G7259" s="1120">
        <v>0.0</v>
      </c>
      <c r="H7259" s="1127">
        <v>0.0</v>
      </c>
      <c r="I7259" s="1127">
        <v>0.0</v>
      </c>
      <c r="J7259" s="1127">
        <v>0.0</v>
      </c>
      <c r="K7259" s="1124"/>
    </row>
    <row r="7260" ht="15.75" customHeight="1">
      <c r="A7260" s="1119">
        <v>95367.0</v>
      </c>
      <c r="B7260" s="1125" t="s">
        <v>17532</v>
      </c>
      <c r="C7260" s="1126" t="s">
        <v>1470</v>
      </c>
      <c r="D7260" s="1119">
        <v>0.17</v>
      </c>
      <c r="E7260" s="1120">
        <v>0.17</v>
      </c>
      <c r="F7260" s="1121">
        <f t="shared" si="1"/>
        <v>0</v>
      </c>
      <c r="G7260" s="1120">
        <v>0.0</v>
      </c>
      <c r="H7260" s="1127">
        <v>0.0</v>
      </c>
      <c r="I7260" s="1127">
        <v>0.0</v>
      </c>
      <c r="J7260" s="1127">
        <v>0.0</v>
      </c>
      <c r="K7260" s="1124"/>
    </row>
    <row r="7261" ht="15.75" customHeight="1">
      <c r="A7261" s="1119">
        <v>95368.0</v>
      </c>
      <c r="B7261" s="1125" t="s">
        <v>17533</v>
      </c>
      <c r="C7261" s="1126" t="s">
        <v>1470</v>
      </c>
      <c r="D7261" s="1119">
        <v>0.26</v>
      </c>
      <c r="E7261" s="1120">
        <v>0.26</v>
      </c>
      <c r="F7261" s="1121">
        <f t="shared" si="1"/>
        <v>0</v>
      </c>
      <c r="G7261" s="1120">
        <v>0.0</v>
      </c>
      <c r="H7261" s="1127">
        <v>0.0</v>
      </c>
      <c r="I7261" s="1127">
        <v>0.0</v>
      </c>
      <c r="J7261" s="1127">
        <v>0.0</v>
      </c>
      <c r="K7261" s="1124"/>
    </row>
    <row r="7262" ht="15.75" customHeight="1">
      <c r="A7262" s="1119">
        <v>95369.0</v>
      </c>
      <c r="B7262" s="1125" t="s">
        <v>17534</v>
      </c>
      <c r="C7262" s="1126" t="s">
        <v>1470</v>
      </c>
      <c r="D7262" s="1119">
        <v>0.19</v>
      </c>
      <c r="E7262" s="1120">
        <v>0.19</v>
      </c>
      <c r="F7262" s="1121">
        <f t="shared" si="1"/>
        <v>0</v>
      </c>
      <c r="G7262" s="1120">
        <v>0.0</v>
      </c>
      <c r="H7262" s="1127">
        <v>0.0</v>
      </c>
      <c r="I7262" s="1127">
        <v>0.0</v>
      </c>
      <c r="J7262" s="1127">
        <v>0.0</v>
      </c>
      <c r="K7262" s="1124"/>
    </row>
    <row r="7263" ht="15.75" customHeight="1">
      <c r="A7263" s="1119">
        <v>95370.0</v>
      </c>
      <c r="B7263" s="1125" t="s">
        <v>17535</v>
      </c>
      <c r="C7263" s="1126" t="s">
        <v>1470</v>
      </c>
      <c r="D7263" s="1119">
        <v>0.37</v>
      </c>
      <c r="E7263" s="1120">
        <v>0.37</v>
      </c>
      <c r="F7263" s="1121">
        <f t="shared" si="1"/>
        <v>0</v>
      </c>
      <c r="G7263" s="1120">
        <v>0.0</v>
      </c>
      <c r="H7263" s="1127">
        <v>0.0</v>
      </c>
      <c r="I7263" s="1127">
        <v>0.0</v>
      </c>
      <c r="J7263" s="1127">
        <v>0.0</v>
      </c>
      <c r="K7263" s="1124"/>
    </row>
    <row r="7264" ht="15.75" customHeight="1">
      <c r="A7264" s="1119">
        <v>95371.0</v>
      </c>
      <c r="B7264" s="1125" t="s">
        <v>17536</v>
      </c>
      <c r="C7264" s="1126" t="s">
        <v>1470</v>
      </c>
      <c r="D7264" s="1119">
        <v>0.53</v>
      </c>
      <c r="E7264" s="1120">
        <v>0.53</v>
      </c>
      <c r="F7264" s="1121">
        <f t="shared" si="1"/>
        <v>0</v>
      </c>
      <c r="G7264" s="1120">
        <v>0.0</v>
      </c>
      <c r="H7264" s="1127">
        <v>0.0</v>
      </c>
      <c r="I7264" s="1127">
        <v>0.0</v>
      </c>
      <c r="J7264" s="1127">
        <v>0.0</v>
      </c>
      <c r="K7264" s="1124"/>
    </row>
    <row r="7265" ht="15.75" customHeight="1">
      <c r="A7265" s="1119">
        <v>95372.0</v>
      </c>
      <c r="B7265" s="1125" t="s">
        <v>17537</v>
      </c>
      <c r="C7265" s="1126" t="s">
        <v>1470</v>
      </c>
      <c r="D7265" s="1119">
        <v>0.37</v>
      </c>
      <c r="E7265" s="1120">
        <v>0.37</v>
      </c>
      <c r="F7265" s="1121">
        <f t="shared" si="1"/>
        <v>0</v>
      </c>
      <c r="G7265" s="1120">
        <v>0.0</v>
      </c>
      <c r="H7265" s="1127">
        <v>0.0</v>
      </c>
      <c r="I7265" s="1127">
        <v>0.0</v>
      </c>
      <c r="J7265" s="1127">
        <v>0.0</v>
      </c>
      <c r="K7265" s="1124"/>
    </row>
    <row r="7266" ht="15.75" customHeight="1">
      <c r="A7266" s="1119">
        <v>95373.0</v>
      </c>
      <c r="B7266" s="1125" t="s">
        <v>17538</v>
      </c>
      <c r="C7266" s="1126" t="s">
        <v>1470</v>
      </c>
      <c r="D7266" s="1119">
        <v>0.36</v>
      </c>
      <c r="E7266" s="1120">
        <v>0.36</v>
      </c>
      <c r="F7266" s="1121">
        <f t="shared" si="1"/>
        <v>0</v>
      </c>
      <c r="G7266" s="1120">
        <v>0.0</v>
      </c>
      <c r="H7266" s="1127">
        <v>0.0</v>
      </c>
      <c r="I7266" s="1127">
        <v>0.0</v>
      </c>
      <c r="J7266" s="1127">
        <v>0.0</v>
      </c>
      <c r="K7266" s="1124"/>
    </row>
    <row r="7267" ht="15.75" customHeight="1">
      <c r="A7267" s="1119">
        <v>95374.0</v>
      </c>
      <c r="B7267" s="1125" t="s">
        <v>17539</v>
      </c>
      <c r="C7267" s="1126" t="s">
        <v>1470</v>
      </c>
      <c r="D7267" s="1119">
        <v>0.37</v>
      </c>
      <c r="E7267" s="1120">
        <v>0.37</v>
      </c>
      <c r="F7267" s="1121">
        <f t="shared" si="1"/>
        <v>0</v>
      </c>
      <c r="G7267" s="1120">
        <v>0.0</v>
      </c>
      <c r="H7267" s="1127">
        <v>0.0</v>
      </c>
      <c r="I7267" s="1127">
        <v>0.0</v>
      </c>
      <c r="J7267" s="1127">
        <v>0.0</v>
      </c>
      <c r="K7267" s="1124"/>
    </row>
    <row r="7268" ht="15.75" customHeight="1">
      <c r="A7268" s="1119">
        <v>95375.0</v>
      </c>
      <c r="B7268" s="1125" t="s">
        <v>17540</v>
      </c>
      <c r="C7268" s="1126" t="s">
        <v>1470</v>
      </c>
      <c r="D7268" s="1119">
        <v>0.39</v>
      </c>
      <c r="E7268" s="1120">
        <v>0.39</v>
      </c>
      <c r="F7268" s="1121">
        <f t="shared" si="1"/>
        <v>0</v>
      </c>
      <c r="G7268" s="1120">
        <v>0.0</v>
      </c>
      <c r="H7268" s="1127">
        <v>0.0</v>
      </c>
      <c r="I7268" s="1127">
        <v>0.0</v>
      </c>
      <c r="J7268" s="1127">
        <v>0.0</v>
      </c>
      <c r="K7268" s="1124"/>
    </row>
    <row r="7269" ht="15.75" customHeight="1">
      <c r="A7269" s="1119">
        <v>95376.0</v>
      </c>
      <c r="B7269" s="1125" t="s">
        <v>17541</v>
      </c>
      <c r="C7269" s="1126" t="s">
        <v>1470</v>
      </c>
      <c r="D7269" s="1119">
        <v>0.08</v>
      </c>
      <c r="E7269" s="1120">
        <v>0.08</v>
      </c>
      <c r="F7269" s="1121">
        <f t="shared" si="1"/>
        <v>0</v>
      </c>
      <c r="G7269" s="1120">
        <v>0.0</v>
      </c>
      <c r="H7269" s="1127">
        <v>0.0</v>
      </c>
      <c r="I7269" s="1127">
        <v>0.0</v>
      </c>
      <c r="J7269" s="1127">
        <v>0.0</v>
      </c>
      <c r="K7269" s="1124"/>
    </row>
    <row r="7270" ht="15.75" customHeight="1">
      <c r="A7270" s="1119">
        <v>95377.0</v>
      </c>
      <c r="B7270" s="1125" t="s">
        <v>17542</v>
      </c>
      <c r="C7270" s="1126" t="s">
        <v>1470</v>
      </c>
      <c r="D7270" s="1119">
        <v>0.29</v>
      </c>
      <c r="E7270" s="1120">
        <v>0.29</v>
      </c>
      <c r="F7270" s="1121">
        <f t="shared" si="1"/>
        <v>0</v>
      </c>
      <c r="G7270" s="1120">
        <v>0.0</v>
      </c>
      <c r="H7270" s="1127">
        <v>0.0</v>
      </c>
      <c r="I7270" s="1127">
        <v>0.0</v>
      </c>
      <c r="J7270" s="1127">
        <v>0.0</v>
      </c>
      <c r="K7270" s="1124"/>
    </row>
    <row r="7271" ht="15.75" customHeight="1">
      <c r="A7271" s="1119">
        <v>95378.0</v>
      </c>
      <c r="B7271" s="1125" t="s">
        <v>17543</v>
      </c>
      <c r="C7271" s="1126" t="s">
        <v>1470</v>
      </c>
      <c r="D7271" s="1119">
        <v>0.37</v>
      </c>
      <c r="E7271" s="1120">
        <v>0.37</v>
      </c>
      <c r="F7271" s="1121">
        <f t="shared" si="1"/>
        <v>0</v>
      </c>
      <c r="G7271" s="1120">
        <v>0.0</v>
      </c>
      <c r="H7271" s="1127">
        <v>0.0</v>
      </c>
      <c r="I7271" s="1127">
        <v>0.0</v>
      </c>
      <c r="J7271" s="1127">
        <v>0.0</v>
      </c>
      <c r="K7271" s="1124"/>
    </row>
    <row r="7272" ht="15.75" customHeight="1">
      <c r="A7272" s="1119">
        <v>95379.0</v>
      </c>
      <c r="B7272" s="1125" t="s">
        <v>17544</v>
      </c>
      <c r="C7272" s="1126" t="s">
        <v>1470</v>
      </c>
      <c r="D7272" s="1119">
        <v>0.3</v>
      </c>
      <c r="E7272" s="1120">
        <v>0.3</v>
      </c>
      <c r="F7272" s="1121">
        <f t="shared" si="1"/>
        <v>0</v>
      </c>
      <c r="G7272" s="1120">
        <v>0.0</v>
      </c>
      <c r="H7272" s="1127">
        <v>0.0</v>
      </c>
      <c r="I7272" s="1127">
        <v>0.0</v>
      </c>
      <c r="J7272" s="1127">
        <v>0.0</v>
      </c>
      <c r="K7272" s="1124"/>
    </row>
    <row r="7273" ht="15.75" customHeight="1">
      <c r="A7273" s="1119">
        <v>95380.0</v>
      </c>
      <c r="B7273" s="1125" t="s">
        <v>17545</v>
      </c>
      <c r="C7273" s="1126" t="s">
        <v>1470</v>
      </c>
      <c r="D7273" s="1119">
        <v>0.24</v>
      </c>
      <c r="E7273" s="1120">
        <v>0.24</v>
      </c>
      <c r="F7273" s="1121">
        <f t="shared" si="1"/>
        <v>0</v>
      </c>
      <c r="G7273" s="1120">
        <v>0.0</v>
      </c>
      <c r="H7273" s="1127">
        <v>0.0</v>
      </c>
      <c r="I7273" s="1127">
        <v>0.0</v>
      </c>
      <c r="J7273" s="1127">
        <v>0.0</v>
      </c>
      <c r="K7273" s="1124"/>
    </row>
    <row r="7274" ht="15.75" customHeight="1">
      <c r="A7274" s="1119">
        <v>95382.0</v>
      </c>
      <c r="B7274" s="1125" t="s">
        <v>17546</v>
      </c>
      <c r="C7274" s="1126" t="s">
        <v>1470</v>
      </c>
      <c r="D7274" s="1119">
        <v>0.29</v>
      </c>
      <c r="E7274" s="1120">
        <v>0.29</v>
      </c>
      <c r="F7274" s="1121">
        <f t="shared" si="1"/>
        <v>0</v>
      </c>
      <c r="G7274" s="1120">
        <v>0.0</v>
      </c>
      <c r="H7274" s="1127">
        <v>0.0</v>
      </c>
      <c r="I7274" s="1127">
        <v>0.0</v>
      </c>
      <c r="J7274" s="1127">
        <v>0.0</v>
      </c>
      <c r="K7274" s="1124"/>
    </row>
    <row r="7275" ht="15.75" customHeight="1">
      <c r="A7275" s="1119">
        <v>95383.0</v>
      </c>
      <c r="B7275" s="1125" t="s">
        <v>17547</v>
      </c>
      <c r="C7275" s="1126" t="s">
        <v>1470</v>
      </c>
      <c r="D7275" s="1119">
        <v>0.3</v>
      </c>
      <c r="E7275" s="1120">
        <v>0.3</v>
      </c>
      <c r="F7275" s="1121">
        <f t="shared" si="1"/>
        <v>0</v>
      </c>
      <c r="G7275" s="1120">
        <v>0.0</v>
      </c>
      <c r="H7275" s="1127">
        <v>0.0</v>
      </c>
      <c r="I7275" s="1127">
        <v>0.0</v>
      </c>
      <c r="J7275" s="1127">
        <v>0.0</v>
      </c>
      <c r="K7275" s="1124"/>
    </row>
    <row r="7276" ht="15.75" customHeight="1">
      <c r="A7276" s="1119">
        <v>95384.0</v>
      </c>
      <c r="B7276" s="1125" t="s">
        <v>17548</v>
      </c>
      <c r="C7276" s="1126" t="s">
        <v>1470</v>
      </c>
      <c r="D7276" s="1119">
        <v>0.31</v>
      </c>
      <c r="E7276" s="1120">
        <v>0.31</v>
      </c>
      <c r="F7276" s="1121">
        <f t="shared" si="1"/>
        <v>0</v>
      </c>
      <c r="G7276" s="1120">
        <v>0.0</v>
      </c>
      <c r="H7276" s="1127">
        <v>0.0</v>
      </c>
      <c r="I7276" s="1127">
        <v>0.0</v>
      </c>
      <c r="J7276" s="1127">
        <v>0.0</v>
      </c>
      <c r="K7276" s="1124"/>
    </row>
    <row r="7277" ht="15.75" customHeight="1">
      <c r="A7277" s="1119">
        <v>95385.0</v>
      </c>
      <c r="B7277" s="1125" t="s">
        <v>17549</v>
      </c>
      <c r="C7277" s="1126" t="s">
        <v>1470</v>
      </c>
      <c r="D7277" s="1119">
        <v>0.28</v>
      </c>
      <c r="E7277" s="1120">
        <v>0.28</v>
      </c>
      <c r="F7277" s="1121">
        <f t="shared" si="1"/>
        <v>0</v>
      </c>
      <c r="G7277" s="1120">
        <v>0.0</v>
      </c>
      <c r="H7277" s="1127">
        <v>0.0</v>
      </c>
      <c r="I7277" s="1127">
        <v>0.0</v>
      </c>
      <c r="J7277" s="1127">
        <v>0.0</v>
      </c>
      <c r="K7277" s="1124"/>
    </row>
    <row r="7278" ht="15.75" customHeight="1">
      <c r="A7278" s="1119">
        <v>95386.0</v>
      </c>
      <c r="B7278" s="1125" t="s">
        <v>17550</v>
      </c>
      <c r="C7278" s="1126" t="s">
        <v>1470</v>
      </c>
      <c r="D7278" s="1119">
        <v>0.31</v>
      </c>
      <c r="E7278" s="1120">
        <v>0.31</v>
      </c>
      <c r="F7278" s="1121">
        <f t="shared" si="1"/>
        <v>0</v>
      </c>
      <c r="G7278" s="1120">
        <v>0.0</v>
      </c>
      <c r="H7278" s="1127">
        <v>0.0</v>
      </c>
      <c r="I7278" s="1127">
        <v>0.0</v>
      </c>
      <c r="J7278" s="1127">
        <v>0.0</v>
      </c>
      <c r="K7278" s="1124"/>
    </row>
    <row r="7279" ht="15.75" customHeight="1">
      <c r="A7279" s="1119">
        <v>95387.0</v>
      </c>
      <c r="B7279" s="1125" t="s">
        <v>17551</v>
      </c>
      <c r="C7279" s="1126" t="s">
        <v>1470</v>
      </c>
      <c r="D7279" s="1119">
        <v>0.37</v>
      </c>
      <c r="E7279" s="1120">
        <v>0.37</v>
      </c>
      <c r="F7279" s="1121">
        <f t="shared" si="1"/>
        <v>0</v>
      </c>
      <c r="G7279" s="1120">
        <v>0.0</v>
      </c>
      <c r="H7279" s="1127">
        <v>0.0</v>
      </c>
      <c r="I7279" s="1127">
        <v>0.0</v>
      </c>
      <c r="J7279" s="1127">
        <v>0.0</v>
      </c>
      <c r="K7279" s="1124"/>
    </row>
    <row r="7280" ht="15.75" customHeight="1">
      <c r="A7280" s="1119">
        <v>95388.0</v>
      </c>
      <c r="B7280" s="1125" t="s">
        <v>17552</v>
      </c>
      <c r="C7280" s="1126" t="s">
        <v>1470</v>
      </c>
      <c r="D7280" s="1119">
        <v>0.12</v>
      </c>
      <c r="E7280" s="1120">
        <v>0.12</v>
      </c>
      <c r="F7280" s="1121">
        <f t="shared" si="1"/>
        <v>0</v>
      </c>
      <c r="G7280" s="1120">
        <v>0.0</v>
      </c>
      <c r="H7280" s="1127">
        <v>0.0</v>
      </c>
      <c r="I7280" s="1127">
        <v>0.0</v>
      </c>
      <c r="J7280" s="1127">
        <v>0.0</v>
      </c>
      <c r="K7280" s="1124"/>
    </row>
    <row r="7281" ht="15.75" customHeight="1">
      <c r="A7281" s="1119">
        <v>95389.0</v>
      </c>
      <c r="B7281" s="1125" t="s">
        <v>17553</v>
      </c>
      <c r="C7281" s="1126" t="s">
        <v>1470</v>
      </c>
      <c r="D7281" s="1119">
        <v>0.15</v>
      </c>
      <c r="E7281" s="1120">
        <v>0.15</v>
      </c>
      <c r="F7281" s="1121">
        <f t="shared" si="1"/>
        <v>0</v>
      </c>
      <c r="G7281" s="1120">
        <v>0.0</v>
      </c>
      <c r="H7281" s="1127">
        <v>0.0</v>
      </c>
      <c r="I7281" s="1127">
        <v>0.0</v>
      </c>
      <c r="J7281" s="1127">
        <v>0.0</v>
      </c>
      <c r="K7281" s="1124"/>
    </row>
    <row r="7282" ht="15.75" customHeight="1">
      <c r="A7282" s="1119">
        <v>95390.0</v>
      </c>
      <c r="B7282" s="1125" t="s">
        <v>17554</v>
      </c>
      <c r="C7282" s="1126" t="s">
        <v>1470</v>
      </c>
      <c r="D7282" s="1119">
        <v>0.09</v>
      </c>
      <c r="E7282" s="1120">
        <v>0.09</v>
      </c>
      <c r="F7282" s="1121">
        <f t="shared" si="1"/>
        <v>0</v>
      </c>
      <c r="G7282" s="1120">
        <v>0.0</v>
      </c>
      <c r="H7282" s="1127">
        <v>0.0</v>
      </c>
      <c r="I7282" s="1127">
        <v>0.0</v>
      </c>
      <c r="J7282" s="1127">
        <v>0.0</v>
      </c>
      <c r="K7282" s="1124"/>
    </row>
    <row r="7283" ht="15.75" customHeight="1">
      <c r="A7283" s="1119">
        <v>95391.0</v>
      </c>
      <c r="B7283" s="1125" t="s">
        <v>17555</v>
      </c>
      <c r="C7283" s="1126" t="s">
        <v>1470</v>
      </c>
      <c r="D7283" s="1119">
        <v>0.19</v>
      </c>
      <c r="E7283" s="1120">
        <v>0.19</v>
      </c>
      <c r="F7283" s="1121">
        <f t="shared" si="1"/>
        <v>0</v>
      </c>
      <c r="G7283" s="1120">
        <v>0.0</v>
      </c>
      <c r="H7283" s="1127">
        <v>0.0</v>
      </c>
      <c r="I7283" s="1127">
        <v>0.0</v>
      </c>
      <c r="J7283" s="1127">
        <v>0.0</v>
      </c>
      <c r="K7283" s="1124"/>
    </row>
    <row r="7284" ht="15.75" customHeight="1">
      <c r="A7284" s="1119">
        <v>95392.0</v>
      </c>
      <c r="B7284" s="1125" t="s">
        <v>17556</v>
      </c>
      <c r="C7284" s="1126" t="s">
        <v>1470</v>
      </c>
      <c r="D7284" s="1119">
        <v>0.12</v>
      </c>
      <c r="E7284" s="1120">
        <v>0.12</v>
      </c>
      <c r="F7284" s="1121">
        <f t="shared" si="1"/>
        <v>0</v>
      </c>
      <c r="G7284" s="1120">
        <v>0.0</v>
      </c>
      <c r="H7284" s="1127">
        <v>0.0</v>
      </c>
      <c r="I7284" s="1127">
        <v>0.0</v>
      </c>
      <c r="J7284" s="1127">
        <v>0.0</v>
      </c>
      <c r="K7284" s="1124"/>
    </row>
    <row r="7285" ht="15.75" customHeight="1">
      <c r="A7285" s="1119">
        <v>95393.0</v>
      </c>
      <c r="B7285" s="1125" t="s">
        <v>17557</v>
      </c>
      <c r="C7285" s="1126" t="s">
        <v>1470</v>
      </c>
      <c r="D7285" s="1119">
        <v>0.47</v>
      </c>
      <c r="E7285" s="1120">
        <v>0.47</v>
      </c>
      <c r="F7285" s="1121">
        <f t="shared" si="1"/>
        <v>0</v>
      </c>
      <c r="G7285" s="1120">
        <v>0.0</v>
      </c>
      <c r="H7285" s="1127">
        <v>0.0</v>
      </c>
      <c r="I7285" s="1127">
        <v>0.0</v>
      </c>
      <c r="J7285" s="1127">
        <v>0.0</v>
      </c>
      <c r="K7285" s="1124"/>
    </row>
    <row r="7286" ht="15.75" customHeight="1">
      <c r="A7286" s="1119">
        <v>95394.0</v>
      </c>
      <c r="B7286" s="1125" t="s">
        <v>17558</v>
      </c>
      <c r="C7286" s="1126" t="s">
        <v>1470</v>
      </c>
      <c r="D7286" s="1119">
        <v>0.71</v>
      </c>
      <c r="E7286" s="1120">
        <v>0.71</v>
      </c>
      <c r="F7286" s="1121">
        <f t="shared" si="1"/>
        <v>0</v>
      </c>
      <c r="G7286" s="1120">
        <v>0.0</v>
      </c>
      <c r="H7286" s="1127">
        <v>0.0</v>
      </c>
      <c r="I7286" s="1127">
        <v>0.0</v>
      </c>
      <c r="J7286" s="1127">
        <v>0.0</v>
      </c>
      <c r="K7286" s="1124"/>
    </row>
    <row r="7287" ht="15.75" customHeight="1">
      <c r="A7287" s="1119">
        <v>95395.0</v>
      </c>
      <c r="B7287" s="1125" t="s">
        <v>17559</v>
      </c>
      <c r="C7287" s="1126" t="s">
        <v>1470</v>
      </c>
      <c r="D7287" s="1119">
        <v>1.01</v>
      </c>
      <c r="E7287" s="1120">
        <v>1.01</v>
      </c>
      <c r="F7287" s="1121">
        <f t="shared" si="1"/>
        <v>0</v>
      </c>
      <c r="G7287" s="1120">
        <v>0.0</v>
      </c>
      <c r="H7287" s="1127">
        <v>0.0</v>
      </c>
      <c r="I7287" s="1127">
        <v>0.0</v>
      </c>
      <c r="J7287" s="1127">
        <v>0.0</v>
      </c>
      <c r="K7287" s="1124"/>
    </row>
    <row r="7288" ht="15.75" customHeight="1">
      <c r="A7288" s="1119">
        <v>95396.0</v>
      </c>
      <c r="B7288" s="1125" t="s">
        <v>17560</v>
      </c>
      <c r="C7288" s="1126" t="s">
        <v>1470</v>
      </c>
      <c r="D7288" s="1119">
        <v>1.33</v>
      </c>
      <c r="E7288" s="1120">
        <v>1.33</v>
      </c>
      <c r="F7288" s="1121">
        <f t="shared" si="1"/>
        <v>0</v>
      </c>
      <c r="G7288" s="1120">
        <v>0.0</v>
      </c>
      <c r="H7288" s="1127">
        <v>0.0</v>
      </c>
      <c r="I7288" s="1127">
        <v>0.0</v>
      </c>
      <c r="J7288" s="1127">
        <v>0.0</v>
      </c>
      <c r="K7288" s="1124"/>
    </row>
    <row r="7289" ht="15.75" customHeight="1">
      <c r="A7289" s="1119">
        <v>95397.0</v>
      </c>
      <c r="B7289" s="1125" t="s">
        <v>17561</v>
      </c>
      <c r="C7289" s="1126" t="s">
        <v>1470</v>
      </c>
      <c r="D7289" s="1119">
        <v>0.08</v>
      </c>
      <c r="E7289" s="1120">
        <v>0.08</v>
      </c>
      <c r="F7289" s="1121">
        <f t="shared" si="1"/>
        <v>0</v>
      </c>
      <c r="G7289" s="1120">
        <v>0.0</v>
      </c>
      <c r="H7289" s="1127">
        <v>0.0</v>
      </c>
      <c r="I7289" s="1127">
        <v>0.0</v>
      </c>
      <c r="J7289" s="1127">
        <v>0.0</v>
      </c>
      <c r="K7289" s="1124"/>
    </row>
    <row r="7290" ht="15.75" customHeight="1">
      <c r="A7290" s="1119">
        <v>95398.0</v>
      </c>
      <c r="B7290" s="1125" t="s">
        <v>17562</v>
      </c>
      <c r="C7290" s="1126" t="s">
        <v>1470</v>
      </c>
      <c r="D7290" s="1119">
        <v>0.1</v>
      </c>
      <c r="E7290" s="1120">
        <v>0.1</v>
      </c>
      <c r="F7290" s="1121">
        <f t="shared" si="1"/>
        <v>0</v>
      </c>
      <c r="G7290" s="1120">
        <v>0.0</v>
      </c>
      <c r="H7290" s="1127">
        <v>0.0</v>
      </c>
      <c r="I7290" s="1127">
        <v>0.0</v>
      </c>
      <c r="J7290" s="1127">
        <v>0.0</v>
      </c>
      <c r="K7290" s="1124"/>
    </row>
    <row r="7291" ht="15.75" customHeight="1">
      <c r="A7291" s="1119">
        <v>95399.0</v>
      </c>
      <c r="B7291" s="1125" t="s">
        <v>17563</v>
      </c>
      <c r="C7291" s="1126" t="s">
        <v>1470</v>
      </c>
      <c r="D7291" s="1119">
        <v>0.06</v>
      </c>
      <c r="E7291" s="1120">
        <v>0.06</v>
      </c>
      <c r="F7291" s="1121">
        <f t="shared" si="1"/>
        <v>0</v>
      </c>
      <c r="G7291" s="1120">
        <v>0.0</v>
      </c>
      <c r="H7291" s="1127">
        <v>0.0</v>
      </c>
      <c r="I7291" s="1127">
        <v>0.0</v>
      </c>
      <c r="J7291" s="1127">
        <v>0.0</v>
      </c>
      <c r="K7291" s="1124"/>
    </row>
    <row r="7292" ht="15.75" customHeight="1">
      <c r="A7292" s="1119">
        <v>95400.0</v>
      </c>
      <c r="B7292" s="1125" t="s">
        <v>17564</v>
      </c>
      <c r="C7292" s="1126" t="s">
        <v>1470</v>
      </c>
      <c r="D7292" s="1119">
        <v>0.1</v>
      </c>
      <c r="E7292" s="1120">
        <v>0.1</v>
      </c>
      <c r="F7292" s="1121">
        <f t="shared" si="1"/>
        <v>0</v>
      </c>
      <c r="G7292" s="1120">
        <v>0.0</v>
      </c>
      <c r="H7292" s="1127">
        <v>0.0</v>
      </c>
      <c r="I7292" s="1127">
        <v>0.0</v>
      </c>
      <c r="J7292" s="1127">
        <v>0.0</v>
      </c>
      <c r="K7292" s="1124"/>
    </row>
    <row r="7293" ht="15.75" customHeight="1">
      <c r="A7293" s="1119">
        <v>95401.0</v>
      </c>
      <c r="B7293" s="1125" t="s">
        <v>17565</v>
      </c>
      <c r="C7293" s="1126" t="s">
        <v>1470</v>
      </c>
      <c r="D7293" s="1119">
        <v>0.76</v>
      </c>
      <c r="E7293" s="1120">
        <v>0.76</v>
      </c>
      <c r="F7293" s="1121">
        <f t="shared" si="1"/>
        <v>0</v>
      </c>
      <c r="G7293" s="1120">
        <v>0.0</v>
      </c>
      <c r="H7293" s="1127">
        <v>0.0</v>
      </c>
      <c r="I7293" s="1127">
        <v>0.0</v>
      </c>
      <c r="J7293" s="1127">
        <v>0.0</v>
      </c>
      <c r="K7293" s="1124"/>
    </row>
    <row r="7294" ht="15.75" customHeight="1">
      <c r="A7294" s="1119">
        <v>95402.0</v>
      </c>
      <c r="B7294" s="1125" t="s">
        <v>17566</v>
      </c>
      <c r="C7294" s="1126" t="s">
        <v>1470</v>
      </c>
      <c r="D7294" s="1119">
        <v>1.71</v>
      </c>
      <c r="E7294" s="1120">
        <v>1.71</v>
      </c>
      <c r="F7294" s="1121">
        <f t="shared" si="1"/>
        <v>0</v>
      </c>
      <c r="G7294" s="1120">
        <v>0.0</v>
      </c>
      <c r="H7294" s="1127">
        <v>0.0</v>
      </c>
      <c r="I7294" s="1127">
        <v>0.0</v>
      </c>
      <c r="J7294" s="1127">
        <v>0.0</v>
      </c>
      <c r="K7294" s="1124"/>
    </row>
    <row r="7295" ht="15.75" customHeight="1">
      <c r="A7295" s="1119">
        <v>95403.0</v>
      </c>
      <c r="B7295" s="1125" t="s">
        <v>17567</v>
      </c>
      <c r="C7295" s="1126" t="s">
        <v>1470</v>
      </c>
      <c r="D7295" s="1119">
        <v>1.95</v>
      </c>
      <c r="E7295" s="1120">
        <v>1.95</v>
      </c>
      <c r="F7295" s="1121">
        <f t="shared" si="1"/>
        <v>0</v>
      </c>
      <c r="G7295" s="1120">
        <v>0.0</v>
      </c>
      <c r="H7295" s="1127">
        <v>0.0</v>
      </c>
      <c r="I7295" s="1127">
        <v>0.0</v>
      </c>
      <c r="J7295" s="1127">
        <v>0.0</v>
      </c>
      <c r="K7295" s="1124"/>
    </row>
    <row r="7296" ht="15.75" customHeight="1">
      <c r="A7296" s="1119">
        <v>95404.0</v>
      </c>
      <c r="B7296" s="1125" t="s">
        <v>17568</v>
      </c>
      <c r="C7296" s="1126" t="s">
        <v>1470</v>
      </c>
      <c r="D7296" s="1119">
        <v>2.66</v>
      </c>
      <c r="E7296" s="1120">
        <v>2.66</v>
      </c>
      <c r="F7296" s="1121">
        <f t="shared" si="1"/>
        <v>0</v>
      </c>
      <c r="G7296" s="1120">
        <v>0.0</v>
      </c>
      <c r="H7296" s="1127">
        <v>0.0</v>
      </c>
      <c r="I7296" s="1127">
        <v>0.0</v>
      </c>
      <c r="J7296" s="1127">
        <v>0.0</v>
      </c>
      <c r="K7296" s="1124"/>
    </row>
    <row r="7297" ht="15.75" customHeight="1">
      <c r="A7297" s="1119">
        <v>95405.0</v>
      </c>
      <c r="B7297" s="1125" t="s">
        <v>17569</v>
      </c>
      <c r="C7297" s="1126" t="s">
        <v>1470</v>
      </c>
      <c r="D7297" s="1119">
        <v>1.31</v>
      </c>
      <c r="E7297" s="1120">
        <v>1.31</v>
      </c>
      <c r="F7297" s="1121">
        <f t="shared" si="1"/>
        <v>0</v>
      </c>
      <c r="G7297" s="1120">
        <v>0.0</v>
      </c>
      <c r="H7297" s="1127">
        <v>0.0</v>
      </c>
      <c r="I7297" s="1127">
        <v>0.0</v>
      </c>
      <c r="J7297" s="1127">
        <v>0.0</v>
      </c>
      <c r="K7297" s="1124"/>
    </row>
    <row r="7298" ht="15.75" customHeight="1">
      <c r="A7298" s="1119">
        <v>95406.0</v>
      </c>
      <c r="B7298" s="1125" t="s">
        <v>17570</v>
      </c>
      <c r="C7298" s="1126" t="s">
        <v>1470</v>
      </c>
      <c r="D7298" s="1119">
        <v>0.21</v>
      </c>
      <c r="E7298" s="1120">
        <v>0.21</v>
      </c>
      <c r="F7298" s="1121">
        <f t="shared" si="1"/>
        <v>0</v>
      </c>
      <c r="G7298" s="1120">
        <v>0.0</v>
      </c>
      <c r="H7298" s="1127">
        <v>0.0</v>
      </c>
      <c r="I7298" s="1127">
        <v>0.0</v>
      </c>
      <c r="J7298" s="1127">
        <v>0.0</v>
      </c>
      <c r="K7298" s="1124"/>
    </row>
    <row r="7299" ht="15.75" customHeight="1">
      <c r="A7299" s="1119">
        <v>95407.0</v>
      </c>
      <c r="B7299" s="1125" t="s">
        <v>17571</v>
      </c>
      <c r="C7299" s="1126" t="s">
        <v>1470</v>
      </c>
      <c r="D7299" s="1119">
        <v>3.9</v>
      </c>
      <c r="E7299" s="1120">
        <v>3.9</v>
      </c>
      <c r="F7299" s="1121">
        <f t="shared" si="1"/>
        <v>0</v>
      </c>
      <c r="G7299" s="1120">
        <v>0.0</v>
      </c>
      <c r="H7299" s="1127">
        <v>0.0</v>
      </c>
      <c r="I7299" s="1127">
        <v>0.0</v>
      </c>
      <c r="J7299" s="1127">
        <v>0.0</v>
      </c>
      <c r="K7299" s="1124"/>
    </row>
    <row r="7300" ht="15.75" customHeight="1">
      <c r="A7300" s="1119">
        <v>95408.0</v>
      </c>
      <c r="B7300" s="1125" t="s">
        <v>17572</v>
      </c>
      <c r="C7300" s="1126" t="s">
        <v>5454</v>
      </c>
      <c r="D7300" s="1119">
        <v>17.39</v>
      </c>
      <c r="E7300" s="1120">
        <v>17.39</v>
      </c>
      <c r="F7300" s="1121">
        <f t="shared" si="1"/>
        <v>0</v>
      </c>
      <c r="G7300" s="1120">
        <v>0.0</v>
      </c>
      <c r="H7300" s="1127">
        <v>0.0</v>
      </c>
      <c r="I7300" s="1127">
        <v>0.0</v>
      </c>
      <c r="J7300" s="1127">
        <v>0.0</v>
      </c>
      <c r="K7300" s="1124"/>
    </row>
    <row r="7301" ht="15.75" customHeight="1">
      <c r="A7301" s="1119">
        <v>95409.0</v>
      </c>
      <c r="B7301" s="1125" t="s">
        <v>17573</v>
      </c>
      <c r="C7301" s="1126" t="s">
        <v>5454</v>
      </c>
      <c r="D7301" s="1119">
        <v>26.3</v>
      </c>
      <c r="E7301" s="1120">
        <v>26.3</v>
      </c>
      <c r="F7301" s="1121">
        <f t="shared" si="1"/>
        <v>0</v>
      </c>
      <c r="G7301" s="1120">
        <v>0.0</v>
      </c>
      <c r="H7301" s="1127">
        <v>0.0</v>
      </c>
      <c r="I7301" s="1127">
        <v>0.0</v>
      </c>
      <c r="J7301" s="1127">
        <v>0.0</v>
      </c>
      <c r="K7301" s="1124"/>
    </row>
    <row r="7302" ht="15.75" customHeight="1">
      <c r="A7302" s="1119">
        <v>95410.0</v>
      </c>
      <c r="B7302" s="1125" t="s">
        <v>17574</v>
      </c>
      <c r="C7302" s="1126" t="s">
        <v>5454</v>
      </c>
      <c r="D7302" s="1119">
        <v>8.66</v>
      </c>
      <c r="E7302" s="1120">
        <v>8.66</v>
      </c>
      <c r="F7302" s="1121">
        <f t="shared" si="1"/>
        <v>0</v>
      </c>
      <c r="G7302" s="1120">
        <v>0.0</v>
      </c>
      <c r="H7302" s="1127">
        <v>0.0</v>
      </c>
      <c r="I7302" s="1127">
        <v>0.0</v>
      </c>
      <c r="J7302" s="1127">
        <v>0.0</v>
      </c>
      <c r="K7302" s="1124"/>
    </row>
    <row r="7303" ht="15.75" customHeight="1">
      <c r="A7303" s="1119">
        <v>95411.0</v>
      </c>
      <c r="B7303" s="1125" t="s">
        <v>17575</v>
      </c>
      <c r="C7303" s="1126" t="s">
        <v>5454</v>
      </c>
      <c r="D7303" s="1119">
        <v>13.93</v>
      </c>
      <c r="E7303" s="1120">
        <v>13.93</v>
      </c>
      <c r="F7303" s="1121">
        <f t="shared" si="1"/>
        <v>0</v>
      </c>
      <c r="G7303" s="1120">
        <v>0.0</v>
      </c>
      <c r="H7303" s="1127">
        <v>0.0</v>
      </c>
      <c r="I7303" s="1127">
        <v>0.0</v>
      </c>
      <c r="J7303" s="1127">
        <v>0.0</v>
      </c>
      <c r="K7303" s="1124"/>
    </row>
    <row r="7304" ht="15.75" customHeight="1">
      <c r="A7304" s="1119">
        <v>95412.0</v>
      </c>
      <c r="B7304" s="1125" t="s">
        <v>17576</v>
      </c>
      <c r="C7304" s="1126" t="s">
        <v>5454</v>
      </c>
      <c r="D7304" s="1119">
        <v>11.76</v>
      </c>
      <c r="E7304" s="1120">
        <v>11.76</v>
      </c>
      <c r="F7304" s="1121">
        <f t="shared" si="1"/>
        <v>0</v>
      </c>
      <c r="G7304" s="1120">
        <v>0.0</v>
      </c>
      <c r="H7304" s="1127">
        <v>0.0</v>
      </c>
      <c r="I7304" s="1127">
        <v>0.0</v>
      </c>
      <c r="J7304" s="1127">
        <v>0.0</v>
      </c>
      <c r="K7304" s="1124"/>
    </row>
    <row r="7305" ht="15.75" customHeight="1">
      <c r="A7305" s="1119">
        <v>95413.0</v>
      </c>
      <c r="B7305" s="1125" t="s">
        <v>17577</v>
      </c>
      <c r="C7305" s="1126" t="s">
        <v>5454</v>
      </c>
      <c r="D7305" s="1119">
        <v>16.99</v>
      </c>
      <c r="E7305" s="1120">
        <v>16.99</v>
      </c>
      <c r="F7305" s="1121">
        <f t="shared" si="1"/>
        <v>0</v>
      </c>
      <c r="G7305" s="1120">
        <v>0.0</v>
      </c>
      <c r="H7305" s="1127">
        <v>0.0</v>
      </c>
      <c r="I7305" s="1127">
        <v>0.0</v>
      </c>
      <c r="J7305" s="1127">
        <v>0.0</v>
      </c>
      <c r="K7305" s="1124"/>
    </row>
    <row r="7306" ht="15.75" customHeight="1">
      <c r="A7306" s="1119">
        <v>95414.0</v>
      </c>
      <c r="B7306" s="1125" t="s">
        <v>17578</v>
      </c>
      <c r="C7306" s="1126" t="s">
        <v>5454</v>
      </c>
      <c r="D7306" s="1119">
        <v>62.5</v>
      </c>
      <c r="E7306" s="1120">
        <v>62.5</v>
      </c>
      <c r="F7306" s="1121">
        <f t="shared" si="1"/>
        <v>0</v>
      </c>
      <c r="G7306" s="1120">
        <v>0.0</v>
      </c>
      <c r="H7306" s="1127">
        <v>0.0</v>
      </c>
      <c r="I7306" s="1127">
        <v>0.0</v>
      </c>
      <c r="J7306" s="1127">
        <v>0.0</v>
      </c>
      <c r="K7306" s="1124"/>
    </row>
    <row r="7307" ht="15.75" customHeight="1">
      <c r="A7307" s="1119">
        <v>95415.0</v>
      </c>
      <c r="B7307" s="1125" t="s">
        <v>17579</v>
      </c>
      <c r="C7307" s="1126" t="s">
        <v>5454</v>
      </c>
      <c r="D7307" s="1119">
        <v>225.9</v>
      </c>
      <c r="E7307" s="1120">
        <v>225.9</v>
      </c>
      <c r="F7307" s="1121">
        <f t="shared" si="1"/>
        <v>0</v>
      </c>
      <c r="G7307" s="1120">
        <v>0.0</v>
      </c>
      <c r="H7307" s="1127">
        <v>0.0</v>
      </c>
      <c r="I7307" s="1127">
        <v>0.0</v>
      </c>
      <c r="J7307" s="1127">
        <v>0.0</v>
      </c>
      <c r="K7307" s="1124"/>
    </row>
    <row r="7308" ht="15.75" customHeight="1">
      <c r="A7308" s="1119">
        <v>95416.0</v>
      </c>
      <c r="B7308" s="1125" t="s">
        <v>17580</v>
      </c>
      <c r="C7308" s="1126" t="s">
        <v>5454</v>
      </c>
      <c r="D7308" s="1119">
        <v>13.61</v>
      </c>
      <c r="E7308" s="1120">
        <v>13.61</v>
      </c>
      <c r="F7308" s="1121">
        <f t="shared" si="1"/>
        <v>0</v>
      </c>
      <c r="G7308" s="1120">
        <v>0.0</v>
      </c>
      <c r="H7308" s="1127">
        <v>0.0</v>
      </c>
      <c r="I7308" s="1127">
        <v>0.0</v>
      </c>
      <c r="J7308" s="1127">
        <v>0.0</v>
      </c>
      <c r="K7308" s="1124"/>
    </row>
    <row r="7309" ht="15.75" customHeight="1">
      <c r="A7309" s="1119">
        <v>95417.0</v>
      </c>
      <c r="B7309" s="1125" t="s">
        <v>17581</v>
      </c>
      <c r="C7309" s="1126" t="s">
        <v>5454</v>
      </c>
      <c r="D7309" s="1119">
        <v>257.13</v>
      </c>
      <c r="E7309" s="1120">
        <v>257.13</v>
      </c>
      <c r="F7309" s="1121">
        <f t="shared" si="1"/>
        <v>0</v>
      </c>
      <c r="G7309" s="1120">
        <v>0.0</v>
      </c>
      <c r="H7309" s="1127">
        <v>0.0</v>
      </c>
      <c r="I7309" s="1127">
        <v>0.0</v>
      </c>
      <c r="J7309" s="1127">
        <v>0.0</v>
      </c>
      <c r="K7309" s="1124"/>
    </row>
    <row r="7310" ht="15.75" customHeight="1">
      <c r="A7310" s="1119">
        <v>95418.0</v>
      </c>
      <c r="B7310" s="1125" t="s">
        <v>17582</v>
      </c>
      <c r="C7310" s="1126" t="s">
        <v>5454</v>
      </c>
      <c r="D7310" s="1119">
        <v>351.49</v>
      </c>
      <c r="E7310" s="1120">
        <v>351.49</v>
      </c>
      <c r="F7310" s="1121">
        <f t="shared" si="1"/>
        <v>0</v>
      </c>
      <c r="G7310" s="1120">
        <v>0.0</v>
      </c>
      <c r="H7310" s="1127">
        <v>0.0</v>
      </c>
      <c r="I7310" s="1127">
        <v>0.0</v>
      </c>
      <c r="J7310" s="1127">
        <v>0.0</v>
      </c>
      <c r="K7310" s="1124"/>
    </row>
    <row r="7311" ht="15.75" customHeight="1">
      <c r="A7311" s="1119">
        <v>95419.0</v>
      </c>
      <c r="B7311" s="1125" t="s">
        <v>17583</v>
      </c>
      <c r="C7311" s="1126" t="s">
        <v>5454</v>
      </c>
      <c r="D7311" s="1119">
        <v>93.82</v>
      </c>
      <c r="E7311" s="1120">
        <v>93.82</v>
      </c>
      <c r="F7311" s="1121">
        <f t="shared" si="1"/>
        <v>0</v>
      </c>
      <c r="G7311" s="1120">
        <v>0.0</v>
      </c>
      <c r="H7311" s="1127">
        <v>0.0</v>
      </c>
      <c r="I7311" s="1127">
        <v>0.0</v>
      </c>
      <c r="J7311" s="1127">
        <v>0.0</v>
      </c>
      <c r="K7311" s="1124"/>
    </row>
    <row r="7312" ht="15.75" customHeight="1">
      <c r="A7312" s="1119">
        <v>95420.0</v>
      </c>
      <c r="B7312" s="1125" t="s">
        <v>17584</v>
      </c>
      <c r="C7312" s="1126" t="s">
        <v>5454</v>
      </c>
      <c r="D7312" s="1119">
        <v>133.27</v>
      </c>
      <c r="E7312" s="1120">
        <v>133.27</v>
      </c>
      <c r="F7312" s="1121">
        <f t="shared" si="1"/>
        <v>0</v>
      </c>
      <c r="G7312" s="1120">
        <v>0.0</v>
      </c>
      <c r="H7312" s="1127">
        <v>0.0</v>
      </c>
      <c r="I7312" s="1127">
        <v>0.0</v>
      </c>
      <c r="J7312" s="1127">
        <v>0.0</v>
      </c>
      <c r="K7312" s="1124"/>
    </row>
    <row r="7313" ht="15.75" customHeight="1">
      <c r="A7313" s="1119">
        <v>95421.0</v>
      </c>
      <c r="B7313" s="1125" t="s">
        <v>17585</v>
      </c>
      <c r="C7313" s="1126" t="s">
        <v>5454</v>
      </c>
      <c r="D7313" s="1119">
        <v>176.19</v>
      </c>
      <c r="E7313" s="1120">
        <v>176.19</v>
      </c>
      <c r="F7313" s="1121">
        <f t="shared" si="1"/>
        <v>0</v>
      </c>
      <c r="G7313" s="1120">
        <v>0.0</v>
      </c>
      <c r="H7313" s="1127">
        <v>0.0</v>
      </c>
      <c r="I7313" s="1127">
        <v>0.0</v>
      </c>
      <c r="J7313" s="1127">
        <v>0.0</v>
      </c>
      <c r="K7313" s="1124"/>
    </row>
    <row r="7314" ht="15.75" customHeight="1">
      <c r="A7314" s="1119">
        <v>95422.0</v>
      </c>
      <c r="B7314" s="1125" t="s">
        <v>17586</v>
      </c>
      <c r="C7314" s="1126" t="s">
        <v>5454</v>
      </c>
      <c r="D7314" s="1119">
        <v>100.92</v>
      </c>
      <c r="E7314" s="1120">
        <v>100.92</v>
      </c>
      <c r="F7314" s="1121">
        <f t="shared" si="1"/>
        <v>0</v>
      </c>
      <c r="G7314" s="1120">
        <v>0.0</v>
      </c>
      <c r="H7314" s="1127">
        <v>0.0</v>
      </c>
      <c r="I7314" s="1127">
        <v>0.0</v>
      </c>
      <c r="J7314" s="1127">
        <v>0.0</v>
      </c>
      <c r="K7314" s="1124"/>
    </row>
    <row r="7315" ht="15.75" customHeight="1">
      <c r="A7315" s="1119">
        <v>95423.0</v>
      </c>
      <c r="B7315" s="1125" t="s">
        <v>17587</v>
      </c>
      <c r="C7315" s="1126" t="s">
        <v>5454</v>
      </c>
      <c r="D7315" s="1119">
        <v>172.84</v>
      </c>
      <c r="E7315" s="1120">
        <v>172.84</v>
      </c>
      <c r="F7315" s="1121">
        <f t="shared" si="1"/>
        <v>0</v>
      </c>
      <c r="G7315" s="1120">
        <v>0.0</v>
      </c>
      <c r="H7315" s="1127">
        <v>0.0</v>
      </c>
      <c r="I7315" s="1127">
        <v>0.0</v>
      </c>
      <c r="J7315" s="1127">
        <v>0.0</v>
      </c>
      <c r="K7315" s="1124"/>
    </row>
    <row r="7316" ht="15.75" customHeight="1">
      <c r="A7316" s="1119">
        <v>95424.0</v>
      </c>
      <c r="B7316" s="1125" t="s">
        <v>17588</v>
      </c>
      <c r="C7316" s="1126" t="s">
        <v>5454</v>
      </c>
      <c r="D7316" s="1119">
        <v>27.77</v>
      </c>
      <c r="E7316" s="1120">
        <v>27.77</v>
      </c>
      <c r="F7316" s="1121">
        <f t="shared" si="1"/>
        <v>0</v>
      </c>
      <c r="G7316" s="1120">
        <v>0.0</v>
      </c>
      <c r="H7316" s="1127">
        <v>0.0</v>
      </c>
      <c r="I7316" s="1127">
        <v>0.0</v>
      </c>
      <c r="J7316" s="1127">
        <v>0.0</v>
      </c>
      <c r="K7316" s="1124"/>
    </row>
    <row r="7317" ht="15.75" customHeight="1">
      <c r="A7317" s="1119">
        <v>100288.0</v>
      </c>
      <c r="B7317" s="1125" t="s">
        <v>17589</v>
      </c>
      <c r="C7317" s="1126" t="s">
        <v>1470</v>
      </c>
      <c r="D7317" s="1119">
        <v>0.09</v>
      </c>
      <c r="E7317" s="1120">
        <v>0.09</v>
      </c>
      <c r="F7317" s="1121">
        <f t="shared" si="1"/>
        <v>0</v>
      </c>
      <c r="G7317" s="1120">
        <v>0.0</v>
      </c>
      <c r="H7317" s="1127">
        <v>0.0</v>
      </c>
      <c r="I7317" s="1127">
        <v>0.0</v>
      </c>
      <c r="J7317" s="1127">
        <v>0.0</v>
      </c>
      <c r="K7317" s="1124"/>
    </row>
    <row r="7318" ht="15.75" customHeight="1">
      <c r="A7318" s="1119">
        <v>100289.0</v>
      </c>
      <c r="B7318" s="1125" t="s">
        <v>17590</v>
      </c>
      <c r="C7318" s="1126" t="s">
        <v>1470</v>
      </c>
      <c r="D7318" s="1119">
        <v>25.21</v>
      </c>
      <c r="E7318" s="1120">
        <v>17.51</v>
      </c>
      <c r="F7318" s="1121">
        <f t="shared" si="1"/>
        <v>7.7</v>
      </c>
      <c r="G7318" s="1120">
        <v>7.7</v>
      </c>
      <c r="H7318" s="1127">
        <v>0.0</v>
      </c>
      <c r="I7318" s="1127">
        <v>0.0</v>
      </c>
      <c r="J7318" s="1127">
        <v>0.0</v>
      </c>
      <c r="K7318" s="1124"/>
    </row>
    <row r="7319" ht="15.75" customHeight="1">
      <c r="A7319" s="1119">
        <v>100290.0</v>
      </c>
      <c r="B7319" s="1125" t="s">
        <v>17591</v>
      </c>
      <c r="C7319" s="1126" t="s">
        <v>1470</v>
      </c>
      <c r="D7319" s="1119">
        <v>0.09</v>
      </c>
      <c r="E7319" s="1120">
        <v>0.09</v>
      </c>
      <c r="F7319" s="1121">
        <f t="shared" si="1"/>
        <v>0</v>
      </c>
      <c r="G7319" s="1120">
        <v>0.0</v>
      </c>
      <c r="H7319" s="1127">
        <v>0.0</v>
      </c>
      <c r="I7319" s="1127">
        <v>0.0</v>
      </c>
      <c r="J7319" s="1127">
        <v>0.0</v>
      </c>
      <c r="K7319" s="1124"/>
    </row>
    <row r="7320" ht="15.75" customHeight="1">
      <c r="A7320" s="1119">
        <v>100291.0</v>
      </c>
      <c r="B7320" s="1125" t="s">
        <v>17592</v>
      </c>
      <c r="C7320" s="1126" t="s">
        <v>1470</v>
      </c>
      <c r="D7320" s="1119">
        <v>0.28</v>
      </c>
      <c r="E7320" s="1120">
        <v>0.28</v>
      </c>
      <c r="F7320" s="1121">
        <f t="shared" si="1"/>
        <v>0</v>
      </c>
      <c r="G7320" s="1120">
        <v>0.0</v>
      </c>
      <c r="H7320" s="1127">
        <v>0.0</v>
      </c>
      <c r="I7320" s="1127">
        <v>0.0</v>
      </c>
      <c r="J7320" s="1127">
        <v>0.0</v>
      </c>
      <c r="K7320" s="1124"/>
    </row>
    <row r="7321" ht="15.75" customHeight="1">
      <c r="A7321" s="1119">
        <v>100292.0</v>
      </c>
      <c r="B7321" s="1125" t="s">
        <v>17593</v>
      </c>
      <c r="C7321" s="1126" t="s">
        <v>1470</v>
      </c>
      <c r="D7321" s="1119">
        <v>0.86</v>
      </c>
      <c r="E7321" s="1120">
        <v>0.86</v>
      </c>
      <c r="F7321" s="1121">
        <f t="shared" si="1"/>
        <v>0</v>
      </c>
      <c r="G7321" s="1120">
        <v>0.0</v>
      </c>
      <c r="H7321" s="1127">
        <v>0.0</v>
      </c>
      <c r="I7321" s="1127">
        <v>0.0</v>
      </c>
      <c r="J7321" s="1127">
        <v>0.0</v>
      </c>
      <c r="K7321" s="1124"/>
    </row>
    <row r="7322" ht="15.75" customHeight="1">
      <c r="A7322" s="1119">
        <v>100293.0</v>
      </c>
      <c r="B7322" s="1125" t="s">
        <v>17594</v>
      </c>
      <c r="C7322" s="1126" t="s">
        <v>1470</v>
      </c>
      <c r="D7322" s="1119">
        <v>0.26</v>
      </c>
      <c r="E7322" s="1120">
        <v>0.26</v>
      </c>
      <c r="F7322" s="1121">
        <f t="shared" si="1"/>
        <v>0</v>
      </c>
      <c r="G7322" s="1120">
        <v>0.0</v>
      </c>
      <c r="H7322" s="1127">
        <v>0.0</v>
      </c>
      <c r="I7322" s="1127">
        <v>0.0</v>
      </c>
      <c r="J7322" s="1127">
        <v>0.0</v>
      </c>
      <c r="K7322" s="1124"/>
    </row>
    <row r="7323" ht="15.75" customHeight="1">
      <c r="A7323" s="1119">
        <v>100294.0</v>
      </c>
      <c r="B7323" s="1125" t="s">
        <v>17595</v>
      </c>
      <c r="C7323" s="1126" t="s">
        <v>1470</v>
      </c>
      <c r="D7323" s="1119">
        <v>0.42</v>
      </c>
      <c r="E7323" s="1120">
        <v>0.42</v>
      </c>
      <c r="F7323" s="1121">
        <f t="shared" si="1"/>
        <v>0</v>
      </c>
      <c r="G7323" s="1120">
        <v>0.0</v>
      </c>
      <c r="H7323" s="1127">
        <v>0.0</v>
      </c>
      <c r="I7323" s="1127">
        <v>0.0</v>
      </c>
      <c r="J7323" s="1127">
        <v>0.0</v>
      </c>
      <c r="K7323" s="1124"/>
    </row>
    <row r="7324" ht="15.75" customHeight="1">
      <c r="A7324" s="1119">
        <v>100295.0</v>
      </c>
      <c r="B7324" s="1125" t="s">
        <v>17596</v>
      </c>
      <c r="C7324" s="1126" t="s">
        <v>1470</v>
      </c>
      <c r="D7324" s="1119">
        <v>0.66</v>
      </c>
      <c r="E7324" s="1120">
        <v>0.66</v>
      </c>
      <c r="F7324" s="1121">
        <f t="shared" si="1"/>
        <v>0</v>
      </c>
      <c r="G7324" s="1120">
        <v>0.0</v>
      </c>
      <c r="H7324" s="1127">
        <v>0.0</v>
      </c>
      <c r="I7324" s="1127">
        <v>0.0</v>
      </c>
      <c r="J7324" s="1127">
        <v>0.0</v>
      </c>
      <c r="K7324" s="1124"/>
    </row>
    <row r="7325" ht="15.75" customHeight="1">
      <c r="A7325" s="1119">
        <v>100296.0</v>
      </c>
      <c r="B7325" s="1125" t="s">
        <v>17597</v>
      </c>
      <c r="C7325" s="1126" t="s">
        <v>1470</v>
      </c>
      <c r="D7325" s="1119">
        <v>1.35</v>
      </c>
      <c r="E7325" s="1120">
        <v>1.35</v>
      </c>
      <c r="F7325" s="1121">
        <f t="shared" si="1"/>
        <v>0</v>
      </c>
      <c r="G7325" s="1120">
        <v>0.0</v>
      </c>
      <c r="H7325" s="1127">
        <v>0.0</v>
      </c>
      <c r="I7325" s="1127">
        <v>0.0</v>
      </c>
      <c r="J7325" s="1127">
        <v>0.0</v>
      </c>
      <c r="K7325" s="1124"/>
    </row>
    <row r="7326" ht="15.75" customHeight="1">
      <c r="A7326" s="1119">
        <v>100297.0</v>
      </c>
      <c r="B7326" s="1125" t="s">
        <v>17598</v>
      </c>
      <c r="C7326" s="1126" t="s">
        <v>1470</v>
      </c>
      <c r="D7326" s="1119">
        <v>1.53</v>
      </c>
      <c r="E7326" s="1120">
        <v>1.53</v>
      </c>
      <c r="F7326" s="1121">
        <f t="shared" si="1"/>
        <v>0</v>
      </c>
      <c r="G7326" s="1120">
        <v>0.0</v>
      </c>
      <c r="H7326" s="1127">
        <v>0.0</v>
      </c>
      <c r="I7326" s="1127">
        <v>0.0</v>
      </c>
      <c r="J7326" s="1127">
        <v>0.0</v>
      </c>
      <c r="K7326" s="1124"/>
    </row>
    <row r="7327" ht="15.75" customHeight="1">
      <c r="A7327" s="1119">
        <v>100298.0</v>
      </c>
      <c r="B7327" s="1125" t="s">
        <v>17599</v>
      </c>
      <c r="C7327" s="1126" t="s">
        <v>1470</v>
      </c>
      <c r="D7327" s="1119">
        <v>0.77</v>
      </c>
      <c r="E7327" s="1120">
        <v>0.77</v>
      </c>
      <c r="F7327" s="1121">
        <f t="shared" si="1"/>
        <v>0</v>
      </c>
      <c r="G7327" s="1120">
        <v>0.0</v>
      </c>
      <c r="H7327" s="1127">
        <v>0.0</v>
      </c>
      <c r="I7327" s="1127">
        <v>0.0</v>
      </c>
      <c r="J7327" s="1127">
        <v>0.0</v>
      </c>
      <c r="K7327" s="1124"/>
    </row>
    <row r="7328" ht="15.75" customHeight="1">
      <c r="A7328" s="1119">
        <v>100299.0</v>
      </c>
      <c r="B7328" s="1125" t="s">
        <v>17600</v>
      </c>
      <c r="C7328" s="1126" t="s">
        <v>1470</v>
      </c>
      <c r="D7328" s="1119">
        <v>0.6</v>
      </c>
      <c r="E7328" s="1120">
        <v>0.6</v>
      </c>
      <c r="F7328" s="1121">
        <f t="shared" si="1"/>
        <v>0</v>
      </c>
      <c r="G7328" s="1120">
        <v>0.0</v>
      </c>
      <c r="H7328" s="1127">
        <v>0.0</v>
      </c>
      <c r="I7328" s="1127">
        <v>0.0</v>
      </c>
      <c r="J7328" s="1127">
        <v>0.0</v>
      </c>
      <c r="K7328" s="1124"/>
    </row>
    <row r="7329" ht="15.75" customHeight="1">
      <c r="A7329" s="1119">
        <v>100300.0</v>
      </c>
      <c r="B7329" s="1125" t="s">
        <v>17601</v>
      </c>
      <c r="C7329" s="1126" t="s">
        <v>1470</v>
      </c>
      <c r="D7329" s="1119">
        <v>20.59</v>
      </c>
      <c r="E7329" s="1120">
        <v>18.57</v>
      </c>
      <c r="F7329" s="1121">
        <f t="shared" si="1"/>
        <v>2.02</v>
      </c>
      <c r="G7329" s="1120">
        <v>2.02</v>
      </c>
      <c r="H7329" s="1127">
        <v>0.0</v>
      </c>
      <c r="I7329" s="1127">
        <v>0.0</v>
      </c>
      <c r="J7329" s="1127">
        <v>0.0</v>
      </c>
      <c r="K7329" s="1124"/>
    </row>
    <row r="7330" ht="15.75" customHeight="1">
      <c r="A7330" s="1119">
        <v>100301.0</v>
      </c>
      <c r="B7330" s="1125" t="s">
        <v>17602</v>
      </c>
      <c r="C7330" s="1126" t="s">
        <v>1470</v>
      </c>
      <c r="D7330" s="1119">
        <v>27.98</v>
      </c>
      <c r="E7330" s="1120">
        <v>18.76</v>
      </c>
      <c r="F7330" s="1121">
        <f t="shared" si="1"/>
        <v>9.22</v>
      </c>
      <c r="G7330" s="1120">
        <v>9.22</v>
      </c>
      <c r="H7330" s="1127">
        <v>0.0</v>
      </c>
      <c r="I7330" s="1127">
        <v>0.0</v>
      </c>
      <c r="J7330" s="1127">
        <v>0.0</v>
      </c>
      <c r="K7330" s="1124"/>
    </row>
    <row r="7331" ht="15.75" customHeight="1">
      <c r="A7331" s="1119">
        <v>100302.0</v>
      </c>
      <c r="B7331" s="1125" t="s">
        <v>17603</v>
      </c>
      <c r="C7331" s="1126" t="s">
        <v>1470</v>
      </c>
      <c r="D7331" s="1119">
        <v>165.01</v>
      </c>
      <c r="E7331" s="1120">
        <v>163.08</v>
      </c>
      <c r="F7331" s="1121">
        <f t="shared" si="1"/>
        <v>1.93</v>
      </c>
      <c r="G7331" s="1120">
        <v>1.93</v>
      </c>
      <c r="H7331" s="1127">
        <v>0.0</v>
      </c>
      <c r="I7331" s="1127">
        <v>0.0</v>
      </c>
      <c r="J7331" s="1127">
        <v>0.0</v>
      </c>
      <c r="K7331" s="1124"/>
    </row>
    <row r="7332" ht="15.75" customHeight="1">
      <c r="A7332" s="1119">
        <v>100303.0</v>
      </c>
      <c r="B7332" s="1125" t="s">
        <v>17604</v>
      </c>
      <c r="C7332" s="1126" t="s">
        <v>1470</v>
      </c>
      <c r="D7332" s="1119">
        <v>25.16</v>
      </c>
      <c r="E7332" s="1120">
        <v>17.29</v>
      </c>
      <c r="F7332" s="1121">
        <f t="shared" si="1"/>
        <v>7.87</v>
      </c>
      <c r="G7332" s="1120">
        <v>7.87</v>
      </c>
      <c r="H7332" s="1127">
        <v>0.0</v>
      </c>
      <c r="I7332" s="1127">
        <v>0.0</v>
      </c>
      <c r="J7332" s="1127">
        <v>0.0</v>
      </c>
      <c r="K7332" s="1124"/>
    </row>
    <row r="7333" ht="15.75" customHeight="1">
      <c r="A7333" s="1119">
        <v>100304.0</v>
      </c>
      <c r="B7333" s="1125" t="s">
        <v>17605</v>
      </c>
      <c r="C7333" s="1126" t="s">
        <v>1470</v>
      </c>
      <c r="D7333" s="1119">
        <v>81.31</v>
      </c>
      <c r="E7333" s="1120">
        <v>79.38</v>
      </c>
      <c r="F7333" s="1121">
        <f t="shared" si="1"/>
        <v>1.93</v>
      </c>
      <c r="G7333" s="1120">
        <v>1.93</v>
      </c>
      <c r="H7333" s="1127">
        <v>0.0</v>
      </c>
      <c r="I7333" s="1127">
        <v>0.0</v>
      </c>
      <c r="J7333" s="1127">
        <v>0.0</v>
      </c>
      <c r="K7333" s="1124"/>
    </row>
    <row r="7334" ht="15.75" customHeight="1">
      <c r="A7334" s="1119">
        <v>100305.0</v>
      </c>
      <c r="B7334" s="1125" t="s">
        <v>17606</v>
      </c>
      <c r="C7334" s="1126" t="s">
        <v>1470</v>
      </c>
      <c r="D7334" s="1119">
        <v>115.55</v>
      </c>
      <c r="E7334" s="1120">
        <v>113.62</v>
      </c>
      <c r="F7334" s="1121">
        <f t="shared" si="1"/>
        <v>1.93</v>
      </c>
      <c r="G7334" s="1120">
        <v>1.93</v>
      </c>
      <c r="H7334" s="1127">
        <v>0.0</v>
      </c>
      <c r="I7334" s="1127">
        <v>0.0</v>
      </c>
      <c r="J7334" s="1127">
        <v>0.0</v>
      </c>
      <c r="K7334" s="1124"/>
    </row>
    <row r="7335" ht="15.75" customHeight="1">
      <c r="A7335" s="1119">
        <v>100306.0</v>
      </c>
      <c r="B7335" s="1125" t="s">
        <v>17607</v>
      </c>
      <c r="C7335" s="1126" t="s">
        <v>1470</v>
      </c>
      <c r="D7335" s="1119">
        <v>130.12</v>
      </c>
      <c r="E7335" s="1120">
        <v>128.19</v>
      </c>
      <c r="F7335" s="1121">
        <f t="shared" si="1"/>
        <v>1.93</v>
      </c>
      <c r="G7335" s="1120">
        <v>1.93</v>
      </c>
      <c r="H7335" s="1127">
        <v>0.0</v>
      </c>
      <c r="I7335" s="1127">
        <v>0.0</v>
      </c>
      <c r="J7335" s="1127">
        <v>0.0</v>
      </c>
      <c r="K7335" s="1124"/>
    </row>
    <row r="7336" ht="15.75" customHeight="1">
      <c r="A7336" s="1119">
        <v>100307.0</v>
      </c>
      <c r="B7336" s="1125" t="s">
        <v>17608</v>
      </c>
      <c r="C7336" s="1126" t="s">
        <v>1470</v>
      </c>
      <c r="D7336" s="1119">
        <v>28.96</v>
      </c>
      <c r="E7336" s="1120">
        <v>21.1</v>
      </c>
      <c r="F7336" s="1121">
        <f t="shared" si="1"/>
        <v>7.86</v>
      </c>
      <c r="G7336" s="1120">
        <v>7.86</v>
      </c>
      <c r="H7336" s="1127">
        <v>0.0</v>
      </c>
      <c r="I7336" s="1127">
        <v>0.0</v>
      </c>
      <c r="J7336" s="1127">
        <v>0.0</v>
      </c>
      <c r="K7336" s="1124"/>
    </row>
    <row r="7337" ht="15.75" customHeight="1">
      <c r="A7337" s="1119">
        <v>100308.0</v>
      </c>
      <c r="B7337" s="1125" t="s">
        <v>17609</v>
      </c>
      <c r="C7337" s="1126" t="s">
        <v>1470</v>
      </c>
      <c r="D7337" s="1119">
        <v>35.45</v>
      </c>
      <c r="E7337" s="1120">
        <v>27.59</v>
      </c>
      <c r="F7337" s="1121">
        <f t="shared" si="1"/>
        <v>7.86</v>
      </c>
      <c r="G7337" s="1120">
        <v>7.86</v>
      </c>
      <c r="H7337" s="1127">
        <v>0.0</v>
      </c>
      <c r="I7337" s="1127">
        <v>0.0</v>
      </c>
      <c r="J7337" s="1127">
        <v>0.0</v>
      </c>
      <c r="K7337" s="1124"/>
    </row>
    <row r="7338" ht="15.75" customHeight="1">
      <c r="A7338" s="1119">
        <v>100309.0</v>
      </c>
      <c r="B7338" s="1125" t="s">
        <v>17610</v>
      </c>
      <c r="C7338" s="1126" t="s">
        <v>1470</v>
      </c>
      <c r="D7338" s="1119">
        <v>34.86</v>
      </c>
      <c r="E7338" s="1120">
        <v>32.84</v>
      </c>
      <c r="F7338" s="1121">
        <f t="shared" si="1"/>
        <v>2.02</v>
      </c>
      <c r="G7338" s="1120">
        <v>2.02</v>
      </c>
      <c r="H7338" s="1127">
        <v>0.0</v>
      </c>
      <c r="I7338" s="1127">
        <v>0.0</v>
      </c>
      <c r="J7338" s="1127">
        <v>0.0</v>
      </c>
      <c r="K7338" s="1124"/>
    </row>
    <row r="7339" ht="15.75" customHeight="1">
      <c r="A7339" s="1119">
        <v>100310.0</v>
      </c>
      <c r="B7339" s="1125" t="s">
        <v>17611</v>
      </c>
      <c r="C7339" s="1126" t="s">
        <v>5454</v>
      </c>
      <c r="D7339" s="1119">
        <v>13.01</v>
      </c>
      <c r="E7339" s="1120">
        <v>13.01</v>
      </c>
      <c r="F7339" s="1121">
        <f t="shared" si="1"/>
        <v>0</v>
      </c>
      <c r="G7339" s="1120">
        <v>0.0</v>
      </c>
      <c r="H7339" s="1127">
        <v>0.0</v>
      </c>
      <c r="I7339" s="1127">
        <v>0.0</v>
      </c>
      <c r="J7339" s="1127">
        <v>0.0</v>
      </c>
      <c r="K7339" s="1124"/>
    </row>
    <row r="7340" ht="15.75" customHeight="1">
      <c r="A7340" s="1119">
        <v>100311.0</v>
      </c>
      <c r="B7340" s="1125" t="s">
        <v>17612</v>
      </c>
      <c r="C7340" s="1126" t="s">
        <v>5454</v>
      </c>
      <c r="D7340" s="1119">
        <v>114.17</v>
      </c>
      <c r="E7340" s="1120">
        <v>114.17</v>
      </c>
      <c r="F7340" s="1121">
        <f t="shared" si="1"/>
        <v>0</v>
      </c>
      <c r="G7340" s="1120">
        <v>0.0</v>
      </c>
      <c r="H7340" s="1127">
        <v>0.0</v>
      </c>
      <c r="I7340" s="1127">
        <v>0.0</v>
      </c>
      <c r="J7340" s="1127">
        <v>0.0</v>
      </c>
      <c r="K7340" s="1124"/>
    </row>
    <row r="7341" ht="15.75" customHeight="1">
      <c r="A7341" s="1119">
        <v>100312.0</v>
      </c>
      <c r="B7341" s="1125" t="s">
        <v>17613</v>
      </c>
      <c r="C7341" s="1126" t="s">
        <v>5454</v>
      </c>
      <c r="D7341" s="1119">
        <v>143.49</v>
      </c>
      <c r="E7341" s="1120">
        <v>143.49</v>
      </c>
      <c r="F7341" s="1121">
        <f t="shared" si="1"/>
        <v>0</v>
      </c>
      <c r="G7341" s="1120">
        <v>0.0</v>
      </c>
      <c r="H7341" s="1127">
        <v>0.0</v>
      </c>
      <c r="I7341" s="1127">
        <v>0.0</v>
      </c>
      <c r="J7341" s="1127">
        <v>0.0</v>
      </c>
      <c r="K7341" s="1124"/>
    </row>
    <row r="7342" ht="15.75" customHeight="1">
      <c r="A7342" s="1119">
        <v>100313.0</v>
      </c>
      <c r="B7342" s="1125" t="s">
        <v>17614</v>
      </c>
      <c r="C7342" s="1126" t="s">
        <v>5454</v>
      </c>
      <c r="D7342" s="1119">
        <v>179.07</v>
      </c>
      <c r="E7342" s="1120">
        <v>179.07</v>
      </c>
      <c r="F7342" s="1121">
        <f t="shared" si="1"/>
        <v>0</v>
      </c>
      <c r="G7342" s="1120">
        <v>0.0</v>
      </c>
      <c r="H7342" s="1127">
        <v>0.0</v>
      </c>
      <c r="I7342" s="1127">
        <v>0.0</v>
      </c>
      <c r="J7342" s="1127">
        <v>0.0</v>
      </c>
      <c r="K7342" s="1124"/>
    </row>
    <row r="7343" ht="15.75" customHeight="1">
      <c r="A7343" s="1119">
        <v>100314.0</v>
      </c>
      <c r="B7343" s="1125" t="s">
        <v>17615</v>
      </c>
      <c r="C7343" s="1126" t="s">
        <v>5454</v>
      </c>
      <c r="D7343" s="1119">
        <v>202.03</v>
      </c>
      <c r="E7343" s="1120">
        <v>202.03</v>
      </c>
      <c r="F7343" s="1121">
        <f t="shared" si="1"/>
        <v>0</v>
      </c>
      <c r="G7343" s="1120">
        <v>0.0</v>
      </c>
      <c r="H7343" s="1127">
        <v>0.0</v>
      </c>
      <c r="I7343" s="1127">
        <v>0.0</v>
      </c>
      <c r="J7343" s="1127">
        <v>0.0</v>
      </c>
      <c r="K7343" s="1124"/>
    </row>
    <row r="7344" ht="15.75" customHeight="1">
      <c r="A7344" s="1119">
        <v>100315.0</v>
      </c>
      <c r="B7344" s="1125" t="s">
        <v>17616</v>
      </c>
      <c r="C7344" s="1126" t="s">
        <v>5454</v>
      </c>
      <c r="D7344" s="1119">
        <v>80.17</v>
      </c>
      <c r="E7344" s="1120">
        <v>80.17</v>
      </c>
      <c r="F7344" s="1121">
        <f t="shared" si="1"/>
        <v>0</v>
      </c>
      <c r="G7344" s="1120">
        <v>0.0</v>
      </c>
      <c r="H7344" s="1127">
        <v>0.0</v>
      </c>
      <c r="I7344" s="1127">
        <v>0.0</v>
      </c>
      <c r="J7344" s="1127">
        <v>0.0</v>
      </c>
      <c r="K7344" s="1124"/>
    </row>
    <row r="7345" ht="15.75" customHeight="1">
      <c r="A7345" s="1119">
        <v>100316.0</v>
      </c>
      <c r="B7345" s="1125" t="s">
        <v>17601</v>
      </c>
      <c r="C7345" s="1126" t="s">
        <v>5454</v>
      </c>
      <c r="D7345" s="1128">
        <v>3629.86</v>
      </c>
      <c r="E7345" s="1120">
        <v>3250.12</v>
      </c>
      <c r="F7345" s="1121">
        <f t="shared" si="1"/>
        <v>379.74</v>
      </c>
      <c r="G7345" s="1120">
        <v>379.74</v>
      </c>
      <c r="H7345" s="1127">
        <v>0.0</v>
      </c>
      <c r="I7345" s="1127">
        <v>0.0</v>
      </c>
      <c r="J7345" s="1127">
        <v>0.0</v>
      </c>
      <c r="K7345" s="1124"/>
    </row>
    <row r="7346" ht="15.75" customHeight="1">
      <c r="A7346" s="1119">
        <v>100317.0</v>
      </c>
      <c r="B7346" s="1125" t="s">
        <v>17617</v>
      </c>
      <c r="C7346" s="1126" t="s">
        <v>5454</v>
      </c>
      <c r="D7346" s="1128">
        <v>28880.15</v>
      </c>
      <c r="E7346" s="1120">
        <v>28515.71</v>
      </c>
      <c r="F7346" s="1121">
        <f t="shared" si="1"/>
        <v>364.44</v>
      </c>
      <c r="G7346" s="1120">
        <v>364.44</v>
      </c>
      <c r="H7346" s="1127">
        <v>0.0</v>
      </c>
      <c r="I7346" s="1127">
        <v>0.0</v>
      </c>
      <c r="J7346" s="1127">
        <v>0.0</v>
      </c>
      <c r="K7346" s="1124"/>
    </row>
    <row r="7347" ht="15.75" customHeight="1">
      <c r="A7347" s="1119">
        <v>100318.0</v>
      </c>
      <c r="B7347" s="1125" t="s">
        <v>17605</v>
      </c>
      <c r="C7347" s="1126" t="s">
        <v>5454</v>
      </c>
      <c r="D7347" s="1128">
        <v>14332.55</v>
      </c>
      <c r="E7347" s="1120">
        <v>13968.11</v>
      </c>
      <c r="F7347" s="1121">
        <f t="shared" si="1"/>
        <v>364.44</v>
      </c>
      <c r="G7347" s="1120">
        <v>364.44</v>
      </c>
      <c r="H7347" s="1127">
        <v>0.0</v>
      </c>
      <c r="I7347" s="1127">
        <v>0.0</v>
      </c>
      <c r="J7347" s="1127">
        <v>0.0</v>
      </c>
      <c r="K7347" s="1124"/>
    </row>
    <row r="7348" ht="15.75" customHeight="1">
      <c r="A7348" s="1119">
        <v>100319.0</v>
      </c>
      <c r="B7348" s="1125" t="s">
        <v>17606</v>
      </c>
      <c r="C7348" s="1126" t="s">
        <v>5454</v>
      </c>
      <c r="D7348" s="1128">
        <v>20200.84</v>
      </c>
      <c r="E7348" s="1120">
        <v>19836.4</v>
      </c>
      <c r="F7348" s="1121">
        <f t="shared" si="1"/>
        <v>364.44</v>
      </c>
      <c r="G7348" s="1120">
        <v>364.44</v>
      </c>
      <c r="H7348" s="1127">
        <v>0.0</v>
      </c>
      <c r="I7348" s="1127">
        <v>0.0</v>
      </c>
      <c r="J7348" s="1127">
        <v>0.0</v>
      </c>
      <c r="K7348" s="1124"/>
    </row>
    <row r="7349" ht="15.75" customHeight="1">
      <c r="A7349" s="1119">
        <v>100320.0</v>
      </c>
      <c r="B7349" s="1125" t="s">
        <v>17607</v>
      </c>
      <c r="C7349" s="1126" t="s">
        <v>5454</v>
      </c>
      <c r="D7349" s="1128">
        <v>22743.83</v>
      </c>
      <c r="E7349" s="1120">
        <v>22379.39</v>
      </c>
      <c r="F7349" s="1121">
        <f t="shared" si="1"/>
        <v>364.44</v>
      </c>
      <c r="G7349" s="1120">
        <v>364.44</v>
      </c>
      <c r="H7349" s="1127">
        <v>0.0</v>
      </c>
      <c r="I7349" s="1127">
        <v>0.0</v>
      </c>
      <c r="J7349" s="1127">
        <v>0.0</v>
      </c>
      <c r="K7349" s="1124"/>
    </row>
    <row r="7350" ht="15.75" customHeight="1">
      <c r="A7350" s="1119">
        <v>100321.0</v>
      </c>
      <c r="B7350" s="1125" t="s">
        <v>17610</v>
      </c>
      <c r="C7350" s="1126" t="s">
        <v>5454</v>
      </c>
      <c r="D7350" s="1128">
        <v>6105.99</v>
      </c>
      <c r="E7350" s="1120">
        <v>5726.25</v>
      </c>
      <c r="F7350" s="1121">
        <f t="shared" si="1"/>
        <v>379.74</v>
      </c>
      <c r="G7350" s="1120">
        <v>379.74</v>
      </c>
      <c r="H7350" s="1127">
        <v>0.0</v>
      </c>
      <c r="I7350" s="1127">
        <v>0.0</v>
      </c>
      <c r="J7350" s="1127">
        <v>0.0</v>
      </c>
      <c r="K7350" s="1124"/>
    </row>
    <row r="7351" ht="15.75" customHeight="1">
      <c r="A7351" s="1119">
        <v>100533.0</v>
      </c>
      <c r="B7351" s="1125" t="s">
        <v>17618</v>
      </c>
      <c r="C7351" s="1126" t="s">
        <v>1470</v>
      </c>
      <c r="D7351" s="1119">
        <v>21.38</v>
      </c>
      <c r="E7351" s="1120">
        <v>19.42</v>
      </c>
      <c r="F7351" s="1121">
        <f t="shared" si="1"/>
        <v>1.96</v>
      </c>
      <c r="G7351" s="1120">
        <v>1.96</v>
      </c>
      <c r="H7351" s="1127">
        <v>0.0</v>
      </c>
      <c r="I7351" s="1127">
        <v>0.0</v>
      </c>
      <c r="J7351" s="1127">
        <v>0.0</v>
      </c>
      <c r="K7351" s="1124"/>
    </row>
    <row r="7352" ht="15.75" customHeight="1">
      <c r="A7352" s="1119">
        <v>100534.0</v>
      </c>
      <c r="B7352" s="1125" t="s">
        <v>17618</v>
      </c>
      <c r="C7352" s="1126" t="s">
        <v>5454</v>
      </c>
      <c r="D7352" s="1128">
        <v>3768.0</v>
      </c>
      <c r="E7352" s="1120">
        <v>3388.26</v>
      </c>
      <c r="F7352" s="1121">
        <f t="shared" si="1"/>
        <v>379.74</v>
      </c>
      <c r="G7352" s="1120">
        <v>379.74</v>
      </c>
      <c r="H7352" s="1127">
        <v>0.0</v>
      </c>
      <c r="I7352" s="1127">
        <v>0.0</v>
      </c>
      <c r="J7352" s="1127">
        <v>0.0</v>
      </c>
      <c r="K7352" s="1124"/>
    </row>
    <row r="7353" ht="15.75" customHeight="1">
      <c r="A7353" s="1119">
        <v>100535.0</v>
      </c>
      <c r="B7353" s="1125" t="s">
        <v>17619</v>
      </c>
      <c r="C7353" s="1126" t="s">
        <v>1470</v>
      </c>
      <c r="D7353" s="1119">
        <v>0.35</v>
      </c>
      <c r="E7353" s="1120">
        <v>0.35</v>
      </c>
      <c r="F7353" s="1121">
        <f t="shared" si="1"/>
        <v>0</v>
      </c>
      <c r="G7353" s="1120">
        <v>0.0</v>
      </c>
      <c r="H7353" s="1127">
        <v>0.0</v>
      </c>
      <c r="I7353" s="1127">
        <v>0.0</v>
      </c>
      <c r="J7353" s="1127">
        <v>0.0</v>
      </c>
      <c r="K7353" s="1124"/>
    </row>
    <row r="7354" ht="15.75" customHeight="1">
      <c r="A7354" s="1119">
        <v>100536.0</v>
      </c>
      <c r="B7354" s="1125" t="s">
        <v>17620</v>
      </c>
      <c r="C7354" s="1126" t="s">
        <v>5454</v>
      </c>
      <c r="D7354" s="1119">
        <v>47.43</v>
      </c>
      <c r="E7354" s="1120">
        <v>47.43</v>
      </c>
      <c r="F7354" s="1121">
        <f t="shared" si="1"/>
        <v>0</v>
      </c>
      <c r="G7354" s="1120">
        <v>0.0</v>
      </c>
      <c r="H7354" s="1127">
        <v>0.0</v>
      </c>
      <c r="I7354" s="1127">
        <v>0.0</v>
      </c>
      <c r="J7354" s="1127">
        <v>0.0</v>
      </c>
      <c r="K7354" s="1124"/>
    </row>
    <row r="7355" ht="15.75" customHeight="1">
      <c r="A7355" s="1119">
        <v>101284.0</v>
      </c>
      <c r="B7355" s="1125" t="s">
        <v>17621</v>
      </c>
      <c r="C7355" s="1126" t="s">
        <v>1470</v>
      </c>
      <c r="D7355" s="1119">
        <v>2.1</v>
      </c>
      <c r="E7355" s="1120">
        <v>2.1</v>
      </c>
      <c r="F7355" s="1121">
        <f t="shared" si="1"/>
        <v>0</v>
      </c>
      <c r="G7355" s="1120">
        <v>0.0</v>
      </c>
      <c r="H7355" s="1127">
        <v>0.0</v>
      </c>
      <c r="I7355" s="1127">
        <v>0.0</v>
      </c>
      <c r="J7355" s="1127">
        <v>0.0</v>
      </c>
      <c r="K7355" s="1124"/>
    </row>
    <row r="7356" ht="15.75" customHeight="1">
      <c r="A7356" s="1119">
        <v>101285.0</v>
      </c>
      <c r="B7356" s="1125" t="s">
        <v>17622</v>
      </c>
      <c r="C7356" s="1126" t="s">
        <v>1470</v>
      </c>
      <c r="D7356" s="1119">
        <v>0.4</v>
      </c>
      <c r="E7356" s="1120">
        <v>0.4</v>
      </c>
      <c r="F7356" s="1121">
        <f t="shared" si="1"/>
        <v>0</v>
      </c>
      <c r="G7356" s="1120">
        <v>0.0</v>
      </c>
      <c r="H7356" s="1127">
        <v>0.0</v>
      </c>
      <c r="I7356" s="1127">
        <v>0.0</v>
      </c>
      <c r="J7356" s="1127">
        <v>0.0</v>
      </c>
      <c r="K7356" s="1124"/>
    </row>
    <row r="7357" ht="15.75" customHeight="1">
      <c r="A7357" s="1119">
        <v>101286.0</v>
      </c>
      <c r="B7357" s="1125" t="s">
        <v>17623</v>
      </c>
      <c r="C7357" s="1126" t="s">
        <v>5454</v>
      </c>
      <c r="D7357" s="1119">
        <v>27.19</v>
      </c>
      <c r="E7357" s="1120">
        <v>27.19</v>
      </c>
      <c r="F7357" s="1121">
        <f t="shared" si="1"/>
        <v>0</v>
      </c>
      <c r="G7357" s="1120">
        <v>0.0</v>
      </c>
      <c r="H7357" s="1127">
        <v>0.0</v>
      </c>
      <c r="I7357" s="1127">
        <v>0.0</v>
      </c>
      <c r="J7357" s="1127">
        <v>0.0</v>
      </c>
      <c r="K7357" s="1124"/>
    </row>
    <row r="7358" ht="15.75" customHeight="1">
      <c r="A7358" s="1119">
        <v>101287.0</v>
      </c>
      <c r="B7358" s="1125" t="s">
        <v>17624</v>
      </c>
      <c r="C7358" s="1126" t="s">
        <v>5454</v>
      </c>
      <c r="D7358" s="1119">
        <v>95.39</v>
      </c>
      <c r="E7358" s="1120">
        <v>95.39</v>
      </c>
      <c r="F7358" s="1121">
        <f t="shared" si="1"/>
        <v>0</v>
      </c>
      <c r="G7358" s="1120">
        <v>0.0</v>
      </c>
      <c r="H7358" s="1127">
        <v>0.0</v>
      </c>
      <c r="I7358" s="1127">
        <v>0.0</v>
      </c>
      <c r="J7358" s="1127">
        <v>0.0</v>
      </c>
      <c r="K7358" s="1124"/>
    </row>
    <row r="7359" ht="15.75" customHeight="1">
      <c r="A7359" s="1119">
        <v>101288.0</v>
      </c>
      <c r="B7359" s="1125" t="s">
        <v>17625</v>
      </c>
      <c r="C7359" s="1126" t="s">
        <v>5454</v>
      </c>
      <c r="D7359" s="1119">
        <v>25.76</v>
      </c>
      <c r="E7359" s="1120">
        <v>25.76</v>
      </c>
      <c r="F7359" s="1121">
        <f t="shared" si="1"/>
        <v>0</v>
      </c>
      <c r="G7359" s="1120">
        <v>0.0</v>
      </c>
      <c r="H7359" s="1127">
        <v>0.0</v>
      </c>
      <c r="I7359" s="1127">
        <v>0.0</v>
      </c>
      <c r="J7359" s="1127">
        <v>0.0</v>
      </c>
      <c r="K7359" s="1124"/>
    </row>
    <row r="7360" ht="15.75" customHeight="1">
      <c r="A7360" s="1119">
        <v>101289.0</v>
      </c>
      <c r="B7360" s="1125" t="s">
        <v>17626</v>
      </c>
      <c r="C7360" s="1126" t="s">
        <v>5454</v>
      </c>
      <c r="D7360" s="1119">
        <v>29.49</v>
      </c>
      <c r="E7360" s="1120">
        <v>29.49</v>
      </c>
      <c r="F7360" s="1121">
        <f t="shared" si="1"/>
        <v>0</v>
      </c>
      <c r="G7360" s="1120">
        <v>0.0</v>
      </c>
      <c r="H7360" s="1127">
        <v>0.0</v>
      </c>
      <c r="I7360" s="1127">
        <v>0.0</v>
      </c>
      <c r="J7360" s="1127">
        <v>0.0</v>
      </c>
      <c r="K7360" s="1124"/>
    </row>
    <row r="7361" ht="15.75" customHeight="1">
      <c r="A7361" s="1119">
        <v>101290.0</v>
      </c>
      <c r="B7361" s="1125" t="s">
        <v>17627</v>
      </c>
      <c r="C7361" s="1126" t="s">
        <v>5454</v>
      </c>
      <c r="D7361" s="1119">
        <v>37.74</v>
      </c>
      <c r="E7361" s="1120">
        <v>37.74</v>
      </c>
      <c r="F7361" s="1121">
        <f t="shared" si="1"/>
        <v>0</v>
      </c>
      <c r="G7361" s="1120">
        <v>0.0</v>
      </c>
      <c r="H7361" s="1127">
        <v>0.0</v>
      </c>
      <c r="I7361" s="1127">
        <v>0.0</v>
      </c>
      <c r="J7361" s="1127">
        <v>0.0</v>
      </c>
      <c r="K7361" s="1124"/>
    </row>
    <row r="7362" ht="15.75" customHeight="1">
      <c r="A7362" s="1119">
        <v>101291.0</v>
      </c>
      <c r="B7362" s="1125" t="s">
        <v>17628</v>
      </c>
      <c r="C7362" s="1126" t="s">
        <v>5454</v>
      </c>
      <c r="D7362" s="1119">
        <v>29.49</v>
      </c>
      <c r="E7362" s="1120">
        <v>29.49</v>
      </c>
      <c r="F7362" s="1121">
        <f t="shared" si="1"/>
        <v>0</v>
      </c>
      <c r="G7362" s="1120">
        <v>0.0</v>
      </c>
      <c r="H7362" s="1127">
        <v>0.0</v>
      </c>
      <c r="I7362" s="1127">
        <v>0.0</v>
      </c>
      <c r="J7362" s="1127">
        <v>0.0</v>
      </c>
      <c r="K7362" s="1124"/>
    </row>
    <row r="7363" ht="15.75" customHeight="1">
      <c r="A7363" s="1119">
        <v>101292.0</v>
      </c>
      <c r="B7363" s="1125" t="s">
        <v>17629</v>
      </c>
      <c r="C7363" s="1126" t="s">
        <v>5454</v>
      </c>
      <c r="D7363" s="1119">
        <v>29.48</v>
      </c>
      <c r="E7363" s="1120">
        <v>29.48</v>
      </c>
      <c r="F7363" s="1121">
        <f t="shared" si="1"/>
        <v>0</v>
      </c>
      <c r="G7363" s="1120">
        <v>0.0</v>
      </c>
      <c r="H7363" s="1127">
        <v>0.0</v>
      </c>
      <c r="I7363" s="1127">
        <v>0.0</v>
      </c>
      <c r="J7363" s="1127">
        <v>0.0</v>
      </c>
      <c r="K7363" s="1124"/>
    </row>
    <row r="7364" ht="15.75" customHeight="1">
      <c r="A7364" s="1119">
        <v>101293.0</v>
      </c>
      <c r="B7364" s="1125" t="s">
        <v>17630</v>
      </c>
      <c r="C7364" s="1126" t="s">
        <v>5454</v>
      </c>
      <c r="D7364" s="1119">
        <v>38.51</v>
      </c>
      <c r="E7364" s="1120">
        <v>38.51</v>
      </c>
      <c r="F7364" s="1121">
        <f t="shared" si="1"/>
        <v>0</v>
      </c>
      <c r="G7364" s="1120">
        <v>0.0</v>
      </c>
      <c r="H7364" s="1127">
        <v>0.0</v>
      </c>
      <c r="I7364" s="1127">
        <v>0.0</v>
      </c>
      <c r="J7364" s="1127">
        <v>0.0</v>
      </c>
      <c r="K7364" s="1124"/>
    </row>
    <row r="7365" ht="15.75" customHeight="1">
      <c r="A7365" s="1119">
        <v>101294.0</v>
      </c>
      <c r="B7365" s="1125" t="s">
        <v>17631</v>
      </c>
      <c r="C7365" s="1126" t="s">
        <v>5454</v>
      </c>
      <c r="D7365" s="1119">
        <v>45.61</v>
      </c>
      <c r="E7365" s="1120">
        <v>45.61</v>
      </c>
      <c r="F7365" s="1121">
        <f t="shared" si="1"/>
        <v>0</v>
      </c>
      <c r="G7365" s="1120">
        <v>0.0</v>
      </c>
      <c r="H7365" s="1127">
        <v>0.0</v>
      </c>
      <c r="I7365" s="1127">
        <v>0.0</v>
      </c>
      <c r="J7365" s="1127">
        <v>0.0</v>
      </c>
      <c r="K7365" s="1124"/>
    </row>
    <row r="7366" ht="15.75" customHeight="1">
      <c r="A7366" s="1119">
        <v>101295.0</v>
      </c>
      <c r="B7366" s="1125" t="s">
        <v>17632</v>
      </c>
      <c r="C7366" s="1126" t="s">
        <v>5454</v>
      </c>
      <c r="D7366" s="1119">
        <v>34.8</v>
      </c>
      <c r="E7366" s="1120">
        <v>34.8</v>
      </c>
      <c r="F7366" s="1121">
        <f t="shared" si="1"/>
        <v>0</v>
      </c>
      <c r="G7366" s="1120">
        <v>0.0</v>
      </c>
      <c r="H7366" s="1127">
        <v>0.0</v>
      </c>
      <c r="I7366" s="1127">
        <v>0.0</v>
      </c>
      <c r="J7366" s="1127">
        <v>0.0</v>
      </c>
      <c r="K7366" s="1124"/>
    </row>
    <row r="7367" ht="15.75" customHeight="1">
      <c r="A7367" s="1119">
        <v>101296.0</v>
      </c>
      <c r="B7367" s="1125" t="s">
        <v>17633</v>
      </c>
      <c r="C7367" s="1126" t="s">
        <v>5454</v>
      </c>
      <c r="D7367" s="1119">
        <v>45.96</v>
      </c>
      <c r="E7367" s="1120">
        <v>45.96</v>
      </c>
      <c r="F7367" s="1121">
        <f t="shared" si="1"/>
        <v>0</v>
      </c>
      <c r="G7367" s="1120">
        <v>0.0</v>
      </c>
      <c r="H7367" s="1127">
        <v>0.0</v>
      </c>
      <c r="I7367" s="1127">
        <v>0.0</v>
      </c>
      <c r="J7367" s="1127">
        <v>0.0</v>
      </c>
      <c r="K7367" s="1124"/>
    </row>
    <row r="7368" ht="15.75" customHeight="1">
      <c r="A7368" s="1119">
        <v>101297.0</v>
      </c>
      <c r="B7368" s="1125" t="s">
        <v>17634</v>
      </c>
      <c r="C7368" s="1126" t="s">
        <v>5454</v>
      </c>
      <c r="D7368" s="1119">
        <v>29.67</v>
      </c>
      <c r="E7368" s="1120">
        <v>29.67</v>
      </c>
      <c r="F7368" s="1121">
        <f t="shared" si="1"/>
        <v>0</v>
      </c>
      <c r="G7368" s="1120">
        <v>0.0</v>
      </c>
      <c r="H7368" s="1127">
        <v>0.0</v>
      </c>
      <c r="I7368" s="1127">
        <v>0.0</v>
      </c>
      <c r="J7368" s="1127">
        <v>0.0</v>
      </c>
      <c r="K7368" s="1124"/>
    </row>
    <row r="7369" ht="15.75" customHeight="1">
      <c r="A7369" s="1119">
        <v>101298.0</v>
      </c>
      <c r="B7369" s="1125" t="s">
        <v>17635</v>
      </c>
      <c r="C7369" s="1126" t="s">
        <v>5454</v>
      </c>
      <c r="D7369" s="1119">
        <v>25.66</v>
      </c>
      <c r="E7369" s="1120">
        <v>25.66</v>
      </c>
      <c r="F7369" s="1121">
        <f t="shared" si="1"/>
        <v>0</v>
      </c>
      <c r="G7369" s="1120">
        <v>0.0</v>
      </c>
      <c r="H7369" s="1127">
        <v>0.0</v>
      </c>
      <c r="I7369" s="1127">
        <v>0.0</v>
      </c>
      <c r="J7369" s="1127">
        <v>0.0</v>
      </c>
      <c r="K7369" s="1124"/>
    </row>
    <row r="7370" ht="15.75" customHeight="1">
      <c r="A7370" s="1119">
        <v>101299.0</v>
      </c>
      <c r="B7370" s="1125" t="s">
        <v>17636</v>
      </c>
      <c r="C7370" s="1126" t="s">
        <v>5454</v>
      </c>
      <c r="D7370" s="1119">
        <v>34.8</v>
      </c>
      <c r="E7370" s="1120">
        <v>34.8</v>
      </c>
      <c r="F7370" s="1121">
        <f t="shared" si="1"/>
        <v>0</v>
      </c>
      <c r="G7370" s="1120">
        <v>0.0</v>
      </c>
      <c r="H7370" s="1127">
        <v>0.0</v>
      </c>
      <c r="I7370" s="1127">
        <v>0.0</v>
      </c>
      <c r="J7370" s="1127">
        <v>0.0</v>
      </c>
      <c r="K7370" s="1124"/>
    </row>
    <row r="7371" ht="15.75" customHeight="1">
      <c r="A7371" s="1119">
        <v>101300.0</v>
      </c>
      <c r="B7371" s="1125" t="s">
        <v>17637</v>
      </c>
      <c r="C7371" s="1126" t="s">
        <v>5454</v>
      </c>
      <c r="D7371" s="1119">
        <v>27.2</v>
      </c>
      <c r="E7371" s="1120">
        <v>27.2</v>
      </c>
      <c r="F7371" s="1121">
        <f t="shared" si="1"/>
        <v>0</v>
      </c>
      <c r="G7371" s="1120">
        <v>0.0</v>
      </c>
      <c r="H7371" s="1127">
        <v>0.0</v>
      </c>
      <c r="I7371" s="1127">
        <v>0.0</v>
      </c>
      <c r="J7371" s="1127">
        <v>0.0</v>
      </c>
      <c r="K7371" s="1124"/>
    </row>
    <row r="7372" ht="15.75" customHeight="1">
      <c r="A7372" s="1119">
        <v>101301.0</v>
      </c>
      <c r="B7372" s="1125" t="s">
        <v>17638</v>
      </c>
      <c r="C7372" s="1126" t="s">
        <v>5454</v>
      </c>
      <c r="D7372" s="1119">
        <v>12.5</v>
      </c>
      <c r="E7372" s="1120">
        <v>12.5</v>
      </c>
      <c r="F7372" s="1121">
        <f t="shared" si="1"/>
        <v>0</v>
      </c>
      <c r="G7372" s="1120">
        <v>0.0</v>
      </c>
      <c r="H7372" s="1127">
        <v>0.0</v>
      </c>
      <c r="I7372" s="1127">
        <v>0.0</v>
      </c>
      <c r="J7372" s="1127">
        <v>0.0</v>
      </c>
      <c r="K7372" s="1124"/>
    </row>
    <row r="7373" ht="15.75" customHeight="1">
      <c r="A7373" s="1119">
        <v>101302.0</v>
      </c>
      <c r="B7373" s="1125" t="s">
        <v>17639</v>
      </c>
      <c r="C7373" s="1126" t="s">
        <v>5454</v>
      </c>
      <c r="D7373" s="1119">
        <v>44.14</v>
      </c>
      <c r="E7373" s="1120">
        <v>44.14</v>
      </c>
      <c r="F7373" s="1121">
        <f t="shared" si="1"/>
        <v>0</v>
      </c>
      <c r="G7373" s="1120">
        <v>0.0</v>
      </c>
      <c r="H7373" s="1127">
        <v>0.0</v>
      </c>
      <c r="I7373" s="1127">
        <v>0.0</v>
      </c>
      <c r="J7373" s="1127">
        <v>0.0</v>
      </c>
      <c r="K7373" s="1124"/>
    </row>
    <row r="7374" ht="15.75" customHeight="1">
      <c r="A7374" s="1119">
        <v>101303.0</v>
      </c>
      <c r="B7374" s="1125" t="s">
        <v>17640</v>
      </c>
      <c r="C7374" s="1126" t="s">
        <v>5454</v>
      </c>
      <c r="D7374" s="1119">
        <v>87.3</v>
      </c>
      <c r="E7374" s="1120">
        <v>87.3</v>
      </c>
      <c r="F7374" s="1121">
        <f t="shared" si="1"/>
        <v>0</v>
      </c>
      <c r="G7374" s="1120">
        <v>0.0</v>
      </c>
      <c r="H7374" s="1127">
        <v>0.0</v>
      </c>
      <c r="I7374" s="1127">
        <v>0.0</v>
      </c>
      <c r="J7374" s="1127">
        <v>0.0</v>
      </c>
      <c r="K7374" s="1124"/>
    </row>
    <row r="7375" ht="15.75" customHeight="1">
      <c r="A7375" s="1119">
        <v>101304.0</v>
      </c>
      <c r="B7375" s="1125" t="s">
        <v>17641</v>
      </c>
      <c r="C7375" s="1126" t="s">
        <v>5454</v>
      </c>
      <c r="D7375" s="1119">
        <v>49.3</v>
      </c>
      <c r="E7375" s="1120">
        <v>49.3</v>
      </c>
      <c r="F7375" s="1121">
        <f t="shared" si="1"/>
        <v>0</v>
      </c>
      <c r="G7375" s="1120">
        <v>0.0</v>
      </c>
      <c r="H7375" s="1127">
        <v>0.0</v>
      </c>
      <c r="I7375" s="1127">
        <v>0.0</v>
      </c>
      <c r="J7375" s="1127">
        <v>0.0</v>
      </c>
      <c r="K7375" s="1124"/>
    </row>
    <row r="7376" ht="15.75" customHeight="1">
      <c r="A7376" s="1119">
        <v>101305.0</v>
      </c>
      <c r="B7376" s="1125" t="s">
        <v>17642</v>
      </c>
      <c r="C7376" s="1126" t="s">
        <v>5454</v>
      </c>
      <c r="D7376" s="1119">
        <v>53.27</v>
      </c>
      <c r="E7376" s="1120">
        <v>53.27</v>
      </c>
      <c r="F7376" s="1121">
        <f t="shared" si="1"/>
        <v>0</v>
      </c>
      <c r="G7376" s="1120">
        <v>0.0</v>
      </c>
      <c r="H7376" s="1127">
        <v>0.0</v>
      </c>
      <c r="I7376" s="1127">
        <v>0.0</v>
      </c>
      <c r="J7376" s="1127">
        <v>0.0</v>
      </c>
      <c r="K7376" s="1124"/>
    </row>
    <row r="7377" ht="15.75" customHeight="1">
      <c r="A7377" s="1119">
        <v>101307.0</v>
      </c>
      <c r="B7377" s="1125" t="s">
        <v>17643</v>
      </c>
      <c r="C7377" s="1126" t="s">
        <v>5454</v>
      </c>
      <c r="D7377" s="1119">
        <v>32.72</v>
      </c>
      <c r="E7377" s="1120">
        <v>32.72</v>
      </c>
      <c r="F7377" s="1121">
        <f t="shared" si="1"/>
        <v>0</v>
      </c>
      <c r="G7377" s="1120">
        <v>0.0</v>
      </c>
      <c r="H7377" s="1127">
        <v>0.0</v>
      </c>
      <c r="I7377" s="1127">
        <v>0.0</v>
      </c>
      <c r="J7377" s="1127">
        <v>0.0</v>
      </c>
      <c r="K7377" s="1124"/>
    </row>
    <row r="7378" ht="15.75" customHeight="1">
      <c r="A7378" s="1119">
        <v>101308.0</v>
      </c>
      <c r="B7378" s="1125" t="s">
        <v>17644</v>
      </c>
      <c r="C7378" s="1126" t="s">
        <v>5454</v>
      </c>
      <c r="D7378" s="1119">
        <v>36.27</v>
      </c>
      <c r="E7378" s="1120">
        <v>36.27</v>
      </c>
      <c r="F7378" s="1121">
        <f t="shared" si="1"/>
        <v>0</v>
      </c>
      <c r="G7378" s="1120">
        <v>0.0</v>
      </c>
      <c r="H7378" s="1127">
        <v>0.0</v>
      </c>
      <c r="I7378" s="1127">
        <v>0.0</v>
      </c>
      <c r="J7378" s="1127">
        <v>0.0</v>
      </c>
      <c r="K7378" s="1124"/>
    </row>
    <row r="7379" ht="15.75" customHeight="1">
      <c r="A7379" s="1119">
        <v>101309.0</v>
      </c>
      <c r="B7379" s="1125" t="s">
        <v>17645</v>
      </c>
      <c r="C7379" s="1126" t="s">
        <v>5454</v>
      </c>
      <c r="D7379" s="1119">
        <v>37.74</v>
      </c>
      <c r="E7379" s="1120">
        <v>37.74</v>
      </c>
      <c r="F7379" s="1121">
        <f t="shared" si="1"/>
        <v>0</v>
      </c>
      <c r="G7379" s="1120">
        <v>0.0</v>
      </c>
      <c r="H7379" s="1127">
        <v>0.0</v>
      </c>
      <c r="I7379" s="1127">
        <v>0.0</v>
      </c>
      <c r="J7379" s="1127">
        <v>0.0</v>
      </c>
      <c r="K7379" s="1124"/>
    </row>
    <row r="7380" ht="15.75" customHeight="1">
      <c r="A7380" s="1119">
        <v>101310.0</v>
      </c>
      <c r="B7380" s="1125" t="s">
        <v>17646</v>
      </c>
      <c r="C7380" s="1126" t="s">
        <v>5454</v>
      </c>
      <c r="D7380" s="1119">
        <v>46.42</v>
      </c>
      <c r="E7380" s="1120">
        <v>46.42</v>
      </c>
      <c r="F7380" s="1121">
        <f t="shared" si="1"/>
        <v>0</v>
      </c>
      <c r="G7380" s="1120">
        <v>0.0</v>
      </c>
      <c r="H7380" s="1127">
        <v>0.0</v>
      </c>
      <c r="I7380" s="1127">
        <v>0.0</v>
      </c>
      <c r="J7380" s="1127">
        <v>0.0</v>
      </c>
      <c r="K7380" s="1124"/>
    </row>
    <row r="7381" ht="15.75" customHeight="1">
      <c r="A7381" s="1119">
        <v>101311.0</v>
      </c>
      <c r="B7381" s="1125" t="s">
        <v>17647</v>
      </c>
      <c r="C7381" s="1126" t="s">
        <v>5454</v>
      </c>
      <c r="D7381" s="1119">
        <v>38.51</v>
      </c>
      <c r="E7381" s="1120">
        <v>38.51</v>
      </c>
      <c r="F7381" s="1121">
        <f t="shared" si="1"/>
        <v>0</v>
      </c>
      <c r="G7381" s="1120">
        <v>0.0</v>
      </c>
      <c r="H7381" s="1127">
        <v>0.0</v>
      </c>
      <c r="I7381" s="1127">
        <v>0.0</v>
      </c>
      <c r="J7381" s="1127">
        <v>0.0</v>
      </c>
      <c r="K7381" s="1124"/>
    </row>
    <row r="7382" ht="15.75" customHeight="1">
      <c r="A7382" s="1119">
        <v>101312.0</v>
      </c>
      <c r="B7382" s="1125" t="s">
        <v>17648</v>
      </c>
      <c r="C7382" s="1126" t="s">
        <v>5454</v>
      </c>
      <c r="D7382" s="1119">
        <v>25.25</v>
      </c>
      <c r="E7382" s="1120">
        <v>25.25</v>
      </c>
      <c r="F7382" s="1121">
        <f t="shared" si="1"/>
        <v>0</v>
      </c>
      <c r="G7382" s="1120">
        <v>0.0</v>
      </c>
      <c r="H7382" s="1127">
        <v>0.0</v>
      </c>
      <c r="I7382" s="1127">
        <v>0.0</v>
      </c>
      <c r="J7382" s="1127">
        <v>0.0</v>
      </c>
      <c r="K7382" s="1124"/>
    </row>
    <row r="7383" ht="15.75" customHeight="1">
      <c r="A7383" s="1119">
        <v>101313.0</v>
      </c>
      <c r="B7383" s="1125" t="s">
        <v>17649</v>
      </c>
      <c r="C7383" s="1126" t="s">
        <v>5454</v>
      </c>
      <c r="D7383" s="1119">
        <v>124.6</v>
      </c>
      <c r="E7383" s="1120">
        <v>124.6</v>
      </c>
      <c r="F7383" s="1121">
        <f t="shared" si="1"/>
        <v>0</v>
      </c>
      <c r="G7383" s="1120">
        <v>0.0</v>
      </c>
      <c r="H7383" s="1127">
        <v>0.0</v>
      </c>
      <c r="I7383" s="1127">
        <v>0.0</v>
      </c>
      <c r="J7383" s="1127">
        <v>0.0</v>
      </c>
      <c r="K7383" s="1124"/>
    </row>
    <row r="7384" ht="15.75" customHeight="1">
      <c r="A7384" s="1119">
        <v>101314.0</v>
      </c>
      <c r="B7384" s="1125" t="s">
        <v>17650</v>
      </c>
      <c r="C7384" s="1126" t="s">
        <v>5454</v>
      </c>
      <c r="D7384" s="1119">
        <v>136.71</v>
      </c>
      <c r="E7384" s="1120">
        <v>136.71</v>
      </c>
      <c r="F7384" s="1121">
        <f t="shared" si="1"/>
        <v>0</v>
      </c>
      <c r="G7384" s="1120">
        <v>0.0</v>
      </c>
      <c r="H7384" s="1127">
        <v>0.0</v>
      </c>
      <c r="I7384" s="1127">
        <v>0.0</v>
      </c>
      <c r="J7384" s="1127">
        <v>0.0</v>
      </c>
      <c r="K7384" s="1124"/>
    </row>
    <row r="7385" ht="15.75" customHeight="1">
      <c r="A7385" s="1119">
        <v>101315.0</v>
      </c>
      <c r="B7385" s="1125" t="s">
        <v>17651</v>
      </c>
      <c r="C7385" s="1126" t="s">
        <v>5454</v>
      </c>
      <c r="D7385" s="1119">
        <v>129.69</v>
      </c>
      <c r="E7385" s="1120">
        <v>129.69</v>
      </c>
      <c r="F7385" s="1121">
        <f t="shared" si="1"/>
        <v>0</v>
      </c>
      <c r="G7385" s="1120">
        <v>0.0</v>
      </c>
      <c r="H7385" s="1127">
        <v>0.0</v>
      </c>
      <c r="I7385" s="1127">
        <v>0.0</v>
      </c>
      <c r="J7385" s="1127">
        <v>0.0</v>
      </c>
      <c r="K7385" s="1124"/>
    </row>
    <row r="7386" ht="15.75" customHeight="1">
      <c r="A7386" s="1119">
        <v>101316.0</v>
      </c>
      <c r="B7386" s="1125" t="s">
        <v>17652</v>
      </c>
      <c r="C7386" s="1126" t="s">
        <v>5454</v>
      </c>
      <c r="D7386" s="1119">
        <v>60.04</v>
      </c>
      <c r="E7386" s="1120">
        <v>60.04</v>
      </c>
      <c r="F7386" s="1121">
        <f t="shared" si="1"/>
        <v>0</v>
      </c>
      <c r="G7386" s="1120">
        <v>0.0</v>
      </c>
      <c r="H7386" s="1127">
        <v>0.0</v>
      </c>
      <c r="I7386" s="1127">
        <v>0.0</v>
      </c>
      <c r="J7386" s="1127">
        <v>0.0</v>
      </c>
      <c r="K7386" s="1124"/>
    </row>
    <row r="7387" ht="15.75" customHeight="1">
      <c r="A7387" s="1119">
        <v>101317.0</v>
      </c>
      <c r="B7387" s="1125" t="s">
        <v>17653</v>
      </c>
      <c r="C7387" s="1126" t="s">
        <v>5454</v>
      </c>
      <c r="D7387" s="1119">
        <v>276.87</v>
      </c>
      <c r="E7387" s="1120">
        <v>276.87</v>
      </c>
      <c r="F7387" s="1121">
        <f t="shared" si="1"/>
        <v>0</v>
      </c>
      <c r="G7387" s="1120">
        <v>0.0</v>
      </c>
      <c r="H7387" s="1127">
        <v>0.0</v>
      </c>
      <c r="I7387" s="1127">
        <v>0.0</v>
      </c>
      <c r="J7387" s="1127">
        <v>0.0</v>
      </c>
      <c r="K7387" s="1124"/>
    </row>
    <row r="7388" ht="15.75" customHeight="1">
      <c r="A7388" s="1119">
        <v>101318.0</v>
      </c>
      <c r="B7388" s="1125" t="s">
        <v>17654</v>
      </c>
      <c r="C7388" s="1126" t="s">
        <v>5454</v>
      </c>
      <c r="D7388" s="1119">
        <v>514.36</v>
      </c>
      <c r="E7388" s="1120">
        <v>514.36</v>
      </c>
      <c r="F7388" s="1121">
        <f t="shared" si="1"/>
        <v>0</v>
      </c>
      <c r="G7388" s="1120">
        <v>0.0</v>
      </c>
      <c r="H7388" s="1127">
        <v>0.0</v>
      </c>
      <c r="I7388" s="1127">
        <v>0.0</v>
      </c>
      <c r="J7388" s="1127">
        <v>0.0</v>
      </c>
      <c r="K7388" s="1124"/>
    </row>
    <row r="7389" ht="15.75" customHeight="1">
      <c r="A7389" s="1119">
        <v>101319.0</v>
      </c>
      <c r="B7389" s="1125" t="s">
        <v>17655</v>
      </c>
      <c r="C7389" s="1126" t="s">
        <v>5454</v>
      </c>
      <c r="D7389" s="1119">
        <v>53.23</v>
      </c>
      <c r="E7389" s="1120">
        <v>53.23</v>
      </c>
      <c r="F7389" s="1121">
        <f t="shared" si="1"/>
        <v>0</v>
      </c>
      <c r="G7389" s="1120">
        <v>0.0</v>
      </c>
      <c r="H7389" s="1127">
        <v>0.0</v>
      </c>
      <c r="I7389" s="1127">
        <v>0.0</v>
      </c>
      <c r="J7389" s="1127">
        <v>0.0</v>
      </c>
      <c r="K7389" s="1124"/>
    </row>
    <row r="7390" ht="15.75" customHeight="1">
      <c r="A7390" s="1119">
        <v>101320.0</v>
      </c>
      <c r="B7390" s="1125" t="s">
        <v>17656</v>
      </c>
      <c r="C7390" s="1126" t="s">
        <v>5454</v>
      </c>
      <c r="D7390" s="1119">
        <v>35.16</v>
      </c>
      <c r="E7390" s="1120">
        <v>35.16</v>
      </c>
      <c r="F7390" s="1121">
        <f t="shared" si="1"/>
        <v>0</v>
      </c>
      <c r="G7390" s="1120">
        <v>0.0</v>
      </c>
      <c r="H7390" s="1127">
        <v>0.0</v>
      </c>
      <c r="I7390" s="1127">
        <v>0.0</v>
      </c>
      <c r="J7390" s="1127">
        <v>0.0</v>
      </c>
      <c r="K7390" s="1124"/>
    </row>
    <row r="7391" ht="15.75" customHeight="1">
      <c r="A7391" s="1119">
        <v>101322.0</v>
      </c>
      <c r="B7391" s="1125" t="s">
        <v>17657</v>
      </c>
      <c r="C7391" s="1126" t="s">
        <v>5454</v>
      </c>
      <c r="D7391" s="1119">
        <v>36.72</v>
      </c>
      <c r="E7391" s="1120">
        <v>36.72</v>
      </c>
      <c r="F7391" s="1121">
        <f t="shared" si="1"/>
        <v>0</v>
      </c>
      <c r="G7391" s="1120">
        <v>0.0</v>
      </c>
      <c r="H7391" s="1127">
        <v>0.0</v>
      </c>
      <c r="I7391" s="1127">
        <v>0.0</v>
      </c>
      <c r="J7391" s="1127">
        <v>0.0</v>
      </c>
      <c r="K7391" s="1124"/>
    </row>
    <row r="7392" ht="15.75" customHeight="1">
      <c r="A7392" s="1119">
        <v>101323.0</v>
      </c>
      <c r="B7392" s="1125" t="s">
        <v>17658</v>
      </c>
      <c r="C7392" s="1126" t="s">
        <v>5454</v>
      </c>
      <c r="D7392" s="1119">
        <v>70.82</v>
      </c>
      <c r="E7392" s="1120">
        <v>70.82</v>
      </c>
      <c r="F7392" s="1121">
        <f t="shared" si="1"/>
        <v>0</v>
      </c>
      <c r="G7392" s="1120">
        <v>0.0</v>
      </c>
      <c r="H7392" s="1127">
        <v>0.0</v>
      </c>
      <c r="I7392" s="1127">
        <v>0.0</v>
      </c>
      <c r="J7392" s="1127">
        <v>0.0</v>
      </c>
      <c r="K7392" s="1124"/>
    </row>
    <row r="7393" ht="15.75" customHeight="1">
      <c r="A7393" s="1119">
        <v>101324.0</v>
      </c>
      <c r="B7393" s="1125" t="s">
        <v>17659</v>
      </c>
      <c r="C7393" s="1126" t="s">
        <v>5454</v>
      </c>
      <c r="D7393" s="1119">
        <v>18.07</v>
      </c>
      <c r="E7393" s="1120">
        <v>18.07</v>
      </c>
      <c r="F7393" s="1121">
        <f t="shared" si="1"/>
        <v>0</v>
      </c>
      <c r="G7393" s="1120">
        <v>0.0</v>
      </c>
      <c r="H7393" s="1127">
        <v>0.0</v>
      </c>
      <c r="I7393" s="1127">
        <v>0.0</v>
      </c>
      <c r="J7393" s="1127">
        <v>0.0</v>
      </c>
      <c r="K7393" s="1124"/>
    </row>
    <row r="7394" ht="15.75" customHeight="1">
      <c r="A7394" s="1119">
        <v>101325.0</v>
      </c>
      <c r="B7394" s="1125" t="s">
        <v>17660</v>
      </c>
      <c r="C7394" s="1126" t="s">
        <v>5454</v>
      </c>
      <c r="D7394" s="1119">
        <v>57.25</v>
      </c>
      <c r="E7394" s="1120">
        <v>57.25</v>
      </c>
      <c r="F7394" s="1121">
        <f t="shared" si="1"/>
        <v>0</v>
      </c>
      <c r="G7394" s="1120">
        <v>0.0</v>
      </c>
      <c r="H7394" s="1127">
        <v>0.0</v>
      </c>
      <c r="I7394" s="1127">
        <v>0.0</v>
      </c>
      <c r="J7394" s="1127">
        <v>0.0</v>
      </c>
      <c r="K7394" s="1124"/>
    </row>
    <row r="7395" ht="15.75" customHeight="1">
      <c r="A7395" s="1119">
        <v>101326.0</v>
      </c>
      <c r="B7395" s="1125" t="s">
        <v>17661</v>
      </c>
      <c r="C7395" s="1126" t="s">
        <v>5454</v>
      </c>
      <c r="D7395" s="1119">
        <v>12.81</v>
      </c>
      <c r="E7395" s="1120">
        <v>12.81</v>
      </c>
      <c r="F7395" s="1121">
        <f t="shared" si="1"/>
        <v>0</v>
      </c>
      <c r="G7395" s="1120">
        <v>0.0</v>
      </c>
      <c r="H7395" s="1127">
        <v>0.0</v>
      </c>
      <c r="I7395" s="1127">
        <v>0.0</v>
      </c>
      <c r="J7395" s="1127">
        <v>0.0</v>
      </c>
      <c r="K7395" s="1124"/>
    </row>
    <row r="7396" ht="15.75" customHeight="1">
      <c r="A7396" s="1119">
        <v>101327.0</v>
      </c>
      <c r="B7396" s="1125" t="s">
        <v>17662</v>
      </c>
      <c r="C7396" s="1126" t="s">
        <v>5454</v>
      </c>
      <c r="D7396" s="1119">
        <v>13.7</v>
      </c>
      <c r="E7396" s="1120">
        <v>13.7</v>
      </c>
      <c r="F7396" s="1121">
        <f t="shared" si="1"/>
        <v>0</v>
      </c>
      <c r="G7396" s="1120">
        <v>0.0</v>
      </c>
      <c r="H7396" s="1127">
        <v>0.0</v>
      </c>
      <c r="I7396" s="1127">
        <v>0.0</v>
      </c>
      <c r="J7396" s="1127">
        <v>0.0</v>
      </c>
      <c r="K7396" s="1124"/>
    </row>
    <row r="7397" ht="15.75" customHeight="1">
      <c r="A7397" s="1119">
        <v>101328.0</v>
      </c>
      <c r="B7397" s="1125" t="s">
        <v>17663</v>
      </c>
      <c r="C7397" s="1126" t="s">
        <v>5454</v>
      </c>
      <c r="D7397" s="1119">
        <v>21.63</v>
      </c>
      <c r="E7397" s="1120">
        <v>21.63</v>
      </c>
      <c r="F7397" s="1121">
        <f t="shared" si="1"/>
        <v>0</v>
      </c>
      <c r="G7397" s="1120">
        <v>0.0</v>
      </c>
      <c r="H7397" s="1127">
        <v>0.0</v>
      </c>
      <c r="I7397" s="1127">
        <v>0.0</v>
      </c>
      <c r="J7397" s="1127">
        <v>0.0</v>
      </c>
      <c r="K7397" s="1124"/>
    </row>
    <row r="7398" ht="15.75" customHeight="1">
      <c r="A7398" s="1119">
        <v>101329.0</v>
      </c>
      <c r="B7398" s="1125" t="s">
        <v>17664</v>
      </c>
      <c r="C7398" s="1126" t="s">
        <v>5454</v>
      </c>
      <c r="D7398" s="1119">
        <v>60.16</v>
      </c>
      <c r="E7398" s="1120">
        <v>60.16</v>
      </c>
      <c r="F7398" s="1121">
        <f t="shared" si="1"/>
        <v>0</v>
      </c>
      <c r="G7398" s="1120">
        <v>0.0</v>
      </c>
      <c r="H7398" s="1127">
        <v>0.0</v>
      </c>
      <c r="I7398" s="1127">
        <v>0.0</v>
      </c>
      <c r="J7398" s="1127">
        <v>0.0</v>
      </c>
      <c r="K7398" s="1124"/>
    </row>
    <row r="7399" ht="15.75" customHeight="1">
      <c r="A7399" s="1119">
        <v>101330.0</v>
      </c>
      <c r="B7399" s="1125" t="s">
        <v>17665</v>
      </c>
      <c r="C7399" s="1126" t="s">
        <v>5454</v>
      </c>
      <c r="D7399" s="1119">
        <v>45.22</v>
      </c>
      <c r="E7399" s="1120">
        <v>45.22</v>
      </c>
      <c r="F7399" s="1121">
        <f t="shared" si="1"/>
        <v>0</v>
      </c>
      <c r="G7399" s="1120">
        <v>0.0</v>
      </c>
      <c r="H7399" s="1127">
        <v>0.0</v>
      </c>
      <c r="I7399" s="1127">
        <v>0.0</v>
      </c>
      <c r="J7399" s="1127">
        <v>0.0</v>
      </c>
      <c r="K7399" s="1124"/>
    </row>
    <row r="7400" ht="15.75" customHeight="1">
      <c r="A7400" s="1119">
        <v>101331.0</v>
      </c>
      <c r="B7400" s="1125" t="s">
        <v>17666</v>
      </c>
      <c r="C7400" s="1126" t="s">
        <v>5454</v>
      </c>
      <c r="D7400" s="1119">
        <v>56.03</v>
      </c>
      <c r="E7400" s="1120">
        <v>56.03</v>
      </c>
      <c r="F7400" s="1121">
        <f t="shared" si="1"/>
        <v>0</v>
      </c>
      <c r="G7400" s="1120">
        <v>0.0</v>
      </c>
      <c r="H7400" s="1127">
        <v>0.0</v>
      </c>
      <c r="I7400" s="1127">
        <v>0.0</v>
      </c>
      <c r="J7400" s="1127">
        <v>0.0</v>
      </c>
      <c r="K7400" s="1124"/>
    </row>
    <row r="7401" ht="15.75" customHeight="1">
      <c r="A7401" s="1119">
        <v>101332.0</v>
      </c>
      <c r="B7401" s="1125" t="s">
        <v>17667</v>
      </c>
      <c r="C7401" s="1126" t="s">
        <v>5454</v>
      </c>
      <c r="D7401" s="1119">
        <v>15.44</v>
      </c>
      <c r="E7401" s="1120">
        <v>15.44</v>
      </c>
      <c r="F7401" s="1121">
        <f t="shared" si="1"/>
        <v>0</v>
      </c>
      <c r="G7401" s="1120">
        <v>0.0</v>
      </c>
      <c r="H7401" s="1127">
        <v>0.0</v>
      </c>
      <c r="I7401" s="1127">
        <v>0.0</v>
      </c>
      <c r="J7401" s="1127">
        <v>0.0</v>
      </c>
      <c r="K7401" s="1124"/>
    </row>
    <row r="7402" ht="15.75" customHeight="1">
      <c r="A7402" s="1119">
        <v>101333.0</v>
      </c>
      <c r="B7402" s="1125" t="s">
        <v>17668</v>
      </c>
      <c r="C7402" s="1126" t="s">
        <v>5454</v>
      </c>
      <c r="D7402" s="1119">
        <v>32.35</v>
      </c>
      <c r="E7402" s="1120">
        <v>32.35</v>
      </c>
      <c r="F7402" s="1121">
        <f t="shared" si="1"/>
        <v>0</v>
      </c>
      <c r="G7402" s="1120">
        <v>0.0</v>
      </c>
      <c r="H7402" s="1127">
        <v>0.0</v>
      </c>
      <c r="I7402" s="1127">
        <v>0.0</v>
      </c>
      <c r="J7402" s="1127">
        <v>0.0</v>
      </c>
      <c r="K7402" s="1124"/>
    </row>
    <row r="7403" ht="15.75" customHeight="1">
      <c r="A7403" s="1119">
        <v>101334.0</v>
      </c>
      <c r="B7403" s="1125" t="s">
        <v>17669</v>
      </c>
      <c r="C7403" s="1126" t="s">
        <v>5454</v>
      </c>
      <c r="D7403" s="1119">
        <v>102.6</v>
      </c>
      <c r="E7403" s="1120">
        <v>102.6</v>
      </c>
      <c r="F7403" s="1121">
        <f t="shared" si="1"/>
        <v>0</v>
      </c>
      <c r="G7403" s="1120">
        <v>0.0</v>
      </c>
      <c r="H7403" s="1127">
        <v>0.0</v>
      </c>
      <c r="I7403" s="1127">
        <v>0.0</v>
      </c>
      <c r="J7403" s="1127">
        <v>0.0</v>
      </c>
      <c r="K7403" s="1124"/>
    </row>
    <row r="7404" ht="15.75" customHeight="1">
      <c r="A7404" s="1119">
        <v>101335.0</v>
      </c>
      <c r="B7404" s="1125" t="s">
        <v>17670</v>
      </c>
      <c r="C7404" s="1126" t="s">
        <v>5454</v>
      </c>
      <c r="D7404" s="1119">
        <v>16.21</v>
      </c>
      <c r="E7404" s="1120">
        <v>16.21</v>
      </c>
      <c r="F7404" s="1121">
        <f t="shared" si="1"/>
        <v>0</v>
      </c>
      <c r="G7404" s="1120">
        <v>0.0</v>
      </c>
      <c r="H7404" s="1127">
        <v>0.0</v>
      </c>
      <c r="I7404" s="1127">
        <v>0.0</v>
      </c>
      <c r="J7404" s="1127">
        <v>0.0</v>
      </c>
      <c r="K7404" s="1124"/>
    </row>
    <row r="7405" ht="15.75" customHeight="1">
      <c r="A7405" s="1119">
        <v>101336.0</v>
      </c>
      <c r="B7405" s="1125" t="s">
        <v>17671</v>
      </c>
      <c r="C7405" s="1126" t="s">
        <v>5454</v>
      </c>
      <c r="D7405" s="1119">
        <v>62.73</v>
      </c>
      <c r="E7405" s="1120">
        <v>62.73</v>
      </c>
      <c r="F7405" s="1121">
        <f t="shared" si="1"/>
        <v>0</v>
      </c>
      <c r="G7405" s="1120">
        <v>0.0</v>
      </c>
      <c r="H7405" s="1127">
        <v>0.0</v>
      </c>
      <c r="I7405" s="1127">
        <v>0.0</v>
      </c>
      <c r="J7405" s="1127">
        <v>0.0</v>
      </c>
      <c r="K7405" s="1124"/>
    </row>
    <row r="7406" ht="15.75" customHeight="1">
      <c r="A7406" s="1119">
        <v>101337.0</v>
      </c>
      <c r="B7406" s="1125" t="s">
        <v>17672</v>
      </c>
      <c r="C7406" s="1126" t="s">
        <v>5454</v>
      </c>
      <c r="D7406" s="1119">
        <v>15.95</v>
      </c>
      <c r="E7406" s="1120">
        <v>15.95</v>
      </c>
      <c r="F7406" s="1121">
        <f t="shared" si="1"/>
        <v>0</v>
      </c>
      <c r="G7406" s="1120">
        <v>0.0</v>
      </c>
      <c r="H7406" s="1127">
        <v>0.0</v>
      </c>
      <c r="I7406" s="1127">
        <v>0.0</v>
      </c>
      <c r="J7406" s="1127">
        <v>0.0</v>
      </c>
      <c r="K7406" s="1124"/>
    </row>
    <row r="7407" ht="15.75" customHeight="1">
      <c r="A7407" s="1119">
        <v>101338.0</v>
      </c>
      <c r="B7407" s="1125" t="s">
        <v>17673</v>
      </c>
      <c r="C7407" s="1126" t="s">
        <v>5454</v>
      </c>
      <c r="D7407" s="1119">
        <v>25.59</v>
      </c>
      <c r="E7407" s="1120">
        <v>25.59</v>
      </c>
      <c r="F7407" s="1121">
        <f t="shared" si="1"/>
        <v>0</v>
      </c>
      <c r="G7407" s="1120">
        <v>0.0</v>
      </c>
      <c r="H7407" s="1127">
        <v>0.0</v>
      </c>
      <c r="I7407" s="1127">
        <v>0.0</v>
      </c>
      <c r="J7407" s="1127">
        <v>0.0</v>
      </c>
      <c r="K7407" s="1124"/>
    </row>
    <row r="7408" ht="15.75" customHeight="1">
      <c r="A7408" s="1119">
        <v>101339.0</v>
      </c>
      <c r="B7408" s="1125" t="s">
        <v>17674</v>
      </c>
      <c r="C7408" s="1126" t="s">
        <v>5454</v>
      </c>
      <c r="D7408" s="1119">
        <v>21.17</v>
      </c>
      <c r="E7408" s="1120">
        <v>21.17</v>
      </c>
      <c r="F7408" s="1121">
        <f t="shared" si="1"/>
        <v>0</v>
      </c>
      <c r="G7408" s="1120">
        <v>0.0</v>
      </c>
      <c r="H7408" s="1127">
        <v>0.0</v>
      </c>
      <c r="I7408" s="1127">
        <v>0.0</v>
      </c>
      <c r="J7408" s="1127">
        <v>0.0</v>
      </c>
      <c r="K7408" s="1124"/>
    </row>
    <row r="7409" ht="15.75" customHeight="1">
      <c r="A7409" s="1119">
        <v>101340.0</v>
      </c>
      <c r="B7409" s="1125" t="s">
        <v>17675</v>
      </c>
      <c r="C7409" s="1126" t="s">
        <v>5454</v>
      </c>
      <c r="D7409" s="1119">
        <v>20.43</v>
      </c>
      <c r="E7409" s="1120">
        <v>20.43</v>
      </c>
      <c r="F7409" s="1121">
        <f t="shared" si="1"/>
        <v>0</v>
      </c>
      <c r="G7409" s="1120">
        <v>0.0</v>
      </c>
      <c r="H7409" s="1127">
        <v>0.0</v>
      </c>
      <c r="I7409" s="1127">
        <v>0.0</v>
      </c>
      <c r="J7409" s="1127">
        <v>0.0</v>
      </c>
      <c r="K7409" s="1124"/>
    </row>
    <row r="7410" ht="15.75" customHeight="1">
      <c r="A7410" s="1119">
        <v>101341.0</v>
      </c>
      <c r="B7410" s="1125" t="s">
        <v>17676</v>
      </c>
      <c r="C7410" s="1126" t="s">
        <v>5454</v>
      </c>
      <c r="D7410" s="1119">
        <v>23.08</v>
      </c>
      <c r="E7410" s="1120">
        <v>23.08</v>
      </c>
      <c r="F7410" s="1121">
        <f t="shared" si="1"/>
        <v>0</v>
      </c>
      <c r="G7410" s="1120">
        <v>0.0</v>
      </c>
      <c r="H7410" s="1127">
        <v>0.0</v>
      </c>
      <c r="I7410" s="1127">
        <v>0.0</v>
      </c>
      <c r="J7410" s="1127">
        <v>0.0</v>
      </c>
      <c r="K7410" s="1124"/>
    </row>
    <row r="7411" ht="15.75" customHeight="1">
      <c r="A7411" s="1119">
        <v>101342.0</v>
      </c>
      <c r="B7411" s="1125" t="s">
        <v>17677</v>
      </c>
      <c r="C7411" s="1126" t="s">
        <v>5454</v>
      </c>
      <c r="D7411" s="1119">
        <v>26.06</v>
      </c>
      <c r="E7411" s="1120">
        <v>26.06</v>
      </c>
      <c r="F7411" s="1121">
        <f t="shared" si="1"/>
        <v>0</v>
      </c>
      <c r="G7411" s="1120">
        <v>0.0</v>
      </c>
      <c r="H7411" s="1127">
        <v>0.0</v>
      </c>
      <c r="I7411" s="1127">
        <v>0.0</v>
      </c>
      <c r="J7411" s="1127">
        <v>0.0</v>
      </c>
      <c r="K7411" s="1124"/>
    </row>
    <row r="7412" ht="15.75" customHeight="1">
      <c r="A7412" s="1119">
        <v>101343.0</v>
      </c>
      <c r="B7412" s="1125" t="s">
        <v>17678</v>
      </c>
      <c r="C7412" s="1126" t="s">
        <v>5454</v>
      </c>
      <c r="D7412" s="1119">
        <v>39.59</v>
      </c>
      <c r="E7412" s="1120">
        <v>39.59</v>
      </c>
      <c r="F7412" s="1121">
        <f t="shared" si="1"/>
        <v>0</v>
      </c>
      <c r="G7412" s="1120">
        <v>0.0</v>
      </c>
      <c r="H7412" s="1127">
        <v>0.0</v>
      </c>
      <c r="I7412" s="1127">
        <v>0.0</v>
      </c>
      <c r="J7412" s="1127">
        <v>0.0</v>
      </c>
      <c r="K7412" s="1124"/>
    </row>
    <row r="7413" ht="15.75" customHeight="1">
      <c r="A7413" s="1119">
        <v>101344.0</v>
      </c>
      <c r="B7413" s="1125" t="s">
        <v>17679</v>
      </c>
      <c r="C7413" s="1126" t="s">
        <v>5454</v>
      </c>
      <c r="D7413" s="1119">
        <v>51.62</v>
      </c>
      <c r="E7413" s="1120">
        <v>51.62</v>
      </c>
      <c r="F7413" s="1121">
        <f t="shared" si="1"/>
        <v>0</v>
      </c>
      <c r="G7413" s="1120">
        <v>0.0</v>
      </c>
      <c r="H7413" s="1127">
        <v>0.0</v>
      </c>
      <c r="I7413" s="1127">
        <v>0.0</v>
      </c>
      <c r="J7413" s="1127">
        <v>0.0</v>
      </c>
      <c r="K7413" s="1124"/>
    </row>
    <row r="7414" ht="15.75" customHeight="1">
      <c r="A7414" s="1119">
        <v>101345.0</v>
      </c>
      <c r="B7414" s="1125" t="s">
        <v>17680</v>
      </c>
      <c r="C7414" s="1126" t="s">
        <v>5454</v>
      </c>
      <c r="D7414" s="1119">
        <v>127.23</v>
      </c>
      <c r="E7414" s="1120">
        <v>127.23</v>
      </c>
      <c r="F7414" s="1121">
        <f t="shared" si="1"/>
        <v>0</v>
      </c>
      <c r="G7414" s="1120">
        <v>0.0</v>
      </c>
      <c r="H7414" s="1127">
        <v>0.0</v>
      </c>
      <c r="I7414" s="1127">
        <v>0.0</v>
      </c>
      <c r="J7414" s="1127">
        <v>0.0</v>
      </c>
      <c r="K7414" s="1124"/>
    </row>
    <row r="7415" ht="15.75" customHeight="1">
      <c r="A7415" s="1119">
        <v>101346.0</v>
      </c>
      <c r="B7415" s="1125" t="s">
        <v>17681</v>
      </c>
      <c r="C7415" s="1126" t="s">
        <v>5454</v>
      </c>
      <c r="D7415" s="1119">
        <v>35.44</v>
      </c>
      <c r="E7415" s="1120">
        <v>35.44</v>
      </c>
      <c r="F7415" s="1121">
        <f t="shared" si="1"/>
        <v>0</v>
      </c>
      <c r="G7415" s="1120">
        <v>0.0</v>
      </c>
      <c r="H7415" s="1127">
        <v>0.0</v>
      </c>
      <c r="I7415" s="1127">
        <v>0.0</v>
      </c>
      <c r="J7415" s="1127">
        <v>0.0</v>
      </c>
      <c r="K7415" s="1124"/>
    </row>
    <row r="7416" ht="15.75" customHeight="1">
      <c r="A7416" s="1119">
        <v>101347.0</v>
      </c>
      <c r="B7416" s="1125" t="s">
        <v>17682</v>
      </c>
      <c r="C7416" s="1126" t="s">
        <v>5454</v>
      </c>
      <c r="D7416" s="1119">
        <v>38.94</v>
      </c>
      <c r="E7416" s="1120">
        <v>38.94</v>
      </c>
      <c r="F7416" s="1121">
        <f t="shared" si="1"/>
        <v>0</v>
      </c>
      <c r="G7416" s="1120">
        <v>0.0</v>
      </c>
      <c r="H7416" s="1127">
        <v>0.0</v>
      </c>
      <c r="I7416" s="1127">
        <v>0.0</v>
      </c>
      <c r="J7416" s="1127">
        <v>0.0</v>
      </c>
      <c r="K7416" s="1124"/>
    </row>
    <row r="7417" ht="15.75" customHeight="1">
      <c r="A7417" s="1119">
        <v>101348.0</v>
      </c>
      <c r="B7417" s="1125" t="s">
        <v>17683</v>
      </c>
      <c r="C7417" s="1126" t="s">
        <v>5454</v>
      </c>
      <c r="D7417" s="1119">
        <v>22.6</v>
      </c>
      <c r="E7417" s="1120">
        <v>22.6</v>
      </c>
      <c r="F7417" s="1121">
        <f t="shared" si="1"/>
        <v>0</v>
      </c>
      <c r="G7417" s="1120">
        <v>0.0</v>
      </c>
      <c r="H7417" s="1127">
        <v>0.0</v>
      </c>
      <c r="I7417" s="1127">
        <v>0.0</v>
      </c>
      <c r="J7417" s="1127">
        <v>0.0</v>
      </c>
      <c r="K7417" s="1124"/>
    </row>
    <row r="7418" ht="15.75" customHeight="1">
      <c r="A7418" s="1119">
        <v>101349.0</v>
      </c>
      <c r="B7418" s="1125" t="s">
        <v>17684</v>
      </c>
      <c r="C7418" s="1126" t="s">
        <v>5454</v>
      </c>
      <c r="D7418" s="1119">
        <v>26.5</v>
      </c>
      <c r="E7418" s="1120">
        <v>26.5</v>
      </c>
      <c r="F7418" s="1121">
        <f t="shared" si="1"/>
        <v>0</v>
      </c>
      <c r="G7418" s="1120">
        <v>0.0</v>
      </c>
      <c r="H7418" s="1127">
        <v>0.0</v>
      </c>
      <c r="I7418" s="1127">
        <v>0.0</v>
      </c>
      <c r="J7418" s="1127">
        <v>0.0</v>
      </c>
      <c r="K7418" s="1124"/>
    </row>
    <row r="7419" ht="15.75" customHeight="1">
      <c r="A7419" s="1119">
        <v>101350.0</v>
      </c>
      <c r="B7419" s="1125" t="s">
        <v>17685</v>
      </c>
      <c r="C7419" s="1126" t="s">
        <v>5454</v>
      </c>
      <c r="D7419" s="1119">
        <v>32.52</v>
      </c>
      <c r="E7419" s="1120">
        <v>32.52</v>
      </c>
      <c r="F7419" s="1121">
        <f t="shared" si="1"/>
        <v>0</v>
      </c>
      <c r="G7419" s="1120">
        <v>0.0</v>
      </c>
      <c r="H7419" s="1127">
        <v>0.0</v>
      </c>
      <c r="I7419" s="1127">
        <v>0.0</v>
      </c>
      <c r="J7419" s="1127">
        <v>0.0</v>
      </c>
      <c r="K7419" s="1124"/>
    </row>
    <row r="7420" ht="15.75" customHeight="1">
      <c r="A7420" s="1119">
        <v>101351.0</v>
      </c>
      <c r="B7420" s="1125" t="s">
        <v>17686</v>
      </c>
      <c r="C7420" s="1126" t="s">
        <v>5454</v>
      </c>
      <c r="D7420" s="1119">
        <v>26.88</v>
      </c>
      <c r="E7420" s="1120">
        <v>26.88</v>
      </c>
      <c r="F7420" s="1121">
        <f t="shared" si="1"/>
        <v>0</v>
      </c>
      <c r="G7420" s="1120">
        <v>0.0</v>
      </c>
      <c r="H7420" s="1127">
        <v>0.0</v>
      </c>
      <c r="I7420" s="1127">
        <v>0.0</v>
      </c>
      <c r="J7420" s="1127">
        <v>0.0</v>
      </c>
      <c r="K7420" s="1124"/>
    </row>
    <row r="7421" ht="15.75" customHeight="1">
      <c r="A7421" s="1119">
        <v>101352.0</v>
      </c>
      <c r="B7421" s="1125" t="s">
        <v>17687</v>
      </c>
      <c r="C7421" s="1126" t="s">
        <v>5454</v>
      </c>
      <c r="D7421" s="1119">
        <v>27.36</v>
      </c>
      <c r="E7421" s="1120">
        <v>27.36</v>
      </c>
      <c r="F7421" s="1121">
        <f t="shared" si="1"/>
        <v>0</v>
      </c>
      <c r="G7421" s="1120">
        <v>0.0</v>
      </c>
      <c r="H7421" s="1127">
        <v>0.0</v>
      </c>
      <c r="I7421" s="1127">
        <v>0.0</v>
      </c>
      <c r="J7421" s="1127">
        <v>0.0</v>
      </c>
      <c r="K7421" s="1124"/>
    </row>
    <row r="7422" ht="15.75" customHeight="1">
      <c r="A7422" s="1119">
        <v>101353.0</v>
      </c>
      <c r="B7422" s="1125" t="s">
        <v>17688</v>
      </c>
      <c r="C7422" s="1126" t="s">
        <v>5454</v>
      </c>
      <c r="D7422" s="1119">
        <v>23.85</v>
      </c>
      <c r="E7422" s="1120">
        <v>23.85</v>
      </c>
      <c r="F7422" s="1121">
        <f t="shared" si="1"/>
        <v>0</v>
      </c>
      <c r="G7422" s="1120">
        <v>0.0</v>
      </c>
      <c r="H7422" s="1127">
        <v>0.0</v>
      </c>
      <c r="I7422" s="1127">
        <v>0.0</v>
      </c>
      <c r="J7422" s="1127">
        <v>0.0</v>
      </c>
      <c r="K7422" s="1124"/>
    </row>
    <row r="7423" ht="15.75" customHeight="1">
      <c r="A7423" s="1119">
        <v>101354.0</v>
      </c>
      <c r="B7423" s="1125" t="s">
        <v>17689</v>
      </c>
      <c r="C7423" s="1126" t="s">
        <v>5454</v>
      </c>
      <c r="D7423" s="1119">
        <v>41.76</v>
      </c>
      <c r="E7423" s="1120">
        <v>41.76</v>
      </c>
      <c r="F7423" s="1121">
        <f t="shared" si="1"/>
        <v>0</v>
      </c>
      <c r="G7423" s="1120">
        <v>0.0</v>
      </c>
      <c r="H7423" s="1127">
        <v>0.0</v>
      </c>
      <c r="I7423" s="1127">
        <v>0.0</v>
      </c>
      <c r="J7423" s="1127">
        <v>0.0</v>
      </c>
      <c r="K7423" s="1124"/>
    </row>
    <row r="7424" ht="15.75" customHeight="1">
      <c r="A7424" s="1119">
        <v>101355.0</v>
      </c>
      <c r="B7424" s="1125" t="s">
        <v>17690</v>
      </c>
      <c r="C7424" s="1126" t="s">
        <v>5454</v>
      </c>
      <c r="D7424" s="1119">
        <v>23.5</v>
      </c>
      <c r="E7424" s="1120">
        <v>23.5</v>
      </c>
      <c r="F7424" s="1121">
        <f t="shared" si="1"/>
        <v>0</v>
      </c>
      <c r="G7424" s="1120">
        <v>0.0</v>
      </c>
      <c r="H7424" s="1127">
        <v>0.0</v>
      </c>
      <c r="I7424" s="1127">
        <v>0.0</v>
      </c>
      <c r="J7424" s="1127">
        <v>0.0</v>
      </c>
      <c r="K7424" s="1124"/>
    </row>
    <row r="7425" ht="15.75" customHeight="1">
      <c r="A7425" s="1119">
        <v>101356.0</v>
      </c>
      <c r="B7425" s="1125" t="s">
        <v>17691</v>
      </c>
      <c r="C7425" s="1126" t="s">
        <v>5454</v>
      </c>
      <c r="D7425" s="1119">
        <v>49.3</v>
      </c>
      <c r="E7425" s="1120">
        <v>49.3</v>
      </c>
      <c r="F7425" s="1121">
        <f t="shared" si="1"/>
        <v>0</v>
      </c>
      <c r="G7425" s="1120">
        <v>0.0</v>
      </c>
      <c r="H7425" s="1127">
        <v>0.0</v>
      </c>
      <c r="I7425" s="1127">
        <v>0.0</v>
      </c>
      <c r="J7425" s="1127">
        <v>0.0</v>
      </c>
      <c r="K7425" s="1124"/>
    </row>
    <row r="7426" ht="15.75" customHeight="1">
      <c r="A7426" s="1119">
        <v>101357.0</v>
      </c>
      <c r="B7426" s="1125" t="s">
        <v>17692</v>
      </c>
      <c r="C7426" s="1126" t="s">
        <v>5454</v>
      </c>
      <c r="D7426" s="1119">
        <v>70.82</v>
      </c>
      <c r="E7426" s="1120">
        <v>70.82</v>
      </c>
      <c r="F7426" s="1121">
        <f t="shared" si="1"/>
        <v>0</v>
      </c>
      <c r="G7426" s="1120">
        <v>0.0</v>
      </c>
      <c r="H7426" s="1127">
        <v>0.0</v>
      </c>
      <c r="I7426" s="1127">
        <v>0.0</v>
      </c>
      <c r="J7426" s="1127">
        <v>0.0</v>
      </c>
      <c r="K7426" s="1124"/>
    </row>
    <row r="7427" ht="15.75" customHeight="1">
      <c r="A7427" s="1119">
        <v>101358.0</v>
      </c>
      <c r="B7427" s="1125" t="s">
        <v>17693</v>
      </c>
      <c r="C7427" s="1126" t="s">
        <v>5454</v>
      </c>
      <c r="D7427" s="1119">
        <v>49.3</v>
      </c>
      <c r="E7427" s="1120">
        <v>49.3</v>
      </c>
      <c r="F7427" s="1121">
        <f t="shared" si="1"/>
        <v>0</v>
      </c>
      <c r="G7427" s="1120">
        <v>0.0</v>
      </c>
      <c r="H7427" s="1127">
        <v>0.0</v>
      </c>
      <c r="I7427" s="1127">
        <v>0.0</v>
      </c>
      <c r="J7427" s="1127">
        <v>0.0</v>
      </c>
      <c r="K7427" s="1124"/>
    </row>
    <row r="7428" ht="15.75" customHeight="1">
      <c r="A7428" s="1119">
        <v>101359.0</v>
      </c>
      <c r="B7428" s="1125" t="s">
        <v>17694</v>
      </c>
      <c r="C7428" s="1126" t="s">
        <v>5454</v>
      </c>
      <c r="D7428" s="1119">
        <v>47.87</v>
      </c>
      <c r="E7428" s="1120">
        <v>47.87</v>
      </c>
      <c r="F7428" s="1121">
        <f t="shared" si="1"/>
        <v>0</v>
      </c>
      <c r="G7428" s="1120">
        <v>0.0</v>
      </c>
      <c r="H7428" s="1127">
        <v>0.0</v>
      </c>
      <c r="I7428" s="1127">
        <v>0.0</v>
      </c>
      <c r="J7428" s="1127">
        <v>0.0</v>
      </c>
      <c r="K7428" s="1124"/>
    </row>
    <row r="7429" ht="15.75" customHeight="1">
      <c r="A7429" s="1119">
        <v>101360.0</v>
      </c>
      <c r="B7429" s="1125" t="s">
        <v>17695</v>
      </c>
      <c r="C7429" s="1126" t="s">
        <v>5454</v>
      </c>
      <c r="D7429" s="1119">
        <v>49.3</v>
      </c>
      <c r="E7429" s="1120">
        <v>49.3</v>
      </c>
      <c r="F7429" s="1121">
        <f t="shared" si="1"/>
        <v>0</v>
      </c>
      <c r="G7429" s="1120">
        <v>0.0</v>
      </c>
      <c r="H7429" s="1127">
        <v>0.0</v>
      </c>
      <c r="I7429" s="1127">
        <v>0.0</v>
      </c>
      <c r="J7429" s="1127">
        <v>0.0</v>
      </c>
      <c r="K7429" s="1124"/>
    </row>
    <row r="7430" ht="15.75" customHeight="1">
      <c r="A7430" s="1119">
        <v>101361.0</v>
      </c>
      <c r="B7430" s="1125" t="s">
        <v>17696</v>
      </c>
      <c r="C7430" s="1126" t="s">
        <v>5454</v>
      </c>
      <c r="D7430" s="1119">
        <v>52.46</v>
      </c>
      <c r="E7430" s="1120">
        <v>52.46</v>
      </c>
      <c r="F7430" s="1121">
        <f t="shared" si="1"/>
        <v>0</v>
      </c>
      <c r="G7430" s="1120">
        <v>0.0</v>
      </c>
      <c r="H7430" s="1127">
        <v>0.0</v>
      </c>
      <c r="I7430" s="1127">
        <v>0.0</v>
      </c>
      <c r="J7430" s="1127">
        <v>0.0</v>
      </c>
      <c r="K7430" s="1124"/>
    </row>
    <row r="7431" ht="15.75" customHeight="1">
      <c r="A7431" s="1119">
        <v>101362.0</v>
      </c>
      <c r="B7431" s="1125" t="s">
        <v>17697</v>
      </c>
      <c r="C7431" s="1126" t="s">
        <v>5454</v>
      </c>
      <c r="D7431" s="1119">
        <v>11.32</v>
      </c>
      <c r="E7431" s="1120">
        <v>11.32</v>
      </c>
      <c r="F7431" s="1121">
        <f t="shared" si="1"/>
        <v>0</v>
      </c>
      <c r="G7431" s="1120">
        <v>0.0</v>
      </c>
      <c r="H7431" s="1127">
        <v>0.0</v>
      </c>
      <c r="I7431" s="1127">
        <v>0.0</v>
      </c>
      <c r="J7431" s="1127">
        <v>0.0</v>
      </c>
      <c r="K7431" s="1124"/>
    </row>
    <row r="7432" ht="15.75" customHeight="1">
      <c r="A7432" s="1119">
        <v>101363.0</v>
      </c>
      <c r="B7432" s="1125" t="s">
        <v>17698</v>
      </c>
      <c r="C7432" s="1126" t="s">
        <v>5454</v>
      </c>
      <c r="D7432" s="1119">
        <v>38.51</v>
      </c>
      <c r="E7432" s="1120">
        <v>38.51</v>
      </c>
      <c r="F7432" s="1121">
        <f t="shared" si="1"/>
        <v>0</v>
      </c>
      <c r="G7432" s="1120">
        <v>0.0</v>
      </c>
      <c r="H7432" s="1127">
        <v>0.0</v>
      </c>
      <c r="I7432" s="1127">
        <v>0.0</v>
      </c>
      <c r="J7432" s="1127">
        <v>0.0</v>
      </c>
      <c r="K7432" s="1124"/>
    </row>
    <row r="7433" ht="15.75" customHeight="1">
      <c r="A7433" s="1119">
        <v>101364.0</v>
      </c>
      <c r="B7433" s="1125" t="s">
        <v>17699</v>
      </c>
      <c r="C7433" s="1126" t="s">
        <v>5454</v>
      </c>
      <c r="D7433" s="1119">
        <v>50.01</v>
      </c>
      <c r="E7433" s="1120">
        <v>50.01</v>
      </c>
      <c r="F7433" s="1121">
        <f t="shared" si="1"/>
        <v>0</v>
      </c>
      <c r="G7433" s="1120">
        <v>0.0</v>
      </c>
      <c r="H7433" s="1127">
        <v>0.0</v>
      </c>
      <c r="I7433" s="1127">
        <v>0.0</v>
      </c>
      <c r="J7433" s="1127">
        <v>0.0</v>
      </c>
      <c r="K7433" s="1124"/>
    </row>
    <row r="7434" ht="15.75" customHeight="1">
      <c r="A7434" s="1119">
        <v>101365.0</v>
      </c>
      <c r="B7434" s="1125" t="s">
        <v>17700</v>
      </c>
      <c r="C7434" s="1126" t="s">
        <v>5454</v>
      </c>
      <c r="D7434" s="1119">
        <v>39.59</v>
      </c>
      <c r="E7434" s="1120">
        <v>39.59</v>
      </c>
      <c r="F7434" s="1121">
        <f t="shared" si="1"/>
        <v>0</v>
      </c>
      <c r="G7434" s="1120">
        <v>0.0</v>
      </c>
      <c r="H7434" s="1127">
        <v>0.0</v>
      </c>
      <c r="I7434" s="1127">
        <v>0.0</v>
      </c>
      <c r="J7434" s="1127">
        <v>0.0</v>
      </c>
      <c r="K7434" s="1124"/>
    </row>
    <row r="7435" ht="15.75" customHeight="1">
      <c r="A7435" s="1119">
        <v>101366.0</v>
      </c>
      <c r="B7435" s="1125" t="s">
        <v>17701</v>
      </c>
      <c r="C7435" s="1126" t="s">
        <v>5454</v>
      </c>
      <c r="D7435" s="1119">
        <v>32.04</v>
      </c>
      <c r="E7435" s="1120">
        <v>32.04</v>
      </c>
      <c r="F7435" s="1121">
        <f t="shared" si="1"/>
        <v>0</v>
      </c>
      <c r="G7435" s="1120">
        <v>0.0</v>
      </c>
      <c r="H7435" s="1127">
        <v>0.0</v>
      </c>
      <c r="I7435" s="1127">
        <v>0.0</v>
      </c>
      <c r="J7435" s="1127">
        <v>0.0</v>
      </c>
      <c r="K7435" s="1124"/>
    </row>
    <row r="7436" ht="15.75" customHeight="1">
      <c r="A7436" s="1119">
        <v>101367.0</v>
      </c>
      <c r="B7436" s="1125" t="s">
        <v>17702</v>
      </c>
      <c r="C7436" s="1126" t="s">
        <v>5454</v>
      </c>
      <c r="D7436" s="1119">
        <v>38.51</v>
      </c>
      <c r="E7436" s="1120">
        <v>38.51</v>
      </c>
      <c r="F7436" s="1121">
        <f t="shared" si="1"/>
        <v>0</v>
      </c>
      <c r="G7436" s="1120">
        <v>0.0</v>
      </c>
      <c r="H7436" s="1127">
        <v>0.0</v>
      </c>
      <c r="I7436" s="1127">
        <v>0.0</v>
      </c>
      <c r="J7436" s="1127">
        <v>0.0</v>
      </c>
      <c r="K7436" s="1124"/>
    </row>
    <row r="7437" ht="15.75" customHeight="1">
      <c r="A7437" s="1119">
        <v>101368.0</v>
      </c>
      <c r="B7437" s="1125" t="s">
        <v>17703</v>
      </c>
      <c r="C7437" s="1126" t="s">
        <v>5454</v>
      </c>
      <c r="D7437" s="1119">
        <v>40.63</v>
      </c>
      <c r="E7437" s="1120">
        <v>40.63</v>
      </c>
      <c r="F7437" s="1121">
        <f t="shared" si="1"/>
        <v>0</v>
      </c>
      <c r="G7437" s="1120">
        <v>0.0</v>
      </c>
      <c r="H7437" s="1127">
        <v>0.0</v>
      </c>
      <c r="I7437" s="1127">
        <v>0.0</v>
      </c>
      <c r="J7437" s="1127">
        <v>0.0</v>
      </c>
      <c r="K7437" s="1124"/>
    </row>
    <row r="7438" ht="15.75" customHeight="1">
      <c r="A7438" s="1119">
        <v>101369.0</v>
      </c>
      <c r="B7438" s="1125" t="s">
        <v>17704</v>
      </c>
      <c r="C7438" s="1126" t="s">
        <v>5454</v>
      </c>
      <c r="D7438" s="1119">
        <v>41.05</v>
      </c>
      <c r="E7438" s="1120">
        <v>41.05</v>
      </c>
      <c r="F7438" s="1121">
        <f t="shared" si="1"/>
        <v>0</v>
      </c>
      <c r="G7438" s="1120">
        <v>0.0</v>
      </c>
      <c r="H7438" s="1127">
        <v>0.0</v>
      </c>
      <c r="I7438" s="1127">
        <v>0.0</v>
      </c>
      <c r="J7438" s="1127">
        <v>0.0</v>
      </c>
      <c r="K7438" s="1124"/>
    </row>
    <row r="7439" ht="15.75" customHeight="1">
      <c r="A7439" s="1119">
        <v>101370.0</v>
      </c>
      <c r="B7439" s="1125" t="s">
        <v>17705</v>
      </c>
      <c r="C7439" s="1126" t="s">
        <v>5454</v>
      </c>
      <c r="D7439" s="1119">
        <v>38.06</v>
      </c>
      <c r="E7439" s="1120">
        <v>38.06</v>
      </c>
      <c r="F7439" s="1121">
        <f t="shared" si="1"/>
        <v>0</v>
      </c>
      <c r="G7439" s="1120">
        <v>0.0</v>
      </c>
      <c r="H7439" s="1127">
        <v>0.0</v>
      </c>
      <c r="I7439" s="1127">
        <v>0.0</v>
      </c>
      <c r="J7439" s="1127">
        <v>0.0</v>
      </c>
      <c r="K7439" s="1124"/>
    </row>
    <row r="7440" ht="15.75" customHeight="1">
      <c r="A7440" s="1119">
        <v>101371.0</v>
      </c>
      <c r="B7440" s="1125" t="s">
        <v>17706</v>
      </c>
      <c r="C7440" s="1126" t="s">
        <v>5454</v>
      </c>
      <c r="D7440" s="1119">
        <v>50.05</v>
      </c>
      <c r="E7440" s="1120">
        <v>50.05</v>
      </c>
      <c r="F7440" s="1121">
        <f t="shared" si="1"/>
        <v>0</v>
      </c>
      <c r="G7440" s="1120">
        <v>0.0</v>
      </c>
      <c r="H7440" s="1127">
        <v>0.0</v>
      </c>
      <c r="I7440" s="1127">
        <v>0.0</v>
      </c>
      <c r="J7440" s="1127">
        <v>0.0</v>
      </c>
      <c r="K7440" s="1124"/>
    </row>
    <row r="7441" ht="15.75" customHeight="1">
      <c r="A7441" s="1119">
        <v>101372.0</v>
      </c>
      <c r="B7441" s="1125" t="s">
        <v>17707</v>
      </c>
      <c r="C7441" s="1126" t="s">
        <v>5454</v>
      </c>
      <c r="D7441" s="1119">
        <v>12.27</v>
      </c>
      <c r="E7441" s="1120">
        <v>12.27</v>
      </c>
      <c r="F7441" s="1121">
        <f t="shared" si="1"/>
        <v>0</v>
      </c>
      <c r="G7441" s="1120">
        <v>0.0</v>
      </c>
      <c r="H7441" s="1127">
        <v>0.0</v>
      </c>
      <c r="I7441" s="1127">
        <v>0.0</v>
      </c>
      <c r="J7441" s="1127">
        <v>0.0</v>
      </c>
      <c r="K7441" s="1124"/>
    </row>
    <row r="7442" ht="15.75" customHeight="1">
      <c r="A7442" s="1119">
        <v>101373.0</v>
      </c>
      <c r="B7442" s="1125" t="s">
        <v>17708</v>
      </c>
      <c r="C7442" s="1126" t="s">
        <v>1470</v>
      </c>
      <c r="D7442" s="1119">
        <v>177.63</v>
      </c>
      <c r="E7442" s="1120">
        <v>175.7</v>
      </c>
      <c r="F7442" s="1121">
        <f t="shared" si="1"/>
        <v>1.93</v>
      </c>
      <c r="G7442" s="1120">
        <v>1.93</v>
      </c>
      <c r="H7442" s="1127">
        <v>0.0</v>
      </c>
      <c r="I7442" s="1127">
        <v>0.0</v>
      </c>
      <c r="J7442" s="1127">
        <v>0.0</v>
      </c>
      <c r="K7442" s="1124"/>
    </row>
    <row r="7443" ht="15.75" customHeight="1">
      <c r="A7443" s="1119">
        <v>101374.0</v>
      </c>
      <c r="B7443" s="1125" t="s">
        <v>17374</v>
      </c>
      <c r="C7443" s="1126" t="s">
        <v>5454</v>
      </c>
      <c r="D7443" s="1128">
        <v>4497.0</v>
      </c>
      <c r="E7443" s="1120">
        <v>3012.1</v>
      </c>
      <c r="F7443" s="1121">
        <f t="shared" si="1"/>
        <v>1484.9</v>
      </c>
      <c r="G7443" s="1120">
        <v>1484.9</v>
      </c>
      <c r="H7443" s="1127">
        <v>0.0</v>
      </c>
      <c r="I7443" s="1127">
        <v>0.0</v>
      </c>
      <c r="J7443" s="1127">
        <v>0.0</v>
      </c>
      <c r="K7443" s="1124"/>
    </row>
    <row r="7444" ht="15.75" customHeight="1">
      <c r="A7444" s="1119">
        <v>101375.0</v>
      </c>
      <c r="B7444" s="1125" t="s">
        <v>17709</v>
      </c>
      <c r="C7444" s="1126" t="s">
        <v>5454</v>
      </c>
      <c r="D7444" s="1128">
        <v>4813.96</v>
      </c>
      <c r="E7444" s="1120">
        <v>3332.5</v>
      </c>
      <c r="F7444" s="1121">
        <f t="shared" si="1"/>
        <v>1481.46</v>
      </c>
      <c r="G7444" s="1120">
        <v>1481.46</v>
      </c>
      <c r="H7444" s="1127">
        <v>0.0</v>
      </c>
      <c r="I7444" s="1127">
        <v>0.0</v>
      </c>
      <c r="J7444" s="1127">
        <v>0.0</v>
      </c>
      <c r="K7444" s="1124"/>
    </row>
    <row r="7445" ht="15.75" customHeight="1">
      <c r="A7445" s="1119">
        <v>101376.0</v>
      </c>
      <c r="B7445" s="1125" t="s">
        <v>17710</v>
      </c>
      <c r="C7445" s="1126" t="s">
        <v>5454</v>
      </c>
      <c r="D7445" s="1128">
        <v>4113.89</v>
      </c>
      <c r="E7445" s="1120">
        <v>2854.08</v>
      </c>
      <c r="F7445" s="1121">
        <f t="shared" si="1"/>
        <v>1259.81</v>
      </c>
      <c r="G7445" s="1120">
        <v>1259.81</v>
      </c>
      <c r="H7445" s="1127">
        <v>0.0</v>
      </c>
      <c r="I7445" s="1127">
        <v>0.0</v>
      </c>
      <c r="J7445" s="1127">
        <v>0.0</v>
      </c>
      <c r="K7445" s="1124"/>
    </row>
    <row r="7446" ht="15.75" customHeight="1">
      <c r="A7446" s="1119">
        <v>101377.0</v>
      </c>
      <c r="B7446" s="1125" t="s">
        <v>17377</v>
      </c>
      <c r="C7446" s="1126" t="s">
        <v>5454</v>
      </c>
      <c r="D7446" s="1128">
        <v>4751.5</v>
      </c>
      <c r="E7446" s="1120">
        <v>3266.6</v>
      </c>
      <c r="F7446" s="1121">
        <f t="shared" si="1"/>
        <v>1484.9</v>
      </c>
      <c r="G7446" s="1120">
        <v>1484.9</v>
      </c>
      <c r="H7446" s="1127">
        <v>0.0</v>
      </c>
      <c r="I7446" s="1127">
        <v>0.0</v>
      </c>
      <c r="J7446" s="1127">
        <v>0.0</v>
      </c>
      <c r="K7446" s="1124"/>
    </row>
    <row r="7447" ht="15.75" customHeight="1">
      <c r="A7447" s="1119">
        <v>101378.0</v>
      </c>
      <c r="B7447" s="1125" t="s">
        <v>17602</v>
      </c>
      <c r="C7447" s="1126" t="s">
        <v>5454</v>
      </c>
      <c r="D7447" s="1128">
        <v>5012.25</v>
      </c>
      <c r="E7447" s="1120">
        <v>3274.85</v>
      </c>
      <c r="F7447" s="1121">
        <f t="shared" si="1"/>
        <v>1737.4</v>
      </c>
      <c r="G7447" s="1120">
        <v>1737.4</v>
      </c>
      <c r="H7447" s="1127">
        <v>0.0</v>
      </c>
      <c r="I7447" s="1127">
        <v>0.0</v>
      </c>
      <c r="J7447" s="1127">
        <v>0.0</v>
      </c>
      <c r="K7447" s="1124"/>
    </row>
    <row r="7448" ht="15.75" customHeight="1">
      <c r="A7448" s="1119">
        <v>101379.0</v>
      </c>
      <c r="B7448" s="1125" t="s">
        <v>17711</v>
      </c>
      <c r="C7448" s="1126" t="s">
        <v>5454</v>
      </c>
      <c r="D7448" s="1128">
        <v>4751.5</v>
      </c>
      <c r="E7448" s="1120">
        <v>3266.6</v>
      </c>
      <c r="F7448" s="1121">
        <f t="shared" si="1"/>
        <v>1484.9</v>
      </c>
      <c r="G7448" s="1120">
        <v>1484.9</v>
      </c>
      <c r="H7448" s="1127">
        <v>0.0</v>
      </c>
      <c r="I7448" s="1127">
        <v>0.0</v>
      </c>
      <c r="J7448" s="1127">
        <v>0.0</v>
      </c>
      <c r="K7448" s="1124"/>
    </row>
    <row r="7449" ht="15.75" customHeight="1">
      <c r="A7449" s="1119">
        <v>101380.0</v>
      </c>
      <c r="B7449" s="1125" t="s">
        <v>17379</v>
      </c>
      <c r="C7449" s="1126" t="s">
        <v>5454</v>
      </c>
      <c r="D7449" s="1128">
        <v>4717.82</v>
      </c>
      <c r="E7449" s="1120">
        <v>3266.41</v>
      </c>
      <c r="F7449" s="1121">
        <f t="shared" si="1"/>
        <v>1451.41</v>
      </c>
      <c r="G7449" s="1120">
        <v>1451.41</v>
      </c>
      <c r="H7449" s="1127">
        <v>0.0</v>
      </c>
      <c r="I7449" s="1127">
        <v>0.0</v>
      </c>
      <c r="J7449" s="1127">
        <v>0.0</v>
      </c>
      <c r="K7449" s="1124"/>
    </row>
    <row r="7450" ht="15.75" customHeight="1">
      <c r="A7450" s="1119">
        <v>101381.0</v>
      </c>
      <c r="B7450" s="1125" t="s">
        <v>17380</v>
      </c>
      <c r="C7450" s="1126" t="s">
        <v>5454</v>
      </c>
      <c r="D7450" s="1128">
        <v>5751.65</v>
      </c>
      <c r="E7450" s="1120">
        <v>4266.75</v>
      </c>
      <c r="F7450" s="1121">
        <f t="shared" si="1"/>
        <v>1484.9</v>
      </c>
      <c r="G7450" s="1120">
        <v>1484.9</v>
      </c>
      <c r="H7450" s="1127">
        <v>0.0</v>
      </c>
      <c r="I7450" s="1127">
        <v>0.0</v>
      </c>
      <c r="J7450" s="1127">
        <v>0.0</v>
      </c>
      <c r="K7450" s="1124"/>
    </row>
    <row r="7451" ht="15.75" customHeight="1">
      <c r="A7451" s="1119">
        <v>101382.0</v>
      </c>
      <c r="B7451" s="1125" t="s">
        <v>17712</v>
      </c>
      <c r="C7451" s="1126" t="s">
        <v>5454</v>
      </c>
      <c r="D7451" s="1128">
        <v>5217.57</v>
      </c>
      <c r="E7451" s="1120">
        <v>3957.76</v>
      </c>
      <c r="F7451" s="1121">
        <f t="shared" si="1"/>
        <v>1259.81</v>
      </c>
      <c r="G7451" s="1120">
        <v>1259.81</v>
      </c>
      <c r="H7451" s="1127">
        <v>0.0</v>
      </c>
      <c r="I7451" s="1127">
        <v>0.0</v>
      </c>
      <c r="J7451" s="1127">
        <v>0.0</v>
      </c>
      <c r="K7451" s="1124"/>
    </row>
    <row r="7452" ht="15.75" customHeight="1">
      <c r="A7452" s="1119">
        <v>101383.0</v>
      </c>
      <c r="B7452" s="1125" t="s">
        <v>17604</v>
      </c>
      <c r="C7452" s="1126" t="s">
        <v>5454</v>
      </c>
      <c r="D7452" s="1128">
        <v>4504.61</v>
      </c>
      <c r="E7452" s="1120">
        <v>3019.71</v>
      </c>
      <c r="F7452" s="1121">
        <f t="shared" si="1"/>
        <v>1484.9</v>
      </c>
      <c r="G7452" s="1120">
        <v>1484.9</v>
      </c>
      <c r="H7452" s="1127">
        <v>0.0</v>
      </c>
      <c r="I7452" s="1127">
        <v>0.0</v>
      </c>
      <c r="J7452" s="1127">
        <v>0.0</v>
      </c>
      <c r="K7452" s="1124"/>
    </row>
    <row r="7453" ht="15.75" customHeight="1">
      <c r="A7453" s="1119">
        <v>101384.0</v>
      </c>
      <c r="B7453" s="1125" t="s">
        <v>17383</v>
      </c>
      <c r="C7453" s="1126" t="s">
        <v>5454</v>
      </c>
      <c r="D7453" s="1128">
        <v>4638.62</v>
      </c>
      <c r="E7453" s="1120">
        <v>3283.07</v>
      </c>
      <c r="F7453" s="1121">
        <f t="shared" si="1"/>
        <v>1355.55</v>
      </c>
      <c r="G7453" s="1120">
        <v>1355.55</v>
      </c>
      <c r="H7453" s="1127">
        <v>0.0</v>
      </c>
      <c r="I7453" s="1127">
        <v>0.0</v>
      </c>
      <c r="J7453" s="1127">
        <v>0.0</v>
      </c>
      <c r="K7453" s="1124"/>
    </row>
    <row r="7454" ht="15.75" customHeight="1">
      <c r="A7454" s="1119">
        <v>101385.0</v>
      </c>
      <c r="B7454" s="1125" t="s">
        <v>17713</v>
      </c>
      <c r="C7454" s="1126" t="s">
        <v>5454</v>
      </c>
      <c r="D7454" s="1128">
        <v>4926.26</v>
      </c>
      <c r="E7454" s="1120">
        <v>4546.52</v>
      </c>
      <c r="F7454" s="1121">
        <f t="shared" si="1"/>
        <v>379.74</v>
      </c>
      <c r="G7454" s="1120">
        <v>379.74</v>
      </c>
      <c r="H7454" s="1127">
        <v>0.0</v>
      </c>
      <c r="I7454" s="1127">
        <v>0.0</v>
      </c>
      <c r="J7454" s="1127">
        <v>0.0</v>
      </c>
      <c r="K7454" s="1124"/>
    </row>
    <row r="7455" ht="15.75" customHeight="1">
      <c r="A7455" s="1119">
        <v>101386.0</v>
      </c>
      <c r="B7455" s="1125" t="s">
        <v>17385</v>
      </c>
      <c r="C7455" s="1126" t="s">
        <v>5454</v>
      </c>
      <c r="D7455" s="1128">
        <v>4103.15</v>
      </c>
      <c r="E7455" s="1120">
        <v>2843.34</v>
      </c>
      <c r="F7455" s="1121">
        <f t="shared" si="1"/>
        <v>1259.81</v>
      </c>
      <c r="G7455" s="1120">
        <v>1259.81</v>
      </c>
      <c r="H7455" s="1127">
        <v>0.0</v>
      </c>
      <c r="I7455" s="1127">
        <v>0.0</v>
      </c>
      <c r="J7455" s="1127">
        <v>0.0</v>
      </c>
      <c r="K7455" s="1124"/>
    </row>
    <row r="7456" ht="15.75" customHeight="1">
      <c r="A7456" s="1119">
        <v>101387.0</v>
      </c>
      <c r="B7456" s="1125" t="s">
        <v>17714</v>
      </c>
      <c r="C7456" s="1126" t="s">
        <v>5454</v>
      </c>
      <c r="D7456" s="1128">
        <v>4504.61</v>
      </c>
      <c r="E7456" s="1120">
        <v>3019.71</v>
      </c>
      <c r="F7456" s="1121">
        <f t="shared" si="1"/>
        <v>1484.9</v>
      </c>
      <c r="G7456" s="1120">
        <v>1484.9</v>
      </c>
      <c r="H7456" s="1127">
        <v>0.0</v>
      </c>
      <c r="I7456" s="1127">
        <v>0.0</v>
      </c>
      <c r="J7456" s="1127">
        <v>0.0</v>
      </c>
      <c r="K7456" s="1124"/>
    </row>
    <row r="7457" ht="15.75" customHeight="1">
      <c r="A7457" s="1119">
        <v>101388.0</v>
      </c>
      <c r="B7457" s="1125" t="s">
        <v>17387</v>
      </c>
      <c r="C7457" s="1126" t="s">
        <v>5454</v>
      </c>
      <c r="D7457" s="1128">
        <v>4464.59</v>
      </c>
      <c r="E7457" s="1120">
        <v>3013.18</v>
      </c>
      <c r="F7457" s="1121">
        <f t="shared" si="1"/>
        <v>1451.41</v>
      </c>
      <c r="G7457" s="1120">
        <v>1451.41</v>
      </c>
      <c r="H7457" s="1127">
        <v>0.0</v>
      </c>
      <c r="I7457" s="1127">
        <v>0.0</v>
      </c>
      <c r="J7457" s="1127">
        <v>0.0</v>
      </c>
      <c r="K7457" s="1124"/>
    </row>
    <row r="7458" ht="15.75" customHeight="1">
      <c r="A7458" s="1119">
        <v>101389.0</v>
      </c>
      <c r="B7458" s="1125" t="s">
        <v>17388</v>
      </c>
      <c r="C7458" s="1126" t="s">
        <v>5454</v>
      </c>
      <c r="D7458" s="1128">
        <v>2285.65</v>
      </c>
      <c r="E7458" s="1120">
        <v>1915.32</v>
      </c>
      <c r="F7458" s="1121">
        <f t="shared" si="1"/>
        <v>370.33</v>
      </c>
      <c r="G7458" s="1120">
        <v>370.33</v>
      </c>
      <c r="H7458" s="1127">
        <v>0.0</v>
      </c>
      <c r="I7458" s="1127">
        <v>0.0</v>
      </c>
      <c r="J7458" s="1127">
        <v>0.0</v>
      </c>
      <c r="K7458" s="1124"/>
    </row>
    <row r="7459" ht="15.75" customHeight="1">
      <c r="A7459" s="1119">
        <v>101390.0</v>
      </c>
      <c r="B7459" s="1125" t="s">
        <v>17715</v>
      </c>
      <c r="C7459" s="1126" t="s">
        <v>5454</v>
      </c>
      <c r="D7459" s="1128">
        <v>7128.02</v>
      </c>
      <c r="E7459" s="1120">
        <v>6763.58</v>
      </c>
      <c r="F7459" s="1121">
        <f t="shared" si="1"/>
        <v>364.44</v>
      </c>
      <c r="G7459" s="1120">
        <v>364.44</v>
      </c>
      <c r="H7459" s="1127">
        <v>0.0</v>
      </c>
      <c r="I7459" s="1127">
        <v>0.0</v>
      </c>
      <c r="J7459" s="1127">
        <v>0.0</v>
      </c>
      <c r="K7459" s="1124"/>
    </row>
    <row r="7460" ht="15.75" customHeight="1">
      <c r="A7460" s="1119">
        <v>101391.0</v>
      </c>
      <c r="B7460" s="1125" t="s">
        <v>17716</v>
      </c>
      <c r="C7460" s="1126" t="s">
        <v>5454</v>
      </c>
      <c r="D7460" s="1128">
        <v>5762.44</v>
      </c>
      <c r="E7460" s="1120">
        <v>4277.54</v>
      </c>
      <c r="F7460" s="1121">
        <f t="shared" si="1"/>
        <v>1484.9</v>
      </c>
      <c r="G7460" s="1120">
        <v>1484.9</v>
      </c>
      <c r="H7460" s="1127">
        <v>0.0</v>
      </c>
      <c r="I7460" s="1127">
        <v>0.0</v>
      </c>
      <c r="J7460" s="1127">
        <v>0.0</v>
      </c>
      <c r="K7460" s="1124"/>
    </row>
    <row r="7461" ht="15.75" customHeight="1">
      <c r="A7461" s="1119">
        <v>101392.0</v>
      </c>
      <c r="B7461" s="1125" t="s">
        <v>17717</v>
      </c>
      <c r="C7461" s="1126" t="s">
        <v>5454</v>
      </c>
      <c r="D7461" s="1128">
        <v>5064.72</v>
      </c>
      <c r="E7461" s="1120">
        <v>3804.91</v>
      </c>
      <c r="F7461" s="1121">
        <f t="shared" si="1"/>
        <v>1259.81</v>
      </c>
      <c r="G7461" s="1120">
        <v>1259.81</v>
      </c>
      <c r="H7461" s="1127">
        <v>0.0</v>
      </c>
      <c r="I7461" s="1127">
        <v>0.0</v>
      </c>
      <c r="J7461" s="1127">
        <v>0.0</v>
      </c>
      <c r="K7461" s="1124"/>
    </row>
    <row r="7462" ht="15.75" customHeight="1">
      <c r="A7462" s="1119">
        <v>101394.0</v>
      </c>
      <c r="B7462" s="1125" t="s">
        <v>17393</v>
      </c>
      <c r="C7462" s="1126" t="s">
        <v>5454</v>
      </c>
      <c r="D7462" s="1128">
        <v>5109.95</v>
      </c>
      <c r="E7462" s="1120">
        <v>3625.05</v>
      </c>
      <c r="F7462" s="1121">
        <f t="shared" si="1"/>
        <v>1484.9</v>
      </c>
      <c r="G7462" s="1120">
        <v>1484.9</v>
      </c>
      <c r="H7462" s="1127">
        <v>0.0</v>
      </c>
      <c r="I7462" s="1127">
        <v>0.0</v>
      </c>
      <c r="J7462" s="1127">
        <v>0.0</v>
      </c>
      <c r="K7462" s="1124"/>
    </row>
    <row r="7463" ht="15.75" customHeight="1">
      <c r="A7463" s="1119">
        <v>101395.0</v>
      </c>
      <c r="B7463" s="1125" t="s">
        <v>17718</v>
      </c>
      <c r="C7463" s="1126" t="s">
        <v>5454</v>
      </c>
      <c r="D7463" s="1128">
        <v>4726.48</v>
      </c>
      <c r="E7463" s="1120">
        <v>3274.85</v>
      </c>
      <c r="F7463" s="1121">
        <f t="shared" si="1"/>
        <v>1451.63</v>
      </c>
      <c r="G7463" s="1120">
        <v>1451.63</v>
      </c>
      <c r="H7463" s="1127">
        <v>0.0</v>
      </c>
      <c r="I7463" s="1127">
        <v>0.0</v>
      </c>
      <c r="J7463" s="1127">
        <v>0.0</v>
      </c>
      <c r="K7463" s="1124"/>
    </row>
    <row r="7464" ht="15.75" customHeight="1">
      <c r="A7464" s="1119">
        <v>101396.0</v>
      </c>
      <c r="B7464" s="1125" t="s">
        <v>17719</v>
      </c>
      <c r="C7464" s="1126" t="s">
        <v>5454</v>
      </c>
      <c r="D7464" s="1128">
        <v>5479.56</v>
      </c>
      <c r="E7464" s="1120">
        <v>4027.93</v>
      </c>
      <c r="F7464" s="1121">
        <f t="shared" si="1"/>
        <v>1451.63</v>
      </c>
      <c r="G7464" s="1120">
        <v>1451.63</v>
      </c>
      <c r="H7464" s="1127">
        <v>0.0</v>
      </c>
      <c r="I7464" s="1127">
        <v>0.0</v>
      </c>
      <c r="J7464" s="1127">
        <v>0.0</v>
      </c>
      <c r="K7464" s="1124"/>
    </row>
    <row r="7465" ht="15.75" customHeight="1">
      <c r="A7465" s="1119">
        <v>101397.0</v>
      </c>
      <c r="B7465" s="1125" t="s">
        <v>17395</v>
      </c>
      <c r="C7465" s="1126" t="s">
        <v>5454</v>
      </c>
      <c r="D7465" s="1128">
        <v>5718.38</v>
      </c>
      <c r="E7465" s="1120">
        <v>4266.75</v>
      </c>
      <c r="F7465" s="1121">
        <f t="shared" si="1"/>
        <v>1451.63</v>
      </c>
      <c r="G7465" s="1120">
        <v>1451.63</v>
      </c>
      <c r="H7465" s="1127">
        <v>0.0</v>
      </c>
      <c r="I7465" s="1127">
        <v>0.0</v>
      </c>
      <c r="J7465" s="1127">
        <v>0.0</v>
      </c>
      <c r="K7465" s="1124"/>
    </row>
    <row r="7466" ht="15.75" customHeight="1">
      <c r="A7466" s="1119">
        <v>101398.0</v>
      </c>
      <c r="B7466" s="1125" t="s">
        <v>17720</v>
      </c>
      <c r="C7466" s="1126" t="s">
        <v>5454</v>
      </c>
      <c r="D7466" s="1128">
        <v>4057.26</v>
      </c>
      <c r="E7466" s="1120">
        <v>2797.45</v>
      </c>
      <c r="F7466" s="1121">
        <f t="shared" si="1"/>
        <v>1259.81</v>
      </c>
      <c r="G7466" s="1120">
        <v>1259.81</v>
      </c>
      <c r="H7466" s="1127">
        <v>0.0</v>
      </c>
      <c r="I7466" s="1127">
        <v>0.0</v>
      </c>
      <c r="J7466" s="1127">
        <v>0.0</v>
      </c>
      <c r="K7466" s="1124"/>
    </row>
    <row r="7467" ht="15.75" customHeight="1">
      <c r="A7467" s="1119">
        <v>101399.0</v>
      </c>
      <c r="B7467" s="1125" t="s">
        <v>17397</v>
      </c>
      <c r="C7467" s="1126" t="s">
        <v>5454</v>
      </c>
      <c r="D7467" s="1128">
        <v>5834.3</v>
      </c>
      <c r="E7467" s="1120">
        <v>4352.84</v>
      </c>
      <c r="F7467" s="1121">
        <f t="shared" si="1"/>
        <v>1481.46</v>
      </c>
      <c r="G7467" s="1120">
        <v>1481.46</v>
      </c>
      <c r="H7467" s="1127">
        <v>0.0</v>
      </c>
      <c r="I7467" s="1127">
        <v>0.0</v>
      </c>
      <c r="J7467" s="1127">
        <v>0.0</v>
      </c>
      <c r="K7467" s="1124"/>
    </row>
    <row r="7468" ht="15.75" customHeight="1">
      <c r="A7468" s="1119">
        <v>101400.0</v>
      </c>
      <c r="B7468" s="1125" t="s">
        <v>17721</v>
      </c>
      <c r="C7468" s="1126" t="s">
        <v>5454</v>
      </c>
      <c r="D7468" s="1128">
        <v>6257.27</v>
      </c>
      <c r="E7468" s="1120">
        <v>4775.81</v>
      </c>
      <c r="F7468" s="1121">
        <f t="shared" si="1"/>
        <v>1481.46</v>
      </c>
      <c r="G7468" s="1120">
        <v>1481.46</v>
      </c>
      <c r="H7468" s="1127">
        <v>0.0</v>
      </c>
      <c r="I7468" s="1127">
        <v>0.0</v>
      </c>
      <c r="J7468" s="1127">
        <v>0.0</v>
      </c>
      <c r="K7468" s="1124"/>
    </row>
    <row r="7469" ht="15.75" customHeight="1">
      <c r="A7469" s="1119">
        <v>101401.0</v>
      </c>
      <c r="B7469" s="1125" t="s">
        <v>17399</v>
      </c>
      <c r="C7469" s="1126" t="s">
        <v>5454</v>
      </c>
      <c r="D7469" s="1128">
        <v>6931.02</v>
      </c>
      <c r="E7469" s="1120">
        <v>5449.56</v>
      </c>
      <c r="F7469" s="1121">
        <f t="shared" si="1"/>
        <v>1481.46</v>
      </c>
      <c r="G7469" s="1120">
        <v>1481.46</v>
      </c>
      <c r="H7469" s="1127">
        <v>0.0</v>
      </c>
      <c r="I7469" s="1127">
        <v>0.0</v>
      </c>
      <c r="J7469" s="1127">
        <v>0.0</v>
      </c>
      <c r="K7469" s="1124"/>
    </row>
    <row r="7470" ht="15.75" customHeight="1">
      <c r="A7470" s="1119">
        <v>101402.0</v>
      </c>
      <c r="B7470" s="1125" t="s">
        <v>17400</v>
      </c>
      <c r="C7470" s="1126" t="s">
        <v>5454</v>
      </c>
      <c r="D7470" s="1128">
        <v>5643.83</v>
      </c>
      <c r="E7470" s="1120">
        <v>4288.28</v>
      </c>
      <c r="F7470" s="1121">
        <f t="shared" si="1"/>
        <v>1355.55</v>
      </c>
      <c r="G7470" s="1120">
        <v>1355.55</v>
      </c>
      <c r="H7470" s="1127">
        <v>0.0</v>
      </c>
      <c r="I7470" s="1127">
        <v>0.0</v>
      </c>
      <c r="J7470" s="1127">
        <v>0.0</v>
      </c>
      <c r="K7470" s="1124"/>
    </row>
    <row r="7471" ht="15.75" customHeight="1">
      <c r="A7471" s="1119">
        <v>101403.0</v>
      </c>
      <c r="B7471" s="1125" t="s">
        <v>17708</v>
      </c>
      <c r="C7471" s="1126" t="s">
        <v>5454</v>
      </c>
      <c r="D7471" s="1128">
        <v>31033.26</v>
      </c>
      <c r="E7471" s="1120">
        <v>30668.82</v>
      </c>
      <c r="F7471" s="1121">
        <f t="shared" si="1"/>
        <v>364.44</v>
      </c>
      <c r="G7471" s="1120">
        <v>364.44</v>
      </c>
      <c r="H7471" s="1127">
        <v>0.0</v>
      </c>
      <c r="I7471" s="1127">
        <v>0.0</v>
      </c>
      <c r="J7471" s="1127">
        <v>0.0</v>
      </c>
      <c r="K7471" s="1124"/>
    </row>
    <row r="7472" ht="15.75" customHeight="1">
      <c r="A7472" s="1119">
        <v>101404.0</v>
      </c>
      <c r="B7472" s="1125" t="s">
        <v>17469</v>
      </c>
      <c r="C7472" s="1126" t="s">
        <v>5454</v>
      </c>
      <c r="D7472" s="1128">
        <v>19979.02</v>
      </c>
      <c r="E7472" s="1120">
        <v>19614.58</v>
      </c>
      <c r="F7472" s="1121">
        <f t="shared" si="1"/>
        <v>364.44</v>
      </c>
      <c r="G7472" s="1120">
        <v>364.44</v>
      </c>
      <c r="H7472" s="1127">
        <v>0.0</v>
      </c>
      <c r="I7472" s="1127">
        <v>0.0</v>
      </c>
      <c r="J7472" s="1127">
        <v>0.0</v>
      </c>
      <c r="K7472" s="1124"/>
    </row>
    <row r="7473" ht="15.75" customHeight="1">
      <c r="A7473" s="1119">
        <v>101405.0</v>
      </c>
      <c r="B7473" s="1125" t="s">
        <v>17470</v>
      </c>
      <c r="C7473" s="1126" t="s">
        <v>5454</v>
      </c>
      <c r="D7473" s="1128">
        <v>13659.58</v>
      </c>
      <c r="E7473" s="1120">
        <v>13295.14</v>
      </c>
      <c r="F7473" s="1121">
        <f t="shared" si="1"/>
        <v>364.44</v>
      </c>
      <c r="G7473" s="1120">
        <v>364.44</v>
      </c>
      <c r="H7473" s="1127">
        <v>0.0</v>
      </c>
      <c r="I7473" s="1127">
        <v>0.0</v>
      </c>
      <c r="J7473" s="1127">
        <v>0.0</v>
      </c>
      <c r="K7473" s="1124"/>
    </row>
    <row r="7474" ht="15.75" customHeight="1">
      <c r="A7474" s="1119">
        <v>101407.0</v>
      </c>
      <c r="B7474" s="1125" t="s">
        <v>17401</v>
      </c>
      <c r="C7474" s="1126" t="s">
        <v>5454</v>
      </c>
      <c r="D7474" s="1128">
        <v>5553.45</v>
      </c>
      <c r="E7474" s="1120">
        <v>4068.55</v>
      </c>
      <c r="F7474" s="1121">
        <f t="shared" si="1"/>
        <v>1484.9</v>
      </c>
      <c r="G7474" s="1120">
        <v>1484.9</v>
      </c>
      <c r="H7474" s="1127">
        <v>0.0</v>
      </c>
      <c r="I7474" s="1127">
        <v>0.0</v>
      </c>
      <c r="J7474" s="1127">
        <v>0.0</v>
      </c>
      <c r="K7474" s="1124"/>
    </row>
    <row r="7475" ht="15.75" customHeight="1">
      <c r="A7475" s="1119">
        <v>101408.0</v>
      </c>
      <c r="B7475" s="1125" t="s">
        <v>17402</v>
      </c>
      <c r="C7475" s="1126" t="s">
        <v>5454</v>
      </c>
      <c r="D7475" s="1128">
        <v>5783.96</v>
      </c>
      <c r="E7475" s="1120">
        <v>4299.06</v>
      </c>
      <c r="F7475" s="1121">
        <f t="shared" si="1"/>
        <v>1484.9</v>
      </c>
      <c r="G7475" s="1120">
        <v>1484.9</v>
      </c>
      <c r="H7475" s="1127">
        <v>0.0</v>
      </c>
      <c r="I7475" s="1127">
        <v>0.0</v>
      </c>
      <c r="J7475" s="1127">
        <v>0.0</v>
      </c>
      <c r="K7475" s="1124"/>
    </row>
    <row r="7476" ht="15.75" customHeight="1">
      <c r="A7476" s="1119">
        <v>101409.0</v>
      </c>
      <c r="B7476" s="1125" t="s">
        <v>17722</v>
      </c>
      <c r="C7476" s="1126" t="s">
        <v>5454</v>
      </c>
      <c r="D7476" s="1128">
        <v>6227.31</v>
      </c>
      <c r="E7476" s="1120">
        <v>4967.5</v>
      </c>
      <c r="F7476" s="1121">
        <f t="shared" si="1"/>
        <v>1259.81</v>
      </c>
      <c r="G7476" s="1120">
        <v>1259.81</v>
      </c>
      <c r="H7476" s="1127">
        <v>0.0</v>
      </c>
      <c r="I7476" s="1127">
        <v>0.0</v>
      </c>
      <c r="J7476" s="1127">
        <v>0.0</v>
      </c>
      <c r="K7476" s="1124"/>
    </row>
    <row r="7477" ht="15.75" customHeight="1">
      <c r="A7477" s="1119">
        <v>101410.0</v>
      </c>
      <c r="B7477" s="1125" t="s">
        <v>17452</v>
      </c>
      <c r="C7477" s="1126" t="s">
        <v>5454</v>
      </c>
      <c r="D7477" s="1128">
        <v>4686.67</v>
      </c>
      <c r="E7477" s="1120">
        <v>3201.77</v>
      </c>
      <c r="F7477" s="1121">
        <f t="shared" si="1"/>
        <v>1484.9</v>
      </c>
      <c r="G7477" s="1120">
        <v>1484.9</v>
      </c>
      <c r="H7477" s="1127">
        <v>0.0</v>
      </c>
      <c r="I7477" s="1127">
        <v>0.0</v>
      </c>
      <c r="J7477" s="1127">
        <v>0.0</v>
      </c>
      <c r="K7477" s="1124"/>
    </row>
    <row r="7478" ht="15.75" customHeight="1">
      <c r="A7478" s="1119">
        <v>101411.0</v>
      </c>
      <c r="B7478" s="1125" t="s">
        <v>17723</v>
      </c>
      <c r="C7478" s="1126" t="s">
        <v>5454</v>
      </c>
      <c r="D7478" s="1128">
        <v>3802.55</v>
      </c>
      <c r="E7478" s="1120">
        <v>3422.81</v>
      </c>
      <c r="F7478" s="1121">
        <f t="shared" si="1"/>
        <v>379.74</v>
      </c>
      <c r="G7478" s="1120">
        <v>379.74</v>
      </c>
      <c r="H7478" s="1127">
        <v>0.0</v>
      </c>
      <c r="I7478" s="1127">
        <v>0.0</v>
      </c>
      <c r="J7478" s="1127">
        <v>0.0</v>
      </c>
      <c r="K7478" s="1124"/>
    </row>
    <row r="7479" ht="15.75" customHeight="1">
      <c r="A7479" s="1119">
        <v>101412.0</v>
      </c>
      <c r="B7479" s="1125" t="s">
        <v>17724</v>
      </c>
      <c r="C7479" s="1126" t="s">
        <v>5454</v>
      </c>
      <c r="D7479" s="1128">
        <v>5940.5</v>
      </c>
      <c r="E7479" s="1120">
        <v>4296.81</v>
      </c>
      <c r="F7479" s="1121">
        <f t="shared" si="1"/>
        <v>1643.69</v>
      </c>
      <c r="G7479" s="1120">
        <v>1643.69</v>
      </c>
      <c r="H7479" s="1127">
        <v>0.0</v>
      </c>
      <c r="I7479" s="1127">
        <v>0.0</v>
      </c>
      <c r="J7479" s="1127">
        <v>0.0</v>
      </c>
      <c r="K7479" s="1124"/>
    </row>
    <row r="7480" ht="15.75" customHeight="1">
      <c r="A7480" s="1119">
        <v>101413.0</v>
      </c>
      <c r="B7480" s="1125" t="s">
        <v>17404</v>
      </c>
      <c r="C7480" s="1126" t="s">
        <v>5454</v>
      </c>
      <c r="D7480" s="1128">
        <v>5375.53</v>
      </c>
      <c r="E7480" s="1120">
        <v>3923.9</v>
      </c>
      <c r="F7480" s="1121">
        <f t="shared" si="1"/>
        <v>1451.63</v>
      </c>
      <c r="G7480" s="1120">
        <v>1451.63</v>
      </c>
      <c r="H7480" s="1127">
        <v>0.0</v>
      </c>
      <c r="I7480" s="1127">
        <v>0.0</v>
      </c>
      <c r="J7480" s="1127">
        <v>0.0</v>
      </c>
      <c r="K7480" s="1124"/>
    </row>
    <row r="7481" ht="15.75" customHeight="1">
      <c r="A7481" s="1119">
        <v>101414.0</v>
      </c>
      <c r="B7481" s="1125" t="s">
        <v>17725</v>
      </c>
      <c r="C7481" s="1126" t="s">
        <v>5454</v>
      </c>
      <c r="D7481" s="1128">
        <v>6346.49</v>
      </c>
      <c r="E7481" s="1120">
        <v>4861.59</v>
      </c>
      <c r="F7481" s="1121">
        <f t="shared" si="1"/>
        <v>1484.9</v>
      </c>
      <c r="G7481" s="1120">
        <v>1484.9</v>
      </c>
      <c r="H7481" s="1127">
        <v>0.0</v>
      </c>
      <c r="I7481" s="1127">
        <v>0.0</v>
      </c>
      <c r="J7481" s="1127">
        <v>0.0</v>
      </c>
      <c r="K7481" s="1124"/>
    </row>
    <row r="7482" ht="15.75" customHeight="1">
      <c r="A7482" s="1119">
        <v>101415.0</v>
      </c>
      <c r="B7482" s="1125" t="s">
        <v>17726</v>
      </c>
      <c r="C7482" s="1126" t="s">
        <v>5454</v>
      </c>
      <c r="D7482" s="1128">
        <v>6217.47</v>
      </c>
      <c r="E7482" s="1120">
        <v>4957.66</v>
      </c>
      <c r="F7482" s="1121">
        <f t="shared" si="1"/>
        <v>1259.81</v>
      </c>
      <c r="G7482" s="1120">
        <v>1259.81</v>
      </c>
      <c r="H7482" s="1127">
        <v>0.0</v>
      </c>
      <c r="I7482" s="1127">
        <v>0.0</v>
      </c>
      <c r="J7482" s="1127">
        <v>0.0</v>
      </c>
      <c r="K7482" s="1124"/>
    </row>
    <row r="7483" ht="15.75" customHeight="1">
      <c r="A7483" s="1119">
        <v>101416.0</v>
      </c>
      <c r="B7483" s="1125" t="s">
        <v>17609</v>
      </c>
      <c r="C7483" s="1126" t="s">
        <v>5454</v>
      </c>
      <c r="D7483" s="1128">
        <v>6281.94</v>
      </c>
      <c r="E7483" s="1120">
        <v>4800.48</v>
      </c>
      <c r="F7483" s="1121">
        <f t="shared" si="1"/>
        <v>1481.46</v>
      </c>
      <c r="G7483" s="1120">
        <v>1481.46</v>
      </c>
      <c r="H7483" s="1127">
        <v>0.0</v>
      </c>
      <c r="I7483" s="1127">
        <v>0.0</v>
      </c>
      <c r="J7483" s="1127">
        <v>0.0</v>
      </c>
      <c r="K7483" s="1124"/>
    </row>
    <row r="7484" ht="15.75" customHeight="1">
      <c r="A7484" s="1119">
        <v>101417.0</v>
      </c>
      <c r="B7484" s="1125" t="s">
        <v>17727</v>
      </c>
      <c r="C7484" s="1126" t="s">
        <v>5454</v>
      </c>
      <c r="D7484" s="1128">
        <v>5149.67</v>
      </c>
      <c r="E7484" s="1120">
        <v>3668.21</v>
      </c>
      <c r="F7484" s="1121">
        <f t="shared" si="1"/>
        <v>1481.46</v>
      </c>
      <c r="G7484" s="1120">
        <v>1481.46</v>
      </c>
      <c r="H7484" s="1127">
        <v>0.0</v>
      </c>
      <c r="I7484" s="1127">
        <v>0.0</v>
      </c>
      <c r="J7484" s="1127">
        <v>0.0</v>
      </c>
      <c r="K7484" s="1124"/>
    </row>
    <row r="7485" ht="15.75" customHeight="1">
      <c r="A7485" s="1119">
        <v>101418.0</v>
      </c>
      <c r="B7485" s="1125" t="s">
        <v>17728</v>
      </c>
      <c r="C7485" s="1126" t="s">
        <v>5454</v>
      </c>
      <c r="D7485" s="1128">
        <v>5277.44</v>
      </c>
      <c r="E7485" s="1120">
        <v>4017.63</v>
      </c>
      <c r="F7485" s="1121">
        <f t="shared" si="1"/>
        <v>1259.81</v>
      </c>
      <c r="G7485" s="1120">
        <v>1259.81</v>
      </c>
      <c r="H7485" s="1127">
        <v>0.0</v>
      </c>
      <c r="I7485" s="1127">
        <v>0.0</v>
      </c>
      <c r="J7485" s="1127">
        <v>0.0</v>
      </c>
      <c r="K7485" s="1124"/>
    </row>
    <row r="7486" ht="15.75" customHeight="1">
      <c r="A7486" s="1119">
        <v>101419.0</v>
      </c>
      <c r="B7486" s="1125" t="s">
        <v>17729</v>
      </c>
      <c r="C7486" s="1126" t="s">
        <v>5454</v>
      </c>
      <c r="D7486" s="1128">
        <v>6868.23</v>
      </c>
      <c r="E7486" s="1120">
        <v>5386.77</v>
      </c>
      <c r="F7486" s="1121">
        <f t="shared" si="1"/>
        <v>1481.46</v>
      </c>
      <c r="G7486" s="1120">
        <v>1481.46</v>
      </c>
      <c r="H7486" s="1127">
        <v>0.0</v>
      </c>
      <c r="I7486" s="1127">
        <v>0.0</v>
      </c>
      <c r="J7486" s="1127">
        <v>0.0</v>
      </c>
      <c r="K7486" s="1124"/>
    </row>
    <row r="7487" ht="15.75" customHeight="1">
      <c r="A7487" s="1119">
        <v>101420.0</v>
      </c>
      <c r="B7487" s="1125" t="s">
        <v>17730</v>
      </c>
      <c r="C7487" s="1126" t="s">
        <v>5454</v>
      </c>
      <c r="D7487" s="1128">
        <v>5774.53</v>
      </c>
      <c r="E7487" s="1120">
        <v>4514.72</v>
      </c>
      <c r="F7487" s="1121">
        <f t="shared" si="1"/>
        <v>1259.81</v>
      </c>
      <c r="G7487" s="1120">
        <v>1259.81</v>
      </c>
      <c r="H7487" s="1127">
        <v>0.0</v>
      </c>
      <c r="I7487" s="1127">
        <v>0.0</v>
      </c>
      <c r="J7487" s="1127">
        <v>0.0</v>
      </c>
      <c r="K7487" s="1124"/>
    </row>
    <row r="7488" ht="15.75" customHeight="1">
      <c r="A7488" s="1119">
        <v>101421.0</v>
      </c>
      <c r="B7488" s="1125" t="s">
        <v>17731</v>
      </c>
      <c r="C7488" s="1126" t="s">
        <v>5454</v>
      </c>
      <c r="D7488" s="1128">
        <v>6663.47</v>
      </c>
      <c r="E7488" s="1120">
        <v>5403.66</v>
      </c>
      <c r="F7488" s="1121">
        <f t="shared" si="1"/>
        <v>1259.81</v>
      </c>
      <c r="G7488" s="1120">
        <v>1259.81</v>
      </c>
      <c r="H7488" s="1127">
        <v>0.0</v>
      </c>
      <c r="I7488" s="1127">
        <v>0.0</v>
      </c>
      <c r="J7488" s="1127">
        <v>0.0</v>
      </c>
      <c r="K7488" s="1124"/>
    </row>
    <row r="7489" ht="15.75" customHeight="1">
      <c r="A7489" s="1119">
        <v>101422.0</v>
      </c>
      <c r="B7489" s="1125" t="s">
        <v>17732</v>
      </c>
      <c r="C7489" s="1126" t="s">
        <v>5454</v>
      </c>
      <c r="D7489" s="1128">
        <v>5118.48</v>
      </c>
      <c r="E7489" s="1120">
        <v>3858.67</v>
      </c>
      <c r="F7489" s="1121">
        <f t="shared" si="1"/>
        <v>1259.81</v>
      </c>
      <c r="G7489" s="1120">
        <v>1259.81</v>
      </c>
      <c r="H7489" s="1127">
        <v>0.0</v>
      </c>
      <c r="I7489" s="1127">
        <v>0.0</v>
      </c>
      <c r="J7489" s="1127">
        <v>0.0</v>
      </c>
      <c r="K7489" s="1124"/>
    </row>
    <row r="7490" ht="15.75" customHeight="1">
      <c r="A7490" s="1119">
        <v>101423.0</v>
      </c>
      <c r="B7490" s="1125" t="s">
        <v>17733</v>
      </c>
      <c r="C7490" s="1126" t="s">
        <v>5454</v>
      </c>
      <c r="D7490" s="1128">
        <v>5310.13</v>
      </c>
      <c r="E7490" s="1120">
        <v>4050.32</v>
      </c>
      <c r="F7490" s="1121">
        <f t="shared" si="1"/>
        <v>1259.81</v>
      </c>
      <c r="G7490" s="1120">
        <v>1259.81</v>
      </c>
      <c r="H7490" s="1127">
        <v>0.0</v>
      </c>
      <c r="I7490" s="1127">
        <v>0.0</v>
      </c>
      <c r="J7490" s="1127">
        <v>0.0</v>
      </c>
      <c r="K7490" s="1124"/>
    </row>
    <row r="7491" ht="15.75" customHeight="1">
      <c r="A7491" s="1119">
        <v>101424.0</v>
      </c>
      <c r="B7491" s="1125" t="s">
        <v>17734</v>
      </c>
      <c r="C7491" s="1126" t="s">
        <v>5454</v>
      </c>
      <c r="D7491" s="1128">
        <v>6174.74</v>
      </c>
      <c r="E7491" s="1120">
        <v>4914.93</v>
      </c>
      <c r="F7491" s="1121">
        <f t="shared" si="1"/>
        <v>1259.81</v>
      </c>
      <c r="G7491" s="1120">
        <v>1259.81</v>
      </c>
      <c r="H7491" s="1127">
        <v>0.0</v>
      </c>
      <c r="I7491" s="1127">
        <v>0.0</v>
      </c>
      <c r="J7491" s="1127">
        <v>0.0</v>
      </c>
      <c r="K7491" s="1124"/>
    </row>
    <row r="7492" ht="15.75" customHeight="1">
      <c r="A7492" s="1119">
        <v>101425.0</v>
      </c>
      <c r="B7492" s="1125" t="s">
        <v>17735</v>
      </c>
      <c r="C7492" s="1126" t="s">
        <v>5454</v>
      </c>
      <c r="D7492" s="1128">
        <v>2814.1</v>
      </c>
      <c r="E7492" s="1120">
        <v>2443.77</v>
      </c>
      <c r="F7492" s="1121">
        <f t="shared" si="1"/>
        <v>370.33</v>
      </c>
      <c r="G7492" s="1120">
        <v>370.33</v>
      </c>
      <c r="H7492" s="1127">
        <v>0.0</v>
      </c>
      <c r="I7492" s="1127">
        <v>0.0</v>
      </c>
      <c r="J7492" s="1127">
        <v>0.0</v>
      </c>
      <c r="K7492" s="1124"/>
    </row>
    <row r="7493" ht="15.75" customHeight="1">
      <c r="A7493" s="1119">
        <v>101426.0</v>
      </c>
      <c r="B7493" s="1125" t="s">
        <v>17736</v>
      </c>
      <c r="C7493" s="1126" t="s">
        <v>5454</v>
      </c>
      <c r="D7493" s="1128">
        <v>5181.0</v>
      </c>
      <c r="E7493" s="1120">
        <v>3921.19</v>
      </c>
      <c r="F7493" s="1121">
        <f t="shared" si="1"/>
        <v>1259.81</v>
      </c>
      <c r="G7493" s="1120">
        <v>1259.81</v>
      </c>
      <c r="H7493" s="1127">
        <v>0.0</v>
      </c>
      <c r="I7493" s="1127">
        <v>0.0</v>
      </c>
      <c r="J7493" s="1127">
        <v>0.0</v>
      </c>
      <c r="K7493" s="1124"/>
    </row>
    <row r="7494" ht="15.75" customHeight="1">
      <c r="A7494" s="1119">
        <v>101427.0</v>
      </c>
      <c r="B7494" s="1125" t="s">
        <v>17417</v>
      </c>
      <c r="C7494" s="1126" t="s">
        <v>5454</v>
      </c>
      <c r="D7494" s="1128">
        <v>4504.41</v>
      </c>
      <c r="E7494" s="1120">
        <v>3244.6</v>
      </c>
      <c r="F7494" s="1121">
        <f t="shared" si="1"/>
        <v>1259.81</v>
      </c>
      <c r="G7494" s="1120">
        <v>1259.81</v>
      </c>
      <c r="H7494" s="1127">
        <v>0.0</v>
      </c>
      <c r="I7494" s="1127">
        <v>0.0</v>
      </c>
      <c r="J7494" s="1127">
        <v>0.0</v>
      </c>
      <c r="K7494" s="1124"/>
    </row>
    <row r="7495" ht="15.75" customHeight="1">
      <c r="A7495" s="1119">
        <v>101428.0</v>
      </c>
      <c r="B7495" s="1125" t="s">
        <v>17737</v>
      </c>
      <c r="C7495" s="1126" t="s">
        <v>5454</v>
      </c>
      <c r="D7495" s="1128">
        <v>4390.96</v>
      </c>
      <c r="E7495" s="1120">
        <v>3131.15</v>
      </c>
      <c r="F7495" s="1121">
        <f t="shared" si="1"/>
        <v>1259.81</v>
      </c>
      <c r="G7495" s="1120">
        <v>1259.81</v>
      </c>
      <c r="H7495" s="1127">
        <v>0.0</v>
      </c>
      <c r="I7495" s="1127">
        <v>0.0</v>
      </c>
      <c r="J7495" s="1127">
        <v>0.0</v>
      </c>
      <c r="K7495" s="1124"/>
    </row>
    <row r="7496" ht="15.75" customHeight="1">
      <c r="A7496" s="1119">
        <v>101429.0</v>
      </c>
      <c r="B7496" s="1125" t="s">
        <v>17738</v>
      </c>
      <c r="C7496" s="1126" t="s">
        <v>5454</v>
      </c>
      <c r="D7496" s="1128">
        <v>4796.72</v>
      </c>
      <c r="E7496" s="1120">
        <v>3536.91</v>
      </c>
      <c r="F7496" s="1121">
        <f t="shared" si="1"/>
        <v>1259.81</v>
      </c>
      <c r="G7496" s="1120">
        <v>1259.81</v>
      </c>
      <c r="H7496" s="1127">
        <v>0.0</v>
      </c>
      <c r="I7496" s="1127">
        <v>0.0</v>
      </c>
      <c r="J7496" s="1127">
        <v>0.0</v>
      </c>
      <c r="K7496" s="1124"/>
    </row>
    <row r="7497" ht="15.75" customHeight="1">
      <c r="A7497" s="1119">
        <v>101430.0</v>
      </c>
      <c r="B7497" s="1125" t="s">
        <v>17739</v>
      </c>
      <c r="C7497" s="1126" t="s">
        <v>5454</v>
      </c>
      <c r="D7497" s="1128">
        <v>5253.17</v>
      </c>
      <c r="E7497" s="1120">
        <v>3993.36</v>
      </c>
      <c r="F7497" s="1121">
        <f t="shared" si="1"/>
        <v>1259.81</v>
      </c>
      <c r="G7497" s="1120">
        <v>1259.81</v>
      </c>
      <c r="H7497" s="1127">
        <v>0.0</v>
      </c>
      <c r="I7497" s="1127">
        <v>0.0</v>
      </c>
      <c r="J7497" s="1127">
        <v>0.0</v>
      </c>
      <c r="K7497" s="1124"/>
    </row>
    <row r="7498" ht="15.75" customHeight="1">
      <c r="A7498" s="1119">
        <v>101431.0</v>
      </c>
      <c r="B7498" s="1125" t="s">
        <v>17420</v>
      </c>
      <c r="C7498" s="1126" t="s">
        <v>5454</v>
      </c>
      <c r="D7498" s="1128">
        <v>5645.41</v>
      </c>
      <c r="E7498" s="1120">
        <v>4385.6</v>
      </c>
      <c r="F7498" s="1121">
        <f t="shared" si="1"/>
        <v>1259.81</v>
      </c>
      <c r="G7498" s="1120">
        <v>1259.81</v>
      </c>
      <c r="H7498" s="1127">
        <v>0.0</v>
      </c>
      <c r="I7498" s="1127">
        <v>0.0</v>
      </c>
      <c r="J7498" s="1127">
        <v>0.0</v>
      </c>
      <c r="K7498" s="1124"/>
    </row>
    <row r="7499" ht="15.75" customHeight="1">
      <c r="A7499" s="1119">
        <v>101432.0</v>
      </c>
      <c r="B7499" s="1125" t="s">
        <v>17740</v>
      </c>
      <c r="C7499" s="1126" t="s">
        <v>5454</v>
      </c>
      <c r="D7499" s="1128">
        <v>5303.82</v>
      </c>
      <c r="E7499" s="1120">
        <v>4044.01</v>
      </c>
      <c r="F7499" s="1121">
        <f t="shared" si="1"/>
        <v>1259.81</v>
      </c>
      <c r="G7499" s="1120">
        <v>1259.81</v>
      </c>
      <c r="H7499" s="1127">
        <v>0.0</v>
      </c>
      <c r="I7499" s="1127">
        <v>0.0</v>
      </c>
      <c r="J7499" s="1127">
        <v>0.0</v>
      </c>
      <c r="K7499" s="1124"/>
    </row>
    <row r="7500" ht="15.75" customHeight="1">
      <c r="A7500" s="1119">
        <v>101433.0</v>
      </c>
      <c r="B7500" s="1125" t="s">
        <v>17422</v>
      </c>
      <c r="C7500" s="1126" t="s">
        <v>5454</v>
      </c>
      <c r="D7500" s="1128">
        <v>11227.62</v>
      </c>
      <c r="E7500" s="1120">
        <v>9967.81</v>
      </c>
      <c r="F7500" s="1121">
        <f t="shared" si="1"/>
        <v>1259.81</v>
      </c>
      <c r="G7500" s="1120">
        <v>1259.81</v>
      </c>
      <c r="H7500" s="1127">
        <v>0.0</v>
      </c>
      <c r="I7500" s="1127">
        <v>0.0</v>
      </c>
      <c r="J7500" s="1127">
        <v>0.0</v>
      </c>
      <c r="K7500" s="1124"/>
    </row>
    <row r="7501" ht="15.75" customHeight="1">
      <c r="A7501" s="1119">
        <v>101434.0</v>
      </c>
      <c r="B7501" s="1125" t="s">
        <v>17741</v>
      </c>
      <c r="C7501" s="1126" t="s">
        <v>5454</v>
      </c>
      <c r="D7501" s="1128">
        <v>5185.92</v>
      </c>
      <c r="E7501" s="1120">
        <v>3926.11</v>
      </c>
      <c r="F7501" s="1121">
        <f t="shared" si="1"/>
        <v>1259.81</v>
      </c>
      <c r="G7501" s="1120">
        <v>1259.81</v>
      </c>
      <c r="H7501" s="1127">
        <v>0.0</v>
      </c>
      <c r="I7501" s="1127">
        <v>0.0</v>
      </c>
      <c r="J7501" s="1127">
        <v>0.0</v>
      </c>
      <c r="K7501" s="1124"/>
    </row>
    <row r="7502" ht="15.75" customHeight="1">
      <c r="A7502" s="1119">
        <v>101435.0</v>
      </c>
      <c r="B7502" s="1125" t="s">
        <v>17742</v>
      </c>
      <c r="C7502" s="1126" t="s">
        <v>5454</v>
      </c>
      <c r="D7502" s="1128">
        <v>5573.87</v>
      </c>
      <c r="E7502" s="1120">
        <v>4314.06</v>
      </c>
      <c r="F7502" s="1121">
        <f t="shared" si="1"/>
        <v>1259.81</v>
      </c>
      <c r="G7502" s="1120">
        <v>1259.81</v>
      </c>
      <c r="H7502" s="1127">
        <v>0.0</v>
      </c>
      <c r="I7502" s="1127">
        <v>0.0</v>
      </c>
      <c r="J7502" s="1127">
        <v>0.0</v>
      </c>
      <c r="K7502" s="1124"/>
    </row>
    <row r="7503" ht="15.75" customHeight="1">
      <c r="A7503" s="1119">
        <v>101436.0</v>
      </c>
      <c r="B7503" s="1125" t="s">
        <v>17424</v>
      </c>
      <c r="C7503" s="1126" t="s">
        <v>5454</v>
      </c>
      <c r="D7503" s="1128">
        <v>4723.05</v>
      </c>
      <c r="E7503" s="1120">
        <v>3463.24</v>
      </c>
      <c r="F7503" s="1121">
        <f t="shared" si="1"/>
        <v>1259.81</v>
      </c>
      <c r="G7503" s="1120">
        <v>1259.81</v>
      </c>
      <c r="H7503" s="1127">
        <v>0.0</v>
      </c>
      <c r="I7503" s="1127">
        <v>0.0</v>
      </c>
      <c r="J7503" s="1127">
        <v>0.0</v>
      </c>
      <c r="K7503" s="1124"/>
    </row>
    <row r="7504" ht="15.75" customHeight="1">
      <c r="A7504" s="1119">
        <v>101437.0</v>
      </c>
      <c r="B7504" s="1125" t="s">
        <v>17743</v>
      </c>
      <c r="C7504" s="1126" t="s">
        <v>5454</v>
      </c>
      <c r="D7504" s="1128">
        <v>5321.23</v>
      </c>
      <c r="E7504" s="1120">
        <v>4061.42</v>
      </c>
      <c r="F7504" s="1121">
        <f t="shared" si="1"/>
        <v>1259.81</v>
      </c>
      <c r="G7504" s="1120">
        <v>1259.81</v>
      </c>
      <c r="H7504" s="1127">
        <v>0.0</v>
      </c>
      <c r="I7504" s="1127">
        <v>0.0</v>
      </c>
      <c r="J7504" s="1127">
        <v>0.0</v>
      </c>
      <c r="K7504" s="1124"/>
    </row>
    <row r="7505" ht="15.75" customHeight="1">
      <c r="A7505" s="1119">
        <v>101438.0</v>
      </c>
      <c r="B7505" s="1125" t="s">
        <v>17426</v>
      </c>
      <c r="C7505" s="1126" t="s">
        <v>5454</v>
      </c>
      <c r="D7505" s="1128">
        <v>6242.44</v>
      </c>
      <c r="E7505" s="1120">
        <v>4982.63</v>
      </c>
      <c r="F7505" s="1121">
        <f t="shared" si="1"/>
        <v>1259.81</v>
      </c>
      <c r="G7505" s="1120">
        <v>1259.81</v>
      </c>
      <c r="H7505" s="1127">
        <v>0.0</v>
      </c>
      <c r="I7505" s="1127">
        <v>0.0</v>
      </c>
      <c r="J7505" s="1127">
        <v>0.0</v>
      </c>
      <c r="K7505" s="1124"/>
    </row>
    <row r="7506" ht="15.75" customHeight="1">
      <c r="A7506" s="1119">
        <v>101439.0</v>
      </c>
      <c r="B7506" s="1125" t="s">
        <v>17427</v>
      </c>
      <c r="C7506" s="1126" t="s">
        <v>5454</v>
      </c>
      <c r="D7506" s="1128">
        <v>5379.39</v>
      </c>
      <c r="E7506" s="1120">
        <v>4119.58</v>
      </c>
      <c r="F7506" s="1121">
        <f t="shared" si="1"/>
        <v>1259.81</v>
      </c>
      <c r="G7506" s="1120">
        <v>1259.81</v>
      </c>
      <c r="H7506" s="1127">
        <v>0.0</v>
      </c>
      <c r="I7506" s="1127">
        <v>0.0</v>
      </c>
      <c r="J7506" s="1127">
        <v>0.0</v>
      </c>
      <c r="K7506" s="1124"/>
    </row>
    <row r="7507" ht="15.75" customHeight="1">
      <c r="A7507" s="1119">
        <v>101440.0</v>
      </c>
      <c r="B7507" s="1125" t="s">
        <v>17744</v>
      </c>
      <c r="C7507" s="1126" t="s">
        <v>5454</v>
      </c>
      <c r="D7507" s="1128">
        <v>5452.83</v>
      </c>
      <c r="E7507" s="1120">
        <v>4193.02</v>
      </c>
      <c r="F7507" s="1121">
        <f t="shared" si="1"/>
        <v>1259.81</v>
      </c>
      <c r="G7507" s="1120">
        <v>1259.81</v>
      </c>
      <c r="H7507" s="1127">
        <v>0.0</v>
      </c>
      <c r="I7507" s="1127">
        <v>0.0</v>
      </c>
      <c r="J7507" s="1127">
        <v>0.0</v>
      </c>
      <c r="K7507" s="1124"/>
    </row>
    <row r="7508" ht="15.75" customHeight="1">
      <c r="A7508" s="1119">
        <v>101441.0</v>
      </c>
      <c r="B7508" s="1125" t="s">
        <v>17429</v>
      </c>
      <c r="C7508" s="1126" t="s">
        <v>5454</v>
      </c>
      <c r="D7508" s="1128">
        <v>4914.94</v>
      </c>
      <c r="E7508" s="1120">
        <v>3655.13</v>
      </c>
      <c r="F7508" s="1121">
        <f t="shared" si="1"/>
        <v>1259.81</v>
      </c>
      <c r="G7508" s="1120">
        <v>1259.81</v>
      </c>
      <c r="H7508" s="1127">
        <v>0.0</v>
      </c>
      <c r="I7508" s="1127">
        <v>0.0</v>
      </c>
      <c r="J7508" s="1127">
        <v>0.0</v>
      </c>
      <c r="K7508" s="1124"/>
    </row>
    <row r="7509" ht="15.75" customHeight="1">
      <c r="A7509" s="1119">
        <v>101442.0</v>
      </c>
      <c r="B7509" s="1130" t="s">
        <v>17745</v>
      </c>
      <c r="C7509" s="1131" t="s">
        <v>5454</v>
      </c>
      <c r="D7509" s="1128">
        <v>5885.8</v>
      </c>
      <c r="E7509" s="1120">
        <v>4625.99</v>
      </c>
      <c r="F7509" s="1121">
        <f t="shared" si="1"/>
        <v>1259.81</v>
      </c>
      <c r="G7509" s="1120">
        <v>1259.81</v>
      </c>
      <c r="H7509" s="1127">
        <v>0.0</v>
      </c>
      <c r="I7509" s="1127">
        <v>0.0</v>
      </c>
      <c r="J7509" s="1127">
        <v>0.0</v>
      </c>
      <c r="K7509" s="1124"/>
    </row>
    <row r="7510" ht="15.75" customHeight="1">
      <c r="A7510" s="1119">
        <v>101443.0</v>
      </c>
      <c r="B7510" s="1130" t="s">
        <v>17430</v>
      </c>
      <c r="C7510" s="1131" t="s">
        <v>5454</v>
      </c>
      <c r="D7510" s="1128">
        <v>4860.65</v>
      </c>
      <c r="E7510" s="1120">
        <v>3600.84</v>
      </c>
      <c r="F7510" s="1121">
        <f t="shared" si="1"/>
        <v>1259.81</v>
      </c>
      <c r="G7510" s="1128">
        <v>1259.81</v>
      </c>
      <c r="H7510" s="1127">
        <v>0.0</v>
      </c>
      <c r="I7510" s="1127">
        <v>0.0</v>
      </c>
      <c r="J7510" s="1127">
        <v>0.0</v>
      </c>
      <c r="K7510" s="1124"/>
    </row>
    <row r="7511" ht="15.75" customHeight="1">
      <c r="A7511" s="1119">
        <v>101444.0</v>
      </c>
      <c r="B7511" s="1130" t="s">
        <v>17433</v>
      </c>
      <c r="C7511" s="1131" t="s">
        <v>5454</v>
      </c>
      <c r="D7511" s="1128">
        <v>5762.44</v>
      </c>
      <c r="E7511" s="1120">
        <v>4277.54</v>
      </c>
      <c r="F7511" s="1121">
        <f t="shared" si="1"/>
        <v>1484.9</v>
      </c>
      <c r="G7511" s="1128">
        <v>1484.9</v>
      </c>
      <c r="H7511" s="1127">
        <v>0.0</v>
      </c>
      <c r="I7511" s="1127">
        <v>0.0</v>
      </c>
      <c r="J7511" s="1127">
        <v>0.0</v>
      </c>
      <c r="K7511" s="1124"/>
    </row>
    <row r="7512" ht="15.75" customHeight="1">
      <c r="A7512" s="1116">
        <v>101445.0</v>
      </c>
      <c r="B7512" s="1132" t="s">
        <v>17434</v>
      </c>
      <c r="C7512" s="1116" t="s">
        <v>5454</v>
      </c>
      <c r="D7512" s="1128">
        <v>5783.96</v>
      </c>
      <c r="E7512" s="1120">
        <v>4299.06</v>
      </c>
      <c r="F7512" s="1121">
        <f t="shared" si="1"/>
        <v>1484.9</v>
      </c>
      <c r="G7512" s="1128">
        <v>1484.9</v>
      </c>
      <c r="H7512" s="1127">
        <v>0.0</v>
      </c>
      <c r="I7512" s="1127">
        <v>0.0</v>
      </c>
      <c r="J7512" s="1127">
        <v>0.0</v>
      </c>
      <c r="K7512" s="1124"/>
    </row>
    <row r="7513" ht="15.75" customHeight="1">
      <c r="A7513" s="1116">
        <v>101446.0</v>
      </c>
      <c r="B7513" s="1132" t="s">
        <v>17435</v>
      </c>
      <c r="C7513" s="1116" t="s">
        <v>5454</v>
      </c>
      <c r="D7513" s="1128">
        <v>6014.94</v>
      </c>
      <c r="E7513" s="1120">
        <v>4277.54</v>
      </c>
      <c r="F7513" s="1121">
        <f t="shared" si="1"/>
        <v>1737.4</v>
      </c>
      <c r="G7513" s="1128">
        <v>1737.4</v>
      </c>
      <c r="H7513" s="1127">
        <v>0.0</v>
      </c>
      <c r="I7513" s="1127">
        <v>0.0</v>
      </c>
      <c r="J7513" s="1127">
        <v>0.0</v>
      </c>
      <c r="K7513" s="1124"/>
    </row>
    <row r="7514" ht="15.75" customHeight="1">
      <c r="A7514" s="1116">
        <v>101447.0</v>
      </c>
      <c r="B7514" s="1132" t="s">
        <v>17436</v>
      </c>
      <c r="C7514" s="1116" t="s">
        <v>5454</v>
      </c>
      <c r="D7514" s="1128">
        <v>5891.16</v>
      </c>
      <c r="E7514" s="1120">
        <v>4153.76</v>
      </c>
      <c r="F7514" s="1121">
        <f t="shared" si="1"/>
        <v>1737.4</v>
      </c>
      <c r="G7514" s="1128">
        <v>1737.4</v>
      </c>
      <c r="H7514" s="1127">
        <v>0.0</v>
      </c>
      <c r="I7514" s="1127">
        <v>0.0</v>
      </c>
      <c r="J7514" s="1127">
        <v>0.0</v>
      </c>
      <c r="K7514" s="1124"/>
    </row>
    <row r="7515" ht="15.75" customHeight="1">
      <c r="A7515" s="1116">
        <v>101448.0</v>
      </c>
      <c r="B7515" s="1132" t="s">
        <v>17437</v>
      </c>
      <c r="C7515" s="1116" t="s">
        <v>5454</v>
      </c>
      <c r="D7515" s="1128">
        <v>6014.94</v>
      </c>
      <c r="E7515" s="1120">
        <v>4277.54</v>
      </c>
      <c r="F7515" s="1121">
        <f t="shared" si="1"/>
        <v>1737.4</v>
      </c>
      <c r="G7515" s="1128">
        <v>1737.4</v>
      </c>
      <c r="H7515" s="1127">
        <v>0.0</v>
      </c>
      <c r="I7515" s="1127">
        <v>0.0</v>
      </c>
      <c r="J7515" s="1127">
        <v>0.0</v>
      </c>
      <c r="K7515" s="1124"/>
    </row>
    <row r="7516" ht="15.75" customHeight="1">
      <c r="A7516" s="1116">
        <v>101449.0</v>
      </c>
      <c r="B7516" s="1132" t="s">
        <v>17746</v>
      </c>
      <c r="C7516" s="1116" t="s">
        <v>5454</v>
      </c>
      <c r="D7516" s="1128">
        <v>4444.7</v>
      </c>
      <c r="E7516" s="1120">
        <v>3184.89</v>
      </c>
      <c r="F7516" s="1121">
        <f t="shared" si="1"/>
        <v>1259.81</v>
      </c>
      <c r="G7516" s="1128">
        <v>1259.81</v>
      </c>
      <c r="H7516" s="1127">
        <v>0.0</v>
      </c>
      <c r="I7516" s="1127">
        <v>0.0</v>
      </c>
      <c r="J7516" s="1127">
        <v>0.0</v>
      </c>
      <c r="K7516" s="1124"/>
    </row>
    <row r="7517" ht="15.75" customHeight="1">
      <c r="A7517" s="1116">
        <v>101450.0</v>
      </c>
      <c r="B7517" s="1132" t="s">
        <v>17439</v>
      </c>
      <c r="C7517" s="1116" t="s">
        <v>5454</v>
      </c>
      <c r="D7517" s="1128">
        <v>4088.81</v>
      </c>
      <c r="E7517" s="1120">
        <v>2829.0</v>
      </c>
      <c r="F7517" s="1121">
        <f t="shared" si="1"/>
        <v>1259.81</v>
      </c>
      <c r="G7517" s="1128">
        <v>1259.81</v>
      </c>
      <c r="H7517" s="1127">
        <v>0.0</v>
      </c>
      <c r="I7517" s="1127">
        <v>0.0</v>
      </c>
      <c r="J7517" s="1127">
        <v>0.0</v>
      </c>
      <c r="K7517" s="1124"/>
    </row>
    <row r="7518" ht="15.75" customHeight="1">
      <c r="A7518" s="1116">
        <v>101451.0</v>
      </c>
      <c r="B7518" s="1132" t="s">
        <v>17440</v>
      </c>
      <c r="C7518" s="1116" t="s">
        <v>5454</v>
      </c>
      <c r="D7518" s="1128">
        <v>5751.65</v>
      </c>
      <c r="E7518" s="1120">
        <v>4266.75</v>
      </c>
      <c r="F7518" s="1121">
        <f t="shared" si="1"/>
        <v>1484.9</v>
      </c>
      <c r="G7518" s="1128">
        <v>1484.9</v>
      </c>
      <c r="H7518" s="1127">
        <v>0.0</v>
      </c>
      <c r="I7518" s="1127">
        <v>0.0</v>
      </c>
      <c r="J7518" s="1127">
        <v>0.0</v>
      </c>
      <c r="K7518" s="1124"/>
    </row>
    <row r="7519" ht="15.75" customHeight="1">
      <c r="A7519" s="1116">
        <v>101452.0</v>
      </c>
      <c r="B7519" s="1132" t="s">
        <v>17747</v>
      </c>
      <c r="C7519" s="1116" t="s">
        <v>5454</v>
      </c>
      <c r="D7519" s="1128">
        <v>4487.4</v>
      </c>
      <c r="E7519" s="1120">
        <v>3035.99</v>
      </c>
      <c r="F7519" s="1121">
        <f t="shared" si="1"/>
        <v>1451.41</v>
      </c>
      <c r="G7519" s="1128">
        <v>1451.41</v>
      </c>
      <c r="H7519" s="1127">
        <v>0.0</v>
      </c>
      <c r="I7519" s="1127">
        <v>0.0</v>
      </c>
      <c r="J7519" s="1127">
        <v>0.0</v>
      </c>
      <c r="K7519" s="1124"/>
    </row>
    <row r="7520" ht="15.75" customHeight="1">
      <c r="A7520" s="1116">
        <v>101453.0</v>
      </c>
      <c r="B7520" s="1132" t="s">
        <v>17442</v>
      </c>
      <c r="C7520" s="1116" t="s">
        <v>5454</v>
      </c>
      <c r="D7520" s="1128">
        <v>6029.29</v>
      </c>
      <c r="E7520" s="1120">
        <v>4385.6</v>
      </c>
      <c r="F7520" s="1121">
        <f t="shared" si="1"/>
        <v>1643.69</v>
      </c>
      <c r="G7520" s="1128">
        <v>1643.69</v>
      </c>
      <c r="H7520" s="1127">
        <v>0.0</v>
      </c>
      <c r="I7520" s="1127">
        <v>0.0</v>
      </c>
      <c r="J7520" s="1127">
        <v>0.0</v>
      </c>
      <c r="K7520" s="1124"/>
    </row>
    <row r="7521" ht="15.75" customHeight="1">
      <c r="A7521" s="1116">
        <v>101454.0</v>
      </c>
      <c r="B7521" s="1132" t="s">
        <v>17748</v>
      </c>
      <c r="C7521" s="1116" t="s">
        <v>5454</v>
      </c>
      <c r="D7521" s="1128">
        <v>5193.84</v>
      </c>
      <c r="E7521" s="1120">
        <v>3550.15</v>
      </c>
      <c r="F7521" s="1121">
        <f t="shared" si="1"/>
        <v>1643.69</v>
      </c>
      <c r="G7521" s="1128">
        <v>1643.69</v>
      </c>
      <c r="H7521" s="1127">
        <v>0.0</v>
      </c>
      <c r="I7521" s="1127">
        <v>0.0</v>
      </c>
      <c r="J7521" s="1127">
        <v>0.0</v>
      </c>
      <c r="K7521" s="1124"/>
    </row>
    <row r="7522" ht="15.75" customHeight="1">
      <c r="A7522" s="1116">
        <v>101455.0</v>
      </c>
      <c r="B7522" s="1132" t="s">
        <v>17444</v>
      </c>
      <c r="C7522" s="1116" t="s">
        <v>5454</v>
      </c>
      <c r="D7522" s="1128">
        <v>5718.38</v>
      </c>
      <c r="E7522" s="1120">
        <v>4266.75</v>
      </c>
      <c r="F7522" s="1121">
        <f t="shared" si="1"/>
        <v>1451.63</v>
      </c>
      <c r="G7522" s="1128">
        <v>1451.63</v>
      </c>
      <c r="H7522" s="1127">
        <v>0.0</v>
      </c>
      <c r="I7522" s="1127">
        <v>0.0</v>
      </c>
      <c r="J7522" s="1127">
        <v>0.0</v>
      </c>
      <c r="K7522" s="1124"/>
    </row>
    <row r="7523" ht="15.75" customHeight="1">
      <c r="A7523" s="1116">
        <v>101456.0</v>
      </c>
      <c r="B7523" s="1132" t="s">
        <v>17749</v>
      </c>
      <c r="C7523" s="1116" t="s">
        <v>5454</v>
      </c>
      <c r="D7523" s="1128">
        <v>6606.06</v>
      </c>
      <c r="E7523" s="1120">
        <v>6226.32</v>
      </c>
      <c r="F7523" s="1121">
        <f t="shared" si="1"/>
        <v>379.74</v>
      </c>
      <c r="G7523" s="1119">
        <v>379.74</v>
      </c>
      <c r="H7523" s="1127">
        <v>0.0</v>
      </c>
      <c r="I7523" s="1127">
        <v>0.0</v>
      </c>
      <c r="J7523" s="1127">
        <v>0.0</v>
      </c>
      <c r="K7523" s="1124"/>
    </row>
    <row r="7524" ht="15.75" customHeight="1">
      <c r="A7524" s="1116">
        <v>101457.0</v>
      </c>
      <c r="B7524" s="1132" t="s">
        <v>17750</v>
      </c>
      <c r="C7524" s="1116" t="s">
        <v>5454</v>
      </c>
      <c r="D7524" s="1128">
        <v>5806.91</v>
      </c>
      <c r="E7524" s="1120">
        <v>4547.1</v>
      </c>
      <c r="F7524" s="1121">
        <f t="shared" si="1"/>
        <v>1259.81</v>
      </c>
      <c r="G7524" s="1128">
        <v>1259.81</v>
      </c>
      <c r="H7524" s="1127">
        <v>0.0</v>
      </c>
      <c r="I7524" s="1127">
        <v>0.0</v>
      </c>
      <c r="J7524" s="1127">
        <v>0.0</v>
      </c>
      <c r="K7524" s="1124"/>
    </row>
    <row r="7525" ht="15.75" customHeight="1">
      <c r="A7525" s="1116">
        <v>101458.0</v>
      </c>
      <c r="B7525" s="1132" t="s">
        <v>17751</v>
      </c>
      <c r="C7525" s="1116" t="s">
        <v>5454</v>
      </c>
      <c r="D7525" s="1128">
        <v>5667.66</v>
      </c>
      <c r="E7525" s="1120">
        <v>4216.03</v>
      </c>
      <c r="F7525" s="1121">
        <f t="shared" si="1"/>
        <v>1451.63</v>
      </c>
      <c r="G7525" s="1128">
        <v>1451.63</v>
      </c>
      <c r="H7525" s="1127">
        <v>0.0</v>
      </c>
      <c r="I7525" s="1127">
        <v>0.0</v>
      </c>
      <c r="J7525" s="1127">
        <v>0.0</v>
      </c>
      <c r="K7525" s="1124"/>
    </row>
    <row r="7526" ht="15.75" customHeight="1">
      <c r="A7526" s="1116">
        <v>101459.0</v>
      </c>
      <c r="B7526" s="1132" t="s">
        <v>17449</v>
      </c>
      <c r="C7526" s="1116" t="s">
        <v>5454</v>
      </c>
      <c r="D7526" s="1128">
        <v>5827.46</v>
      </c>
      <c r="E7526" s="1120">
        <v>4342.56</v>
      </c>
      <c r="F7526" s="1121">
        <f t="shared" si="1"/>
        <v>1484.9</v>
      </c>
      <c r="G7526" s="1128">
        <v>1484.9</v>
      </c>
      <c r="H7526" s="1127">
        <v>0.0</v>
      </c>
      <c r="I7526" s="1127">
        <v>0.0</v>
      </c>
      <c r="J7526" s="1127">
        <v>0.0</v>
      </c>
      <c r="K7526" s="1124"/>
    </row>
    <row r="7527" ht="15.75" customHeight="1">
      <c r="A7527" s="1116">
        <v>101460.0</v>
      </c>
      <c r="B7527" s="1132" t="s">
        <v>17590</v>
      </c>
      <c r="C7527" s="1116" t="s">
        <v>5454</v>
      </c>
      <c r="D7527" s="1128">
        <v>4516.1</v>
      </c>
      <c r="E7527" s="1120">
        <v>3064.69</v>
      </c>
      <c r="F7527" s="1121">
        <f t="shared" si="1"/>
        <v>1451.41</v>
      </c>
      <c r="G7527" s="1128">
        <v>1451.41</v>
      </c>
      <c r="H7527" s="1127">
        <v>0.0</v>
      </c>
      <c r="I7527" s="1127">
        <v>0.0</v>
      </c>
      <c r="J7527" s="1127">
        <v>0.0</v>
      </c>
      <c r="K7527" s="1124"/>
    </row>
  </sheetData>
  <mergeCells count="1">
    <mergeCell ref="J1:K2"/>
  </mergeCells>
  <hyperlinks>
    <hyperlink display="SUMÁRIO" location="'QUADRO RESUMO'!B16:D17" ref="J1"/>
  </hyperlinks>
  <printOptions/>
  <pageMargins bottom="0.787401575" footer="0.0" header="0.0" left="0.511811024" right="0.511811024" top="0.7874015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CDDC"/>
    <pageSetUpPr fitToPage="1"/>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5.86"/>
    <col customWidth="1" min="2" max="3" width="12.57"/>
    <col customWidth="1" min="4" max="4" width="87.86"/>
    <col customWidth="1" min="5" max="5" width="8.14"/>
    <col customWidth="1" min="6" max="6" width="9.14"/>
    <col customWidth="1" min="7" max="7" width="10.0"/>
    <col customWidth="1" min="8" max="8" width="13.14"/>
    <col customWidth="1" min="9" max="9" width="8.29"/>
    <col customWidth="1" min="10" max="10" width="12.29"/>
    <col customWidth="1" min="11" max="11" width="6.57"/>
  </cols>
  <sheetData>
    <row r="1" ht="52.5" customHeight="1">
      <c r="A1" s="487" t="s">
        <v>17752</v>
      </c>
      <c r="B1" s="36"/>
      <c r="C1" s="36"/>
      <c r="D1" s="2" t="s">
        <v>17753</v>
      </c>
      <c r="G1" s="1133"/>
      <c r="H1" s="1133"/>
      <c r="I1" s="287" t="s">
        <v>29</v>
      </c>
      <c r="J1" s="44"/>
      <c r="K1" s="44"/>
    </row>
    <row r="2" ht="18.0" customHeight="1">
      <c r="A2" s="1134" t="s">
        <v>7</v>
      </c>
      <c r="B2" s="1135" t="s">
        <v>80</v>
      </c>
      <c r="C2" s="1134" t="s">
        <v>17754</v>
      </c>
      <c r="D2" s="1136" t="s">
        <v>8</v>
      </c>
      <c r="E2" s="1134" t="s">
        <v>83</v>
      </c>
      <c r="F2" s="1134" t="s">
        <v>11</v>
      </c>
      <c r="G2" s="1134" t="s">
        <v>85</v>
      </c>
      <c r="H2" s="1134" t="s">
        <v>86</v>
      </c>
      <c r="I2" s="1134" t="s">
        <v>17755</v>
      </c>
      <c r="J2" s="1134" t="s">
        <v>17756</v>
      </c>
      <c r="K2" s="1134" t="s">
        <v>17757</v>
      </c>
    </row>
    <row r="3" ht="25.5" customHeight="1">
      <c r="A3" s="1137">
        <v>2.0</v>
      </c>
      <c r="B3" s="1138" t="s">
        <v>17758</v>
      </c>
      <c r="C3" s="1139" t="s">
        <v>17759</v>
      </c>
      <c r="D3" s="1140" t="s">
        <v>13486</v>
      </c>
      <c r="E3" s="1137" t="s">
        <v>1788</v>
      </c>
      <c r="F3" s="1141">
        <v>27.82</v>
      </c>
      <c r="G3" s="1142" t="s">
        <v>17760</v>
      </c>
      <c r="H3" s="1142" t="s">
        <v>17761</v>
      </c>
      <c r="I3" s="1143">
        <v>0.0791</v>
      </c>
      <c r="J3" s="1143">
        <v>0.0791</v>
      </c>
      <c r="K3" s="1137" t="s">
        <v>1408</v>
      </c>
    </row>
    <row r="4" ht="22.5" customHeight="1">
      <c r="A4" s="1137">
        <v>1.0</v>
      </c>
      <c r="B4" s="1137" t="s">
        <v>500</v>
      </c>
      <c r="C4" s="1139" t="s">
        <v>17762</v>
      </c>
      <c r="D4" s="1140" t="s">
        <v>3185</v>
      </c>
      <c r="E4" s="1137" t="s">
        <v>1788</v>
      </c>
      <c r="F4" s="1137">
        <v>62.0</v>
      </c>
      <c r="G4" s="1142" t="s">
        <v>17763</v>
      </c>
      <c r="H4" s="1142" t="s">
        <v>17764</v>
      </c>
      <c r="I4" s="1143">
        <v>0.0706</v>
      </c>
      <c r="J4" s="1143">
        <v>0.1496</v>
      </c>
      <c r="K4" s="1137" t="s">
        <v>1408</v>
      </c>
    </row>
    <row r="5">
      <c r="A5" s="1137">
        <v>3.0</v>
      </c>
      <c r="B5" s="1137" t="s">
        <v>502</v>
      </c>
      <c r="C5" s="1139" t="s">
        <v>17762</v>
      </c>
      <c r="D5" s="1140" t="s">
        <v>3194</v>
      </c>
      <c r="E5" s="1137" t="s">
        <v>1788</v>
      </c>
      <c r="F5" s="1137">
        <v>51.0</v>
      </c>
      <c r="G5" s="1142" t="s">
        <v>17763</v>
      </c>
      <c r="H5" s="1142" t="s">
        <v>17765</v>
      </c>
      <c r="I5" s="1143">
        <v>0.0581</v>
      </c>
      <c r="J5" s="1143">
        <v>0.2077</v>
      </c>
      <c r="K5" s="1137" t="s">
        <v>1408</v>
      </c>
    </row>
    <row r="6">
      <c r="A6" s="1137">
        <v>4.0</v>
      </c>
      <c r="B6" s="1137" t="s">
        <v>1903</v>
      </c>
      <c r="C6" s="1139" t="s">
        <v>1729</v>
      </c>
      <c r="D6" s="1140" t="s">
        <v>1904</v>
      </c>
      <c r="E6" s="1137" t="s">
        <v>1788</v>
      </c>
      <c r="F6" s="1141">
        <v>12.84</v>
      </c>
      <c r="G6" s="1142" t="s">
        <v>17766</v>
      </c>
      <c r="H6" s="1142" t="s">
        <v>17767</v>
      </c>
      <c r="I6" s="1143">
        <v>0.0523</v>
      </c>
      <c r="J6" s="1143">
        <v>0.26</v>
      </c>
      <c r="K6" s="1137" t="s">
        <v>1408</v>
      </c>
    </row>
    <row r="7">
      <c r="A7" s="1137">
        <v>7.0</v>
      </c>
      <c r="B7" s="1137">
        <v>90777.0</v>
      </c>
      <c r="C7" s="1139" t="s">
        <v>17759</v>
      </c>
      <c r="D7" s="1140" t="s">
        <v>17464</v>
      </c>
      <c r="E7" s="1137" t="s">
        <v>1470</v>
      </c>
      <c r="F7" s="1137">
        <v>80.0</v>
      </c>
      <c r="G7" s="1142" t="s">
        <v>17768</v>
      </c>
      <c r="H7" s="1142" t="s">
        <v>17769</v>
      </c>
      <c r="I7" s="1143">
        <v>0.0393</v>
      </c>
      <c r="J7" s="1143">
        <v>0.2994</v>
      </c>
      <c r="K7" s="1137" t="s">
        <v>1408</v>
      </c>
    </row>
    <row r="8">
      <c r="A8" s="1137">
        <v>9.0</v>
      </c>
      <c r="B8" s="1137" t="s">
        <v>506</v>
      </c>
      <c r="C8" s="1139" t="s">
        <v>17762</v>
      </c>
      <c r="D8" s="1140" t="s">
        <v>3198</v>
      </c>
      <c r="E8" s="1137" t="s">
        <v>1788</v>
      </c>
      <c r="F8" s="1137">
        <v>16.0</v>
      </c>
      <c r="G8" s="1142" t="s">
        <v>17770</v>
      </c>
      <c r="H8" s="1142" t="s">
        <v>17771</v>
      </c>
      <c r="I8" s="1143">
        <v>0.0255</v>
      </c>
      <c r="J8" s="1143">
        <v>0.3248</v>
      </c>
      <c r="K8" s="1137" t="s">
        <v>1408</v>
      </c>
    </row>
    <row r="9">
      <c r="A9" s="1137">
        <v>5.0</v>
      </c>
      <c r="B9" s="1137" t="s">
        <v>504</v>
      </c>
      <c r="C9" s="1139" t="s">
        <v>17762</v>
      </c>
      <c r="D9" s="1140" t="s">
        <v>3196</v>
      </c>
      <c r="E9" s="1137" t="s">
        <v>1788</v>
      </c>
      <c r="F9" s="1137">
        <v>23.0</v>
      </c>
      <c r="G9" s="1142" t="s">
        <v>17772</v>
      </c>
      <c r="H9" s="1142" t="s">
        <v>17773</v>
      </c>
      <c r="I9" s="1143">
        <v>0.0314</v>
      </c>
      <c r="J9" s="1143">
        <v>0.3563</v>
      </c>
      <c r="K9" s="1137" t="s">
        <v>1408</v>
      </c>
    </row>
    <row r="10">
      <c r="A10" s="1137">
        <v>8.0</v>
      </c>
      <c r="B10" s="1137" t="s">
        <v>4143</v>
      </c>
      <c r="C10" s="1139" t="s">
        <v>17762</v>
      </c>
      <c r="D10" s="1140" t="s">
        <v>4144</v>
      </c>
      <c r="E10" s="1137" t="s">
        <v>1788</v>
      </c>
      <c r="F10" s="1141">
        <v>2.85</v>
      </c>
      <c r="G10" s="1142" t="s">
        <v>17774</v>
      </c>
      <c r="H10" s="1142" t="s">
        <v>17775</v>
      </c>
      <c r="I10" s="1143">
        <v>0.0325</v>
      </c>
      <c r="J10" s="1143">
        <v>0.3887</v>
      </c>
      <c r="K10" s="1137" t="s">
        <v>1408</v>
      </c>
    </row>
    <row r="11">
      <c r="A11" s="1137">
        <v>6.0</v>
      </c>
      <c r="B11" s="1137">
        <v>100903.0</v>
      </c>
      <c r="C11" s="1139" t="s">
        <v>17759</v>
      </c>
      <c r="D11" s="1140" t="s">
        <v>13376</v>
      </c>
      <c r="E11" s="1137" t="s">
        <v>1788</v>
      </c>
      <c r="F11" s="1141">
        <v>189.76</v>
      </c>
      <c r="G11" s="1142" t="s">
        <v>17776</v>
      </c>
      <c r="H11" s="1142" t="s">
        <v>17777</v>
      </c>
      <c r="I11" s="1143">
        <v>0.0303</v>
      </c>
      <c r="J11" s="1143">
        <v>0.419</v>
      </c>
      <c r="K11" s="1137" t="s">
        <v>1408</v>
      </c>
    </row>
    <row r="12">
      <c r="A12" s="1137">
        <v>14.0</v>
      </c>
      <c r="B12" s="1137" t="s">
        <v>522</v>
      </c>
      <c r="C12" s="1139" t="s">
        <v>17762</v>
      </c>
      <c r="D12" s="1140" t="s">
        <v>3214</v>
      </c>
      <c r="E12" s="1137" t="s">
        <v>1788</v>
      </c>
      <c r="F12" s="1137">
        <v>11.0</v>
      </c>
      <c r="G12" s="1142" t="s">
        <v>17778</v>
      </c>
      <c r="H12" s="1142" t="s">
        <v>17779</v>
      </c>
      <c r="I12" s="1143">
        <v>0.0225</v>
      </c>
      <c r="J12" s="1143">
        <v>0.4415</v>
      </c>
      <c r="K12" s="1137" t="s">
        <v>1408</v>
      </c>
    </row>
    <row r="13">
      <c r="A13" s="1137">
        <v>10.0</v>
      </c>
      <c r="B13" s="1137" t="s">
        <v>1900</v>
      </c>
      <c r="C13" s="1139" t="s">
        <v>1729</v>
      </c>
      <c r="D13" s="1140" t="s">
        <v>1901</v>
      </c>
      <c r="E13" s="1137" t="s">
        <v>1731</v>
      </c>
      <c r="F13" s="1141">
        <v>14.27</v>
      </c>
      <c r="G13" s="1142" t="s">
        <v>17780</v>
      </c>
      <c r="H13" s="1142" t="s">
        <v>17781</v>
      </c>
      <c r="I13" s="1143">
        <v>0.0223</v>
      </c>
      <c r="J13" s="1143">
        <v>0.4638</v>
      </c>
      <c r="K13" s="1137" t="s">
        <v>1408</v>
      </c>
    </row>
    <row r="14">
      <c r="A14" s="1137">
        <v>11.0</v>
      </c>
      <c r="B14" s="1137">
        <v>101654.0</v>
      </c>
      <c r="C14" s="1139" t="s">
        <v>17759</v>
      </c>
      <c r="D14" s="1140" t="s">
        <v>13483</v>
      </c>
      <c r="E14" s="1137" t="s">
        <v>1788</v>
      </c>
      <c r="F14" s="1141">
        <v>14.98</v>
      </c>
      <c r="G14" s="1142" t="s">
        <v>17782</v>
      </c>
      <c r="H14" s="1142" t="s">
        <v>17783</v>
      </c>
      <c r="I14" s="1143">
        <v>0.0205</v>
      </c>
      <c r="J14" s="1143">
        <v>0.4843</v>
      </c>
      <c r="K14" s="1137" t="s">
        <v>1408</v>
      </c>
    </row>
    <row r="15">
      <c r="A15" s="1137">
        <v>12.0</v>
      </c>
      <c r="B15" s="1137" t="s">
        <v>516</v>
      </c>
      <c r="C15" s="1139" t="s">
        <v>17762</v>
      </c>
      <c r="D15" s="1140" t="s">
        <v>3207</v>
      </c>
      <c r="E15" s="1137" t="s">
        <v>1788</v>
      </c>
      <c r="F15" s="1137">
        <v>12.0</v>
      </c>
      <c r="G15" s="1142" t="s">
        <v>17770</v>
      </c>
      <c r="H15" s="1142" t="s">
        <v>17784</v>
      </c>
      <c r="I15" s="1143">
        <v>0.0191</v>
      </c>
      <c r="J15" s="1143">
        <v>0.5035</v>
      </c>
      <c r="K15" s="1137" t="s">
        <v>1408</v>
      </c>
    </row>
    <row r="16">
      <c r="A16" s="1137">
        <v>13.0</v>
      </c>
      <c r="B16" s="1137">
        <v>101564.0</v>
      </c>
      <c r="C16" s="1139" t="s">
        <v>17759</v>
      </c>
      <c r="D16" s="1140" t="s">
        <v>13455</v>
      </c>
      <c r="E16" s="1137" t="s">
        <v>1731</v>
      </c>
      <c r="F16" s="1141">
        <v>80.25</v>
      </c>
      <c r="G16" s="1142" t="s">
        <v>17785</v>
      </c>
      <c r="H16" s="1142" t="s">
        <v>17786</v>
      </c>
      <c r="I16" s="1143">
        <v>0.0185</v>
      </c>
      <c r="J16" s="1143">
        <v>0.522</v>
      </c>
      <c r="K16" s="1137" t="s">
        <v>1408</v>
      </c>
    </row>
    <row r="17">
      <c r="A17" s="1137">
        <v>15.0</v>
      </c>
      <c r="B17" s="1137" t="s">
        <v>1802</v>
      </c>
      <c r="C17" s="1139" t="s">
        <v>1729</v>
      </c>
      <c r="D17" s="1140" t="s">
        <v>1803</v>
      </c>
      <c r="E17" s="1137" t="s">
        <v>1788</v>
      </c>
      <c r="F17" s="1141">
        <v>7.13</v>
      </c>
      <c r="G17" s="1142" t="s">
        <v>17787</v>
      </c>
      <c r="H17" s="1142" t="s">
        <v>17788</v>
      </c>
      <c r="I17" s="1143">
        <v>0.0156</v>
      </c>
      <c r="J17" s="1143">
        <v>0.5375</v>
      </c>
      <c r="K17" s="1137" t="s">
        <v>1408</v>
      </c>
    </row>
    <row r="18">
      <c r="A18" s="1137">
        <v>16.0</v>
      </c>
      <c r="B18" s="1137">
        <v>98297.0</v>
      </c>
      <c r="C18" s="1139" t="s">
        <v>17759</v>
      </c>
      <c r="D18" s="1140" t="s">
        <v>13694</v>
      </c>
      <c r="E18" s="1137" t="s">
        <v>1731</v>
      </c>
      <c r="F18" s="1141">
        <v>303.18</v>
      </c>
      <c r="G18" s="1142" t="s">
        <v>17789</v>
      </c>
      <c r="H18" s="1142" t="s">
        <v>17790</v>
      </c>
      <c r="I18" s="1143">
        <v>0.0149</v>
      </c>
      <c r="J18" s="1143">
        <v>0.5525</v>
      </c>
      <c r="K18" s="1137" t="s">
        <v>1408</v>
      </c>
    </row>
    <row r="19">
      <c r="A19" s="1137">
        <v>17.0</v>
      </c>
      <c r="B19" s="1137">
        <v>97885.0</v>
      </c>
      <c r="C19" s="1139" t="s">
        <v>17759</v>
      </c>
      <c r="D19" s="1140" t="s">
        <v>13189</v>
      </c>
      <c r="E19" s="1137" t="s">
        <v>1788</v>
      </c>
      <c r="F19" s="1141">
        <v>3.21</v>
      </c>
      <c r="G19" s="1142" t="s">
        <v>17791</v>
      </c>
      <c r="H19" s="1142" t="s">
        <v>17792</v>
      </c>
      <c r="I19" s="1143">
        <v>0.0139</v>
      </c>
      <c r="J19" s="1143">
        <v>0.5664</v>
      </c>
      <c r="K19" s="1137" t="s">
        <v>1408</v>
      </c>
    </row>
    <row r="20">
      <c r="A20" s="1137">
        <v>18.0</v>
      </c>
      <c r="B20" s="1137">
        <v>98101.0</v>
      </c>
      <c r="C20" s="1139" t="s">
        <v>17759</v>
      </c>
      <c r="D20" s="1140" t="s">
        <v>15466</v>
      </c>
      <c r="E20" s="1137" t="s">
        <v>1788</v>
      </c>
      <c r="F20" s="1141">
        <v>0.36</v>
      </c>
      <c r="G20" s="1142" t="s">
        <v>17793</v>
      </c>
      <c r="H20" s="1142" t="s">
        <v>17794</v>
      </c>
      <c r="I20" s="1143">
        <v>0.0135</v>
      </c>
      <c r="J20" s="1143">
        <v>0.5799</v>
      </c>
      <c r="K20" s="1137" t="s">
        <v>1408</v>
      </c>
    </row>
    <row r="21">
      <c r="A21" s="1137">
        <v>19.0</v>
      </c>
      <c r="B21" s="1137" t="s">
        <v>508</v>
      </c>
      <c r="C21" s="1139" t="s">
        <v>17762</v>
      </c>
      <c r="D21" s="1140" t="s">
        <v>3202</v>
      </c>
      <c r="E21" s="1137" t="s">
        <v>1788</v>
      </c>
      <c r="F21" s="1137">
        <v>6.0</v>
      </c>
      <c r="G21" s="1142" t="s">
        <v>17795</v>
      </c>
      <c r="H21" s="1142" t="s">
        <v>17796</v>
      </c>
      <c r="I21" s="1143">
        <v>0.0109</v>
      </c>
      <c r="J21" s="1143">
        <v>0.5908</v>
      </c>
      <c r="K21" s="1137" t="s">
        <v>1408</v>
      </c>
    </row>
    <row r="22">
      <c r="A22" s="1137">
        <v>20.0</v>
      </c>
      <c r="B22" s="1137">
        <v>5104.0</v>
      </c>
      <c r="C22" s="1139" t="s">
        <v>17759</v>
      </c>
      <c r="D22" s="1140" t="s">
        <v>9060</v>
      </c>
      <c r="E22" s="1137" t="s">
        <v>3606</v>
      </c>
      <c r="F22" s="1141">
        <v>35.67</v>
      </c>
      <c r="G22" s="1142" t="s">
        <v>17797</v>
      </c>
      <c r="H22" s="1142" t="s">
        <v>17798</v>
      </c>
      <c r="I22" s="1143">
        <v>0.0119</v>
      </c>
      <c r="J22" s="1143">
        <v>0.6027</v>
      </c>
      <c r="K22" s="1137" t="s">
        <v>1408</v>
      </c>
    </row>
    <row r="23">
      <c r="A23" s="1137">
        <v>21.0</v>
      </c>
      <c r="B23" s="1137">
        <v>92988.0</v>
      </c>
      <c r="C23" s="1139" t="s">
        <v>17759</v>
      </c>
      <c r="D23" s="1140" t="s">
        <v>13124</v>
      </c>
      <c r="E23" s="1137" t="s">
        <v>1731</v>
      </c>
      <c r="F23" s="1141">
        <v>44.59</v>
      </c>
      <c r="G23" s="1142" t="s">
        <v>17799</v>
      </c>
      <c r="H23" s="1142" t="s">
        <v>17800</v>
      </c>
      <c r="I23" s="1143">
        <v>0.011</v>
      </c>
      <c r="J23" s="1143">
        <v>0.6138</v>
      </c>
      <c r="K23" s="1137" t="s">
        <v>1408</v>
      </c>
    </row>
    <row r="24">
      <c r="A24" s="1137">
        <v>304.0</v>
      </c>
      <c r="B24" s="1137">
        <v>91677.0</v>
      </c>
      <c r="C24" s="1139" t="s">
        <v>17759</v>
      </c>
      <c r="D24" s="1140" t="s">
        <v>17801</v>
      </c>
      <c r="E24" s="1137" t="s">
        <v>1470</v>
      </c>
      <c r="F24" s="1137">
        <v>20.0</v>
      </c>
      <c r="G24" s="1142" t="s">
        <v>17802</v>
      </c>
      <c r="H24" s="1142" t="s">
        <v>17803</v>
      </c>
      <c r="I24" s="1143">
        <v>0.0099</v>
      </c>
      <c r="J24" s="1143">
        <v>0.6236</v>
      </c>
      <c r="K24" s="1137" t="s">
        <v>1408</v>
      </c>
    </row>
    <row r="25">
      <c r="A25" s="1137">
        <v>53.0</v>
      </c>
      <c r="B25" s="1137" t="s">
        <v>550</v>
      </c>
      <c r="C25" s="1139" t="s">
        <v>1729</v>
      </c>
      <c r="D25" s="1140" t="s">
        <v>1778</v>
      </c>
      <c r="E25" s="1137" t="s">
        <v>1788</v>
      </c>
      <c r="F25" s="1137">
        <v>1.0</v>
      </c>
      <c r="G25" s="1142" t="s">
        <v>17804</v>
      </c>
      <c r="H25" s="1142" t="s">
        <v>17804</v>
      </c>
      <c r="I25" s="1143">
        <v>0.0091</v>
      </c>
      <c r="J25" s="1143">
        <v>0.6327</v>
      </c>
      <c r="K25" s="1137" t="s">
        <v>1408</v>
      </c>
    </row>
    <row r="26">
      <c r="A26" s="1137">
        <v>46.0</v>
      </c>
      <c r="B26" s="1137" t="s">
        <v>552</v>
      </c>
      <c r="C26" s="1139" t="s">
        <v>1729</v>
      </c>
      <c r="D26" s="1140" t="s">
        <v>1780</v>
      </c>
      <c r="E26" s="1137" t="s">
        <v>1788</v>
      </c>
      <c r="F26" s="1137">
        <v>1.0</v>
      </c>
      <c r="G26" s="1142" t="s">
        <v>17805</v>
      </c>
      <c r="H26" s="1142" t="s">
        <v>17805</v>
      </c>
      <c r="I26" s="1143">
        <v>0.009</v>
      </c>
      <c r="J26" s="1143">
        <v>0.6417</v>
      </c>
      <c r="K26" s="1137" t="s">
        <v>1408</v>
      </c>
    </row>
    <row r="27">
      <c r="A27" s="1137">
        <v>22.0</v>
      </c>
      <c r="B27" s="1137">
        <v>103307.0</v>
      </c>
      <c r="C27" s="1139" t="s">
        <v>17759</v>
      </c>
      <c r="D27" s="1140" t="s">
        <v>17358</v>
      </c>
      <c r="E27" s="1137" t="s">
        <v>1788</v>
      </c>
      <c r="F27" s="1141">
        <v>1.43</v>
      </c>
      <c r="G27" s="1142" t="s">
        <v>17806</v>
      </c>
      <c r="H27" s="1142" t="s">
        <v>17807</v>
      </c>
      <c r="I27" s="1143">
        <v>0.0087</v>
      </c>
      <c r="J27" s="1143">
        <v>0.6504</v>
      </c>
      <c r="K27" s="1137" t="s">
        <v>1408</v>
      </c>
    </row>
    <row r="28">
      <c r="A28" s="1137">
        <v>23.0</v>
      </c>
      <c r="B28" s="1137" t="s">
        <v>1851</v>
      </c>
      <c r="C28" s="1139" t="s">
        <v>1729</v>
      </c>
      <c r="D28" s="1140" t="s">
        <v>1852</v>
      </c>
      <c r="E28" s="1137" t="s">
        <v>1788</v>
      </c>
      <c r="F28" s="1141">
        <v>4.99</v>
      </c>
      <c r="G28" s="1142" t="s">
        <v>17808</v>
      </c>
      <c r="H28" s="1142" t="s">
        <v>17809</v>
      </c>
      <c r="I28" s="1143">
        <v>0.0079</v>
      </c>
      <c r="J28" s="1143">
        <v>0.6583</v>
      </c>
      <c r="K28" s="1137" t="s">
        <v>1408</v>
      </c>
    </row>
    <row r="29">
      <c r="A29" s="1137">
        <v>26.0</v>
      </c>
      <c r="B29" s="1137" t="s">
        <v>1799</v>
      </c>
      <c r="C29" s="1139" t="s">
        <v>1729</v>
      </c>
      <c r="D29" s="1140" t="s">
        <v>1800</v>
      </c>
      <c r="E29" s="1137" t="s">
        <v>1788</v>
      </c>
      <c r="F29" s="1141">
        <v>29.25</v>
      </c>
      <c r="G29" s="1142" t="s">
        <v>17810</v>
      </c>
      <c r="H29" s="1142" t="s">
        <v>17811</v>
      </c>
      <c r="I29" s="1143">
        <v>0.0069</v>
      </c>
      <c r="J29" s="1143">
        <v>0.6653</v>
      </c>
      <c r="K29" s="1137" t="s">
        <v>1408</v>
      </c>
    </row>
    <row r="30">
      <c r="A30" s="1137">
        <v>24.0</v>
      </c>
      <c r="B30" s="1137" t="s">
        <v>518</v>
      </c>
      <c r="C30" s="1139" t="s">
        <v>17762</v>
      </c>
      <c r="D30" s="1140" t="s">
        <v>3209</v>
      </c>
      <c r="E30" s="1137" t="s">
        <v>1788</v>
      </c>
      <c r="F30" s="1137">
        <v>4.0</v>
      </c>
      <c r="G30" s="1142" t="s">
        <v>17763</v>
      </c>
      <c r="H30" s="1142" t="s">
        <v>17812</v>
      </c>
      <c r="I30" s="1143">
        <v>0.0046</v>
      </c>
      <c r="J30" s="1143">
        <v>0.6698</v>
      </c>
      <c r="K30" s="1137" t="s">
        <v>1408</v>
      </c>
    </row>
    <row r="31">
      <c r="A31" s="1137">
        <v>25.0</v>
      </c>
      <c r="B31" s="1137" t="s">
        <v>1870</v>
      </c>
      <c r="C31" s="1139" t="s">
        <v>1729</v>
      </c>
      <c r="D31" s="1140" t="s">
        <v>1871</v>
      </c>
      <c r="E31" s="1137" t="s">
        <v>1788</v>
      </c>
      <c r="F31" s="1141">
        <v>1.07</v>
      </c>
      <c r="G31" s="1142" t="s">
        <v>17813</v>
      </c>
      <c r="H31" s="1142" t="s">
        <v>17814</v>
      </c>
      <c r="I31" s="1143">
        <v>0.0065</v>
      </c>
      <c r="J31" s="1143">
        <v>0.6763</v>
      </c>
      <c r="K31" s="1137" t="s">
        <v>1408</v>
      </c>
    </row>
    <row r="32">
      <c r="A32" s="1137">
        <v>32.0</v>
      </c>
      <c r="B32" s="1137" t="s">
        <v>548</v>
      </c>
      <c r="C32" s="1139" t="s">
        <v>1729</v>
      </c>
      <c r="D32" s="1140" t="s">
        <v>1775</v>
      </c>
      <c r="E32" s="1137" t="s">
        <v>1788</v>
      </c>
      <c r="F32" s="1137">
        <v>1.0</v>
      </c>
      <c r="G32" s="1142" t="s">
        <v>17815</v>
      </c>
      <c r="H32" s="1142" t="s">
        <v>17815</v>
      </c>
      <c r="I32" s="1143">
        <v>0.0061</v>
      </c>
      <c r="J32" s="1143">
        <v>0.6824</v>
      </c>
      <c r="K32" s="1137" t="s">
        <v>1408</v>
      </c>
    </row>
    <row r="33">
      <c r="A33" s="1137">
        <v>39.0</v>
      </c>
      <c r="B33" s="1137" t="s">
        <v>540</v>
      </c>
      <c r="C33" s="1139" t="s">
        <v>1729</v>
      </c>
      <c r="D33" s="1140" t="s">
        <v>1760</v>
      </c>
      <c r="E33" s="1137" t="s">
        <v>1788</v>
      </c>
      <c r="F33" s="1137">
        <v>1.5</v>
      </c>
      <c r="G33" s="1142" t="s">
        <v>17816</v>
      </c>
      <c r="H33" s="1142" t="s">
        <v>17817</v>
      </c>
      <c r="I33" s="1143">
        <v>0.0059</v>
      </c>
      <c r="J33" s="1143">
        <v>0.6884</v>
      </c>
      <c r="K33" s="1137" t="s">
        <v>1408</v>
      </c>
    </row>
    <row r="34">
      <c r="A34" s="1137">
        <v>34.0</v>
      </c>
      <c r="B34" s="1137" t="s">
        <v>524</v>
      </c>
      <c r="C34" s="1139" t="s">
        <v>1729</v>
      </c>
      <c r="D34" s="1140" t="s">
        <v>1730</v>
      </c>
      <c r="E34" s="1137" t="s">
        <v>1731</v>
      </c>
      <c r="F34" s="1137">
        <v>12.0</v>
      </c>
      <c r="G34" s="1142" t="s">
        <v>17818</v>
      </c>
      <c r="H34" s="1142" t="s">
        <v>17819</v>
      </c>
      <c r="I34" s="1143">
        <v>0.0058</v>
      </c>
      <c r="J34" s="1143">
        <v>0.6942</v>
      </c>
      <c r="K34" s="1137" t="s">
        <v>1408</v>
      </c>
    </row>
    <row r="35">
      <c r="A35" s="1137">
        <v>27.0</v>
      </c>
      <c r="B35" s="1137" t="s">
        <v>1893</v>
      </c>
      <c r="C35" s="1139" t="s">
        <v>1729</v>
      </c>
      <c r="D35" s="1140" t="s">
        <v>17820</v>
      </c>
      <c r="E35" s="1137" t="s">
        <v>1731</v>
      </c>
      <c r="F35" s="1141">
        <v>1.78</v>
      </c>
      <c r="G35" s="1142" t="s">
        <v>17821</v>
      </c>
      <c r="H35" s="1142" t="s">
        <v>17822</v>
      </c>
      <c r="I35" s="1143">
        <v>0.0061</v>
      </c>
      <c r="J35" s="1143">
        <v>0.7003</v>
      </c>
      <c r="K35" s="1137" t="s">
        <v>1408</v>
      </c>
    </row>
    <row r="36">
      <c r="A36" s="1137">
        <v>37.0</v>
      </c>
      <c r="B36" s="1137" t="s">
        <v>510</v>
      </c>
      <c r="C36" s="1139" t="s">
        <v>17762</v>
      </c>
      <c r="D36" s="1140" t="s">
        <v>3204</v>
      </c>
      <c r="E36" s="1137" t="s">
        <v>1788</v>
      </c>
      <c r="F36" s="1137">
        <v>2.0</v>
      </c>
      <c r="G36" s="1142" t="s">
        <v>17823</v>
      </c>
      <c r="H36" s="1142" t="s">
        <v>17824</v>
      </c>
      <c r="I36" s="1143">
        <v>0.0038</v>
      </c>
      <c r="J36" s="1143">
        <v>0.7042</v>
      </c>
      <c r="K36" s="1137" t="s">
        <v>1408</v>
      </c>
    </row>
    <row r="37">
      <c r="A37" s="1137">
        <v>40.0</v>
      </c>
      <c r="B37" s="1137" t="s">
        <v>526</v>
      </c>
      <c r="C37" s="1139" t="s">
        <v>1729</v>
      </c>
      <c r="D37" s="1140" t="s">
        <v>1744</v>
      </c>
      <c r="E37" s="1137" t="s">
        <v>1731</v>
      </c>
      <c r="F37" s="1137">
        <v>10.0</v>
      </c>
      <c r="G37" s="1142" t="s">
        <v>17825</v>
      </c>
      <c r="H37" s="1142" t="s">
        <v>17826</v>
      </c>
      <c r="I37" s="1143">
        <v>0.0054</v>
      </c>
      <c r="J37" s="1143">
        <v>0.7096</v>
      </c>
      <c r="K37" s="1137" t="s">
        <v>1408</v>
      </c>
    </row>
    <row r="38">
      <c r="A38" s="1137">
        <v>42.0</v>
      </c>
      <c r="B38" s="1137" t="s">
        <v>546</v>
      </c>
      <c r="C38" s="1139" t="s">
        <v>1729</v>
      </c>
      <c r="D38" s="1140" t="s">
        <v>1772</v>
      </c>
      <c r="E38" s="1137" t="s">
        <v>1788</v>
      </c>
      <c r="F38" s="1137">
        <v>1.0</v>
      </c>
      <c r="G38" s="1142" t="s">
        <v>17827</v>
      </c>
      <c r="H38" s="1142" t="s">
        <v>17827</v>
      </c>
      <c r="I38" s="1143">
        <v>0.0066</v>
      </c>
      <c r="J38" s="1143">
        <v>0.7162</v>
      </c>
      <c r="K38" s="1137" t="s">
        <v>1408</v>
      </c>
    </row>
    <row r="39">
      <c r="A39" s="1137">
        <v>28.0</v>
      </c>
      <c r="B39" s="1137">
        <v>87398.0</v>
      </c>
      <c r="C39" s="1139" t="s">
        <v>17759</v>
      </c>
      <c r="D39" s="1140" t="s">
        <v>16925</v>
      </c>
      <c r="E39" s="1137" t="s">
        <v>2178</v>
      </c>
      <c r="F39" s="1141">
        <v>0.71</v>
      </c>
      <c r="G39" s="1142" t="s">
        <v>17828</v>
      </c>
      <c r="H39" s="1142" t="s">
        <v>17829</v>
      </c>
      <c r="I39" s="1143">
        <v>0.0058</v>
      </c>
      <c r="J39" s="1143">
        <v>0.722</v>
      </c>
      <c r="K39" s="1137" t="s">
        <v>1408</v>
      </c>
    </row>
    <row r="40">
      <c r="A40" s="1137">
        <v>29.0</v>
      </c>
      <c r="B40" s="1137">
        <v>98054.0</v>
      </c>
      <c r="C40" s="1139" t="s">
        <v>17759</v>
      </c>
      <c r="D40" s="1140" t="s">
        <v>15423</v>
      </c>
      <c r="E40" s="1137" t="s">
        <v>1788</v>
      </c>
      <c r="F40" s="1141">
        <v>0.36</v>
      </c>
      <c r="G40" s="1142" t="s">
        <v>17830</v>
      </c>
      <c r="H40" s="1142" t="s">
        <v>17831</v>
      </c>
      <c r="I40" s="1143">
        <v>0.0056</v>
      </c>
      <c r="J40" s="1143">
        <v>0.7276</v>
      </c>
      <c r="K40" s="1137" t="s">
        <v>1408</v>
      </c>
    </row>
    <row r="41">
      <c r="A41" s="1137">
        <v>30.0</v>
      </c>
      <c r="B41" s="1137">
        <v>97587.0</v>
      </c>
      <c r="C41" s="1139" t="s">
        <v>17759</v>
      </c>
      <c r="D41" s="1140" t="s">
        <v>13354</v>
      </c>
      <c r="E41" s="1137" t="s">
        <v>1788</v>
      </c>
      <c r="F41" s="1141">
        <v>3.21</v>
      </c>
      <c r="G41" s="1142" t="s">
        <v>17832</v>
      </c>
      <c r="H41" s="1142" t="s">
        <v>17833</v>
      </c>
      <c r="I41" s="1143">
        <v>0.005</v>
      </c>
      <c r="J41" s="1143">
        <v>0.7327</v>
      </c>
      <c r="K41" s="1137" t="s">
        <v>1408</v>
      </c>
    </row>
    <row r="42">
      <c r="A42" s="1137">
        <v>33.0</v>
      </c>
      <c r="B42" s="1137">
        <v>98059.0</v>
      </c>
      <c r="C42" s="1139" t="s">
        <v>17759</v>
      </c>
      <c r="D42" s="1140" t="s">
        <v>15428</v>
      </c>
      <c r="E42" s="1137" t="s">
        <v>1788</v>
      </c>
      <c r="F42" s="1141">
        <v>0.36</v>
      </c>
      <c r="G42" s="1142" t="s">
        <v>17834</v>
      </c>
      <c r="H42" s="1142" t="s">
        <v>17835</v>
      </c>
      <c r="I42" s="1143">
        <v>0.0048</v>
      </c>
      <c r="J42" s="1143">
        <v>0.7374</v>
      </c>
      <c r="K42" s="1137" t="s">
        <v>1408</v>
      </c>
    </row>
    <row r="43">
      <c r="A43" s="1137">
        <v>35.0</v>
      </c>
      <c r="B43" s="1137" t="s">
        <v>1806</v>
      </c>
      <c r="C43" s="1139" t="s">
        <v>1729</v>
      </c>
      <c r="D43" s="1140" t="s">
        <v>1807</v>
      </c>
      <c r="E43" s="1137" t="s">
        <v>1788</v>
      </c>
      <c r="F43" s="1141">
        <v>14.62</v>
      </c>
      <c r="G43" s="1142" t="s">
        <v>17836</v>
      </c>
      <c r="H43" s="1142" t="s">
        <v>17837</v>
      </c>
      <c r="I43" s="1143">
        <v>0.0046</v>
      </c>
      <c r="J43" s="1143">
        <v>0.742</v>
      </c>
      <c r="K43" s="1137" t="s">
        <v>1408</v>
      </c>
    </row>
    <row r="44">
      <c r="A44" s="1137">
        <v>31.0</v>
      </c>
      <c r="B44" s="1137" t="s">
        <v>4130</v>
      </c>
      <c r="C44" s="1139" t="s">
        <v>17762</v>
      </c>
      <c r="D44" s="1140" t="s">
        <v>4131</v>
      </c>
      <c r="E44" s="1137" t="s">
        <v>1788</v>
      </c>
      <c r="F44" s="1141">
        <v>0.36</v>
      </c>
      <c r="G44" s="1142" t="s">
        <v>17838</v>
      </c>
      <c r="H44" s="1142" t="s">
        <v>17839</v>
      </c>
      <c r="I44" s="1143">
        <v>0.0045</v>
      </c>
      <c r="J44" s="1143">
        <v>0.7466</v>
      </c>
      <c r="K44" s="1137" t="s">
        <v>1408</v>
      </c>
    </row>
    <row r="45">
      <c r="A45" s="1137">
        <v>36.0</v>
      </c>
      <c r="B45" s="1137">
        <v>100742.0</v>
      </c>
      <c r="C45" s="1139" t="s">
        <v>17759</v>
      </c>
      <c r="D45" s="1140" t="s">
        <v>16354</v>
      </c>
      <c r="E45" s="1137" t="s">
        <v>1814</v>
      </c>
      <c r="F45" s="1141">
        <v>36.38</v>
      </c>
      <c r="G45" s="1142" t="s">
        <v>17840</v>
      </c>
      <c r="H45" s="1142" t="s">
        <v>17841</v>
      </c>
      <c r="I45" s="1143">
        <v>0.0045</v>
      </c>
      <c r="J45" s="1143">
        <v>0.7511</v>
      </c>
      <c r="K45" s="1137" t="s">
        <v>1408</v>
      </c>
    </row>
    <row r="46">
      <c r="A46" s="1137">
        <v>38.0</v>
      </c>
      <c r="B46" s="1137" t="s">
        <v>1878</v>
      </c>
      <c r="C46" s="1139" t="s">
        <v>1729</v>
      </c>
      <c r="D46" s="1140" t="s">
        <v>1879</v>
      </c>
      <c r="E46" s="1137" t="s">
        <v>1880</v>
      </c>
      <c r="F46" s="1141">
        <v>0.71</v>
      </c>
      <c r="G46" s="1142" t="s">
        <v>17842</v>
      </c>
      <c r="H46" s="1142" t="s">
        <v>17843</v>
      </c>
      <c r="I46" s="1143">
        <v>0.0044</v>
      </c>
      <c r="J46" s="1143">
        <v>0.7554</v>
      </c>
      <c r="K46" s="1137" t="s">
        <v>1408</v>
      </c>
    </row>
    <row r="47">
      <c r="A47" s="1137">
        <v>49.0</v>
      </c>
      <c r="B47" s="1137" t="s">
        <v>544</v>
      </c>
      <c r="C47" s="1139" t="s">
        <v>1729</v>
      </c>
      <c r="D47" s="1140" t="s">
        <v>1769</v>
      </c>
      <c r="E47" s="1137" t="s">
        <v>1788</v>
      </c>
      <c r="F47" s="1137">
        <v>1.0</v>
      </c>
      <c r="G47" s="1142" t="s">
        <v>17827</v>
      </c>
      <c r="H47" s="1142" t="s">
        <v>17827</v>
      </c>
      <c r="I47" s="1143">
        <v>0.0066</v>
      </c>
      <c r="J47" s="1143">
        <v>0.762</v>
      </c>
      <c r="K47" s="1137" t="s">
        <v>1408</v>
      </c>
    </row>
    <row r="48">
      <c r="A48" s="1137">
        <v>41.0</v>
      </c>
      <c r="B48" s="1137">
        <v>102520.0</v>
      </c>
      <c r="C48" s="1139" t="s">
        <v>17759</v>
      </c>
      <c r="D48" s="1140" t="s">
        <v>16392</v>
      </c>
      <c r="E48" s="1137" t="s">
        <v>1814</v>
      </c>
      <c r="F48" s="1141">
        <v>10.7</v>
      </c>
      <c r="G48" s="1142" t="s">
        <v>17844</v>
      </c>
      <c r="H48" s="1142" t="s">
        <v>17845</v>
      </c>
      <c r="I48" s="1143">
        <v>0.0043</v>
      </c>
      <c r="J48" s="1143">
        <v>0.7663</v>
      </c>
      <c r="K48" s="1137" t="s">
        <v>1408</v>
      </c>
    </row>
    <row r="49">
      <c r="A49" s="1137">
        <v>43.0</v>
      </c>
      <c r="B49" s="1137" t="s">
        <v>1791</v>
      </c>
      <c r="C49" s="1139" t="s">
        <v>1729</v>
      </c>
      <c r="D49" s="1140" t="s">
        <v>1792</v>
      </c>
      <c r="E49" s="1137" t="s">
        <v>1788</v>
      </c>
      <c r="F49" s="1141">
        <v>1.43</v>
      </c>
      <c r="G49" s="1142" t="s">
        <v>17846</v>
      </c>
      <c r="H49" s="1142" t="s">
        <v>17847</v>
      </c>
      <c r="I49" s="1143">
        <v>0.0042</v>
      </c>
      <c r="J49" s="1143">
        <v>0.7705</v>
      </c>
      <c r="K49" s="1137" t="s">
        <v>1408</v>
      </c>
    </row>
    <row r="50">
      <c r="A50" s="1137">
        <v>44.0</v>
      </c>
      <c r="B50" s="1137">
        <v>97611.0</v>
      </c>
      <c r="C50" s="1139" t="s">
        <v>17759</v>
      </c>
      <c r="D50" s="1140" t="s">
        <v>13367</v>
      </c>
      <c r="E50" s="1137" t="s">
        <v>1788</v>
      </c>
      <c r="F50" s="1141">
        <v>37.45</v>
      </c>
      <c r="G50" s="1142" t="s">
        <v>17848</v>
      </c>
      <c r="H50" s="1142" t="s">
        <v>17849</v>
      </c>
      <c r="I50" s="1143">
        <v>0.0046</v>
      </c>
      <c r="J50" s="1143">
        <v>0.7752</v>
      </c>
      <c r="K50" s="1137" t="s">
        <v>1408</v>
      </c>
    </row>
    <row r="51">
      <c r="A51" s="1137">
        <v>45.0</v>
      </c>
      <c r="B51" s="1137">
        <v>90830.0</v>
      </c>
      <c r="C51" s="1139" t="s">
        <v>17759</v>
      </c>
      <c r="D51" s="1140" t="s">
        <v>12228</v>
      </c>
      <c r="E51" s="1137" t="s">
        <v>1788</v>
      </c>
      <c r="F51" s="1141">
        <v>5.35</v>
      </c>
      <c r="G51" s="1142" t="s">
        <v>17850</v>
      </c>
      <c r="H51" s="1142" t="s">
        <v>17851</v>
      </c>
      <c r="I51" s="1143">
        <v>0.0047</v>
      </c>
      <c r="J51" s="1143">
        <v>0.7799</v>
      </c>
      <c r="K51" s="1137" t="s">
        <v>1408</v>
      </c>
    </row>
    <row r="52">
      <c r="A52" s="1137">
        <v>48.0</v>
      </c>
      <c r="B52" s="1137">
        <v>92273.0</v>
      </c>
      <c r="C52" s="1139" t="s">
        <v>17759</v>
      </c>
      <c r="D52" s="1140" t="s">
        <v>12494</v>
      </c>
      <c r="E52" s="1137" t="s">
        <v>1731</v>
      </c>
      <c r="F52" s="1141">
        <v>64.2</v>
      </c>
      <c r="G52" s="1142" t="s">
        <v>17852</v>
      </c>
      <c r="H52" s="1142" t="s">
        <v>17853</v>
      </c>
      <c r="I52" s="1143">
        <v>0.004</v>
      </c>
      <c r="J52" s="1143">
        <v>0.7839</v>
      </c>
      <c r="K52" s="1137" t="s">
        <v>1408</v>
      </c>
    </row>
    <row r="53">
      <c r="A53" s="1137">
        <v>50.0</v>
      </c>
      <c r="B53" s="1137">
        <v>97600.0</v>
      </c>
      <c r="C53" s="1139" t="s">
        <v>17759</v>
      </c>
      <c r="D53" s="1140" t="s">
        <v>13543</v>
      </c>
      <c r="E53" s="1137" t="s">
        <v>1788</v>
      </c>
      <c r="F53" s="1141">
        <v>2.5</v>
      </c>
      <c r="G53" s="1142" t="s">
        <v>17854</v>
      </c>
      <c r="H53" s="1142" t="s">
        <v>17855</v>
      </c>
      <c r="I53" s="1143">
        <v>0.0041</v>
      </c>
      <c r="J53" s="1143">
        <v>0.788</v>
      </c>
      <c r="K53" s="1137" t="s">
        <v>1408</v>
      </c>
    </row>
    <row r="54">
      <c r="A54" s="1144">
        <v>51.0</v>
      </c>
      <c r="B54" s="1144" t="s">
        <v>1795</v>
      </c>
      <c r="C54" s="1145" t="s">
        <v>1729</v>
      </c>
      <c r="D54" s="1146" t="s">
        <v>1796</v>
      </c>
      <c r="E54" s="1144" t="s">
        <v>1788</v>
      </c>
      <c r="F54" s="1147">
        <v>3.21</v>
      </c>
      <c r="G54" s="1148" t="s">
        <v>17856</v>
      </c>
      <c r="H54" s="1148" t="s">
        <v>17857</v>
      </c>
      <c r="I54" s="1149">
        <v>0.0038</v>
      </c>
      <c r="J54" s="1149">
        <v>0.7918</v>
      </c>
      <c r="K54" s="1144" t="s">
        <v>1408</v>
      </c>
    </row>
    <row r="55">
      <c r="A55" s="1150">
        <v>69.0</v>
      </c>
      <c r="B55" s="1150" t="s">
        <v>542</v>
      </c>
      <c r="C55" s="1151" t="s">
        <v>1729</v>
      </c>
      <c r="D55" s="1152" t="s">
        <v>1763</v>
      </c>
      <c r="E55" s="1150" t="s">
        <v>1788</v>
      </c>
      <c r="F55" s="1150">
        <v>0.5</v>
      </c>
      <c r="G55" s="1153" t="s">
        <v>17858</v>
      </c>
      <c r="H55" s="1153" t="s">
        <v>17859</v>
      </c>
      <c r="I55" s="1154">
        <v>0.0035</v>
      </c>
      <c r="J55" s="1154">
        <v>0.7953</v>
      </c>
      <c r="K55" s="1150" t="s">
        <v>1408</v>
      </c>
    </row>
    <row r="56">
      <c r="A56" s="1150">
        <v>52.0</v>
      </c>
      <c r="B56" s="1150" t="s">
        <v>1840</v>
      </c>
      <c r="C56" s="1151" t="s">
        <v>1729</v>
      </c>
      <c r="D56" s="1152" t="s">
        <v>1841</v>
      </c>
      <c r="E56" s="1150" t="s">
        <v>1788</v>
      </c>
      <c r="F56" s="1155">
        <v>1.07</v>
      </c>
      <c r="G56" s="1153" t="s">
        <v>17860</v>
      </c>
      <c r="H56" s="1153" t="s">
        <v>17861</v>
      </c>
      <c r="I56" s="1154">
        <v>0.0037</v>
      </c>
      <c r="J56" s="1154">
        <v>0.799</v>
      </c>
      <c r="K56" s="1150" t="s">
        <v>1408</v>
      </c>
    </row>
    <row r="57">
      <c r="A57" s="1156">
        <v>55.0</v>
      </c>
      <c r="B57" s="1156" t="s">
        <v>2035</v>
      </c>
      <c r="C57" s="1157" t="s">
        <v>1729</v>
      </c>
      <c r="D57" s="1158" t="s">
        <v>2036</v>
      </c>
      <c r="E57" s="1156" t="s">
        <v>3606</v>
      </c>
      <c r="F57" s="1159">
        <v>1.78</v>
      </c>
      <c r="G57" s="1160" t="s">
        <v>17862</v>
      </c>
      <c r="H57" s="1160" t="s">
        <v>17863</v>
      </c>
      <c r="I57" s="1161">
        <v>0.0035</v>
      </c>
      <c r="J57" s="1161">
        <v>0.8024</v>
      </c>
      <c r="K57" s="1156" t="s">
        <v>1410</v>
      </c>
    </row>
    <row r="58">
      <c r="A58" s="1156">
        <v>56.0</v>
      </c>
      <c r="B58" s="1156">
        <v>99855.0</v>
      </c>
      <c r="C58" s="1157" t="s">
        <v>17759</v>
      </c>
      <c r="D58" s="1158" t="s">
        <v>12331</v>
      </c>
      <c r="E58" s="1156" t="s">
        <v>1731</v>
      </c>
      <c r="F58" s="1159">
        <v>6.42</v>
      </c>
      <c r="G58" s="1160" t="s">
        <v>17864</v>
      </c>
      <c r="H58" s="1160" t="s">
        <v>17865</v>
      </c>
      <c r="I58" s="1161">
        <v>0.0035</v>
      </c>
      <c r="J58" s="1161">
        <v>0.8059</v>
      </c>
      <c r="K58" s="1156" t="s">
        <v>1410</v>
      </c>
    </row>
    <row r="59">
      <c r="A59" s="1156">
        <v>58.0</v>
      </c>
      <c r="B59" s="1156">
        <v>90825.0</v>
      </c>
      <c r="C59" s="1157" t="s">
        <v>17759</v>
      </c>
      <c r="D59" s="1158" t="s">
        <v>12227</v>
      </c>
      <c r="E59" s="1156" t="s">
        <v>1788</v>
      </c>
      <c r="F59" s="1159">
        <v>1.07</v>
      </c>
      <c r="G59" s="1160" t="s">
        <v>17866</v>
      </c>
      <c r="H59" s="1160" t="s">
        <v>17867</v>
      </c>
      <c r="I59" s="1161">
        <v>0.0033</v>
      </c>
      <c r="J59" s="1161">
        <v>0.8092</v>
      </c>
      <c r="K59" s="1156" t="s">
        <v>1410</v>
      </c>
    </row>
    <row r="60">
      <c r="A60" s="1156">
        <v>59.0</v>
      </c>
      <c r="B60" s="1156">
        <v>102608.0</v>
      </c>
      <c r="C60" s="1157" t="s">
        <v>17759</v>
      </c>
      <c r="D60" s="1158" t="s">
        <v>15292</v>
      </c>
      <c r="E60" s="1156" t="s">
        <v>1788</v>
      </c>
      <c r="F60" s="1159">
        <v>0.71</v>
      </c>
      <c r="G60" s="1160" t="s">
        <v>17868</v>
      </c>
      <c r="H60" s="1160" t="s">
        <v>17869</v>
      </c>
      <c r="I60" s="1161">
        <v>0.0033</v>
      </c>
      <c r="J60" s="1161">
        <v>0.8125</v>
      </c>
      <c r="K60" s="1156" t="s">
        <v>1410</v>
      </c>
    </row>
    <row r="61">
      <c r="A61" s="1156">
        <v>71.0</v>
      </c>
      <c r="B61" s="1156" t="s">
        <v>538</v>
      </c>
      <c r="C61" s="1157" t="s">
        <v>1729</v>
      </c>
      <c r="D61" s="1158" t="s">
        <v>1756</v>
      </c>
      <c r="E61" s="1156" t="s">
        <v>1788</v>
      </c>
      <c r="F61" s="1156">
        <v>1.0</v>
      </c>
      <c r="G61" s="1160" t="s">
        <v>17870</v>
      </c>
      <c r="H61" s="1160" t="s">
        <v>17870</v>
      </c>
      <c r="I61" s="1161">
        <v>0.003</v>
      </c>
      <c r="J61" s="1161">
        <v>0.8155</v>
      </c>
      <c r="K61" s="1156" t="s">
        <v>1410</v>
      </c>
    </row>
    <row r="62">
      <c r="A62" s="1156">
        <v>72.0</v>
      </c>
      <c r="B62" s="1156" t="s">
        <v>4151</v>
      </c>
      <c r="C62" s="1157" t="s">
        <v>17762</v>
      </c>
      <c r="D62" s="1158" t="s">
        <v>4152</v>
      </c>
      <c r="E62" s="1156" t="s">
        <v>1788</v>
      </c>
      <c r="F62" s="1159">
        <v>0.36</v>
      </c>
      <c r="G62" s="1160" t="s">
        <v>17871</v>
      </c>
      <c r="H62" s="1160" t="s">
        <v>17872</v>
      </c>
      <c r="I62" s="1161">
        <v>0.0032</v>
      </c>
      <c r="J62" s="1161">
        <v>0.8188</v>
      </c>
      <c r="K62" s="1156" t="s">
        <v>1410</v>
      </c>
    </row>
    <row r="63">
      <c r="A63" s="1156">
        <v>60.0</v>
      </c>
      <c r="B63" s="1156">
        <v>88489.0</v>
      </c>
      <c r="C63" s="1157" t="s">
        <v>17759</v>
      </c>
      <c r="D63" s="1158" t="s">
        <v>17873</v>
      </c>
      <c r="E63" s="1156" t="s">
        <v>1814</v>
      </c>
      <c r="F63" s="1159">
        <v>41.38</v>
      </c>
      <c r="G63" s="1160" t="s">
        <v>17874</v>
      </c>
      <c r="H63" s="1160" t="s">
        <v>17875</v>
      </c>
      <c r="I63" s="1161">
        <v>0.0031</v>
      </c>
      <c r="J63" s="1161">
        <v>0.8219</v>
      </c>
      <c r="K63" s="1156" t="s">
        <v>1410</v>
      </c>
    </row>
    <row r="64">
      <c r="A64" s="1156">
        <v>73.0</v>
      </c>
      <c r="B64" s="1156">
        <v>88264.0</v>
      </c>
      <c r="C64" s="1157" t="s">
        <v>17759</v>
      </c>
      <c r="D64" s="1158" t="s">
        <v>17397</v>
      </c>
      <c r="E64" s="1156" t="s">
        <v>1470</v>
      </c>
      <c r="F64" s="1156">
        <v>20.0</v>
      </c>
      <c r="G64" s="1160" t="s">
        <v>17876</v>
      </c>
      <c r="H64" s="1160" t="s">
        <v>17877</v>
      </c>
      <c r="I64" s="1161">
        <v>0.0029</v>
      </c>
      <c r="J64" s="1161">
        <v>0.8248</v>
      </c>
      <c r="K64" s="1156" t="s">
        <v>1410</v>
      </c>
    </row>
    <row r="65">
      <c r="A65" s="1156">
        <v>74.0</v>
      </c>
      <c r="B65" s="1156">
        <v>88309.0</v>
      </c>
      <c r="C65" s="1157" t="s">
        <v>17759</v>
      </c>
      <c r="D65" s="1158" t="s">
        <v>17434</v>
      </c>
      <c r="E65" s="1156" t="s">
        <v>1470</v>
      </c>
      <c r="F65" s="1156">
        <v>20.0</v>
      </c>
      <c r="G65" s="1160" t="s">
        <v>17878</v>
      </c>
      <c r="H65" s="1160" t="s">
        <v>17879</v>
      </c>
      <c r="I65" s="1161">
        <v>0.0029</v>
      </c>
      <c r="J65" s="1161">
        <v>0.8277</v>
      </c>
      <c r="K65" s="1156" t="s">
        <v>1410</v>
      </c>
    </row>
    <row r="66">
      <c r="A66" s="1156">
        <v>62.0</v>
      </c>
      <c r="B66" s="1156">
        <v>98554.0</v>
      </c>
      <c r="C66" s="1157" t="s">
        <v>17759</v>
      </c>
      <c r="D66" s="1158" t="s">
        <v>12992</v>
      </c>
      <c r="E66" s="1156" t="s">
        <v>1814</v>
      </c>
      <c r="F66" s="1159">
        <v>14.27</v>
      </c>
      <c r="G66" s="1160" t="s">
        <v>17880</v>
      </c>
      <c r="H66" s="1160" t="s">
        <v>17881</v>
      </c>
      <c r="I66" s="1161">
        <v>0.003</v>
      </c>
      <c r="J66" s="1161">
        <v>0.8307</v>
      </c>
      <c r="K66" s="1156" t="s">
        <v>1410</v>
      </c>
    </row>
    <row r="67">
      <c r="A67" s="1156">
        <v>61.0</v>
      </c>
      <c r="B67" s="1156" t="s">
        <v>2014</v>
      </c>
      <c r="C67" s="1157" t="s">
        <v>1729</v>
      </c>
      <c r="D67" s="1158" t="s">
        <v>2015</v>
      </c>
      <c r="E67" s="1156" t="s">
        <v>1788</v>
      </c>
      <c r="F67" s="1159">
        <v>4.28</v>
      </c>
      <c r="G67" s="1160" t="s">
        <v>17882</v>
      </c>
      <c r="H67" s="1160" t="s">
        <v>17883</v>
      </c>
      <c r="I67" s="1161">
        <v>0.0029</v>
      </c>
      <c r="J67" s="1161">
        <v>0.8336</v>
      </c>
      <c r="K67" s="1156" t="s">
        <v>1410</v>
      </c>
    </row>
    <row r="68">
      <c r="A68" s="1156">
        <v>63.0</v>
      </c>
      <c r="B68" s="1156">
        <v>98296.0</v>
      </c>
      <c r="C68" s="1157" t="s">
        <v>17759</v>
      </c>
      <c r="D68" s="1158" t="s">
        <v>13693</v>
      </c>
      <c r="E68" s="1156" t="s">
        <v>1731</v>
      </c>
      <c r="F68" s="1159">
        <v>53.5</v>
      </c>
      <c r="G68" s="1160" t="s">
        <v>17884</v>
      </c>
      <c r="H68" s="1160" t="s">
        <v>17885</v>
      </c>
      <c r="I68" s="1161">
        <v>0.003</v>
      </c>
      <c r="J68" s="1161">
        <v>0.8365</v>
      </c>
      <c r="K68" s="1156" t="s">
        <v>1410</v>
      </c>
    </row>
    <row r="69">
      <c r="A69" s="1156">
        <v>64.0</v>
      </c>
      <c r="B69" s="1156">
        <v>101913.0</v>
      </c>
      <c r="C69" s="1157" t="s">
        <v>17759</v>
      </c>
      <c r="D69" s="1158" t="s">
        <v>13598</v>
      </c>
      <c r="E69" s="1156" t="s">
        <v>1788</v>
      </c>
      <c r="F69" s="1159">
        <v>1.43</v>
      </c>
      <c r="G69" s="1160" t="s">
        <v>17886</v>
      </c>
      <c r="H69" s="1160" t="s">
        <v>17887</v>
      </c>
      <c r="I69" s="1161">
        <v>0.0029</v>
      </c>
      <c r="J69" s="1161">
        <v>0.8394</v>
      </c>
      <c r="K69" s="1156" t="s">
        <v>1410</v>
      </c>
    </row>
    <row r="70">
      <c r="A70" s="1156">
        <v>65.0</v>
      </c>
      <c r="B70" s="1156">
        <v>98546.0</v>
      </c>
      <c r="C70" s="1157" t="s">
        <v>17759</v>
      </c>
      <c r="D70" s="1158" t="s">
        <v>12989</v>
      </c>
      <c r="E70" s="1156" t="s">
        <v>1814</v>
      </c>
      <c r="F70" s="1159">
        <v>5.71</v>
      </c>
      <c r="G70" s="1160" t="s">
        <v>17888</v>
      </c>
      <c r="H70" s="1160" t="s">
        <v>17889</v>
      </c>
      <c r="I70" s="1161">
        <v>0.0029</v>
      </c>
      <c r="J70" s="1161">
        <v>0.8422</v>
      </c>
      <c r="K70" s="1156" t="s">
        <v>1410</v>
      </c>
    </row>
    <row r="71">
      <c r="A71" s="1156">
        <v>66.0</v>
      </c>
      <c r="B71" s="1156" t="s">
        <v>1924</v>
      </c>
      <c r="C71" s="1157" t="s">
        <v>1729</v>
      </c>
      <c r="D71" s="1158" t="s">
        <v>1925</v>
      </c>
      <c r="E71" s="1156" t="s">
        <v>1731</v>
      </c>
      <c r="F71" s="1159">
        <v>24.97</v>
      </c>
      <c r="G71" s="1160" t="s">
        <v>17890</v>
      </c>
      <c r="H71" s="1160" t="s">
        <v>17891</v>
      </c>
      <c r="I71" s="1161">
        <v>0.0028</v>
      </c>
      <c r="J71" s="1161">
        <v>0.845</v>
      </c>
      <c r="K71" s="1156" t="s">
        <v>1410</v>
      </c>
    </row>
    <row r="72">
      <c r="A72" s="1156">
        <v>47.0</v>
      </c>
      <c r="B72" s="1156" t="s">
        <v>4158</v>
      </c>
      <c r="C72" s="1157" t="s">
        <v>17762</v>
      </c>
      <c r="D72" s="1158" t="s">
        <v>4159</v>
      </c>
      <c r="E72" s="1156" t="s">
        <v>1788</v>
      </c>
      <c r="F72" s="1159">
        <v>0.36</v>
      </c>
      <c r="G72" s="1160" t="s">
        <v>17774</v>
      </c>
      <c r="H72" s="1160" t="s">
        <v>17892</v>
      </c>
      <c r="I72" s="1161">
        <v>0.0041</v>
      </c>
      <c r="J72" s="1161">
        <v>0.8491</v>
      </c>
      <c r="K72" s="1156" t="s">
        <v>1410</v>
      </c>
    </row>
    <row r="73">
      <c r="A73" s="1156">
        <v>70.0</v>
      </c>
      <c r="B73" s="1156" t="s">
        <v>1919</v>
      </c>
      <c r="C73" s="1157" t="s">
        <v>1729</v>
      </c>
      <c r="D73" s="1158" t="s">
        <v>1920</v>
      </c>
      <c r="E73" s="1156" t="s">
        <v>1788</v>
      </c>
      <c r="F73" s="1159">
        <v>0.36</v>
      </c>
      <c r="G73" s="1160" t="s">
        <v>17893</v>
      </c>
      <c r="H73" s="1160" t="s">
        <v>17894</v>
      </c>
      <c r="I73" s="1161">
        <v>0.0026</v>
      </c>
      <c r="J73" s="1161">
        <v>0.8517</v>
      </c>
      <c r="K73" s="1156" t="s">
        <v>1410</v>
      </c>
    </row>
    <row r="74">
      <c r="A74" s="1156">
        <v>57.0</v>
      </c>
      <c r="B74" s="1156" t="s">
        <v>520</v>
      </c>
      <c r="C74" s="1157" t="s">
        <v>17762</v>
      </c>
      <c r="D74" s="1158" t="s">
        <v>3211</v>
      </c>
      <c r="E74" s="1156" t="s">
        <v>1788</v>
      </c>
      <c r="F74" s="1156">
        <v>2.0</v>
      </c>
      <c r="G74" s="1160" t="s">
        <v>17763</v>
      </c>
      <c r="H74" s="1160" t="s">
        <v>17895</v>
      </c>
      <c r="I74" s="1161">
        <v>0.0023</v>
      </c>
      <c r="J74" s="1161">
        <v>0.8539</v>
      </c>
      <c r="K74" s="1156" t="s">
        <v>1410</v>
      </c>
    </row>
    <row r="75">
      <c r="A75" s="1156">
        <v>75.0</v>
      </c>
      <c r="B75" s="1156">
        <v>97614.0</v>
      </c>
      <c r="C75" s="1157" t="s">
        <v>17759</v>
      </c>
      <c r="D75" s="1158" t="s">
        <v>13370</v>
      </c>
      <c r="E75" s="1156" t="s">
        <v>1788</v>
      </c>
      <c r="F75" s="1159">
        <v>8.56</v>
      </c>
      <c r="G75" s="1160" t="s">
        <v>17896</v>
      </c>
      <c r="H75" s="1160" t="s">
        <v>17897</v>
      </c>
      <c r="I75" s="1161">
        <v>0.0025</v>
      </c>
      <c r="J75" s="1161">
        <v>0.8564</v>
      </c>
      <c r="K75" s="1156" t="s">
        <v>1410</v>
      </c>
    </row>
    <row r="76">
      <c r="A76" s="1156">
        <v>76.0</v>
      </c>
      <c r="B76" s="1156">
        <v>101883.0</v>
      </c>
      <c r="C76" s="1157" t="s">
        <v>17759</v>
      </c>
      <c r="D76" s="1158" t="s">
        <v>13242</v>
      </c>
      <c r="E76" s="1156" t="s">
        <v>1788</v>
      </c>
      <c r="F76" s="1159">
        <v>0.71</v>
      </c>
      <c r="G76" s="1160" t="s">
        <v>17898</v>
      </c>
      <c r="H76" s="1160" t="s">
        <v>17899</v>
      </c>
      <c r="I76" s="1161">
        <v>0.0024</v>
      </c>
      <c r="J76" s="1161">
        <v>0.8588</v>
      </c>
      <c r="K76" s="1156" t="s">
        <v>1410</v>
      </c>
    </row>
    <row r="77">
      <c r="A77" s="1156">
        <v>67.0</v>
      </c>
      <c r="B77" s="1156" t="s">
        <v>512</v>
      </c>
      <c r="C77" s="1157" t="s">
        <v>17762</v>
      </c>
      <c r="D77" s="1158" t="s">
        <v>3205</v>
      </c>
      <c r="E77" s="1156" t="s">
        <v>1788</v>
      </c>
      <c r="F77" s="1156">
        <v>1.0</v>
      </c>
      <c r="G77" s="1160" t="s">
        <v>17900</v>
      </c>
      <c r="H77" s="1160" t="s">
        <v>17900</v>
      </c>
      <c r="I77" s="1161">
        <v>0.0021</v>
      </c>
      <c r="J77" s="1161">
        <v>0.8609</v>
      </c>
      <c r="K77" s="1156" t="s">
        <v>1410</v>
      </c>
    </row>
    <row r="78">
      <c r="A78" s="1156">
        <v>68.0</v>
      </c>
      <c r="B78" s="1156" t="s">
        <v>514</v>
      </c>
      <c r="C78" s="1157" t="s">
        <v>17762</v>
      </c>
      <c r="D78" s="1158" t="s">
        <v>3206</v>
      </c>
      <c r="E78" s="1156" t="s">
        <v>1788</v>
      </c>
      <c r="F78" s="1156">
        <v>1.0</v>
      </c>
      <c r="G78" s="1160" t="s">
        <v>17900</v>
      </c>
      <c r="H78" s="1160" t="s">
        <v>17900</v>
      </c>
      <c r="I78" s="1161">
        <v>0.0021</v>
      </c>
      <c r="J78" s="1161">
        <v>0.8631</v>
      </c>
      <c r="K78" s="1156" t="s">
        <v>1410</v>
      </c>
    </row>
    <row r="79">
      <c r="A79" s="1156">
        <v>77.0</v>
      </c>
      <c r="B79" s="1156">
        <v>96358.0</v>
      </c>
      <c r="C79" s="1157" t="s">
        <v>17759</v>
      </c>
      <c r="D79" s="1158" t="s">
        <v>16089</v>
      </c>
      <c r="E79" s="1156" t="s">
        <v>1814</v>
      </c>
      <c r="F79" s="1159">
        <v>4.64</v>
      </c>
      <c r="G79" s="1160" t="s">
        <v>17901</v>
      </c>
      <c r="H79" s="1160" t="s">
        <v>17902</v>
      </c>
      <c r="I79" s="1161">
        <v>0.0021</v>
      </c>
      <c r="J79" s="1161">
        <v>0.8652</v>
      </c>
      <c r="K79" s="1156" t="s">
        <v>1410</v>
      </c>
    </row>
    <row r="80">
      <c r="A80" s="1156">
        <v>78.0</v>
      </c>
      <c r="B80" s="1156">
        <v>99634.0</v>
      </c>
      <c r="C80" s="1157" t="s">
        <v>17759</v>
      </c>
      <c r="D80" s="1158" t="s">
        <v>15533</v>
      </c>
      <c r="E80" s="1156" t="s">
        <v>1788</v>
      </c>
      <c r="F80" s="1159">
        <v>0.71</v>
      </c>
      <c r="G80" s="1160" t="s">
        <v>17903</v>
      </c>
      <c r="H80" s="1160" t="s">
        <v>17904</v>
      </c>
      <c r="I80" s="1161">
        <v>0.002</v>
      </c>
      <c r="J80" s="1161">
        <v>0.8672</v>
      </c>
      <c r="K80" s="1156" t="s">
        <v>1410</v>
      </c>
    </row>
    <row r="81">
      <c r="A81" s="1156">
        <v>79.0</v>
      </c>
      <c r="B81" s="1156" t="s">
        <v>1786</v>
      </c>
      <c r="C81" s="1157" t="s">
        <v>1729</v>
      </c>
      <c r="D81" s="1158" t="s">
        <v>1787</v>
      </c>
      <c r="E81" s="1156" t="s">
        <v>1788</v>
      </c>
      <c r="F81" s="1159">
        <v>2.5</v>
      </c>
      <c r="G81" s="1160" t="s">
        <v>17905</v>
      </c>
      <c r="H81" s="1160" t="s">
        <v>17906</v>
      </c>
      <c r="I81" s="1161">
        <v>0.0021</v>
      </c>
      <c r="J81" s="1161">
        <v>0.8693</v>
      </c>
      <c r="K81" s="1156" t="s">
        <v>1410</v>
      </c>
    </row>
    <row r="82">
      <c r="A82" s="1156">
        <v>83.0</v>
      </c>
      <c r="B82" s="1156" t="s">
        <v>1830</v>
      </c>
      <c r="C82" s="1157" t="s">
        <v>1729</v>
      </c>
      <c r="D82" s="1158" t="s">
        <v>1831</v>
      </c>
      <c r="E82" s="1156" t="s">
        <v>1788</v>
      </c>
      <c r="F82" s="1159">
        <v>8.92</v>
      </c>
      <c r="G82" s="1160" t="s">
        <v>17907</v>
      </c>
      <c r="H82" s="1160" t="s">
        <v>17908</v>
      </c>
      <c r="I82" s="1161">
        <v>0.002</v>
      </c>
      <c r="J82" s="1161">
        <v>0.8713</v>
      </c>
      <c r="K82" s="1156" t="s">
        <v>1410</v>
      </c>
    </row>
    <row r="83">
      <c r="A83" s="1156">
        <v>80.0</v>
      </c>
      <c r="B83" s="1156">
        <v>100857.0</v>
      </c>
      <c r="C83" s="1157" t="s">
        <v>17759</v>
      </c>
      <c r="D83" s="1158" t="s">
        <v>15401</v>
      </c>
      <c r="E83" s="1156" t="s">
        <v>1788</v>
      </c>
      <c r="F83" s="1159">
        <v>1.07</v>
      </c>
      <c r="G83" s="1160" t="s">
        <v>17909</v>
      </c>
      <c r="H83" s="1160" t="s">
        <v>17910</v>
      </c>
      <c r="I83" s="1161">
        <v>0.0021</v>
      </c>
      <c r="J83" s="1161">
        <v>0.8733</v>
      </c>
      <c r="K83" s="1156" t="s">
        <v>1410</v>
      </c>
    </row>
    <row r="84">
      <c r="A84" s="1156">
        <v>82.0</v>
      </c>
      <c r="B84" s="1156">
        <v>88488.0</v>
      </c>
      <c r="C84" s="1157" t="s">
        <v>17759</v>
      </c>
      <c r="D84" s="1158" t="s">
        <v>17911</v>
      </c>
      <c r="E84" s="1156" t="s">
        <v>1814</v>
      </c>
      <c r="F84" s="1159">
        <v>23.54</v>
      </c>
      <c r="G84" s="1160" t="s">
        <v>17912</v>
      </c>
      <c r="H84" s="1160" t="s">
        <v>17913</v>
      </c>
      <c r="I84" s="1161">
        <v>0.002</v>
      </c>
      <c r="J84" s="1161">
        <v>0.8754</v>
      </c>
      <c r="K84" s="1156" t="s">
        <v>1410</v>
      </c>
    </row>
    <row r="85">
      <c r="A85" s="1156">
        <v>81.0</v>
      </c>
      <c r="B85" s="1156">
        <v>103304.0</v>
      </c>
      <c r="C85" s="1157" t="s">
        <v>17759</v>
      </c>
      <c r="D85" s="1158" t="s">
        <v>17357</v>
      </c>
      <c r="E85" s="1156" t="s">
        <v>1788</v>
      </c>
      <c r="F85" s="1159">
        <v>0.36</v>
      </c>
      <c r="G85" s="1160" t="s">
        <v>17914</v>
      </c>
      <c r="H85" s="1160" t="s">
        <v>17915</v>
      </c>
      <c r="I85" s="1161">
        <v>0.002</v>
      </c>
      <c r="J85" s="1161">
        <v>0.8774</v>
      </c>
      <c r="K85" s="1156" t="s">
        <v>1410</v>
      </c>
    </row>
    <row r="86">
      <c r="A86" s="1156">
        <v>84.0</v>
      </c>
      <c r="B86" s="1156">
        <v>94991.0</v>
      </c>
      <c r="C86" s="1157" t="s">
        <v>17759</v>
      </c>
      <c r="D86" s="1158" t="s">
        <v>17916</v>
      </c>
      <c r="E86" s="1156" t="s">
        <v>2178</v>
      </c>
      <c r="F86" s="1159">
        <v>0.71</v>
      </c>
      <c r="G86" s="1160" t="s">
        <v>17917</v>
      </c>
      <c r="H86" s="1160" t="s">
        <v>17918</v>
      </c>
      <c r="I86" s="1161">
        <v>0.002</v>
      </c>
      <c r="J86" s="1161">
        <v>0.8794</v>
      </c>
      <c r="K86" s="1156" t="s">
        <v>1410</v>
      </c>
    </row>
    <row r="87">
      <c r="A87" s="1156">
        <v>85.0</v>
      </c>
      <c r="B87" s="1156" t="s">
        <v>1976</v>
      </c>
      <c r="C87" s="1157" t="s">
        <v>1729</v>
      </c>
      <c r="D87" s="1158" t="s">
        <v>1977</v>
      </c>
      <c r="E87" s="1156" t="s">
        <v>1788</v>
      </c>
      <c r="F87" s="1159">
        <v>35.67</v>
      </c>
      <c r="G87" s="1160" t="s">
        <v>17919</v>
      </c>
      <c r="H87" s="1160" t="s">
        <v>17920</v>
      </c>
      <c r="I87" s="1161">
        <v>0.002</v>
      </c>
      <c r="J87" s="1161">
        <v>0.8814</v>
      </c>
      <c r="K87" s="1156" t="s">
        <v>1410</v>
      </c>
    </row>
    <row r="88">
      <c r="A88" s="1156">
        <v>86.0</v>
      </c>
      <c r="B88" s="1156">
        <v>5678.0</v>
      </c>
      <c r="C88" s="1157" t="s">
        <v>17759</v>
      </c>
      <c r="D88" s="1158" t="s">
        <v>10651</v>
      </c>
      <c r="E88" s="1156" t="s">
        <v>10650</v>
      </c>
      <c r="F88" s="1159">
        <v>2.85</v>
      </c>
      <c r="G88" s="1160" t="s">
        <v>17921</v>
      </c>
      <c r="H88" s="1160" t="s">
        <v>17922</v>
      </c>
      <c r="I88" s="1161">
        <v>0.002</v>
      </c>
      <c r="J88" s="1161">
        <v>0.8834</v>
      </c>
      <c r="K88" s="1156" t="s">
        <v>1410</v>
      </c>
    </row>
    <row r="89">
      <c r="A89" s="1156">
        <v>87.0</v>
      </c>
      <c r="B89" s="1156">
        <v>104475.0</v>
      </c>
      <c r="C89" s="1157" t="s">
        <v>17759</v>
      </c>
      <c r="D89" s="1158" t="s">
        <v>13564</v>
      </c>
      <c r="E89" s="1156" t="s">
        <v>1788</v>
      </c>
      <c r="F89" s="1159">
        <v>2.85</v>
      </c>
      <c r="G89" s="1160" t="s">
        <v>17923</v>
      </c>
      <c r="H89" s="1160" t="s">
        <v>17924</v>
      </c>
      <c r="I89" s="1161">
        <v>0.002</v>
      </c>
      <c r="J89" s="1161">
        <v>0.8854</v>
      </c>
      <c r="K89" s="1156" t="s">
        <v>1410</v>
      </c>
    </row>
    <row r="90">
      <c r="A90" s="1156">
        <v>88.0</v>
      </c>
      <c r="B90" s="1156">
        <v>101903.0</v>
      </c>
      <c r="C90" s="1157" t="s">
        <v>17759</v>
      </c>
      <c r="D90" s="1158" t="s">
        <v>13256</v>
      </c>
      <c r="E90" s="1156" t="s">
        <v>1788</v>
      </c>
      <c r="F90" s="1159">
        <v>1.43</v>
      </c>
      <c r="G90" s="1160" t="s">
        <v>17925</v>
      </c>
      <c r="H90" s="1160" t="s">
        <v>17926</v>
      </c>
      <c r="I90" s="1161">
        <v>0.0018</v>
      </c>
      <c r="J90" s="1161">
        <v>0.8872</v>
      </c>
      <c r="K90" s="1156" t="s">
        <v>1410</v>
      </c>
    </row>
    <row r="91">
      <c r="A91" s="1156">
        <v>89.0</v>
      </c>
      <c r="B91" s="1156">
        <v>95547.0</v>
      </c>
      <c r="C91" s="1157" t="s">
        <v>17759</v>
      </c>
      <c r="D91" s="1158" t="s">
        <v>15393</v>
      </c>
      <c r="E91" s="1156" t="s">
        <v>1788</v>
      </c>
      <c r="F91" s="1159">
        <v>8.2</v>
      </c>
      <c r="G91" s="1160" t="s">
        <v>17927</v>
      </c>
      <c r="H91" s="1160" t="s">
        <v>17928</v>
      </c>
      <c r="I91" s="1161">
        <v>0.002</v>
      </c>
      <c r="J91" s="1161">
        <v>0.8892</v>
      </c>
      <c r="K91" s="1156" t="s">
        <v>1410</v>
      </c>
    </row>
    <row r="92">
      <c r="A92" s="1156">
        <v>90.0</v>
      </c>
      <c r="B92" s="1156" t="s">
        <v>1809</v>
      </c>
      <c r="C92" s="1157" t="s">
        <v>1729</v>
      </c>
      <c r="D92" s="1158" t="s">
        <v>1810</v>
      </c>
      <c r="E92" s="1156" t="s">
        <v>1788</v>
      </c>
      <c r="F92" s="1159">
        <v>4.64</v>
      </c>
      <c r="G92" s="1160" t="s">
        <v>17929</v>
      </c>
      <c r="H92" s="1160" t="s">
        <v>17930</v>
      </c>
      <c r="I92" s="1161">
        <v>0.0019</v>
      </c>
      <c r="J92" s="1161">
        <v>0.8911</v>
      </c>
      <c r="K92" s="1156" t="s">
        <v>1410</v>
      </c>
    </row>
    <row r="93">
      <c r="A93" s="1156">
        <v>91.0</v>
      </c>
      <c r="B93" s="1156">
        <v>86887.0</v>
      </c>
      <c r="C93" s="1157" t="s">
        <v>17759</v>
      </c>
      <c r="D93" s="1158" t="s">
        <v>17931</v>
      </c>
      <c r="E93" s="1156" t="s">
        <v>1788</v>
      </c>
      <c r="F93" s="1159">
        <v>3.92</v>
      </c>
      <c r="G93" s="1160" t="s">
        <v>17932</v>
      </c>
      <c r="H93" s="1160" t="s">
        <v>17933</v>
      </c>
      <c r="I93" s="1161">
        <v>0.0018</v>
      </c>
      <c r="J93" s="1161">
        <v>0.8929</v>
      </c>
      <c r="K93" s="1156" t="s">
        <v>1410</v>
      </c>
    </row>
    <row r="94">
      <c r="A94" s="1156">
        <v>92.0</v>
      </c>
      <c r="B94" s="1156">
        <v>91306.0</v>
      </c>
      <c r="C94" s="1157" t="s">
        <v>17759</v>
      </c>
      <c r="D94" s="1158" t="s">
        <v>12259</v>
      </c>
      <c r="E94" s="1156" t="s">
        <v>1788</v>
      </c>
      <c r="F94" s="1159">
        <v>2.5</v>
      </c>
      <c r="G94" s="1160" t="s">
        <v>17934</v>
      </c>
      <c r="H94" s="1160" t="s">
        <v>17935</v>
      </c>
      <c r="I94" s="1161">
        <v>0.0019</v>
      </c>
      <c r="J94" s="1161">
        <v>0.8948</v>
      </c>
      <c r="K94" s="1156" t="s">
        <v>1410</v>
      </c>
    </row>
    <row r="95">
      <c r="A95" s="1156">
        <v>93.0</v>
      </c>
      <c r="B95" s="1156" t="s">
        <v>1966</v>
      </c>
      <c r="C95" s="1157" t="s">
        <v>1729</v>
      </c>
      <c r="D95" s="1158" t="s">
        <v>1967</v>
      </c>
      <c r="E95" s="1156" t="s">
        <v>1788</v>
      </c>
      <c r="F95" s="1159">
        <v>1.78</v>
      </c>
      <c r="G95" s="1160" t="s">
        <v>17936</v>
      </c>
      <c r="H95" s="1160" t="s">
        <v>17937</v>
      </c>
      <c r="I95" s="1161">
        <v>0.0016</v>
      </c>
      <c r="J95" s="1161">
        <v>0.8964</v>
      </c>
      <c r="K95" s="1156" t="s">
        <v>1410</v>
      </c>
    </row>
    <row r="96">
      <c r="A96" s="1162">
        <v>94.0</v>
      </c>
      <c r="B96" s="1162">
        <v>101875.0</v>
      </c>
      <c r="C96" s="1163" t="s">
        <v>17759</v>
      </c>
      <c r="D96" s="1164" t="s">
        <v>13234</v>
      </c>
      <c r="E96" s="1162" t="s">
        <v>1788</v>
      </c>
      <c r="F96" s="1165">
        <v>0.71</v>
      </c>
      <c r="G96" s="1166" t="s">
        <v>17938</v>
      </c>
      <c r="H96" s="1166" t="s">
        <v>17939</v>
      </c>
      <c r="I96" s="1167">
        <v>0.0017</v>
      </c>
      <c r="J96" s="1167">
        <v>0.8981</v>
      </c>
      <c r="K96" s="1162" t="s">
        <v>1410</v>
      </c>
    </row>
    <row r="97">
      <c r="A97" s="1162">
        <v>95.0</v>
      </c>
      <c r="B97" s="1162" t="s">
        <v>1931</v>
      </c>
      <c r="C97" s="1163" t="s">
        <v>1729</v>
      </c>
      <c r="D97" s="1164" t="s">
        <v>1932</v>
      </c>
      <c r="E97" s="1162" t="s">
        <v>1788</v>
      </c>
      <c r="F97" s="1165">
        <v>0.36</v>
      </c>
      <c r="G97" s="1166" t="s">
        <v>17940</v>
      </c>
      <c r="H97" s="1166" t="s">
        <v>17941</v>
      </c>
      <c r="I97" s="1167">
        <v>0.0016</v>
      </c>
      <c r="J97" s="1167">
        <v>0.8997</v>
      </c>
      <c r="K97" s="1162" t="s">
        <v>1410</v>
      </c>
    </row>
    <row r="98">
      <c r="A98" s="1168">
        <v>98.0</v>
      </c>
      <c r="B98" s="1168" t="s">
        <v>1973</v>
      </c>
      <c r="C98" s="1169" t="s">
        <v>1729</v>
      </c>
      <c r="D98" s="1170" t="s">
        <v>1974</v>
      </c>
      <c r="E98" s="1168" t="s">
        <v>1731</v>
      </c>
      <c r="F98" s="1171">
        <v>21.76</v>
      </c>
      <c r="G98" s="1172" t="s">
        <v>17942</v>
      </c>
      <c r="H98" s="1172" t="s">
        <v>17943</v>
      </c>
      <c r="I98" s="1173">
        <v>0.0015</v>
      </c>
      <c r="J98" s="1173">
        <v>0.9012</v>
      </c>
      <c r="K98" s="1168" t="s">
        <v>1413</v>
      </c>
    </row>
    <row r="99">
      <c r="A99" s="1168">
        <v>116.0</v>
      </c>
      <c r="B99" s="1168">
        <v>88310.0</v>
      </c>
      <c r="C99" s="1169" t="s">
        <v>17759</v>
      </c>
      <c r="D99" s="1170" t="s">
        <v>17435</v>
      </c>
      <c r="E99" s="1168" t="s">
        <v>1470</v>
      </c>
      <c r="F99" s="1168">
        <v>10.0</v>
      </c>
      <c r="G99" s="1172" t="s">
        <v>17944</v>
      </c>
      <c r="H99" s="1172" t="s">
        <v>17945</v>
      </c>
      <c r="I99" s="1173">
        <v>0.0015</v>
      </c>
      <c r="J99" s="1173">
        <v>0.9027</v>
      </c>
      <c r="K99" s="1168" t="s">
        <v>1413</v>
      </c>
    </row>
    <row r="100">
      <c r="A100" s="1168">
        <v>118.0</v>
      </c>
      <c r="B100" s="1168">
        <v>88325.0</v>
      </c>
      <c r="C100" s="1169" t="s">
        <v>17759</v>
      </c>
      <c r="D100" s="1170" t="s">
        <v>17449</v>
      </c>
      <c r="E100" s="1168" t="s">
        <v>1470</v>
      </c>
      <c r="F100" s="1168">
        <v>10.0</v>
      </c>
      <c r="G100" s="1172" t="s">
        <v>17946</v>
      </c>
      <c r="H100" s="1172" t="s">
        <v>17947</v>
      </c>
      <c r="I100" s="1173">
        <v>0.0014</v>
      </c>
      <c r="J100" s="1173">
        <v>0.9041</v>
      </c>
      <c r="K100" s="1168" t="s">
        <v>1413</v>
      </c>
    </row>
    <row r="101">
      <c r="A101" s="1168">
        <v>97.0</v>
      </c>
      <c r="B101" s="1168" t="s">
        <v>1912</v>
      </c>
      <c r="C101" s="1169" t="s">
        <v>1729</v>
      </c>
      <c r="D101" s="1170" t="s">
        <v>1913</v>
      </c>
      <c r="E101" s="1168" t="s">
        <v>1788</v>
      </c>
      <c r="F101" s="1171">
        <v>1.07</v>
      </c>
      <c r="G101" s="1172" t="s">
        <v>17948</v>
      </c>
      <c r="H101" s="1172" t="s">
        <v>17949</v>
      </c>
      <c r="I101" s="1173">
        <v>0.0015</v>
      </c>
      <c r="J101" s="1173">
        <v>0.9056</v>
      </c>
      <c r="K101" s="1168" t="s">
        <v>1413</v>
      </c>
    </row>
    <row r="102">
      <c r="A102" s="1168">
        <v>96.0</v>
      </c>
      <c r="B102" s="1168">
        <v>4221.0</v>
      </c>
      <c r="C102" s="1169" t="s">
        <v>17759</v>
      </c>
      <c r="D102" s="1170" t="s">
        <v>8476</v>
      </c>
      <c r="E102" s="1168" t="s">
        <v>2386</v>
      </c>
      <c r="F102" s="1171">
        <v>53.5</v>
      </c>
      <c r="G102" s="1172" t="s">
        <v>17950</v>
      </c>
      <c r="H102" s="1172" t="s">
        <v>17951</v>
      </c>
      <c r="I102" s="1173">
        <v>0.0015</v>
      </c>
      <c r="J102" s="1173">
        <v>0.9072</v>
      </c>
      <c r="K102" s="1168" t="s">
        <v>1413</v>
      </c>
    </row>
    <row r="103">
      <c r="A103" s="1168">
        <v>121.0</v>
      </c>
      <c r="B103" s="1168">
        <v>88315.0</v>
      </c>
      <c r="C103" s="1169" t="s">
        <v>17759</v>
      </c>
      <c r="D103" s="1170" t="s">
        <v>17440</v>
      </c>
      <c r="E103" s="1168" t="s">
        <v>1470</v>
      </c>
      <c r="F103" s="1168">
        <v>10.0</v>
      </c>
      <c r="G103" s="1172" t="s">
        <v>17952</v>
      </c>
      <c r="H103" s="1172" t="s">
        <v>17953</v>
      </c>
      <c r="I103" s="1173">
        <v>0.0014</v>
      </c>
      <c r="J103" s="1173">
        <v>0.9086</v>
      </c>
      <c r="K103" s="1168" t="s">
        <v>1413</v>
      </c>
    </row>
    <row r="104">
      <c r="A104" s="1168">
        <v>119.0</v>
      </c>
      <c r="B104" s="1168" t="s">
        <v>532</v>
      </c>
      <c r="C104" s="1169" t="s">
        <v>1729</v>
      </c>
      <c r="D104" s="1170" t="s">
        <v>1750</v>
      </c>
      <c r="E104" s="1168" t="s">
        <v>1731</v>
      </c>
      <c r="F104" s="1168">
        <v>2.0</v>
      </c>
      <c r="G104" s="1172" t="s">
        <v>17954</v>
      </c>
      <c r="H104" s="1172" t="s">
        <v>17955</v>
      </c>
      <c r="I104" s="1173">
        <v>0.0014</v>
      </c>
      <c r="J104" s="1173">
        <v>0.91</v>
      </c>
      <c r="K104" s="1168" t="s">
        <v>1413</v>
      </c>
    </row>
    <row r="105">
      <c r="A105" s="1168">
        <v>122.0</v>
      </c>
      <c r="B105" s="1168">
        <v>88267.0</v>
      </c>
      <c r="C105" s="1169" t="s">
        <v>17759</v>
      </c>
      <c r="D105" s="1170" t="s">
        <v>17400</v>
      </c>
      <c r="E105" s="1168" t="s">
        <v>1470</v>
      </c>
      <c r="F105" s="1168">
        <v>10.0</v>
      </c>
      <c r="G105" s="1172" t="s">
        <v>17956</v>
      </c>
      <c r="H105" s="1172" t="s">
        <v>17957</v>
      </c>
      <c r="I105" s="1173">
        <v>0.0014</v>
      </c>
      <c r="J105" s="1173">
        <v>0.9114</v>
      </c>
      <c r="K105" s="1168" t="s">
        <v>1413</v>
      </c>
    </row>
    <row r="106">
      <c r="A106" s="1168">
        <v>99.0</v>
      </c>
      <c r="B106" s="1168">
        <v>102255.0</v>
      </c>
      <c r="C106" s="1169" t="s">
        <v>17759</v>
      </c>
      <c r="D106" s="1170" t="s">
        <v>16108</v>
      </c>
      <c r="E106" s="1168" t="s">
        <v>1814</v>
      </c>
      <c r="F106" s="1171">
        <v>0.36</v>
      </c>
      <c r="G106" s="1172" t="s">
        <v>17958</v>
      </c>
      <c r="H106" s="1172" t="s">
        <v>17959</v>
      </c>
      <c r="I106" s="1173">
        <v>0.0015</v>
      </c>
      <c r="J106" s="1173">
        <v>0.9129</v>
      </c>
      <c r="K106" s="1168" t="s">
        <v>1413</v>
      </c>
    </row>
    <row r="107">
      <c r="A107" s="1168">
        <v>100.0</v>
      </c>
      <c r="B107" s="1168" t="s">
        <v>1885</v>
      </c>
      <c r="C107" s="1169" t="s">
        <v>1729</v>
      </c>
      <c r="D107" s="1170" t="s">
        <v>1886</v>
      </c>
      <c r="E107" s="1168" t="s">
        <v>1788</v>
      </c>
      <c r="F107" s="1171">
        <v>1.43</v>
      </c>
      <c r="G107" s="1172" t="s">
        <v>17960</v>
      </c>
      <c r="H107" s="1172" t="s">
        <v>17961</v>
      </c>
      <c r="I107" s="1173">
        <v>0.0014</v>
      </c>
      <c r="J107" s="1173">
        <v>0.9143</v>
      </c>
      <c r="K107" s="1168" t="s">
        <v>1413</v>
      </c>
    </row>
    <row r="108">
      <c r="A108" s="1168">
        <v>101.0</v>
      </c>
      <c r="B108" s="1168" t="s">
        <v>1844</v>
      </c>
      <c r="C108" s="1169" t="s">
        <v>1729</v>
      </c>
      <c r="D108" s="1170" t="s">
        <v>1845</v>
      </c>
      <c r="E108" s="1168" t="s">
        <v>1788</v>
      </c>
      <c r="F108" s="1171">
        <v>3.57</v>
      </c>
      <c r="G108" s="1172" t="s">
        <v>17962</v>
      </c>
      <c r="H108" s="1172" t="s">
        <v>17963</v>
      </c>
      <c r="I108" s="1173">
        <v>0.0014</v>
      </c>
      <c r="J108" s="1173">
        <v>0.9158</v>
      </c>
      <c r="K108" s="1168" t="s">
        <v>1413</v>
      </c>
    </row>
    <row r="109">
      <c r="A109" s="1168">
        <v>102.0</v>
      </c>
      <c r="B109" s="1168" t="s">
        <v>2002</v>
      </c>
      <c r="C109" s="1169" t="s">
        <v>1729</v>
      </c>
      <c r="D109" s="1170" t="s">
        <v>2003</v>
      </c>
      <c r="E109" s="1168" t="s">
        <v>1788</v>
      </c>
      <c r="F109" s="1171">
        <v>6.06</v>
      </c>
      <c r="G109" s="1172" t="s">
        <v>17964</v>
      </c>
      <c r="H109" s="1172" t="s">
        <v>17965</v>
      </c>
      <c r="I109" s="1173">
        <v>0.0014</v>
      </c>
      <c r="J109" s="1173">
        <v>0.9172</v>
      </c>
      <c r="K109" s="1168" t="s">
        <v>1413</v>
      </c>
    </row>
    <row r="110">
      <c r="A110" s="1168">
        <v>125.0</v>
      </c>
      <c r="B110" s="1168">
        <v>88273.0</v>
      </c>
      <c r="C110" s="1169" t="s">
        <v>17759</v>
      </c>
      <c r="D110" s="1170" t="s">
        <v>17404</v>
      </c>
      <c r="E110" s="1168" t="s">
        <v>1470</v>
      </c>
      <c r="F110" s="1168">
        <v>10.0</v>
      </c>
      <c r="G110" s="1172" t="s">
        <v>17966</v>
      </c>
      <c r="H110" s="1172" t="s">
        <v>17967</v>
      </c>
      <c r="I110" s="1173">
        <v>0.0013</v>
      </c>
      <c r="J110" s="1173">
        <v>0.9185</v>
      </c>
      <c r="K110" s="1168" t="s">
        <v>1413</v>
      </c>
    </row>
    <row r="111">
      <c r="A111" s="1168">
        <v>103.0</v>
      </c>
      <c r="B111" s="1168" t="s">
        <v>1874</v>
      </c>
      <c r="C111" s="1169" t="s">
        <v>1729</v>
      </c>
      <c r="D111" s="1170" t="s">
        <v>1875</v>
      </c>
      <c r="E111" s="1168" t="s">
        <v>1788</v>
      </c>
      <c r="F111" s="1171">
        <v>14.98</v>
      </c>
      <c r="G111" s="1172" t="s">
        <v>17968</v>
      </c>
      <c r="H111" s="1172" t="s">
        <v>17969</v>
      </c>
      <c r="I111" s="1173">
        <v>0.0014</v>
      </c>
      <c r="J111" s="1173">
        <v>0.9199</v>
      </c>
      <c r="K111" s="1168" t="s">
        <v>1413</v>
      </c>
    </row>
    <row r="112">
      <c r="A112" s="1168">
        <v>104.0</v>
      </c>
      <c r="B112" s="1168" t="s">
        <v>1922</v>
      </c>
      <c r="C112" s="1169" t="s">
        <v>1729</v>
      </c>
      <c r="D112" s="1170" t="s">
        <v>1923</v>
      </c>
      <c r="E112" s="1168" t="s">
        <v>1788</v>
      </c>
      <c r="F112" s="1171">
        <v>1.43</v>
      </c>
      <c r="G112" s="1172" t="s">
        <v>17970</v>
      </c>
      <c r="H112" s="1172" t="s">
        <v>17971</v>
      </c>
      <c r="I112" s="1173">
        <v>0.0014</v>
      </c>
      <c r="J112" s="1173">
        <v>0.9213</v>
      </c>
      <c r="K112" s="1168" t="s">
        <v>1413</v>
      </c>
    </row>
    <row r="113">
      <c r="A113" s="1168">
        <v>105.0</v>
      </c>
      <c r="B113" s="1168">
        <v>102163.0</v>
      </c>
      <c r="C113" s="1169" t="s">
        <v>17759</v>
      </c>
      <c r="D113" s="1170" t="s">
        <v>12364</v>
      </c>
      <c r="E113" s="1168" t="s">
        <v>1814</v>
      </c>
      <c r="F113" s="1171">
        <v>0.71</v>
      </c>
      <c r="G113" s="1172" t="s">
        <v>17972</v>
      </c>
      <c r="H113" s="1172" t="s">
        <v>17973</v>
      </c>
      <c r="I113" s="1173">
        <v>0.0014</v>
      </c>
      <c r="J113" s="1173">
        <v>0.9227</v>
      </c>
      <c r="K113" s="1168" t="s">
        <v>1413</v>
      </c>
    </row>
    <row r="114">
      <c r="A114" s="1168">
        <v>106.0</v>
      </c>
      <c r="B114" s="1168">
        <v>86878.0</v>
      </c>
      <c r="C114" s="1169" t="s">
        <v>17759</v>
      </c>
      <c r="D114" s="1170" t="s">
        <v>15324</v>
      </c>
      <c r="E114" s="1168" t="s">
        <v>1788</v>
      </c>
      <c r="F114" s="1171">
        <v>2.14</v>
      </c>
      <c r="G114" s="1172" t="s">
        <v>17974</v>
      </c>
      <c r="H114" s="1172" t="s">
        <v>17975</v>
      </c>
      <c r="I114" s="1173">
        <v>0.0013</v>
      </c>
      <c r="J114" s="1173">
        <v>0.924</v>
      </c>
      <c r="K114" s="1168" t="s">
        <v>1413</v>
      </c>
    </row>
    <row r="115">
      <c r="A115" s="1168">
        <v>107.0</v>
      </c>
      <c r="B115" s="1168">
        <v>102167.0</v>
      </c>
      <c r="C115" s="1169" t="s">
        <v>17759</v>
      </c>
      <c r="D115" s="1170" t="s">
        <v>12368</v>
      </c>
      <c r="E115" s="1168" t="s">
        <v>1814</v>
      </c>
      <c r="F115" s="1171">
        <v>0.71</v>
      </c>
      <c r="G115" s="1172" t="s">
        <v>17976</v>
      </c>
      <c r="H115" s="1172" t="s">
        <v>17977</v>
      </c>
      <c r="I115" s="1173">
        <v>0.0014</v>
      </c>
      <c r="J115" s="1173">
        <v>0.9253</v>
      </c>
      <c r="K115" s="1168" t="s">
        <v>1413</v>
      </c>
    </row>
    <row r="116">
      <c r="A116" s="1168">
        <v>108.0</v>
      </c>
      <c r="B116" s="1168" t="s">
        <v>1935</v>
      </c>
      <c r="C116" s="1169" t="s">
        <v>1729</v>
      </c>
      <c r="D116" s="1170" t="s">
        <v>1936</v>
      </c>
      <c r="E116" s="1168" t="s">
        <v>1788</v>
      </c>
      <c r="F116" s="1171">
        <v>1.78</v>
      </c>
      <c r="G116" s="1172" t="s">
        <v>17978</v>
      </c>
      <c r="H116" s="1172" t="s">
        <v>17979</v>
      </c>
      <c r="I116" s="1173">
        <v>0.0013</v>
      </c>
      <c r="J116" s="1173">
        <v>0.9267</v>
      </c>
      <c r="K116" s="1168" t="s">
        <v>1413</v>
      </c>
    </row>
    <row r="117">
      <c r="A117" s="1168">
        <v>109.0</v>
      </c>
      <c r="B117" s="1168" t="s">
        <v>1812</v>
      </c>
      <c r="C117" s="1169" t="s">
        <v>1729</v>
      </c>
      <c r="D117" s="1170" t="s">
        <v>1813</v>
      </c>
      <c r="E117" s="1168" t="s">
        <v>1814</v>
      </c>
      <c r="F117" s="1171">
        <v>4.64</v>
      </c>
      <c r="G117" s="1172" t="s">
        <v>17980</v>
      </c>
      <c r="H117" s="1172" t="s">
        <v>17981</v>
      </c>
      <c r="I117" s="1173">
        <v>0.0013</v>
      </c>
      <c r="J117" s="1173">
        <v>0.928</v>
      </c>
      <c r="K117" s="1168" t="s">
        <v>1413</v>
      </c>
    </row>
    <row r="118">
      <c r="A118" s="1168">
        <v>110.0</v>
      </c>
      <c r="B118" s="1168" t="s">
        <v>1962</v>
      </c>
      <c r="C118" s="1169" t="s">
        <v>1729</v>
      </c>
      <c r="D118" s="1170" t="s">
        <v>1963</v>
      </c>
      <c r="E118" s="1168" t="s">
        <v>1788</v>
      </c>
      <c r="F118" s="1171">
        <v>14.62</v>
      </c>
      <c r="G118" s="1172" t="s">
        <v>17982</v>
      </c>
      <c r="H118" s="1172" t="s">
        <v>17983</v>
      </c>
      <c r="I118" s="1173">
        <v>0.0013</v>
      </c>
      <c r="J118" s="1173">
        <v>0.9293</v>
      </c>
      <c r="K118" s="1168" t="s">
        <v>1413</v>
      </c>
    </row>
    <row r="119">
      <c r="A119" s="1168">
        <v>128.0</v>
      </c>
      <c r="B119" s="1168" t="s">
        <v>528</v>
      </c>
      <c r="C119" s="1169" t="s">
        <v>1729</v>
      </c>
      <c r="D119" s="1170" t="s">
        <v>1746</v>
      </c>
      <c r="E119" s="1168" t="s">
        <v>1731</v>
      </c>
      <c r="F119" s="1168">
        <v>2.0</v>
      </c>
      <c r="G119" s="1172" t="s">
        <v>17984</v>
      </c>
      <c r="H119" s="1172" t="s">
        <v>17985</v>
      </c>
      <c r="I119" s="1173">
        <v>0.0012</v>
      </c>
      <c r="J119" s="1173">
        <v>0.9305</v>
      </c>
      <c r="K119" s="1168" t="s">
        <v>1413</v>
      </c>
    </row>
    <row r="120">
      <c r="A120" s="1168">
        <v>111.0</v>
      </c>
      <c r="B120" s="1168">
        <v>100702.0</v>
      </c>
      <c r="C120" s="1169" t="s">
        <v>17759</v>
      </c>
      <c r="D120" s="1170" t="s">
        <v>12341</v>
      </c>
      <c r="E120" s="1168" t="s">
        <v>1814</v>
      </c>
      <c r="F120" s="1171">
        <v>0.36</v>
      </c>
      <c r="G120" s="1172" t="s">
        <v>17986</v>
      </c>
      <c r="H120" s="1172" t="s">
        <v>17987</v>
      </c>
      <c r="I120" s="1173">
        <v>0.0013</v>
      </c>
      <c r="J120" s="1173">
        <v>0.9318</v>
      </c>
      <c r="K120" s="1168" t="s">
        <v>1413</v>
      </c>
    </row>
    <row r="121">
      <c r="A121" s="1168">
        <v>115.0</v>
      </c>
      <c r="B121" s="1168">
        <v>11186.0</v>
      </c>
      <c r="C121" s="1169" t="s">
        <v>17759</v>
      </c>
      <c r="D121" s="1170" t="s">
        <v>7283</v>
      </c>
      <c r="E121" s="1168" t="s">
        <v>1814</v>
      </c>
      <c r="F121" s="1171">
        <v>0.71</v>
      </c>
      <c r="G121" s="1172" t="s">
        <v>17988</v>
      </c>
      <c r="H121" s="1172" t="s">
        <v>17989</v>
      </c>
      <c r="I121" s="1173">
        <v>0.0012</v>
      </c>
      <c r="J121" s="1173">
        <v>0.933</v>
      </c>
      <c r="K121" s="1168" t="s">
        <v>1413</v>
      </c>
    </row>
    <row r="122">
      <c r="A122" s="1168">
        <v>112.0</v>
      </c>
      <c r="B122" s="1168">
        <v>96985.0</v>
      </c>
      <c r="C122" s="1169" t="s">
        <v>17759</v>
      </c>
      <c r="D122" s="1170" t="s">
        <v>17990</v>
      </c>
      <c r="E122" s="1168" t="s">
        <v>1788</v>
      </c>
      <c r="F122" s="1171">
        <v>2.85</v>
      </c>
      <c r="G122" s="1172" t="s">
        <v>17991</v>
      </c>
      <c r="H122" s="1172" t="s">
        <v>17992</v>
      </c>
      <c r="I122" s="1173">
        <v>0.0012</v>
      </c>
      <c r="J122" s="1173">
        <v>0.9342</v>
      </c>
      <c r="K122" s="1168" t="s">
        <v>1413</v>
      </c>
    </row>
    <row r="123">
      <c r="A123" s="1168">
        <v>113.0</v>
      </c>
      <c r="B123" s="1168" t="s">
        <v>2017</v>
      </c>
      <c r="C123" s="1169" t="s">
        <v>1729</v>
      </c>
      <c r="D123" s="1170" t="s">
        <v>2018</v>
      </c>
      <c r="E123" s="1168" t="s">
        <v>1788</v>
      </c>
      <c r="F123" s="1171">
        <v>3.57</v>
      </c>
      <c r="G123" s="1172" t="s">
        <v>17993</v>
      </c>
      <c r="H123" s="1172" t="s">
        <v>17994</v>
      </c>
      <c r="I123" s="1173">
        <v>0.0012</v>
      </c>
      <c r="J123" s="1173">
        <v>0.9354</v>
      </c>
      <c r="K123" s="1168" t="s">
        <v>1413</v>
      </c>
    </row>
    <row r="124">
      <c r="A124" s="1168">
        <v>114.0</v>
      </c>
      <c r="B124" s="1168">
        <v>97617.0</v>
      </c>
      <c r="C124" s="1169" t="s">
        <v>17759</v>
      </c>
      <c r="D124" s="1170" t="s">
        <v>13373</v>
      </c>
      <c r="E124" s="1168" t="s">
        <v>1788</v>
      </c>
      <c r="F124" s="1171">
        <v>3.57</v>
      </c>
      <c r="G124" s="1172" t="s">
        <v>17995</v>
      </c>
      <c r="H124" s="1172" t="s">
        <v>17996</v>
      </c>
      <c r="I124" s="1173">
        <v>0.0012</v>
      </c>
      <c r="J124" s="1173">
        <v>0.9366</v>
      </c>
      <c r="K124" s="1168" t="s">
        <v>1413</v>
      </c>
    </row>
    <row r="125">
      <c r="A125" s="1168">
        <v>117.0</v>
      </c>
      <c r="B125" s="1168">
        <v>97585.0</v>
      </c>
      <c r="C125" s="1169" t="s">
        <v>17759</v>
      </c>
      <c r="D125" s="1170" t="s">
        <v>13352</v>
      </c>
      <c r="E125" s="1168" t="s">
        <v>1788</v>
      </c>
      <c r="F125" s="1171">
        <v>1.78</v>
      </c>
      <c r="G125" s="1172" t="s">
        <v>17997</v>
      </c>
      <c r="H125" s="1172" t="s">
        <v>17998</v>
      </c>
      <c r="I125" s="1173">
        <v>0.0011</v>
      </c>
      <c r="J125" s="1173">
        <v>0.9377</v>
      </c>
      <c r="K125" s="1168" t="s">
        <v>1413</v>
      </c>
    </row>
    <row r="126">
      <c r="A126" s="1168">
        <v>120.0</v>
      </c>
      <c r="B126" s="1168">
        <v>90801.0</v>
      </c>
      <c r="C126" s="1169" t="s">
        <v>17759</v>
      </c>
      <c r="D126" s="1170" t="s">
        <v>12220</v>
      </c>
      <c r="E126" s="1168" t="s">
        <v>1788</v>
      </c>
      <c r="F126" s="1171">
        <v>0.71</v>
      </c>
      <c r="G126" s="1172" t="s">
        <v>17999</v>
      </c>
      <c r="H126" s="1172" t="s">
        <v>18000</v>
      </c>
      <c r="I126" s="1173">
        <v>0.0011</v>
      </c>
      <c r="J126" s="1173">
        <v>0.9389</v>
      </c>
      <c r="K126" s="1168" t="s">
        <v>1413</v>
      </c>
    </row>
    <row r="127">
      <c r="A127" s="1168">
        <v>137.0</v>
      </c>
      <c r="B127" s="1168" t="s">
        <v>1916</v>
      </c>
      <c r="C127" s="1169" t="s">
        <v>1729</v>
      </c>
      <c r="D127" s="1170" t="s">
        <v>1917</v>
      </c>
      <c r="E127" s="1168" t="s">
        <v>1814</v>
      </c>
      <c r="F127" s="1171">
        <v>0.71</v>
      </c>
      <c r="G127" s="1172" t="s">
        <v>18001</v>
      </c>
      <c r="H127" s="1172" t="s">
        <v>18002</v>
      </c>
      <c r="I127" s="1173">
        <v>0.0011</v>
      </c>
      <c r="J127" s="1173">
        <v>0.94</v>
      </c>
      <c r="K127" s="1168" t="s">
        <v>1413</v>
      </c>
    </row>
    <row r="128">
      <c r="A128" s="1168">
        <v>123.0</v>
      </c>
      <c r="B128" s="1168">
        <v>100858.0</v>
      </c>
      <c r="C128" s="1169" t="s">
        <v>17759</v>
      </c>
      <c r="D128" s="1170" t="s">
        <v>15402</v>
      </c>
      <c r="E128" s="1168" t="s">
        <v>1788</v>
      </c>
      <c r="F128" s="1171">
        <v>0.36</v>
      </c>
      <c r="G128" s="1172" t="s">
        <v>18003</v>
      </c>
      <c r="H128" s="1172" t="s">
        <v>18004</v>
      </c>
      <c r="I128" s="1173">
        <v>0.0011</v>
      </c>
      <c r="J128" s="1173">
        <v>0.941</v>
      </c>
      <c r="K128" s="1168" t="s">
        <v>1413</v>
      </c>
    </row>
    <row r="129">
      <c r="A129" s="1168">
        <v>127.0</v>
      </c>
      <c r="B129" s="1168">
        <v>38140.0</v>
      </c>
      <c r="C129" s="1169" t="s">
        <v>17759</v>
      </c>
      <c r="D129" s="1170" t="s">
        <v>7006</v>
      </c>
      <c r="E129" s="1168" t="s">
        <v>1788</v>
      </c>
      <c r="F129" s="1171">
        <v>8.2</v>
      </c>
      <c r="G129" s="1172" t="s">
        <v>18005</v>
      </c>
      <c r="H129" s="1172" t="s">
        <v>18006</v>
      </c>
      <c r="I129" s="1173">
        <v>0.0011</v>
      </c>
      <c r="J129" s="1173">
        <v>0.9421</v>
      </c>
      <c r="K129" s="1168" t="s">
        <v>1413</v>
      </c>
    </row>
    <row r="130">
      <c r="A130" s="1168">
        <v>124.0</v>
      </c>
      <c r="B130" s="1168">
        <v>101915.0</v>
      </c>
      <c r="C130" s="1169" t="s">
        <v>17759</v>
      </c>
      <c r="D130" s="1170" t="s">
        <v>13600</v>
      </c>
      <c r="E130" s="1168" t="s">
        <v>1788</v>
      </c>
      <c r="F130" s="1171">
        <v>0.71</v>
      </c>
      <c r="G130" s="1172" t="s">
        <v>18007</v>
      </c>
      <c r="H130" s="1172" t="s">
        <v>18008</v>
      </c>
      <c r="I130" s="1173">
        <v>0.0011</v>
      </c>
      <c r="J130" s="1173">
        <v>0.9432</v>
      </c>
      <c r="K130" s="1168" t="s">
        <v>1413</v>
      </c>
    </row>
    <row r="131">
      <c r="A131" s="1168">
        <v>126.0</v>
      </c>
      <c r="B131" s="1168">
        <v>102156.0</v>
      </c>
      <c r="C131" s="1169" t="s">
        <v>17759</v>
      </c>
      <c r="D131" s="1170" t="s">
        <v>12357</v>
      </c>
      <c r="E131" s="1168" t="s">
        <v>1814</v>
      </c>
      <c r="F131" s="1171">
        <v>1.07</v>
      </c>
      <c r="G131" s="1172" t="s">
        <v>18009</v>
      </c>
      <c r="H131" s="1172" t="s">
        <v>18010</v>
      </c>
      <c r="I131" s="1173">
        <v>0.001</v>
      </c>
      <c r="J131" s="1173">
        <v>0.9442</v>
      </c>
      <c r="K131" s="1168" t="s">
        <v>1413</v>
      </c>
    </row>
    <row r="132">
      <c r="A132" s="1168">
        <v>145.0</v>
      </c>
      <c r="B132" s="1168" t="s">
        <v>530</v>
      </c>
      <c r="C132" s="1169" t="s">
        <v>1729</v>
      </c>
      <c r="D132" s="1170" t="s">
        <v>1748</v>
      </c>
      <c r="E132" s="1168" t="s">
        <v>1731</v>
      </c>
      <c r="F132" s="1168">
        <v>1.5</v>
      </c>
      <c r="G132" s="1172" t="s">
        <v>17984</v>
      </c>
      <c r="H132" s="1172" t="s">
        <v>18011</v>
      </c>
      <c r="I132" s="1173">
        <v>9.0E-4</v>
      </c>
      <c r="J132" s="1173">
        <v>0.9451</v>
      </c>
      <c r="K132" s="1168" t="s">
        <v>1413</v>
      </c>
    </row>
    <row r="133">
      <c r="A133" s="1168">
        <v>129.0</v>
      </c>
      <c r="B133" s="1168">
        <v>104476.0</v>
      </c>
      <c r="C133" s="1169" t="s">
        <v>17759</v>
      </c>
      <c r="D133" s="1170" t="s">
        <v>13565</v>
      </c>
      <c r="E133" s="1168" t="s">
        <v>1788</v>
      </c>
      <c r="F133" s="1171">
        <v>1.07</v>
      </c>
      <c r="G133" s="1172" t="s">
        <v>18012</v>
      </c>
      <c r="H133" s="1172" t="s">
        <v>18013</v>
      </c>
      <c r="I133" s="1173">
        <v>0.001</v>
      </c>
      <c r="J133" s="1173">
        <v>0.9461</v>
      </c>
      <c r="K133" s="1168" t="s">
        <v>1413</v>
      </c>
    </row>
    <row r="134">
      <c r="A134" s="1168">
        <v>130.0</v>
      </c>
      <c r="B134" s="1168">
        <v>97599.0</v>
      </c>
      <c r="C134" s="1169" t="s">
        <v>17759</v>
      </c>
      <c r="D134" s="1170" t="s">
        <v>13364</v>
      </c>
      <c r="E134" s="1168" t="s">
        <v>1788</v>
      </c>
      <c r="F134" s="1171">
        <v>7.13</v>
      </c>
      <c r="G134" s="1172" t="s">
        <v>18014</v>
      </c>
      <c r="H134" s="1172" t="s">
        <v>18015</v>
      </c>
      <c r="I134" s="1173">
        <v>9.0E-4</v>
      </c>
      <c r="J134" s="1173">
        <v>0.947</v>
      </c>
      <c r="K134" s="1168" t="s">
        <v>1413</v>
      </c>
    </row>
    <row r="135">
      <c r="A135" s="1168">
        <v>131.0</v>
      </c>
      <c r="B135" s="1168" t="s">
        <v>1866</v>
      </c>
      <c r="C135" s="1169" t="s">
        <v>1729</v>
      </c>
      <c r="D135" s="1170" t="s">
        <v>1867</v>
      </c>
      <c r="E135" s="1168" t="s">
        <v>1731</v>
      </c>
      <c r="F135" s="1171">
        <v>8.2</v>
      </c>
      <c r="G135" s="1172" t="s">
        <v>18016</v>
      </c>
      <c r="H135" s="1172" t="s">
        <v>18017</v>
      </c>
      <c r="I135" s="1173">
        <v>0.001</v>
      </c>
      <c r="J135" s="1173">
        <v>0.948</v>
      </c>
      <c r="K135" s="1168" t="s">
        <v>1413</v>
      </c>
    </row>
    <row r="136">
      <c r="A136" s="1168">
        <v>132.0</v>
      </c>
      <c r="B136" s="1168">
        <v>91929.0</v>
      </c>
      <c r="C136" s="1169" t="s">
        <v>17759</v>
      </c>
      <c r="D136" s="1170" t="s">
        <v>18018</v>
      </c>
      <c r="E136" s="1168" t="s">
        <v>1731</v>
      </c>
      <c r="F136" s="1171">
        <v>28.53</v>
      </c>
      <c r="G136" s="1172" t="s">
        <v>18019</v>
      </c>
      <c r="H136" s="1172" t="s">
        <v>18020</v>
      </c>
      <c r="I136" s="1173">
        <v>9.0E-4</v>
      </c>
      <c r="J136" s="1173">
        <v>0.9489</v>
      </c>
      <c r="K136" s="1168" t="s">
        <v>1413</v>
      </c>
    </row>
    <row r="137">
      <c r="A137" s="1168">
        <v>133.0</v>
      </c>
      <c r="B137" s="1168">
        <v>100860.0</v>
      </c>
      <c r="C137" s="1169" t="s">
        <v>17759</v>
      </c>
      <c r="D137" s="1170" t="s">
        <v>15404</v>
      </c>
      <c r="E137" s="1168" t="s">
        <v>1788</v>
      </c>
      <c r="F137" s="1171">
        <v>2.14</v>
      </c>
      <c r="G137" s="1172" t="s">
        <v>18021</v>
      </c>
      <c r="H137" s="1172" t="s">
        <v>18022</v>
      </c>
      <c r="I137" s="1173">
        <v>9.0E-4</v>
      </c>
      <c r="J137" s="1173">
        <v>0.9498</v>
      </c>
      <c r="K137" s="1168" t="s">
        <v>1413</v>
      </c>
    </row>
    <row r="138">
      <c r="A138" s="1168">
        <v>134.0</v>
      </c>
      <c r="B138" s="1168">
        <v>88787.0</v>
      </c>
      <c r="C138" s="1169" t="s">
        <v>17759</v>
      </c>
      <c r="D138" s="1170" t="s">
        <v>18023</v>
      </c>
      <c r="E138" s="1168" t="s">
        <v>1814</v>
      </c>
      <c r="F138" s="1171">
        <v>0.71</v>
      </c>
      <c r="G138" s="1172" t="s">
        <v>18024</v>
      </c>
      <c r="H138" s="1172" t="s">
        <v>18025</v>
      </c>
      <c r="I138" s="1173">
        <v>9.0E-4</v>
      </c>
      <c r="J138" s="1173">
        <v>0.9507</v>
      </c>
      <c r="K138" s="1168" t="s">
        <v>1413</v>
      </c>
    </row>
    <row r="139">
      <c r="A139" s="1168">
        <v>135.0</v>
      </c>
      <c r="B139" s="1168">
        <v>101914.0</v>
      </c>
      <c r="C139" s="1169" t="s">
        <v>17759</v>
      </c>
      <c r="D139" s="1170" t="s">
        <v>13599</v>
      </c>
      <c r="E139" s="1168" t="s">
        <v>1788</v>
      </c>
      <c r="F139" s="1171">
        <v>0.36</v>
      </c>
      <c r="G139" s="1172" t="s">
        <v>18026</v>
      </c>
      <c r="H139" s="1172" t="s">
        <v>18027</v>
      </c>
      <c r="I139" s="1173">
        <v>9.0E-4</v>
      </c>
      <c r="J139" s="1173">
        <v>0.9516</v>
      </c>
      <c r="K139" s="1168" t="s">
        <v>1413</v>
      </c>
    </row>
    <row r="140">
      <c r="A140" s="1168">
        <v>136.0</v>
      </c>
      <c r="B140" s="1168">
        <v>103019.0</v>
      </c>
      <c r="C140" s="1169" t="s">
        <v>17759</v>
      </c>
      <c r="D140" s="1170" t="s">
        <v>15546</v>
      </c>
      <c r="E140" s="1168" t="s">
        <v>1788</v>
      </c>
      <c r="F140" s="1171">
        <v>0.71</v>
      </c>
      <c r="G140" s="1172" t="s">
        <v>18028</v>
      </c>
      <c r="H140" s="1172" t="s">
        <v>18029</v>
      </c>
      <c r="I140" s="1173">
        <v>9.0E-4</v>
      </c>
      <c r="J140" s="1173">
        <v>0.9525</v>
      </c>
      <c r="K140" s="1168" t="s">
        <v>1413</v>
      </c>
    </row>
    <row r="141">
      <c r="A141" s="1168">
        <v>138.0</v>
      </c>
      <c r="B141" s="1168" t="s">
        <v>1983</v>
      </c>
      <c r="C141" s="1169" t="s">
        <v>1729</v>
      </c>
      <c r="D141" s="1170" t="s">
        <v>1984</v>
      </c>
      <c r="E141" s="1168" t="s">
        <v>1788</v>
      </c>
      <c r="F141" s="1171">
        <v>1.43</v>
      </c>
      <c r="G141" s="1172" t="s">
        <v>18030</v>
      </c>
      <c r="H141" s="1172" t="s">
        <v>18031</v>
      </c>
      <c r="I141" s="1173">
        <v>9.0E-4</v>
      </c>
      <c r="J141" s="1173">
        <v>0.9534</v>
      </c>
      <c r="K141" s="1168" t="s">
        <v>1413</v>
      </c>
    </row>
    <row r="142">
      <c r="A142" s="1168">
        <v>139.0</v>
      </c>
      <c r="B142" s="1168" t="s">
        <v>1896</v>
      </c>
      <c r="C142" s="1169" t="s">
        <v>1729</v>
      </c>
      <c r="D142" s="1170" t="s">
        <v>1897</v>
      </c>
      <c r="E142" s="1168" t="s">
        <v>1788</v>
      </c>
      <c r="F142" s="1171">
        <v>0.71</v>
      </c>
      <c r="G142" s="1172" t="s">
        <v>18032</v>
      </c>
      <c r="H142" s="1172" t="s">
        <v>18033</v>
      </c>
      <c r="I142" s="1173">
        <v>9.0E-4</v>
      </c>
      <c r="J142" s="1173">
        <v>0.9543</v>
      </c>
      <c r="K142" s="1168" t="s">
        <v>1413</v>
      </c>
    </row>
    <row r="143">
      <c r="A143" s="1168">
        <v>140.0</v>
      </c>
      <c r="B143" s="1168" t="s">
        <v>1816</v>
      </c>
      <c r="C143" s="1169" t="s">
        <v>1729</v>
      </c>
      <c r="D143" s="1170" t="s">
        <v>1817</v>
      </c>
      <c r="E143" s="1168" t="s">
        <v>1788</v>
      </c>
      <c r="F143" s="1171">
        <v>8.56</v>
      </c>
      <c r="G143" s="1172" t="s">
        <v>18034</v>
      </c>
      <c r="H143" s="1172" t="s">
        <v>18035</v>
      </c>
      <c r="I143" s="1173">
        <v>8.0E-4</v>
      </c>
      <c r="J143" s="1173">
        <v>0.9551</v>
      </c>
      <c r="K143" s="1168" t="s">
        <v>1413</v>
      </c>
    </row>
    <row r="144">
      <c r="A144" s="1168">
        <v>141.0</v>
      </c>
      <c r="B144" s="1168">
        <v>101895.0</v>
      </c>
      <c r="C144" s="1169" t="s">
        <v>17759</v>
      </c>
      <c r="D144" s="1170" t="s">
        <v>13248</v>
      </c>
      <c r="E144" s="1168" t="s">
        <v>1788</v>
      </c>
      <c r="F144" s="1171">
        <v>0.36</v>
      </c>
      <c r="G144" s="1172" t="s">
        <v>18036</v>
      </c>
      <c r="H144" s="1172" t="s">
        <v>18037</v>
      </c>
      <c r="I144" s="1173">
        <v>7.0E-4</v>
      </c>
      <c r="J144" s="1173">
        <v>0.9558</v>
      </c>
      <c r="K144" s="1168" t="s">
        <v>1413</v>
      </c>
    </row>
    <row r="145">
      <c r="A145" s="1168">
        <v>161.0</v>
      </c>
      <c r="B145" s="1168">
        <v>88317.0</v>
      </c>
      <c r="C145" s="1169" t="s">
        <v>17759</v>
      </c>
      <c r="D145" s="1170" t="s">
        <v>17442</v>
      </c>
      <c r="E145" s="1168" t="s">
        <v>1470</v>
      </c>
      <c r="F145" s="1168">
        <v>5.0</v>
      </c>
      <c r="G145" s="1172" t="s">
        <v>18038</v>
      </c>
      <c r="H145" s="1172" t="s">
        <v>18039</v>
      </c>
      <c r="I145" s="1173">
        <v>7.0E-4</v>
      </c>
      <c r="J145" s="1173">
        <v>0.9566</v>
      </c>
      <c r="K145" s="1168" t="s">
        <v>1413</v>
      </c>
    </row>
    <row r="146">
      <c r="A146" s="1168">
        <v>142.0</v>
      </c>
      <c r="B146" s="1168">
        <v>86888.0</v>
      </c>
      <c r="C146" s="1169" t="s">
        <v>17759</v>
      </c>
      <c r="D146" s="1170" t="s">
        <v>15334</v>
      </c>
      <c r="E146" s="1168" t="s">
        <v>1788</v>
      </c>
      <c r="F146" s="1171">
        <v>0.36</v>
      </c>
      <c r="G146" s="1172" t="s">
        <v>18040</v>
      </c>
      <c r="H146" s="1172" t="s">
        <v>18041</v>
      </c>
      <c r="I146" s="1173">
        <v>8.0E-4</v>
      </c>
      <c r="J146" s="1173">
        <v>0.9573</v>
      </c>
      <c r="K146" s="1168" t="s">
        <v>1413</v>
      </c>
    </row>
    <row r="147">
      <c r="A147" s="1168">
        <v>143.0</v>
      </c>
      <c r="B147" s="1168" t="s">
        <v>1837</v>
      </c>
      <c r="C147" s="1169" t="s">
        <v>1729</v>
      </c>
      <c r="D147" s="1170" t="s">
        <v>1838</v>
      </c>
      <c r="E147" s="1168" t="s">
        <v>1788</v>
      </c>
      <c r="F147" s="1171">
        <v>1.78</v>
      </c>
      <c r="G147" s="1172" t="s">
        <v>18042</v>
      </c>
      <c r="H147" s="1172" t="s">
        <v>18043</v>
      </c>
      <c r="I147" s="1173">
        <v>8.0E-4</v>
      </c>
      <c r="J147" s="1173">
        <v>0.9581</v>
      </c>
      <c r="K147" s="1168" t="s">
        <v>1413</v>
      </c>
    </row>
    <row r="148">
      <c r="A148" s="1168">
        <v>144.0</v>
      </c>
      <c r="B148" s="1168">
        <v>91795.0</v>
      </c>
      <c r="C148" s="1169" t="s">
        <v>17759</v>
      </c>
      <c r="D148" s="1170" t="s">
        <v>13760</v>
      </c>
      <c r="E148" s="1168" t="s">
        <v>1731</v>
      </c>
      <c r="F148" s="1171">
        <v>2.14</v>
      </c>
      <c r="G148" s="1172" t="s">
        <v>18044</v>
      </c>
      <c r="H148" s="1172" t="s">
        <v>18045</v>
      </c>
      <c r="I148" s="1173">
        <v>8.0E-4</v>
      </c>
      <c r="J148" s="1173">
        <v>0.9589</v>
      </c>
      <c r="K148" s="1168" t="s">
        <v>1413</v>
      </c>
    </row>
    <row r="149">
      <c r="A149" s="1168">
        <v>146.0</v>
      </c>
      <c r="B149" s="1168">
        <v>99624.0</v>
      </c>
      <c r="C149" s="1169" t="s">
        <v>17759</v>
      </c>
      <c r="D149" s="1170" t="s">
        <v>15523</v>
      </c>
      <c r="E149" s="1168" t="s">
        <v>1788</v>
      </c>
      <c r="F149" s="1171">
        <v>0.36</v>
      </c>
      <c r="G149" s="1172" t="s">
        <v>18046</v>
      </c>
      <c r="H149" s="1172" t="s">
        <v>18047</v>
      </c>
      <c r="I149" s="1173">
        <v>7.0E-4</v>
      </c>
      <c r="J149" s="1173">
        <v>0.9596</v>
      </c>
      <c r="K149" s="1168" t="s">
        <v>1413</v>
      </c>
    </row>
    <row r="150">
      <c r="A150" s="1168">
        <v>147.0</v>
      </c>
      <c r="B150" s="1168">
        <v>94975.0</v>
      </c>
      <c r="C150" s="1169" t="s">
        <v>17759</v>
      </c>
      <c r="D150" s="1170" t="s">
        <v>12822</v>
      </c>
      <c r="E150" s="1168" t="s">
        <v>2178</v>
      </c>
      <c r="F150" s="1171">
        <v>0.36</v>
      </c>
      <c r="G150" s="1172" t="s">
        <v>18048</v>
      </c>
      <c r="H150" s="1172" t="s">
        <v>18049</v>
      </c>
      <c r="I150" s="1173">
        <v>7.0E-4</v>
      </c>
      <c r="J150" s="1173">
        <v>0.9603</v>
      </c>
      <c r="K150" s="1168" t="s">
        <v>1413</v>
      </c>
    </row>
    <row r="151">
      <c r="A151" s="1168">
        <v>148.0</v>
      </c>
      <c r="B151" s="1168" t="s">
        <v>1827</v>
      </c>
      <c r="C151" s="1169" t="s">
        <v>1729</v>
      </c>
      <c r="D151" s="1170" t="s">
        <v>1828</v>
      </c>
      <c r="E151" s="1168" t="s">
        <v>1814</v>
      </c>
      <c r="F151" s="1171">
        <v>1.07</v>
      </c>
      <c r="G151" s="1172" t="s">
        <v>18050</v>
      </c>
      <c r="H151" s="1172" t="s">
        <v>18051</v>
      </c>
      <c r="I151" s="1173">
        <v>7.0E-4</v>
      </c>
      <c r="J151" s="1173">
        <v>0.961</v>
      </c>
      <c r="K151" s="1168" t="s">
        <v>1413</v>
      </c>
    </row>
    <row r="152">
      <c r="A152" s="1168">
        <v>149.0</v>
      </c>
      <c r="B152" s="1168">
        <v>100849.0</v>
      </c>
      <c r="C152" s="1169" t="s">
        <v>17759</v>
      </c>
      <c r="D152" s="1170" t="s">
        <v>15395</v>
      </c>
      <c r="E152" s="1168" t="s">
        <v>1788</v>
      </c>
      <c r="F152" s="1171">
        <v>3.57</v>
      </c>
      <c r="G152" s="1172" t="s">
        <v>18052</v>
      </c>
      <c r="H152" s="1172" t="s">
        <v>18053</v>
      </c>
      <c r="I152" s="1173">
        <v>7.0E-4</v>
      </c>
      <c r="J152" s="1173">
        <v>0.9617</v>
      </c>
      <c r="K152" s="1168" t="s">
        <v>1413</v>
      </c>
    </row>
    <row r="153">
      <c r="A153" s="1168">
        <v>150.0</v>
      </c>
      <c r="B153" s="1168">
        <v>87811.0</v>
      </c>
      <c r="C153" s="1169" t="s">
        <v>17759</v>
      </c>
      <c r="D153" s="1170" t="s">
        <v>16639</v>
      </c>
      <c r="E153" s="1168" t="s">
        <v>1814</v>
      </c>
      <c r="F153" s="1171">
        <v>1.78</v>
      </c>
      <c r="G153" s="1172" t="s">
        <v>18054</v>
      </c>
      <c r="H153" s="1172" t="s">
        <v>18055</v>
      </c>
      <c r="I153" s="1173">
        <v>7.0E-4</v>
      </c>
      <c r="J153" s="1173">
        <v>0.9624</v>
      </c>
      <c r="K153" s="1168" t="s">
        <v>1413</v>
      </c>
    </row>
    <row r="154">
      <c r="A154" s="1168">
        <v>151.0</v>
      </c>
      <c r="B154" s="1168">
        <v>101632.0</v>
      </c>
      <c r="C154" s="1169" t="s">
        <v>17759</v>
      </c>
      <c r="D154" s="1170" t="s">
        <v>13465</v>
      </c>
      <c r="E154" s="1168" t="s">
        <v>1788</v>
      </c>
      <c r="F154" s="1171">
        <v>3.21</v>
      </c>
      <c r="G154" s="1172" t="s">
        <v>18056</v>
      </c>
      <c r="H154" s="1172" t="s">
        <v>18057</v>
      </c>
      <c r="I154" s="1173">
        <v>7.0E-4</v>
      </c>
      <c r="J154" s="1173">
        <v>0.9631</v>
      </c>
      <c r="K154" s="1168" t="s">
        <v>1413</v>
      </c>
    </row>
    <row r="155">
      <c r="A155" s="1168">
        <v>152.0</v>
      </c>
      <c r="B155" s="1168">
        <v>101537.0</v>
      </c>
      <c r="C155" s="1169" t="s">
        <v>17759</v>
      </c>
      <c r="D155" s="1170" t="s">
        <v>13434</v>
      </c>
      <c r="E155" s="1168" t="s">
        <v>1788</v>
      </c>
      <c r="F155" s="1171">
        <v>1.07</v>
      </c>
      <c r="G155" s="1172" t="s">
        <v>18058</v>
      </c>
      <c r="H155" s="1172" t="s">
        <v>18059</v>
      </c>
      <c r="I155" s="1173">
        <v>7.0E-4</v>
      </c>
      <c r="J155" s="1173">
        <v>0.9638</v>
      </c>
      <c r="K155" s="1168" t="s">
        <v>1413</v>
      </c>
    </row>
    <row r="156">
      <c r="A156" s="1168">
        <v>153.0</v>
      </c>
      <c r="B156" s="1168">
        <v>1599.0</v>
      </c>
      <c r="C156" s="1169" t="s">
        <v>17759</v>
      </c>
      <c r="D156" s="1170" t="s">
        <v>6632</v>
      </c>
      <c r="E156" s="1168" t="s">
        <v>1788</v>
      </c>
      <c r="F156" s="1171">
        <v>11.06</v>
      </c>
      <c r="G156" s="1172" t="s">
        <v>18060</v>
      </c>
      <c r="H156" s="1172" t="s">
        <v>18061</v>
      </c>
      <c r="I156" s="1173">
        <v>7.0E-4</v>
      </c>
      <c r="J156" s="1173">
        <v>0.9644</v>
      </c>
      <c r="K156" s="1168" t="s">
        <v>1413</v>
      </c>
    </row>
    <row r="157">
      <c r="A157" s="1168">
        <v>154.0</v>
      </c>
      <c r="B157" s="1168">
        <v>92008.0</v>
      </c>
      <c r="C157" s="1169" t="s">
        <v>17759</v>
      </c>
      <c r="D157" s="1170" t="s">
        <v>18062</v>
      </c>
      <c r="E157" s="1168" t="s">
        <v>1788</v>
      </c>
      <c r="F157" s="1171">
        <v>2.85</v>
      </c>
      <c r="G157" s="1172" t="s">
        <v>18063</v>
      </c>
      <c r="H157" s="1172" t="s">
        <v>18064</v>
      </c>
      <c r="I157" s="1173">
        <v>7.0E-4</v>
      </c>
      <c r="J157" s="1173">
        <v>0.9651</v>
      </c>
      <c r="K157" s="1168" t="s">
        <v>1413</v>
      </c>
    </row>
    <row r="158">
      <c r="A158" s="1168">
        <v>155.0</v>
      </c>
      <c r="B158" s="1168">
        <v>86881.0</v>
      </c>
      <c r="C158" s="1169" t="s">
        <v>17759</v>
      </c>
      <c r="D158" s="1170" t="s">
        <v>15327</v>
      </c>
      <c r="E158" s="1168" t="s">
        <v>1788</v>
      </c>
      <c r="F158" s="1171">
        <v>0.36</v>
      </c>
      <c r="G158" s="1172" t="s">
        <v>18065</v>
      </c>
      <c r="H158" s="1172" t="s">
        <v>18066</v>
      </c>
      <c r="I158" s="1173">
        <v>6.0E-4</v>
      </c>
      <c r="J158" s="1173">
        <v>0.9657</v>
      </c>
      <c r="K158" s="1168" t="s">
        <v>1413</v>
      </c>
    </row>
    <row r="159">
      <c r="A159" s="1168">
        <v>156.0</v>
      </c>
      <c r="B159" s="1168">
        <v>86935.0</v>
      </c>
      <c r="C159" s="1169" t="s">
        <v>17759</v>
      </c>
      <c r="D159" s="1170" t="s">
        <v>15371</v>
      </c>
      <c r="E159" s="1168" t="s">
        <v>1788</v>
      </c>
      <c r="F159" s="1171">
        <v>0.36</v>
      </c>
      <c r="G159" s="1172" t="s">
        <v>18067</v>
      </c>
      <c r="H159" s="1172" t="s">
        <v>18068</v>
      </c>
      <c r="I159" s="1173">
        <v>6.0E-4</v>
      </c>
      <c r="J159" s="1173">
        <v>0.9664</v>
      </c>
      <c r="K159" s="1168" t="s">
        <v>1413</v>
      </c>
    </row>
    <row r="160">
      <c r="A160" s="1168">
        <v>157.0</v>
      </c>
      <c r="B160" s="1168">
        <v>91928.0</v>
      </c>
      <c r="C160" s="1169" t="s">
        <v>17759</v>
      </c>
      <c r="D160" s="1170" t="s">
        <v>18069</v>
      </c>
      <c r="E160" s="1168" t="s">
        <v>1731</v>
      </c>
      <c r="F160" s="1171">
        <v>21.4</v>
      </c>
      <c r="G160" s="1172" t="s">
        <v>18070</v>
      </c>
      <c r="H160" s="1172" t="s">
        <v>18071</v>
      </c>
      <c r="I160" s="1173">
        <v>6.0E-4</v>
      </c>
      <c r="J160" s="1173">
        <v>0.967</v>
      </c>
      <c r="K160" s="1168" t="s">
        <v>1413</v>
      </c>
    </row>
    <row r="161">
      <c r="A161" s="1168">
        <v>158.0</v>
      </c>
      <c r="B161" s="1168">
        <v>98110.0</v>
      </c>
      <c r="C161" s="1169" t="s">
        <v>17759</v>
      </c>
      <c r="D161" s="1170" t="s">
        <v>15468</v>
      </c>
      <c r="E161" s="1168" t="s">
        <v>1788</v>
      </c>
      <c r="F161" s="1171">
        <v>0.36</v>
      </c>
      <c r="G161" s="1172" t="s">
        <v>18072</v>
      </c>
      <c r="H161" s="1172" t="s">
        <v>18073</v>
      </c>
      <c r="I161" s="1173">
        <v>6.0E-4</v>
      </c>
      <c r="J161" s="1173">
        <v>0.9677</v>
      </c>
      <c r="K161" s="1168" t="s">
        <v>1413</v>
      </c>
    </row>
    <row r="162">
      <c r="A162" s="1168">
        <v>159.0</v>
      </c>
      <c r="B162" s="1168">
        <v>104479.0</v>
      </c>
      <c r="C162" s="1169" t="s">
        <v>17759</v>
      </c>
      <c r="D162" s="1170" t="s">
        <v>13568</v>
      </c>
      <c r="E162" s="1168" t="s">
        <v>1788</v>
      </c>
      <c r="F162" s="1171">
        <v>1.07</v>
      </c>
      <c r="G162" s="1172" t="s">
        <v>18074</v>
      </c>
      <c r="H162" s="1172" t="s">
        <v>18071</v>
      </c>
      <c r="I162" s="1173">
        <v>6.0E-4</v>
      </c>
      <c r="J162" s="1173">
        <v>0.9683</v>
      </c>
      <c r="K162" s="1168" t="s">
        <v>1413</v>
      </c>
    </row>
    <row r="163">
      <c r="A163" s="1168">
        <v>160.0</v>
      </c>
      <c r="B163" s="1168" t="s">
        <v>2020</v>
      </c>
      <c r="C163" s="1169" t="s">
        <v>1729</v>
      </c>
      <c r="D163" s="1170" t="s">
        <v>2021</v>
      </c>
      <c r="E163" s="1168" t="s">
        <v>1788</v>
      </c>
      <c r="F163" s="1171">
        <v>1.43</v>
      </c>
      <c r="G163" s="1172" t="s">
        <v>18075</v>
      </c>
      <c r="H163" s="1172" t="s">
        <v>18076</v>
      </c>
      <c r="I163" s="1173">
        <v>6.0E-4</v>
      </c>
      <c r="J163" s="1173">
        <v>0.9689</v>
      </c>
      <c r="K163" s="1168" t="s">
        <v>1413</v>
      </c>
    </row>
    <row r="164">
      <c r="A164" s="1168">
        <v>162.0</v>
      </c>
      <c r="B164" s="1168">
        <v>86906.0</v>
      </c>
      <c r="C164" s="1169" t="s">
        <v>17759</v>
      </c>
      <c r="D164" s="1170" t="s">
        <v>15346</v>
      </c>
      <c r="E164" s="1168" t="s">
        <v>1788</v>
      </c>
      <c r="F164" s="1171">
        <v>2.14</v>
      </c>
      <c r="G164" s="1172" t="s">
        <v>18077</v>
      </c>
      <c r="H164" s="1172" t="s">
        <v>18078</v>
      </c>
      <c r="I164" s="1173">
        <v>6.0E-4</v>
      </c>
      <c r="J164" s="1173">
        <v>0.9695</v>
      </c>
      <c r="K164" s="1168" t="s">
        <v>1413</v>
      </c>
    </row>
    <row r="165">
      <c r="A165" s="1168">
        <v>179.0</v>
      </c>
      <c r="B165" s="1168" t="s">
        <v>534</v>
      </c>
      <c r="C165" s="1169" t="s">
        <v>1729</v>
      </c>
      <c r="D165" s="1170" t="s">
        <v>1752</v>
      </c>
      <c r="E165" s="1168" t="s">
        <v>1731</v>
      </c>
      <c r="F165" s="1168">
        <v>0.5</v>
      </c>
      <c r="G165" s="1172" t="s">
        <v>18079</v>
      </c>
      <c r="H165" s="1172" t="s">
        <v>18080</v>
      </c>
      <c r="I165" s="1173">
        <v>6.0E-4</v>
      </c>
      <c r="J165" s="1173">
        <v>0.97</v>
      </c>
      <c r="K165" s="1168" t="s">
        <v>1413</v>
      </c>
    </row>
    <row r="166">
      <c r="A166" s="1168">
        <v>180.0</v>
      </c>
      <c r="B166" s="1168" t="s">
        <v>536</v>
      </c>
      <c r="C166" s="1169" t="s">
        <v>1729</v>
      </c>
      <c r="D166" s="1170" t="s">
        <v>1754</v>
      </c>
      <c r="E166" s="1168" t="s">
        <v>1731</v>
      </c>
      <c r="F166" s="1168">
        <v>0.5</v>
      </c>
      <c r="G166" s="1172" t="s">
        <v>18079</v>
      </c>
      <c r="H166" s="1172" t="s">
        <v>18080</v>
      </c>
      <c r="I166" s="1173">
        <v>6.0E-4</v>
      </c>
      <c r="J166" s="1173">
        <v>0.9706</v>
      </c>
      <c r="K166" s="1168" t="s">
        <v>1413</v>
      </c>
    </row>
    <row r="167">
      <c r="A167" s="1168">
        <v>163.0</v>
      </c>
      <c r="B167" s="1168">
        <v>86883.0</v>
      </c>
      <c r="C167" s="1169" t="s">
        <v>17759</v>
      </c>
      <c r="D167" s="1170" t="s">
        <v>18081</v>
      </c>
      <c r="E167" s="1168" t="s">
        <v>1788</v>
      </c>
      <c r="F167" s="1171">
        <v>10.34</v>
      </c>
      <c r="G167" s="1172" t="s">
        <v>18082</v>
      </c>
      <c r="H167" s="1172" t="s">
        <v>18083</v>
      </c>
      <c r="I167" s="1173">
        <v>6.0E-4</v>
      </c>
      <c r="J167" s="1173">
        <v>0.9712</v>
      </c>
      <c r="K167" s="1168" t="s">
        <v>1413</v>
      </c>
    </row>
    <row r="168">
      <c r="A168" s="1168">
        <v>164.0</v>
      </c>
      <c r="B168" s="1168">
        <v>91926.0</v>
      </c>
      <c r="C168" s="1169" t="s">
        <v>17759</v>
      </c>
      <c r="D168" s="1170" t="s">
        <v>18084</v>
      </c>
      <c r="E168" s="1168" t="s">
        <v>1731</v>
      </c>
      <c r="F168" s="1171">
        <v>29.25</v>
      </c>
      <c r="G168" s="1172" t="s">
        <v>18085</v>
      </c>
      <c r="H168" s="1172" t="s">
        <v>18086</v>
      </c>
      <c r="I168" s="1173">
        <v>6.0E-4</v>
      </c>
      <c r="J168" s="1173">
        <v>0.9718</v>
      </c>
      <c r="K168" s="1168" t="s">
        <v>1413</v>
      </c>
    </row>
    <row r="169">
      <c r="A169" s="1168">
        <v>165.0</v>
      </c>
      <c r="B169" s="1168">
        <v>101901.0</v>
      </c>
      <c r="C169" s="1169" t="s">
        <v>17759</v>
      </c>
      <c r="D169" s="1170" t="s">
        <v>13254</v>
      </c>
      <c r="E169" s="1168" t="s">
        <v>1788</v>
      </c>
      <c r="F169" s="1171">
        <v>1.07</v>
      </c>
      <c r="G169" s="1172" t="s">
        <v>18087</v>
      </c>
      <c r="H169" s="1172" t="s">
        <v>18088</v>
      </c>
      <c r="I169" s="1173">
        <v>5.0E-4</v>
      </c>
      <c r="J169" s="1173">
        <v>0.9723</v>
      </c>
      <c r="K169" s="1168" t="s">
        <v>1413</v>
      </c>
    </row>
    <row r="170">
      <c r="A170" s="1168">
        <v>166.0</v>
      </c>
      <c r="B170" s="1168">
        <v>102166.0</v>
      </c>
      <c r="C170" s="1169" t="s">
        <v>17759</v>
      </c>
      <c r="D170" s="1170" t="s">
        <v>12367</v>
      </c>
      <c r="E170" s="1168" t="s">
        <v>1814</v>
      </c>
      <c r="F170" s="1171">
        <v>0.36</v>
      </c>
      <c r="G170" s="1172" t="s">
        <v>18089</v>
      </c>
      <c r="H170" s="1172" t="s">
        <v>18090</v>
      </c>
      <c r="I170" s="1173">
        <v>6.0E-4</v>
      </c>
      <c r="J170" s="1173">
        <v>0.9728</v>
      </c>
      <c r="K170" s="1168" t="s">
        <v>1413</v>
      </c>
    </row>
    <row r="171">
      <c r="A171" s="1168">
        <v>167.0</v>
      </c>
      <c r="B171" s="1168">
        <v>101627.0</v>
      </c>
      <c r="C171" s="1169" t="s">
        <v>17759</v>
      </c>
      <c r="D171" s="1170" t="s">
        <v>13460</v>
      </c>
      <c r="E171" s="1168" t="s">
        <v>1788</v>
      </c>
      <c r="F171" s="1171">
        <v>0.36</v>
      </c>
      <c r="G171" s="1172" t="s">
        <v>18091</v>
      </c>
      <c r="H171" s="1172" t="s">
        <v>18092</v>
      </c>
      <c r="I171" s="1173">
        <v>5.0E-4</v>
      </c>
      <c r="J171" s="1173">
        <v>0.9734</v>
      </c>
      <c r="K171" s="1168" t="s">
        <v>1413</v>
      </c>
    </row>
    <row r="172">
      <c r="A172" s="1168">
        <v>168.0</v>
      </c>
      <c r="B172" s="1168">
        <v>98575.0</v>
      </c>
      <c r="C172" s="1169" t="s">
        <v>17759</v>
      </c>
      <c r="D172" s="1170" t="s">
        <v>12878</v>
      </c>
      <c r="E172" s="1168" t="s">
        <v>1731</v>
      </c>
      <c r="F172" s="1171">
        <v>1.07</v>
      </c>
      <c r="G172" s="1172" t="s">
        <v>18093</v>
      </c>
      <c r="H172" s="1172" t="s">
        <v>18094</v>
      </c>
      <c r="I172" s="1173">
        <v>5.0E-4</v>
      </c>
      <c r="J172" s="1173">
        <v>0.9739</v>
      </c>
      <c r="K172" s="1168" t="s">
        <v>1413</v>
      </c>
    </row>
    <row r="173">
      <c r="A173" s="1168">
        <v>169.0</v>
      </c>
      <c r="B173" s="1168">
        <v>100750.0</v>
      </c>
      <c r="C173" s="1169" t="s">
        <v>17759</v>
      </c>
      <c r="D173" s="1170" t="s">
        <v>16362</v>
      </c>
      <c r="E173" s="1168" t="s">
        <v>1814</v>
      </c>
      <c r="F173" s="1171">
        <v>4.28</v>
      </c>
      <c r="G173" s="1172" t="s">
        <v>18095</v>
      </c>
      <c r="H173" s="1172" t="s">
        <v>18096</v>
      </c>
      <c r="I173" s="1173">
        <v>5.0E-4</v>
      </c>
      <c r="J173" s="1173">
        <v>0.9744</v>
      </c>
      <c r="K173" s="1168" t="s">
        <v>1413</v>
      </c>
    </row>
    <row r="174">
      <c r="A174" s="1168">
        <v>170.0</v>
      </c>
      <c r="B174" s="1168">
        <v>94213.0</v>
      </c>
      <c r="C174" s="1169" t="s">
        <v>17759</v>
      </c>
      <c r="D174" s="1170" t="s">
        <v>11650</v>
      </c>
      <c r="E174" s="1168" t="s">
        <v>1814</v>
      </c>
      <c r="F174" s="1171">
        <v>1.43</v>
      </c>
      <c r="G174" s="1172" t="s">
        <v>18097</v>
      </c>
      <c r="H174" s="1172" t="s">
        <v>18098</v>
      </c>
      <c r="I174" s="1173">
        <v>5.0E-4</v>
      </c>
      <c r="J174" s="1173">
        <v>0.9749</v>
      </c>
      <c r="K174" s="1168" t="s">
        <v>1413</v>
      </c>
    </row>
    <row r="175">
      <c r="A175" s="1168">
        <v>171.0</v>
      </c>
      <c r="B175" s="1168">
        <v>5901.0</v>
      </c>
      <c r="C175" s="1169" t="s">
        <v>17759</v>
      </c>
      <c r="D175" s="1170" t="s">
        <v>10672</v>
      </c>
      <c r="E175" s="1168" t="s">
        <v>10650</v>
      </c>
      <c r="F175" s="1171">
        <v>0.36</v>
      </c>
      <c r="G175" s="1172" t="s">
        <v>18099</v>
      </c>
      <c r="H175" s="1172" t="s">
        <v>18100</v>
      </c>
      <c r="I175" s="1173">
        <v>5.0E-4</v>
      </c>
      <c r="J175" s="1173">
        <v>0.9754</v>
      </c>
      <c r="K175" s="1168" t="s">
        <v>1413</v>
      </c>
    </row>
    <row r="176">
      <c r="A176" s="1168">
        <v>172.0</v>
      </c>
      <c r="B176" s="1168">
        <v>90831.0</v>
      </c>
      <c r="C176" s="1169" t="s">
        <v>17759</v>
      </c>
      <c r="D176" s="1170" t="s">
        <v>12229</v>
      </c>
      <c r="E176" s="1168" t="s">
        <v>1788</v>
      </c>
      <c r="F176" s="1171">
        <v>0.71</v>
      </c>
      <c r="G176" s="1172" t="s">
        <v>17934</v>
      </c>
      <c r="H176" s="1172" t="s">
        <v>18101</v>
      </c>
      <c r="I176" s="1173">
        <v>5.0E-4</v>
      </c>
      <c r="J176" s="1173">
        <v>0.976</v>
      </c>
      <c r="K176" s="1168" t="s">
        <v>1413</v>
      </c>
    </row>
    <row r="177">
      <c r="A177" s="1168">
        <v>173.0</v>
      </c>
      <c r="B177" s="1168">
        <v>86937.0</v>
      </c>
      <c r="C177" s="1169" t="s">
        <v>17759</v>
      </c>
      <c r="D177" s="1170" t="s">
        <v>15373</v>
      </c>
      <c r="E177" s="1168" t="s">
        <v>1788</v>
      </c>
      <c r="F177" s="1171">
        <v>0.36</v>
      </c>
      <c r="G177" s="1172" t="s">
        <v>18102</v>
      </c>
      <c r="H177" s="1172" t="s">
        <v>18103</v>
      </c>
      <c r="I177" s="1173">
        <v>5.0E-4</v>
      </c>
      <c r="J177" s="1173">
        <v>0.9765</v>
      </c>
      <c r="K177" s="1168" t="s">
        <v>1413</v>
      </c>
    </row>
    <row r="178">
      <c r="A178" s="1168">
        <v>174.0</v>
      </c>
      <c r="B178" s="1168" t="s">
        <v>1980</v>
      </c>
      <c r="C178" s="1169" t="s">
        <v>1729</v>
      </c>
      <c r="D178" s="1170" t="s">
        <v>1981</v>
      </c>
      <c r="E178" s="1168" t="s">
        <v>1731</v>
      </c>
      <c r="F178" s="1171">
        <v>1.07</v>
      </c>
      <c r="G178" s="1172" t="s">
        <v>18104</v>
      </c>
      <c r="H178" s="1172" t="s">
        <v>18105</v>
      </c>
      <c r="I178" s="1173">
        <v>5.0E-4</v>
      </c>
      <c r="J178" s="1173">
        <v>0.9769</v>
      </c>
      <c r="K178" s="1168" t="s">
        <v>1413</v>
      </c>
    </row>
    <row r="179">
      <c r="A179" s="1168">
        <v>175.0</v>
      </c>
      <c r="B179" s="1168">
        <v>38394.0</v>
      </c>
      <c r="C179" s="1169" t="s">
        <v>17759</v>
      </c>
      <c r="D179" s="1170" t="s">
        <v>7818</v>
      </c>
      <c r="E179" s="1168" t="s">
        <v>1788</v>
      </c>
      <c r="F179" s="1171">
        <v>0.36</v>
      </c>
      <c r="G179" s="1172" t="s">
        <v>18106</v>
      </c>
      <c r="H179" s="1172" t="s">
        <v>18107</v>
      </c>
      <c r="I179" s="1173">
        <v>5.0E-4</v>
      </c>
      <c r="J179" s="1173">
        <v>0.9774</v>
      </c>
      <c r="K179" s="1168" t="s">
        <v>1413</v>
      </c>
    </row>
    <row r="180">
      <c r="A180" s="1168">
        <v>176.0</v>
      </c>
      <c r="B180" s="1168">
        <v>101902.0</v>
      </c>
      <c r="C180" s="1169" t="s">
        <v>17759</v>
      </c>
      <c r="D180" s="1170" t="s">
        <v>13255</v>
      </c>
      <c r="E180" s="1168" t="s">
        <v>1788</v>
      </c>
      <c r="F180" s="1171">
        <v>0.71</v>
      </c>
      <c r="G180" s="1172" t="s">
        <v>18108</v>
      </c>
      <c r="H180" s="1172" t="s">
        <v>18109</v>
      </c>
      <c r="I180" s="1173">
        <v>4.0E-4</v>
      </c>
      <c r="J180" s="1173">
        <v>0.9778</v>
      </c>
      <c r="K180" s="1168" t="s">
        <v>1413</v>
      </c>
    </row>
    <row r="181">
      <c r="A181" s="1168">
        <v>177.0</v>
      </c>
      <c r="B181" s="1168">
        <v>96113.0</v>
      </c>
      <c r="C181" s="1169" t="s">
        <v>17759</v>
      </c>
      <c r="D181" s="1170" t="s">
        <v>16794</v>
      </c>
      <c r="E181" s="1168" t="s">
        <v>1814</v>
      </c>
      <c r="F181" s="1171">
        <v>2.5</v>
      </c>
      <c r="G181" s="1172" t="s">
        <v>18110</v>
      </c>
      <c r="H181" s="1172" t="s">
        <v>18111</v>
      </c>
      <c r="I181" s="1173">
        <v>5.0E-4</v>
      </c>
      <c r="J181" s="1173">
        <v>0.9783</v>
      </c>
      <c r="K181" s="1168" t="s">
        <v>1413</v>
      </c>
    </row>
    <row r="182">
      <c r="A182" s="1168">
        <v>178.0</v>
      </c>
      <c r="B182" s="1168" t="s">
        <v>1882</v>
      </c>
      <c r="C182" s="1169" t="s">
        <v>1729</v>
      </c>
      <c r="D182" s="1170" t="s">
        <v>1883</v>
      </c>
      <c r="E182" s="1168" t="s">
        <v>1788</v>
      </c>
      <c r="F182" s="1171">
        <v>2.85</v>
      </c>
      <c r="G182" s="1172" t="s">
        <v>18112</v>
      </c>
      <c r="H182" s="1172" t="s">
        <v>18113</v>
      </c>
      <c r="I182" s="1173">
        <v>5.0E-4</v>
      </c>
      <c r="J182" s="1173">
        <v>0.9788</v>
      </c>
      <c r="K182" s="1168" t="s">
        <v>1413</v>
      </c>
    </row>
    <row r="183">
      <c r="A183" s="1168">
        <v>181.0</v>
      </c>
      <c r="B183" s="1168" t="s">
        <v>2023</v>
      </c>
      <c r="C183" s="1169" t="s">
        <v>1729</v>
      </c>
      <c r="D183" s="1170" t="s">
        <v>2024</v>
      </c>
      <c r="E183" s="1168" t="s">
        <v>1788</v>
      </c>
      <c r="F183" s="1171">
        <v>3.57</v>
      </c>
      <c r="G183" s="1172" t="s">
        <v>18114</v>
      </c>
      <c r="H183" s="1172" t="s">
        <v>18115</v>
      </c>
      <c r="I183" s="1173">
        <v>4.0E-4</v>
      </c>
      <c r="J183" s="1173">
        <v>0.9792</v>
      </c>
      <c r="K183" s="1168" t="s">
        <v>1413</v>
      </c>
    </row>
    <row r="184">
      <c r="A184" s="1168">
        <v>182.0</v>
      </c>
      <c r="B184" s="1168">
        <v>86877.0</v>
      </c>
      <c r="C184" s="1169" t="s">
        <v>17759</v>
      </c>
      <c r="D184" s="1170" t="s">
        <v>15323</v>
      </c>
      <c r="E184" s="1168" t="s">
        <v>1788</v>
      </c>
      <c r="F184" s="1171">
        <v>0.71</v>
      </c>
      <c r="G184" s="1172" t="s">
        <v>18116</v>
      </c>
      <c r="H184" s="1172" t="s">
        <v>18117</v>
      </c>
      <c r="I184" s="1173">
        <v>4.0E-4</v>
      </c>
      <c r="J184" s="1173">
        <v>0.9796</v>
      </c>
      <c r="K184" s="1168" t="s">
        <v>1413</v>
      </c>
    </row>
    <row r="185">
      <c r="A185" s="1168">
        <v>183.0</v>
      </c>
      <c r="B185" s="1168">
        <v>97609.0</v>
      </c>
      <c r="C185" s="1169" t="s">
        <v>17759</v>
      </c>
      <c r="D185" s="1170" t="s">
        <v>13365</v>
      </c>
      <c r="E185" s="1168" t="s">
        <v>1788</v>
      </c>
      <c r="F185" s="1171">
        <v>4.99</v>
      </c>
      <c r="G185" s="1172" t="s">
        <v>18118</v>
      </c>
      <c r="H185" s="1172" t="s">
        <v>18119</v>
      </c>
      <c r="I185" s="1173">
        <v>4.0E-4</v>
      </c>
      <c r="J185" s="1173">
        <v>0.98</v>
      </c>
      <c r="K185" s="1168" t="s">
        <v>1413</v>
      </c>
    </row>
    <row r="186">
      <c r="A186" s="1168">
        <v>185.0</v>
      </c>
      <c r="B186" s="1168" t="s">
        <v>1854</v>
      </c>
      <c r="C186" s="1169" t="s">
        <v>1729</v>
      </c>
      <c r="D186" s="1170" t="s">
        <v>1855</v>
      </c>
      <c r="E186" s="1168" t="s">
        <v>1788</v>
      </c>
      <c r="F186" s="1171">
        <v>0.71</v>
      </c>
      <c r="G186" s="1172" t="s">
        <v>18120</v>
      </c>
      <c r="H186" s="1172" t="s">
        <v>18121</v>
      </c>
      <c r="I186" s="1173">
        <v>4.0E-4</v>
      </c>
      <c r="J186" s="1173">
        <v>0.9805</v>
      </c>
      <c r="K186" s="1168" t="s">
        <v>1413</v>
      </c>
    </row>
    <row r="187">
      <c r="A187" s="1168">
        <v>184.0</v>
      </c>
      <c r="B187" s="1168">
        <v>97615.0</v>
      </c>
      <c r="C187" s="1169" t="s">
        <v>17759</v>
      </c>
      <c r="D187" s="1170" t="s">
        <v>13371</v>
      </c>
      <c r="E187" s="1168" t="s">
        <v>1788</v>
      </c>
      <c r="F187" s="1171">
        <v>1.43</v>
      </c>
      <c r="G187" s="1172" t="s">
        <v>18122</v>
      </c>
      <c r="H187" s="1172" t="s">
        <v>18123</v>
      </c>
      <c r="I187" s="1173">
        <v>4.0E-4</v>
      </c>
      <c r="J187" s="1173">
        <v>0.9809</v>
      </c>
      <c r="K187" s="1168" t="s">
        <v>1413</v>
      </c>
    </row>
    <row r="188">
      <c r="A188" s="1168">
        <v>186.0</v>
      </c>
      <c r="B188" s="1168" t="s">
        <v>1860</v>
      </c>
      <c r="C188" s="1169" t="s">
        <v>1729</v>
      </c>
      <c r="D188" s="1170" t="s">
        <v>1861</v>
      </c>
      <c r="E188" s="1168" t="s">
        <v>1788</v>
      </c>
      <c r="F188" s="1171">
        <v>0.71</v>
      </c>
      <c r="G188" s="1172" t="s">
        <v>18124</v>
      </c>
      <c r="H188" s="1172" t="s">
        <v>18125</v>
      </c>
      <c r="I188" s="1173">
        <v>4.0E-4</v>
      </c>
      <c r="J188" s="1173">
        <v>0.9813</v>
      </c>
      <c r="K188" s="1168" t="s">
        <v>1413</v>
      </c>
    </row>
    <row r="189">
      <c r="A189" s="1168">
        <v>187.0</v>
      </c>
      <c r="B189" s="1168">
        <v>91927.0</v>
      </c>
      <c r="C189" s="1169" t="s">
        <v>17759</v>
      </c>
      <c r="D189" s="1170" t="s">
        <v>18126</v>
      </c>
      <c r="E189" s="1168" t="s">
        <v>1731</v>
      </c>
      <c r="F189" s="1171">
        <v>17.83</v>
      </c>
      <c r="G189" s="1172" t="s">
        <v>18127</v>
      </c>
      <c r="H189" s="1172" t="s">
        <v>18128</v>
      </c>
      <c r="I189" s="1173">
        <v>4.0E-4</v>
      </c>
      <c r="J189" s="1173">
        <v>0.9817</v>
      </c>
      <c r="K189" s="1168" t="s">
        <v>1413</v>
      </c>
    </row>
    <row r="190">
      <c r="A190" s="1168">
        <v>188.0</v>
      </c>
      <c r="B190" s="1168">
        <v>89557.0</v>
      </c>
      <c r="C190" s="1169" t="s">
        <v>17759</v>
      </c>
      <c r="D190" s="1170" t="s">
        <v>14111</v>
      </c>
      <c r="E190" s="1168" t="s">
        <v>1788</v>
      </c>
      <c r="F190" s="1171">
        <v>2.5</v>
      </c>
      <c r="G190" s="1172" t="s">
        <v>18129</v>
      </c>
      <c r="H190" s="1172" t="s">
        <v>18130</v>
      </c>
      <c r="I190" s="1173">
        <v>4.0E-4</v>
      </c>
      <c r="J190" s="1173">
        <v>0.982</v>
      </c>
      <c r="K190" s="1168" t="s">
        <v>1413</v>
      </c>
    </row>
    <row r="191">
      <c r="A191" s="1168">
        <v>189.0</v>
      </c>
      <c r="B191" s="1168">
        <v>89969.0</v>
      </c>
      <c r="C191" s="1169" t="s">
        <v>17759</v>
      </c>
      <c r="D191" s="1170" t="s">
        <v>18131</v>
      </c>
      <c r="E191" s="1168" t="s">
        <v>1788</v>
      </c>
      <c r="F191" s="1171">
        <v>1.78</v>
      </c>
      <c r="G191" s="1172" t="s">
        <v>18132</v>
      </c>
      <c r="H191" s="1172" t="s">
        <v>18133</v>
      </c>
      <c r="I191" s="1173">
        <v>4.0E-4</v>
      </c>
      <c r="J191" s="1173">
        <v>0.9824</v>
      </c>
      <c r="K191" s="1168" t="s">
        <v>1413</v>
      </c>
    </row>
    <row r="192">
      <c r="A192" s="1168">
        <v>190.0</v>
      </c>
      <c r="B192" s="1168" t="s">
        <v>1991</v>
      </c>
      <c r="C192" s="1169" t="s">
        <v>1729</v>
      </c>
      <c r="D192" s="1170" t="s">
        <v>1992</v>
      </c>
      <c r="E192" s="1168" t="s">
        <v>1731</v>
      </c>
      <c r="F192" s="1171">
        <v>3.57</v>
      </c>
      <c r="G192" s="1172" t="s">
        <v>18134</v>
      </c>
      <c r="H192" s="1172" t="s">
        <v>18135</v>
      </c>
      <c r="I192" s="1173">
        <v>3.0E-4</v>
      </c>
      <c r="J192" s="1173">
        <v>0.9827</v>
      </c>
      <c r="K192" s="1168" t="s">
        <v>1413</v>
      </c>
    </row>
    <row r="193">
      <c r="A193" s="1168">
        <v>191.0</v>
      </c>
      <c r="B193" s="1168">
        <v>96718.0</v>
      </c>
      <c r="C193" s="1169" t="s">
        <v>17759</v>
      </c>
      <c r="D193" s="1170" t="s">
        <v>18136</v>
      </c>
      <c r="E193" s="1168" t="s">
        <v>1731</v>
      </c>
      <c r="F193" s="1171">
        <v>7.13</v>
      </c>
      <c r="G193" s="1172" t="s">
        <v>18137</v>
      </c>
      <c r="H193" s="1172" t="s">
        <v>18138</v>
      </c>
      <c r="I193" s="1173">
        <v>4.0E-4</v>
      </c>
      <c r="J193" s="1173">
        <v>0.9831</v>
      </c>
      <c r="K193" s="1168" t="s">
        <v>1413</v>
      </c>
    </row>
    <row r="194">
      <c r="A194" s="1168">
        <v>192.0</v>
      </c>
      <c r="B194" s="1168">
        <v>102153.0</v>
      </c>
      <c r="C194" s="1169" t="s">
        <v>17759</v>
      </c>
      <c r="D194" s="1170" t="s">
        <v>12354</v>
      </c>
      <c r="E194" s="1168" t="s">
        <v>1814</v>
      </c>
      <c r="F194" s="1171">
        <v>0.36</v>
      </c>
      <c r="G194" s="1172" t="s">
        <v>18139</v>
      </c>
      <c r="H194" s="1172" t="s">
        <v>18140</v>
      </c>
      <c r="I194" s="1173">
        <v>4.0E-4</v>
      </c>
      <c r="J194" s="1173">
        <v>0.9835</v>
      </c>
      <c r="K194" s="1168" t="s">
        <v>1413</v>
      </c>
    </row>
    <row r="195">
      <c r="A195" s="1168">
        <v>193.0</v>
      </c>
      <c r="B195" s="1168">
        <v>97583.0</v>
      </c>
      <c r="C195" s="1169" t="s">
        <v>17759</v>
      </c>
      <c r="D195" s="1170" t="s">
        <v>13350</v>
      </c>
      <c r="E195" s="1168" t="s">
        <v>1788</v>
      </c>
      <c r="F195" s="1171">
        <v>0.71</v>
      </c>
      <c r="G195" s="1172" t="s">
        <v>18141</v>
      </c>
      <c r="H195" s="1172" t="s">
        <v>18142</v>
      </c>
      <c r="I195" s="1173">
        <v>3.0E-4</v>
      </c>
      <c r="J195" s="1173">
        <v>0.9838</v>
      </c>
      <c r="K195" s="1168" t="s">
        <v>1413</v>
      </c>
    </row>
    <row r="196">
      <c r="A196" s="1168">
        <v>194.0</v>
      </c>
      <c r="B196" s="1168" t="s">
        <v>1822</v>
      </c>
      <c r="C196" s="1169" t="s">
        <v>1729</v>
      </c>
      <c r="D196" s="1170" t="s">
        <v>1823</v>
      </c>
      <c r="E196" s="1168" t="s">
        <v>1788</v>
      </c>
      <c r="F196" s="1171">
        <v>2.14</v>
      </c>
      <c r="G196" s="1172" t="s">
        <v>18143</v>
      </c>
      <c r="H196" s="1172" t="s">
        <v>18144</v>
      </c>
      <c r="I196" s="1173">
        <v>3.0E-4</v>
      </c>
      <c r="J196" s="1173">
        <v>0.9842</v>
      </c>
      <c r="K196" s="1168" t="s">
        <v>1413</v>
      </c>
    </row>
    <row r="197">
      <c r="A197" s="1168">
        <v>195.0</v>
      </c>
      <c r="B197" s="1168">
        <v>86910.0</v>
      </c>
      <c r="C197" s="1169" t="s">
        <v>17759</v>
      </c>
      <c r="D197" s="1170" t="s">
        <v>15349</v>
      </c>
      <c r="E197" s="1168" t="s">
        <v>1788</v>
      </c>
      <c r="F197" s="1171">
        <v>0.71</v>
      </c>
      <c r="G197" s="1172" t="s">
        <v>18145</v>
      </c>
      <c r="H197" s="1172" t="s">
        <v>18146</v>
      </c>
      <c r="I197" s="1173">
        <v>3.0E-4</v>
      </c>
      <c r="J197" s="1173">
        <v>0.9845</v>
      </c>
      <c r="K197" s="1168" t="s">
        <v>1413</v>
      </c>
    </row>
    <row r="198">
      <c r="A198" s="1168">
        <v>196.0</v>
      </c>
      <c r="B198" s="1168">
        <v>91785.0</v>
      </c>
      <c r="C198" s="1169" t="s">
        <v>17759</v>
      </c>
      <c r="D198" s="1170" t="s">
        <v>13750</v>
      </c>
      <c r="E198" s="1168" t="s">
        <v>1731</v>
      </c>
      <c r="F198" s="1171">
        <v>1.43</v>
      </c>
      <c r="G198" s="1172" t="s">
        <v>18147</v>
      </c>
      <c r="H198" s="1172" t="s">
        <v>18148</v>
      </c>
      <c r="I198" s="1173">
        <v>3.0E-4</v>
      </c>
      <c r="J198" s="1173">
        <v>0.9848</v>
      </c>
      <c r="K198" s="1168" t="s">
        <v>1413</v>
      </c>
    </row>
    <row r="199">
      <c r="A199" s="1168">
        <v>197.0</v>
      </c>
      <c r="B199" s="1168" t="s">
        <v>1949</v>
      </c>
      <c r="C199" s="1169" t="s">
        <v>1729</v>
      </c>
      <c r="D199" s="1170" t="s">
        <v>1950</v>
      </c>
      <c r="E199" s="1168" t="s">
        <v>1814</v>
      </c>
      <c r="F199" s="1171">
        <v>2.5</v>
      </c>
      <c r="G199" s="1172" t="s">
        <v>18149</v>
      </c>
      <c r="H199" s="1172" t="s">
        <v>18150</v>
      </c>
      <c r="I199" s="1173">
        <v>3.0E-4</v>
      </c>
      <c r="J199" s="1173">
        <v>0.9851</v>
      </c>
      <c r="K199" s="1168" t="s">
        <v>1413</v>
      </c>
    </row>
    <row r="200">
      <c r="A200" s="1168">
        <v>198.0</v>
      </c>
      <c r="B200" s="1168">
        <v>89985.0</v>
      </c>
      <c r="C200" s="1169" t="s">
        <v>17759</v>
      </c>
      <c r="D200" s="1170" t="s">
        <v>15487</v>
      </c>
      <c r="E200" s="1168" t="s">
        <v>1788</v>
      </c>
      <c r="F200" s="1171">
        <v>0.71</v>
      </c>
      <c r="G200" s="1172" t="s">
        <v>18151</v>
      </c>
      <c r="H200" s="1172" t="s">
        <v>18152</v>
      </c>
      <c r="I200" s="1173">
        <v>3.0E-4</v>
      </c>
      <c r="J200" s="1173">
        <v>0.9854</v>
      </c>
      <c r="K200" s="1168" t="s">
        <v>1413</v>
      </c>
    </row>
    <row r="201">
      <c r="A201" s="1168">
        <v>200.0</v>
      </c>
      <c r="B201" s="1168" t="s">
        <v>1927</v>
      </c>
      <c r="C201" s="1169" t="s">
        <v>1729</v>
      </c>
      <c r="D201" s="1170" t="s">
        <v>1928</v>
      </c>
      <c r="E201" s="1168" t="s">
        <v>1788</v>
      </c>
      <c r="F201" s="1171">
        <v>1.07</v>
      </c>
      <c r="G201" s="1172" t="s">
        <v>18153</v>
      </c>
      <c r="H201" s="1172" t="s">
        <v>18154</v>
      </c>
      <c r="I201" s="1173">
        <v>3.0E-4</v>
      </c>
      <c r="J201" s="1173">
        <v>0.9858</v>
      </c>
      <c r="K201" s="1168" t="s">
        <v>1413</v>
      </c>
    </row>
    <row r="202">
      <c r="A202" s="1168">
        <v>199.0</v>
      </c>
      <c r="B202" s="1168">
        <v>38179.0</v>
      </c>
      <c r="C202" s="1169" t="s">
        <v>17759</v>
      </c>
      <c r="D202" s="1170" t="s">
        <v>9151</v>
      </c>
      <c r="E202" s="1168" t="s">
        <v>1788</v>
      </c>
      <c r="F202" s="1171">
        <v>1.43</v>
      </c>
      <c r="G202" s="1172" t="s">
        <v>18155</v>
      </c>
      <c r="H202" s="1172" t="s">
        <v>18156</v>
      </c>
      <c r="I202" s="1173">
        <v>3.0E-4</v>
      </c>
      <c r="J202" s="1173">
        <v>0.9861</v>
      </c>
      <c r="K202" s="1168" t="s">
        <v>1413</v>
      </c>
    </row>
    <row r="203">
      <c r="A203" s="1168">
        <v>201.0</v>
      </c>
      <c r="B203" s="1168">
        <v>101894.0</v>
      </c>
      <c r="C203" s="1169" t="s">
        <v>17759</v>
      </c>
      <c r="D203" s="1170" t="s">
        <v>13247</v>
      </c>
      <c r="E203" s="1168" t="s">
        <v>1788</v>
      </c>
      <c r="F203" s="1171">
        <v>0.36</v>
      </c>
      <c r="G203" s="1172" t="s">
        <v>18157</v>
      </c>
      <c r="H203" s="1172" t="s">
        <v>18158</v>
      </c>
      <c r="I203" s="1173">
        <v>3.0E-4</v>
      </c>
      <c r="J203" s="1173">
        <v>0.9863</v>
      </c>
      <c r="K203" s="1168" t="s">
        <v>1413</v>
      </c>
    </row>
    <row r="204">
      <c r="A204" s="1168">
        <v>202.0</v>
      </c>
      <c r="B204" s="1168">
        <v>3777.0</v>
      </c>
      <c r="C204" s="1169" t="s">
        <v>17759</v>
      </c>
      <c r="D204" s="1170" t="s">
        <v>7951</v>
      </c>
      <c r="E204" s="1168" t="s">
        <v>1814</v>
      </c>
      <c r="F204" s="1171">
        <v>35.67</v>
      </c>
      <c r="G204" s="1172" t="s">
        <v>18159</v>
      </c>
      <c r="H204" s="1172" t="s">
        <v>18160</v>
      </c>
      <c r="I204" s="1173">
        <v>3.0E-4</v>
      </c>
      <c r="J204" s="1173">
        <v>0.9866</v>
      </c>
      <c r="K204" s="1168" t="s">
        <v>1413</v>
      </c>
    </row>
    <row r="205">
      <c r="A205" s="1168">
        <v>203.0</v>
      </c>
      <c r="B205" s="1168">
        <v>103323.0</v>
      </c>
      <c r="C205" s="1169" t="s">
        <v>17759</v>
      </c>
      <c r="D205" s="1170" t="s">
        <v>16034</v>
      </c>
      <c r="E205" s="1168" t="s">
        <v>1814</v>
      </c>
      <c r="F205" s="1171">
        <v>1.07</v>
      </c>
      <c r="G205" s="1172" t="s">
        <v>18161</v>
      </c>
      <c r="H205" s="1172" t="s">
        <v>18162</v>
      </c>
      <c r="I205" s="1173">
        <v>3.0E-4</v>
      </c>
      <c r="J205" s="1173">
        <v>0.9869</v>
      </c>
      <c r="K205" s="1168" t="s">
        <v>1413</v>
      </c>
    </row>
    <row r="206">
      <c r="A206" s="1168">
        <v>204.0</v>
      </c>
      <c r="B206" s="1168">
        <v>93666.0</v>
      </c>
      <c r="C206" s="1169" t="s">
        <v>17759</v>
      </c>
      <c r="D206" s="1170" t="s">
        <v>13222</v>
      </c>
      <c r="E206" s="1168" t="s">
        <v>1788</v>
      </c>
      <c r="F206" s="1171">
        <v>0.71</v>
      </c>
      <c r="G206" s="1172" t="s">
        <v>18163</v>
      </c>
      <c r="H206" s="1172" t="s">
        <v>18164</v>
      </c>
      <c r="I206" s="1173">
        <v>3.0E-4</v>
      </c>
      <c r="J206" s="1173">
        <v>0.9872</v>
      </c>
      <c r="K206" s="1168" t="s">
        <v>1413</v>
      </c>
    </row>
    <row r="207">
      <c r="A207" s="1168">
        <v>205.0</v>
      </c>
      <c r="B207" s="1168" t="s">
        <v>1906</v>
      </c>
      <c r="C207" s="1169" t="s">
        <v>1729</v>
      </c>
      <c r="D207" s="1170" t="s">
        <v>1907</v>
      </c>
      <c r="E207" s="1168" t="s">
        <v>1788</v>
      </c>
      <c r="F207" s="1171">
        <v>2.14</v>
      </c>
      <c r="G207" s="1172" t="s">
        <v>18165</v>
      </c>
      <c r="H207" s="1172" t="s">
        <v>18166</v>
      </c>
      <c r="I207" s="1173">
        <v>3.0E-4</v>
      </c>
      <c r="J207" s="1173">
        <v>0.9875</v>
      </c>
      <c r="K207" s="1168" t="s">
        <v>1413</v>
      </c>
    </row>
    <row r="208">
      <c r="A208" s="1168">
        <v>206.0</v>
      </c>
      <c r="B208" s="1168">
        <v>95248.0</v>
      </c>
      <c r="C208" s="1169" t="s">
        <v>17759</v>
      </c>
      <c r="D208" s="1170" t="s">
        <v>15512</v>
      </c>
      <c r="E208" s="1168" t="s">
        <v>1788</v>
      </c>
      <c r="F208" s="1171">
        <v>1.07</v>
      </c>
      <c r="G208" s="1172" t="s">
        <v>18167</v>
      </c>
      <c r="H208" s="1172" t="s">
        <v>18168</v>
      </c>
      <c r="I208" s="1173">
        <v>3.0E-4</v>
      </c>
      <c r="J208" s="1173">
        <v>0.9877</v>
      </c>
      <c r="K208" s="1168" t="s">
        <v>1413</v>
      </c>
    </row>
    <row r="209">
      <c r="A209" s="1168">
        <v>207.0</v>
      </c>
      <c r="B209" s="1168">
        <v>92009.0</v>
      </c>
      <c r="C209" s="1169" t="s">
        <v>17759</v>
      </c>
      <c r="D209" s="1170" t="s">
        <v>18169</v>
      </c>
      <c r="E209" s="1168" t="s">
        <v>1788</v>
      </c>
      <c r="F209" s="1171">
        <v>1.07</v>
      </c>
      <c r="G209" s="1172" t="s">
        <v>18170</v>
      </c>
      <c r="H209" s="1172" t="s">
        <v>18171</v>
      </c>
      <c r="I209" s="1173">
        <v>3.0E-4</v>
      </c>
      <c r="J209" s="1173">
        <v>0.988</v>
      </c>
      <c r="K209" s="1168" t="s">
        <v>1413</v>
      </c>
    </row>
    <row r="210">
      <c r="A210" s="1168">
        <v>208.0</v>
      </c>
      <c r="B210" s="1168">
        <v>103425.0</v>
      </c>
      <c r="C210" s="1169" t="s">
        <v>17759</v>
      </c>
      <c r="D210" s="1170" t="s">
        <v>10596</v>
      </c>
      <c r="E210" s="1168" t="s">
        <v>1788</v>
      </c>
      <c r="F210" s="1171">
        <v>3.57</v>
      </c>
      <c r="G210" s="1172" t="s">
        <v>18172</v>
      </c>
      <c r="H210" s="1172" t="s">
        <v>18173</v>
      </c>
      <c r="I210" s="1173">
        <v>3.0E-4</v>
      </c>
      <c r="J210" s="1173">
        <v>0.9883</v>
      </c>
      <c r="K210" s="1168" t="s">
        <v>1413</v>
      </c>
    </row>
    <row r="211">
      <c r="A211" s="1168">
        <v>209.0</v>
      </c>
      <c r="B211" s="1168">
        <v>104357.0</v>
      </c>
      <c r="C211" s="1169" t="s">
        <v>17759</v>
      </c>
      <c r="D211" s="1170" t="s">
        <v>15242</v>
      </c>
      <c r="E211" s="1168" t="s">
        <v>1788</v>
      </c>
      <c r="F211" s="1171">
        <v>2.85</v>
      </c>
      <c r="G211" s="1172" t="s">
        <v>18174</v>
      </c>
      <c r="H211" s="1172" t="s">
        <v>18175</v>
      </c>
      <c r="I211" s="1173">
        <v>3.0E-4</v>
      </c>
      <c r="J211" s="1173">
        <v>0.9885</v>
      </c>
      <c r="K211" s="1168" t="s">
        <v>1413</v>
      </c>
    </row>
    <row r="212">
      <c r="A212" s="1168">
        <v>210.0</v>
      </c>
      <c r="B212" s="1168">
        <v>98307.0</v>
      </c>
      <c r="C212" s="1169" t="s">
        <v>17759</v>
      </c>
      <c r="D212" s="1170" t="s">
        <v>13703</v>
      </c>
      <c r="E212" s="1168" t="s">
        <v>1788</v>
      </c>
      <c r="F212" s="1171">
        <v>1.07</v>
      </c>
      <c r="G212" s="1172" t="s">
        <v>18176</v>
      </c>
      <c r="H212" s="1172" t="s">
        <v>18177</v>
      </c>
      <c r="I212" s="1173">
        <v>3.0E-4</v>
      </c>
      <c r="J212" s="1173">
        <v>0.9888</v>
      </c>
      <c r="K212" s="1168" t="s">
        <v>1413</v>
      </c>
    </row>
    <row r="213">
      <c r="A213" s="1168">
        <v>211.0</v>
      </c>
      <c r="B213" s="1168">
        <v>86914.0</v>
      </c>
      <c r="C213" s="1169" t="s">
        <v>17759</v>
      </c>
      <c r="D213" s="1170" t="s">
        <v>15352</v>
      </c>
      <c r="E213" s="1168" t="s">
        <v>1788</v>
      </c>
      <c r="F213" s="1171">
        <v>0.71</v>
      </c>
      <c r="G213" s="1172" t="s">
        <v>18178</v>
      </c>
      <c r="H213" s="1172" t="s">
        <v>18179</v>
      </c>
      <c r="I213" s="1173">
        <v>3.0E-4</v>
      </c>
      <c r="J213" s="1173">
        <v>0.9891</v>
      </c>
      <c r="K213" s="1168" t="s">
        <v>1413</v>
      </c>
    </row>
    <row r="214">
      <c r="A214" s="1168">
        <v>212.0</v>
      </c>
      <c r="B214" s="1168">
        <v>94498.0</v>
      </c>
      <c r="C214" s="1169" t="s">
        <v>17759</v>
      </c>
      <c r="D214" s="1170" t="s">
        <v>15499</v>
      </c>
      <c r="E214" s="1168" t="s">
        <v>1788</v>
      </c>
      <c r="F214" s="1171">
        <v>0.36</v>
      </c>
      <c r="G214" s="1172" t="s">
        <v>18180</v>
      </c>
      <c r="H214" s="1172" t="s">
        <v>18181</v>
      </c>
      <c r="I214" s="1173">
        <v>2.0E-4</v>
      </c>
      <c r="J214" s="1173">
        <v>0.9893</v>
      </c>
      <c r="K214" s="1168" t="s">
        <v>1413</v>
      </c>
    </row>
    <row r="215">
      <c r="A215" s="1168">
        <v>213.0</v>
      </c>
      <c r="B215" s="1168">
        <v>100751.0</v>
      </c>
      <c r="C215" s="1169" t="s">
        <v>17759</v>
      </c>
      <c r="D215" s="1170" t="s">
        <v>16363</v>
      </c>
      <c r="E215" s="1168" t="s">
        <v>1814</v>
      </c>
      <c r="F215" s="1171">
        <v>1.43</v>
      </c>
      <c r="G215" s="1172" t="s">
        <v>18182</v>
      </c>
      <c r="H215" s="1172" t="s">
        <v>18183</v>
      </c>
      <c r="I215" s="1173">
        <v>3.0E-4</v>
      </c>
      <c r="J215" s="1173">
        <v>0.9896</v>
      </c>
      <c r="K215" s="1168" t="s">
        <v>1413</v>
      </c>
    </row>
    <row r="216">
      <c r="A216" s="1168">
        <v>214.0</v>
      </c>
      <c r="B216" s="1168">
        <v>100808.0</v>
      </c>
      <c r="C216" s="1169" t="s">
        <v>17759</v>
      </c>
      <c r="D216" s="1170" t="s">
        <v>13931</v>
      </c>
      <c r="E216" s="1168" t="s">
        <v>1731</v>
      </c>
      <c r="F216" s="1171">
        <v>1.43</v>
      </c>
      <c r="G216" s="1172" t="s">
        <v>18184</v>
      </c>
      <c r="H216" s="1172" t="s">
        <v>18185</v>
      </c>
      <c r="I216" s="1173">
        <v>2.0E-4</v>
      </c>
      <c r="J216" s="1173">
        <v>0.9898</v>
      </c>
      <c r="K216" s="1168" t="s">
        <v>1413</v>
      </c>
    </row>
    <row r="217">
      <c r="A217" s="1168">
        <v>215.0</v>
      </c>
      <c r="B217" s="1168">
        <v>94798.0</v>
      </c>
      <c r="C217" s="1169" t="s">
        <v>17759</v>
      </c>
      <c r="D217" s="1170" t="s">
        <v>15509</v>
      </c>
      <c r="E217" s="1168" t="s">
        <v>1788</v>
      </c>
      <c r="F217" s="1171">
        <v>0.36</v>
      </c>
      <c r="G217" s="1172" t="s">
        <v>18186</v>
      </c>
      <c r="H217" s="1172" t="s">
        <v>18187</v>
      </c>
      <c r="I217" s="1173">
        <v>2.0E-4</v>
      </c>
      <c r="J217" s="1173">
        <v>0.99</v>
      </c>
      <c r="K217" s="1168" t="s">
        <v>1413</v>
      </c>
    </row>
    <row r="218">
      <c r="A218" s="1168">
        <v>216.0</v>
      </c>
      <c r="B218" s="1168">
        <v>104480.0</v>
      </c>
      <c r="C218" s="1169" t="s">
        <v>17759</v>
      </c>
      <c r="D218" s="1170" t="s">
        <v>13569</v>
      </c>
      <c r="E218" s="1168" t="s">
        <v>1788</v>
      </c>
      <c r="F218" s="1171">
        <v>0.36</v>
      </c>
      <c r="G218" s="1172" t="s">
        <v>18188</v>
      </c>
      <c r="H218" s="1172" t="s">
        <v>18189</v>
      </c>
      <c r="I218" s="1173">
        <v>2.0E-4</v>
      </c>
      <c r="J218" s="1173">
        <v>0.9903</v>
      </c>
      <c r="K218" s="1168" t="s">
        <v>1413</v>
      </c>
    </row>
    <row r="219">
      <c r="A219" s="1168">
        <v>217.0</v>
      </c>
      <c r="B219" s="1168">
        <v>95305.0</v>
      </c>
      <c r="C219" s="1169" t="s">
        <v>17759</v>
      </c>
      <c r="D219" s="1170" t="s">
        <v>18190</v>
      </c>
      <c r="E219" s="1168" t="s">
        <v>1814</v>
      </c>
      <c r="F219" s="1171">
        <v>3.57</v>
      </c>
      <c r="G219" s="1172" t="s">
        <v>18191</v>
      </c>
      <c r="H219" s="1172" t="s">
        <v>18192</v>
      </c>
      <c r="I219" s="1173">
        <v>2.0E-4</v>
      </c>
      <c r="J219" s="1173">
        <v>0.9905</v>
      </c>
      <c r="K219" s="1168" t="s">
        <v>1413</v>
      </c>
    </row>
    <row r="220">
      <c r="A220" s="1168">
        <v>218.0</v>
      </c>
      <c r="B220" s="1168">
        <v>91995.0</v>
      </c>
      <c r="C220" s="1169" t="s">
        <v>17759</v>
      </c>
      <c r="D220" s="1170" t="s">
        <v>18193</v>
      </c>
      <c r="E220" s="1168" t="s">
        <v>1788</v>
      </c>
      <c r="F220" s="1171">
        <v>1.78</v>
      </c>
      <c r="G220" s="1172" t="s">
        <v>18194</v>
      </c>
      <c r="H220" s="1172" t="s">
        <v>18195</v>
      </c>
      <c r="I220" s="1173">
        <v>2.0E-4</v>
      </c>
      <c r="J220" s="1173">
        <v>0.9908</v>
      </c>
      <c r="K220" s="1168" t="s">
        <v>1413</v>
      </c>
    </row>
    <row r="221">
      <c r="A221" s="1168">
        <v>219.0</v>
      </c>
      <c r="B221" s="1168" t="s">
        <v>1999</v>
      </c>
      <c r="C221" s="1169" t="s">
        <v>1729</v>
      </c>
      <c r="D221" s="1170" t="s">
        <v>2000</v>
      </c>
      <c r="E221" s="1168" t="s">
        <v>1788</v>
      </c>
      <c r="F221" s="1171">
        <v>1.43</v>
      </c>
      <c r="G221" s="1172" t="s">
        <v>18196</v>
      </c>
      <c r="H221" s="1172" t="s">
        <v>18197</v>
      </c>
      <c r="I221" s="1173">
        <v>2.0E-4</v>
      </c>
      <c r="J221" s="1173">
        <v>0.991</v>
      </c>
      <c r="K221" s="1168" t="s">
        <v>1413</v>
      </c>
    </row>
    <row r="222">
      <c r="A222" s="1168">
        <v>220.0</v>
      </c>
      <c r="B222" s="1168" t="s">
        <v>1939</v>
      </c>
      <c r="C222" s="1169" t="s">
        <v>1729</v>
      </c>
      <c r="D222" s="1170" t="s">
        <v>1940</v>
      </c>
      <c r="E222" s="1168" t="s">
        <v>1788</v>
      </c>
      <c r="F222" s="1171">
        <v>1.07</v>
      </c>
      <c r="G222" s="1172" t="s">
        <v>18198</v>
      </c>
      <c r="H222" s="1172" t="s">
        <v>18199</v>
      </c>
      <c r="I222" s="1173">
        <v>2.0E-4</v>
      </c>
      <c r="J222" s="1173">
        <v>0.9912</v>
      </c>
      <c r="K222" s="1168" t="s">
        <v>1413</v>
      </c>
    </row>
    <row r="223">
      <c r="A223" s="1168">
        <v>221.0</v>
      </c>
      <c r="B223" s="1168" t="s">
        <v>1969</v>
      </c>
      <c r="C223" s="1169" t="s">
        <v>1729</v>
      </c>
      <c r="D223" s="1170" t="s">
        <v>1970</v>
      </c>
      <c r="E223" s="1168" t="s">
        <v>1788</v>
      </c>
      <c r="F223" s="1171">
        <v>1.07</v>
      </c>
      <c r="G223" s="1172" t="s">
        <v>18200</v>
      </c>
      <c r="H223" s="1172" t="s">
        <v>18201</v>
      </c>
      <c r="I223" s="1173">
        <v>2.0E-4</v>
      </c>
      <c r="J223" s="1173">
        <v>0.9915</v>
      </c>
      <c r="K223" s="1168" t="s">
        <v>1413</v>
      </c>
    </row>
    <row r="224">
      <c r="A224" s="1168">
        <v>222.0</v>
      </c>
      <c r="B224" s="1168">
        <v>92001.0</v>
      </c>
      <c r="C224" s="1169" t="s">
        <v>17759</v>
      </c>
      <c r="D224" s="1170" t="s">
        <v>18202</v>
      </c>
      <c r="E224" s="1168" t="s">
        <v>1788</v>
      </c>
      <c r="F224" s="1171">
        <v>1.43</v>
      </c>
      <c r="G224" s="1172" t="s">
        <v>18203</v>
      </c>
      <c r="H224" s="1172" t="s">
        <v>18204</v>
      </c>
      <c r="I224" s="1173">
        <v>2.0E-4</v>
      </c>
      <c r="J224" s="1173">
        <v>0.9917</v>
      </c>
      <c r="K224" s="1168" t="s">
        <v>1413</v>
      </c>
    </row>
    <row r="225">
      <c r="A225" s="1168">
        <v>223.0</v>
      </c>
      <c r="B225" s="1168">
        <v>97064.0</v>
      </c>
      <c r="C225" s="1169" t="s">
        <v>17759</v>
      </c>
      <c r="D225" s="1170" t="s">
        <v>17116</v>
      </c>
      <c r="E225" s="1168" t="s">
        <v>1731</v>
      </c>
      <c r="F225" s="1171">
        <v>2.14</v>
      </c>
      <c r="G225" s="1172" t="s">
        <v>18205</v>
      </c>
      <c r="H225" s="1172" t="s">
        <v>18206</v>
      </c>
      <c r="I225" s="1173">
        <v>2.0E-4</v>
      </c>
      <c r="J225" s="1173">
        <v>0.9919</v>
      </c>
      <c r="K225" s="1168" t="s">
        <v>1413</v>
      </c>
    </row>
    <row r="226">
      <c r="A226" s="1168">
        <v>224.0</v>
      </c>
      <c r="B226" s="1168">
        <v>93203.0</v>
      </c>
      <c r="C226" s="1169" t="s">
        <v>17759</v>
      </c>
      <c r="D226" s="1170" t="s">
        <v>12902</v>
      </c>
      <c r="E226" s="1168" t="s">
        <v>1731</v>
      </c>
      <c r="F226" s="1171">
        <v>3.21</v>
      </c>
      <c r="G226" s="1172" t="s">
        <v>18207</v>
      </c>
      <c r="H226" s="1172" t="s">
        <v>18208</v>
      </c>
      <c r="I226" s="1173">
        <v>2.0E-4</v>
      </c>
      <c r="J226" s="1173">
        <v>0.9921</v>
      </c>
      <c r="K226" s="1168" t="s">
        <v>1413</v>
      </c>
    </row>
    <row r="227">
      <c r="A227" s="1168">
        <v>225.0</v>
      </c>
      <c r="B227" s="1168">
        <v>37400.0</v>
      </c>
      <c r="C227" s="1169" t="s">
        <v>17759</v>
      </c>
      <c r="D227" s="1170" t="s">
        <v>8533</v>
      </c>
      <c r="E227" s="1168" t="s">
        <v>1788</v>
      </c>
      <c r="F227" s="1171">
        <v>1.07</v>
      </c>
      <c r="G227" s="1172" t="s">
        <v>18209</v>
      </c>
      <c r="H227" s="1172" t="s">
        <v>18210</v>
      </c>
      <c r="I227" s="1173">
        <v>2.0E-4</v>
      </c>
      <c r="J227" s="1173">
        <v>0.9923</v>
      </c>
      <c r="K227" s="1168" t="s">
        <v>1413</v>
      </c>
    </row>
    <row r="228">
      <c r="A228" s="1168">
        <v>226.0</v>
      </c>
      <c r="B228" s="1168">
        <v>93653.0</v>
      </c>
      <c r="C228" s="1169" t="s">
        <v>17759</v>
      </c>
      <c r="D228" s="1170" t="s">
        <v>13209</v>
      </c>
      <c r="E228" s="1168" t="s">
        <v>1788</v>
      </c>
      <c r="F228" s="1171">
        <v>3.21</v>
      </c>
      <c r="G228" s="1172" t="s">
        <v>18211</v>
      </c>
      <c r="H228" s="1172" t="s">
        <v>18212</v>
      </c>
      <c r="I228" s="1173">
        <v>2.0E-4</v>
      </c>
      <c r="J228" s="1173">
        <v>0.9925</v>
      </c>
      <c r="K228" s="1168" t="s">
        <v>1413</v>
      </c>
    </row>
    <row r="229">
      <c r="A229" s="1168">
        <v>227.0</v>
      </c>
      <c r="B229" s="1168">
        <v>98532.0</v>
      </c>
      <c r="C229" s="1169" t="s">
        <v>17759</v>
      </c>
      <c r="D229" s="1170" t="s">
        <v>17370</v>
      </c>
      <c r="E229" s="1168" t="s">
        <v>1788</v>
      </c>
      <c r="F229" s="1171">
        <v>0.36</v>
      </c>
      <c r="G229" s="1172" t="s">
        <v>18213</v>
      </c>
      <c r="H229" s="1172" t="s">
        <v>18214</v>
      </c>
      <c r="I229" s="1173">
        <v>2.0E-4</v>
      </c>
      <c r="J229" s="1173">
        <v>0.9927</v>
      </c>
      <c r="K229" s="1168" t="s">
        <v>1413</v>
      </c>
    </row>
    <row r="230">
      <c r="A230" s="1168">
        <v>228.0</v>
      </c>
      <c r="B230" s="1168" t="s">
        <v>1943</v>
      </c>
      <c r="C230" s="1169" t="s">
        <v>1729</v>
      </c>
      <c r="D230" s="1170" t="s">
        <v>1944</v>
      </c>
      <c r="E230" s="1168" t="s">
        <v>1788</v>
      </c>
      <c r="F230" s="1171">
        <v>0.36</v>
      </c>
      <c r="G230" s="1172" t="s">
        <v>18215</v>
      </c>
      <c r="H230" s="1172" t="s">
        <v>18216</v>
      </c>
      <c r="I230" s="1173">
        <v>2.0E-4</v>
      </c>
      <c r="J230" s="1173">
        <v>0.9929</v>
      </c>
      <c r="K230" s="1168" t="s">
        <v>1413</v>
      </c>
    </row>
    <row r="231">
      <c r="A231" s="1168">
        <v>229.0</v>
      </c>
      <c r="B231" s="1168" t="s">
        <v>2027</v>
      </c>
      <c r="C231" s="1169" t="s">
        <v>1729</v>
      </c>
      <c r="D231" s="1170" t="s">
        <v>2028</v>
      </c>
      <c r="E231" s="1168" t="s">
        <v>1788</v>
      </c>
      <c r="F231" s="1171">
        <v>0.36</v>
      </c>
      <c r="G231" s="1172" t="s">
        <v>18217</v>
      </c>
      <c r="H231" s="1172" t="s">
        <v>18218</v>
      </c>
      <c r="I231" s="1173">
        <v>2.0E-4</v>
      </c>
      <c r="J231" s="1173">
        <v>0.9931</v>
      </c>
      <c r="K231" s="1168" t="s">
        <v>1413</v>
      </c>
    </row>
    <row r="232">
      <c r="A232" s="1168">
        <v>230.0</v>
      </c>
      <c r="B232" s="1168">
        <v>100748.0</v>
      </c>
      <c r="C232" s="1169" t="s">
        <v>17759</v>
      </c>
      <c r="D232" s="1170" t="s">
        <v>16360</v>
      </c>
      <c r="E232" s="1168" t="s">
        <v>1814</v>
      </c>
      <c r="F232" s="1171">
        <v>3.57</v>
      </c>
      <c r="G232" s="1172" t="s">
        <v>18219</v>
      </c>
      <c r="H232" s="1172" t="s">
        <v>18220</v>
      </c>
      <c r="I232" s="1173">
        <v>2.0E-4</v>
      </c>
      <c r="J232" s="1173">
        <v>0.9933</v>
      </c>
      <c r="K232" s="1168" t="s">
        <v>1413</v>
      </c>
    </row>
    <row r="233">
      <c r="A233" s="1168">
        <v>231.0</v>
      </c>
      <c r="B233" s="1168">
        <v>96803.0</v>
      </c>
      <c r="C233" s="1169" t="s">
        <v>17759</v>
      </c>
      <c r="D233" s="1170" t="s">
        <v>18221</v>
      </c>
      <c r="E233" s="1168" t="s">
        <v>1788</v>
      </c>
      <c r="F233" s="1171">
        <v>0.36</v>
      </c>
      <c r="G233" s="1172" t="s">
        <v>18222</v>
      </c>
      <c r="H233" s="1172" t="s">
        <v>18223</v>
      </c>
      <c r="I233" s="1173">
        <v>2.0E-4</v>
      </c>
      <c r="J233" s="1173">
        <v>0.9935</v>
      </c>
      <c r="K233" s="1168" t="s">
        <v>1413</v>
      </c>
    </row>
    <row r="234">
      <c r="A234" s="1168">
        <v>232.0</v>
      </c>
      <c r="B234" s="1168">
        <v>86915.0</v>
      </c>
      <c r="C234" s="1169" t="s">
        <v>17759</v>
      </c>
      <c r="D234" s="1170" t="s">
        <v>15353</v>
      </c>
      <c r="E234" s="1168" t="s">
        <v>1788</v>
      </c>
      <c r="F234" s="1171">
        <v>0.36</v>
      </c>
      <c r="G234" s="1172" t="s">
        <v>18224</v>
      </c>
      <c r="H234" s="1172" t="s">
        <v>18225</v>
      </c>
      <c r="I234" s="1173">
        <v>2.0E-4</v>
      </c>
      <c r="J234" s="1173">
        <v>0.9937</v>
      </c>
      <c r="K234" s="1168" t="s">
        <v>1413</v>
      </c>
    </row>
    <row r="235">
      <c r="A235" s="1168">
        <v>233.0</v>
      </c>
      <c r="B235" s="1168">
        <v>101633.0</v>
      </c>
      <c r="C235" s="1169" t="s">
        <v>17759</v>
      </c>
      <c r="D235" s="1170" t="s">
        <v>13466</v>
      </c>
      <c r="E235" s="1168" t="s">
        <v>1788</v>
      </c>
      <c r="F235" s="1171">
        <v>0.36</v>
      </c>
      <c r="G235" s="1172" t="s">
        <v>18226</v>
      </c>
      <c r="H235" s="1172" t="s">
        <v>18227</v>
      </c>
      <c r="I235" s="1173">
        <v>2.0E-4</v>
      </c>
      <c r="J235" s="1173">
        <v>0.9939</v>
      </c>
      <c r="K235" s="1168" t="s">
        <v>1413</v>
      </c>
    </row>
    <row r="236">
      <c r="A236" s="1168">
        <v>234.0</v>
      </c>
      <c r="B236" s="1168" t="s">
        <v>1889</v>
      </c>
      <c r="C236" s="1169" t="s">
        <v>1729</v>
      </c>
      <c r="D236" s="1170" t="s">
        <v>1890</v>
      </c>
      <c r="E236" s="1168" t="s">
        <v>1788</v>
      </c>
      <c r="F236" s="1171">
        <v>0.36</v>
      </c>
      <c r="G236" s="1172" t="s">
        <v>18228</v>
      </c>
      <c r="H236" s="1172" t="s">
        <v>18229</v>
      </c>
      <c r="I236" s="1173">
        <v>2.0E-4</v>
      </c>
      <c r="J236" s="1173">
        <v>0.994</v>
      </c>
      <c r="K236" s="1168" t="s">
        <v>1413</v>
      </c>
    </row>
    <row r="237">
      <c r="A237" s="1168">
        <v>235.0</v>
      </c>
      <c r="B237" s="1168">
        <v>21012.0</v>
      </c>
      <c r="C237" s="1169" t="s">
        <v>17759</v>
      </c>
      <c r="D237" s="1170" t="s">
        <v>9809</v>
      </c>
      <c r="E237" s="1168" t="s">
        <v>1731</v>
      </c>
      <c r="F237" s="1171">
        <v>0.71</v>
      </c>
      <c r="G237" s="1172" t="s">
        <v>18230</v>
      </c>
      <c r="H237" s="1172" t="s">
        <v>18231</v>
      </c>
      <c r="I237" s="1173">
        <v>2.0E-4</v>
      </c>
      <c r="J237" s="1173">
        <v>0.9942</v>
      </c>
      <c r="K237" s="1168" t="s">
        <v>1413</v>
      </c>
    </row>
    <row r="238">
      <c r="A238" s="1168">
        <v>236.0</v>
      </c>
      <c r="B238" s="1168">
        <v>104395.0</v>
      </c>
      <c r="C238" s="1169" t="s">
        <v>17759</v>
      </c>
      <c r="D238" s="1170" t="s">
        <v>13105</v>
      </c>
      <c r="E238" s="1168" t="s">
        <v>1788</v>
      </c>
      <c r="F238" s="1171">
        <v>1.43</v>
      </c>
      <c r="G238" s="1172" t="s">
        <v>18232</v>
      </c>
      <c r="H238" s="1172" t="s">
        <v>18233</v>
      </c>
      <c r="I238" s="1173">
        <v>2.0E-4</v>
      </c>
      <c r="J238" s="1173">
        <v>0.9944</v>
      </c>
      <c r="K238" s="1168" t="s">
        <v>1413</v>
      </c>
    </row>
    <row r="239">
      <c r="A239" s="1168">
        <v>237.0</v>
      </c>
      <c r="B239" s="1168" t="s">
        <v>4070</v>
      </c>
      <c r="C239" s="1169" t="s">
        <v>17762</v>
      </c>
      <c r="D239" s="1170" t="s">
        <v>4071</v>
      </c>
      <c r="E239" s="1168" t="s">
        <v>1788</v>
      </c>
      <c r="F239" s="1171">
        <v>1.07</v>
      </c>
      <c r="G239" s="1172" t="s">
        <v>18234</v>
      </c>
      <c r="H239" s="1172" t="s">
        <v>18235</v>
      </c>
      <c r="I239" s="1173">
        <v>2.0E-4</v>
      </c>
      <c r="J239" s="1173">
        <v>0.9946</v>
      </c>
      <c r="K239" s="1168" t="s">
        <v>1413</v>
      </c>
    </row>
    <row r="240">
      <c r="A240" s="1168">
        <v>238.0</v>
      </c>
      <c r="B240" s="1168">
        <v>3267.0</v>
      </c>
      <c r="C240" s="1169" t="s">
        <v>17759</v>
      </c>
      <c r="D240" s="1170" t="s">
        <v>7426</v>
      </c>
      <c r="E240" s="1168" t="s">
        <v>1788</v>
      </c>
      <c r="F240" s="1171">
        <v>0.36</v>
      </c>
      <c r="G240" s="1172" t="s">
        <v>18236</v>
      </c>
      <c r="H240" s="1172" t="s">
        <v>18237</v>
      </c>
      <c r="I240" s="1173">
        <v>2.0E-4</v>
      </c>
      <c r="J240" s="1173">
        <v>0.9947</v>
      </c>
      <c r="K240" s="1168" t="s">
        <v>1413</v>
      </c>
    </row>
    <row r="241">
      <c r="A241" s="1168">
        <v>239.0</v>
      </c>
      <c r="B241" s="1168">
        <v>98115.0</v>
      </c>
      <c r="C241" s="1169" t="s">
        <v>17759</v>
      </c>
      <c r="D241" s="1170" t="s">
        <v>15472</v>
      </c>
      <c r="E241" s="1168" t="s">
        <v>1788</v>
      </c>
      <c r="F241" s="1171">
        <v>0.36</v>
      </c>
      <c r="G241" s="1172" t="s">
        <v>18238</v>
      </c>
      <c r="H241" s="1172" t="s">
        <v>18239</v>
      </c>
      <c r="I241" s="1173">
        <v>2.0E-4</v>
      </c>
      <c r="J241" s="1173">
        <v>0.9949</v>
      </c>
      <c r="K241" s="1168" t="s">
        <v>1413</v>
      </c>
    </row>
    <row r="242">
      <c r="A242" s="1168">
        <v>240.0</v>
      </c>
      <c r="B242" s="1168" t="s">
        <v>1958</v>
      </c>
      <c r="C242" s="1169" t="s">
        <v>1729</v>
      </c>
      <c r="D242" s="1170" t="s">
        <v>1959</v>
      </c>
      <c r="E242" s="1168" t="s">
        <v>1788</v>
      </c>
      <c r="F242" s="1171">
        <v>1.07</v>
      </c>
      <c r="G242" s="1172" t="s">
        <v>18240</v>
      </c>
      <c r="H242" s="1172" t="s">
        <v>18241</v>
      </c>
      <c r="I242" s="1173">
        <v>2.0E-4</v>
      </c>
      <c r="J242" s="1173">
        <v>0.9951</v>
      </c>
      <c r="K242" s="1168" t="s">
        <v>1413</v>
      </c>
    </row>
    <row r="243">
      <c r="A243" s="1168">
        <v>241.0</v>
      </c>
      <c r="B243" s="1168" t="s">
        <v>1848</v>
      </c>
      <c r="C243" s="1169" t="s">
        <v>1729</v>
      </c>
      <c r="D243" s="1170" t="s">
        <v>1849</v>
      </c>
      <c r="E243" s="1168" t="s">
        <v>1788</v>
      </c>
      <c r="F243" s="1171">
        <v>2.5</v>
      </c>
      <c r="G243" s="1172" t="s">
        <v>18242</v>
      </c>
      <c r="H243" s="1172" t="s">
        <v>18243</v>
      </c>
      <c r="I243" s="1173">
        <v>2.0E-4</v>
      </c>
      <c r="J243" s="1173">
        <v>0.9952</v>
      </c>
      <c r="K243" s="1168" t="s">
        <v>1413</v>
      </c>
    </row>
    <row r="244">
      <c r="A244" s="1168">
        <v>242.0</v>
      </c>
      <c r="B244" s="1168">
        <v>39391.0</v>
      </c>
      <c r="C244" s="1169" t="s">
        <v>17759</v>
      </c>
      <c r="D244" s="1170" t="s">
        <v>7982</v>
      </c>
      <c r="E244" s="1168" t="s">
        <v>1788</v>
      </c>
      <c r="F244" s="1171">
        <v>0.71</v>
      </c>
      <c r="G244" s="1172" t="s">
        <v>18244</v>
      </c>
      <c r="H244" s="1172" t="s">
        <v>18245</v>
      </c>
      <c r="I244" s="1173">
        <v>2.0E-4</v>
      </c>
      <c r="J244" s="1173">
        <v>0.9954</v>
      </c>
      <c r="K244" s="1168" t="s">
        <v>1413</v>
      </c>
    </row>
    <row r="245">
      <c r="A245" s="1168">
        <v>243.0</v>
      </c>
      <c r="B245" s="1168">
        <v>103029.0</v>
      </c>
      <c r="C245" s="1169" t="s">
        <v>17759</v>
      </c>
      <c r="D245" s="1170" t="s">
        <v>15547</v>
      </c>
      <c r="E245" s="1168" t="s">
        <v>1788</v>
      </c>
      <c r="F245" s="1171">
        <v>0.71</v>
      </c>
      <c r="G245" s="1172" t="s">
        <v>18246</v>
      </c>
      <c r="H245" s="1172" t="s">
        <v>18247</v>
      </c>
      <c r="I245" s="1173">
        <v>2.0E-4</v>
      </c>
      <c r="J245" s="1173">
        <v>0.9956</v>
      </c>
      <c r="K245" s="1168" t="s">
        <v>1413</v>
      </c>
    </row>
    <row r="246">
      <c r="A246" s="1168">
        <v>244.0</v>
      </c>
      <c r="B246" s="1168">
        <v>91971.0</v>
      </c>
      <c r="C246" s="1169" t="s">
        <v>17759</v>
      </c>
      <c r="D246" s="1170" t="s">
        <v>18248</v>
      </c>
      <c r="E246" s="1168" t="s">
        <v>1788</v>
      </c>
      <c r="F246" s="1171">
        <v>0.36</v>
      </c>
      <c r="G246" s="1172" t="s">
        <v>18249</v>
      </c>
      <c r="H246" s="1172" t="s">
        <v>18250</v>
      </c>
      <c r="I246" s="1173">
        <v>2.0E-4</v>
      </c>
      <c r="J246" s="1173">
        <v>0.9957</v>
      </c>
      <c r="K246" s="1168" t="s">
        <v>1413</v>
      </c>
    </row>
    <row r="247">
      <c r="A247" s="1168">
        <v>245.0</v>
      </c>
      <c r="B247" s="1168">
        <v>156.0</v>
      </c>
      <c r="C247" s="1169" t="s">
        <v>17759</v>
      </c>
      <c r="D247" s="1170" t="s">
        <v>5429</v>
      </c>
      <c r="E247" s="1168" t="s">
        <v>3606</v>
      </c>
      <c r="F247" s="1171">
        <v>0.71</v>
      </c>
      <c r="G247" s="1172" t="s">
        <v>18251</v>
      </c>
      <c r="H247" s="1172" t="s">
        <v>18252</v>
      </c>
      <c r="I247" s="1173">
        <v>2.0E-4</v>
      </c>
      <c r="J247" s="1173">
        <v>0.9959</v>
      </c>
      <c r="K247" s="1168" t="s">
        <v>1413</v>
      </c>
    </row>
    <row r="248">
      <c r="A248" s="1168">
        <v>246.0</v>
      </c>
      <c r="B248" s="1168">
        <v>91953.0</v>
      </c>
      <c r="C248" s="1169" t="s">
        <v>17759</v>
      </c>
      <c r="D248" s="1170" t="s">
        <v>18253</v>
      </c>
      <c r="E248" s="1168" t="s">
        <v>1788</v>
      </c>
      <c r="F248" s="1171">
        <v>1.07</v>
      </c>
      <c r="G248" s="1172" t="s">
        <v>18254</v>
      </c>
      <c r="H248" s="1172" t="s">
        <v>18255</v>
      </c>
      <c r="I248" s="1173">
        <v>1.0E-4</v>
      </c>
      <c r="J248" s="1173">
        <v>0.996</v>
      </c>
      <c r="K248" s="1168" t="s">
        <v>1413</v>
      </c>
    </row>
    <row r="249">
      <c r="A249" s="1168">
        <v>247.0</v>
      </c>
      <c r="B249" s="1168" t="s">
        <v>1863</v>
      </c>
      <c r="C249" s="1169" t="s">
        <v>1729</v>
      </c>
      <c r="D249" s="1170" t="s">
        <v>1864</v>
      </c>
      <c r="E249" s="1168" t="s">
        <v>1788</v>
      </c>
      <c r="F249" s="1171">
        <v>1.07</v>
      </c>
      <c r="G249" s="1172" t="s">
        <v>18256</v>
      </c>
      <c r="H249" s="1172" t="s">
        <v>18257</v>
      </c>
      <c r="I249" s="1173">
        <v>1.0E-4</v>
      </c>
      <c r="J249" s="1173">
        <v>0.9962</v>
      </c>
      <c r="K249" s="1168" t="s">
        <v>1413</v>
      </c>
    </row>
    <row r="250">
      <c r="A250" s="1168">
        <v>248.0</v>
      </c>
      <c r="B250" s="1168">
        <v>11964.0</v>
      </c>
      <c r="C250" s="1169" t="s">
        <v>17759</v>
      </c>
      <c r="D250" s="1170" t="s">
        <v>8540</v>
      </c>
      <c r="E250" s="1168" t="s">
        <v>1788</v>
      </c>
      <c r="F250" s="1171">
        <v>14.27</v>
      </c>
      <c r="G250" s="1172" t="s">
        <v>18258</v>
      </c>
      <c r="H250" s="1172" t="s">
        <v>18259</v>
      </c>
      <c r="I250" s="1173">
        <v>1.0E-4</v>
      </c>
      <c r="J250" s="1173">
        <v>0.9963</v>
      </c>
      <c r="K250" s="1168" t="s">
        <v>1413</v>
      </c>
    </row>
    <row r="251">
      <c r="A251" s="1168">
        <v>249.0</v>
      </c>
      <c r="B251" s="1168">
        <v>5795.0</v>
      </c>
      <c r="C251" s="1169" t="s">
        <v>17759</v>
      </c>
      <c r="D251" s="1170" t="s">
        <v>10655</v>
      </c>
      <c r="E251" s="1168" t="s">
        <v>10650</v>
      </c>
      <c r="F251" s="1171">
        <v>1.07</v>
      </c>
      <c r="G251" s="1172" t="s">
        <v>18260</v>
      </c>
      <c r="H251" s="1172" t="s">
        <v>18261</v>
      </c>
      <c r="I251" s="1173">
        <v>1.0E-4</v>
      </c>
      <c r="J251" s="1173">
        <v>0.9965</v>
      </c>
      <c r="K251" s="1168" t="s">
        <v>1413</v>
      </c>
    </row>
    <row r="252">
      <c r="A252" s="1168">
        <v>250.0</v>
      </c>
      <c r="B252" s="1168">
        <v>91952.0</v>
      </c>
      <c r="C252" s="1169" t="s">
        <v>17759</v>
      </c>
      <c r="D252" s="1170" t="s">
        <v>18262</v>
      </c>
      <c r="E252" s="1168" t="s">
        <v>1788</v>
      </c>
      <c r="F252" s="1171">
        <v>1.43</v>
      </c>
      <c r="G252" s="1172" t="s">
        <v>18263</v>
      </c>
      <c r="H252" s="1172" t="s">
        <v>18264</v>
      </c>
      <c r="I252" s="1173">
        <v>1.0E-4</v>
      </c>
      <c r="J252" s="1173">
        <v>0.9966</v>
      </c>
      <c r="K252" s="1168" t="s">
        <v>1413</v>
      </c>
    </row>
    <row r="253">
      <c r="A253" s="1168">
        <v>251.0</v>
      </c>
      <c r="B253" s="1168">
        <v>102137.0</v>
      </c>
      <c r="C253" s="1169" t="s">
        <v>17759</v>
      </c>
      <c r="D253" s="1170" t="s">
        <v>15692</v>
      </c>
      <c r="E253" s="1168" t="s">
        <v>1788</v>
      </c>
      <c r="F253" s="1171">
        <v>0.36</v>
      </c>
      <c r="G253" s="1172" t="s">
        <v>18265</v>
      </c>
      <c r="H253" s="1172" t="s">
        <v>18266</v>
      </c>
      <c r="I253" s="1173">
        <v>1.0E-4</v>
      </c>
      <c r="J253" s="1173">
        <v>0.9967</v>
      </c>
      <c r="K253" s="1168" t="s">
        <v>1413</v>
      </c>
    </row>
    <row r="254">
      <c r="A254" s="1168">
        <v>253.0</v>
      </c>
      <c r="B254" s="1168">
        <v>567.0</v>
      </c>
      <c r="C254" s="1169" t="s">
        <v>17759</v>
      </c>
      <c r="D254" s="1170" t="s">
        <v>6289</v>
      </c>
      <c r="E254" s="1168" t="s">
        <v>1731</v>
      </c>
      <c r="F254" s="1171">
        <v>2.14</v>
      </c>
      <c r="G254" s="1172" t="s">
        <v>18267</v>
      </c>
      <c r="H254" s="1172" t="s">
        <v>18268</v>
      </c>
      <c r="I254" s="1173">
        <v>1.0E-4</v>
      </c>
      <c r="J254" s="1173">
        <v>0.9968</v>
      </c>
      <c r="K254" s="1168" t="s">
        <v>1413</v>
      </c>
    </row>
    <row r="255">
      <c r="A255" s="1168">
        <v>252.0</v>
      </c>
      <c r="B255" s="1168" t="s">
        <v>2010</v>
      </c>
      <c r="C255" s="1169" t="s">
        <v>1729</v>
      </c>
      <c r="D255" s="1170" t="s">
        <v>2011</v>
      </c>
      <c r="E255" s="1168" t="s">
        <v>1788</v>
      </c>
      <c r="F255" s="1171">
        <v>0.36</v>
      </c>
      <c r="G255" s="1172" t="s">
        <v>18269</v>
      </c>
      <c r="H255" s="1172" t="s">
        <v>18270</v>
      </c>
      <c r="I255" s="1173">
        <v>1.0E-4</v>
      </c>
      <c r="J255" s="1173">
        <v>0.997</v>
      </c>
      <c r="K255" s="1168" t="s">
        <v>1413</v>
      </c>
    </row>
    <row r="256">
      <c r="A256" s="1168">
        <v>254.0</v>
      </c>
      <c r="B256" s="1168" t="s">
        <v>1995</v>
      </c>
      <c r="C256" s="1169" t="s">
        <v>1729</v>
      </c>
      <c r="D256" s="1170" t="s">
        <v>1996</v>
      </c>
      <c r="E256" s="1168" t="s">
        <v>1788</v>
      </c>
      <c r="F256" s="1171">
        <v>2.5</v>
      </c>
      <c r="G256" s="1172" t="s">
        <v>18271</v>
      </c>
      <c r="H256" s="1172" t="s">
        <v>18272</v>
      </c>
      <c r="I256" s="1173">
        <v>1.0E-4</v>
      </c>
      <c r="J256" s="1173">
        <v>0.9971</v>
      </c>
      <c r="K256" s="1168" t="s">
        <v>1413</v>
      </c>
    </row>
    <row r="257">
      <c r="A257" s="1168">
        <v>255.0</v>
      </c>
      <c r="B257" s="1168">
        <v>95545.0</v>
      </c>
      <c r="C257" s="1169" t="s">
        <v>17759</v>
      </c>
      <c r="D257" s="1170" t="s">
        <v>15391</v>
      </c>
      <c r="E257" s="1168" t="s">
        <v>1788</v>
      </c>
      <c r="F257" s="1171">
        <v>0.36</v>
      </c>
      <c r="G257" s="1172" t="s">
        <v>18273</v>
      </c>
      <c r="H257" s="1172" t="s">
        <v>18274</v>
      </c>
      <c r="I257" s="1173">
        <v>1.0E-4</v>
      </c>
      <c r="J257" s="1173">
        <v>0.9972</v>
      </c>
      <c r="K257" s="1168" t="s">
        <v>1413</v>
      </c>
    </row>
    <row r="258">
      <c r="A258" s="1168">
        <v>256.0</v>
      </c>
      <c r="B258" s="1168" t="s">
        <v>2031</v>
      </c>
      <c r="C258" s="1169" t="s">
        <v>1729</v>
      </c>
      <c r="D258" s="1170" t="s">
        <v>2032</v>
      </c>
      <c r="E258" s="1168" t="s">
        <v>3606</v>
      </c>
      <c r="F258" s="1171">
        <v>0.36</v>
      </c>
      <c r="G258" s="1172" t="s">
        <v>18275</v>
      </c>
      <c r="H258" s="1172" t="s">
        <v>18276</v>
      </c>
      <c r="I258" s="1173">
        <v>1.0E-4</v>
      </c>
      <c r="J258" s="1173">
        <v>0.9973</v>
      </c>
      <c r="K258" s="1168" t="s">
        <v>1413</v>
      </c>
    </row>
    <row r="259">
      <c r="A259" s="1168">
        <v>257.0</v>
      </c>
      <c r="B259" s="1168">
        <v>97638.0</v>
      </c>
      <c r="C259" s="1169" t="s">
        <v>17759</v>
      </c>
      <c r="D259" s="1170" t="s">
        <v>17136</v>
      </c>
      <c r="E259" s="1168" t="s">
        <v>1814</v>
      </c>
      <c r="F259" s="1171">
        <v>2.85</v>
      </c>
      <c r="G259" s="1172" t="s">
        <v>18277</v>
      </c>
      <c r="H259" s="1172" t="s">
        <v>18278</v>
      </c>
      <c r="I259" s="1173">
        <v>1.0E-4</v>
      </c>
      <c r="J259" s="1173">
        <v>0.9974</v>
      </c>
      <c r="K259" s="1168" t="s">
        <v>1413</v>
      </c>
    </row>
    <row r="260">
      <c r="A260" s="1168">
        <v>258.0</v>
      </c>
      <c r="B260" s="1168">
        <v>102209.0</v>
      </c>
      <c r="C260" s="1169" t="s">
        <v>17759</v>
      </c>
      <c r="D260" s="1170" t="s">
        <v>16314</v>
      </c>
      <c r="E260" s="1168" t="s">
        <v>1814</v>
      </c>
      <c r="F260" s="1171">
        <v>2.85</v>
      </c>
      <c r="G260" s="1172" t="s">
        <v>18279</v>
      </c>
      <c r="H260" s="1172" t="s">
        <v>18280</v>
      </c>
      <c r="I260" s="1173">
        <v>1.0E-4</v>
      </c>
      <c r="J260" s="1173">
        <v>0.9976</v>
      </c>
      <c r="K260" s="1168" t="s">
        <v>1413</v>
      </c>
    </row>
    <row r="261">
      <c r="A261" s="1168">
        <v>259.0</v>
      </c>
      <c r="B261" s="1168">
        <v>92016.0</v>
      </c>
      <c r="C261" s="1169" t="s">
        <v>17759</v>
      </c>
      <c r="D261" s="1170" t="s">
        <v>18281</v>
      </c>
      <c r="E261" s="1168" t="s">
        <v>1788</v>
      </c>
      <c r="F261" s="1171">
        <v>0.36</v>
      </c>
      <c r="G261" s="1172" t="s">
        <v>18282</v>
      </c>
      <c r="H261" s="1172" t="s">
        <v>18283</v>
      </c>
      <c r="I261" s="1173">
        <v>1.0E-4</v>
      </c>
      <c r="J261" s="1173">
        <v>0.9977</v>
      </c>
      <c r="K261" s="1168" t="s">
        <v>1413</v>
      </c>
    </row>
    <row r="262">
      <c r="A262" s="1168">
        <v>260.0</v>
      </c>
      <c r="B262" s="1168" t="s">
        <v>1857</v>
      </c>
      <c r="C262" s="1169" t="s">
        <v>1729</v>
      </c>
      <c r="D262" s="1170" t="s">
        <v>1858</v>
      </c>
      <c r="E262" s="1168" t="s">
        <v>1788</v>
      </c>
      <c r="F262" s="1171">
        <v>1.43</v>
      </c>
      <c r="G262" s="1172" t="s">
        <v>18284</v>
      </c>
      <c r="H262" s="1172" t="s">
        <v>18285</v>
      </c>
      <c r="I262" s="1173">
        <v>1.0E-4</v>
      </c>
      <c r="J262" s="1173">
        <v>0.9978</v>
      </c>
      <c r="K262" s="1168" t="s">
        <v>1413</v>
      </c>
    </row>
    <row r="263">
      <c r="A263" s="1168">
        <v>261.0</v>
      </c>
      <c r="B263" s="1168">
        <v>98300.0</v>
      </c>
      <c r="C263" s="1169" t="s">
        <v>17759</v>
      </c>
      <c r="D263" s="1170" t="s">
        <v>13697</v>
      </c>
      <c r="E263" s="1168" t="s">
        <v>1731</v>
      </c>
      <c r="F263" s="1171">
        <v>3.57</v>
      </c>
      <c r="G263" s="1172" t="s">
        <v>18286</v>
      </c>
      <c r="H263" s="1172" t="s">
        <v>18287</v>
      </c>
      <c r="I263" s="1173">
        <v>1.0E-4</v>
      </c>
      <c r="J263" s="1173">
        <v>0.9979</v>
      </c>
      <c r="K263" s="1168" t="s">
        <v>1413</v>
      </c>
    </row>
    <row r="264">
      <c r="A264" s="1168">
        <v>262.0</v>
      </c>
      <c r="B264" s="1168">
        <v>91989.0</v>
      </c>
      <c r="C264" s="1169" t="s">
        <v>17759</v>
      </c>
      <c r="D264" s="1170" t="s">
        <v>18288</v>
      </c>
      <c r="E264" s="1168" t="s">
        <v>1788</v>
      </c>
      <c r="F264" s="1171">
        <v>0.71</v>
      </c>
      <c r="G264" s="1172" t="s">
        <v>18289</v>
      </c>
      <c r="H264" s="1172" t="s">
        <v>18290</v>
      </c>
      <c r="I264" s="1173">
        <v>1.0E-4</v>
      </c>
      <c r="J264" s="1173">
        <v>0.998</v>
      </c>
      <c r="K264" s="1168" t="s">
        <v>1413</v>
      </c>
    </row>
    <row r="265">
      <c r="A265" s="1168">
        <v>263.0</v>
      </c>
      <c r="B265" s="1168">
        <v>87422.0</v>
      </c>
      <c r="C265" s="1169" t="s">
        <v>17759</v>
      </c>
      <c r="D265" s="1170" t="s">
        <v>18291</v>
      </c>
      <c r="E265" s="1168" t="s">
        <v>1814</v>
      </c>
      <c r="F265" s="1171">
        <v>0.71</v>
      </c>
      <c r="G265" s="1172" t="s">
        <v>18292</v>
      </c>
      <c r="H265" s="1172" t="s">
        <v>18293</v>
      </c>
      <c r="I265" s="1173">
        <v>1.0E-4</v>
      </c>
      <c r="J265" s="1173">
        <v>0.9981</v>
      </c>
      <c r="K265" s="1168" t="s">
        <v>1413</v>
      </c>
    </row>
    <row r="266">
      <c r="A266" s="1168">
        <v>264.0</v>
      </c>
      <c r="B266" s="1168">
        <v>99627.0</v>
      </c>
      <c r="C266" s="1169" t="s">
        <v>17759</v>
      </c>
      <c r="D266" s="1170" t="s">
        <v>15526</v>
      </c>
      <c r="E266" s="1168" t="s">
        <v>1788</v>
      </c>
      <c r="F266" s="1171">
        <v>0.36</v>
      </c>
      <c r="G266" s="1172" t="s">
        <v>18294</v>
      </c>
      <c r="H266" s="1172" t="s">
        <v>18295</v>
      </c>
      <c r="I266" s="1173">
        <v>1.0E-4</v>
      </c>
      <c r="J266" s="1173">
        <v>0.9982</v>
      </c>
      <c r="K266" s="1168" t="s">
        <v>1413</v>
      </c>
    </row>
    <row r="267">
      <c r="A267" s="1168">
        <v>271.0</v>
      </c>
      <c r="B267" s="1168">
        <v>11267.0</v>
      </c>
      <c r="C267" s="1169" t="s">
        <v>17759</v>
      </c>
      <c r="D267" s="1170" t="s">
        <v>5668</v>
      </c>
      <c r="E267" s="1168" t="s">
        <v>1788</v>
      </c>
      <c r="F267" s="1171">
        <v>14.27</v>
      </c>
      <c r="G267" s="1172" t="s">
        <v>18296</v>
      </c>
      <c r="H267" s="1172" t="s">
        <v>18297</v>
      </c>
      <c r="I267" s="1173">
        <v>1.0E-4</v>
      </c>
      <c r="J267" s="1173">
        <v>0.9983</v>
      </c>
      <c r="K267" s="1168" t="s">
        <v>1413</v>
      </c>
    </row>
    <row r="268">
      <c r="A268" s="1168">
        <v>265.0</v>
      </c>
      <c r="B268" s="1168">
        <v>87411.0</v>
      </c>
      <c r="C268" s="1169" t="s">
        <v>17759</v>
      </c>
      <c r="D268" s="1170" t="s">
        <v>18298</v>
      </c>
      <c r="E268" s="1168" t="s">
        <v>1814</v>
      </c>
      <c r="F268" s="1171">
        <v>1.07</v>
      </c>
      <c r="G268" s="1172" t="s">
        <v>18299</v>
      </c>
      <c r="H268" s="1172" t="s">
        <v>18300</v>
      </c>
      <c r="I268" s="1173">
        <v>1.0E-4</v>
      </c>
      <c r="J268" s="1173">
        <v>0.9984</v>
      </c>
      <c r="K268" s="1168" t="s">
        <v>1413</v>
      </c>
    </row>
    <row r="269">
      <c r="A269" s="1168">
        <v>266.0</v>
      </c>
      <c r="B269" s="1168">
        <v>100749.0</v>
      </c>
      <c r="C269" s="1169" t="s">
        <v>17759</v>
      </c>
      <c r="D269" s="1170" t="s">
        <v>16361</v>
      </c>
      <c r="E269" s="1168" t="s">
        <v>1814</v>
      </c>
      <c r="F269" s="1171">
        <v>0.71</v>
      </c>
      <c r="G269" s="1172" t="s">
        <v>18301</v>
      </c>
      <c r="H269" s="1172" t="s">
        <v>18302</v>
      </c>
      <c r="I269" s="1173">
        <v>1.0E-4</v>
      </c>
      <c r="J269" s="1173">
        <v>0.9985</v>
      </c>
      <c r="K269" s="1168" t="s">
        <v>1413</v>
      </c>
    </row>
    <row r="270">
      <c r="A270" s="1168">
        <v>267.0</v>
      </c>
      <c r="B270" s="1168">
        <v>101648.0</v>
      </c>
      <c r="C270" s="1169" t="s">
        <v>17759</v>
      </c>
      <c r="D270" s="1170" t="s">
        <v>13477</v>
      </c>
      <c r="E270" s="1168" t="s">
        <v>1788</v>
      </c>
      <c r="F270" s="1171">
        <v>0.36</v>
      </c>
      <c r="G270" s="1172" t="s">
        <v>18303</v>
      </c>
      <c r="H270" s="1172" t="s">
        <v>18304</v>
      </c>
      <c r="I270" s="1173">
        <v>1.0E-4</v>
      </c>
      <c r="J270" s="1173">
        <v>0.9986</v>
      </c>
      <c r="K270" s="1168" t="s">
        <v>1413</v>
      </c>
    </row>
    <row r="271">
      <c r="A271" s="1168">
        <v>268.0</v>
      </c>
      <c r="B271" s="1168">
        <v>100556.0</v>
      </c>
      <c r="C271" s="1169" t="s">
        <v>17759</v>
      </c>
      <c r="D271" s="1170" t="s">
        <v>13639</v>
      </c>
      <c r="E271" s="1168" t="s">
        <v>1788</v>
      </c>
      <c r="F271" s="1171">
        <v>0.36</v>
      </c>
      <c r="G271" s="1172" t="s">
        <v>18305</v>
      </c>
      <c r="H271" s="1172" t="s">
        <v>18306</v>
      </c>
      <c r="I271" s="1173">
        <v>1.0E-4</v>
      </c>
      <c r="J271" s="1173">
        <v>0.9986</v>
      </c>
      <c r="K271" s="1168" t="s">
        <v>1413</v>
      </c>
    </row>
    <row r="272">
      <c r="A272" s="1168">
        <v>269.0</v>
      </c>
      <c r="B272" s="1168">
        <v>86916.0</v>
      </c>
      <c r="C272" s="1169" t="s">
        <v>17759</v>
      </c>
      <c r="D272" s="1170" t="s">
        <v>15354</v>
      </c>
      <c r="E272" s="1168" t="s">
        <v>1788</v>
      </c>
      <c r="F272" s="1171">
        <v>0.71</v>
      </c>
      <c r="G272" s="1172" t="s">
        <v>18307</v>
      </c>
      <c r="H272" s="1172" t="s">
        <v>18308</v>
      </c>
      <c r="I272" s="1173">
        <v>1.0E-4</v>
      </c>
      <c r="J272" s="1173">
        <v>0.9987</v>
      </c>
      <c r="K272" s="1168" t="s">
        <v>1413</v>
      </c>
    </row>
    <row r="273">
      <c r="A273" s="1168">
        <v>270.0</v>
      </c>
      <c r="B273" s="1168">
        <v>102201.0</v>
      </c>
      <c r="C273" s="1169" t="s">
        <v>17759</v>
      </c>
      <c r="D273" s="1170" t="s">
        <v>16307</v>
      </c>
      <c r="E273" s="1168" t="s">
        <v>1814</v>
      </c>
      <c r="F273" s="1171">
        <v>0.71</v>
      </c>
      <c r="G273" s="1172" t="s">
        <v>18309</v>
      </c>
      <c r="H273" s="1172" t="s">
        <v>18310</v>
      </c>
      <c r="I273" s="1173">
        <v>1.0E-4</v>
      </c>
      <c r="J273" s="1173">
        <v>0.9988</v>
      </c>
      <c r="K273" s="1168" t="s">
        <v>1413</v>
      </c>
    </row>
    <row r="274">
      <c r="A274" s="1168">
        <v>272.0</v>
      </c>
      <c r="B274" s="1168">
        <v>94796.0</v>
      </c>
      <c r="C274" s="1169" t="s">
        <v>17759</v>
      </c>
      <c r="D274" s="1170" t="s">
        <v>15507</v>
      </c>
      <c r="E274" s="1168" t="s">
        <v>1788</v>
      </c>
      <c r="F274" s="1171">
        <v>0.36</v>
      </c>
      <c r="G274" s="1172" t="s">
        <v>18311</v>
      </c>
      <c r="H274" s="1172" t="s">
        <v>18312</v>
      </c>
      <c r="I274" s="1173">
        <v>1.0E-4</v>
      </c>
      <c r="J274" s="1173">
        <v>0.9989</v>
      </c>
      <c r="K274" s="1168" t="s">
        <v>1413</v>
      </c>
    </row>
    <row r="275">
      <c r="A275" s="1168">
        <v>273.0</v>
      </c>
      <c r="B275" s="1168">
        <v>91884.0</v>
      </c>
      <c r="C275" s="1169" t="s">
        <v>17759</v>
      </c>
      <c r="D275" s="1170" t="s">
        <v>18313</v>
      </c>
      <c r="E275" s="1168" t="s">
        <v>1788</v>
      </c>
      <c r="F275" s="1171">
        <v>1.43</v>
      </c>
      <c r="G275" s="1172" t="s">
        <v>18314</v>
      </c>
      <c r="H275" s="1172" t="s">
        <v>18315</v>
      </c>
      <c r="I275" s="1173">
        <v>1.0E-4</v>
      </c>
      <c r="J275" s="1173">
        <v>0.9989</v>
      </c>
      <c r="K275" s="1168" t="s">
        <v>1413</v>
      </c>
    </row>
    <row r="276">
      <c r="A276" s="1168">
        <v>274.0</v>
      </c>
      <c r="B276" s="1168">
        <v>97062.0</v>
      </c>
      <c r="C276" s="1169" t="s">
        <v>17759</v>
      </c>
      <c r="D276" s="1170" t="s">
        <v>17114</v>
      </c>
      <c r="E276" s="1168" t="s">
        <v>1814</v>
      </c>
      <c r="F276" s="1171">
        <v>2.14</v>
      </c>
      <c r="G276" s="1172" t="s">
        <v>18316</v>
      </c>
      <c r="H276" s="1172" t="s">
        <v>18317</v>
      </c>
      <c r="I276" s="1173">
        <v>1.0E-4</v>
      </c>
      <c r="J276" s="1173">
        <v>0.999</v>
      </c>
      <c r="K276" s="1168" t="s">
        <v>1413</v>
      </c>
    </row>
    <row r="277">
      <c r="A277" s="1168">
        <v>276.0</v>
      </c>
      <c r="B277" s="1168">
        <v>95801.0</v>
      </c>
      <c r="C277" s="1169" t="s">
        <v>17759</v>
      </c>
      <c r="D277" s="1170" t="s">
        <v>13167</v>
      </c>
      <c r="E277" s="1168" t="s">
        <v>1788</v>
      </c>
      <c r="F277" s="1171">
        <v>0.36</v>
      </c>
      <c r="G277" s="1172" t="s">
        <v>18318</v>
      </c>
      <c r="H277" s="1172" t="s">
        <v>18319</v>
      </c>
      <c r="I277" s="1173">
        <v>1.0E-4</v>
      </c>
      <c r="J277" s="1173">
        <v>0.9991</v>
      </c>
      <c r="K277" s="1168" t="s">
        <v>1413</v>
      </c>
    </row>
    <row r="278">
      <c r="A278" s="1168">
        <v>275.0</v>
      </c>
      <c r="B278" s="1168">
        <v>11581.0</v>
      </c>
      <c r="C278" s="1169" t="s">
        <v>17759</v>
      </c>
      <c r="D278" s="1170" t="s">
        <v>9770</v>
      </c>
      <c r="E278" s="1168" t="s">
        <v>1731</v>
      </c>
      <c r="F278" s="1171">
        <v>0.71</v>
      </c>
      <c r="G278" s="1172" t="s">
        <v>18304</v>
      </c>
      <c r="H278" s="1172" t="s">
        <v>18320</v>
      </c>
      <c r="I278" s="1173">
        <v>1.0E-4</v>
      </c>
      <c r="J278" s="1173">
        <v>0.9991</v>
      </c>
      <c r="K278" s="1168" t="s">
        <v>1413</v>
      </c>
    </row>
    <row r="279">
      <c r="A279" s="1168">
        <v>277.0</v>
      </c>
      <c r="B279" s="1168">
        <v>98397.0</v>
      </c>
      <c r="C279" s="1169" t="s">
        <v>17759</v>
      </c>
      <c r="D279" s="1170" t="s">
        <v>13648</v>
      </c>
      <c r="E279" s="1168" t="s">
        <v>1814</v>
      </c>
      <c r="F279" s="1171">
        <v>1.07</v>
      </c>
      <c r="G279" s="1172" t="s">
        <v>18321</v>
      </c>
      <c r="H279" s="1172" t="s">
        <v>18322</v>
      </c>
      <c r="I279" s="1173">
        <v>1.0E-4</v>
      </c>
      <c r="J279" s="1173">
        <v>0.9992</v>
      </c>
      <c r="K279" s="1168" t="s">
        <v>1413</v>
      </c>
    </row>
    <row r="280">
      <c r="A280" s="1168">
        <v>278.0</v>
      </c>
      <c r="B280" s="1168">
        <v>89379.0</v>
      </c>
      <c r="C280" s="1169" t="s">
        <v>17759</v>
      </c>
      <c r="D280" s="1170" t="s">
        <v>13993</v>
      </c>
      <c r="E280" s="1168" t="s">
        <v>1788</v>
      </c>
      <c r="F280" s="1171">
        <v>0.71</v>
      </c>
      <c r="G280" s="1172" t="s">
        <v>18323</v>
      </c>
      <c r="H280" s="1172" t="s">
        <v>18324</v>
      </c>
      <c r="I280" s="1173">
        <v>1.0E-4</v>
      </c>
      <c r="J280" s="1173">
        <v>0.9993</v>
      </c>
      <c r="K280" s="1168" t="s">
        <v>1413</v>
      </c>
    </row>
    <row r="281">
      <c r="A281" s="1168">
        <v>279.0</v>
      </c>
      <c r="B281" s="1168">
        <v>91997.0</v>
      </c>
      <c r="C281" s="1169" t="s">
        <v>17759</v>
      </c>
      <c r="D281" s="1170" t="s">
        <v>18325</v>
      </c>
      <c r="E281" s="1168" t="s">
        <v>1788</v>
      </c>
      <c r="F281" s="1171">
        <v>0.36</v>
      </c>
      <c r="G281" s="1172" t="s">
        <v>18326</v>
      </c>
      <c r="H281" s="1172" t="s">
        <v>18327</v>
      </c>
      <c r="I281" s="1173">
        <v>1.0E-4</v>
      </c>
      <c r="J281" s="1173">
        <v>0.9993</v>
      </c>
      <c r="K281" s="1168" t="s">
        <v>1413</v>
      </c>
    </row>
    <row r="282">
      <c r="A282" s="1168">
        <v>280.0</v>
      </c>
      <c r="B282" s="1168">
        <v>91958.0</v>
      </c>
      <c r="C282" s="1169" t="s">
        <v>17759</v>
      </c>
      <c r="D282" s="1170" t="s">
        <v>18328</v>
      </c>
      <c r="E282" s="1168" t="s">
        <v>1788</v>
      </c>
      <c r="F282" s="1171">
        <v>0.36</v>
      </c>
      <c r="G282" s="1172" t="s">
        <v>18329</v>
      </c>
      <c r="H282" s="1172" t="s">
        <v>18330</v>
      </c>
      <c r="I282" s="1173">
        <v>1.0E-4</v>
      </c>
      <c r="J282" s="1173">
        <v>0.9994</v>
      </c>
      <c r="K282" s="1168" t="s">
        <v>1413</v>
      </c>
    </row>
    <row r="283">
      <c r="A283" s="1168">
        <v>281.0</v>
      </c>
      <c r="B283" s="1168" t="s">
        <v>1819</v>
      </c>
      <c r="C283" s="1169" t="s">
        <v>1729</v>
      </c>
      <c r="D283" s="1170" t="s">
        <v>1820</v>
      </c>
      <c r="E283" s="1168" t="s">
        <v>1788</v>
      </c>
      <c r="F283" s="1171">
        <v>0.36</v>
      </c>
      <c r="G283" s="1172" t="s">
        <v>18143</v>
      </c>
      <c r="H283" s="1172" t="s">
        <v>18331</v>
      </c>
      <c r="I283" s="1173">
        <v>1.0E-4</v>
      </c>
      <c r="J283" s="1173">
        <v>0.9995</v>
      </c>
      <c r="K283" s="1168" t="s">
        <v>1413</v>
      </c>
    </row>
    <row r="284">
      <c r="A284" s="1168">
        <v>282.0</v>
      </c>
      <c r="B284" s="1168">
        <v>102210.0</v>
      </c>
      <c r="C284" s="1169" t="s">
        <v>17759</v>
      </c>
      <c r="D284" s="1170" t="s">
        <v>16315</v>
      </c>
      <c r="E284" s="1168" t="s">
        <v>1814</v>
      </c>
      <c r="F284" s="1171">
        <v>1.43</v>
      </c>
      <c r="G284" s="1172" t="s">
        <v>18332</v>
      </c>
      <c r="H284" s="1172" t="s">
        <v>18333</v>
      </c>
      <c r="I284" s="1173">
        <v>1.0E-4</v>
      </c>
      <c r="J284" s="1173">
        <v>0.9995</v>
      </c>
      <c r="K284" s="1168" t="s">
        <v>1413</v>
      </c>
    </row>
    <row r="285">
      <c r="A285" s="1168">
        <v>283.0</v>
      </c>
      <c r="B285" s="1168">
        <v>93656.0</v>
      </c>
      <c r="C285" s="1169" t="s">
        <v>17759</v>
      </c>
      <c r="D285" s="1170" t="s">
        <v>13212</v>
      </c>
      <c r="E285" s="1168" t="s">
        <v>1788</v>
      </c>
      <c r="F285" s="1171">
        <v>0.71</v>
      </c>
      <c r="G285" s="1172" t="s">
        <v>18334</v>
      </c>
      <c r="H285" s="1172" t="s">
        <v>18335</v>
      </c>
      <c r="I285" s="1173">
        <v>0.0</v>
      </c>
      <c r="J285" s="1173">
        <v>0.9996</v>
      </c>
      <c r="K285" s="1168" t="s">
        <v>1413</v>
      </c>
    </row>
    <row r="286">
      <c r="A286" s="1168">
        <v>286.0</v>
      </c>
      <c r="B286" s="1168">
        <v>12892.0</v>
      </c>
      <c r="C286" s="1169" t="s">
        <v>17759</v>
      </c>
      <c r="D286" s="1170" t="s">
        <v>8144</v>
      </c>
      <c r="E286" s="1168" t="s">
        <v>5728</v>
      </c>
      <c r="F286" s="1171">
        <v>0.71</v>
      </c>
      <c r="G286" s="1172" t="s">
        <v>18336</v>
      </c>
      <c r="H286" s="1172" t="s">
        <v>18337</v>
      </c>
      <c r="I286" s="1173">
        <v>0.0</v>
      </c>
      <c r="J286" s="1173">
        <v>0.9996</v>
      </c>
      <c r="K286" s="1168" t="s">
        <v>1413</v>
      </c>
    </row>
    <row r="287">
      <c r="A287" s="1168">
        <v>284.0</v>
      </c>
      <c r="B287" s="1168" t="s">
        <v>1987</v>
      </c>
      <c r="C287" s="1169" t="s">
        <v>1729</v>
      </c>
      <c r="D287" s="1170" t="s">
        <v>1988</v>
      </c>
      <c r="E287" s="1168" t="s">
        <v>1731</v>
      </c>
      <c r="F287" s="1171">
        <v>0.36</v>
      </c>
      <c r="G287" s="1172" t="s">
        <v>18338</v>
      </c>
      <c r="H287" s="1172" t="s">
        <v>18339</v>
      </c>
      <c r="I287" s="1173">
        <v>0.0</v>
      </c>
      <c r="J287" s="1173">
        <v>0.9996</v>
      </c>
      <c r="K287" s="1168" t="s">
        <v>1413</v>
      </c>
    </row>
    <row r="288">
      <c r="A288" s="1168">
        <v>285.0</v>
      </c>
      <c r="B288" s="1168">
        <v>100554.0</v>
      </c>
      <c r="C288" s="1169" t="s">
        <v>17759</v>
      </c>
      <c r="D288" s="1170" t="s">
        <v>13707</v>
      </c>
      <c r="E288" s="1168" t="s">
        <v>1731</v>
      </c>
      <c r="F288" s="1171">
        <v>1.43</v>
      </c>
      <c r="G288" s="1172" t="s">
        <v>18340</v>
      </c>
      <c r="H288" s="1172" t="s">
        <v>18341</v>
      </c>
      <c r="I288" s="1173">
        <v>0.0</v>
      </c>
      <c r="J288" s="1173">
        <v>0.9997</v>
      </c>
      <c r="K288" s="1168" t="s">
        <v>1413</v>
      </c>
    </row>
    <row r="289">
      <c r="A289" s="1168">
        <v>287.0</v>
      </c>
      <c r="B289" s="1168">
        <v>89724.0</v>
      </c>
      <c r="C289" s="1169" t="s">
        <v>17759</v>
      </c>
      <c r="D289" s="1170" t="s">
        <v>14244</v>
      </c>
      <c r="E289" s="1168" t="s">
        <v>1788</v>
      </c>
      <c r="F289" s="1171">
        <v>0.71</v>
      </c>
      <c r="G289" s="1172" t="s">
        <v>18342</v>
      </c>
      <c r="H289" s="1172" t="s">
        <v>18343</v>
      </c>
      <c r="I289" s="1173">
        <v>0.0</v>
      </c>
      <c r="J289" s="1173">
        <v>0.9997</v>
      </c>
      <c r="K289" s="1168" t="s">
        <v>1413</v>
      </c>
    </row>
    <row r="290">
      <c r="A290" s="1168">
        <v>288.0</v>
      </c>
      <c r="B290" s="1168">
        <v>92871.0</v>
      </c>
      <c r="C290" s="1169" t="s">
        <v>17759</v>
      </c>
      <c r="D290" s="1170" t="s">
        <v>18344</v>
      </c>
      <c r="E290" s="1168" t="s">
        <v>1788</v>
      </c>
      <c r="F290" s="1171">
        <v>0.36</v>
      </c>
      <c r="G290" s="1172" t="s">
        <v>18345</v>
      </c>
      <c r="H290" s="1172" t="s">
        <v>18346</v>
      </c>
      <c r="I290" s="1173">
        <v>0.0</v>
      </c>
      <c r="J290" s="1173">
        <v>0.9998</v>
      </c>
      <c r="K290" s="1168" t="s">
        <v>1413</v>
      </c>
    </row>
    <row r="291">
      <c r="A291" s="1168">
        <v>289.0</v>
      </c>
      <c r="B291" s="1168">
        <v>98576.0</v>
      </c>
      <c r="C291" s="1169" t="s">
        <v>17759</v>
      </c>
      <c r="D291" s="1170" t="s">
        <v>12879</v>
      </c>
      <c r="E291" s="1168" t="s">
        <v>1731</v>
      </c>
      <c r="F291" s="1171">
        <v>0.36</v>
      </c>
      <c r="G291" s="1172" t="s">
        <v>18347</v>
      </c>
      <c r="H291" s="1172" t="s">
        <v>18348</v>
      </c>
      <c r="I291" s="1173">
        <v>0.0</v>
      </c>
      <c r="J291" s="1173">
        <v>0.9998</v>
      </c>
      <c r="K291" s="1168" t="s">
        <v>1413</v>
      </c>
    </row>
    <row r="292">
      <c r="A292" s="1168">
        <v>290.0</v>
      </c>
      <c r="B292" s="1168" t="s">
        <v>1834</v>
      </c>
      <c r="C292" s="1169" t="s">
        <v>1729</v>
      </c>
      <c r="D292" s="1170" t="s">
        <v>1835</v>
      </c>
      <c r="E292" s="1168" t="s">
        <v>1731</v>
      </c>
      <c r="F292" s="1171">
        <v>2.5</v>
      </c>
      <c r="G292" s="1172" t="s">
        <v>18349</v>
      </c>
      <c r="H292" s="1172" t="s">
        <v>18350</v>
      </c>
      <c r="I292" s="1173">
        <v>0.0</v>
      </c>
      <c r="J292" s="1173">
        <v>0.9998</v>
      </c>
      <c r="K292" s="1168" t="s">
        <v>1413</v>
      </c>
    </row>
    <row r="293">
      <c r="A293" s="1168">
        <v>291.0</v>
      </c>
      <c r="B293" s="1168">
        <v>89381.0</v>
      </c>
      <c r="C293" s="1169" t="s">
        <v>17759</v>
      </c>
      <c r="D293" s="1170" t="s">
        <v>13995</v>
      </c>
      <c r="E293" s="1168" t="s">
        <v>1788</v>
      </c>
      <c r="F293" s="1171">
        <v>0.36</v>
      </c>
      <c r="G293" s="1172" t="s">
        <v>18351</v>
      </c>
      <c r="H293" s="1172" t="s">
        <v>18352</v>
      </c>
      <c r="I293" s="1173">
        <v>0.0</v>
      </c>
      <c r="J293" s="1173">
        <v>0.9998</v>
      </c>
      <c r="K293" s="1168" t="s">
        <v>1413</v>
      </c>
    </row>
    <row r="294">
      <c r="A294" s="1168">
        <v>293.0</v>
      </c>
      <c r="B294" s="1168" t="s">
        <v>1824</v>
      </c>
      <c r="C294" s="1169" t="s">
        <v>1729</v>
      </c>
      <c r="D294" s="1170" t="s">
        <v>1825</v>
      </c>
      <c r="E294" s="1168" t="s">
        <v>1788</v>
      </c>
      <c r="F294" s="1171">
        <v>0.36</v>
      </c>
      <c r="G294" s="1172" t="s">
        <v>18353</v>
      </c>
      <c r="H294" s="1172" t="s">
        <v>18354</v>
      </c>
      <c r="I294" s="1173">
        <v>0.0</v>
      </c>
      <c r="J294" s="1173">
        <v>0.9999</v>
      </c>
      <c r="K294" s="1168" t="s">
        <v>1413</v>
      </c>
    </row>
    <row r="295">
      <c r="A295" s="1168">
        <v>292.0</v>
      </c>
      <c r="B295" s="1168">
        <v>38105.0</v>
      </c>
      <c r="C295" s="1169" t="s">
        <v>17759</v>
      </c>
      <c r="D295" s="1170" t="s">
        <v>9691</v>
      </c>
      <c r="E295" s="1168" t="s">
        <v>1788</v>
      </c>
      <c r="F295" s="1171">
        <v>0.36</v>
      </c>
      <c r="G295" s="1172" t="s">
        <v>18355</v>
      </c>
      <c r="H295" s="1172" t="s">
        <v>18356</v>
      </c>
      <c r="I295" s="1173">
        <v>0.0</v>
      </c>
      <c r="J295" s="1173">
        <v>0.9999</v>
      </c>
      <c r="K295" s="1168" t="s">
        <v>1413</v>
      </c>
    </row>
    <row r="296">
      <c r="A296" s="1168">
        <v>294.0</v>
      </c>
      <c r="B296" s="1168">
        <v>86885.0</v>
      </c>
      <c r="C296" s="1169" t="s">
        <v>17759</v>
      </c>
      <c r="D296" s="1170" t="s">
        <v>15331</v>
      </c>
      <c r="E296" s="1168" t="s">
        <v>1788</v>
      </c>
      <c r="F296" s="1171">
        <v>0.36</v>
      </c>
      <c r="G296" s="1172" t="s">
        <v>18357</v>
      </c>
      <c r="H296" s="1172" t="s">
        <v>18358</v>
      </c>
      <c r="I296" s="1173">
        <v>0.0</v>
      </c>
      <c r="J296" s="1173">
        <v>0.9999</v>
      </c>
      <c r="K296" s="1168" t="s">
        <v>1413</v>
      </c>
    </row>
    <row r="297">
      <c r="A297" s="1168">
        <v>295.0</v>
      </c>
      <c r="B297" s="1168">
        <v>97662.0</v>
      </c>
      <c r="C297" s="1169" t="s">
        <v>17759</v>
      </c>
      <c r="D297" s="1170" t="s">
        <v>17159</v>
      </c>
      <c r="E297" s="1168" t="s">
        <v>1731</v>
      </c>
      <c r="F297" s="1171">
        <v>7.13</v>
      </c>
      <c r="G297" s="1172" t="s">
        <v>18359</v>
      </c>
      <c r="H297" s="1172" t="s">
        <v>18360</v>
      </c>
      <c r="I297" s="1173">
        <v>0.0</v>
      </c>
      <c r="J297" s="1173">
        <v>0.9999</v>
      </c>
      <c r="K297" s="1168" t="s">
        <v>1413</v>
      </c>
    </row>
    <row r="298">
      <c r="A298" s="1168">
        <v>296.0</v>
      </c>
      <c r="B298" s="1168">
        <v>97644.0</v>
      </c>
      <c r="C298" s="1169" t="s">
        <v>17759</v>
      </c>
      <c r="D298" s="1170" t="s">
        <v>17142</v>
      </c>
      <c r="E298" s="1168" t="s">
        <v>1814</v>
      </c>
      <c r="F298" s="1171">
        <v>0.36</v>
      </c>
      <c r="G298" s="1172" t="s">
        <v>18361</v>
      </c>
      <c r="H298" s="1172" t="s">
        <v>18362</v>
      </c>
      <c r="I298" s="1173">
        <v>0.0</v>
      </c>
      <c r="J298" s="1173">
        <v>0.9999</v>
      </c>
      <c r="K298" s="1168" t="s">
        <v>1413</v>
      </c>
    </row>
    <row r="299">
      <c r="A299" s="1168">
        <v>297.0</v>
      </c>
      <c r="B299" s="1168">
        <v>1535.0</v>
      </c>
      <c r="C299" s="1169" t="s">
        <v>17759</v>
      </c>
      <c r="D299" s="1170" t="s">
        <v>9642</v>
      </c>
      <c r="E299" s="1168" t="s">
        <v>1788</v>
      </c>
      <c r="F299" s="1171">
        <v>0.71</v>
      </c>
      <c r="G299" s="1172" t="s">
        <v>18363</v>
      </c>
      <c r="H299" s="1172" t="s">
        <v>18364</v>
      </c>
      <c r="I299" s="1173">
        <v>0.0</v>
      </c>
      <c r="J299" s="1173">
        <v>1.0</v>
      </c>
      <c r="K299" s="1168" t="s">
        <v>1413</v>
      </c>
    </row>
    <row r="300" ht="18.0" customHeight="1">
      <c r="A300" s="1168">
        <v>298.0</v>
      </c>
      <c r="B300" s="1168">
        <v>1550.0</v>
      </c>
      <c r="C300" s="1169" t="s">
        <v>17759</v>
      </c>
      <c r="D300" s="1170" t="s">
        <v>6644</v>
      </c>
      <c r="E300" s="1168" t="s">
        <v>1788</v>
      </c>
      <c r="F300" s="1171">
        <v>0.36</v>
      </c>
      <c r="G300" s="1172" t="s">
        <v>18365</v>
      </c>
      <c r="H300" s="1172" t="s">
        <v>18366</v>
      </c>
      <c r="I300" s="1173">
        <v>0.0</v>
      </c>
      <c r="J300" s="1173">
        <v>1.0</v>
      </c>
      <c r="K300" s="1168" t="s">
        <v>1413</v>
      </c>
    </row>
    <row r="301" ht="18.0" customHeight="1">
      <c r="A301" s="1168">
        <v>299.0</v>
      </c>
      <c r="B301" s="1168">
        <v>99818.0</v>
      </c>
      <c r="C301" s="1169" t="s">
        <v>17759</v>
      </c>
      <c r="D301" s="1170" t="s">
        <v>17085</v>
      </c>
      <c r="E301" s="1168" t="s">
        <v>1788</v>
      </c>
      <c r="F301" s="1171">
        <v>0.36</v>
      </c>
      <c r="G301" s="1172" t="s">
        <v>18367</v>
      </c>
      <c r="H301" s="1172" t="s">
        <v>18368</v>
      </c>
      <c r="I301" s="1173">
        <v>0.0</v>
      </c>
      <c r="J301" s="1173">
        <v>1.0</v>
      </c>
      <c r="K301" s="1168" t="s">
        <v>1413</v>
      </c>
    </row>
    <row r="302" ht="18.0" customHeight="1">
      <c r="A302" s="1168">
        <v>300.0</v>
      </c>
      <c r="B302" s="1168" t="s">
        <v>1909</v>
      </c>
      <c r="C302" s="1169" t="s">
        <v>1729</v>
      </c>
      <c r="D302" s="1170" t="s">
        <v>1910</v>
      </c>
      <c r="E302" s="1168" t="s">
        <v>1788</v>
      </c>
      <c r="F302" s="1171">
        <v>0.71</v>
      </c>
      <c r="G302" s="1172" t="s">
        <v>18369</v>
      </c>
      <c r="H302" s="1172" t="s">
        <v>18370</v>
      </c>
      <c r="I302" s="1173">
        <v>0.0</v>
      </c>
      <c r="J302" s="1173">
        <v>1.0</v>
      </c>
      <c r="K302" s="1168" t="s">
        <v>1413</v>
      </c>
    </row>
    <row r="303" ht="18.0" customHeight="1">
      <c r="A303" s="1168">
        <v>301.0</v>
      </c>
      <c r="B303" s="1168">
        <v>11960.0</v>
      </c>
      <c r="C303" s="1169" t="s">
        <v>17759</v>
      </c>
      <c r="D303" s="1170" t="s">
        <v>8547</v>
      </c>
      <c r="E303" s="1168" t="s">
        <v>1788</v>
      </c>
      <c r="F303" s="1171">
        <v>14.27</v>
      </c>
      <c r="G303" s="1172" t="s">
        <v>18371</v>
      </c>
      <c r="H303" s="1172" t="s">
        <v>18372</v>
      </c>
      <c r="I303" s="1173">
        <v>0.0</v>
      </c>
      <c r="J303" s="1173">
        <v>1.0</v>
      </c>
      <c r="K303" s="1168" t="s">
        <v>1413</v>
      </c>
    </row>
    <row r="304" ht="18.0" customHeight="1">
      <c r="A304" s="1168">
        <v>302.0</v>
      </c>
      <c r="B304" s="1168">
        <v>99824.0</v>
      </c>
      <c r="C304" s="1169" t="s">
        <v>17759</v>
      </c>
      <c r="D304" s="1170" t="s">
        <v>17091</v>
      </c>
      <c r="E304" s="1168" t="s">
        <v>1814</v>
      </c>
      <c r="F304" s="1171">
        <v>0.36</v>
      </c>
      <c r="G304" s="1172" t="s">
        <v>18373</v>
      </c>
      <c r="H304" s="1172" t="s">
        <v>18374</v>
      </c>
      <c r="I304" s="1173">
        <v>0.0</v>
      </c>
      <c r="J304" s="1173">
        <v>1.0</v>
      </c>
      <c r="K304" s="1168" t="s">
        <v>1413</v>
      </c>
    </row>
    <row r="305" ht="18.0" customHeight="1">
      <c r="A305" s="1168">
        <v>303.0</v>
      </c>
      <c r="B305" s="1168">
        <v>97664.0</v>
      </c>
      <c r="C305" s="1169" t="s">
        <v>17759</v>
      </c>
      <c r="D305" s="1170" t="s">
        <v>17161</v>
      </c>
      <c r="E305" s="1168" t="s">
        <v>1788</v>
      </c>
      <c r="F305" s="1171">
        <v>0.36</v>
      </c>
      <c r="G305" s="1172" t="s">
        <v>18375</v>
      </c>
      <c r="H305" s="1172" t="s">
        <v>18376</v>
      </c>
      <c r="I305" s="1173">
        <v>0.0</v>
      </c>
      <c r="J305" s="1173">
        <v>1.0</v>
      </c>
      <c r="K305" s="1168" t="s">
        <v>1413</v>
      </c>
    </row>
    <row r="306" ht="18.0" customHeight="1">
      <c r="A306" s="1174">
        <v>304.0</v>
      </c>
      <c r="B306" s="1174">
        <v>97665.0</v>
      </c>
      <c r="C306" s="1175" t="s">
        <v>17759</v>
      </c>
      <c r="D306" s="1176" t="s">
        <v>17162</v>
      </c>
      <c r="E306" s="1174" t="s">
        <v>1788</v>
      </c>
      <c r="F306" s="1177">
        <v>0.36</v>
      </c>
      <c r="G306" s="1178" t="s">
        <v>18377</v>
      </c>
      <c r="H306" s="1178" t="s">
        <v>18378</v>
      </c>
      <c r="I306" s="1179">
        <v>0.0</v>
      </c>
      <c r="J306" s="1179">
        <v>1.0</v>
      </c>
      <c r="K306" s="1174" t="s">
        <v>1413</v>
      </c>
    </row>
    <row r="307" ht="18.0" customHeight="1">
      <c r="A307" s="771"/>
      <c r="B307" s="1180"/>
      <c r="C307" s="1180"/>
      <c r="D307" s="1181"/>
      <c r="E307" s="1182"/>
      <c r="F307" s="1183" t="s">
        <v>1397</v>
      </c>
      <c r="G307" s="1184"/>
      <c r="H307" s="1183" t="s">
        <v>18379</v>
      </c>
      <c r="I307" s="1182"/>
      <c r="J307" s="771"/>
      <c r="K307" s="1181"/>
    </row>
    <row r="308" ht="18.0" customHeight="1">
      <c r="A308" s="771"/>
      <c r="B308" s="1180"/>
      <c r="C308" s="1180"/>
      <c r="D308" s="1181"/>
      <c r="E308" s="1182"/>
      <c r="F308" s="1183" t="s">
        <v>1398</v>
      </c>
      <c r="G308" s="1184"/>
      <c r="H308" s="1183" t="s">
        <v>18380</v>
      </c>
      <c r="I308" s="1182"/>
      <c r="J308" s="771"/>
      <c r="K308" s="1181"/>
    </row>
    <row r="309" ht="18.0" customHeight="1">
      <c r="A309" s="771"/>
      <c r="B309" s="1180"/>
      <c r="C309" s="1180"/>
      <c r="D309" s="1181"/>
      <c r="E309" s="1182"/>
      <c r="F309" s="1183" t="s">
        <v>1399</v>
      </c>
      <c r="G309" s="1184"/>
      <c r="H309" s="1183" t="s">
        <v>18381</v>
      </c>
      <c r="I309" s="1182"/>
      <c r="J309" s="771"/>
      <c r="K309" s="1181"/>
    </row>
    <row r="310" ht="18.0" customHeight="1">
      <c r="A310" s="771"/>
      <c r="B310" s="1180"/>
      <c r="C310" s="1180"/>
      <c r="D310" s="1181"/>
      <c r="E310" s="1181"/>
      <c r="F310" s="1181"/>
      <c r="G310" s="1181"/>
      <c r="H310" s="1181"/>
      <c r="I310" s="1181"/>
      <c r="J310" s="771"/>
      <c r="K310" s="1181"/>
    </row>
    <row r="311" ht="18.0" customHeight="1">
      <c r="A311" s="771"/>
      <c r="B311" s="1180"/>
      <c r="C311" s="1180"/>
      <c r="D311" s="1181"/>
      <c r="E311" s="1182"/>
      <c r="F311" s="1185" t="s">
        <v>18382</v>
      </c>
      <c r="G311" s="1186"/>
      <c r="H311" s="1187" t="s">
        <v>18383</v>
      </c>
      <c r="I311" s="1188" t="s">
        <v>18384</v>
      </c>
      <c r="J311" s="1189" t="s">
        <v>18385</v>
      </c>
      <c r="K311" s="1182"/>
    </row>
    <row r="312" ht="18.0" customHeight="1">
      <c r="A312" s="771"/>
      <c r="B312" s="1180"/>
      <c r="C312" s="1180"/>
      <c r="D312" s="1181"/>
      <c r="E312" s="1182"/>
      <c r="F312" s="1190" t="s">
        <v>1408</v>
      </c>
      <c r="G312" s="1191"/>
      <c r="H312" s="1192">
        <v>0.8</v>
      </c>
      <c r="I312" s="1193">
        <v>0.1782</v>
      </c>
      <c r="J312" s="1194" t="s">
        <v>18386</v>
      </c>
      <c r="K312" s="1182"/>
    </row>
    <row r="313" ht="18.0" customHeight="1">
      <c r="A313" s="771"/>
      <c r="B313" s="1180"/>
      <c r="C313" s="1180"/>
      <c r="D313" s="1181"/>
      <c r="E313" s="1182"/>
      <c r="F313" s="1195" t="s">
        <v>1410</v>
      </c>
      <c r="G313" s="1196"/>
      <c r="H313" s="1197">
        <v>0.9</v>
      </c>
      <c r="I313" s="1198">
        <v>0.1353</v>
      </c>
      <c r="J313" s="1199" t="s">
        <v>18387</v>
      </c>
      <c r="K313" s="1182"/>
    </row>
    <row r="314" ht="18.0" customHeight="1">
      <c r="A314" s="771"/>
      <c r="B314" s="1180"/>
      <c r="C314" s="1180"/>
      <c r="D314" s="1181"/>
      <c r="E314" s="1182"/>
      <c r="F314" s="1200" t="s">
        <v>1413</v>
      </c>
      <c r="G314" s="1201"/>
      <c r="H314" s="1202">
        <v>1.0</v>
      </c>
      <c r="I314" s="1203">
        <v>0.6865</v>
      </c>
      <c r="J314" s="1204" t="s">
        <v>18388</v>
      </c>
      <c r="K314" s="1182"/>
    </row>
    <row r="315" ht="18.0" customHeight="1">
      <c r="A315" s="1205"/>
      <c r="B315" s="1206"/>
      <c r="C315" s="1207"/>
      <c r="D315" s="1208"/>
      <c r="E315" s="1209"/>
      <c r="F315" s="1209"/>
      <c r="G315" s="1209"/>
      <c r="H315" s="1209"/>
      <c r="I315" s="1209"/>
      <c r="J315" s="1210"/>
      <c r="K315" s="1209"/>
    </row>
  </sheetData>
  <mergeCells count="3">
    <mergeCell ref="A1:C1"/>
    <mergeCell ref="D1:F1"/>
    <mergeCell ref="I1:K1"/>
  </mergeCells>
  <conditionalFormatting sqref="A3:K306">
    <cfRule type="expression" dxfId="8" priority="1">
      <formula>$K3="A"</formula>
    </cfRule>
  </conditionalFormatting>
  <conditionalFormatting sqref="A3:K306">
    <cfRule type="expression" dxfId="9" priority="2">
      <formula>$K3="B"</formula>
    </cfRule>
  </conditionalFormatting>
  <conditionalFormatting sqref="A3:K306">
    <cfRule type="expression" dxfId="10" priority="3">
      <formula>$K3="C"</formula>
    </cfRule>
  </conditionalFormatting>
  <hyperlinks>
    <hyperlink display="SUMÁRIO" location="'QUADRO RESUMO'!B16:D17" ref="I1"/>
  </hyperlinks>
  <printOptions/>
  <pageMargins bottom="0.75" footer="0.0" header="0.0" left="0.7" right="0.7" top="0.75"/>
  <pageSetup fitToHeight="0" paperSize="9"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CDDC"/>
    <pageSetUpPr fitToPage="1"/>
  </sheetPr>
  <sheetViews>
    <sheetView showGridLines="0" workbookViewId="0"/>
  </sheetViews>
  <sheetFormatPr customHeight="1" defaultColWidth="14.43" defaultRowHeight="15.0"/>
  <cols>
    <col customWidth="1" min="1" max="1" width="6.29"/>
    <col customWidth="1" min="2" max="2" width="12.57"/>
    <col customWidth="1" min="3" max="3" width="9.0"/>
    <col customWidth="1" min="4" max="4" width="80.29"/>
    <col customWidth="1" min="5" max="5" width="11.14"/>
    <col customWidth="1" min="6" max="6" width="6.71"/>
    <col customWidth="1" min="7" max="7" width="8.43"/>
    <col customWidth="1" min="8" max="8" width="10.0"/>
    <col customWidth="1" min="9" max="9" width="12.29"/>
    <col customWidth="1" min="10" max="10" width="10.29"/>
    <col customWidth="1" min="11" max="11" width="13.57"/>
    <col customWidth="1" min="12" max="12" width="8.43"/>
    <col customWidth="1" min="13" max="13" width="11.14"/>
    <col customWidth="1" min="14" max="14" width="7.57"/>
  </cols>
  <sheetData>
    <row r="1" ht="59.25" customHeight="1">
      <c r="A1" s="487" t="s">
        <v>18389</v>
      </c>
      <c r="B1" s="36"/>
      <c r="C1" s="36"/>
      <c r="D1" s="2" t="s">
        <v>18390</v>
      </c>
      <c r="G1" s="1133"/>
      <c r="H1" s="1133"/>
      <c r="I1" s="1133"/>
      <c r="J1" s="1133"/>
      <c r="K1" s="1133"/>
      <c r="L1" s="287" t="s">
        <v>29</v>
      </c>
      <c r="M1" s="44"/>
      <c r="N1" s="44"/>
    </row>
    <row r="2" ht="18.0" customHeight="1">
      <c r="A2" s="1211" t="s">
        <v>7</v>
      </c>
      <c r="B2" s="1211" t="s">
        <v>80</v>
      </c>
      <c r="C2" s="1212" t="s">
        <v>1732</v>
      </c>
      <c r="D2" s="1213" t="s">
        <v>8</v>
      </c>
      <c r="E2" s="1211" t="s">
        <v>18391</v>
      </c>
      <c r="F2" s="1214" t="s">
        <v>83</v>
      </c>
      <c r="G2" s="1214" t="s">
        <v>11</v>
      </c>
      <c r="H2" s="1215" t="s">
        <v>84</v>
      </c>
      <c r="I2" s="1211" t="s">
        <v>85</v>
      </c>
      <c r="J2" s="1211" t="s">
        <v>1397</v>
      </c>
      <c r="K2" s="1211" t="s">
        <v>86</v>
      </c>
      <c r="L2" s="1214" t="s">
        <v>17755</v>
      </c>
      <c r="M2" s="1214" t="s">
        <v>17756</v>
      </c>
      <c r="N2" s="1214" t="s">
        <v>17757</v>
      </c>
    </row>
    <row r="3">
      <c r="A3" s="1216">
        <v>1.0</v>
      </c>
      <c r="B3" s="1217" t="s">
        <v>500</v>
      </c>
      <c r="C3" s="1217" t="s">
        <v>1785</v>
      </c>
      <c r="D3" s="1218" t="str">
        <f>IF(C3="SINAPI",VLOOKUP(B3,'20-A.SINAPI-I'!A:G,2,0),VLOOKUP(B3,'12.COT.MERCADO'!A:I,2,0))</f>
        <v>SERVIÇO DE MANUTENÇÃO PREVENTIVA E CORRETIVA DE APARELHOS DE AR CONDICIONADO SPLIT ATÉ 9.000 BTUS, COM FORNECIMENTO DE PEÇAS E MATERIAIS (COM EXCEÇÃO DO COMPRESSOR PARA AR CONDICIONADO, MOTOR VENTILADOR DA UNIDADE CONDENSADORA OU EVAPORADORA E PLACA DE COMANDO DA UNIDADE CONDENSADORA OU EVAPORADORA)</v>
      </c>
      <c r="E3" s="1219" t="s">
        <v>18392</v>
      </c>
      <c r="F3" s="1220" t="str">
        <f>IF(C3="SINAPI",VLOOKUP(B3,'20-A.SINAPI-I'!A:G,3,0),VLOOKUP(B3,'12.COT.MERCADO'!A:I,7,0))</f>
        <v>UN </v>
      </c>
      <c r="G3" s="1221">
        <v>62.0</v>
      </c>
      <c r="H3" s="1222">
        <f>IF(C3="SINAPI",VLOOKUP(B3,'20-A.SINAPI-I'!A:G,4,0),VLOOKUP(B3,'12.COT.MERCADO'!A:I,8,0))</f>
        <v>250</v>
      </c>
      <c r="I3" s="1222">
        <f>IF(E3="Mão de Obra",H3*(1+'7. BDI SERVIÇOS'!$K$5),H3*(1+'8. BDI MERO FORNECIMENTO'!$K$5))</f>
        <v>292.8336463</v>
      </c>
      <c r="J3" s="1222">
        <f t="shared" ref="J3:J448" si="1">H3*G3</f>
        <v>15500</v>
      </c>
      <c r="K3" s="1222">
        <f t="shared" ref="K3:K448" si="2">I3*G3</f>
        <v>18155.68607</v>
      </c>
      <c r="L3" s="1223">
        <f t="shared" ref="L3:L448" si="3">K3/$K$461</f>
        <v>0.05822472434</v>
      </c>
      <c r="M3" s="1224">
        <f>L3</f>
        <v>0.05822472434</v>
      </c>
      <c r="N3" s="1225" t="str">
        <f t="shared" ref="N3:N448" si="4">IF(M3&lt;$I$464,"A",IF(M3&gt;$I$465,"C","B"))</f>
        <v>A</v>
      </c>
    </row>
    <row r="4">
      <c r="A4" s="1226">
        <v>2.0</v>
      </c>
      <c r="B4" s="1227" t="s">
        <v>502</v>
      </c>
      <c r="C4" s="1227" t="s">
        <v>1785</v>
      </c>
      <c r="D4" s="1228" t="str">
        <f>IF(C4="SINAPI",VLOOKUP(B4,'20-A.SINAPI-I'!A:G,2,0),VLOOKUP(B4,'12.COT.MERCADO'!A:I,2,0))</f>
        <v>SERVIÇO DE MANUTENÇÃO PREVENTIVA E CORRETIVA DE APARELHOS DE AR CONDICIONADO SPLIT ACIMA DE 9.000 BTUS ATÉ 12.000 BTUS, COM FORNECIMENTO DE PEÇAS E MATERIAIS (COM EXCEÇÃO DO COMPRESSOR PARA AR CONDICIONADO, MOTOR VENTILADOR DA UNIDADE CONDENSADORA OU EVAPORADORA E PLACA DE COMANDO DA UNIDADE CONDENSADORA OU EVAPORADORA)</v>
      </c>
      <c r="E4" s="1229" t="s">
        <v>18392</v>
      </c>
      <c r="F4" s="1230" t="str">
        <f>IF(C4="SINAPI",VLOOKUP(B4,'20-A.SINAPI-I'!A:G,3,0),VLOOKUP(B4,'12.COT.MERCADO'!A:I,7,0))</f>
        <v>UN </v>
      </c>
      <c r="G4" s="1231">
        <v>51.0</v>
      </c>
      <c r="H4" s="1232">
        <f>IF(C4="SINAPI",VLOOKUP(B4,'20-A.SINAPI-I'!A:G,4,0),VLOOKUP(B4,'12.COT.MERCADO'!A:I,8,0))</f>
        <v>250</v>
      </c>
      <c r="I4" s="1232">
        <f>IF(E4="Mão de Obra",H4*(1+'7. BDI SERVIÇOS'!$K$5),H4*(1+'8. BDI MERO FORNECIMENTO'!$K$5))</f>
        <v>292.8336463</v>
      </c>
      <c r="J4" s="1232">
        <f t="shared" si="1"/>
        <v>12750</v>
      </c>
      <c r="K4" s="1232">
        <f t="shared" si="2"/>
        <v>14934.51596</v>
      </c>
      <c r="L4" s="1233">
        <f t="shared" si="3"/>
        <v>0.04789453131</v>
      </c>
      <c r="M4" s="1234">
        <f t="shared" ref="M4:M448" si="5">L4+M3</f>
        <v>0.1061192557</v>
      </c>
      <c r="N4" s="1235" t="str">
        <f t="shared" si="4"/>
        <v>A</v>
      </c>
    </row>
    <row r="5">
      <c r="A5" s="1226">
        <v>3.0</v>
      </c>
      <c r="B5" s="1227">
        <v>42243.0</v>
      </c>
      <c r="C5" s="1227" t="s">
        <v>17759</v>
      </c>
      <c r="D5" s="1236" t="str">
        <f>IF(C5="SINAPI",VLOOKUP(B5,'20-A.SINAPI-I'!A:G,2,0),VLOOKUP(B5,'12.COT.MERCADO'!A:I,2,0))</f>
        <v>LUMINARIA DE LED PARA ILUMINACAO PUBLICA, DE 98 W ATE 137 W, INVOLUCRO EM ALUMINIO OU ACO INOX</v>
      </c>
      <c r="E5" s="1229" t="s">
        <v>18393</v>
      </c>
      <c r="F5" s="1230" t="str">
        <f>IF(C5="SINAPI",VLOOKUP(B5,'20-A.SINAPI-I'!A:G,3,0),VLOOKUP(B5,'12.COT.MERCADO'!A:I,7,0))</f>
        <v>UN</v>
      </c>
      <c r="G5" s="1231">
        <v>26.01</v>
      </c>
      <c r="H5" s="1232">
        <f>IF(C5="SINAPI",VLOOKUP(B5,'20-A.SINAPI-I'!A:G,4,0),VLOOKUP(B5,'12.COT.MERCADO'!A:I,8,0))</f>
        <v>476.04</v>
      </c>
      <c r="I5" s="1232">
        <f>IF(E5="Mão de Obra",H5*(1+'7. BDI SERVIÇOS'!$K$5),H5*(1+'8. BDI MERO FORNECIMENTO'!$K$5))</f>
        <v>557.6021159</v>
      </c>
      <c r="J5" s="1232">
        <f t="shared" si="1"/>
        <v>12381.8004</v>
      </c>
      <c r="K5" s="1232">
        <f t="shared" si="2"/>
        <v>14503.23103</v>
      </c>
      <c r="L5" s="1233">
        <f t="shared" si="3"/>
        <v>0.04651141388</v>
      </c>
      <c r="M5" s="1234">
        <f t="shared" si="5"/>
        <v>0.1526306695</v>
      </c>
      <c r="N5" s="1235" t="str">
        <f t="shared" si="4"/>
        <v>A</v>
      </c>
    </row>
    <row r="6">
      <c r="A6" s="1226">
        <v>4.0</v>
      </c>
      <c r="B6" s="1227" t="s">
        <v>504</v>
      </c>
      <c r="C6" s="1227" t="s">
        <v>1785</v>
      </c>
      <c r="D6" s="1228" t="str">
        <f>IF(C6="SINAPI",VLOOKUP(B6,'20-A.SINAPI-I'!A:G,2,0),VLOOKUP(B6,'12.COT.MERCADO'!A:I,2,0))</f>
        <v>SERVIÇO DE MANUTENÇÃO PREVENTIVA E CORRETIVA DE APARELHOS DE AR CONDICIONADO SPLIT ACIMA DE 12.000 BTUS ATÉ 18.000 BTUS, COM FORNECIMENTO DE PEÇAS E MATERIAIS (COM EXCEÇÃO DO COMPRESSOR PARA AR CONDICIONADO, MOTOR VENTILADOR DA UNIDADE CONDENSADORA OU EVAPORADORA E PLACA DE COMANDO DA UNIDADE CONDENSADORA OU EVAPORADORA)</v>
      </c>
      <c r="E6" s="1229" t="s">
        <v>18392</v>
      </c>
      <c r="F6" s="1230" t="str">
        <f>IF(C6="SINAPI",VLOOKUP(B6,'20-A.SINAPI-I'!A:G,3,0),VLOOKUP(B6,'12.COT.MERCADO'!A:I,7,0))</f>
        <v>UN </v>
      </c>
      <c r="G6" s="1231">
        <v>23.0</v>
      </c>
      <c r="H6" s="1232">
        <f>IF(C6="SINAPI",VLOOKUP(B6,'20-A.SINAPI-I'!A:G,4,0),VLOOKUP(B6,'12.COT.MERCADO'!A:I,8,0))</f>
        <v>300</v>
      </c>
      <c r="I6" s="1232">
        <f>IF(E6="Mão de Obra",H6*(1+'7. BDI SERVIÇOS'!$K$5),H6*(1+'8. BDI MERO FORNECIMENTO'!$K$5))</f>
        <v>351.4003755</v>
      </c>
      <c r="J6" s="1232">
        <f t="shared" si="1"/>
        <v>6900</v>
      </c>
      <c r="K6" s="1232">
        <f t="shared" si="2"/>
        <v>8082.208637</v>
      </c>
      <c r="L6" s="1233">
        <f t="shared" si="3"/>
        <v>0.02591939342</v>
      </c>
      <c r="M6" s="1234">
        <f t="shared" si="5"/>
        <v>0.178550063</v>
      </c>
      <c r="N6" s="1235" t="str">
        <f t="shared" si="4"/>
        <v>A</v>
      </c>
    </row>
    <row r="7">
      <c r="A7" s="1226">
        <v>5.0</v>
      </c>
      <c r="B7" s="1227">
        <v>2706.0</v>
      </c>
      <c r="C7" s="1227" t="s">
        <v>17759</v>
      </c>
      <c r="D7" s="1236" t="str">
        <f>IF(C7="SINAPI",VLOOKUP(B7,'20-A.SINAPI-I'!A:G,2,0),VLOOKUP(B7,'12.COT.MERCADO'!A:I,2,0))</f>
        <v>ENGENHEIRO CIVIL DE OBRA JUNIOR</v>
      </c>
      <c r="E7" s="1229" t="s">
        <v>18394</v>
      </c>
      <c r="F7" s="1230" t="str">
        <f>IF(C7="SINAPI",VLOOKUP(B7,'20-A.SINAPI-I'!A:G,3,0),VLOOKUP(B7,'12.COT.MERCADO'!A:I,7,0))</f>
        <v>H</v>
      </c>
      <c r="G7" s="1231">
        <v>81.1344</v>
      </c>
      <c r="H7" s="1232">
        <f>IF(C7="SINAPI",VLOOKUP(B7,'20-A.SINAPI-I'!A:G,4,0),VLOOKUP(B7,'12.COT.MERCADO'!A:I,8,0))</f>
        <v>95.41</v>
      </c>
      <c r="I7" s="1232">
        <f>IF(E7="Mão de Obra",H7*(1+'7. BDI SERVIÇOS'!$K$5),H7*(1+'8. BDI MERO FORNECIMENTO'!$K$5))</f>
        <v>112.0039906</v>
      </c>
      <c r="J7" s="1232">
        <f t="shared" si="1"/>
        <v>7741.033104</v>
      </c>
      <c r="K7" s="1232">
        <f t="shared" si="2"/>
        <v>9087.376572</v>
      </c>
      <c r="L7" s="1233">
        <f t="shared" si="3"/>
        <v>0.02914293593</v>
      </c>
      <c r="M7" s="1234">
        <f t="shared" si="5"/>
        <v>0.2076929989</v>
      </c>
      <c r="N7" s="1235" t="str">
        <f t="shared" si="4"/>
        <v>A</v>
      </c>
    </row>
    <row r="8">
      <c r="A8" s="1226">
        <v>6.0</v>
      </c>
      <c r="B8" s="1227" t="s">
        <v>506</v>
      </c>
      <c r="C8" s="1227" t="s">
        <v>1785</v>
      </c>
      <c r="D8" s="1228" t="str">
        <f>IF(C8="SINAPI",VLOOKUP(B8,'20-A.SINAPI-I'!A:G,2,0),VLOOKUP(B8,'12.COT.MERCADO'!A:I,2,0))</f>
        <v>SERVIÇO MENSAL DE MANUTENÇÃO PREVENTIVA E CORRETIVA DE APARELHOS DE AR CONDICIONADO SPLIT ACIMA DE 18.000 BTUS ATÉ 24.000 BTUS, COM FORNECIMENTO DE PEÇAS E MATERIAIS (COM EXCEÇÃO DO COMPRESSOR PARA AR CONDICIONADO, MOTOR VENTILADOR DA UNIDADE CONDENSADORA OU EVAPORADORA E PLACA DE COMANDO DA UNIDADE CONDENSADORA OU EVAPORADORA)</v>
      </c>
      <c r="E8" s="1229" t="s">
        <v>18393</v>
      </c>
      <c r="F8" s="1230" t="str">
        <f>IF(C8="SINAPI",VLOOKUP(B8,'20-A.SINAPI-I'!A:G,3,0),VLOOKUP(B8,'12.COT.MERCADO'!A:I,7,0))</f>
        <v>UN </v>
      </c>
      <c r="G8" s="1231">
        <v>16.0</v>
      </c>
      <c r="H8" s="1232">
        <f>IF(C8="SINAPI",VLOOKUP(B8,'20-A.SINAPI-I'!A:G,4,0),VLOOKUP(B8,'12.COT.MERCADO'!A:I,8,0))</f>
        <v>400</v>
      </c>
      <c r="I8" s="1232">
        <f>IF(E8="Mão de Obra",H8*(1+'7. BDI SERVIÇOS'!$K$5),H8*(1+'8. BDI MERO FORNECIMENTO'!$K$5))</f>
        <v>468.5338341</v>
      </c>
      <c r="J8" s="1232">
        <f t="shared" si="1"/>
        <v>6400</v>
      </c>
      <c r="K8" s="1232">
        <f t="shared" si="2"/>
        <v>7496.541345</v>
      </c>
      <c r="L8" s="1233">
        <f t="shared" si="3"/>
        <v>0.0240411765</v>
      </c>
      <c r="M8" s="1234">
        <f t="shared" si="5"/>
        <v>0.2317341754</v>
      </c>
      <c r="N8" s="1235" t="str">
        <f t="shared" si="4"/>
        <v>A</v>
      </c>
    </row>
    <row r="9">
      <c r="A9" s="1226">
        <v>385.0</v>
      </c>
      <c r="B9" s="1227">
        <v>1018.0</v>
      </c>
      <c r="C9" s="1237" t="s">
        <v>17759</v>
      </c>
      <c r="D9" s="1236" t="str">
        <f>IF(C9="SINAPI",VLOOKUP(B9,'20-A.SINAPI-I'!A:G,2,0),VLOOKUP(B9,'12.COT.MERCADO'!A:I,2,0))</f>
        <v>CABO DE COBRE, FLEXIVEL, CLASSE 4 OU 5, ISOLACAO EM PVC/A, ANTICHAMA BWF-B, COBERTURA PVC-ST1, ANTICHAMA BWF-B, 1 CONDUTOR, 0,6/1 KV, SECAO NOMINAL 50 MM2</v>
      </c>
      <c r="E9" s="1238" t="s">
        <v>18393</v>
      </c>
      <c r="F9" s="1230" t="str">
        <f>IF(C9="SINAPI",VLOOKUP(B9,'20-A.SINAPI-I'!A:G,3,0),VLOOKUP(B9,'12.COT.MERCADO'!A:I,7,0))</f>
        <v>M</v>
      </c>
      <c r="G9" s="1239">
        <v>120.354053</v>
      </c>
      <c r="H9" s="1232">
        <f>IF(C9="SINAPI",VLOOKUP(B9,'20-A.SINAPI-I'!A:G,4,0),VLOOKUP(B9,'12.COT.MERCADO'!A:I,8,0))</f>
        <v>48.52</v>
      </c>
      <c r="I9" s="1232">
        <f>IF(E9="Mão de Obra",H9*(1+'7. BDI SERVIÇOS'!$K$5),H9*(1+'8. BDI MERO FORNECIMENTO'!$K$5))</f>
        <v>56.83315407</v>
      </c>
      <c r="J9" s="1232">
        <f t="shared" si="1"/>
        <v>5839.578652</v>
      </c>
      <c r="K9" s="1232">
        <f t="shared" si="2"/>
        <v>6840.100437</v>
      </c>
      <c r="L9" s="1233">
        <f t="shared" si="3"/>
        <v>0.02193599079</v>
      </c>
      <c r="M9" s="1234">
        <f t="shared" si="5"/>
        <v>0.2536701662</v>
      </c>
      <c r="N9" s="1235" t="str">
        <f t="shared" si="4"/>
        <v>A</v>
      </c>
    </row>
    <row r="10">
      <c r="A10" s="1226">
        <v>7.0</v>
      </c>
      <c r="B10" s="1227">
        <v>4750.0</v>
      </c>
      <c r="C10" s="1227" t="s">
        <v>17759</v>
      </c>
      <c r="D10" s="1236" t="str">
        <f>IF(C10="SINAPI",VLOOKUP(B10,'20-A.SINAPI-I'!A:G,2,0),VLOOKUP(B10,'12.COT.MERCADO'!A:I,2,0))</f>
        <v>PEDREIRO (HORISTA)</v>
      </c>
      <c r="E10" s="1229" t="s">
        <v>18394</v>
      </c>
      <c r="F10" s="1230" t="str">
        <f>IF(C10="SINAPI",VLOOKUP(B10,'20-A.SINAPI-I'!A:G,3,0),VLOOKUP(B10,'12.COT.MERCADO'!A:I,7,0))</f>
        <v>H</v>
      </c>
      <c r="G10" s="1231">
        <v>245.942321</v>
      </c>
      <c r="H10" s="1232">
        <f>IF(C10="SINAPI",VLOOKUP(B10,'20-A.SINAPI-I'!A:G,4,0),VLOOKUP(B10,'12.COT.MERCADO'!A:I,8,0))</f>
        <v>20.82</v>
      </c>
      <c r="I10" s="1232">
        <f>IF(E10="Mão de Obra",H10*(1+'7. BDI SERVIÇOS'!$K$5),H10*(1+'8. BDI MERO FORNECIMENTO'!$K$5))</f>
        <v>24.44107624</v>
      </c>
      <c r="J10" s="1232">
        <f t="shared" si="1"/>
        <v>5120.519123</v>
      </c>
      <c r="K10" s="1232">
        <f t="shared" si="2"/>
        <v>6011.095017</v>
      </c>
      <c r="L10" s="1233">
        <f t="shared" si="3"/>
        <v>0.01927739602</v>
      </c>
      <c r="M10" s="1234">
        <f t="shared" si="5"/>
        <v>0.2729475622</v>
      </c>
      <c r="N10" s="1235" t="str">
        <f t="shared" si="4"/>
        <v>A</v>
      </c>
    </row>
    <row r="11">
      <c r="A11" s="1226">
        <v>8.0</v>
      </c>
      <c r="B11" s="1227" t="s">
        <v>516</v>
      </c>
      <c r="C11" s="1227" t="s">
        <v>1785</v>
      </c>
      <c r="D11" s="1228" t="str">
        <f>IF(C11="SINAPI",VLOOKUP(B11,'20-A.SINAPI-I'!A:G,2,0),VLOOKUP(B11,'12.COT.MERCADO'!A:I,2,0))</f>
        <v>SERVIÇO DE MANUTENÇÃO PREVENTIVA E CORRETIVA DE APARELHOS DE AR CONDICIONADO DO TIPO JANELA ATÉ 9.000 BTUS, COM FORNECIMENTO DE PEÇAS E MATERIAIS (COM EXCEÇÃO DO COMPRESSOR PARA AR CONDICIONADO, MOTOR VENTILADOR DA UNIDADE CONDENSADORA OU EVAPORADORA E PLACA DE COMANDO DA UNIDADE CONDENSADORA OU EVAPORADORA)</v>
      </c>
      <c r="E11" s="1229" t="s">
        <v>18392</v>
      </c>
      <c r="F11" s="1230" t="str">
        <f>IF(C11="SINAPI",VLOOKUP(B11,'20-A.SINAPI-I'!A:G,3,0),VLOOKUP(B11,'12.COT.MERCADO'!A:I,7,0))</f>
        <v>UN </v>
      </c>
      <c r="G11" s="1231">
        <v>12.0</v>
      </c>
      <c r="H11" s="1232">
        <f>IF(C11="SINAPI",VLOOKUP(B11,'20-A.SINAPI-I'!A:G,4,0),VLOOKUP(B11,'12.COT.MERCADO'!A:I,8,0))</f>
        <v>350</v>
      </c>
      <c r="I11" s="1232">
        <f>IF(E11="Mão de Obra",H11*(1+'7. BDI SERVIÇOS'!$K$5),H11*(1+'8. BDI MERO FORNECIMENTO'!$K$5))</f>
        <v>409.9671048</v>
      </c>
      <c r="J11" s="1232">
        <f t="shared" si="1"/>
        <v>4200</v>
      </c>
      <c r="K11" s="1232">
        <f t="shared" si="2"/>
        <v>4919.605258</v>
      </c>
      <c r="L11" s="1233">
        <f t="shared" si="3"/>
        <v>0.01577702208</v>
      </c>
      <c r="M11" s="1234">
        <f t="shared" si="5"/>
        <v>0.2887245843</v>
      </c>
      <c r="N11" s="1235" t="str">
        <f t="shared" si="4"/>
        <v>A</v>
      </c>
    </row>
    <row r="12">
      <c r="A12" s="1226">
        <v>13.0</v>
      </c>
      <c r="B12" s="1227">
        <v>6111.0</v>
      </c>
      <c r="C12" s="1227" t="s">
        <v>17759</v>
      </c>
      <c r="D12" s="1236" t="str">
        <f>IF(C12="SINAPI",VLOOKUP(B12,'20-A.SINAPI-I'!A:G,2,0),VLOOKUP(B12,'12.COT.MERCADO'!A:I,2,0))</f>
        <v>SERVENTE DE OBRAS</v>
      </c>
      <c r="E12" s="1229" t="s">
        <v>18392</v>
      </c>
      <c r="F12" s="1230" t="str">
        <f>IF(C12="SINAPI",VLOOKUP(B12,'20-A.SINAPI-I'!A:G,3,0),VLOOKUP(B12,'12.COT.MERCADO'!A:I,7,0))</f>
        <v>H</v>
      </c>
      <c r="G12" s="1231">
        <v>311.4062487</v>
      </c>
      <c r="H12" s="1232">
        <f>IF(C12="SINAPI",VLOOKUP(B12,'20-A.SINAPI-I'!A:G,4,0),VLOOKUP(B12,'12.COT.MERCADO'!A:I,8,0))</f>
        <v>14.7</v>
      </c>
      <c r="I12" s="1232">
        <f>IF(E12="Mão de Obra",H12*(1+'7. BDI SERVIÇOS'!$K$5),H12*(1+'8. BDI MERO FORNECIMENTO'!$K$5))</f>
        <v>17.2186184</v>
      </c>
      <c r="J12" s="1232">
        <f t="shared" si="1"/>
        <v>4577.671856</v>
      </c>
      <c r="K12" s="1232">
        <f t="shared" si="2"/>
        <v>5361.985364</v>
      </c>
      <c r="L12" s="1233">
        <f t="shared" si="3"/>
        <v>0.01719572142</v>
      </c>
      <c r="M12" s="1234">
        <f t="shared" si="5"/>
        <v>0.3059203057</v>
      </c>
      <c r="N12" s="1235" t="str">
        <f t="shared" si="4"/>
        <v>A</v>
      </c>
    </row>
    <row r="13">
      <c r="A13" s="1226">
        <v>11.0</v>
      </c>
      <c r="B13" s="1227">
        <v>37370.0</v>
      </c>
      <c r="C13" s="1227" t="s">
        <v>17759</v>
      </c>
      <c r="D13" s="1236" t="str">
        <f>IF(C13="SINAPI",VLOOKUP(B13,'20-A.SINAPI-I'!A:G,2,0),VLOOKUP(B13,'12.COT.MERCADO'!A:I,2,0))</f>
        <v>ALIMENTACAO - HORISTA (COLETADO CAIXA - ENCARGOS COMPLEMENTARES)</v>
      </c>
      <c r="E13" s="1229" t="s">
        <v>18395</v>
      </c>
      <c r="F13" s="1230" t="str">
        <f>IF(C13="SINAPI",VLOOKUP(B13,'20-A.SINAPI-I'!A:G,3,0),VLOOKUP(B13,'12.COT.MERCADO'!A:I,7,0))</f>
        <v>H</v>
      </c>
      <c r="G13" s="1231">
        <v>1271.6715672</v>
      </c>
      <c r="H13" s="1232">
        <f>IF(C13="SINAPI",VLOOKUP(B13,'20-A.SINAPI-I'!A:G,4,0),VLOOKUP(B13,'12.COT.MERCADO'!A:I,8,0))</f>
        <v>3.79</v>
      </c>
      <c r="I13" s="1232">
        <f>IF(E13="Mão de Obra",H13*(1+'7. BDI SERVIÇOS'!$K$5),H13*(1+'8. BDI MERO FORNECIMENTO'!$K$5))</f>
        <v>4.439358078</v>
      </c>
      <c r="J13" s="1232">
        <f t="shared" si="1"/>
        <v>4819.63524</v>
      </c>
      <c r="K13" s="1232">
        <f t="shared" si="2"/>
        <v>5645.405444</v>
      </c>
      <c r="L13" s="1233">
        <f t="shared" si="3"/>
        <v>0.01810464086</v>
      </c>
      <c r="M13" s="1234">
        <f t="shared" si="5"/>
        <v>0.3240249465</v>
      </c>
      <c r="N13" s="1235" t="str">
        <f t="shared" si="4"/>
        <v>A</v>
      </c>
    </row>
    <row r="14">
      <c r="A14" s="1226">
        <v>12.0</v>
      </c>
      <c r="B14" s="1227">
        <v>2436.0</v>
      </c>
      <c r="C14" s="1227" t="s">
        <v>17759</v>
      </c>
      <c r="D14" s="1236" t="str">
        <f>IF(C14="SINAPI",VLOOKUP(B14,'20-A.SINAPI-I'!A:G,2,0),VLOOKUP(B14,'12.COT.MERCADO'!A:I,2,0))</f>
        <v>ELETRICISTA (HORISTA)</v>
      </c>
      <c r="E14" s="1229" t="s">
        <v>18394</v>
      </c>
      <c r="F14" s="1230" t="str">
        <f>IF(C14="SINAPI",VLOOKUP(B14,'20-A.SINAPI-I'!A:G,3,0),VLOOKUP(B14,'12.COT.MERCADO'!A:I,7,0))</f>
        <v>H</v>
      </c>
      <c r="G14" s="1231">
        <v>205.8941074</v>
      </c>
      <c r="H14" s="1232">
        <f>IF(C14="SINAPI",VLOOKUP(B14,'20-A.SINAPI-I'!A:G,4,0),VLOOKUP(B14,'12.COT.MERCADO'!A:I,8,0))</f>
        <v>20.82</v>
      </c>
      <c r="I14" s="1232">
        <f>IF(E14="Mão de Obra",H14*(1+'7. BDI SERVIÇOS'!$K$5),H14*(1+'8. BDI MERO FORNECIMENTO'!$K$5))</f>
        <v>24.44107624</v>
      </c>
      <c r="J14" s="1232">
        <f t="shared" si="1"/>
        <v>4286.715316</v>
      </c>
      <c r="K14" s="1232">
        <f t="shared" si="2"/>
        <v>5032.273575</v>
      </c>
      <c r="L14" s="1233">
        <f t="shared" si="3"/>
        <v>0.01613834589</v>
      </c>
      <c r="M14" s="1234">
        <f t="shared" si="5"/>
        <v>0.3401632924</v>
      </c>
      <c r="N14" s="1235" t="str">
        <f t="shared" si="4"/>
        <v>A</v>
      </c>
    </row>
    <row r="15">
      <c r="A15" s="1226">
        <v>10.0</v>
      </c>
      <c r="B15" s="1227" t="s">
        <v>522</v>
      </c>
      <c r="C15" s="1227" t="s">
        <v>1785</v>
      </c>
      <c r="D15" s="1228" t="str">
        <f>IF(C15="SINAPI",VLOOKUP(B15,'20-A.SINAPI-I'!A:G,2,0),VLOOKUP(B15,'12.COT.MERCADO'!A:I,2,0))</f>
        <v>SERVIÇO DE MANUTENÇÃO PREVENTIVA E CORRETIVA DE APARELHOS DE AR CONDICIONADO TIPO JANELA ACIMA DE 18.000 BTUS ATÉ 27.000 BTUS, COM FORNECIMENTO DE PEÇAS E MATERIAIS (COM EXCEÇÃO DO COMPRESSOR PARA AR CONDICIONADO, MOTOR VENTILADOR DA UNIDADE CONDENSADORA OU EVAPORADORA E PLACA DE COMANDO DA UNIDADE CONDENSADORA OU EVAPORADORA)</v>
      </c>
      <c r="E15" s="1229" t="s">
        <v>18392</v>
      </c>
      <c r="F15" s="1230" t="str">
        <f>IF(C15="SINAPI",VLOOKUP(B15,'20-A.SINAPI-I'!A:G,3,0),VLOOKUP(B15,'12.COT.MERCADO'!A:I,7,0))</f>
        <v>UN </v>
      </c>
      <c r="G15" s="1231">
        <v>11.0</v>
      </c>
      <c r="H15" s="1232">
        <f>IF(C15="SINAPI",VLOOKUP(B15,'20-A.SINAPI-I'!A:G,4,0),VLOOKUP(B15,'12.COT.MERCADO'!A:I,8,0))</f>
        <v>370</v>
      </c>
      <c r="I15" s="1232">
        <f>IF(E15="Mão de Obra",H15*(1+'7. BDI SERVIÇOS'!$K$5),H15*(1+'8. BDI MERO FORNECIMENTO'!$K$5))</f>
        <v>433.3937965</v>
      </c>
      <c r="J15" s="1232">
        <f t="shared" si="1"/>
        <v>4070</v>
      </c>
      <c r="K15" s="1232">
        <f t="shared" si="2"/>
        <v>4767.331761</v>
      </c>
      <c r="L15" s="1233">
        <f t="shared" si="3"/>
        <v>0.01528868568</v>
      </c>
      <c r="M15" s="1234">
        <f t="shared" si="5"/>
        <v>0.3554519781</v>
      </c>
      <c r="N15" s="1235" t="str">
        <f t="shared" si="4"/>
        <v>A</v>
      </c>
    </row>
    <row r="16">
      <c r="A16" s="1226">
        <v>15.0</v>
      </c>
      <c r="B16" s="1227" t="s">
        <v>508</v>
      </c>
      <c r="C16" s="1227" t="s">
        <v>1785</v>
      </c>
      <c r="D16" s="1228" t="str">
        <f>IF(C16="SINAPI",VLOOKUP(B16,'20-A.SINAPI-I'!A:G,2,0),VLOOKUP(B16,'12.COT.MERCADO'!A:I,2,0))</f>
        <v>SERVIÇO DE MANUTENÇÃO PREVENTIVA E CORRETIVA DE APARELHOS DE AR CONDICIONADO SPLIT ACIMA DE 24.000 BTUS ATÉ 30.000 BTUS, COM FORNECIMENTO DE PEÇAS E MATERIAIS (COM EXCEÇÃO DO COMPRESSOR PARA AR CONDICIONADO, MOTOR VENTILADOR DA UNIDADE CONDENSADORA OU EVAPORADORA E PLACA DE COMANDO DA UNIDADE CONDENSADORA OU EVAPORADORA)</v>
      </c>
      <c r="E16" s="1229" t="s">
        <v>18392</v>
      </c>
      <c r="F16" s="1230" t="str">
        <f>IF(C16="SINAPI",VLOOKUP(B16,'20-A.SINAPI-I'!A:G,3,0),VLOOKUP(B16,'12.COT.MERCADO'!A:I,7,0))</f>
        <v>UN </v>
      </c>
      <c r="G16" s="1231">
        <v>6.0</v>
      </c>
      <c r="H16" s="1232">
        <f>IF(C16="SINAPI",VLOOKUP(B16,'20-A.SINAPI-I'!A:G,4,0),VLOOKUP(B16,'12.COT.MERCADO'!A:I,8,0))</f>
        <v>450</v>
      </c>
      <c r="I16" s="1232">
        <f>IF(E16="Mão de Obra",H16*(1+'7. BDI SERVIÇOS'!$K$5),H16*(1+'8. BDI MERO FORNECIMENTO'!$K$5))</f>
        <v>527.1005633</v>
      </c>
      <c r="J16" s="1232">
        <f t="shared" si="1"/>
        <v>2700</v>
      </c>
      <c r="K16" s="1232">
        <f t="shared" si="2"/>
        <v>3162.60338</v>
      </c>
      <c r="L16" s="1233">
        <f t="shared" si="3"/>
        <v>0.01014237134</v>
      </c>
      <c r="M16" s="1234">
        <f t="shared" si="5"/>
        <v>0.3655943495</v>
      </c>
      <c r="N16" s="1235" t="str">
        <f t="shared" si="4"/>
        <v>A</v>
      </c>
    </row>
    <row r="17">
      <c r="A17" s="1226">
        <v>16.0</v>
      </c>
      <c r="B17" s="1227">
        <v>39599.0</v>
      </c>
      <c r="C17" s="1227" t="s">
        <v>17759</v>
      </c>
      <c r="D17" s="1236" t="str">
        <f>IF(C17="SINAPI",VLOOKUP(B17,'20-A.SINAPI-I'!A:G,2,0),VLOOKUP(B17,'12.COT.MERCADO'!A:I,2,0))</f>
        <v>CABO DE REDE, PAR TRANCADO UTP, 4 PARES, CATEGORIA 6 (CAT 6), ISOLAMENTO PVC (LSZH)</v>
      </c>
      <c r="E17" s="1229" t="s">
        <v>18393</v>
      </c>
      <c r="F17" s="1230" t="str">
        <f>IF(C17="SINAPI",VLOOKUP(B17,'20-A.SINAPI-I'!A:G,3,0),VLOOKUP(B17,'12.COT.MERCADO'!A:I,7,0))</f>
        <v>M</v>
      </c>
      <c r="G17" s="1231">
        <v>350.1645</v>
      </c>
      <c r="H17" s="1232">
        <f>IF(C17="SINAPI",VLOOKUP(B17,'20-A.SINAPI-I'!A:G,4,0),VLOOKUP(B17,'12.COT.MERCADO'!A:I,8,0))</f>
        <v>8</v>
      </c>
      <c r="I17" s="1232">
        <f>IF(E17="Mão de Obra",H17*(1+'7. BDI SERVIÇOS'!$K$5),H17*(1+'8. BDI MERO FORNECIMENTO'!$K$5))</f>
        <v>9.370676681</v>
      </c>
      <c r="J17" s="1232">
        <f t="shared" si="1"/>
        <v>2801.316</v>
      </c>
      <c r="K17" s="1232">
        <f t="shared" si="2"/>
        <v>3281.278315</v>
      </c>
      <c r="L17" s="1233">
        <f t="shared" si="3"/>
        <v>0.01052295819</v>
      </c>
      <c r="M17" s="1234">
        <f t="shared" si="5"/>
        <v>0.3761173076</v>
      </c>
      <c r="N17" s="1235" t="str">
        <f t="shared" si="4"/>
        <v>A</v>
      </c>
    </row>
    <row r="18">
      <c r="A18" s="1226">
        <v>17.0</v>
      </c>
      <c r="B18" s="1227">
        <v>42244.0</v>
      </c>
      <c r="C18" s="1227" t="s">
        <v>17759</v>
      </c>
      <c r="D18" s="1236" t="str">
        <f>IF(C18="SINAPI",VLOOKUP(B18,'20-A.SINAPI-I'!A:G,2,0),VLOOKUP(B18,'12.COT.MERCADO'!A:I,2,0))</f>
        <v>LUMINARIA DE LED PARA ILUMINACAO PUBLICA, DE 33 W ATE 50 W, INVOLUCRO EM ALUMINIO OU ACO INOX</v>
      </c>
      <c r="E18" s="1229" t="s">
        <v>18393</v>
      </c>
      <c r="F18" s="1230" t="str">
        <f>IF(C18="SINAPI",VLOOKUP(B18,'20-A.SINAPI-I'!A:G,3,0),VLOOKUP(B18,'12.COT.MERCADO'!A:I,7,0))</f>
        <v>UN</v>
      </c>
      <c r="G18" s="1231">
        <v>14.01</v>
      </c>
      <c r="H18" s="1232">
        <f>IF(C18="SINAPI",VLOOKUP(B18,'20-A.SINAPI-I'!A:G,4,0),VLOOKUP(B18,'12.COT.MERCADO'!A:I,8,0))</f>
        <v>193.27</v>
      </c>
      <c r="I18" s="1232">
        <f>IF(E18="Mão de Obra",H18*(1+'7. BDI SERVIÇOS'!$K$5),H18*(1+'8. BDI MERO FORNECIMENTO'!$K$5))</f>
        <v>226.3838353</v>
      </c>
      <c r="J18" s="1232">
        <f t="shared" si="1"/>
        <v>2707.7127</v>
      </c>
      <c r="K18" s="1232">
        <f t="shared" si="2"/>
        <v>3171.637532</v>
      </c>
      <c r="L18" s="1233">
        <f t="shared" si="3"/>
        <v>0.01017134358</v>
      </c>
      <c r="M18" s="1234">
        <f t="shared" si="5"/>
        <v>0.3862886512</v>
      </c>
      <c r="N18" s="1235" t="str">
        <f t="shared" si="4"/>
        <v>A</v>
      </c>
    </row>
    <row r="19">
      <c r="A19" s="1226">
        <v>9.0</v>
      </c>
      <c r="B19" s="1227" t="s">
        <v>1804</v>
      </c>
      <c r="C19" s="1227" t="s">
        <v>1785</v>
      </c>
      <c r="D19" s="1240" t="str">
        <f>IF(C19="SINAPI",VLOOKUP(B19,'20-A.SINAPI-I'!A:G,2,0),VLOOKUP(B19,'12.COT.MERCADO'!A:I,2,0))</f>
        <v>BATERIA SELADA 12V 60AH. REF M60GD DA MOURA OU SIMILAR</v>
      </c>
      <c r="E19" s="1229" t="s">
        <v>18394</v>
      </c>
      <c r="F19" s="1230" t="str">
        <f>IF(C19="SINAPI",VLOOKUP(B19,'20-A.SINAPI-I'!A:G,3,0),VLOOKUP(B19,'12.COT.MERCADO'!A:I,7,0))</f>
        <v>UN</v>
      </c>
      <c r="G19" s="1231">
        <v>6.67</v>
      </c>
      <c r="H19" s="1232">
        <f>IF(C19="SINAPI",VLOOKUP(B19,'20-A.SINAPI-I'!A:G,4,0),VLOOKUP(B19,'12.COT.MERCADO'!A:I,8,0))</f>
        <v>475.86</v>
      </c>
      <c r="I19" s="1232">
        <f>IF(E19="Mão de Obra",H19*(1+'7. BDI SERVIÇOS'!$K$5),H19*(1+'8. BDI MERO FORNECIMENTO'!$K$5))</f>
        <v>558.6229845</v>
      </c>
      <c r="J19" s="1232">
        <f t="shared" si="1"/>
        <v>3173.9862</v>
      </c>
      <c r="K19" s="1232">
        <f t="shared" si="2"/>
        <v>3726.015307</v>
      </c>
      <c r="L19" s="1233">
        <f t="shared" si="3"/>
        <v>0.01194921598</v>
      </c>
      <c r="M19" s="1234">
        <f t="shared" si="5"/>
        <v>0.3982378672</v>
      </c>
      <c r="N19" s="1235" t="str">
        <f t="shared" si="4"/>
        <v>A</v>
      </c>
    </row>
    <row r="20">
      <c r="A20" s="1226">
        <v>18.0</v>
      </c>
      <c r="B20" s="1227">
        <v>39387.0</v>
      </c>
      <c r="C20" s="1227" t="s">
        <v>17759</v>
      </c>
      <c r="D20" s="1236" t="str">
        <f>IF(C20="SINAPI",VLOOKUP(B20,'20-A.SINAPI-I'!A:G,2,0),VLOOKUP(B20,'12.COT.MERCADO'!A:I,2,0))</f>
        <v>LAMPADA LED TUBULAR BIVOLT 18/20 W, BASE G13</v>
      </c>
      <c r="E20" s="1229" t="s">
        <v>18393</v>
      </c>
      <c r="F20" s="1230" t="str">
        <f>IF(C20="SINAPI",VLOOKUP(B20,'20-A.SINAPI-I'!A:G,3,0),VLOOKUP(B20,'12.COT.MERCADO'!A:I,7,0))</f>
        <v>UN</v>
      </c>
      <c r="G20" s="1231">
        <v>177.42</v>
      </c>
      <c r="H20" s="1232">
        <f>IF(C20="SINAPI",VLOOKUP(B20,'20-A.SINAPI-I'!A:G,4,0),VLOOKUP(B20,'12.COT.MERCADO'!A:I,8,0))</f>
        <v>14.38</v>
      </c>
      <c r="I20" s="1232">
        <f>IF(E20="Mão de Obra",H20*(1+'7. BDI SERVIÇOS'!$K$5),H20*(1+'8. BDI MERO FORNECIMENTO'!$K$5))</f>
        <v>16.84379133</v>
      </c>
      <c r="J20" s="1232">
        <f t="shared" si="1"/>
        <v>2551.2996</v>
      </c>
      <c r="K20" s="1232">
        <f t="shared" si="2"/>
        <v>2988.425459</v>
      </c>
      <c r="L20" s="1233">
        <f t="shared" si="3"/>
        <v>0.009583788124</v>
      </c>
      <c r="M20" s="1234">
        <f t="shared" si="5"/>
        <v>0.4078216553</v>
      </c>
      <c r="N20" s="1235" t="str">
        <f t="shared" si="4"/>
        <v>A</v>
      </c>
    </row>
    <row r="21">
      <c r="A21" s="1226">
        <v>14.0</v>
      </c>
      <c r="B21" s="1227">
        <v>4251.0</v>
      </c>
      <c r="C21" s="1227" t="s">
        <v>17759</v>
      </c>
      <c r="D21" s="1236" t="str">
        <f>IF(C21="SINAPI",VLOOKUP(B21,'20-A.SINAPI-I'!A:G,2,0),VLOOKUP(B21,'12.COT.MERCADO'!A:I,2,0))</f>
        <v>OPERADOR DE JATO ABRASIVO OU JATISTA</v>
      </c>
      <c r="E21" s="1229" t="s">
        <v>18393</v>
      </c>
      <c r="F21" s="1230" t="str">
        <f>IF(C21="SINAPI",VLOOKUP(B21,'20-A.SINAPI-I'!A:G,3,0),VLOOKUP(B21,'12.COT.MERCADO'!A:I,7,0))</f>
        <v>H</v>
      </c>
      <c r="G21" s="1231">
        <v>119.0020938</v>
      </c>
      <c r="H21" s="1232">
        <f>IF(C21="SINAPI",VLOOKUP(B21,'20-A.SINAPI-I'!A:G,4,0),VLOOKUP(B21,'12.COT.MERCADO'!A:I,8,0))</f>
        <v>19.15</v>
      </c>
      <c r="I21" s="1232">
        <f>IF(E21="Mão de Obra",H21*(1+'7. BDI SERVIÇOS'!$K$5),H21*(1+'8. BDI MERO FORNECIMENTO'!$K$5))</f>
        <v>22.43105731</v>
      </c>
      <c r="J21" s="1232">
        <f t="shared" si="1"/>
        <v>2278.890096</v>
      </c>
      <c r="K21" s="1232">
        <f t="shared" si="2"/>
        <v>2669.342785</v>
      </c>
      <c r="L21" s="1233">
        <f t="shared" si="3"/>
        <v>0.008560499849</v>
      </c>
      <c r="M21" s="1234">
        <f t="shared" si="5"/>
        <v>0.4163821552</v>
      </c>
      <c r="N21" s="1235" t="str">
        <f t="shared" si="4"/>
        <v>A</v>
      </c>
    </row>
    <row r="22">
      <c r="A22" s="1226">
        <v>21.0</v>
      </c>
      <c r="B22" s="1227">
        <v>247.0</v>
      </c>
      <c r="C22" s="1227" t="s">
        <v>17759</v>
      </c>
      <c r="D22" s="1236" t="str">
        <f>IF(C22="SINAPI",VLOOKUP(B22,'20-A.SINAPI-I'!A:G,2,0),VLOOKUP(B22,'12.COT.MERCADO'!A:I,2,0))</f>
        <v>AJUDANTE DE ELETRICISTA (HORISTA)</v>
      </c>
      <c r="E22" s="1229" t="s">
        <v>18394</v>
      </c>
      <c r="F22" s="1230" t="str">
        <f>IF(C22="SINAPI",VLOOKUP(B22,'20-A.SINAPI-I'!A:G,3,0),VLOOKUP(B22,'12.COT.MERCADO'!A:I,7,0))</f>
        <v>H</v>
      </c>
      <c r="G22" s="1231">
        <v>140.9136237</v>
      </c>
      <c r="H22" s="1232">
        <f>IF(C22="SINAPI",VLOOKUP(B22,'20-A.SINAPI-I'!A:G,4,0),VLOOKUP(B22,'12.COT.MERCADO'!A:I,8,0))</f>
        <v>15.93</v>
      </c>
      <c r="I22" s="1232">
        <f>IF(E22="Mão de Obra",H22*(1+'7. BDI SERVIÇOS'!$K$5),H22*(1+'8. BDI MERO FORNECIMENTO'!$K$5))</f>
        <v>18.70059291</v>
      </c>
      <c r="J22" s="1232">
        <f t="shared" si="1"/>
        <v>2244.754026</v>
      </c>
      <c r="K22" s="1232">
        <f t="shared" si="2"/>
        <v>2635.168313</v>
      </c>
      <c r="L22" s="1233">
        <f t="shared" si="3"/>
        <v>0.00845090337</v>
      </c>
      <c r="M22" s="1234">
        <f t="shared" si="5"/>
        <v>0.4248330586</v>
      </c>
      <c r="N22" s="1235" t="str">
        <f t="shared" si="4"/>
        <v>A</v>
      </c>
    </row>
    <row r="23">
      <c r="A23" s="1226">
        <v>20.0</v>
      </c>
      <c r="B23" s="1227">
        <v>5104.0</v>
      </c>
      <c r="C23" s="1227" t="s">
        <v>17759</v>
      </c>
      <c r="D23" s="1236" t="str">
        <f>IF(C23="SINAPI",VLOOKUP(B23,'20-A.SINAPI-I'!A:G,2,0),VLOOKUP(B23,'12.COT.MERCADO'!A:I,2,0))</f>
        <v>REBITE DE ALUMINIO VAZADO DE REPUXO, 3,2 X 8 MM (1KG = 1025 UNIDADES)</v>
      </c>
      <c r="E23" s="1229" t="s">
        <v>18394</v>
      </c>
      <c r="F23" s="1230" t="str">
        <f>IF(C23="SINAPI",VLOOKUP(B23,'20-A.SINAPI-I'!A:G,3,0),VLOOKUP(B23,'12.COT.MERCADO'!A:I,7,0))</f>
        <v>KG</v>
      </c>
      <c r="G23" s="1231">
        <v>33.35</v>
      </c>
      <c r="H23" s="1232">
        <f>IF(C23="SINAPI",VLOOKUP(B23,'20-A.SINAPI-I'!A:G,4,0),VLOOKUP(B23,'12.COT.MERCADO'!A:I,8,0))</f>
        <v>68.31</v>
      </c>
      <c r="I23" s="1232">
        <f>IF(E23="Mão de Obra",H23*(1+'7. BDI SERVIÇOS'!$K$5),H23*(1+'8. BDI MERO FORNECIMENTO'!$K$5))</f>
        <v>80.19067808</v>
      </c>
      <c r="J23" s="1232">
        <f t="shared" si="1"/>
        <v>2278.1385</v>
      </c>
      <c r="K23" s="1232">
        <f t="shared" si="2"/>
        <v>2674.359114</v>
      </c>
      <c r="L23" s="1233">
        <f t="shared" si="3"/>
        <v>0.00857658706</v>
      </c>
      <c r="M23" s="1234">
        <f t="shared" si="5"/>
        <v>0.4334096456</v>
      </c>
      <c r="N23" s="1235" t="str">
        <f t="shared" si="4"/>
        <v>A</v>
      </c>
    </row>
    <row r="24">
      <c r="A24" s="1226">
        <v>22.0</v>
      </c>
      <c r="B24" s="1227">
        <v>4221.0</v>
      </c>
      <c r="C24" s="1227" t="s">
        <v>17759</v>
      </c>
      <c r="D24" s="1236" t="str">
        <f>IF(C24="SINAPI",VLOOKUP(B24,'20-A.SINAPI-I'!A:G,2,0),VLOOKUP(B24,'12.COT.MERCADO'!A:I,2,0))</f>
        <v>OLEO DIESEL COMBUSTIVEL COMUM</v>
      </c>
      <c r="E24" s="1229" t="s">
        <v>18393</v>
      </c>
      <c r="F24" s="1230" t="str">
        <f>IF(C24="SINAPI",VLOOKUP(B24,'20-A.SINAPI-I'!A:G,3,0),VLOOKUP(B24,'12.COT.MERCADO'!A:I,7,0))</f>
        <v>L</v>
      </c>
      <c r="G24" s="1231">
        <v>348.3421275</v>
      </c>
      <c r="H24" s="1232">
        <f>IF(C24="SINAPI",VLOOKUP(B24,'20-A.SINAPI-I'!A:G,4,0),VLOOKUP(B24,'12.COT.MERCADO'!A:I,8,0))</f>
        <v>4.55</v>
      </c>
      <c r="I24" s="1232">
        <f>IF(E24="Mão de Obra",H24*(1+'7. BDI SERVIÇOS'!$K$5),H24*(1+'8. BDI MERO FORNECIMENTO'!$K$5))</f>
        <v>5.329572362</v>
      </c>
      <c r="J24" s="1232">
        <f t="shared" si="1"/>
        <v>1584.95668</v>
      </c>
      <c r="K24" s="1232">
        <f t="shared" si="2"/>
        <v>1856.514575</v>
      </c>
      <c r="L24" s="1233">
        <f t="shared" si="3"/>
        <v>0.00595378489</v>
      </c>
      <c r="M24" s="1234">
        <f t="shared" si="5"/>
        <v>0.4393634305</v>
      </c>
      <c r="N24" s="1235" t="str">
        <f t="shared" si="4"/>
        <v>A</v>
      </c>
    </row>
    <row r="25">
      <c r="A25" s="1226">
        <v>19.0</v>
      </c>
      <c r="B25" s="1227">
        <v>43433.0</v>
      </c>
      <c r="C25" s="1227" t="s">
        <v>17759</v>
      </c>
      <c r="D25" s="1236" t="str">
        <f>IF(C25="SINAPI",VLOOKUP(B25,'20-A.SINAPI-I'!A:G,2,0),VLOOKUP(B25,'12.COT.MERCADO'!A:I,2,0))</f>
        <v>CAIXA DE CONCRETO ARMADO PRE-MOLDADO, SEM FUNDO, QUADRADA, DIMENSOES DE 1,00 X 1,00 X 0,50 M</v>
      </c>
      <c r="E25" s="1229" t="s">
        <v>18392</v>
      </c>
      <c r="F25" s="1230" t="str">
        <f>IF(C25="SINAPI",VLOOKUP(B25,'20-A.SINAPI-I'!A:G,3,0),VLOOKUP(B25,'12.COT.MERCADO'!A:I,7,0))</f>
        <v>UN</v>
      </c>
      <c r="G25" s="1231">
        <v>3.0</v>
      </c>
      <c r="H25" s="1232">
        <f>IF(C25="SINAPI",VLOOKUP(B25,'20-A.SINAPI-I'!A:G,4,0),VLOOKUP(B25,'12.COT.MERCADO'!A:I,8,0))</f>
        <v>678.31</v>
      </c>
      <c r="I25" s="1232">
        <f>IF(E25="Mão de Obra",H25*(1+'7. BDI SERVIÇOS'!$K$5),H25*(1+'8. BDI MERO FORNECIMENTO'!$K$5))</f>
        <v>794.5279624</v>
      </c>
      <c r="J25" s="1232">
        <f t="shared" si="1"/>
        <v>2034.93</v>
      </c>
      <c r="K25" s="1232">
        <f t="shared" si="2"/>
        <v>2383.583887</v>
      </c>
      <c r="L25" s="1233">
        <f t="shared" si="3"/>
        <v>0.007644079891</v>
      </c>
      <c r="M25" s="1234">
        <f t="shared" si="5"/>
        <v>0.4470075104</v>
      </c>
      <c r="N25" s="1235" t="str">
        <f t="shared" si="4"/>
        <v>A</v>
      </c>
    </row>
    <row r="26">
      <c r="A26" s="1226">
        <v>23.0</v>
      </c>
      <c r="B26" s="1227">
        <v>34783.0</v>
      </c>
      <c r="C26" s="1227" t="s">
        <v>17759</v>
      </c>
      <c r="D26" s="1236" t="str">
        <f>IF(C26="SINAPI",VLOOKUP(B26,'20-A.SINAPI-I'!A:G,2,0),VLOOKUP(B26,'12.COT.MERCADO'!A:I,2,0))</f>
        <v>ENGENHEIRO ELETRICISTA</v>
      </c>
      <c r="E26" s="1229" t="s">
        <v>18393</v>
      </c>
      <c r="F26" s="1230" t="str">
        <f>IF(C26="SINAPI",VLOOKUP(B26,'20-A.SINAPI-I'!A:G,3,0),VLOOKUP(B26,'12.COT.MERCADO'!A:I,7,0))</f>
        <v>H</v>
      </c>
      <c r="G26" s="1231">
        <v>20.6552</v>
      </c>
      <c r="H26" s="1232">
        <f>IF(C26="SINAPI",VLOOKUP(B26,'20-A.SINAPI-I'!A:G,4,0),VLOOKUP(B26,'12.COT.MERCADO'!A:I,8,0))</f>
        <v>94.04</v>
      </c>
      <c r="I26" s="1232">
        <f>IF(E26="Mão de Obra",H26*(1+'7. BDI SERVIÇOS'!$K$5),H26*(1+'8. BDI MERO FORNECIMENTO'!$K$5))</f>
        <v>110.1523044</v>
      </c>
      <c r="J26" s="1232">
        <f t="shared" si="1"/>
        <v>1942.415008</v>
      </c>
      <c r="K26" s="1232">
        <f t="shared" si="2"/>
        <v>2275.217878</v>
      </c>
      <c r="L26" s="1233">
        <f t="shared" si="3"/>
        <v>0.007296553445</v>
      </c>
      <c r="M26" s="1234">
        <f t="shared" si="5"/>
        <v>0.4543040638</v>
      </c>
      <c r="N26" s="1235" t="str">
        <f t="shared" si="4"/>
        <v>A</v>
      </c>
    </row>
    <row r="27">
      <c r="A27" s="1226">
        <v>42.0</v>
      </c>
      <c r="B27" s="1227">
        <v>157.0</v>
      </c>
      <c r="C27" s="1227" t="s">
        <v>17759</v>
      </c>
      <c r="D27" s="1236" t="str">
        <f>IF(C27="SINAPI",VLOOKUP(B27,'20-A.SINAPI-I'!A:G,2,0),VLOOKUP(B27,'12.COT.MERCADO'!A:I,2,0))</f>
        <v>ADESIVO ESTRUTURAL A BASE DE RESINA EPOXI PARA INJECAO EM TRINCAS, BICOMPONENTE, BAIXA VISCOSIDADE</v>
      </c>
      <c r="E27" s="1229" t="s">
        <v>18392</v>
      </c>
      <c r="F27" s="1230" t="str">
        <f>IF(C27="SINAPI",VLOOKUP(B27,'20-A.SINAPI-I'!A:G,3,0),VLOOKUP(B27,'12.COT.MERCADO'!A:I,7,0))</f>
        <v>KG</v>
      </c>
      <c r="G27" s="1231">
        <v>14.1404</v>
      </c>
      <c r="H27" s="1232">
        <f>IF(C27="SINAPI",VLOOKUP(B27,'20-A.SINAPI-I'!A:G,4,0),VLOOKUP(B27,'12.COT.MERCADO'!A:I,8,0))</f>
        <v>145.5</v>
      </c>
      <c r="I27" s="1232">
        <f>IF(E27="Mão de Obra",H27*(1+'7. BDI SERVIÇOS'!$K$5),H27*(1+'8. BDI MERO FORNECIMENTO'!$K$5))</f>
        <v>170.4291821</v>
      </c>
      <c r="J27" s="1232">
        <f t="shared" si="1"/>
        <v>2057.4282</v>
      </c>
      <c r="K27" s="1232">
        <f t="shared" si="2"/>
        <v>2409.936807</v>
      </c>
      <c r="L27" s="1233">
        <f t="shared" si="3"/>
        <v>0.00772859289</v>
      </c>
      <c r="M27" s="1234">
        <f t="shared" si="5"/>
        <v>0.4620326567</v>
      </c>
      <c r="N27" s="1235" t="str">
        <f t="shared" si="4"/>
        <v>A</v>
      </c>
    </row>
    <row r="28">
      <c r="A28" s="1226">
        <v>37.0</v>
      </c>
      <c r="B28" s="1227" t="s">
        <v>518</v>
      </c>
      <c r="C28" s="1227" t="s">
        <v>1785</v>
      </c>
      <c r="D28" s="1228" t="str">
        <f>IF(C28="SINAPI",VLOOKUP(B28,'20-A.SINAPI-I'!A:G,2,0),VLOOKUP(B28,'12.COT.MERCADO'!A:I,2,0))</f>
        <v>SERVIÇO DE MANUTENÇÃO PREVENTIVA E CORRETIVA DE APARELHOS DE AR CONDICIONADO DO TIPO JANELA ACIMA DE 9.000 BTUS ATÉ 12.000 BTUS, COM FORNECIMENTO DE PEÇAS E MATERIAIS (COM EXCEÇÃO DO COMPRESSOR PARA AR CONDICIONADO, MOTOR VENTILADOR DA UNIDADE CONDENSADORA OU EVAPORADORA E PLACA DE COMANDO DA UNIDADE CONDENSADORA OU EVAPORADORA)</v>
      </c>
      <c r="E28" s="1229" t="s">
        <v>18392</v>
      </c>
      <c r="F28" s="1230" t="str">
        <f>IF(C28="SINAPI",VLOOKUP(B28,'20-A.SINAPI-I'!A:G,3,0),VLOOKUP(B28,'12.COT.MERCADO'!A:I,7,0))</f>
        <v>UN </v>
      </c>
      <c r="G28" s="1231">
        <v>4.0</v>
      </c>
      <c r="H28" s="1232">
        <f>IF(C28="SINAPI",VLOOKUP(B28,'20-A.SINAPI-I'!A:G,4,0),VLOOKUP(B28,'12.COT.MERCADO'!A:I,8,0))</f>
        <v>350</v>
      </c>
      <c r="I28" s="1232">
        <f>IF(E28="Mão de Obra",H28*(1+'7. BDI SERVIÇOS'!$K$5),H28*(1+'8. BDI MERO FORNECIMENTO'!$K$5))</f>
        <v>409.9671048</v>
      </c>
      <c r="J28" s="1232">
        <f t="shared" si="1"/>
        <v>1400</v>
      </c>
      <c r="K28" s="1232">
        <f t="shared" si="2"/>
        <v>1639.868419</v>
      </c>
      <c r="L28" s="1233">
        <f t="shared" si="3"/>
        <v>0.00525900736</v>
      </c>
      <c r="M28" s="1234">
        <f t="shared" si="5"/>
        <v>0.4672916641</v>
      </c>
      <c r="N28" s="1235" t="str">
        <f t="shared" si="4"/>
        <v>A</v>
      </c>
    </row>
    <row r="29">
      <c r="A29" s="1226">
        <v>24.0</v>
      </c>
      <c r="B29" s="1227">
        <v>12295.0</v>
      </c>
      <c r="C29" s="1227" t="s">
        <v>17759</v>
      </c>
      <c r="D29" s="1236" t="str">
        <f>IF(C29="SINAPI",VLOOKUP(B29,'20-A.SINAPI-I'!A:G,2,0),VLOOKUP(B29,'12.COT.MERCADO'!A:I,2,0))</f>
        <v>SOQUETE DE BAQUELITE BASE E27, PARA LAMPADAS</v>
      </c>
      <c r="E29" s="1229" t="s">
        <v>18393</v>
      </c>
      <c r="F29" s="1230" t="str">
        <f>IF(C29="SINAPI",VLOOKUP(B29,'20-A.SINAPI-I'!A:G,3,0),VLOOKUP(B29,'12.COT.MERCADO'!A:I,7,0))</f>
        <v>UN</v>
      </c>
      <c r="G29" s="1231">
        <v>411.85</v>
      </c>
      <c r="H29" s="1232">
        <f>IF(C29="SINAPI",VLOOKUP(B29,'20-A.SINAPI-I'!A:G,4,0),VLOOKUP(B29,'12.COT.MERCADO'!A:I,8,0))</f>
        <v>3.45</v>
      </c>
      <c r="I29" s="1232">
        <f>IF(E29="Mão de Obra",H29*(1+'7. BDI SERVIÇOS'!$K$5),H29*(1+'8. BDI MERO FORNECIMENTO'!$K$5))</f>
        <v>4.041104319</v>
      </c>
      <c r="J29" s="1232">
        <f t="shared" si="1"/>
        <v>1420.8825</v>
      </c>
      <c r="K29" s="1232">
        <f t="shared" si="2"/>
        <v>1664.328814</v>
      </c>
      <c r="L29" s="1233">
        <f t="shared" si="3"/>
        <v>0.005337451089</v>
      </c>
      <c r="M29" s="1234">
        <f t="shared" si="5"/>
        <v>0.4726291152</v>
      </c>
      <c r="N29" s="1235" t="str">
        <f t="shared" si="4"/>
        <v>A</v>
      </c>
    </row>
    <row r="30">
      <c r="A30" s="1226">
        <v>25.0</v>
      </c>
      <c r="B30" s="1227">
        <v>42440.0</v>
      </c>
      <c r="C30" s="1227" t="s">
        <v>17759</v>
      </c>
      <c r="D30" s="1236" t="str">
        <f>IF(C30="SINAPI",VLOOKUP(B30,'20-A.SINAPI-I'!A:G,2,0),VLOOKUP(B30,'12.COT.MERCADO'!A:I,2,0))</f>
        <v>LIXEIRA DUPLA, COM CAPACIDADE VOLUMETRICA DE 60L*, FABRICADA EM TUBO DE ACO CARBONO, CESTOS EM CHAPA DE ACO E PINTURA NO PROCESSO ELETROSTATICO - PARA ACADEMIA AO AR LIVRE / ACADEMIA DA TERCEIRA IDADE - ATI</v>
      </c>
      <c r="E30" s="1229" t="s">
        <v>18393</v>
      </c>
      <c r="F30" s="1230" t="str">
        <f>IF(C30="SINAPI",VLOOKUP(B30,'20-A.SINAPI-I'!A:G,3,0),VLOOKUP(B30,'12.COT.MERCADO'!A:I,7,0))</f>
        <v>UN</v>
      </c>
      <c r="G30" s="1231">
        <v>1.33</v>
      </c>
      <c r="H30" s="1232">
        <f>IF(C30="SINAPI",VLOOKUP(B30,'20-A.SINAPI-I'!A:G,4,0),VLOOKUP(B30,'12.COT.MERCADO'!A:I,8,0))</f>
        <v>1235.91</v>
      </c>
      <c r="I30" s="1232">
        <f>IF(E30="Mão de Obra",H30*(1+'7. BDI SERVIÇOS'!$K$5),H30*(1+'8. BDI MERO FORNECIMENTO'!$K$5))</f>
        <v>1447.664127</v>
      </c>
      <c r="J30" s="1232">
        <f t="shared" si="1"/>
        <v>1643.7603</v>
      </c>
      <c r="K30" s="1232">
        <f t="shared" si="2"/>
        <v>1925.393289</v>
      </c>
      <c r="L30" s="1233">
        <f t="shared" si="3"/>
        <v>0.006174676797</v>
      </c>
      <c r="M30" s="1234">
        <f t="shared" si="5"/>
        <v>0.478803792</v>
      </c>
      <c r="N30" s="1235" t="str">
        <f t="shared" si="4"/>
        <v>A</v>
      </c>
    </row>
    <row r="31">
      <c r="A31" s="1226">
        <v>26.0</v>
      </c>
      <c r="B31" s="1227">
        <v>4783.0</v>
      </c>
      <c r="C31" s="1227" t="s">
        <v>17759</v>
      </c>
      <c r="D31" s="1236" t="str">
        <f>IF(C31="SINAPI",VLOOKUP(B31,'20-A.SINAPI-I'!A:G,2,0),VLOOKUP(B31,'12.COT.MERCADO'!A:I,2,0))</f>
        <v>PINTOR (HORISTA)</v>
      </c>
      <c r="E31" s="1229" t="s">
        <v>18393</v>
      </c>
      <c r="F31" s="1230" t="str">
        <f>IF(C31="SINAPI",VLOOKUP(B31,'20-A.SINAPI-I'!A:G,3,0),VLOOKUP(B31,'12.COT.MERCADO'!A:I,7,0))</f>
        <v>H</v>
      </c>
      <c r="G31" s="1231">
        <v>69.3453788</v>
      </c>
      <c r="H31" s="1232">
        <f>IF(C31="SINAPI",VLOOKUP(B31,'20-A.SINAPI-I'!A:G,4,0),VLOOKUP(B31,'12.COT.MERCADO'!A:I,8,0))</f>
        <v>20.82</v>
      </c>
      <c r="I31" s="1232">
        <f>IF(E31="Mão de Obra",H31*(1+'7. BDI SERVIÇOS'!$K$5),H31*(1+'8. BDI MERO FORNECIMENTO'!$K$5))</f>
        <v>24.38718606</v>
      </c>
      <c r="J31" s="1232">
        <f t="shared" si="1"/>
        <v>1443.770787</v>
      </c>
      <c r="K31" s="1232">
        <f t="shared" si="2"/>
        <v>1691.138655</v>
      </c>
      <c r="L31" s="1233">
        <f t="shared" si="3"/>
        <v>0.005423429423</v>
      </c>
      <c r="M31" s="1234">
        <f t="shared" si="5"/>
        <v>0.4842272214</v>
      </c>
      <c r="N31" s="1235" t="str">
        <f t="shared" si="4"/>
        <v>A</v>
      </c>
    </row>
    <row r="32">
      <c r="A32" s="1226">
        <v>27.0</v>
      </c>
      <c r="B32" s="1227">
        <v>37372.0</v>
      </c>
      <c r="C32" s="1227" t="s">
        <v>17759</v>
      </c>
      <c r="D32" s="1236" t="str">
        <f>IF(C32="SINAPI",VLOOKUP(B32,'20-A.SINAPI-I'!A:G,2,0),VLOOKUP(B32,'12.COT.MERCADO'!A:I,2,0))</f>
        <v>EXAMES - HORISTA (COLETADO CAIXA - ENCARGOS COMPLEMENTARES)</v>
      </c>
      <c r="E32" s="1229" t="s">
        <v>18393</v>
      </c>
      <c r="F32" s="1230" t="str">
        <f>IF(C32="SINAPI",VLOOKUP(B32,'20-A.SINAPI-I'!A:G,3,0),VLOOKUP(B32,'12.COT.MERCADO'!A:I,7,0))</f>
        <v>H</v>
      </c>
      <c r="G32" s="1231">
        <v>1371.6715672</v>
      </c>
      <c r="H32" s="1232">
        <f>IF(C32="SINAPI",VLOOKUP(B32,'20-A.SINAPI-I'!A:G,4,0),VLOOKUP(B32,'12.COT.MERCADO'!A:I,8,0))</f>
        <v>1.14</v>
      </c>
      <c r="I32" s="1232">
        <f>IF(E32="Mão de Obra",H32*(1+'7. BDI SERVIÇOS'!$K$5),H32*(1+'8. BDI MERO FORNECIMENTO'!$K$5))</f>
        <v>1.335321427</v>
      </c>
      <c r="J32" s="1232">
        <f t="shared" si="1"/>
        <v>1563.705587</v>
      </c>
      <c r="K32" s="1232">
        <f t="shared" si="2"/>
        <v>1831.622435</v>
      </c>
      <c r="L32" s="1233">
        <f t="shared" si="3"/>
        <v>0.005873956563</v>
      </c>
      <c r="M32" s="1234">
        <f t="shared" si="5"/>
        <v>0.490101178</v>
      </c>
      <c r="N32" s="1235" t="str">
        <f t="shared" si="4"/>
        <v>A</v>
      </c>
    </row>
    <row r="33">
      <c r="A33" s="1226">
        <v>28.0</v>
      </c>
      <c r="B33" s="1227">
        <v>12565.0</v>
      </c>
      <c r="C33" s="1227" t="s">
        <v>17759</v>
      </c>
      <c r="D33" s="1236" t="str">
        <f>IF(C33="SINAPI",VLOOKUP(B33,'20-A.SINAPI-I'!A:G,2,0),VLOOKUP(B33,'12.COT.MERCADO'!A:I,2,0))</f>
        <v>ANEL EM CONCRETO ARMADO, LISO, PARA FOSSAS SEPTICAS E SUMIDOUROS, SEM FUNDO, DIAMETRO INTERNO DE 2,00 M E ALTURA DE 0,50 M</v>
      </c>
      <c r="E33" s="1229" t="s">
        <v>18394</v>
      </c>
      <c r="F33" s="1230" t="str">
        <f>IF(C33="SINAPI",VLOOKUP(B33,'20-A.SINAPI-I'!A:G,3,0),VLOOKUP(B33,'12.COT.MERCADO'!A:I,7,0))</f>
        <v>UN</v>
      </c>
      <c r="G33" s="1231">
        <v>2.64</v>
      </c>
      <c r="H33" s="1232">
        <f>IF(C33="SINAPI",VLOOKUP(B33,'20-A.SINAPI-I'!A:G,4,0),VLOOKUP(B33,'12.COT.MERCADO'!A:I,8,0))</f>
        <v>500.51</v>
      </c>
      <c r="I33" s="1232">
        <f>IF(E33="Mão de Obra",H33*(1+'7. BDI SERVIÇOS'!$K$5),H33*(1+'8. BDI MERO FORNECIMENTO'!$K$5))</f>
        <v>587.5601857</v>
      </c>
      <c r="J33" s="1232">
        <f t="shared" si="1"/>
        <v>1321.3464</v>
      </c>
      <c r="K33" s="1232">
        <f t="shared" si="2"/>
        <v>1551.15889</v>
      </c>
      <c r="L33" s="1233">
        <f t="shared" si="3"/>
        <v>0.004974518641</v>
      </c>
      <c r="M33" s="1234">
        <f t="shared" si="5"/>
        <v>0.4950756966</v>
      </c>
      <c r="N33" s="1235" t="str">
        <f t="shared" si="4"/>
        <v>A</v>
      </c>
    </row>
    <row r="34">
      <c r="A34" s="1226">
        <v>29.0</v>
      </c>
      <c r="B34" s="1227" t="s">
        <v>1776</v>
      </c>
      <c r="C34" s="1227" t="s">
        <v>1785</v>
      </c>
      <c r="D34" s="1228" t="str">
        <f>IF(C34="SINAPI",VLOOKUP(B34,'20-A.SINAPI-I'!A:G,2,0),VLOOKUP(B34,'12.COT.MERCADO'!A:I,2,0))</f>
        <v>Instalação de condicionador de ar tipo split piso-teto, 36000 btus- contempla a mão de obra, suporte e tubulação até 3,0m</v>
      </c>
      <c r="E34" s="1229" t="s">
        <v>18395</v>
      </c>
      <c r="F34" s="1230" t="str">
        <f>IF(C34="SINAPI",VLOOKUP(B34,'20-A.SINAPI-I'!A:G,3,0),VLOOKUP(B34,'12.COT.MERCADO'!A:I,7,0))</f>
        <v>UN </v>
      </c>
      <c r="G34" s="1231">
        <v>1.0</v>
      </c>
      <c r="H34" s="1232">
        <f>IF(C34="SINAPI",VLOOKUP(B34,'20-A.SINAPI-I'!A:G,4,0),VLOOKUP(B34,'12.COT.MERCADO'!A:I,8,0))</f>
        <v>1606</v>
      </c>
      <c r="I34" s="1232">
        <f>IF(E34="Mão de Obra",H34*(1+'7. BDI SERVIÇOS'!$K$5),H34*(1+'8. BDI MERO FORNECIMENTO'!$K$5))</f>
        <v>1881.163344</v>
      </c>
      <c r="J34" s="1232">
        <f t="shared" si="1"/>
        <v>1606</v>
      </c>
      <c r="K34" s="1232">
        <f t="shared" si="2"/>
        <v>1881.163344</v>
      </c>
      <c r="L34" s="1233">
        <f t="shared" si="3"/>
        <v>0.006032832729</v>
      </c>
      <c r="M34" s="1234">
        <f t="shared" si="5"/>
        <v>0.5011085293</v>
      </c>
      <c r="N34" s="1235" t="str">
        <f t="shared" si="4"/>
        <v>A</v>
      </c>
    </row>
    <row r="35">
      <c r="A35" s="1226">
        <v>31.0</v>
      </c>
      <c r="B35" s="1227" t="s">
        <v>1895</v>
      </c>
      <c r="C35" s="1227" t="s">
        <v>1785</v>
      </c>
      <c r="D35" s="1240" t="str">
        <f>IF(C35="SINAPI",VLOOKUP(B35,'20-A.SINAPI-I'!A:G,2,0),VLOOKUP(B35,'12.COT.MERCADO'!A:I,2,0))</f>
        <v>ESCADA DE MARINHEIRO EM AÇO GALVANIZADO</v>
      </c>
      <c r="E35" s="1229" t="s">
        <v>18393</v>
      </c>
      <c r="F35" s="1230" t="str">
        <f>IF(C35="SINAPI",VLOOKUP(B35,'20-A.SINAPI-I'!A:G,3,0),VLOOKUP(B35,'12.COT.MERCADO'!A:I,7,0))</f>
        <v>M</v>
      </c>
      <c r="G35" s="1231">
        <v>1.67</v>
      </c>
      <c r="H35" s="1232">
        <f>IF(C35="SINAPI",VLOOKUP(B35,'20-A.SINAPI-I'!A:G,4,0),VLOOKUP(B35,'12.COT.MERCADO'!A:I,8,0))</f>
        <v>799.28</v>
      </c>
      <c r="I35" s="1232">
        <f>IF(E35="Mão de Obra",H35*(1+'7. BDI SERVIÇOS'!$K$5),H35*(1+'8. BDI MERO FORNECIMENTO'!$K$5))</f>
        <v>936.2243072</v>
      </c>
      <c r="J35" s="1232">
        <f t="shared" si="1"/>
        <v>1334.7976</v>
      </c>
      <c r="K35" s="1232">
        <f t="shared" si="2"/>
        <v>1563.494593</v>
      </c>
      <c r="L35" s="1233">
        <f t="shared" si="3"/>
        <v>0.005014078859</v>
      </c>
      <c r="M35" s="1234">
        <f t="shared" si="5"/>
        <v>0.5061226082</v>
      </c>
      <c r="N35" s="1235" t="str">
        <f t="shared" si="4"/>
        <v>A</v>
      </c>
    </row>
    <row r="36">
      <c r="A36" s="1226">
        <v>30.0</v>
      </c>
      <c r="B36" s="1227" t="s">
        <v>1872</v>
      </c>
      <c r="C36" s="1227" t="s">
        <v>1785</v>
      </c>
      <c r="D36" s="1240" t="str">
        <f>IF(C36="SINAPI",VLOOKUP(B36,'20-A.SINAPI-I'!A:G,2,0),VLOOKUP(B36,'12.COT.MERCADO'!A:I,2,0))</f>
        <v>FECHADURA ELETRÔNICA DIGITAL INTELBRAS FR 320</v>
      </c>
      <c r="E36" s="1229" t="s">
        <v>18392</v>
      </c>
      <c r="F36" s="1230" t="str">
        <f>IF(C36="SINAPI",VLOOKUP(B36,'20-A.SINAPI-I'!A:G,3,0),VLOOKUP(B36,'12.COT.MERCADO'!A:I,7,0))</f>
        <v>UN</v>
      </c>
      <c r="G36" s="1231">
        <v>1.0</v>
      </c>
      <c r="H36" s="1232">
        <f>IF(C36="SINAPI",VLOOKUP(B36,'20-A.SINAPI-I'!A:G,4,0),VLOOKUP(B36,'12.COT.MERCADO'!A:I,8,0))</f>
        <v>1352.84</v>
      </c>
      <c r="I36" s="1232">
        <f>IF(E36="Mão de Obra",H36*(1+'7. BDI SERVIÇOS'!$K$5),H36*(1+'8. BDI MERO FORNECIMENTO'!$K$5))</f>
        <v>1584.62828</v>
      </c>
      <c r="J36" s="1232">
        <f t="shared" si="1"/>
        <v>1352.84</v>
      </c>
      <c r="K36" s="1232">
        <f t="shared" si="2"/>
        <v>1584.62828</v>
      </c>
      <c r="L36" s="1233">
        <f t="shared" si="3"/>
        <v>0.005081853941</v>
      </c>
      <c r="M36" s="1234">
        <f t="shared" si="5"/>
        <v>0.5112044621</v>
      </c>
      <c r="N36" s="1235" t="str">
        <f t="shared" si="4"/>
        <v>A</v>
      </c>
    </row>
    <row r="37">
      <c r="A37" s="1226">
        <v>35.0</v>
      </c>
      <c r="B37" s="1227" t="s">
        <v>510</v>
      </c>
      <c r="C37" s="1227" t="s">
        <v>1785</v>
      </c>
      <c r="D37" s="1228" t="str">
        <f>IF(C37="SINAPI",VLOOKUP(B37,'20-A.SINAPI-I'!A:G,2,0),VLOOKUP(B37,'12.COT.MERCADO'!A:I,2,0))</f>
        <v>SERVIÇO DE MANUTENÇÃO PREVENTIVA E CORRETIVA DE APARELHOS DE AR CONDICIONADO SPLIT ACIMA DE 30.000 BTUS ATÉ 36.000 BTUS, COM FORNECIMENTO DE PEÇAS E MATERIAIS (COM EXCEÇÃO DO COMPRESSOR PARA AR CONDICIONADO, MOTOR VENTILADOR DA UNIDADE CONDENSADORA OU EVAPORADORA E PLACA DE COMANDO DA UNIDADE CONDENSADORA OU EVAPORADORA)</v>
      </c>
      <c r="E37" s="1229" t="s">
        <v>18392</v>
      </c>
      <c r="F37" s="1230" t="str">
        <f>IF(C37="SINAPI",VLOOKUP(B37,'20-A.SINAPI-I'!A:G,3,0),VLOOKUP(B37,'12.COT.MERCADO'!A:I,7,0))</f>
        <v>UN </v>
      </c>
      <c r="G37" s="1231">
        <v>2.0</v>
      </c>
      <c r="H37" s="1232">
        <f>IF(C37="SINAPI",VLOOKUP(B37,'20-A.SINAPI-I'!A:G,4,0),VLOOKUP(B37,'12.COT.MERCADO'!A:I,8,0))</f>
        <v>600</v>
      </c>
      <c r="I37" s="1232">
        <f>IF(E37="Mão de Obra",H37*(1+'7. BDI SERVIÇOS'!$K$5),H37*(1+'8. BDI MERO FORNECIMENTO'!$K$5))</f>
        <v>702.8007511</v>
      </c>
      <c r="J37" s="1232">
        <f t="shared" si="1"/>
        <v>1200</v>
      </c>
      <c r="K37" s="1232">
        <f t="shared" si="2"/>
        <v>1405.601502</v>
      </c>
      <c r="L37" s="1233">
        <f t="shared" si="3"/>
        <v>0.004507720594</v>
      </c>
      <c r="M37" s="1234">
        <f t="shared" si="5"/>
        <v>0.5157121827</v>
      </c>
      <c r="N37" s="1235" t="str">
        <f t="shared" si="4"/>
        <v>A</v>
      </c>
    </row>
    <row r="38">
      <c r="A38" s="1226">
        <v>32.0</v>
      </c>
      <c r="B38" s="1227" t="s">
        <v>1761</v>
      </c>
      <c r="C38" s="1227" t="s">
        <v>1785</v>
      </c>
      <c r="D38" s="1228" t="str">
        <f>IF(C38="SINAPI",VLOOKUP(B38,'20-A.SINAPI-I'!A:G,2,0),VLOOKUP(B38,'12.COT.MERCADO'!A:I,2,0))</f>
        <v>Instalação de condicionador de ar tipo split high wall, 24000 btus - contempla a mão de obra, suporte e tubulação até 3,0m</v>
      </c>
      <c r="E38" s="1229" t="s">
        <v>18393</v>
      </c>
      <c r="F38" s="1230" t="str">
        <f>IF(C38="SINAPI",VLOOKUP(B38,'20-A.SINAPI-I'!A:G,3,0),VLOOKUP(B38,'12.COT.MERCADO'!A:I,7,0))</f>
        <v>UN </v>
      </c>
      <c r="G38" s="1231">
        <v>1.5</v>
      </c>
      <c r="H38" s="1232">
        <f>IF(C38="SINAPI",VLOOKUP(B38,'20-A.SINAPI-I'!A:G,4,0),VLOOKUP(B38,'12.COT.MERCADO'!A:I,8,0))</f>
        <v>921</v>
      </c>
      <c r="I38" s="1232">
        <f>IF(E38="Mão de Obra",H38*(1+'7. BDI SERVIÇOS'!$K$5),H38*(1+'8. BDI MERO FORNECIMENTO'!$K$5))</f>
        <v>1078.799153</v>
      </c>
      <c r="J38" s="1232">
        <f t="shared" si="1"/>
        <v>1381.5</v>
      </c>
      <c r="K38" s="1232">
        <f t="shared" si="2"/>
        <v>1618.198729</v>
      </c>
      <c r="L38" s="1233">
        <f t="shared" si="3"/>
        <v>0.005189513334</v>
      </c>
      <c r="M38" s="1234">
        <f t="shared" si="5"/>
        <v>0.5209016961</v>
      </c>
      <c r="N38" s="1235" t="str">
        <f t="shared" si="4"/>
        <v>A</v>
      </c>
    </row>
    <row r="39">
      <c r="A39" s="1226">
        <v>33.0</v>
      </c>
      <c r="B39" s="1227" t="s">
        <v>1773</v>
      </c>
      <c r="C39" s="1227" t="s">
        <v>1785</v>
      </c>
      <c r="D39" s="1228" t="str">
        <f>IF(C39="SINAPI",VLOOKUP(B39,'20-A.SINAPI-I'!A:G,2,0),VLOOKUP(B39,'12.COT.MERCADO'!A:I,2,0))</f>
        <v>Instalação de condicionador de ar tipo split piso-teto, 30000 btus - contempla a mão de obra, suporte e tubulação até 3,0m</v>
      </c>
      <c r="E39" s="1229" t="s">
        <v>18393</v>
      </c>
      <c r="F39" s="1230" t="str">
        <f>IF(C39="SINAPI",VLOOKUP(B39,'20-A.SINAPI-I'!A:G,3,0),VLOOKUP(B39,'12.COT.MERCADO'!A:I,7,0))</f>
        <v>UN </v>
      </c>
      <c r="G39" s="1231">
        <v>1.0</v>
      </c>
      <c r="H39" s="1232">
        <f>IF(C39="SINAPI",VLOOKUP(B39,'20-A.SINAPI-I'!A:G,4,0),VLOOKUP(B39,'12.COT.MERCADO'!A:I,8,0))</f>
        <v>1499</v>
      </c>
      <c r="I39" s="1232">
        <f>IF(E39="Mão de Obra",H39*(1+'7. BDI SERVIÇOS'!$K$5),H39*(1+'8. BDI MERO FORNECIMENTO'!$K$5))</f>
        <v>1755.830543</v>
      </c>
      <c r="J39" s="1232">
        <f t="shared" si="1"/>
        <v>1499</v>
      </c>
      <c r="K39" s="1232">
        <f t="shared" si="2"/>
        <v>1755.830543</v>
      </c>
      <c r="L39" s="1233">
        <f t="shared" si="3"/>
        <v>0.005630894309</v>
      </c>
      <c r="M39" s="1234">
        <f t="shared" si="5"/>
        <v>0.5265325904</v>
      </c>
      <c r="N39" s="1235" t="str">
        <f t="shared" si="4"/>
        <v>A</v>
      </c>
    </row>
    <row r="40">
      <c r="A40" s="1226">
        <v>34.0</v>
      </c>
      <c r="B40" s="1227" t="s">
        <v>1781</v>
      </c>
      <c r="C40" s="1227" t="s">
        <v>1785</v>
      </c>
      <c r="D40" s="1228" t="str">
        <f>IF(C40="SINAPI",VLOOKUP(B40,'20-A.SINAPI-I'!A:G,2,0),VLOOKUP(B40,'12.COT.MERCADO'!A:I,2,0))</f>
        <v>Instalação de condicionador de ar tipo split piso-teto,60000 btus - contempla a mão de obra, suporte e tubulação até 3,0m</v>
      </c>
      <c r="E40" s="1229" t="s">
        <v>18393</v>
      </c>
      <c r="F40" s="1230" t="str">
        <f>IF(C40="SINAPI",VLOOKUP(B40,'20-A.SINAPI-I'!A:G,3,0),VLOOKUP(B40,'12.COT.MERCADO'!A:I,7,0))</f>
        <v>UN </v>
      </c>
      <c r="G40" s="1231">
        <v>1.0</v>
      </c>
      <c r="H40" s="1232">
        <f>IF(C40="SINAPI",VLOOKUP(B40,'20-A.SINAPI-I'!A:G,4,0),VLOOKUP(B40,'12.COT.MERCADO'!A:I,8,0))</f>
        <v>2099</v>
      </c>
      <c r="I40" s="1232">
        <f>IF(E40="Mão de Obra",H40*(1+'7. BDI SERVIÇOS'!$K$5),H40*(1+'8. BDI MERO FORNECIMENTO'!$K$5))</f>
        <v>2458.631294</v>
      </c>
      <c r="J40" s="1232">
        <f t="shared" si="1"/>
        <v>2099</v>
      </c>
      <c r="K40" s="1232">
        <f t="shared" si="2"/>
        <v>2458.631294</v>
      </c>
      <c r="L40" s="1233">
        <f t="shared" si="3"/>
        <v>0.007884754606</v>
      </c>
      <c r="M40" s="1234">
        <f t="shared" si="5"/>
        <v>0.534417345</v>
      </c>
      <c r="N40" s="1235" t="str">
        <f t="shared" si="4"/>
        <v>A</v>
      </c>
    </row>
    <row r="41">
      <c r="A41" s="1226">
        <v>36.0</v>
      </c>
      <c r="B41" s="1227">
        <v>39515.0</v>
      </c>
      <c r="C41" s="1227" t="s">
        <v>17759</v>
      </c>
      <c r="D41" s="1236" t="str">
        <f>IF(C41="SINAPI",VLOOKUP(B41,'20-A.SINAPI-I'!A:G,2,0),VLOOKUP(B41,'12.COT.MERCADO'!A:I,2,0))</f>
        <v>PLACA DE FIBRA MINERAL PARA FORRO, DE 1250 X 625 MM, E = 15 MM, BORDA RETA, COM PINTURA ANTIMOFO (NAO INCLUI PERFIS)</v>
      </c>
      <c r="E41" s="1229" t="s">
        <v>18393</v>
      </c>
      <c r="F41" s="1230" t="str">
        <f>IF(C41="SINAPI",VLOOKUP(B41,'20-A.SINAPI-I'!A:G,3,0),VLOOKUP(B41,'12.COT.MERCADO'!A:I,7,0))</f>
        <v>UN</v>
      </c>
      <c r="G41" s="1231">
        <v>28.7175</v>
      </c>
      <c r="H41" s="1232">
        <f>IF(C41="SINAPI",VLOOKUP(B41,'20-A.SINAPI-I'!A:G,4,0),VLOOKUP(B41,'12.COT.MERCADO'!A:I,8,0))</f>
        <v>43.22</v>
      </c>
      <c r="I41" s="1232">
        <f>IF(E41="Mão de Obra",H41*(1+'7. BDI SERVIÇOS'!$K$5),H41*(1+'8. BDI MERO FORNECIMENTO'!$K$5))</f>
        <v>50.62508077</v>
      </c>
      <c r="J41" s="1232">
        <f t="shared" si="1"/>
        <v>1241.17035</v>
      </c>
      <c r="K41" s="1232">
        <f t="shared" si="2"/>
        <v>1453.825757</v>
      </c>
      <c r="L41" s="1233">
        <f t="shared" si="3"/>
        <v>0.00466237429</v>
      </c>
      <c r="M41" s="1234">
        <f t="shared" si="5"/>
        <v>0.5390797193</v>
      </c>
      <c r="N41" s="1235" t="str">
        <f t="shared" si="4"/>
        <v>A</v>
      </c>
    </row>
    <row r="42">
      <c r="A42" s="1226">
        <v>38.0</v>
      </c>
      <c r="B42" s="1227" t="s">
        <v>1770</v>
      </c>
      <c r="C42" s="1227" t="s">
        <v>1785</v>
      </c>
      <c r="D42" s="1228" t="str">
        <f>IF(C42="SINAPI",VLOOKUP(B42,'20-A.SINAPI-I'!A:G,2,0),VLOOKUP(B42,'12.COT.MERCADO'!A:I,2,0))</f>
        <v>Instalação de condicionador de ar tipo split piso-teto, 24000 btus - contempla a mão de obra, suporte e tubulação até 3,0m</v>
      </c>
      <c r="E42" s="1229" t="s">
        <v>18392</v>
      </c>
      <c r="F42" s="1230" t="str">
        <f>IF(C42="SINAPI",VLOOKUP(B42,'20-A.SINAPI-I'!A:G,3,0),VLOOKUP(B42,'12.COT.MERCADO'!A:I,7,0))</f>
        <v>UN </v>
      </c>
      <c r="G42" s="1231">
        <v>1.0</v>
      </c>
      <c r="H42" s="1232">
        <f>IF(C42="SINAPI",VLOOKUP(B42,'20-A.SINAPI-I'!A:G,4,0),VLOOKUP(B42,'12.COT.MERCADO'!A:I,8,0))</f>
        <v>1499</v>
      </c>
      <c r="I42" s="1232">
        <f>IF(E42="Mão de Obra",H42*(1+'7. BDI SERVIÇOS'!$K$5),H42*(1+'8. BDI MERO FORNECIMENTO'!$K$5))</f>
        <v>1755.830543</v>
      </c>
      <c r="J42" s="1232">
        <f t="shared" si="1"/>
        <v>1499</v>
      </c>
      <c r="K42" s="1232">
        <f t="shared" si="2"/>
        <v>1755.830543</v>
      </c>
      <c r="L42" s="1233">
        <f t="shared" si="3"/>
        <v>0.005630894309</v>
      </c>
      <c r="M42" s="1234">
        <f t="shared" si="5"/>
        <v>0.5447106136</v>
      </c>
      <c r="N42" s="1235" t="str">
        <f t="shared" si="4"/>
        <v>A</v>
      </c>
    </row>
    <row r="43">
      <c r="A43" s="1226">
        <v>40.0</v>
      </c>
      <c r="B43" s="1227">
        <v>37371.0</v>
      </c>
      <c r="C43" s="1227" t="s">
        <v>17759</v>
      </c>
      <c r="D43" s="1236" t="str">
        <f>IF(C43="SINAPI",VLOOKUP(B43,'20-A.SINAPI-I'!A:G,2,0),VLOOKUP(B43,'12.COT.MERCADO'!A:I,2,0))</f>
        <v>TRANSPORTE - HORISTA (COLETADO CAIXA - ENCARGOS COMPLEMENTARES)</v>
      </c>
      <c r="E43" s="1229" t="s">
        <v>18392</v>
      </c>
      <c r="F43" s="1230" t="str">
        <f>IF(C43="SINAPI",VLOOKUP(B43,'20-A.SINAPI-I'!A:G,3,0),VLOOKUP(B43,'12.COT.MERCADO'!A:I,7,0))</f>
        <v>H</v>
      </c>
      <c r="G43" s="1231">
        <v>1271.6715672</v>
      </c>
      <c r="H43" s="1232">
        <f>IF(C43="SINAPI",VLOOKUP(B43,'20-A.SINAPI-I'!A:G,4,0),VLOOKUP(B43,'12.COT.MERCADO'!A:I,8,0))</f>
        <v>0.86</v>
      </c>
      <c r="I43" s="1232">
        <f>IF(E43="Mão de Obra",H43*(1+'7. BDI SERVIÇOS'!$K$5),H43*(1+'8. BDI MERO FORNECIMENTO'!$K$5))</f>
        <v>1.007347743</v>
      </c>
      <c r="J43" s="1232">
        <f t="shared" si="1"/>
        <v>1093.637548</v>
      </c>
      <c r="K43" s="1232">
        <f t="shared" si="2"/>
        <v>1281.015483</v>
      </c>
      <c r="L43" s="1233">
        <f t="shared" si="3"/>
        <v>0.004108177081</v>
      </c>
      <c r="M43" s="1234">
        <f t="shared" si="5"/>
        <v>0.5488187907</v>
      </c>
      <c r="N43" s="1235" t="str">
        <f t="shared" si="4"/>
        <v>A</v>
      </c>
    </row>
    <row r="44">
      <c r="A44" s="1226">
        <v>41.0</v>
      </c>
      <c r="B44" s="1227">
        <v>39510.0</v>
      </c>
      <c r="C44" s="1227" t="s">
        <v>17759</v>
      </c>
      <c r="D44" s="1236" t="str">
        <f>IF(C44="SINAPI",VLOOKUP(B44,'20-A.SINAPI-I'!A:G,2,0),VLOOKUP(B44,'12.COT.MERCADO'!A:I,2,0))</f>
        <v>LUMINARIA DE EMBUTIR EM CHAPA DE ACO PARA 2 LAMPADAS FLUORESCENTES DE 14 W COM REFLETOR E ALETAS EM ALUMINIO, COMPLETA (INCLUI REATOR E LAMPADAS)</v>
      </c>
      <c r="E44" s="1229" t="s">
        <v>18392</v>
      </c>
      <c r="F44" s="1230" t="str">
        <f>IF(C44="SINAPI",VLOOKUP(B44,'20-A.SINAPI-I'!A:G,3,0),VLOOKUP(B44,'12.COT.MERCADO'!A:I,7,0))</f>
        <v>UN</v>
      </c>
      <c r="G44" s="1231">
        <v>3.0</v>
      </c>
      <c r="H44" s="1232">
        <f>IF(C44="SINAPI",VLOOKUP(B44,'20-A.SINAPI-I'!A:G,4,0),VLOOKUP(B44,'12.COT.MERCADO'!A:I,8,0))</f>
        <v>255.42</v>
      </c>
      <c r="I44" s="1232">
        <f>IF(E44="Mão de Obra",H44*(1+'7. BDI SERVIÇOS'!$K$5),H44*(1+'8. BDI MERO FORNECIMENTO'!$K$5))</f>
        <v>299.1822797</v>
      </c>
      <c r="J44" s="1232">
        <f t="shared" si="1"/>
        <v>766.26</v>
      </c>
      <c r="K44" s="1232">
        <f t="shared" si="2"/>
        <v>897.5468392</v>
      </c>
      <c r="L44" s="1233">
        <f t="shared" si="3"/>
        <v>0.002878404985</v>
      </c>
      <c r="M44" s="1234">
        <f t="shared" si="5"/>
        <v>0.5516971956</v>
      </c>
      <c r="N44" s="1235" t="str">
        <f t="shared" si="4"/>
        <v>A</v>
      </c>
    </row>
    <row r="45">
      <c r="A45" s="1226">
        <v>43.0</v>
      </c>
      <c r="B45" s="1227" t="s">
        <v>1779</v>
      </c>
      <c r="C45" s="1227" t="s">
        <v>1785</v>
      </c>
      <c r="D45" s="1228" t="str">
        <f>IF(C45="SINAPI",VLOOKUP(B45,'20-A.SINAPI-I'!A:G,2,0),VLOOKUP(B45,'12.COT.MERCADO'!A:I,2,0))</f>
        <v>Instalação de condicionador de ar tipo split piso-teto, 48000 btus - contempla a mão de obra, suporte e tubulação até 3,0m</v>
      </c>
      <c r="E45" s="1229" t="s">
        <v>18392</v>
      </c>
      <c r="F45" s="1230" t="str">
        <f>IF(C45="SINAPI",VLOOKUP(B45,'20-A.SINAPI-I'!A:G,3,0),VLOOKUP(B45,'12.COT.MERCADO'!A:I,7,0))</f>
        <v>UN </v>
      </c>
      <c r="G45" s="1231">
        <v>1.0</v>
      </c>
      <c r="H45" s="1232">
        <f>IF(C45="SINAPI",VLOOKUP(B45,'20-A.SINAPI-I'!A:G,4,0),VLOOKUP(B45,'12.COT.MERCADO'!A:I,8,0))</f>
        <v>2099</v>
      </c>
      <c r="I45" s="1232">
        <f>IF(E45="Mão de Obra",H45*(1+'7. BDI SERVIÇOS'!$K$5),H45*(1+'8. BDI MERO FORNECIMENTO'!$K$5))</f>
        <v>2458.631294</v>
      </c>
      <c r="J45" s="1232">
        <f t="shared" si="1"/>
        <v>2099</v>
      </c>
      <c r="K45" s="1232">
        <f t="shared" si="2"/>
        <v>2458.631294</v>
      </c>
      <c r="L45" s="1233">
        <f t="shared" si="3"/>
        <v>0.007884754606</v>
      </c>
      <c r="M45" s="1234">
        <f t="shared" si="5"/>
        <v>0.5595819502</v>
      </c>
      <c r="N45" s="1235" t="str">
        <f t="shared" si="4"/>
        <v>A</v>
      </c>
    </row>
    <row r="46">
      <c r="A46" s="1226">
        <v>44.0</v>
      </c>
      <c r="B46" s="1227">
        <v>371.0</v>
      </c>
      <c r="C46" s="1227" t="s">
        <v>17759</v>
      </c>
      <c r="D46" s="1236" t="str">
        <f>IF(C46="SINAPI",VLOOKUP(B46,'20-A.SINAPI-I'!A:G,2,0),VLOOKUP(B46,'12.COT.MERCADO'!A:I,2,0))</f>
        <v>ARGAMASSA INDUSTRIALIZADA MULTIUSO, PARA REVESTIMENTO INTERNO E EXTERNO E ASSENTAMENTO DE BLOCOS DIVERSOS</v>
      </c>
      <c r="E46" s="1229" t="s">
        <v>18392</v>
      </c>
      <c r="F46" s="1230" t="str">
        <f>IF(C46="SINAPI",VLOOKUP(B46,'20-A.SINAPI-I'!A:G,3,0),VLOOKUP(B46,'12.COT.MERCADO'!A:I,7,0))</f>
        <v>KG</v>
      </c>
      <c r="G46" s="1231">
        <v>1266.3</v>
      </c>
      <c r="H46" s="1232">
        <f>IF(C46="SINAPI",VLOOKUP(B46,'20-A.SINAPI-I'!A:G,4,0),VLOOKUP(B46,'12.COT.MERCADO'!A:I,8,0))</f>
        <v>0.79</v>
      </c>
      <c r="I46" s="1232">
        <f>IF(E46="Mão de Obra",H46*(1+'7. BDI SERVIÇOS'!$K$5),H46*(1+'8. BDI MERO FORNECIMENTO'!$K$5))</f>
        <v>0.9253543223</v>
      </c>
      <c r="J46" s="1232">
        <f t="shared" si="1"/>
        <v>1000.377</v>
      </c>
      <c r="K46" s="1232">
        <f t="shared" si="2"/>
        <v>1171.776178</v>
      </c>
      <c r="L46" s="1233">
        <f t="shared" si="3"/>
        <v>0.003757850004</v>
      </c>
      <c r="M46" s="1234">
        <f t="shared" si="5"/>
        <v>0.5633398002</v>
      </c>
      <c r="N46" s="1235" t="str">
        <f t="shared" si="4"/>
        <v>A</v>
      </c>
    </row>
    <row r="47">
      <c r="A47" s="1226">
        <v>45.0</v>
      </c>
      <c r="B47" s="1227" t="s">
        <v>1881</v>
      </c>
      <c r="C47" s="1227" t="s">
        <v>1785</v>
      </c>
      <c r="D47" s="1240" t="str">
        <f>IF(C47="SINAPI",VLOOKUP(B47,'20-A.SINAPI-I'!A:G,2,0),VLOOKUP(B47,'12.COT.MERCADO'!A:I,2,0))</f>
        <v>SERVIÇO DE LIMPEZA DE FOSSA SÉPTICA OU SUMIDOURO  - VIAGEM 7M3</v>
      </c>
      <c r="E47" s="1229" t="s">
        <v>18392</v>
      </c>
      <c r="F47" s="1230" t="str">
        <f>IF(C47="SINAPI",VLOOKUP(B47,'20-A.SINAPI-I'!A:G,3,0),VLOOKUP(B47,'12.COT.MERCADO'!A:I,7,0))</f>
        <v>VG</v>
      </c>
      <c r="G47" s="1231">
        <v>0.67</v>
      </c>
      <c r="H47" s="1232">
        <f>IF(C47="SINAPI",VLOOKUP(B47,'20-A.SINAPI-I'!A:G,4,0),VLOOKUP(B47,'12.COT.MERCADO'!A:I,8,0))</f>
        <v>1364.44</v>
      </c>
      <c r="I47" s="1232">
        <f>IF(E47="Mão de Obra",H47*(1+'7. BDI SERVIÇOS'!$K$5),H47*(1+'8. BDI MERO FORNECIMENTO'!$K$5))</f>
        <v>1598.215761</v>
      </c>
      <c r="J47" s="1232">
        <f t="shared" si="1"/>
        <v>914.1748</v>
      </c>
      <c r="K47" s="1232">
        <f t="shared" si="2"/>
        <v>1070.80456</v>
      </c>
      <c r="L47" s="1233">
        <f t="shared" si="3"/>
        <v>0.003434037144</v>
      </c>
      <c r="M47" s="1234">
        <f t="shared" si="5"/>
        <v>0.5667738374</v>
      </c>
      <c r="N47" s="1235" t="str">
        <f t="shared" si="4"/>
        <v>A</v>
      </c>
    </row>
    <row r="48">
      <c r="A48" s="1226">
        <v>46.0</v>
      </c>
      <c r="B48" s="1227" t="s">
        <v>520</v>
      </c>
      <c r="C48" s="1227" t="s">
        <v>1785</v>
      </c>
      <c r="D48" s="1228" t="str">
        <f>IF(C48="SINAPI",VLOOKUP(B48,'20-A.SINAPI-I'!A:G,2,0),VLOOKUP(B48,'12.COT.MERCADO'!A:I,2,0))</f>
        <v>SERVIÇO DE MANUTENÇÃO PREVENTIVA E CORRETIVA DE APARELHOS DE AR CONDICIONADO TIPO JANELA ACIMA DE 12.000 BTUS ATÉ 18.000 BTUS, COM FORNECIMENTO DE PEÇAS E MATERIAIS (COM EXCEÇÃO DO COMPRESSOR PARA AR CONDICIONADO, MOTOR VENTILADOR DA UNIDADE CONDENSADORA OU EVAPORADORA E PLACA DE COMANDO DA UNIDADE CONDENSADORA OU EVAPORADORA)</v>
      </c>
      <c r="E48" s="1229" t="s">
        <v>18392</v>
      </c>
      <c r="F48" s="1230" t="str">
        <f>IF(C48="SINAPI",VLOOKUP(B48,'20-A.SINAPI-I'!A:G,3,0),VLOOKUP(B48,'12.COT.MERCADO'!A:I,7,0))</f>
        <v>UN </v>
      </c>
      <c r="G48" s="1231">
        <v>2.0</v>
      </c>
      <c r="H48" s="1232">
        <f>IF(C48="SINAPI",VLOOKUP(B48,'20-A.SINAPI-I'!A:G,4,0),VLOOKUP(B48,'12.COT.MERCADO'!A:I,8,0))</f>
        <v>270</v>
      </c>
      <c r="I48" s="1232">
        <f>IF(E48="Mão de Obra",H48*(1+'7. BDI SERVIÇOS'!$K$5),H48*(1+'8. BDI MERO FORNECIMENTO'!$K$5))</f>
        <v>316.260338</v>
      </c>
      <c r="J48" s="1232">
        <f t="shared" si="1"/>
        <v>540</v>
      </c>
      <c r="K48" s="1232">
        <f t="shared" si="2"/>
        <v>632.520676</v>
      </c>
      <c r="L48" s="1233">
        <f t="shared" si="3"/>
        <v>0.002028474267</v>
      </c>
      <c r="M48" s="1234">
        <f t="shared" si="5"/>
        <v>0.5688023117</v>
      </c>
      <c r="N48" s="1235" t="str">
        <f t="shared" si="4"/>
        <v>A</v>
      </c>
    </row>
    <row r="49">
      <c r="A49" s="1226">
        <v>39.0</v>
      </c>
      <c r="B49" s="1227">
        <v>2696.0</v>
      </c>
      <c r="C49" s="1227" t="s">
        <v>17759</v>
      </c>
      <c r="D49" s="1236" t="str">
        <f>IF(C49="SINAPI",VLOOKUP(B49,'20-A.SINAPI-I'!A:G,2,0),VLOOKUP(B49,'12.COT.MERCADO'!A:I,2,0))</f>
        <v>ENCANADOR OU BOMBEIRO HIDRAULICO (HORISTA)</v>
      </c>
      <c r="E49" s="1229" t="s">
        <v>18393</v>
      </c>
      <c r="F49" s="1230" t="str">
        <f>IF(C49="SINAPI",VLOOKUP(B49,'20-A.SINAPI-I'!A:G,3,0),VLOOKUP(B49,'12.COT.MERCADO'!A:I,7,0))</f>
        <v>H</v>
      </c>
      <c r="G49" s="1231">
        <v>37.9760082</v>
      </c>
      <c r="H49" s="1232">
        <f>IF(C49="SINAPI",VLOOKUP(B49,'20-A.SINAPI-I'!A:G,4,0),VLOOKUP(B49,'12.COT.MERCADO'!A:I,8,0))</f>
        <v>20.82</v>
      </c>
      <c r="I49" s="1232">
        <f>IF(E49="Mão de Obra",H49*(1+'7. BDI SERVIÇOS'!$K$5),H49*(1+'8. BDI MERO FORNECIMENTO'!$K$5))</f>
        <v>24.38718606</v>
      </c>
      <c r="J49" s="1232">
        <f t="shared" si="1"/>
        <v>790.6604907</v>
      </c>
      <c r="K49" s="1232">
        <f t="shared" si="2"/>
        <v>926.1279779</v>
      </c>
      <c r="L49" s="1233">
        <f t="shared" si="3"/>
        <v>0.002970063814</v>
      </c>
      <c r="M49" s="1234">
        <f t="shared" si="5"/>
        <v>0.5717723755</v>
      </c>
      <c r="N49" s="1235" t="str">
        <f t="shared" si="4"/>
        <v>A</v>
      </c>
    </row>
    <row r="50">
      <c r="A50" s="1226">
        <v>47.0</v>
      </c>
      <c r="B50" s="1227" t="s">
        <v>512</v>
      </c>
      <c r="C50" s="1227" t="s">
        <v>1785</v>
      </c>
      <c r="D50" s="1228" t="str">
        <f>IF(C50="SINAPI",VLOOKUP(B50,'20-A.SINAPI-I'!A:G,2,0),VLOOKUP(B50,'12.COT.MERCADO'!A:I,2,0))</f>
        <v>SERVIÇO DE MANUTENÇÃO PREVENTIVA E CORRETIVA DE APARELHOS DE AR CONDICIONADO SPLIT ACIMA DE 36.000 BTUS ATÉ 48.000 BTUS, COM FORNECIMENTO DE PEÇAS E MATERIAIS (COM EXCEÇÃO DO COMPRESSOR PARA AR CONDICIONADO, MOTOR VENTILADOR DA UNIDADE CONDENSADORA OU EVAPORADORA E PLACA DE COMANDO DA UNIDADE CONDENSADORA OU EVAPORADORA)</v>
      </c>
      <c r="E50" s="1229" t="s">
        <v>18394</v>
      </c>
      <c r="F50" s="1230" t="str">
        <f>IF(C50="SINAPI",VLOOKUP(B50,'20-A.SINAPI-I'!A:G,3,0),VLOOKUP(B50,'12.COT.MERCADO'!A:I,7,0))</f>
        <v>UN </v>
      </c>
      <c r="G50" s="1231">
        <v>1.0</v>
      </c>
      <c r="H50" s="1232">
        <f>IF(C50="SINAPI",VLOOKUP(B50,'20-A.SINAPI-I'!A:G,4,0),VLOOKUP(B50,'12.COT.MERCADO'!A:I,8,0))</f>
        <v>470</v>
      </c>
      <c r="I50" s="1232">
        <f>IF(E50="Mão de Obra",H50*(1+'7. BDI SERVIÇOS'!$K$5),H50*(1+'8. BDI MERO FORNECIMENTO'!$K$5))</f>
        <v>551.7437959</v>
      </c>
      <c r="J50" s="1232">
        <f t="shared" si="1"/>
        <v>470</v>
      </c>
      <c r="K50" s="1232">
        <f t="shared" si="2"/>
        <v>551.7437959</v>
      </c>
      <c r="L50" s="1233">
        <f t="shared" si="3"/>
        <v>0.001769425308</v>
      </c>
      <c r="M50" s="1234">
        <f t="shared" si="5"/>
        <v>0.5735418008</v>
      </c>
      <c r="N50" s="1235" t="str">
        <f t="shared" si="4"/>
        <v>A</v>
      </c>
    </row>
    <row r="51">
      <c r="A51" s="1226">
        <v>50.0</v>
      </c>
      <c r="B51" s="1227" t="s">
        <v>514</v>
      </c>
      <c r="C51" s="1227" t="s">
        <v>1785</v>
      </c>
      <c r="D51" s="1228" t="str">
        <f>IF(C51="SINAPI",VLOOKUP(B51,'20-A.SINAPI-I'!A:G,2,0),VLOOKUP(B51,'12.COT.MERCADO'!A:I,2,0))</f>
        <v>SERVIÇO DE MANUTENÇÃO PREVENTIVA E CORRETIVA DE APARELHOS DE AR CONDICIONADO SPLIT ACIMA DE 48.000 BTUS ATÉ 60.000 BTUS, COM FORNECIMENTO DE PEÇAS E MATERIAIS (COM EXCEÇÃO DO COMPRESSOR PARA AR CONDICIONADO, MOTOR VENTILADOR DA UNIDADE CONDENSADORA OU EVAPORADORA E PLACA DE COMANDO DA UNIDADE CONDENSADORA OU EVAPORADORA)</v>
      </c>
      <c r="E51" s="1229" t="s">
        <v>18392</v>
      </c>
      <c r="F51" s="1230" t="str">
        <f>IF(C51="SINAPI",VLOOKUP(B51,'20-A.SINAPI-I'!A:G,3,0),VLOOKUP(B51,'12.COT.MERCADO'!A:I,7,0))</f>
        <v>UN </v>
      </c>
      <c r="G51" s="1231">
        <v>1.0</v>
      </c>
      <c r="H51" s="1232">
        <f>IF(C51="SINAPI",VLOOKUP(B51,'20-A.SINAPI-I'!A:G,4,0),VLOOKUP(B51,'12.COT.MERCADO'!A:I,8,0))</f>
        <v>450</v>
      </c>
      <c r="I51" s="1232">
        <f>IF(E51="Mão de Obra",H51*(1+'7. BDI SERVIÇOS'!$K$5),H51*(1+'8. BDI MERO FORNECIMENTO'!$K$5))</f>
        <v>527.1005633</v>
      </c>
      <c r="J51" s="1232">
        <f t="shared" si="1"/>
        <v>450</v>
      </c>
      <c r="K51" s="1232">
        <f t="shared" si="2"/>
        <v>527.1005633</v>
      </c>
      <c r="L51" s="1233">
        <f t="shared" si="3"/>
        <v>0.001690395223</v>
      </c>
      <c r="M51" s="1234">
        <f t="shared" si="5"/>
        <v>0.575232196</v>
      </c>
      <c r="N51" s="1235" t="str">
        <f t="shared" si="4"/>
        <v>A</v>
      </c>
    </row>
    <row r="52">
      <c r="A52" s="1226">
        <v>51.0</v>
      </c>
      <c r="B52" s="1227" t="s">
        <v>1764</v>
      </c>
      <c r="C52" s="1227" t="s">
        <v>1785</v>
      </c>
      <c r="D52" s="1228" t="str">
        <f>IF(C52="SINAPI",VLOOKUP(B52,'20-A.SINAPI-I'!A:G,2,0),VLOOKUP(B52,'12.COT.MERCADO'!A:I,2,0))</f>
        <v>Instalação de condicionador de ar tipo split, 36000 btus - contempla a mão de obra, suporte e tubulação até 3,0m</v>
      </c>
      <c r="E52" s="1229" t="s">
        <v>18396</v>
      </c>
      <c r="F52" s="1230" t="str">
        <f>IF(C52="SINAPI",VLOOKUP(B52,'20-A.SINAPI-I'!A:G,3,0),VLOOKUP(B52,'12.COT.MERCADO'!A:I,7,0))</f>
        <v>UN </v>
      </c>
      <c r="G52" s="1231">
        <v>0.5</v>
      </c>
      <c r="H52" s="1232">
        <f>IF(C52="SINAPI",VLOOKUP(B52,'20-A.SINAPI-I'!A:G,4,0),VLOOKUP(B52,'12.COT.MERCADO'!A:I,8,0))</f>
        <v>1999</v>
      </c>
      <c r="I52" s="1232">
        <f>IF(E52="Mão de Obra",H52*(1+'7. BDI SERVIÇOS'!$K$5),H52*(1+'8. BDI MERO FORNECIMENTO'!$K$5))</f>
        <v>2341.497836</v>
      </c>
      <c r="J52" s="1232">
        <f t="shared" si="1"/>
        <v>999.5</v>
      </c>
      <c r="K52" s="1232">
        <f t="shared" si="2"/>
        <v>1170.748918</v>
      </c>
      <c r="L52" s="1233">
        <f t="shared" si="3"/>
        <v>0.003754555612</v>
      </c>
      <c r="M52" s="1234">
        <f t="shared" si="5"/>
        <v>0.5789867516</v>
      </c>
      <c r="N52" s="1235" t="str">
        <f t="shared" si="4"/>
        <v>A</v>
      </c>
    </row>
    <row r="53">
      <c r="A53" s="1241">
        <v>52.0</v>
      </c>
      <c r="B53" s="1242" t="s">
        <v>1758</v>
      </c>
      <c r="C53" s="1242" t="s">
        <v>1785</v>
      </c>
      <c r="D53" s="1243" t="str">
        <f>IF(C53="SINAPI",VLOOKUP(B53,'20-A.SINAPI-I'!A:G,2,0),VLOOKUP(B53,'12.COT.MERCADO'!A:I,2,0))</f>
        <v>Instalação de condicionador de ar tipo split high wall, 9000 btus - contempla a mão de obra, suporte e tubulação até 3,0m</v>
      </c>
      <c r="E53" s="1244" t="s">
        <v>18393</v>
      </c>
      <c r="F53" s="1245" t="str">
        <f>IF(C53="SINAPI",VLOOKUP(B53,'20-A.SINAPI-I'!A:G,3,0),VLOOKUP(B53,'12.COT.MERCADO'!A:I,7,0))</f>
        <v>UN </v>
      </c>
      <c r="G53" s="1246">
        <v>1.0</v>
      </c>
      <c r="H53" s="1247">
        <f>IF(C53="SINAPI",VLOOKUP(B53,'20-A.SINAPI-I'!A:G,4,0),VLOOKUP(B53,'12.COT.MERCADO'!A:I,8,0))</f>
        <v>699</v>
      </c>
      <c r="I53" s="1247">
        <f>IF(E53="Mão de Obra",H53*(1+'7. BDI SERVIÇOS'!$K$5),H53*(1+'8. BDI MERO FORNECIMENTO'!$K$5))</f>
        <v>818.762875</v>
      </c>
      <c r="J53" s="1247">
        <f t="shared" si="1"/>
        <v>699</v>
      </c>
      <c r="K53" s="1247">
        <f t="shared" si="2"/>
        <v>818.762875</v>
      </c>
      <c r="L53" s="1248">
        <f t="shared" si="3"/>
        <v>0.002625747246</v>
      </c>
      <c r="M53" s="1249">
        <f t="shared" si="5"/>
        <v>0.5816124989</v>
      </c>
      <c r="N53" s="1250" t="str">
        <f t="shared" si="4"/>
        <v>A</v>
      </c>
    </row>
    <row r="54">
      <c r="A54" s="1251">
        <v>53.0</v>
      </c>
      <c r="B54" s="1252" t="s">
        <v>1842</v>
      </c>
      <c r="C54" s="1253" t="s">
        <v>1785</v>
      </c>
      <c r="D54" s="1254" t="str">
        <f>IF(C54="SINAPI",VLOOKUP(B54,'20-A.SINAPI-I'!A:G,2,0),VLOOKUP(B54,'12.COT.MERCADO'!A:I,2,0))</f>
        <v>KIT MOTOR PPA 1/4HP, 500KG, DESLIZANTE, INCLUÍNDO 2 CONTROLE E 5M DE CREMALHEIRA</v>
      </c>
      <c r="E54" s="1255" t="s">
        <v>18393</v>
      </c>
      <c r="F54" s="1256" t="str">
        <f>IF(C54="SINAPI",VLOOKUP(B54,'20-A.SINAPI-I'!A:G,3,0),VLOOKUP(B54,'12.COT.MERCADO'!A:I,7,0))</f>
        <v>UN</v>
      </c>
      <c r="G54" s="1257">
        <v>1.0</v>
      </c>
      <c r="H54" s="1258">
        <f>IF(C54="SINAPI",VLOOKUP(B54,'20-A.SINAPI-I'!A:G,4,0),VLOOKUP(B54,'12.COT.MERCADO'!A:I,8,0))</f>
        <v>505.58</v>
      </c>
      <c r="I54" s="1258">
        <f>IF(E54="Mão de Obra",H54*(1+'7. BDI SERVIÇOS'!$K$5),H54*(1+'8. BDI MERO FORNECIMENTO'!$K$5))</f>
        <v>592.2033396</v>
      </c>
      <c r="J54" s="1258">
        <f t="shared" si="1"/>
        <v>505.58</v>
      </c>
      <c r="K54" s="1258">
        <f t="shared" si="2"/>
        <v>592.2033396</v>
      </c>
      <c r="L54" s="1259">
        <f t="shared" si="3"/>
        <v>0.001899177815</v>
      </c>
      <c r="M54" s="1260">
        <f t="shared" si="5"/>
        <v>0.5835116767</v>
      </c>
      <c r="N54" s="1261" t="str">
        <f t="shared" si="4"/>
        <v>A</v>
      </c>
    </row>
    <row r="55">
      <c r="A55" s="1251">
        <v>430.0</v>
      </c>
      <c r="B55" s="1252">
        <v>34639.0</v>
      </c>
      <c r="C55" s="1262" t="s">
        <v>17759</v>
      </c>
      <c r="D55" s="1263" t="str">
        <f>IF(C55="SINAPI",VLOOKUP(B55,'20-A.SINAPI-I'!A:G,2,0),VLOOKUP(B55,'12.COT.MERCADO'!A:I,2,0))</f>
        <v>CAIXA D'AGUA / RESERVATORIO EM POLIETILENO, 1500 LITROS, COM TAMPA</v>
      </c>
      <c r="E55" s="1264" t="s">
        <v>18393</v>
      </c>
      <c r="F55" s="1256" t="str">
        <f>IF(C55="SINAPI",VLOOKUP(B55,'20-A.SINAPI-I'!A:G,3,0),VLOOKUP(B55,'12.COT.MERCADO'!A:I,7,0))</f>
        <v>UN</v>
      </c>
      <c r="G55" s="1265">
        <v>0.67</v>
      </c>
      <c r="H55" s="1258">
        <f>IF(C55="SINAPI",VLOOKUP(B55,'20-A.SINAPI-I'!A:G,4,0),VLOOKUP(B55,'12.COT.MERCADO'!A:I,8,0))</f>
        <v>1093.38</v>
      </c>
      <c r="I55" s="1258">
        <f>IF(E55="Mão de Obra",H55*(1+'7. BDI SERVIÇOS'!$K$5),H55*(1+'8. BDI MERO FORNECIMENTO'!$K$5))</f>
        <v>1280.713809</v>
      </c>
      <c r="J55" s="1258">
        <f t="shared" si="1"/>
        <v>732.5646</v>
      </c>
      <c r="K55" s="1258">
        <f t="shared" si="2"/>
        <v>858.0782518</v>
      </c>
      <c r="L55" s="1259">
        <f t="shared" si="3"/>
        <v>0.002751830445</v>
      </c>
      <c r="M55" s="1260">
        <f t="shared" si="5"/>
        <v>0.5862635071</v>
      </c>
      <c r="N55" s="1261" t="str">
        <f t="shared" si="4"/>
        <v>A</v>
      </c>
    </row>
    <row r="56">
      <c r="A56" s="1251">
        <v>54.0</v>
      </c>
      <c r="B56" s="1252">
        <v>3081.0</v>
      </c>
      <c r="C56" s="1253" t="s">
        <v>17759</v>
      </c>
      <c r="D56" s="1263" t="str">
        <f>IF(C56="SINAPI",VLOOKUP(B56,'20-A.SINAPI-I'!A:G,2,0),VLOOKUP(B56,'12.COT.MERCADO'!A:I,2,0))</f>
        <v>FECHADURA ESPELHO PARA PORTA EXTERNA, EM ACO INOX (MAQUINA, TESTA E CONTRA-TESTA) E EM ZAMAC (MACANETA, LINGUETA E TRINCOS) COM ACABAMENTO CROMADO, MAQUINA DE 55 MM, INCLUINDO CHAVE TIPO CILINDRO</v>
      </c>
      <c r="E56" s="1255" t="s">
        <v>18393</v>
      </c>
      <c r="F56" s="1256" t="str">
        <f>IF(C56="SINAPI",VLOOKUP(B56,'20-A.SINAPI-I'!A:G,3,0),VLOOKUP(B56,'12.COT.MERCADO'!A:I,7,0))</f>
        <v>CJ</v>
      </c>
      <c r="G56" s="1257">
        <v>5.0</v>
      </c>
      <c r="H56" s="1258">
        <f>IF(C56="SINAPI",VLOOKUP(B56,'20-A.SINAPI-I'!A:G,4,0),VLOOKUP(B56,'12.COT.MERCADO'!A:I,8,0))</f>
        <v>137.21</v>
      </c>
      <c r="I56" s="1258">
        <f>IF(E56="Mão de Obra",H56*(1+'7. BDI SERVIÇOS'!$K$5),H56*(1+'8. BDI MERO FORNECIMENTO'!$K$5))</f>
        <v>160.7188184</v>
      </c>
      <c r="J56" s="1258">
        <f t="shared" si="1"/>
        <v>686.05</v>
      </c>
      <c r="K56" s="1258">
        <f t="shared" si="2"/>
        <v>803.5940921</v>
      </c>
      <c r="L56" s="1259">
        <f t="shared" si="3"/>
        <v>0.002577101428</v>
      </c>
      <c r="M56" s="1260">
        <f t="shared" si="5"/>
        <v>0.5888406086</v>
      </c>
      <c r="N56" s="1261" t="str">
        <f t="shared" si="4"/>
        <v>A</v>
      </c>
    </row>
    <row r="57">
      <c r="A57" s="1251">
        <v>55.0</v>
      </c>
      <c r="B57" s="1252">
        <v>7356.0</v>
      </c>
      <c r="C57" s="1253" t="s">
        <v>17759</v>
      </c>
      <c r="D57" s="1263" t="str">
        <f>IF(C57="SINAPI",VLOOKUP(B57,'20-A.SINAPI-I'!A:G,2,0),VLOOKUP(B57,'12.COT.MERCADO'!A:I,2,0))</f>
        <v>TINTA LATEX ACRILICA PREMIUM, COR BRANCO FOSCO</v>
      </c>
      <c r="E57" s="1255" t="s">
        <v>18393</v>
      </c>
      <c r="F57" s="1256" t="str">
        <f>IF(C57="SINAPI",VLOOKUP(B57,'20-A.SINAPI-I'!A:G,3,0),VLOOKUP(B57,'12.COT.MERCADO'!A:I,7,0))</f>
        <v>L</v>
      </c>
      <c r="G57" s="1257">
        <v>24.2977</v>
      </c>
      <c r="H57" s="1258">
        <f>IF(C57="SINAPI",VLOOKUP(B57,'20-A.SINAPI-I'!A:G,4,0),VLOOKUP(B57,'12.COT.MERCADO'!A:I,8,0))</f>
        <v>27.55</v>
      </c>
      <c r="I57" s="1258">
        <f>IF(E57="Mão de Obra",H57*(1+'7. BDI SERVIÇOS'!$K$5),H57*(1+'8. BDI MERO FORNECIMENTO'!$K$5))</f>
        <v>32.27026782</v>
      </c>
      <c r="J57" s="1258">
        <f t="shared" si="1"/>
        <v>669.401635</v>
      </c>
      <c r="K57" s="1258">
        <f t="shared" si="2"/>
        <v>784.0932864</v>
      </c>
      <c r="L57" s="1259">
        <f t="shared" si="3"/>
        <v>0.002514562947</v>
      </c>
      <c r="M57" s="1260">
        <f t="shared" si="5"/>
        <v>0.5913551715</v>
      </c>
      <c r="N57" s="1261" t="str">
        <f t="shared" si="4"/>
        <v>A</v>
      </c>
    </row>
    <row r="58">
      <c r="A58" s="1251">
        <v>56.0</v>
      </c>
      <c r="B58" s="1252">
        <v>39390.0</v>
      </c>
      <c r="C58" s="1253" t="s">
        <v>17759</v>
      </c>
      <c r="D58" s="1263" t="str">
        <f>IF(C58="SINAPI",VLOOKUP(B58,'20-A.SINAPI-I'!A:G,2,0),VLOOKUP(B58,'12.COT.MERCADO'!A:I,2,0))</f>
        <v>LUMINARIA LED REFLETOR RETANGULAR BIVOLT, LUZ BRANCA, 30 W</v>
      </c>
      <c r="E58" s="1255" t="s">
        <v>18396</v>
      </c>
      <c r="F58" s="1256" t="str">
        <f>IF(C58="SINAPI",VLOOKUP(B58,'20-A.SINAPI-I'!A:G,3,0),VLOOKUP(B58,'12.COT.MERCADO'!A:I,7,0))</f>
        <v>UN</v>
      </c>
      <c r="G58" s="1257">
        <v>13.67</v>
      </c>
      <c r="H58" s="1258">
        <f>IF(C58="SINAPI",VLOOKUP(B58,'20-A.SINAPI-I'!A:G,4,0),VLOOKUP(B58,'12.COT.MERCADO'!A:I,8,0))</f>
        <v>39.19</v>
      </c>
      <c r="I58" s="1258">
        <f>IF(E58="Mão de Obra",H58*(1+'7. BDI SERVIÇOS'!$K$5),H58*(1+'8. BDI MERO FORNECIMENTO'!$K$5))</f>
        <v>45.90460239</v>
      </c>
      <c r="J58" s="1258">
        <f t="shared" si="1"/>
        <v>535.7273</v>
      </c>
      <c r="K58" s="1258">
        <f t="shared" si="2"/>
        <v>627.5159147</v>
      </c>
      <c r="L58" s="1259">
        <f t="shared" si="3"/>
        <v>0.002012424153</v>
      </c>
      <c r="M58" s="1260">
        <f t="shared" si="5"/>
        <v>0.5933675957</v>
      </c>
      <c r="N58" s="1261" t="str">
        <f t="shared" si="4"/>
        <v>A</v>
      </c>
    </row>
    <row r="59">
      <c r="A59" s="1251">
        <v>57.0</v>
      </c>
      <c r="B59" s="1252" t="s">
        <v>1797</v>
      </c>
      <c r="C59" s="1253" t="s">
        <v>1785</v>
      </c>
      <c r="D59" s="1254" t="str">
        <f>IF(C59="SINAPI",VLOOKUP(B59,'20-A.SINAPI-I'!A:G,2,0),VLOOKUP(B59,'12.COT.MERCADO'!A:I,2,0))</f>
        <v>VENTILADOR DE PAREDE 50CM COM 6 PÁS, 200W BIVOLT</v>
      </c>
      <c r="E59" s="1255" t="s">
        <v>18393</v>
      </c>
      <c r="F59" s="1256" t="str">
        <f>IF(C59="SINAPI",VLOOKUP(B59,'20-A.SINAPI-I'!A:G,3,0),VLOOKUP(B59,'12.COT.MERCADO'!A:I,7,0))</f>
        <v>UN</v>
      </c>
      <c r="G59" s="1257">
        <v>3.0</v>
      </c>
      <c r="H59" s="1258">
        <f>IF(C59="SINAPI",VLOOKUP(B59,'20-A.SINAPI-I'!A:G,4,0),VLOOKUP(B59,'12.COT.MERCADO'!A:I,8,0))</f>
        <v>215.8</v>
      </c>
      <c r="I59" s="1258">
        <f>IF(E59="Mão de Obra",H59*(1+'7. BDI SERVIÇOS'!$K$5),H59*(1+'8. BDI MERO FORNECIMENTO'!$K$5))</f>
        <v>252.7740035</v>
      </c>
      <c r="J59" s="1258">
        <f t="shared" si="1"/>
        <v>647.4</v>
      </c>
      <c r="K59" s="1258">
        <f t="shared" si="2"/>
        <v>758.3220104</v>
      </c>
      <c r="L59" s="1259">
        <f t="shared" si="3"/>
        <v>0.002431915261</v>
      </c>
      <c r="M59" s="1260">
        <f t="shared" si="5"/>
        <v>0.5957995109</v>
      </c>
      <c r="N59" s="1261" t="str">
        <f t="shared" si="4"/>
        <v>A</v>
      </c>
    </row>
    <row r="60">
      <c r="A60" s="1251">
        <v>58.0</v>
      </c>
      <c r="B60" s="1252" t="s">
        <v>2037</v>
      </c>
      <c r="C60" s="1253" t="s">
        <v>1785</v>
      </c>
      <c r="D60" s="1266" t="str">
        <f>IF(C60="SINAPI",VLOOKUP(B60,'20-A.SINAPI-I'!A:G,2,0),VLOOKUP(B60,'12.COT.MERCADO'!A:I,2,0))</f>
        <v>QUADRO DE COMANDO DE PVC TIPO CC PLAST 30X20X17CM COM TAMPA TRANSPARENTE. REF. CEMAR</v>
      </c>
      <c r="E60" s="1255" t="s">
        <v>18393</v>
      </c>
      <c r="F60" s="1256" t="str">
        <f>IF(C60="SINAPI",VLOOKUP(B60,'20-A.SINAPI-I'!A:G,3,0),VLOOKUP(B60,'12.COT.MERCADO'!A:I,7,0))</f>
        <v>UN</v>
      </c>
      <c r="G60" s="1257">
        <v>1.67</v>
      </c>
      <c r="H60" s="1258">
        <f>IF(C60="SINAPI",VLOOKUP(B60,'20-A.SINAPI-I'!A:G,4,0),VLOOKUP(B60,'12.COT.MERCADO'!A:I,8,0))</f>
        <v>375.43</v>
      </c>
      <c r="I60" s="1258">
        <f>IF(E60="Mão de Obra",H60*(1+'7. BDI SERVIÇOS'!$K$5),H60*(1+'8. BDI MERO FORNECIMENTO'!$K$5))</f>
        <v>439.7541433</v>
      </c>
      <c r="J60" s="1258">
        <f t="shared" si="1"/>
        <v>626.9681</v>
      </c>
      <c r="K60" s="1258">
        <f t="shared" si="2"/>
        <v>734.3894193</v>
      </c>
      <c r="L60" s="1259">
        <f t="shared" si="3"/>
        <v>0.00235516418</v>
      </c>
      <c r="M60" s="1260">
        <f t="shared" si="5"/>
        <v>0.5981546751</v>
      </c>
      <c r="N60" s="1261" t="str">
        <f t="shared" si="4"/>
        <v>A</v>
      </c>
    </row>
    <row r="61">
      <c r="A61" s="1251">
        <v>59.0</v>
      </c>
      <c r="B61" s="1252">
        <v>25067.0</v>
      </c>
      <c r="C61" s="1253" t="s">
        <v>17759</v>
      </c>
      <c r="D61" s="1263" t="str">
        <f>IF(C61="SINAPI",VLOOKUP(B61,'20-A.SINAPI-I'!A:G,2,0),VLOOKUP(B61,'12.COT.MERCADO'!A:I,2,0))</f>
        <v>BLOCO DE CONCRETO ESTRUTURAL 19 X 19 X 39 CM, FBK 4,5 MPA (NBR 6136)</v>
      </c>
      <c r="E61" s="1255" t="s">
        <v>18392</v>
      </c>
      <c r="F61" s="1256" t="str">
        <f>IF(C61="SINAPI",VLOOKUP(B61,'20-A.SINAPI-I'!A:G,3,0),VLOOKUP(B61,'12.COT.MERCADO'!A:I,7,0))</f>
        <v>UN</v>
      </c>
      <c r="G61" s="1257">
        <v>134.978811</v>
      </c>
      <c r="H61" s="1258">
        <f>IF(C61="SINAPI",VLOOKUP(B61,'20-A.SINAPI-I'!A:G,4,0),VLOOKUP(B61,'12.COT.MERCADO'!A:I,8,0))</f>
        <v>4.35</v>
      </c>
      <c r="I61" s="1258">
        <f>IF(E61="Mão de Obra",H61*(1+'7. BDI SERVIÇOS'!$K$5),H61*(1+'8. BDI MERO FORNECIMENTO'!$K$5))</f>
        <v>5.095305445</v>
      </c>
      <c r="J61" s="1258">
        <f t="shared" si="1"/>
        <v>587.1578279</v>
      </c>
      <c r="K61" s="1258">
        <f t="shared" si="2"/>
        <v>687.7582707</v>
      </c>
      <c r="L61" s="1259">
        <f t="shared" si="3"/>
        <v>0.002205619527</v>
      </c>
      <c r="M61" s="1260">
        <f t="shared" si="5"/>
        <v>0.6003602946</v>
      </c>
      <c r="N61" s="1261" t="str">
        <f t="shared" si="4"/>
        <v>A</v>
      </c>
    </row>
    <row r="62">
      <c r="A62" s="1251">
        <v>66.0</v>
      </c>
      <c r="B62" s="1252">
        <v>4491.0</v>
      </c>
      <c r="C62" s="1253" t="s">
        <v>17759</v>
      </c>
      <c r="D62" s="1263" t="str">
        <f>IF(C62="SINAPI",VLOOKUP(B62,'20-A.SINAPI-I'!A:G,2,0),VLOOKUP(B62,'12.COT.MERCADO'!A:I,2,0))</f>
        <v>PONTALETE *7,5 X 7,5* CM EM PINUS, MISTA OU EQUIVALENTE DA REGIAO - BRUTA</v>
      </c>
      <c r="E62" s="1255" t="s">
        <v>18397</v>
      </c>
      <c r="F62" s="1256" t="str">
        <f>IF(C62="SINAPI",VLOOKUP(B62,'20-A.SINAPI-I'!A:G,3,0),VLOOKUP(B62,'12.COT.MERCADO'!A:I,7,0))</f>
        <v>M</v>
      </c>
      <c r="G62" s="1257">
        <v>78.9154287</v>
      </c>
      <c r="H62" s="1258">
        <f>IF(C62="SINAPI",VLOOKUP(B62,'20-A.SINAPI-I'!A:G,4,0),VLOOKUP(B62,'12.COT.MERCADO'!A:I,8,0))</f>
        <v>6.94</v>
      </c>
      <c r="I62" s="1258">
        <f>IF(E62="Mão de Obra",H62*(1+'7. BDI SERVIÇOS'!$K$5),H62*(1+'8. BDI MERO FORNECIMENTO'!$K$5))</f>
        <v>8.129062021</v>
      </c>
      <c r="J62" s="1258">
        <f t="shared" si="1"/>
        <v>547.6730752</v>
      </c>
      <c r="K62" s="1258">
        <f t="shared" si="2"/>
        <v>641.5084143</v>
      </c>
      <c r="L62" s="1259">
        <f t="shared" si="3"/>
        <v>0.002057297667</v>
      </c>
      <c r="M62" s="1260">
        <f t="shared" si="5"/>
        <v>0.6024175923</v>
      </c>
      <c r="N62" s="1261" t="str">
        <f t="shared" si="4"/>
        <v>A</v>
      </c>
    </row>
    <row r="63">
      <c r="A63" s="1251">
        <v>64.0</v>
      </c>
      <c r="B63" s="1252" t="s">
        <v>1921</v>
      </c>
      <c r="C63" s="1253" t="s">
        <v>1785</v>
      </c>
      <c r="D63" s="1254" t="str">
        <f>IF(C63="SINAPI",VLOOKUP(B63,'20-A.SINAPI-I'!A:G,2,0),VLOOKUP(B63,'12.COT.MERCADO'!A:I,2,0))</f>
        <v>LAUDO TECNICO SPDA CONFORME NBR 5419, INCLUSIVE EMISSÃO DE ART</v>
      </c>
      <c r="E63" s="1255" t="s">
        <v>18394</v>
      </c>
      <c r="F63" s="1256" t="str">
        <f>IF(C63="SINAPI",VLOOKUP(B63,'20-A.SINAPI-I'!A:G,3,0),VLOOKUP(B63,'12.COT.MERCADO'!A:I,7,0))</f>
        <v>UN</v>
      </c>
      <c r="G63" s="1257">
        <v>0.33</v>
      </c>
      <c r="H63" s="1258">
        <f>IF(C63="SINAPI",VLOOKUP(B63,'20-A.SINAPI-I'!A:G,4,0),VLOOKUP(B63,'12.COT.MERCADO'!A:I,8,0))</f>
        <v>1500</v>
      </c>
      <c r="I63" s="1258">
        <f>IF(E63="Mão de Obra",H63*(1+'7. BDI SERVIÇOS'!$K$5),H63*(1+'8. BDI MERO FORNECIMENTO'!$K$5))</f>
        <v>1760.884455</v>
      </c>
      <c r="J63" s="1258">
        <f t="shared" si="1"/>
        <v>495</v>
      </c>
      <c r="K63" s="1258">
        <f t="shared" si="2"/>
        <v>581.0918702</v>
      </c>
      <c r="L63" s="1259">
        <f t="shared" si="3"/>
        <v>0.001863543676</v>
      </c>
      <c r="M63" s="1260">
        <f t="shared" si="5"/>
        <v>0.604281136</v>
      </c>
      <c r="N63" s="1261" t="str">
        <f t="shared" si="4"/>
        <v>A</v>
      </c>
    </row>
    <row r="64">
      <c r="A64" s="1251">
        <v>60.0</v>
      </c>
      <c r="B64" s="1252">
        <v>1214.0</v>
      </c>
      <c r="C64" s="1253" t="s">
        <v>17759</v>
      </c>
      <c r="D64" s="1263" t="str">
        <f>IF(C64="SINAPI",VLOOKUP(B64,'20-A.SINAPI-I'!A:G,2,0),VLOOKUP(B64,'12.COT.MERCADO'!A:I,2,0))</f>
        <v>CARPINTEIRO DE ESQUADRIAS (HORISTA)</v>
      </c>
      <c r="E64" s="1255" t="s">
        <v>18392</v>
      </c>
      <c r="F64" s="1256" t="str">
        <f>IF(C64="SINAPI",VLOOKUP(B64,'20-A.SINAPI-I'!A:G,3,0),VLOOKUP(B64,'12.COT.MERCADO'!A:I,7,0))</f>
        <v>H</v>
      </c>
      <c r="G64" s="1257">
        <v>23.7959692</v>
      </c>
      <c r="H64" s="1258">
        <f>IF(C64="SINAPI",VLOOKUP(B64,'20-A.SINAPI-I'!A:G,4,0),VLOOKUP(B64,'12.COT.MERCADO'!A:I,8,0))</f>
        <v>19.6</v>
      </c>
      <c r="I64" s="1258">
        <f>IF(E64="Mão de Obra",H64*(1+'7. BDI SERVIÇOS'!$K$5),H64*(1+'8. BDI MERO FORNECIMENTO'!$K$5))</f>
        <v>22.95815787</v>
      </c>
      <c r="J64" s="1258">
        <f t="shared" si="1"/>
        <v>466.4009963</v>
      </c>
      <c r="K64" s="1258">
        <f t="shared" si="2"/>
        <v>546.3116175</v>
      </c>
      <c r="L64" s="1259">
        <f t="shared" si="3"/>
        <v>0.00175200448</v>
      </c>
      <c r="M64" s="1260">
        <f t="shared" si="5"/>
        <v>0.6060331404</v>
      </c>
      <c r="N64" s="1261" t="str">
        <f t="shared" si="4"/>
        <v>A</v>
      </c>
    </row>
    <row r="65">
      <c r="A65" s="1251">
        <v>61.0</v>
      </c>
      <c r="B65" s="1252">
        <v>39505.0</v>
      </c>
      <c r="C65" s="1253" t="s">
        <v>17759</v>
      </c>
      <c r="D65" s="1263" t="str">
        <f>IF(C65="SINAPI",VLOOKUP(B65,'20-A.SINAPI-I'!A:G,2,0),VLOOKUP(B65,'12.COT.MERCADO'!A:I,2,0))</f>
        <v>PORTA DE MADEIRA, FOLHA PESADA (NBR 15930) DE 900 X 2100 MM, DE 40 MM A 45 MM DE ESPESSURA, NUCLEO SOLIDO, CAPA LISA EM HDF, ACABAMENTO EM PRIMER PARA PINTURA</v>
      </c>
      <c r="E65" s="1255" t="s">
        <v>18392</v>
      </c>
      <c r="F65" s="1256" t="str">
        <f>IF(C65="SINAPI",VLOOKUP(B65,'20-A.SINAPI-I'!A:G,3,0),VLOOKUP(B65,'12.COT.MERCADO'!A:I,7,0))</f>
        <v>UN</v>
      </c>
      <c r="G65" s="1257">
        <v>1.0</v>
      </c>
      <c r="H65" s="1258">
        <f>IF(C65="SINAPI",VLOOKUP(B65,'20-A.SINAPI-I'!A:G,4,0),VLOOKUP(B65,'12.COT.MERCADO'!A:I,8,0))</f>
        <v>502.81</v>
      </c>
      <c r="I65" s="1258">
        <f>IF(E65="Mão de Obra",H65*(1+'7. BDI SERVIÇOS'!$K$5),H65*(1+'8. BDI MERO FORNECIMENTO'!$K$5))</f>
        <v>588.9587428</v>
      </c>
      <c r="J65" s="1258">
        <f t="shared" si="1"/>
        <v>502.81</v>
      </c>
      <c r="K65" s="1258">
        <f t="shared" si="2"/>
        <v>588.9587428</v>
      </c>
      <c r="L65" s="1259">
        <f t="shared" si="3"/>
        <v>0.001888772493</v>
      </c>
      <c r="M65" s="1260">
        <f t="shared" si="5"/>
        <v>0.6079219129</v>
      </c>
      <c r="N65" s="1261" t="str">
        <f t="shared" si="4"/>
        <v>A</v>
      </c>
    </row>
    <row r="66">
      <c r="A66" s="1251">
        <v>431.0</v>
      </c>
      <c r="B66" s="1252">
        <v>37752.0</v>
      </c>
      <c r="C66" s="1262" t="s">
        <v>17759</v>
      </c>
      <c r="D66" s="1263" t="str">
        <f>IF(C66="SINAPI",VLOOKUP(B66,'20-A.SINAPI-I'!A:G,2,0),VLOOKUP(B66,'12.COT.MERCADO'!A:I,2,0))</f>
        <v>CAMINHAO TOCO, PESO BRUTO TOTAL 16000 KG, CARGA UTIL MAXIMA 11030 KG, DISTANCIA ENTRE EIXOS 5,41 M, POTENCIA 185 CV (INCLUI CABINE E CHASSI, NAO INCLUI CARROCERIA)</v>
      </c>
      <c r="E66" s="1264" t="s">
        <v>18393</v>
      </c>
      <c r="F66" s="1256" t="str">
        <f>IF(C66="SINAPI",VLOOKUP(B66,'20-A.SINAPI-I'!A:G,3,0),VLOOKUP(B66,'12.COT.MERCADO'!A:I,7,0))</f>
        <v>UN</v>
      </c>
      <c r="G66" s="1265">
        <v>0.0010895</v>
      </c>
      <c r="H66" s="1258">
        <f>IF(C66="SINAPI",VLOOKUP(B66,'20-A.SINAPI-I'!A:G,4,0),VLOOKUP(B66,'12.COT.MERCADO'!A:I,8,0))</f>
        <v>588651.54</v>
      </c>
      <c r="I66" s="1258">
        <f>IF(E66="Mão de Obra",H66*(1+'7. BDI SERVIÇOS'!$K$5),H66*(1+'8. BDI MERO FORNECIMENTO'!$K$5))</f>
        <v>689507.9074</v>
      </c>
      <c r="J66" s="1258">
        <f t="shared" si="1"/>
        <v>641.3358528</v>
      </c>
      <c r="K66" s="1258">
        <f t="shared" si="2"/>
        <v>751.2188651</v>
      </c>
      <c r="L66" s="1259">
        <f t="shared" si="3"/>
        <v>0.002409135693</v>
      </c>
      <c r="M66" s="1260">
        <f t="shared" si="5"/>
        <v>0.6103310486</v>
      </c>
      <c r="N66" s="1261" t="str">
        <f t="shared" si="4"/>
        <v>A</v>
      </c>
    </row>
    <row r="67">
      <c r="A67" s="1251">
        <v>63.0</v>
      </c>
      <c r="B67" s="1252">
        <v>39662.0</v>
      </c>
      <c r="C67" s="1253" t="s">
        <v>17759</v>
      </c>
      <c r="D67" s="1263" t="str">
        <f>IF(C67="SINAPI",VLOOKUP(B67,'20-A.SINAPI-I'!A:G,2,0),VLOOKUP(B67,'12.COT.MERCADO'!A:I,2,0))</f>
        <v>TUBO DE COBRE FLEXIVEL, D = 1/4 ", E = 0,79 MM, PARA AR-CONDICIONADO/ INSTALACOES GAS RESIDENCIAIS E COMERCIAIS</v>
      </c>
      <c r="E67" s="1255" t="s">
        <v>18392</v>
      </c>
      <c r="F67" s="1256" t="str">
        <f>IF(C67="SINAPI",VLOOKUP(B67,'20-A.SINAPI-I'!A:G,3,0),VLOOKUP(B67,'12.COT.MERCADO'!A:I,7,0))</f>
        <v>M</v>
      </c>
      <c r="G67" s="1257">
        <v>26.775</v>
      </c>
      <c r="H67" s="1258">
        <f>IF(C67="SINAPI",VLOOKUP(B67,'20-A.SINAPI-I'!A:G,4,0),VLOOKUP(B67,'12.COT.MERCADO'!A:I,8,0))</f>
        <v>19.02</v>
      </c>
      <c r="I67" s="1258">
        <f>IF(E67="Mão de Obra",H67*(1+'7. BDI SERVIÇOS'!$K$5),H67*(1+'8. BDI MERO FORNECIMENTO'!$K$5))</f>
        <v>22.27878381</v>
      </c>
      <c r="J67" s="1258">
        <f t="shared" si="1"/>
        <v>509.2605</v>
      </c>
      <c r="K67" s="1258">
        <f t="shared" si="2"/>
        <v>596.5144365</v>
      </c>
      <c r="L67" s="1259">
        <f t="shared" si="3"/>
        <v>0.00191300337</v>
      </c>
      <c r="M67" s="1260">
        <f t="shared" si="5"/>
        <v>0.612244052</v>
      </c>
      <c r="N67" s="1261" t="str">
        <f t="shared" si="4"/>
        <v>A</v>
      </c>
    </row>
    <row r="68">
      <c r="A68" s="1251">
        <v>65.0</v>
      </c>
      <c r="B68" s="1252" t="s">
        <v>1740</v>
      </c>
      <c r="C68" s="1253" t="s">
        <v>1785</v>
      </c>
      <c r="D68" s="1266" t="str">
        <f>IF(C68="SINAPI",VLOOKUP(B68,'20-A.SINAPI-I'!A:G,2,0),VLOOKUP(B68,'12.COT.MERCADO'!A:I,2,0))</f>
        <v>Cabo de cobre PP Cordplast 3 x 2,5 mm2, 450/750v</v>
      </c>
      <c r="E68" s="1255" t="s">
        <v>18393</v>
      </c>
      <c r="F68" s="1256" t="str">
        <f>IF(C68="SINAPI",VLOOKUP(B68,'20-A.SINAPI-I'!A:G,3,0),VLOOKUP(B68,'12.COT.MERCADO'!A:I,7,0))</f>
        <v>M</v>
      </c>
      <c r="G68" s="1257">
        <v>63.1818</v>
      </c>
      <c r="H68" s="1258">
        <f>IF(C68="SINAPI",VLOOKUP(B68,'20-A.SINAPI-I'!A:G,4,0),VLOOKUP(B68,'12.COT.MERCADO'!A:I,8,0))</f>
        <v>8.9</v>
      </c>
      <c r="I68" s="1258">
        <f>IF(E68="Mão de Obra",H68*(1+'7. BDI SERVIÇOS'!$K$5),H68*(1+'8. BDI MERO FORNECIMENTO'!$K$5))</f>
        <v>10.42487781</v>
      </c>
      <c r="J68" s="1258">
        <f t="shared" si="1"/>
        <v>562.31802</v>
      </c>
      <c r="K68" s="1258">
        <f t="shared" si="2"/>
        <v>658.6625447</v>
      </c>
      <c r="L68" s="1259">
        <f t="shared" si="3"/>
        <v>0.002112310433</v>
      </c>
      <c r="M68" s="1260">
        <f t="shared" si="5"/>
        <v>0.6143563624</v>
      </c>
      <c r="N68" s="1261" t="str">
        <f t="shared" si="4"/>
        <v>A</v>
      </c>
    </row>
    <row r="69">
      <c r="A69" s="1251">
        <v>67.0</v>
      </c>
      <c r="B69" s="1252">
        <v>10521.0</v>
      </c>
      <c r="C69" s="1253" t="s">
        <v>17759</v>
      </c>
      <c r="D69" s="1263" t="str">
        <f>IF(C69="SINAPI",VLOOKUP(B69,'20-A.SINAPI-I'!A:G,2,0),VLOOKUP(B69,'12.COT.MERCADO'!A:I,2,0))</f>
        <v>CAIXA DE INCENDIO/ABRIGO PARA MANGUEIRA, DE EMBUTIR/INTERNA, COM 75 X 45 X 17 CM, EM CHAPA DE ACO, PORTA COM VENTILACAO, VISOR COM A INSCRICAO "INCENDIO", SUPORTE/CESTA INTERNA PARA A MANGUEIRA, PINTURA ELETROSTATICA VERMELHA</v>
      </c>
      <c r="E69" s="1255" t="s">
        <v>18392</v>
      </c>
      <c r="F69" s="1256" t="str">
        <f>IF(C69="SINAPI",VLOOKUP(B69,'20-A.SINAPI-I'!A:G,3,0),VLOOKUP(B69,'12.COT.MERCADO'!A:I,7,0))</f>
        <v>UN</v>
      </c>
      <c r="G69" s="1257">
        <v>1.33</v>
      </c>
      <c r="H69" s="1258">
        <f>IF(C69="SINAPI",VLOOKUP(B69,'20-A.SINAPI-I'!A:G,4,0),VLOOKUP(B69,'12.COT.MERCADO'!A:I,8,0))</f>
        <v>353.18</v>
      </c>
      <c r="I69" s="1258">
        <f>IF(E69="Mão de Obra",H69*(1+'7. BDI SERVIÇOS'!$K$5),H69*(1+'8. BDI MERO FORNECIMENTO'!$K$5))</f>
        <v>413.6919488</v>
      </c>
      <c r="J69" s="1258">
        <f t="shared" si="1"/>
        <v>469.7294</v>
      </c>
      <c r="K69" s="1258">
        <f t="shared" si="2"/>
        <v>550.2102919</v>
      </c>
      <c r="L69" s="1259">
        <f t="shared" si="3"/>
        <v>0.001764507408</v>
      </c>
      <c r="M69" s="1260">
        <f t="shared" si="5"/>
        <v>0.6161208698</v>
      </c>
      <c r="N69" s="1261" t="str">
        <f t="shared" si="4"/>
        <v>A</v>
      </c>
    </row>
    <row r="70">
      <c r="A70" s="1251">
        <v>68.0</v>
      </c>
      <c r="B70" s="1252">
        <v>38191.0</v>
      </c>
      <c r="C70" s="1253" t="s">
        <v>17759</v>
      </c>
      <c r="D70" s="1263" t="str">
        <f>IF(C70="SINAPI",VLOOKUP(B70,'20-A.SINAPI-I'!A:G,2,0),VLOOKUP(B70,'12.COT.MERCADO'!A:I,2,0))</f>
        <v>LAMPADA FLUORESCENTE COMPACTA 2U BRANCA 15 W, BASE E27 (127/220 V)</v>
      </c>
      <c r="E70" s="1255" t="s">
        <v>18392</v>
      </c>
      <c r="F70" s="1256" t="str">
        <f>IF(C70="SINAPI",VLOOKUP(B70,'20-A.SINAPI-I'!A:G,3,0),VLOOKUP(B70,'12.COT.MERCADO'!A:I,7,0))</f>
        <v>UN</v>
      </c>
      <c r="G70" s="1257">
        <v>35.02</v>
      </c>
      <c r="H70" s="1258">
        <f>IF(C70="SINAPI",VLOOKUP(B70,'20-A.SINAPI-I'!A:G,4,0),VLOOKUP(B70,'12.COT.MERCADO'!A:I,8,0))</f>
        <v>14.89</v>
      </c>
      <c r="I70" s="1258">
        <f>IF(E70="Mão de Obra",H70*(1+'7. BDI SERVIÇOS'!$K$5),H70*(1+'8. BDI MERO FORNECIMENTO'!$K$5))</f>
        <v>17.44117197</v>
      </c>
      <c r="J70" s="1258">
        <f t="shared" si="1"/>
        <v>521.4478</v>
      </c>
      <c r="K70" s="1258">
        <f t="shared" si="2"/>
        <v>610.7898425</v>
      </c>
      <c r="L70" s="1259">
        <f t="shared" si="3"/>
        <v>0.001958784156</v>
      </c>
      <c r="M70" s="1260">
        <f t="shared" si="5"/>
        <v>0.618079654</v>
      </c>
      <c r="N70" s="1261" t="str">
        <f t="shared" si="4"/>
        <v>A</v>
      </c>
    </row>
    <row r="71">
      <c r="A71" s="1251">
        <v>69.0</v>
      </c>
      <c r="B71" s="1252">
        <v>156.0</v>
      </c>
      <c r="C71" s="1253" t="s">
        <v>17759</v>
      </c>
      <c r="D71" s="1263" t="str">
        <f>IF(C71="SINAPI",VLOOKUP(B71,'20-A.SINAPI-I'!A:G,2,0),VLOOKUP(B71,'12.COT.MERCADO'!A:I,2,0))</f>
        <v>ADESIVO ESTRUTURAL A BASE DE RESINA EPOXI, BICOMPONENTE, FLUIDO</v>
      </c>
      <c r="E71" s="1255" t="s">
        <v>18393</v>
      </c>
      <c r="F71" s="1256" t="str">
        <f>IF(C71="SINAPI",VLOOKUP(B71,'20-A.SINAPI-I'!A:G,3,0),VLOOKUP(B71,'12.COT.MERCADO'!A:I,7,0))</f>
        <v>KG</v>
      </c>
      <c r="G71" s="1257">
        <v>10.1042</v>
      </c>
      <c r="H71" s="1258">
        <f>IF(C71="SINAPI",VLOOKUP(B71,'20-A.SINAPI-I'!A:G,4,0),VLOOKUP(B71,'12.COT.MERCADO'!A:I,8,0))</f>
        <v>51.8</v>
      </c>
      <c r="I71" s="1258">
        <f>IF(E71="Mão de Obra",H71*(1+'7. BDI SERVIÇOS'!$K$5),H71*(1+'8. BDI MERO FORNECIMENTO'!$K$5))</f>
        <v>60.67513151</v>
      </c>
      <c r="J71" s="1258">
        <f t="shared" si="1"/>
        <v>523.39756</v>
      </c>
      <c r="K71" s="1258">
        <f t="shared" si="2"/>
        <v>613.0736638</v>
      </c>
      <c r="L71" s="1259">
        <f t="shared" si="3"/>
        <v>0.0019661083</v>
      </c>
      <c r="M71" s="1260">
        <f t="shared" si="5"/>
        <v>0.6200457623</v>
      </c>
      <c r="N71" s="1261" t="str">
        <f t="shared" si="4"/>
        <v>A</v>
      </c>
    </row>
    <row r="72">
      <c r="A72" s="1251">
        <v>70.0</v>
      </c>
      <c r="B72" s="1252">
        <v>1379.0</v>
      </c>
      <c r="C72" s="1253" t="s">
        <v>17759</v>
      </c>
      <c r="D72" s="1263" t="str">
        <f>IF(C72="SINAPI",VLOOKUP(B72,'20-A.SINAPI-I'!A:G,2,0),VLOOKUP(B72,'12.COT.MERCADO'!A:I,2,0))</f>
        <v>CIMENTO PORTLAND COMPOSTO CP II-32</v>
      </c>
      <c r="E72" s="1255" t="s">
        <v>18393</v>
      </c>
      <c r="F72" s="1256" t="str">
        <f>IF(C72="SINAPI",VLOOKUP(B72,'20-A.SINAPI-I'!A:G,3,0),VLOOKUP(B72,'12.COT.MERCADO'!A:I,7,0))</f>
        <v>KG</v>
      </c>
      <c r="G72" s="1257">
        <v>721.2279969</v>
      </c>
      <c r="H72" s="1258">
        <f>IF(C72="SINAPI",VLOOKUP(B72,'20-A.SINAPI-I'!A:G,4,0),VLOOKUP(B72,'12.COT.MERCADO'!A:I,8,0))</f>
        <v>0.7</v>
      </c>
      <c r="I72" s="1258">
        <f>IF(E72="Mão de Obra",H72*(1+'7. BDI SERVIÇOS'!$K$5),H72*(1+'8. BDI MERO FORNECIMENTO'!$K$5))</f>
        <v>0.8199342096</v>
      </c>
      <c r="J72" s="1258">
        <f t="shared" si="1"/>
        <v>504.8595978</v>
      </c>
      <c r="K72" s="1258">
        <f t="shared" si="2"/>
        <v>591.3595076</v>
      </c>
      <c r="L72" s="1259">
        <f t="shared" si="3"/>
        <v>0.001896471672</v>
      </c>
      <c r="M72" s="1260">
        <f t="shared" si="5"/>
        <v>0.621942234</v>
      </c>
      <c r="N72" s="1261" t="str">
        <f t="shared" si="4"/>
        <v>A</v>
      </c>
    </row>
    <row r="73">
      <c r="A73" s="1251">
        <v>62.0</v>
      </c>
      <c r="B73" s="1252">
        <v>39741.0</v>
      </c>
      <c r="C73" s="1253" t="s">
        <v>17759</v>
      </c>
      <c r="D73" s="1263" t="str">
        <f>IF(C73="SINAPI",VLOOKUP(B73,'20-A.SINAPI-I'!A:G,2,0),VLOOKUP(B73,'12.COT.MERCADO'!A:I,2,0))</f>
        <v>TUBO DE BORRACHA ELASTOMERICA FLEXIVEL, PRETA, PARA ISOLAMENTO TERMICO DE TUBULACAO, DN 3/8" (10 MM), E= 19 MM, COEFICIENTE DE CONDUTIVIDADE TERMICA 0,036W/mK, VAPOR DE AGUA MAIOR OU IGUAL A 10.000</v>
      </c>
      <c r="E73" s="1255" t="s">
        <v>18393</v>
      </c>
      <c r="F73" s="1256" t="str">
        <f>IF(C73="SINAPI",VLOOKUP(B73,'20-A.SINAPI-I'!A:G,3,0),VLOOKUP(B73,'12.COT.MERCADO'!A:I,7,0))</f>
        <v>M</v>
      </c>
      <c r="G73" s="1257">
        <v>26.25</v>
      </c>
      <c r="H73" s="1258">
        <f>IF(C73="SINAPI",VLOOKUP(B73,'20-A.SINAPI-I'!A:G,4,0),VLOOKUP(B73,'12.COT.MERCADO'!A:I,8,0))</f>
        <v>12.91</v>
      </c>
      <c r="I73" s="1258">
        <f>IF(E73="Mão de Obra",H73*(1+'7. BDI SERVIÇOS'!$K$5),H73*(1+'8. BDI MERO FORNECIMENTO'!$K$5))</f>
        <v>15.12192949</v>
      </c>
      <c r="J73" s="1258">
        <f t="shared" si="1"/>
        <v>338.8875</v>
      </c>
      <c r="K73" s="1258">
        <f t="shared" si="2"/>
        <v>396.9506492</v>
      </c>
      <c r="L73" s="1259">
        <f t="shared" si="3"/>
        <v>0.001273008469</v>
      </c>
      <c r="M73" s="1260">
        <f t="shared" si="5"/>
        <v>0.6232152424</v>
      </c>
      <c r="N73" s="1261" t="str">
        <f t="shared" si="4"/>
        <v>A</v>
      </c>
    </row>
    <row r="74">
      <c r="A74" s="1251">
        <v>71.0</v>
      </c>
      <c r="B74" s="1252">
        <v>39664.0</v>
      </c>
      <c r="C74" s="1253" t="s">
        <v>17759</v>
      </c>
      <c r="D74" s="1263" t="str">
        <f>IF(C74="SINAPI",VLOOKUP(B74,'20-A.SINAPI-I'!A:G,2,0),VLOOKUP(B74,'12.COT.MERCADO'!A:I,2,0))</f>
        <v>TUBO DE COBRE FLEXIVEL, D = 3/8 ", E = 0,79 MM, PARA AR-CONDICIONADO/ INSTALACOES GAS RESIDENCIAIS E COMERCIAIS</v>
      </c>
      <c r="E74" s="1255" t="s">
        <v>18393</v>
      </c>
      <c r="F74" s="1256" t="str">
        <f>IF(C74="SINAPI",VLOOKUP(B74,'20-A.SINAPI-I'!A:G,3,0),VLOOKUP(B74,'12.COT.MERCADO'!A:I,7,0))</f>
        <v>M</v>
      </c>
      <c r="G74" s="1257">
        <v>15.75</v>
      </c>
      <c r="H74" s="1258">
        <f>IF(C74="SINAPI",VLOOKUP(B74,'20-A.SINAPI-I'!A:G,4,0),VLOOKUP(B74,'12.COT.MERCADO'!A:I,8,0))</f>
        <v>29.27</v>
      </c>
      <c r="I74" s="1258">
        <f>IF(E74="Mão de Obra",H74*(1+'7. BDI SERVIÇOS'!$K$5),H74*(1+'8. BDI MERO FORNECIMENTO'!$K$5))</f>
        <v>34.28496331</v>
      </c>
      <c r="J74" s="1258">
        <f t="shared" si="1"/>
        <v>461.0025</v>
      </c>
      <c r="K74" s="1258">
        <f t="shared" si="2"/>
        <v>539.9881721</v>
      </c>
      <c r="L74" s="1259">
        <f t="shared" si="3"/>
        <v>0.001731725386</v>
      </c>
      <c r="M74" s="1260">
        <f t="shared" si="5"/>
        <v>0.6249469678</v>
      </c>
      <c r="N74" s="1261" t="str">
        <f t="shared" si="4"/>
        <v>A</v>
      </c>
    </row>
    <row r="75">
      <c r="A75" s="1251">
        <v>72.0</v>
      </c>
      <c r="B75" s="1252">
        <v>13390.0</v>
      </c>
      <c r="C75" s="1253" t="s">
        <v>17759</v>
      </c>
      <c r="D75" s="1263" t="str">
        <f>IF(C75="SINAPI",VLOOKUP(B75,'20-A.SINAPI-I'!A:G,2,0),VLOOKUP(B75,'12.COT.MERCADO'!A:I,2,0))</f>
        <v>REFLETOR REDONDO EM ALUMINIO ANODIZADO PARA LAMPADA VAPOR DE MERCURIO/SODIO, CORPO EM ALUMINIO COM PINTURA EPOXI, PARA LAMPADA E-27 DE 300 W, COM SUPORTE REDONDO E ALCA REGULAVEL PARA FIXACAO.</v>
      </c>
      <c r="E75" s="1255" t="s">
        <v>18393</v>
      </c>
      <c r="F75" s="1256" t="str">
        <f>IF(C75="SINAPI",VLOOKUP(B75,'20-A.SINAPI-I'!A:G,3,0),VLOOKUP(B75,'12.COT.MERCADO'!A:I,7,0))</f>
        <v>UN</v>
      </c>
      <c r="G75" s="1257">
        <v>2.33</v>
      </c>
      <c r="H75" s="1258">
        <f>IF(C75="SINAPI",VLOOKUP(B75,'20-A.SINAPI-I'!A:G,4,0),VLOOKUP(B75,'12.COT.MERCADO'!A:I,8,0))</f>
        <v>136.92</v>
      </c>
      <c r="I75" s="1258">
        <f>IF(E75="Mão de Obra",H75*(1+'7. BDI SERVIÇOS'!$K$5),H75*(1+'8. BDI MERO FORNECIMENTO'!$K$5))</f>
        <v>160.3791314</v>
      </c>
      <c r="J75" s="1258">
        <f t="shared" si="1"/>
        <v>319.0236</v>
      </c>
      <c r="K75" s="1258">
        <f t="shared" si="2"/>
        <v>373.6833762</v>
      </c>
      <c r="L75" s="1259">
        <f t="shared" si="3"/>
        <v>0.001198391043</v>
      </c>
      <c r="M75" s="1260">
        <f t="shared" si="5"/>
        <v>0.6261453589</v>
      </c>
      <c r="N75" s="1261" t="str">
        <f t="shared" si="4"/>
        <v>A</v>
      </c>
    </row>
    <row r="76">
      <c r="A76" s="1251">
        <v>48.0</v>
      </c>
      <c r="B76" s="1252">
        <v>13395.0</v>
      </c>
      <c r="C76" s="1252" t="s">
        <v>17759</v>
      </c>
      <c r="D76" s="1263" t="str">
        <f>IF(C76="SINAPI",VLOOKUP(B76,'20-A.SINAPI-I'!A:G,2,0),VLOOKUP(B76,'12.COT.MERCADO'!A:I,2,0))</f>
        <v>QUADRO DE DISTRIBUICAO COM BARRAMENTO TRIFASICO, DE EMBUTIR, EM CHAPA DE ACO GALVANIZADO, PARA 18 DISJUNTORES DIN, 100 A, INCLUINDO BARRAMENTO</v>
      </c>
      <c r="E76" s="1267" t="s">
        <v>18392</v>
      </c>
      <c r="F76" s="1256" t="str">
        <f>IF(C76="SINAPI",VLOOKUP(B76,'20-A.SINAPI-I'!A:G,3,0),VLOOKUP(B76,'12.COT.MERCADO'!A:I,7,0))</f>
        <v>UN</v>
      </c>
      <c r="G76" s="1268">
        <v>0.67</v>
      </c>
      <c r="H76" s="1258">
        <f>IF(C76="SINAPI",VLOOKUP(B76,'20-A.SINAPI-I'!A:G,4,0),VLOOKUP(B76,'12.COT.MERCADO'!A:I,8,0))</f>
        <v>486.53</v>
      </c>
      <c r="I76" s="1258">
        <f>IF(E76="Mão de Obra",H76*(1+'7. BDI SERVIÇOS'!$K$5),H76*(1+'8. BDI MERO FORNECIMENTO'!$K$5))</f>
        <v>569.8894157</v>
      </c>
      <c r="J76" s="1258">
        <f t="shared" si="1"/>
        <v>325.9751</v>
      </c>
      <c r="K76" s="1258">
        <f t="shared" si="2"/>
        <v>381.8259085</v>
      </c>
      <c r="L76" s="1259">
        <f t="shared" si="3"/>
        <v>0.001224503893</v>
      </c>
      <c r="M76" s="1260">
        <f t="shared" si="5"/>
        <v>0.6273698628</v>
      </c>
      <c r="N76" s="1261" t="str">
        <f t="shared" si="4"/>
        <v>A</v>
      </c>
    </row>
    <row r="77">
      <c r="A77" s="1251">
        <v>49.0</v>
      </c>
      <c r="B77" s="1252">
        <v>12359.0</v>
      </c>
      <c r="C77" s="1252" t="s">
        <v>17759</v>
      </c>
      <c r="D77" s="1263" t="str">
        <f>IF(C77="SINAPI",VLOOKUP(B77,'20-A.SINAPI-I'!A:G,2,0),VLOOKUP(B77,'12.COT.MERCADO'!A:I,2,0))</f>
        <v>RELE TERMICO BIMETAL PARA USO EM MOTORES TRIFASICOS, TENSAO 380 V, POTENCIA ATE 15 CV, CORRENTE NOMINAL MAXIMA 22 A</v>
      </c>
      <c r="E77" s="1267" t="s">
        <v>18392</v>
      </c>
      <c r="F77" s="1256" t="str">
        <f>IF(C77="SINAPI",VLOOKUP(B77,'20-A.SINAPI-I'!A:G,3,0),VLOOKUP(B77,'12.COT.MERCADO'!A:I,7,0))</f>
        <v>UN</v>
      </c>
      <c r="G77" s="1268">
        <v>4.0</v>
      </c>
      <c r="H77" s="1258">
        <f>IF(C77="SINAPI",VLOOKUP(B77,'20-A.SINAPI-I'!A:G,4,0),VLOOKUP(B77,'12.COT.MERCADO'!A:I,8,0))</f>
        <v>108.83</v>
      </c>
      <c r="I77" s="1258">
        <f>IF(E77="Mão de Obra",H77*(1+'7. BDI SERVIÇOS'!$K$5),H77*(1+'8. BDI MERO FORNECIMENTO'!$K$5))</f>
        <v>127.4763429</v>
      </c>
      <c r="J77" s="1258">
        <f t="shared" si="1"/>
        <v>435.32</v>
      </c>
      <c r="K77" s="1258">
        <f t="shared" si="2"/>
        <v>509.9053716</v>
      </c>
      <c r="L77" s="1259">
        <f t="shared" si="3"/>
        <v>0.001635250774</v>
      </c>
      <c r="M77" s="1260">
        <f t="shared" si="5"/>
        <v>0.6290051135</v>
      </c>
      <c r="N77" s="1261" t="str">
        <f t="shared" si="4"/>
        <v>A</v>
      </c>
    </row>
    <row r="78">
      <c r="A78" s="1251">
        <v>73.0</v>
      </c>
      <c r="B78" s="1252">
        <v>10415.0</v>
      </c>
      <c r="C78" s="1253" t="s">
        <v>17759</v>
      </c>
      <c r="D78" s="1263" t="str">
        <f>IF(C78="SINAPI",VLOOKUP(B78,'20-A.SINAPI-I'!A:G,2,0),VLOOKUP(B78,'12.COT.MERCADO'!A:I,2,0))</f>
        <v>VALVULA DE RETENCAO VERTICAL, DE BRONZE (PN-16), 4", 200 PSI, EXTREMIDADES COM ROSCA</v>
      </c>
      <c r="E78" s="1255" t="s">
        <v>18393</v>
      </c>
      <c r="F78" s="1256" t="str">
        <f>IF(C78="SINAPI",VLOOKUP(B78,'20-A.SINAPI-I'!A:G,3,0),VLOOKUP(B78,'12.COT.MERCADO'!A:I,7,0))</f>
        <v>UN</v>
      </c>
      <c r="G78" s="1257">
        <v>0.67</v>
      </c>
      <c r="H78" s="1258">
        <f>IF(C78="SINAPI",VLOOKUP(B78,'20-A.SINAPI-I'!A:G,4,0),VLOOKUP(B78,'12.COT.MERCADO'!A:I,8,0))</f>
        <v>756.42</v>
      </c>
      <c r="I78" s="1258">
        <f>IF(E78="Mão de Obra",H78*(1+'7. BDI SERVIÇOS'!$K$5),H78*(1+'8. BDI MERO FORNECIMENTO'!$K$5))</f>
        <v>886.0209069</v>
      </c>
      <c r="J78" s="1258">
        <f t="shared" si="1"/>
        <v>506.8014</v>
      </c>
      <c r="K78" s="1258">
        <f t="shared" si="2"/>
        <v>593.6340076</v>
      </c>
      <c r="L78" s="1259">
        <f t="shared" si="3"/>
        <v>0.001903765923</v>
      </c>
      <c r="M78" s="1260">
        <f t="shared" si="5"/>
        <v>0.6309088795</v>
      </c>
      <c r="N78" s="1261" t="str">
        <f t="shared" si="4"/>
        <v>A</v>
      </c>
    </row>
    <row r="79">
      <c r="A79" s="1251">
        <v>74.0</v>
      </c>
      <c r="B79" s="1252">
        <v>37587.0</v>
      </c>
      <c r="C79" s="1253" t="s">
        <v>17759</v>
      </c>
      <c r="D79" s="1263" t="str">
        <f>IF(C79="SINAPI",VLOOKUP(B79,'20-A.SINAPI-I'!A:G,2,0),VLOOKUP(B79,'12.COT.MERCADO'!A:I,2,0))</f>
        <v>MISTURADOR MONOCOMANDO PARA CHUVEIRO, BASE BRUTA, METALICO COM ACABAMENTO CROMADO</v>
      </c>
      <c r="E79" s="1255" t="s">
        <v>18393</v>
      </c>
      <c r="F79" s="1256" t="str">
        <f>IF(C79="SINAPI",VLOOKUP(B79,'20-A.SINAPI-I'!A:G,3,0),VLOOKUP(B79,'12.COT.MERCADO'!A:I,7,0))</f>
        <v>UN</v>
      </c>
      <c r="G79" s="1257">
        <v>1.0</v>
      </c>
      <c r="H79" s="1258">
        <f>IF(C79="SINAPI",VLOOKUP(B79,'20-A.SINAPI-I'!A:G,4,0),VLOOKUP(B79,'12.COT.MERCADO'!A:I,8,0))</f>
        <v>429.89</v>
      </c>
      <c r="I79" s="1258">
        <f>IF(E79="Mão de Obra",H79*(1+'7. BDI SERVIÇOS'!$K$5),H79*(1+'8. BDI MERO FORNECIMENTO'!$K$5))</f>
        <v>503.5450248</v>
      </c>
      <c r="J79" s="1258">
        <f t="shared" si="1"/>
        <v>429.89</v>
      </c>
      <c r="K79" s="1258">
        <f t="shared" si="2"/>
        <v>503.5450248</v>
      </c>
      <c r="L79" s="1259">
        <f t="shared" si="3"/>
        <v>0.001614853339</v>
      </c>
      <c r="M79" s="1260">
        <f t="shared" si="5"/>
        <v>0.6325237328</v>
      </c>
      <c r="N79" s="1261" t="str">
        <f t="shared" si="4"/>
        <v>A</v>
      </c>
    </row>
    <row r="80">
      <c r="A80" s="1251">
        <v>75.0</v>
      </c>
      <c r="B80" s="1252">
        <v>39660.0</v>
      </c>
      <c r="C80" s="1253" t="s">
        <v>17759</v>
      </c>
      <c r="D80" s="1263" t="str">
        <f>IF(C80="SINAPI",VLOOKUP(B80,'20-A.SINAPI-I'!A:G,2,0),VLOOKUP(B80,'12.COT.MERCADO'!A:I,2,0))</f>
        <v>TUBO DE COBRE FLEXIVEL, D = 1/2 ", E = 0,79 MM, PARA AR-CONDICIONADO/ INSTALACOES GAS RESIDENCIAIS E COMERCIAIS</v>
      </c>
      <c r="E80" s="1255" t="s">
        <v>18393</v>
      </c>
      <c r="F80" s="1256" t="str">
        <f>IF(C80="SINAPI",VLOOKUP(B80,'20-A.SINAPI-I'!A:G,3,0),VLOOKUP(B80,'12.COT.MERCADO'!A:I,7,0))</f>
        <v>M</v>
      </c>
      <c r="G80" s="1257">
        <v>10.5</v>
      </c>
      <c r="H80" s="1258">
        <f>IF(C80="SINAPI",VLOOKUP(B80,'20-A.SINAPI-I'!A:G,4,0),VLOOKUP(B80,'12.COT.MERCADO'!A:I,8,0))</f>
        <v>39.7</v>
      </c>
      <c r="I80" s="1258">
        <f>IF(E80="Mão de Obra",H80*(1+'7. BDI SERVIÇOS'!$K$5),H80*(1+'8. BDI MERO FORNECIMENTO'!$K$5))</f>
        <v>46.50198303</v>
      </c>
      <c r="J80" s="1258">
        <f t="shared" si="1"/>
        <v>416.85</v>
      </c>
      <c r="K80" s="1258">
        <f t="shared" si="2"/>
        <v>488.2708218</v>
      </c>
      <c r="L80" s="1259">
        <f t="shared" si="3"/>
        <v>0.001565869441</v>
      </c>
      <c r="M80" s="1260">
        <f t="shared" si="5"/>
        <v>0.6340896022</v>
      </c>
      <c r="N80" s="1261" t="str">
        <f t="shared" si="4"/>
        <v>A</v>
      </c>
    </row>
    <row r="81">
      <c r="A81" s="1251">
        <v>76.0</v>
      </c>
      <c r="B81" s="1252">
        <v>42439.0</v>
      </c>
      <c r="C81" s="1253" t="s">
        <v>17759</v>
      </c>
      <c r="D81" s="1263" t="str">
        <f>IF(C81="SINAPI",VLOOKUP(B81,'20-A.SINAPI-I'!A:G,2,0),VLOOKUP(B81,'12.COT.MERCADO'!A:I,2,0))</f>
        <v>BANCO COM ENCOSTO, 1,60M* DE COMPRIMENTO, EM TUBO DE ACO CARBONO E PINTURA NO PROCESSO ELETROSTATICO - PARA ACADEMIA AO AR LIVRE / ACADEMIA DA TERCEIRA IDADE - ATI</v>
      </c>
      <c r="E81" s="1255" t="s">
        <v>18393</v>
      </c>
      <c r="F81" s="1256" t="str">
        <f>IF(C81="SINAPI",VLOOKUP(B81,'20-A.SINAPI-I'!A:G,3,0),VLOOKUP(B81,'12.COT.MERCADO'!A:I,7,0))</f>
        <v>UN</v>
      </c>
      <c r="G81" s="1257">
        <v>0.33</v>
      </c>
      <c r="H81" s="1258">
        <f>IF(C81="SINAPI",VLOOKUP(B81,'20-A.SINAPI-I'!A:G,4,0),VLOOKUP(B81,'12.COT.MERCADO'!A:I,8,0))</f>
        <v>1207.84</v>
      </c>
      <c r="I81" s="1258">
        <f>IF(E81="Mão de Obra",H81*(1+'7. BDI SERVIÇOS'!$K$5),H81*(1+'8. BDI MERO FORNECIMENTO'!$K$5))</f>
        <v>1414.784765</v>
      </c>
      <c r="J81" s="1258">
        <f t="shared" si="1"/>
        <v>398.5872</v>
      </c>
      <c r="K81" s="1258">
        <f t="shared" si="2"/>
        <v>466.8789726</v>
      </c>
      <c r="L81" s="1259">
        <f t="shared" si="3"/>
        <v>0.001497266442</v>
      </c>
      <c r="M81" s="1260">
        <f t="shared" si="5"/>
        <v>0.6355868687</v>
      </c>
      <c r="N81" s="1261" t="str">
        <f t="shared" si="4"/>
        <v>A</v>
      </c>
    </row>
    <row r="82">
      <c r="A82" s="1251">
        <v>77.0</v>
      </c>
      <c r="B82" s="1252">
        <v>43484.0</v>
      </c>
      <c r="C82" s="1253" t="s">
        <v>17759</v>
      </c>
      <c r="D82" s="1263" t="str">
        <f>IF(C82="SINAPI",VLOOKUP(B82,'20-A.SINAPI-I'!A:G,2,0),VLOOKUP(B82,'12.COT.MERCADO'!A:I,2,0))</f>
        <v>EPI - FAMILIA ELETRICISTA - HORISTA (ENCARGOS COMPLEMENTARES - COLETADO CAIXA)</v>
      </c>
      <c r="E82" s="1255" t="s">
        <v>18393</v>
      </c>
      <c r="F82" s="1256" t="str">
        <f>IF(C82="SINAPI",VLOOKUP(B82,'20-A.SINAPI-I'!A:G,3,0),VLOOKUP(B82,'12.COT.MERCADO'!A:I,7,0))</f>
        <v>H</v>
      </c>
      <c r="G82" s="1257">
        <v>344.1262418</v>
      </c>
      <c r="H82" s="1258">
        <f>IF(C82="SINAPI",VLOOKUP(B82,'20-A.SINAPI-I'!A:G,4,0),VLOOKUP(B82,'12.COT.MERCADO'!A:I,8,0))</f>
        <v>1.14</v>
      </c>
      <c r="I82" s="1258">
        <f>IF(E82="Mão de Obra",H82*(1+'7. BDI SERVIÇOS'!$K$5),H82*(1+'8. BDI MERO FORNECIMENTO'!$K$5))</f>
        <v>1.335321427</v>
      </c>
      <c r="J82" s="1258">
        <f t="shared" si="1"/>
        <v>392.3039157</v>
      </c>
      <c r="K82" s="1258">
        <f t="shared" si="2"/>
        <v>459.5191443</v>
      </c>
      <c r="L82" s="1259">
        <f t="shared" si="3"/>
        <v>0.0014736637</v>
      </c>
      <c r="M82" s="1260">
        <f t="shared" si="5"/>
        <v>0.6370605324</v>
      </c>
      <c r="N82" s="1261" t="str">
        <f t="shared" si="4"/>
        <v>A</v>
      </c>
    </row>
    <row r="83">
      <c r="A83" s="1251">
        <v>78.0</v>
      </c>
      <c r="B83" s="1252">
        <v>43491.0</v>
      </c>
      <c r="C83" s="1253" t="s">
        <v>17759</v>
      </c>
      <c r="D83" s="1263" t="str">
        <f>IF(C83="SINAPI",VLOOKUP(B83,'20-A.SINAPI-I'!A:G,2,0),VLOOKUP(B83,'12.COT.MERCADO'!A:I,2,0))</f>
        <v>EPI - FAMILIA SERVENTE - HORISTA (ENCARGOS COMPLEMENTARES - COLETADO CAIXA)</v>
      </c>
      <c r="E83" s="1255" t="s">
        <v>18393</v>
      </c>
      <c r="F83" s="1256" t="str">
        <f>IF(C83="SINAPI",VLOOKUP(B83,'20-A.SINAPI-I'!A:G,3,0),VLOOKUP(B83,'12.COT.MERCADO'!A:I,7,0))</f>
        <v>H</v>
      </c>
      <c r="G83" s="1257">
        <v>307.7726067</v>
      </c>
      <c r="H83" s="1258">
        <f>IF(C83="SINAPI",VLOOKUP(B83,'20-A.SINAPI-I'!A:G,4,0),VLOOKUP(B83,'12.COT.MERCADO'!A:I,8,0))</f>
        <v>1.25</v>
      </c>
      <c r="I83" s="1258">
        <f>IF(E83="Mão de Obra",H83*(1+'7. BDI SERVIÇOS'!$K$5),H83*(1+'8. BDI MERO FORNECIMENTO'!$K$5))</f>
        <v>1.464168231</v>
      </c>
      <c r="J83" s="1258">
        <f t="shared" si="1"/>
        <v>384.7157584</v>
      </c>
      <c r="K83" s="1258">
        <f t="shared" si="2"/>
        <v>450.6308732</v>
      </c>
      <c r="L83" s="1259">
        <f t="shared" si="3"/>
        <v>0.001445159289</v>
      </c>
      <c r="M83" s="1260">
        <f t="shared" si="5"/>
        <v>0.6385056917</v>
      </c>
      <c r="N83" s="1261" t="str">
        <f t="shared" si="4"/>
        <v>A</v>
      </c>
    </row>
    <row r="84">
      <c r="A84" s="1251">
        <v>79.0</v>
      </c>
      <c r="B84" s="1252">
        <v>6110.0</v>
      </c>
      <c r="C84" s="1253" t="s">
        <v>17759</v>
      </c>
      <c r="D84" s="1263" t="str">
        <f>IF(C84="SINAPI",VLOOKUP(B84,'20-A.SINAPI-I'!A:G,2,0),VLOOKUP(B84,'12.COT.MERCADO'!A:I,2,0))</f>
        <v>SERRALHEIRO (HORISTA)</v>
      </c>
      <c r="E84" s="1255" t="s">
        <v>18393</v>
      </c>
      <c r="F84" s="1256" t="str">
        <f>IF(C84="SINAPI",VLOOKUP(B84,'20-A.SINAPI-I'!A:G,3,0),VLOOKUP(B84,'12.COT.MERCADO'!A:I,7,0))</f>
        <v>H</v>
      </c>
      <c r="G84" s="1257">
        <v>16.6794834</v>
      </c>
      <c r="H84" s="1258">
        <f>IF(C84="SINAPI",VLOOKUP(B84,'20-A.SINAPI-I'!A:G,4,0),VLOOKUP(B84,'12.COT.MERCADO'!A:I,8,0))</f>
        <v>20.82</v>
      </c>
      <c r="I84" s="1258">
        <f>IF(E84="Mão de Obra",H84*(1+'7. BDI SERVIÇOS'!$K$5),H84*(1+'8. BDI MERO FORNECIMENTO'!$K$5))</f>
        <v>24.38718606</v>
      </c>
      <c r="J84" s="1258">
        <f t="shared" si="1"/>
        <v>347.2668444</v>
      </c>
      <c r="K84" s="1258">
        <f t="shared" si="2"/>
        <v>406.7656651</v>
      </c>
      <c r="L84" s="1259">
        <f t="shared" si="3"/>
        <v>0.001304484922</v>
      </c>
      <c r="M84" s="1260">
        <f t="shared" si="5"/>
        <v>0.6398101766</v>
      </c>
      <c r="N84" s="1261" t="str">
        <f t="shared" si="4"/>
        <v>A</v>
      </c>
    </row>
    <row r="85">
      <c r="A85" s="1251">
        <v>80.0</v>
      </c>
      <c r="B85" s="1252">
        <v>21012.0</v>
      </c>
      <c r="C85" s="1253" t="s">
        <v>17759</v>
      </c>
      <c r="D85" s="1263" t="str">
        <f>IF(C85="SINAPI",VLOOKUP(B85,'20-A.SINAPI-I'!A:G,2,0),VLOOKUP(B85,'12.COT.MERCADO'!A:I,2,0))</f>
        <v>TUBO ACO GALVANIZADO COM COSTURA, CLASSE LEVE, DN 40 MM ( 1 1/2"),  E = 3,00 MM,  *3,48* KG/M (NBR 5580)</v>
      </c>
      <c r="E85" s="1255" t="s">
        <v>18397</v>
      </c>
      <c r="F85" s="1256" t="str">
        <f>IF(C85="SINAPI",VLOOKUP(B85,'20-A.SINAPI-I'!A:G,3,0),VLOOKUP(B85,'12.COT.MERCADO'!A:I,7,0))</f>
        <v>M</v>
      </c>
      <c r="G85" s="1257">
        <v>6.844</v>
      </c>
      <c r="H85" s="1258">
        <f>IF(C85="SINAPI",VLOOKUP(B85,'20-A.SINAPI-I'!A:G,4,0),VLOOKUP(B85,'12.COT.MERCADO'!A:I,8,0))</f>
        <v>51.23</v>
      </c>
      <c r="I85" s="1258">
        <f>IF(E85="Mão de Obra",H85*(1+'7. BDI SERVIÇOS'!$K$5),H85*(1+'8. BDI MERO FORNECIMENTO'!$K$5))</f>
        <v>60.0074708</v>
      </c>
      <c r="J85" s="1258">
        <f t="shared" si="1"/>
        <v>350.61812</v>
      </c>
      <c r="K85" s="1258">
        <f t="shared" si="2"/>
        <v>410.6911301</v>
      </c>
      <c r="L85" s="1259">
        <f t="shared" si="3"/>
        <v>0.001317073767</v>
      </c>
      <c r="M85" s="1260">
        <f t="shared" si="5"/>
        <v>0.6411272504</v>
      </c>
      <c r="N85" s="1261" t="str">
        <f t="shared" si="4"/>
        <v>A</v>
      </c>
    </row>
    <row r="86">
      <c r="A86" s="1251">
        <v>81.0</v>
      </c>
      <c r="B86" s="1252">
        <v>39376.0</v>
      </c>
      <c r="C86" s="1253" t="s">
        <v>17759</v>
      </c>
      <c r="D86" s="1263" t="str">
        <f>IF(C86="SINAPI",VLOOKUP(B86,'20-A.SINAPI-I'!A:G,2,0),VLOOKUP(B86,'12.COT.MERCADO'!A:I,2,0))</f>
        <v>LAMPADA VAPOR METALICO OVOIDE 150 W, BASE E27/E40</v>
      </c>
      <c r="E86" s="1255" t="s">
        <v>18397</v>
      </c>
      <c r="F86" s="1256" t="str">
        <f>IF(C86="SINAPI",VLOOKUP(B86,'20-A.SINAPI-I'!A:G,3,0),VLOOKUP(B86,'12.COT.MERCADO'!A:I,7,0))</f>
        <v>UN</v>
      </c>
      <c r="G86" s="1257">
        <v>8.0</v>
      </c>
      <c r="H86" s="1258">
        <f>IF(C86="SINAPI",VLOOKUP(B86,'20-A.SINAPI-I'!A:G,4,0),VLOOKUP(B86,'12.COT.MERCADO'!A:I,8,0))</f>
        <v>49.12</v>
      </c>
      <c r="I86" s="1258">
        <f>IF(E86="Mão de Obra",H86*(1+'7. BDI SERVIÇOS'!$K$5),H86*(1+'8. BDI MERO FORNECIMENTO'!$K$5))</f>
        <v>57.53595482</v>
      </c>
      <c r="J86" s="1258">
        <f t="shared" si="1"/>
        <v>392.96</v>
      </c>
      <c r="K86" s="1258">
        <f t="shared" si="2"/>
        <v>460.2876386</v>
      </c>
      <c r="L86" s="1259">
        <f t="shared" si="3"/>
        <v>0.001476128237</v>
      </c>
      <c r="M86" s="1260">
        <f t="shared" si="5"/>
        <v>0.6426033786</v>
      </c>
      <c r="N86" s="1261" t="str">
        <f t="shared" si="4"/>
        <v>A</v>
      </c>
    </row>
    <row r="87">
      <c r="A87" s="1251">
        <v>83.0</v>
      </c>
      <c r="B87" s="1252">
        <v>11684.0</v>
      </c>
      <c r="C87" s="1253" t="s">
        <v>17759</v>
      </c>
      <c r="D87" s="1263" t="str">
        <f>IF(C87="SINAPI",VLOOKUP(B87,'20-A.SINAPI-I'!A:G,2,0),VLOOKUP(B87,'12.COT.MERCADO'!A:I,2,0))</f>
        <v>ENGATE / RABICHO FLEXIVEL INOX 1/2 " X 40 CM</v>
      </c>
      <c r="E87" s="1255" t="s">
        <v>18393</v>
      </c>
      <c r="F87" s="1256" t="str">
        <f>IF(C87="SINAPI",VLOOKUP(B87,'20-A.SINAPI-I'!A:G,3,0),VLOOKUP(B87,'12.COT.MERCADO'!A:I,7,0))</f>
        <v>UN</v>
      </c>
      <c r="G87" s="1257">
        <v>3.67</v>
      </c>
      <c r="H87" s="1258">
        <f>IF(C87="SINAPI",VLOOKUP(B87,'20-A.SINAPI-I'!A:G,4,0),VLOOKUP(B87,'12.COT.MERCADO'!A:I,8,0))</f>
        <v>68.4</v>
      </c>
      <c r="I87" s="1258">
        <f>IF(E87="Mão de Obra",H87*(1+'7. BDI SERVIÇOS'!$K$5),H87*(1+'8. BDI MERO FORNECIMENTO'!$K$5))</f>
        <v>80.11928562</v>
      </c>
      <c r="J87" s="1258">
        <f t="shared" si="1"/>
        <v>251.028</v>
      </c>
      <c r="K87" s="1258">
        <f t="shared" si="2"/>
        <v>294.0377782</v>
      </c>
      <c r="L87" s="1259">
        <f t="shared" si="3"/>
        <v>0.0009429700711</v>
      </c>
      <c r="M87" s="1260">
        <f t="shared" si="5"/>
        <v>0.6435463487</v>
      </c>
      <c r="N87" s="1261" t="str">
        <f t="shared" si="4"/>
        <v>A</v>
      </c>
    </row>
    <row r="88">
      <c r="A88" s="1251">
        <v>84.0</v>
      </c>
      <c r="B88" s="1252">
        <v>1620.0</v>
      </c>
      <c r="C88" s="1253" t="s">
        <v>17759</v>
      </c>
      <c r="D88" s="1263" t="str">
        <f>IF(C88="SINAPI",VLOOKUP(B88,'20-A.SINAPI-I'!A:G,2,0),VLOOKUP(B88,'12.COT.MERCADO'!A:I,2,0))</f>
        <v>CONTATOR TRIPOLAR, CORRENTE DE *38* A, TENSAO NOMINAL DE *500* V, CATEGORIA AC-2 E AC-3</v>
      </c>
      <c r="E88" s="1255" t="s">
        <v>18393</v>
      </c>
      <c r="F88" s="1256" t="str">
        <f>IF(C88="SINAPI",VLOOKUP(B88,'20-A.SINAPI-I'!A:G,3,0),VLOOKUP(B88,'12.COT.MERCADO'!A:I,7,0))</f>
        <v>UN</v>
      </c>
      <c r="G88" s="1257">
        <v>1.33</v>
      </c>
      <c r="H88" s="1258">
        <f>IF(C88="SINAPI",VLOOKUP(B88,'20-A.SINAPI-I'!A:G,4,0),VLOOKUP(B88,'12.COT.MERCADO'!A:I,8,0))</f>
        <v>276.15</v>
      </c>
      <c r="I88" s="1258">
        <f>IF(E88="Mão de Obra",H88*(1+'7. BDI SERVIÇOS'!$K$5),H88*(1+'8. BDI MERO FORNECIMENTO'!$K$5))</f>
        <v>323.4640457</v>
      </c>
      <c r="J88" s="1258">
        <f t="shared" si="1"/>
        <v>367.2795</v>
      </c>
      <c r="K88" s="1258">
        <f t="shared" si="2"/>
        <v>430.2071808</v>
      </c>
      <c r="L88" s="1259">
        <f t="shared" si="3"/>
        <v>0.001379661138</v>
      </c>
      <c r="M88" s="1260">
        <f t="shared" si="5"/>
        <v>0.6449260098</v>
      </c>
      <c r="N88" s="1261" t="str">
        <f t="shared" si="4"/>
        <v>A</v>
      </c>
    </row>
    <row r="89">
      <c r="A89" s="1251">
        <v>85.0</v>
      </c>
      <c r="B89" s="1252">
        <v>43489.0</v>
      </c>
      <c r="C89" s="1253" t="s">
        <v>17759</v>
      </c>
      <c r="D89" s="1263" t="str">
        <f>IF(C89="SINAPI",VLOOKUP(B89,'20-A.SINAPI-I'!A:G,2,0),VLOOKUP(B89,'12.COT.MERCADO'!A:I,2,0))</f>
        <v>EPI - FAMILIA PEDREIRO - HORISTA (ENCARGOS COMPLEMENTARES - COLETADO CAIXA)</v>
      </c>
      <c r="E89" s="1255" t="s">
        <v>18393</v>
      </c>
      <c r="F89" s="1256" t="str">
        <f>IF(C89="SINAPI",VLOOKUP(B89,'20-A.SINAPI-I'!A:G,3,0),VLOOKUP(B89,'12.COT.MERCADO'!A:I,7,0))</f>
        <v>H</v>
      </c>
      <c r="G89" s="1257">
        <v>298.8626174</v>
      </c>
      <c r="H89" s="1258">
        <f>IF(C89="SINAPI",VLOOKUP(B89,'20-A.SINAPI-I'!A:G,4,0),VLOOKUP(B89,'12.COT.MERCADO'!A:I,8,0))</f>
        <v>1.17</v>
      </c>
      <c r="I89" s="1258">
        <f>IF(E89="Mão de Obra",H89*(1+'7. BDI SERVIÇOS'!$K$5),H89*(1+'8. BDI MERO FORNECIMENTO'!$K$5))</f>
        <v>1.370461465</v>
      </c>
      <c r="J89" s="1258">
        <f t="shared" si="1"/>
        <v>349.6692624</v>
      </c>
      <c r="K89" s="1258">
        <f t="shared" si="2"/>
        <v>409.5797004</v>
      </c>
      <c r="L89" s="1259">
        <f t="shared" si="3"/>
        <v>0.001313509446</v>
      </c>
      <c r="M89" s="1260">
        <f t="shared" si="5"/>
        <v>0.6462395192</v>
      </c>
      <c r="N89" s="1261" t="str">
        <f t="shared" si="4"/>
        <v>A</v>
      </c>
    </row>
    <row r="90">
      <c r="A90" s="1251">
        <v>86.0</v>
      </c>
      <c r="B90" s="1252">
        <v>34492.0</v>
      </c>
      <c r="C90" s="1253" t="s">
        <v>17759</v>
      </c>
      <c r="D90" s="1263" t="str">
        <f>IF(C90="SINAPI",VLOOKUP(B90,'20-A.SINAPI-I'!A:G,2,0),VLOOKUP(B90,'12.COT.MERCADO'!A:I,2,0))</f>
        <v>CONCRETO USINADO BOMBEAVEL, CLASSE DE RESISTENCIA C20, COM BRITA 0 E 1, SLUMP = 100 +/- 20 MM, EXCLUI SERVICO DE BOMBEAMENTO (NBR 8953)</v>
      </c>
      <c r="E90" s="1255" t="s">
        <v>18393</v>
      </c>
      <c r="F90" s="1256" t="str">
        <f>IF(C90="SINAPI",VLOOKUP(B90,'20-A.SINAPI-I'!A:G,3,0),VLOOKUP(B90,'12.COT.MERCADO'!A:I,7,0))</f>
        <v>M3</v>
      </c>
      <c r="G90" s="1257">
        <v>0.825105</v>
      </c>
      <c r="H90" s="1258">
        <f>IF(C90="SINAPI",VLOOKUP(B90,'20-A.SINAPI-I'!A:G,4,0),VLOOKUP(B90,'12.COT.MERCADO'!A:I,8,0))</f>
        <v>407</v>
      </c>
      <c r="I90" s="1258">
        <f>IF(E90="Mão de Obra",H90*(1+'7. BDI SERVIÇOS'!$K$5),H90*(1+'8. BDI MERO FORNECIMENTO'!$K$5))</f>
        <v>476.7331761</v>
      </c>
      <c r="J90" s="1258">
        <f t="shared" si="1"/>
        <v>335.817735</v>
      </c>
      <c r="K90" s="1258">
        <f t="shared" si="2"/>
        <v>393.3549273</v>
      </c>
      <c r="L90" s="1259">
        <f t="shared" si="3"/>
        <v>0.0012614771</v>
      </c>
      <c r="M90" s="1260">
        <f t="shared" si="5"/>
        <v>0.6475009963</v>
      </c>
      <c r="N90" s="1261" t="str">
        <f t="shared" si="4"/>
        <v>A</v>
      </c>
    </row>
    <row r="91">
      <c r="A91" s="1251">
        <v>93.0</v>
      </c>
      <c r="B91" s="1252">
        <v>43147.0</v>
      </c>
      <c r="C91" s="1253" t="s">
        <v>17759</v>
      </c>
      <c r="D91" s="1263" t="str">
        <f>IF(C91="SINAPI",VLOOKUP(B91,'20-A.SINAPI-I'!A:G,2,0),VLOOKUP(B91,'12.COT.MERCADO'!A:I,2,0))</f>
        <v>MEMBRANA IMPERMEABILIZANTE ACRILICA MONOCOMPONENTE</v>
      </c>
      <c r="E91" s="1255" t="s">
        <v>18394</v>
      </c>
      <c r="F91" s="1256" t="str">
        <f>IF(C91="SINAPI",VLOOKUP(B91,'20-A.SINAPI-I'!A:G,3,0),VLOOKUP(B91,'12.COT.MERCADO'!A:I,7,0))</f>
        <v>KG</v>
      </c>
      <c r="G91" s="1257">
        <v>16.008</v>
      </c>
      <c r="H91" s="1258">
        <f>IF(C91="SINAPI",VLOOKUP(B91,'20-A.SINAPI-I'!A:G,4,0),VLOOKUP(B91,'12.COT.MERCADO'!A:I,8,0))</f>
        <v>22.52</v>
      </c>
      <c r="I91" s="1258">
        <f>IF(E91="Mão de Obra",H91*(1+'7. BDI SERVIÇOS'!$K$5),H91*(1+'8. BDI MERO FORNECIMENTO'!$K$5))</f>
        <v>26.43674528</v>
      </c>
      <c r="J91" s="1258">
        <f t="shared" si="1"/>
        <v>360.50016</v>
      </c>
      <c r="K91" s="1258">
        <f t="shared" si="2"/>
        <v>423.1994185</v>
      </c>
      <c r="L91" s="1259">
        <f t="shared" si="3"/>
        <v>0.001357187461</v>
      </c>
      <c r="M91" s="1260">
        <f t="shared" si="5"/>
        <v>0.6488581838</v>
      </c>
      <c r="N91" s="1261" t="str">
        <f t="shared" si="4"/>
        <v>A</v>
      </c>
    </row>
    <row r="92">
      <c r="A92" s="1251">
        <v>87.0</v>
      </c>
      <c r="B92" s="1252">
        <v>4014.0</v>
      </c>
      <c r="C92" s="1253" t="s">
        <v>17759</v>
      </c>
      <c r="D92" s="1263" t="str">
        <f>IF(C92="SINAPI",VLOOKUP(B92,'20-A.SINAPI-I'!A:G,2,0),VLOOKUP(B92,'12.COT.MERCADO'!A:I,2,0))</f>
        <v>MANTA ASFALTICA ELASTOMERICA EM POLIESTER 3 MM, TIPO III, CLASSE B, ACABAMENTO PP (NBR 9952)</v>
      </c>
      <c r="E92" s="1255" t="s">
        <v>18393</v>
      </c>
      <c r="F92" s="1256" t="str">
        <f>IF(C92="SINAPI",VLOOKUP(B92,'20-A.SINAPI-I'!A:G,3,0),VLOOKUP(B92,'12.COT.MERCADO'!A:I,7,0))</f>
        <v>M2</v>
      </c>
      <c r="G92" s="1257">
        <v>6.0075</v>
      </c>
      <c r="H92" s="1258">
        <f>IF(C92="SINAPI",VLOOKUP(B92,'20-A.SINAPI-I'!A:G,4,0),VLOOKUP(B92,'12.COT.MERCADO'!A:I,8,0))</f>
        <v>57.29</v>
      </c>
      <c r="I92" s="1258">
        <f>IF(E92="Mão de Obra",H92*(1+'7. BDI SERVIÇOS'!$K$5),H92*(1+'8. BDI MERO FORNECIMENTO'!$K$5))</f>
        <v>67.10575838</v>
      </c>
      <c r="J92" s="1258">
        <f t="shared" si="1"/>
        <v>344.169675</v>
      </c>
      <c r="K92" s="1258">
        <f t="shared" si="2"/>
        <v>403.1378435</v>
      </c>
      <c r="L92" s="1259">
        <f t="shared" si="3"/>
        <v>0.00129285061</v>
      </c>
      <c r="M92" s="1260">
        <f t="shared" si="5"/>
        <v>0.6501510344</v>
      </c>
      <c r="N92" s="1261" t="str">
        <f t="shared" si="4"/>
        <v>A</v>
      </c>
    </row>
    <row r="93">
      <c r="A93" s="1251">
        <v>94.0</v>
      </c>
      <c r="B93" s="1252">
        <v>1213.0</v>
      </c>
      <c r="C93" s="1253" t="s">
        <v>17759</v>
      </c>
      <c r="D93" s="1263" t="str">
        <f>IF(C93="SINAPI",VLOOKUP(B93,'20-A.SINAPI-I'!A:G,2,0),VLOOKUP(B93,'12.COT.MERCADO'!A:I,2,0))</f>
        <v>CARPINTEIRO DE FORMAS (HORISTA)</v>
      </c>
      <c r="E93" s="1255" t="s">
        <v>18394</v>
      </c>
      <c r="F93" s="1256" t="str">
        <f>IF(C93="SINAPI",VLOOKUP(B93,'20-A.SINAPI-I'!A:G,3,0),VLOOKUP(B93,'12.COT.MERCADO'!A:I,7,0))</f>
        <v>H</v>
      </c>
      <c r="G93" s="1257">
        <v>14.1556619</v>
      </c>
      <c r="H93" s="1258">
        <f>IF(C93="SINAPI",VLOOKUP(B93,'20-A.SINAPI-I'!A:G,4,0),VLOOKUP(B93,'12.COT.MERCADO'!A:I,8,0))</f>
        <v>20.82</v>
      </c>
      <c r="I93" s="1258">
        <f>IF(E93="Mão de Obra",H93*(1+'7. BDI SERVIÇOS'!$K$5),H93*(1+'8. BDI MERO FORNECIMENTO'!$K$5))</f>
        <v>24.44107624</v>
      </c>
      <c r="J93" s="1258">
        <f t="shared" si="1"/>
        <v>294.7208808</v>
      </c>
      <c r="K93" s="1258">
        <f t="shared" si="2"/>
        <v>345.9796117</v>
      </c>
      <c r="L93" s="1259">
        <f t="shared" si="3"/>
        <v>0.001109545926</v>
      </c>
      <c r="M93" s="1260">
        <f t="shared" si="5"/>
        <v>0.6512605803</v>
      </c>
      <c r="N93" s="1261" t="str">
        <f t="shared" si="4"/>
        <v>A</v>
      </c>
    </row>
    <row r="94">
      <c r="A94" s="1251">
        <v>82.0</v>
      </c>
      <c r="B94" s="1252">
        <v>36531.0</v>
      </c>
      <c r="C94" s="1253" t="s">
        <v>17759</v>
      </c>
      <c r="D94" s="1263" t="str">
        <f>IF(C94="SINAPI",VLOOKUP(B94,'20-A.SINAPI-I'!A:G,2,0),VLOOKUP(B94,'12.COT.MERCADO'!A:I,2,0))</f>
        <v>RETROESCAVADEIRA SOBRE RODAS COM CARREGADEIRA, TRACAO 4 X 4, POTENCIA LIQUIDA 88 HP, PESO OPERACIONAL MINIMO DE 6674 KG, CAPACIDADE DA CARREGADEIRA DE 1,00 M3 E DA  RETROESCAVADEIRA MINIMA DE 0,26 M3, PROFUNDIDADE DE ESCAVACAO MAXIMA DE 4,37 M</v>
      </c>
      <c r="E94" s="1255" t="s">
        <v>18393</v>
      </c>
      <c r="F94" s="1256" t="str">
        <f>IF(C94="SINAPI",VLOOKUP(B94,'20-A.SINAPI-I'!A:G,3,0),VLOOKUP(B94,'12.COT.MERCADO'!A:I,7,0))</f>
        <v>UN</v>
      </c>
      <c r="G94" s="1257">
        <v>6.387E-4</v>
      </c>
      <c r="H94" s="1258">
        <f>IF(C94="SINAPI",VLOOKUP(B94,'20-A.SINAPI-I'!A:G,4,0),VLOOKUP(B94,'12.COT.MERCADO'!A:I,8,0))</f>
        <v>445731.67</v>
      </c>
      <c r="I94" s="1258">
        <f>IF(E94="Mão de Obra",H94*(1+'7. BDI SERVIÇOS'!$K$5),H94*(1+'8. BDI MERO FORNECIMENTO'!$K$5))</f>
        <v>522100.9208</v>
      </c>
      <c r="J94" s="1258">
        <f t="shared" si="1"/>
        <v>284.6888176</v>
      </c>
      <c r="K94" s="1258">
        <f t="shared" si="2"/>
        <v>333.4658581</v>
      </c>
      <c r="L94" s="1259">
        <f t="shared" si="3"/>
        <v>0.001069414705</v>
      </c>
      <c r="M94" s="1260">
        <f t="shared" si="5"/>
        <v>0.652329995</v>
      </c>
      <c r="N94" s="1261" t="str">
        <f t="shared" si="4"/>
        <v>A</v>
      </c>
    </row>
    <row r="95">
      <c r="A95" s="1251">
        <v>88.0</v>
      </c>
      <c r="B95" s="1252">
        <v>3379.0</v>
      </c>
      <c r="C95" s="1253" t="s">
        <v>17759</v>
      </c>
      <c r="D95" s="1263" t="str">
        <f>IF(C95="SINAPI",VLOOKUP(B95,'20-A.SINAPI-I'!A:G,2,0),VLOOKUP(B95,'12.COT.MERCADO'!A:I,2,0))</f>
        <v>HASTE DE ATERRAMENTO EM ACO COM 3,00 M DE COMPRIMENTO E DN = 5/8", REVESTIDA COM BAIXA CAMADA DE COBRE, SEM CONECTOR</v>
      </c>
      <c r="E95" s="1255" t="s">
        <v>18393</v>
      </c>
      <c r="F95" s="1256" t="str">
        <f>IF(C95="SINAPI",VLOOKUP(B95,'20-A.SINAPI-I'!A:G,3,0),VLOOKUP(B95,'12.COT.MERCADO'!A:I,7,0))</f>
        <v>UN</v>
      </c>
      <c r="G95" s="1257">
        <v>4.0</v>
      </c>
      <c r="H95" s="1258">
        <f>IF(C95="SINAPI",VLOOKUP(B95,'20-A.SINAPI-I'!A:G,4,0),VLOOKUP(B95,'12.COT.MERCADO'!A:I,8,0))</f>
        <v>63.26</v>
      </c>
      <c r="I95" s="1258">
        <f>IF(E95="Mão de Obra",H95*(1+'7. BDI SERVIÇOS'!$K$5),H95*(1+'8. BDI MERO FORNECIMENTO'!$K$5))</f>
        <v>74.09862586</v>
      </c>
      <c r="J95" s="1258">
        <f t="shared" si="1"/>
        <v>253.04</v>
      </c>
      <c r="K95" s="1258">
        <f t="shared" si="2"/>
        <v>296.3945034</v>
      </c>
      <c r="L95" s="1259">
        <f t="shared" si="3"/>
        <v>0.000950528016</v>
      </c>
      <c r="M95" s="1260">
        <f t="shared" si="5"/>
        <v>0.6532805231</v>
      </c>
      <c r="N95" s="1261" t="str">
        <f t="shared" si="4"/>
        <v>A</v>
      </c>
    </row>
    <row r="96">
      <c r="A96" s="1251">
        <v>89.0</v>
      </c>
      <c r="B96" s="1252">
        <v>6157.0</v>
      </c>
      <c r="C96" s="1253" t="s">
        <v>17759</v>
      </c>
      <c r="D96" s="1263" t="str">
        <f>IF(C96="SINAPI",VLOOKUP(B96,'20-A.SINAPI-I'!A:G,2,0),VLOOKUP(B96,'12.COT.MERCADO'!A:I,2,0))</f>
        <v>VALVULA EM METAL CROMADO PARA PIA AMERICANA 3.1/2 X 1.1/2 "</v>
      </c>
      <c r="E96" s="1255" t="s">
        <v>18397</v>
      </c>
      <c r="F96" s="1256" t="str">
        <f>IF(C96="SINAPI",VLOOKUP(B96,'20-A.SINAPI-I'!A:G,3,0),VLOOKUP(B96,'12.COT.MERCADO'!A:I,7,0))</f>
        <v>UN</v>
      </c>
      <c r="G96" s="1257">
        <v>2.33</v>
      </c>
      <c r="H96" s="1258">
        <f>IF(C96="SINAPI",VLOOKUP(B96,'20-A.SINAPI-I'!A:G,4,0),VLOOKUP(B96,'12.COT.MERCADO'!A:I,8,0))</f>
        <v>93.06</v>
      </c>
      <c r="I96" s="1258">
        <f>IF(E96="Mão de Obra",H96*(1+'7. BDI SERVIÇOS'!$K$5),H96*(1+'8. BDI MERO FORNECIMENTO'!$K$5))</f>
        <v>109.0043965</v>
      </c>
      <c r="J96" s="1258">
        <f t="shared" si="1"/>
        <v>216.8298</v>
      </c>
      <c r="K96" s="1258">
        <f t="shared" si="2"/>
        <v>253.9802438</v>
      </c>
      <c r="L96" s="1259">
        <f t="shared" si="3"/>
        <v>0.0008145067957</v>
      </c>
      <c r="M96" s="1260">
        <f t="shared" si="5"/>
        <v>0.6540950299</v>
      </c>
      <c r="N96" s="1261" t="str">
        <f t="shared" si="4"/>
        <v>A</v>
      </c>
    </row>
    <row r="97">
      <c r="A97" s="1251">
        <v>90.0</v>
      </c>
      <c r="B97" s="1252">
        <v>11560.0</v>
      </c>
      <c r="C97" s="1253" t="s">
        <v>17759</v>
      </c>
      <c r="D97" s="1263" t="str">
        <f>IF(C97="SINAPI",VLOOKUP(B97,'20-A.SINAPI-I'!A:G,2,0),VLOOKUP(B97,'12.COT.MERCADO'!A:I,2,0))</f>
        <v>MOLA HIDRAULICA AEREA, PARA PORTAS DE ATE 950 MM E PESO DE ATE 65 KG, COM CORPO EM ALUMINIO E BRACO EM ACO, SEM BRACO DE PARADA</v>
      </c>
      <c r="E97" s="1255" t="s">
        <v>18393</v>
      </c>
      <c r="F97" s="1256" t="str">
        <f>IF(C97="SINAPI",VLOOKUP(B97,'20-A.SINAPI-I'!A:G,3,0),VLOOKUP(B97,'12.COT.MERCADO'!A:I,7,0))</f>
        <v>UN</v>
      </c>
      <c r="G97" s="1257">
        <v>1.67</v>
      </c>
      <c r="H97" s="1258">
        <f>IF(C97="SINAPI",VLOOKUP(B97,'20-A.SINAPI-I'!A:G,4,0),VLOOKUP(B97,'12.COT.MERCADO'!A:I,8,0))</f>
        <v>178.75</v>
      </c>
      <c r="I97" s="1258">
        <f>IF(E97="Mão de Obra",H97*(1+'7. BDI SERVIÇOS'!$K$5),H97*(1+'8. BDI MERO FORNECIMENTO'!$K$5))</f>
        <v>209.3760571</v>
      </c>
      <c r="J97" s="1258">
        <f t="shared" si="1"/>
        <v>298.5125</v>
      </c>
      <c r="K97" s="1258">
        <f t="shared" si="2"/>
        <v>349.6580153</v>
      </c>
      <c r="L97" s="1259">
        <f t="shared" si="3"/>
        <v>0.001121342453</v>
      </c>
      <c r="M97" s="1260">
        <f t="shared" si="5"/>
        <v>0.6552163723</v>
      </c>
      <c r="N97" s="1261" t="str">
        <f t="shared" si="4"/>
        <v>A</v>
      </c>
    </row>
    <row r="98">
      <c r="A98" s="1251">
        <v>92.0</v>
      </c>
      <c r="B98" s="1252">
        <v>13393.0</v>
      </c>
      <c r="C98" s="1253" t="s">
        <v>17759</v>
      </c>
      <c r="D98" s="1263" t="str">
        <f>IF(C98="SINAPI",VLOOKUP(B98,'20-A.SINAPI-I'!A:G,2,0),VLOOKUP(B98,'12.COT.MERCADO'!A:I,2,0))</f>
        <v>QUADRO DE DISTRIBUICAO COM BARRAMENTO TRIFASICO, DE EMBUTIR, EM CHAPA DE ACO GALVANIZADO, PARA 12 DISJUNTORES DIN, 100 A</v>
      </c>
      <c r="E98" s="1255" t="s">
        <v>18393</v>
      </c>
      <c r="F98" s="1256" t="str">
        <f>IF(C98="SINAPI",VLOOKUP(B98,'20-A.SINAPI-I'!A:G,3,0),VLOOKUP(B98,'12.COT.MERCADO'!A:I,7,0))</f>
        <v>UN</v>
      </c>
      <c r="G98" s="1257">
        <v>0.67</v>
      </c>
      <c r="H98" s="1258">
        <f>IF(C98="SINAPI",VLOOKUP(B98,'20-A.SINAPI-I'!A:G,4,0),VLOOKUP(B98,'12.COT.MERCADO'!A:I,8,0))</f>
        <v>347.18</v>
      </c>
      <c r="I98" s="1258">
        <f>IF(E98="Mão de Obra",H98*(1+'7. BDI SERVIÇOS'!$K$5),H98*(1+'8. BDI MERO FORNECIMENTO'!$K$5))</f>
        <v>406.6639413</v>
      </c>
      <c r="J98" s="1258">
        <f t="shared" si="1"/>
        <v>232.6106</v>
      </c>
      <c r="K98" s="1258">
        <f t="shared" si="2"/>
        <v>272.4648406</v>
      </c>
      <c r="L98" s="1259">
        <f t="shared" si="3"/>
        <v>0.0008737863267</v>
      </c>
      <c r="M98" s="1260">
        <f t="shared" si="5"/>
        <v>0.6560901586</v>
      </c>
      <c r="N98" s="1261" t="str">
        <f t="shared" si="4"/>
        <v>A</v>
      </c>
    </row>
    <row r="99">
      <c r="A99" s="1251">
        <v>103.0</v>
      </c>
      <c r="B99" s="1252" t="s">
        <v>1933</v>
      </c>
      <c r="C99" s="1253" t="s">
        <v>1785</v>
      </c>
      <c r="D99" s="1254" t="str">
        <f>IF(C99="SINAPI",VLOOKUP(B99,'20-A.SINAPI-I'!A:G,2,0),VLOOKUP(B99,'12.COT.MERCADO'!A:I,2,0))</f>
        <v>CALIBRADOR ELETRÔNICO PARA PNEUS, BIVOLT, BLINDADO. REF. STOKAIR-M2000 OU SIMILAR</v>
      </c>
      <c r="E99" s="1255" t="s">
        <v>18394</v>
      </c>
      <c r="F99" s="1256" t="str">
        <f>IF(C99="SINAPI",VLOOKUP(B99,'20-A.SINAPI-I'!A:G,3,0),VLOOKUP(B99,'12.COT.MERCADO'!A:I,7,0))</f>
        <v>UN</v>
      </c>
      <c r="G99" s="1257">
        <v>0.33</v>
      </c>
      <c r="H99" s="1258">
        <f>IF(C99="SINAPI",VLOOKUP(B99,'20-A.SINAPI-I'!A:G,4,0),VLOOKUP(B99,'12.COT.MERCADO'!A:I,8,0))</f>
        <v>1090.62</v>
      </c>
      <c r="I99" s="1258">
        <f>IF(E99="Mão de Obra",H99*(1+'7. BDI SERVIÇOS'!$K$5),H99*(1+'8. BDI MERO FORNECIMENTO'!$K$5))</f>
        <v>1280.30387</v>
      </c>
      <c r="J99" s="1258">
        <f t="shared" si="1"/>
        <v>359.9046</v>
      </c>
      <c r="K99" s="1258">
        <f t="shared" si="2"/>
        <v>422.500277</v>
      </c>
      <c r="L99" s="1259">
        <f t="shared" si="3"/>
        <v>0.001354945336</v>
      </c>
      <c r="M99" s="1260">
        <f t="shared" si="5"/>
        <v>0.657445104</v>
      </c>
      <c r="N99" s="1261" t="str">
        <f t="shared" si="4"/>
        <v>A</v>
      </c>
    </row>
    <row r="100">
      <c r="A100" s="1269">
        <v>95.0</v>
      </c>
      <c r="B100" s="1270">
        <v>11758.0</v>
      </c>
      <c r="C100" s="1271" t="s">
        <v>17759</v>
      </c>
      <c r="D100" s="1272" t="str">
        <f>IF(C100="SINAPI",VLOOKUP(B100,'20-A.SINAPI-I'!A:G,2,0),VLOOKUP(B100,'12.COT.MERCADO'!A:I,2,0))</f>
        <v>SABONETEIRA PLASTICA TIPO DISPENSER PARA SABONETE LIQUIDO COM RESERVATORIO 800 A 1500 ML</v>
      </c>
      <c r="E100" s="1273" t="s">
        <v>18397</v>
      </c>
      <c r="F100" s="1274" t="str">
        <f>IF(C100="SINAPI",VLOOKUP(B100,'20-A.SINAPI-I'!A:G,3,0),VLOOKUP(B100,'12.COT.MERCADO'!A:I,7,0))</f>
        <v>UN</v>
      </c>
      <c r="G100" s="1275">
        <v>7.67</v>
      </c>
      <c r="H100" s="1276">
        <f>IF(C100="SINAPI",VLOOKUP(B100,'20-A.SINAPI-I'!A:G,4,0),VLOOKUP(B100,'12.COT.MERCADO'!A:I,8,0))</f>
        <v>44.9</v>
      </c>
      <c r="I100" s="1276">
        <f>IF(E100="Mão de Obra",H100*(1+'7. BDI SERVIÇOS'!$K$5),H100*(1+'8. BDI MERO FORNECIMENTO'!$K$5))</f>
        <v>52.59292287</v>
      </c>
      <c r="J100" s="1276">
        <f t="shared" si="1"/>
        <v>344.383</v>
      </c>
      <c r="K100" s="1276">
        <f t="shared" si="2"/>
        <v>403.3877184</v>
      </c>
      <c r="L100" s="1277">
        <f t="shared" si="3"/>
        <v>0.001293651951</v>
      </c>
      <c r="M100" s="1278">
        <f t="shared" si="5"/>
        <v>0.6587387559</v>
      </c>
      <c r="N100" s="1279" t="str">
        <f t="shared" si="4"/>
        <v>A</v>
      </c>
    </row>
    <row r="101">
      <c r="A101" s="1280">
        <v>96.0</v>
      </c>
      <c r="B101" s="1281">
        <v>12873.0</v>
      </c>
      <c r="C101" s="1282" t="s">
        <v>17759</v>
      </c>
      <c r="D101" s="1283" t="str">
        <f>IF(C101="SINAPI",VLOOKUP(B101,'20-A.SINAPI-I'!A:G,2,0),VLOOKUP(B101,'12.COT.MERCADO'!A:I,2,0))</f>
        <v>IMPERMEABILIZADOR (HORISTA)</v>
      </c>
      <c r="E101" s="1284" t="s">
        <v>18393</v>
      </c>
      <c r="F101" s="1285" t="str">
        <f>IF(C101="SINAPI",VLOOKUP(B101,'20-A.SINAPI-I'!A:G,3,0),VLOOKUP(B101,'12.COT.MERCADO'!A:I,7,0))</f>
        <v>H</v>
      </c>
      <c r="G101" s="1286">
        <v>13.0422421</v>
      </c>
      <c r="H101" s="1287">
        <f>IF(C101="SINAPI",VLOOKUP(B101,'20-A.SINAPI-I'!A:G,4,0),VLOOKUP(B101,'12.COT.MERCADO'!A:I,8,0))</f>
        <v>20.82</v>
      </c>
      <c r="I101" s="1287">
        <f>IF(E101="Mão de Obra",H101*(1+'7. BDI SERVIÇOS'!$K$5),H101*(1+'8. BDI MERO FORNECIMENTO'!$K$5))</f>
        <v>24.38718606</v>
      </c>
      <c r="J101" s="1287">
        <f t="shared" si="1"/>
        <v>271.5394805</v>
      </c>
      <c r="K101" s="1287">
        <f t="shared" si="2"/>
        <v>318.0635848</v>
      </c>
      <c r="L101" s="1288">
        <f t="shared" si="3"/>
        <v>0.00102002009</v>
      </c>
      <c r="M101" s="1289">
        <f t="shared" si="5"/>
        <v>0.659758776</v>
      </c>
      <c r="N101" s="1290" t="str">
        <f t="shared" si="4"/>
        <v>A</v>
      </c>
    </row>
    <row r="102">
      <c r="A102" s="1291">
        <v>97.0</v>
      </c>
      <c r="B102" s="1292" t="s">
        <v>1793</v>
      </c>
      <c r="C102" s="1293" t="s">
        <v>1785</v>
      </c>
      <c r="D102" s="1294" t="str">
        <f>IF(C102="SINAPI",VLOOKUP(B102,'20-A.SINAPI-I'!A:G,2,0),VLOOKUP(B102,'12.COT.MERCADO'!A:I,2,0))</f>
        <v>CABO DE AÇO 1/8 REVESTIDO COM PVC - 50M</v>
      </c>
      <c r="E102" s="1295" t="s">
        <v>18393</v>
      </c>
      <c r="F102" s="1296" t="str">
        <f>IF(C102="SINAPI",VLOOKUP(B102,'20-A.SINAPI-I'!A:G,3,0),VLOOKUP(B102,'12.COT.MERCADO'!A:I,7,0))</f>
        <v>UN</v>
      </c>
      <c r="G102" s="1297">
        <v>1.33</v>
      </c>
      <c r="H102" s="1298">
        <f>IF(C102="SINAPI",VLOOKUP(B102,'20-A.SINAPI-I'!A:G,4,0),VLOOKUP(B102,'12.COT.MERCADO'!A:I,8,0))</f>
        <v>268.43</v>
      </c>
      <c r="I102" s="1298">
        <f>IF(E102="Mão de Obra",H102*(1+'7. BDI SERVIÇOS'!$K$5),H102*(1+'8. BDI MERO FORNECIMENTO'!$K$5))</f>
        <v>314.4213427</v>
      </c>
      <c r="J102" s="1298">
        <f t="shared" si="1"/>
        <v>357.0119</v>
      </c>
      <c r="K102" s="1298">
        <f t="shared" si="2"/>
        <v>418.1803858</v>
      </c>
      <c r="L102" s="1299">
        <f t="shared" si="3"/>
        <v>0.001341091578</v>
      </c>
      <c r="M102" s="1300">
        <f t="shared" si="5"/>
        <v>0.6610998676</v>
      </c>
      <c r="N102" s="1301" t="str">
        <f t="shared" si="4"/>
        <v>A</v>
      </c>
    </row>
    <row r="103">
      <c r="A103" s="1291">
        <v>98.0</v>
      </c>
      <c r="B103" s="1292" t="s">
        <v>1741</v>
      </c>
      <c r="C103" s="1293" t="s">
        <v>1785</v>
      </c>
      <c r="D103" s="1302" t="str">
        <f>IF(C103="SINAPI",VLOOKUP(B103,'20-A.SINAPI-I'!A:G,2,0),VLOOKUP(B103,'12.COT.MERCADO'!A:I,2,0))</f>
        <v>Fita em aço 1/2" Fusimec ou similar</v>
      </c>
      <c r="E103" s="1295" t="s">
        <v>18393</v>
      </c>
      <c r="F103" s="1296" t="str">
        <f>IF(C103="SINAPI",VLOOKUP(B103,'20-A.SINAPI-I'!A:G,3,0),VLOOKUP(B103,'12.COT.MERCADO'!A:I,7,0))</f>
        <v>M</v>
      </c>
      <c r="G103" s="1297">
        <v>85.5</v>
      </c>
      <c r="H103" s="1298">
        <f>IF(C103="SINAPI",VLOOKUP(B103,'20-A.SINAPI-I'!A:G,4,0),VLOOKUP(B103,'12.COT.MERCADO'!A:I,8,0))</f>
        <v>2.65</v>
      </c>
      <c r="I103" s="1298">
        <f>IF(E103="Mão de Obra",H103*(1+'7. BDI SERVIÇOS'!$K$5),H103*(1+'8. BDI MERO FORNECIMENTO'!$K$5))</f>
        <v>3.104036651</v>
      </c>
      <c r="J103" s="1298">
        <f t="shared" si="1"/>
        <v>226.575</v>
      </c>
      <c r="K103" s="1298">
        <f t="shared" si="2"/>
        <v>265.3951336</v>
      </c>
      <c r="L103" s="1299">
        <f t="shared" si="3"/>
        <v>0.0008511139947</v>
      </c>
      <c r="M103" s="1300">
        <f t="shared" si="5"/>
        <v>0.6619509816</v>
      </c>
      <c r="N103" s="1301" t="str">
        <f t="shared" si="4"/>
        <v>A</v>
      </c>
    </row>
    <row r="104">
      <c r="A104" s="1291">
        <v>102.0</v>
      </c>
      <c r="B104" s="1292">
        <v>43460.0</v>
      </c>
      <c r="C104" s="1293" t="s">
        <v>17759</v>
      </c>
      <c r="D104" s="1303" t="str">
        <f>IF(C104="SINAPI",VLOOKUP(B104,'20-A.SINAPI-I'!A:G,2,0),VLOOKUP(B104,'12.COT.MERCADO'!A:I,2,0))</f>
        <v>FERRAMENTAS - FAMILIA ELETRICISTA - HORISTA (ENCARGOS COMPLEMENTARES - COLETADO CAIXA)</v>
      </c>
      <c r="E104" s="1295" t="s">
        <v>18393</v>
      </c>
      <c r="F104" s="1296" t="str">
        <f>IF(C104="SINAPI",VLOOKUP(B104,'20-A.SINAPI-I'!A:G,3,0),VLOOKUP(B104,'12.COT.MERCADO'!A:I,7,0))</f>
        <v>H</v>
      </c>
      <c r="G104" s="1297">
        <v>344.1262418</v>
      </c>
      <c r="H104" s="1298">
        <f>IF(C104="SINAPI",VLOOKUP(B104,'20-A.SINAPI-I'!A:G,4,0),VLOOKUP(B104,'12.COT.MERCADO'!A:I,8,0))</f>
        <v>0.86</v>
      </c>
      <c r="I104" s="1298">
        <f>IF(E104="Mão de Obra",H104*(1+'7. BDI SERVIÇOS'!$K$5),H104*(1+'8. BDI MERO FORNECIMENTO'!$K$5))</f>
        <v>1.007347743</v>
      </c>
      <c r="J104" s="1298">
        <f t="shared" si="1"/>
        <v>295.9485679</v>
      </c>
      <c r="K104" s="1298">
        <f t="shared" si="2"/>
        <v>346.6547931</v>
      </c>
      <c r="L104" s="1299">
        <f t="shared" si="3"/>
        <v>0.001111711212</v>
      </c>
      <c r="M104" s="1300">
        <f t="shared" si="5"/>
        <v>0.6630626928</v>
      </c>
      <c r="N104" s="1301" t="str">
        <f t="shared" si="4"/>
        <v>A</v>
      </c>
    </row>
    <row r="105">
      <c r="A105" s="1291">
        <v>100.0</v>
      </c>
      <c r="B105" s="1292" t="s">
        <v>1914</v>
      </c>
      <c r="C105" s="1293" t="s">
        <v>1785</v>
      </c>
      <c r="D105" s="1294" t="str">
        <f>IF(C105="SINAPI",VLOOKUP(B105,'20-A.SINAPI-I'!A:G,2,0),VLOOKUP(B105,'12.COT.MERCADO'!A:I,2,0))</f>
        <v>REFLETOR HOLOFOTE DE LED 400W BRANCO FRIO IP67</v>
      </c>
      <c r="E105" s="1295" t="s">
        <v>18393</v>
      </c>
      <c r="F105" s="1296" t="str">
        <f>IF(C105="SINAPI",VLOOKUP(B105,'20-A.SINAPI-I'!A:G,3,0),VLOOKUP(B105,'12.COT.MERCADO'!A:I,7,0))</f>
        <v>UN</v>
      </c>
      <c r="G105" s="1297">
        <v>1.0</v>
      </c>
      <c r="H105" s="1298">
        <f>IF(C105="SINAPI",VLOOKUP(B105,'20-A.SINAPI-I'!A:G,4,0),VLOOKUP(B105,'12.COT.MERCADO'!A:I,8,0))</f>
        <v>284.05</v>
      </c>
      <c r="I105" s="1298">
        <f>IF(E105="Mão de Obra",H105*(1+'7. BDI SERVIÇOS'!$K$5),H105*(1+'8. BDI MERO FORNECIMENTO'!$K$5))</f>
        <v>332.7175889</v>
      </c>
      <c r="J105" s="1298">
        <f t="shared" si="1"/>
        <v>284.05</v>
      </c>
      <c r="K105" s="1298">
        <f t="shared" si="2"/>
        <v>332.7175889</v>
      </c>
      <c r="L105" s="1299">
        <f t="shared" si="3"/>
        <v>0.001067015029</v>
      </c>
      <c r="M105" s="1300">
        <f t="shared" si="5"/>
        <v>0.6641297078</v>
      </c>
      <c r="N105" s="1301" t="str">
        <f t="shared" si="4"/>
        <v>A</v>
      </c>
    </row>
    <row r="106">
      <c r="A106" s="1291">
        <v>91.0</v>
      </c>
      <c r="B106" s="1292">
        <v>39665.0</v>
      </c>
      <c r="C106" s="1293" t="s">
        <v>17759</v>
      </c>
      <c r="D106" s="1303" t="str">
        <f>IF(C106="SINAPI",VLOOKUP(B106,'20-A.SINAPI-I'!A:G,2,0),VLOOKUP(B106,'12.COT.MERCADO'!A:I,2,0))</f>
        <v>TUBO DE COBRE FLEXIVEL, D = 5/8 ", E = 0,79 MM, PARA AR-CONDICIONADO/ INSTALACOES GAS RESIDENCIAIS E COMERCIAIS</v>
      </c>
      <c r="E106" s="1295" t="s">
        <v>18393</v>
      </c>
      <c r="F106" s="1296" t="str">
        <f>IF(C106="SINAPI",VLOOKUP(B106,'20-A.SINAPI-I'!A:G,3,0),VLOOKUP(B106,'12.COT.MERCADO'!A:I,7,0))</f>
        <v>M</v>
      </c>
      <c r="G106" s="1297">
        <v>5.775</v>
      </c>
      <c r="H106" s="1298">
        <f>IF(C106="SINAPI",VLOOKUP(B106,'20-A.SINAPI-I'!A:G,4,0),VLOOKUP(B106,'12.COT.MERCADO'!A:I,8,0))</f>
        <v>49.38</v>
      </c>
      <c r="I106" s="1298">
        <f>IF(E106="Mão de Obra",H106*(1+'7. BDI SERVIÇOS'!$K$5),H106*(1+'8. BDI MERO FORNECIMENTO'!$K$5))</f>
        <v>57.84050181</v>
      </c>
      <c r="J106" s="1298">
        <f t="shared" si="1"/>
        <v>285.1695</v>
      </c>
      <c r="K106" s="1298">
        <f t="shared" si="2"/>
        <v>334.028898</v>
      </c>
      <c r="L106" s="1299">
        <f t="shared" si="3"/>
        <v>0.001071220357</v>
      </c>
      <c r="M106" s="1300">
        <f t="shared" si="5"/>
        <v>0.6652009282</v>
      </c>
      <c r="N106" s="1301" t="str">
        <f t="shared" si="4"/>
        <v>A</v>
      </c>
    </row>
    <row r="107">
      <c r="A107" s="1291">
        <v>104.0</v>
      </c>
      <c r="B107" s="1292">
        <v>3093.0</v>
      </c>
      <c r="C107" s="1293" t="s">
        <v>17759</v>
      </c>
      <c r="D107" s="1303" t="str">
        <f>IF(C107="SINAPI",VLOOKUP(B107,'20-A.SINAPI-I'!A:G,2,0),VLOOKUP(B107,'12.COT.MERCADO'!A:I,2,0))</f>
        <v>FECHADURA ROSETA REDONDA PARA PORTA INTERNA, EM ACO INOX (MAQUINA, TESTA E CONTRA-TESTA) E EM ZAMAC (MACANETA, LINGUETA E TRINCOS) COM ACABAMENTO CROMADO, MAQUINA DE 55 MM, INCLUINDO CHAVE TIPO INTERNA</v>
      </c>
      <c r="E107" s="1295" t="s">
        <v>18393</v>
      </c>
      <c r="F107" s="1296" t="str">
        <f>IF(C107="SINAPI",VLOOKUP(B107,'20-A.SINAPI-I'!A:G,3,0),VLOOKUP(B107,'12.COT.MERCADO'!A:I,7,0))</f>
        <v>CJ</v>
      </c>
      <c r="G107" s="1297">
        <v>2.33</v>
      </c>
      <c r="H107" s="1298">
        <f>IF(C107="SINAPI",VLOOKUP(B107,'20-A.SINAPI-I'!A:G,4,0),VLOOKUP(B107,'12.COT.MERCADO'!A:I,8,0))</f>
        <v>124.33</v>
      </c>
      <c r="I107" s="1298">
        <f>IF(E107="Mão de Obra",H107*(1+'7. BDI SERVIÇOS'!$K$5),H107*(1+'8. BDI MERO FORNECIMENTO'!$K$5))</f>
        <v>145.632029</v>
      </c>
      <c r="J107" s="1298">
        <f t="shared" si="1"/>
        <v>289.6889</v>
      </c>
      <c r="K107" s="1298">
        <f t="shared" si="2"/>
        <v>339.3226275</v>
      </c>
      <c r="L107" s="1299">
        <f t="shared" si="3"/>
        <v>0.001088197184</v>
      </c>
      <c r="M107" s="1300">
        <f t="shared" si="5"/>
        <v>0.6662891254</v>
      </c>
      <c r="N107" s="1301" t="str">
        <f t="shared" si="4"/>
        <v>A</v>
      </c>
    </row>
    <row r="108">
      <c r="A108" s="1291">
        <v>105.0</v>
      </c>
      <c r="B108" s="1292">
        <v>39374.0</v>
      </c>
      <c r="C108" s="1293" t="s">
        <v>17759</v>
      </c>
      <c r="D108" s="1303" t="str">
        <f>IF(C108="SINAPI",VLOOKUP(B108,'20-A.SINAPI-I'!A:G,2,0),VLOOKUP(B108,'12.COT.MERCADO'!A:I,2,0))</f>
        <v>REATOR INTERNO/INTEGRADO PARA LAMPADA VAPOR METALICO 400 W, ALTO FATOR DE POTENCIA</v>
      </c>
      <c r="E108" s="1295" t="s">
        <v>18397</v>
      </c>
      <c r="F108" s="1296" t="str">
        <f>IF(C108="SINAPI",VLOOKUP(B108,'20-A.SINAPI-I'!A:G,3,0),VLOOKUP(B108,'12.COT.MERCADO'!A:I,7,0))</f>
        <v>UN</v>
      </c>
      <c r="G108" s="1297">
        <v>2.33</v>
      </c>
      <c r="H108" s="1298">
        <f>IF(C108="SINAPI",VLOOKUP(B108,'20-A.SINAPI-I'!A:G,4,0),VLOOKUP(B108,'12.COT.MERCADO'!A:I,8,0))</f>
        <v>141.05</v>
      </c>
      <c r="I108" s="1298">
        <f>IF(E108="Mão de Obra",H108*(1+'7. BDI SERVIÇOS'!$K$5),H108*(1+'8. BDI MERO FORNECIMENTO'!$K$5))</f>
        <v>165.2167432</v>
      </c>
      <c r="J108" s="1298">
        <f t="shared" si="1"/>
        <v>328.6465</v>
      </c>
      <c r="K108" s="1298">
        <f t="shared" si="2"/>
        <v>384.9550117</v>
      </c>
      <c r="L108" s="1299">
        <f t="shared" si="3"/>
        <v>0.00123453883</v>
      </c>
      <c r="M108" s="1300">
        <f t="shared" si="5"/>
        <v>0.6675236642</v>
      </c>
      <c r="N108" s="1301" t="str">
        <f t="shared" si="4"/>
        <v>A</v>
      </c>
    </row>
    <row r="109">
      <c r="A109" s="1291">
        <v>106.0</v>
      </c>
      <c r="B109" s="1292">
        <v>10489.0</v>
      </c>
      <c r="C109" s="1293" t="s">
        <v>17759</v>
      </c>
      <c r="D109" s="1303" t="str">
        <f>IF(C109="SINAPI",VLOOKUP(B109,'20-A.SINAPI-I'!A:G,2,0),VLOOKUP(B109,'12.COT.MERCADO'!A:I,2,0))</f>
        <v>VIDRACEIRO (HORISTA)</v>
      </c>
      <c r="E109" s="1295" t="s">
        <v>18393</v>
      </c>
      <c r="F109" s="1296" t="str">
        <f>IF(C109="SINAPI",VLOOKUP(B109,'20-A.SINAPI-I'!A:G,3,0),VLOOKUP(B109,'12.COT.MERCADO'!A:I,7,0))</f>
        <v>H</v>
      </c>
      <c r="G109" s="1297">
        <v>11.775431</v>
      </c>
      <c r="H109" s="1298">
        <f>IF(C109="SINAPI",VLOOKUP(B109,'20-A.SINAPI-I'!A:G,4,0),VLOOKUP(B109,'12.COT.MERCADO'!A:I,8,0))</f>
        <v>21.12</v>
      </c>
      <c r="I109" s="1298">
        <f>IF(E109="Mão de Obra",H109*(1+'7. BDI SERVIÇOS'!$K$5),H109*(1+'8. BDI MERO FORNECIMENTO'!$K$5))</f>
        <v>24.73858644</v>
      </c>
      <c r="J109" s="1298">
        <f t="shared" si="1"/>
        <v>248.6971027</v>
      </c>
      <c r="K109" s="1298">
        <f t="shared" si="2"/>
        <v>291.3075176</v>
      </c>
      <c r="L109" s="1299">
        <f t="shared" si="3"/>
        <v>0.0009342142097</v>
      </c>
      <c r="M109" s="1300">
        <f t="shared" si="5"/>
        <v>0.6684578784</v>
      </c>
      <c r="N109" s="1301" t="str">
        <f t="shared" si="4"/>
        <v>A</v>
      </c>
    </row>
    <row r="110">
      <c r="A110" s="1291">
        <v>99.0</v>
      </c>
      <c r="B110" s="1292" t="s">
        <v>1887</v>
      </c>
      <c r="C110" s="1293" t="s">
        <v>1785</v>
      </c>
      <c r="D110" s="1294" t="str">
        <f>IF(C110="SINAPI",VLOOKUP(B110,'20-A.SINAPI-I'!A:G,2,0),VLOOKUP(B110,'12.COT.MERCADO'!A:I,2,0))</f>
        <v>LIXEIXA INDIVIDUAL, EM PLÁSTIVO POLIPROPILENO (PP) COM PROTEÇÃO UV, PARA COLETA SELETIVA 50L COM POSTE </v>
      </c>
      <c r="E110" s="1295" t="s">
        <v>18396</v>
      </c>
      <c r="F110" s="1296" t="str">
        <f>IF(C110="SINAPI",VLOOKUP(B110,'20-A.SINAPI-I'!A:G,3,0),VLOOKUP(B110,'12.COT.MERCADO'!A:I,7,0))</f>
        <v>UN</v>
      </c>
      <c r="G110" s="1297">
        <v>1.33</v>
      </c>
      <c r="H110" s="1298">
        <f>IF(C110="SINAPI",VLOOKUP(B110,'20-A.SINAPI-I'!A:G,4,0),VLOOKUP(B110,'12.COT.MERCADO'!A:I,8,0))</f>
        <v>200.43</v>
      </c>
      <c r="I110" s="1298">
        <f>IF(E110="Mão de Obra",H110*(1+'7. BDI SERVIÇOS'!$K$5),H110*(1+'8. BDI MERO FORNECIMENTO'!$K$5))</f>
        <v>234.7705909</v>
      </c>
      <c r="J110" s="1298">
        <f t="shared" si="1"/>
        <v>266.5719</v>
      </c>
      <c r="K110" s="1298">
        <f t="shared" si="2"/>
        <v>312.2448859</v>
      </c>
      <c r="L110" s="1299">
        <f t="shared" si="3"/>
        <v>0.001001359703</v>
      </c>
      <c r="M110" s="1300">
        <f t="shared" si="5"/>
        <v>0.6694592381</v>
      </c>
      <c r="N110" s="1301" t="str">
        <f t="shared" si="4"/>
        <v>A</v>
      </c>
    </row>
    <row r="111">
      <c r="A111" s="1291">
        <v>108.0</v>
      </c>
      <c r="B111" s="1292">
        <v>20259.0</v>
      </c>
      <c r="C111" s="1293" t="s">
        <v>17759</v>
      </c>
      <c r="D111" s="1303" t="str">
        <f>IF(C111="SINAPI",VLOOKUP(B111,'20-A.SINAPI-I'!A:G,2,0),VLOOKUP(B111,'12.COT.MERCADO'!A:I,2,0))</f>
        <v>PERFIL DE BORRACHA EPDM MACICO *12 X 15* MM PARA ESQUADRIAS</v>
      </c>
      <c r="E111" s="1295" t="s">
        <v>18393</v>
      </c>
      <c r="F111" s="1296" t="str">
        <f>IF(C111="SINAPI",VLOOKUP(B111,'20-A.SINAPI-I'!A:G,3,0),VLOOKUP(B111,'12.COT.MERCADO'!A:I,7,0))</f>
        <v>M</v>
      </c>
      <c r="G111" s="1297">
        <v>9.49129</v>
      </c>
      <c r="H111" s="1298">
        <f>IF(C111="SINAPI",VLOOKUP(B111,'20-A.SINAPI-I'!A:G,4,0),VLOOKUP(B111,'12.COT.MERCADO'!A:I,8,0))</f>
        <v>20.5</v>
      </c>
      <c r="I111" s="1298">
        <f>IF(E111="Mão de Obra",H111*(1+'7. BDI SERVIÇOS'!$K$5),H111*(1+'8. BDI MERO FORNECIMENTO'!$K$5))</f>
        <v>24.012359</v>
      </c>
      <c r="J111" s="1298">
        <f t="shared" si="1"/>
        <v>194.571445</v>
      </c>
      <c r="K111" s="1298">
        <f t="shared" si="2"/>
        <v>227.9082628</v>
      </c>
      <c r="L111" s="1299">
        <f t="shared" si="3"/>
        <v>0.0007308947581</v>
      </c>
      <c r="M111" s="1300">
        <f t="shared" si="5"/>
        <v>0.6701901329</v>
      </c>
      <c r="N111" s="1301" t="str">
        <f t="shared" si="4"/>
        <v>A</v>
      </c>
    </row>
    <row r="112">
      <c r="A112" s="1291">
        <v>109.0</v>
      </c>
      <c r="B112" s="1292">
        <v>43465.0</v>
      </c>
      <c r="C112" s="1293" t="s">
        <v>17759</v>
      </c>
      <c r="D112" s="1303" t="str">
        <f>IF(C112="SINAPI",VLOOKUP(B112,'20-A.SINAPI-I'!A:G,2,0),VLOOKUP(B112,'12.COT.MERCADO'!A:I,2,0))</f>
        <v>FERRAMENTAS - FAMILIA PEDREIRO - HORISTA (ENCARGOS COMPLEMENTARES - COLETADO CAIXA)</v>
      </c>
      <c r="E112" s="1295" t="s">
        <v>18393</v>
      </c>
      <c r="F112" s="1296" t="str">
        <f>IF(C112="SINAPI",VLOOKUP(B112,'20-A.SINAPI-I'!A:G,3,0),VLOOKUP(B112,'12.COT.MERCADO'!A:I,7,0))</f>
        <v>H</v>
      </c>
      <c r="G112" s="1297">
        <v>298.8626174</v>
      </c>
      <c r="H112" s="1298">
        <f>IF(C112="SINAPI",VLOOKUP(B112,'20-A.SINAPI-I'!A:G,4,0),VLOOKUP(B112,'12.COT.MERCADO'!A:I,8,0))</f>
        <v>0.84</v>
      </c>
      <c r="I112" s="1298">
        <f>IF(E112="Mão de Obra",H112*(1+'7. BDI SERVIÇOS'!$K$5),H112*(1+'8. BDI MERO FORNECIMENTO'!$K$5))</f>
        <v>0.9839210515</v>
      </c>
      <c r="J112" s="1298">
        <f t="shared" si="1"/>
        <v>251.0445986</v>
      </c>
      <c r="K112" s="1298">
        <f t="shared" si="2"/>
        <v>294.0572208</v>
      </c>
      <c r="L112" s="1299">
        <f t="shared" si="3"/>
        <v>0.0009430324227</v>
      </c>
      <c r="M112" s="1300">
        <f t="shared" si="5"/>
        <v>0.6711331653</v>
      </c>
      <c r="N112" s="1301" t="str">
        <f t="shared" si="4"/>
        <v>A</v>
      </c>
    </row>
    <row r="113">
      <c r="A113" s="1291">
        <v>110.0</v>
      </c>
      <c r="B113" s="1292">
        <v>11186.0</v>
      </c>
      <c r="C113" s="1293" t="s">
        <v>17759</v>
      </c>
      <c r="D113" s="1303" t="str">
        <f>IF(C113="SINAPI",VLOOKUP(B113,'20-A.SINAPI-I'!A:G,2,0),VLOOKUP(B113,'12.COT.MERCADO'!A:I,2,0))</f>
        <v>ESPELHO CRISTAL E = 4 MM</v>
      </c>
      <c r="E113" s="1295" t="s">
        <v>18393</v>
      </c>
      <c r="F113" s="1296" t="str">
        <f>IF(C113="SINAPI",VLOOKUP(B113,'20-A.SINAPI-I'!A:G,3,0),VLOOKUP(B113,'12.COT.MERCADO'!A:I,7,0))</f>
        <v>M2</v>
      </c>
      <c r="G113" s="1297">
        <v>0.67</v>
      </c>
      <c r="H113" s="1298">
        <f>IF(C113="SINAPI",VLOOKUP(B113,'20-A.SINAPI-I'!A:G,4,0),VLOOKUP(B113,'12.COT.MERCADO'!A:I,8,0))</f>
        <v>394.16</v>
      </c>
      <c r="I113" s="1298">
        <f>IF(E113="Mão de Obra",H113*(1+'7. BDI SERVIÇOS'!$K$5),H113*(1+'8. BDI MERO FORNECIMENTO'!$K$5))</f>
        <v>461.6932401</v>
      </c>
      <c r="J113" s="1298">
        <f t="shared" si="1"/>
        <v>264.0872</v>
      </c>
      <c r="K113" s="1298">
        <f t="shared" si="2"/>
        <v>309.3344709</v>
      </c>
      <c r="L113" s="1299">
        <f t="shared" si="3"/>
        <v>0.0009920260918</v>
      </c>
      <c r="M113" s="1300">
        <f t="shared" si="5"/>
        <v>0.6721251914</v>
      </c>
      <c r="N113" s="1301" t="str">
        <f t="shared" si="4"/>
        <v>A</v>
      </c>
    </row>
    <row r="114">
      <c r="A114" s="1291">
        <v>107.0</v>
      </c>
      <c r="B114" s="1292">
        <v>10491.0</v>
      </c>
      <c r="C114" s="1293" t="s">
        <v>17759</v>
      </c>
      <c r="D114" s="1303" t="str">
        <f>IF(C114="SINAPI",VLOOKUP(B114,'20-A.SINAPI-I'!A:G,2,0),VLOOKUP(B114,'12.COT.MERCADO'!A:I,2,0))</f>
        <v>VIDRO LISO INCOLOR 6 MM - SEM COLOCACAO</v>
      </c>
      <c r="E114" s="1295" t="s">
        <v>18393</v>
      </c>
      <c r="F114" s="1296" t="str">
        <f>IF(C114="SINAPI",VLOOKUP(B114,'20-A.SINAPI-I'!A:G,3,0),VLOOKUP(B114,'12.COT.MERCADO'!A:I,7,0))</f>
        <v>M2</v>
      </c>
      <c r="G114" s="1297">
        <v>1.33</v>
      </c>
      <c r="H114" s="1298">
        <f>IF(C114="SINAPI",VLOOKUP(B114,'20-A.SINAPI-I'!A:G,4,0),VLOOKUP(B114,'12.COT.MERCADO'!A:I,8,0))</f>
        <v>194.79</v>
      </c>
      <c r="I114" s="1298">
        <f>IF(E114="Mão de Obra",H114*(1+'7. BDI SERVIÇOS'!$K$5),H114*(1+'8. BDI MERO FORNECIMENTO'!$K$5))</f>
        <v>228.1642638</v>
      </c>
      <c r="J114" s="1298">
        <f t="shared" si="1"/>
        <v>259.0707</v>
      </c>
      <c r="K114" s="1298">
        <f t="shared" si="2"/>
        <v>303.4584709</v>
      </c>
      <c r="L114" s="1299">
        <f t="shared" si="3"/>
        <v>0.0009731819415</v>
      </c>
      <c r="M114" s="1300">
        <f t="shared" si="5"/>
        <v>0.6730983733</v>
      </c>
      <c r="N114" s="1301" t="str">
        <f t="shared" si="4"/>
        <v>A</v>
      </c>
    </row>
    <row r="115">
      <c r="A115" s="1291">
        <v>117.0</v>
      </c>
      <c r="B115" s="1292" t="s">
        <v>1789</v>
      </c>
      <c r="C115" s="1293" t="s">
        <v>1785</v>
      </c>
      <c r="D115" s="1294" t="str">
        <f>IF(C115="SINAPI",VLOOKUP(B115,'20-A.SINAPI-I'!A:G,2,0),VLOOKUP(B115,'12.COT.MERCADO'!A:I,2,0))</f>
        <v>Suporte de parede fixo para TV e Monitor Sumay Sm- Spf3280 de 32 à 80 Polegadas</v>
      </c>
      <c r="E115" s="1295" t="s">
        <v>18394</v>
      </c>
      <c r="F115" s="1296" t="str">
        <f>IF(C115="SINAPI",VLOOKUP(B115,'20-A.SINAPI-I'!A:G,3,0),VLOOKUP(B115,'12.COT.MERCADO'!A:I,7,0))</f>
        <v>UN</v>
      </c>
      <c r="G115" s="1297">
        <v>2.33</v>
      </c>
      <c r="H115" s="1298">
        <f>IF(C115="SINAPI",VLOOKUP(B115,'20-A.SINAPI-I'!A:G,4,0),VLOOKUP(B115,'12.COT.MERCADO'!A:I,8,0))</f>
        <v>177.06</v>
      </c>
      <c r="I115" s="1298">
        <f>IF(E115="Mão de Obra",H115*(1+'7. BDI SERVIÇOS'!$K$5),H115*(1+'8. BDI MERO FORNECIMENTO'!$K$5))</f>
        <v>207.8548011</v>
      </c>
      <c r="J115" s="1298">
        <f t="shared" si="1"/>
        <v>412.5498</v>
      </c>
      <c r="K115" s="1298">
        <f t="shared" si="2"/>
        <v>484.3016865</v>
      </c>
      <c r="L115" s="1299">
        <f t="shared" si="3"/>
        <v>0.001553140547</v>
      </c>
      <c r="M115" s="1300">
        <f t="shared" si="5"/>
        <v>0.6746515139</v>
      </c>
      <c r="N115" s="1301" t="str">
        <f t="shared" si="4"/>
        <v>A</v>
      </c>
    </row>
    <row r="116">
      <c r="A116" s="1291">
        <v>111.0</v>
      </c>
      <c r="B116" s="1292" t="s">
        <v>1846</v>
      </c>
      <c r="C116" s="1293" t="s">
        <v>1785</v>
      </c>
      <c r="D116" s="1294" t="str">
        <f>IF(C116="SINAPI",VLOOKUP(B116,'20-A.SINAPI-I'!A:G,2,0),VLOOKUP(B116,'12.COT.MERCADO'!A:I,2,0))</f>
        <v>Placa Central De Comando Universal X2 Full ST IPEC Para Automatizadores</v>
      </c>
      <c r="E116" s="1295" t="s">
        <v>18393</v>
      </c>
      <c r="F116" s="1296" t="str">
        <f>IF(C116="SINAPI",VLOOKUP(B116,'20-A.SINAPI-I'!A:G,3,0),VLOOKUP(B116,'12.COT.MERCADO'!A:I,7,0))</f>
        <v>UN</v>
      </c>
      <c r="G116" s="1297">
        <v>3.33</v>
      </c>
      <c r="H116" s="1298">
        <f>IF(C116="SINAPI",VLOOKUP(B116,'20-A.SINAPI-I'!A:G,4,0),VLOOKUP(B116,'12.COT.MERCADO'!A:I,8,0))</f>
        <v>66.41</v>
      </c>
      <c r="I116" s="1298">
        <f>IF(E116="Mão de Obra",H116*(1+'7. BDI SERVIÇOS'!$K$5),H116*(1+'8. BDI MERO FORNECIMENTO'!$K$5))</f>
        <v>77.7883298</v>
      </c>
      <c r="J116" s="1298">
        <f t="shared" si="1"/>
        <v>221.1453</v>
      </c>
      <c r="K116" s="1298">
        <f t="shared" si="2"/>
        <v>259.0351382</v>
      </c>
      <c r="L116" s="1299">
        <f t="shared" si="3"/>
        <v>0.0008307176859</v>
      </c>
      <c r="M116" s="1300">
        <f t="shared" si="5"/>
        <v>0.6754822316</v>
      </c>
      <c r="N116" s="1301" t="str">
        <f t="shared" si="4"/>
        <v>A</v>
      </c>
    </row>
    <row r="117">
      <c r="A117" s="1291">
        <v>112.0</v>
      </c>
      <c r="B117" s="1292">
        <v>44476.0</v>
      </c>
      <c r="C117" s="1293" t="s">
        <v>17759</v>
      </c>
      <c r="D117" s="1303" t="str">
        <f>IF(C117="SINAPI",VLOOKUP(B117,'20-A.SINAPI-I'!A:G,2,0),VLOOKUP(B117,'12.COT.MERCADO'!A:I,2,0))</f>
        <v>DIVISORIA EM GRANITO, COM DUAS FACES POLIDAS, TIPO ANDORINHA/ QUARTZ/ CASTELO/ CORUMBA OU OUTROS EQUIVALENTES DA REGIAO, E=  *3,0*  CM</v>
      </c>
      <c r="E117" s="1295" t="s">
        <v>18397</v>
      </c>
      <c r="F117" s="1296" t="str">
        <f>IF(C117="SINAPI",VLOOKUP(B117,'20-A.SINAPI-I'!A:G,3,0),VLOOKUP(B117,'12.COT.MERCADO'!A:I,7,0))</f>
        <v>M2</v>
      </c>
      <c r="G117" s="1297">
        <v>0.33</v>
      </c>
      <c r="H117" s="1298">
        <f>IF(C117="SINAPI",VLOOKUP(B117,'20-A.SINAPI-I'!A:G,4,0),VLOOKUP(B117,'12.COT.MERCADO'!A:I,8,0))</f>
        <v>669.18</v>
      </c>
      <c r="I117" s="1298">
        <f>IF(E117="Mão de Obra",H117*(1+'7. BDI SERVIÇOS'!$K$5),H117*(1+'8. BDI MERO FORNECIMENTO'!$K$5))</f>
        <v>783.8336777</v>
      </c>
      <c r="J117" s="1298">
        <f t="shared" si="1"/>
        <v>220.8294</v>
      </c>
      <c r="K117" s="1298">
        <f t="shared" si="2"/>
        <v>258.6651136</v>
      </c>
      <c r="L117" s="1299">
        <f t="shared" si="3"/>
        <v>0.0008295310285</v>
      </c>
      <c r="M117" s="1300">
        <f t="shared" si="5"/>
        <v>0.6763117626</v>
      </c>
      <c r="N117" s="1301" t="str">
        <f t="shared" si="4"/>
        <v>A</v>
      </c>
    </row>
    <row r="118">
      <c r="A118" s="1291">
        <v>113.0</v>
      </c>
      <c r="B118" s="1292">
        <v>4096.0</v>
      </c>
      <c r="C118" s="1293" t="s">
        <v>17759</v>
      </c>
      <c r="D118" s="1303" t="str">
        <f>IF(C118="SINAPI",VLOOKUP(B118,'20-A.SINAPI-I'!A:G,2,0),VLOOKUP(B118,'12.COT.MERCADO'!A:I,2,0))</f>
        <v>MOTORISTA OPERADOR DE CAMINHAO COM MUNCK (HORISTA)</v>
      </c>
      <c r="E118" s="1295" t="s">
        <v>18393</v>
      </c>
      <c r="F118" s="1296" t="str">
        <f>IF(C118="SINAPI",VLOOKUP(B118,'20-A.SINAPI-I'!A:G,3,0),VLOOKUP(B118,'12.COT.MERCADO'!A:I,7,0))</f>
        <v>H</v>
      </c>
      <c r="G118" s="1297">
        <v>10.0191333</v>
      </c>
      <c r="H118" s="1298">
        <f>IF(C118="SINAPI",VLOOKUP(B118,'20-A.SINAPI-I'!A:G,4,0),VLOOKUP(B118,'12.COT.MERCADO'!A:I,8,0))</f>
        <v>23.89</v>
      </c>
      <c r="I118" s="1298">
        <f>IF(E118="Mão de Obra",H118*(1+'7. BDI SERVIÇOS'!$K$5),H118*(1+'8. BDI MERO FORNECIMENTO'!$K$5))</f>
        <v>27.98318324</v>
      </c>
      <c r="J118" s="1298">
        <f t="shared" si="1"/>
        <v>239.3570945</v>
      </c>
      <c r="K118" s="1298">
        <f t="shared" si="2"/>
        <v>280.367243</v>
      </c>
      <c r="L118" s="1299">
        <f t="shared" si="3"/>
        <v>0.000899129087</v>
      </c>
      <c r="M118" s="1300">
        <f t="shared" si="5"/>
        <v>0.6772108917</v>
      </c>
      <c r="N118" s="1301" t="str">
        <f t="shared" si="4"/>
        <v>A</v>
      </c>
    </row>
    <row r="119">
      <c r="A119" s="1291">
        <v>101.0</v>
      </c>
      <c r="B119" s="1292">
        <v>43059.0</v>
      </c>
      <c r="C119" s="1293" t="s">
        <v>17759</v>
      </c>
      <c r="D119" s="1303" t="str">
        <f>IF(C119="SINAPI",VLOOKUP(B119,'20-A.SINAPI-I'!A:G,2,0),VLOOKUP(B119,'12.COT.MERCADO'!A:I,2,0))</f>
        <v>ACO CA-60, 4,2 MM, OU 5,0 MM, OU 6,0 MM, OU 7,0 MM, VERGALHAO</v>
      </c>
      <c r="E119" s="1295" t="s">
        <v>18393</v>
      </c>
      <c r="F119" s="1296" t="str">
        <f>IF(C119="SINAPI",VLOOKUP(B119,'20-A.SINAPI-I'!A:G,3,0),VLOOKUP(B119,'12.COT.MERCADO'!A:I,7,0))</f>
        <v>KG</v>
      </c>
      <c r="G119" s="1297">
        <v>27.7666339</v>
      </c>
      <c r="H119" s="1298">
        <f>IF(C119="SINAPI",VLOOKUP(B119,'20-A.SINAPI-I'!A:G,4,0),VLOOKUP(B119,'12.COT.MERCADO'!A:I,8,0))</f>
        <v>7.6</v>
      </c>
      <c r="I119" s="1298">
        <f>IF(E119="Mão de Obra",H119*(1+'7. BDI SERVIÇOS'!$K$5),H119*(1+'8. BDI MERO FORNECIMENTO'!$K$5))</f>
        <v>8.902142847</v>
      </c>
      <c r="J119" s="1298">
        <f t="shared" si="1"/>
        <v>211.0264176</v>
      </c>
      <c r="K119" s="1298">
        <f t="shared" si="2"/>
        <v>247.1825414</v>
      </c>
      <c r="L119" s="1299">
        <f t="shared" si="3"/>
        <v>0.0007927067739</v>
      </c>
      <c r="M119" s="1300">
        <f t="shared" si="5"/>
        <v>0.6780035985</v>
      </c>
      <c r="N119" s="1301" t="str">
        <f t="shared" si="4"/>
        <v>A</v>
      </c>
    </row>
    <row r="120">
      <c r="A120" s="1291">
        <v>121.0</v>
      </c>
      <c r="B120" s="1292">
        <v>4922.0</v>
      </c>
      <c r="C120" s="1293" t="s">
        <v>17759</v>
      </c>
      <c r="D120" s="1303" t="str">
        <f>IF(C120="SINAPI",VLOOKUP(B120,'20-A.SINAPI-I'!A:G,2,0),VLOOKUP(B120,'12.COT.MERCADO'!A:I,2,0))</f>
        <v>PORTA DE CORRER EM ALUMINIO, DUAS FOLHAS MOVEIS COM VIDRO, FECHADURA E PUXADOR EMBUTIDO, ACABAMENTO ANODIZADO NATURAL, SEM GUARNICAO/ALIZAR/VISTA</v>
      </c>
      <c r="E120" s="1295" t="s">
        <v>18394</v>
      </c>
      <c r="F120" s="1296" t="str">
        <f>IF(C120="SINAPI",VLOOKUP(B120,'20-A.SINAPI-I'!A:G,3,0),VLOOKUP(B120,'12.COT.MERCADO'!A:I,7,0))</f>
        <v>M2</v>
      </c>
      <c r="G120" s="1297">
        <v>0.33</v>
      </c>
      <c r="H120" s="1298">
        <f>IF(C120="SINAPI",VLOOKUP(B120,'20-A.SINAPI-I'!A:G,4,0),VLOOKUP(B120,'12.COT.MERCADO'!A:I,8,0))</f>
        <v>712.59</v>
      </c>
      <c r="I120" s="1298">
        <f>IF(E120="Mão de Obra",H120*(1+'7. BDI SERVIÇOS'!$K$5),H120*(1+'8. BDI MERO FORNECIMENTO'!$K$5))</f>
        <v>836.5257692</v>
      </c>
      <c r="J120" s="1298">
        <f t="shared" si="1"/>
        <v>235.1547</v>
      </c>
      <c r="K120" s="1298">
        <f t="shared" si="2"/>
        <v>276.0535038</v>
      </c>
      <c r="L120" s="1299">
        <f t="shared" si="3"/>
        <v>0.0008852950587</v>
      </c>
      <c r="M120" s="1300">
        <f t="shared" si="5"/>
        <v>0.6788888935</v>
      </c>
      <c r="N120" s="1301" t="str">
        <f t="shared" si="4"/>
        <v>A</v>
      </c>
    </row>
    <row r="121">
      <c r="A121" s="1291">
        <v>114.0</v>
      </c>
      <c r="B121" s="1292">
        <v>21029.0</v>
      </c>
      <c r="C121" s="1293" t="s">
        <v>17759</v>
      </c>
      <c r="D121" s="1303" t="str">
        <f>IF(C121="SINAPI",VLOOKUP(B121,'20-A.SINAPI-I'!A:G,2,0),VLOOKUP(B121,'12.COT.MERCADO'!A:I,2,0))</f>
        <v>MANGUEIRA DE INCENDIO, TIPO 1, DE 1 1/2", COMPRIMENTO = 15 M, TECIDO EM FIO DE POLIESTER E TUBO INTERNO EM BORRACHA SINTETICA, COM UNIOES ENGATE RAPIDO</v>
      </c>
      <c r="E121" s="1295" t="s">
        <v>18393</v>
      </c>
      <c r="F121" s="1296" t="str">
        <f>IF(C121="SINAPI",VLOOKUP(B121,'20-A.SINAPI-I'!A:G,3,0),VLOOKUP(B121,'12.COT.MERCADO'!A:I,7,0))</f>
        <v>UN</v>
      </c>
      <c r="G121" s="1297">
        <v>0.67</v>
      </c>
      <c r="H121" s="1298">
        <f>IF(C121="SINAPI",VLOOKUP(B121,'20-A.SINAPI-I'!A:G,4,0),VLOOKUP(B121,'12.COT.MERCADO'!A:I,8,0))</f>
        <v>295</v>
      </c>
      <c r="I121" s="1298">
        <f>IF(E121="Mão de Obra",H121*(1+'7. BDI SERVIÇOS'!$K$5),H121*(1+'8. BDI MERO FORNECIMENTO'!$K$5))</f>
        <v>345.5437026</v>
      </c>
      <c r="J121" s="1298">
        <f t="shared" si="1"/>
        <v>197.65</v>
      </c>
      <c r="K121" s="1298">
        <f t="shared" si="2"/>
        <v>231.5142808</v>
      </c>
      <c r="L121" s="1299">
        <f t="shared" si="3"/>
        <v>0.0007424591462</v>
      </c>
      <c r="M121" s="1300">
        <f t="shared" si="5"/>
        <v>0.6796313527</v>
      </c>
      <c r="N121" s="1301" t="str">
        <f t="shared" si="4"/>
        <v>A</v>
      </c>
    </row>
    <row r="122">
      <c r="A122" s="1291">
        <v>129.0</v>
      </c>
      <c r="B122" s="1292">
        <v>12868.0</v>
      </c>
      <c r="C122" s="1293" t="s">
        <v>17759</v>
      </c>
      <c r="D122" s="1303" t="str">
        <f>IF(C122="SINAPI",VLOOKUP(B122,'20-A.SINAPI-I'!A:G,2,0),VLOOKUP(B122,'12.COT.MERCADO'!A:I,2,0))</f>
        <v>MARCENEIRO (HORISTA)</v>
      </c>
      <c r="E122" s="1295" t="s">
        <v>18393</v>
      </c>
      <c r="F122" s="1296" t="str">
        <f>IF(C122="SINAPI",VLOOKUP(B122,'20-A.SINAPI-I'!A:G,3,0),VLOOKUP(B122,'12.COT.MERCADO'!A:I,7,0))</f>
        <v>H</v>
      </c>
      <c r="G122" s="1297">
        <v>10.1418</v>
      </c>
      <c r="H122" s="1298">
        <f>IF(C122="SINAPI",VLOOKUP(B122,'20-A.SINAPI-I'!A:G,4,0),VLOOKUP(B122,'12.COT.MERCADO'!A:I,8,0))</f>
        <v>19.08</v>
      </c>
      <c r="I122" s="1298">
        <f>IF(E122="Mão de Obra",H122*(1+'7. BDI SERVIÇOS'!$K$5),H122*(1+'8. BDI MERO FORNECIMENTO'!$K$5))</f>
        <v>22.34906388</v>
      </c>
      <c r="J122" s="1298">
        <f t="shared" si="1"/>
        <v>193.505544</v>
      </c>
      <c r="K122" s="1298">
        <f t="shared" si="2"/>
        <v>226.6597361</v>
      </c>
      <c r="L122" s="1299">
        <f t="shared" si="3"/>
        <v>0.0007268907715</v>
      </c>
      <c r="M122" s="1300">
        <f t="shared" si="5"/>
        <v>0.6803582434</v>
      </c>
      <c r="N122" s="1301" t="str">
        <f t="shared" si="4"/>
        <v>A</v>
      </c>
    </row>
    <row r="123">
      <c r="A123" s="1291">
        <v>115.0</v>
      </c>
      <c r="B123" s="1292">
        <v>3811.0</v>
      </c>
      <c r="C123" s="1293" t="s">
        <v>17759</v>
      </c>
      <c r="D123" s="1303" t="str">
        <f>IF(C123="SINAPI",VLOOKUP(B123,'20-A.SINAPI-I'!A:G,2,0),VLOOKUP(B123,'12.COT.MERCADO'!A:I,2,0))</f>
        <v>LUMINARIA DE SOBREPOR EM CHAPA DE ACO PARA 2 LAMPADAS FLUORESCENTES DE *18* W, ALETADA, COMPLETA (LAMPADAS E REATOR INCLUSOS)</v>
      </c>
      <c r="E123" s="1295" t="s">
        <v>18393</v>
      </c>
      <c r="F123" s="1296" t="str">
        <f>IF(C123="SINAPI",VLOOKUP(B123,'20-A.SINAPI-I'!A:G,3,0),VLOOKUP(B123,'12.COT.MERCADO'!A:I,7,0))</f>
        <v>UN</v>
      </c>
      <c r="G123" s="1297">
        <v>1.67</v>
      </c>
      <c r="H123" s="1298">
        <f>IF(C123="SINAPI",VLOOKUP(B123,'20-A.SINAPI-I'!A:G,4,0),VLOOKUP(B123,'12.COT.MERCADO'!A:I,8,0))</f>
        <v>93.46</v>
      </c>
      <c r="I123" s="1298">
        <f>IF(E123="Mão de Obra",H123*(1+'7. BDI SERVIÇOS'!$K$5),H123*(1+'8. BDI MERO FORNECIMENTO'!$K$5))</f>
        <v>109.4729303</v>
      </c>
      <c r="J123" s="1298">
        <f t="shared" si="1"/>
        <v>156.0782</v>
      </c>
      <c r="K123" s="1298">
        <f t="shared" si="2"/>
        <v>182.8197936</v>
      </c>
      <c r="L123" s="1299">
        <f t="shared" si="3"/>
        <v>0.0005862974304</v>
      </c>
      <c r="M123" s="1300">
        <f t="shared" si="5"/>
        <v>0.6809445409</v>
      </c>
      <c r="N123" s="1301" t="str">
        <f t="shared" si="4"/>
        <v>A</v>
      </c>
    </row>
    <row r="124">
      <c r="A124" s="1291">
        <v>118.0</v>
      </c>
      <c r="B124" s="1292">
        <v>1014.0</v>
      </c>
      <c r="C124" s="1293" t="s">
        <v>17759</v>
      </c>
      <c r="D124" s="1303" t="str">
        <f>IF(C124="SINAPI",VLOOKUP(B124,'20-A.SINAPI-I'!A:G,2,0),VLOOKUP(B124,'12.COT.MERCADO'!A:I,2,0))</f>
        <v>CABO DE COBRE, FLEXIVEL, CLASSE 4 OU 5, ISOLACAO EM PVC/A, ANTICHAMA BWF-B, 1 CONDUTOR, 450/750 V, SECAO NOMINAL 2,5 MM2</v>
      </c>
      <c r="E124" s="1295" t="s">
        <v>18393</v>
      </c>
      <c r="F124" s="1296" t="str">
        <f>IF(C124="SINAPI",VLOOKUP(B124,'20-A.SINAPI-I'!A:G,3,0),VLOOKUP(B124,'12.COT.MERCADO'!A:I,7,0))</f>
        <v>M</v>
      </c>
      <c r="G124" s="1297">
        <v>95.3716587</v>
      </c>
      <c r="H124" s="1298">
        <f>IF(C124="SINAPI",VLOOKUP(B124,'20-A.SINAPI-I'!A:G,4,0),VLOOKUP(B124,'12.COT.MERCADO'!A:I,8,0))</f>
        <v>2.16</v>
      </c>
      <c r="I124" s="1298">
        <f>IF(E124="Mão de Obra",H124*(1+'7. BDI SERVIÇOS'!$K$5),H124*(1+'8. BDI MERO FORNECIMENTO'!$K$5))</f>
        <v>2.530082704</v>
      </c>
      <c r="J124" s="1298">
        <f t="shared" si="1"/>
        <v>206.0027828</v>
      </c>
      <c r="K124" s="1298">
        <f t="shared" si="2"/>
        <v>241.2981841</v>
      </c>
      <c r="L124" s="1299">
        <f t="shared" si="3"/>
        <v>0.000773835822</v>
      </c>
      <c r="M124" s="1300">
        <f t="shared" si="5"/>
        <v>0.6817183767</v>
      </c>
      <c r="N124" s="1301" t="str">
        <f t="shared" si="4"/>
        <v>A</v>
      </c>
    </row>
    <row r="125">
      <c r="A125" s="1291">
        <v>119.0</v>
      </c>
      <c r="B125" s="1292">
        <v>38140.0</v>
      </c>
      <c r="C125" s="1293" t="s">
        <v>17759</v>
      </c>
      <c r="D125" s="1303" t="str">
        <f>IF(C125="SINAPI",VLOOKUP(B125,'20-A.SINAPI-I'!A:G,2,0),VLOOKUP(B125,'12.COT.MERCADO'!A:I,2,0))</f>
        <v>DISCO DE CORTE DIAMANTADO SEGMENTADO PARA CONCRETO, DIAMETRO DE 110 MM, FURO DE 20 MM</v>
      </c>
      <c r="E125" s="1295" t="s">
        <v>18393</v>
      </c>
      <c r="F125" s="1296" t="str">
        <f>IF(C125="SINAPI",VLOOKUP(B125,'20-A.SINAPI-I'!A:G,3,0),VLOOKUP(B125,'12.COT.MERCADO'!A:I,7,0))</f>
        <v>UN</v>
      </c>
      <c r="G125" s="1297">
        <v>7.67</v>
      </c>
      <c r="H125" s="1298">
        <f>IF(C125="SINAPI",VLOOKUP(B125,'20-A.SINAPI-I'!A:G,4,0),VLOOKUP(B125,'12.COT.MERCADO'!A:I,8,0))</f>
        <v>28.59</v>
      </c>
      <c r="I125" s="1298">
        <f>IF(E125="Mão de Obra",H125*(1+'7. BDI SERVIÇOS'!$K$5),H125*(1+'8. BDI MERO FORNECIMENTO'!$K$5))</f>
        <v>33.48845579</v>
      </c>
      <c r="J125" s="1298">
        <f t="shared" si="1"/>
        <v>219.2853</v>
      </c>
      <c r="K125" s="1298">
        <f t="shared" si="2"/>
        <v>256.8564559</v>
      </c>
      <c r="L125" s="1299">
        <f t="shared" si="3"/>
        <v>0.000823730719</v>
      </c>
      <c r="M125" s="1300">
        <f t="shared" si="5"/>
        <v>0.6825421074</v>
      </c>
      <c r="N125" s="1301" t="str">
        <f t="shared" si="4"/>
        <v>A</v>
      </c>
    </row>
    <row r="126">
      <c r="A126" s="1291">
        <v>122.0</v>
      </c>
      <c r="B126" s="1292">
        <v>39391.0</v>
      </c>
      <c r="C126" s="1293" t="s">
        <v>17759</v>
      </c>
      <c r="D126" s="1303" t="str">
        <f>IF(C126="SINAPI",VLOOKUP(B126,'20-A.SINAPI-I'!A:G,2,0),VLOOKUP(B126,'12.COT.MERCADO'!A:I,2,0))</f>
        <v>LUMINARIA LED REFLETOR RETANGULAR BIVOLT, LUZ BRANCA, 50 W</v>
      </c>
      <c r="E126" s="1295" t="s">
        <v>18393</v>
      </c>
      <c r="F126" s="1296" t="str">
        <f>IF(C126="SINAPI",VLOOKUP(B126,'20-A.SINAPI-I'!A:G,3,0),VLOOKUP(B126,'12.COT.MERCADO'!A:I,7,0))</f>
        <v>UN</v>
      </c>
      <c r="G126" s="1297">
        <v>4.0</v>
      </c>
      <c r="H126" s="1298">
        <f>IF(C126="SINAPI",VLOOKUP(B126,'20-A.SINAPI-I'!A:G,4,0),VLOOKUP(B126,'12.COT.MERCADO'!A:I,8,0))</f>
        <v>44</v>
      </c>
      <c r="I126" s="1298">
        <f>IF(E126="Mão de Obra",H126*(1+'7. BDI SERVIÇOS'!$K$5),H126*(1+'8. BDI MERO FORNECIMENTO'!$K$5))</f>
        <v>51.53872175</v>
      </c>
      <c r="J126" s="1298">
        <f t="shared" si="1"/>
        <v>176</v>
      </c>
      <c r="K126" s="1298">
        <f t="shared" si="2"/>
        <v>206.154887</v>
      </c>
      <c r="L126" s="1299">
        <f t="shared" si="3"/>
        <v>0.0006611323538</v>
      </c>
      <c r="M126" s="1300">
        <f t="shared" si="5"/>
        <v>0.6832032398</v>
      </c>
      <c r="N126" s="1301" t="str">
        <f t="shared" si="4"/>
        <v>A</v>
      </c>
    </row>
    <row r="127">
      <c r="A127" s="1291">
        <v>123.0</v>
      </c>
      <c r="B127" s="1292">
        <v>3363.0</v>
      </c>
      <c r="C127" s="1293" t="s">
        <v>17759</v>
      </c>
      <c r="D127" s="1303" t="str">
        <f>IF(C127="SINAPI",VLOOKUP(B127,'20-A.SINAPI-I'!A:G,2,0),VLOOKUP(B127,'12.COT.MERCADO'!A:I,2,0))</f>
        <v>GUINDAUTO HIDRAULICO, CAPACIDADE MAXIMA DE CARGA 6200 KG, MOMENTO MAXIMO DE CARGA 11,7 TM , ALCANCE MAXIMO HORIZONTAL  9,70 M, PARA MONTAGEM SOBRE CHASSI DE CAMINHAO PBT MINIMO 13000 KG (INCLUI MONTAGEM, NAO INCLUI CAMINHAO)</v>
      </c>
      <c r="E127" s="1295" t="s">
        <v>18393</v>
      </c>
      <c r="F127" s="1296" t="str">
        <f>IF(C127="SINAPI",VLOOKUP(B127,'20-A.SINAPI-I'!A:G,3,0),VLOOKUP(B127,'12.COT.MERCADO'!A:I,7,0))</f>
        <v>UN</v>
      </c>
      <c r="G127" s="1297">
        <v>0.0013412</v>
      </c>
      <c r="H127" s="1298">
        <f>IF(C127="SINAPI",VLOOKUP(B127,'20-A.SINAPI-I'!A:G,4,0),VLOOKUP(B127,'12.COT.MERCADO'!A:I,8,0))</f>
        <v>139625</v>
      </c>
      <c r="I127" s="1298">
        <f>IF(E127="Mão de Obra",H127*(1+'7. BDI SERVIÇOS'!$K$5),H127*(1+'8. BDI MERO FORNECIMENTO'!$K$5))</f>
        <v>163547.5914</v>
      </c>
      <c r="J127" s="1298">
        <f t="shared" si="1"/>
        <v>187.26505</v>
      </c>
      <c r="K127" s="1298">
        <f t="shared" si="2"/>
        <v>219.3500297</v>
      </c>
      <c r="L127" s="1299">
        <f t="shared" si="3"/>
        <v>0.0007034487687</v>
      </c>
      <c r="M127" s="1300">
        <f t="shared" si="5"/>
        <v>0.6839066885</v>
      </c>
      <c r="N127" s="1301" t="str">
        <f t="shared" si="4"/>
        <v>A</v>
      </c>
    </row>
    <row r="128">
      <c r="A128" s="1291">
        <v>116.0</v>
      </c>
      <c r="B128" s="1292">
        <v>39738.0</v>
      </c>
      <c r="C128" s="1293" t="s">
        <v>17759</v>
      </c>
      <c r="D128" s="1303" t="str">
        <f>IF(C128="SINAPI",VLOOKUP(B128,'20-A.SINAPI-I'!A:G,2,0),VLOOKUP(B128,'12.COT.MERCADO'!A:I,2,0))</f>
        <v>TUBO DE BORRACHA ELASTOMERICA FLEXIVEL, PRETA, PARA ISOLAMENTO TERMICO DE TUBULACAO, DN 1/4" (6 MM), E= 9 MM, COEFICIENTE DE CONDUTIVIDADE TERMICA 0,036W/mK, VAPOR DE AGUA MAIOR OU IGUAL A 10.000</v>
      </c>
      <c r="E128" s="1295" t="s">
        <v>18393</v>
      </c>
      <c r="F128" s="1296" t="str">
        <f>IF(C128="SINAPI",VLOOKUP(B128,'20-A.SINAPI-I'!A:G,3,0),VLOOKUP(B128,'12.COT.MERCADO'!A:I,7,0))</f>
        <v>M</v>
      </c>
      <c r="G128" s="1297">
        <v>26.775</v>
      </c>
      <c r="H128" s="1298">
        <f>IF(C128="SINAPI",VLOOKUP(B128,'20-A.SINAPI-I'!A:G,4,0),VLOOKUP(B128,'12.COT.MERCADO'!A:I,8,0))</f>
        <v>5.13</v>
      </c>
      <c r="I128" s="1298">
        <f>IF(E128="Mão de Obra",H128*(1+'7. BDI SERVIÇOS'!$K$5),H128*(1+'8. BDI MERO FORNECIMENTO'!$K$5))</f>
        <v>6.008946422</v>
      </c>
      <c r="J128" s="1298">
        <f t="shared" si="1"/>
        <v>137.35575</v>
      </c>
      <c r="K128" s="1298">
        <f t="shared" si="2"/>
        <v>160.8895404</v>
      </c>
      <c r="L128" s="1299">
        <f t="shared" si="3"/>
        <v>0.0005159677858</v>
      </c>
      <c r="M128" s="1300">
        <f t="shared" si="5"/>
        <v>0.6844226563</v>
      </c>
      <c r="N128" s="1301" t="str">
        <f t="shared" si="4"/>
        <v>A</v>
      </c>
    </row>
    <row r="129">
      <c r="A129" s="1291">
        <v>124.0</v>
      </c>
      <c r="B129" s="1292">
        <v>4720.0</v>
      </c>
      <c r="C129" s="1293" t="s">
        <v>17759</v>
      </c>
      <c r="D129" s="1303" t="str">
        <f>IF(C129="SINAPI",VLOOKUP(B129,'20-A.SINAPI-I'!A:G,2,0),VLOOKUP(B129,'12.COT.MERCADO'!A:I,2,0))</f>
        <v>PEDRA BRITADA N. 0, OU PEDRISCO (4,8 A 9,5 MM) POSTO PEDREIRA/FORNECEDOR, SEM FRETE</v>
      </c>
      <c r="E129" s="1295" t="s">
        <v>18393</v>
      </c>
      <c r="F129" s="1296" t="str">
        <f>IF(C129="SINAPI",VLOOKUP(B129,'20-A.SINAPI-I'!A:G,3,0),VLOOKUP(B129,'12.COT.MERCADO'!A:I,7,0))</f>
        <v>M3</v>
      </c>
      <c r="G129" s="1297">
        <v>2.6502058</v>
      </c>
      <c r="H129" s="1298">
        <f>IF(C129="SINAPI",VLOOKUP(B129,'20-A.SINAPI-I'!A:G,4,0),VLOOKUP(B129,'12.COT.MERCADO'!A:I,8,0))</f>
        <v>75.8</v>
      </c>
      <c r="I129" s="1298">
        <f>IF(E129="Mão de Obra",H129*(1+'7. BDI SERVIÇOS'!$K$5),H129*(1+'8. BDI MERO FORNECIMENTO'!$K$5))</f>
        <v>88.78716155</v>
      </c>
      <c r="J129" s="1298">
        <f t="shared" si="1"/>
        <v>200.8855996</v>
      </c>
      <c r="K129" s="1298">
        <f t="shared" si="2"/>
        <v>235.3042505</v>
      </c>
      <c r="L129" s="1299">
        <f t="shared" si="3"/>
        <v>0.0007546134621</v>
      </c>
      <c r="M129" s="1300">
        <f t="shared" si="5"/>
        <v>0.6851772698</v>
      </c>
      <c r="N129" s="1301" t="str">
        <f t="shared" si="4"/>
        <v>A</v>
      </c>
    </row>
    <row r="130">
      <c r="A130" s="1291">
        <v>131.0</v>
      </c>
      <c r="B130" s="1292">
        <v>2438.0</v>
      </c>
      <c r="C130" s="1293" t="s">
        <v>17759</v>
      </c>
      <c r="D130" s="1303" t="str">
        <f>IF(C130="SINAPI",VLOOKUP(B130,'20-A.SINAPI-I'!A:G,2,0),VLOOKUP(B130,'12.COT.MERCADO'!A:I,2,0))</f>
        <v>ELETROTECNICO (HORISTA)</v>
      </c>
      <c r="E130" s="1295" t="s">
        <v>18394</v>
      </c>
      <c r="F130" s="1296" t="str">
        <f>IF(C130="SINAPI",VLOOKUP(B130,'20-A.SINAPI-I'!A:G,3,0),VLOOKUP(B130,'12.COT.MERCADO'!A:I,7,0))</f>
        <v>H</v>
      </c>
      <c r="G130" s="1297">
        <v>6.3401931</v>
      </c>
      <c r="H130" s="1298">
        <f>IF(C130="SINAPI",VLOOKUP(B130,'20-A.SINAPI-I'!A:G,4,0),VLOOKUP(B130,'12.COT.MERCADO'!A:I,8,0))</f>
        <v>26.19</v>
      </c>
      <c r="I130" s="1298">
        <f>IF(E130="Mão de Obra",H130*(1+'7. BDI SERVIÇOS'!$K$5),H130*(1+'8. BDI MERO FORNECIMENTO'!$K$5))</f>
        <v>30.74504258</v>
      </c>
      <c r="J130" s="1298">
        <f t="shared" si="1"/>
        <v>166.0496573</v>
      </c>
      <c r="K130" s="1298">
        <f t="shared" si="2"/>
        <v>194.9295069</v>
      </c>
      <c r="L130" s="1299">
        <f t="shared" si="3"/>
        <v>0.0006251329065</v>
      </c>
      <c r="M130" s="1300">
        <f t="shared" si="5"/>
        <v>0.6858024027</v>
      </c>
      <c r="N130" s="1301" t="str">
        <f t="shared" si="4"/>
        <v>A</v>
      </c>
    </row>
    <row r="131">
      <c r="A131" s="1291">
        <v>132.0</v>
      </c>
      <c r="B131" s="1292" t="s">
        <v>1918</v>
      </c>
      <c r="C131" s="1293" t="s">
        <v>1785</v>
      </c>
      <c r="D131" s="1294" t="str">
        <f>IF(C131="SINAPI",VLOOKUP(B131,'20-A.SINAPI-I'!A:G,2,0),VLOOKUP(B131,'12.COT.MERCADO'!A:I,2,0))</f>
        <v>BOX PARA BANHEIRO EM ALUMÍNIO E VIDRO TEMPERADO 8MM DE CORRER OU ABRIR, INCLUSIVE FERRAGENS - FORNECIMENTO E INSTALÇÃO</v>
      </c>
      <c r="E131" s="1295" t="s">
        <v>18394</v>
      </c>
      <c r="F131" s="1296" t="str">
        <f>IF(C131="SINAPI",VLOOKUP(B131,'20-A.SINAPI-I'!A:G,3,0),VLOOKUP(B131,'12.COT.MERCADO'!A:I,7,0))</f>
        <v>M2</v>
      </c>
      <c r="G131" s="1297">
        <v>0.67</v>
      </c>
      <c r="H131" s="1298">
        <f>IF(C131="SINAPI",VLOOKUP(B131,'20-A.SINAPI-I'!A:G,4,0),VLOOKUP(B131,'12.COT.MERCADO'!A:I,8,0))</f>
        <v>394.73</v>
      </c>
      <c r="I131" s="1298">
        <f>IF(E131="Mão de Obra",H131*(1+'7. BDI SERVIÇOS'!$K$5),H131*(1+'8. BDI MERO FORNECIMENTO'!$K$5))</f>
        <v>463.382614</v>
      </c>
      <c r="J131" s="1298">
        <f t="shared" si="1"/>
        <v>264.4691</v>
      </c>
      <c r="K131" s="1298">
        <f t="shared" si="2"/>
        <v>310.4663513</v>
      </c>
      <c r="L131" s="1299">
        <f t="shared" si="3"/>
        <v>0.0009956559975</v>
      </c>
      <c r="M131" s="1300">
        <f t="shared" si="5"/>
        <v>0.6867980587</v>
      </c>
      <c r="N131" s="1301" t="str">
        <f t="shared" si="4"/>
        <v>A</v>
      </c>
    </row>
    <row r="132">
      <c r="A132" s="1291">
        <v>120.0</v>
      </c>
      <c r="B132" s="1292">
        <v>44497.0</v>
      </c>
      <c r="C132" s="1293" t="s">
        <v>17759</v>
      </c>
      <c r="D132" s="1303" t="str">
        <f>IF(C132="SINAPI",VLOOKUP(B132,'20-A.SINAPI-I'!A:G,2,0),VLOOKUP(B132,'12.COT.MERCADO'!A:I,2,0))</f>
        <v>MONTADOR DE ESTRUTURAS METALICAS HORISTA</v>
      </c>
      <c r="E132" s="1295" t="s">
        <v>18393</v>
      </c>
      <c r="F132" s="1296" t="str">
        <f>IF(C132="SINAPI",VLOOKUP(B132,'20-A.SINAPI-I'!A:G,3,0),VLOOKUP(B132,'12.COT.MERCADO'!A:I,7,0))</f>
        <v>H</v>
      </c>
      <c r="G132" s="1297">
        <v>8.4842998</v>
      </c>
      <c r="H132" s="1298">
        <f>IF(C132="SINAPI",VLOOKUP(B132,'20-A.SINAPI-I'!A:G,4,0),VLOOKUP(B132,'12.COT.MERCADO'!A:I,8,0))</f>
        <v>19.6</v>
      </c>
      <c r="I132" s="1298">
        <f>IF(E132="Mão de Obra",H132*(1+'7. BDI SERVIÇOS'!$K$5),H132*(1+'8. BDI MERO FORNECIMENTO'!$K$5))</f>
        <v>22.95815787</v>
      </c>
      <c r="J132" s="1298">
        <f t="shared" si="1"/>
        <v>166.2922761</v>
      </c>
      <c r="K132" s="1298">
        <f t="shared" si="2"/>
        <v>194.7838942</v>
      </c>
      <c r="L132" s="1299">
        <f t="shared" si="3"/>
        <v>0.0006246659313</v>
      </c>
      <c r="M132" s="1300">
        <f t="shared" si="5"/>
        <v>0.6874227246</v>
      </c>
      <c r="N132" s="1301" t="str">
        <f t="shared" si="4"/>
        <v>A</v>
      </c>
    </row>
    <row r="133">
      <c r="A133" s="1291">
        <v>125.0</v>
      </c>
      <c r="B133" s="1292">
        <v>43467.0</v>
      </c>
      <c r="C133" s="1293" t="s">
        <v>17759</v>
      </c>
      <c r="D133" s="1303" t="str">
        <f>IF(C133="SINAPI",VLOOKUP(B133,'20-A.SINAPI-I'!A:G,2,0),VLOOKUP(B133,'12.COT.MERCADO'!A:I,2,0))</f>
        <v>FERRAMENTAS - FAMILIA SERVENTE - HORISTA (ENCARGOS COMPLEMENTARES - COLETADO CAIXA)</v>
      </c>
      <c r="E133" s="1295" t="s">
        <v>18393</v>
      </c>
      <c r="F133" s="1296" t="str">
        <f>IF(C133="SINAPI",VLOOKUP(B133,'20-A.SINAPI-I'!A:G,3,0),VLOOKUP(B133,'12.COT.MERCADO'!A:I,7,0))</f>
        <v>H</v>
      </c>
      <c r="G133" s="1297">
        <v>307.7726067</v>
      </c>
      <c r="H133" s="1298">
        <f>IF(C133="SINAPI",VLOOKUP(B133,'20-A.SINAPI-I'!A:G,4,0),VLOOKUP(B133,'12.COT.MERCADO'!A:I,8,0))</f>
        <v>0.59</v>
      </c>
      <c r="I133" s="1298">
        <f>IF(E133="Mão de Obra",H133*(1+'7. BDI SERVIÇOS'!$K$5),H133*(1+'8. BDI MERO FORNECIMENTO'!$K$5))</f>
        <v>0.6910874052</v>
      </c>
      <c r="J133" s="1298">
        <f t="shared" si="1"/>
        <v>181.585838</v>
      </c>
      <c r="K133" s="1298">
        <f t="shared" si="2"/>
        <v>212.6977722</v>
      </c>
      <c r="L133" s="1299">
        <f t="shared" si="3"/>
        <v>0.0006821151845</v>
      </c>
      <c r="M133" s="1300">
        <f t="shared" si="5"/>
        <v>0.6881048398</v>
      </c>
      <c r="N133" s="1301" t="str">
        <f t="shared" si="4"/>
        <v>A</v>
      </c>
    </row>
    <row r="134">
      <c r="A134" s="1291">
        <v>126.0</v>
      </c>
      <c r="B134" s="1292">
        <v>39413.0</v>
      </c>
      <c r="C134" s="1293" t="s">
        <v>17759</v>
      </c>
      <c r="D134" s="1303" t="str">
        <f>IF(C134="SINAPI",VLOOKUP(B134,'20-A.SINAPI-I'!A:G,2,0),VLOOKUP(B134,'12.COT.MERCADO'!A:I,2,0))</f>
        <v>PLACA / CHAPA DE GESSO ACARTONADO, STANDARD (ST), COR BRANCA, E = 12,5 MM, 1200 X 2400 MM (L X C)</v>
      </c>
      <c r="E134" s="1295" t="s">
        <v>18393</v>
      </c>
      <c r="F134" s="1296" t="str">
        <f>IF(C134="SINAPI",VLOOKUP(B134,'20-A.SINAPI-I'!A:G,3,0),VLOOKUP(B134,'12.COT.MERCADO'!A:I,7,0))</f>
        <v>M2</v>
      </c>
      <c r="G134" s="1297">
        <v>9.14004</v>
      </c>
      <c r="H134" s="1298">
        <f>IF(C134="SINAPI",VLOOKUP(B134,'20-A.SINAPI-I'!A:G,4,0),VLOOKUP(B134,'12.COT.MERCADO'!A:I,8,0))</f>
        <v>19.49</v>
      </c>
      <c r="I134" s="1298">
        <f>IF(E134="Mão de Obra",H134*(1+'7. BDI SERVIÇOS'!$K$5),H134*(1+'8. BDI MERO FORNECIMENTO'!$K$5))</f>
        <v>22.82931106</v>
      </c>
      <c r="J134" s="1298">
        <f t="shared" si="1"/>
        <v>178.1393796</v>
      </c>
      <c r="K134" s="1298">
        <f t="shared" si="2"/>
        <v>208.6608163</v>
      </c>
      <c r="L134" s="1299">
        <f t="shared" si="3"/>
        <v>0.0006691687917</v>
      </c>
      <c r="M134" s="1300">
        <f t="shared" si="5"/>
        <v>0.6887740086</v>
      </c>
      <c r="N134" s="1301" t="str">
        <f t="shared" si="4"/>
        <v>A</v>
      </c>
    </row>
    <row r="135">
      <c r="A135" s="1291">
        <v>127.0</v>
      </c>
      <c r="B135" s="1292">
        <v>11189.0</v>
      </c>
      <c r="C135" s="1293" t="s">
        <v>17759</v>
      </c>
      <c r="D135" s="1303" t="str">
        <f>IF(C135="SINAPI",VLOOKUP(B135,'20-A.SINAPI-I'!A:G,2,0),VLOOKUP(B135,'12.COT.MERCADO'!A:I,2,0))</f>
        <v>VIDRO LISO FUME E = 6MM - SEM COLOCACAO</v>
      </c>
      <c r="E135" s="1295" t="s">
        <v>18393</v>
      </c>
      <c r="F135" s="1296" t="str">
        <f>IF(C135="SINAPI",VLOOKUP(B135,'20-A.SINAPI-I'!A:G,3,0),VLOOKUP(B135,'12.COT.MERCADO'!A:I,7,0))</f>
        <v>M2</v>
      </c>
      <c r="G135" s="1297">
        <v>0.67</v>
      </c>
      <c r="H135" s="1298">
        <f>IF(C135="SINAPI",VLOOKUP(B135,'20-A.SINAPI-I'!A:G,4,0),VLOOKUP(B135,'12.COT.MERCADO'!A:I,8,0))</f>
        <v>275</v>
      </c>
      <c r="I135" s="1298">
        <f>IF(E135="Mão de Obra",H135*(1+'7. BDI SERVIÇOS'!$K$5),H135*(1+'8. BDI MERO FORNECIMENTO'!$K$5))</f>
        <v>322.1170109</v>
      </c>
      <c r="J135" s="1298">
        <f t="shared" si="1"/>
        <v>184.25</v>
      </c>
      <c r="K135" s="1298">
        <f t="shared" si="2"/>
        <v>215.8183973</v>
      </c>
      <c r="L135" s="1299">
        <f t="shared" si="3"/>
        <v>0.0006921229329</v>
      </c>
      <c r="M135" s="1300">
        <f t="shared" si="5"/>
        <v>0.6894661315</v>
      </c>
      <c r="N135" s="1301" t="str">
        <f t="shared" si="4"/>
        <v>A</v>
      </c>
    </row>
    <row r="136">
      <c r="A136" s="1291">
        <v>140.0</v>
      </c>
      <c r="B136" s="1292">
        <v>11188.0</v>
      </c>
      <c r="C136" s="1293" t="s">
        <v>17759</v>
      </c>
      <c r="D136" s="1303" t="str">
        <f>IF(C136="SINAPI",VLOOKUP(B136,'20-A.SINAPI-I'!A:G,2,0),VLOOKUP(B136,'12.COT.MERCADO'!A:I,2,0))</f>
        <v>VIDRO LISO FUME E = 4MM - SEM COLOCACAO</v>
      </c>
      <c r="E136" s="1295" t="s">
        <v>18394</v>
      </c>
      <c r="F136" s="1296" t="str">
        <f>IF(C136="SINAPI",VLOOKUP(B136,'20-A.SINAPI-I'!A:G,3,0),VLOOKUP(B136,'12.COT.MERCADO'!A:I,7,0))</f>
        <v>M2</v>
      </c>
      <c r="G136" s="1297">
        <v>1.0</v>
      </c>
      <c r="H136" s="1298">
        <f>IF(C136="SINAPI",VLOOKUP(B136,'20-A.SINAPI-I'!A:G,4,0),VLOOKUP(B136,'12.COT.MERCADO'!A:I,8,0))</f>
        <v>183.33</v>
      </c>
      <c r="I136" s="1298">
        <f>IF(E136="Mão de Obra",H136*(1+'7. BDI SERVIÇOS'!$K$5),H136*(1+'8. BDI MERO FORNECIMENTO'!$K$5))</f>
        <v>215.2152981</v>
      </c>
      <c r="J136" s="1298">
        <f t="shared" si="1"/>
        <v>183.33</v>
      </c>
      <c r="K136" s="1298">
        <f t="shared" si="2"/>
        <v>215.2152981</v>
      </c>
      <c r="L136" s="1299">
        <f t="shared" si="3"/>
        <v>0.0006901888123</v>
      </c>
      <c r="M136" s="1300">
        <f t="shared" si="5"/>
        <v>0.6901563203</v>
      </c>
      <c r="N136" s="1301" t="str">
        <f t="shared" si="4"/>
        <v>A</v>
      </c>
    </row>
    <row r="137">
      <c r="A137" s="1291">
        <v>133.0</v>
      </c>
      <c r="B137" s="1292">
        <v>10904.0</v>
      </c>
      <c r="C137" s="1293" t="s">
        <v>17759</v>
      </c>
      <c r="D137" s="1303" t="str">
        <f>IF(C137="SINAPI",VLOOKUP(B137,'20-A.SINAPI-I'!A:G,2,0),VLOOKUP(B137,'12.COT.MERCADO'!A:I,2,0))</f>
        <v>REGISTRO OU VALVULA GLOBO ANGULAR EM LATAO, PARA HIDRANTES EM INSTALACAO PREDIAL DE INCENDIO, 45 GRAUS, DIAMETRO DE 2 1/2", COM VOLANTE, CLASSE DE PRESSAO DE ATE 200 PSI</v>
      </c>
      <c r="E137" s="1295" t="s">
        <v>18393</v>
      </c>
      <c r="F137" s="1296" t="str">
        <f>IF(C137="SINAPI",VLOOKUP(B137,'20-A.SINAPI-I'!A:G,3,0),VLOOKUP(B137,'12.COT.MERCADO'!A:I,7,0))</f>
        <v>UN</v>
      </c>
      <c r="G137" s="1297">
        <v>0.67</v>
      </c>
      <c r="H137" s="1298">
        <f>IF(C137="SINAPI",VLOOKUP(B137,'20-A.SINAPI-I'!A:G,4,0),VLOOKUP(B137,'12.COT.MERCADO'!A:I,8,0))</f>
        <v>255</v>
      </c>
      <c r="I137" s="1298">
        <f>IF(E137="Mão de Obra",H137*(1+'7. BDI SERVIÇOS'!$K$5),H137*(1+'8. BDI MERO FORNECIMENTO'!$K$5))</f>
        <v>298.6903192</v>
      </c>
      <c r="J137" s="1298">
        <f t="shared" si="1"/>
        <v>170.85</v>
      </c>
      <c r="K137" s="1298">
        <f t="shared" si="2"/>
        <v>200.1225139</v>
      </c>
      <c r="L137" s="1299">
        <f t="shared" si="3"/>
        <v>0.0006417867196</v>
      </c>
      <c r="M137" s="1300">
        <f t="shared" si="5"/>
        <v>0.690798107</v>
      </c>
      <c r="N137" s="1301" t="str">
        <f t="shared" si="4"/>
        <v>A</v>
      </c>
    </row>
    <row r="138">
      <c r="A138" s="1291">
        <v>141.0</v>
      </c>
      <c r="B138" s="1292">
        <v>7311.0</v>
      </c>
      <c r="C138" s="1293" t="s">
        <v>17759</v>
      </c>
      <c r="D138" s="1303" t="str">
        <f>IF(C138="SINAPI",VLOOKUP(B138,'20-A.SINAPI-I'!A:G,2,0),VLOOKUP(B138,'12.COT.MERCADO'!A:I,2,0))</f>
        <v>TINTA ESMALTE SINTETICO PREMIUM ACETINADO</v>
      </c>
      <c r="E138" s="1295" t="s">
        <v>18394</v>
      </c>
      <c r="F138" s="1296" t="str">
        <f>IF(C138="SINAPI",VLOOKUP(B138,'20-A.SINAPI-I'!A:G,3,0),VLOOKUP(B138,'12.COT.MERCADO'!A:I,7,0))</f>
        <v>L</v>
      </c>
      <c r="G138" s="1297">
        <v>4.521582</v>
      </c>
      <c r="H138" s="1298">
        <f>IF(C138="SINAPI",VLOOKUP(B138,'20-A.SINAPI-I'!A:G,4,0),VLOOKUP(B138,'12.COT.MERCADO'!A:I,8,0))</f>
        <v>38.99</v>
      </c>
      <c r="I138" s="1298">
        <f>IF(E138="Mão de Obra",H138*(1+'7. BDI SERVIÇOS'!$K$5),H138*(1+'8. BDI MERO FORNECIMENTO'!$K$5))</f>
        <v>45.7712566</v>
      </c>
      <c r="J138" s="1298">
        <f t="shared" si="1"/>
        <v>176.2964822</v>
      </c>
      <c r="K138" s="1298">
        <f t="shared" si="2"/>
        <v>206.95849</v>
      </c>
      <c r="L138" s="1299">
        <f t="shared" si="3"/>
        <v>0.0006637094837</v>
      </c>
      <c r="M138" s="1300">
        <f t="shared" si="5"/>
        <v>0.6914618165</v>
      </c>
      <c r="N138" s="1301" t="str">
        <f t="shared" si="4"/>
        <v>A</v>
      </c>
    </row>
    <row r="139">
      <c r="A139" s="1291">
        <v>134.0</v>
      </c>
      <c r="B139" s="1292">
        <v>370.0</v>
      </c>
      <c r="C139" s="1293" t="s">
        <v>17759</v>
      </c>
      <c r="D139" s="1303" t="str">
        <f>IF(C139="SINAPI",VLOOKUP(B139,'20-A.SINAPI-I'!A:G,2,0),VLOOKUP(B139,'12.COT.MERCADO'!A:I,2,0))</f>
        <v>AREIA MEDIA - POSTO JAZIDA/FORNECEDOR (RETIRADO NA JAZIDA, SEM TRANSPORTE)</v>
      </c>
      <c r="E139" s="1295" t="s">
        <v>18397</v>
      </c>
      <c r="F139" s="1296" t="str">
        <f>IF(C139="SINAPI",VLOOKUP(B139,'20-A.SINAPI-I'!A:G,3,0),VLOOKUP(B139,'12.COT.MERCADO'!A:I,7,0))</f>
        <v>M3</v>
      </c>
      <c r="G139" s="1297">
        <v>1.9118956</v>
      </c>
      <c r="H139" s="1298">
        <f>IF(C139="SINAPI",VLOOKUP(B139,'20-A.SINAPI-I'!A:G,4,0),VLOOKUP(B139,'12.COT.MERCADO'!A:I,8,0))</f>
        <v>109.41</v>
      </c>
      <c r="I139" s="1298">
        <f>IF(E139="Mão de Obra",H139*(1+'7. BDI SERVIÇOS'!$K$5),H139*(1+'8. BDI MERO FORNECIMENTO'!$K$5))</f>
        <v>128.155717</v>
      </c>
      <c r="J139" s="1298">
        <f t="shared" si="1"/>
        <v>209.1804976</v>
      </c>
      <c r="K139" s="1298">
        <f t="shared" si="2"/>
        <v>245.0203514</v>
      </c>
      <c r="L139" s="1299">
        <f t="shared" si="3"/>
        <v>0.0007857726974</v>
      </c>
      <c r="M139" s="1300">
        <f t="shared" si="5"/>
        <v>0.6922475892</v>
      </c>
      <c r="N139" s="1301" t="str">
        <f t="shared" si="4"/>
        <v>A</v>
      </c>
    </row>
    <row r="140">
      <c r="A140" s="1291">
        <v>135.0</v>
      </c>
      <c r="B140" s="1292">
        <v>246.0</v>
      </c>
      <c r="C140" s="1293" t="s">
        <v>17759</v>
      </c>
      <c r="D140" s="1303" t="str">
        <f>IF(C140="SINAPI",VLOOKUP(B140,'20-A.SINAPI-I'!A:G,2,0),VLOOKUP(B140,'12.COT.MERCADO'!A:I,2,0))</f>
        <v>AUXILIAR DE ENCANADOR OU BOMBEIRO HIDRAULICO (HORISTA)</v>
      </c>
      <c r="E140" s="1295" t="s">
        <v>18393</v>
      </c>
      <c r="F140" s="1296" t="str">
        <f>IF(C140="SINAPI",VLOOKUP(B140,'20-A.SINAPI-I'!A:G,3,0),VLOOKUP(B140,'12.COT.MERCADO'!A:I,7,0))</f>
        <v>H</v>
      </c>
      <c r="G140" s="1297">
        <v>9.200079</v>
      </c>
      <c r="H140" s="1298">
        <f>IF(C140="SINAPI",VLOOKUP(B140,'20-A.SINAPI-I'!A:G,4,0),VLOOKUP(B140,'12.COT.MERCADO'!A:I,8,0))</f>
        <v>15.93</v>
      </c>
      <c r="I140" s="1298">
        <f>IF(E140="Mão de Obra",H140*(1+'7. BDI SERVIÇOS'!$K$5),H140*(1+'8. BDI MERO FORNECIMENTO'!$K$5))</f>
        <v>18.65935994</v>
      </c>
      <c r="J140" s="1298">
        <f t="shared" si="1"/>
        <v>146.5572585</v>
      </c>
      <c r="K140" s="1298">
        <f t="shared" si="2"/>
        <v>171.6675855</v>
      </c>
      <c r="L140" s="1299">
        <f t="shared" si="3"/>
        <v>0.0005505326435</v>
      </c>
      <c r="M140" s="1300">
        <f t="shared" si="5"/>
        <v>0.6927981219</v>
      </c>
      <c r="N140" s="1301" t="str">
        <f t="shared" si="4"/>
        <v>A</v>
      </c>
    </row>
    <row r="141">
      <c r="A141" s="1291">
        <v>136.0</v>
      </c>
      <c r="B141" s="1292">
        <v>183.0</v>
      </c>
      <c r="C141" s="1293" t="s">
        <v>17759</v>
      </c>
      <c r="D141" s="1303" t="str">
        <f>IF(C141="SINAPI",VLOOKUP(B141,'20-A.SINAPI-I'!A:G,2,0),VLOOKUP(B141,'12.COT.MERCADO'!A:I,2,0))</f>
        <v>BATENTE / PORTAL / ADUELA / MARCO EM MADEIRA MACICA COM REBAIXO, E = *3* CM, L = *14* CM, PARA PORTAS DE  GIRO DE *60 CM A 120* CM  X *210* CM, CEDRINHO / ANGELIM COMERCIAL / TAURI / CURUPIXA / PEROBA / CUMARU OU EQUIVALENTE DA REGIAO (NAO INCLUI ALIZARES)</v>
      </c>
      <c r="E141" s="1295" t="s">
        <v>18393</v>
      </c>
      <c r="F141" s="1296" t="str">
        <f>IF(C141="SINAPI",VLOOKUP(B141,'20-A.SINAPI-I'!A:G,3,0),VLOOKUP(B141,'12.COT.MERCADO'!A:I,7,0))</f>
        <v>JG</v>
      </c>
      <c r="G141" s="1297">
        <v>0.67</v>
      </c>
      <c r="H141" s="1298">
        <f>IF(C141="SINAPI",VLOOKUP(B141,'20-A.SINAPI-I'!A:G,4,0),VLOOKUP(B141,'12.COT.MERCADO'!A:I,8,0))</f>
        <v>280</v>
      </c>
      <c r="I141" s="1298">
        <f>IF(E141="Mão de Obra",H141*(1+'7. BDI SERVIÇOS'!$K$5),H141*(1+'8. BDI MERO FORNECIMENTO'!$K$5))</f>
        <v>327.9736838</v>
      </c>
      <c r="J141" s="1298">
        <f t="shared" si="1"/>
        <v>187.6</v>
      </c>
      <c r="K141" s="1298">
        <f t="shared" si="2"/>
        <v>219.7423682</v>
      </c>
      <c r="L141" s="1299">
        <f t="shared" si="3"/>
        <v>0.0007047069862</v>
      </c>
      <c r="M141" s="1300">
        <f t="shared" si="5"/>
        <v>0.6935028289</v>
      </c>
      <c r="N141" s="1301" t="str">
        <f t="shared" si="4"/>
        <v>A</v>
      </c>
    </row>
    <row r="142">
      <c r="A142" s="1291">
        <v>137.0</v>
      </c>
      <c r="B142" s="1292">
        <v>1087.0</v>
      </c>
      <c r="C142" s="1293" t="s">
        <v>17759</v>
      </c>
      <c r="D142" s="1303" t="str">
        <f>IF(C142="SINAPI",VLOOKUP(B142,'20-A.SINAPI-I'!A:G,2,0),VLOOKUP(B142,'12.COT.MERCADO'!A:I,2,0))</f>
        <v>REATOR ELETRONICO BIVOLT PARA 1 LAMPADA FLUORESCENTE DE 36/40 W</v>
      </c>
      <c r="E142" s="1295" t="s">
        <v>18393</v>
      </c>
      <c r="F142" s="1296" t="str">
        <f>IF(C142="SINAPI",VLOOKUP(B142,'20-A.SINAPI-I'!A:G,3,0),VLOOKUP(B142,'12.COT.MERCADO'!A:I,7,0))</f>
        <v>UN</v>
      </c>
      <c r="G142" s="1297">
        <v>3.33</v>
      </c>
      <c r="H142" s="1298">
        <f>IF(C142="SINAPI",VLOOKUP(B142,'20-A.SINAPI-I'!A:G,4,0),VLOOKUP(B142,'12.COT.MERCADO'!A:I,8,0))</f>
        <v>34.65</v>
      </c>
      <c r="I142" s="1298">
        <f>IF(E142="Mão de Obra",H142*(1+'7. BDI SERVIÇOS'!$K$5),H142*(1+'8. BDI MERO FORNECIMENTO'!$K$5))</f>
        <v>40.58674337</v>
      </c>
      <c r="J142" s="1298">
        <f t="shared" si="1"/>
        <v>115.3845</v>
      </c>
      <c r="K142" s="1298">
        <f t="shared" si="2"/>
        <v>135.1538554</v>
      </c>
      <c r="L142" s="1299">
        <f t="shared" si="3"/>
        <v>0.0004334342391</v>
      </c>
      <c r="M142" s="1300">
        <f t="shared" si="5"/>
        <v>0.6939362631</v>
      </c>
      <c r="N142" s="1301" t="str">
        <f t="shared" si="4"/>
        <v>A</v>
      </c>
    </row>
    <row r="143">
      <c r="A143" s="1291">
        <v>128.0</v>
      </c>
      <c r="B143" s="1292">
        <v>2510.0</v>
      </c>
      <c r="C143" s="1293" t="s">
        <v>17759</v>
      </c>
      <c r="D143" s="1303" t="str">
        <f>IF(C143="SINAPI",VLOOKUP(B143,'20-A.SINAPI-I'!A:G,2,0),VLOOKUP(B143,'12.COT.MERCADO'!A:I,2,0))</f>
        <v>RELE FOTOELETRICO INTERNO E EXTERNO BIVOLT 1000 W, DE CONECTOR, SEM BASE</v>
      </c>
      <c r="E143" s="1295" t="s">
        <v>18397</v>
      </c>
      <c r="F143" s="1296" t="str">
        <f>IF(C143="SINAPI",VLOOKUP(B143,'20-A.SINAPI-I'!A:G,3,0),VLOOKUP(B143,'12.COT.MERCADO'!A:I,7,0))</f>
        <v>UN</v>
      </c>
      <c r="G143" s="1297">
        <v>3.33</v>
      </c>
      <c r="H143" s="1298">
        <f>IF(C143="SINAPI",VLOOKUP(B143,'20-A.SINAPI-I'!A:G,4,0),VLOOKUP(B143,'12.COT.MERCADO'!A:I,8,0))</f>
        <v>34.29</v>
      </c>
      <c r="I143" s="1298">
        <f>IF(E143="Mão de Obra",H143*(1+'7. BDI SERVIÇOS'!$K$5),H143*(1+'8. BDI MERO FORNECIMENTO'!$K$5))</f>
        <v>40.16506292</v>
      </c>
      <c r="J143" s="1298">
        <f t="shared" si="1"/>
        <v>114.1857</v>
      </c>
      <c r="K143" s="1298">
        <f t="shared" si="2"/>
        <v>133.7496595</v>
      </c>
      <c r="L143" s="1299">
        <f t="shared" si="3"/>
        <v>0.0004289310262</v>
      </c>
      <c r="M143" s="1300">
        <f t="shared" si="5"/>
        <v>0.6943651941</v>
      </c>
      <c r="N143" s="1301" t="str">
        <f t="shared" si="4"/>
        <v>A</v>
      </c>
    </row>
    <row r="144">
      <c r="A144" s="1291">
        <v>130.0</v>
      </c>
      <c r="B144" s="1292">
        <v>10885.0</v>
      </c>
      <c r="C144" s="1293" t="s">
        <v>17759</v>
      </c>
      <c r="D144" s="1303" t="str">
        <f>IF(C144="SINAPI",VLOOKUP(B144,'20-A.SINAPI-I'!A:G,2,0),VLOOKUP(B144,'12.COT.MERCADO'!A:I,2,0))</f>
        <v>CAIXA DE INCENDIO/ABRIGO PARA MANGUEIRA, DE EMBUTIR/INTERNA, COM 90 X 60 X 17 CM, EM CHAPA DE ACO, PORTA COM VENTILACAO, VISOR COM A INSCRICAO "INCENDIO", SUPORTE/CESTA INTERNA PARA A MANGUEIRA, PINTURA ELETROSTATICA VERMELHA</v>
      </c>
      <c r="E144" s="1295" t="s">
        <v>18393</v>
      </c>
      <c r="F144" s="1296" t="str">
        <f>IF(C144="SINAPI",VLOOKUP(B144,'20-A.SINAPI-I'!A:G,3,0),VLOOKUP(B144,'12.COT.MERCADO'!A:I,7,0))</f>
        <v>UN</v>
      </c>
      <c r="G144" s="1297">
        <v>0.33</v>
      </c>
      <c r="H144" s="1298">
        <f>IF(C144="SINAPI",VLOOKUP(B144,'20-A.SINAPI-I'!A:G,4,0),VLOOKUP(B144,'12.COT.MERCADO'!A:I,8,0))</f>
        <v>446.73</v>
      </c>
      <c r="I144" s="1298">
        <f>IF(E144="Mão de Obra",H144*(1+'7. BDI SERVIÇOS'!$K$5),H144*(1+'8. BDI MERO FORNECIMENTO'!$K$5))</f>
        <v>523.2702992</v>
      </c>
      <c r="J144" s="1298">
        <f t="shared" si="1"/>
        <v>147.4209</v>
      </c>
      <c r="K144" s="1298">
        <f t="shared" si="2"/>
        <v>172.6791987</v>
      </c>
      <c r="L144" s="1299">
        <f t="shared" si="3"/>
        <v>0.0005537768558</v>
      </c>
      <c r="M144" s="1300">
        <f t="shared" si="5"/>
        <v>0.694918971</v>
      </c>
      <c r="N144" s="1301" t="str">
        <f t="shared" si="4"/>
        <v>A</v>
      </c>
    </row>
    <row r="145">
      <c r="A145" s="1291">
        <v>139.0</v>
      </c>
      <c r="B145" s="1292">
        <v>1368.0</v>
      </c>
      <c r="C145" s="1293" t="s">
        <v>17759</v>
      </c>
      <c r="D145" s="1303" t="str">
        <f>IF(C145="SINAPI",VLOOKUP(B145,'20-A.SINAPI-I'!A:G,2,0),VLOOKUP(B145,'12.COT.MERCADO'!A:I,2,0))</f>
        <v>CHUVEIRO COMUM EM PLASTICO BRANCO, COM CANO, 3 TEMPERATURAS, 5500 W (110/220 V)</v>
      </c>
      <c r="E145" s="1295" t="s">
        <v>18393</v>
      </c>
      <c r="F145" s="1296" t="str">
        <f>IF(C145="SINAPI",VLOOKUP(B145,'20-A.SINAPI-I'!A:G,3,0),VLOOKUP(B145,'12.COT.MERCADO'!A:I,7,0))</f>
        <v>UN</v>
      </c>
      <c r="G145" s="1297">
        <v>2.0</v>
      </c>
      <c r="H145" s="1298">
        <f>IF(C145="SINAPI",VLOOKUP(B145,'20-A.SINAPI-I'!A:G,4,0),VLOOKUP(B145,'12.COT.MERCADO'!A:I,8,0))</f>
        <v>85.54</v>
      </c>
      <c r="I145" s="1298">
        <f>IF(E145="Mão de Obra",H145*(1+'7. BDI SERVIÇOS'!$K$5),H145*(1+'8. BDI MERO FORNECIMENTO'!$K$5))</f>
        <v>100.1959604</v>
      </c>
      <c r="J145" s="1298">
        <f t="shared" si="1"/>
        <v>171.08</v>
      </c>
      <c r="K145" s="1298">
        <f t="shared" si="2"/>
        <v>200.3919208</v>
      </c>
      <c r="L145" s="1299">
        <f t="shared" si="3"/>
        <v>0.0006426506994</v>
      </c>
      <c r="M145" s="1300">
        <f t="shared" si="5"/>
        <v>0.6955616217</v>
      </c>
      <c r="N145" s="1301" t="str">
        <f t="shared" si="4"/>
        <v>A</v>
      </c>
    </row>
    <row r="146">
      <c r="A146" s="1291">
        <v>151.0</v>
      </c>
      <c r="B146" s="1292" t="s">
        <v>1832</v>
      </c>
      <c r="C146" s="1304" t="s">
        <v>1785</v>
      </c>
      <c r="D146" s="1294" t="str">
        <f>IF(C146="SINAPI",VLOOKUP(B146,'20-A.SINAPI-I'!A:G,2,0),VLOOKUP(B146,'12.COT.MERCADO'!A:I,2,0))</f>
        <v>CONJUNTO PLUGUE MACHO E FÊMEA 2P+T 20A </v>
      </c>
      <c r="E146" s="1305" t="s">
        <v>18394</v>
      </c>
      <c r="F146" s="1296" t="str">
        <f>IF(C146="SINAPI",VLOOKUP(B146,'20-A.SINAPI-I'!A:G,3,0),VLOOKUP(B146,'12.COT.MERCADO'!A:I,7,0))</f>
        <v>UN</v>
      </c>
      <c r="G146" s="1306">
        <v>8.34</v>
      </c>
      <c r="H146" s="1298">
        <f>IF(C146="SINAPI",VLOOKUP(B146,'20-A.SINAPI-I'!A:G,4,0),VLOOKUP(B146,'12.COT.MERCADO'!A:I,8,0))</f>
        <v>21.99</v>
      </c>
      <c r="I146" s="1298">
        <f>IF(E146="Mão de Obra",H146*(1+'7. BDI SERVIÇOS'!$K$5),H146*(1+'8. BDI MERO FORNECIMENTO'!$K$5))</f>
        <v>25.81456611</v>
      </c>
      <c r="J146" s="1298">
        <f t="shared" si="1"/>
        <v>183.3966</v>
      </c>
      <c r="K146" s="1298">
        <f t="shared" si="2"/>
        <v>215.2934814</v>
      </c>
      <c r="L146" s="1299">
        <f t="shared" si="3"/>
        <v>0.0006904395437</v>
      </c>
      <c r="M146" s="1300">
        <f t="shared" si="5"/>
        <v>0.6962520612</v>
      </c>
      <c r="N146" s="1301" t="str">
        <f t="shared" si="4"/>
        <v>A</v>
      </c>
    </row>
    <row r="147">
      <c r="A147" s="1291">
        <v>142.0</v>
      </c>
      <c r="B147" s="1292" t="s">
        <v>1964</v>
      </c>
      <c r="C147" s="1293" t="s">
        <v>1785</v>
      </c>
      <c r="D147" s="1302" t="str">
        <f>IF(C147="SINAPI",VLOOKUP(B147,'20-A.SINAPI-I'!A:G,2,0),VLOOKUP(B147,'12.COT.MERCADO'!A:I,2,0))</f>
        <v>ADAPTADOR SOQUETE EM PORCELANA E40 PARA E27</v>
      </c>
      <c r="E147" s="1295" t="s">
        <v>18393</v>
      </c>
      <c r="F147" s="1296" t="str">
        <f>IF(C147="SINAPI",VLOOKUP(B147,'20-A.SINAPI-I'!A:G,3,0),VLOOKUP(B147,'12.COT.MERCADO'!A:I,7,0))</f>
        <v>UN</v>
      </c>
      <c r="G147" s="1297">
        <v>13.67</v>
      </c>
      <c r="H147" s="1298">
        <f>IF(C147="SINAPI",VLOOKUP(B147,'20-A.SINAPI-I'!A:G,4,0),VLOOKUP(B147,'12.COT.MERCADO'!A:I,8,0))</f>
        <v>11.25</v>
      </c>
      <c r="I147" s="1298">
        <f>IF(E147="Mão de Obra",H147*(1+'7. BDI SERVIÇOS'!$K$5),H147*(1+'8. BDI MERO FORNECIMENTO'!$K$5))</f>
        <v>13.17751408</v>
      </c>
      <c r="J147" s="1298">
        <f t="shared" si="1"/>
        <v>153.7875</v>
      </c>
      <c r="K147" s="1298">
        <f t="shared" si="2"/>
        <v>180.1366175</v>
      </c>
      <c r="L147" s="1299">
        <f t="shared" si="3"/>
        <v>0.0005776925674</v>
      </c>
      <c r="M147" s="1300">
        <f t="shared" si="5"/>
        <v>0.6968297538</v>
      </c>
      <c r="N147" s="1301" t="str">
        <f t="shared" si="4"/>
        <v>A</v>
      </c>
    </row>
    <row r="148">
      <c r="A148" s="1291">
        <v>143.0</v>
      </c>
      <c r="B148" s="1292" t="s">
        <v>1829</v>
      </c>
      <c r="C148" s="1293" t="s">
        <v>1785</v>
      </c>
      <c r="D148" s="1294" t="str">
        <f>IF(C148="SINAPI",VLOOKUP(B148,'20-A.SINAPI-I'!A:G,2,0),VLOOKUP(B148,'12.COT.MERCADO'!A:I,2,0))</f>
        <v>PERSIANA VERTICAL EM PVC BRANCO 9CM SEM BANDÔ - FORNECIMENTO E INSTALAÇÃO</v>
      </c>
      <c r="E148" s="1295" t="s">
        <v>18393</v>
      </c>
      <c r="F148" s="1296" t="str">
        <f>IF(C148="SINAPI",VLOOKUP(B148,'20-A.SINAPI-I'!A:G,3,0),VLOOKUP(B148,'12.COT.MERCADO'!A:I,7,0))</f>
        <v>M2</v>
      </c>
      <c r="G148" s="1297">
        <v>1.0</v>
      </c>
      <c r="H148" s="1298">
        <f>IF(C148="SINAPI",VLOOKUP(B148,'20-A.SINAPI-I'!A:G,4,0),VLOOKUP(B148,'12.COT.MERCADO'!A:I,8,0))</f>
        <v>170</v>
      </c>
      <c r="I148" s="1298">
        <f>IF(E148="Mão de Obra",H148*(1+'7. BDI SERVIÇOS'!$K$5),H148*(1+'8. BDI MERO FORNECIMENTO'!$K$5))</f>
        <v>199.1268795</v>
      </c>
      <c r="J148" s="1298">
        <f t="shared" si="1"/>
        <v>170</v>
      </c>
      <c r="K148" s="1298">
        <f t="shared" si="2"/>
        <v>199.1268795</v>
      </c>
      <c r="L148" s="1299">
        <f t="shared" si="3"/>
        <v>0.0006385937508</v>
      </c>
      <c r="M148" s="1300">
        <f t="shared" si="5"/>
        <v>0.6974683475</v>
      </c>
      <c r="N148" s="1301" t="str">
        <f t="shared" si="4"/>
        <v>A</v>
      </c>
    </row>
    <row r="149">
      <c r="A149" s="1291">
        <v>144.0</v>
      </c>
      <c r="B149" s="1292">
        <v>38774.0</v>
      </c>
      <c r="C149" s="1293" t="s">
        <v>17759</v>
      </c>
      <c r="D149" s="1303" t="str">
        <f>IF(C149="SINAPI",VLOOKUP(B149,'20-A.SINAPI-I'!A:G,2,0),VLOOKUP(B149,'12.COT.MERCADO'!A:I,2,0))</f>
        <v>LUMINARIA DE EMERGENCIA 30 LEDS, POTENCIA 2 W, BATERIA DE LITIO, AUTONOMIA DE 6 HORAS</v>
      </c>
      <c r="E149" s="1295" t="s">
        <v>18393</v>
      </c>
      <c r="F149" s="1296" t="str">
        <f>IF(C149="SINAPI",VLOOKUP(B149,'20-A.SINAPI-I'!A:G,3,0),VLOOKUP(B149,'12.COT.MERCADO'!A:I,7,0))</f>
        <v>UN</v>
      </c>
      <c r="G149" s="1297">
        <v>6.67</v>
      </c>
      <c r="H149" s="1298">
        <f>IF(C149="SINAPI",VLOOKUP(B149,'20-A.SINAPI-I'!A:G,4,0),VLOOKUP(B149,'12.COT.MERCADO'!A:I,8,0))</f>
        <v>18.84</v>
      </c>
      <c r="I149" s="1298">
        <f>IF(E149="Mão de Obra",H149*(1+'7. BDI SERVIÇOS'!$K$5),H149*(1+'8. BDI MERO FORNECIMENTO'!$K$5))</f>
        <v>22.06794358</v>
      </c>
      <c r="J149" s="1298">
        <f t="shared" si="1"/>
        <v>125.6628</v>
      </c>
      <c r="K149" s="1298">
        <f t="shared" si="2"/>
        <v>147.1931837</v>
      </c>
      <c r="L149" s="1299">
        <f t="shared" si="3"/>
        <v>0.0004720439929</v>
      </c>
      <c r="M149" s="1300">
        <f t="shared" si="5"/>
        <v>0.6979403915</v>
      </c>
      <c r="N149" s="1301" t="str">
        <f t="shared" si="4"/>
        <v>A</v>
      </c>
    </row>
    <row r="150">
      <c r="A150" s="1291">
        <v>145.0</v>
      </c>
      <c r="B150" s="1292">
        <v>4234.0</v>
      </c>
      <c r="C150" s="1293" t="s">
        <v>17759</v>
      </c>
      <c r="D150" s="1303" t="str">
        <f>IF(C150="SINAPI",VLOOKUP(B150,'20-A.SINAPI-I'!A:G,2,0),VLOOKUP(B150,'12.COT.MERCADO'!A:I,2,0))</f>
        <v>OPERADOR DE ESCAVADEIRA</v>
      </c>
      <c r="E150" s="1295" t="s">
        <v>18393</v>
      </c>
      <c r="F150" s="1296" t="str">
        <f>IF(C150="SINAPI",VLOOKUP(B150,'20-A.SINAPI-I'!A:G,3,0),VLOOKUP(B150,'12.COT.MERCADO'!A:I,7,0))</f>
        <v>H</v>
      </c>
      <c r="G150" s="1297">
        <v>6.0764011</v>
      </c>
      <c r="H150" s="1298">
        <f>IF(C150="SINAPI",VLOOKUP(B150,'20-A.SINAPI-I'!A:G,4,0),VLOOKUP(B150,'12.COT.MERCADO'!A:I,8,0))</f>
        <v>21.4</v>
      </c>
      <c r="I150" s="1298">
        <f>IF(E150="Mão de Obra",H150*(1+'7. BDI SERVIÇOS'!$K$5),H150*(1+'8. BDI MERO FORNECIMENTO'!$K$5))</f>
        <v>25.06656012</v>
      </c>
      <c r="J150" s="1298">
        <f t="shared" si="1"/>
        <v>130.0349835</v>
      </c>
      <c r="K150" s="1298">
        <f t="shared" si="2"/>
        <v>152.3144735</v>
      </c>
      <c r="L150" s="1299">
        <f t="shared" si="3"/>
        <v>0.0004884678111</v>
      </c>
      <c r="M150" s="1300">
        <f t="shared" si="5"/>
        <v>0.6984288593</v>
      </c>
      <c r="N150" s="1301" t="str">
        <f t="shared" si="4"/>
        <v>A</v>
      </c>
    </row>
    <row r="151">
      <c r="A151" s="1291">
        <v>138.0</v>
      </c>
      <c r="B151" s="1292">
        <v>4396.0</v>
      </c>
      <c r="C151" s="1293" t="s">
        <v>17759</v>
      </c>
      <c r="D151" s="1303" t="str">
        <f>IF(C151="SINAPI",VLOOKUP(B151,'20-A.SINAPI-I'!A:G,2,0),VLOOKUP(B151,'12.COT.MERCADO'!A:I,2,0))</f>
        <v>PASTILHA CERAMICA/PORCELANA, REVEST INT/EXT E  PISCINA, CORES BRANCA OU FRIAS, SOLIDAS, SEM MESCLAGEM/MISTURA, ACABAMENTO LISO *2,5 X 2,5* CM</v>
      </c>
      <c r="E151" s="1295" t="s">
        <v>18393</v>
      </c>
      <c r="F151" s="1296" t="str">
        <f>IF(C151="SINAPI",VLOOKUP(B151,'20-A.SINAPI-I'!A:G,3,0),VLOOKUP(B151,'12.COT.MERCADO'!A:I,7,0))</f>
        <v>M2</v>
      </c>
      <c r="G151" s="1297">
        <v>0.7303</v>
      </c>
      <c r="H151" s="1298">
        <f>IF(C151="SINAPI",VLOOKUP(B151,'20-A.SINAPI-I'!A:G,4,0),VLOOKUP(B151,'12.COT.MERCADO'!A:I,8,0))</f>
        <v>226.72</v>
      </c>
      <c r="I151" s="1298">
        <f>IF(E151="Mão de Obra",H151*(1+'7. BDI SERVIÇOS'!$K$5),H151*(1+'8. BDI MERO FORNECIMENTO'!$K$5))</f>
        <v>265.5649771</v>
      </c>
      <c r="J151" s="1298">
        <f t="shared" si="1"/>
        <v>165.573616</v>
      </c>
      <c r="K151" s="1298">
        <f t="shared" si="2"/>
        <v>193.9421028</v>
      </c>
      <c r="L151" s="1299">
        <f t="shared" si="3"/>
        <v>0.0006219663322</v>
      </c>
      <c r="M151" s="1300">
        <f t="shared" si="5"/>
        <v>0.6990508257</v>
      </c>
      <c r="N151" s="1301" t="str">
        <f t="shared" si="4"/>
        <v>A</v>
      </c>
    </row>
    <row r="152">
      <c r="A152" s="1291">
        <v>146.0</v>
      </c>
      <c r="B152" s="1292">
        <v>1599.0</v>
      </c>
      <c r="C152" s="1293" t="s">
        <v>17759</v>
      </c>
      <c r="D152" s="1303" t="str">
        <f>IF(C152="SINAPI",VLOOKUP(B152,'20-A.SINAPI-I'!A:G,2,0),VLOOKUP(B152,'12.COT.MERCADO'!A:I,2,0))</f>
        <v>CONECTOR DE ALUMINIO TIPO PRENSA CABO, BITOLA 3/4", PARA CABOS DE DIAMETRO DE 17,5 A 20 MM</v>
      </c>
      <c r="E152" s="1295" t="s">
        <v>18393</v>
      </c>
      <c r="F152" s="1296" t="str">
        <f>IF(C152="SINAPI",VLOOKUP(B152,'20-A.SINAPI-I'!A:G,3,0),VLOOKUP(B152,'12.COT.MERCADO'!A:I,7,0))</f>
        <v>UN</v>
      </c>
      <c r="G152" s="1297">
        <v>10.34</v>
      </c>
      <c r="H152" s="1298">
        <f>IF(C152="SINAPI",VLOOKUP(B152,'20-A.SINAPI-I'!A:G,4,0),VLOOKUP(B152,'12.COT.MERCADO'!A:I,8,0))</f>
        <v>14.93</v>
      </c>
      <c r="I152" s="1298">
        <f>IF(E152="Mão de Obra",H152*(1+'7. BDI SERVIÇOS'!$K$5),H152*(1+'8. BDI MERO FORNECIMENTO'!$K$5))</f>
        <v>17.48802536</v>
      </c>
      <c r="J152" s="1298">
        <f t="shared" si="1"/>
        <v>154.3762</v>
      </c>
      <c r="K152" s="1298">
        <f t="shared" si="2"/>
        <v>180.8261822</v>
      </c>
      <c r="L152" s="1299">
        <f t="shared" si="3"/>
        <v>0.00057990398</v>
      </c>
      <c r="M152" s="1300">
        <f t="shared" si="5"/>
        <v>0.6996307297</v>
      </c>
      <c r="N152" s="1301" t="str">
        <f t="shared" si="4"/>
        <v>A</v>
      </c>
    </row>
    <row r="153">
      <c r="A153" s="1291">
        <v>147.0</v>
      </c>
      <c r="B153" s="1292">
        <v>10405.0</v>
      </c>
      <c r="C153" s="1293" t="s">
        <v>17759</v>
      </c>
      <c r="D153" s="1303" t="str">
        <f>IF(C153="SINAPI",VLOOKUP(B153,'20-A.SINAPI-I'!A:G,2,0),VLOOKUP(B153,'12.COT.MERCADO'!A:I,2,0))</f>
        <v>VALVULA DE RETENCAO HORIZONTAL, DE BRONZE (PN-25), 2 1/2", 400 PSI, TAMPA DE PORCA DE UNIAO, EXTREMIDADES COM ROSCA</v>
      </c>
      <c r="E153" s="1295" t="s">
        <v>18393</v>
      </c>
      <c r="F153" s="1296" t="str">
        <f>IF(C153="SINAPI",VLOOKUP(B153,'20-A.SINAPI-I'!A:G,3,0),VLOOKUP(B153,'12.COT.MERCADO'!A:I,7,0))</f>
        <v>UN</v>
      </c>
      <c r="G153" s="1297">
        <v>0.33</v>
      </c>
      <c r="H153" s="1298">
        <f>IF(C153="SINAPI",VLOOKUP(B153,'20-A.SINAPI-I'!A:G,4,0),VLOOKUP(B153,'12.COT.MERCADO'!A:I,8,0))</f>
        <v>514.44</v>
      </c>
      <c r="I153" s="1298">
        <f>IF(E153="Mão de Obra",H153*(1+'7. BDI SERVIÇOS'!$K$5),H153*(1+'8. BDI MERO FORNECIMENTO'!$K$5))</f>
        <v>602.581364</v>
      </c>
      <c r="J153" s="1298">
        <f t="shared" si="1"/>
        <v>169.7652</v>
      </c>
      <c r="K153" s="1298">
        <f t="shared" si="2"/>
        <v>198.8518501</v>
      </c>
      <c r="L153" s="1299">
        <f t="shared" si="3"/>
        <v>0.0006377117402</v>
      </c>
      <c r="M153" s="1300">
        <f t="shared" si="5"/>
        <v>0.7002684414</v>
      </c>
      <c r="N153" s="1301" t="str">
        <f t="shared" si="4"/>
        <v>A</v>
      </c>
    </row>
    <row r="154">
      <c r="A154" s="1291">
        <v>149.0</v>
      </c>
      <c r="B154" s="1292" t="s">
        <v>1898</v>
      </c>
      <c r="C154" s="1304" t="s">
        <v>1785</v>
      </c>
      <c r="D154" s="1294" t="str">
        <f>IF(C154="SINAPI",VLOOKUP(B154,'20-A.SINAPI-I'!A:G,2,0),VLOOKUP(B154,'12.COT.MERCADO'!A:I,2,0))</f>
        <v>Kit Porteiro Eletrônico Residencial IPR 8010 Intelbras</v>
      </c>
      <c r="E154" s="1305" t="s">
        <v>18393</v>
      </c>
      <c r="F154" s="1296" t="str">
        <f>IF(C154="SINAPI",VLOOKUP(B154,'20-A.SINAPI-I'!A:G,3,0),VLOOKUP(B154,'12.COT.MERCADO'!A:I,7,0))</f>
        <v>UN</v>
      </c>
      <c r="G154" s="1306">
        <v>0.67</v>
      </c>
      <c r="H154" s="1298">
        <f>IF(C154="SINAPI",VLOOKUP(B154,'20-A.SINAPI-I'!A:G,4,0),VLOOKUP(B154,'12.COT.MERCADO'!A:I,8,0))</f>
        <v>204.21</v>
      </c>
      <c r="I154" s="1298">
        <f>IF(E154="Mão de Obra",H154*(1+'7. BDI SERVIÇOS'!$K$5),H154*(1+'8. BDI MERO FORNECIMENTO'!$K$5))</f>
        <v>239.1982356</v>
      </c>
      <c r="J154" s="1298">
        <f t="shared" si="1"/>
        <v>136.8207</v>
      </c>
      <c r="K154" s="1298">
        <f t="shared" si="2"/>
        <v>160.2628179</v>
      </c>
      <c r="L154" s="1299">
        <f t="shared" si="3"/>
        <v>0.0005139579059</v>
      </c>
      <c r="M154" s="1300">
        <f t="shared" si="5"/>
        <v>0.7007823993</v>
      </c>
      <c r="N154" s="1301" t="str">
        <f t="shared" si="4"/>
        <v>A</v>
      </c>
    </row>
    <row r="155">
      <c r="A155" s="1291">
        <v>150.0</v>
      </c>
      <c r="B155" s="1292">
        <v>2391.0</v>
      </c>
      <c r="C155" s="1304" t="s">
        <v>17759</v>
      </c>
      <c r="D155" s="1303" t="str">
        <f>IF(C155="SINAPI",VLOOKUP(B155,'20-A.SINAPI-I'!A:G,2,0),VLOOKUP(B155,'12.COT.MERCADO'!A:I,2,0))</f>
        <v>DISJUNTOR TERMOMAGNETICO TRIPOLAR 125A</v>
      </c>
      <c r="E155" s="1305" t="s">
        <v>18393</v>
      </c>
      <c r="F155" s="1296" t="str">
        <f>IF(C155="SINAPI",VLOOKUP(B155,'20-A.SINAPI-I'!A:G,3,0),VLOOKUP(B155,'12.COT.MERCADO'!A:I,7,0))</f>
        <v>UN</v>
      </c>
      <c r="G155" s="1306">
        <v>0.33</v>
      </c>
      <c r="H155" s="1298">
        <f>IF(C155="SINAPI",VLOOKUP(B155,'20-A.SINAPI-I'!A:G,4,0),VLOOKUP(B155,'12.COT.MERCADO'!A:I,8,0))</f>
        <v>351.97</v>
      </c>
      <c r="I155" s="1298">
        <f>IF(E155="Mão de Obra",H155*(1+'7. BDI SERVIÇOS'!$K$5),H155*(1+'8. BDI MERO FORNECIMENTO'!$K$5))</f>
        <v>412.2746339</v>
      </c>
      <c r="J155" s="1298">
        <f t="shared" si="1"/>
        <v>116.1501</v>
      </c>
      <c r="K155" s="1298">
        <f t="shared" si="2"/>
        <v>136.0506292</v>
      </c>
      <c r="L155" s="1299">
        <f t="shared" si="3"/>
        <v>0.0004363101648</v>
      </c>
      <c r="M155" s="1300">
        <f t="shared" si="5"/>
        <v>0.7012187095</v>
      </c>
      <c r="N155" s="1301" t="str">
        <f t="shared" si="4"/>
        <v>A</v>
      </c>
    </row>
    <row r="156">
      <c r="A156" s="1291">
        <v>152.0</v>
      </c>
      <c r="B156" s="1292">
        <v>39853.0</v>
      </c>
      <c r="C156" s="1304" t="s">
        <v>17759</v>
      </c>
      <c r="D156" s="1303" t="str">
        <f>IF(C156="SINAPI",VLOOKUP(B156,'20-A.SINAPI-I'!A:G,2,0),VLOOKUP(B156,'12.COT.MERCADO'!A:I,2,0))</f>
        <v>TUBO DE BORRACHA ELASTOMERICA FLEXIVEL, PRETA, PARA ISOLAMENTO TERMICO DE TUBULACAO, DN 5/8" (15 MM), E= 19 MM, COEFICIENTE DE CONDUTIVIDADE TERMICA 0,036W/MK, VAPOR DE AGUA MAIOR OU IGUAL A 10.000</v>
      </c>
      <c r="E156" s="1305" t="s">
        <v>18393</v>
      </c>
      <c r="F156" s="1296" t="str">
        <f>IF(C156="SINAPI",VLOOKUP(B156,'20-A.SINAPI-I'!A:G,3,0),VLOOKUP(B156,'12.COT.MERCADO'!A:I,7,0))</f>
        <v>M</v>
      </c>
      <c r="G156" s="1306">
        <v>5.775</v>
      </c>
      <c r="H156" s="1298">
        <f>IF(C156="SINAPI",VLOOKUP(B156,'20-A.SINAPI-I'!A:G,4,0),VLOOKUP(B156,'12.COT.MERCADO'!A:I,8,0))</f>
        <v>16.96</v>
      </c>
      <c r="I156" s="1298">
        <f>IF(E156="Mão de Obra",H156*(1+'7. BDI SERVIÇOS'!$K$5),H156*(1+'8. BDI MERO FORNECIMENTO'!$K$5))</f>
        <v>19.86583456</v>
      </c>
      <c r="J156" s="1298">
        <f t="shared" si="1"/>
        <v>97.944</v>
      </c>
      <c r="K156" s="1298">
        <f t="shared" si="2"/>
        <v>114.7251946</v>
      </c>
      <c r="L156" s="1299">
        <f t="shared" si="3"/>
        <v>0.0003679201549</v>
      </c>
      <c r="M156" s="1300">
        <f t="shared" si="5"/>
        <v>0.7015866296</v>
      </c>
      <c r="N156" s="1301" t="str">
        <f t="shared" si="4"/>
        <v>A</v>
      </c>
    </row>
    <row r="157">
      <c r="A157" s="1291">
        <v>153.0</v>
      </c>
      <c r="B157" s="1292" t="s">
        <v>1937</v>
      </c>
      <c r="C157" s="1304" t="s">
        <v>1785</v>
      </c>
      <c r="D157" s="1294" t="str">
        <f>IF(C157="SINAPI",VLOOKUP(B157,'20-A.SINAPI-I'!A:G,2,0),VLOOKUP(B157,'12.COT.MERCADO'!A:I,2,0))</f>
        <v>FECHADURA DE SOBREPOR PAR APORTA CORTA FOGO (SEM CHAVE)</v>
      </c>
      <c r="E157" s="1305" t="s">
        <v>18393</v>
      </c>
      <c r="F157" s="1296" t="str">
        <f>IF(C157="SINAPI",VLOOKUP(B157,'20-A.SINAPI-I'!A:G,3,0),VLOOKUP(B157,'12.COT.MERCADO'!A:I,7,0))</f>
        <v>UN</v>
      </c>
      <c r="G157" s="1306">
        <v>1.67</v>
      </c>
      <c r="H157" s="1298">
        <f>IF(C157="SINAPI",VLOOKUP(B157,'20-A.SINAPI-I'!A:G,4,0),VLOOKUP(B157,'12.COT.MERCADO'!A:I,8,0))</f>
        <v>79.9</v>
      </c>
      <c r="I157" s="1298">
        <f>IF(E157="Mão de Obra",H157*(1+'7. BDI SERVIÇOS'!$K$5),H157*(1+'8. BDI MERO FORNECIMENTO'!$K$5))</f>
        <v>93.58963335</v>
      </c>
      <c r="J157" s="1298">
        <f t="shared" si="1"/>
        <v>133.433</v>
      </c>
      <c r="K157" s="1298">
        <f t="shared" si="2"/>
        <v>156.2946877</v>
      </c>
      <c r="L157" s="1299">
        <f t="shared" si="3"/>
        <v>0.000501232235</v>
      </c>
      <c r="M157" s="1300">
        <f t="shared" si="5"/>
        <v>0.7020878619</v>
      </c>
      <c r="N157" s="1301" t="str">
        <f t="shared" si="4"/>
        <v>A</v>
      </c>
    </row>
    <row r="158">
      <c r="A158" s="1291">
        <v>154.0</v>
      </c>
      <c r="B158" s="1292">
        <v>6136.0</v>
      </c>
      <c r="C158" s="1304" t="s">
        <v>17759</v>
      </c>
      <c r="D158" s="1303" t="str">
        <f>IF(C158="SINAPI",VLOOKUP(B158,'20-A.SINAPI-I'!A:G,2,0),VLOOKUP(B158,'12.COT.MERCADO'!A:I,2,0))</f>
        <v>SIFAO EM METAL CROMADO PARA PIA OU LAVATORIO, 1 X 1.1/2 "</v>
      </c>
      <c r="E158" s="1305" t="s">
        <v>18393</v>
      </c>
      <c r="F158" s="1296" t="str">
        <f>IF(C158="SINAPI",VLOOKUP(B158,'20-A.SINAPI-I'!A:G,3,0),VLOOKUP(B158,'12.COT.MERCADO'!A:I,7,0))</f>
        <v>UN</v>
      </c>
      <c r="G158" s="1306">
        <v>0.33</v>
      </c>
      <c r="H158" s="1298">
        <f>IF(C158="SINAPI",VLOOKUP(B158,'20-A.SINAPI-I'!A:G,4,0),VLOOKUP(B158,'12.COT.MERCADO'!A:I,8,0))</f>
        <v>272.5</v>
      </c>
      <c r="I158" s="1298">
        <f>IF(E158="Mão de Obra",H158*(1+'7. BDI SERVIÇOS'!$K$5),H158*(1+'8. BDI MERO FORNECIMENTO'!$K$5))</f>
        <v>319.1886744</v>
      </c>
      <c r="J158" s="1298">
        <f t="shared" si="1"/>
        <v>89.925</v>
      </c>
      <c r="K158" s="1298">
        <f t="shared" si="2"/>
        <v>105.3322626</v>
      </c>
      <c r="L158" s="1299">
        <f t="shared" si="3"/>
        <v>0.000337797312</v>
      </c>
      <c r="M158" s="1300">
        <f t="shared" si="5"/>
        <v>0.7024256592</v>
      </c>
      <c r="N158" s="1301" t="str">
        <f t="shared" si="4"/>
        <v>A</v>
      </c>
    </row>
    <row r="159">
      <c r="A159" s="1291">
        <v>155.0</v>
      </c>
      <c r="B159" s="1292">
        <v>10422.0</v>
      </c>
      <c r="C159" s="1304" t="s">
        <v>17759</v>
      </c>
      <c r="D159" s="1303" t="str">
        <f>IF(C159="SINAPI",VLOOKUP(B159,'20-A.SINAPI-I'!A:G,2,0),VLOOKUP(B159,'12.COT.MERCADO'!A:I,2,0))</f>
        <v>BACIA SANITARIA (VASO) COM CAIXA ACOPLADA, SIFAO APARENTE, DE LOUCA BRANCA (SEM ASSENTO)</v>
      </c>
      <c r="E159" s="1305" t="s">
        <v>18393</v>
      </c>
      <c r="F159" s="1296" t="str">
        <f>IF(C159="SINAPI",VLOOKUP(B159,'20-A.SINAPI-I'!A:G,3,0),VLOOKUP(B159,'12.COT.MERCADO'!A:I,7,0))</f>
        <v>UN</v>
      </c>
      <c r="G159" s="1306">
        <v>0.33</v>
      </c>
      <c r="H159" s="1298">
        <f>IF(C159="SINAPI",VLOOKUP(B159,'20-A.SINAPI-I'!A:G,4,0),VLOOKUP(B159,'12.COT.MERCADO'!A:I,8,0))</f>
        <v>416.1</v>
      </c>
      <c r="I159" s="1298">
        <f>IF(E159="Mão de Obra",H159*(1+'7. BDI SERVIÇOS'!$K$5),H159*(1+'8. BDI MERO FORNECIMENTO'!$K$5))</f>
        <v>487.3923209</v>
      </c>
      <c r="J159" s="1298">
        <f t="shared" si="1"/>
        <v>137.313</v>
      </c>
      <c r="K159" s="1298">
        <f t="shared" si="2"/>
        <v>160.8394659</v>
      </c>
      <c r="L159" s="1299">
        <f t="shared" si="3"/>
        <v>0.0005158071983</v>
      </c>
      <c r="M159" s="1300">
        <f t="shared" si="5"/>
        <v>0.7029414664</v>
      </c>
      <c r="N159" s="1301" t="str">
        <f t="shared" si="4"/>
        <v>A</v>
      </c>
    </row>
    <row r="160">
      <c r="A160" s="1291">
        <v>156.0</v>
      </c>
      <c r="B160" s="1292">
        <v>1021.0</v>
      </c>
      <c r="C160" s="1304" t="s">
        <v>17759</v>
      </c>
      <c r="D160" s="1303" t="str">
        <f>IF(C160="SINAPI",VLOOKUP(B160,'20-A.SINAPI-I'!A:G,2,0),VLOOKUP(B160,'12.COT.MERCADO'!A:I,2,0))</f>
        <v>CABO DE COBRE, FLEXIVEL, CLASSE 4 OU 5, ISOLACAO EM PVC/A, ANTICHAMA BWF-B, COBERTURA PVC-ST1, ANTICHAMA BWF-B, 1 CONDUTOR, 0,6/1 KV, SECAO NOMINAL 4 MM2</v>
      </c>
      <c r="E160" s="1305" t="s">
        <v>18393</v>
      </c>
      <c r="F160" s="1296" t="str">
        <f>IF(C160="SINAPI",VLOOKUP(B160,'20-A.SINAPI-I'!A:G,3,0),VLOOKUP(B160,'12.COT.MERCADO'!A:I,7,0))</f>
        <v>M</v>
      </c>
      <c r="G160" s="1306">
        <v>31.7492</v>
      </c>
      <c r="H160" s="1298">
        <f>IF(C160="SINAPI",VLOOKUP(B160,'20-A.SINAPI-I'!A:G,4,0),VLOOKUP(B160,'12.COT.MERCADO'!A:I,8,0))</f>
        <v>3.94</v>
      </c>
      <c r="I160" s="1298">
        <f>IF(E160="Mão de Obra",H160*(1+'7. BDI SERVIÇOS'!$K$5),H160*(1+'8. BDI MERO FORNECIMENTO'!$K$5))</f>
        <v>4.615058265</v>
      </c>
      <c r="J160" s="1298">
        <f t="shared" si="1"/>
        <v>125.091848</v>
      </c>
      <c r="K160" s="1298">
        <f t="shared" si="2"/>
        <v>146.5244079</v>
      </c>
      <c r="L160" s="1299">
        <f t="shared" si="3"/>
        <v>0.0004698992495</v>
      </c>
      <c r="M160" s="1300">
        <f t="shared" si="5"/>
        <v>0.7034113656</v>
      </c>
      <c r="N160" s="1301" t="str">
        <f t="shared" si="4"/>
        <v>A</v>
      </c>
    </row>
    <row r="161">
      <c r="A161" s="1291">
        <v>157.0</v>
      </c>
      <c r="B161" s="1292" t="s">
        <v>1876</v>
      </c>
      <c r="C161" s="1304" t="s">
        <v>1785</v>
      </c>
      <c r="D161" s="1294" t="str">
        <f>IF(C161="SINAPI",VLOOKUP(B161,'20-A.SINAPI-I'!A:G,2,0),VLOOKUP(B161,'12.COT.MERCADO'!A:I,2,0))</f>
        <v>PLUGUE MACHO 2P+T 250V 20A</v>
      </c>
      <c r="E161" s="1305" t="s">
        <v>18393</v>
      </c>
      <c r="F161" s="1296" t="str">
        <f>IF(C161="SINAPI",VLOOKUP(B161,'20-A.SINAPI-I'!A:G,3,0),VLOOKUP(B161,'12.COT.MERCADO'!A:I,7,0))</f>
        <v>UN</v>
      </c>
      <c r="G161" s="1306">
        <v>14.01</v>
      </c>
      <c r="H161" s="1298">
        <f>IF(C161="SINAPI",VLOOKUP(B161,'20-A.SINAPI-I'!A:G,4,0),VLOOKUP(B161,'12.COT.MERCADO'!A:I,8,0))</f>
        <v>8.99</v>
      </c>
      <c r="I161" s="1298">
        <f>IF(E161="Mão de Obra",H161*(1+'7. BDI SERVIÇOS'!$K$5),H161*(1+'8. BDI MERO FORNECIMENTO'!$K$5))</f>
        <v>10.53029792</v>
      </c>
      <c r="J161" s="1298">
        <f t="shared" si="1"/>
        <v>125.9499</v>
      </c>
      <c r="K161" s="1298">
        <f t="shared" si="2"/>
        <v>147.5294739</v>
      </c>
      <c r="L161" s="1299">
        <f t="shared" si="3"/>
        <v>0.0004731224651</v>
      </c>
      <c r="M161" s="1300">
        <f t="shared" si="5"/>
        <v>0.7038844881</v>
      </c>
      <c r="N161" s="1301" t="str">
        <f t="shared" si="4"/>
        <v>A</v>
      </c>
    </row>
    <row r="162">
      <c r="A162" s="1291">
        <v>148.0</v>
      </c>
      <c r="B162" s="1292">
        <v>35277.0</v>
      </c>
      <c r="C162" s="1304" t="s">
        <v>17759</v>
      </c>
      <c r="D162" s="1303" t="str">
        <f>IF(C162="SINAPI",VLOOKUP(B162,'20-A.SINAPI-I'!A:G,2,0),VLOOKUP(B162,'12.COT.MERCADO'!A:I,2,0))</f>
        <v>CAIXA DE GORDURA EM PVC, DIAMETRO MINIMO 300 MM, DIAMETRO DE SAIDA 100 MM, CAPACIDADE  APROXIMADA 18 LITROS, COM TAMPA E CESTO</v>
      </c>
      <c r="E162" s="1305" t="s">
        <v>18393</v>
      </c>
      <c r="F162" s="1296" t="str">
        <f>IF(C162="SINAPI",VLOOKUP(B162,'20-A.SINAPI-I'!A:G,3,0),VLOOKUP(B162,'12.COT.MERCADO'!A:I,7,0))</f>
        <v>UN</v>
      </c>
      <c r="G162" s="1306">
        <v>0.33</v>
      </c>
      <c r="H162" s="1298">
        <f>IF(C162="SINAPI",VLOOKUP(B162,'20-A.SINAPI-I'!A:G,4,0),VLOOKUP(B162,'12.COT.MERCADO'!A:I,8,0))</f>
        <v>368.5</v>
      </c>
      <c r="I162" s="1298">
        <f>IF(E162="Mão de Obra",H162*(1+'7. BDI SERVIÇOS'!$K$5),H162*(1+'8. BDI MERO FORNECIMENTO'!$K$5))</f>
        <v>431.6367946</v>
      </c>
      <c r="J162" s="1298">
        <f t="shared" si="1"/>
        <v>121.605</v>
      </c>
      <c r="K162" s="1298">
        <f t="shared" si="2"/>
        <v>142.4401422</v>
      </c>
      <c r="L162" s="1299">
        <f t="shared" si="3"/>
        <v>0.0004568011357</v>
      </c>
      <c r="M162" s="1300">
        <f t="shared" si="5"/>
        <v>0.7043412892</v>
      </c>
      <c r="N162" s="1301" t="str">
        <f t="shared" si="4"/>
        <v>A</v>
      </c>
    </row>
    <row r="163">
      <c r="A163" s="1291">
        <v>158.0</v>
      </c>
      <c r="B163" s="1292">
        <v>37588.0</v>
      </c>
      <c r="C163" s="1304" t="s">
        <v>17759</v>
      </c>
      <c r="D163" s="1303" t="str">
        <f>IF(C163="SINAPI",VLOOKUP(B163,'20-A.SINAPI-I'!A:G,2,0),VLOOKUP(B163,'12.COT.MERCADO'!A:I,2,0))</f>
        <v>VALVULA DE ESCOAMENTO PARA TANQUE, EM METAL CROMADO, 1.1/2 ", SEM LADRAO, COM TAMPAO PLASTICO</v>
      </c>
      <c r="E163" s="1305" t="s">
        <v>18393</v>
      </c>
      <c r="F163" s="1296" t="str">
        <f>IF(C163="SINAPI",VLOOKUP(B163,'20-A.SINAPI-I'!A:G,3,0),VLOOKUP(B163,'12.COT.MERCADO'!A:I,7,0))</f>
        <v>UN</v>
      </c>
      <c r="G163" s="1306">
        <v>1.0</v>
      </c>
      <c r="H163" s="1298">
        <f>IF(C163="SINAPI",VLOOKUP(B163,'20-A.SINAPI-I'!A:G,4,0),VLOOKUP(B163,'12.COT.MERCADO'!A:I,8,0))</f>
        <v>85.72</v>
      </c>
      <c r="I163" s="1298">
        <f>IF(E163="Mão de Obra",H163*(1+'7. BDI SERVIÇOS'!$K$5),H163*(1+'8. BDI MERO FORNECIMENTO'!$K$5))</f>
        <v>100.4068006</v>
      </c>
      <c r="J163" s="1298">
        <f t="shared" si="1"/>
        <v>85.72</v>
      </c>
      <c r="K163" s="1298">
        <f t="shared" si="2"/>
        <v>100.4068006</v>
      </c>
      <c r="L163" s="1299">
        <f t="shared" si="3"/>
        <v>0.0003220015078</v>
      </c>
      <c r="M163" s="1300">
        <f t="shared" si="5"/>
        <v>0.7046632907</v>
      </c>
      <c r="N163" s="1301" t="str">
        <f t="shared" si="4"/>
        <v>A</v>
      </c>
    </row>
    <row r="164">
      <c r="A164" s="1291">
        <v>159.0</v>
      </c>
      <c r="B164" s="1292">
        <v>43488.0</v>
      </c>
      <c r="C164" s="1304" t="s">
        <v>17759</v>
      </c>
      <c r="D164" s="1303" t="str">
        <f>IF(C164="SINAPI",VLOOKUP(B164,'20-A.SINAPI-I'!A:G,2,0),VLOOKUP(B164,'12.COT.MERCADO'!A:I,2,0))</f>
        <v>EPI - FAMILIA OPERADOR ESCAVADEIRA - HORISTA (ENCARGOS COMPLEMENTARES - COLETADO CAIXA)</v>
      </c>
      <c r="E164" s="1305" t="s">
        <v>18393</v>
      </c>
      <c r="F164" s="1296" t="str">
        <f>IF(C164="SINAPI",VLOOKUP(B164,'20-A.SINAPI-I'!A:G,3,0),VLOOKUP(B164,'12.COT.MERCADO'!A:I,7,0))</f>
        <v>H</v>
      </c>
      <c r="G164" s="1306">
        <v>150.2223504</v>
      </c>
      <c r="H164" s="1298">
        <f>IF(C164="SINAPI",VLOOKUP(B164,'20-A.SINAPI-I'!A:G,4,0),VLOOKUP(B164,'12.COT.MERCADO'!A:I,8,0))</f>
        <v>0.82</v>
      </c>
      <c r="I164" s="1298">
        <f>IF(E164="Mão de Obra",H164*(1+'7. BDI SERVIÇOS'!$K$5),H164*(1+'8. BDI MERO FORNECIMENTO'!$K$5))</f>
        <v>0.9604943598</v>
      </c>
      <c r="J164" s="1298">
        <f t="shared" si="1"/>
        <v>123.1823273</v>
      </c>
      <c r="K164" s="1298">
        <f t="shared" si="2"/>
        <v>144.2877203</v>
      </c>
      <c r="L164" s="1299">
        <f t="shared" si="3"/>
        <v>0.0004627262614</v>
      </c>
      <c r="M164" s="1300">
        <f t="shared" si="5"/>
        <v>0.705126017</v>
      </c>
      <c r="N164" s="1301" t="str">
        <f t="shared" si="4"/>
        <v>A</v>
      </c>
    </row>
    <row r="165">
      <c r="A165" s="1291">
        <v>160.0</v>
      </c>
      <c r="B165" s="1292">
        <v>377.0</v>
      </c>
      <c r="C165" s="1304" t="s">
        <v>17759</v>
      </c>
      <c r="D165" s="1303" t="str">
        <f>IF(C165="SINAPI",VLOOKUP(B165,'20-A.SINAPI-I'!A:G,2,0),VLOOKUP(B165,'12.COT.MERCADO'!A:I,2,0))</f>
        <v>ASSENTO SANITARIO DE PLASTICO, TIPO CONVENCIONAL</v>
      </c>
      <c r="E165" s="1305" t="s">
        <v>18393</v>
      </c>
      <c r="F165" s="1296" t="str">
        <f>IF(C165="SINAPI",VLOOKUP(B165,'20-A.SINAPI-I'!A:G,3,0),VLOOKUP(B165,'12.COT.MERCADO'!A:I,7,0))</f>
        <v>UN</v>
      </c>
      <c r="G165" s="1306">
        <v>3.33</v>
      </c>
      <c r="H165" s="1298">
        <f>IF(C165="SINAPI",VLOOKUP(B165,'20-A.SINAPI-I'!A:G,4,0),VLOOKUP(B165,'12.COT.MERCADO'!A:I,8,0))</f>
        <v>39</v>
      </c>
      <c r="I165" s="1298">
        <f>IF(E165="Mão de Obra",H165*(1+'7. BDI SERVIÇOS'!$K$5),H165*(1+'8. BDI MERO FORNECIMENTO'!$K$5))</f>
        <v>45.68204882</v>
      </c>
      <c r="J165" s="1298">
        <f t="shared" si="1"/>
        <v>129.87</v>
      </c>
      <c r="K165" s="1298">
        <f t="shared" si="2"/>
        <v>152.1212226</v>
      </c>
      <c r="L165" s="1299">
        <f t="shared" si="3"/>
        <v>0.0004878480613</v>
      </c>
      <c r="M165" s="1300">
        <f t="shared" si="5"/>
        <v>0.705613865</v>
      </c>
      <c r="N165" s="1301" t="str">
        <f t="shared" si="4"/>
        <v>A</v>
      </c>
    </row>
    <row r="166">
      <c r="A166" s="1291">
        <v>161.0</v>
      </c>
      <c r="B166" s="1292">
        <v>10432.0</v>
      </c>
      <c r="C166" s="1304" t="s">
        <v>17759</v>
      </c>
      <c r="D166" s="1303" t="str">
        <f>IF(C166="SINAPI",VLOOKUP(B166,'20-A.SINAPI-I'!A:G,2,0),VLOOKUP(B166,'12.COT.MERCADO'!A:I,2,0))</f>
        <v>MICTORIO INDICUDUAL, SIFONADO, LOUCA BRANCA, SEM COMPLEMENTOS</v>
      </c>
      <c r="E166" s="1305" t="s">
        <v>18393</v>
      </c>
      <c r="F166" s="1296" t="str">
        <f>IF(C166="SINAPI",VLOOKUP(B166,'20-A.SINAPI-I'!A:G,3,0),VLOOKUP(B166,'12.COT.MERCADO'!A:I,7,0))</f>
        <v>UN</v>
      </c>
      <c r="G166" s="1306">
        <v>0.33</v>
      </c>
      <c r="H166" s="1298">
        <f>IF(C166="SINAPI",VLOOKUP(B166,'20-A.SINAPI-I'!A:G,4,0),VLOOKUP(B166,'12.COT.MERCADO'!A:I,8,0))</f>
        <v>387.58</v>
      </c>
      <c r="I166" s="1298">
        <f>IF(E166="Mão de Obra",H166*(1+'7. BDI SERVIÇOS'!$K$5),H166*(1+'8. BDI MERO FORNECIMENTO'!$K$5))</f>
        <v>453.9858585</v>
      </c>
      <c r="J166" s="1298">
        <f t="shared" si="1"/>
        <v>127.9014</v>
      </c>
      <c r="K166" s="1298">
        <f t="shared" si="2"/>
        <v>149.8153333</v>
      </c>
      <c r="L166" s="1299">
        <f t="shared" si="3"/>
        <v>0.0004804531457</v>
      </c>
      <c r="M166" s="1300">
        <f t="shared" si="5"/>
        <v>0.7060943182</v>
      </c>
      <c r="N166" s="1301" t="str">
        <f t="shared" si="4"/>
        <v>A</v>
      </c>
    </row>
    <row r="167">
      <c r="A167" s="1291">
        <v>162.0</v>
      </c>
      <c r="B167" s="1292">
        <v>39925.0</v>
      </c>
      <c r="C167" s="1304" t="s">
        <v>17759</v>
      </c>
      <c r="D167" s="1303" t="str">
        <f>IF(C167="SINAPI",VLOOKUP(B167,'20-A.SINAPI-I'!A:G,2,0),VLOOKUP(B167,'12.COT.MERCADO'!A:I,2,0))</f>
        <v>BOMBA CENTRIFUGA MONOESTAGIO COM MOTOR ELETRICO MONOFASICO, POTENCIA 15 HP,  DIAMETRO DO ROTOR *173* MM, HM/Q = *30* MCA / *90* M3/H A *45* MCA / *55* M3/H</v>
      </c>
      <c r="E167" s="1305" t="s">
        <v>18393</v>
      </c>
      <c r="F167" s="1296" t="str">
        <f>IF(C167="SINAPI",VLOOKUP(B167,'20-A.SINAPI-I'!A:G,3,0),VLOOKUP(B167,'12.COT.MERCADO'!A:I,7,0))</f>
        <v>UN</v>
      </c>
      <c r="G167" s="1306">
        <v>0.009436</v>
      </c>
      <c r="H167" s="1298">
        <f>IF(C167="SINAPI",VLOOKUP(B167,'20-A.SINAPI-I'!A:G,4,0),VLOOKUP(B167,'12.COT.MERCADO'!A:I,8,0))</f>
        <v>12831.52</v>
      </c>
      <c r="I167" s="1298">
        <f>IF(E167="Mão de Obra",H167*(1+'7. BDI SERVIÇOS'!$K$5),H167*(1+'8. BDI MERO FORNECIMENTO'!$K$5))</f>
        <v>15030.00316</v>
      </c>
      <c r="J167" s="1298">
        <f t="shared" si="1"/>
        <v>121.0782227</v>
      </c>
      <c r="K167" s="1298">
        <f t="shared" si="2"/>
        <v>141.8231098</v>
      </c>
      <c r="L167" s="1299">
        <f t="shared" si="3"/>
        <v>0.0004548223317</v>
      </c>
      <c r="M167" s="1300">
        <f t="shared" si="5"/>
        <v>0.7065491405</v>
      </c>
      <c r="N167" s="1301" t="str">
        <f t="shared" si="4"/>
        <v>A</v>
      </c>
    </row>
    <row r="168">
      <c r="A168" s="1291">
        <v>163.0</v>
      </c>
      <c r="B168" s="1292">
        <v>6160.0</v>
      </c>
      <c r="C168" s="1304" t="s">
        <v>17759</v>
      </c>
      <c r="D168" s="1303" t="str">
        <f>IF(C168="SINAPI",VLOOKUP(B168,'20-A.SINAPI-I'!A:G,2,0),VLOOKUP(B168,'12.COT.MERCADO'!A:I,2,0))</f>
        <v>SOLDADOR (HORISTA)</v>
      </c>
      <c r="E168" s="1305" t="s">
        <v>18393</v>
      </c>
      <c r="F168" s="1296" t="str">
        <f>IF(C168="SINAPI",VLOOKUP(B168,'20-A.SINAPI-I'!A:G,3,0),VLOOKUP(B168,'12.COT.MERCADO'!A:I,7,0))</f>
        <v>H</v>
      </c>
      <c r="G168" s="1306">
        <v>5.0554</v>
      </c>
      <c r="H168" s="1298">
        <f>IF(C168="SINAPI",VLOOKUP(B168,'20-A.SINAPI-I'!A:G,4,0),VLOOKUP(B168,'12.COT.MERCADO'!A:I,8,0))</f>
        <v>21.4</v>
      </c>
      <c r="I168" s="1298">
        <f>IF(E168="Mão de Obra",H168*(1+'7. BDI SERVIÇOS'!$K$5),H168*(1+'8. BDI MERO FORNECIMENTO'!$K$5))</f>
        <v>25.06656012</v>
      </c>
      <c r="J168" s="1298">
        <f t="shared" si="1"/>
        <v>108.18556</v>
      </c>
      <c r="K168" s="1298">
        <f t="shared" si="2"/>
        <v>126.721488</v>
      </c>
      <c r="L168" s="1299">
        <f t="shared" si="3"/>
        <v>0.0004063918973</v>
      </c>
      <c r="M168" s="1300">
        <f t="shared" si="5"/>
        <v>0.7069555324</v>
      </c>
      <c r="N168" s="1301" t="str">
        <f t="shared" si="4"/>
        <v>A</v>
      </c>
    </row>
    <row r="169">
      <c r="A169" s="1291">
        <v>164.0</v>
      </c>
      <c r="B169" s="1292">
        <v>43466.0</v>
      </c>
      <c r="C169" s="1304" t="s">
        <v>17759</v>
      </c>
      <c r="D169" s="1303" t="str">
        <f>IF(C169="SINAPI",VLOOKUP(B169,'20-A.SINAPI-I'!A:G,2,0),VLOOKUP(B169,'12.COT.MERCADO'!A:I,2,0))</f>
        <v>FERRAMENTAS - FAMILIA PINTOR - HORISTA (ENCARGOS COMPLEMENTARES - COLETADO CAIXA)</v>
      </c>
      <c r="E169" s="1305" t="s">
        <v>18393</v>
      </c>
      <c r="F169" s="1296" t="str">
        <f>IF(C169="SINAPI",VLOOKUP(B169,'20-A.SINAPI-I'!A:G,3,0),VLOOKUP(B169,'12.COT.MERCADO'!A:I,7,0))</f>
        <v>H</v>
      </c>
      <c r="G169" s="1306">
        <v>68.54472</v>
      </c>
      <c r="H169" s="1298">
        <f>IF(C169="SINAPI",VLOOKUP(B169,'20-A.SINAPI-I'!A:G,4,0),VLOOKUP(B169,'12.COT.MERCADO'!A:I,8,0))</f>
        <v>1.68</v>
      </c>
      <c r="I169" s="1298">
        <f>IF(E169="Mão de Obra",H169*(1+'7. BDI SERVIÇOS'!$K$5),H169*(1+'8. BDI MERO FORNECIMENTO'!$K$5))</f>
        <v>1.967842103</v>
      </c>
      <c r="J169" s="1298">
        <f t="shared" si="1"/>
        <v>115.1551296</v>
      </c>
      <c r="K169" s="1298">
        <f t="shared" si="2"/>
        <v>134.885186</v>
      </c>
      <c r="L169" s="1299">
        <f t="shared" si="3"/>
        <v>0.0004325726244</v>
      </c>
      <c r="M169" s="1300">
        <f t="shared" si="5"/>
        <v>0.707388105</v>
      </c>
      <c r="N169" s="1301" t="str">
        <f t="shared" si="4"/>
        <v>A</v>
      </c>
    </row>
    <row r="170">
      <c r="A170" s="1291">
        <v>165.0</v>
      </c>
      <c r="B170" s="1292">
        <v>43490.0</v>
      </c>
      <c r="C170" s="1304" t="s">
        <v>17759</v>
      </c>
      <c r="D170" s="1303" t="str">
        <f>IF(C170="SINAPI",VLOOKUP(B170,'20-A.SINAPI-I'!A:G,2,0),VLOOKUP(B170,'12.COT.MERCADO'!A:I,2,0))</f>
        <v>EPI - FAMILIA PINTOR - HORISTA (ENCARGOS COMPLEMENTARES - COLETADO CAIXA)</v>
      </c>
      <c r="E170" s="1305" t="s">
        <v>18397</v>
      </c>
      <c r="F170" s="1296" t="str">
        <f>IF(C170="SINAPI",VLOOKUP(B170,'20-A.SINAPI-I'!A:G,3,0),VLOOKUP(B170,'12.COT.MERCADO'!A:I,7,0))</f>
        <v>H</v>
      </c>
      <c r="G170" s="1306">
        <v>68.54472</v>
      </c>
      <c r="H170" s="1298">
        <f>IF(C170="SINAPI",VLOOKUP(B170,'20-A.SINAPI-I'!A:G,4,0),VLOOKUP(B170,'12.COT.MERCADO'!A:I,8,0))</f>
        <v>1.68</v>
      </c>
      <c r="I170" s="1298">
        <f>IF(E170="Mão de Obra",H170*(1+'7. BDI SERVIÇOS'!$K$5),H170*(1+'8. BDI MERO FORNECIMENTO'!$K$5))</f>
        <v>1.967842103</v>
      </c>
      <c r="J170" s="1298">
        <f t="shared" si="1"/>
        <v>115.1551296</v>
      </c>
      <c r="K170" s="1298">
        <f t="shared" si="2"/>
        <v>134.885186</v>
      </c>
      <c r="L170" s="1299">
        <f t="shared" si="3"/>
        <v>0.0004325726244</v>
      </c>
      <c r="M170" s="1300">
        <f t="shared" si="5"/>
        <v>0.7078206777</v>
      </c>
      <c r="N170" s="1301" t="str">
        <f t="shared" si="4"/>
        <v>A</v>
      </c>
    </row>
    <row r="171">
      <c r="A171" s="1291">
        <v>172.0</v>
      </c>
      <c r="B171" s="1292">
        <v>13415.0</v>
      </c>
      <c r="C171" s="1304" t="s">
        <v>17759</v>
      </c>
      <c r="D171" s="1303" t="str">
        <f>IF(C171="SINAPI",VLOOKUP(B171,'20-A.SINAPI-I'!A:G,2,0),VLOOKUP(B171,'12.COT.MERCADO'!A:I,2,0))</f>
        <v>TORNEIRA DE MESA/BANCADA, PARA LAVATORIO, FIXA, METALICA CROMADA, PADRAO POPULAR, 1/2 " OU 3/4 " (REF 1193)</v>
      </c>
      <c r="E171" s="1305" t="s">
        <v>18394</v>
      </c>
      <c r="F171" s="1296" t="str">
        <f>IF(C171="SINAPI",VLOOKUP(B171,'20-A.SINAPI-I'!A:G,3,0),VLOOKUP(B171,'12.COT.MERCADO'!A:I,7,0))</f>
        <v>UN</v>
      </c>
      <c r="G171" s="1306">
        <v>2.0</v>
      </c>
      <c r="H171" s="1298">
        <f>IF(C171="SINAPI",VLOOKUP(B171,'20-A.SINAPI-I'!A:G,4,0),VLOOKUP(B171,'12.COT.MERCADO'!A:I,8,0))</f>
        <v>59.93</v>
      </c>
      <c r="I171" s="1298">
        <f>IF(E171="Mão de Obra",H171*(1+'7. BDI SERVIÇOS'!$K$5),H171*(1+'8. BDI MERO FORNECIMENTO'!$K$5))</f>
        <v>70.35320359</v>
      </c>
      <c r="J171" s="1298">
        <f t="shared" si="1"/>
        <v>119.86</v>
      </c>
      <c r="K171" s="1298">
        <f t="shared" si="2"/>
        <v>140.7064072</v>
      </c>
      <c r="L171" s="1299">
        <f t="shared" si="3"/>
        <v>0.000451241101</v>
      </c>
      <c r="M171" s="1300">
        <f t="shared" si="5"/>
        <v>0.7082719188</v>
      </c>
      <c r="N171" s="1301" t="str">
        <f t="shared" si="4"/>
        <v>A</v>
      </c>
    </row>
    <row r="172">
      <c r="A172" s="1291">
        <v>167.0</v>
      </c>
      <c r="B172" s="1292">
        <v>378.0</v>
      </c>
      <c r="C172" s="1304" t="s">
        <v>17759</v>
      </c>
      <c r="D172" s="1303" t="str">
        <f>IF(C172="SINAPI",VLOOKUP(B172,'20-A.SINAPI-I'!A:G,2,0),VLOOKUP(B172,'12.COT.MERCADO'!A:I,2,0))</f>
        <v>ARMADOR (HORISTA)</v>
      </c>
      <c r="E172" s="1305" t="s">
        <v>18393</v>
      </c>
      <c r="F172" s="1296" t="str">
        <f>IF(C172="SINAPI",VLOOKUP(B172,'20-A.SINAPI-I'!A:G,3,0),VLOOKUP(B172,'12.COT.MERCADO'!A:I,7,0))</f>
        <v>H</v>
      </c>
      <c r="G172" s="1306">
        <v>4.6978932</v>
      </c>
      <c r="H172" s="1298">
        <f>IF(C172="SINAPI",VLOOKUP(B172,'20-A.SINAPI-I'!A:G,4,0),VLOOKUP(B172,'12.COT.MERCADO'!A:I,8,0))</f>
        <v>20.82</v>
      </c>
      <c r="I172" s="1298">
        <f>IF(E172="Mão de Obra",H172*(1+'7. BDI SERVIÇOS'!$K$5),H172*(1+'8. BDI MERO FORNECIMENTO'!$K$5))</f>
        <v>24.38718606</v>
      </c>
      <c r="J172" s="1298">
        <f t="shared" si="1"/>
        <v>97.81013642</v>
      </c>
      <c r="K172" s="1298">
        <f t="shared" si="2"/>
        <v>114.5683956</v>
      </c>
      <c r="L172" s="1299">
        <f t="shared" si="3"/>
        <v>0.0003674173052</v>
      </c>
      <c r="M172" s="1300">
        <f t="shared" si="5"/>
        <v>0.7086393361</v>
      </c>
      <c r="N172" s="1301" t="str">
        <f t="shared" si="4"/>
        <v>A</v>
      </c>
    </row>
    <row r="173">
      <c r="A173" s="1291">
        <v>168.0</v>
      </c>
      <c r="B173" s="1292">
        <v>39465.0</v>
      </c>
      <c r="C173" s="1304" t="s">
        <v>17759</v>
      </c>
      <c r="D173" s="1303" t="str">
        <f>IF(C173="SINAPI",VLOOKUP(B173,'20-A.SINAPI-I'!A:G,2,0),VLOOKUP(B173,'12.COT.MERCADO'!A:I,2,0))</f>
        <v>DISPOSITIVO DPS CLASSE II, 1 POLO, TENSAO MAXIMA DE 175 V, CORRENTE MAXIMA DE *20* KA (TIPO AC)</v>
      </c>
      <c r="E173" s="1305" t="s">
        <v>18397</v>
      </c>
      <c r="F173" s="1296" t="str">
        <f>IF(C173="SINAPI",VLOOKUP(B173,'20-A.SINAPI-I'!A:G,3,0),VLOOKUP(B173,'12.COT.MERCADO'!A:I,7,0))</f>
        <v>UN</v>
      </c>
      <c r="G173" s="1306">
        <v>1.33</v>
      </c>
      <c r="H173" s="1298">
        <f>IF(C173="SINAPI",VLOOKUP(B173,'20-A.SINAPI-I'!A:G,4,0),VLOOKUP(B173,'12.COT.MERCADO'!A:I,8,0))</f>
        <v>68.75</v>
      </c>
      <c r="I173" s="1298">
        <f>IF(E173="Mão de Obra",H173*(1+'7. BDI SERVIÇOS'!$K$5),H173*(1+'8. BDI MERO FORNECIMENTO'!$K$5))</f>
        <v>80.52925273</v>
      </c>
      <c r="J173" s="1298">
        <f t="shared" si="1"/>
        <v>91.4375</v>
      </c>
      <c r="K173" s="1298">
        <f t="shared" si="2"/>
        <v>107.1039061</v>
      </c>
      <c r="L173" s="1299">
        <f t="shared" si="3"/>
        <v>0.0003434789182</v>
      </c>
      <c r="M173" s="1300">
        <f t="shared" si="5"/>
        <v>0.708982815</v>
      </c>
      <c r="N173" s="1301" t="str">
        <f t="shared" si="4"/>
        <v>A</v>
      </c>
    </row>
    <row r="174">
      <c r="A174" s="1291">
        <v>169.0</v>
      </c>
      <c r="B174" s="1292">
        <v>39422.0</v>
      </c>
      <c r="C174" s="1304" t="s">
        <v>17759</v>
      </c>
      <c r="D174" s="1303" t="str">
        <f>IF(C174="SINAPI",VLOOKUP(B174,'20-A.SINAPI-I'!A:G,2,0),VLOOKUP(B174,'12.COT.MERCADO'!A:I,2,0))</f>
        <v>PERFIL MONTANTE, FORMATO C, EM ACO ZINCADO, PARA ESTRUTURA PAREDE DRYWALL, E = 0,5 MM, 70 X 3000 MM (L X C)</v>
      </c>
      <c r="E174" s="1305" t="s">
        <v>18393</v>
      </c>
      <c r="F174" s="1296" t="str">
        <f>IF(C174="SINAPI",VLOOKUP(B174,'20-A.SINAPI-I'!A:G,3,0),VLOOKUP(B174,'12.COT.MERCADO'!A:I,7,0))</f>
        <v>M</v>
      </c>
      <c r="G174" s="1306">
        <v>8.64094</v>
      </c>
      <c r="H174" s="1298">
        <f>IF(C174="SINAPI",VLOOKUP(B174,'20-A.SINAPI-I'!A:G,4,0),VLOOKUP(B174,'12.COT.MERCADO'!A:I,8,0))</f>
        <v>10.09</v>
      </c>
      <c r="I174" s="1298">
        <f>IF(E174="Mão de Obra",H174*(1+'7. BDI SERVIÇOS'!$K$5),H174*(1+'8. BDI MERO FORNECIMENTO'!$K$5))</f>
        <v>11.81876596</v>
      </c>
      <c r="J174" s="1298">
        <f t="shared" si="1"/>
        <v>87.1870846</v>
      </c>
      <c r="K174" s="1298">
        <f t="shared" si="2"/>
        <v>102.1252476</v>
      </c>
      <c r="L174" s="1299">
        <f t="shared" si="3"/>
        <v>0.000327512514</v>
      </c>
      <c r="M174" s="1300">
        <f t="shared" si="5"/>
        <v>0.7093103275</v>
      </c>
      <c r="N174" s="1301" t="str">
        <f t="shared" si="4"/>
        <v>A</v>
      </c>
    </row>
    <row r="175">
      <c r="A175" s="1291">
        <v>176.0</v>
      </c>
      <c r="B175" s="1292">
        <v>1082.0</v>
      </c>
      <c r="C175" s="1304" t="s">
        <v>17759</v>
      </c>
      <c r="D175" s="1303" t="str">
        <f>IF(C175="SINAPI",VLOOKUP(B175,'20-A.SINAPI-I'!A:G,2,0),VLOOKUP(B175,'12.COT.MERCADO'!A:I,2,0))</f>
        <v>REATOR P/ LAMPADA VAPOR DE SODIO 250W USO EXT</v>
      </c>
      <c r="E175" s="1305" t="s">
        <v>18393</v>
      </c>
      <c r="F175" s="1296" t="str">
        <f>IF(C175="SINAPI",VLOOKUP(B175,'20-A.SINAPI-I'!A:G,3,0),VLOOKUP(B175,'12.COT.MERCADO'!A:I,7,0))</f>
        <v>UN</v>
      </c>
      <c r="G175" s="1306">
        <v>0.33</v>
      </c>
      <c r="H175" s="1298">
        <f>IF(C175="SINAPI",VLOOKUP(B175,'20-A.SINAPI-I'!A:G,4,0),VLOOKUP(B175,'12.COT.MERCADO'!A:I,8,0))</f>
        <v>236.71</v>
      </c>
      <c r="I175" s="1298">
        <f>IF(E175="Mão de Obra",H175*(1+'7. BDI SERVIÇOS'!$K$5),H175*(1+'8. BDI MERO FORNECIMENTO'!$K$5))</f>
        <v>277.2666096</v>
      </c>
      <c r="J175" s="1298">
        <f t="shared" si="1"/>
        <v>78.1143</v>
      </c>
      <c r="K175" s="1298">
        <f t="shared" si="2"/>
        <v>91.49798118</v>
      </c>
      <c r="L175" s="1299">
        <f t="shared" si="3"/>
        <v>0.000293431199</v>
      </c>
      <c r="M175" s="1300">
        <f t="shared" si="5"/>
        <v>0.7096037587</v>
      </c>
      <c r="N175" s="1301" t="str">
        <f t="shared" si="4"/>
        <v>A</v>
      </c>
    </row>
    <row r="176">
      <c r="A176" s="1291">
        <v>166.0</v>
      </c>
      <c r="B176" s="1292">
        <v>1623.0</v>
      </c>
      <c r="C176" s="1304" t="s">
        <v>17759</v>
      </c>
      <c r="D176" s="1303" t="str">
        <f>IF(C176="SINAPI",VLOOKUP(B176,'20-A.SINAPI-I'!A:G,2,0),VLOOKUP(B176,'12.COT.MERCADO'!A:I,2,0))</f>
        <v>CONTATOR TRIPOLAR, CORRENTE DE 12 A, TENSAO NOMINAL DE *500* V, CATEGORIA AC-2 E AC-3</v>
      </c>
      <c r="E176" s="1305" t="s">
        <v>18393</v>
      </c>
      <c r="F176" s="1296" t="str">
        <f>IF(C176="SINAPI",VLOOKUP(B176,'20-A.SINAPI-I'!A:G,3,0),VLOOKUP(B176,'12.COT.MERCADO'!A:I,7,0))</f>
        <v>UN</v>
      </c>
      <c r="G176" s="1306">
        <v>1.0</v>
      </c>
      <c r="H176" s="1298">
        <f>IF(C176="SINAPI",VLOOKUP(B176,'20-A.SINAPI-I'!A:G,4,0),VLOOKUP(B176,'12.COT.MERCADO'!A:I,8,0))</f>
        <v>106.91</v>
      </c>
      <c r="I176" s="1298">
        <f>IF(E176="Mão de Obra",H176*(1+'7. BDI SERVIÇOS'!$K$5),H176*(1+'8. BDI MERO FORNECIMENTO'!$K$5))</f>
        <v>125.2273805</v>
      </c>
      <c r="J176" s="1298">
        <f t="shared" si="1"/>
        <v>106.91</v>
      </c>
      <c r="K176" s="1298">
        <f t="shared" si="2"/>
        <v>125.2273805</v>
      </c>
      <c r="L176" s="1299">
        <f t="shared" si="3"/>
        <v>0.0004016003406</v>
      </c>
      <c r="M176" s="1300">
        <f t="shared" si="5"/>
        <v>0.710005359</v>
      </c>
      <c r="N176" s="1301" t="str">
        <f t="shared" si="4"/>
        <v>A</v>
      </c>
    </row>
    <row r="177">
      <c r="A177" s="1291">
        <v>179.0</v>
      </c>
      <c r="B177" s="1292" t="s">
        <v>1985</v>
      </c>
      <c r="C177" s="1304" t="s">
        <v>1785</v>
      </c>
      <c r="D177" s="1302" t="str">
        <f>IF(C177="SINAPI",VLOOKUP(B177,'20-A.SINAPI-I'!A:G,2,0),VLOOKUP(B177,'12.COT.MERCADO'!A:I,2,0))</f>
        <v>KIT COMPLETO UNIVERSAL PARA REPARO EM CAIXA ACOPLADA</v>
      </c>
      <c r="E177" s="1305" t="s">
        <v>18394</v>
      </c>
      <c r="F177" s="1296" t="str">
        <f>IF(C177="SINAPI",VLOOKUP(B177,'20-A.SINAPI-I'!A:G,3,0),VLOOKUP(B177,'12.COT.MERCADO'!A:I,7,0))</f>
        <v>CJ</v>
      </c>
      <c r="G177" s="1306">
        <v>1.33</v>
      </c>
      <c r="H177" s="1298">
        <f>IF(C177="SINAPI",VLOOKUP(B177,'20-A.SINAPI-I'!A:G,4,0),VLOOKUP(B177,'12.COT.MERCADO'!A:I,8,0))</f>
        <v>131.56</v>
      </c>
      <c r="I177" s="1298">
        <f>IF(E177="Mão de Obra",H177*(1+'7. BDI SERVIÇOS'!$K$5),H177*(1+'8. BDI MERO FORNECIMENTO'!$K$5))</f>
        <v>154.4413059</v>
      </c>
      <c r="J177" s="1298">
        <f t="shared" si="1"/>
        <v>174.9748</v>
      </c>
      <c r="K177" s="1298">
        <f t="shared" si="2"/>
        <v>205.4069369</v>
      </c>
      <c r="L177" s="1299">
        <f t="shared" si="3"/>
        <v>0.000658733701</v>
      </c>
      <c r="M177" s="1300">
        <f t="shared" si="5"/>
        <v>0.7106640928</v>
      </c>
      <c r="N177" s="1301" t="str">
        <f t="shared" si="4"/>
        <v>A</v>
      </c>
    </row>
    <row r="178">
      <c r="A178" s="1291">
        <v>171.0</v>
      </c>
      <c r="B178" s="1292" t="s">
        <v>1739</v>
      </c>
      <c r="C178" s="1304" t="s">
        <v>1785</v>
      </c>
      <c r="D178" s="1302" t="str">
        <f>IF(C178="SINAPI",VLOOKUP(B178,'20-A.SINAPI-I'!A:G,2,0),VLOOKUP(B178,'12.COT.MERCADO'!A:I,2,0))</f>
        <v>Fita isolante de alta fusão 19 mm x 10 m </v>
      </c>
      <c r="E178" s="1305" t="s">
        <v>18397</v>
      </c>
      <c r="F178" s="1296" t="str">
        <f>IF(C178="SINAPI",VLOOKUP(B178,'20-A.SINAPI-I'!A:G,3,0),VLOOKUP(B178,'12.COT.MERCADO'!A:I,7,0))</f>
        <v>UN </v>
      </c>
      <c r="G178" s="1306">
        <v>3.42</v>
      </c>
      <c r="H178" s="1298">
        <f>IF(C178="SINAPI",VLOOKUP(B178,'20-A.SINAPI-I'!A:G,4,0),VLOOKUP(B178,'12.COT.MERCADO'!A:I,8,0))</f>
        <v>31.92</v>
      </c>
      <c r="I178" s="1298">
        <f>IF(E178="Mão de Obra",H178*(1+'7. BDI SERVIÇOS'!$K$5),H178*(1+'8. BDI MERO FORNECIMENTO'!$K$5))</f>
        <v>37.38899996</v>
      </c>
      <c r="J178" s="1298">
        <f t="shared" si="1"/>
        <v>109.1664</v>
      </c>
      <c r="K178" s="1298">
        <f t="shared" si="2"/>
        <v>127.8703799</v>
      </c>
      <c r="L178" s="1299">
        <f t="shared" si="3"/>
        <v>0.0004100763579</v>
      </c>
      <c r="M178" s="1300">
        <f t="shared" si="5"/>
        <v>0.7110741691</v>
      </c>
      <c r="N178" s="1301" t="str">
        <f t="shared" si="4"/>
        <v>A</v>
      </c>
    </row>
    <row r="179">
      <c r="A179" s="1291">
        <v>173.0</v>
      </c>
      <c r="B179" s="1292">
        <v>39740.0</v>
      </c>
      <c r="C179" s="1304" t="s">
        <v>17759</v>
      </c>
      <c r="D179" s="1303" t="str">
        <f>IF(C179="SINAPI",VLOOKUP(B179,'20-A.SINAPI-I'!A:G,2,0),VLOOKUP(B179,'12.COT.MERCADO'!A:I,2,0))</f>
        <v>TUBO DE BORRACHA ELASTOMERICA FLEXIVEL, PRETA, PARA ISOLAMENTO TERMICO DE TUBULACAO, DN 3/4" (18 MM), E= 32 MM, COEFICIENTE DE CONDUTIVIDADE TERMICA 0,036W/mK, VAPOR DE AGUA MAIOR OU IGUAL A 10.000</v>
      </c>
      <c r="E179" s="1305" t="s">
        <v>18393</v>
      </c>
      <c r="F179" s="1296" t="str">
        <f>IF(C179="SINAPI",VLOOKUP(B179,'20-A.SINAPI-I'!A:G,3,0),VLOOKUP(B179,'12.COT.MERCADO'!A:I,7,0))</f>
        <v>M</v>
      </c>
      <c r="G179" s="1306">
        <v>1.05</v>
      </c>
      <c r="H179" s="1298">
        <f>IF(C179="SINAPI",VLOOKUP(B179,'20-A.SINAPI-I'!A:G,4,0),VLOOKUP(B179,'12.COT.MERCADO'!A:I,8,0))</f>
        <v>70.08</v>
      </c>
      <c r="I179" s="1298">
        <f>IF(E179="Mão de Obra",H179*(1+'7. BDI SERVIÇOS'!$K$5),H179*(1+'8. BDI MERO FORNECIMENTO'!$K$5))</f>
        <v>82.08712773</v>
      </c>
      <c r="J179" s="1298">
        <f t="shared" si="1"/>
        <v>73.584</v>
      </c>
      <c r="K179" s="1298">
        <f t="shared" si="2"/>
        <v>86.19148411</v>
      </c>
      <c r="L179" s="1299">
        <f t="shared" si="3"/>
        <v>0.0002764134268</v>
      </c>
      <c r="M179" s="1300">
        <f t="shared" si="5"/>
        <v>0.7113505825</v>
      </c>
      <c r="N179" s="1301" t="str">
        <f t="shared" si="4"/>
        <v>A</v>
      </c>
    </row>
    <row r="180">
      <c r="A180" s="1291">
        <v>174.0</v>
      </c>
      <c r="B180" s="1292">
        <v>252.0</v>
      </c>
      <c r="C180" s="1304" t="s">
        <v>17759</v>
      </c>
      <c r="D180" s="1303" t="str">
        <f>IF(C180="SINAPI",VLOOKUP(B180,'20-A.SINAPI-I'!A:G,2,0),VLOOKUP(B180,'12.COT.MERCADO'!A:I,2,0))</f>
        <v>AJUDANTE DE SERRALHEIRO (HORISTA)</v>
      </c>
      <c r="E180" s="1305" t="s">
        <v>18393</v>
      </c>
      <c r="F180" s="1296" t="str">
        <f>IF(C180="SINAPI",VLOOKUP(B180,'20-A.SINAPI-I'!A:G,3,0),VLOOKUP(B180,'12.COT.MERCADO'!A:I,7,0))</f>
        <v>H</v>
      </c>
      <c r="G180" s="1306">
        <v>5.5373818</v>
      </c>
      <c r="H180" s="1298">
        <f>IF(C180="SINAPI",VLOOKUP(B180,'20-A.SINAPI-I'!A:G,4,0),VLOOKUP(B180,'12.COT.MERCADO'!A:I,8,0))</f>
        <v>15.93</v>
      </c>
      <c r="I180" s="1298">
        <f>IF(E180="Mão de Obra",H180*(1+'7. BDI SERVIÇOS'!$K$5),H180*(1+'8. BDI MERO FORNECIMENTO'!$K$5))</f>
        <v>18.65935994</v>
      </c>
      <c r="J180" s="1298">
        <f t="shared" si="1"/>
        <v>88.21049207</v>
      </c>
      <c r="K180" s="1298">
        <f t="shared" si="2"/>
        <v>103.3240001</v>
      </c>
      <c r="L180" s="1299">
        <f t="shared" si="3"/>
        <v>0.0003313568765</v>
      </c>
      <c r="M180" s="1300">
        <f t="shared" si="5"/>
        <v>0.7116819394</v>
      </c>
      <c r="N180" s="1301" t="str">
        <f t="shared" si="4"/>
        <v>A</v>
      </c>
    </row>
    <row r="181">
      <c r="A181" s="1291">
        <v>175.0</v>
      </c>
      <c r="B181" s="1292">
        <v>1358.0</v>
      </c>
      <c r="C181" s="1304" t="s">
        <v>17759</v>
      </c>
      <c r="D181" s="1303" t="str">
        <f>IF(C181="SINAPI",VLOOKUP(B181,'20-A.SINAPI-I'!A:G,2,0),VLOOKUP(B181,'12.COT.MERCADO'!A:I,2,0))</f>
        <v>CHAPA/PAINEL DE MADEIRA COMPENSADA RESINADA (MADEIRITE RESINADO ROSA) PARA FORMA DE CONCRETO, DE 2200 x 1100 MM, E = 17 MM</v>
      </c>
      <c r="E181" s="1305" t="s">
        <v>18393</v>
      </c>
      <c r="F181" s="1296" t="str">
        <f>IF(C181="SINAPI",VLOOKUP(B181,'20-A.SINAPI-I'!A:G,3,0),VLOOKUP(B181,'12.COT.MERCADO'!A:I,7,0))</f>
        <v>M2</v>
      </c>
      <c r="G181" s="1306">
        <v>2.0387356</v>
      </c>
      <c r="H181" s="1298">
        <f>IF(C181="SINAPI",VLOOKUP(B181,'20-A.SINAPI-I'!A:G,4,0),VLOOKUP(B181,'12.COT.MERCADO'!A:I,8,0))</f>
        <v>43.61</v>
      </c>
      <c r="I181" s="1298">
        <f>IF(E181="Mão de Obra",H181*(1+'7. BDI SERVIÇOS'!$K$5),H181*(1+'8. BDI MERO FORNECIMENTO'!$K$5))</f>
        <v>51.08190126</v>
      </c>
      <c r="J181" s="1298">
        <f t="shared" si="1"/>
        <v>88.90925952</v>
      </c>
      <c r="K181" s="1298">
        <f t="shared" si="2"/>
        <v>104.1424906</v>
      </c>
      <c r="L181" s="1299">
        <f t="shared" si="3"/>
        <v>0.0003339817501</v>
      </c>
      <c r="M181" s="1300">
        <f t="shared" si="5"/>
        <v>0.7120159212</v>
      </c>
      <c r="N181" s="1301" t="str">
        <f t="shared" si="4"/>
        <v>A</v>
      </c>
    </row>
    <row r="182">
      <c r="A182" s="1291">
        <v>177.0</v>
      </c>
      <c r="B182" s="1292">
        <v>38394.0</v>
      </c>
      <c r="C182" s="1304" t="s">
        <v>17759</v>
      </c>
      <c r="D182" s="1303" t="str">
        <f>IF(C182="SINAPI",VLOOKUP(B182,'20-A.SINAPI-I'!A:G,2,0),VLOOKUP(B182,'12.COT.MERCADO'!A:I,2,0))</f>
        <v>KIT ACESSORIOS PARA COMPRESSOR DE AR, 5 PECAS (PISTOLAS PINTURA, LIMPEZA E PULVERIZACAO, CALIBRADOR E MANGUEIRA)</v>
      </c>
      <c r="E182" s="1305" t="s">
        <v>18393</v>
      </c>
      <c r="F182" s="1296" t="str">
        <f>IF(C182="SINAPI",VLOOKUP(B182,'20-A.SINAPI-I'!A:G,3,0),VLOOKUP(B182,'12.COT.MERCADO'!A:I,7,0))</f>
        <v>UN</v>
      </c>
      <c r="G182" s="1306">
        <v>0.33</v>
      </c>
      <c r="H182" s="1298">
        <f>IF(C182="SINAPI",VLOOKUP(B182,'20-A.SINAPI-I'!A:G,4,0),VLOOKUP(B182,'12.COT.MERCADO'!A:I,8,0))</f>
        <v>312.47</v>
      </c>
      <c r="I182" s="1298">
        <f>IF(E182="Mão de Obra",H182*(1+'7. BDI SERVIÇOS'!$K$5),H182*(1+'8. BDI MERO FORNECIMENTO'!$K$5))</f>
        <v>366.0069178</v>
      </c>
      <c r="J182" s="1298">
        <f t="shared" si="1"/>
        <v>103.1151</v>
      </c>
      <c r="K182" s="1298">
        <f t="shared" si="2"/>
        <v>120.7822829</v>
      </c>
      <c r="L182" s="1299">
        <f t="shared" si="3"/>
        <v>0.0003873450499</v>
      </c>
      <c r="M182" s="1300">
        <f t="shared" si="5"/>
        <v>0.7124032662</v>
      </c>
      <c r="N182" s="1301" t="str">
        <f t="shared" si="4"/>
        <v>A</v>
      </c>
    </row>
    <row r="183">
      <c r="A183" s="1291">
        <v>170.0</v>
      </c>
      <c r="B183" s="1292">
        <v>4814.0</v>
      </c>
      <c r="C183" s="1304" t="s">
        <v>17759</v>
      </c>
      <c r="D183" s="1303" t="str">
        <f>IF(C183="SINAPI",VLOOKUP(B183,'20-A.SINAPI-I'!A:G,2,0),VLOOKUP(B183,'12.COT.MERCADO'!A:I,2,0))</f>
        <v>APARELHO SINALIZADOR LUMINOSO COM LED, PARA SAIDA GARAGEM, COM 2 LENTES EM POLICARBONATO, BIVOLT (INCLUI SUPORTE DE FIXACAO)</v>
      </c>
      <c r="E183" s="1305" t="s">
        <v>18397</v>
      </c>
      <c r="F183" s="1296" t="str">
        <f>IF(C183="SINAPI",VLOOKUP(B183,'20-A.SINAPI-I'!A:G,3,0),VLOOKUP(B183,'12.COT.MERCADO'!A:I,7,0))</f>
        <v>UN</v>
      </c>
      <c r="G183" s="1306">
        <v>1.0</v>
      </c>
      <c r="H183" s="1298">
        <f>IF(C183="SINAPI",VLOOKUP(B183,'20-A.SINAPI-I'!A:G,4,0),VLOOKUP(B183,'12.COT.MERCADO'!A:I,8,0))</f>
        <v>82.91</v>
      </c>
      <c r="I183" s="1298">
        <f>IF(E183="Mão de Obra",H183*(1+'7. BDI SERVIÇOS'!$K$5),H183*(1+'8. BDI MERO FORNECIMENTO'!$K$5))</f>
        <v>97.11535045</v>
      </c>
      <c r="J183" s="1298">
        <f t="shared" si="1"/>
        <v>82.91</v>
      </c>
      <c r="K183" s="1298">
        <f t="shared" si="2"/>
        <v>97.11535045</v>
      </c>
      <c r="L183" s="1299">
        <f t="shared" si="3"/>
        <v>0.0003114459287</v>
      </c>
      <c r="M183" s="1300">
        <f t="shared" si="5"/>
        <v>0.7127147121</v>
      </c>
      <c r="N183" s="1301" t="str">
        <f t="shared" si="4"/>
        <v>A</v>
      </c>
    </row>
    <row r="184">
      <c r="A184" s="1291">
        <v>187.0</v>
      </c>
      <c r="B184" s="1292">
        <v>44945.0</v>
      </c>
      <c r="C184" s="1304" t="s">
        <v>17759</v>
      </c>
      <c r="D184" s="1303" t="str">
        <f>IF(C184="SINAPI",VLOOKUP(B184,'20-A.SINAPI-I'!A:G,2,0),VLOOKUP(B184,'12.COT.MERCADO'!A:I,2,0))</f>
        <v>SIFAO / TUBO SINFONADO EXTENSIVEL/SANFONADO, UNIVERSAL/ SIMPLES, ENTRE *50 A 70* CM, DE PLASTICO BRANCO</v>
      </c>
      <c r="E184" s="1305" t="s">
        <v>18394</v>
      </c>
      <c r="F184" s="1296" t="str">
        <f>IF(C184="SINAPI",VLOOKUP(B184,'20-A.SINAPI-I'!A:G,3,0),VLOOKUP(B184,'12.COT.MERCADO'!A:I,7,0))</f>
        <v>UN</v>
      </c>
      <c r="G184" s="1306">
        <v>10.33</v>
      </c>
      <c r="H184" s="1298">
        <f>IF(C184="SINAPI",VLOOKUP(B184,'20-A.SINAPI-I'!A:G,4,0),VLOOKUP(B184,'12.COT.MERCADO'!A:I,8,0))</f>
        <v>9.49</v>
      </c>
      <c r="I184" s="1298">
        <f>IF(E184="Mão de Obra",H184*(1+'7. BDI SERVIÇOS'!$K$5),H184*(1+'8. BDI MERO FORNECIMENTO'!$K$5))</f>
        <v>11.14052899</v>
      </c>
      <c r="J184" s="1298">
        <f t="shared" si="1"/>
        <v>98.0317</v>
      </c>
      <c r="K184" s="1298">
        <f t="shared" si="2"/>
        <v>115.0816644</v>
      </c>
      <c r="L184" s="1299">
        <f t="shared" si="3"/>
        <v>0.0003690633426</v>
      </c>
      <c r="M184" s="1300">
        <f t="shared" si="5"/>
        <v>0.7130837755</v>
      </c>
      <c r="N184" s="1301" t="str">
        <f t="shared" si="4"/>
        <v>A</v>
      </c>
    </row>
    <row r="185">
      <c r="A185" s="1291">
        <v>180.0</v>
      </c>
      <c r="B185" s="1292">
        <v>38101.0</v>
      </c>
      <c r="C185" s="1304" t="s">
        <v>17759</v>
      </c>
      <c r="D185" s="1303" t="str">
        <f>IF(C185="SINAPI",VLOOKUP(B185,'20-A.SINAPI-I'!A:G,2,0),VLOOKUP(B185,'12.COT.MERCADO'!A:I,2,0))</f>
        <v>TOMADA 2P+T 10A, 250V  (APENAS MODULO)</v>
      </c>
      <c r="E185" s="1305" t="s">
        <v>18393</v>
      </c>
      <c r="F185" s="1296" t="str">
        <f>IF(C185="SINAPI",VLOOKUP(B185,'20-A.SINAPI-I'!A:G,3,0),VLOOKUP(B185,'12.COT.MERCADO'!A:I,7,0))</f>
        <v>UN</v>
      </c>
      <c r="G185" s="1306">
        <v>10.0</v>
      </c>
      <c r="H185" s="1298">
        <f>IF(C185="SINAPI",VLOOKUP(B185,'20-A.SINAPI-I'!A:G,4,0),VLOOKUP(B185,'12.COT.MERCADO'!A:I,8,0))</f>
        <v>8.42</v>
      </c>
      <c r="I185" s="1298">
        <f>IF(E185="Mão de Obra",H185*(1+'7. BDI SERVIÇOS'!$K$5),H185*(1+'8. BDI MERO FORNECIMENTO'!$K$5))</f>
        <v>9.862637207</v>
      </c>
      <c r="J185" s="1298">
        <f t="shared" si="1"/>
        <v>84.2</v>
      </c>
      <c r="K185" s="1298">
        <f t="shared" si="2"/>
        <v>98.62637207</v>
      </c>
      <c r="L185" s="1299">
        <f t="shared" si="3"/>
        <v>0.0003162917284</v>
      </c>
      <c r="M185" s="1300">
        <f t="shared" si="5"/>
        <v>0.7134000672</v>
      </c>
      <c r="N185" s="1301" t="str">
        <f t="shared" si="4"/>
        <v>A</v>
      </c>
    </row>
    <row r="186">
      <c r="A186" s="1291">
        <v>181.0</v>
      </c>
      <c r="B186" s="1292" t="s">
        <v>1978</v>
      </c>
      <c r="C186" s="1304" t="s">
        <v>1785</v>
      </c>
      <c r="D186" s="1302" t="str">
        <f>IF(C186="SINAPI",VLOOKUP(B186,'20-A.SINAPI-I'!A:G,2,0),VLOOKUP(B186,'12.COT.MERCADO'!A:I,2,0))</f>
        <v>CONECTOR DE EMENDA DE CABOS 3 VIAS. REF. WAGO 221-413 OU SIMILAR</v>
      </c>
      <c r="E186" s="1305" t="s">
        <v>18397</v>
      </c>
      <c r="F186" s="1296" t="str">
        <f>IF(C186="SINAPI",VLOOKUP(B186,'20-A.SINAPI-I'!A:G,3,0),VLOOKUP(B186,'12.COT.MERCADO'!A:I,7,0))</f>
        <v>UN</v>
      </c>
      <c r="G186" s="1306">
        <v>33.35</v>
      </c>
      <c r="H186" s="1298">
        <f>IF(C186="SINAPI",VLOOKUP(B186,'20-A.SINAPI-I'!A:G,4,0),VLOOKUP(B186,'12.COT.MERCADO'!A:I,8,0))</f>
        <v>2.74</v>
      </c>
      <c r="I186" s="1298">
        <f>IF(E186="Mão de Obra",H186*(1+'7. BDI SERVIÇOS'!$K$5),H186*(1+'8. BDI MERO FORNECIMENTO'!$K$5))</f>
        <v>3.209456763</v>
      </c>
      <c r="J186" s="1298">
        <f t="shared" si="1"/>
        <v>91.379</v>
      </c>
      <c r="K186" s="1298">
        <f t="shared" si="2"/>
        <v>107.0353831</v>
      </c>
      <c r="L186" s="1299">
        <f t="shared" si="3"/>
        <v>0.0003432591668</v>
      </c>
      <c r="M186" s="1300">
        <f t="shared" si="5"/>
        <v>0.7137433264</v>
      </c>
      <c r="N186" s="1301" t="str">
        <f t="shared" si="4"/>
        <v>A</v>
      </c>
    </row>
    <row r="187">
      <c r="A187" s="1291">
        <v>188.0</v>
      </c>
      <c r="B187" s="1292">
        <v>7243.0</v>
      </c>
      <c r="C187" s="1304" t="s">
        <v>17759</v>
      </c>
      <c r="D187" s="1303" t="str">
        <f>IF(C187="SINAPI",VLOOKUP(B187,'20-A.SINAPI-I'!A:G,2,0),VLOOKUP(B187,'12.COT.MERCADO'!A:I,2,0))</f>
        <v>TELHA TRAPEZOIDAL EM ACO ZINCADO, SEM PINTURA, ALTURA DE APROXIMADAMENTE 40 MM, ESPESSURA DE 0,50 MM E LARGURA UTIL DE 980 MM</v>
      </c>
      <c r="E187" s="1305" t="s">
        <v>18394</v>
      </c>
      <c r="F187" s="1296" t="str">
        <f>IF(C187="SINAPI",VLOOKUP(B187,'20-A.SINAPI-I'!A:G,3,0),VLOOKUP(B187,'12.COT.MERCADO'!A:I,7,0))</f>
        <v>M2</v>
      </c>
      <c r="G187" s="1306">
        <v>1.55078</v>
      </c>
      <c r="H187" s="1298">
        <f>IF(C187="SINAPI",VLOOKUP(B187,'20-A.SINAPI-I'!A:G,4,0),VLOOKUP(B187,'12.COT.MERCADO'!A:I,8,0))</f>
        <v>54.49</v>
      </c>
      <c r="I187" s="1298">
        <f>IF(E187="Mão de Obra",H187*(1+'7. BDI SERVIÇOS'!$K$5),H187*(1+'8. BDI MERO FORNECIMENTO'!$K$5))</f>
        <v>63.96706264</v>
      </c>
      <c r="J187" s="1298">
        <f t="shared" si="1"/>
        <v>84.5020022</v>
      </c>
      <c r="K187" s="1298">
        <f t="shared" si="2"/>
        <v>99.19884139</v>
      </c>
      <c r="L187" s="1299">
        <f t="shared" si="3"/>
        <v>0.0003181276198</v>
      </c>
      <c r="M187" s="1300">
        <f t="shared" si="5"/>
        <v>0.714061454</v>
      </c>
      <c r="N187" s="1301" t="str">
        <f t="shared" si="4"/>
        <v>A</v>
      </c>
    </row>
    <row r="188">
      <c r="A188" s="1291">
        <v>182.0</v>
      </c>
      <c r="B188" s="1292">
        <v>4230.0</v>
      </c>
      <c r="C188" s="1304" t="s">
        <v>17759</v>
      </c>
      <c r="D188" s="1303" t="str">
        <f>IF(C188="SINAPI",VLOOKUP(B188,'20-A.SINAPI-I'!A:G,2,0),VLOOKUP(B188,'12.COT.MERCADO'!A:I,2,0))</f>
        <v>OPERADOR DE MAQUINAS E TRATORES DIVERSOS (TERRAPLANAGEM)</v>
      </c>
      <c r="E188" s="1305" t="s">
        <v>18393</v>
      </c>
      <c r="F188" s="1296" t="str">
        <f>IF(C188="SINAPI",VLOOKUP(B188,'20-A.SINAPI-I'!A:G,3,0),VLOOKUP(B188,'12.COT.MERCADO'!A:I,7,0))</f>
        <v>H</v>
      </c>
      <c r="G188" s="1306">
        <v>3.8902412</v>
      </c>
      <c r="H188" s="1298">
        <f>IF(C188="SINAPI",VLOOKUP(B188,'20-A.SINAPI-I'!A:G,4,0),VLOOKUP(B188,'12.COT.MERCADO'!A:I,8,0))</f>
        <v>21.04</v>
      </c>
      <c r="I188" s="1298">
        <f>IF(E188="Mão de Obra",H188*(1+'7. BDI SERVIÇOS'!$K$5),H188*(1+'8. BDI MERO FORNECIMENTO'!$K$5))</f>
        <v>24.64487967</v>
      </c>
      <c r="J188" s="1298">
        <f t="shared" si="1"/>
        <v>81.85067485</v>
      </c>
      <c r="K188" s="1298">
        <f t="shared" si="2"/>
        <v>95.87452627</v>
      </c>
      <c r="L188" s="1299">
        <f t="shared" si="3"/>
        <v>0.0003074666439</v>
      </c>
      <c r="M188" s="1300">
        <f t="shared" si="5"/>
        <v>0.7143689206</v>
      </c>
      <c r="N188" s="1301" t="str">
        <f t="shared" si="4"/>
        <v>A</v>
      </c>
    </row>
    <row r="189">
      <c r="A189" s="1291">
        <v>183.0</v>
      </c>
      <c r="B189" s="1292">
        <v>1625.0</v>
      </c>
      <c r="C189" s="1304" t="s">
        <v>17759</v>
      </c>
      <c r="D189" s="1303" t="str">
        <f>IF(C189="SINAPI",VLOOKUP(B189,'20-A.SINAPI-I'!A:G,2,0),VLOOKUP(B189,'12.COT.MERCADO'!A:I,2,0))</f>
        <v>CONTATOR TRIPOLAR, CORRENTE DE *22* A, TENSAO NOMINAL DE *500* V, CATEGORIA AC-2 E AC-3</v>
      </c>
      <c r="E189" s="1305" t="s">
        <v>18393</v>
      </c>
      <c r="F189" s="1296" t="str">
        <f>IF(C189="SINAPI",VLOOKUP(B189,'20-A.SINAPI-I'!A:G,3,0),VLOOKUP(B189,'12.COT.MERCADO'!A:I,7,0))</f>
        <v>UN</v>
      </c>
      <c r="G189" s="1306">
        <v>0.67</v>
      </c>
      <c r="H189" s="1298">
        <f>IF(C189="SINAPI",VLOOKUP(B189,'20-A.SINAPI-I'!A:G,4,0),VLOOKUP(B189,'12.COT.MERCADO'!A:I,8,0))</f>
        <v>131.09</v>
      </c>
      <c r="I189" s="1298">
        <f>IF(E189="Mão de Obra",H189*(1+'7. BDI SERVIÇOS'!$K$5),H189*(1+'8. BDI MERO FORNECIMENTO'!$K$5))</f>
        <v>153.5502508</v>
      </c>
      <c r="J189" s="1298">
        <f t="shared" si="1"/>
        <v>87.8303</v>
      </c>
      <c r="K189" s="1298">
        <f t="shared" si="2"/>
        <v>102.878668</v>
      </c>
      <c r="L189" s="1299">
        <f t="shared" si="3"/>
        <v>0.0003299287101</v>
      </c>
      <c r="M189" s="1300">
        <f t="shared" si="5"/>
        <v>0.7146988494</v>
      </c>
      <c r="N189" s="1301" t="str">
        <f t="shared" si="4"/>
        <v>A</v>
      </c>
    </row>
    <row r="190">
      <c r="A190" s="1291">
        <v>184.0</v>
      </c>
      <c r="B190" s="1292">
        <v>981.0</v>
      </c>
      <c r="C190" s="1304" t="s">
        <v>17759</v>
      </c>
      <c r="D190" s="1303" t="str">
        <f>IF(C190="SINAPI",VLOOKUP(B190,'20-A.SINAPI-I'!A:G,2,0),VLOOKUP(B190,'12.COT.MERCADO'!A:I,2,0))</f>
        <v>CABO DE COBRE, FLEXIVEL, CLASSE 4 OU 5, ISOLACAO EM PVC/A, ANTICHAMA BWF-B, 1 CONDUTOR, 450/750 V, SECAO NOMINAL 4 MM2</v>
      </c>
      <c r="E190" s="1305" t="s">
        <v>18393</v>
      </c>
      <c r="F190" s="1296" t="str">
        <f>IF(C190="SINAPI",VLOOKUP(B190,'20-A.SINAPI-I'!A:G,3,0),VLOOKUP(B190,'12.COT.MERCADO'!A:I,7,0))</f>
        <v>M</v>
      </c>
      <c r="G190" s="1306">
        <v>23.8119</v>
      </c>
      <c r="H190" s="1298">
        <f>IF(C190="SINAPI",VLOOKUP(B190,'20-A.SINAPI-I'!A:G,4,0),VLOOKUP(B190,'12.COT.MERCADO'!A:I,8,0))</f>
        <v>3.59</v>
      </c>
      <c r="I190" s="1298">
        <f>IF(E190="Mão de Obra",H190*(1+'7. BDI SERVIÇOS'!$K$5),H190*(1+'8. BDI MERO FORNECIMENTO'!$K$5))</f>
        <v>4.205091161</v>
      </c>
      <c r="J190" s="1298">
        <f t="shared" si="1"/>
        <v>85.484721</v>
      </c>
      <c r="K190" s="1298">
        <f t="shared" si="2"/>
        <v>100.1312102</v>
      </c>
      <c r="L190" s="1299">
        <f t="shared" si="3"/>
        <v>0.0003211176978</v>
      </c>
      <c r="M190" s="1300">
        <f t="shared" si="5"/>
        <v>0.715019967</v>
      </c>
      <c r="N190" s="1301" t="str">
        <f t="shared" si="4"/>
        <v>A</v>
      </c>
    </row>
    <row r="191">
      <c r="A191" s="1291">
        <v>185.0</v>
      </c>
      <c r="B191" s="1292">
        <v>34794.0</v>
      </c>
      <c r="C191" s="1304" t="s">
        <v>17759</v>
      </c>
      <c r="D191" s="1303" t="str">
        <f>IF(C191="SINAPI",VLOOKUP(B191,'20-A.SINAPI-I'!A:G,2,0),VLOOKUP(B191,'12.COT.MERCADO'!A:I,2,0))</f>
        <v>MECANICO DE REFRIGERACAO (HORISTA)</v>
      </c>
      <c r="E191" s="1305" t="s">
        <v>18393</v>
      </c>
      <c r="F191" s="1296" t="str">
        <f>IF(C191="SINAPI",VLOOKUP(B191,'20-A.SINAPI-I'!A:G,3,0),VLOOKUP(B191,'12.COT.MERCADO'!A:I,7,0))</f>
        <v>H</v>
      </c>
      <c r="G191" s="1306">
        <v>3.2511472</v>
      </c>
      <c r="H191" s="1298">
        <f>IF(C191="SINAPI",VLOOKUP(B191,'20-A.SINAPI-I'!A:G,4,0),VLOOKUP(B191,'12.COT.MERCADO'!A:I,8,0))</f>
        <v>23.12</v>
      </c>
      <c r="I191" s="1298">
        <f>IF(E191="Mão de Obra",H191*(1+'7. BDI SERVIÇOS'!$K$5),H191*(1+'8. BDI MERO FORNECIMENTO'!$K$5))</f>
        <v>27.08125561</v>
      </c>
      <c r="J191" s="1298">
        <f t="shared" si="1"/>
        <v>75.16652326</v>
      </c>
      <c r="K191" s="1298">
        <f t="shared" si="2"/>
        <v>88.04514834</v>
      </c>
      <c r="L191" s="1299">
        <f t="shared" si="3"/>
        <v>0.0002823580708</v>
      </c>
      <c r="M191" s="1300">
        <f t="shared" si="5"/>
        <v>0.7153023251</v>
      </c>
      <c r="N191" s="1301" t="str">
        <f t="shared" si="4"/>
        <v>A</v>
      </c>
    </row>
    <row r="192">
      <c r="A192" s="1291">
        <v>178.0</v>
      </c>
      <c r="B192" s="1292">
        <v>39244.0</v>
      </c>
      <c r="C192" s="1304" t="s">
        <v>17759</v>
      </c>
      <c r="D192" s="1303" t="str">
        <f>IF(C192="SINAPI",VLOOKUP(B192,'20-A.SINAPI-I'!A:G,2,0),VLOOKUP(B192,'12.COT.MERCADO'!A:I,2,0))</f>
        <v>ELETRODUTO PVC FLEXIVEL CORRUGADO, REFORCADO, COR LARANJA, DE 25 MM, PARA LAJES E PISOS</v>
      </c>
      <c r="E192" s="1305" t="s">
        <v>18393</v>
      </c>
      <c r="F192" s="1296" t="str">
        <f>IF(C192="SINAPI",VLOOKUP(B192,'20-A.SINAPI-I'!A:G,3,0),VLOOKUP(B192,'12.COT.MERCADO'!A:I,7,0))</f>
        <v>M</v>
      </c>
      <c r="G192" s="1306">
        <v>14.4560704</v>
      </c>
      <c r="H192" s="1298">
        <f>IF(C192="SINAPI",VLOOKUP(B192,'20-A.SINAPI-I'!A:G,4,0),VLOOKUP(B192,'12.COT.MERCADO'!A:I,8,0))</f>
        <v>5.18</v>
      </c>
      <c r="I192" s="1298">
        <f>IF(E192="Mão de Obra",H192*(1+'7. BDI SERVIÇOS'!$K$5),H192*(1+'8. BDI MERO FORNECIMENTO'!$K$5))</f>
        <v>6.067513151</v>
      </c>
      <c r="J192" s="1298">
        <f t="shared" si="1"/>
        <v>74.88244467</v>
      </c>
      <c r="K192" s="1298">
        <f t="shared" si="2"/>
        <v>87.71239726</v>
      </c>
      <c r="L192" s="1299">
        <f t="shared" si="3"/>
        <v>0.0002812909483</v>
      </c>
      <c r="M192" s="1300">
        <f t="shared" si="5"/>
        <v>0.7155836161</v>
      </c>
      <c r="N192" s="1301" t="str">
        <f t="shared" si="4"/>
        <v>A</v>
      </c>
    </row>
    <row r="193">
      <c r="A193" s="1291">
        <v>190.0</v>
      </c>
      <c r="B193" s="1292">
        <v>37373.0</v>
      </c>
      <c r="C193" s="1304" t="s">
        <v>17759</v>
      </c>
      <c r="D193" s="1303" t="str">
        <f>IF(C193="SINAPI",VLOOKUP(B193,'20-A.SINAPI-I'!A:G,2,0),VLOOKUP(B193,'12.COT.MERCADO'!A:I,2,0))</f>
        <v>SEGURO - HORISTA (COLETADO CAIXA - ENCARGOS COMPLEMENTARES)</v>
      </c>
      <c r="E193" s="1305" t="s">
        <v>18393</v>
      </c>
      <c r="F193" s="1296" t="str">
        <f>IF(C193="SINAPI",VLOOKUP(B193,'20-A.SINAPI-I'!A:G,3,0),VLOOKUP(B193,'12.COT.MERCADO'!A:I,7,0))</f>
        <v>H</v>
      </c>
      <c r="G193" s="1306">
        <v>1371.6715672</v>
      </c>
      <c r="H193" s="1298">
        <f>IF(C193="SINAPI",VLOOKUP(B193,'20-A.SINAPI-I'!A:G,4,0),VLOOKUP(B193,'12.COT.MERCADO'!A:I,8,0))</f>
        <v>0.07</v>
      </c>
      <c r="I193" s="1298">
        <f>IF(E193="Mão de Obra",H193*(1+'7. BDI SERVIÇOS'!$K$5),H193*(1+'8. BDI MERO FORNECIMENTO'!$K$5))</f>
        <v>0.08199342096</v>
      </c>
      <c r="J193" s="1298">
        <f t="shared" si="1"/>
        <v>96.0170097</v>
      </c>
      <c r="K193" s="1298">
        <f t="shared" si="2"/>
        <v>112.4680442</v>
      </c>
      <c r="L193" s="1299">
        <f t="shared" si="3"/>
        <v>0.0003606815434</v>
      </c>
      <c r="M193" s="1300">
        <f t="shared" si="5"/>
        <v>0.7159442976</v>
      </c>
      <c r="N193" s="1301" t="str">
        <f t="shared" si="4"/>
        <v>A</v>
      </c>
    </row>
    <row r="194">
      <c r="A194" s="1291">
        <v>192.0</v>
      </c>
      <c r="B194" s="1292">
        <v>37539.0</v>
      </c>
      <c r="C194" s="1304" t="s">
        <v>17759</v>
      </c>
      <c r="D194" s="1303" t="str">
        <f>IF(C194="SINAPI",VLOOKUP(B194,'20-A.SINAPI-I'!A:G,2,0),VLOOKUP(B194,'12.COT.MERCADO'!A:I,2,0))</f>
        <v>PLACA DE SINALIZACAO DE SEGURANCA CONTRA INCENDIO, FOTOLUMINESCENTE, RETANGULAR, *13 X 26* CM, EM PVC *2* MM ANTI-CHAMAS (SIMBOLOS, CORES E PICTOGRAMAS CONFORME NBR 16820)</v>
      </c>
      <c r="E194" s="1305" t="s">
        <v>18393</v>
      </c>
      <c r="F194" s="1296" t="str">
        <f>IF(C194="SINAPI",VLOOKUP(B194,'20-A.SINAPI-I'!A:G,3,0),VLOOKUP(B194,'12.COT.MERCADO'!A:I,7,0))</f>
        <v>UN</v>
      </c>
      <c r="G194" s="1306">
        <v>8.0</v>
      </c>
      <c r="H194" s="1298">
        <f>IF(C194="SINAPI",VLOOKUP(B194,'20-A.SINAPI-I'!A:G,4,0),VLOOKUP(B194,'12.COT.MERCADO'!A:I,8,0))</f>
        <v>10</v>
      </c>
      <c r="I194" s="1298">
        <f>IF(E194="Mão de Obra",H194*(1+'7. BDI SERVIÇOS'!$K$5),H194*(1+'8. BDI MERO FORNECIMENTO'!$K$5))</f>
        <v>11.71334585</v>
      </c>
      <c r="J194" s="1298">
        <f t="shared" si="1"/>
        <v>80</v>
      </c>
      <c r="K194" s="1298">
        <f t="shared" si="2"/>
        <v>93.70676681</v>
      </c>
      <c r="L194" s="1299">
        <f t="shared" si="3"/>
        <v>0.0003005147063</v>
      </c>
      <c r="M194" s="1300">
        <f t="shared" si="5"/>
        <v>0.7162448123</v>
      </c>
      <c r="N194" s="1301" t="str">
        <f t="shared" si="4"/>
        <v>A</v>
      </c>
    </row>
    <row r="195">
      <c r="A195" s="1291">
        <v>186.0</v>
      </c>
      <c r="B195" s="1292">
        <v>20193.0</v>
      </c>
      <c r="C195" s="1304" t="s">
        <v>17759</v>
      </c>
      <c r="D195" s="1303" t="str">
        <f>IF(C195="SINAPI",VLOOKUP(B195,'20-A.SINAPI-I'!A:G,2,0),VLOOKUP(B195,'12.COT.MERCADO'!A:I,2,0))</f>
        <v>LOCACAO DE ANDAIME METALICO TIPO FACHADEIRO, PECAS COM APROXIMADAMENTE 1,20 M DE LARGURA E 2,0 M DE ALTURA, INCLUINDO DIAGONAIS EM X, BARRAS DE LIGACAO, SAPATAS E DEMAIS ITENS NECESSARIOS A MONTAGEM (NAO INCLUI INSTALACAO)</v>
      </c>
      <c r="E195" s="1305" t="s">
        <v>18393</v>
      </c>
      <c r="F195" s="1296" t="str">
        <f>IF(C195="SINAPI",VLOOKUP(B195,'20-A.SINAPI-I'!A:G,3,0),VLOOKUP(B195,'12.COT.MERCADO'!A:I,7,0))</f>
        <v>M2XMES</v>
      </c>
      <c r="G195" s="1306">
        <v>11.9168</v>
      </c>
      <c r="H195" s="1298">
        <f>IF(C195="SINAPI",VLOOKUP(B195,'20-A.SINAPI-I'!A:G,4,0),VLOOKUP(B195,'12.COT.MERCADO'!A:I,8,0))</f>
        <v>15</v>
      </c>
      <c r="I195" s="1298">
        <f>IF(E195="Mão de Obra",H195*(1+'7. BDI SERVIÇOS'!$K$5),H195*(1+'8. BDI MERO FORNECIMENTO'!$K$5))</f>
        <v>17.57001878</v>
      </c>
      <c r="J195" s="1298">
        <f t="shared" si="1"/>
        <v>178.752</v>
      </c>
      <c r="K195" s="1298">
        <f t="shared" si="2"/>
        <v>209.3783998</v>
      </c>
      <c r="L195" s="1299">
        <f t="shared" si="3"/>
        <v>0.0006714700597</v>
      </c>
      <c r="M195" s="1300">
        <f t="shared" si="5"/>
        <v>0.7169162824</v>
      </c>
      <c r="N195" s="1301" t="str">
        <f t="shared" si="4"/>
        <v>A</v>
      </c>
    </row>
    <row r="196">
      <c r="A196" s="1291">
        <v>191.0</v>
      </c>
      <c r="B196" s="1292">
        <v>3099.0</v>
      </c>
      <c r="C196" s="1304" t="s">
        <v>17759</v>
      </c>
      <c r="D196" s="1303" t="str">
        <f>IF(C196="SINAPI",VLOOKUP(B196,'20-A.SINAPI-I'!A:G,2,0),VLOOKUP(B196,'12.COT.MERCADO'!A:I,2,0))</f>
        <v>FECHADURA ROSETA REDONDA PARA PORTA DE BANHEIRO, EM ACO INOX (MAQUINA, TESTA E CONTRA-TESTA) E EM ZAMAC (MACANETA, LINGUETA E TRINCOS) COM ACABAMENTO CROMADO, MAQUINA DE 55 MM, INCLUINDO CHAVE TIPO TRANQUETA</v>
      </c>
      <c r="E196" s="1305" t="s">
        <v>18393</v>
      </c>
      <c r="F196" s="1296" t="str">
        <f>IF(C196="SINAPI",VLOOKUP(B196,'20-A.SINAPI-I'!A:G,3,0),VLOOKUP(B196,'12.COT.MERCADO'!A:I,7,0))</f>
        <v>CJ</v>
      </c>
      <c r="G196" s="1306">
        <v>0.67</v>
      </c>
      <c r="H196" s="1298">
        <f>IF(C196="SINAPI",VLOOKUP(B196,'20-A.SINAPI-I'!A:G,4,0),VLOOKUP(B196,'12.COT.MERCADO'!A:I,8,0))</f>
        <v>124.33</v>
      </c>
      <c r="I196" s="1298">
        <f>IF(E196="Mão de Obra",H196*(1+'7. BDI SERVIÇOS'!$K$5),H196*(1+'8. BDI MERO FORNECIMENTO'!$K$5))</f>
        <v>145.632029</v>
      </c>
      <c r="J196" s="1298">
        <f t="shared" si="1"/>
        <v>83.3011</v>
      </c>
      <c r="K196" s="1298">
        <f t="shared" si="2"/>
        <v>97.57345941</v>
      </c>
      <c r="L196" s="1299">
        <f t="shared" si="3"/>
        <v>0.00031291507</v>
      </c>
      <c r="M196" s="1300">
        <f t="shared" si="5"/>
        <v>0.7172291974</v>
      </c>
      <c r="N196" s="1301" t="str">
        <f t="shared" si="4"/>
        <v>A</v>
      </c>
    </row>
    <row r="197">
      <c r="A197" s="1291">
        <v>193.0</v>
      </c>
      <c r="B197" s="1292">
        <v>38102.0</v>
      </c>
      <c r="C197" s="1304" t="s">
        <v>17759</v>
      </c>
      <c r="D197" s="1303" t="str">
        <f>IF(C197="SINAPI",VLOOKUP(B197,'20-A.SINAPI-I'!A:G,2,0),VLOOKUP(B197,'12.COT.MERCADO'!A:I,2,0))</f>
        <v>TOMADA 2P+T 20A, 250V  (APENAS MODULO)</v>
      </c>
      <c r="E197" s="1305" t="s">
        <v>18397</v>
      </c>
      <c r="F197" s="1296" t="str">
        <f>IF(C197="SINAPI",VLOOKUP(B197,'20-A.SINAPI-I'!A:G,3,0),VLOOKUP(B197,'12.COT.MERCADO'!A:I,7,0))</f>
        <v>UN</v>
      </c>
      <c r="G197" s="1306">
        <v>6.66</v>
      </c>
      <c r="H197" s="1298">
        <f>IF(C197="SINAPI",VLOOKUP(B197,'20-A.SINAPI-I'!A:G,4,0),VLOOKUP(B197,'12.COT.MERCADO'!A:I,8,0))</f>
        <v>10.78</v>
      </c>
      <c r="I197" s="1298">
        <f>IF(E197="Mão de Obra",H197*(1+'7. BDI SERVIÇOS'!$K$5),H197*(1+'8. BDI MERO FORNECIMENTO'!$K$5))</f>
        <v>12.62698683</v>
      </c>
      <c r="J197" s="1298">
        <f t="shared" si="1"/>
        <v>71.7948</v>
      </c>
      <c r="K197" s="1298">
        <f t="shared" si="2"/>
        <v>84.09573227</v>
      </c>
      <c r="L197" s="1299">
        <f t="shared" si="3"/>
        <v>0.0002696924154</v>
      </c>
      <c r="M197" s="1300">
        <f t="shared" si="5"/>
        <v>0.7174988899</v>
      </c>
      <c r="N197" s="1301" t="str">
        <f t="shared" si="4"/>
        <v>A</v>
      </c>
    </row>
    <row r="198">
      <c r="A198" s="1291">
        <v>194.0</v>
      </c>
      <c r="B198" s="1292" t="s">
        <v>1982</v>
      </c>
      <c r="C198" s="1304" t="s">
        <v>1785</v>
      </c>
      <c r="D198" s="1302" t="str">
        <f>IF(C198="SINAPI",VLOOKUP(B198,'20-A.SINAPI-I'!A:G,2,0),VLOOKUP(B198,'12.COT.MERCADO'!A:I,2,0))</f>
        <v>CANALETA DUTO SLIM PISO ALUMÍNIO 1,5M COM TAMPA BRANCA</v>
      </c>
      <c r="E198" s="1305" t="s">
        <v>18393</v>
      </c>
      <c r="F198" s="1296" t="str">
        <f>IF(C198="SINAPI",VLOOKUP(B198,'20-A.SINAPI-I'!A:G,3,0),VLOOKUP(B198,'12.COT.MERCADO'!A:I,7,0))</f>
        <v>UN</v>
      </c>
      <c r="G198" s="1306">
        <v>0.7</v>
      </c>
      <c r="H198" s="1298">
        <f>IF(C198="SINAPI",VLOOKUP(B198,'20-A.SINAPI-I'!A:G,4,0),VLOOKUP(B198,'12.COT.MERCADO'!A:I,8,0))</f>
        <v>125.17</v>
      </c>
      <c r="I198" s="1298">
        <f>IF(E198="Mão de Obra",H198*(1+'7. BDI SERVIÇOS'!$K$5),H198*(1+'8. BDI MERO FORNECIMENTO'!$K$5))</f>
        <v>146.61595</v>
      </c>
      <c r="J198" s="1298">
        <f t="shared" si="1"/>
        <v>87.619</v>
      </c>
      <c r="K198" s="1298">
        <f t="shared" si="2"/>
        <v>102.631165</v>
      </c>
      <c r="L198" s="1299">
        <f t="shared" si="3"/>
        <v>0.0003291349756</v>
      </c>
      <c r="M198" s="1300">
        <f t="shared" si="5"/>
        <v>0.7178280248</v>
      </c>
      <c r="N198" s="1301" t="str">
        <f t="shared" si="4"/>
        <v>A</v>
      </c>
    </row>
    <row r="199">
      <c r="A199" s="1291">
        <v>195.0</v>
      </c>
      <c r="B199" s="1292">
        <v>867.0</v>
      </c>
      <c r="C199" s="1304" t="s">
        <v>17759</v>
      </c>
      <c r="D199" s="1303" t="str">
        <f>IF(C199="SINAPI",VLOOKUP(B199,'20-A.SINAPI-I'!A:G,2,0),VLOOKUP(B199,'12.COT.MERCADO'!A:I,2,0))</f>
        <v>CABO DE COBRE NU 50 MM2 MEIO-DURO</v>
      </c>
      <c r="E199" s="1305" t="s">
        <v>18393</v>
      </c>
      <c r="F199" s="1296" t="str">
        <f>IF(C199="SINAPI",VLOOKUP(B199,'20-A.SINAPI-I'!A:G,3,0),VLOOKUP(B199,'12.COT.MERCADO'!A:I,7,0))</f>
        <v>M</v>
      </c>
      <c r="G199" s="1306">
        <v>1.463</v>
      </c>
      <c r="H199" s="1298">
        <f>IF(C199="SINAPI",VLOOKUP(B199,'20-A.SINAPI-I'!A:G,4,0),VLOOKUP(B199,'12.COT.MERCADO'!A:I,8,0))</f>
        <v>51.02</v>
      </c>
      <c r="I199" s="1298">
        <f>IF(E199="Mão de Obra",H199*(1+'7. BDI SERVIÇOS'!$K$5),H199*(1+'8. BDI MERO FORNECIMENTO'!$K$5))</f>
        <v>59.76149053</v>
      </c>
      <c r="J199" s="1298">
        <f t="shared" si="1"/>
        <v>74.64226</v>
      </c>
      <c r="K199" s="1298">
        <f t="shared" si="2"/>
        <v>87.43106065</v>
      </c>
      <c r="L199" s="1299">
        <f t="shared" si="3"/>
        <v>0.0002803887105</v>
      </c>
      <c r="M199" s="1300">
        <f t="shared" si="5"/>
        <v>0.7181084135</v>
      </c>
      <c r="N199" s="1301" t="str">
        <f t="shared" si="4"/>
        <v>A</v>
      </c>
    </row>
    <row r="200">
      <c r="A200" s="1291">
        <v>196.0</v>
      </c>
      <c r="B200" s="1292">
        <v>21112.0</v>
      </c>
      <c r="C200" s="1304" t="s">
        <v>17759</v>
      </c>
      <c r="D200" s="1303" t="str">
        <f>IF(C200="SINAPI",VLOOKUP(B200,'20-A.SINAPI-I'!A:G,2,0),VLOOKUP(B200,'12.COT.MERCADO'!A:I,2,0))</f>
        <v>VALVULA DE DESCARGA EM METAL CROMADO PARA MICTORIO COM ACIONAMENTO POR PRESSAO E FECHAMENTO AUTOMATICO</v>
      </c>
      <c r="E200" s="1305" t="s">
        <v>18398</v>
      </c>
      <c r="F200" s="1296" t="str">
        <f>IF(C200="SINAPI",VLOOKUP(B200,'20-A.SINAPI-I'!A:G,3,0),VLOOKUP(B200,'12.COT.MERCADO'!A:I,7,0))</f>
        <v>UN</v>
      </c>
      <c r="G200" s="1306">
        <v>0.33</v>
      </c>
      <c r="H200" s="1298">
        <f>IF(C200="SINAPI",VLOOKUP(B200,'20-A.SINAPI-I'!A:G,4,0),VLOOKUP(B200,'12.COT.MERCADO'!A:I,8,0))</f>
        <v>229.7</v>
      </c>
      <c r="I200" s="1298">
        <f>IF(E200="Mão de Obra",H200*(1+'7. BDI SERVIÇOS'!$K$5),H200*(1+'8. BDI MERO FORNECIMENTO'!$K$5))</f>
        <v>269.0555542</v>
      </c>
      <c r="J200" s="1298">
        <f t="shared" si="1"/>
        <v>75.801</v>
      </c>
      <c r="K200" s="1298">
        <f t="shared" si="2"/>
        <v>88.78833289</v>
      </c>
      <c r="L200" s="1299">
        <f t="shared" si="3"/>
        <v>0.0002847414406</v>
      </c>
      <c r="M200" s="1300">
        <f t="shared" si="5"/>
        <v>0.718393155</v>
      </c>
      <c r="N200" s="1301" t="str">
        <f t="shared" si="4"/>
        <v>A</v>
      </c>
    </row>
    <row r="201">
      <c r="A201" s="1291">
        <v>189.0</v>
      </c>
      <c r="B201" s="1292">
        <v>1743.0</v>
      </c>
      <c r="C201" s="1304" t="s">
        <v>17759</v>
      </c>
      <c r="D201" s="1303" t="str">
        <f>IF(C201="SINAPI",VLOOKUP(B201,'20-A.SINAPI-I'!A:G,2,0),VLOOKUP(B201,'12.COT.MERCADO'!A:I,2,0))</f>
        <v>CUBA ACO INOX (AISI 304) DE EMBUTIR COM VALVULA 3 1/2 ", DE *46 X 30 X 12* CM</v>
      </c>
      <c r="E201" s="1305" t="s">
        <v>18393</v>
      </c>
      <c r="F201" s="1296" t="str">
        <f>IF(C201="SINAPI",VLOOKUP(B201,'20-A.SINAPI-I'!A:G,3,0),VLOOKUP(B201,'12.COT.MERCADO'!A:I,7,0))</f>
        <v>UN</v>
      </c>
      <c r="G201" s="1306">
        <v>0.33</v>
      </c>
      <c r="H201" s="1298">
        <f>IF(C201="SINAPI",VLOOKUP(B201,'20-A.SINAPI-I'!A:G,4,0),VLOOKUP(B201,'12.COT.MERCADO'!A:I,8,0))</f>
        <v>217.3</v>
      </c>
      <c r="I201" s="1298">
        <f>IF(E201="Mão de Obra",H201*(1+'7. BDI SERVIÇOS'!$K$5),H201*(1+'8. BDI MERO FORNECIMENTO'!$K$5))</f>
        <v>254.5310053</v>
      </c>
      <c r="J201" s="1298">
        <f t="shared" si="1"/>
        <v>71.709</v>
      </c>
      <c r="K201" s="1298">
        <f t="shared" si="2"/>
        <v>83.99523177</v>
      </c>
      <c r="L201" s="1299">
        <f t="shared" si="3"/>
        <v>0.0002693701134</v>
      </c>
      <c r="M201" s="1300">
        <f t="shared" si="5"/>
        <v>0.7186625251</v>
      </c>
      <c r="N201" s="1301" t="str">
        <f t="shared" si="4"/>
        <v>A</v>
      </c>
    </row>
    <row r="202">
      <c r="A202" s="1291">
        <v>197.0</v>
      </c>
      <c r="B202" s="1292">
        <v>43486.0</v>
      </c>
      <c r="C202" s="1304" t="s">
        <v>17759</v>
      </c>
      <c r="D202" s="1303" t="str">
        <f>IF(C202="SINAPI",VLOOKUP(B202,'20-A.SINAPI-I'!A:G,2,0),VLOOKUP(B202,'12.COT.MERCADO'!A:I,2,0))</f>
        <v>EPI - FAMILIA ENGENHEIRO CIVIL - HORISTA (ENCARGOS COMPLEMENTARES - COLETADO CAIXA)</v>
      </c>
      <c r="E202" s="1305" t="s">
        <v>18393</v>
      </c>
      <c r="F202" s="1296" t="str">
        <f>IF(C202="SINAPI",VLOOKUP(B202,'20-A.SINAPI-I'!A:G,3,0),VLOOKUP(B202,'12.COT.MERCADO'!A:I,7,0))</f>
        <v>H</v>
      </c>
      <c r="G202" s="1306">
        <v>100.0</v>
      </c>
      <c r="H202" s="1298">
        <f>IF(C202="SINAPI",VLOOKUP(B202,'20-A.SINAPI-I'!A:G,4,0),VLOOKUP(B202,'12.COT.MERCADO'!A:I,8,0))</f>
        <v>0.71</v>
      </c>
      <c r="I202" s="1298">
        <f>IF(E202="Mão de Obra",H202*(1+'7. BDI SERVIÇOS'!$K$5),H202*(1+'8. BDI MERO FORNECIMENTO'!$K$5))</f>
        <v>0.8316475554</v>
      </c>
      <c r="J202" s="1298">
        <f t="shared" si="1"/>
        <v>71</v>
      </c>
      <c r="K202" s="1298">
        <f t="shared" si="2"/>
        <v>83.16475554</v>
      </c>
      <c r="L202" s="1299">
        <f t="shared" si="3"/>
        <v>0.0002667068018</v>
      </c>
      <c r="M202" s="1300">
        <f t="shared" si="5"/>
        <v>0.7189292319</v>
      </c>
      <c r="N202" s="1301" t="str">
        <f t="shared" si="4"/>
        <v>A</v>
      </c>
    </row>
    <row r="203">
      <c r="A203" s="1291">
        <v>198.0</v>
      </c>
      <c r="B203" s="1292">
        <v>36274.0</v>
      </c>
      <c r="C203" s="1304" t="s">
        <v>17759</v>
      </c>
      <c r="D203" s="1303" t="str">
        <f>IF(C203="SINAPI",VLOOKUP(B203,'20-A.SINAPI-I'!A:G,2,0),VLOOKUP(B203,'12.COT.MERCADO'!A:I,2,0))</f>
        <v>TUBO PPR PN 20, DN 20 MM, PARA AGUA QUENTE PREDIAL</v>
      </c>
      <c r="E203" s="1305" t="s">
        <v>18393</v>
      </c>
      <c r="F203" s="1296" t="str">
        <f>IF(C203="SINAPI",VLOOKUP(B203,'20-A.SINAPI-I'!A:G,3,0),VLOOKUP(B203,'12.COT.MERCADO'!A:I,7,0))</f>
        <v>M</v>
      </c>
      <c r="G203" s="1306">
        <v>6.85676</v>
      </c>
      <c r="H203" s="1298">
        <f>IF(C203="SINAPI",VLOOKUP(B203,'20-A.SINAPI-I'!A:G,4,0),VLOOKUP(B203,'12.COT.MERCADO'!A:I,8,0))</f>
        <v>10.77</v>
      </c>
      <c r="I203" s="1298">
        <f>IF(E203="Mão de Obra",H203*(1+'7. BDI SERVIÇOS'!$K$5),H203*(1+'8. BDI MERO FORNECIMENTO'!$K$5))</f>
        <v>12.61527348</v>
      </c>
      <c r="J203" s="1298">
        <f t="shared" si="1"/>
        <v>73.8473052</v>
      </c>
      <c r="K203" s="1298">
        <f t="shared" si="2"/>
        <v>86.4999026</v>
      </c>
      <c r="L203" s="1299">
        <f t="shared" si="3"/>
        <v>0.0002774025154</v>
      </c>
      <c r="M203" s="1300">
        <f t="shared" si="5"/>
        <v>0.7192066344</v>
      </c>
      <c r="N203" s="1301" t="str">
        <f t="shared" si="4"/>
        <v>A</v>
      </c>
    </row>
    <row r="204">
      <c r="A204" s="1291">
        <v>199.0</v>
      </c>
      <c r="B204" s="1292">
        <v>2432.0</v>
      </c>
      <c r="C204" s="1304" t="s">
        <v>17759</v>
      </c>
      <c r="D204" s="1303" t="str">
        <f>IF(C204="SINAPI",VLOOKUP(B204,'20-A.SINAPI-I'!A:G,2,0),VLOOKUP(B204,'12.COT.MERCADO'!A:I,2,0))</f>
        <v>DOBRADICA EM ACO/FERRO, 3 1/2" X  3", E= 1,9  A 2 MM, COM ANEL,  CROMADO OU ZINCADO, TAMPA BOLA, COM PARAFUSOS</v>
      </c>
      <c r="E204" s="1305" t="s">
        <v>18393</v>
      </c>
      <c r="F204" s="1296" t="str">
        <f>IF(C204="SINAPI",VLOOKUP(B204,'20-A.SINAPI-I'!A:G,3,0),VLOOKUP(B204,'12.COT.MERCADO'!A:I,7,0))</f>
        <v>UN</v>
      </c>
      <c r="G204" s="1306">
        <v>3.0</v>
      </c>
      <c r="H204" s="1298">
        <f>IF(C204="SINAPI",VLOOKUP(B204,'20-A.SINAPI-I'!A:G,4,0),VLOOKUP(B204,'12.COT.MERCADO'!A:I,8,0))</f>
        <v>21.88</v>
      </c>
      <c r="I204" s="1298">
        <f>IF(E204="Mão de Obra",H204*(1+'7. BDI SERVIÇOS'!$K$5),H204*(1+'8. BDI MERO FORNECIMENTO'!$K$5))</f>
        <v>25.62880072</v>
      </c>
      <c r="J204" s="1298">
        <f t="shared" si="1"/>
        <v>65.64</v>
      </c>
      <c r="K204" s="1298">
        <f t="shared" si="2"/>
        <v>76.88640217</v>
      </c>
      <c r="L204" s="1299">
        <f t="shared" si="3"/>
        <v>0.0002465723165</v>
      </c>
      <c r="M204" s="1300">
        <f t="shared" si="5"/>
        <v>0.7194532067</v>
      </c>
      <c r="N204" s="1301" t="str">
        <f t="shared" si="4"/>
        <v>A</v>
      </c>
    </row>
    <row r="205">
      <c r="A205" s="1291">
        <v>200.0</v>
      </c>
      <c r="B205" s="1292">
        <v>660.0</v>
      </c>
      <c r="C205" s="1304" t="s">
        <v>17759</v>
      </c>
      <c r="D205" s="1303" t="str">
        <f>IF(C205="SINAPI",VLOOKUP(B205,'20-A.SINAPI-I'!A:G,2,0),VLOOKUP(B205,'12.COT.MERCADO'!A:I,2,0))</f>
        <v>CANALETA DE CONCRETO 19 X 19 X 19 CM (CLASSE C - NBR 6136)</v>
      </c>
      <c r="E205" s="1305" t="s">
        <v>18393</v>
      </c>
      <c r="F205" s="1296" t="str">
        <f>IF(C205="SINAPI",VLOOKUP(B205,'20-A.SINAPI-I'!A:G,3,0),VLOOKUP(B205,'12.COT.MERCADO'!A:I,7,0))</f>
        <v>UN</v>
      </c>
      <c r="G205" s="1306">
        <v>25.641</v>
      </c>
      <c r="H205" s="1298">
        <f>IF(C205="SINAPI",VLOOKUP(B205,'20-A.SINAPI-I'!A:G,4,0),VLOOKUP(B205,'12.COT.MERCADO'!A:I,8,0))</f>
        <v>2.7</v>
      </c>
      <c r="I205" s="1298">
        <f>IF(E205="Mão de Obra",H205*(1+'7. BDI SERVIÇOS'!$K$5),H205*(1+'8. BDI MERO FORNECIMENTO'!$K$5))</f>
        <v>3.16260338</v>
      </c>
      <c r="J205" s="1298">
        <f t="shared" si="1"/>
        <v>69.2307</v>
      </c>
      <c r="K205" s="1298">
        <f t="shared" si="2"/>
        <v>81.09231326</v>
      </c>
      <c r="L205" s="1299">
        <f t="shared" si="3"/>
        <v>0.0002600605435</v>
      </c>
      <c r="M205" s="1300">
        <f t="shared" si="5"/>
        <v>0.7197132673</v>
      </c>
      <c r="N205" s="1301" t="str">
        <f t="shared" si="4"/>
        <v>A</v>
      </c>
    </row>
    <row r="206">
      <c r="A206" s="1291">
        <v>201.0</v>
      </c>
      <c r="B206" s="1292">
        <v>43483.0</v>
      </c>
      <c r="C206" s="1304" t="s">
        <v>17759</v>
      </c>
      <c r="D206" s="1303" t="str">
        <f>IF(C206="SINAPI",VLOOKUP(B206,'20-A.SINAPI-I'!A:G,2,0),VLOOKUP(B206,'12.COT.MERCADO'!A:I,2,0))</f>
        <v>EPI - FAMILIA CARPINTEIRO DE FORMAS - HORISTA (ENCARGOS COMPLEMENTARES - COLETADO CAIXA)</v>
      </c>
      <c r="E206" s="1305" t="s">
        <v>18393</v>
      </c>
      <c r="F206" s="1296" t="str">
        <f>IF(C206="SINAPI",VLOOKUP(B206,'20-A.SINAPI-I'!A:G,3,0),VLOOKUP(B206,'12.COT.MERCADO'!A:I,7,0))</f>
        <v>H</v>
      </c>
      <c r="G206" s="1306">
        <v>50.768299</v>
      </c>
      <c r="H206" s="1298">
        <f>IF(C206="SINAPI",VLOOKUP(B206,'20-A.SINAPI-I'!A:G,4,0),VLOOKUP(B206,'12.COT.MERCADO'!A:I,8,0))</f>
        <v>1.34</v>
      </c>
      <c r="I206" s="1298">
        <f>IF(E206="Mão de Obra",H206*(1+'7. BDI SERVIÇOS'!$K$5),H206*(1+'8. BDI MERO FORNECIMENTO'!$K$5))</f>
        <v>1.569588344</v>
      </c>
      <c r="J206" s="1298">
        <f t="shared" si="1"/>
        <v>68.02952066</v>
      </c>
      <c r="K206" s="1298">
        <f t="shared" si="2"/>
        <v>79.68533036</v>
      </c>
      <c r="L206" s="1299">
        <f t="shared" si="3"/>
        <v>0.0002555483927</v>
      </c>
      <c r="M206" s="1300">
        <f t="shared" si="5"/>
        <v>0.7199688157</v>
      </c>
      <c r="N206" s="1301" t="str">
        <f t="shared" si="4"/>
        <v>A</v>
      </c>
    </row>
    <row r="207">
      <c r="A207" s="1291">
        <v>202.0</v>
      </c>
      <c r="B207" s="1292">
        <v>11773.0</v>
      </c>
      <c r="C207" s="1304" t="s">
        <v>17759</v>
      </c>
      <c r="D207" s="1303" t="str">
        <f>IF(C207="SINAPI",VLOOKUP(B207,'20-A.SINAPI-I'!A:G,2,0),VLOOKUP(B207,'12.COT.MERCADO'!A:I,2,0))</f>
        <v>TORNEIRA METALICA CROMADA DE PAREDE, PARA COZINHA, BICA MOVEL, COM AREJADOR, 1/2 " OU 3/4 " (REF 1167 / 1168)</v>
      </c>
      <c r="E207" s="1305" t="s">
        <v>18393</v>
      </c>
      <c r="F207" s="1296" t="str">
        <f>IF(C207="SINAPI",VLOOKUP(B207,'20-A.SINAPI-I'!A:G,3,0),VLOOKUP(B207,'12.COT.MERCADO'!A:I,7,0))</f>
        <v>UN</v>
      </c>
      <c r="G207" s="1306">
        <v>0.67</v>
      </c>
      <c r="H207" s="1298">
        <f>IF(C207="SINAPI",VLOOKUP(B207,'20-A.SINAPI-I'!A:G,4,0),VLOOKUP(B207,'12.COT.MERCADO'!A:I,8,0))</f>
        <v>103.79</v>
      </c>
      <c r="I207" s="1298">
        <f>IF(E207="Mão de Obra",H207*(1+'7. BDI SERVIÇOS'!$K$5),H207*(1+'8. BDI MERO FORNECIMENTO'!$K$5))</f>
        <v>121.5728166</v>
      </c>
      <c r="J207" s="1298">
        <f t="shared" si="1"/>
        <v>69.5393</v>
      </c>
      <c r="K207" s="1298">
        <f t="shared" si="2"/>
        <v>81.45378712</v>
      </c>
      <c r="L207" s="1299">
        <f t="shared" si="3"/>
        <v>0.0002612197789</v>
      </c>
      <c r="M207" s="1300">
        <f t="shared" si="5"/>
        <v>0.7202300355</v>
      </c>
      <c r="N207" s="1301" t="str">
        <f t="shared" si="4"/>
        <v>A</v>
      </c>
    </row>
    <row r="208">
      <c r="A208" s="1291">
        <v>203.0</v>
      </c>
      <c r="B208" s="1292">
        <v>38179.0</v>
      </c>
      <c r="C208" s="1304" t="s">
        <v>17759</v>
      </c>
      <c r="D208" s="1303" t="str">
        <f>IF(C208="SINAPI",VLOOKUP(B208,'20-A.SINAPI-I'!A:G,2,0),VLOOKUP(B208,'12.COT.MERCADO'!A:I,2,0))</f>
        <v>ROLDANA CONCAVA DUPLA, 4 RODAS, PARA PORTA DE CORRER, EM ZAMAC COM CHAPA DE ACO,  ROLAMENTO INTERNO BLINDADO DE ACO REVESTIDO EM NYLON</v>
      </c>
      <c r="E208" s="1305" t="s">
        <v>18393</v>
      </c>
      <c r="F208" s="1296" t="str">
        <f>IF(C208="SINAPI",VLOOKUP(B208,'20-A.SINAPI-I'!A:G,3,0),VLOOKUP(B208,'12.COT.MERCADO'!A:I,7,0))</f>
        <v>UN</v>
      </c>
      <c r="G208" s="1306">
        <v>1.33</v>
      </c>
      <c r="H208" s="1298">
        <f>IF(C208="SINAPI",VLOOKUP(B208,'20-A.SINAPI-I'!A:G,4,0),VLOOKUP(B208,'12.COT.MERCADO'!A:I,8,0))</f>
        <v>46.32</v>
      </c>
      <c r="I208" s="1298">
        <f>IF(E208="Mão de Obra",H208*(1+'7. BDI SERVIÇOS'!$K$5),H208*(1+'8. BDI MERO FORNECIMENTO'!$K$5))</f>
        <v>54.25621798</v>
      </c>
      <c r="J208" s="1298">
        <f t="shared" si="1"/>
        <v>61.6056</v>
      </c>
      <c r="K208" s="1298">
        <f t="shared" si="2"/>
        <v>72.16076992</v>
      </c>
      <c r="L208" s="1299">
        <f t="shared" si="3"/>
        <v>0.0002314173599</v>
      </c>
      <c r="M208" s="1300">
        <f t="shared" si="5"/>
        <v>0.7204614528</v>
      </c>
      <c r="N208" s="1301" t="str">
        <f t="shared" si="4"/>
        <v>A</v>
      </c>
    </row>
    <row r="209">
      <c r="A209" s="1291">
        <v>210.0</v>
      </c>
      <c r="B209" s="1292">
        <v>1564.0</v>
      </c>
      <c r="C209" s="1304" t="s">
        <v>17759</v>
      </c>
      <c r="D209" s="1303" t="str">
        <f>IF(C209="SINAPI",VLOOKUP(B209,'20-A.SINAPI-I'!A:G,2,0),VLOOKUP(B209,'12.COT.MERCADO'!A:I,2,0))</f>
        <v>GRAMPO PARALELO METALICO PARA CABO DE 6 A 50 MM2, COM 2 PARAFUSOS</v>
      </c>
      <c r="E209" s="1305" t="s">
        <v>18394</v>
      </c>
      <c r="F209" s="1296" t="str">
        <f>IF(C209="SINAPI",VLOOKUP(B209,'20-A.SINAPI-I'!A:G,3,0),VLOOKUP(B209,'12.COT.MERCADO'!A:I,7,0))</f>
        <v>UN</v>
      </c>
      <c r="G209" s="1306">
        <v>3.99</v>
      </c>
      <c r="H209" s="1298">
        <f>IF(C209="SINAPI",VLOOKUP(B209,'20-A.SINAPI-I'!A:G,4,0),VLOOKUP(B209,'12.COT.MERCADO'!A:I,8,0))</f>
        <v>12.31</v>
      </c>
      <c r="I209" s="1298">
        <f>IF(E209="Mão de Obra",H209*(1+'7. BDI SERVIÇOS'!$K$5),H209*(1+'8. BDI MERO FORNECIMENTO'!$K$5))</f>
        <v>14.45099176</v>
      </c>
      <c r="J209" s="1298">
        <f t="shared" si="1"/>
        <v>49.1169</v>
      </c>
      <c r="K209" s="1298">
        <f t="shared" si="2"/>
        <v>57.65945713</v>
      </c>
      <c r="L209" s="1299">
        <f t="shared" si="3"/>
        <v>0.0001849120977</v>
      </c>
      <c r="M209" s="1300">
        <f t="shared" si="5"/>
        <v>0.7206463649</v>
      </c>
      <c r="N209" s="1301" t="str">
        <f t="shared" si="4"/>
        <v>A</v>
      </c>
    </row>
    <row r="210">
      <c r="A210" s="1291">
        <v>204.0</v>
      </c>
      <c r="B210" s="1292" t="s">
        <v>2004</v>
      </c>
      <c r="C210" s="1304" t="s">
        <v>1785</v>
      </c>
      <c r="D210" s="1302" t="str">
        <f>IF(C210="SINAPI",VLOOKUP(B210,'20-A.SINAPI-I'!A:G,2,0),VLOOKUP(B210,'12.COT.MERCADO'!A:I,2,0))</f>
        <v>TOMADA 2P + T, ABNT, DE SOBREPOR, 20A, SISTEMA X</v>
      </c>
      <c r="E210" s="1305" t="s">
        <v>18393</v>
      </c>
      <c r="F210" s="1296" t="str">
        <f>IF(C210="SINAPI",VLOOKUP(B210,'20-A.SINAPI-I'!A:G,3,0),VLOOKUP(B210,'12.COT.MERCADO'!A:I,7,0))</f>
        <v>UN</v>
      </c>
      <c r="G210" s="1306">
        <v>5.67</v>
      </c>
      <c r="H210" s="1298">
        <f>IF(C210="SINAPI",VLOOKUP(B210,'20-A.SINAPI-I'!A:G,4,0),VLOOKUP(B210,'12.COT.MERCADO'!A:I,8,0))</f>
        <v>10.9</v>
      </c>
      <c r="I210" s="1298">
        <f>IF(E210="Mão de Obra",H210*(1+'7. BDI SERVIÇOS'!$K$5),H210*(1+'8. BDI MERO FORNECIMENTO'!$K$5))</f>
        <v>12.76754698</v>
      </c>
      <c r="J210" s="1298">
        <f t="shared" si="1"/>
        <v>61.803</v>
      </c>
      <c r="K210" s="1298">
        <f t="shared" si="2"/>
        <v>72.39199137</v>
      </c>
      <c r="L210" s="1299">
        <f t="shared" si="3"/>
        <v>0.0002321588799</v>
      </c>
      <c r="M210" s="1300">
        <f t="shared" si="5"/>
        <v>0.7208785238</v>
      </c>
      <c r="N210" s="1301" t="str">
        <f t="shared" si="4"/>
        <v>A</v>
      </c>
    </row>
    <row r="211">
      <c r="A211" s="1291">
        <v>205.0</v>
      </c>
      <c r="B211" s="1292">
        <v>39666.0</v>
      </c>
      <c r="C211" s="1304" t="s">
        <v>17759</v>
      </c>
      <c r="D211" s="1303" t="str">
        <f>IF(C211="SINAPI",VLOOKUP(B211,'20-A.SINAPI-I'!A:G,2,0),VLOOKUP(B211,'12.COT.MERCADO'!A:I,2,0))</f>
        <v>TUBO DE COBRE FLEXIVEL, D = 3/4 ", E = 0,79 MM, PARA AR-CONDICIONADO/ INSTALACOES GAS RESIDENCIAIS E COMERCIAIS</v>
      </c>
      <c r="E211" s="1305" t="s">
        <v>18393</v>
      </c>
      <c r="F211" s="1296" t="str">
        <f>IF(C211="SINAPI",VLOOKUP(B211,'20-A.SINAPI-I'!A:G,3,0),VLOOKUP(B211,'12.COT.MERCADO'!A:I,7,0))</f>
        <v>M</v>
      </c>
      <c r="G211" s="1306">
        <v>1.05</v>
      </c>
      <c r="H211" s="1298">
        <f>IF(C211="SINAPI",VLOOKUP(B211,'20-A.SINAPI-I'!A:G,4,0),VLOOKUP(B211,'12.COT.MERCADO'!A:I,8,0))</f>
        <v>59.72</v>
      </c>
      <c r="I211" s="1298">
        <f>IF(E211="Mão de Obra",H211*(1+'7. BDI SERVIÇOS'!$K$5),H211*(1+'8. BDI MERO FORNECIMENTO'!$K$5))</f>
        <v>69.95210142</v>
      </c>
      <c r="J211" s="1298">
        <f t="shared" si="1"/>
        <v>62.706</v>
      </c>
      <c r="K211" s="1298">
        <f t="shared" si="2"/>
        <v>73.4497065</v>
      </c>
      <c r="L211" s="1299">
        <f t="shared" si="3"/>
        <v>0.0002355509396</v>
      </c>
      <c r="M211" s="1300">
        <f t="shared" si="5"/>
        <v>0.7211140747</v>
      </c>
      <c r="N211" s="1301" t="str">
        <f t="shared" si="4"/>
        <v>A</v>
      </c>
    </row>
    <row r="212">
      <c r="A212" s="1291">
        <v>206.0</v>
      </c>
      <c r="B212" s="1292">
        <v>3788.0</v>
      </c>
      <c r="C212" s="1304" t="s">
        <v>17759</v>
      </c>
      <c r="D212" s="1303" t="str">
        <f>IF(C212="SINAPI",VLOOKUP(B212,'20-A.SINAPI-I'!A:G,2,0),VLOOKUP(B212,'12.COT.MERCADO'!A:I,2,0))</f>
        <v>LUMINARIA DE SOBREPOR EM CHAPA DE ACO PARA 1 LAMPADA FLUORESCENTE DE *18* W, ALETADA, COMPLETA (LAMPADA E REATOR INCLUSOS)</v>
      </c>
      <c r="E212" s="1305" t="s">
        <v>18393</v>
      </c>
      <c r="F212" s="1296" t="str">
        <f>IF(C212="SINAPI",VLOOKUP(B212,'20-A.SINAPI-I'!A:G,3,0),VLOOKUP(B212,'12.COT.MERCADO'!A:I,7,0))</f>
        <v>UN</v>
      </c>
      <c r="G212" s="1306">
        <v>0.67</v>
      </c>
      <c r="H212" s="1298">
        <f>IF(C212="SINAPI",VLOOKUP(B212,'20-A.SINAPI-I'!A:G,4,0),VLOOKUP(B212,'12.COT.MERCADO'!A:I,8,0))</f>
        <v>67.44</v>
      </c>
      <c r="I212" s="1298">
        <f>IF(E212="Mão de Obra",H212*(1+'7. BDI SERVIÇOS'!$K$5),H212*(1+'8. BDI MERO FORNECIMENTO'!$K$5))</f>
        <v>78.99480442</v>
      </c>
      <c r="J212" s="1298">
        <f t="shared" si="1"/>
        <v>45.1848</v>
      </c>
      <c r="K212" s="1298">
        <f t="shared" si="2"/>
        <v>52.92651896</v>
      </c>
      <c r="L212" s="1299">
        <f t="shared" si="3"/>
        <v>0.0001697337113</v>
      </c>
      <c r="M212" s="1300">
        <f t="shared" si="5"/>
        <v>0.7212838084</v>
      </c>
      <c r="N212" s="1301" t="str">
        <f t="shared" si="4"/>
        <v>A</v>
      </c>
    </row>
    <row r="213">
      <c r="A213" s="1291">
        <v>207.0</v>
      </c>
      <c r="B213" s="1292">
        <v>3777.0</v>
      </c>
      <c r="C213" s="1304" t="s">
        <v>17759</v>
      </c>
      <c r="D213" s="1303" t="str">
        <f>IF(C213="SINAPI",VLOOKUP(B213,'20-A.SINAPI-I'!A:G,2,0),VLOOKUP(B213,'12.COT.MERCADO'!A:I,2,0))</f>
        <v>LONA PLASTICA PESADA PRETA, E = 150 MICRA</v>
      </c>
      <c r="E213" s="1305" t="s">
        <v>18397</v>
      </c>
      <c r="F213" s="1296" t="str">
        <f>IF(C213="SINAPI",VLOOKUP(B213,'20-A.SINAPI-I'!A:G,3,0),VLOOKUP(B213,'12.COT.MERCADO'!A:I,7,0))</f>
        <v>M2</v>
      </c>
      <c r="G213" s="1306">
        <v>33.35</v>
      </c>
      <c r="H213" s="1298">
        <f>IF(C213="SINAPI",VLOOKUP(B213,'20-A.SINAPI-I'!A:G,4,0),VLOOKUP(B213,'12.COT.MERCADO'!A:I,8,0))</f>
        <v>1.62</v>
      </c>
      <c r="I213" s="1298">
        <f>IF(E213="Mão de Obra",H213*(1+'7. BDI SERVIÇOS'!$K$5),H213*(1+'8. BDI MERO FORNECIMENTO'!$K$5))</f>
        <v>1.897562028</v>
      </c>
      <c r="J213" s="1298">
        <f t="shared" si="1"/>
        <v>54.027</v>
      </c>
      <c r="K213" s="1298">
        <f t="shared" si="2"/>
        <v>63.28369363</v>
      </c>
      <c r="L213" s="1299">
        <f t="shared" si="3"/>
        <v>0.0002029488505</v>
      </c>
      <c r="M213" s="1300">
        <f t="shared" si="5"/>
        <v>0.7214867573</v>
      </c>
      <c r="N213" s="1301" t="str">
        <f t="shared" si="4"/>
        <v>A</v>
      </c>
    </row>
    <row r="214">
      <c r="A214" s="1291">
        <v>208.0</v>
      </c>
      <c r="B214" s="1292" t="s">
        <v>1929</v>
      </c>
      <c r="C214" s="1304" t="s">
        <v>1785</v>
      </c>
      <c r="D214" s="1294" t="str">
        <f>IF(C214="SINAPI",VLOOKUP(B214,'20-A.SINAPI-I'!A:G,2,0),VLOOKUP(B214,'12.COT.MERCADO'!A:I,2,0))</f>
        <v>MANGUEIRA ESPIRAL 8X5,5MM 7M ESPU 700 COM ENGATE RÁPIDO</v>
      </c>
      <c r="E214" s="1305" t="s">
        <v>18393</v>
      </c>
      <c r="F214" s="1296" t="str">
        <f>IF(C214="SINAPI",VLOOKUP(B214,'20-A.SINAPI-I'!A:G,3,0),VLOOKUP(B214,'12.COT.MERCADO'!A:I,7,0))</f>
        <v>UN</v>
      </c>
      <c r="G214" s="1306">
        <v>1.0</v>
      </c>
      <c r="H214" s="1298">
        <f>IF(C214="SINAPI",VLOOKUP(B214,'20-A.SINAPI-I'!A:G,4,0),VLOOKUP(B214,'12.COT.MERCADO'!A:I,8,0))</f>
        <v>51.9</v>
      </c>
      <c r="I214" s="1298">
        <f>IF(E214="Mão de Obra",H214*(1+'7. BDI SERVIÇOS'!$K$5),H214*(1+'8. BDI MERO FORNECIMENTO'!$K$5))</f>
        <v>60.79226497</v>
      </c>
      <c r="J214" s="1298">
        <f t="shared" si="1"/>
        <v>51.9</v>
      </c>
      <c r="K214" s="1298">
        <f t="shared" si="2"/>
        <v>60.79226497</v>
      </c>
      <c r="L214" s="1299">
        <f t="shared" si="3"/>
        <v>0.0001949589157</v>
      </c>
      <c r="M214" s="1300">
        <f t="shared" si="5"/>
        <v>0.7216817162</v>
      </c>
      <c r="N214" s="1301" t="str">
        <f t="shared" si="4"/>
        <v>A</v>
      </c>
    </row>
    <row r="215">
      <c r="A215" s="1291">
        <v>209.0</v>
      </c>
      <c r="B215" s="1292">
        <v>34643.0</v>
      </c>
      <c r="C215" s="1304" t="s">
        <v>17759</v>
      </c>
      <c r="D215" s="1303" t="str">
        <f>IF(C215="SINAPI",VLOOKUP(B215,'20-A.SINAPI-I'!A:G,2,0),VLOOKUP(B215,'12.COT.MERCADO'!A:I,2,0))</f>
        <v>CAIXA DE INSPECAO PARA ATERRAMENTO E PARA RAIOS, EM POLIPROPILENO,  DIAMETRO = 300 MM X ALTURA = 400 MM</v>
      </c>
      <c r="E215" s="1305" t="s">
        <v>18393</v>
      </c>
      <c r="F215" s="1296" t="str">
        <f>IF(C215="SINAPI",VLOOKUP(B215,'20-A.SINAPI-I'!A:G,3,0),VLOOKUP(B215,'12.COT.MERCADO'!A:I,7,0))</f>
        <v>UN</v>
      </c>
      <c r="G215" s="1306">
        <v>1.33</v>
      </c>
      <c r="H215" s="1298">
        <f>IF(C215="SINAPI",VLOOKUP(B215,'20-A.SINAPI-I'!A:G,4,0),VLOOKUP(B215,'12.COT.MERCADO'!A:I,8,0))</f>
        <v>42.44</v>
      </c>
      <c r="I215" s="1298">
        <f>IF(E215="Mão de Obra",H215*(1+'7. BDI SERVIÇOS'!$K$5),H215*(1+'8. BDI MERO FORNECIMENTO'!$K$5))</f>
        <v>49.71143979</v>
      </c>
      <c r="J215" s="1298">
        <f t="shared" si="1"/>
        <v>56.4452</v>
      </c>
      <c r="K215" s="1298">
        <f t="shared" si="2"/>
        <v>66.11621492</v>
      </c>
      <c r="L215" s="1299">
        <f t="shared" si="3"/>
        <v>0.0002120326587</v>
      </c>
      <c r="M215" s="1300">
        <f t="shared" si="5"/>
        <v>0.7218937489</v>
      </c>
      <c r="N215" s="1301" t="str">
        <f t="shared" si="4"/>
        <v>A</v>
      </c>
    </row>
    <row r="216">
      <c r="A216" s="1291">
        <v>211.0</v>
      </c>
      <c r="B216" s="1292">
        <v>6024.0</v>
      </c>
      <c r="C216" s="1304" t="s">
        <v>17759</v>
      </c>
      <c r="D216" s="1303" t="str">
        <f>IF(C216="SINAPI",VLOOKUP(B216,'20-A.SINAPI-I'!A:G,2,0),VLOOKUP(B216,'12.COT.MERCADO'!A:I,2,0))</f>
        <v>REGISTRO PRESSAO COM ACABAMENTO E CANOPLA CROMADA, SIMPLES, BITOLA 3/4 " (REF 1416)</v>
      </c>
      <c r="E216" s="1305" t="s">
        <v>18393</v>
      </c>
      <c r="F216" s="1296" t="str">
        <f>IF(C216="SINAPI",VLOOKUP(B216,'20-A.SINAPI-I'!A:G,3,0),VLOOKUP(B216,'12.COT.MERCADO'!A:I,7,0))</f>
        <v>UN</v>
      </c>
      <c r="G216" s="1306">
        <v>0.67</v>
      </c>
      <c r="H216" s="1298">
        <f>IF(C216="SINAPI",VLOOKUP(B216,'20-A.SINAPI-I'!A:G,4,0),VLOOKUP(B216,'12.COT.MERCADO'!A:I,8,0))</f>
        <v>88.61</v>
      </c>
      <c r="I216" s="1298">
        <f>IF(E216="Mão de Obra",H216*(1+'7. BDI SERVIÇOS'!$K$5),H216*(1+'8. BDI MERO FORNECIMENTO'!$K$5))</f>
        <v>103.7919576</v>
      </c>
      <c r="J216" s="1298">
        <f t="shared" si="1"/>
        <v>59.3687</v>
      </c>
      <c r="K216" s="1298">
        <f t="shared" si="2"/>
        <v>69.54061158</v>
      </c>
      <c r="L216" s="1299">
        <f t="shared" si="3"/>
        <v>0.000223014593</v>
      </c>
      <c r="M216" s="1300">
        <f t="shared" si="5"/>
        <v>0.7221167635</v>
      </c>
      <c r="N216" s="1301" t="str">
        <f t="shared" si="4"/>
        <v>A</v>
      </c>
    </row>
    <row r="217">
      <c r="A217" s="1291">
        <v>212.0</v>
      </c>
      <c r="B217" s="1292">
        <v>6117.0</v>
      </c>
      <c r="C217" s="1304" t="s">
        <v>17759</v>
      </c>
      <c r="D217" s="1303" t="str">
        <f>IF(C217="SINAPI",VLOOKUP(B217,'20-A.SINAPI-I'!A:G,2,0),VLOOKUP(B217,'12.COT.MERCADO'!A:I,2,0))</f>
        <v>CARPINTEIRO AUXILIAR (HORISTA)</v>
      </c>
      <c r="E217" s="1305" t="s">
        <v>18393</v>
      </c>
      <c r="F217" s="1296" t="str">
        <f>IF(C217="SINAPI",VLOOKUP(B217,'20-A.SINAPI-I'!A:G,3,0),VLOOKUP(B217,'12.COT.MERCADO'!A:I,7,0))</f>
        <v>H</v>
      </c>
      <c r="G217" s="1306">
        <v>3.2286144</v>
      </c>
      <c r="H217" s="1298">
        <f>IF(C217="SINAPI",VLOOKUP(B217,'20-A.SINAPI-I'!A:G,4,0),VLOOKUP(B217,'12.COT.MERCADO'!A:I,8,0))</f>
        <v>15.93</v>
      </c>
      <c r="I217" s="1298">
        <f>IF(E217="Mão de Obra",H217*(1+'7. BDI SERVIÇOS'!$K$5),H217*(1+'8. BDI MERO FORNECIMENTO'!$K$5))</f>
        <v>18.65935994</v>
      </c>
      <c r="J217" s="1298">
        <f t="shared" si="1"/>
        <v>51.43182739</v>
      </c>
      <c r="K217" s="1298">
        <f t="shared" si="2"/>
        <v>60.2438782</v>
      </c>
      <c r="L217" s="1299">
        <f t="shared" si="3"/>
        <v>0.0001932002563</v>
      </c>
      <c r="M217" s="1300">
        <f t="shared" si="5"/>
        <v>0.7223099637</v>
      </c>
      <c r="N217" s="1301" t="str">
        <f t="shared" si="4"/>
        <v>A</v>
      </c>
    </row>
    <row r="218">
      <c r="A218" s="1291">
        <v>217.0</v>
      </c>
      <c r="B218" s="1292">
        <v>11748.0</v>
      </c>
      <c r="C218" s="1304" t="s">
        <v>17759</v>
      </c>
      <c r="D218" s="1303" t="str">
        <f>IF(C218="SINAPI",VLOOKUP(B218,'20-A.SINAPI-I'!A:G,2,0),VLOOKUP(B218,'12.COT.MERCADO'!A:I,2,0))</f>
        <v>VALVULA DE ESFERA BRUTA EM BRONZE, BITOLA 1/2 " (REF 1552-B)</v>
      </c>
      <c r="E218" s="1305" t="s">
        <v>18394</v>
      </c>
      <c r="F218" s="1296" t="str">
        <f>IF(C218="SINAPI",VLOOKUP(B218,'20-A.SINAPI-I'!A:G,3,0),VLOOKUP(B218,'12.COT.MERCADO'!A:I,7,0))</f>
        <v>UN</v>
      </c>
      <c r="G218" s="1306">
        <v>1.0</v>
      </c>
      <c r="H218" s="1298">
        <f>IF(C218="SINAPI",VLOOKUP(B218,'20-A.SINAPI-I'!A:G,4,0),VLOOKUP(B218,'12.COT.MERCADO'!A:I,8,0))</f>
        <v>54.73</v>
      </c>
      <c r="I218" s="1298">
        <f>IF(E218="Mão de Obra",H218*(1+'7. BDI SERVIÇOS'!$K$5),H218*(1+'8. BDI MERO FORNECIMENTO'!$K$5))</f>
        <v>64.24880415</v>
      </c>
      <c r="J218" s="1298">
        <f t="shared" si="1"/>
        <v>54.73</v>
      </c>
      <c r="K218" s="1298">
        <f t="shared" si="2"/>
        <v>64.24880415</v>
      </c>
      <c r="L218" s="1299">
        <f t="shared" si="3"/>
        <v>0.0002060439301</v>
      </c>
      <c r="M218" s="1300">
        <f t="shared" si="5"/>
        <v>0.7225160076</v>
      </c>
      <c r="N218" s="1301" t="str">
        <f t="shared" si="4"/>
        <v>A</v>
      </c>
    </row>
    <row r="219">
      <c r="A219" s="1291">
        <v>213.0</v>
      </c>
      <c r="B219" s="1292">
        <v>12214.0</v>
      </c>
      <c r="C219" s="1304" t="s">
        <v>17759</v>
      </c>
      <c r="D219" s="1303" t="str">
        <f>IF(C219="SINAPI",VLOOKUP(B219,'20-A.SINAPI-I'!A:G,2,0),VLOOKUP(B219,'12.COT.MERCADO'!A:I,2,0))</f>
        <v>LAMPADA VAPOR MERCURIO 125 W (BASE E27)</v>
      </c>
      <c r="E219" s="1305" t="s">
        <v>18393</v>
      </c>
      <c r="F219" s="1296" t="str">
        <f>IF(C219="SINAPI",VLOOKUP(B219,'20-A.SINAPI-I'!A:G,3,0),VLOOKUP(B219,'12.COT.MERCADO'!A:I,7,0))</f>
        <v>UN</v>
      </c>
      <c r="G219" s="1306">
        <v>2.33</v>
      </c>
      <c r="H219" s="1298">
        <f>IF(C219="SINAPI",VLOOKUP(B219,'20-A.SINAPI-I'!A:G,4,0),VLOOKUP(B219,'12.COT.MERCADO'!A:I,8,0))</f>
        <v>23.96</v>
      </c>
      <c r="I219" s="1298">
        <f>IF(E219="Mão de Obra",H219*(1+'7. BDI SERVIÇOS'!$K$5),H219*(1+'8. BDI MERO FORNECIMENTO'!$K$5))</f>
        <v>28.06517666</v>
      </c>
      <c r="J219" s="1298">
        <f t="shared" si="1"/>
        <v>55.8268</v>
      </c>
      <c r="K219" s="1298">
        <f t="shared" si="2"/>
        <v>65.39186162</v>
      </c>
      <c r="L219" s="1299">
        <f t="shared" si="3"/>
        <v>0.0002097096801</v>
      </c>
      <c r="M219" s="1300">
        <f t="shared" si="5"/>
        <v>0.7227257173</v>
      </c>
      <c r="N219" s="1301" t="str">
        <f t="shared" si="4"/>
        <v>A</v>
      </c>
    </row>
    <row r="220">
      <c r="A220" s="1291">
        <v>215.0</v>
      </c>
      <c r="B220" s="1292">
        <v>1022.0</v>
      </c>
      <c r="C220" s="1304" t="s">
        <v>17759</v>
      </c>
      <c r="D220" s="1303" t="str">
        <f>IF(C220="SINAPI",VLOOKUP(B220,'20-A.SINAPI-I'!A:G,2,0),VLOOKUP(B220,'12.COT.MERCADO'!A:I,2,0))</f>
        <v>CABO DE COBRE, FLEXIVEL, CLASSE 4 OU 5, ISOLACAO EM PVC/A, ANTICHAMA BWF-B, COBERTURA PVC-ST1, ANTICHAMA BWF-B, 1 CONDUTOR, 0,6/1 KV, SECAO NOMINAL 2,5 MM2</v>
      </c>
      <c r="E220" s="1305" t="s">
        <v>18393</v>
      </c>
      <c r="F220" s="1296" t="str">
        <f>IF(C220="SINAPI",VLOOKUP(B220,'20-A.SINAPI-I'!A:G,3,0),VLOOKUP(B220,'12.COT.MERCADO'!A:I,7,0))</f>
        <v>M</v>
      </c>
      <c r="G220" s="1306">
        <v>19.8373</v>
      </c>
      <c r="H220" s="1298">
        <f>IF(C220="SINAPI",VLOOKUP(B220,'20-A.SINAPI-I'!A:G,4,0),VLOOKUP(B220,'12.COT.MERCADO'!A:I,8,0))</f>
        <v>2.57</v>
      </c>
      <c r="I220" s="1298">
        <f>IF(E220="Mão de Obra",H220*(1+'7. BDI SERVIÇOS'!$K$5),H220*(1+'8. BDI MERO FORNECIMENTO'!$K$5))</f>
        <v>3.010329884</v>
      </c>
      <c r="J220" s="1298">
        <f t="shared" si="1"/>
        <v>50.981861</v>
      </c>
      <c r="K220" s="1298">
        <f t="shared" si="2"/>
        <v>59.716817</v>
      </c>
      <c r="L220" s="1299">
        <f t="shared" si="3"/>
        <v>0.0001915099873</v>
      </c>
      <c r="M220" s="1300">
        <f t="shared" si="5"/>
        <v>0.7229172273</v>
      </c>
      <c r="N220" s="1301" t="str">
        <f t="shared" si="4"/>
        <v>A</v>
      </c>
    </row>
    <row r="221">
      <c r="A221" s="1291">
        <v>216.0</v>
      </c>
      <c r="B221" s="1292" t="s">
        <v>1993</v>
      </c>
      <c r="C221" s="1304" t="s">
        <v>1785</v>
      </c>
      <c r="D221" s="1302" t="str">
        <f>IF(C221="SINAPI",VLOOKUP(B221,'20-A.SINAPI-I'!A:G,2,0),VLOOKUP(B221,'12.COT.MERCADO'!A:I,2,0))</f>
        <v>Cabo de cobre PP Cordplast 3 x 4.0 mm2, 450/750v</v>
      </c>
      <c r="E221" s="1305" t="s">
        <v>18393</v>
      </c>
      <c r="F221" s="1296" t="str">
        <f>IF(C221="SINAPI",VLOOKUP(B221,'20-A.SINAPI-I'!A:G,3,0),VLOOKUP(B221,'12.COT.MERCADO'!A:I,7,0))</f>
        <v>M</v>
      </c>
      <c r="G221" s="1306">
        <v>3.3966</v>
      </c>
      <c r="H221" s="1298">
        <f>IF(C221="SINAPI",VLOOKUP(B221,'20-A.SINAPI-I'!A:G,4,0),VLOOKUP(B221,'12.COT.MERCADO'!A:I,8,0))</f>
        <v>14.68</v>
      </c>
      <c r="I221" s="1298">
        <f>IF(E221="Mão de Obra",H221*(1+'7. BDI SERVIÇOS'!$K$5),H221*(1+'8. BDI MERO FORNECIMENTO'!$K$5))</f>
        <v>17.19519171</v>
      </c>
      <c r="J221" s="1298">
        <f t="shared" si="1"/>
        <v>49.862088</v>
      </c>
      <c r="K221" s="1298">
        <f t="shared" si="2"/>
        <v>58.40518816</v>
      </c>
      <c r="L221" s="1299">
        <f t="shared" si="3"/>
        <v>0.0001873036341</v>
      </c>
      <c r="M221" s="1300">
        <f t="shared" si="5"/>
        <v>0.7231045309</v>
      </c>
      <c r="N221" s="1301" t="str">
        <f t="shared" si="4"/>
        <v>A</v>
      </c>
    </row>
    <row r="222">
      <c r="A222" s="1291">
        <v>226.0</v>
      </c>
      <c r="B222" s="1292">
        <v>38124.0</v>
      </c>
      <c r="C222" s="1304" t="s">
        <v>17759</v>
      </c>
      <c r="D222" s="1303" t="str">
        <f>IF(C222="SINAPI",VLOOKUP(B222,'20-A.SINAPI-I'!A:G,2,0),VLOOKUP(B222,'12.COT.MERCADO'!A:I,2,0))</f>
        <v>ESPUMA EXPANSIVA DE POLIURETANO, APLICACAO MANUAL - 500 ML</v>
      </c>
      <c r="E222" s="1305" t="s">
        <v>18394</v>
      </c>
      <c r="F222" s="1296" t="str">
        <f>IF(C222="SINAPI",VLOOKUP(B222,'20-A.SINAPI-I'!A:G,3,0),VLOOKUP(B222,'12.COT.MERCADO'!A:I,7,0))</f>
        <v>UN</v>
      </c>
      <c r="G222" s="1306">
        <v>1.716</v>
      </c>
      <c r="H222" s="1298">
        <f>IF(C222="SINAPI",VLOOKUP(B222,'20-A.SINAPI-I'!A:G,4,0),VLOOKUP(B222,'12.COT.MERCADO'!A:I,8,0))</f>
        <v>29.41</v>
      </c>
      <c r="I222" s="1298">
        <f>IF(E222="Mão de Obra",H222*(1+'7. BDI SERVIÇOS'!$K$5),H222*(1+'8. BDI MERO FORNECIMENTO'!$K$5))</f>
        <v>34.52507455</v>
      </c>
      <c r="J222" s="1298">
        <f t="shared" si="1"/>
        <v>50.46756</v>
      </c>
      <c r="K222" s="1298">
        <f t="shared" si="2"/>
        <v>59.24502792</v>
      </c>
      <c r="L222" s="1299">
        <f t="shared" si="3"/>
        <v>0.0001899969743</v>
      </c>
      <c r="M222" s="1300">
        <f t="shared" si="5"/>
        <v>0.7232945279</v>
      </c>
      <c r="N222" s="1301" t="str">
        <f t="shared" si="4"/>
        <v>A</v>
      </c>
    </row>
    <row r="223">
      <c r="A223" s="1291">
        <v>214.0</v>
      </c>
      <c r="B223" s="1292">
        <v>1088.0</v>
      </c>
      <c r="C223" s="1304" t="s">
        <v>17759</v>
      </c>
      <c r="D223" s="1303" t="str">
        <f>IF(C223="SINAPI",VLOOKUP(B223,'20-A.SINAPI-I'!A:G,2,0),VLOOKUP(B223,'12.COT.MERCADO'!A:I,2,0))</f>
        <v>REATOR ELETRONICO BIVOLT PARA 1 LAMPADA FLUORESCENTE DE 18/20 W</v>
      </c>
      <c r="E223" s="1305" t="s">
        <v>18393</v>
      </c>
      <c r="F223" s="1296" t="str">
        <f>IF(C223="SINAPI",VLOOKUP(B223,'20-A.SINAPI-I'!A:G,3,0),VLOOKUP(B223,'12.COT.MERCADO'!A:I,7,0))</f>
        <v>UN</v>
      </c>
      <c r="G223" s="1306">
        <v>1.33</v>
      </c>
      <c r="H223" s="1298">
        <f>IF(C223="SINAPI",VLOOKUP(B223,'20-A.SINAPI-I'!A:G,4,0),VLOOKUP(B223,'12.COT.MERCADO'!A:I,8,0))</f>
        <v>27.74</v>
      </c>
      <c r="I223" s="1298">
        <f>IF(E223="Mão de Obra",H223*(1+'7. BDI SERVIÇOS'!$K$5),H223*(1+'8. BDI MERO FORNECIMENTO'!$K$5))</f>
        <v>32.49282139</v>
      </c>
      <c r="J223" s="1298">
        <f t="shared" si="1"/>
        <v>36.8942</v>
      </c>
      <c r="K223" s="1298">
        <f t="shared" si="2"/>
        <v>43.21545245</v>
      </c>
      <c r="L223" s="1299">
        <f t="shared" si="3"/>
        <v>0.000138590621</v>
      </c>
      <c r="M223" s="1300">
        <f t="shared" si="5"/>
        <v>0.7234331185</v>
      </c>
      <c r="N223" s="1301" t="str">
        <f t="shared" si="4"/>
        <v>A</v>
      </c>
    </row>
    <row r="224">
      <c r="A224" s="1291">
        <v>218.0</v>
      </c>
      <c r="B224" s="1292">
        <v>13417.0</v>
      </c>
      <c r="C224" s="1304" t="s">
        <v>17759</v>
      </c>
      <c r="D224" s="1303" t="str">
        <f>IF(C224="SINAPI",VLOOKUP(B224,'20-A.SINAPI-I'!A:G,2,0),VLOOKUP(B224,'12.COT.MERCADO'!A:I,2,0))</f>
        <v>TORNEIRA METALICA CROMADA CANO CURTO, SEM BICO, SEM AREJADOR, DE PAREDE, PARA TANQUE E USO GERAL, 1/2 " OU 3/4 " (REF 1143)</v>
      </c>
      <c r="E224" s="1305" t="s">
        <v>18393</v>
      </c>
      <c r="F224" s="1296" t="str">
        <f>IF(C224="SINAPI",VLOOKUP(B224,'20-A.SINAPI-I'!A:G,3,0),VLOOKUP(B224,'12.COT.MERCADO'!A:I,7,0))</f>
        <v>UN</v>
      </c>
      <c r="G224" s="1306">
        <v>0.67</v>
      </c>
      <c r="H224" s="1298">
        <f>IF(C224="SINAPI",VLOOKUP(B224,'20-A.SINAPI-I'!A:G,4,0),VLOOKUP(B224,'12.COT.MERCADO'!A:I,8,0))</f>
        <v>78.05</v>
      </c>
      <c r="I224" s="1298">
        <f>IF(E224="Mão de Obra",H224*(1+'7. BDI SERVIÇOS'!$K$5),H224*(1+'8. BDI MERO FORNECIMENTO'!$K$5))</f>
        <v>91.42266437</v>
      </c>
      <c r="J224" s="1298">
        <f t="shared" si="1"/>
        <v>52.2935</v>
      </c>
      <c r="K224" s="1298">
        <f t="shared" si="2"/>
        <v>61.25318513</v>
      </c>
      <c r="L224" s="1299">
        <f t="shared" si="3"/>
        <v>0.0001964370724</v>
      </c>
      <c r="M224" s="1300">
        <f t="shared" si="5"/>
        <v>0.7236295556</v>
      </c>
      <c r="N224" s="1301" t="str">
        <f t="shared" si="4"/>
        <v>A</v>
      </c>
    </row>
    <row r="225">
      <c r="A225" s="1291">
        <v>219.0</v>
      </c>
      <c r="B225" s="1292">
        <v>20046.0</v>
      </c>
      <c r="C225" s="1304" t="s">
        <v>17759</v>
      </c>
      <c r="D225" s="1303" t="str">
        <f>IF(C225="SINAPI",VLOOKUP(B225,'20-A.SINAPI-I'!A:G,2,0),VLOOKUP(B225,'12.COT.MERCADO'!A:I,2,0))</f>
        <v>REDUCAO EXCENTRICA PVC, SERIE R, DN 100 X 75 MM, PARA ESGOTO PREDIAL</v>
      </c>
      <c r="E225" s="1305" t="s">
        <v>18393</v>
      </c>
      <c r="F225" s="1296" t="str">
        <f>IF(C225="SINAPI",VLOOKUP(B225,'20-A.SINAPI-I'!A:G,3,0),VLOOKUP(B225,'12.COT.MERCADO'!A:I,7,0))</f>
        <v>UN</v>
      </c>
      <c r="G225" s="1306">
        <v>2.33</v>
      </c>
      <c r="H225" s="1298">
        <f>IF(C225="SINAPI",VLOOKUP(B225,'20-A.SINAPI-I'!A:G,4,0),VLOOKUP(B225,'12.COT.MERCADO'!A:I,8,0))</f>
        <v>21.02</v>
      </c>
      <c r="I225" s="1298">
        <f>IF(E225="Mão de Obra",H225*(1+'7. BDI SERVIÇOS'!$K$5),H225*(1+'8. BDI MERO FORNECIMENTO'!$K$5))</f>
        <v>24.62145298</v>
      </c>
      <c r="J225" s="1298">
        <f t="shared" si="1"/>
        <v>48.9766</v>
      </c>
      <c r="K225" s="1298">
        <f t="shared" si="2"/>
        <v>57.36798544</v>
      </c>
      <c r="L225" s="1299">
        <f t="shared" si="3"/>
        <v>0.000183977357</v>
      </c>
      <c r="M225" s="1300">
        <f t="shared" si="5"/>
        <v>0.723813533</v>
      </c>
      <c r="N225" s="1301" t="str">
        <f t="shared" si="4"/>
        <v>A</v>
      </c>
    </row>
    <row r="226">
      <c r="A226" s="1291">
        <v>220.0</v>
      </c>
      <c r="B226" s="1292">
        <v>12872.0</v>
      </c>
      <c r="C226" s="1304" t="s">
        <v>17759</v>
      </c>
      <c r="D226" s="1303" t="str">
        <f>IF(C226="SINAPI",VLOOKUP(B226,'20-A.SINAPI-I'!A:G,2,0),VLOOKUP(B226,'12.COT.MERCADO'!A:I,2,0))</f>
        <v>GESSEIRO (HORISTA)</v>
      </c>
      <c r="E226" s="1305" t="s">
        <v>18393</v>
      </c>
      <c r="F226" s="1296" t="str">
        <f>IF(C226="SINAPI",VLOOKUP(B226,'20-A.SINAPI-I'!A:G,3,0),VLOOKUP(B226,'12.COT.MERCADO'!A:I,7,0))</f>
        <v>H</v>
      </c>
      <c r="G226" s="1306">
        <v>2.1292627</v>
      </c>
      <c r="H226" s="1298">
        <f>IF(C226="SINAPI",VLOOKUP(B226,'20-A.SINAPI-I'!A:G,4,0),VLOOKUP(B226,'12.COT.MERCADO'!A:I,8,0))</f>
        <v>19.84</v>
      </c>
      <c r="I226" s="1298">
        <f>IF(E226="Mão de Obra",H226*(1+'7. BDI SERVIÇOS'!$K$5),H226*(1+'8. BDI MERO FORNECIMENTO'!$K$5))</f>
        <v>23.23927817</v>
      </c>
      <c r="J226" s="1298">
        <f t="shared" si="1"/>
        <v>42.24457197</v>
      </c>
      <c r="K226" s="1298">
        <f t="shared" si="2"/>
        <v>49.48252818</v>
      </c>
      <c r="L226" s="1299">
        <f t="shared" si="3"/>
        <v>0.0001586889392</v>
      </c>
      <c r="M226" s="1300">
        <f t="shared" si="5"/>
        <v>0.7239722219</v>
      </c>
      <c r="N226" s="1301" t="str">
        <f t="shared" si="4"/>
        <v>A</v>
      </c>
    </row>
    <row r="227">
      <c r="A227" s="1291">
        <v>221.0</v>
      </c>
      <c r="B227" s="1292">
        <v>43485.0</v>
      </c>
      <c r="C227" s="1304" t="s">
        <v>17759</v>
      </c>
      <c r="D227" s="1303" t="str">
        <f>IF(C227="SINAPI",VLOOKUP(B227,'20-A.SINAPI-I'!A:G,2,0),VLOOKUP(B227,'12.COT.MERCADO'!A:I,2,0))</f>
        <v>EPI - FAMILIA ENCANADOR - HORISTA (ENCARGOS COMPLEMENTARES - COLETADO CAIXA)</v>
      </c>
      <c r="E227" s="1305" t="s">
        <v>18393</v>
      </c>
      <c r="F227" s="1296" t="str">
        <f>IF(C227="SINAPI",VLOOKUP(B227,'20-A.SINAPI-I'!A:G,3,0),VLOOKUP(B227,'12.COT.MERCADO'!A:I,7,0))</f>
        <v>H</v>
      </c>
      <c r="G227" s="1306">
        <v>46.3747319</v>
      </c>
      <c r="H227" s="1298">
        <f>IF(C227="SINAPI",VLOOKUP(B227,'20-A.SINAPI-I'!A:G,4,0),VLOOKUP(B227,'12.COT.MERCADO'!A:I,8,0))</f>
        <v>1.01</v>
      </c>
      <c r="I227" s="1298">
        <f>IF(E227="Mão de Obra",H227*(1+'7. BDI SERVIÇOS'!$K$5),H227*(1+'8. BDI MERO FORNECIMENTO'!$K$5))</f>
        <v>1.183047931</v>
      </c>
      <c r="J227" s="1298">
        <f t="shared" si="1"/>
        <v>46.83847922</v>
      </c>
      <c r="K227" s="1298">
        <f t="shared" si="2"/>
        <v>54.86353062</v>
      </c>
      <c r="L227" s="1299">
        <f t="shared" si="3"/>
        <v>0.0001759456478</v>
      </c>
      <c r="M227" s="1300">
        <f t="shared" si="5"/>
        <v>0.7241481676</v>
      </c>
      <c r="N227" s="1301" t="str">
        <f t="shared" si="4"/>
        <v>A</v>
      </c>
    </row>
    <row r="228">
      <c r="A228" s="1291">
        <v>222.0</v>
      </c>
      <c r="B228" s="1292">
        <v>6028.0</v>
      </c>
      <c r="C228" s="1304" t="s">
        <v>17759</v>
      </c>
      <c r="D228" s="1303" t="str">
        <f>IF(C228="SINAPI",VLOOKUP(B228,'20-A.SINAPI-I'!A:G,2,0),VLOOKUP(B228,'12.COT.MERCADO'!A:I,2,0))</f>
        <v>REGISTRO GAVETA BRUTO EM LATAO FORJADO, BITOLA 2 " (REF 1509)</v>
      </c>
      <c r="E228" s="1305" t="s">
        <v>18393</v>
      </c>
      <c r="F228" s="1296" t="str">
        <f>IF(C228="SINAPI",VLOOKUP(B228,'20-A.SINAPI-I'!A:G,3,0),VLOOKUP(B228,'12.COT.MERCADO'!A:I,7,0))</f>
        <v>UN</v>
      </c>
      <c r="G228" s="1306">
        <v>0.33</v>
      </c>
      <c r="H228" s="1298">
        <f>IF(C228="SINAPI",VLOOKUP(B228,'20-A.SINAPI-I'!A:G,4,0),VLOOKUP(B228,'12.COT.MERCADO'!A:I,8,0))</f>
        <v>145.68</v>
      </c>
      <c r="I228" s="1298">
        <f>IF(E228="Mão de Obra",H228*(1+'7. BDI SERVIÇOS'!$K$5),H228*(1+'8. BDI MERO FORNECIMENTO'!$K$5))</f>
        <v>170.6400224</v>
      </c>
      <c r="J228" s="1298">
        <f t="shared" si="1"/>
        <v>48.0744</v>
      </c>
      <c r="K228" s="1298">
        <f t="shared" si="2"/>
        <v>56.31120738</v>
      </c>
      <c r="L228" s="1299">
        <f t="shared" si="3"/>
        <v>0.0001805883024</v>
      </c>
      <c r="M228" s="1300">
        <f t="shared" si="5"/>
        <v>0.7243287559</v>
      </c>
      <c r="N228" s="1301" t="str">
        <f t="shared" si="4"/>
        <v>A</v>
      </c>
    </row>
    <row r="229">
      <c r="A229" s="1291">
        <v>223.0</v>
      </c>
      <c r="B229" s="1292">
        <v>34.0</v>
      </c>
      <c r="C229" s="1304" t="s">
        <v>17759</v>
      </c>
      <c r="D229" s="1303" t="str">
        <f>IF(C229="SINAPI",VLOOKUP(B229,'20-A.SINAPI-I'!A:G,2,0),VLOOKUP(B229,'12.COT.MERCADO'!A:I,2,0))</f>
        <v>ACO CA-50, 10,0 MM, VERGALHAO</v>
      </c>
      <c r="E229" s="1305" t="s">
        <v>18393</v>
      </c>
      <c r="F229" s="1296" t="str">
        <f>IF(C229="SINAPI",VLOOKUP(B229,'20-A.SINAPI-I'!A:G,3,0),VLOOKUP(B229,'12.COT.MERCADO'!A:I,7,0))</f>
        <v>KG</v>
      </c>
      <c r="G229" s="1306">
        <v>5.456748</v>
      </c>
      <c r="H229" s="1298">
        <f>IF(C229="SINAPI",VLOOKUP(B229,'20-A.SINAPI-I'!A:G,4,0),VLOOKUP(B229,'12.COT.MERCADO'!A:I,8,0))</f>
        <v>8.03</v>
      </c>
      <c r="I229" s="1298">
        <f>IF(E229="Mão de Obra",H229*(1+'7. BDI SERVIÇOS'!$K$5),H229*(1+'8. BDI MERO FORNECIMENTO'!$K$5))</f>
        <v>9.405816719</v>
      </c>
      <c r="J229" s="1298">
        <f t="shared" si="1"/>
        <v>43.81768644</v>
      </c>
      <c r="K229" s="1298">
        <f t="shared" si="2"/>
        <v>51.32517157</v>
      </c>
      <c r="L229" s="1299">
        <f t="shared" si="3"/>
        <v>0.0001645982396</v>
      </c>
      <c r="M229" s="1300">
        <f t="shared" si="5"/>
        <v>0.7244933541</v>
      </c>
      <c r="N229" s="1301" t="str">
        <f t="shared" si="4"/>
        <v>A</v>
      </c>
    </row>
    <row r="230">
      <c r="A230" s="1291">
        <v>230.0</v>
      </c>
      <c r="B230" s="1292" t="s">
        <v>4070</v>
      </c>
      <c r="C230" s="1304" t="s">
        <v>1785</v>
      </c>
      <c r="D230" s="1302" t="str">
        <f>IF(C230="SINAPI",VLOOKUP(B230,'20-A.SINAPI-I'!A:G,2,0),VLOOKUP(B230,'12.COT.MERCADO'!A:I,2,0))</f>
        <v>CONTROLE PARA PORTÃO ELETRÔNICO 4 VIAS DE LONGO ALCANCE. REF.: INTELBRAS EP 04 OU SIMILAR</v>
      </c>
      <c r="E230" s="1305" t="s">
        <v>18394</v>
      </c>
      <c r="F230" s="1296" t="str">
        <f>IF(C230="SINAPI",VLOOKUP(B230,'20-A.SINAPI-I'!A:G,3,0),VLOOKUP(B230,'12.COT.MERCADO'!A:I,7,0))</f>
        <v>UN</v>
      </c>
      <c r="G230" s="1306">
        <v>1.33</v>
      </c>
      <c r="H230" s="1298">
        <f>IF(C230="SINAPI",VLOOKUP(B230,'20-A.SINAPI-I'!A:G,4,0),VLOOKUP(B230,'12.COT.MERCADO'!A:I,8,0))</f>
        <v>34.48</v>
      </c>
      <c r="I230" s="1298">
        <f>IF(E230="Mão de Obra",H230*(1+'7. BDI SERVIÇOS'!$K$5),H230*(1+'8. BDI MERO FORNECIMENTO'!$K$5))</f>
        <v>40.47686401</v>
      </c>
      <c r="J230" s="1298">
        <f t="shared" si="1"/>
        <v>45.8584</v>
      </c>
      <c r="K230" s="1298">
        <f t="shared" si="2"/>
        <v>53.83422913</v>
      </c>
      <c r="L230" s="1299">
        <f t="shared" si="3"/>
        <v>0.0001726447097</v>
      </c>
      <c r="M230" s="1300">
        <f t="shared" si="5"/>
        <v>0.7246659988</v>
      </c>
      <c r="N230" s="1301" t="str">
        <f t="shared" si="4"/>
        <v>A</v>
      </c>
    </row>
    <row r="231">
      <c r="A231" s="1291">
        <v>225.0</v>
      </c>
      <c r="B231" s="1292">
        <v>242.0</v>
      </c>
      <c r="C231" s="1304" t="s">
        <v>17759</v>
      </c>
      <c r="D231" s="1303" t="str">
        <f>IF(C231="SINAPI",VLOOKUP(B231,'20-A.SINAPI-I'!A:G,2,0),VLOOKUP(B231,'12.COT.MERCADO'!A:I,2,0))</f>
        <v>AJUDANTE ESPECIALIZADO (HORISTA)</v>
      </c>
      <c r="E231" s="1305" t="s">
        <v>18393</v>
      </c>
      <c r="F231" s="1296" t="str">
        <f>IF(C231="SINAPI",VLOOKUP(B231,'20-A.SINAPI-I'!A:G,3,0),VLOOKUP(B231,'12.COT.MERCADO'!A:I,7,0))</f>
        <v>H</v>
      </c>
      <c r="G231" s="1306">
        <v>2.6147135</v>
      </c>
      <c r="H231" s="1298">
        <f>IF(C231="SINAPI",VLOOKUP(B231,'20-A.SINAPI-I'!A:G,4,0),VLOOKUP(B231,'12.COT.MERCADO'!A:I,8,0))</f>
        <v>15.93</v>
      </c>
      <c r="I231" s="1298">
        <f>IF(E231="Mão de Obra",H231*(1+'7. BDI SERVIÇOS'!$K$5),H231*(1+'8. BDI MERO FORNECIMENTO'!$K$5))</f>
        <v>18.65935994</v>
      </c>
      <c r="J231" s="1298">
        <f t="shared" si="1"/>
        <v>41.65238606</v>
      </c>
      <c r="K231" s="1298">
        <f t="shared" si="2"/>
        <v>48.78888034</v>
      </c>
      <c r="L231" s="1299">
        <f t="shared" si="3"/>
        <v>0.000156464432</v>
      </c>
      <c r="M231" s="1300">
        <f t="shared" si="5"/>
        <v>0.7248224632</v>
      </c>
      <c r="N231" s="1301" t="str">
        <f t="shared" si="4"/>
        <v>A</v>
      </c>
    </row>
    <row r="232">
      <c r="A232" s="1291">
        <v>227.0</v>
      </c>
      <c r="B232" s="1292">
        <v>4721.0</v>
      </c>
      <c r="C232" s="1304" t="s">
        <v>17759</v>
      </c>
      <c r="D232" s="1303" t="str">
        <f>IF(C232="SINAPI",VLOOKUP(B232,'20-A.SINAPI-I'!A:G,2,0),VLOOKUP(B232,'12.COT.MERCADO'!A:I,2,0))</f>
        <v>PEDRA BRITADA N. 1 (9,5 a 19 MM) POSTO PEDREIRA/FORNECEDOR, SEM FRETE</v>
      </c>
      <c r="E232" s="1305" t="s">
        <v>18393</v>
      </c>
      <c r="F232" s="1296" t="str">
        <f>IF(C232="SINAPI",VLOOKUP(B232,'20-A.SINAPI-I'!A:G,3,0),VLOOKUP(B232,'12.COT.MERCADO'!A:I,7,0))</f>
        <v>M3</v>
      </c>
      <c r="G232" s="1306">
        <v>0.7363971</v>
      </c>
      <c r="H232" s="1298">
        <f>IF(C232="SINAPI",VLOOKUP(B232,'20-A.SINAPI-I'!A:G,4,0),VLOOKUP(B232,'12.COT.MERCADO'!A:I,8,0))</f>
        <v>65.65</v>
      </c>
      <c r="I232" s="1298">
        <f>IF(E232="Mão de Obra",H232*(1+'7. BDI SERVIÇOS'!$K$5),H232*(1+'8. BDI MERO FORNECIMENTO'!$K$5))</f>
        <v>76.89811551</v>
      </c>
      <c r="J232" s="1298">
        <f t="shared" si="1"/>
        <v>48.34446962</v>
      </c>
      <c r="K232" s="1298">
        <f t="shared" si="2"/>
        <v>56.62754926</v>
      </c>
      <c r="L232" s="1299">
        <f t="shared" si="3"/>
        <v>0.0001816028011</v>
      </c>
      <c r="M232" s="1300">
        <f t="shared" si="5"/>
        <v>0.725004066</v>
      </c>
      <c r="N232" s="1301" t="str">
        <f t="shared" si="4"/>
        <v>A</v>
      </c>
    </row>
    <row r="233">
      <c r="A233" s="1291">
        <v>228.0</v>
      </c>
      <c r="B233" s="1292" t="s">
        <v>1742</v>
      </c>
      <c r="C233" s="1304" t="s">
        <v>1785</v>
      </c>
      <c r="D233" s="1302" t="str">
        <f>IF(C233="SINAPI",VLOOKUP(B233,'20-A.SINAPI-I'!A:G,2,0),VLOOKUP(B233,'12.COT.MERCADO'!A:I,2,0))</f>
        <v>Parafuso de ferro zincado c/rosca 3/8 " x 1 1/2" </v>
      </c>
      <c r="E233" s="1305" t="s">
        <v>18393</v>
      </c>
      <c r="F233" s="1296" t="str">
        <f>IF(C233="SINAPI",VLOOKUP(B233,'20-A.SINAPI-I'!A:G,3,0),VLOOKUP(B233,'12.COT.MERCADO'!A:I,7,0))</f>
        <v>UN </v>
      </c>
      <c r="G233" s="1306">
        <v>57.0</v>
      </c>
      <c r="H233" s="1298">
        <f>IF(C233="SINAPI",VLOOKUP(B233,'20-A.SINAPI-I'!A:G,4,0),VLOOKUP(B233,'12.COT.MERCADO'!A:I,8,0))</f>
        <v>0.89</v>
      </c>
      <c r="I233" s="1298">
        <f>IF(E233="Mão de Obra",H233*(1+'7. BDI SERVIÇOS'!$K$5),H233*(1+'8. BDI MERO FORNECIMENTO'!$K$5))</f>
        <v>1.042487781</v>
      </c>
      <c r="J233" s="1298">
        <f t="shared" si="1"/>
        <v>50.73</v>
      </c>
      <c r="K233" s="1298">
        <f t="shared" si="2"/>
        <v>59.4218035</v>
      </c>
      <c r="L233" s="1299">
        <f t="shared" si="3"/>
        <v>0.0001905638881</v>
      </c>
      <c r="M233" s="1300">
        <f t="shared" si="5"/>
        <v>0.7251946299</v>
      </c>
      <c r="N233" s="1301" t="str">
        <f t="shared" si="4"/>
        <v>A</v>
      </c>
    </row>
    <row r="234">
      <c r="A234" s="1291">
        <v>240.0</v>
      </c>
      <c r="B234" s="1292">
        <v>2373.0</v>
      </c>
      <c r="C234" s="1304" t="s">
        <v>17759</v>
      </c>
      <c r="D234" s="1303" t="str">
        <f>IF(C234="SINAPI",VLOOKUP(B234,'20-A.SINAPI-I'!A:G,2,0),VLOOKUP(B234,'12.COT.MERCADO'!A:I,2,0))</f>
        <v>DISJUNTOR TIPO NEMA, TRIPOLAR 60 ATE 100 A, TENSAO MAXIMA DE 415 V</v>
      </c>
      <c r="E234" s="1305" t="s">
        <v>18394</v>
      </c>
      <c r="F234" s="1296" t="str">
        <f>IF(C234="SINAPI",VLOOKUP(B234,'20-A.SINAPI-I'!A:G,3,0),VLOOKUP(B234,'12.COT.MERCADO'!A:I,7,0))</f>
        <v>UN</v>
      </c>
      <c r="G234" s="1306">
        <v>0.33</v>
      </c>
      <c r="H234" s="1298">
        <f>IF(C234="SINAPI",VLOOKUP(B234,'20-A.SINAPI-I'!A:G,4,0),VLOOKUP(B234,'12.COT.MERCADO'!A:I,8,0))</f>
        <v>112.55</v>
      </c>
      <c r="I234" s="1298">
        <f>IF(E234="Mão de Obra",H234*(1+'7. BDI SERVIÇOS'!$K$5),H234*(1+'8. BDI MERO FORNECIMENTO'!$K$5))</f>
        <v>132.1250303</v>
      </c>
      <c r="J234" s="1298">
        <f t="shared" si="1"/>
        <v>37.1415</v>
      </c>
      <c r="K234" s="1298">
        <f t="shared" si="2"/>
        <v>43.60125999</v>
      </c>
      <c r="L234" s="1299">
        <f t="shared" si="3"/>
        <v>0.0001398278938</v>
      </c>
      <c r="M234" s="1300">
        <f t="shared" si="5"/>
        <v>0.7253344578</v>
      </c>
      <c r="N234" s="1301" t="str">
        <f t="shared" si="4"/>
        <v>A</v>
      </c>
    </row>
    <row r="235">
      <c r="A235" s="1291">
        <v>231.0</v>
      </c>
      <c r="B235" s="1292">
        <v>11764.0</v>
      </c>
      <c r="C235" s="1304" t="s">
        <v>17759</v>
      </c>
      <c r="D235" s="1303" t="str">
        <f>IF(C235="SINAPI",VLOOKUP(B235,'20-A.SINAPI-I'!A:G,2,0),VLOOKUP(B235,'12.COT.MERCADO'!A:I,2,0))</f>
        <v>TORNEIRA DE BOIA CONVENCIONAL PARA CAIXA D'AGUA, AGUA FRIA, 1.1/4", COM HASTE E TORNEIRA METALICOS E BALAO PLASTICO</v>
      </c>
      <c r="E235" s="1305" t="s">
        <v>18397</v>
      </c>
      <c r="F235" s="1296" t="str">
        <f>IF(C235="SINAPI",VLOOKUP(B235,'20-A.SINAPI-I'!A:G,3,0),VLOOKUP(B235,'12.COT.MERCADO'!A:I,7,0))</f>
        <v>UN</v>
      </c>
      <c r="G235" s="1306">
        <v>0.33</v>
      </c>
      <c r="H235" s="1298">
        <f>IF(C235="SINAPI",VLOOKUP(B235,'20-A.SINAPI-I'!A:G,4,0),VLOOKUP(B235,'12.COT.MERCADO'!A:I,8,0))</f>
        <v>121.49</v>
      </c>
      <c r="I235" s="1298">
        <f>IF(E235="Mão de Obra",H235*(1+'7. BDI SERVIÇOS'!$K$5),H235*(1+'8. BDI MERO FORNECIMENTO'!$K$5))</f>
        <v>142.3054387</v>
      </c>
      <c r="J235" s="1298">
        <f t="shared" si="1"/>
        <v>40.0917</v>
      </c>
      <c r="K235" s="1298">
        <f t="shared" si="2"/>
        <v>46.96079479</v>
      </c>
      <c r="L235" s="1299">
        <f t="shared" si="3"/>
        <v>0.0001506018181</v>
      </c>
      <c r="M235" s="1300">
        <f t="shared" si="5"/>
        <v>0.7254850596</v>
      </c>
      <c r="N235" s="1301" t="str">
        <f t="shared" si="4"/>
        <v>A</v>
      </c>
    </row>
    <row r="236">
      <c r="A236" s="1291">
        <v>232.0</v>
      </c>
      <c r="B236" s="1292">
        <v>38094.0</v>
      </c>
      <c r="C236" s="1304" t="s">
        <v>17759</v>
      </c>
      <c r="D236" s="1303" t="str">
        <f>IF(C236="SINAPI",VLOOKUP(B236,'20-A.SINAPI-I'!A:G,2,0),VLOOKUP(B236,'12.COT.MERCADO'!A:I,2,0))</f>
        <v>ESPELHO / PLACA DE 3 POSTOS 4" X 2", PARA INSTALACAO DE TOMADAS E INTERRUPTORES</v>
      </c>
      <c r="E236" s="1305" t="s">
        <v>18393</v>
      </c>
      <c r="F236" s="1296" t="str">
        <f>IF(C236="SINAPI",VLOOKUP(B236,'20-A.SINAPI-I'!A:G,3,0),VLOOKUP(B236,'12.COT.MERCADO'!A:I,7,0))</f>
        <v>UN</v>
      </c>
      <c r="G236" s="1306">
        <v>12.33</v>
      </c>
      <c r="H236" s="1298">
        <f>IF(C236="SINAPI",VLOOKUP(B236,'20-A.SINAPI-I'!A:G,4,0),VLOOKUP(B236,'12.COT.MERCADO'!A:I,8,0))</f>
        <v>3.14</v>
      </c>
      <c r="I236" s="1298">
        <f>IF(E236="Mão de Obra",H236*(1+'7. BDI SERVIÇOS'!$K$5),H236*(1+'8. BDI MERO FORNECIMENTO'!$K$5))</f>
        <v>3.677990597</v>
      </c>
      <c r="J236" s="1298">
        <f t="shared" si="1"/>
        <v>38.7162</v>
      </c>
      <c r="K236" s="1298">
        <f t="shared" si="2"/>
        <v>45.34962406</v>
      </c>
      <c r="L236" s="1299">
        <f t="shared" si="3"/>
        <v>0.0001454348434</v>
      </c>
      <c r="M236" s="1300">
        <f t="shared" si="5"/>
        <v>0.7256304945</v>
      </c>
      <c r="N236" s="1301" t="str">
        <f t="shared" si="4"/>
        <v>A</v>
      </c>
    </row>
    <row r="237">
      <c r="A237" s="1291">
        <v>233.0</v>
      </c>
      <c r="B237" s="1292">
        <v>38083.0</v>
      </c>
      <c r="C237" s="1304" t="s">
        <v>17759</v>
      </c>
      <c r="D237" s="1303" t="str">
        <f>IF(C237="SINAPI",VLOOKUP(B237,'20-A.SINAPI-I'!A:G,2,0),VLOOKUP(B237,'12.COT.MERCADO'!A:I,2,0))</f>
        <v>TOMADA RJ45, 8 FIOS, CAT 5E, CONJUNTO MONTADO PARA EMBUTIR 4" X 2" (PLACA + SUPORTE + MODULO)</v>
      </c>
      <c r="E237" s="1305" t="s">
        <v>18393</v>
      </c>
      <c r="F237" s="1296" t="str">
        <f>IF(C237="SINAPI",VLOOKUP(B237,'20-A.SINAPI-I'!A:G,3,0),VLOOKUP(B237,'12.COT.MERCADO'!A:I,7,0))</f>
        <v>UN</v>
      </c>
      <c r="G237" s="1306">
        <v>1.0</v>
      </c>
      <c r="H237" s="1298">
        <f>IF(C237="SINAPI",VLOOKUP(B237,'20-A.SINAPI-I'!A:G,4,0),VLOOKUP(B237,'12.COT.MERCADO'!A:I,8,0))</f>
        <v>38.51</v>
      </c>
      <c r="I237" s="1298">
        <f>IF(E237="Mão de Obra",H237*(1+'7. BDI SERVIÇOS'!$K$5),H237*(1+'8. BDI MERO FORNECIMENTO'!$K$5))</f>
        <v>45.10809487</v>
      </c>
      <c r="J237" s="1298">
        <f t="shared" si="1"/>
        <v>38.51</v>
      </c>
      <c r="K237" s="1298">
        <f t="shared" si="2"/>
        <v>45.10809487</v>
      </c>
      <c r="L237" s="1299">
        <f t="shared" si="3"/>
        <v>0.0001446602667</v>
      </c>
      <c r="M237" s="1300">
        <f t="shared" si="5"/>
        <v>0.7257751548</v>
      </c>
      <c r="N237" s="1301" t="str">
        <f t="shared" si="4"/>
        <v>A</v>
      </c>
    </row>
    <row r="238">
      <c r="A238" s="1291">
        <v>234.0</v>
      </c>
      <c r="B238" s="1292">
        <v>11752.0</v>
      </c>
      <c r="C238" s="1304" t="s">
        <v>17759</v>
      </c>
      <c r="D238" s="1303" t="str">
        <f>IF(C238="SINAPI",VLOOKUP(B238,'20-A.SINAPI-I'!A:G,2,0),VLOOKUP(B238,'12.COT.MERCADO'!A:I,2,0))</f>
        <v>REGISTRO PRESSAO BRUTO EM LATAO FORJADO, BITOLA 1/2 " (REF 1400)</v>
      </c>
      <c r="E238" s="1305" t="s">
        <v>18393</v>
      </c>
      <c r="F238" s="1296" t="str">
        <f>IF(C238="SINAPI",VLOOKUP(B238,'20-A.SINAPI-I'!A:G,3,0),VLOOKUP(B238,'12.COT.MERCADO'!A:I,7,0))</f>
        <v>UN</v>
      </c>
      <c r="G238" s="1306">
        <v>1.67</v>
      </c>
      <c r="H238" s="1298">
        <f>IF(C238="SINAPI",VLOOKUP(B238,'20-A.SINAPI-I'!A:G,4,0),VLOOKUP(B238,'12.COT.MERCADO'!A:I,8,0))</f>
        <v>25.87</v>
      </c>
      <c r="I238" s="1298">
        <f>IF(E238="Mão de Obra",H238*(1+'7. BDI SERVIÇOS'!$K$5),H238*(1+'8. BDI MERO FORNECIMENTO'!$K$5))</f>
        <v>30.30242572</v>
      </c>
      <c r="J238" s="1298">
        <f t="shared" si="1"/>
        <v>43.2029</v>
      </c>
      <c r="K238" s="1298">
        <f t="shared" si="2"/>
        <v>50.60505095</v>
      </c>
      <c r="L238" s="1299">
        <f t="shared" si="3"/>
        <v>0.000162288835</v>
      </c>
      <c r="M238" s="1300">
        <f t="shared" si="5"/>
        <v>0.7259374436</v>
      </c>
      <c r="N238" s="1301" t="str">
        <f t="shared" si="4"/>
        <v>A</v>
      </c>
    </row>
    <row r="239">
      <c r="A239" s="1291">
        <v>235.0</v>
      </c>
      <c r="B239" s="1292">
        <v>37666.0</v>
      </c>
      <c r="C239" s="1304" t="s">
        <v>17759</v>
      </c>
      <c r="D239" s="1303" t="str">
        <f>IF(C239="SINAPI",VLOOKUP(B239,'20-A.SINAPI-I'!A:G,2,0),VLOOKUP(B239,'12.COT.MERCADO'!A:I,2,0))</f>
        <v>OPERADOR DE BETONEIRA ESTACIONARIA / MISTURADOR</v>
      </c>
      <c r="E239" s="1305" t="s">
        <v>18397</v>
      </c>
      <c r="F239" s="1296" t="str">
        <f>IF(C239="SINAPI",VLOOKUP(B239,'20-A.SINAPI-I'!A:G,3,0),VLOOKUP(B239,'12.COT.MERCADO'!A:I,7,0))</f>
        <v>H</v>
      </c>
      <c r="G239" s="1306">
        <v>2.460116</v>
      </c>
      <c r="H239" s="1298">
        <f>IF(C239="SINAPI",VLOOKUP(B239,'20-A.SINAPI-I'!A:G,4,0),VLOOKUP(B239,'12.COT.MERCADO'!A:I,8,0))</f>
        <v>15.3</v>
      </c>
      <c r="I239" s="1298">
        <f>IF(E239="Mão de Obra",H239*(1+'7. BDI SERVIÇOS'!$K$5),H239*(1+'8. BDI MERO FORNECIMENTO'!$K$5))</f>
        <v>17.92141915</v>
      </c>
      <c r="J239" s="1298">
        <f t="shared" si="1"/>
        <v>37.6397748</v>
      </c>
      <c r="K239" s="1298">
        <f t="shared" si="2"/>
        <v>44.08877</v>
      </c>
      <c r="L239" s="1299">
        <f t="shared" si="3"/>
        <v>0.0001413913234</v>
      </c>
      <c r="M239" s="1300">
        <f t="shared" si="5"/>
        <v>0.7260788349</v>
      </c>
      <c r="N239" s="1301" t="str">
        <f t="shared" si="4"/>
        <v>A</v>
      </c>
    </row>
    <row r="240">
      <c r="A240" s="1291">
        <v>224.0</v>
      </c>
      <c r="B240" s="1292">
        <v>37424.0</v>
      </c>
      <c r="C240" s="1304" t="s">
        <v>17759</v>
      </c>
      <c r="D240" s="1303" t="str">
        <f>IF(C240="SINAPI",VLOOKUP(B240,'20-A.SINAPI-I'!A:G,2,0),VLOOKUP(B240,'12.COT.MERCADO'!A:I,2,0))</f>
        <v>LUVA, PEAD PE 100, DE 20 MM, PARA ELETROFUSAO</v>
      </c>
      <c r="E240" s="1305" t="s">
        <v>18393</v>
      </c>
      <c r="F240" s="1296" t="str">
        <f>IF(C240="SINAPI",VLOOKUP(B240,'20-A.SINAPI-I'!A:G,3,0),VLOOKUP(B240,'12.COT.MERCADO'!A:I,7,0))</f>
        <v>UN</v>
      </c>
      <c r="G240" s="1306">
        <v>3.33</v>
      </c>
      <c r="H240" s="1298">
        <f>IF(C240="SINAPI",VLOOKUP(B240,'20-A.SINAPI-I'!A:G,4,0),VLOOKUP(B240,'12.COT.MERCADO'!A:I,8,0))</f>
        <v>12.35</v>
      </c>
      <c r="I240" s="1298">
        <f>IF(E240="Mão de Obra",H240*(1+'7. BDI SERVIÇOS'!$K$5),H240*(1+'8. BDI MERO FORNECIMENTO'!$K$5))</f>
        <v>14.46598213</v>
      </c>
      <c r="J240" s="1298">
        <f t="shared" si="1"/>
        <v>41.1255</v>
      </c>
      <c r="K240" s="1298">
        <f t="shared" si="2"/>
        <v>48.17172048</v>
      </c>
      <c r="L240" s="1299">
        <f t="shared" si="3"/>
        <v>0.0001544852194</v>
      </c>
      <c r="M240" s="1300">
        <f t="shared" si="5"/>
        <v>0.7262333201</v>
      </c>
      <c r="N240" s="1301" t="str">
        <f t="shared" si="4"/>
        <v>A</v>
      </c>
    </row>
    <row r="241">
      <c r="A241" s="1291">
        <v>236.0</v>
      </c>
      <c r="B241" s="1292">
        <v>511.0</v>
      </c>
      <c r="C241" s="1304" t="s">
        <v>17759</v>
      </c>
      <c r="D241" s="1303" t="str">
        <f>IF(C241="SINAPI",VLOOKUP(B241,'20-A.SINAPI-I'!A:G,2,0),VLOOKUP(B241,'12.COT.MERCADO'!A:I,2,0))</f>
        <v>PRIMER PARA MANTA ASFALTICA A BASE DE ASFALTO MODIFICADO DILUIDO EM SOLVENTE, APLICACAO A FRIO</v>
      </c>
      <c r="E241" s="1305" t="s">
        <v>18393</v>
      </c>
      <c r="F241" s="1296" t="str">
        <f>IF(C241="SINAPI",VLOOKUP(B241,'20-A.SINAPI-I'!A:G,3,0),VLOOKUP(B241,'12.COT.MERCADO'!A:I,7,0))</f>
        <v>L</v>
      </c>
      <c r="G241" s="1306">
        <v>3.34515</v>
      </c>
      <c r="H241" s="1298">
        <f>IF(C241="SINAPI",VLOOKUP(B241,'20-A.SINAPI-I'!A:G,4,0),VLOOKUP(B241,'12.COT.MERCADO'!A:I,8,0))</f>
        <v>12</v>
      </c>
      <c r="I241" s="1298">
        <f>IF(E241="Mão de Obra",H241*(1+'7. BDI SERVIÇOS'!$K$5),H241*(1+'8. BDI MERO FORNECIMENTO'!$K$5))</f>
        <v>14.05601502</v>
      </c>
      <c r="J241" s="1298">
        <f t="shared" si="1"/>
        <v>40.1418</v>
      </c>
      <c r="K241" s="1298">
        <f t="shared" si="2"/>
        <v>47.01947865</v>
      </c>
      <c r="L241" s="1299">
        <f t="shared" si="3"/>
        <v>0.0001507900155</v>
      </c>
      <c r="M241" s="1300">
        <f t="shared" si="5"/>
        <v>0.7263841101</v>
      </c>
      <c r="N241" s="1301" t="str">
        <f t="shared" si="4"/>
        <v>A</v>
      </c>
    </row>
    <row r="242">
      <c r="A242" s="1291">
        <v>229.0</v>
      </c>
      <c r="B242" s="1292">
        <v>37400.0</v>
      </c>
      <c r="C242" s="1304" t="s">
        <v>17759</v>
      </c>
      <c r="D242" s="1303" t="str">
        <f>IF(C242="SINAPI",VLOOKUP(B242,'20-A.SINAPI-I'!A:G,2,0),VLOOKUP(B242,'12.COT.MERCADO'!A:I,2,0))</f>
        <v>PAPELEIRA PLASTICA TIPO DISPENSER PARA PAPEL HIGIENICO ROLAO</v>
      </c>
      <c r="E242" s="1305" t="s">
        <v>18393</v>
      </c>
      <c r="F242" s="1296" t="str">
        <f>IF(C242="SINAPI",VLOOKUP(B242,'20-A.SINAPI-I'!A:G,3,0),VLOOKUP(B242,'12.COT.MERCADO'!A:I,7,0))</f>
        <v>UN</v>
      </c>
      <c r="G242" s="1306">
        <v>1.0</v>
      </c>
      <c r="H242" s="1298">
        <f>IF(C242="SINAPI",VLOOKUP(B242,'20-A.SINAPI-I'!A:G,4,0),VLOOKUP(B242,'12.COT.MERCADO'!A:I,8,0))</f>
        <v>46.74</v>
      </c>
      <c r="I242" s="1298">
        <f>IF(E242="Mão de Obra",H242*(1+'7. BDI SERVIÇOS'!$K$5),H242*(1+'8. BDI MERO FORNECIMENTO'!$K$5))</f>
        <v>54.74817851</v>
      </c>
      <c r="J242" s="1298">
        <f t="shared" si="1"/>
        <v>46.74</v>
      </c>
      <c r="K242" s="1298">
        <f t="shared" si="2"/>
        <v>54.74817851</v>
      </c>
      <c r="L242" s="1299">
        <f t="shared" si="3"/>
        <v>0.0001755757171</v>
      </c>
      <c r="M242" s="1300">
        <f t="shared" si="5"/>
        <v>0.7265596859</v>
      </c>
      <c r="N242" s="1301" t="str">
        <f t="shared" si="4"/>
        <v>A</v>
      </c>
    </row>
    <row r="243">
      <c r="A243" s="1291">
        <v>238.0</v>
      </c>
      <c r="B243" s="1292">
        <v>7304.0</v>
      </c>
      <c r="C243" s="1304" t="s">
        <v>17759</v>
      </c>
      <c r="D243" s="1303" t="str">
        <f>IF(C243="SINAPI",VLOOKUP(B243,'20-A.SINAPI-I'!A:G,2,0),VLOOKUP(B243,'12.COT.MERCADO'!A:I,2,0))</f>
        <v>TINTA EPOXI BASE AGUA PREMIUM, BRANCA</v>
      </c>
      <c r="E243" s="1305" t="s">
        <v>18393</v>
      </c>
      <c r="F243" s="1296" t="str">
        <f>IF(C243="SINAPI",VLOOKUP(B243,'20-A.SINAPI-I'!A:G,3,0),VLOOKUP(B243,'12.COT.MERCADO'!A:I,7,0))</f>
        <v>L</v>
      </c>
      <c r="G243" s="1306">
        <v>0.551817</v>
      </c>
      <c r="H243" s="1298">
        <f>IF(C243="SINAPI",VLOOKUP(B243,'20-A.SINAPI-I'!A:G,4,0),VLOOKUP(B243,'12.COT.MERCADO'!A:I,8,0))</f>
        <v>77.88</v>
      </c>
      <c r="I243" s="1298">
        <f>IF(E243="Mão de Obra",H243*(1+'7. BDI SERVIÇOS'!$K$5),H243*(1+'8. BDI MERO FORNECIMENTO'!$K$5))</f>
        <v>91.22353749</v>
      </c>
      <c r="J243" s="1298">
        <f t="shared" si="1"/>
        <v>42.97550796</v>
      </c>
      <c r="K243" s="1298">
        <f t="shared" si="2"/>
        <v>50.33869879</v>
      </c>
      <c r="L243" s="1299">
        <f t="shared" si="3"/>
        <v>0.0001614346519</v>
      </c>
      <c r="M243" s="1300">
        <f t="shared" si="5"/>
        <v>0.7267211205</v>
      </c>
      <c r="N243" s="1301" t="str">
        <f t="shared" si="4"/>
        <v>A</v>
      </c>
    </row>
    <row r="244">
      <c r="A244" s="1291">
        <v>239.0</v>
      </c>
      <c r="B244" s="1292">
        <v>34623.0</v>
      </c>
      <c r="C244" s="1304" t="s">
        <v>17759</v>
      </c>
      <c r="D244" s="1303" t="str">
        <f>IF(C244="SINAPI",VLOOKUP(B244,'20-A.SINAPI-I'!A:G,2,0),VLOOKUP(B244,'12.COT.MERCADO'!A:I,2,0))</f>
        <v>DISJUNTOR TIPO DIN/IEC, BIPOLAR 40 ATE 50A</v>
      </c>
      <c r="E244" s="1305" t="s">
        <v>18393</v>
      </c>
      <c r="F244" s="1296" t="str">
        <f>IF(C244="SINAPI",VLOOKUP(B244,'20-A.SINAPI-I'!A:G,3,0),VLOOKUP(B244,'12.COT.MERCADO'!A:I,7,0))</f>
        <v>UN</v>
      </c>
      <c r="G244" s="1306">
        <v>0.67</v>
      </c>
      <c r="H244" s="1298">
        <f>IF(C244="SINAPI",VLOOKUP(B244,'20-A.SINAPI-I'!A:G,4,0),VLOOKUP(B244,'12.COT.MERCADO'!A:I,8,0))</f>
        <v>51.86</v>
      </c>
      <c r="I244" s="1298">
        <f>IF(E244="Mão de Obra",H244*(1+'7. BDI SERVIÇOS'!$K$5),H244*(1+'8. BDI MERO FORNECIMENTO'!$K$5))</f>
        <v>60.74541159</v>
      </c>
      <c r="J244" s="1298">
        <f t="shared" si="1"/>
        <v>34.7462</v>
      </c>
      <c r="K244" s="1298">
        <f t="shared" si="2"/>
        <v>40.69942576</v>
      </c>
      <c r="L244" s="1299">
        <f t="shared" si="3"/>
        <v>0.0001305218011</v>
      </c>
      <c r="M244" s="1300">
        <f t="shared" si="5"/>
        <v>0.7268516423</v>
      </c>
      <c r="N244" s="1301" t="str">
        <f t="shared" si="4"/>
        <v>A</v>
      </c>
    </row>
    <row r="245">
      <c r="A245" s="1291">
        <v>241.0</v>
      </c>
      <c r="B245" s="1292">
        <v>34653.0</v>
      </c>
      <c r="C245" s="1304" t="s">
        <v>17759</v>
      </c>
      <c r="D245" s="1303" t="str">
        <f>IF(C245="SINAPI",VLOOKUP(B245,'20-A.SINAPI-I'!A:G,2,0),VLOOKUP(B245,'12.COT.MERCADO'!A:I,2,0))</f>
        <v>DISJUNTOR TIPO DIN/IEC, MONOPOLAR DE 6  ATE  32A</v>
      </c>
      <c r="E245" s="1305" t="s">
        <v>18393</v>
      </c>
      <c r="F245" s="1296" t="str">
        <f>IF(C245="SINAPI",VLOOKUP(B245,'20-A.SINAPI-I'!A:G,3,0),VLOOKUP(B245,'12.COT.MERCADO'!A:I,7,0))</f>
        <v>UN</v>
      </c>
      <c r="G245" s="1306">
        <v>3.67</v>
      </c>
      <c r="H245" s="1298">
        <f>IF(C245="SINAPI",VLOOKUP(B245,'20-A.SINAPI-I'!A:G,4,0),VLOOKUP(B245,'12.COT.MERCADO'!A:I,8,0))</f>
        <v>9.19</v>
      </c>
      <c r="I245" s="1298">
        <f>IF(E245="Mão de Obra",H245*(1+'7. BDI SERVIÇOS'!$K$5),H245*(1+'8. BDI MERO FORNECIMENTO'!$K$5))</f>
        <v>10.76456484</v>
      </c>
      <c r="J245" s="1298">
        <f t="shared" si="1"/>
        <v>33.7273</v>
      </c>
      <c r="K245" s="1298">
        <f t="shared" si="2"/>
        <v>39.50595295</v>
      </c>
      <c r="L245" s="1299">
        <f t="shared" si="3"/>
        <v>0.0001266943707</v>
      </c>
      <c r="M245" s="1300">
        <f t="shared" si="5"/>
        <v>0.7269783367</v>
      </c>
      <c r="N245" s="1301" t="str">
        <f t="shared" si="4"/>
        <v>A</v>
      </c>
    </row>
    <row r="246">
      <c r="A246" s="1291">
        <v>242.0</v>
      </c>
      <c r="B246" s="1292" t="s">
        <v>1868</v>
      </c>
      <c r="C246" s="1304" t="s">
        <v>1785</v>
      </c>
      <c r="D246" s="1294" t="str">
        <f>IF(C246="SINAPI",VLOOKUP(B246,'20-A.SINAPI-I'!A:G,2,0),VLOOKUP(B246,'12.COT.MERCADO'!A:I,2,0))</f>
        <v>CANALETA EM PVC (LARGURA: 20MM / ALUTRA: 10MM / COMPRIMENTO: 2M) COM FITA DUPLA FACE</v>
      </c>
      <c r="E246" s="1305" t="s">
        <v>18393</v>
      </c>
      <c r="F246" s="1296" t="str">
        <f>IF(C246="SINAPI",VLOOKUP(B246,'20-A.SINAPI-I'!A:G,3,0),VLOOKUP(B246,'12.COT.MERCADO'!A:I,7,0))</f>
        <v>UN</v>
      </c>
      <c r="G246" s="1306">
        <v>3.835</v>
      </c>
      <c r="H246" s="1298">
        <f>IF(C246="SINAPI",VLOOKUP(B246,'20-A.SINAPI-I'!A:G,4,0),VLOOKUP(B246,'12.COT.MERCADO'!A:I,8,0))</f>
        <v>12.25</v>
      </c>
      <c r="I246" s="1298">
        <f>IF(E246="Mão de Obra",H246*(1+'7. BDI SERVIÇOS'!$K$5),H246*(1+'8. BDI MERO FORNECIMENTO'!$K$5))</f>
        <v>14.34884867</v>
      </c>
      <c r="J246" s="1298">
        <f t="shared" si="1"/>
        <v>46.97875</v>
      </c>
      <c r="K246" s="1298">
        <f t="shared" si="2"/>
        <v>55.02783464</v>
      </c>
      <c r="L246" s="1299">
        <f t="shared" si="3"/>
        <v>0.0001764725657</v>
      </c>
      <c r="M246" s="1300">
        <f t="shared" si="5"/>
        <v>0.7271548093</v>
      </c>
      <c r="N246" s="1301" t="str">
        <f t="shared" si="4"/>
        <v>A</v>
      </c>
    </row>
    <row r="247">
      <c r="A247" s="1291">
        <v>243.0</v>
      </c>
      <c r="B247" s="1292">
        <v>7288.0</v>
      </c>
      <c r="C247" s="1304" t="s">
        <v>17759</v>
      </c>
      <c r="D247" s="1303" t="str">
        <f>IF(C247="SINAPI",VLOOKUP(B247,'20-A.SINAPI-I'!A:G,2,0),VLOOKUP(B247,'12.COT.MERCADO'!A:I,2,0))</f>
        <v>TINTA ESMALTE SINTETICO PREMIUM FOSCO</v>
      </c>
      <c r="E247" s="1305" t="s">
        <v>18393</v>
      </c>
      <c r="F247" s="1296" t="str">
        <f>IF(C247="SINAPI",VLOOKUP(B247,'20-A.SINAPI-I'!A:G,3,0),VLOOKUP(B247,'12.COT.MERCADO'!A:I,7,0))</f>
        <v>L</v>
      </c>
      <c r="G247" s="1306">
        <v>1.061675</v>
      </c>
      <c r="H247" s="1298">
        <f>IF(C247="SINAPI",VLOOKUP(B247,'20-A.SINAPI-I'!A:G,4,0),VLOOKUP(B247,'12.COT.MERCADO'!A:I,8,0))</f>
        <v>38.27</v>
      </c>
      <c r="I247" s="1298">
        <f>IF(E247="Mão de Obra",H247*(1+'7. BDI SERVIÇOS'!$K$5),H247*(1+'8. BDI MERO FORNECIMENTO'!$K$5))</f>
        <v>44.82697457</v>
      </c>
      <c r="J247" s="1298">
        <f t="shared" si="1"/>
        <v>40.63030225</v>
      </c>
      <c r="K247" s="1298">
        <f t="shared" si="2"/>
        <v>47.59167823</v>
      </c>
      <c r="L247" s="1299">
        <f t="shared" si="3"/>
        <v>0.0001526250418</v>
      </c>
      <c r="M247" s="1300">
        <f t="shared" si="5"/>
        <v>0.7273074343</v>
      </c>
      <c r="N247" s="1301" t="str">
        <f t="shared" si="4"/>
        <v>A</v>
      </c>
    </row>
    <row r="248">
      <c r="A248" s="1291">
        <v>244.0</v>
      </c>
      <c r="B248" s="1292" t="s">
        <v>1971</v>
      </c>
      <c r="C248" s="1304" t="s">
        <v>1785</v>
      </c>
      <c r="D248" s="1302" t="str">
        <f>IF(C248="SINAPI",VLOOKUP(B248,'20-A.SINAPI-I'!A:G,2,0),VLOOKUP(B248,'12.COT.MERCADO'!A:I,2,0))</f>
        <v>BOBINA PARA CONTATOR CWM9 A CWM25, 380V</v>
      </c>
      <c r="E248" s="1305" t="s">
        <v>18393</v>
      </c>
      <c r="F248" s="1296" t="str">
        <f>IF(C248="SINAPI",VLOOKUP(B248,'20-A.SINAPI-I'!A:G,3,0),VLOOKUP(B248,'12.COT.MERCADO'!A:I,7,0))</f>
        <v>UN</v>
      </c>
      <c r="G248" s="1306">
        <v>1.0</v>
      </c>
      <c r="H248" s="1298">
        <f>IF(C248="SINAPI",VLOOKUP(B248,'20-A.SINAPI-I'!A:G,4,0),VLOOKUP(B248,'12.COT.MERCADO'!A:I,8,0))</f>
        <v>42.51</v>
      </c>
      <c r="I248" s="1298">
        <f>IF(E248="Mão de Obra",H248*(1+'7. BDI SERVIÇOS'!$K$5),H248*(1+'8. BDI MERO FORNECIMENTO'!$K$5))</f>
        <v>49.79343321</v>
      </c>
      <c r="J248" s="1298">
        <f t="shared" si="1"/>
        <v>42.51</v>
      </c>
      <c r="K248" s="1298">
        <f t="shared" si="2"/>
        <v>49.79343321</v>
      </c>
      <c r="L248" s="1299">
        <f t="shared" si="3"/>
        <v>0.000159686002</v>
      </c>
      <c r="M248" s="1300">
        <f t="shared" si="5"/>
        <v>0.7274671203</v>
      </c>
      <c r="N248" s="1301" t="str">
        <f t="shared" si="4"/>
        <v>A</v>
      </c>
    </row>
    <row r="249">
      <c r="A249" s="1291">
        <v>245.0</v>
      </c>
      <c r="B249" s="1292">
        <v>9836.0</v>
      </c>
      <c r="C249" s="1304" t="s">
        <v>17759</v>
      </c>
      <c r="D249" s="1303" t="str">
        <f>IF(C249="SINAPI",VLOOKUP(B249,'20-A.SINAPI-I'!A:G,2,0),VLOOKUP(B249,'12.COT.MERCADO'!A:I,2,0))</f>
        <v>TUBO PVC  SERIE NORMAL, DN 100 MM, PARA ESGOTO  PREDIAL (NBR 5688)</v>
      </c>
      <c r="E249" s="1305" t="s">
        <v>18393</v>
      </c>
      <c r="F249" s="1296" t="str">
        <f>IF(C249="SINAPI",VLOOKUP(B249,'20-A.SINAPI-I'!A:G,3,0),VLOOKUP(B249,'12.COT.MERCADO'!A:I,7,0))</f>
        <v>M</v>
      </c>
      <c r="G249" s="1306">
        <v>2.17949</v>
      </c>
      <c r="H249" s="1298">
        <f>IF(C249="SINAPI",VLOOKUP(B249,'20-A.SINAPI-I'!A:G,4,0),VLOOKUP(B249,'12.COT.MERCADO'!A:I,8,0))</f>
        <v>17</v>
      </c>
      <c r="I249" s="1298">
        <f>IF(E249="Mão de Obra",H249*(1+'7. BDI SERVIÇOS'!$K$5),H249*(1+'8. BDI MERO FORNECIMENTO'!$K$5))</f>
        <v>19.91268795</v>
      </c>
      <c r="J249" s="1298">
        <f t="shared" si="1"/>
        <v>37.05133</v>
      </c>
      <c r="K249" s="1298">
        <f t="shared" si="2"/>
        <v>43.39950425</v>
      </c>
      <c r="L249" s="1299">
        <f t="shared" si="3"/>
        <v>0.0001391808694</v>
      </c>
      <c r="M249" s="1300">
        <f t="shared" si="5"/>
        <v>0.7276063012</v>
      </c>
      <c r="N249" s="1301" t="str">
        <f t="shared" si="4"/>
        <v>A</v>
      </c>
    </row>
    <row r="250">
      <c r="A250" s="1291">
        <v>246.0</v>
      </c>
      <c r="B250" s="1292">
        <v>36888.0</v>
      </c>
      <c r="C250" s="1304" t="s">
        <v>17759</v>
      </c>
      <c r="D250" s="1303" t="str">
        <f>IF(C250="SINAPI",VLOOKUP(B250,'20-A.SINAPI-I'!A:G,2,0),VLOOKUP(B250,'12.COT.MERCADO'!A:I,2,0))</f>
        <v>GUARNICAO / MOLDURA / ARREMATE DE ACABAMENTO PARA ESQUADRIA, EM ALUMINIO PERFIL 25, ACABAMENTO ANODIZADO BRANCO OU BRILHANTE, PARA 1 FACE</v>
      </c>
      <c r="E250" s="1305" t="s">
        <v>18393</v>
      </c>
      <c r="F250" s="1296" t="str">
        <f>IF(C250="SINAPI",VLOOKUP(B250,'20-A.SINAPI-I'!A:G,3,0),VLOOKUP(B250,'12.COT.MERCADO'!A:I,7,0))</f>
        <v>M</v>
      </c>
      <c r="G250" s="1306">
        <v>0.72666</v>
      </c>
      <c r="H250" s="1298">
        <f>IF(C250="SINAPI",VLOOKUP(B250,'20-A.SINAPI-I'!A:G,4,0),VLOOKUP(B250,'12.COT.MERCADO'!A:I,8,0))</f>
        <v>49.13</v>
      </c>
      <c r="I250" s="1298">
        <f>IF(E250="Mão de Obra",H250*(1+'7. BDI SERVIÇOS'!$K$5),H250*(1+'8. BDI MERO FORNECIMENTO'!$K$5))</f>
        <v>57.54766817</v>
      </c>
      <c r="J250" s="1298">
        <f t="shared" si="1"/>
        <v>35.7008058</v>
      </c>
      <c r="K250" s="1298">
        <f t="shared" si="2"/>
        <v>41.81758855</v>
      </c>
      <c r="L250" s="1299">
        <f t="shared" si="3"/>
        <v>0.0001341077146</v>
      </c>
      <c r="M250" s="1300">
        <f t="shared" si="5"/>
        <v>0.7277404089</v>
      </c>
      <c r="N250" s="1301" t="str">
        <f t="shared" si="4"/>
        <v>A</v>
      </c>
    </row>
    <row r="251">
      <c r="A251" s="1291">
        <v>254.0</v>
      </c>
      <c r="B251" s="1292">
        <v>11033.0</v>
      </c>
      <c r="C251" s="1304" t="s">
        <v>17759</v>
      </c>
      <c r="D251" s="1303" t="str">
        <f>IF(C251="SINAPI",VLOOKUP(B251,'20-A.SINAPI-I'!A:G,2,0),VLOOKUP(B251,'12.COT.MERCADO'!A:I,2,0))</f>
        <v>SUPORTE PARA CALHA DE 150 MM EM FERRO GALVANIZADO</v>
      </c>
      <c r="E251" s="1305" t="s">
        <v>18394</v>
      </c>
      <c r="F251" s="1296" t="str">
        <f>IF(C251="SINAPI",VLOOKUP(B251,'20-A.SINAPI-I'!A:G,3,0),VLOOKUP(B251,'12.COT.MERCADO'!A:I,7,0))</f>
        <v>UN</v>
      </c>
      <c r="G251" s="1306">
        <v>6.546</v>
      </c>
      <c r="H251" s="1298">
        <f>IF(C251="SINAPI",VLOOKUP(B251,'20-A.SINAPI-I'!A:G,4,0),VLOOKUP(B251,'12.COT.MERCADO'!A:I,8,0))</f>
        <v>5.23</v>
      </c>
      <c r="I251" s="1298">
        <f>IF(E251="Mão de Obra",H251*(1+'7. BDI SERVIÇOS'!$K$5),H251*(1+'8. BDI MERO FORNECIMENTO'!$K$5))</f>
        <v>6.139617133</v>
      </c>
      <c r="J251" s="1298">
        <f t="shared" si="1"/>
        <v>34.23558</v>
      </c>
      <c r="K251" s="1298">
        <f t="shared" si="2"/>
        <v>40.18993375</v>
      </c>
      <c r="L251" s="1299">
        <f t="shared" si="3"/>
        <v>0.000128887876</v>
      </c>
      <c r="M251" s="1300">
        <f t="shared" si="5"/>
        <v>0.7278692968</v>
      </c>
      <c r="N251" s="1301" t="str">
        <f t="shared" si="4"/>
        <v>A</v>
      </c>
    </row>
    <row r="252">
      <c r="A252" s="1291">
        <v>247.0</v>
      </c>
      <c r="B252" s="1292">
        <v>36791.0</v>
      </c>
      <c r="C252" s="1304" t="s">
        <v>17759</v>
      </c>
      <c r="D252" s="1303" t="str">
        <f>IF(C252="SINAPI",VLOOKUP(B252,'20-A.SINAPI-I'!A:G,2,0),VLOOKUP(B252,'12.COT.MERCADO'!A:I,2,0))</f>
        <v>TORNEIRA METALICA CROMADA DE MESA PARA LAVATORIO, BICA ALTA, COM AREJADOR (REF 1195)</v>
      </c>
      <c r="E252" s="1305" t="s">
        <v>18393</v>
      </c>
      <c r="F252" s="1296" t="str">
        <f>IF(C252="SINAPI",VLOOKUP(B252,'20-A.SINAPI-I'!A:G,3,0),VLOOKUP(B252,'12.COT.MERCADO'!A:I,7,0))</f>
        <v>UN</v>
      </c>
      <c r="G252" s="1306">
        <v>0.33</v>
      </c>
      <c r="H252" s="1298">
        <f>IF(C252="SINAPI",VLOOKUP(B252,'20-A.SINAPI-I'!A:G,4,0),VLOOKUP(B252,'12.COT.MERCADO'!A:I,8,0))</f>
        <v>117.14</v>
      </c>
      <c r="I252" s="1298">
        <f>IF(E252="Mão de Obra",H252*(1+'7. BDI SERVIÇOS'!$K$5),H252*(1+'8. BDI MERO FORNECIMENTO'!$K$5))</f>
        <v>137.2101333</v>
      </c>
      <c r="J252" s="1298">
        <f t="shared" si="1"/>
        <v>38.6562</v>
      </c>
      <c r="K252" s="1298">
        <f t="shared" si="2"/>
        <v>45.27934399</v>
      </c>
      <c r="L252" s="1299">
        <f t="shared" si="3"/>
        <v>0.0001452094574</v>
      </c>
      <c r="M252" s="1300">
        <f t="shared" si="5"/>
        <v>0.7280145062</v>
      </c>
      <c r="N252" s="1301" t="str">
        <f t="shared" si="4"/>
        <v>A</v>
      </c>
    </row>
    <row r="253">
      <c r="A253" s="1291">
        <v>237.0</v>
      </c>
      <c r="B253" s="1292">
        <v>39419.0</v>
      </c>
      <c r="C253" s="1304" t="s">
        <v>17759</v>
      </c>
      <c r="D253" s="1303" t="str">
        <f>IF(C253="SINAPI",VLOOKUP(B253,'20-A.SINAPI-I'!A:G,2,0),VLOOKUP(B253,'12.COT.MERCADO'!A:I,2,0))</f>
        <v>PERFIL GUIA, FORMATO U, EM ACO ZINCADO, PARA ESTRUTURA PAREDE DRYWALL, E = 0,5 MM, 70 X 3000 MM (L X C)</v>
      </c>
      <c r="E253" s="1305" t="s">
        <v>18393</v>
      </c>
      <c r="F253" s="1296" t="str">
        <f>IF(C253="SINAPI",VLOOKUP(B253,'20-A.SINAPI-I'!A:G,3,0),VLOOKUP(B253,'12.COT.MERCADO'!A:I,7,0))</f>
        <v>M</v>
      </c>
      <c r="G253" s="1306">
        <v>3.300136</v>
      </c>
      <c r="H253" s="1298">
        <f>IF(C253="SINAPI",VLOOKUP(B253,'20-A.SINAPI-I'!A:G,4,0),VLOOKUP(B253,'12.COT.MERCADO'!A:I,8,0))</f>
        <v>8.89</v>
      </c>
      <c r="I253" s="1298">
        <f>IF(E253="Mão de Obra",H253*(1+'7. BDI SERVIÇOS'!$K$5),H253*(1+'8. BDI MERO FORNECIMENTO'!$K$5))</f>
        <v>10.41316446</v>
      </c>
      <c r="J253" s="1298">
        <f t="shared" si="1"/>
        <v>29.33820904</v>
      </c>
      <c r="K253" s="1298">
        <f t="shared" si="2"/>
        <v>34.36485891</v>
      </c>
      <c r="L253" s="1299">
        <f t="shared" si="3"/>
        <v>0.0001102070409</v>
      </c>
      <c r="M253" s="1300">
        <f t="shared" si="5"/>
        <v>0.7281247133</v>
      </c>
      <c r="N253" s="1301" t="str">
        <f t="shared" si="4"/>
        <v>A</v>
      </c>
    </row>
    <row r="254">
      <c r="A254" s="1291">
        <v>248.0</v>
      </c>
      <c r="B254" s="1292">
        <v>4755.0</v>
      </c>
      <c r="C254" s="1304" t="s">
        <v>17759</v>
      </c>
      <c r="D254" s="1303" t="str">
        <f>IF(C254="SINAPI",VLOOKUP(B254,'20-A.SINAPI-I'!A:G,2,0),VLOOKUP(B254,'12.COT.MERCADO'!A:I,2,0))</f>
        <v>MARMORISTA / GRANITEIRO (HORISTA)</v>
      </c>
      <c r="E254" s="1305" t="s">
        <v>18393</v>
      </c>
      <c r="F254" s="1296" t="str">
        <f>IF(C254="SINAPI",VLOOKUP(B254,'20-A.SINAPI-I'!A:G,3,0),VLOOKUP(B254,'12.COT.MERCADO'!A:I,7,0))</f>
        <v>H</v>
      </c>
      <c r="G254" s="1306">
        <v>1.3511676</v>
      </c>
      <c r="H254" s="1298">
        <f>IF(C254="SINAPI",VLOOKUP(B254,'20-A.SINAPI-I'!A:G,4,0),VLOOKUP(B254,'12.COT.MERCADO'!A:I,8,0))</f>
        <v>23.64</v>
      </c>
      <c r="I254" s="1298">
        <f>IF(E254="Mão de Obra",H254*(1+'7. BDI SERVIÇOS'!$K$5),H254*(1+'8. BDI MERO FORNECIMENTO'!$K$5))</f>
        <v>27.69034959</v>
      </c>
      <c r="J254" s="1298">
        <f t="shared" si="1"/>
        <v>31.94160206</v>
      </c>
      <c r="K254" s="1298">
        <f t="shared" si="2"/>
        <v>37.4143032</v>
      </c>
      <c r="L254" s="1299">
        <f t="shared" si="3"/>
        <v>0.0001199865145</v>
      </c>
      <c r="M254" s="1300">
        <f t="shared" si="5"/>
        <v>0.7282446998</v>
      </c>
      <c r="N254" s="1301" t="str">
        <f t="shared" si="4"/>
        <v>A</v>
      </c>
    </row>
    <row r="255">
      <c r="A255" s="1291">
        <v>249.0</v>
      </c>
      <c r="B255" s="1292">
        <v>38193.0</v>
      </c>
      <c r="C255" s="1304" t="s">
        <v>17759</v>
      </c>
      <c r="D255" s="1303" t="str">
        <f>IF(C255="SINAPI",VLOOKUP(B255,'20-A.SINAPI-I'!A:G,2,0),VLOOKUP(B255,'12.COT.MERCADO'!A:I,2,0))</f>
        <v>LAMPADA LED 6 W BIVOLT BRANCA, FORMATO TRADICIONAL (BASE E27)</v>
      </c>
      <c r="E255" s="1305" t="s">
        <v>18393</v>
      </c>
      <c r="F255" s="1296" t="str">
        <f>IF(C255="SINAPI",VLOOKUP(B255,'20-A.SINAPI-I'!A:G,3,0),VLOOKUP(B255,'12.COT.MERCADO'!A:I,7,0))</f>
        <v>UN</v>
      </c>
      <c r="G255" s="1306">
        <v>4.67</v>
      </c>
      <c r="H255" s="1298">
        <f>IF(C255="SINAPI",VLOOKUP(B255,'20-A.SINAPI-I'!A:G,4,0),VLOOKUP(B255,'12.COT.MERCADO'!A:I,8,0))</f>
        <v>6.52</v>
      </c>
      <c r="I255" s="1298">
        <f>IF(E255="Mão de Obra",H255*(1+'7. BDI SERVIÇOS'!$K$5),H255*(1+'8. BDI MERO FORNECIMENTO'!$K$5))</f>
        <v>7.637101495</v>
      </c>
      <c r="J255" s="1298">
        <f t="shared" si="1"/>
        <v>30.4484</v>
      </c>
      <c r="K255" s="1298">
        <f t="shared" si="2"/>
        <v>35.66526398</v>
      </c>
      <c r="L255" s="1299">
        <f t="shared" si="3"/>
        <v>0.0001143773998</v>
      </c>
      <c r="M255" s="1300">
        <f t="shared" si="5"/>
        <v>0.7283590772</v>
      </c>
      <c r="N255" s="1301" t="str">
        <f t="shared" si="4"/>
        <v>A</v>
      </c>
    </row>
    <row r="256">
      <c r="A256" s="1291">
        <v>250.0</v>
      </c>
      <c r="B256" s="1292">
        <v>1370.0</v>
      </c>
      <c r="C256" s="1304" t="s">
        <v>17759</v>
      </c>
      <c r="D256" s="1303" t="str">
        <f>IF(C256="SINAPI",VLOOKUP(B256,'20-A.SINAPI-I'!A:G,2,0),VLOOKUP(B256,'12.COT.MERCADO'!A:I,2,0))</f>
        <v>DUCHA HIGIENICA PLASTICA COM REGISTRO METALICO 1/2 "</v>
      </c>
      <c r="E256" s="1305" t="s">
        <v>18393</v>
      </c>
      <c r="F256" s="1296" t="str">
        <f>IF(C256="SINAPI",VLOOKUP(B256,'20-A.SINAPI-I'!A:G,3,0),VLOOKUP(B256,'12.COT.MERCADO'!A:I,7,0))</f>
        <v>UN</v>
      </c>
      <c r="G256" s="1306">
        <v>0.33</v>
      </c>
      <c r="H256" s="1298">
        <f>IF(C256="SINAPI",VLOOKUP(B256,'20-A.SINAPI-I'!A:G,4,0),VLOOKUP(B256,'12.COT.MERCADO'!A:I,8,0))</f>
        <v>116.48</v>
      </c>
      <c r="I256" s="1298">
        <f>IF(E256="Mão de Obra",H256*(1+'7. BDI SERVIÇOS'!$K$5),H256*(1+'8. BDI MERO FORNECIMENTO'!$K$5))</f>
        <v>136.4370525</v>
      </c>
      <c r="J256" s="1298">
        <f t="shared" si="1"/>
        <v>38.4384</v>
      </c>
      <c r="K256" s="1298">
        <f t="shared" si="2"/>
        <v>45.02422732</v>
      </c>
      <c r="L256" s="1299">
        <f t="shared" si="3"/>
        <v>0.0001443913061</v>
      </c>
      <c r="M256" s="1300">
        <f t="shared" si="5"/>
        <v>0.7285034685</v>
      </c>
      <c r="N256" s="1301" t="str">
        <f t="shared" si="4"/>
        <v>A</v>
      </c>
    </row>
    <row r="257">
      <c r="A257" s="1291">
        <v>251.0</v>
      </c>
      <c r="B257" s="1292">
        <v>3267.0</v>
      </c>
      <c r="C257" s="1304" t="s">
        <v>17759</v>
      </c>
      <c r="D257" s="1303" t="str">
        <f>IF(C257="SINAPI",VLOOKUP(B257,'20-A.SINAPI-I'!A:G,2,0),VLOOKUP(B257,'12.COT.MERCADO'!A:I,2,0))</f>
        <v>FLANGE SEXTAVADO DE FERRO GALVANIZADO, COM ROSCA BSP, DE 2 1/2"</v>
      </c>
      <c r="E257" s="1305" t="s">
        <v>18393</v>
      </c>
      <c r="F257" s="1296" t="str">
        <f>IF(C257="SINAPI",VLOOKUP(B257,'20-A.SINAPI-I'!A:G,3,0),VLOOKUP(B257,'12.COT.MERCADO'!A:I,7,0))</f>
        <v>UN</v>
      </c>
      <c r="G257" s="1306">
        <v>0.33</v>
      </c>
      <c r="H257" s="1298">
        <f>IF(C257="SINAPI",VLOOKUP(B257,'20-A.SINAPI-I'!A:G,4,0),VLOOKUP(B257,'12.COT.MERCADO'!A:I,8,0))</f>
        <v>107.57</v>
      </c>
      <c r="I257" s="1298">
        <f>IF(E257="Mão de Obra",H257*(1+'7. BDI SERVIÇOS'!$K$5),H257*(1+'8. BDI MERO FORNECIMENTO'!$K$5))</f>
        <v>126.0004613</v>
      </c>
      <c r="J257" s="1298">
        <f t="shared" si="1"/>
        <v>35.4981</v>
      </c>
      <c r="K257" s="1298">
        <f t="shared" si="2"/>
        <v>41.58015224</v>
      </c>
      <c r="L257" s="1299">
        <f t="shared" si="3"/>
        <v>0.0001333462637</v>
      </c>
      <c r="M257" s="1300">
        <f t="shared" si="5"/>
        <v>0.7286368147</v>
      </c>
      <c r="N257" s="1301" t="str">
        <f t="shared" si="4"/>
        <v>A</v>
      </c>
    </row>
    <row r="258">
      <c r="A258" s="1291">
        <v>253.0</v>
      </c>
      <c r="B258" s="1292">
        <v>39358.0</v>
      </c>
      <c r="C258" s="1304" t="s">
        <v>17759</v>
      </c>
      <c r="D258" s="1303" t="str">
        <f>IF(C258="SINAPI",VLOOKUP(B258,'20-A.SINAPI-I'!A:G,2,0),VLOOKUP(B258,'12.COT.MERCADO'!A:I,2,0))</f>
        <v>KIT CHASSI COZINHA, CUBA SIMPLES SEM MAQUINA LAVAR LOUCA, INSTAL. PEX, QUADRO METALICO C/ TRAVESSA COM FURO P/ESGOTO DN 50 MM E FUROS SUPERIORES P/AGUA, *340* X *650* MM (L X H), P/ CONEXAO COM CRIMPAGEM (CONJUNTO COMPLETO)</v>
      </c>
      <c r="E258" s="1305" t="s">
        <v>18393</v>
      </c>
      <c r="F258" s="1296" t="str">
        <f>IF(C258="SINAPI",VLOOKUP(B258,'20-A.SINAPI-I'!A:G,3,0),VLOOKUP(B258,'12.COT.MERCADO'!A:I,7,0))</f>
        <v>UN</v>
      </c>
      <c r="G258" s="1306">
        <v>0.33</v>
      </c>
      <c r="H258" s="1298">
        <f>IF(C258="SINAPI",VLOOKUP(B258,'20-A.SINAPI-I'!A:G,4,0),VLOOKUP(B258,'12.COT.MERCADO'!A:I,8,0))</f>
        <v>49.5</v>
      </c>
      <c r="I258" s="1298">
        <f>IF(E258="Mão de Obra",H258*(1+'7. BDI SERVIÇOS'!$K$5),H258*(1+'8. BDI MERO FORNECIMENTO'!$K$5))</f>
        <v>57.98106196</v>
      </c>
      <c r="J258" s="1298">
        <f t="shared" si="1"/>
        <v>16.335</v>
      </c>
      <c r="K258" s="1298">
        <f t="shared" si="2"/>
        <v>19.13375045</v>
      </c>
      <c r="L258" s="1299">
        <f t="shared" si="3"/>
        <v>0.00006136134659</v>
      </c>
      <c r="M258" s="1300">
        <f t="shared" si="5"/>
        <v>0.7286981761</v>
      </c>
      <c r="N258" s="1301" t="str">
        <f t="shared" si="4"/>
        <v>A</v>
      </c>
    </row>
    <row r="259">
      <c r="A259" s="1291">
        <v>255.0</v>
      </c>
      <c r="B259" s="1292">
        <v>20269.0</v>
      </c>
      <c r="C259" s="1304" t="s">
        <v>17759</v>
      </c>
      <c r="D259" s="1303" t="str">
        <f>IF(C259="SINAPI",VLOOKUP(B259,'20-A.SINAPI-I'!A:G,2,0),VLOOKUP(B259,'12.COT.MERCADO'!A:I,2,0))</f>
        <v>LAVATORIO / CUBA DE EMBUTIR, OVAL, DE LOUCA BRANCA, SEM LADRAO, DIMENSOES *50 X 35* CM (L X C)</v>
      </c>
      <c r="E259" s="1305" t="s">
        <v>18393</v>
      </c>
      <c r="F259" s="1296" t="str">
        <f>IF(C259="SINAPI",VLOOKUP(B259,'20-A.SINAPI-I'!A:G,3,0),VLOOKUP(B259,'12.COT.MERCADO'!A:I,7,0))</f>
        <v>UN</v>
      </c>
      <c r="G259" s="1306">
        <v>0.33</v>
      </c>
      <c r="H259" s="1298">
        <f>IF(C259="SINAPI",VLOOKUP(B259,'20-A.SINAPI-I'!A:G,4,0),VLOOKUP(B259,'12.COT.MERCADO'!A:I,8,0))</f>
        <v>104.73</v>
      </c>
      <c r="I259" s="1298">
        <f>IF(E259="Mão de Obra",H259*(1+'7. BDI SERVIÇOS'!$K$5),H259*(1+'8. BDI MERO FORNECIMENTO'!$K$5))</f>
        <v>122.6738711</v>
      </c>
      <c r="J259" s="1298">
        <f t="shared" si="1"/>
        <v>34.5609</v>
      </c>
      <c r="K259" s="1298">
        <f t="shared" si="2"/>
        <v>40.48237746</v>
      </c>
      <c r="L259" s="1299">
        <f t="shared" si="3"/>
        <v>0.0001298257339</v>
      </c>
      <c r="M259" s="1300">
        <f t="shared" si="5"/>
        <v>0.7288280018</v>
      </c>
      <c r="N259" s="1301" t="str">
        <f t="shared" si="4"/>
        <v>A</v>
      </c>
    </row>
    <row r="260">
      <c r="A260" s="1291">
        <v>256.0</v>
      </c>
      <c r="B260" s="1292">
        <v>38112.0</v>
      </c>
      <c r="C260" s="1304" t="s">
        <v>17759</v>
      </c>
      <c r="D260" s="1303" t="str">
        <f>IF(C260="SINAPI",VLOOKUP(B260,'20-A.SINAPI-I'!A:G,2,0),VLOOKUP(B260,'12.COT.MERCADO'!A:I,2,0))</f>
        <v>INTERRUPTOR SIMPLES 10A, 250V (APENAS MODULO)</v>
      </c>
      <c r="E260" s="1305" t="s">
        <v>18393</v>
      </c>
      <c r="F260" s="1296" t="str">
        <f>IF(C260="SINAPI",VLOOKUP(B260,'20-A.SINAPI-I'!A:G,3,0),VLOOKUP(B260,'12.COT.MERCADO'!A:I,7,0))</f>
        <v>UN</v>
      </c>
      <c r="G260" s="1306">
        <v>3.98</v>
      </c>
      <c r="H260" s="1298">
        <f>IF(C260="SINAPI",VLOOKUP(B260,'20-A.SINAPI-I'!A:G,4,0),VLOOKUP(B260,'12.COT.MERCADO'!A:I,8,0))</f>
        <v>7.4</v>
      </c>
      <c r="I260" s="1298">
        <f>IF(E260="Mão de Obra",H260*(1+'7. BDI SERVIÇOS'!$K$5),H260*(1+'8. BDI MERO FORNECIMENTO'!$K$5))</f>
        <v>8.66787593</v>
      </c>
      <c r="J260" s="1298">
        <f t="shared" si="1"/>
        <v>29.452</v>
      </c>
      <c r="K260" s="1298">
        <f t="shared" si="2"/>
        <v>34.4981462</v>
      </c>
      <c r="L260" s="1299">
        <f t="shared" si="3"/>
        <v>0.0001106344891</v>
      </c>
      <c r="M260" s="1300">
        <f t="shared" si="5"/>
        <v>0.7289386363</v>
      </c>
      <c r="N260" s="1301" t="str">
        <f t="shared" si="4"/>
        <v>A</v>
      </c>
    </row>
    <row r="261">
      <c r="A261" s="1291">
        <v>257.0</v>
      </c>
      <c r="B261" s="1292">
        <v>39432.0</v>
      </c>
      <c r="C261" s="1304" t="s">
        <v>17759</v>
      </c>
      <c r="D261" s="1303" t="str">
        <f>IF(C261="SINAPI",VLOOKUP(B261,'20-A.SINAPI-I'!A:G,2,0),VLOOKUP(B261,'12.COT.MERCADO'!A:I,2,0))</f>
        <v>FITA DE PAPEL REFORCADA COM LAMINA DE METAL PARA REFORCO DE CANTOS DE CHAPA DE GESSO PARA DRYWALL</v>
      </c>
      <c r="E261" s="1305" t="s">
        <v>18393</v>
      </c>
      <c r="F261" s="1296" t="str">
        <f>IF(C261="SINAPI",VLOOKUP(B261,'20-A.SINAPI-I'!A:G,3,0),VLOOKUP(B261,'12.COT.MERCADO'!A:I,7,0))</f>
        <v>M</v>
      </c>
      <c r="G261" s="1306">
        <v>11.525908</v>
      </c>
      <c r="H261" s="1298">
        <f>IF(C261="SINAPI",VLOOKUP(B261,'20-A.SINAPI-I'!A:G,4,0),VLOOKUP(B261,'12.COT.MERCADO'!A:I,8,0))</f>
        <v>2.7</v>
      </c>
      <c r="I261" s="1298">
        <f>IF(E261="Mão de Obra",H261*(1+'7. BDI SERVIÇOS'!$K$5),H261*(1+'8. BDI MERO FORNECIMENTO'!$K$5))</f>
        <v>3.16260338</v>
      </c>
      <c r="J261" s="1298">
        <f t="shared" si="1"/>
        <v>31.1199516</v>
      </c>
      <c r="K261" s="1298">
        <f t="shared" si="2"/>
        <v>36.4518756</v>
      </c>
      <c r="L261" s="1299">
        <f t="shared" si="3"/>
        <v>0.0001169000389</v>
      </c>
      <c r="M261" s="1300">
        <f t="shared" si="5"/>
        <v>0.7290555363</v>
      </c>
      <c r="N261" s="1301" t="str">
        <f t="shared" si="4"/>
        <v>A</v>
      </c>
    </row>
    <row r="262">
      <c r="A262" s="1291">
        <v>258.0</v>
      </c>
      <c r="B262" s="1292" t="s">
        <v>1941</v>
      </c>
      <c r="C262" s="1304" t="s">
        <v>1785</v>
      </c>
      <c r="D262" s="1294" t="str">
        <f>IF(C262="SINAPI",VLOOKUP(B262,'20-A.SINAPI-I'!A:G,2,0),VLOOKUP(B262,'12.COT.MERCADO'!A:I,2,0))</f>
        <v>BOTOEIRA COM RETENÇÃO PARA QUADRO/PAINEL. REF. CEW-BEGM-0100000 DA WEB,  LAY5-BS54 DA JNG, METALTEX, MARGIRIUS OU EQUIVALENTE</v>
      </c>
      <c r="E262" s="1305" t="s">
        <v>18393</v>
      </c>
      <c r="F262" s="1296" t="str">
        <f>IF(C262="SINAPI",VLOOKUP(B262,'20-A.SINAPI-I'!A:G,3,0),VLOOKUP(B262,'12.COT.MERCADO'!A:I,7,0))</f>
        <v>UN</v>
      </c>
      <c r="G262" s="1306">
        <v>1.0</v>
      </c>
      <c r="H262" s="1298">
        <f>IF(C262="SINAPI",VLOOKUP(B262,'20-A.SINAPI-I'!A:G,4,0),VLOOKUP(B262,'12.COT.MERCADO'!A:I,8,0))</f>
        <v>33.53</v>
      </c>
      <c r="I262" s="1298">
        <f>IF(E262="Mão de Obra",H262*(1+'7. BDI SERVIÇOS'!$K$5),H262*(1+'8. BDI MERO FORNECIMENTO'!$K$5))</f>
        <v>39.27484864</v>
      </c>
      <c r="J262" s="1298">
        <f t="shared" si="1"/>
        <v>33.53</v>
      </c>
      <c r="K262" s="1298">
        <f t="shared" si="2"/>
        <v>39.27484864</v>
      </c>
      <c r="L262" s="1299">
        <f t="shared" si="3"/>
        <v>0.0001259532263</v>
      </c>
      <c r="M262" s="1300">
        <f t="shared" si="5"/>
        <v>0.7291814896</v>
      </c>
      <c r="N262" s="1301" t="str">
        <f t="shared" si="4"/>
        <v>A</v>
      </c>
    </row>
    <row r="263">
      <c r="A263" s="1291">
        <v>252.0</v>
      </c>
      <c r="B263" s="1292" t="s">
        <v>2025</v>
      </c>
      <c r="C263" s="1304" t="s">
        <v>1785</v>
      </c>
      <c r="D263" s="1302" t="str">
        <f>IF(C263="SINAPI",VLOOKUP(B263,'20-A.SINAPI-I'!A:G,2,0),VLOOKUP(B263,'12.COT.MERCADO'!A:I,2,0))</f>
        <v>CONECTOR DE DERIVAÇÃO PERFURANTE 10 A 95MM²</v>
      </c>
      <c r="E263" s="1305" t="s">
        <v>18393</v>
      </c>
      <c r="F263" s="1296" t="str">
        <f>IF(C263="SINAPI",VLOOKUP(B263,'20-A.SINAPI-I'!A:G,3,0),VLOOKUP(B263,'12.COT.MERCADO'!A:I,7,0))</f>
        <v>UN</v>
      </c>
      <c r="G263" s="1306">
        <v>3.33</v>
      </c>
      <c r="H263" s="1298">
        <f>IF(C263="SINAPI",VLOOKUP(B263,'20-A.SINAPI-I'!A:G,4,0),VLOOKUP(B263,'12.COT.MERCADO'!A:I,8,0))</f>
        <v>9.02</v>
      </c>
      <c r="I263" s="1298">
        <f>IF(E263="Mão de Obra",H263*(1+'7. BDI SERVIÇOS'!$K$5),H263*(1+'8. BDI MERO FORNECIMENTO'!$K$5))</f>
        <v>10.56543796</v>
      </c>
      <c r="J263" s="1298">
        <f t="shared" si="1"/>
        <v>30.0366</v>
      </c>
      <c r="K263" s="1298">
        <f t="shared" si="2"/>
        <v>35.1829084</v>
      </c>
      <c r="L263" s="1299">
        <f t="shared" si="3"/>
        <v>0.0001128305003</v>
      </c>
      <c r="M263" s="1300">
        <f t="shared" si="5"/>
        <v>0.7292943201</v>
      </c>
      <c r="N263" s="1301" t="str">
        <f t="shared" si="4"/>
        <v>A</v>
      </c>
    </row>
    <row r="264">
      <c r="A264" s="1291">
        <v>259.0</v>
      </c>
      <c r="B264" s="1292">
        <v>5068.0</v>
      </c>
      <c r="C264" s="1304" t="s">
        <v>17759</v>
      </c>
      <c r="D264" s="1303" t="str">
        <f>IF(C264="SINAPI",VLOOKUP(B264,'20-A.SINAPI-I'!A:G,2,0),VLOOKUP(B264,'12.COT.MERCADO'!A:I,2,0))</f>
        <v>PREGO DE ACO POLIDO COM CABECA 17 X 21 (2 X 11)</v>
      </c>
      <c r="E264" s="1305" t="s">
        <v>18393</v>
      </c>
      <c r="F264" s="1296" t="str">
        <f>IF(C264="SINAPI",VLOOKUP(B264,'20-A.SINAPI-I'!A:G,3,0),VLOOKUP(B264,'12.COT.MERCADO'!A:I,7,0))</f>
        <v>KG</v>
      </c>
      <c r="G264" s="1306">
        <v>1.581288</v>
      </c>
      <c r="H264" s="1298">
        <f>IF(C264="SINAPI",VLOOKUP(B264,'20-A.SINAPI-I'!A:G,4,0),VLOOKUP(B264,'12.COT.MERCADO'!A:I,8,0))</f>
        <v>16.27</v>
      </c>
      <c r="I264" s="1298">
        <f>IF(E264="Mão de Obra",H264*(1+'7. BDI SERVIÇOS'!$K$5),H264*(1+'8. BDI MERO FORNECIMENTO'!$K$5))</f>
        <v>19.0576137</v>
      </c>
      <c r="J264" s="1298">
        <f t="shared" si="1"/>
        <v>25.72755576</v>
      </c>
      <c r="K264" s="1298">
        <f t="shared" si="2"/>
        <v>30.13557585</v>
      </c>
      <c r="L264" s="1299">
        <f t="shared" si="3"/>
        <v>0.00009664386078</v>
      </c>
      <c r="M264" s="1300">
        <f t="shared" si="5"/>
        <v>0.7293909639</v>
      </c>
      <c r="N264" s="1301" t="str">
        <f t="shared" si="4"/>
        <v>A</v>
      </c>
    </row>
    <row r="265">
      <c r="A265" s="1291">
        <v>260.0</v>
      </c>
      <c r="B265" s="1292">
        <v>1200.0</v>
      </c>
      <c r="C265" s="1304" t="s">
        <v>17759</v>
      </c>
      <c r="D265" s="1303" t="str">
        <f>IF(C265="SINAPI",VLOOKUP(B265,'20-A.SINAPI-I'!A:G,2,0),VLOOKUP(B265,'12.COT.MERCADO'!A:I,2,0))</f>
        <v>CAP PVC, SOLDAVEL, DN 100 MM, SERIE NORMAL, PARA ESGOTO PREDIAL</v>
      </c>
      <c r="E265" s="1305" t="s">
        <v>18393</v>
      </c>
      <c r="F265" s="1296" t="str">
        <f>IF(C265="SINAPI",VLOOKUP(B265,'20-A.SINAPI-I'!A:G,3,0),VLOOKUP(B265,'12.COT.MERCADO'!A:I,7,0))</f>
        <v>UN</v>
      </c>
      <c r="G265" s="1306">
        <v>2.67</v>
      </c>
      <c r="H265" s="1298">
        <f>IF(C265="SINAPI",VLOOKUP(B265,'20-A.SINAPI-I'!A:G,4,0),VLOOKUP(B265,'12.COT.MERCADO'!A:I,8,0))</f>
        <v>11.01</v>
      </c>
      <c r="I265" s="1298">
        <f>IF(E265="Mão de Obra",H265*(1+'7. BDI SERVIÇOS'!$K$5),H265*(1+'8. BDI MERO FORNECIMENTO'!$K$5))</f>
        <v>12.89639378</v>
      </c>
      <c r="J265" s="1298">
        <f t="shared" si="1"/>
        <v>29.3967</v>
      </c>
      <c r="K265" s="1298">
        <f t="shared" si="2"/>
        <v>34.4333714</v>
      </c>
      <c r="L265" s="1299">
        <f t="shared" si="3"/>
        <v>0.0001104267583</v>
      </c>
      <c r="M265" s="1300">
        <f t="shared" si="5"/>
        <v>0.7295013907</v>
      </c>
      <c r="N265" s="1301" t="str">
        <f t="shared" si="4"/>
        <v>A</v>
      </c>
    </row>
    <row r="266">
      <c r="A266" s="1291">
        <v>261.0</v>
      </c>
      <c r="B266" s="1292">
        <v>123.0</v>
      </c>
      <c r="C266" s="1304" t="s">
        <v>17759</v>
      </c>
      <c r="D266" s="1303" t="str">
        <f>IF(C266="SINAPI",VLOOKUP(B266,'20-A.SINAPI-I'!A:G,2,0),VLOOKUP(B266,'12.COT.MERCADO'!A:I,2,0))</f>
        <v>ADITIVO IMPERMEABILIZANTE DE PEGA NORMAL PARA ARGAMASSAS E CONCRETOS SEM ARMACAO, LIQUIDO E ISENTO DE CLORETOS</v>
      </c>
      <c r="E266" s="1305" t="s">
        <v>18393</v>
      </c>
      <c r="F266" s="1296" t="str">
        <f>IF(C266="SINAPI",VLOOKUP(B266,'20-A.SINAPI-I'!A:G,3,0),VLOOKUP(B266,'12.COT.MERCADO'!A:I,7,0))</f>
        <v>L</v>
      </c>
      <c r="G266" s="1306">
        <v>4.522716</v>
      </c>
      <c r="H266" s="1298">
        <f>IF(C266="SINAPI",VLOOKUP(B266,'20-A.SINAPI-I'!A:G,4,0),VLOOKUP(B266,'12.COT.MERCADO'!A:I,8,0))</f>
        <v>6.99</v>
      </c>
      <c r="I266" s="1298">
        <f>IF(E266="Mão de Obra",H266*(1+'7. BDI SERVIÇOS'!$K$5),H266*(1+'8. BDI MERO FORNECIMENTO'!$K$5))</f>
        <v>8.18762875</v>
      </c>
      <c r="J266" s="1298">
        <f t="shared" si="1"/>
        <v>31.61378484</v>
      </c>
      <c r="K266" s="1298">
        <f t="shared" si="2"/>
        <v>37.03031955</v>
      </c>
      <c r="L266" s="1299">
        <f t="shared" si="3"/>
        <v>0.0001187550908</v>
      </c>
      <c r="M266" s="1300">
        <f t="shared" si="5"/>
        <v>0.7296201458</v>
      </c>
      <c r="N266" s="1301" t="str">
        <f t="shared" si="4"/>
        <v>A</v>
      </c>
    </row>
    <row r="267">
      <c r="A267" s="1291">
        <v>262.0</v>
      </c>
      <c r="B267" s="1292">
        <v>11964.0</v>
      </c>
      <c r="C267" s="1304" t="s">
        <v>17759</v>
      </c>
      <c r="D267" s="1303" t="str">
        <f>IF(C267="SINAPI",VLOOKUP(B267,'20-A.SINAPI-I'!A:G,2,0),VLOOKUP(B267,'12.COT.MERCADO'!A:I,2,0))</f>
        <v>PARAFUSO DE ACO TIPO CHUMBADOR PARABOLT, DIAMETRO 3/8", COMPRIMENTO 75 MM</v>
      </c>
      <c r="E267" s="1305" t="s">
        <v>18393</v>
      </c>
      <c r="F267" s="1296" t="str">
        <f>IF(C267="SINAPI",VLOOKUP(B267,'20-A.SINAPI-I'!A:G,3,0),VLOOKUP(B267,'12.COT.MERCADO'!A:I,7,0))</f>
        <v>UN</v>
      </c>
      <c r="G267" s="1306">
        <v>13.34</v>
      </c>
      <c r="H267" s="1298">
        <f>IF(C267="SINAPI",VLOOKUP(B267,'20-A.SINAPI-I'!A:G,4,0),VLOOKUP(B267,'12.COT.MERCADO'!A:I,8,0))</f>
        <v>2.65</v>
      </c>
      <c r="I267" s="1298">
        <f>IF(E267="Mão de Obra",H267*(1+'7. BDI SERVIÇOS'!$K$5),H267*(1+'8. BDI MERO FORNECIMENTO'!$K$5))</f>
        <v>3.104036651</v>
      </c>
      <c r="J267" s="1298">
        <f t="shared" si="1"/>
        <v>35.351</v>
      </c>
      <c r="K267" s="1298">
        <f t="shared" si="2"/>
        <v>41.40784892</v>
      </c>
      <c r="L267" s="1299">
        <f t="shared" si="3"/>
        <v>0.0001327936923</v>
      </c>
      <c r="M267" s="1300">
        <f t="shared" si="5"/>
        <v>0.7297529395</v>
      </c>
      <c r="N267" s="1301" t="str">
        <f t="shared" si="4"/>
        <v>A</v>
      </c>
    </row>
    <row r="268">
      <c r="A268" s="1291">
        <v>263.0</v>
      </c>
      <c r="B268" s="1292">
        <v>11756.0</v>
      </c>
      <c r="C268" s="1304" t="s">
        <v>17759</v>
      </c>
      <c r="D268" s="1303" t="str">
        <f>IF(C268="SINAPI",VLOOKUP(B268,'20-A.SINAPI-I'!A:G,2,0),VLOOKUP(B268,'12.COT.MERCADO'!A:I,2,0))</f>
        <v>REGISTRO OU REGULADOR DE GAS COZINHA, VAZAO DE 2 KG/H, 2,8 KPA</v>
      </c>
      <c r="E268" s="1305" t="s">
        <v>18393</v>
      </c>
      <c r="F268" s="1296" t="str">
        <f>IF(C268="SINAPI",VLOOKUP(B268,'20-A.SINAPI-I'!A:G,3,0),VLOOKUP(B268,'12.COT.MERCADO'!A:I,7,0))</f>
        <v>UN</v>
      </c>
      <c r="G268" s="1306">
        <v>0.67</v>
      </c>
      <c r="H268" s="1298">
        <f>IF(C268="SINAPI",VLOOKUP(B268,'20-A.SINAPI-I'!A:G,4,0),VLOOKUP(B268,'12.COT.MERCADO'!A:I,8,0))</f>
        <v>44.87</v>
      </c>
      <c r="I268" s="1298">
        <f>IF(E268="Mão de Obra",H268*(1+'7. BDI SERVIÇOS'!$K$5),H268*(1+'8. BDI MERO FORNECIMENTO'!$K$5))</f>
        <v>52.55778283</v>
      </c>
      <c r="J268" s="1298">
        <f t="shared" si="1"/>
        <v>30.0629</v>
      </c>
      <c r="K268" s="1298">
        <f t="shared" si="2"/>
        <v>35.2137145</v>
      </c>
      <c r="L268" s="1299">
        <f t="shared" si="3"/>
        <v>0.0001129292945</v>
      </c>
      <c r="M268" s="1300">
        <f t="shared" si="5"/>
        <v>0.7298658688</v>
      </c>
      <c r="N268" s="1301" t="str">
        <f t="shared" si="4"/>
        <v>A</v>
      </c>
    </row>
    <row r="269">
      <c r="A269" s="1291">
        <v>265.0</v>
      </c>
      <c r="B269" s="1292">
        <v>12532.0</v>
      </c>
      <c r="C269" s="1304" t="s">
        <v>17759</v>
      </c>
      <c r="D269" s="1303" t="str">
        <f>IF(C269="SINAPI",VLOOKUP(B269,'20-A.SINAPI-I'!A:G,2,0),VLOOKUP(B269,'12.COT.MERCADO'!A:I,2,0))</f>
        <v>ANEL EM CONCRETO ARMADO, LISO, PARA POCOS DE INSPECAO, SEM FUNDO, DIAMETRO INTERNO DE 0,60 M E ALTURA DE 0,50 M</v>
      </c>
      <c r="E269" s="1305" t="s">
        <v>18393</v>
      </c>
      <c r="F269" s="1296" t="str">
        <f>IF(C269="SINAPI",VLOOKUP(B269,'20-A.SINAPI-I'!A:G,3,0),VLOOKUP(B269,'12.COT.MERCADO'!A:I,7,0))</f>
        <v>UN</v>
      </c>
      <c r="G269" s="1306">
        <v>0.33</v>
      </c>
      <c r="H269" s="1298">
        <f>IF(C269="SINAPI",VLOOKUP(B269,'20-A.SINAPI-I'!A:G,4,0),VLOOKUP(B269,'12.COT.MERCADO'!A:I,8,0))</f>
        <v>87.09</v>
      </c>
      <c r="I269" s="1298">
        <f>IF(E269="Mão de Obra",H269*(1+'7. BDI SERVIÇOS'!$K$5),H269*(1+'8. BDI MERO FORNECIMENTO'!$K$5))</f>
        <v>102.011529</v>
      </c>
      <c r="J269" s="1298">
        <f t="shared" si="1"/>
        <v>28.7397</v>
      </c>
      <c r="K269" s="1298">
        <f t="shared" si="2"/>
        <v>33.66380458</v>
      </c>
      <c r="L269" s="1299">
        <f t="shared" si="3"/>
        <v>0.0001079587813</v>
      </c>
      <c r="M269" s="1300">
        <f t="shared" si="5"/>
        <v>0.7299738276</v>
      </c>
      <c r="N269" s="1301" t="str">
        <f t="shared" si="4"/>
        <v>A</v>
      </c>
    </row>
    <row r="270">
      <c r="A270" s="1291">
        <v>264.0</v>
      </c>
      <c r="B270" s="1292">
        <v>3753.0</v>
      </c>
      <c r="C270" s="1304" t="s">
        <v>17759</v>
      </c>
      <c r="D270" s="1303" t="str">
        <f>IF(C270="SINAPI",VLOOKUP(B270,'20-A.SINAPI-I'!A:G,2,0),VLOOKUP(B270,'12.COT.MERCADO'!A:I,2,0))</f>
        <v>LAMPADA FLUORESCENTE TUBULAR T10, DE 20 OU 40 W, BIVOLT</v>
      </c>
      <c r="E270" s="1305" t="s">
        <v>18393</v>
      </c>
      <c r="F270" s="1296" t="str">
        <f>IF(C270="SINAPI",VLOOKUP(B270,'20-A.SINAPI-I'!A:G,3,0),VLOOKUP(B270,'12.COT.MERCADO'!A:I,7,0))</f>
        <v>UN</v>
      </c>
      <c r="G270" s="1306">
        <v>3.33</v>
      </c>
      <c r="H270" s="1298">
        <f>IF(C270="SINAPI",VLOOKUP(B270,'20-A.SINAPI-I'!A:G,4,0),VLOOKUP(B270,'12.COT.MERCADO'!A:I,8,0))</f>
        <v>9.08</v>
      </c>
      <c r="I270" s="1298">
        <f>IF(E270="Mão de Obra",H270*(1+'7. BDI SERVIÇOS'!$K$5),H270*(1+'8. BDI MERO FORNECIMENTO'!$K$5))</f>
        <v>10.63571803</v>
      </c>
      <c r="J270" s="1298">
        <f t="shared" si="1"/>
        <v>30.2364</v>
      </c>
      <c r="K270" s="1298">
        <f t="shared" si="2"/>
        <v>35.41694105</v>
      </c>
      <c r="L270" s="1299">
        <f t="shared" si="3"/>
        <v>0.0001135810358</v>
      </c>
      <c r="M270" s="1300">
        <f t="shared" si="5"/>
        <v>0.7300874086</v>
      </c>
      <c r="N270" s="1301" t="str">
        <f t="shared" si="4"/>
        <v>A</v>
      </c>
    </row>
    <row r="271">
      <c r="A271" s="1291">
        <v>266.0</v>
      </c>
      <c r="B271" s="1292">
        <v>37592.0</v>
      </c>
      <c r="C271" s="1304" t="s">
        <v>17759</v>
      </c>
      <c r="D271" s="1303" t="str">
        <f>IF(C271="SINAPI",VLOOKUP(B271,'20-A.SINAPI-I'!A:G,2,0),VLOOKUP(B271,'12.COT.MERCADO'!A:I,2,0))</f>
        <v>BLOCO CERAMICO / TIJOLO VAZADO PARA ALVENARIA DE VEDACAO, FUROS NA VERTICAL,, 9 X 19 X 39 CM (NBR 15270)</v>
      </c>
      <c r="E271" s="1305" t="s">
        <v>18393</v>
      </c>
      <c r="F271" s="1296" t="str">
        <f>IF(C271="SINAPI",VLOOKUP(B271,'20-A.SINAPI-I'!A:G,3,0),VLOOKUP(B271,'12.COT.MERCADO'!A:I,7,0))</f>
        <v>UN</v>
      </c>
      <c r="G271" s="1306">
        <v>13.6</v>
      </c>
      <c r="H271" s="1298">
        <f>IF(C271="SINAPI",VLOOKUP(B271,'20-A.SINAPI-I'!A:G,4,0),VLOOKUP(B271,'12.COT.MERCADO'!A:I,8,0))</f>
        <v>2.07</v>
      </c>
      <c r="I271" s="1298">
        <f>IF(E271="Mão de Obra",H271*(1+'7. BDI SERVIÇOS'!$K$5),H271*(1+'8. BDI MERO FORNECIMENTO'!$K$5))</f>
        <v>2.424662591</v>
      </c>
      <c r="J271" s="1298">
        <f t="shared" si="1"/>
        <v>28.152</v>
      </c>
      <c r="K271" s="1298">
        <f t="shared" si="2"/>
        <v>32.97541124</v>
      </c>
      <c r="L271" s="1299">
        <f t="shared" si="3"/>
        <v>0.0001057511251</v>
      </c>
      <c r="M271" s="1300">
        <f t="shared" si="5"/>
        <v>0.7301931597</v>
      </c>
      <c r="N271" s="1301" t="str">
        <f t="shared" si="4"/>
        <v>A</v>
      </c>
    </row>
    <row r="272">
      <c r="A272" s="1291">
        <v>267.0</v>
      </c>
      <c r="B272" s="1292">
        <v>4812.0</v>
      </c>
      <c r="C272" s="1304" t="s">
        <v>17759</v>
      </c>
      <c r="D272" s="1303" t="str">
        <f>IF(C272="SINAPI",VLOOKUP(B272,'20-A.SINAPI-I'!A:G,2,0),VLOOKUP(B272,'12.COT.MERCADO'!A:I,2,0))</f>
        <v>PLACA DE GESSO PARA FORRO, *60 X 60* CM, ESPESSURA DE 12 MM (SEM COLOCACAO)</v>
      </c>
      <c r="E272" s="1305" t="s">
        <v>18393</v>
      </c>
      <c r="F272" s="1296" t="str">
        <f>IF(C272="SINAPI",VLOOKUP(B272,'20-A.SINAPI-I'!A:G,3,0),VLOOKUP(B272,'12.COT.MERCADO'!A:I,7,0))</f>
        <v>M2</v>
      </c>
      <c r="G272" s="1306">
        <v>2.50242</v>
      </c>
      <c r="H272" s="1298">
        <f>IF(C272="SINAPI",VLOOKUP(B272,'20-A.SINAPI-I'!A:G,4,0),VLOOKUP(B272,'12.COT.MERCADO'!A:I,8,0))</f>
        <v>10.81</v>
      </c>
      <c r="I272" s="1298">
        <f>IF(E272="Mão de Obra",H272*(1+'7. BDI SERVIÇOS'!$K$5),H272*(1+'8. BDI MERO FORNECIMENTO'!$K$5))</f>
        <v>12.66212687</v>
      </c>
      <c r="J272" s="1298">
        <f t="shared" si="1"/>
        <v>27.0511602</v>
      </c>
      <c r="K272" s="1298">
        <f t="shared" si="2"/>
        <v>31.68595951</v>
      </c>
      <c r="L272" s="1299">
        <f t="shared" si="3"/>
        <v>0.0001016158933</v>
      </c>
      <c r="M272" s="1300">
        <f t="shared" si="5"/>
        <v>0.7302947756</v>
      </c>
      <c r="N272" s="1301" t="str">
        <f t="shared" si="4"/>
        <v>A</v>
      </c>
    </row>
    <row r="273">
      <c r="A273" s="1291">
        <v>268.0</v>
      </c>
      <c r="B273" s="1292">
        <v>4257.0</v>
      </c>
      <c r="C273" s="1304" t="s">
        <v>17759</v>
      </c>
      <c r="D273" s="1303" t="str">
        <f>IF(C273="SINAPI",VLOOKUP(B273,'20-A.SINAPI-I'!A:G,2,0),VLOOKUP(B273,'12.COT.MERCADO'!A:I,2,0))</f>
        <v>OPERADOR DE MARTELETE OU MARTELETEIRO</v>
      </c>
      <c r="E273" s="1305" t="s">
        <v>18393</v>
      </c>
      <c r="F273" s="1296" t="str">
        <f>IF(C273="SINAPI",VLOOKUP(B273,'20-A.SINAPI-I'!A:G,3,0),VLOOKUP(B273,'12.COT.MERCADO'!A:I,7,0))</f>
        <v>H</v>
      </c>
      <c r="G273" s="1306">
        <v>1.4575021</v>
      </c>
      <c r="H273" s="1298">
        <f>IF(C273="SINAPI",VLOOKUP(B273,'20-A.SINAPI-I'!A:G,4,0),VLOOKUP(B273,'12.COT.MERCADO'!A:I,8,0))</f>
        <v>16.93</v>
      </c>
      <c r="I273" s="1298">
        <f>IF(E273="Mão de Obra",H273*(1+'7. BDI SERVIÇOS'!$K$5),H273*(1+'8. BDI MERO FORNECIMENTO'!$K$5))</f>
        <v>19.83069453</v>
      </c>
      <c r="J273" s="1298">
        <f t="shared" si="1"/>
        <v>24.67551055</v>
      </c>
      <c r="K273" s="1298">
        <f t="shared" si="2"/>
        <v>28.90327892</v>
      </c>
      <c r="L273" s="1299">
        <f t="shared" si="3"/>
        <v>0.00009269192258</v>
      </c>
      <c r="M273" s="1300">
        <f t="shared" si="5"/>
        <v>0.7303874675</v>
      </c>
      <c r="N273" s="1301" t="str">
        <f t="shared" si="4"/>
        <v>A</v>
      </c>
    </row>
    <row r="274">
      <c r="A274" s="1291">
        <v>275.0</v>
      </c>
      <c r="B274" s="1292">
        <v>6127.0</v>
      </c>
      <c r="C274" s="1304" t="s">
        <v>17759</v>
      </c>
      <c r="D274" s="1303" t="str">
        <f>IF(C274="SINAPI",VLOOKUP(B274,'20-A.SINAPI-I'!A:G,2,0),VLOOKUP(B274,'12.COT.MERCADO'!A:I,2,0))</f>
        <v>AUXILIAR DE PEDREIRO (HORISTA)</v>
      </c>
      <c r="E274" s="1305" t="s">
        <v>18394</v>
      </c>
      <c r="F274" s="1296" t="str">
        <f>IF(C274="SINAPI",VLOOKUP(B274,'20-A.SINAPI-I'!A:G,3,0),VLOOKUP(B274,'12.COT.MERCADO'!A:I,7,0))</f>
        <v>H</v>
      </c>
      <c r="G274" s="1306">
        <v>1.622688</v>
      </c>
      <c r="H274" s="1298">
        <f>IF(C274="SINAPI",VLOOKUP(B274,'20-A.SINAPI-I'!A:G,4,0),VLOOKUP(B274,'12.COT.MERCADO'!A:I,8,0))</f>
        <v>14.68</v>
      </c>
      <c r="I274" s="1298">
        <f>IF(E274="Mão de Obra",H274*(1+'7. BDI SERVIÇOS'!$K$5),H274*(1+'8. BDI MERO FORNECIMENTO'!$K$5))</f>
        <v>17.2331892</v>
      </c>
      <c r="J274" s="1298">
        <f t="shared" si="1"/>
        <v>23.82105984</v>
      </c>
      <c r="K274" s="1298">
        <f t="shared" si="2"/>
        <v>27.96408932</v>
      </c>
      <c r="L274" s="1299">
        <f t="shared" si="3"/>
        <v>0.00008967997054</v>
      </c>
      <c r="M274" s="1300">
        <f t="shared" si="5"/>
        <v>0.7304771475</v>
      </c>
      <c r="N274" s="1301" t="str">
        <f t="shared" si="4"/>
        <v>A</v>
      </c>
    </row>
    <row r="275">
      <c r="A275" s="1291">
        <v>276.0</v>
      </c>
      <c r="B275" s="1292">
        <v>38829.0</v>
      </c>
      <c r="C275" s="1304" t="s">
        <v>17759</v>
      </c>
      <c r="D275" s="1303" t="str">
        <f>IF(C275="SINAPI",VLOOKUP(B275,'20-A.SINAPI-I'!A:G,2,0),VLOOKUP(B275,'12.COT.MERCADO'!A:I,2,0))</f>
        <v>TUBO MULTICAMADA PEX, DN 20 MM, PARA INSTALACOES A GAS (AMARELO)</v>
      </c>
      <c r="E275" s="1305" t="s">
        <v>18394</v>
      </c>
      <c r="F275" s="1296" t="str">
        <f>IF(C275="SINAPI",VLOOKUP(B275,'20-A.SINAPI-I'!A:G,3,0),VLOOKUP(B275,'12.COT.MERCADO'!A:I,7,0))</f>
        <v>M</v>
      </c>
      <c r="G275" s="1306">
        <v>1.358728</v>
      </c>
      <c r="H275" s="1298">
        <f>IF(C275="SINAPI",VLOOKUP(B275,'20-A.SINAPI-I'!A:G,4,0),VLOOKUP(B275,'12.COT.MERCADO'!A:I,8,0))</f>
        <v>17.7</v>
      </c>
      <c r="I275" s="1298">
        <f>IF(E275="Mão de Obra",H275*(1+'7. BDI SERVIÇOS'!$K$5),H275*(1+'8. BDI MERO FORNECIMENTO'!$K$5))</f>
        <v>20.77843657</v>
      </c>
      <c r="J275" s="1298">
        <f t="shared" si="1"/>
        <v>24.0494856</v>
      </c>
      <c r="K275" s="1298">
        <f t="shared" si="2"/>
        <v>28.23224356</v>
      </c>
      <c r="L275" s="1299">
        <f t="shared" si="3"/>
        <v>0.00009053993293</v>
      </c>
      <c r="M275" s="1300">
        <f t="shared" si="5"/>
        <v>0.7305676874</v>
      </c>
      <c r="N275" s="1301" t="str">
        <f t="shared" si="4"/>
        <v>A</v>
      </c>
    </row>
    <row r="276">
      <c r="A276" s="1291">
        <v>269.0</v>
      </c>
      <c r="B276" s="1292">
        <v>567.0</v>
      </c>
      <c r="C276" s="1304" t="s">
        <v>17759</v>
      </c>
      <c r="D276" s="1303" t="str">
        <f>IF(C276="SINAPI",VLOOKUP(B276,'20-A.SINAPI-I'!A:G,2,0),VLOOKUP(B276,'12.COT.MERCADO'!A:I,2,0))</f>
        <v>CANTONEIRA (ABAS IGUAIS) EM ACO CARBONO, 25,4 MM X 3,17 MM (L X E), 1,27KG/M</v>
      </c>
      <c r="E276" s="1305" t="s">
        <v>18393</v>
      </c>
      <c r="F276" s="1296" t="str">
        <f>IF(C276="SINAPI",VLOOKUP(B276,'20-A.SINAPI-I'!A:G,3,0),VLOOKUP(B276,'12.COT.MERCADO'!A:I,7,0))</f>
        <v>M</v>
      </c>
      <c r="G276" s="1306">
        <v>2.0</v>
      </c>
      <c r="H276" s="1298">
        <f>IF(C276="SINAPI",VLOOKUP(B276,'20-A.SINAPI-I'!A:G,4,0),VLOOKUP(B276,'12.COT.MERCADO'!A:I,8,0))</f>
        <v>11.96</v>
      </c>
      <c r="I276" s="1298">
        <f>IF(E276="Mão de Obra",H276*(1+'7. BDI SERVIÇOS'!$K$5),H276*(1+'8. BDI MERO FORNECIMENTO'!$K$5))</f>
        <v>14.00916164</v>
      </c>
      <c r="J276" s="1298">
        <f t="shared" si="1"/>
        <v>23.92</v>
      </c>
      <c r="K276" s="1298">
        <f t="shared" si="2"/>
        <v>28.01832328</v>
      </c>
      <c r="L276" s="1299">
        <f t="shared" si="3"/>
        <v>0.00008985389718</v>
      </c>
      <c r="M276" s="1300">
        <f t="shared" si="5"/>
        <v>0.7306575413</v>
      </c>
      <c r="N276" s="1301" t="str">
        <f t="shared" si="4"/>
        <v>A</v>
      </c>
    </row>
    <row r="277">
      <c r="A277" s="1291">
        <v>270.0</v>
      </c>
      <c r="B277" s="1292">
        <v>142.0</v>
      </c>
      <c r="C277" s="1304" t="s">
        <v>17759</v>
      </c>
      <c r="D277" s="1303" t="str">
        <f>IF(C277="SINAPI",VLOOKUP(B277,'20-A.SINAPI-I'!A:G,2,0),VLOOKUP(B277,'12.COT.MERCADO'!A:I,2,0))</f>
        <v>SELANTE ELASTICO MONOCOMPONENTE A BASE DE POLIURETANO (PU) PARA JUNTAS DIVERSAS</v>
      </c>
      <c r="E277" s="1305" t="s">
        <v>18393</v>
      </c>
      <c r="F277" s="1296" t="str">
        <f>IF(C277="SINAPI",VLOOKUP(B277,'20-A.SINAPI-I'!A:G,3,0),VLOOKUP(B277,'12.COT.MERCADO'!A:I,7,0))</f>
        <v>310ML</v>
      </c>
      <c r="G277" s="1306">
        <v>0.821021</v>
      </c>
      <c r="H277" s="1298">
        <f>IF(C277="SINAPI",VLOOKUP(B277,'20-A.SINAPI-I'!A:G,4,0),VLOOKUP(B277,'12.COT.MERCADO'!A:I,8,0))</f>
        <v>33.52</v>
      </c>
      <c r="I277" s="1298">
        <f>IF(E277="Mão de Obra",H277*(1+'7. BDI SERVIÇOS'!$K$5),H277*(1+'8. BDI MERO FORNECIMENTO'!$K$5))</f>
        <v>39.26313529</v>
      </c>
      <c r="J277" s="1298">
        <f t="shared" si="1"/>
        <v>27.52062392</v>
      </c>
      <c r="K277" s="1298">
        <f t="shared" si="2"/>
        <v>32.2358586</v>
      </c>
      <c r="L277" s="1299">
        <f t="shared" si="3"/>
        <v>0.0001033794027</v>
      </c>
      <c r="M277" s="1300">
        <f t="shared" si="5"/>
        <v>0.7307609207</v>
      </c>
      <c r="N277" s="1301" t="str">
        <f t="shared" si="4"/>
        <v>A</v>
      </c>
    </row>
    <row r="278">
      <c r="A278" s="1291">
        <v>273.0</v>
      </c>
      <c r="B278" s="1292" t="s">
        <v>2001</v>
      </c>
      <c r="C278" s="1304" t="s">
        <v>1785</v>
      </c>
      <c r="D278" s="1302" t="str">
        <f>IF(C278="SINAPI",VLOOKUP(B278,'20-A.SINAPI-I'!A:G,2,0),VLOOKUP(B278,'12.COT.MERCADO'!A:I,2,0))</f>
        <v>CAIXA PLÁSTICA BRANCA PARA BOTÕES SINALEIROS COM UM FURO 22MM. REF. </v>
      </c>
      <c r="E278" s="1305" t="s">
        <v>18393</v>
      </c>
      <c r="F278" s="1296" t="str">
        <f>IF(C278="SINAPI",VLOOKUP(B278,'20-A.SINAPI-I'!A:G,3,0),VLOOKUP(B278,'12.COT.MERCADO'!A:I,7,0))</f>
        <v>UN</v>
      </c>
      <c r="G278" s="1306">
        <v>1.33</v>
      </c>
      <c r="H278" s="1298">
        <f>IF(C278="SINAPI",VLOOKUP(B278,'20-A.SINAPI-I'!A:G,4,0),VLOOKUP(B278,'12.COT.MERCADO'!A:I,8,0))</f>
        <v>19</v>
      </c>
      <c r="I278" s="1298">
        <f>IF(E278="Mão de Obra",H278*(1+'7. BDI SERVIÇOS'!$K$5),H278*(1+'8. BDI MERO FORNECIMENTO'!$K$5))</f>
        <v>22.25535712</v>
      </c>
      <c r="J278" s="1298">
        <f t="shared" si="1"/>
        <v>25.27</v>
      </c>
      <c r="K278" s="1298">
        <f t="shared" si="2"/>
        <v>29.59962497</v>
      </c>
      <c r="L278" s="1299">
        <f t="shared" si="3"/>
        <v>0.00009492508285</v>
      </c>
      <c r="M278" s="1300">
        <f t="shared" si="5"/>
        <v>0.7308558458</v>
      </c>
      <c r="N278" s="1301" t="str">
        <f t="shared" si="4"/>
        <v>A</v>
      </c>
    </row>
    <row r="279">
      <c r="A279" s="1291">
        <v>274.0</v>
      </c>
      <c r="B279" s="1292">
        <v>43459.0</v>
      </c>
      <c r="C279" s="1304" t="s">
        <v>17759</v>
      </c>
      <c r="D279" s="1303" t="str">
        <f>IF(C279="SINAPI",VLOOKUP(B279,'20-A.SINAPI-I'!A:G,2,0),VLOOKUP(B279,'12.COT.MERCADO'!A:I,2,0))</f>
        <v>FERRAMENTAS - FAMILIA CARPINTEIRO DE FORMAS - HORISTA (ENCARGOS COMPLEMENTARES - COLETADO CAIXA)</v>
      </c>
      <c r="E279" s="1305" t="s">
        <v>18393</v>
      </c>
      <c r="F279" s="1296" t="str">
        <f>IF(C279="SINAPI",VLOOKUP(B279,'20-A.SINAPI-I'!A:G,3,0),VLOOKUP(B279,'12.COT.MERCADO'!A:I,7,0))</f>
        <v>H</v>
      </c>
      <c r="G279" s="1306">
        <v>50.768299</v>
      </c>
      <c r="H279" s="1298">
        <f>IF(C279="SINAPI",VLOOKUP(B279,'20-A.SINAPI-I'!A:G,4,0),VLOOKUP(B279,'12.COT.MERCADO'!A:I,8,0))</f>
        <v>0.49</v>
      </c>
      <c r="I279" s="1298">
        <f>IF(E279="Mão de Obra",H279*(1+'7. BDI SERVIÇOS'!$K$5),H279*(1+'8. BDI MERO FORNECIMENTO'!$K$5))</f>
        <v>0.5739539467</v>
      </c>
      <c r="J279" s="1298">
        <f t="shared" si="1"/>
        <v>24.87646651</v>
      </c>
      <c r="K279" s="1298">
        <f t="shared" si="2"/>
        <v>29.13866558</v>
      </c>
      <c r="L279" s="1299">
        <f t="shared" si="3"/>
        <v>0.00009344680033</v>
      </c>
      <c r="M279" s="1300">
        <f t="shared" si="5"/>
        <v>0.7309492926</v>
      </c>
      <c r="N279" s="1301" t="str">
        <f t="shared" si="4"/>
        <v>A</v>
      </c>
    </row>
    <row r="280">
      <c r="A280" s="1291">
        <v>277.0</v>
      </c>
      <c r="B280" s="1292">
        <v>38877.0</v>
      </c>
      <c r="C280" s="1304" t="s">
        <v>17759</v>
      </c>
      <c r="D280" s="1303" t="str">
        <f>IF(C280="SINAPI",VLOOKUP(B280,'20-A.SINAPI-I'!A:G,2,0),VLOOKUP(B280,'12.COT.MERCADO'!A:I,2,0))</f>
        <v>MASSA PREMIUM PARA TEXTURA LISA DE BASE ACRILICA, USO INTERNO E EXTERNO</v>
      </c>
      <c r="E280" s="1305" t="s">
        <v>18393</v>
      </c>
      <c r="F280" s="1296" t="str">
        <f>IF(C280="SINAPI",VLOOKUP(B280,'20-A.SINAPI-I'!A:G,3,0),VLOOKUP(B280,'12.COT.MERCADO'!A:I,7,0))</f>
        <v>KG</v>
      </c>
      <c r="G280" s="1306">
        <v>3.7962</v>
      </c>
      <c r="H280" s="1298">
        <f>IF(C280="SINAPI",VLOOKUP(B280,'20-A.SINAPI-I'!A:G,4,0),VLOOKUP(B280,'12.COT.MERCADO'!A:I,8,0))</f>
        <v>6.57</v>
      </c>
      <c r="I280" s="1298">
        <f>IF(E280="Mão de Obra",H280*(1+'7. BDI SERVIÇOS'!$K$5),H280*(1+'8. BDI MERO FORNECIMENTO'!$K$5))</f>
        <v>7.695668224</v>
      </c>
      <c r="J280" s="1298">
        <f t="shared" si="1"/>
        <v>24.941034</v>
      </c>
      <c r="K280" s="1298">
        <f t="shared" si="2"/>
        <v>29.21429571</v>
      </c>
      <c r="L280" s="1299">
        <f t="shared" si="3"/>
        <v>0.00009368934384</v>
      </c>
      <c r="M280" s="1300">
        <f t="shared" si="5"/>
        <v>0.731042982</v>
      </c>
      <c r="N280" s="1301" t="str">
        <f t="shared" si="4"/>
        <v>A</v>
      </c>
    </row>
    <row r="281">
      <c r="A281" s="1291">
        <v>271.0</v>
      </c>
      <c r="B281" s="1292" t="s">
        <v>1960</v>
      </c>
      <c r="C281" s="1304" t="s">
        <v>1785</v>
      </c>
      <c r="D281" s="1302" t="str">
        <f>IF(C281="SINAPI",VLOOKUP(B281,'20-A.SINAPI-I'!A:G,2,0),VLOOKUP(B281,'12.COT.MERCADO'!A:I,2,0))</f>
        <v>FUSÍVEL NH 00 6A A 125A</v>
      </c>
      <c r="E281" s="1305" t="s">
        <v>18393</v>
      </c>
      <c r="F281" s="1296" t="str">
        <f>IF(C281="SINAPI",VLOOKUP(B281,'20-A.SINAPI-I'!A:G,3,0),VLOOKUP(B281,'12.COT.MERCADO'!A:I,7,0))</f>
        <v>UN</v>
      </c>
      <c r="G281" s="1306">
        <v>1.0</v>
      </c>
      <c r="H281" s="1298">
        <f>IF(C281="SINAPI",VLOOKUP(B281,'20-A.SINAPI-I'!A:G,4,0),VLOOKUP(B281,'12.COT.MERCADO'!A:I,8,0))</f>
        <v>31.5</v>
      </c>
      <c r="I281" s="1298">
        <f>IF(E281="Mão de Obra",H281*(1+'7. BDI SERVIÇOS'!$K$5),H281*(1+'8. BDI MERO FORNECIMENTO'!$K$5))</f>
        <v>36.89703943</v>
      </c>
      <c r="J281" s="1298">
        <f t="shared" si="1"/>
        <v>31.5</v>
      </c>
      <c r="K281" s="1298">
        <f t="shared" si="2"/>
        <v>36.89703943</v>
      </c>
      <c r="L281" s="1299">
        <f t="shared" si="3"/>
        <v>0.0001183276656</v>
      </c>
      <c r="M281" s="1300">
        <f t="shared" si="5"/>
        <v>0.7311613096</v>
      </c>
      <c r="N281" s="1301" t="str">
        <f t="shared" si="4"/>
        <v>A</v>
      </c>
    </row>
    <row r="282">
      <c r="A282" s="1291">
        <v>278.0</v>
      </c>
      <c r="B282" s="1292" t="s">
        <v>1891</v>
      </c>
      <c r="C282" s="1304" t="s">
        <v>1785</v>
      </c>
      <c r="D282" s="1294" t="str">
        <f>IF(C282="SINAPI",VLOOKUP(B282,'20-A.SINAPI-I'!A:G,2,0),VLOOKUP(B282,'12.COT.MERCADO'!A:I,2,0))</f>
        <v>REPARO PARA VÁLVULA DE DESCARGA, COMPLETO</v>
      </c>
      <c r="E282" s="1305" t="s">
        <v>18393</v>
      </c>
      <c r="F282" s="1296" t="str">
        <f>IF(C282="SINAPI",VLOOKUP(B282,'20-A.SINAPI-I'!A:G,3,0),VLOOKUP(B282,'12.COT.MERCADO'!A:I,7,0))</f>
        <v>UN</v>
      </c>
      <c r="G282" s="1306">
        <v>0.33</v>
      </c>
      <c r="H282" s="1298">
        <f>IF(C282="SINAPI",VLOOKUP(B282,'20-A.SINAPI-I'!A:G,4,0),VLOOKUP(B282,'12.COT.MERCADO'!A:I,8,0))</f>
        <v>74.11</v>
      </c>
      <c r="I282" s="1298">
        <f>IF(E282="Mão de Obra",H282*(1+'7. BDI SERVIÇOS'!$K$5),H282*(1+'8. BDI MERO FORNECIMENTO'!$K$5))</f>
        <v>86.8076061</v>
      </c>
      <c r="J282" s="1298">
        <f t="shared" si="1"/>
        <v>24.4563</v>
      </c>
      <c r="K282" s="1298">
        <f t="shared" si="2"/>
        <v>28.64651001</v>
      </c>
      <c r="L282" s="1299">
        <f t="shared" si="3"/>
        <v>0.00009186847264</v>
      </c>
      <c r="M282" s="1300">
        <f t="shared" si="5"/>
        <v>0.7312531781</v>
      </c>
      <c r="N282" s="1301" t="str">
        <f t="shared" si="4"/>
        <v>A</v>
      </c>
    </row>
    <row r="283">
      <c r="A283" s="1291">
        <v>272.0</v>
      </c>
      <c r="B283" s="1292">
        <v>38099.0</v>
      </c>
      <c r="C283" s="1304" t="s">
        <v>17759</v>
      </c>
      <c r="D283" s="1303" t="str">
        <f>IF(C283="SINAPI",VLOOKUP(B283,'20-A.SINAPI-I'!A:G,2,0),VLOOKUP(B283,'12.COT.MERCADO'!A:I,2,0))</f>
        <v>SUPORTE DE FIXACAO PARA ESPELHO / PLACA 4" X 2", PARA 3 MODULOS, PARA INSTALACAO DE TOMADAS E INTERRUPTORES (SOMENTE SUPORTE)</v>
      </c>
      <c r="E283" s="1305" t="s">
        <v>18393</v>
      </c>
      <c r="F283" s="1296" t="str">
        <f>IF(C283="SINAPI",VLOOKUP(B283,'20-A.SINAPI-I'!A:G,3,0),VLOOKUP(B283,'12.COT.MERCADO'!A:I,7,0))</f>
        <v>UN</v>
      </c>
      <c r="G283" s="1306">
        <v>12.33</v>
      </c>
      <c r="H283" s="1298">
        <f>IF(C283="SINAPI",VLOOKUP(B283,'20-A.SINAPI-I'!A:G,4,0),VLOOKUP(B283,'12.COT.MERCADO'!A:I,8,0))</f>
        <v>1.63</v>
      </c>
      <c r="I283" s="1298">
        <f>IF(E283="Mão de Obra",H283*(1+'7. BDI SERVIÇOS'!$K$5),H283*(1+'8. BDI MERO FORNECIMENTO'!$K$5))</f>
        <v>1.909275374</v>
      </c>
      <c r="J283" s="1298">
        <f t="shared" si="1"/>
        <v>20.0979</v>
      </c>
      <c r="K283" s="1298">
        <f t="shared" si="2"/>
        <v>23.54136536</v>
      </c>
      <c r="L283" s="1299">
        <f t="shared" si="3"/>
        <v>0.00007549643144</v>
      </c>
      <c r="M283" s="1300">
        <f t="shared" si="5"/>
        <v>0.7313286745</v>
      </c>
      <c r="N283" s="1301" t="str">
        <f t="shared" si="4"/>
        <v>A</v>
      </c>
    </row>
    <row r="284">
      <c r="A284" s="1291">
        <v>279.0</v>
      </c>
      <c r="B284" s="1292">
        <v>37758.0</v>
      </c>
      <c r="C284" s="1304" t="s">
        <v>17759</v>
      </c>
      <c r="D284" s="1303" t="str">
        <f>IF(C284="SINAPI",VLOOKUP(B284,'20-A.SINAPI-I'!A:G,2,0),VLOOKUP(B284,'12.COT.MERCADO'!A:I,2,0))</f>
        <v>CAMINHAO TRUCADO, PESO BRUTO TOTAL 23000 KG, CARGA UTIL MAXIMA 15285 KG, DISTANCIA ENTRE EIXOS 4,80 M, POTENCIA 326 CV (INCLUI CABINE E CHASSI, NAO INCLUI CARROCERIA)</v>
      </c>
      <c r="E284" s="1305" t="s">
        <v>18393</v>
      </c>
      <c r="F284" s="1296" t="str">
        <f>IF(C284="SINAPI",VLOOKUP(B284,'20-A.SINAPI-I'!A:G,3,0),VLOOKUP(B284,'12.COT.MERCADO'!A:I,7,0))</f>
        <v>UN</v>
      </c>
      <c r="G284" s="1306">
        <v>3.68E-5</v>
      </c>
      <c r="H284" s="1298">
        <f>IF(C284="SINAPI",VLOOKUP(B284,'20-A.SINAPI-I'!A:G,4,0),VLOOKUP(B284,'12.COT.MERCADO'!A:I,8,0))</f>
        <v>741887.83</v>
      </c>
      <c r="I284" s="1298">
        <f>IF(E284="Mão de Obra",H284*(1+'7. BDI SERVIÇOS'!$K$5),H284*(1+'8. BDI MERO FORNECIMENTO'!$K$5))</f>
        <v>868998.8736</v>
      </c>
      <c r="J284" s="1298">
        <f t="shared" si="1"/>
        <v>27.30147214</v>
      </c>
      <c r="K284" s="1298">
        <f t="shared" si="2"/>
        <v>31.97915855</v>
      </c>
      <c r="L284" s="1299">
        <f t="shared" si="3"/>
        <v>0.0001025561735</v>
      </c>
      <c r="M284" s="1300">
        <f t="shared" si="5"/>
        <v>0.7314312307</v>
      </c>
      <c r="N284" s="1301" t="str">
        <f t="shared" si="4"/>
        <v>A</v>
      </c>
    </row>
    <row r="285">
      <c r="A285" s="1291">
        <v>280.0</v>
      </c>
      <c r="B285" s="1292">
        <v>39995.0</v>
      </c>
      <c r="C285" s="1304" t="s">
        <v>17759</v>
      </c>
      <c r="D285" s="1303" t="str">
        <f>IF(C285="SINAPI",VLOOKUP(B285,'20-A.SINAPI-I'!A:G,2,0),VLOOKUP(B285,'12.COT.MERCADO'!A:I,2,0))</f>
        <v>POLIESTIRENO EXPANDIDO/EPS (ISOPOR), TIPO 2F, BLOCO</v>
      </c>
      <c r="E285" s="1305" t="s">
        <v>18393</v>
      </c>
      <c r="F285" s="1296" t="str">
        <f>IF(C285="SINAPI",VLOOKUP(B285,'20-A.SINAPI-I'!A:G,3,0),VLOOKUP(B285,'12.COT.MERCADO'!A:I,7,0))</f>
        <v>M3</v>
      </c>
      <c r="G285" s="1306">
        <v>0.0480739</v>
      </c>
      <c r="H285" s="1298">
        <f>IF(C285="SINAPI",VLOOKUP(B285,'20-A.SINAPI-I'!A:G,4,0),VLOOKUP(B285,'12.COT.MERCADO'!A:I,8,0))</f>
        <v>655.22</v>
      </c>
      <c r="I285" s="1298">
        <f>IF(E285="Mão de Obra",H285*(1+'7. BDI SERVIÇOS'!$K$5),H285*(1+'8. BDI MERO FORNECIMENTO'!$K$5))</f>
        <v>767.4818469</v>
      </c>
      <c r="J285" s="1298">
        <f t="shared" si="1"/>
        <v>31.49898076</v>
      </c>
      <c r="K285" s="1298">
        <f t="shared" si="2"/>
        <v>36.89584556</v>
      </c>
      <c r="L285" s="1299">
        <f t="shared" si="3"/>
        <v>0.0001183238369</v>
      </c>
      <c r="M285" s="1300">
        <f t="shared" si="5"/>
        <v>0.7315495545</v>
      </c>
      <c r="N285" s="1301" t="str">
        <f t="shared" si="4"/>
        <v>A</v>
      </c>
    </row>
    <row r="286">
      <c r="A286" s="1291">
        <v>281.0</v>
      </c>
      <c r="B286" s="1292">
        <v>11757.0</v>
      </c>
      <c r="C286" s="1304" t="s">
        <v>17759</v>
      </c>
      <c r="D286" s="1303" t="str">
        <f>IF(C286="SINAPI",VLOOKUP(B286,'20-A.SINAPI-I'!A:G,2,0),VLOOKUP(B286,'12.COT.MERCADO'!A:I,2,0))</f>
        <v>SABONETEIRA DE PAREDE EM METAL CROMADO</v>
      </c>
      <c r="E286" s="1305" t="s">
        <v>18393</v>
      </c>
      <c r="F286" s="1296" t="str">
        <f>IF(C286="SINAPI",VLOOKUP(B286,'20-A.SINAPI-I'!A:G,3,0),VLOOKUP(B286,'12.COT.MERCADO'!A:I,7,0))</f>
        <v>UN</v>
      </c>
      <c r="G286" s="1306">
        <v>0.33</v>
      </c>
      <c r="H286" s="1298">
        <f>IF(C286="SINAPI",VLOOKUP(B286,'20-A.SINAPI-I'!A:G,4,0),VLOOKUP(B286,'12.COT.MERCADO'!A:I,8,0))</f>
        <v>73.9</v>
      </c>
      <c r="I286" s="1298">
        <f>IF(E286="Mão de Obra",H286*(1+'7. BDI SERVIÇOS'!$K$5),H286*(1+'8. BDI MERO FORNECIMENTO'!$K$5))</f>
        <v>86.56162584</v>
      </c>
      <c r="J286" s="1298">
        <f t="shared" si="1"/>
        <v>24.387</v>
      </c>
      <c r="K286" s="1298">
        <f t="shared" si="2"/>
        <v>28.56533653</v>
      </c>
      <c r="L286" s="1299">
        <f t="shared" si="3"/>
        <v>0.00009160815178</v>
      </c>
      <c r="M286" s="1300">
        <f t="shared" si="5"/>
        <v>0.7316411627</v>
      </c>
      <c r="N286" s="1301" t="str">
        <f t="shared" si="4"/>
        <v>A</v>
      </c>
    </row>
    <row r="287">
      <c r="A287" s="1291">
        <v>282.0</v>
      </c>
      <c r="B287" s="1292" t="s">
        <v>2029</v>
      </c>
      <c r="C287" s="1304" t="s">
        <v>1785</v>
      </c>
      <c r="D287" s="1302" t="str">
        <f>IF(C287="SINAPI",VLOOKUP(B287,'20-A.SINAPI-I'!A:G,2,0),VLOOKUP(B287,'12.COT.MERCADO'!A:I,2,0))</f>
        <v>KIT DE PROTECAO ARSTOP PARA AR CONDICIONADO, TOMADA PADRAO 2P+T 20 A, COM DISJUNTOR BIPOLAR DIN 20A</v>
      </c>
      <c r="E287" s="1305" t="s">
        <v>18397</v>
      </c>
      <c r="F287" s="1296" t="str">
        <f>IF(C287="SINAPI",VLOOKUP(B287,'20-A.SINAPI-I'!A:G,3,0),VLOOKUP(B287,'12.COT.MERCADO'!A:I,7,0))</f>
        <v>UN</v>
      </c>
      <c r="G287" s="1306">
        <v>0.33</v>
      </c>
      <c r="H287" s="1298">
        <f>IF(C287="SINAPI",VLOOKUP(B287,'20-A.SINAPI-I'!A:G,4,0),VLOOKUP(B287,'12.COT.MERCADO'!A:I,8,0))</f>
        <v>59.8</v>
      </c>
      <c r="I287" s="1298">
        <f>IF(E287="Mão de Obra",H287*(1+'7. BDI SERVIÇOS'!$K$5),H287*(1+'8. BDI MERO FORNECIMENTO'!$K$5))</f>
        <v>70.04580819</v>
      </c>
      <c r="J287" s="1298">
        <f t="shared" si="1"/>
        <v>19.734</v>
      </c>
      <c r="K287" s="1298">
        <f t="shared" si="2"/>
        <v>23.1151167</v>
      </c>
      <c r="L287" s="1299">
        <f t="shared" si="3"/>
        <v>0.00007412946517</v>
      </c>
      <c r="M287" s="1300">
        <f t="shared" si="5"/>
        <v>0.7317152922</v>
      </c>
      <c r="N287" s="1301" t="str">
        <f t="shared" si="4"/>
        <v>A</v>
      </c>
    </row>
    <row r="288">
      <c r="A288" s="1291">
        <v>283.0</v>
      </c>
      <c r="B288" s="1292">
        <v>7568.0</v>
      </c>
      <c r="C288" s="1304" t="s">
        <v>17759</v>
      </c>
      <c r="D288" s="1303" t="str">
        <f>IF(C288="SINAPI",VLOOKUP(B288,'20-A.SINAPI-I'!A:G,2,0),VLOOKUP(B288,'12.COT.MERCADO'!A:I,2,0))</f>
        <v>BUCHA DE NYLON SEM ABA S10, COM PARAFUSO DE 6,10 X 65 MM EM ACO ZINCADO COM ROSCA SOBERBA, CABECA CHATA E FENDA PHILLIPS</v>
      </c>
      <c r="E288" s="1305" t="s">
        <v>18393</v>
      </c>
      <c r="F288" s="1296" t="str">
        <f>IF(C288="SINAPI",VLOOKUP(B288,'20-A.SINAPI-I'!A:G,3,0),VLOOKUP(B288,'12.COT.MERCADO'!A:I,7,0))</f>
        <v>UN</v>
      </c>
      <c r="G288" s="1306">
        <v>21.1956</v>
      </c>
      <c r="H288" s="1298">
        <f>IF(C288="SINAPI",VLOOKUP(B288,'20-A.SINAPI-I'!A:G,4,0),VLOOKUP(B288,'12.COT.MERCADO'!A:I,8,0))</f>
        <v>0.73</v>
      </c>
      <c r="I288" s="1298">
        <f>IF(E288="Mão de Obra",H288*(1+'7. BDI SERVIÇOS'!$K$5),H288*(1+'8. BDI MERO FORNECIMENTO'!$K$5))</f>
        <v>0.8550742471</v>
      </c>
      <c r="J288" s="1298">
        <f t="shared" si="1"/>
        <v>15.472788</v>
      </c>
      <c r="K288" s="1298">
        <f t="shared" si="2"/>
        <v>18.12381171</v>
      </c>
      <c r="L288" s="1299">
        <f t="shared" si="3"/>
        <v>0.00005812250426</v>
      </c>
      <c r="M288" s="1300">
        <f t="shared" si="5"/>
        <v>0.7317734147</v>
      </c>
      <c r="N288" s="1301" t="str">
        <f t="shared" si="4"/>
        <v>A</v>
      </c>
    </row>
    <row r="289">
      <c r="A289" s="1291">
        <v>284.0</v>
      </c>
      <c r="B289" s="1292">
        <v>43677.0</v>
      </c>
      <c r="C289" s="1304" t="s">
        <v>17759</v>
      </c>
      <c r="D289" s="1303" t="str">
        <f>IF(C289="SINAPI",VLOOKUP(B289,'20-A.SINAPI-I'!A:G,2,0),VLOOKUP(B289,'12.COT.MERCADO'!A:I,2,0))</f>
        <v>CHAPA/PAINEL DE MADEIRA COMPENSADA RESINADA (MADEIRITE RESINADO ROSA) PARA FORMA DE CONCRETO, DE 2200 X 1100 MM, E = 20 MM</v>
      </c>
      <c r="E289" s="1305" t="s">
        <v>18393</v>
      </c>
      <c r="F289" s="1296" t="str">
        <f>IF(C289="SINAPI",VLOOKUP(B289,'20-A.SINAPI-I'!A:G,3,0),VLOOKUP(B289,'12.COT.MERCADO'!A:I,7,0))</f>
        <v>M2</v>
      </c>
      <c r="G289" s="1306">
        <v>0.3210238</v>
      </c>
      <c r="H289" s="1298">
        <f>IF(C289="SINAPI",VLOOKUP(B289,'20-A.SINAPI-I'!A:G,4,0),VLOOKUP(B289,'12.COT.MERCADO'!A:I,8,0))</f>
        <v>54.11</v>
      </c>
      <c r="I289" s="1298">
        <f>IF(E289="Mão de Obra",H289*(1+'7. BDI SERVIÇOS'!$K$5),H289*(1+'8. BDI MERO FORNECIMENTO'!$K$5))</f>
        <v>63.3809144</v>
      </c>
      <c r="J289" s="1298">
        <f t="shared" si="1"/>
        <v>17.37059782</v>
      </c>
      <c r="K289" s="1298">
        <f t="shared" si="2"/>
        <v>20.34678199</v>
      </c>
      <c r="L289" s="1299">
        <f t="shared" si="3"/>
        <v>0.00006525150126</v>
      </c>
      <c r="M289" s="1300">
        <f t="shared" si="5"/>
        <v>0.7318386662</v>
      </c>
      <c r="N289" s="1301" t="str">
        <f t="shared" si="4"/>
        <v>A</v>
      </c>
    </row>
    <row r="290">
      <c r="A290" s="1291">
        <v>285.0</v>
      </c>
      <c r="B290" s="1292">
        <v>21092.0</v>
      </c>
      <c r="C290" s="1304" t="s">
        <v>17759</v>
      </c>
      <c r="D290" s="1303" t="str">
        <f>IF(C290="SINAPI",VLOOKUP(B290,'20-A.SINAPI-I'!A:G,2,0),VLOOKUP(B290,'12.COT.MERCADO'!A:I,2,0))</f>
        <v>VALVULA DE RETENCAO VERTICAL, DE BRONZE (PN-16), 1/2", 200 PSI, EXTREMIDADES COM ROSCA</v>
      </c>
      <c r="E290" s="1305" t="s">
        <v>18393</v>
      </c>
      <c r="F290" s="1296" t="str">
        <f>IF(C290="SINAPI",VLOOKUP(B290,'20-A.SINAPI-I'!A:G,3,0),VLOOKUP(B290,'12.COT.MERCADO'!A:I,7,0))</f>
        <v>UN</v>
      </c>
      <c r="G290" s="1306">
        <v>0.33</v>
      </c>
      <c r="H290" s="1298">
        <f>IF(C290="SINAPI",VLOOKUP(B290,'20-A.SINAPI-I'!A:G,4,0),VLOOKUP(B290,'12.COT.MERCADO'!A:I,8,0))</f>
        <v>67.83</v>
      </c>
      <c r="I290" s="1298">
        <f>IF(E290="Mão de Obra",H290*(1+'7. BDI SERVIÇOS'!$K$5),H290*(1+'8. BDI MERO FORNECIMENTO'!$K$5))</f>
        <v>79.45162491</v>
      </c>
      <c r="J290" s="1298">
        <f t="shared" si="1"/>
        <v>22.3839</v>
      </c>
      <c r="K290" s="1298">
        <f t="shared" si="2"/>
        <v>26.21903622</v>
      </c>
      <c r="L290" s="1299">
        <f t="shared" si="3"/>
        <v>0.00008408363917</v>
      </c>
      <c r="M290" s="1300">
        <f t="shared" si="5"/>
        <v>0.7319227498</v>
      </c>
      <c r="N290" s="1301" t="str">
        <f t="shared" si="4"/>
        <v>A</v>
      </c>
    </row>
    <row r="291">
      <c r="A291" s="1291">
        <v>286.0</v>
      </c>
      <c r="B291" s="1292" t="s">
        <v>2012</v>
      </c>
      <c r="C291" s="1304" t="s">
        <v>1785</v>
      </c>
      <c r="D291" s="1302" t="str">
        <f>IF(C291="SINAPI",VLOOKUP(B291,'20-A.SINAPI-I'!A:G,2,0),VLOOKUP(B291,'12.COT.MERCADO'!A:I,2,0))</f>
        <v>LÂMPADA LED BULBO E27, 60W DE POTÊNCIA, BRANCO FRIO</v>
      </c>
      <c r="E291" s="1305" t="s">
        <v>18397</v>
      </c>
      <c r="F291" s="1296" t="str">
        <f>IF(C291="SINAPI",VLOOKUP(B291,'20-A.SINAPI-I'!A:G,3,0),VLOOKUP(B291,'12.COT.MERCADO'!A:I,7,0))</f>
        <v>UN</v>
      </c>
      <c r="G291" s="1306">
        <v>0.33</v>
      </c>
      <c r="H291" s="1298">
        <f>IF(C291="SINAPI",VLOOKUP(B291,'20-A.SINAPI-I'!A:G,4,0),VLOOKUP(B291,'12.COT.MERCADO'!A:I,8,0))</f>
        <v>43.33</v>
      </c>
      <c r="I291" s="1298">
        <f>IF(E291="Mão de Obra",H291*(1+'7. BDI SERVIÇOS'!$K$5),H291*(1+'8. BDI MERO FORNECIMENTO'!$K$5))</f>
        <v>50.75392757</v>
      </c>
      <c r="J291" s="1298">
        <f t="shared" si="1"/>
        <v>14.2989</v>
      </c>
      <c r="K291" s="1298">
        <f t="shared" si="2"/>
        <v>16.7487961</v>
      </c>
      <c r="L291" s="1299">
        <f t="shared" si="3"/>
        <v>0.00005371287167</v>
      </c>
      <c r="M291" s="1300">
        <f t="shared" si="5"/>
        <v>0.7319764627</v>
      </c>
      <c r="N291" s="1301" t="str">
        <f t="shared" si="4"/>
        <v>A</v>
      </c>
    </row>
    <row r="292">
      <c r="A292" s="1291">
        <v>287.0</v>
      </c>
      <c r="B292" s="1292">
        <v>39333.0</v>
      </c>
      <c r="C292" s="1304" t="s">
        <v>17759</v>
      </c>
      <c r="D292" s="1303" t="str">
        <f>IF(C292="SINAPI",VLOOKUP(B292,'20-A.SINAPI-I'!A:G,2,0),VLOOKUP(B292,'12.COT.MERCADO'!A:I,2,0))</f>
        <v>CONDULETE EM PVC, TIPO "E", SEM TAMPA, DE 1/2"</v>
      </c>
      <c r="E292" s="1305" t="s">
        <v>18393</v>
      </c>
      <c r="F292" s="1296" t="str">
        <f>IF(C292="SINAPI",VLOOKUP(B292,'20-A.SINAPI-I'!A:G,3,0),VLOOKUP(B292,'12.COT.MERCADO'!A:I,7,0))</f>
        <v>UN</v>
      </c>
      <c r="G292" s="1306">
        <v>1.33</v>
      </c>
      <c r="H292" s="1298">
        <f>IF(C292="SINAPI",VLOOKUP(B292,'20-A.SINAPI-I'!A:G,4,0),VLOOKUP(B292,'12.COT.MERCADO'!A:I,8,0))</f>
        <v>13.39</v>
      </c>
      <c r="I292" s="1298">
        <f>IF(E292="Mão de Obra",H292*(1+'7. BDI SERVIÇOS'!$K$5),H292*(1+'8. BDI MERO FORNECIMENTO'!$K$5))</f>
        <v>15.68417009</v>
      </c>
      <c r="J292" s="1298">
        <f t="shared" si="1"/>
        <v>17.8087</v>
      </c>
      <c r="K292" s="1298">
        <f t="shared" si="2"/>
        <v>20.85994623</v>
      </c>
      <c r="L292" s="1299">
        <f t="shared" si="3"/>
        <v>0.00006689720312</v>
      </c>
      <c r="M292" s="1300">
        <f t="shared" si="5"/>
        <v>0.7320433599</v>
      </c>
      <c r="N292" s="1301" t="str">
        <f t="shared" si="4"/>
        <v>A</v>
      </c>
    </row>
    <row r="293">
      <c r="A293" s="1291">
        <v>288.0</v>
      </c>
      <c r="B293" s="1292">
        <v>3315.0</v>
      </c>
      <c r="C293" s="1304" t="s">
        <v>17759</v>
      </c>
      <c r="D293" s="1303" t="str">
        <f>IF(C293="SINAPI",VLOOKUP(B293,'20-A.SINAPI-I'!A:G,2,0),VLOOKUP(B293,'12.COT.MERCADO'!A:I,2,0))</f>
        <v>GESSO EM PO PARA REVESTIMENTOS/MOLDURAS/SANCAS E USO GERAL</v>
      </c>
      <c r="E293" s="1305" t="s">
        <v>18393</v>
      </c>
      <c r="F293" s="1296" t="str">
        <f>IF(C293="SINAPI",VLOOKUP(B293,'20-A.SINAPI-I'!A:G,3,0),VLOOKUP(B293,'12.COT.MERCADO'!A:I,7,0))</f>
        <v>KG</v>
      </c>
      <c r="G293" s="1306">
        <v>23.448712</v>
      </c>
      <c r="H293" s="1298">
        <f>IF(C293="SINAPI",VLOOKUP(B293,'20-A.SINAPI-I'!A:G,4,0),VLOOKUP(B293,'12.COT.MERCADO'!A:I,8,0))</f>
        <v>0.77</v>
      </c>
      <c r="I293" s="1298">
        <f>IF(E293="Mão de Obra",H293*(1+'7. BDI SERVIÇOS'!$K$5),H293*(1+'8. BDI MERO FORNECIMENTO'!$K$5))</f>
        <v>0.9019276306</v>
      </c>
      <c r="J293" s="1298">
        <f t="shared" si="1"/>
        <v>18.05550824</v>
      </c>
      <c r="K293" s="1298">
        <f t="shared" si="2"/>
        <v>21.14904125</v>
      </c>
      <c r="L293" s="1299">
        <f t="shared" si="3"/>
        <v>0.00006782432194</v>
      </c>
      <c r="M293" s="1300">
        <f t="shared" si="5"/>
        <v>0.7321111842</v>
      </c>
      <c r="N293" s="1301" t="str">
        <f t="shared" si="4"/>
        <v>A</v>
      </c>
    </row>
    <row r="294">
      <c r="A294" s="1291">
        <v>289.0</v>
      </c>
      <c r="B294" s="1292">
        <v>37596.0</v>
      </c>
      <c r="C294" s="1304" t="s">
        <v>17759</v>
      </c>
      <c r="D294" s="1303" t="str">
        <f>IF(C294="SINAPI",VLOOKUP(B294,'20-A.SINAPI-I'!A:G,2,0),VLOOKUP(B294,'12.COT.MERCADO'!A:I,2,0))</f>
        <v>ARGAMASSA COLANTE TIPO AC III E</v>
      </c>
      <c r="E294" s="1305" t="s">
        <v>18393</v>
      </c>
      <c r="F294" s="1296" t="str">
        <f>IF(C294="SINAPI",VLOOKUP(B294,'20-A.SINAPI-I'!A:G,3,0),VLOOKUP(B294,'12.COT.MERCADO'!A:I,7,0))</f>
        <v>KG</v>
      </c>
      <c r="G294" s="1306">
        <v>6.9129</v>
      </c>
      <c r="H294" s="1298">
        <f>IF(C294="SINAPI",VLOOKUP(B294,'20-A.SINAPI-I'!A:G,4,0),VLOOKUP(B294,'12.COT.MERCADO'!A:I,8,0))</f>
        <v>2.57</v>
      </c>
      <c r="I294" s="1298">
        <f>IF(E294="Mão de Obra",H294*(1+'7. BDI SERVIÇOS'!$K$5),H294*(1+'8. BDI MERO FORNECIMENTO'!$K$5))</f>
        <v>3.010329884</v>
      </c>
      <c r="J294" s="1298">
        <f t="shared" si="1"/>
        <v>17.766153</v>
      </c>
      <c r="K294" s="1298">
        <f t="shared" si="2"/>
        <v>20.81010945</v>
      </c>
      <c r="L294" s="1299">
        <f t="shared" si="3"/>
        <v>0.00006673737813</v>
      </c>
      <c r="M294" s="1300">
        <f t="shared" si="5"/>
        <v>0.7321779216</v>
      </c>
      <c r="N294" s="1301" t="str">
        <f t="shared" si="4"/>
        <v>A</v>
      </c>
    </row>
    <row r="295">
      <c r="A295" s="1291">
        <v>290.0</v>
      </c>
      <c r="B295" s="1292">
        <v>1872.0</v>
      </c>
      <c r="C295" s="1304" t="s">
        <v>17759</v>
      </c>
      <c r="D295" s="1303" t="str">
        <f>IF(C295="SINAPI",VLOOKUP(B295,'20-A.SINAPI-I'!A:G,2,0),VLOOKUP(B295,'12.COT.MERCADO'!A:I,2,0))</f>
        <v>CAIXA DE PASSAGEM, EM PVC, DE 4" X 2", PARA ELETRODUTO FLEXIVEL CORRUGADO</v>
      </c>
      <c r="E295" s="1305" t="s">
        <v>18393</v>
      </c>
      <c r="F295" s="1296" t="str">
        <f>IF(C295="SINAPI",VLOOKUP(B295,'20-A.SINAPI-I'!A:G,3,0),VLOOKUP(B295,'12.COT.MERCADO'!A:I,7,0))</f>
        <v>UN</v>
      </c>
      <c r="G295" s="1306">
        <v>5.0</v>
      </c>
      <c r="H295" s="1298">
        <f>IF(C295="SINAPI",VLOOKUP(B295,'20-A.SINAPI-I'!A:G,4,0),VLOOKUP(B295,'12.COT.MERCADO'!A:I,8,0))</f>
        <v>3.34</v>
      </c>
      <c r="I295" s="1298">
        <f>IF(E295="Mão de Obra",H295*(1+'7. BDI SERVIÇOS'!$K$5),H295*(1+'8. BDI MERO FORNECIMENTO'!$K$5))</f>
        <v>3.912257514</v>
      </c>
      <c r="J295" s="1298">
        <f t="shared" si="1"/>
        <v>16.7</v>
      </c>
      <c r="K295" s="1298">
        <f t="shared" si="2"/>
        <v>19.56128757</v>
      </c>
      <c r="L295" s="1299">
        <f t="shared" si="3"/>
        <v>0.00006273244494</v>
      </c>
      <c r="M295" s="1300">
        <f t="shared" si="5"/>
        <v>0.732240654</v>
      </c>
      <c r="N295" s="1301" t="str">
        <f t="shared" si="4"/>
        <v>A</v>
      </c>
    </row>
    <row r="296">
      <c r="A296" s="1291">
        <v>291.0</v>
      </c>
      <c r="B296" s="1292">
        <v>20078.0</v>
      </c>
      <c r="C296" s="1304" t="s">
        <v>17759</v>
      </c>
      <c r="D296" s="1303" t="str">
        <f>IF(C296="SINAPI",VLOOKUP(B296,'20-A.SINAPI-I'!A:G,2,0),VLOOKUP(B296,'12.COT.MERCADO'!A:I,2,0))</f>
        <v>PASTA LUBRIFICANTE PARA TUBOS E CONEXOES COM JUNTA ELASTICA, EMBALAGEM DE *400* GR (USO EM PVC, ACO, POLIETILENO E OUTROS)</v>
      </c>
      <c r="E296" s="1305" t="s">
        <v>18393</v>
      </c>
      <c r="F296" s="1296" t="str">
        <f>IF(C296="SINAPI",VLOOKUP(B296,'20-A.SINAPI-I'!A:G,3,0),VLOOKUP(B296,'12.COT.MERCADO'!A:I,7,0))</f>
        <v>UN</v>
      </c>
      <c r="G296" s="1306">
        <v>0.5303435</v>
      </c>
      <c r="H296" s="1298">
        <f>IF(C296="SINAPI",VLOOKUP(B296,'20-A.SINAPI-I'!A:G,4,0),VLOOKUP(B296,'12.COT.MERCADO'!A:I,8,0))</f>
        <v>28.8</v>
      </c>
      <c r="I296" s="1298">
        <f>IF(E296="Mão de Obra",H296*(1+'7. BDI SERVIÇOS'!$K$5),H296*(1+'8. BDI MERO FORNECIMENTO'!$K$5))</f>
        <v>33.73443605</v>
      </c>
      <c r="J296" s="1298">
        <f t="shared" si="1"/>
        <v>15.2738928</v>
      </c>
      <c r="K296" s="1298">
        <f t="shared" si="2"/>
        <v>17.89083889</v>
      </c>
      <c r="L296" s="1299">
        <f t="shared" si="3"/>
        <v>0.00005737536761</v>
      </c>
      <c r="M296" s="1300">
        <f t="shared" si="5"/>
        <v>0.7322980294</v>
      </c>
      <c r="N296" s="1301" t="str">
        <f t="shared" si="4"/>
        <v>A</v>
      </c>
    </row>
    <row r="297">
      <c r="A297" s="1291">
        <v>292.0</v>
      </c>
      <c r="B297" s="1292">
        <v>43132.0</v>
      </c>
      <c r="C297" s="1304" t="s">
        <v>17759</v>
      </c>
      <c r="D297" s="1303" t="str">
        <f>IF(C297="SINAPI",VLOOKUP(B297,'20-A.SINAPI-I'!A:G,2,0),VLOOKUP(B297,'12.COT.MERCADO'!A:I,2,0))</f>
        <v>ARAME RECOZIDO 16 BWG, D = 1,65 MM (0,016 KG/M) OU 18 BWG, D = 1,25 MM (0,01 KG/M)</v>
      </c>
      <c r="E297" s="1305" t="s">
        <v>18393</v>
      </c>
      <c r="F297" s="1296" t="str">
        <f>IF(C297="SINAPI",VLOOKUP(B297,'20-A.SINAPI-I'!A:G,3,0),VLOOKUP(B297,'12.COT.MERCADO'!A:I,7,0))</f>
        <v>KG</v>
      </c>
      <c r="G297" s="1306">
        <v>0.6526874</v>
      </c>
      <c r="H297" s="1298">
        <f>IF(C297="SINAPI",VLOOKUP(B297,'20-A.SINAPI-I'!A:G,4,0),VLOOKUP(B297,'12.COT.MERCADO'!A:I,8,0))</f>
        <v>27.75</v>
      </c>
      <c r="I297" s="1298">
        <f>IF(E297="Mão de Obra",H297*(1+'7. BDI SERVIÇOS'!$K$5),H297*(1+'8. BDI MERO FORNECIMENTO'!$K$5))</f>
        <v>32.50453474</v>
      </c>
      <c r="J297" s="1298">
        <f t="shared" si="1"/>
        <v>18.11207535</v>
      </c>
      <c r="K297" s="1298">
        <f t="shared" si="2"/>
        <v>21.21530027</v>
      </c>
      <c r="L297" s="1299">
        <f t="shared" si="3"/>
        <v>0.00006803681255</v>
      </c>
      <c r="M297" s="1300">
        <f t="shared" si="5"/>
        <v>0.7323660662</v>
      </c>
      <c r="N297" s="1301" t="str">
        <f t="shared" si="4"/>
        <v>A</v>
      </c>
    </row>
    <row r="298">
      <c r="A298" s="1291">
        <v>293.0</v>
      </c>
      <c r="B298" s="1292">
        <v>4376.0</v>
      </c>
      <c r="C298" s="1304" t="s">
        <v>17759</v>
      </c>
      <c r="D298" s="1303" t="str">
        <f>IF(C298="SINAPI",VLOOKUP(B298,'20-A.SINAPI-I'!A:G,2,0),VLOOKUP(B298,'12.COT.MERCADO'!A:I,2,0))</f>
        <v>BUCHA DE NYLON SEM ABA S8</v>
      </c>
      <c r="E298" s="1305" t="s">
        <v>18393</v>
      </c>
      <c r="F298" s="1296" t="str">
        <f>IF(C298="SINAPI",VLOOKUP(B298,'20-A.SINAPI-I'!A:G,3,0),VLOOKUP(B298,'12.COT.MERCADO'!A:I,7,0))</f>
        <v>UN</v>
      </c>
      <c r="G298" s="1306">
        <v>57.0</v>
      </c>
      <c r="H298" s="1298">
        <f>IF(C298="SINAPI",VLOOKUP(B298,'20-A.SINAPI-I'!A:G,4,0),VLOOKUP(B298,'12.COT.MERCADO'!A:I,8,0))</f>
        <v>0.23</v>
      </c>
      <c r="I298" s="1298">
        <f>IF(E298="Mão de Obra",H298*(1+'7. BDI SERVIÇOS'!$K$5),H298*(1+'8. BDI MERO FORNECIMENTO'!$K$5))</f>
        <v>0.2694069546</v>
      </c>
      <c r="J298" s="1298">
        <f t="shared" si="1"/>
        <v>13.11</v>
      </c>
      <c r="K298" s="1298">
        <f t="shared" si="2"/>
        <v>15.35619641</v>
      </c>
      <c r="L298" s="1299">
        <f t="shared" si="3"/>
        <v>0.00004924684749</v>
      </c>
      <c r="M298" s="1300">
        <f t="shared" si="5"/>
        <v>0.732415313</v>
      </c>
      <c r="N298" s="1301" t="str">
        <f t="shared" si="4"/>
        <v>A</v>
      </c>
    </row>
    <row r="299">
      <c r="A299" s="1291">
        <v>302.0</v>
      </c>
      <c r="B299" s="1292">
        <v>4760.0</v>
      </c>
      <c r="C299" s="1304" t="s">
        <v>17759</v>
      </c>
      <c r="D299" s="1303" t="str">
        <f>IF(C299="SINAPI",VLOOKUP(B299,'20-A.SINAPI-I'!A:G,2,0),VLOOKUP(B299,'12.COT.MERCADO'!A:I,2,0))</f>
        <v>AZULEJISTA OU LADRILHEIRO (HORISTA)</v>
      </c>
      <c r="E299" s="1305" t="s">
        <v>18394</v>
      </c>
      <c r="F299" s="1296" t="str">
        <f>IF(C299="SINAPI",VLOOKUP(B299,'20-A.SINAPI-I'!A:G,3,0),VLOOKUP(B299,'12.COT.MERCADO'!A:I,7,0))</f>
        <v>H</v>
      </c>
      <c r="G299" s="1306">
        <v>0.6998856</v>
      </c>
      <c r="H299" s="1298">
        <f>IF(C299="SINAPI",VLOOKUP(B299,'20-A.SINAPI-I'!A:G,4,0),VLOOKUP(B299,'12.COT.MERCADO'!A:I,8,0))</f>
        <v>20.82</v>
      </c>
      <c r="I299" s="1298">
        <f>IF(E299="Mão de Obra",H299*(1+'7. BDI SERVIÇOS'!$K$5),H299*(1+'8. BDI MERO FORNECIMENTO'!$K$5))</f>
        <v>24.44107624</v>
      </c>
      <c r="J299" s="1298">
        <f t="shared" si="1"/>
        <v>14.57161819</v>
      </c>
      <c r="K299" s="1298">
        <f t="shared" si="2"/>
        <v>17.10595731</v>
      </c>
      <c r="L299" s="1299">
        <f t="shared" si="3"/>
        <v>0.00005485827663</v>
      </c>
      <c r="M299" s="1300">
        <f t="shared" si="5"/>
        <v>0.7324701713</v>
      </c>
      <c r="N299" s="1301" t="str">
        <f t="shared" si="4"/>
        <v>A</v>
      </c>
    </row>
    <row r="300">
      <c r="A300" s="1291">
        <v>294.0</v>
      </c>
      <c r="B300" s="1292">
        <v>6085.0</v>
      </c>
      <c r="C300" s="1304" t="s">
        <v>17759</v>
      </c>
      <c r="D300" s="1303" t="str">
        <f>IF(C300="SINAPI",VLOOKUP(B300,'20-A.SINAPI-I'!A:G,2,0),VLOOKUP(B300,'12.COT.MERCADO'!A:I,2,0))</f>
        <v>SELADOR ACRILICO OPACO PREMIUM INTERIOR/EXTERIOR</v>
      </c>
      <c r="E300" s="1305" t="s">
        <v>18393</v>
      </c>
      <c r="F300" s="1296" t="str">
        <f>IF(C300="SINAPI",VLOOKUP(B300,'20-A.SINAPI-I'!A:G,3,0),VLOOKUP(B300,'12.COT.MERCADO'!A:I,7,0))</f>
        <v>L</v>
      </c>
      <c r="G300" s="1306">
        <v>1.6</v>
      </c>
      <c r="H300" s="1298">
        <f>IF(C300="SINAPI",VLOOKUP(B300,'20-A.SINAPI-I'!A:G,4,0),VLOOKUP(B300,'12.COT.MERCADO'!A:I,8,0))</f>
        <v>10.14</v>
      </c>
      <c r="I300" s="1298">
        <f>IF(E300="Mão de Obra",H300*(1+'7. BDI SERVIÇOS'!$K$5),H300*(1+'8. BDI MERO FORNECIMENTO'!$K$5))</f>
        <v>11.87733269</v>
      </c>
      <c r="J300" s="1298">
        <f t="shared" si="1"/>
        <v>16.224</v>
      </c>
      <c r="K300" s="1298">
        <f t="shared" si="2"/>
        <v>19.00373231</v>
      </c>
      <c r="L300" s="1299">
        <f t="shared" si="3"/>
        <v>0.00006094438243</v>
      </c>
      <c r="M300" s="1300">
        <f t="shared" si="5"/>
        <v>0.7325311157</v>
      </c>
      <c r="N300" s="1301" t="str">
        <f t="shared" si="4"/>
        <v>A</v>
      </c>
    </row>
    <row r="301">
      <c r="A301" s="1291">
        <v>296.0</v>
      </c>
      <c r="B301" s="1292">
        <v>12216.0</v>
      </c>
      <c r="C301" s="1304" t="s">
        <v>17759</v>
      </c>
      <c r="D301" s="1303" t="str">
        <f>IF(C301="SINAPI",VLOOKUP(B301,'20-A.SINAPI-I'!A:G,2,0),VLOOKUP(B301,'12.COT.MERCADO'!A:I,2,0))</f>
        <v>LAMPADA VAPOR DE SODIO OVOIDE 150 W (BASE E40)</v>
      </c>
      <c r="E301" s="1305" t="s">
        <v>18393</v>
      </c>
      <c r="F301" s="1296" t="str">
        <f>IF(C301="SINAPI",VLOOKUP(B301,'20-A.SINAPI-I'!A:G,3,0),VLOOKUP(B301,'12.COT.MERCADO'!A:I,7,0))</f>
        <v>UN</v>
      </c>
      <c r="G301" s="1306">
        <v>0.33</v>
      </c>
      <c r="H301" s="1298">
        <f>IF(C301="SINAPI",VLOOKUP(B301,'20-A.SINAPI-I'!A:G,4,0),VLOOKUP(B301,'12.COT.MERCADO'!A:I,8,0))</f>
        <v>51.89</v>
      </c>
      <c r="I301" s="1298">
        <f>IF(E301="Mão de Obra",H301*(1+'7. BDI SERVIÇOS'!$K$5),H301*(1+'8. BDI MERO FORNECIMENTO'!$K$5))</f>
        <v>60.78055162</v>
      </c>
      <c r="J301" s="1298">
        <f t="shared" si="1"/>
        <v>17.1237</v>
      </c>
      <c r="K301" s="1298">
        <f t="shared" si="2"/>
        <v>20.05758204</v>
      </c>
      <c r="L301" s="1299">
        <f t="shared" si="3"/>
        <v>0.00006432404595</v>
      </c>
      <c r="M301" s="1300">
        <f t="shared" si="5"/>
        <v>0.7325954398</v>
      </c>
      <c r="N301" s="1301" t="str">
        <f t="shared" si="4"/>
        <v>A</v>
      </c>
    </row>
    <row r="302">
      <c r="A302" s="1291">
        <v>295.0</v>
      </c>
      <c r="B302" s="1292" t="s">
        <v>1997</v>
      </c>
      <c r="C302" s="1304" t="s">
        <v>1785</v>
      </c>
      <c r="D302" s="1302" t="str">
        <f>IF(C302="SINAPI",VLOOKUP(B302,'20-A.SINAPI-I'!A:G,2,0),VLOOKUP(B302,'12.COT.MERCADO'!A:I,2,0))</f>
        <v>GRELHA REDONDA BRANCA PARA RALO DIÂMETRO DE 100MM</v>
      </c>
      <c r="E302" s="1305" t="s">
        <v>18393</v>
      </c>
      <c r="F302" s="1296" t="str">
        <f>IF(C302="SINAPI",VLOOKUP(B302,'20-A.SINAPI-I'!A:G,3,0),VLOOKUP(B302,'12.COT.MERCADO'!A:I,7,0))</f>
        <v>UN</v>
      </c>
      <c r="G302" s="1306">
        <v>2.33</v>
      </c>
      <c r="H302" s="1298">
        <f>IF(C302="SINAPI",VLOOKUP(B302,'20-A.SINAPI-I'!A:G,4,0),VLOOKUP(B302,'12.COT.MERCADO'!A:I,8,0))</f>
        <v>5.9</v>
      </c>
      <c r="I302" s="1298">
        <f>IF(E302="Mão de Obra",H302*(1+'7. BDI SERVIÇOS'!$K$5),H302*(1+'8. BDI MERO FORNECIMENTO'!$K$5))</f>
        <v>6.910874052</v>
      </c>
      <c r="J302" s="1298">
        <f t="shared" si="1"/>
        <v>13.747</v>
      </c>
      <c r="K302" s="1298">
        <f t="shared" si="2"/>
        <v>16.10233654</v>
      </c>
      <c r="L302" s="1299">
        <f t="shared" si="3"/>
        <v>0.00005163969584</v>
      </c>
      <c r="M302" s="1300">
        <f t="shared" si="5"/>
        <v>0.7326470794</v>
      </c>
      <c r="N302" s="1301" t="str">
        <f t="shared" si="4"/>
        <v>A</v>
      </c>
    </row>
    <row r="303">
      <c r="A303" s="1291">
        <v>298.0</v>
      </c>
      <c r="B303" s="1292">
        <v>11267.0</v>
      </c>
      <c r="C303" s="1304" t="s">
        <v>17759</v>
      </c>
      <c r="D303" s="1303" t="str">
        <f>IF(C303="SINAPI",VLOOKUP(B303,'20-A.SINAPI-I'!A:G,2,0),VLOOKUP(B303,'12.COT.MERCADO'!A:I,2,0))</f>
        <v>ARRUELA LISA, REDONDA, DE LATAO POLIDO, DIAMETRO NOMINAL 5/8", DIAMETRO EXTERNO = 34 MM, DIAMETRO DO FURO = 17 MM, ESPESSURA = *2,5* MM</v>
      </c>
      <c r="E303" s="1305" t="s">
        <v>18393</v>
      </c>
      <c r="F303" s="1296" t="str">
        <f>IF(C303="SINAPI",VLOOKUP(B303,'20-A.SINAPI-I'!A:G,3,0),VLOOKUP(B303,'12.COT.MERCADO'!A:I,7,0))</f>
        <v>UN</v>
      </c>
      <c r="G303" s="1306">
        <v>13.34</v>
      </c>
      <c r="H303" s="1298">
        <f>IF(C303="SINAPI",VLOOKUP(B303,'20-A.SINAPI-I'!A:G,4,0),VLOOKUP(B303,'12.COT.MERCADO'!A:I,8,0))</f>
        <v>1.56</v>
      </c>
      <c r="I303" s="1298">
        <f>IF(E303="Mão de Obra",H303*(1+'7. BDI SERVIÇOS'!$K$5),H303*(1+'8. BDI MERO FORNECIMENTO'!$K$5))</f>
        <v>1.827281953</v>
      </c>
      <c r="J303" s="1298">
        <f t="shared" si="1"/>
        <v>20.8104</v>
      </c>
      <c r="K303" s="1298">
        <f t="shared" si="2"/>
        <v>24.37594125</v>
      </c>
      <c r="L303" s="1299">
        <f t="shared" si="3"/>
        <v>0.00007817289054</v>
      </c>
      <c r="M303" s="1300">
        <f t="shared" si="5"/>
        <v>0.7327252523</v>
      </c>
      <c r="N303" s="1301" t="str">
        <f t="shared" si="4"/>
        <v>A</v>
      </c>
    </row>
    <row r="304">
      <c r="A304" s="1291">
        <v>299.0</v>
      </c>
      <c r="B304" s="1292">
        <v>12815.0</v>
      </c>
      <c r="C304" s="1304" t="s">
        <v>17759</v>
      </c>
      <c r="D304" s="1303" t="str">
        <f>IF(C304="SINAPI",VLOOKUP(B304,'20-A.SINAPI-I'!A:G,2,0),VLOOKUP(B304,'12.COT.MERCADO'!A:I,2,0))</f>
        <v>FITA CREPE ROLO DE 25 MM X 50 M</v>
      </c>
      <c r="E304" s="1305" t="s">
        <v>18393</v>
      </c>
      <c r="F304" s="1296" t="str">
        <f>IF(C304="SINAPI",VLOOKUP(B304,'20-A.SINAPI-I'!A:G,3,0),VLOOKUP(B304,'12.COT.MERCADO'!A:I,7,0))</f>
        <v>UN</v>
      </c>
      <c r="G304" s="1306">
        <v>1.9</v>
      </c>
      <c r="H304" s="1298">
        <f>IF(C304="SINAPI",VLOOKUP(B304,'20-A.SINAPI-I'!A:G,4,0),VLOOKUP(B304,'12.COT.MERCADO'!A:I,8,0))</f>
        <v>8.72</v>
      </c>
      <c r="I304" s="1298">
        <f>IF(E304="Mão de Obra",H304*(1+'7. BDI SERVIÇOS'!$K$5),H304*(1+'8. BDI MERO FORNECIMENTO'!$K$5))</f>
        <v>10.21403758</v>
      </c>
      <c r="J304" s="1298">
        <f t="shared" si="1"/>
        <v>16.568</v>
      </c>
      <c r="K304" s="1298">
        <f t="shared" si="2"/>
        <v>19.40667141</v>
      </c>
      <c r="L304" s="1299">
        <f t="shared" si="3"/>
        <v>0.00006223659567</v>
      </c>
      <c r="M304" s="1300">
        <f t="shared" si="5"/>
        <v>0.7327874889</v>
      </c>
      <c r="N304" s="1301" t="str">
        <f t="shared" si="4"/>
        <v>A</v>
      </c>
    </row>
    <row r="305">
      <c r="A305" s="1291">
        <v>300.0</v>
      </c>
      <c r="B305" s="1292">
        <v>39434.0</v>
      </c>
      <c r="C305" s="1304" t="s">
        <v>17759</v>
      </c>
      <c r="D305" s="1303" t="str">
        <f>IF(C305="SINAPI",VLOOKUP(B305,'20-A.SINAPI-I'!A:G,2,0),VLOOKUP(B305,'12.COT.MERCADO'!A:I,2,0))</f>
        <v>MASSA DE REJUNTE EM PO PARA DRYWALL, A BASE DE GESSO, SECAGEM RAPIDA, PARA TRATAMENTO DE JUNTAS DE CHAPA DE GESSO (NECESSITA ADICAO DE AGUA)</v>
      </c>
      <c r="E305" s="1305" t="s">
        <v>18393</v>
      </c>
      <c r="F305" s="1296" t="str">
        <f>IF(C305="SINAPI",VLOOKUP(B305,'20-A.SINAPI-I'!A:G,3,0),VLOOKUP(B305,'12.COT.MERCADO'!A:I,7,0))</f>
        <v>KG</v>
      </c>
      <c r="G305" s="1306">
        <v>4.481918</v>
      </c>
      <c r="H305" s="1298">
        <f>IF(C305="SINAPI",VLOOKUP(B305,'20-A.SINAPI-I'!A:G,4,0),VLOOKUP(B305,'12.COT.MERCADO'!A:I,8,0))</f>
        <v>3.38</v>
      </c>
      <c r="I305" s="1298">
        <f>IF(E305="Mão de Obra",H305*(1+'7. BDI SERVIÇOS'!$K$5),H305*(1+'8. BDI MERO FORNECIMENTO'!$K$5))</f>
        <v>3.959110898</v>
      </c>
      <c r="J305" s="1298">
        <f t="shared" si="1"/>
        <v>15.14888284</v>
      </c>
      <c r="K305" s="1298">
        <f t="shared" si="2"/>
        <v>17.7444104</v>
      </c>
      <c r="L305" s="1299">
        <f t="shared" si="3"/>
        <v>0.00005690577596</v>
      </c>
      <c r="M305" s="1300">
        <f t="shared" si="5"/>
        <v>0.7328443947</v>
      </c>
      <c r="N305" s="1301" t="str">
        <f t="shared" si="4"/>
        <v>A</v>
      </c>
    </row>
    <row r="306">
      <c r="A306" s="1291">
        <v>301.0</v>
      </c>
      <c r="B306" s="1292">
        <v>7588.0</v>
      </c>
      <c r="C306" s="1304" t="s">
        <v>17759</v>
      </c>
      <c r="D306" s="1303" t="str">
        <f>IF(C306="SINAPI",VLOOKUP(B306,'20-A.SINAPI-I'!A:G,2,0),VLOOKUP(B306,'12.COT.MERCADO'!A:I,2,0))</f>
        <v>AUTOMATICO DE BOIA SUPERIOR / INFERIOR, *15* A / 250 V</v>
      </c>
      <c r="E306" s="1305" t="s">
        <v>18393</v>
      </c>
      <c r="F306" s="1296" t="str">
        <f>IF(C306="SINAPI",VLOOKUP(B306,'20-A.SINAPI-I'!A:G,3,0),VLOOKUP(B306,'12.COT.MERCADO'!A:I,7,0))</f>
        <v>UN</v>
      </c>
      <c r="G306" s="1306">
        <v>0.33</v>
      </c>
      <c r="H306" s="1298">
        <f>IF(C306="SINAPI",VLOOKUP(B306,'20-A.SINAPI-I'!A:G,4,0),VLOOKUP(B306,'12.COT.MERCADO'!A:I,8,0))</f>
        <v>39.6</v>
      </c>
      <c r="I306" s="1298">
        <f>IF(E306="Mão de Obra",H306*(1+'7. BDI SERVIÇOS'!$K$5),H306*(1+'8. BDI MERO FORNECIMENTO'!$K$5))</f>
        <v>46.38484957</v>
      </c>
      <c r="J306" s="1298">
        <f t="shared" si="1"/>
        <v>13.068</v>
      </c>
      <c r="K306" s="1298">
        <f t="shared" si="2"/>
        <v>15.30700036</v>
      </c>
      <c r="L306" s="1299">
        <f t="shared" si="3"/>
        <v>0.00004908907727</v>
      </c>
      <c r="M306" s="1300">
        <f t="shared" si="5"/>
        <v>0.7328934838</v>
      </c>
      <c r="N306" s="1301" t="str">
        <f t="shared" si="4"/>
        <v>A</v>
      </c>
    </row>
    <row r="307">
      <c r="A307" s="1291">
        <v>311.0</v>
      </c>
      <c r="B307" s="1292">
        <v>1106.0</v>
      </c>
      <c r="C307" s="1304" t="s">
        <v>17759</v>
      </c>
      <c r="D307" s="1303" t="str">
        <f>IF(C307="SINAPI",VLOOKUP(B307,'20-A.SINAPI-I'!A:G,2,0),VLOOKUP(B307,'12.COT.MERCADO'!A:I,2,0))</f>
        <v>CAL HIDRATADA CH-I PARA ARGAMASSAS</v>
      </c>
      <c r="E307" s="1305" t="s">
        <v>18394</v>
      </c>
      <c r="F307" s="1296" t="str">
        <f>IF(C307="SINAPI",VLOOKUP(B307,'20-A.SINAPI-I'!A:G,3,0),VLOOKUP(B307,'12.COT.MERCADO'!A:I,7,0))</f>
        <v>KG</v>
      </c>
      <c r="G307" s="1306">
        <v>21.0928137</v>
      </c>
      <c r="H307" s="1298">
        <f>IF(C307="SINAPI",VLOOKUP(B307,'20-A.SINAPI-I'!A:G,4,0),VLOOKUP(B307,'12.COT.MERCADO'!A:I,8,0))</f>
        <v>0.83</v>
      </c>
      <c r="I307" s="1298">
        <f>IF(E307="Mão de Obra",H307*(1+'7. BDI SERVIÇOS'!$K$5),H307*(1+'8. BDI MERO FORNECIMENTO'!$K$5))</f>
        <v>0.9743560651</v>
      </c>
      <c r="J307" s="1298">
        <f t="shared" si="1"/>
        <v>17.50703537</v>
      </c>
      <c r="K307" s="1298">
        <f t="shared" si="2"/>
        <v>20.55191096</v>
      </c>
      <c r="L307" s="1299">
        <f t="shared" si="3"/>
        <v>0.00006590934353</v>
      </c>
      <c r="M307" s="1300">
        <f t="shared" si="5"/>
        <v>0.7329593931</v>
      </c>
      <c r="N307" s="1301" t="str">
        <f t="shared" si="4"/>
        <v>A</v>
      </c>
    </row>
    <row r="308">
      <c r="A308" s="1291">
        <v>303.0</v>
      </c>
      <c r="B308" s="1292">
        <v>43461.0</v>
      </c>
      <c r="C308" s="1304" t="s">
        <v>17759</v>
      </c>
      <c r="D308" s="1303" t="str">
        <f>IF(C308="SINAPI",VLOOKUP(B308,'20-A.SINAPI-I'!A:G,2,0),VLOOKUP(B308,'12.COT.MERCADO'!A:I,2,0))</f>
        <v>FERRAMENTAS - FAMILIA ENCANADOR - HORISTA (ENCARGOS COMPLEMENTARES - COLETADO CAIXA)</v>
      </c>
      <c r="E308" s="1305" t="s">
        <v>18393</v>
      </c>
      <c r="F308" s="1296" t="str">
        <f>IF(C308="SINAPI",VLOOKUP(B308,'20-A.SINAPI-I'!A:G,3,0),VLOOKUP(B308,'12.COT.MERCADO'!A:I,7,0))</f>
        <v>H</v>
      </c>
      <c r="G308" s="1306">
        <v>46.3747319</v>
      </c>
      <c r="H308" s="1298">
        <f>IF(C308="SINAPI",VLOOKUP(B308,'20-A.SINAPI-I'!A:G,4,0),VLOOKUP(B308,'12.COT.MERCADO'!A:I,8,0))</f>
        <v>0.32</v>
      </c>
      <c r="I308" s="1298">
        <f>IF(E308="Mão de Obra",H308*(1+'7. BDI SERVIÇOS'!$K$5),H308*(1+'8. BDI MERO FORNECIMENTO'!$K$5))</f>
        <v>0.3748270672</v>
      </c>
      <c r="J308" s="1298">
        <f t="shared" si="1"/>
        <v>14.83991421</v>
      </c>
      <c r="K308" s="1298">
        <f t="shared" si="2"/>
        <v>17.38250475</v>
      </c>
      <c r="L308" s="1299">
        <f t="shared" si="3"/>
        <v>0.00005574515574</v>
      </c>
      <c r="M308" s="1300">
        <f t="shared" si="5"/>
        <v>0.7330151383</v>
      </c>
      <c r="N308" s="1301" t="str">
        <f t="shared" si="4"/>
        <v>A</v>
      </c>
    </row>
    <row r="309">
      <c r="A309" s="1291">
        <v>306.0</v>
      </c>
      <c r="B309" s="1292">
        <v>11581.0</v>
      </c>
      <c r="C309" s="1304" t="s">
        <v>17759</v>
      </c>
      <c r="D309" s="1303" t="str">
        <f>IF(C309="SINAPI",VLOOKUP(B309,'20-A.SINAPI-I'!A:G,2,0),VLOOKUP(B309,'12.COT.MERCADO'!A:I,2,0))</f>
        <v>TRILHO PANTOGRAFICO CONCAVO, TIPO U, EM ALUMINIO, COM DIMENSOES DE APROX *35 X 35* MM, PARA ROLDANA DE PORTA DE CORRER</v>
      </c>
      <c r="E309" s="1305" t="s">
        <v>18393</v>
      </c>
      <c r="F309" s="1296" t="str">
        <f>IF(C309="SINAPI",VLOOKUP(B309,'20-A.SINAPI-I'!A:G,3,0),VLOOKUP(B309,'12.COT.MERCADO'!A:I,7,0))</f>
        <v>M</v>
      </c>
      <c r="G309" s="1306">
        <v>0.67</v>
      </c>
      <c r="H309" s="1298">
        <f>IF(C309="SINAPI",VLOOKUP(B309,'20-A.SINAPI-I'!A:G,4,0),VLOOKUP(B309,'12.COT.MERCADO'!A:I,8,0))</f>
        <v>20.54</v>
      </c>
      <c r="I309" s="1298">
        <f>IF(E309="Mão de Obra",H309*(1+'7. BDI SERVIÇOS'!$K$5),H309*(1+'8. BDI MERO FORNECIMENTO'!$K$5))</f>
        <v>24.05921238</v>
      </c>
      <c r="J309" s="1298">
        <f t="shared" si="1"/>
        <v>13.7618</v>
      </c>
      <c r="K309" s="1298">
        <f t="shared" si="2"/>
        <v>16.11967229</v>
      </c>
      <c r="L309" s="1299">
        <f t="shared" si="3"/>
        <v>0.00005169529106</v>
      </c>
      <c r="M309" s="1300">
        <f t="shared" si="5"/>
        <v>0.7330668336</v>
      </c>
      <c r="N309" s="1301" t="str">
        <f t="shared" si="4"/>
        <v>A</v>
      </c>
    </row>
    <row r="310">
      <c r="A310" s="1291">
        <v>305.0</v>
      </c>
      <c r="B310" s="1292">
        <v>6114.0</v>
      </c>
      <c r="C310" s="1304" t="s">
        <v>17759</v>
      </c>
      <c r="D310" s="1303" t="str">
        <f>IF(C310="SINAPI",VLOOKUP(B310,'20-A.SINAPI-I'!A:G,2,0),VLOOKUP(B310,'12.COT.MERCADO'!A:I,2,0))</f>
        <v>AJUDANTE DE ARMADOR (HORISTA)</v>
      </c>
      <c r="E310" s="1305" t="s">
        <v>18393</v>
      </c>
      <c r="F310" s="1296" t="str">
        <f>IF(C310="SINAPI",VLOOKUP(B310,'20-A.SINAPI-I'!A:G,3,0),VLOOKUP(B310,'12.COT.MERCADO'!A:I,7,0))</f>
        <v>H</v>
      </c>
      <c r="G310" s="1306">
        <v>0.8730083</v>
      </c>
      <c r="H310" s="1298">
        <f>IF(C310="SINAPI",VLOOKUP(B310,'20-A.SINAPI-I'!A:G,4,0),VLOOKUP(B310,'12.COT.MERCADO'!A:I,8,0))</f>
        <v>14.68</v>
      </c>
      <c r="I310" s="1298">
        <f>IF(E310="Mão de Obra",H310*(1+'7. BDI SERVIÇOS'!$K$5),H310*(1+'8. BDI MERO FORNECIMENTO'!$K$5))</f>
        <v>17.19519171</v>
      </c>
      <c r="J310" s="1298">
        <f t="shared" si="1"/>
        <v>12.81576184</v>
      </c>
      <c r="K310" s="1298">
        <f t="shared" si="2"/>
        <v>15.01154508</v>
      </c>
      <c r="L310" s="1299">
        <f t="shared" si="3"/>
        <v>0.00004814156133</v>
      </c>
      <c r="M310" s="1300">
        <f t="shared" si="5"/>
        <v>0.7331149751</v>
      </c>
      <c r="N310" s="1301" t="str">
        <f t="shared" si="4"/>
        <v>A</v>
      </c>
    </row>
    <row r="311">
      <c r="A311" s="1291">
        <v>304.0</v>
      </c>
      <c r="B311" s="1292">
        <v>4222.0</v>
      </c>
      <c r="C311" s="1304" t="s">
        <v>17759</v>
      </c>
      <c r="D311" s="1303" t="str">
        <f>IF(C311="SINAPI",VLOOKUP(B311,'20-A.SINAPI-I'!A:G,2,0),VLOOKUP(B311,'12.COT.MERCADO'!A:I,2,0))</f>
        <v>GASOLINA COMUM</v>
      </c>
      <c r="E311" s="1305" t="s">
        <v>18393</v>
      </c>
      <c r="F311" s="1296" t="str">
        <f>IF(C311="SINAPI",VLOOKUP(B311,'20-A.SINAPI-I'!A:G,3,0),VLOOKUP(B311,'12.COT.MERCADO'!A:I,7,0))</f>
        <v>L</v>
      </c>
      <c r="G311" s="1306">
        <v>2.5540263</v>
      </c>
      <c r="H311" s="1298">
        <f>IF(C311="SINAPI",VLOOKUP(B311,'20-A.SINAPI-I'!A:G,4,0),VLOOKUP(B311,'12.COT.MERCADO'!A:I,8,0))</f>
        <v>5.63</v>
      </c>
      <c r="I311" s="1298">
        <f>IF(E311="Mão de Obra",H311*(1+'7. BDI SERVIÇOS'!$K$5),H311*(1+'8. BDI MERO FORNECIMENTO'!$K$5))</f>
        <v>6.594613714</v>
      </c>
      <c r="J311" s="1298">
        <f t="shared" si="1"/>
        <v>14.37916807</v>
      </c>
      <c r="K311" s="1298">
        <f t="shared" si="2"/>
        <v>16.84281686</v>
      </c>
      <c r="L311" s="1299">
        <f t="shared" si="3"/>
        <v>0.00005401439336</v>
      </c>
      <c r="M311" s="1300">
        <f t="shared" si="5"/>
        <v>0.7331689895</v>
      </c>
      <c r="N311" s="1301" t="str">
        <f t="shared" si="4"/>
        <v>A</v>
      </c>
    </row>
    <row r="312">
      <c r="A312" s="1291">
        <v>297.0</v>
      </c>
      <c r="B312" s="1292">
        <v>21127.0</v>
      </c>
      <c r="C312" s="1304" t="s">
        <v>17759</v>
      </c>
      <c r="D312" s="1303" t="str">
        <f>IF(C312="SINAPI",VLOOKUP(B312,'20-A.SINAPI-I'!A:G,2,0),VLOOKUP(B312,'12.COT.MERCADO'!A:I,2,0))</f>
        <v>FITA ISOLANTE ADESIVA ANTICHAMA, USO ATE 750 V, EM ROLO DE 19 MM X 5 M</v>
      </c>
      <c r="E312" s="1305" t="s">
        <v>18393</v>
      </c>
      <c r="F312" s="1296" t="str">
        <f>IF(C312="SINAPI",VLOOKUP(B312,'20-A.SINAPI-I'!A:G,3,0),VLOOKUP(B312,'12.COT.MERCADO'!A:I,7,0))</f>
        <v>UN</v>
      </c>
      <c r="G312" s="1306">
        <v>2.3061982</v>
      </c>
      <c r="H312" s="1298">
        <f>IF(C312="SINAPI",VLOOKUP(B312,'20-A.SINAPI-I'!A:G,4,0),VLOOKUP(B312,'12.COT.MERCADO'!A:I,8,0))</f>
        <v>4.87</v>
      </c>
      <c r="I312" s="1298">
        <f>IF(E312="Mão de Obra",H312*(1+'7. BDI SERVIÇOS'!$K$5),H312*(1+'8. BDI MERO FORNECIMENTO'!$K$5))</f>
        <v>5.70439943</v>
      </c>
      <c r="J312" s="1298">
        <f t="shared" si="1"/>
        <v>11.23118523</v>
      </c>
      <c r="K312" s="1298">
        <f t="shared" si="2"/>
        <v>13.1554757</v>
      </c>
      <c r="L312" s="1299">
        <f t="shared" si="3"/>
        <v>0.00004218920415</v>
      </c>
      <c r="M312" s="1300">
        <f t="shared" si="5"/>
        <v>0.7332111787</v>
      </c>
      <c r="N312" s="1301" t="str">
        <f t="shared" si="4"/>
        <v>A</v>
      </c>
    </row>
    <row r="313">
      <c r="A313" s="1291">
        <v>307.0</v>
      </c>
      <c r="B313" s="1292">
        <v>4384.0</v>
      </c>
      <c r="C313" s="1304" t="s">
        <v>17759</v>
      </c>
      <c r="D313" s="1303" t="str">
        <f>IF(C313="SINAPI",VLOOKUP(B313,'20-A.SINAPI-I'!A:G,2,0),VLOOKUP(B313,'12.COT.MERCADO'!A:I,2,0))</f>
        <v>PARAFUSO NIQUELADO COM ACABAMENTO CROMADO PARA FIXAR PECA SANITARIA, INCLUI PORCA CEGA, ARRUELA E BUCHA DE NYLON TAMANHO S-10</v>
      </c>
      <c r="E313" s="1305" t="s">
        <v>18397</v>
      </c>
      <c r="F313" s="1296" t="str">
        <f>IF(C313="SINAPI",VLOOKUP(B313,'20-A.SINAPI-I'!A:G,3,0),VLOOKUP(B313,'12.COT.MERCADO'!A:I,7,0))</f>
        <v>UN</v>
      </c>
      <c r="G313" s="1306">
        <v>0.66</v>
      </c>
      <c r="H313" s="1298">
        <f>IF(C313="SINAPI",VLOOKUP(B313,'20-A.SINAPI-I'!A:G,4,0),VLOOKUP(B313,'12.COT.MERCADO'!A:I,8,0))</f>
        <v>24.93</v>
      </c>
      <c r="I313" s="1298">
        <f>IF(E313="Mão de Obra",H313*(1+'7. BDI SERVIÇOS'!$K$5),H313*(1+'8. BDI MERO FORNECIMENTO'!$K$5))</f>
        <v>29.20137121</v>
      </c>
      <c r="J313" s="1298">
        <f t="shared" si="1"/>
        <v>16.4538</v>
      </c>
      <c r="K313" s="1298">
        <f t="shared" si="2"/>
        <v>19.272905</v>
      </c>
      <c r="L313" s="1299">
        <f t="shared" si="3"/>
        <v>0.00006180761093</v>
      </c>
      <c r="M313" s="1300">
        <f t="shared" si="5"/>
        <v>0.7332729863</v>
      </c>
      <c r="N313" s="1301" t="str">
        <f t="shared" si="4"/>
        <v>A</v>
      </c>
    </row>
    <row r="314">
      <c r="A314" s="1291">
        <v>309.0</v>
      </c>
      <c r="B314" s="1292">
        <v>301.0</v>
      </c>
      <c r="C314" s="1304" t="s">
        <v>17759</v>
      </c>
      <c r="D314" s="1303" t="str">
        <f>IF(C314="SINAPI",VLOOKUP(B314,'20-A.SINAPI-I'!A:G,2,0),VLOOKUP(B314,'12.COT.MERCADO'!A:I,2,0))</f>
        <v>ANEL BORRACHA PARA TUBO ESGOTO PREDIAL, DN 100 MM (NBR 5688)</v>
      </c>
      <c r="E314" s="1305" t="s">
        <v>18393</v>
      </c>
      <c r="F314" s="1296" t="str">
        <f>IF(C314="SINAPI",VLOOKUP(B314,'20-A.SINAPI-I'!A:G,3,0),VLOOKUP(B314,'12.COT.MERCADO'!A:I,7,0))</f>
        <v>UN</v>
      </c>
      <c r="G314" s="1306">
        <v>5.3738</v>
      </c>
      <c r="H314" s="1298">
        <f>IF(C314="SINAPI",VLOOKUP(B314,'20-A.SINAPI-I'!A:G,4,0),VLOOKUP(B314,'12.COT.MERCADO'!A:I,8,0))</f>
        <v>2.65</v>
      </c>
      <c r="I314" s="1298">
        <f>IF(E314="Mão de Obra",H314*(1+'7. BDI SERVIÇOS'!$K$5),H314*(1+'8. BDI MERO FORNECIMENTO'!$K$5))</f>
        <v>3.104036651</v>
      </c>
      <c r="J314" s="1298">
        <f t="shared" si="1"/>
        <v>14.24057</v>
      </c>
      <c r="K314" s="1298">
        <f t="shared" si="2"/>
        <v>16.68047215</v>
      </c>
      <c r="L314" s="1299">
        <f t="shared" si="3"/>
        <v>0.00005349375889</v>
      </c>
      <c r="M314" s="1300">
        <f t="shared" si="5"/>
        <v>0.7333264801</v>
      </c>
      <c r="N314" s="1301" t="str">
        <f t="shared" si="4"/>
        <v>A</v>
      </c>
    </row>
    <row r="315">
      <c r="A315" s="1291">
        <v>310.0</v>
      </c>
      <c r="B315" s="1292">
        <v>7584.0</v>
      </c>
      <c r="C315" s="1304" t="s">
        <v>17759</v>
      </c>
      <c r="D315" s="1303" t="str">
        <f>IF(C315="SINAPI",VLOOKUP(B315,'20-A.SINAPI-I'!A:G,2,0),VLOOKUP(B315,'12.COT.MERCADO'!A:I,2,0))</f>
        <v>BUCHA DE NYLON SEM ABA S12, COM PARAFUSO DE 5/16" X 80 MM EM ACO ZINCADO COM ROSCA SOBERBA E CABECA SEXTAVADA</v>
      </c>
      <c r="E315" s="1305" t="s">
        <v>18393</v>
      </c>
      <c r="F315" s="1296" t="str">
        <f>IF(C315="SINAPI",VLOOKUP(B315,'20-A.SINAPI-I'!A:G,3,0),VLOOKUP(B315,'12.COT.MERCADO'!A:I,7,0))</f>
        <v>UN</v>
      </c>
      <c r="G315" s="1306">
        <v>9.32</v>
      </c>
      <c r="H315" s="1298">
        <f>IF(C315="SINAPI",VLOOKUP(B315,'20-A.SINAPI-I'!A:G,4,0),VLOOKUP(B315,'12.COT.MERCADO'!A:I,8,0))</f>
        <v>1.12</v>
      </c>
      <c r="I315" s="1298">
        <f>IF(E315="Mão de Obra",H315*(1+'7. BDI SERVIÇOS'!$K$5),H315*(1+'8. BDI MERO FORNECIMENTO'!$K$5))</f>
        <v>1.311894735</v>
      </c>
      <c r="J315" s="1298">
        <f t="shared" si="1"/>
        <v>10.4384</v>
      </c>
      <c r="K315" s="1298">
        <f t="shared" si="2"/>
        <v>12.22685893</v>
      </c>
      <c r="L315" s="1299">
        <f t="shared" si="3"/>
        <v>0.00003921115888</v>
      </c>
      <c r="M315" s="1300">
        <f t="shared" si="5"/>
        <v>0.7333656913</v>
      </c>
      <c r="N315" s="1301" t="str">
        <f t="shared" si="4"/>
        <v>A</v>
      </c>
    </row>
    <row r="316">
      <c r="A316" s="1291">
        <v>312.0</v>
      </c>
      <c r="B316" s="1292">
        <v>39017.0</v>
      </c>
      <c r="C316" s="1304" t="s">
        <v>17759</v>
      </c>
      <c r="D316" s="1303" t="str">
        <f>IF(C316="SINAPI",VLOOKUP(B316,'20-A.SINAPI-I'!A:G,2,0),VLOOKUP(B316,'12.COT.MERCADO'!A:I,2,0))</f>
        <v>ESPACADOR / DISTANCIADOR CIRCULAR COM ENTRADA LATERAL, EM PLASTICO, PARA VERGALHAO *4,2 A 12,5* MM, COBRIMENTO 20 MM</v>
      </c>
      <c r="E316" s="1305" t="s">
        <v>18397</v>
      </c>
      <c r="F316" s="1296" t="str">
        <f>IF(C316="SINAPI",VLOOKUP(B316,'20-A.SINAPI-I'!A:G,3,0),VLOOKUP(B316,'12.COT.MERCADO'!A:I,7,0))</f>
        <v>UN</v>
      </c>
      <c r="G316" s="1306">
        <v>58.5262353</v>
      </c>
      <c r="H316" s="1298">
        <f>IF(C316="SINAPI",VLOOKUP(B316,'20-A.SINAPI-I'!A:G,4,0),VLOOKUP(B316,'12.COT.MERCADO'!A:I,8,0))</f>
        <v>0.22</v>
      </c>
      <c r="I316" s="1298">
        <f>IF(E316="Mão de Obra",H316*(1+'7. BDI SERVIÇOS'!$K$5),H316*(1+'8. BDI MERO FORNECIMENTO'!$K$5))</f>
        <v>0.2576936087</v>
      </c>
      <c r="J316" s="1298">
        <f t="shared" si="1"/>
        <v>12.87577177</v>
      </c>
      <c r="K316" s="1298">
        <f t="shared" si="2"/>
        <v>15.08183678</v>
      </c>
      <c r="L316" s="1299">
        <f t="shared" si="3"/>
        <v>0.00004836698463</v>
      </c>
      <c r="M316" s="1300">
        <f t="shared" si="5"/>
        <v>0.7334140583</v>
      </c>
      <c r="N316" s="1301" t="str">
        <f t="shared" si="4"/>
        <v>A</v>
      </c>
    </row>
    <row r="317">
      <c r="A317" s="1291">
        <v>313.0</v>
      </c>
      <c r="B317" s="1292">
        <v>4517.0</v>
      </c>
      <c r="C317" s="1304" t="s">
        <v>17759</v>
      </c>
      <c r="D317" s="1303" t="str">
        <f>IF(C317="SINAPI",VLOOKUP(B317,'20-A.SINAPI-I'!A:G,2,0),VLOOKUP(B317,'12.COT.MERCADO'!A:I,2,0))</f>
        <v>SARRAFO *2,5 X 7,5* CM EM PINUS, MISTA OU EQUIVALENTE DA REGIAO - BRUTA</v>
      </c>
      <c r="E317" s="1305" t="s">
        <v>18393</v>
      </c>
      <c r="F317" s="1296" t="str">
        <f>IF(C317="SINAPI",VLOOKUP(B317,'20-A.SINAPI-I'!A:G,3,0),VLOOKUP(B317,'12.COT.MERCADO'!A:I,7,0))</f>
        <v>M</v>
      </c>
      <c r="G317" s="1306">
        <v>5.3658654</v>
      </c>
      <c r="H317" s="1298">
        <f>IF(C317="SINAPI",VLOOKUP(B317,'20-A.SINAPI-I'!A:G,4,0),VLOOKUP(B317,'12.COT.MERCADO'!A:I,8,0))</f>
        <v>2.43</v>
      </c>
      <c r="I317" s="1298">
        <f>IF(E317="Mão de Obra",H317*(1+'7. BDI SERVIÇOS'!$K$5),H317*(1+'8. BDI MERO FORNECIMENTO'!$K$5))</f>
        <v>2.846343042</v>
      </c>
      <c r="J317" s="1298">
        <f t="shared" si="1"/>
        <v>13.03905292</v>
      </c>
      <c r="K317" s="1298">
        <f t="shared" si="2"/>
        <v>15.27309364</v>
      </c>
      <c r="L317" s="1299">
        <f t="shared" si="3"/>
        <v>0.00004898033949</v>
      </c>
      <c r="M317" s="1300">
        <f t="shared" si="5"/>
        <v>0.7334630386</v>
      </c>
      <c r="N317" s="1301" t="str">
        <f t="shared" si="4"/>
        <v>A</v>
      </c>
    </row>
    <row r="318">
      <c r="A318" s="1291">
        <v>314.0</v>
      </c>
      <c r="B318" s="1292" t="s">
        <v>1905</v>
      </c>
      <c r="C318" s="1304" t="s">
        <v>1785</v>
      </c>
      <c r="D318" s="1294" t="str">
        <f>IF(C318="SINAPI",VLOOKUP(B318,'20-A.SINAPI-I'!A:G,2,0),VLOOKUP(B318,'12.COT.MERCADO'!A:I,2,0))</f>
        <v>ÁGUA SANITÁRIA 5L</v>
      </c>
      <c r="E318" s="1305" t="s">
        <v>18393</v>
      </c>
      <c r="F318" s="1296" t="str">
        <f>IF(C318="SINAPI",VLOOKUP(B318,'20-A.SINAPI-I'!A:G,3,0),VLOOKUP(B318,'12.COT.MERCADO'!A:I,7,0))</f>
        <v>UN</v>
      </c>
      <c r="G318" s="1306">
        <v>0.66055</v>
      </c>
      <c r="H318" s="1298">
        <f>IF(C318="SINAPI",VLOOKUP(B318,'20-A.SINAPI-I'!A:G,4,0),VLOOKUP(B318,'12.COT.MERCADO'!A:I,8,0))</f>
        <v>16.59</v>
      </c>
      <c r="I318" s="1298">
        <f>IF(E318="Mão de Obra",H318*(1+'7. BDI SERVIÇOS'!$K$5),H318*(1+'8. BDI MERO FORNECIMENTO'!$K$5))</f>
        <v>19.43244077</v>
      </c>
      <c r="J318" s="1298">
        <f t="shared" si="1"/>
        <v>10.9585245</v>
      </c>
      <c r="K318" s="1298">
        <f t="shared" si="2"/>
        <v>12.83609875</v>
      </c>
      <c r="L318" s="1299">
        <f t="shared" si="3"/>
        <v>0.00004116497214</v>
      </c>
      <c r="M318" s="1300">
        <f t="shared" si="5"/>
        <v>0.7335042036</v>
      </c>
      <c r="N318" s="1301" t="str">
        <f t="shared" si="4"/>
        <v>A</v>
      </c>
    </row>
    <row r="319">
      <c r="A319" s="1291">
        <v>308.0</v>
      </c>
      <c r="B319" s="1292">
        <v>39961.0</v>
      </c>
      <c r="C319" s="1304" t="s">
        <v>17759</v>
      </c>
      <c r="D319" s="1303" t="str">
        <f>IF(C319="SINAPI",VLOOKUP(B319,'20-A.SINAPI-I'!A:G,2,0),VLOOKUP(B319,'12.COT.MERCADO'!A:I,2,0))</f>
        <v>SILICONE ACETICO USO GERAL INCOLOR 280 G</v>
      </c>
      <c r="E319" s="1305" t="s">
        <v>18393</v>
      </c>
      <c r="F319" s="1296" t="str">
        <f>IF(C319="SINAPI",VLOOKUP(B319,'20-A.SINAPI-I'!A:G,3,0),VLOOKUP(B319,'12.COT.MERCADO'!A:I,7,0))</f>
        <v>UN</v>
      </c>
      <c r="G319" s="1306">
        <v>0.59005</v>
      </c>
      <c r="H319" s="1298">
        <f>IF(C319="SINAPI",VLOOKUP(B319,'20-A.SINAPI-I'!A:G,4,0),VLOOKUP(B319,'12.COT.MERCADO'!A:I,8,0))</f>
        <v>22.15</v>
      </c>
      <c r="I319" s="1298">
        <f>IF(E319="Mão de Obra",H319*(1+'7. BDI SERVIÇOS'!$K$5),H319*(1+'8. BDI MERO FORNECIMENTO'!$K$5))</f>
        <v>25.94506106</v>
      </c>
      <c r="J319" s="1298">
        <f t="shared" si="1"/>
        <v>13.0696075</v>
      </c>
      <c r="K319" s="1298">
        <f t="shared" si="2"/>
        <v>15.30888328</v>
      </c>
      <c r="L319" s="1299">
        <f t="shared" si="3"/>
        <v>0.00004909511574</v>
      </c>
      <c r="M319" s="1300">
        <f t="shared" si="5"/>
        <v>0.7335532987</v>
      </c>
      <c r="N319" s="1301" t="str">
        <f t="shared" si="4"/>
        <v>A</v>
      </c>
    </row>
    <row r="320">
      <c r="A320" s="1291">
        <v>315.0</v>
      </c>
      <c r="B320" s="1292">
        <v>5318.0</v>
      </c>
      <c r="C320" s="1304" t="s">
        <v>17759</v>
      </c>
      <c r="D320" s="1303" t="str">
        <f>IF(C320="SINAPI",VLOOKUP(B320,'20-A.SINAPI-I'!A:G,2,0),VLOOKUP(B320,'12.COT.MERCADO'!A:I,2,0))</f>
        <v>DILUENTE AGUARRAS</v>
      </c>
      <c r="E320" s="1305" t="s">
        <v>18393</v>
      </c>
      <c r="F320" s="1296" t="str">
        <f>IF(C320="SINAPI",VLOOKUP(B320,'20-A.SINAPI-I'!A:G,3,0),VLOOKUP(B320,'12.COT.MERCADO'!A:I,7,0))</f>
        <v>L</v>
      </c>
      <c r="G320" s="1306">
        <v>0.600345</v>
      </c>
      <c r="H320" s="1298">
        <f>IF(C320="SINAPI",VLOOKUP(B320,'20-A.SINAPI-I'!A:G,4,0),VLOOKUP(B320,'12.COT.MERCADO'!A:I,8,0))</f>
        <v>22.59</v>
      </c>
      <c r="I320" s="1298">
        <f>IF(E320="Mão de Obra",H320*(1+'7. BDI SERVIÇOS'!$K$5),H320*(1+'8. BDI MERO FORNECIMENTO'!$K$5))</f>
        <v>26.46044828</v>
      </c>
      <c r="J320" s="1298">
        <f t="shared" si="1"/>
        <v>13.56179355</v>
      </c>
      <c r="K320" s="1298">
        <f t="shared" si="2"/>
        <v>15.88539782</v>
      </c>
      <c r="L320" s="1299">
        <f t="shared" si="3"/>
        <v>0.00005094398007</v>
      </c>
      <c r="M320" s="1300">
        <f t="shared" si="5"/>
        <v>0.7336042427</v>
      </c>
      <c r="N320" s="1301" t="str">
        <f t="shared" si="4"/>
        <v>A</v>
      </c>
    </row>
    <row r="321">
      <c r="A321" s="1291">
        <v>316.0</v>
      </c>
      <c r="B321" s="1292">
        <v>11831.0</v>
      </c>
      <c r="C321" s="1304" t="s">
        <v>17759</v>
      </c>
      <c r="D321" s="1303" t="str">
        <f>IF(C321="SINAPI",VLOOKUP(B321,'20-A.SINAPI-I'!A:G,2,0),VLOOKUP(B321,'12.COT.MERCADO'!A:I,2,0))</f>
        <v>TORNEIRA PLASTICA PARA TANQUE 1/2 " OU 3/4 " COM BICO PARA MANGUEIRA</v>
      </c>
      <c r="E321" s="1305" t="s">
        <v>18393</v>
      </c>
      <c r="F321" s="1296" t="str">
        <f>IF(C321="SINAPI",VLOOKUP(B321,'20-A.SINAPI-I'!A:G,3,0),VLOOKUP(B321,'12.COT.MERCADO'!A:I,7,0))</f>
        <v>UN</v>
      </c>
      <c r="G321" s="1306">
        <v>0.67</v>
      </c>
      <c r="H321" s="1298">
        <f>IF(C321="SINAPI",VLOOKUP(B321,'20-A.SINAPI-I'!A:G,4,0),VLOOKUP(B321,'12.COT.MERCADO'!A:I,8,0))</f>
        <v>18.15</v>
      </c>
      <c r="I321" s="1298">
        <f>IF(E321="Mão de Obra",H321*(1+'7. BDI SERVIÇOS'!$K$5),H321*(1+'8. BDI MERO FORNECIMENTO'!$K$5))</f>
        <v>21.25972272</v>
      </c>
      <c r="J321" s="1298">
        <f t="shared" si="1"/>
        <v>12.1605</v>
      </c>
      <c r="K321" s="1298">
        <f t="shared" si="2"/>
        <v>14.24401422</v>
      </c>
      <c r="L321" s="1299">
        <f t="shared" si="3"/>
        <v>0.00004568011357</v>
      </c>
      <c r="M321" s="1300">
        <f t="shared" si="5"/>
        <v>0.7336499228</v>
      </c>
      <c r="N321" s="1301" t="str">
        <f t="shared" si="4"/>
        <v>A</v>
      </c>
    </row>
    <row r="322">
      <c r="A322" s="1291">
        <v>317.0</v>
      </c>
      <c r="B322" s="1292">
        <v>6138.0</v>
      </c>
      <c r="C322" s="1304" t="s">
        <v>17759</v>
      </c>
      <c r="D322" s="1303" t="str">
        <f>IF(C322="SINAPI",VLOOKUP(B322,'20-A.SINAPI-I'!A:G,2,0),VLOOKUP(B322,'12.COT.MERCADO'!A:I,2,0))</f>
        <v>ANEL DE VEDACAO, PVC FLEXIVEL, 100 MM, PARA SAIDA DE BACIA / VASO SANITARIO</v>
      </c>
      <c r="E322" s="1305" t="s">
        <v>18393</v>
      </c>
      <c r="F322" s="1296" t="str">
        <f>IF(C322="SINAPI",VLOOKUP(B322,'20-A.SINAPI-I'!A:G,3,0),VLOOKUP(B322,'12.COT.MERCADO'!A:I,7,0))</f>
        <v>UN</v>
      </c>
      <c r="G322" s="1306">
        <v>1.0</v>
      </c>
      <c r="H322" s="1298">
        <f>IF(C322="SINAPI",VLOOKUP(B322,'20-A.SINAPI-I'!A:G,4,0),VLOOKUP(B322,'12.COT.MERCADO'!A:I,8,0))</f>
        <v>11.23</v>
      </c>
      <c r="I322" s="1298">
        <f>IF(E322="Mão de Obra",H322*(1+'7. BDI SERVIÇOS'!$K$5),H322*(1+'8. BDI MERO FORNECIMENTO'!$K$5))</f>
        <v>13.15408739</v>
      </c>
      <c r="J322" s="1298">
        <f t="shared" si="1"/>
        <v>11.23</v>
      </c>
      <c r="K322" s="1298">
        <f t="shared" si="2"/>
        <v>13.15408739</v>
      </c>
      <c r="L322" s="1299">
        <f t="shared" si="3"/>
        <v>0.00004218475189</v>
      </c>
      <c r="M322" s="1300">
        <f t="shared" si="5"/>
        <v>0.7336921075</v>
      </c>
      <c r="N322" s="1301" t="str">
        <f t="shared" si="4"/>
        <v>A</v>
      </c>
    </row>
    <row r="323">
      <c r="A323" s="1291">
        <v>318.0</v>
      </c>
      <c r="B323" s="1292">
        <v>1966.0</v>
      </c>
      <c r="C323" s="1304" t="s">
        <v>17759</v>
      </c>
      <c r="D323" s="1303" t="str">
        <f>IF(C323="SINAPI",VLOOKUP(B323,'20-A.SINAPI-I'!A:G,2,0),VLOOKUP(B323,'12.COT.MERCADO'!A:I,2,0))</f>
        <v>CURVA PVC CURTA 90 GRAUS, DN 100 MM, PARA ESGOTO PREDIAL</v>
      </c>
      <c r="E323" s="1305" t="s">
        <v>18393</v>
      </c>
      <c r="F323" s="1296" t="str">
        <f>IF(C323="SINAPI",VLOOKUP(B323,'20-A.SINAPI-I'!A:G,3,0),VLOOKUP(B323,'12.COT.MERCADO'!A:I,7,0))</f>
        <v>UN</v>
      </c>
      <c r="G323" s="1306">
        <v>0.4244</v>
      </c>
      <c r="H323" s="1298">
        <f>IF(C323="SINAPI",VLOOKUP(B323,'20-A.SINAPI-I'!A:G,4,0),VLOOKUP(B323,'12.COT.MERCADO'!A:I,8,0))</f>
        <v>26.6</v>
      </c>
      <c r="I323" s="1298">
        <f>IF(E323="Mão de Obra",H323*(1+'7. BDI SERVIÇOS'!$K$5),H323*(1+'8. BDI MERO FORNECIMENTO'!$K$5))</f>
        <v>31.15749996</v>
      </c>
      <c r="J323" s="1298">
        <f t="shared" si="1"/>
        <v>11.28904</v>
      </c>
      <c r="K323" s="1298">
        <f t="shared" si="2"/>
        <v>13.22324298</v>
      </c>
      <c r="L323" s="1299">
        <f t="shared" si="3"/>
        <v>0.00004240653175</v>
      </c>
      <c r="M323" s="1300">
        <f t="shared" si="5"/>
        <v>0.7337345141</v>
      </c>
      <c r="N323" s="1301" t="str">
        <f t="shared" si="4"/>
        <v>A</v>
      </c>
    </row>
    <row r="324">
      <c r="A324" s="1291">
        <v>319.0</v>
      </c>
      <c r="B324" s="1292">
        <v>11830.0</v>
      </c>
      <c r="C324" s="1304" t="s">
        <v>17759</v>
      </c>
      <c r="D324" s="1303" t="str">
        <f>IF(C324="SINAPI",VLOOKUP(B324,'20-A.SINAPI-I'!A:G,2,0),VLOOKUP(B324,'12.COT.MERCADO'!A:I,2,0))</f>
        <v>TORNEIRA DE BOIA CONVENCIONAL PARA CAIXA D'AGUA, AGUA FRIA, 3/4", COM HASTE E TORNEIRA METALICOS E BALAO PLASTICO</v>
      </c>
      <c r="E324" s="1305" t="s">
        <v>18393</v>
      </c>
      <c r="F324" s="1296" t="str">
        <f>IF(C324="SINAPI",VLOOKUP(B324,'20-A.SINAPI-I'!A:G,3,0),VLOOKUP(B324,'12.COT.MERCADO'!A:I,7,0))</f>
        <v>UN</v>
      </c>
      <c r="G324" s="1306">
        <v>0.33</v>
      </c>
      <c r="H324" s="1298">
        <f>IF(C324="SINAPI",VLOOKUP(B324,'20-A.SINAPI-I'!A:G,4,0),VLOOKUP(B324,'12.COT.MERCADO'!A:I,8,0))</f>
        <v>31.7</v>
      </c>
      <c r="I324" s="1298">
        <f>IF(E324="Mão de Obra",H324*(1+'7. BDI SERVIÇOS'!$K$5),H324*(1+'8. BDI MERO FORNECIMENTO'!$K$5))</f>
        <v>37.13130635</v>
      </c>
      <c r="J324" s="1298">
        <f t="shared" si="1"/>
        <v>10.461</v>
      </c>
      <c r="K324" s="1298">
        <f t="shared" si="2"/>
        <v>12.2533311</v>
      </c>
      <c r="L324" s="1299">
        <f t="shared" si="3"/>
        <v>0.00003929605428</v>
      </c>
      <c r="M324" s="1300">
        <f t="shared" si="5"/>
        <v>0.7337738101</v>
      </c>
      <c r="N324" s="1301" t="str">
        <f t="shared" si="4"/>
        <v>A</v>
      </c>
    </row>
    <row r="325">
      <c r="A325" s="1291">
        <v>320.0</v>
      </c>
      <c r="B325" s="1292">
        <v>4226.0</v>
      </c>
      <c r="C325" s="1304" t="s">
        <v>17759</v>
      </c>
      <c r="D325" s="1303" t="str">
        <f>IF(C325="SINAPI",VLOOKUP(B325,'20-A.SINAPI-I'!A:G,2,0),VLOOKUP(B325,'12.COT.MERCADO'!A:I,2,0))</f>
        <v>GAS DE COZINHA - GLP</v>
      </c>
      <c r="E325" s="1305" t="s">
        <v>18393</v>
      </c>
      <c r="F325" s="1296" t="str">
        <f>IF(C325="SINAPI",VLOOKUP(B325,'20-A.SINAPI-I'!A:G,3,0),VLOOKUP(B325,'12.COT.MERCADO'!A:I,7,0))</f>
        <v>KG</v>
      </c>
      <c r="G325" s="1306">
        <v>1.390974</v>
      </c>
      <c r="H325" s="1298">
        <f>IF(C325="SINAPI",VLOOKUP(B325,'20-A.SINAPI-I'!A:G,4,0),VLOOKUP(B325,'12.COT.MERCADO'!A:I,8,0))</f>
        <v>7.07</v>
      </c>
      <c r="I325" s="1298">
        <f>IF(E325="Mão de Obra",H325*(1+'7. BDI SERVIÇOS'!$K$5),H325*(1+'8. BDI MERO FORNECIMENTO'!$K$5))</f>
        <v>8.281335517</v>
      </c>
      <c r="J325" s="1298">
        <f t="shared" si="1"/>
        <v>9.83418618</v>
      </c>
      <c r="K325" s="1298">
        <f t="shared" si="2"/>
        <v>11.51912239</v>
      </c>
      <c r="L325" s="1299">
        <f t="shared" si="3"/>
        <v>0.00003694146964</v>
      </c>
      <c r="M325" s="1300">
        <f t="shared" si="5"/>
        <v>0.7338107516</v>
      </c>
      <c r="N325" s="1301" t="str">
        <f t="shared" si="4"/>
        <v>A</v>
      </c>
    </row>
    <row r="326">
      <c r="A326" s="1291">
        <v>321.0</v>
      </c>
      <c r="B326" s="1292">
        <v>38778.0</v>
      </c>
      <c r="C326" s="1304" t="s">
        <v>17759</v>
      </c>
      <c r="D326" s="1303" t="str">
        <f>IF(C326="SINAPI",VLOOKUP(B326,'20-A.SINAPI-I'!A:G,2,0),VLOOKUP(B326,'12.COT.MERCADO'!A:I,2,0))</f>
        <v>LAMPADA FLUORESCENTE TUBULAR T8 DE 16/18 W, BIVOLT</v>
      </c>
      <c r="E326" s="1305" t="s">
        <v>18393</v>
      </c>
      <c r="F326" s="1296" t="str">
        <f>IF(C326="SINAPI",VLOOKUP(B326,'20-A.SINAPI-I'!A:G,3,0),VLOOKUP(B326,'12.COT.MERCADO'!A:I,7,0))</f>
        <v>UN</v>
      </c>
      <c r="G326" s="1306">
        <v>1.33</v>
      </c>
      <c r="H326" s="1298">
        <f>IF(C326="SINAPI",VLOOKUP(B326,'20-A.SINAPI-I'!A:G,4,0),VLOOKUP(B326,'12.COT.MERCADO'!A:I,8,0))</f>
        <v>8.88</v>
      </c>
      <c r="I326" s="1298">
        <f>IF(E326="Mão de Obra",H326*(1+'7. BDI SERVIÇOS'!$K$5),H326*(1+'8. BDI MERO FORNECIMENTO'!$K$5))</f>
        <v>10.40145112</v>
      </c>
      <c r="J326" s="1298">
        <f t="shared" si="1"/>
        <v>11.8104</v>
      </c>
      <c r="K326" s="1298">
        <f t="shared" si="2"/>
        <v>13.83392998</v>
      </c>
      <c r="L326" s="1299">
        <f t="shared" si="3"/>
        <v>0.00004436498609</v>
      </c>
      <c r="M326" s="1300">
        <f t="shared" si="5"/>
        <v>0.7338551166</v>
      </c>
      <c r="N326" s="1301" t="str">
        <f t="shared" si="4"/>
        <v>A</v>
      </c>
    </row>
    <row r="327">
      <c r="A327" s="1291">
        <v>322.0</v>
      </c>
      <c r="B327" s="1292">
        <v>4512.0</v>
      </c>
      <c r="C327" s="1304" t="s">
        <v>17759</v>
      </c>
      <c r="D327" s="1303" t="str">
        <f>IF(C327="SINAPI",VLOOKUP(B327,'20-A.SINAPI-I'!A:G,2,0),VLOOKUP(B327,'12.COT.MERCADO'!A:I,2,0))</f>
        <v>SARRAFO *2,5 X 5* CM EM PINUS, MISTA OU EQUIVALENTE DA REGIAO - BRUTA</v>
      </c>
      <c r="E327" s="1305" t="s">
        <v>18393</v>
      </c>
      <c r="F327" s="1296" t="str">
        <f>IF(C327="SINAPI",VLOOKUP(B327,'20-A.SINAPI-I'!A:G,3,0),VLOOKUP(B327,'12.COT.MERCADO'!A:I,7,0))</f>
        <v>M</v>
      </c>
      <c r="G327" s="1306">
        <v>6.675</v>
      </c>
      <c r="H327" s="1298">
        <f>IF(C327="SINAPI",VLOOKUP(B327,'20-A.SINAPI-I'!A:G,4,0),VLOOKUP(B327,'12.COT.MERCADO'!A:I,8,0))</f>
        <v>1.68</v>
      </c>
      <c r="I327" s="1298">
        <f>IF(E327="Mão de Obra",H327*(1+'7. BDI SERVIÇOS'!$K$5),H327*(1+'8. BDI MERO FORNECIMENTO'!$K$5))</f>
        <v>1.967842103</v>
      </c>
      <c r="J327" s="1298">
        <f t="shared" si="1"/>
        <v>11.214</v>
      </c>
      <c r="K327" s="1298">
        <f t="shared" si="2"/>
        <v>13.13534604</v>
      </c>
      <c r="L327" s="1299">
        <f t="shared" si="3"/>
        <v>0.00004212464895</v>
      </c>
      <c r="M327" s="1300">
        <f t="shared" si="5"/>
        <v>0.7338972412</v>
      </c>
      <c r="N327" s="1301" t="str">
        <f t="shared" si="4"/>
        <v>A</v>
      </c>
    </row>
    <row r="328">
      <c r="A328" s="1291">
        <v>323.0</v>
      </c>
      <c r="B328" s="1292">
        <v>4351.0</v>
      </c>
      <c r="C328" s="1304" t="s">
        <v>17759</v>
      </c>
      <c r="D328" s="1303" t="str">
        <f>IF(C328="SINAPI",VLOOKUP(B328,'20-A.SINAPI-I'!A:G,2,0),VLOOKUP(B328,'12.COT.MERCADO'!A:I,2,0))</f>
        <v>PARAFUSO NIQUELADO 3 1/2" COM ACABAMENTO CROMADO PARA FIXAR PECA SANITARIA, INCLUI PORCA CEGA, ARRUELA E BUCHA DE NYLON TAMANHO S-8</v>
      </c>
      <c r="E328" s="1305" t="s">
        <v>18393</v>
      </c>
      <c r="F328" s="1296" t="str">
        <f>IF(C328="SINAPI",VLOOKUP(B328,'20-A.SINAPI-I'!A:G,3,0),VLOOKUP(B328,'12.COT.MERCADO'!A:I,7,0))</f>
        <v>UN</v>
      </c>
      <c r="G328" s="1306">
        <v>0.66</v>
      </c>
      <c r="H328" s="1298">
        <f>IF(C328="SINAPI",VLOOKUP(B328,'20-A.SINAPI-I'!A:G,4,0),VLOOKUP(B328,'12.COT.MERCADO'!A:I,8,0))</f>
        <v>18.49</v>
      </c>
      <c r="I328" s="1298">
        <f>IF(E328="Mão de Obra",H328*(1+'7. BDI SERVIÇOS'!$K$5),H328*(1+'8. BDI MERO FORNECIMENTO'!$K$5))</f>
        <v>21.65797648</v>
      </c>
      <c r="J328" s="1298">
        <f t="shared" si="1"/>
        <v>12.2034</v>
      </c>
      <c r="K328" s="1298">
        <f t="shared" si="2"/>
        <v>14.29426448</v>
      </c>
      <c r="L328" s="1299">
        <f t="shared" si="3"/>
        <v>0.00004584126458</v>
      </c>
      <c r="M328" s="1300">
        <f t="shared" si="5"/>
        <v>0.7339430825</v>
      </c>
      <c r="N328" s="1301" t="str">
        <f t="shared" si="4"/>
        <v>A</v>
      </c>
    </row>
    <row r="329">
      <c r="A329" s="1291">
        <v>324.0</v>
      </c>
      <c r="B329" s="1292">
        <v>4823.0</v>
      </c>
      <c r="C329" s="1304" t="s">
        <v>17759</v>
      </c>
      <c r="D329" s="1303" t="str">
        <f>IF(C329="SINAPI",VLOOKUP(B329,'20-A.SINAPI-I'!A:G,2,0),VLOOKUP(B329,'12.COT.MERCADO'!A:I,2,0))</f>
        <v>MASSA PLASTICA PARA MARMORE/GRANITO</v>
      </c>
      <c r="E329" s="1305" t="s">
        <v>18393</v>
      </c>
      <c r="F329" s="1296" t="str">
        <f>IF(C329="SINAPI",VLOOKUP(B329,'20-A.SINAPI-I'!A:G,3,0),VLOOKUP(B329,'12.COT.MERCADO'!A:I,7,0))</f>
        <v>KG</v>
      </c>
      <c r="G329" s="1306">
        <v>0.272085</v>
      </c>
      <c r="H329" s="1298">
        <f>IF(C329="SINAPI",VLOOKUP(B329,'20-A.SINAPI-I'!A:G,4,0),VLOOKUP(B329,'12.COT.MERCADO'!A:I,8,0))</f>
        <v>37.56</v>
      </c>
      <c r="I329" s="1298">
        <f>IF(E329="Mão de Obra",H329*(1+'7. BDI SERVIÇOS'!$K$5),H329*(1+'8. BDI MERO FORNECIMENTO'!$K$5))</f>
        <v>43.99532702</v>
      </c>
      <c r="J329" s="1298">
        <f t="shared" si="1"/>
        <v>10.2195126</v>
      </c>
      <c r="K329" s="1298">
        <f t="shared" si="2"/>
        <v>11.97046855</v>
      </c>
      <c r="L329" s="1299">
        <f t="shared" si="3"/>
        <v>0.00003838892284</v>
      </c>
      <c r="M329" s="1300">
        <f t="shared" si="5"/>
        <v>0.7339814714</v>
      </c>
      <c r="N329" s="1301" t="str">
        <f t="shared" si="4"/>
        <v>A</v>
      </c>
    </row>
    <row r="330">
      <c r="A330" s="1291">
        <v>325.0</v>
      </c>
      <c r="B330" s="1292">
        <v>425.0</v>
      </c>
      <c r="C330" s="1304" t="s">
        <v>17759</v>
      </c>
      <c r="D330" s="1303" t="str">
        <f>IF(C330="SINAPI",VLOOKUP(B330,'20-A.SINAPI-I'!A:G,2,0),VLOOKUP(B330,'12.COT.MERCADO'!A:I,2,0))</f>
        <v>GRAMPO METALICO TIPO OLHAL PARA HASTE DE ATERRAMENTO DE 5/8'', CONDUTOR DE *10* A 50 MM2</v>
      </c>
      <c r="E330" s="1305" t="s">
        <v>18393</v>
      </c>
      <c r="F330" s="1296" t="str">
        <f>IF(C330="SINAPI",VLOOKUP(B330,'20-A.SINAPI-I'!A:G,3,0),VLOOKUP(B330,'12.COT.MERCADO'!A:I,7,0))</f>
        <v>UN</v>
      </c>
      <c r="G330" s="1306">
        <v>1.33</v>
      </c>
      <c r="H330" s="1298">
        <f>IF(C330="SINAPI",VLOOKUP(B330,'20-A.SINAPI-I'!A:G,4,0),VLOOKUP(B330,'12.COT.MERCADO'!A:I,8,0))</f>
        <v>6</v>
      </c>
      <c r="I330" s="1298">
        <f>IF(E330="Mão de Obra",H330*(1+'7. BDI SERVIÇOS'!$K$5),H330*(1+'8. BDI MERO FORNECIMENTO'!$K$5))</f>
        <v>7.028007511</v>
      </c>
      <c r="J330" s="1298">
        <f t="shared" si="1"/>
        <v>7.98</v>
      </c>
      <c r="K330" s="1298">
        <f t="shared" si="2"/>
        <v>9.347249989</v>
      </c>
      <c r="L330" s="1299">
        <f t="shared" si="3"/>
        <v>0.00002997634195</v>
      </c>
      <c r="M330" s="1300">
        <f t="shared" si="5"/>
        <v>0.7340114477</v>
      </c>
      <c r="N330" s="1301" t="str">
        <f t="shared" si="4"/>
        <v>A</v>
      </c>
    </row>
    <row r="331">
      <c r="A331" s="1291">
        <v>326.0</v>
      </c>
      <c r="B331" s="1292">
        <v>367.0</v>
      </c>
      <c r="C331" s="1304" t="s">
        <v>17759</v>
      </c>
      <c r="D331" s="1303" t="str">
        <f>IF(C331="SINAPI",VLOOKUP(B331,'20-A.SINAPI-I'!A:G,2,0),VLOOKUP(B331,'12.COT.MERCADO'!A:I,2,0))</f>
        <v>AREIA GROSSA - POSTO JAZIDA/FORNECEDOR (RETIRADO NA JAZIDA, SEM TRANSPORTE)</v>
      </c>
      <c r="E331" s="1305" t="s">
        <v>18393</v>
      </c>
      <c r="F331" s="1296" t="str">
        <f>IF(C331="SINAPI",VLOOKUP(B331,'20-A.SINAPI-I'!A:G,3,0),VLOOKUP(B331,'12.COT.MERCADO'!A:I,7,0))</f>
        <v>M3</v>
      </c>
      <c r="G331" s="1306">
        <v>0.1130578</v>
      </c>
      <c r="H331" s="1298">
        <f>IF(C331="SINAPI",VLOOKUP(B331,'20-A.SINAPI-I'!A:G,4,0),VLOOKUP(B331,'12.COT.MERCADO'!A:I,8,0))</f>
        <v>110.84</v>
      </c>
      <c r="I331" s="1298">
        <f>IF(E331="Mão de Obra",H331*(1+'7. BDI SERVIÇOS'!$K$5),H331*(1+'8. BDI MERO FORNECIMENTO'!$K$5))</f>
        <v>129.8307254</v>
      </c>
      <c r="J331" s="1298">
        <f t="shared" si="1"/>
        <v>12.53132655</v>
      </c>
      <c r="K331" s="1298">
        <f t="shared" si="2"/>
        <v>14.67837619</v>
      </c>
      <c r="L331" s="1299">
        <f t="shared" si="3"/>
        <v>0.00004707309898</v>
      </c>
      <c r="M331" s="1300">
        <f t="shared" si="5"/>
        <v>0.7340585208</v>
      </c>
      <c r="N331" s="1301" t="str">
        <f t="shared" si="4"/>
        <v>A</v>
      </c>
    </row>
    <row r="332">
      <c r="A332" s="1291">
        <v>327.0</v>
      </c>
      <c r="B332" s="1292">
        <v>20254.0</v>
      </c>
      <c r="C332" s="1304" t="s">
        <v>17759</v>
      </c>
      <c r="D332" s="1303" t="str">
        <f>IF(C332="SINAPI",VLOOKUP(B332,'20-A.SINAPI-I'!A:G,2,0),VLOOKUP(B332,'12.COT.MERCADO'!A:I,2,0))</f>
        <v>CAIXA DE PASSAGEM METALICA, DE SOBREPOR, COM TAMPA APARAFUSADA, DIMENSOES 15 X 15 X *10* CM</v>
      </c>
      <c r="E332" s="1305" t="s">
        <v>18393</v>
      </c>
      <c r="F332" s="1296" t="str">
        <f>IF(C332="SINAPI",VLOOKUP(B332,'20-A.SINAPI-I'!A:G,3,0),VLOOKUP(B332,'12.COT.MERCADO'!A:I,7,0))</f>
        <v>UN</v>
      </c>
      <c r="G332" s="1306">
        <v>0.33</v>
      </c>
      <c r="H332" s="1298">
        <f>IF(C332="SINAPI",VLOOKUP(B332,'20-A.SINAPI-I'!A:G,4,0),VLOOKUP(B332,'12.COT.MERCADO'!A:I,8,0))</f>
        <v>21.83</v>
      </c>
      <c r="I332" s="1298">
        <f>IF(E332="Mão de Obra",H332*(1+'7. BDI SERVIÇOS'!$K$5),H332*(1+'8. BDI MERO FORNECIMENTO'!$K$5))</f>
        <v>25.57023399</v>
      </c>
      <c r="J332" s="1298">
        <f t="shared" si="1"/>
        <v>7.2039</v>
      </c>
      <c r="K332" s="1298">
        <f t="shared" si="2"/>
        <v>8.438177218</v>
      </c>
      <c r="L332" s="1299">
        <f t="shared" si="3"/>
        <v>0.00002706097366</v>
      </c>
      <c r="M332" s="1300">
        <f t="shared" si="5"/>
        <v>0.7340855818</v>
      </c>
      <c r="N332" s="1301" t="str">
        <f t="shared" si="4"/>
        <v>A</v>
      </c>
    </row>
    <row r="333">
      <c r="A333" s="1291">
        <v>328.0</v>
      </c>
      <c r="B333" s="1292">
        <v>3855.0</v>
      </c>
      <c r="C333" s="1304" t="s">
        <v>17759</v>
      </c>
      <c r="D333" s="1303" t="str">
        <f>IF(C333="SINAPI",VLOOKUP(B333,'20-A.SINAPI-I'!A:G,2,0),VLOOKUP(B333,'12.COT.MERCADO'!A:I,2,0))</f>
        <v>LUVA SOLDAVEL COM BUCHA DE LATAO, PVC, 20 MM X 1/2"</v>
      </c>
      <c r="E333" s="1305" t="s">
        <v>18393</v>
      </c>
      <c r="F333" s="1296" t="str">
        <f>IF(C333="SINAPI",VLOOKUP(B333,'20-A.SINAPI-I'!A:G,3,0),VLOOKUP(B333,'12.COT.MERCADO'!A:I,7,0))</f>
        <v>UN</v>
      </c>
      <c r="G333" s="1306">
        <v>1.67</v>
      </c>
      <c r="H333" s="1298">
        <f>IF(C333="SINAPI",VLOOKUP(B333,'20-A.SINAPI-I'!A:G,4,0),VLOOKUP(B333,'12.COT.MERCADO'!A:I,8,0))</f>
        <v>5.41</v>
      </c>
      <c r="I333" s="1298">
        <f>IF(E333="Mão de Obra",H333*(1+'7. BDI SERVIÇOS'!$K$5),H333*(1+'8. BDI MERO FORNECIMENTO'!$K$5))</f>
        <v>6.336920106</v>
      </c>
      <c r="J333" s="1298">
        <f t="shared" si="1"/>
        <v>9.0347</v>
      </c>
      <c r="K333" s="1298">
        <f t="shared" si="2"/>
        <v>10.58265658</v>
      </c>
      <c r="L333" s="1299">
        <f t="shared" si="3"/>
        <v>0.00003393825271</v>
      </c>
      <c r="M333" s="1300">
        <f t="shared" si="5"/>
        <v>0.7341195201</v>
      </c>
      <c r="N333" s="1301" t="str">
        <f t="shared" si="4"/>
        <v>A</v>
      </c>
    </row>
    <row r="334">
      <c r="A334" s="1291">
        <v>329.0</v>
      </c>
      <c r="B334" s="1292">
        <v>3873.0</v>
      </c>
      <c r="C334" s="1304" t="s">
        <v>17759</v>
      </c>
      <c r="D334" s="1303" t="str">
        <f>IF(C334="SINAPI",VLOOKUP(B334,'20-A.SINAPI-I'!A:G,2,0),VLOOKUP(B334,'12.COT.MERCADO'!A:I,2,0))</f>
        <v>LUVA DE CORRER PARA TUBO SOLDAVEL, PVC, 25 MM, PARA AGUA FRIA PREDIAL</v>
      </c>
      <c r="E334" s="1305" t="s">
        <v>18393</v>
      </c>
      <c r="F334" s="1296" t="str">
        <f>IF(C334="SINAPI",VLOOKUP(B334,'20-A.SINAPI-I'!A:G,3,0),VLOOKUP(B334,'12.COT.MERCADO'!A:I,7,0))</f>
        <v>UN</v>
      </c>
      <c r="G334" s="1306">
        <v>0.67</v>
      </c>
      <c r="H334" s="1298">
        <f>IF(C334="SINAPI",VLOOKUP(B334,'20-A.SINAPI-I'!A:G,4,0),VLOOKUP(B334,'12.COT.MERCADO'!A:I,8,0))</f>
        <v>12.93</v>
      </c>
      <c r="I334" s="1298">
        <f>IF(E334="Mão de Obra",H334*(1+'7. BDI SERVIÇOS'!$K$5),H334*(1+'8. BDI MERO FORNECIMENTO'!$K$5))</f>
        <v>15.14535619</v>
      </c>
      <c r="J334" s="1298">
        <f t="shared" si="1"/>
        <v>8.6631</v>
      </c>
      <c r="K334" s="1298">
        <f t="shared" si="2"/>
        <v>10.14738864</v>
      </c>
      <c r="L334" s="1299">
        <f t="shared" si="3"/>
        <v>0.0000325423619</v>
      </c>
      <c r="M334" s="1300">
        <f t="shared" si="5"/>
        <v>0.7341520624</v>
      </c>
      <c r="N334" s="1301" t="str">
        <f t="shared" si="4"/>
        <v>A</v>
      </c>
    </row>
    <row r="335">
      <c r="A335" s="1291">
        <v>330.0</v>
      </c>
      <c r="B335" s="1292">
        <v>12892.0</v>
      </c>
      <c r="C335" s="1304" t="s">
        <v>17759</v>
      </c>
      <c r="D335" s="1303" t="str">
        <f>IF(C335="SINAPI",VLOOKUP(B335,'20-A.SINAPI-I'!A:G,2,0),VLOOKUP(B335,'12.COT.MERCADO'!A:I,2,0))</f>
        <v>LUVA RASPA DE COURO, CANO CURTO (PUNHO *7* CM)</v>
      </c>
      <c r="E335" s="1305" t="s">
        <v>18393</v>
      </c>
      <c r="F335" s="1296" t="str">
        <f>IF(C335="SINAPI",VLOOKUP(B335,'20-A.SINAPI-I'!A:G,3,0),VLOOKUP(B335,'12.COT.MERCADO'!A:I,7,0))</f>
        <v>PAR</v>
      </c>
      <c r="G335" s="1306">
        <v>0.67</v>
      </c>
      <c r="H335" s="1298">
        <f>IF(C335="SINAPI",VLOOKUP(B335,'20-A.SINAPI-I'!A:G,4,0),VLOOKUP(B335,'12.COT.MERCADO'!A:I,8,0))</f>
        <v>13.5</v>
      </c>
      <c r="I335" s="1298">
        <f>IF(E335="Mão de Obra",H335*(1+'7. BDI SERVIÇOS'!$K$5),H335*(1+'8. BDI MERO FORNECIMENTO'!$K$5))</f>
        <v>15.8130169</v>
      </c>
      <c r="J335" s="1298">
        <f t="shared" si="1"/>
        <v>9.045</v>
      </c>
      <c r="K335" s="1298">
        <f t="shared" si="2"/>
        <v>10.59472132</v>
      </c>
      <c r="L335" s="1299">
        <f t="shared" si="3"/>
        <v>0.00003397694398</v>
      </c>
      <c r="M335" s="1300">
        <f t="shared" si="5"/>
        <v>0.7341860394</v>
      </c>
      <c r="N335" s="1301" t="str">
        <f t="shared" si="4"/>
        <v>A</v>
      </c>
    </row>
    <row r="336">
      <c r="A336" s="1291">
        <v>331.0</v>
      </c>
      <c r="B336" s="1292">
        <v>20083.0</v>
      </c>
      <c r="C336" s="1304" t="s">
        <v>17759</v>
      </c>
      <c r="D336" s="1303" t="str">
        <f>IF(C336="SINAPI",VLOOKUP(B336,'20-A.SINAPI-I'!A:G,2,0),VLOOKUP(B336,'12.COT.MERCADO'!A:I,2,0))</f>
        <v>SOLUCAO PREPARADORA / LIMPADORA PARA PVC, FRASCO COM 1000 CM3</v>
      </c>
      <c r="E336" s="1305" t="s">
        <v>18393</v>
      </c>
      <c r="F336" s="1296" t="str">
        <f>IF(C336="SINAPI",VLOOKUP(B336,'20-A.SINAPI-I'!A:G,3,0),VLOOKUP(B336,'12.COT.MERCADO'!A:I,7,0))</f>
        <v>UN</v>
      </c>
      <c r="G336" s="1306">
        <v>0.0982021</v>
      </c>
      <c r="H336" s="1298">
        <f>IF(C336="SINAPI",VLOOKUP(B336,'20-A.SINAPI-I'!A:G,4,0),VLOOKUP(B336,'12.COT.MERCADO'!A:I,8,0))</f>
        <v>79.06</v>
      </c>
      <c r="I336" s="1298">
        <f>IF(E336="Mão de Obra",H336*(1+'7. BDI SERVIÇOS'!$K$5),H336*(1+'8. BDI MERO FORNECIMENTO'!$K$5))</f>
        <v>92.6057123</v>
      </c>
      <c r="J336" s="1298">
        <f t="shared" si="1"/>
        <v>7.763858026</v>
      </c>
      <c r="K336" s="1298">
        <f t="shared" si="2"/>
        <v>9.09407542</v>
      </c>
      <c r="L336" s="1299">
        <f t="shared" si="3"/>
        <v>0.00002916441893</v>
      </c>
      <c r="M336" s="1300">
        <f t="shared" si="5"/>
        <v>0.7342152038</v>
      </c>
      <c r="N336" s="1301" t="str">
        <f t="shared" si="4"/>
        <v>A</v>
      </c>
    </row>
    <row r="337">
      <c r="A337" s="1291">
        <v>332.0</v>
      </c>
      <c r="B337" s="1292">
        <v>43833.0</v>
      </c>
      <c r="C337" s="1304" t="s">
        <v>17759</v>
      </c>
      <c r="D337" s="1303" t="str">
        <f>IF(C337="SINAPI",VLOOKUP(B337,'20-A.SINAPI-I'!A:G,2,0),VLOOKUP(B337,'12.COT.MERCADO'!A:I,2,0))</f>
        <v>CABO COAXIAL RG6 95% DE MALHA</v>
      </c>
      <c r="E337" s="1305" t="s">
        <v>18393</v>
      </c>
      <c r="F337" s="1296" t="str">
        <f>IF(C337="SINAPI",VLOOKUP(B337,'20-A.SINAPI-I'!A:G,3,0),VLOOKUP(B337,'12.COT.MERCADO'!A:I,7,0))</f>
        <v>M</v>
      </c>
      <c r="G337" s="1306">
        <v>3.4965</v>
      </c>
      <c r="H337" s="1298">
        <f>IF(C337="SINAPI",VLOOKUP(B337,'20-A.SINAPI-I'!A:G,4,0),VLOOKUP(B337,'12.COT.MERCADO'!A:I,8,0))</f>
        <v>1.91</v>
      </c>
      <c r="I337" s="1298">
        <f>IF(E337="Mão de Obra",H337*(1+'7. BDI SERVIÇOS'!$K$5),H337*(1+'8. BDI MERO FORNECIMENTO'!$K$5))</f>
        <v>2.237249058</v>
      </c>
      <c r="J337" s="1298">
        <f t="shared" si="1"/>
        <v>6.678315</v>
      </c>
      <c r="K337" s="1298">
        <f t="shared" si="2"/>
        <v>7.82254133</v>
      </c>
      <c r="L337" s="1299">
        <f t="shared" si="3"/>
        <v>0.00002508664838</v>
      </c>
      <c r="M337" s="1300">
        <f t="shared" si="5"/>
        <v>0.7342402904</v>
      </c>
      <c r="N337" s="1301" t="str">
        <f t="shared" si="4"/>
        <v>A</v>
      </c>
    </row>
    <row r="338">
      <c r="A338" s="1291">
        <v>333.0</v>
      </c>
      <c r="B338" s="1292">
        <v>43492.0</v>
      </c>
      <c r="C338" s="1304" t="s">
        <v>17759</v>
      </c>
      <c r="D338" s="1303" t="str">
        <f>IF(C338="SINAPI",VLOOKUP(B338,'20-A.SINAPI-I'!A:G,2,0),VLOOKUP(B338,'12.COT.MERCADO'!A:I,2,0))</f>
        <v>EPI - FAMILIA SOLDADOR - HORISTA (ENCARGOS COMPLEMENTARES - COLETADO CAIXA)</v>
      </c>
      <c r="E338" s="1305" t="s">
        <v>18393</v>
      </c>
      <c r="F338" s="1296" t="str">
        <f>IF(C338="SINAPI",VLOOKUP(B338,'20-A.SINAPI-I'!A:G,3,0),VLOOKUP(B338,'12.COT.MERCADO'!A:I,7,0))</f>
        <v>H</v>
      </c>
      <c r="G338" s="1306">
        <v>5.0</v>
      </c>
      <c r="H338" s="1298">
        <f>IF(C338="SINAPI",VLOOKUP(B338,'20-A.SINAPI-I'!A:G,4,0),VLOOKUP(B338,'12.COT.MERCADO'!A:I,8,0))</f>
        <v>1.68</v>
      </c>
      <c r="I338" s="1298">
        <f>IF(E338="Mão de Obra",H338*(1+'7. BDI SERVIÇOS'!$K$5),H338*(1+'8. BDI MERO FORNECIMENTO'!$K$5))</f>
        <v>1.967842103</v>
      </c>
      <c r="J338" s="1298">
        <f t="shared" si="1"/>
        <v>8.4</v>
      </c>
      <c r="K338" s="1298">
        <f t="shared" si="2"/>
        <v>9.839210515</v>
      </c>
      <c r="L338" s="1299">
        <f t="shared" si="3"/>
        <v>0.00003155404416</v>
      </c>
      <c r="M338" s="1300">
        <f t="shared" si="5"/>
        <v>0.7342718445</v>
      </c>
      <c r="N338" s="1301" t="str">
        <f t="shared" si="4"/>
        <v>A</v>
      </c>
    </row>
    <row r="339">
      <c r="A339" s="1291">
        <v>334.0</v>
      </c>
      <c r="B339" s="1292">
        <v>11029.0</v>
      </c>
      <c r="C339" s="1304" t="s">
        <v>17759</v>
      </c>
      <c r="D339" s="1303" t="str">
        <f>IF(C339="SINAPI",VLOOKUP(B339,'20-A.SINAPI-I'!A:G,2,0),VLOOKUP(B339,'12.COT.MERCADO'!A:I,2,0))</f>
        <v>HASTE RETA PARA GANCHO DE FERRO GALVANIZADO, COM ROSCA 1/4 " X 30 CM PARA FIXACAO DE TELHA METALICA, INCLUI PORCA E ARRUELAS DE VEDACAO</v>
      </c>
      <c r="E339" s="1305" t="s">
        <v>18393</v>
      </c>
      <c r="F339" s="1296" t="str">
        <f>IF(C339="SINAPI",VLOOKUP(B339,'20-A.SINAPI-I'!A:G,3,0),VLOOKUP(B339,'12.COT.MERCADO'!A:I,7,0))</f>
        <v>CJ</v>
      </c>
      <c r="G339" s="1306">
        <v>5.5195</v>
      </c>
      <c r="H339" s="1298">
        <f>IF(C339="SINAPI",VLOOKUP(B339,'20-A.SINAPI-I'!A:G,4,0),VLOOKUP(B339,'12.COT.MERCADO'!A:I,8,0))</f>
        <v>1.41</v>
      </c>
      <c r="I339" s="1298">
        <f>IF(E339="Mão de Obra",H339*(1+'7. BDI SERVIÇOS'!$K$5),H339*(1+'8. BDI MERO FORNECIMENTO'!$K$5))</f>
        <v>1.651581765</v>
      </c>
      <c r="J339" s="1298">
        <f t="shared" si="1"/>
        <v>7.782495</v>
      </c>
      <c r="K339" s="1298">
        <f t="shared" si="2"/>
        <v>9.115905552</v>
      </c>
      <c r="L339" s="1299">
        <f t="shared" si="3"/>
        <v>0.00002923442749</v>
      </c>
      <c r="M339" s="1300">
        <f t="shared" si="5"/>
        <v>0.7343010789</v>
      </c>
      <c r="N339" s="1301" t="str">
        <f t="shared" si="4"/>
        <v>A</v>
      </c>
    </row>
    <row r="340">
      <c r="A340" s="1291">
        <v>335.0</v>
      </c>
      <c r="B340" s="1292">
        <v>38117.0</v>
      </c>
      <c r="C340" s="1304" t="s">
        <v>17759</v>
      </c>
      <c r="D340" s="1303" t="str">
        <f>IF(C340="SINAPI",VLOOKUP(B340,'20-A.SINAPI-I'!A:G,2,0),VLOOKUP(B340,'12.COT.MERCADO'!A:I,2,0))</f>
        <v>PULSADOR MINUTERIA 10A, 250V (APENAS MODULO)</v>
      </c>
      <c r="E340" s="1305" t="s">
        <v>18393</v>
      </c>
      <c r="F340" s="1296" t="str">
        <f>IF(C340="SINAPI",VLOOKUP(B340,'20-A.SINAPI-I'!A:G,3,0),VLOOKUP(B340,'12.COT.MERCADO'!A:I,7,0))</f>
        <v>UN</v>
      </c>
      <c r="G340" s="1306">
        <v>0.67</v>
      </c>
      <c r="H340" s="1298">
        <f>IF(C340="SINAPI",VLOOKUP(B340,'20-A.SINAPI-I'!A:G,4,0),VLOOKUP(B340,'12.COT.MERCADO'!A:I,8,0))</f>
        <v>10.56</v>
      </c>
      <c r="I340" s="1298">
        <f>IF(E340="Mão de Obra",H340*(1+'7. BDI SERVIÇOS'!$K$5),H340*(1+'8. BDI MERO FORNECIMENTO'!$K$5))</f>
        <v>12.36929322</v>
      </c>
      <c r="J340" s="1298">
        <f t="shared" si="1"/>
        <v>7.0752</v>
      </c>
      <c r="K340" s="1298">
        <f t="shared" si="2"/>
        <v>8.287426457</v>
      </c>
      <c r="L340" s="1299">
        <f t="shared" si="3"/>
        <v>0.00002657752062</v>
      </c>
      <c r="M340" s="1300">
        <f t="shared" si="5"/>
        <v>0.7343276564</v>
      </c>
      <c r="N340" s="1301" t="str">
        <f t="shared" si="4"/>
        <v>A</v>
      </c>
    </row>
    <row r="341">
      <c r="A341" s="1291">
        <v>336.0</v>
      </c>
      <c r="B341" s="1292">
        <v>3670.0</v>
      </c>
      <c r="C341" s="1304" t="s">
        <v>17759</v>
      </c>
      <c r="D341" s="1303" t="str">
        <f>IF(C341="SINAPI",VLOOKUP(B341,'20-A.SINAPI-I'!A:G,2,0),VLOOKUP(B341,'12.COT.MERCADO'!A:I,2,0))</f>
        <v>JUNCAO SIMPLES, PVC, 45 GRAUS, DN 100 X 100 MM, SERIE NORMAL PARA ESGOTO PREDIAL</v>
      </c>
      <c r="E341" s="1305" t="s">
        <v>18393</v>
      </c>
      <c r="F341" s="1296" t="str">
        <f>IF(C341="SINAPI",VLOOKUP(B341,'20-A.SINAPI-I'!A:G,3,0),VLOOKUP(B341,'12.COT.MERCADO'!A:I,7,0))</f>
        <v>UN</v>
      </c>
      <c r="G341" s="1306">
        <v>0.281</v>
      </c>
      <c r="H341" s="1298">
        <f>IF(C341="SINAPI",VLOOKUP(B341,'20-A.SINAPI-I'!A:G,4,0),VLOOKUP(B341,'12.COT.MERCADO'!A:I,8,0))</f>
        <v>27.4</v>
      </c>
      <c r="I341" s="1298">
        <f>IF(E341="Mão de Obra",H341*(1+'7. BDI SERVIÇOS'!$K$5),H341*(1+'8. BDI MERO FORNECIMENTO'!$K$5))</f>
        <v>32.09456763</v>
      </c>
      <c r="J341" s="1298">
        <f t="shared" si="1"/>
        <v>7.6994</v>
      </c>
      <c r="K341" s="1298">
        <f t="shared" si="2"/>
        <v>9.018573505</v>
      </c>
      <c r="L341" s="1299">
        <f t="shared" si="3"/>
        <v>0.00002892228662</v>
      </c>
      <c r="M341" s="1300">
        <f t="shared" si="5"/>
        <v>0.7343565787</v>
      </c>
      <c r="N341" s="1301" t="str">
        <f t="shared" si="4"/>
        <v>A</v>
      </c>
    </row>
    <row r="342">
      <c r="A342" s="1291">
        <v>337.0</v>
      </c>
      <c r="B342" s="1292">
        <v>37329.0</v>
      </c>
      <c r="C342" s="1304" t="s">
        <v>17759</v>
      </c>
      <c r="D342" s="1303" t="str">
        <f>IF(C342="SINAPI",VLOOKUP(B342,'20-A.SINAPI-I'!A:G,2,0),VLOOKUP(B342,'12.COT.MERCADO'!A:I,2,0))</f>
        <v>REJUNTE EPOXI, QUALQUER COR</v>
      </c>
      <c r="E342" s="1305" t="s">
        <v>18397</v>
      </c>
      <c r="F342" s="1296" t="str">
        <f>IF(C342="SINAPI",VLOOKUP(B342,'20-A.SINAPI-I'!A:G,3,0),VLOOKUP(B342,'12.COT.MERCADO'!A:I,7,0))</f>
        <v>KG</v>
      </c>
      <c r="G342" s="1306">
        <v>0.0881</v>
      </c>
      <c r="H342" s="1298">
        <f>IF(C342="SINAPI",VLOOKUP(B342,'20-A.SINAPI-I'!A:G,4,0),VLOOKUP(B342,'12.COT.MERCADO'!A:I,8,0))</f>
        <v>90.28</v>
      </c>
      <c r="I342" s="1298">
        <f>IF(E342="Mão de Obra",H342*(1+'7. BDI SERVIÇOS'!$K$5),H342*(1+'8. BDI MERO FORNECIMENTO'!$K$5))</f>
        <v>105.7480863</v>
      </c>
      <c r="J342" s="1298">
        <f t="shared" si="1"/>
        <v>7.953668</v>
      </c>
      <c r="K342" s="1298">
        <f t="shared" si="2"/>
        <v>9.316406407</v>
      </c>
      <c r="L342" s="1299">
        <f t="shared" si="3"/>
        <v>0.00002987742754</v>
      </c>
      <c r="M342" s="1300">
        <f t="shared" si="5"/>
        <v>0.7343864561</v>
      </c>
      <c r="N342" s="1301" t="str">
        <f t="shared" si="4"/>
        <v>A</v>
      </c>
    </row>
    <row r="343">
      <c r="A343" s="1291">
        <v>341.0</v>
      </c>
      <c r="B343" s="1292">
        <v>39435.0</v>
      </c>
      <c r="C343" s="1304" t="s">
        <v>17759</v>
      </c>
      <c r="D343" s="1303" t="str">
        <f>IF(C343="SINAPI",VLOOKUP(B343,'20-A.SINAPI-I'!A:G,2,0),VLOOKUP(B343,'12.COT.MERCADO'!A:I,2,0))</f>
        <v>PARAFUSO DRY WALL, EM ACO FOSFATIZADO, CABECA TROMBETA E PONTA AGULHA (TA), COMPRIMENTO 25 MM</v>
      </c>
      <c r="E343" s="1305" t="s">
        <v>18393</v>
      </c>
      <c r="F343" s="1296" t="str">
        <f>IF(C343="SINAPI",VLOOKUP(B343,'20-A.SINAPI-I'!A:G,3,0),VLOOKUP(B343,'12.COT.MERCADO'!A:I,7,0))</f>
        <v>UN</v>
      </c>
      <c r="G343" s="1306">
        <v>86.833418</v>
      </c>
      <c r="H343" s="1298">
        <f>IF(C343="SINAPI",VLOOKUP(B343,'20-A.SINAPI-I'!A:G,4,0),VLOOKUP(B343,'12.COT.MERCADO'!A:I,8,0))</f>
        <v>0.11</v>
      </c>
      <c r="I343" s="1298">
        <f>IF(E343="Mão de Obra",H343*(1+'7. BDI SERVIÇOS'!$K$5),H343*(1+'8. BDI MERO FORNECIMENTO'!$K$5))</f>
        <v>0.1288468044</v>
      </c>
      <c r="J343" s="1298">
        <f t="shared" si="1"/>
        <v>9.55167598</v>
      </c>
      <c r="K343" s="1298">
        <f t="shared" si="2"/>
        <v>11.18820842</v>
      </c>
      <c r="L343" s="1299">
        <f t="shared" si="3"/>
        <v>0.00003588023877</v>
      </c>
      <c r="M343" s="1300">
        <f t="shared" si="5"/>
        <v>0.7344223364</v>
      </c>
      <c r="N343" s="1301" t="str">
        <f t="shared" si="4"/>
        <v>A</v>
      </c>
    </row>
    <row r="344">
      <c r="A344" s="1291">
        <v>338.0</v>
      </c>
      <c r="B344" s="1292">
        <v>4509.0</v>
      </c>
      <c r="C344" s="1304" t="s">
        <v>17759</v>
      </c>
      <c r="D344" s="1303" t="str">
        <f>IF(C344="SINAPI",VLOOKUP(B344,'20-A.SINAPI-I'!A:G,2,0),VLOOKUP(B344,'12.COT.MERCADO'!A:I,2,0))</f>
        <v>SARRAFO *2,5 X 10* CM EM PINUS, MISTA OU EQUIVALENTE DA REGIAO - BRUTA</v>
      </c>
      <c r="E344" s="1305" t="s">
        <v>18393</v>
      </c>
      <c r="F344" s="1296" t="str">
        <f>IF(C344="SINAPI",VLOOKUP(B344,'20-A.SINAPI-I'!A:G,3,0),VLOOKUP(B344,'12.COT.MERCADO'!A:I,7,0))</f>
        <v>M</v>
      </c>
      <c r="G344" s="1306">
        <v>2.09375</v>
      </c>
      <c r="H344" s="1298">
        <f>IF(C344="SINAPI",VLOOKUP(B344,'20-A.SINAPI-I'!A:G,4,0),VLOOKUP(B344,'12.COT.MERCADO'!A:I,8,0))</f>
        <v>3.52</v>
      </c>
      <c r="I344" s="1298">
        <f>IF(E344="Mão de Obra",H344*(1+'7. BDI SERVIÇOS'!$K$5),H344*(1+'8. BDI MERO FORNECIMENTO'!$K$5))</f>
        <v>4.12309774</v>
      </c>
      <c r="J344" s="1298">
        <f t="shared" si="1"/>
        <v>7.37</v>
      </c>
      <c r="K344" s="1298">
        <f t="shared" si="2"/>
        <v>8.632735892</v>
      </c>
      <c r="L344" s="1299">
        <f t="shared" si="3"/>
        <v>0.00002768491732</v>
      </c>
      <c r="M344" s="1300">
        <f t="shared" si="5"/>
        <v>0.7344500213</v>
      </c>
      <c r="N344" s="1301" t="str">
        <f t="shared" si="4"/>
        <v>A</v>
      </c>
    </row>
    <row r="345">
      <c r="A345" s="1291">
        <v>339.0</v>
      </c>
      <c r="B345" s="1292">
        <v>3899.0</v>
      </c>
      <c r="C345" s="1304" t="s">
        <v>17759</v>
      </c>
      <c r="D345" s="1303" t="str">
        <f>IF(C345="SINAPI",VLOOKUP(B345,'20-A.SINAPI-I'!A:G,2,0),VLOOKUP(B345,'12.COT.MERCADO'!A:I,2,0))</f>
        <v>LUVA SIMPLES, PVC, SOLDAVEL, DN 100 MM, SERIE NORMAL, PARA ESGOTO PREDIAL</v>
      </c>
      <c r="E345" s="1305" t="s">
        <v>18393</v>
      </c>
      <c r="F345" s="1296" t="str">
        <f>IF(C345="SINAPI",VLOOKUP(B345,'20-A.SINAPI-I'!A:G,3,0),VLOOKUP(B345,'12.COT.MERCADO'!A:I,7,0))</f>
        <v>UN</v>
      </c>
      <c r="G345" s="1306">
        <v>0.9282</v>
      </c>
      <c r="H345" s="1298">
        <f>IF(C345="SINAPI",VLOOKUP(B345,'20-A.SINAPI-I'!A:G,4,0),VLOOKUP(B345,'12.COT.MERCADO'!A:I,8,0))</f>
        <v>7.48</v>
      </c>
      <c r="I345" s="1298">
        <f>IF(E345="Mão de Obra",H345*(1+'7. BDI SERVIÇOS'!$K$5),H345*(1+'8. BDI MERO FORNECIMENTO'!$K$5))</f>
        <v>8.761582697</v>
      </c>
      <c r="J345" s="1298">
        <f t="shared" si="1"/>
        <v>6.942936</v>
      </c>
      <c r="K345" s="1298">
        <f t="shared" si="2"/>
        <v>8.132501059</v>
      </c>
      <c r="L345" s="1299">
        <f t="shared" si="3"/>
        <v>0.00002608067966</v>
      </c>
      <c r="M345" s="1300">
        <f t="shared" si="5"/>
        <v>0.734476102</v>
      </c>
      <c r="N345" s="1301" t="str">
        <f t="shared" si="4"/>
        <v>A</v>
      </c>
    </row>
    <row r="346">
      <c r="A346" s="1291">
        <v>340.0</v>
      </c>
      <c r="B346" s="1292">
        <v>299.0</v>
      </c>
      <c r="C346" s="1304" t="s">
        <v>17759</v>
      </c>
      <c r="D346" s="1303" t="str">
        <f>IF(C346="SINAPI",VLOOKUP(B346,'20-A.SINAPI-I'!A:G,2,0),VLOOKUP(B346,'12.COT.MERCADO'!A:I,2,0))</f>
        <v>ANEL BORRACHA, DN 100 MM, PARA TUBO SERIE REFORCADA ESGOTO PREDIAL</v>
      </c>
      <c r="E346" s="1305" t="s">
        <v>18393</v>
      </c>
      <c r="F346" s="1296" t="str">
        <f>IF(C346="SINAPI",VLOOKUP(B346,'20-A.SINAPI-I'!A:G,3,0),VLOOKUP(B346,'12.COT.MERCADO'!A:I,7,0))</f>
        <v>UN</v>
      </c>
      <c r="G346" s="1306">
        <v>2.33</v>
      </c>
      <c r="H346" s="1298">
        <f>IF(C346="SINAPI",VLOOKUP(B346,'20-A.SINAPI-I'!A:G,4,0),VLOOKUP(B346,'12.COT.MERCADO'!A:I,8,0))</f>
        <v>3.11</v>
      </c>
      <c r="I346" s="1298">
        <f>IF(E346="Mão de Obra",H346*(1+'7. BDI SERVIÇOS'!$K$5),H346*(1+'8. BDI MERO FORNECIMENTO'!$K$5))</f>
        <v>3.64285056</v>
      </c>
      <c r="J346" s="1298">
        <f t="shared" si="1"/>
        <v>7.2463</v>
      </c>
      <c r="K346" s="1298">
        <f t="shared" si="2"/>
        <v>8.487841804</v>
      </c>
      <c r="L346" s="1299">
        <f t="shared" si="3"/>
        <v>0.00002722024645</v>
      </c>
      <c r="M346" s="1300">
        <f t="shared" si="5"/>
        <v>0.7345033222</v>
      </c>
      <c r="N346" s="1301" t="str">
        <f t="shared" si="4"/>
        <v>A</v>
      </c>
    </row>
    <row r="347">
      <c r="A347" s="1291">
        <v>342.0</v>
      </c>
      <c r="B347" s="1292">
        <v>13896.0</v>
      </c>
      <c r="C347" s="1304" t="s">
        <v>17759</v>
      </c>
      <c r="D347" s="1303" t="str">
        <f>IF(C347="SINAPI",VLOOKUP(B347,'20-A.SINAPI-I'!A:G,2,0),VLOOKUP(B347,'12.COT.MERCADO'!A:I,2,0))</f>
        <v>VIBRADOR DE IMERSAO, DIAMETRO DA PONTEIRA DE *45* MM, COM MOTOR ELETRICO TRIFASICO DE 2 HP (2 CV)</v>
      </c>
      <c r="E347" s="1305" t="s">
        <v>18393</v>
      </c>
      <c r="F347" s="1296" t="str">
        <f>IF(C347="SINAPI",VLOOKUP(B347,'20-A.SINAPI-I'!A:G,3,0),VLOOKUP(B347,'12.COT.MERCADO'!A:I,7,0))</f>
        <v>UN</v>
      </c>
      <c r="G347" s="1306">
        <v>0.0018567</v>
      </c>
      <c r="H347" s="1298">
        <f>IF(C347="SINAPI",VLOOKUP(B347,'20-A.SINAPI-I'!A:G,4,0),VLOOKUP(B347,'12.COT.MERCADO'!A:I,8,0))</f>
        <v>3498.64</v>
      </c>
      <c r="I347" s="1298">
        <f>IF(E347="Mão de Obra",H347*(1+'7. BDI SERVIÇOS'!$K$5),H347*(1+'8. BDI MERO FORNECIMENTO'!$K$5))</f>
        <v>4098.078033</v>
      </c>
      <c r="J347" s="1298">
        <f t="shared" si="1"/>
        <v>6.495924888</v>
      </c>
      <c r="K347" s="1298">
        <f t="shared" si="2"/>
        <v>7.608901484</v>
      </c>
      <c r="L347" s="1299">
        <f t="shared" si="3"/>
        <v>0.000024401512</v>
      </c>
      <c r="M347" s="1300">
        <f t="shared" si="5"/>
        <v>0.7345277237</v>
      </c>
      <c r="N347" s="1301" t="str">
        <f t="shared" si="4"/>
        <v>A</v>
      </c>
    </row>
    <row r="348">
      <c r="A348" s="1291">
        <v>343.0</v>
      </c>
      <c r="B348" s="1292">
        <v>4093.0</v>
      </c>
      <c r="C348" s="1304" t="s">
        <v>17759</v>
      </c>
      <c r="D348" s="1303" t="str">
        <f>IF(C348="SINAPI",VLOOKUP(B348,'20-A.SINAPI-I'!A:G,2,0),VLOOKUP(B348,'12.COT.MERCADO'!A:I,2,0))</f>
        <v>MOTORISTA DE CAMINHAO (HORISTA)</v>
      </c>
      <c r="E348" s="1305" t="s">
        <v>18393</v>
      </c>
      <c r="F348" s="1296" t="str">
        <f>IF(C348="SINAPI",VLOOKUP(B348,'20-A.SINAPI-I'!A:G,3,0),VLOOKUP(B348,'12.COT.MERCADO'!A:I,7,0))</f>
        <v>H</v>
      </c>
      <c r="G348" s="1306">
        <v>0.3316137</v>
      </c>
      <c r="H348" s="1298">
        <f>IF(C348="SINAPI",VLOOKUP(B348,'20-A.SINAPI-I'!A:G,4,0),VLOOKUP(B348,'12.COT.MERCADO'!A:I,8,0))</f>
        <v>21.3</v>
      </c>
      <c r="I348" s="1298">
        <f>IF(E348="Mão de Obra",H348*(1+'7. BDI SERVIÇOS'!$K$5),H348*(1+'8. BDI MERO FORNECIMENTO'!$K$5))</f>
        <v>24.94942666</v>
      </c>
      <c r="J348" s="1298">
        <f t="shared" si="1"/>
        <v>7.06337181</v>
      </c>
      <c r="K348" s="1298">
        <f t="shared" si="2"/>
        <v>8.273571689</v>
      </c>
      <c r="L348" s="1299">
        <f t="shared" si="3"/>
        <v>0.00002653308881</v>
      </c>
      <c r="M348" s="1300">
        <f t="shared" si="5"/>
        <v>0.7345542568</v>
      </c>
      <c r="N348" s="1301" t="str">
        <f t="shared" si="4"/>
        <v>A</v>
      </c>
    </row>
    <row r="349">
      <c r="A349" s="1291">
        <v>344.0</v>
      </c>
      <c r="B349" s="1292">
        <v>9868.0</v>
      </c>
      <c r="C349" s="1304" t="s">
        <v>17759</v>
      </c>
      <c r="D349" s="1303" t="str">
        <f>IF(C349="SINAPI",VLOOKUP(B349,'20-A.SINAPI-I'!A:G,2,0),VLOOKUP(B349,'12.COT.MERCADO'!A:I,2,0))</f>
        <v>TUBO PVC, SOLDAVEL, DE 25 MM, AGUA FRIA (NBR-5648)</v>
      </c>
      <c r="E349" s="1305" t="s">
        <v>18393</v>
      </c>
      <c r="F349" s="1296" t="str">
        <f>IF(C349="SINAPI",VLOOKUP(B349,'20-A.SINAPI-I'!A:G,3,0),VLOOKUP(B349,'12.COT.MERCADO'!A:I,7,0))</f>
        <v>M</v>
      </c>
      <c r="G349" s="1306">
        <v>1.395569</v>
      </c>
      <c r="H349" s="1298">
        <f>IF(C349="SINAPI",VLOOKUP(B349,'20-A.SINAPI-I'!A:G,4,0),VLOOKUP(B349,'12.COT.MERCADO'!A:I,8,0))</f>
        <v>4.35</v>
      </c>
      <c r="I349" s="1298">
        <f>IF(E349="Mão de Obra",H349*(1+'7. BDI SERVIÇOS'!$K$5),H349*(1+'8. BDI MERO FORNECIMENTO'!$K$5))</f>
        <v>5.095305445</v>
      </c>
      <c r="J349" s="1298">
        <f t="shared" si="1"/>
        <v>6.07072515</v>
      </c>
      <c r="K349" s="1298">
        <f t="shared" si="2"/>
        <v>7.110850325</v>
      </c>
      <c r="L349" s="1299">
        <f t="shared" si="3"/>
        <v>0.00002280427732</v>
      </c>
      <c r="M349" s="1300">
        <f t="shared" si="5"/>
        <v>0.7345770611</v>
      </c>
      <c r="N349" s="1301" t="str">
        <f t="shared" si="4"/>
        <v>A</v>
      </c>
    </row>
    <row r="350">
      <c r="A350" s="1291">
        <v>349.0</v>
      </c>
      <c r="B350" s="1292">
        <v>2580.0</v>
      </c>
      <c r="C350" s="1304" t="s">
        <v>17759</v>
      </c>
      <c r="D350" s="1303" t="str">
        <f>IF(C350="SINAPI",VLOOKUP(B350,'20-A.SINAPI-I'!A:G,2,0),VLOOKUP(B350,'12.COT.MERCADO'!A:I,2,0))</f>
        <v>CONDULETE DE ALUMINIO TIPO X, PARA ELETRODUTO ROSCAVEL DE 3/4", COM TAMPA CEGA</v>
      </c>
      <c r="E350" s="1305" t="s">
        <v>18394</v>
      </c>
      <c r="F350" s="1296" t="str">
        <f>IF(C350="SINAPI",VLOOKUP(B350,'20-A.SINAPI-I'!A:G,3,0),VLOOKUP(B350,'12.COT.MERCADO'!A:I,7,0))</f>
        <v>UN</v>
      </c>
      <c r="G350" s="1306">
        <v>0.33</v>
      </c>
      <c r="H350" s="1298">
        <f>IF(C350="SINAPI",VLOOKUP(B350,'20-A.SINAPI-I'!A:G,4,0),VLOOKUP(B350,'12.COT.MERCADO'!A:I,8,0))</f>
        <v>21.24</v>
      </c>
      <c r="I350" s="1298">
        <f>IF(E350="Mão de Obra",H350*(1+'7. BDI SERVIÇOS'!$K$5),H350*(1+'8. BDI MERO FORNECIMENTO'!$K$5))</f>
        <v>24.93412388</v>
      </c>
      <c r="J350" s="1298">
        <f t="shared" si="1"/>
        <v>7.0092</v>
      </c>
      <c r="K350" s="1298">
        <f t="shared" si="2"/>
        <v>8.228260881</v>
      </c>
      <c r="L350" s="1299">
        <f t="shared" si="3"/>
        <v>0.00002638777845</v>
      </c>
      <c r="M350" s="1300">
        <f t="shared" si="5"/>
        <v>0.7346034489</v>
      </c>
      <c r="N350" s="1301" t="str">
        <f t="shared" si="4"/>
        <v>A</v>
      </c>
    </row>
    <row r="351">
      <c r="A351" s="1291">
        <v>345.0</v>
      </c>
      <c r="B351" s="1292">
        <v>11621.0</v>
      </c>
      <c r="C351" s="1304" t="s">
        <v>17759</v>
      </c>
      <c r="D351" s="1303" t="str">
        <f>IF(C351="SINAPI",VLOOKUP(B351,'20-A.SINAPI-I'!A:G,2,0),VLOOKUP(B351,'12.COT.MERCADO'!A:I,2,0))</f>
        <v>MANTA ASFALTICA ELASTOMERICA EM POLIESTER ALUMINIZADA 3 MM, TIPO III, CLASSE B (NBR 9952)</v>
      </c>
      <c r="E351" s="1305" t="s">
        <v>18393</v>
      </c>
      <c r="F351" s="1296" t="str">
        <f>IF(C351="SINAPI",VLOOKUP(B351,'20-A.SINAPI-I'!A:G,3,0),VLOOKUP(B351,'12.COT.MERCADO'!A:I,7,0))</f>
        <v>M2</v>
      </c>
      <c r="G351" s="1306">
        <v>0.11154</v>
      </c>
      <c r="H351" s="1298">
        <f>IF(C351="SINAPI",VLOOKUP(B351,'20-A.SINAPI-I'!A:G,4,0),VLOOKUP(B351,'12.COT.MERCADO'!A:I,8,0))</f>
        <v>55.37</v>
      </c>
      <c r="I351" s="1298">
        <f>IF(E351="Mão de Obra",H351*(1+'7. BDI SERVIÇOS'!$K$5),H351*(1+'8. BDI MERO FORNECIMENTO'!$K$5))</f>
        <v>64.85679598</v>
      </c>
      <c r="J351" s="1298">
        <f t="shared" si="1"/>
        <v>6.1759698</v>
      </c>
      <c r="K351" s="1298">
        <f t="shared" si="2"/>
        <v>7.234127023</v>
      </c>
      <c r="L351" s="1299">
        <f t="shared" si="3"/>
        <v>0.00002319962188</v>
      </c>
      <c r="M351" s="1300">
        <f t="shared" si="5"/>
        <v>0.7346266485</v>
      </c>
      <c r="N351" s="1301" t="str">
        <f t="shared" si="4"/>
        <v>A</v>
      </c>
    </row>
    <row r="352">
      <c r="A352" s="1291">
        <v>347.0</v>
      </c>
      <c r="B352" s="1292">
        <v>1574.0</v>
      </c>
      <c r="C352" s="1304" t="s">
        <v>17759</v>
      </c>
      <c r="D352" s="1303" t="str">
        <f>IF(C352="SINAPI",VLOOKUP(B352,'20-A.SINAPI-I'!A:G,2,0),VLOOKUP(B352,'12.COT.MERCADO'!A:I,2,0))</f>
        <v>TERMINAL A COMPRESSAO EM COBRE ESTANHADO PARA CABO 10 MM2, 1 FURO E 1 COMPRESSAO, PARA PARAFUSO DE FIXACAO M6</v>
      </c>
      <c r="E352" s="1305" t="s">
        <v>18393</v>
      </c>
      <c r="F352" s="1296" t="str">
        <f>IF(C352="SINAPI",VLOOKUP(B352,'20-A.SINAPI-I'!A:G,3,0),VLOOKUP(B352,'12.COT.MERCADO'!A:I,7,0))</f>
        <v>UN</v>
      </c>
      <c r="G352" s="1306">
        <v>3.99</v>
      </c>
      <c r="H352" s="1298">
        <f>IF(C352="SINAPI",VLOOKUP(B352,'20-A.SINAPI-I'!A:G,4,0),VLOOKUP(B352,'12.COT.MERCADO'!A:I,8,0))</f>
        <v>1.66</v>
      </c>
      <c r="I352" s="1298">
        <f>IF(E352="Mão de Obra",H352*(1+'7. BDI SERVIÇOS'!$K$5),H352*(1+'8. BDI MERO FORNECIMENTO'!$K$5))</f>
        <v>1.944415411</v>
      </c>
      <c r="J352" s="1298">
        <f t="shared" si="1"/>
        <v>6.6234</v>
      </c>
      <c r="K352" s="1298">
        <f t="shared" si="2"/>
        <v>7.758217491</v>
      </c>
      <c r="L352" s="1299">
        <f t="shared" si="3"/>
        <v>0.00002488036382</v>
      </c>
      <c r="M352" s="1300">
        <f t="shared" si="5"/>
        <v>0.7346515289</v>
      </c>
      <c r="N352" s="1301" t="str">
        <f t="shared" si="4"/>
        <v>A</v>
      </c>
    </row>
    <row r="353">
      <c r="A353" s="1291">
        <v>348.0</v>
      </c>
      <c r="B353" s="1292">
        <v>43468.0</v>
      </c>
      <c r="C353" s="1304" t="s">
        <v>17759</v>
      </c>
      <c r="D353" s="1303" t="str">
        <f>IF(C353="SINAPI",VLOOKUP(B353,'20-A.SINAPI-I'!A:G,2,0),VLOOKUP(B353,'12.COT.MERCADO'!A:I,2,0))</f>
        <v>FERRAMENTAS - FAMILIA SOLDADOR - HORISTA (ENCARGOS COMPLEMENTARES - COLETADO CAIXA)</v>
      </c>
      <c r="E353" s="1305" t="s">
        <v>18397</v>
      </c>
      <c r="F353" s="1296" t="str">
        <f>IF(C353="SINAPI",VLOOKUP(B353,'20-A.SINAPI-I'!A:G,3,0),VLOOKUP(B353,'12.COT.MERCADO'!A:I,7,0))</f>
        <v>H</v>
      </c>
      <c r="G353" s="1306">
        <v>5.0</v>
      </c>
      <c r="H353" s="1298">
        <f>IF(C353="SINAPI",VLOOKUP(B353,'20-A.SINAPI-I'!A:G,4,0),VLOOKUP(B353,'12.COT.MERCADO'!A:I,8,0))</f>
        <v>1.17</v>
      </c>
      <c r="I353" s="1298">
        <f>IF(E353="Mão de Obra",H353*(1+'7. BDI SERVIÇOS'!$K$5),H353*(1+'8. BDI MERO FORNECIMENTO'!$K$5))</f>
        <v>1.370461465</v>
      </c>
      <c r="J353" s="1298">
        <f t="shared" si="1"/>
        <v>5.85</v>
      </c>
      <c r="K353" s="1298">
        <f t="shared" si="2"/>
        <v>6.852307323</v>
      </c>
      <c r="L353" s="1299">
        <f t="shared" si="3"/>
        <v>0.0000219751379</v>
      </c>
      <c r="M353" s="1300">
        <f t="shared" si="5"/>
        <v>0.734673504</v>
      </c>
      <c r="N353" s="1301" t="str">
        <f t="shared" si="4"/>
        <v>A</v>
      </c>
    </row>
    <row r="354">
      <c r="A354" s="1291">
        <v>350.0</v>
      </c>
      <c r="B354" s="1292">
        <v>7170.0</v>
      </c>
      <c r="C354" s="1304" t="s">
        <v>17759</v>
      </c>
      <c r="D354" s="1303" t="str">
        <f>IF(C354="SINAPI",VLOOKUP(B354,'20-A.SINAPI-I'!A:G,2,0),VLOOKUP(B354,'12.COT.MERCADO'!A:I,2,0))</f>
        <v>TELA FACHADEIRA EM POLIETILENO, ROLO DE 3 X 100 M (L X C), COR BRANCA, SEM LOGOMARCA - PARA PROTECAO DE OBRAS</v>
      </c>
      <c r="E354" s="1305" t="s">
        <v>18393</v>
      </c>
      <c r="F354" s="1296" t="str">
        <f>IF(C354="SINAPI",VLOOKUP(B354,'20-A.SINAPI-I'!A:G,3,0),VLOOKUP(B354,'12.COT.MERCADO'!A:I,7,0))</f>
        <v>M2</v>
      </c>
      <c r="G354" s="1306">
        <v>2.354</v>
      </c>
      <c r="H354" s="1298">
        <f>IF(C354="SINAPI",VLOOKUP(B354,'20-A.SINAPI-I'!A:G,4,0),VLOOKUP(B354,'12.COT.MERCADO'!A:I,8,0))</f>
        <v>2.19</v>
      </c>
      <c r="I354" s="1298">
        <f>IF(E354="Mão de Obra",H354*(1+'7. BDI SERVIÇOS'!$K$5),H354*(1+'8. BDI MERO FORNECIMENTO'!$K$5))</f>
        <v>2.565222741</v>
      </c>
      <c r="J354" s="1298">
        <f t="shared" si="1"/>
        <v>5.15526</v>
      </c>
      <c r="K354" s="1298">
        <f t="shared" si="2"/>
        <v>6.038534333</v>
      </c>
      <c r="L354" s="1299">
        <f t="shared" si="3"/>
        <v>0.00001936539306</v>
      </c>
      <c r="M354" s="1300">
        <f t="shared" si="5"/>
        <v>0.7346928694</v>
      </c>
      <c r="N354" s="1301" t="str">
        <f t="shared" si="4"/>
        <v>A</v>
      </c>
    </row>
    <row r="355">
      <c r="A355" s="1291">
        <v>351.0</v>
      </c>
      <c r="B355" s="1292">
        <v>7307.0</v>
      </c>
      <c r="C355" s="1304" t="s">
        <v>17759</v>
      </c>
      <c r="D355" s="1303" t="str">
        <f>IF(C355="SINAPI",VLOOKUP(B355,'20-A.SINAPI-I'!A:G,2,0),VLOOKUP(B355,'12.COT.MERCADO'!A:I,2,0))</f>
        <v>FUNDO ANTICORROSIVO PARA METAIS FERROSOS (ZARCAO)</v>
      </c>
      <c r="E355" s="1305" t="s">
        <v>18397</v>
      </c>
      <c r="F355" s="1296" t="str">
        <f>IF(C355="SINAPI",VLOOKUP(B355,'20-A.SINAPI-I'!A:G,3,0),VLOOKUP(B355,'12.COT.MERCADO'!A:I,7,0))</f>
        <v>L</v>
      </c>
      <c r="G355" s="1306">
        <v>0.144</v>
      </c>
      <c r="H355" s="1298">
        <f>IF(C355="SINAPI",VLOOKUP(B355,'20-A.SINAPI-I'!A:G,4,0),VLOOKUP(B355,'12.COT.MERCADO'!A:I,8,0))</f>
        <v>40.72</v>
      </c>
      <c r="I355" s="1298">
        <f>IF(E355="Mão de Obra",H355*(1+'7. BDI SERVIÇOS'!$K$5),H355*(1+'8. BDI MERO FORNECIMENTO'!$K$5))</f>
        <v>47.69674431</v>
      </c>
      <c r="J355" s="1298">
        <f t="shared" si="1"/>
        <v>5.86368</v>
      </c>
      <c r="K355" s="1298">
        <f t="shared" si="2"/>
        <v>6.86833118</v>
      </c>
      <c r="L355" s="1299">
        <f t="shared" si="3"/>
        <v>0.00002202652591</v>
      </c>
      <c r="M355" s="1300">
        <f t="shared" si="5"/>
        <v>0.7347148959</v>
      </c>
      <c r="N355" s="1301" t="str">
        <f t="shared" si="4"/>
        <v>A</v>
      </c>
    </row>
    <row r="356">
      <c r="A356" s="1291">
        <v>346.0</v>
      </c>
      <c r="B356" s="1292">
        <v>122.0</v>
      </c>
      <c r="C356" s="1304" t="s">
        <v>17759</v>
      </c>
      <c r="D356" s="1303" t="str">
        <f>IF(C356="SINAPI",VLOOKUP(B356,'20-A.SINAPI-I'!A:G,2,0),VLOOKUP(B356,'12.COT.MERCADO'!A:I,2,0))</f>
        <v>ADESIVO PLASTICO PARA PVC, FRASCO COM *850* GR</v>
      </c>
      <c r="E356" s="1305" t="s">
        <v>18393</v>
      </c>
      <c r="F356" s="1296" t="str">
        <f>IF(C356="SINAPI",VLOOKUP(B356,'20-A.SINAPI-I'!A:G,3,0),VLOOKUP(B356,'12.COT.MERCADO'!A:I,7,0))</f>
        <v>UN</v>
      </c>
      <c r="G356" s="1306">
        <v>0.0720493</v>
      </c>
      <c r="H356" s="1298">
        <f>IF(C356="SINAPI",VLOOKUP(B356,'20-A.SINAPI-I'!A:G,4,0),VLOOKUP(B356,'12.COT.MERCADO'!A:I,8,0))</f>
        <v>69.78</v>
      </c>
      <c r="I356" s="1298">
        <f>IF(E356="Mão de Obra",H356*(1+'7. BDI SERVIÇOS'!$K$5),H356*(1+'8. BDI MERO FORNECIMENTO'!$K$5))</f>
        <v>81.73572735</v>
      </c>
      <c r="J356" s="1298">
        <f t="shared" si="1"/>
        <v>5.027600154</v>
      </c>
      <c r="K356" s="1298">
        <f t="shared" si="2"/>
        <v>5.889001941</v>
      </c>
      <c r="L356" s="1299">
        <f t="shared" si="3"/>
        <v>0.00001888584729</v>
      </c>
      <c r="M356" s="1300">
        <f t="shared" si="5"/>
        <v>0.7347337818</v>
      </c>
      <c r="N356" s="1301" t="str">
        <f t="shared" si="4"/>
        <v>A</v>
      </c>
    </row>
    <row r="357">
      <c r="A357" s="1291">
        <v>352.0</v>
      </c>
      <c r="B357" s="1292">
        <v>298.0</v>
      </c>
      <c r="C357" s="1304" t="s">
        <v>17759</v>
      </c>
      <c r="D357" s="1303" t="str">
        <f>IF(C357="SINAPI",VLOOKUP(B357,'20-A.SINAPI-I'!A:G,2,0),VLOOKUP(B357,'12.COT.MERCADO'!A:I,2,0))</f>
        <v>ANEL BORRACHA, DN 75 MM, PARA TUBO SERIE REFORCADA ESGOTO PREDIAL</v>
      </c>
      <c r="E357" s="1305" t="s">
        <v>18393</v>
      </c>
      <c r="F357" s="1296" t="str">
        <f>IF(C357="SINAPI",VLOOKUP(B357,'20-A.SINAPI-I'!A:G,3,0),VLOOKUP(B357,'12.COT.MERCADO'!A:I,7,0))</f>
        <v>UN</v>
      </c>
      <c r="G357" s="1306">
        <v>2.33</v>
      </c>
      <c r="H357" s="1298">
        <f>IF(C357="SINAPI",VLOOKUP(B357,'20-A.SINAPI-I'!A:G,4,0),VLOOKUP(B357,'12.COT.MERCADO'!A:I,8,0))</f>
        <v>2.39</v>
      </c>
      <c r="I357" s="1298">
        <f>IF(E357="Mão de Obra",H357*(1+'7. BDI SERVIÇOS'!$K$5),H357*(1+'8. BDI MERO FORNECIMENTO'!$K$5))</f>
        <v>2.799489658</v>
      </c>
      <c r="J357" s="1298">
        <f t="shared" si="1"/>
        <v>5.5687</v>
      </c>
      <c r="K357" s="1298">
        <f t="shared" si="2"/>
        <v>6.522810904</v>
      </c>
      <c r="L357" s="1299">
        <f t="shared" si="3"/>
        <v>0.00002091845306</v>
      </c>
      <c r="M357" s="1300">
        <f t="shared" si="5"/>
        <v>0.7347547002</v>
      </c>
      <c r="N357" s="1301" t="str">
        <f t="shared" si="4"/>
        <v>A</v>
      </c>
    </row>
    <row r="358">
      <c r="A358" s="1291">
        <v>353.0</v>
      </c>
      <c r="B358" s="1292">
        <v>1570.0</v>
      </c>
      <c r="C358" s="1304" t="s">
        <v>17759</v>
      </c>
      <c r="D358" s="1303" t="str">
        <f>IF(C358="SINAPI",VLOOKUP(B358,'20-A.SINAPI-I'!A:G,2,0),VLOOKUP(B358,'12.COT.MERCADO'!A:I,2,0))</f>
        <v>TERMINAL A COMPRESSAO EM COBRE ESTANHADO PARA CABO 2,5 MM2, 1 FURO E 1 COMPRESSAO, PARA PARAFUSO DE FIXACAO M5</v>
      </c>
      <c r="E358" s="1305" t="s">
        <v>18393</v>
      </c>
      <c r="F358" s="1296" t="str">
        <f>IF(C358="SINAPI",VLOOKUP(B358,'20-A.SINAPI-I'!A:G,3,0),VLOOKUP(B358,'12.COT.MERCADO'!A:I,7,0))</f>
        <v>UN</v>
      </c>
      <c r="G358" s="1306">
        <v>6.0</v>
      </c>
      <c r="H358" s="1298">
        <f>IF(C358="SINAPI",VLOOKUP(B358,'20-A.SINAPI-I'!A:G,4,0),VLOOKUP(B358,'12.COT.MERCADO'!A:I,8,0))</f>
        <v>0.99</v>
      </c>
      <c r="I358" s="1298">
        <f>IF(E358="Mão de Obra",H358*(1+'7. BDI SERVIÇOS'!$K$5),H358*(1+'8. BDI MERO FORNECIMENTO'!$K$5))</f>
        <v>1.159621239</v>
      </c>
      <c r="J358" s="1298">
        <f t="shared" si="1"/>
        <v>5.94</v>
      </c>
      <c r="K358" s="1298">
        <f t="shared" si="2"/>
        <v>6.957727436</v>
      </c>
      <c r="L358" s="1299">
        <f t="shared" si="3"/>
        <v>0.00002231321694</v>
      </c>
      <c r="M358" s="1300">
        <f t="shared" si="5"/>
        <v>0.7347770134</v>
      </c>
      <c r="N358" s="1301" t="str">
        <f t="shared" si="4"/>
        <v>A</v>
      </c>
    </row>
    <row r="359">
      <c r="A359" s="1291">
        <v>354.0</v>
      </c>
      <c r="B359" s="1292">
        <v>43652.0</v>
      </c>
      <c r="C359" s="1304" t="s">
        <v>17759</v>
      </c>
      <c r="D359" s="1303" t="str">
        <f>IF(C359="SINAPI",VLOOKUP(B359,'20-A.SINAPI-I'!A:G,2,0),VLOOKUP(B359,'12.COT.MERCADO'!A:I,2,0))</f>
        <v>MASSA PARA MADEIRA - INTERIOR E EXTERIOR</v>
      </c>
      <c r="E359" s="1305" t="s">
        <v>18393</v>
      </c>
      <c r="F359" s="1296" t="str">
        <f>IF(C359="SINAPI",VLOOKUP(B359,'20-A.SINAPI-I'!A:G,3,0),VLOOKUP(B359,'12.COT.MERCADO'!A:I,7,0))</f>
        <v>KG</v>
      </c>
      <c r="G359" s="1306">
        <v>0.251786</v>
      </c>
      <c r="H359" s="1298">
        <f>IF(C359="SINAPI",VLOOKUP(B359,'20-A.SINAPI-I'!A:G,4,0),VLOOKUP(B359,'12.COT.MERCADO'!A:I,8,0))</f>
        <v>19.79</v>
      </c>
      <c r="I359" s="1298">
        <f>IF(E359="Mão de Obra",H359*(1+'7. BDI SERVIÇOS'!$K$5),H359*(1+'8. BDI MERO FORNECIMENTO'!$K$5))</f>
        <v>23.18071144</v>
      </c>
      <c r="J359" s="1298">
        <f t="shared" si="1"/>
        <v>4.98284494</v>
      </c>
      <c r="K359" s="1298">
        <f t="shared" si="2"/>
        <v>5.836578611</v>
      </c>
      <c r="L359" s="1299">
        <f t="shared" si="3"/>
        <v>0.00001871772729</v>
      </c>
      <c r="M359" s="1300">
        <f t="shared" si="5"/>
        <v>0.7347957312</v>
      </c>
      <c r="N359" s="1301" t="str">
        <f t="shared" si="4"/>
        <v>A</v>
      </c>
    </row>
    <row r="360">
      <c r="A360" s="1291">
        <v>355.0</v>
      </c>
      <c r="B360" s="1292">
        <v>5330.0</v>
      </c>
      <c r="C360" s="1304" t="s">
        <v>17759</v>
      </c>
      <c r="D360" s="1303" t="str">
        <f>IF(C360="SINAPI",VLOOKUP(B360,'20-A.SINAPI-I'!A:G,2,0),VLOOKUP(B360,'12.COT.MERCADO'!A:I,2,0))</f>
        <v>DILUENTE EPOXI</v>
      </c>
      <c r="E360" s="1305" t="s">
        <v>18393</v>
      </c>
      <c r="F360" s="1296" t="str">
        <f>IF(C360="SINAPI",VLOOKUP(B360,'20-A.SINAPI-I'!A:G,3,0),VLOOKUP(B360,'12.COT.MERCADO'!A:I,7,0))</f>
        <v>L</v>
      </c>
      <c r="G360" s="1306">
        <v>0.11039</v>
      </c>
      <c r="H360" s="1298">
        <f>IF(C360="SINAPI",VLOOKUP(B360,'20-A.SINAPI-I'!A:G,4,0),VLOOKUP(B360,'12.COT.MERCADO'!A:I,8,0))</f>
        <v>51.49</v>
      </c>
      <c r="I360" s="1298">
        <f>IF(E360="Mão de Obra",H360*(1+'7. BDI SERVIÇOS'!$K$5),H360*(1+'8. BDI MERO FORNECIMENTO'!$K$5))</f>
        <v>60.31201779</v>
      </c>
      <c r="J360" s="1298">
        <f t="shared" si="1"/>
        <v>5.6839811</v>
      </c>
      <c r="K360" s="1298">
        <f t="shared" si="2"/>
        <v>6.657843644</v>
      </c>
      <c r="L360" s="1299">
        <f t="shared" si="3"/>
        <v>0.00002135149888</v>
      </c>
      <c r="M360" s="1300">
        <f t="shared" si="5"/>
        <v>0.7348170827</v>
      </c>
      <c r="N360" s="1301" t="str">
        <f t="shared" si="4"/>
        <v>A</v>
      </c>
    </row>
    <row r="361">
      <c r="A361" s="1291">
        <v>356.0</v>
      </c>
      <c r="B361" s="1292">
        <v>37586.0</v>
      </c>
      <c r="C361" s="1304" t="s">
        <v>17759</v>
      </c>
      <c r="D361" s="1303" t="str">
        <f>IF(C361="SINAPI",VLOOKUP(B361,'20-A.SINAPI-I'!A:G,2,0),VLOOKUP(B361,'12.COT.MERCADO'!A:I,2,0))</f>
        <v>PINO DE ACO COM ARRUELA CONICA, DIAMETRO ARRUELA = *23* MM E COMP HASTE = *27* MM (ACAO INDIRETA)</v>
      </c>
      <c r="E361" s="1305" t="s">
        <v>18393</v>
      </c>
      <c r="F361" s="1296" t="str">
        <f>IF(C361="SINAPI",VLOOKUP(B361,'20-A.SINAPI-I'!A:G,3,0),VLOOKUP(B361,'12.COT.MERCADO'!A:I,7,0))</f>
        <v>CENTO</v>
      </c>
      <c r="G361" s="1306">
        <v>0.105462</v>
      </c>
      <c r="H361" s="1298">
        <f>IF(C361="SINAPI",VLOOKUP(B361,'20-A.SINAPI-I'!A:G,4,0),VLOOKUP(B361,'12.COT.MERCADO'!A:I,8,0))</f>
        <v>45.05</v>
      </c>
      <c r="I361" s="1298">
        <f>IF(E361="Mão de Obra",H361*(1+'7. BDI SERVIÇOS'!$K$5),H361*(1+'8. BDI MERO FORNECIMENTO'!$K$5))</f>
        <v>52.76862306</v>
      </c>
      <c r="J361" s="1298">
        <f t="shared" si="1"/>
        <v>4.7510631</v>
      </c>
      <c r="K361" s="1298">
        <f t="shared" si="2"/>
        <v>5.565084525</v>
      </c>
      <c r="L361" s="1299">
        <f t="shared" si="3"/>
        <v>0.00001784705415</v>
      </c>
      <c r="M361" s="1300">
        <f t="shared" si="5"/>
        <v>0.7348349297</v>
      </c>
      <c r="N361" s="1301" t="str">
        <f t="shared" si="4"/>
        <v>A</v>
      </c>
    </row>
    <row r="362">
      <c r="A362" s="1291">
        <v>360.0</v>
      </c>
      <c r="B362" s="1292" t="s">
        <v>1160</v>
      </c>
      <c r="C362" s="1304" t="s">
        <v>1785</v>
      </c>
      <c r="D362" s="1302" t="str">
        <f>IF(C362="SINAPI",VLOOKUP(B362,'20-A.SINAPI-I'!A:G,2,0),VLOOKUP(B362,'12.COT.MERCADO'!A:I,2,0))</f>
        <v>Arruela lisa de aço galvanizada de Ø 1/4"</v>
      </c>
      <c r="E362" s="1305" t="s">
        <v>18393</v>
      </c>
      <c r="F362" s="1296" t="str">
        <f>IF(C362="SINAPI",VLOOKUP(B362,'20-A.SINAPI-I'!A:G,3,0),VLOOKUP(B362,'12.COT.MERCADO'!A:I,7,0))</f>
        <v>UN </v>
      </c>
      <c r="G362" s="1306">
        <v>57.0</v>
      </c>
      <c r="H362" s="1298">
        <f>IF(C362="SINAPI",VLOOKUP(B362,'20-A.SINAPI-I'!A:G,4,0),VLOOKUP(B362,'12.COT.MERCADO'!A:I,8,0))</f>
        <v>0.09</v>
      </c>
      <c r="I362" s="1298">
        <f>IF(E362="Mão de Obra",H362*(1+'7. BDI SERVIÇOS'!$K$5),H362*(1+'8. BDI MERO FORNECIMENTO'!$K$5))</f>
        <v>0.1054201127</v>
      </c>
      <c r="J362" s="1298">
        <f t="shared" si="1"/>
        <v>5.13</v>
      </c>
      <c r="K362" s="1298">
        <f t="shared" si="2"/>
        <v>6.008946422</v>
      </c>
      <c r="L362" s="1299">
        <f t="shared" si="3"/>
        <v>0.00001927050554</v>
      </c>
      <c r="M362" s="1300">
        <f t="shared" si="5"/>
        <v>0.7348542002</v>
      </c>
      <c r="N362" s="1301" t="str">
        <f t="shared" si="4"/>
        <v>A</v>
      </c>
    </row>
    <row r="363">
      <c r="A363" s="1291">
        <v>357.0</v>
      </c>
      <c r="B363" s="1292">
        <v>1578.0</v>
      </c>
      <c r="C363" s="1304" t="s">
        <v>17759</v>
      </c>
      <c r="D363" s="1303" t="str">
        <f>IF(C363="SINAPI",VLOOKUP(B363,'20-A.SINAPI-I'!A:G,2,0),VLOOKUP(B363,'12.COT.MERCADO'!A:I,2,0))</f>
        <v>TERMINAL A COMPRESSAO EM COBRE ESTANHADO PARA CABO 50 MM2, 1 FURO E 1 COMPRESSAO, PARA PARAFUSO DE FIXACAO M8</v>
      </c>
      <c r="E363" s="1305" t="s">
        <v>18393</v>
      </c>
      <c r="F363" s="1296" t="str">
        <f>IF(C363="SINAPI",VLOOKUP(B363,'20-A.SINAPI-I'!A:G,3,0),VLOOKUP(B363,'12.COT.MERCADO'!A:I,7,0))</f>
        <v>UN</v>
      </c>
      <c r="G363" s="1306">
        <v>0.99</v>
      </c>
      <c r="H363" s="1298">
        <f>IF(C363="SINAPI",VLOOKUP(B363,'20-A.SINAPI-I'!A:G,4,0),VLOOKUP(B363,'12.COT.MERCADO'!A:I,8,0))</f>
        <v>5.34</v>
      </c>
      <c r="I363" s="1298">
        <f>IF(E363="Mão de Obra",H363*(1+'7. BDI SERVIÇOS'!$K$5),H363*(1+'8. BDI MERO FORNECIMENTO'!$K$5))</f>
        <v>6.254926685</v>
      </c>
      <c r="J363" s="1298">
        <f t="shared" si="1"/>
        <v>5.2866</v>
      </c>
      <c r="K363" s="1298">
        <f t="shared" si="2"/>
        <v>6.192377418</v>
      </c>
      <c r="L363" s="1299">
        <f t="shared" si="3"/>
        <v>0.00001985876308</v>
      </c>
      <c r="M363" s="1300">
        <f t="shared" si="5"/>
        <v>0.734874059</v>
      </c>
      <c r="N363" s="1301" t="str">
        <f t="shared" si="4"/>
        <v>A</v>
      </c>
    </row>
    <row r="364">
      <c r="A364" s="1291">
        <v>358.0</v>
      </c>
      <c r="B364" s="1292">
        <v>20247.0</v>
      </c>
      <c r="C364" s="1304" t="s">
        <v>17759</v>
      </c>
      <c r="D364" s="1303" t="str">
        <f>IF(C364="SINAPI",VLOOKUP(B364,'20-A.SINAPI-I'!A:G,2,0),VLOOKUP(B364,'12.COT.MERCADO'!A:I,2,0))</f>
        <v>PREGO DE ACO POLIDO COM CABECA 15 X 15 (1 1/4 X 13)</v>
      </c>
      <c r="E364" s="1305" t="s">
        <v>18393</v>
      </c>
      <c r="F364" s="1296" t="str">
        <f>IF(C364="SINAPI",VLOOKUP(B364,'20-A.SINAPI-I'!A:G,3,0),VLOOKUP(B364,'12.COT.MERCADO'!A:I,7,0))</f>
        <v>KG</v>
      </c>
      <c r="G364" s="1306">
        <v>0.2238977</v>
      </c>
      <c r="H364" s="1298">
        <f>IF(C364="SINAPI",VLOOKUP(B364,'20-A.SINAPI-I'!A:G,4,0),VLOOKUP(B364,'12.COT.MERCADO'!A:I,8,0))</f>
        <v>18.02</v>
      </c>
      <c r="I364" s="1298">
        <f>IF(E364="Mão de Obra",H364*(1+'7. BDI SERVIÇOS'!$K$5),H364*(1+'8. BDI MERO FORNECIMENTO'!$K$5))</f>
        <v>21.10744922</v>
      </c>
      <c r="J364" s="1298">
        <f t="shared" si="1"/>
        <v>4.034636554</v>
      </c>
      <c r="K364" s="1298">
        <f t="shared" si="2"/>
        <v>4.725909334</v>
      </c>
      <c r="L364" s="1299">
        <f t="shared" si="3"/>
        <v>0.00001515584524</v>
      </c>
      <c r="M364" s="1300">
        <f t="shared" si="5"/>
        <v>0.7348892148</v>
      </c>
      <c r="N364" s="1301" t="str">
        <f t="shared" si="4"/>
        <v>A</v>
      </c>
    </row>
    <row r="365">
      <c r="A365" s="1291">
        <v>359.0</v>
      </c>
      <c r="B365" s="1292">
        <v>38105.0</v>
      </c>
      <c r="C365" s="1304" t="s">
        <v>17759</v>
      </c>
      <c r="D365" s="1303" t="str">
        <f>IF(C365="SINAPI",VLOOKUP(B365,'20-A.SINAPI-I'!A:G,2,0),VLOOKUP(B365,'12.COT.MERCADO'!A:I,2,0))</f>
        <v>TOMADA PARA ANTENA DE TV, CABO COAXIAL DE 9 MM (APENAS MODULO)</v>
      </c>
      <c r="E365" s="1305" t="s">
        <v>18393</v>
      </c>
      <c r="F365" s="1296" t="str">
        <f>IF(C365="SINAPI",VLOOKUP(B365,'20-A.SINAPI-I'!A:G,3,0),VLOOKUP(B365,'12.COT.MERCADO'!A:I,7,0))</f>
        <v>UN</v>
      </c>
      <c r="G365" s="1306">
        <v>0.33</v>
      </c>
      <c r="H365" s="1298">
        <f>IF(C365="SINAPI",VLOOKUP(B365,'20-A.SINAPI-I'!A:G,4,0),VLOOKUP(B365,'12.COT.MERCADO'!A:I,8,0))</f>
        <v>11.8</v>
      </c>
      <c r="I365" s="1298">
        <f>IF(E365="Mão de Obra",H365*(1+'7. BDI SERVIÇOS'!$K$5),H365*(1+'8. BDI MERO FORNECIMENTO'!$K$5))</f>
        <v>13.8217481</v>
      </c>
      <c r="J365" s="1298">
        <f t="shared" si="1"/>
        <v>3.894</v>
      </c>
      <c r="K365" s="1298">
        <f t="shared" si="2"/>
        <v>4.561176875</v>
      </c>
      <c r="L365" s="1299">
        <f t="shared" si="3"/>
        <v>0.00001462755333</v>
      </c>
      <c r="M365" s="1300">
        <f t="shared" si="5"/>
        <v>0.7349038424</v>
      </c>
      <c r="N365" s="1301" t="str">
        <f t="shared" si="4"/>
        <v>A</v>
      </c>
    </row>
    <row r="366">
      <c r="A366" s="1291">
        <v>361.0</v>
      </c>
      <c r="B366" s="1292">
        <v>5069.0</v>
      </c>
      <c r="C366" s="1304" t="s">
        <v>17759</v>
      </c>
      <c r="D366" s="1303" t="str">
        <f>IF(C366="SINAPI",VLOOKUP(B366,'20-A.SINAPI-I'!A:G,2,0),VLOOKUP(B366,'12.COT.MERCADO'!A:I,2,0))</f>
        <v>PREGO DE ACO POLIDO COM CABECA 17 X 27 (2 1/2 X 11)</v>
      </c>
      <c r="E366" s="1305" t="s">
        <v>18393</v>
      </c>
      <c r="F366" s="1296" t="str">
        <f>IF(C366="SINAPI",VLOOKUP(B366,'20-A.SINAPI-I'!A:G,3,0),VLOOKUP(B366,'12.COT.MERCADO'!A:I,7,0))</f>
        <v>KG</v>
      </c>
      <c r="G366" s="1306">
        <v>0.2136</v>
      </c>
      <c r="H366" s="1298">
        <f>IF(C366="SINAPI",VLOOKUP(B366,'20-A.SINAPI-I'!A:G,4,0),VLOOKUP(B366,'12.COT.MERCADO'!A:I,8,0))</f>
        <v>16.59</v>
      </c>
      <c r="I366" s="1298">
        <f>IF(E366="Mão de Obra",H366*(1+'7. BDI SERVIÇOS'!$K$5),H366*(1+'8. BDI MERO FORNECIMENTO'!$K$5))</f>
        <v>19.43244077</v>
      </c>
      <c r="J366" s="1298">
        <f t="shared" si="1"/>
        <v>3.543624</v>
      </c>
      <c r="K366" s="1298">
        <f t="shared" si="2"/>
        <v>4.150769348</v>
      </c>
      <c r="L366" s="1299">
        <f t="shared" si="3"/>
        <v>0.00001331138907</v>
      </c>
      <c r="M366" s="1300">
        <f t="shared" si="5"/>
        <v>0.7349171538</v>
      </c>
      <c r="N366" s="1301" t="str">
        <f t="shared" si="4"/>
        <v>A</v>
      </c>
    </row>
    <row r="367">
      <c r="A367" s="1291">
        <v>362.0</v>
      </c>
      <c r="B367" s="1292">
        <v>40331.0</v>
      </c>
      <c r="C367" s="1304" t="s">
        <v>17759</v>
      </c>
      <c r="D367" s="1303" t="str">
        <f>IF(C367="SINAPI",VLOOKUP(B367,'20-A.SINAPI-I'!A:G,2,0),VLOOKUP(B367,'12.COT.MERCADO'!A:I,2,0))</f>
        <v>ASSENTADOR DE MANILHAS</v>
      </c>
      <c r="E367" s="1305" t="s">
        <v>18393</v>
      </c>
      <c r="F367" s="1296" t="str">
        <f>IF(C367="SINAPI",VLOOKUP(B367,'20-A.SINAPI-I'!A:G,3,0),VLOOKUP(B367,'12.COT.MERCADO'!A:I,7,0))</f>
        <v>H</v>
      </c>
      <c r="G367" s="1306">
        <v>0.1948656</v>
      </c>
      <c r="H367" s="1298">
        <f>IF(C367="SINAPI",VLOOKUP(B367,'20-A.SINAPI-I'!A:G,4,0),VLOOKUP(B367,'12.COT.MERCADO'!A:I,8,0))</f>
        <v>19.25</v>
      </c>
      <c r="I367" s="1298">
        <f>IF(E367="Mão de Obra",H367*(1+'7. BDI SERVIÇOS'!$K$5),H367*(1+'8. BDI MERO FORNECIMENTO'!$K$5))</f>
        <v>22.54819076</v>
      </c>
      <c r="J367" s="1298">
        <f t="shared" si="1"/>
        <v>3.7511628</v>
      </c>
      <c r="K367" s="1298">
        <f t="shared" si="2"/>
        <v>4.393866722</v>
      </c>
      <c r="L367" s="1299">
        <f t="shared" si="3"/>
        <v>0.00001409099484</v>
      </c>
      <c r="M367" s="1300">
        <f t="shared" si="5"/>
        <v>0.7349312448</v>
      </c>
      <c r="N367" s="1301" t="str">
        <f t="shared" si="4"/>
        <v>A</v>
      </c>
    </row>
    <row r="368">
      <c r="A368" s="1291">
        <v>368.0</v>
      </c>
      <c r="B368" s="1292">
        <v>41898.0</v>
      </c>
      <c r="C368" s="1304" t="s">
        <v>17759</v>
      </c>
      <c r="D368" s="1303" t="str">
        <f>IF(C368="SINAPI",VLOOKUP(B368,'20-A.SINAPI-I'!A:G,2,0),VLOOKUP(B368,'12.COT.MERCADO'!A:I,2,0))</f>
        <v>MARTELO DEMOLIDOR PNEUMATICO MANUAL, PESO  DE 28 KG, COM SILENCIADOR</v>
      </c>
      <c r="E368" s="1305" t="s">
        <v>18394</v>
      </c>
      <c r="F368" s="1296" t="str">
        <f>IF(C368="SINAPI",VLOOKUP(B368,'20-A.SINAPI-I'!A:G,3,0),VLOOKUP(B368,'12.COT.MERCADO'!A:I,7,0))</f>
        <v>UN</v>
      </c>
      <c r="G368" s="1306">
        <v>1.917E-4</v>
      </c>
      <c r="H368" s="1298">
        <f>IF(C368="SINAPI",VLOOKUP(B368,'20-A.SINAPI-I'!A:G,4,0),VLOOKUP(B368,'12.COT.MERCADO'!A:I,8,0))</f>
        <v>19533.68</v>
      </c>
      <c r="I368" s="1298">
        <f>IF(E368="Mão de Obra",H368*(1+'7. BDI SERVIÇOS'!$K$5),H368*(1+'8. BDI MERO FORNECIMENTO'!$K$5))</f>
        <v>22931.03564</v>
      </c>
      <c r="J368" s="1298">
        <f t="shared" si="1"/>
        <v>3.744606456</v>
      </c>
      <c r="K368" s="1298">
        <f t="shared" si="2"/>
        <v>4.395879532</v>
      </c>
      <c r="L368" s="1299">
        <f t="shared" si="3"/>
        <v>0.00001409744986</v>
      </c>
      <c r="M368" s="1300">
        <f t="shared" si="5"/>
        <v>0.7349453422</v>
      </c>
      <c r="N368" s="1301" t="str">
        <f t="shared" si="4"/>
        <v>A</v>
      </c>
    </row>
    <row r="369">
      <c r="A369" s="1291">
        <v>363.0</v>
      </c>
      <c r="B369" s="1292">
        <v>44503.0</v>
      </c>
      <c r="C369" s="1304" t="s">
        <v>17759</v>
      </c>
      <c r="D369" s="1303" t="str">
        <f>IF(C369="SINAPI",VLOOKUP(B369,'20-A.SINAPI-I'!A:G,2,0),VLOOKUP(B369,'12.COT.MERCADO'!A:I,2,0))</f>
        <v>JARDINEIRO (HORISTA)</v>
      </c>
      <c r="E369" s="1305" t="s">
        <v>18393</v>
      </c>
      <c r="F369" s="1296" t="str">
        <f>IF(C369="SINAPI",VLOOKUP(B369,'20-A.SINAPI-I'!A:G,3,0),VLOOKUP(B369,'12.COT.MERCADO'!A:I,7,0))</f>
        <v>H</v>
      </c>
      <c r="G369" s="1306">
        <v>0.2295098</v>
      </c>
      <c r="H369" s="1298">
        <f>IF(C369="SINAPI",VLOOKUP(B369,'20-A.SINAPI-I'!A:G,4,0),VLOOKUP(B369,'12.COT.MERCADO'!A:I,8,0))</f>
        <v>15.69</v>
      </c>
      <c r="I369" s="1298">
        <f>IF(E369="Mão de Obra",H369*(1+'7. BDI SERVIÇOS'!$K$5),H369*(1+'8. BDI MERO FORNECIMENTO'!$K$5))</f>
        <v>18.37823964</v>
      </c>
      <c r="J369" s="1298">
        <f t="shared" si="1"/>
        <v>3.601008762</v>
      </c>
      <c r="K369" s="1298">
        <f t="shared" si="2"/>
        <v>4.217986104</v>
      </c>
      <c r="L369" s="1299">
        <f t="shared" si="3"/>
        <v>0.00001352695113</v>
      </c>
      <c r="M369" s="1300">
        <f t="shared" si="5"/>
        <v>0.7349588692</v>
      </c>
      <c r="N369" s="1301" t="str">
        <f t="shared" si="4"/>
        <v>A</v>
      </c>
    </row>
    <row r="370">
      <c r="A370" s="1291">
        <v>370.0</v>
      </c>
      <c r="B370" s="1292">
        <v>7091.0</v>
      </c>
      <c r="C370" s="1304" t="s">
        <v>17759</v>
      </c>
      <c r="D370" s="1303" t="str">
        <f>IF(C370="SINAPI",VLOOKUP(B370,'20-A.SINAPI-I'!A:G,2,0),VLOOKUP(B370,'12.COT.MERCADO'!A:I,2,0))</f>
        <v>TE SANITARIO, PVC, DN 100 X 100 MM, SERIE NORMAL, PARA ESGOTO PREDIAL</v>
      </c>
      <c r="E370" s="1305" t="s">
        <v>18394</v>
      </c>
      <c r="F370" s="1296" t="str">
        <f>IF(C370="SINAPI",VLOOKUP(B370,'20-A.SINAPI-I'!A:G,3,0),VLOOKUP(B370,'12.COT.MERCADO'!A:I,7,0))</f>
        <v>UN</v>
      </c>
      <c r="G370" s="1306">
        <v>0.2152</v>
      </c>
      <c r="H370" s="1298">
        <f>IF(C370="SINAPI",VLOOKUP(B370,'20-A.SINAPI-I'!A:G,4,0),VLOOKUP(B370,'12.COT.MERCADO'!A:I,8,0))</f>
        <v>18.25</v>
      </c>
      <c r="I370" s="1298">
        <f>IF(E370="Mão de Obra",H370*(1+'7. BDI SERVIÇOS'!$K$5),H370*(1+'8. BDI MERO FORNECIMENTO'!$K$5))</f>
        <v>21.4240942</v>
      </c>
      <c r="J370" s="1298">
        <f t="shared" si="1"/>
        <v>3.9274</v>
      </c>
      <c r="K370" s="1298">
        <f t="shared" si="2"/>
        <v>4.610465072</v>
      </c>
      <c r="L370" s="1299">
        <f t="shared" si="3"/>
        <v>0.00001478561906</v>
      </c>
      <c r="M370" s="1300">
        <f t="shared" si="5"/>
        <v>0.7349736548</v>
      </c>
      <c r="N370" s="1301" t="str">
        <f t="shared" si="4"/>
        <v>A</v>
      </c>
    </row>
    <row r="371">
      <c r="A371" s="1291">
        <v>364.0</v>
      </c>
      <c r="B371" s="1292">
        <v>4785.0</v>
      </c>
      <c r="C371" s="1304" t="s">
        <v>17759</v>
      </c>
      <c r="D371" s="1303" t="str">
        <f>IF(C371="SINAPI",VLOOKUP(B371,'20-A.SINAPI-I'!A:G,2,0),VLOOKUP(B371,'12.COT.MERCADO'!A:I,2,0))</f>
        <v>PINTOR PARA TINTA EPOXI (HORISTA)</v>
      </c>
      <c r="E371" s="1305" t="s">
        <v>18393</v>
      </c>
      <c r="F371" s="1296" t="str">
        <f>IF(C371="SINAPI",VLOOKUP(B371,'20-A.SINAPI-I'!A:G,3,0),VLOOKUP(B371,'12.COT.MERCADO'!A:I,7,0))</f>
        <v>H</v>
      </c>
      <c r="G371" s="1306">
        <v>0.1713051</v>
      </c>
      <c r="H371" s="1298">
        <f>IF(C371="SINAPI",VLOOKUP(B371,'20-A.SINAPI-I'!A:G,4,0),VLOOKUP(B371,'12.COT.MERCADO'!A:I,8,0))</f>
        <v>20.82</v>
      </c>
      <c r="I371" s="1298">
        <f>IF(E371="Mão de Obra",H371*(1+'7. BDI SERVIÇOS'!$K$5),H371*(1+'8. BDI MERO FORNECIMENTO'!$K$5))</f>
        <v>24.38718606</v>
      </c>
      <c r="J371" s="1298">
        <f t="shared" si="1"/>
        <v>3.566572182</v>
      </c>
      <c r="K371" s="1298">
        <f t="shared" si="2"/>
        <v>4.177649347</v>
      </c>
      <c r="L371" s="1299">
        <f t="shared" si="3"/>
        <v>0.0000133975924</v>
      </c>
      <c r="M371" s="1300">
        <f t="shared" si="5"/>
        <v>0.7349870524</v>
      </c>
      <c r="N371" s="1301" t="str">
        <f t="shared" si="4"/>
        <v>A</v>
      </c>
    </row>
    <row r="372">
      <c r="A372" s="1291">
        <v>372.0</v>
      </c>
      <c r="B372" s="1292">
        <v>37736.0</v>
      </c>
      <c r="C372" s="1304" t="s">
        <v>17759</v>
      </c>
      <c r="D372" s="1303" t="str">
        <f>IF(C372="SINAPI",VLOOKUP(B372,'20-A.SINAPI-I'!A:G,2,0),VLOOKUP(B372,'12.COT.MERCADO'!A:I,2,0))</f>
        <v>TANQUE DE ACO CARBONO NAO REVESTIDO, PARA TRANSPORTE DE AGUA COM CAPACIDADE DE 10 M3, COM BOMBA CENTRIFUGA POR TOMADA DE FORCA, VAZAO MAXIMA *75* M3/H (INCLUI MONTAGEM, NAO INCLUI CAMINHAO)</v>
      </c>
      <c r="E372" s="1305" t="s">
        <v>18394</v>
      </c>
      <c r="F372" s="1296" t="str">
        <f>IF(C372="SINAPI",VLOOKUP(B372,'20-A.SINAPI-I'!A:G,3,0),VLOOKUP(B372,'12.COT.MERCADO'!A:I,7,0))</f>
        <v>UN</v>
      </c>
      <c r="G372" s="1306">
        <v>4.52E-5</v>
      </c>
      <c r="H372" s="1298">
        <f>IF(C372="SINAPI",VLOOKUP(B372,'20-A.SINAPI-I'!A:G,4,0),VLOOKUP(B372,'12.COT.MERCADO'!A:I,8,0))</f>
        <v>92450</v>
      </c>
      <c r="I372" s="1298">
        <f>IF(E372="Mão de Obra",H372*(1+'7. BDI SERVIÇOS'!$K$5),H372*(1+'8. BDI MERO FORNECIMENTO'!$K$5))</f>
        <v>108529.1786</v>
      </c>
      <c r="J372" s="1298">
        <f t="shared" si="1"/>
        <v>4.17874</v>
      </c>
      <c r="K372" s="1298">
        <f t="shared" si="2"/>
        <v>4.905518872</v>
      </c>
      <c r="L372" s="1299">
        <f t="shared" si="3"/>
        <v>0.00001573184748</v>
      </c>
      <c r="M372" s="1300">
        <f t="shared" si="5"/>
        <v>0.7350027842</v>
      </c>
      <c r="N372" s="1301" t="str">
        <f t="shared" si="4"/>
        <v>A</v>
      </c>
    </row>
    <row r="373">
      <c r="A373" s="1291">
        <v>366.0</v>
      </c>
      <c r="B373" s="1292" t="s">
        <v>1989</v>
      </c>
      <c r="C373" s="1304" t="s">
        <v>1785</v>
      </c>
      <c r="D373" s="1302" t="str">
        <f>IF(C373="SINAPI",VLOOKUP(B373,'20-A.SINAPI-I'!A:G,2,0),VLOOKUP(B373,'12.COT.MERCADO'!A:I,2,0))</f>
        <v>KIT CERCA ELÉTRICA INDUSTRIAL, COMPRIMENTO TOTAL PARA 100 METROS, HASTES BIG 1 METRO, C/ CENTRAL DE CHOQUE 12.000 VOLTS COMPLETO. REF.: INTELBRAS IND-100ELC OU SIMILAR</v>
      </c>
      <c r="E373" s="1305" t="s">
        <v>18393</v>
      </c>
      <c r="F373" s="1296" t="str">
        <f>IF(C373="SINAPI",VLOOKUP(B373,'20-A.SINAPI-I'!A:G,3,0),VLOOKUP(B373,'12.COT.MERCADO'!A:I,7,0))</f>
        <v>CJ</v>
      </c>
      <c r="G373" s="1306">
        <v>0.003465</v>
      </c>
      <c r="H373" s="1298">
        <f>IF(C373="SINAPI",VLOOKUP(B373,'20-A.SINAPI-I'!A:G,4,0),VLOOKUP(B373,'12.COT.MERCADO'!A:I,8,0))</f>
        <v>1133.9</v>
      </c>
      <c r="I373" s="1298">
        <f>IF(E373="Mão de Obra",H373*(1+'7. BDI SERVIÇOS'!$K$5),H373*(1+'8. BDI MERO FORNECIMENTO'!$K$5))</f>
        <v>1328.176286</v>
      </c>
      <c r="J373" s="1298">
        <f t="shared" si="1"/>
        <v>3.9289635</v>
      </c>
      <c r="K373" s="1298">
        <f t="shared" si="2"/>
        <v>4.602130831</v>
      </c>
      <c r="L373" s="1299">
        <f t="shared" si="3"/>
        <v>0.0000147588914</v>
      </c>
      <c r="M373" s="1300">
        <f t="shared" si="5"/>
        <v>0.7350175431</v>
      </c>
      <c r="N373" s="1301" t="str">
        <f t="shared" si="4"/>
        <v>A</v>
      </c>
    </row>
    <row r="374">
      <c r="A374" s="1291">
        <v>371.0</v>
      </c>
      <c r="B374" s="1292">
        <v>3146.0</v>
      </c>
      <c r="C374" s="1304" t="s">
        <v>17759</v>
      </c>
      <c r="D374" s="1303" t="str">
        <f>IF(C374="SINAPI",VLOOKUP(B374,'20-A.SINAPI-I'!A:G,2,0),VLOOKUP(B374,'12.COT.MERCADO'!A:I,2,0))</f>
        <v>FITA VEDA ROSCA EM ROLOS DE 18 MM X 10 M (L X C)</v>
      </c>
      <c r="E374" s="1305" t="s">
        <v>18393</v>
      </c>
      <c r="F374" s="1296" t="str">
        <f>IF(C374="SINAPI",VLOOKUP(B374,'20-A.SINAPI-I'!A:G,3,0),VLOOKUP(B374,'12.COT.MERCADO'!A:I,7,0))</f>
        <v>UN</v>
      </c>
      <c r="G374" s="1306">
        <v>0.767182</v>
      </c>
      <c r="H374" s="1298">
        <f>IF(C374="SINAPI",VLOOKUP(B374,'20-A.SINAPI-I'!A:G,4,0),VLOOKUP(B374,'12.COT.MERCADO'!A:I,8,0))</f>
        <v>4.5</v>
      </c>
      <c r="I374" s="1298">
        <f>IF(E374="Mão de Obra",H374*(1+'7. BDI SERVIÇOS'!$K$5),H374*(1+'8. BDI MERO FORNECIMENTO'!$K$5))</f>
        <v>5.271005633</v>
      </c>
      <c r="J374" s="1298">
        <f t="shared" si="1"/>
        <v>3.452319</v>
      </c>
      <c r="K374" s="1298">
        <f t="shared" si="2"/>
        <v>4.043820644</v>
      </c>
      <c r="L374" s="1299">
        <f t="shared" si="3"/>
        <v>0.00001296840788</v>
      </c>
      <c r="M374" s="1300">
        <f t="shared" si="5"/>
        <v>0.7350305115</v>
      </c>
      <c r="N374" s="1301" t="str">
        <f t="shared" si="4"/>
        <v>A</v>
      </c>
    </row>
    <row r="375">
      <c r="A375" s="1291">
        <v>365.0</v>
      </c>
      <c r="B375" s="1292">
        <v>38113.0</v>
      </c>
      <c r="C375" s="1304" t="s">
        <v>17759</v>
      </c>
      <c r="D375" s="1303" t="str">
        <f>IF(C375="SINAPI",VLOOKUP(B375,'20-A.SINAPI-I'!A:G,2,0),VLOOKUP(B375,'12.COT.MERCADO'!A:I,2,0))</f>
        <v>INTERRUPTOR PARALELO 10A, 250V (APENAS MODULO)</v>
      </c>
      <c r="E375" s="1305" t="s">
        <v>18397</v>
      </c>
      <c r="F375" s="1296" t="str">
        <f>IF(C375="SINAPI",VLOOKUP(B375,'20-A.SINAPI-I'!A:G,3,0),VLOOKUP(B375,'12.COT.MERCADO'!A:I,7,0))</f>
        <v>UN</v>
      </c>
      <c r="G375" s="1306">
        <v>0.33</v>
      </c>
      <c r="H375" s="1298">
        <f>IF(C375="SINAPI",VLOOKUP(B375,'20-A.SINAPI-I'!A:G,4,0),VLOOKUP(B375,'12.COT.MERCADO'!A:I,8,0))</f>
        <v>9.64</v>
      </c>
      <c r="I375" s="1298">
        <f>IF(E375="Mão de Obra",H375*(1+'7. BDI SERVIÇOS'!$K$5),H375*(1+'8. BDI MERO FORNECIMENTO'!$K$5))</f>
        <v>11.2916654</v>
      </c>
      <c r="J375" s="1298">
        <f t="shared" si="1"/>
        <v>3.1812</v>
      </c>
      <c r="K375" s="1298">
        <f t="shared" si="2"/>
        <v>3.726249582</v>
      </c>
      <c r="L375" s="1299">
        <f t="shared" si="3"/>
        <v>0.0000119499673</v>
      </c>
      <c r="M375" s="1300">
        <f t="shared" si="5"/>
        <v>0.7350424615</v>
      </c>
      <c r="N375" s="1301" t="str">
        <f t="shared" si="4"/>
        <v>A</v>
      </c>
    </row>
    <row r="376">
      <c r="A376" s="1291">
        <v>367.0</v>
      </c>
      <c r="B376" s="1292">
        <v>4734.0</v>
      </c>
      <c r="C376" s="1304" t="s">
        <v>17759</v>
      </c>
      <c r="D376" s="1303" t="str">
        <f>IF(C376="SINAPI",VLOOKUP(B376,'20-A.SINAPI-I'!A:G,2,0),VLOOKUP(B376,'12.COT.MERCADO'!A:I,2,0))</f>
        <v>SEIXO ROLADO PARA APLICACAO EM CONCRETO (POSTO PEDREIRA/FORNECEDOR, SEM FRETE)</v>
      </c>
      <c r="E376" s="1305" t="s">
        <v>18393</v>
      </c>
      <c r="F376" s="1296" t="str">
        <f>IF(C376="SINAPI",VLOOKUP(B376,'20-A.SINAPI-I'!A:G,3,0),VLOOKUP(B376,'12.COT.MERCADO'!A:I,7,0))</f>
        <v>M3</v>
      </c>
      <c r="G376" s="1306">
        <v>0.0175562</v>
      </c>
      <c r="H376" s="1298">
        <f>IF(C376="SINAPI",VLOOKUP(B376,'20-A.SINAPI-I'!A:G,4,0),VLOOKUP(B376,'12.COT.MERCADO'!A:I,8,0))</f>
        <v>215.82</v>
      </c>
      <c r="I376" s="1298">
        <f>IF(E376="Mão de Obra",H376*(1+'7. BDI SERVIÇOS'!$K$5),H376*(1+'8. BDI MERO FORNECIMENTO'!$K$5))</f>
        <v>252.7974302</v>
      </c>
      <c r="J376" s="1298">
        <f t="shared" si="1"/>
        <v>3.788979084</v>
      </c>
      <c r="K376" s="1298">
        <f t="shared" si="2"/>
        <v>4.438162243</v>
      </c>
      <c r="L376" s="1299">
        <f t="shared" si="3"/>
        <v>0.00001423304921</v>
      </c>
      <c r="M376" s="1300">
        <f t="shared" si="5"/>
        <v>0.7350566946</v>
      </c>
      <c r="N376" s="1301" t="str">
        <f t="shared" si="4"/>
        <v>A</v>
      </c>
    </row>
    <row r="377">
      <c r="A377" s="1291">
        <v>369.0</v>
      </c>
      <c r="B377" s="1292">
        <v>1535.0</v>
      </c>
      <c r="C377" s="1304" t="s">
        <v>17759</v>
      </c>
      <c r="D377" s="1303" t="str">
        <f>IF(C377="SINAPI",VLOOKUP(B377,'20-A.SINAPI-I'!A:G,2,0),VLOOKUP(B377,'12.COT.MERCADO'!A:I,2,0))</f>
        <v>TERMINAL METALICO A PRESSAO PARA 1 CABO DE 6 A 10 MM2, COM 1 FURO DE FIXACAO</v>
      </c>
      <c r="E377" s="1305" t="s">
        <v>18397</v>
      </c>
      <c r="F377" s="1296" t="str">
        <f>IF(C377="SINAPI",VLOOKUP(B377,'20-A.SINAPI-I'!A:G,3,0),VLOOKUP(B377,'12.COT.MERCADO'!A:I,7,0))</f>
        <v>UN</v>
      </c>
      <c r="G377" s="1306">
        <v>0.67</v>
      </c>
      <c r="H377" s="1298">
        <f>IF(C377="SINAPI",VLOOKUP(B377,'20-A.SINAPI-I'!A:G,4,0),VLOOKUP(B377,'12.COT.MERCADO'!A:I,8,0))</f>
        <v>5.44</v>
      </c>
      <c r="I377" s="1298">
        <f>IF(E377="Mão de Obra",H377*(1+'7. BDI SERVIÇOS'!$K$5),H377*(1+'8. BDI MERO FORNECIMENTO'!$K$5))</f>
        <v>6.372060143</v>
      </c>
      <c r="J377" s="1298">
        <f t="shared" si="1"/>
        <v>3.6448</v>
      </c>
      <c r="K377" s="1298">
        <f t="shared" si="2"/>
        <v>4.269280296</v>
      </c>
      <c r="L377" s="1299">
        <f t="shared" si="3"/>
        <v>0.00001369145002</v>
      </c>
      <c r="M377" s="1300">
        <f t="shared" si="5"/>
        <v>0.735070386</v>
      </c>
      <c r="N377" s="1301" t="str">
        <f t="shared" si="4"/>
        <v>A</v>
      </c>
    </row>
    <row r="378">
      <c r="A378" s="1291">
        <v>373.0</v>
      </c>
      <c r="B378" s="1292">
        <v>39431.0</v>
      </c>
      <c r="C378" s="1304" t="s">
        <v>17759</v>
      </c>
      <c r="D378" s="1303" t="str">
        <f>IF(C378="SINAPI",VLOOKUP(B378,'20-A.SINAPI-I'!A:G,2,0),VLOOKUP(B378,'12.COT.MERCADO'!A:I,2,0))</f>
        <v>FITA DE PAPEL MICROPERFURADO, 50 X 150 MM, PARA TRATAMENTO DE JUNTAS DE CHAPA DE GESSO PARA DRYWALL</v>
      </c>
      <c r="E378" s="1305" t="s">
        <v>18393</v>
      </c>
      <c r="F378" s="1296" t="str">
        <f>IF(C378="SINAPI",VLOOKUP(B378,'20-A.SINAPI-I'!A:G,3,0),VLOOKUP(B378,'12.COT.MERCADO'!A:I,7,0))</f>
        <v>M</v>
      </c>
      <c r="G378" s="1306">
        <v>10.861718</v>
      </c>
      <c r="H378" s="1298">
        <f>IF(C378="SINAPI",VLOOKUP(B378,'20-A.SINAPI-I'!A:G,4,0),VLOOKUP(B378,'12.COT.MERCADO'!A:I,8,0))</f>
        <v>0.3</v>
      </c>
      <c r="I378" s="1298">
        <f>IF(E378="Mão de Obra",H378*(1+'7. BDI SERVIÇOS'!$K$5),H378*(1+'8. BDI MERO FORNECIMENTO'!$K$5))</f>
        <v>0.3514003755</v>
      </c>
      <c r="J378" s="1298">
        <f t="shared" si="1"/>
        <v>3.2585154</v>
      </c>
      <c r="K378" s="1298">
        <f t="shared" si="2"/>
        <v>3.816811784</v>
      </c>
      <c r="L378" s="1299">
        <f t="shared" si="3"/>
        <v>0.00001224039748</v>
      </c>
      <c r="M378" s="1300">
        <f t="shared" si="5"/>
        <v>0.7350826264</v>
      </c>
      <c r="N378" s="1301" t="str">
        <f t="shared" si="4"/>
        <v>A</v>
      </c>
    </row>
    <row r="379">
      <c r="A379" s="1291">
        <v>374.0</v>
      </c>
      <c r="B379" s="1292">
        <v>1571.0</v>
      </c>
      <c r="C379" s="1304" t="s">
        <v>17759</v>
      </c>
      <c r="D379" s="1303" t="str">
        <f>IF(C379="SINAPI",VLOOKUP(B379,'20-A.SINAPI-I'!A:G,2,0),VLOOKUP(B379,'12.COT.MERCADO'!A:I,2,0))</f>
        <v>TERMINAL A COMPRESSAO EM COBRE ESTANHADO PARA CABO 4 MM2, 1 FURO E 1 COMPRESSAO, PARA PARAFUSO DE FIXACAO M5</v>
      </c>
      <c r="E379" s="1305" t="s">
        <v>18393</v>
      </c>
      <c r="F379" s="1296" t="str">
        <f>IF(C379="SINAPI",VLOOKUP(B379,'20-A.SINAPI-I'!A:G,3,0),VLOOKUP(B379,'12.COT.MERCADO'!A:I,7,0))</f>
        <v>UN</v>
      </c>
      <c r="G379" s="1306">
        <v>2.68</v>
      </c>
      <c r="H379" s="1298">
        <f>IF(C379="SINAPI",VLOOKUP(B379,'20-A.SINAPI-I'!A:G,4,0),VLOOKUP(B379,'12.COT.MERCADO'!A:I,8,0))</f>
        <v>1.29</v>
      </c>
      <c r="I379" s="1298">
        <f>IF(E379="Mão de Obra",H379*(1+'7. BDI SERVIÇOS'!$K$5),H379*(1+'8. BDI MERO FORNECIMENTO'!$K$5))</f>
        <v>1.511021615</v>
      </c>
      <c r="J379" s="1298">
        <f t="shared" si="1"/>
        <v>3.4572</v>
      </c>
      <c r="K379" s="1298">
        <f t="shared" si="2"/>
        <v>4.049537928</v>
      </c>
      <c r="L379" s="1299">
        <f t="shared" si="3"/>
        <v>0.00001298674303</v>
      </c>
      <c r="M379" s="1300">
        <f t="shared" si="5"/>
        <v>0.7350956131</v>
      </c>
      <c r="N379" s="1301" t="str">
        <f t="shared" si="4"/>
        <v>A</v>
      </c>
    </row>
    <row r="380">
      <c r="A380" s="1291">
        <v>375.0</v>
      </c>
      <c r="B380" s="1292">
        <v>6142.0</v>
      </c>
      <c r="C380" s="1304" t="s">
        <v>17759</v>
      </c>
      <c r="D380" s="1303" t="str">
        <f>IF(C380="SINAPI",VLOOKUP(B380,'20-A.SINAPI-I'!A:G,2,0),VLOOKUP(B380,'12.COT.MERCADO'!A:I,2,0))</f>
        <v>CONJUNTO DE LIGACAO PARA BACIA SANITARIA AJUSTAVEL, EM PLASTICO BRANCO, COM TUBO, CANOPLA E ESPUDE</v>
      </c>
      <c r="E380" s="1305" t="s">
        <v>18393</v>
      </c>
      <c r="F380" s="1296" t="str">
        <f>IF(C380="SINAPI",VLOOKUP(B380,'20-A.SINAPI-I'!A:G,3,0),VLOOKUP(B380,'12.COT.MERCADO'!A:I,7,0))</f>
        <v>UN</v>
      </c>
      <c r="G380" s="1306">
        <v>0.33</v>
      </c>
      <c r="H380" s="1298">
        <f>IF(C380="SINAPI",VLOOKUP(B380,'20-A.SINAPI-I'!A:G,4,0),VLOOKUP(B380,'12.COT.MERCADO'!A:I,8,0))</f>
        <v>9.33</v>
      </c>
      <c r="I380" s="1298">
        <f>IF(E380="Mão de Obra",H380*(1+'7. BDI SERVIÇOS'!$K$5),H380*(1+'8. BDI MERO FORNECIMENTO'!$K$5))</f>
        <v>10.92855168</v>
      </c>
      <c r="J380" s="1298">
        <f t="shared" si="1"/>
        <v>3.0789</v>
      </c>
      <c r="K380" s="1298">
        <f t="shared" si="2"/>
        <v>3.606422054</v>
      </c>
      <c r="L380" s="1299">
        <f t="shared" si="3"/>
        <v>0.00001156568411</v>
      </c>
      <c r="M380" s="1300">
        <f t="shared" si="5"/>
        <v>0.7351071788</v>
      </c>
      <c r="N380" s="1301" t="str">
        <f t="shared" si="4"/>
        <v>A</v>
      </c>
    </row>
    <row r="381">
      <c r="A381" s="1291">
        <v>376.0</v>
      </c>
      <c r="B381" s="1292">
        <v>44074.0</v>
      </c>
      <c r="C381" s="1304" t="s">
        <v>17759</v>
      </c>
      <c r="D381" s="1303" t="str">
        <f>IF(C381="SINAPI",VLOOKUP(B381,'20-A.SINAPI-I'!A:G,2,0),VLOOKUP(B381,'12.COT.MERCADO'!A:I,2,0))</f>
        <v>PRIMER DE POLIURETANO</v>
      </c>
      <c r="E381" s="1305" t="s">
        <v>18393</v>
      </c>
      <c r="F381" s="1296" t="str">
        <f>IF(C381="SINAPI",VLOOKUP(B381,'20-A.SINAPI-I'!A:G,3,0),VLOOKUP(B381,'12.COT.MERCADO'!A:I,7,0))</f>
        <v>L</v>
      </c>
      <c r="G381" s="1306">
        <v>0.006</v>
      </c>
      <c r="H381" s="1298">
        <f>IF(C381="SINAPI",VLOOKUP(B381,'20-A.SINAPI-I'!A:G,4,0),VLOOKUP(B381,'12.COT.MERCADO'!A:I,8,0))</f>
        <v>543.75</v>
      </c>
      <c r="I381" s="1298">
        <f>IF(E381="Mão de Obra",H381*(1+'7. BDI SERVIÇOS'!$K$5),H381*(1+'8. BDI MERO FORNECIMENTO'!$K$5))</f>
        <v>636.9131807</v>
      </c>
      <c r="J381" s="1298">
        <f t="shared" si="1"/>
        <v>3.2625</v>
      </c>
      <c r="K381" s="1298">
        <f t="shared" si="2"/>
        <v>3.821479084</v>
      </c>
      <c r="L381" s="1299">
        <f t="shared" si="3"/>
        <v>0.00001225536537</v>
      </c>
      <c r="M381" s="1300">
        <f t="shared" si="5"/>
        <v>0.7351194342</v>
      </c>
      <c r="N381" s="1301" t="str">
        <f t="shared" si="4"/>
        <v>A</v>
      </c>
    </row>
    <row r="382">
      <c r="A382" s="1291">
        <v>377.0</v>
      </c>
      <c r="B382" s="1292">
        <v>7292.0</v>
      </c>
      <c r="C382" s="1304" t="s">
        <v>17759</v>
      </c>
      <c r="D382" s="1303" t="str">
        <f>IF(C382="SINAPI",VLOOKUP(B382,'20-A.SINAPI-I'!A:G,2,0),VLOOKUP(B382,'12.COT.MERCADO'!A:I,2,0))</f>
        <v>TINTA ESMALTE SINTETICO PREMIUM BRILHANTE</v>
      </c>
      <c r="E382" s="1305" t="s">
        <v>18393</v>
      </c>
      <c r="F382" s="1296" t="str">
        <f>IF(C382="SINAPI",VLOOKUP(B382,'20-A.SINAPI-I'!A:G,3,0),VLOOKUP(B382,'12.COT.MERCADO'!A:I,7,0))</f>
        <v>L</v>
      </c>
      <c r="G382" s="1306">
        <v>0.083258</v>
      </c>
      <c r="H382" s="1298">
        <f>IF(C382="SINAPI",VLOOKUP(B382,'20-A.SINAPI-I'!A:G,4,0),VLOOKUP(B382,'12.COT.MERCADO'!A:I,8,0))</f>
        <v>37.75</v>
      </c>
      <c r="I382" s="1298">
        <f>IF(E382="Mão de Obra",H382*(1+'7. BDI SERVIÇOS'!$K$5),H382*(1+'8. BDI MERO FORNECIMENTO'!$K$5))</f>
        <v>44.21788059</v>
      </c>
      <c r="J382" s="1298">
        <f t="shared" si="1"/>
        <v>3.1429895</v>
      </c>
      <c r="K382" s="1298">
        <f t="shared" si="2"/>
        <v>3.681492302</v>
      </c>
      <c r="L382" s="1299">
        <f t="shared" si="3"/>
        <v>0.00001180643208</v>
      </c>
      <c r="M382" s="1300">
        <f t="shared" si="5"/>
        <v>0.7351312406</v>
      </c>
      <c r="N382" s="1301" t="str">
        <f t="shared" si="4"/>
        <v>A</v>
      </c>
    </row>
    <row r="383">
      <c r="A383" s="1291">
        <v>378.0</v>
      </c>
      <c r="B383" s="1292">
        <v>43682.0</v>
      </c>
      <c r="C383" s="1304" t="s">
        <v>17759</v>
      </c>
      <c r="D383" s="1303" t="str">
        <f>IF(C383="SINAPI",VLOOKUP(B383,'20-A.SINAPI-I'!A:G,2,0),VLOOKUP(B383,'12.COT.MERCADO'!A:I,2,0))</f>
        <v>CHAPA/PAINEL DE MADEIRA COMPENSADA RESINADA (MADEIRITE RESINADO ROSA) PARA FORMA DE CONCRETO, DE 2200 X 1100 MM, E = 6 MM</v>
      </c>
      <c r="E383" s="1305" t="s">
        <v>18393</v>
      </c>
      <c r="F383" s="1296" t="str">
        <f>IF(C383="SINAPI",VLOOKUP(B383,'20-A.SINAPI-I'!A:G,3,0),VLOOKUP(B383,'12.COT.MERCADO'!A:I,7,0))</f>
        <v>M2</v>
      </c>
      <c r="G383" s="1306">
        <v>0.164841</v>
      </c>
      <c r="H383" s="1298">
        <f>IF(C383="SINAPI",VLOOKUP(B383,'20-A.SINAPI-I'!A:G,4,0),VLOOKUP(B383,'12.COT.MERCADO'!A:I,8,0))</f>
        <v>16.59</v>
      </c>
      <c r="I383" s="1298">
        <f>IF(E383="Mão de Obra",H383*(1+'7. BDI SERVIÇOS'!$K$5),H383*(1+'8. BDI MERO FORNECIMENTO'!$K$5))</f>
        <v>19.43244077</v>
      </c>
      <c r="J383" s="1298">
        <f t="shared" si="1"/>
        <v>2.73471219</v>
      </c>
      <c r="K383" s="1298">
        <f t="shared" si="2"/>
        <v>3.203262969</v>
      </c>
      <c r="L383" s="1299">
        <f t="shared" si="3"/>
        <v>0.00001027276538</v>
      </c>
      <c r="M383" s="1300">
        <f t="shared" si="5"/>
        <v>0.7351415134</v>
      </c>
      <c r="N383" s="1301" t="str">
        <f t="shared" si="4"/>
        <v>A</v>
      </c>
    </row>
    <row r="384">
      <c r="A384" s="1291">
        <v>379.0</v>
      </c>
      <c r="B384" s="1292">
        <v>2705.0</v>
      </c>
      <c r="C384" s="1304" t="s">
        <v>17759</v>
      </c>
      <c r="D384" s="1303" t="str">
        <f>IF(C384="SINAPI",VLOOKUP(B384,'20-A.SINAPI-I'!A:G,2,0),VLOOKUP(B384,'12.COT.MERCADO'!A:I,2,0))</f>
        <v>ENERGIA ELETRICA ATE 2000 KWH INDUSTRIAL, SEM DEMANDA</v>
      </c>
      <c r="E384" s="1305" t="s">
        <v>18393</v>
      </c>
      <c r="F384" s="1296" t="str">
        <f>IF(C384="SINAPI",VLOOKUP(B384,'20-A.SINAPI-I'!A:G,3,0),VLOOKUP(B384,'12.COT.MERCADO'!A:I,7,0))</f>
        <v>KWH</v>
      </c>
      <c r="G384" s="1306">
        <v>4.4938968</v>
      </c>
      <c r="H384" s="1298">
        <f>IF(C384="SINAPI",VLOOKUP(B384,'20-A.SINAPI-I'!A:G,4,0),VLOOKUP(B384,'12.COT.MERCADO'!A:I,8,0))</f>
        <v>0.64</v>
      </c>
      <c r="I384" s="1298">
        <f>IF(E384="Mão de Obra",H384*(1+'7. BDI SERVIÇOS'!$K$5),H384*(1+'8. BDI MERO FORNECIMENTO'!$K$5))</f>
        <v>0.7496541345</v>
      </c>
      <c r="J384" s="1298">
        <f t="shared" si="1"/>
        <v>2.876093952</v>
      </c>
      <c r="K384" s="1298">
        <f t="shared" si="2"/>
        <v>3.368868316</v>
      </c>
      <c r="L384" s="1299">
        <f t="shared" si="3"/>
        <v>0.00001080385662</v>
      </c>
      <c r="M384" s="1300">
        <f t="shared" si="5"/>
        <v>0.7351523172</v>
      </c>
      <c r="N384" s="1301" t="str">
        <f t="shared" si="4"/>
        <v>A</v>
      </c>
    </row>
    <row r="385">
      <c r="A385" s="1291">
        <v>380.0</v>
      </c>
      <c r="B385" s="1292">
        <v>14250.0</v>
      </c>
      <c r="C385" s="1304" t="s">
        <v>17759</v>
      </c>
      <c r="D385" s="1303" t="str">
        <f>IF(C385="SINAPI",VLOOKUP(B385,'20-A.SINAPI-I'!A:G,2,0),VLOOKUP(B385,'12.COT.MERCADO'!A:I,2,0))</f>
        <v>ENERGIA ELETRICA COMERCIAL, BAIXA TENSAO, RELATIVA AO CONSUMO DE ATE 100 KWH, INCLUINDO ICMS, PIS/PASEP E COFINS</v>
      </c>
      <c r="E385" s="1305" t="s">
        <v>18393</v>
      </c>
      <c r="F385" s="1296" t="str">
        <f>IF(C385="SINAPI",VLOOKUP(B385,'20-A.SINAPI-I'!A:G,3,0),VLOOKUP(B385,'12.COT.MERCADO'!A:I,7,0))</f>
        <v>KWH</v>
      </c>
      <c r="G385" s="1306">
        <v>4.2259587</v>
      </c>
      <c r="H385" s="1298">
        <f>IF(C385="SINAPI",VLOOKUP(B385,'20-A.SINAPI-I'!A:G,4,0),VLOOKUP(B385,'12.COT.MERCADO'!A:I,8,0))</f>
        <v>0.65</v>
      </c>
      <c r="I385" s="1298">
        <f>IF(E385="Mão de Obra",H385*(1+'7. BDI SERVIÇOS'!$K$5),H385*(1+'8. BDI MERO FORNECIMENTO'!$K$5))</f>
        <v>0.7613674803</v>
      </c>
      <c r="J385" s="1298">
        <f t="shared" si="1"/>
        <v>2.746873155</v>
      </c>
      <c r="K385" s="1298">
        <f t="shared" si="2"/>
        <v>3.217507527</v>
      </c>
      <c r="L385" s="1299">
        <f t="shared" si="3"/>
        <v>0.00001031844724</v>
      </c>
      <c r="M385" s="1300">
        <f t="shared" si="5"/>
        <v>0.7351626357</v>
      </c>
      <c r="N385" s="1301" t="str">
        <f t="shared" si="4"/>
        <v>A</v>
      </c>
    </row>
    <row r="386">
      <c r="A386" s="1291">
        <v>381.0</v>
      </c>
      <c r="B386" s="1292">
        <v>12869.0</v>
      </c>
      <c r="C386" s="1304" t="s">
        <v>17759</v>
      </c>
      <c r="D386" s="1303" t="str">
        <f>IF(C386="SINAPI",VLOOKUP(B386,'20-A.SINAPI-I'!A:G,2,0),VLOOKUP(B386,'12.COT.MERCADO'!A:I,2,0))</f>
        <v>TELHADOR (HORISTA)</v>
      </c>
      <c r="E386" s="1305" t="s">
        <v>18393</v>
      </c>
      <c r="F386" s="1296" t="str">
        <f>IF(C386="SINAPI",VLOOKUP(B386,'20-A.SINAPI-I'!A:G,3,0),VLOOKUP(B386,'12.COT.MERCADO'!A:I,7,0))</f>
        <v>H</v>
      </c>
      <c r="G386" s="1306">
        <v>0.122371</v>
      </c>
      <c r="H386" s="1298">
        <f>IF(C386="SINAPI",VLOOKUP(B386,'20-A.SINAPI-I'!A:G,4,0),VLOOKUP(B386,'12.COT.MERCADO'!A:I,8,0))</f>
        <v>20.56</v>
      </c>
      <c r="I386" s="1298">
        <f>IF(E386="Mão de Obra",H386*(1+'7. BDI SERVIÇOS'!$K$5),H386*(1+'8. BDI MERO FORNECIMENTO'!$K$5))</f>
        <v>24.08263907</v>
      </c>
      <c r="J386" s="1298">
        <f t="shared" si="1"/>
        <v>2.51594776</v>
      </c>
      <c r="K386" s="1298">
        <f t="shared" si="2"/>
        <v>2.947016626</v>
      </c>
      <c r="L386" s="1299">
        <f t="shared" si="3"/>
        <v>0.000009450991276</v>
      </c>
      <c r="M386" s="1300">
        <f t="shared" si="5"/>
        <v>0.7351720867</v>
      </c>
      <c r="N386" s="1301" t="str">
        <f t="shared" si="4"/>
        <v>A</v>
      </c>
    </row>
    <row r="387">
      <c r="A387" s="1291">
        <v>382.0</v>
      </c>
      <c r="B387" s="1292" t="s">
        <v>4143</v>
      </c>
      <c r="C387" s="1304" t="s">
        <v>1785</v>
      </c>
      <c r="D387" s="1302" t="str">
        <f>IF(C387="SINAPI",VLOOKUP(B387,'20-A.SINAPI-I'!A:G,2,0),VLOOKUP(B387,'12.COT.MERCADO'!A:I,2,0))</f>
        <v>EXECUÇÃO DE TESTE HIDROSTÁTICO EM HIDRANTES + ELABORAÇÃO DO RELATÓRIO TÉCNICO/LAUDO E FORNECIMENO DE ART</v>
      </c>
      <c r="E387" s="1305" t="s">
        <v>18393</v>
      </c>
      <c r="F387" s="1296" t="str">
        <f>IF(C387="SINAPI",VLOOKUP(B387,'20-A.SINAPI-I'!A:G,3,0),VLOOKUP(B387,'12.COT.MERCADO'!A:I,7,0))</f>
        <v>UN</v>
      </c>
      <c r="G387" s="1306">
        <v>2.67</v>
      </c>
      <c r="H387" s="1298">
        <f>IF(C387="SINAPI",VLOOKUP(B387,'20-A.SINAPI-I'!A:G,4,0),VLOOKUP(B387,'12.COT.MERCADO'!A:I,8,0))</f>
        <v>2500</v>
      </c>
      <c r="I387" s="1298">
        <f>IF(E387="Mão de Obra",H387*(1+'7. BDI SERVIÇOS'!$K$5),H387*(1+'8. BDI MERO FORNECIMENTO'!$K$5))</f>
        <v>2928.336463</v>
      </c>
      <c r="J387" s="1298">
        <f t="shared" si="1"/>
        <v>6675</v>
      </c>
      <c r="K387" s="1298">
        <f t="shared" si="2"/>
        <v>7818.658356</v>
      </c>
      <c r="L387" s="1299">
        <f t="shared" si="3"/>
        <v>0.02507419581</v>
      </c>
      <c r="M387" s="1300">
        <f t="shared" si="5"/>
        <v>0.7602462825</v>
      </c>
      <c r="N387" s="1301" t="str">
        <f t="shared" si="4"/>
        <v>A</v>
      </c>
    </row>
    <row r="388">
      <c r="A388" s="1291">
        <v>383.0</v>
      </c>
      <c r="B388" s="1292">
        <v>1576.0</v>
      </c>
      <c r="C388" s="1304" t="s">
        <v>17759</v>
      </c>
      <c r="D388" s="1303" t="str">
        <f>IF(C388="SINAPI",VLOOKUP(B388,'20-A.SINAPI-I'!A:G,2,0),VLOOKUP(B388,'12.COT.MERCADO'!A:I,2,0))</f>
        <v>TERMINAL A COMPRESSAO EM COBRE ESTANHADO PARA CABO 25 MM2, 1 FURO E 1 COMPRESSAO, PARA PARAFUSO DE FIXACAO M8</v>
      </c>
      <c r="E388" s="1305" t="s">
        <v>18393</v>
      </c>
      <c r="F388" s="1296" t="str">
        <f>IF(C388="SINAPI",VLOOKUP(B388,'20-A.SINAPI-I'!A:G,3,0),VLOOKUP(B388,'12.COT.MERCADO'!A:I,7,0))</f>
        <v>UN</v>
      </c>
      <c r="G388" s="1306">
        <v>0.99</v>
      </c>
      <c r="H388" s="1298">
        <f>IF(C388="SINAPI",VLOOKUP(B388,'20-A.SINAPI-I'!A:G,4,0),VLOOKUP(B388,'12.COT.MERCADO'!A:I,8,0))</f>
        <v>2.73</v>
      </c>
      <c r="I388" s="1298">
        <f>IF(E388="Mão de Obra",H388*(1+'7. BDI SERVIÇOS'!$K$5),H388*(1+'8. BDI MERO FORNECIMENTO'!$K$5))</f>
        <v>3.197743417</v>
      </c>
      <c r="J388" s="1298">
        <f t="shared" si="1"/>
        <v>2.7027</v>
      </c>
      <c r="K388" s="1298">
        <f t="shared" si="2"/>
        <v>3.165765983</v>
      </c>
      <c r="L388" s="1299">
        <f t="shared" si="3"/>
        <v>0.00001015251371</v>
      </c>
      <c r="M388" s="1300">
        <f t="shared" si="5"/>
        <v>0.760256435</v>
      </c>
      <c r="N388" s="1301" t="str">
        <f t="shared" si="4"/>
        <v>A</v>
      </c>
    </row>
    <row r="389">
      <c r="A389" s="1291">
        <v>389.0</v>
      </c>
      <c r="B389" s="1292">
        <v>43835.0</v>
      </c>
      <c r="C389" s="1304" t="s">
        <v>17759</v>
      </c>
      <c r="D389" s="1303" t="str">
        <f>IF(C389="SINAPI",VLOOKUP(B389,'20-A.SINAPI-I'!A:G,2,0),VLOOKUP(B389,'12.COT.MERCADO'!A:I,2,0))</f>
        <v>CABO COAXIAL RG59 95% DE MALHA</v>
      </c>
      <c r="E389" s="1305" t="s">
        <v>18394</v>
      </c>
      <c r="F389" s="1296" t="str">
        <f>IF(C389="SINAPI",VLOOKUP(B389,'20-A.SINAPI-I'!A:G,3,0),VLOOKUP(B389,'12.COT.MERCADO'!A:I,7,0))</f>
        <v>M</v>
      </c>
      <c r="G389" s="1306">
        <v>1.05</v>
      </c>
      <c r="H389" s="1298">
        <f>IF(C389="SINAPI",VLOOKUP(B389,'20-A.SINAPI-I'!A:G,4,0),VLOOKUP(B389,'12.COT.MERCADO'!A:I,8,0))</f>
        <v>1.84</v>
      </c>
      <c r="I389" s="1298">
        <f>IF(E389="Mão de Obra",H389*(1+'7. BDI SERVIÇOS'!$K$5),H389*(1+'8. BDI MERO FORNECIMENTO'!$K$5))</f>
        <v>2.160018265</v>
      </c>
      <c r="J389" s="1298">
        <f t="shared" si="1"/>
        <v>1.932</v>
      </c>
      <c r="K389" s="1298">
        <f t="shared" si="2"/>
        <v>2.268019178</v>
      </c>
      <c r="L389" s="1299">
        <f t="shared" si="3"/>
        <v>0.000007273467438</v>
      </c>
      <c r="M389" s="1300">
        <f t="shared" si="5"/>
        <v>0.7602637085</v>
      </c>
      <c r="N389" s="1301" t="str">
        <f t="shared" si="4"/>
        <v>A</v>
      </c>
    </row>
    <row r="390">
      <c r="A390" s="1291">
        <v>384.0</v>
      </c>
      <c r="B390" s="1292">
        <v>4718.0</v>
      </c>
      <c r="C390" s="1304" t="s">
        <v>17759</v>
      </c>
      <c r="D390" s="1303" t="str">
        <f>IF(C390="SINAPI",VLOOKUP(B390,'20-A.SINAPI-I'!A:G,2,0),VLOOKUP(B390,'12.COT.MERCADO'!A:I,2,0))</f>
        <v>PEDRA BRITADA N. 2 (19 A 38 MM) POSTO PEDREIRA/FORNECEDOR, SEM FRETE</v>
      </c>
      <c r="E390" s="1305" t="s">
        <v>18393</v>
      </c>
      <c r="F390" s="1296" t="str">
        <f>IF(C390="SINAPI",VLOOKUP(B390,'20-A.SINAPI-I'!A:G,3,0),VLOOKUP(B390,'12.COT.MERCADO'!A:I,7,0))</f>
        <v>M3</v>
      </c>
      <c r="G390" s="1306">
        <v>0.04005</v>
      </c>
      <c r="H390" s="1298">
        <f>IF(C390="SINAPI",VLOOKUP(B390,'20-A.SINAPI-I'!A:G,4,0),VLOOKUP(B390,'12.COT.MERCADO'!A:I,8,0))</f>
        <v>66</v>
      </c>
      <c r="I390" s="1298">
        <f>IF(E390="Mão de Obra",H390*(1+'7. BDI SERVIÇOS'!$K$5),H390*(1+'8. BDI MERO FORNECIMENTO'!$K$5))</f>
        <v>77.30808262</v>
      </c>
      <c r="J390" s="1298">
        <f t="shared" si="1"/>
        <v>2.6433</v>
      </c>
      <c r="K390" s="1298">
        <f t="shared" si="2"/>
        <v>3.096188709</v>
      </c>
      <c r="L390" s="1299">
        <f t="shared" si="3"/>
        <v>0.000009929381539</v>
      </c>
      <c r="M390" s="1300">
        <f t="shared" si="5"/>
        <v>0.7602736379</v>
      </c>
      <c r="N390" s="1301" t="str">
        <f t="shared" si="4"/>
        <v>A</v>
      </c>
    </row>
    <row r="391">
      <c r="A391" s="1291">
        <v>386.0</v>
      </c>
      <c r="B391" s="1292">
        <v>1550.0</v>
      </c>
      <c r="C391" s="1304" t="s">
        <v>17759</v>
      </c>
      <c r="D391" s="1303" t="str">
        <f>IF(C391="SINAPI",VLOOKUP(B391,'20-A.SINAPI-I'!A:G,2,0),VLOOKUP(B391,'12.COT.MERCADO'!A:I,2,0))</f>
        <v>CONECTOR METALICO TIPO PARAFUSO FENDIDO (SPLIT BOLT), PARA CABOS ATE 25 MM2</v>
      </c>
      <c r="E391" s="1305" t="s">
        <v>18393</v>
      </c>
      <c r="F391" s="1296" t="str">
        <f>IF(C391="SINAPI",VLOOKUP(B391,'20-A.SINAPI-I'!A:G,3,0),VLOOKUP(B391,'12.COT.MERCADO'!A:I,7,0))</f>
        <v>UN</v>
      </c>
      <c r="G391" s="1306">
        <v>0.33</v>
      </c>
      <c r="H391" s="1298">
        <f>IF(C391="SINAPI",VLOOKUP(B391,'20-A.SINAPI-I'!A:G,4,0),VLOOKUP(B391,'12.COT.MERCADO'!A:I,8,0))</f>
        <v>8.07</v>
      </c>
      <c r="I391" s="1298">
        <f>IF(E391="Mão de Obra",H391*(1+'7. BDI SERVIÇOS'!$K$5),H391*(1+'8. BDI MERO FORNECIMENTO'!$K$5))</f>
        <v>9.452670102</v>
      </c>
      <c r="J391" s="1298">
        <f t="shared" si="1"/>
        <v>2.6631</v>
      </c>
      <c r="K391" s="1298">
        <f t="shared" si="2"/>
        <v>3.119381134</v>
      </c>
      <c r="L391" s="1299">
        <f t="shared" si="3"/>
        <v>0.00001000375893</v>
      </c>
      <c r="M391" s="1300">
        <f t="shared" si="5"/>
        <v>0.7602836416</v>
      </c>
      <c r="N391" s="1301" t="str">
        <f t="shared" si="4"/>
        <v>A</v>
      </c>
    </row>
    <row r="392">
      <c r="A392" s="1291">
        <v>387.0</v>
      </c>
      <c r="B392" s="1292">
        <v>1575.0</v>
      </c>
      <c r="C392" s="1304" t="s">
        <v>17759</v>
      </c>
      <c r="D392" s="1303" t="str">
        <f>IF(C392="SINAPI",VLOOKUP(B392,'20-A.SINAPI-I'!A:G,2,0),VLOOKUP(B392,'12.COT.MERCADO'!A:I,2,0))</f>
        <v>TERMINAL A COMPRESSAO EM COBRE ESTANHADO PARA CABO 16 MM2, 1 FURO E 1 COMPRESSAO, PARA PARAFUSO DE FIXACAO M6</v>
      </c>
      <c r="E392" s="1305" t="s">
        <v>18393</v>
      </c>
      <c r="F392" s="1296" t="str">
        <f>IF(C392="SINAPI",VLOOKUP(B392,'20-A.SINAPI-I'!A:G,3,0),VLOOKUP(B392,'12.COT.MERCADO'!A:I,7,0))</f>
        <v>UN</v>
      </c>
      <c r="G392" s="1306">
        <v>1.34</v>
      </c>
      <c r="H392" s="1298">
        <f>IF(C392="SINAPI",VLOOKUP(B392,'20-A.SINAPI-I'!A:G,4,0),VLOOKUP(B392,'12.COT.MERCADO'!A:I,8,0))</f>
        <v>1.97</v>
      </c>
      <c r="I392" s="1298">
        <f>IF(E392="Mão de Obra",H392*(1+'7. BDI SERVIÇOS'!$K$5),H392*(1+'8. BDI MERO FORNECIMENTO'!$K$5))</f>
        <v>2.307529133</v>
      </c>
      <c r="J392" s="1298">
        <f t="shared" si="1"/>
        <v>2.6398</v>
      </c>
      <c r="K392" s="1298">
        <f t="shared" si="2"/>
        <v>3.092089038</v>
      </c>
      <c r="L392" s="1299">
        <f t="shared" si="3"/>
        <v>0.00000991623402</v>
      </c>
      <c r="M392" s="1300">
        <f t="shared" si="5"/>
        <v>0.7602935578</v>
      </c>
      <c r="N392" s="1301" t="str">
        <f t="shared" si="4"/>
        <v>A</v>
      </c>
    </row>
    <row r="393">
      <c r="A393" s="1291">
        <v>388.0</v>
      </c>
      <c r="B393" s="1292">
        <v>3870.0</v>
      </c>
      <c r="C393" s="1304" t="s">
        <v>17759</v>
      </c>
      <c r="D393" s="1303" t="str">
        <f>IF(C393="SINAPI",VLOOKUP(B393,'20-A.SINAPI-I'!A:G,2,0),VLOOKUP(B393,'12.COT.MERCADO'!A:I,2,0))</f>
        <v>LUVA SOLDAVEL COM BUCHA DE LATAO, PVC, 25 MM X 3/4"</v>
      </c>
      <c r="E393" s="1305" t="s">
        <v>18393</v>
      </c>
      <c r="F393" s="1296" t="str">
        <f>IF(C393="SINAPI",VLOOKUP(B393,'20-A.SINAPI-I'!A:G,3,0),VLOOKUP(B393,'12.COT.MERCADO'!A:I,7,0))</f>
        <v>UN</v>
      </c>
      <c r="G393" s="1306">
        <v>0.33</v>
      </c>
      <c r="H393" s="1298">
        <f>IF(C393="SINAPI",VLOOKUP(B393,'20-A.SINAPI-I'!A:G,4,0),VLOOKUP(B393,'12.COT.MERCADO'!A:I,8,0))</f>
        <v>6.88</v>
      </c>
      <c r="I393" s="1298">
        <f>IF(E393="Mão de Obra",H393*(1+'7. BDI SERVIÇOS'!$K$5),H393*(1+'8. BDI MERO FORNECIMENTO'!$K$5))</f>
        <v>8.058781946</v>
      </c>
      <c r="J393" s="1298">
        <f t="shared" si="1"/>
        <v>2.2704</v>
      </c>
      <c r="K393" s="1298">
        <f t="shared" si="2"/>
        <v>2.659398042</v>
      </c>
      <c r="L393" s="1299">
        <f t="shared" si="3"/>
        <v>0.000008528607364</v>
      </c>
      <c r="M393" s="1300">
        <f t="shared" si="5"/>
        <v>0.7603020865</v>
      </c>
      <c r="N393" s="1301" t="str">
        <f t="shared" si="4"/>
        <v>A</v>
      </c>
    </row>
    <row r="394">
      <c r="A394" s="1291">
        <v>390.0</v>
      </c>
      <c r="B394" s="1292">
        <v>36397.0</v>
      </c>
      <c r="C394" s="1304" t="s">
        <v>17759</v>
      </c>
      <c r="D394" s="1303" t="str">
        <f>IF(C394="SINAPI",VLOOKUP(B394,'20-A.SINAPI-I'!A:G,2,0),VLOOKUP(B394,'12.COT.MERCADO'!A:I,2,0))</f>
        <v>BETONEIRA, CAPACIDADE NOMINAL 600 L, CAPACIDADE DE MISTURA  360L, MOTOR ELETRICO TRIFASICO 220/380V, POTENCIA 4CV, EXCLUSO CARREGADOR</v>
      </c>
      <c r="E394" s="1305" t="s">
        <v>18393</v>
      </c>
      <c r="F394" s="1296" t="str">
        <f>IF(C394="SINAPI",VLOOKUP(B394,'20-A.SINAPI-I'!A:G,3,0),VLOOKUP(B394,'12.COT.MERCADO'!A:I,7,0))</f>
        <v>UN</v>
      </c>
      <c r="G394" s="1306">
        <v>1.19E-4</v>
      </c>
      <c r="H394" s="1298">
        <f>IF(C394="SINAPI",VLOOKUP(B394,'20-A.SINAPI-I'!A:G,4,0),VLOOKUP(B394,'12.COT.MERCADO'!A:I,8,0))</f>
        <v>19464.4</v>
      </c>
      <c r="I394" s="1298">
        <f>IF(E394="Mão de Obra",H394*(1+'7. BDI SERVIÇOS'!$K$5),H394*(1+'8. BDI MERO FORNECIMENTO'!$K$5))</f>
        <v>22799.3249</v>
      </c>
      <c r="J394" s="1298">
        <f t="shared" si="1"/>
        <v>2.3162636</v>
      </c>
      <c r="K394" s="1298">
        <f t="shared" si="2"/>
        <v>2.713119663</v>
      </c>
      <c r="L394" s="1299">
        <f t="shared" si="3"/>
        <v>0.000008700890943</v>
      </c>
      <c r="M394" s="1300">
        <f t="shared" si="5"/>
        <v>0.7603107873</v>
      </c>
      <c r="N394" s="1301" t="str">
        <f t="shared" si="4"/>
        <v>A</v>
      </c>
    </row>
    <row r="395">
      <c r="A395" s="1291">
        <v>391.0</v>
      </c>
      <c r="B395" s="1292">
        <v>38098.0</v>
      </c>
      <c r="C395" s="1304" t="s">
        <v>17759</v>
      </c>
      <c r="D395" s="1303" t="str">
        <f>IF(C395="SINAPI",VLOOKUP(B395,'20-A.SINAPI-I'!A:G,2,0),VLOOKUP(B395,'12.COT.MERCADO'!A:I,2,0))</f>
        <v>ESPELHO / PLACA DE 6 POSTOS 4" X 4", PARA INSTALACAO DE TOMADAS E INTERRUPTORES</v>
      </c>
      <c r="E395" s="1305" t="s">
        <v>18393</v>
      </c>
      <c r="F395" s="1296" t="str">
        <f>IF(C395="SINAPI",VLOOKUP(B395,'20-A.SINAPI-I'!A:G,3,0),VLOOKUP(B395,'12.COT.MERCADO'!A:I,7,0))</f>
        <v>UN</v>
      </c>
      <c r="G395" s="1306">
        <v>0.33</v>
      </c>
      <c r="H395" s="1298">
        <f>IF(C395="SINAPI",VLOOKUP(B395,'20-A.SINAPI-I'!A:G,4,0),VLOOKUP(B395,'12.COT.MERCADO'!A:I,8,0))</f>
        <v>6.37</v>
      </c>
      <c r="I395" s="1298">
        <f>IF(E395="Mão de Obra",H395*(1+'7. BDI SERVIÇOS'!$K$5),H395*(1+'8. BDI MERO FORNECIMENTO'!$K$5))</f>
        <v>7.461401307</v>
      </c>
      <c r="J395" s="1298">
        <f t="shared" si="1"/>
        <v>2.1021</v>
      </c>
      <c r="K395" s="1298">
        <f t="shared" si="2"/>
        <v>2.462262431</v>
      </c>
      <c r="L395" s="1299">
        <f t="shared" si="3"/>
        <v>0.000007896399551</v>
      </c>
      <c r="M395" s="1300">
        <f t="shared" si="5"/>
        <v>0.7603186837</v>
      </c>
      <c r="N395" s="1301" t="str">
        <f t="shared" si="4"/>
        <v>A</v>
      </c>
    </row>
    <row r="396">
      <c r="A396" s="1291">
        <v>392.0</v>
      </c>
      <c r="B396" s="1292">
        <v>11681.0</v>
      </c>
      <c r="C396" s="1304" t="s">
        <v>17759</v>
      </c>
      <c r="D396" s="1303" t="str">
        <f>IF(C396="SINAPI",VLOOKUP(B396,'20-A.SINAPI-I'!A:G,2,0),VLOOKUP(B396,'12.COT.MERCADO'!A:I,2,0))</f>
        <v>ENGATE/RABICHO FLEXIVEL PLASTICO (PVC OU ABS) BRANCO 1/2 " X 40 CM</v>
      </c>
      <c r="E396" s="1305" t="s">
        <v>18393</v>
      </c>
      <c r="F396" s="1296" t="str">
        <f>IF(C396="SINAPI",VLOOKUP(B396,'20-A.SINAPI-I'!A:G,3,0),VLOOKUP(B396,'12.COT.MERCADO'!A:I,7,0))</f>
        <v>UN</v>
      </c>
      <c r="G396" s="1306">
        <v>0.33</v>
      </c>
      <c r="H396" s="1298">
        <f>IF(C396="SINAPI",VLOOKUP(B396,'20-A.SINAPI-I'!A:G,4,0),VLOOKUP(B396,'12.COT.MERCADO'!A:I,8,0))</f>
        <v>7.24</v>
      </c>
      <c r="I396" s="1298">
        <f>IF(E396="Mão de Obra",H396*(1+'7. BDI SERVIÇOS'!$K$5),H396*(1+'8. BDI MERO FORNECIMENTO'!$K$5))</f>
        <v>8.480462396</v>
      </c>
      <c r="J396" s="1298">
        <f t="shared" si="1"/>
        <v>2.3892</v>
      </c>
      <c r="K396" s="1298">
        <f t="shared" si="2"/>
        <v>2.798552591</v>
      </c>
      <c r="L396" s="1299">
        <f t="shared" si="3"/>
        <v>0.000008974871703</v>
      </c>
      <c r="M396" s="1300">
        <f t="shared" si="5"/>
        <v>0.7603276586</v>
      </c>
      <c r="N396" s="1301" t="str">
        <f t="shared" si="4"/>
        <v>A</v>
      </c>
    </row>
    <row r="397">
      <c r="A397" s="1291">
        <v>393.0</v>
      </c>
      <c r="B397" s="1292">
        <v>1891.0</v>
      </c>
      <c r="C397" s="1304" t="s">
        <v>17759</v>
      </c>
      <c r="D397" s="1303" t="str">
        <f>IF(C397="SINAPI",VLOOKUP(B397,'20-A.SINAPI-I'!A:G,2,0),VLOOKUP(B397,'12.COT.MERCADO'!A:I,2,0))</f>
        <v>LUVA EM PVC RIGIDO ROSCAVEL, DE 3/4", PARA ELETRODUTO</v>
      </c>
      <c r="E397" s="1305" t="s">
        <v>18393</v>
      </c>
      <c r="F397" s="1296" t="str">
        <f>IF(C397="SINAPI",VLOOKUP(B397,'20-A.SINAPI-I'!A:G,3,0),VLOOKUP(B397,'12.COT.MERCADO'!A:I,7,0))</f>
        <v>UN</v>
      </c>
      <c r="G397" s="1306">
        <v>1.33</v>
      </c>
      <c r="H397" s="1298">
        <f>IF(C397="SINAPI",VLOOKUP(B397,'20-A.SINAPI-I'!A:G,4,0),VLOOKUP(B397,'12.COT.MERCADO'!A:I,8,0))</f>
        <v>1.68</v>
      </c>
      <c r="I397" s="1298">
        <f>IF(E397="Mão de Obra",H397*(1+'7. BDI SERVIÇOS'!$K$5),H397*(1+'8. BDI MERO FORNECIMENTO'!$K$5))</f>
        <v>1.967842103</v>
      </c>
      <c r="J397" s="1298">
        <f t="shared" si="1"/>
        <v>2.2344</v>
      </c>
      <c r="K397" s="1298">
        <f t="shared" si="2"/>
        <v>2.617229997</v>
      </c>
      <c r="L397" s="1299">
        <f t="shared" si="3"/>
        <v>0.000008393375746</v>
      </c>
      <c r="M397" s="1300">
        <f t="shared" si="5"/>
        <v>0.760336052</v>
      </c>
      <c r="N397" s="1301" t="str">
        <f t="shared" si="4"/>
        <v>A</v>
      </c>
    </row>
    <row r="398">
      <c r="A398" s="1291">
        <v>394.0</v>
      </c>
      <c r="B398" s="1292">
        <v>345.0</v>
      </c>
      <c r="C398" s="1304" t="s">
        <v>17759</v>
      </c>
      <c r="D398" s="1303" t="str">
        <f>IF(C398="SINAPI",VLOOKUP(B398,'20-A.SINAPI-I'!A:G,2,0),VLOOKUP(B398,'12.COT.MERCADO'!A:I,2,0))</f>
        <v>ARAME GALVANIZADO 18 BWG, D = 1,24MM (0,009 KG/M)</v>
      </c>
      <c r="E398" s="1305" t="s">
        <v>18393</v>
      </c>
      <c r="F398" s="1296" t="str">
        <f>IF(C398="SINAPI",VLOOKUP(B398,'20-A.SINAPI-I'!A:G,3,0),VLOOKUP(B398,'12.COT.MERCADO'!A:I,7,0))</f>
        <v>KG</v>
      </c>
      <c r="G398" s="1306">
        <v>0.05825</v>
      </c>
      <c r="H398" s="1298">
        <f>IF(C398="SINAPI",VLOOKUP(B398,'20-A.SINAPI-I'!A:G,4,0),VLOOKUP(B398,'12.COT.MERCADO'!A:I,8,0))</f>
        <v>39.58</v>
      </c>
      <c r="I398" s="1298">
        <f>IF(E398="Mão de Obra",H398*(1+'7. BDI SERVIÇOS'!$K$5),H398*(1+'8. BDI MERO FORNECIMENTO'!$K$5))</f>
        <v>46.36142288</v>
      </c>
      <c r="J398" s="1298">
        <f t="shared" si="1"/>
        <v>2.305535</v>
      </c>
      <c r="K398" s="1298">
        <f t="shared" si="2"/>
        <v>2.700552883</v>
      </c>
      <c r="L398" s="1299">
        <f t="shared" si="3"/>
        <v>0.000008660589667</v>
      </c>
      <c r="M398" s="1300">
        <f t="shared" si="5"/>
        <v>0.7603447126</v>
      </c>
      <c r="N398" s="1301" t="str">
        <f t="shared" si="4"/>
        <v>A</v>
      </c>
    </row>
    <row r="399">
      <c r="A399" s="1291">
        <v>395.0</v>
      </c>
      <c r="B399" s="1292">
        <v>3148.0</v>
      </c>
      <c r="C399" s="1304" t="s">
        <v>17759</v>
      </c>
      <c r="D399" s="1303" t="str">
        <f>IF(C399="SINAPI",VLOOKUP(B399,'20-A.SINAPI-I'!A:G,2,0),VLOOKUP(B399,'12.COT.MERCADO'!A:I,2,0))</f>
        <v>FITA VEDA ROSCA EM ROLOS DE 18 MM X 50 M (L X C)</v>
      </c>
      <c r="E399" s="1305" t="s">
        <v>18397</v>
      </c>
      <c r="F399" s="1296" t="str">
        <f>IF(C399="SINAPI",VLOOKUP(B399,'20-A.SINAPI-I'!A:G,3,0),VLOOKUP(B399,'12.COT.MERCADO'!A:I,7,0))</f>
        <v>UN</v>
      </c>
      <c r="G399" s="1306">
        <v>0.112329</v>
      </c>
      <c r="H399" s="1298">
        <f>IF(C399="SINAPI",VLOOKUP(B399,'20-A.SINAPI-I'!A:G,4,0),VLOOKUP(B399,'12.COT.MERCADO'!A:I,8,0))</f>
        <v>16.59</v>
      </c>
      <c r="I399" s="1298">
        <f>IF(E399="Mão de Obra",H399*(1+'7. BDI SERVIÇOS'!$K$5),H399*(1+'8. BDI MERO FORNECIMENTO'!$K$5))</f>
        <v>19.43244077</v>
      </c>
      <c r="J399" s="1298">
        <f t="shared" si="1"/>
        <v>1.86353811</v>
      </c>
      <c r="K399" s="1298">
        <f t="shared" si="2"/>
        <v>2.182826639</v>
      </c>
      <c r="L399" s="1299">
        <f t="shared" si="3"/>
        <v>0.000007000257597</v>
      </c>
      <c r="M399" s="1300">
        <f t="shared" si="5"/>
        <v>0.7603517128</v>
      </c>
      <c r="N399" s="1301" t="str">
        <f t="shared" si="4"/>
        <v>A</v>
      </c>
    </row>
    <row r="400">
      <c r="A400" s="1291">
        <v>396.0</v>
      </c>
      <c r="B400" s="1292">
        <v>3524.0</v>
      </c>
      <c r="C400" s="1304" t="s">
        <v>17759</v>
      </c>
      <c r="D400" s="1303" t="str">
        <f>IF(C400="SINAPI",VLOOKUP(B400,'20-A.SINAPI-I'!A:G,2,0),VLOOKUP(B400,'12.COT.MERCADO'!A:I,2,0))</f>
        <v>JOELHO PVC, SOLDAVEL, COM BUCHA DE LATAO, 90 GRAUS, 25 MM X 3/4", PARA AGUA FRIA PREDIAL</v>
      </c>
      <c r="E400" s="1305" t="s">
        <v>18393</v>
      </c>
      <c r="F400" s="1296" t="str">
        <f>IF(C400="SINAPI",VLOOKUP(B400,'20-A.SINAPI-I'!A:G,3,0),VLOOKUP(B400,'12.COT.MERCADO'!A:I,7,0))</f>
        <v>UN</v>
      </c>
      <c r="G400" s="1306">
        <v>0.225302</v>
      </c>
      <c r="H400" s="1298">
        <f>IF(C400="SINAPI",VLOOKUP(B400,'20-A.SINAPI-I'!A:G,4,0),VLOOKUP(B400,'12.COT.MERCADO'!A:I,8,0))</f>
        <v>8.44</v>
      </c>
      <c r="I400" s="1298">
        <f>IF(E400="Mão de Obra",H400*(1+'7. BDI SERVIÇOS'!$K$5),H400*(1+'8. BDI MERO FORNECIMENTO'!$K$5))</f>
        <v>9.886063899</v>
      </c>
      <c r="J400" s="1298">
        <f t="shared" si="1"/>
        <v>1.90154888</v>
      </c>
      <c r="K400" s="1298">
        <f t="shared" si="2"/>
        <v>2.227349968</v>
      </c>
      <c r="L400" s="1299">
        <f t="shared" si="3"/>
        <v>0.000007143042539</v>
      </c>
      <c r="M400" s="1300">
        <f t="shared" si="5"/>
        <v>0.7603588559</v>
      </c>
      <c r="N400" s="1301" t="str">
        <f t="shared" si="4"/>
        <v>A</v>
      </c>
    </row>
    <row r="401">
      <c r="A401" s="1291">
        <v>397.0</v>
      </c>
      <c r="B401" s="1292">
        <v>3528.0</v>
      </c>
      <c r="C401" s="1304" t="s">
        <v>17759</v>
      </c>
      <c r="D401" s="1303" t="str">
        <f>IF(C401="SINAPI",VLOOKUP(B401,'20-A.SINAPI-I'!A:G,2,0),VLOOKUP(B401,'12.COT.MERCADO'!A:I,2,0))</f>
        <v>JOELHO PVC, SOLDAVEL, PB, 45 GRAUS, DN 100 MM, PARA ESGOTO PREDIAL</v>
      </c>
      <c r="E401" s="1305" t="s">
        <v>18393</v>
      </c>
      <c r="F401" s="1296" t="str">
        <f>IF(C401="SINAPI",VLOOKUP(B401,'20-A.SINAPI-I'!A:G,3,0),VLOOKUP(B401,'12.COT.MERCADO'!A:I,7,0))</f>
        <v>UN</v>
      </c>
      <c r="G401" s="1306">
        <v>0.1832</v>
      </c>
      <c r="H401" s="1298">
        <f>IF(C401="SINAPI",VLOOKUP(B401,'20-A.SINAPI-I'!A:G,4,0),VLOOKUP(B401,'12.COT.MERCADO'!A:I,8,0))</f>
        <v>10.43</v>
      </c>
      <c r="I401" s="1298">
        <f>IF(E401="Mão de Obra",H401*(1+'7. BDI SERVIÇOS'!$K$5),H401*(1+'8. BDI MERO FORNECIMENTO'!$K$5))</f>
        <v>12.21701972</v>
      </c>
      <c r="J401" s="1298">
        <f t="shared" si="1"/>
        <v>1.910776</v>
      </c>
      <c r="K401" s="1298">
        <f t="shared" si="2"/>
        <v>2.238158013</v>
      </c>
      <c r="L401" s="1299">
        <f t="shared" si="3"/>
        <v>0.000007177703605</v>
      </c>
      <c r="M401" s="1300">
        <f t="shared" si="5"/>
        <v>0.7603660336</v>
      </c>
      <c r="N401" s="1301" t="str">
        <f t="shared" si="4"/>
        <v>A</v>
      </c>
    </row>
    <row r="402">
      <c r="A402" s="1291">
        <v>398.0</v>
      </c>
      <c r="B402" s="1292">
        <v>40547.0</v>
      </c>
      <c r="C402" s="1304" t="s">
        <v>17759</v>
      </c>
      <c r="D402" s="1303" t="str">
        <f>IF(C402="SINAPI",VLOOKUP(B402,'20-A.SINAPI-I'!A:G,2,0),VLOOKUP(B402,'12.COT.MERCADO'!A:I,2,0))</f>
        <v>PARAFUSO ZINCADO, AUTOBROCANTE, FLANGEADO, 4,2 MM X 19 MM</v>
      </c>
      <c r="E402" s="1305" t="s">
        <v>18393</v>
      </c>
      <c r="F402" s="1296" t="str">
        <f>IF(C402="SINAPI",VLOOKUP(B402,'20-A.SINAPI-I'!A:G,3,0),VLOOKUP(B402,'12.COT.MERCADO'!A:I,7,0))</f>
        <v>CENTO</v>
      </c>
      <c r="G402" s="1306">
        <v>0.071764</v>
      </c>
      <c r="H402" s="1298">
        <f>IF(C402="SINAPI",VLOOKUP(B402,'20-A.SINAPI-I'!A:G,4,0),VLOOKUP(B402,'12.COT.MERCADO'!A:I,8,0))</f>
        <v>30.3</v>
      </c>
      <c r="I402" s="1298">
        <f>IF(E402="Mão de Obra",H402*(1+'7. BDI SERVIÇOS'!$K$5),H402*(1+'8. BDI MERO FORNECIMENTO'!$K$5))</f>
        <v>35.49143793</v>
      </c>
      <c r="J402" s="1298">
        <f t="shared" si="1"/>
        <v>2.1744492</v>
      </c>
      <c r="K402" s="1298">
        <f t="shared" si="2"/>
        <v>2.547007552</v>
      </c>
      <c r="L402" s="1299">
        <f t="shared" si="3"/>
        <v>0.000008168174533</v>
      </c>
      <c r="M402" s="1300">
        <f t="shared" si="5"/>
        <v>0.7603742018</v>
      </c>
      <c r="N402" s="1301" t="str">
        <f t="shared" si="4"/>
        <v>A</v>
      </c>
    </row>
    <row r="403">
      <c r="A403" s="1291">
        <v>399.0</v>
      </c>
      <c r="B403" s="1292">
        <v>11960.0</v>
      </c>
      <c r="C403" s="1304" t="s">
        <v>17759</v>
      </c>
      <c r="D403" s="1303" t="str">
        <f>IF(C403="SINAPI",VLOOKUP(B403,'20-A.SINAPI-I'!A:G,2,0),VLOOKUP(B403,'12.COT.MERCADO'!A:I,2,0))</f>
        <v>PARAFUSO DE LATAO COM ROSCA SOBERBA, CABECA CHATA E FENDA SIMPLES, DIAMETRO 2,5 MM, COMPRIMENTO 12 MM</v>
      </c>
      <c r="E403" s="1305" t="s">
        <v>18393</v>
      </c>
      <c r="F403" s="1296" t="str">
        <f>IF(C403="SINAPI",VLOOKUP(B403,'20-A.SINAPI-I'!A:G,3,0),VLOOKUP(B403,'12.COT.MERCADO'!A:I,7,0))</f>
        <v>UN</v>
      </c>
      <c r="G403" s="1306">
        <v>13.34</v>
      </c>
      <c r="H403" s="1298">
        <f>IF(C403="SINAPI",VLOOKUP(B403,'20-A.SINAPI-I'!A:G,4,0),VLOOKUP(B403,'12.COT.MERCADO'!A:I,8,0))</f>
        <v>0.16</v>
      </c>
      <c r="I403" s="1298">
        <f>IF(E403="Mão de Obra",H403*(1+'7. BDI SERVIÇOS'!$K$5),H403*(1+'8. BDI MERO FORNECIMENTO'!$K$5))</f>
        <v>0.1874135336</v>
      </c>
      <c r="J403" s="1298">
        <f t="shared" si="1"/>
        <v>2.1344</v>
      </c>
      <c r="K403" s="1298">
        <f t="shared" si="2"/>
        <v>2.500096539</v>
      </c>
      <c r="L403" s="1299">
        <f t="shared" si="3"/>
        <v>0.000008017732364</v>
      </c>
      <c r="M403" s="1300">
        <f t="shared" si="5"/>
        <v>0.7603822195</v>
      </c>
      <c r="N403" s="1301" t="str">
        <f t="shared" si="4"/>
        <v>A</v>
      </c>
    </row>
    <row r="404">
      <c r="A404" s="1291">
        <v>400.0</v>
      </c>
      <c r="B404" s="1292">
        <v>3517.0</v>
      </c>
      <c r="C404" s="1304" t="s">
        <v>17759</v>
      </c>
      <c r="D404" s="1303" t="str">
        <f>IF(C404="SINAPI",VLOOKUP(B404,'20-A.SINAPI-I'!A:G,2,0),VLOOKUP(B404,'12.COT.MERCADO'!A:I,2,0))</f>
        <v>JOELHO PVC, SOLDAVEL, BB, 90 GRAUS, SEM ANEL, DN 40 MM, PARA ESGOTO PREDIAL SECUNDARIO</v>
      </c>
      <c r="E404" s="1305" t="s">
        <v>18393</v>
      </c>
      <c r="F404" s="1296" t="str">
        <f>IF(C404="SINAPI",VLOOKUP(B404,'20-A.SINAPI-I'!A:G,3,0),VLOOKUP(B404,'12.COT.MERCADO'!A:I,7,0))</f>
        <v>UN</v>
      </c>
      <c r="G404" s="1306">
        <v>0.67</v>
      </c>
      <c r="H404" s="1298">
        <f>IF(C404="SINAPI",VLOOKUP(B404,'20-A.SINAPI-I'!A:G,4,0),VLOOKUP(B404,'12.COT.MERCADO'!A:I,8,0))</f>
        <v>2.41</v>
      </c>
      <c r="I404" s="1298">
        <f>IF(E404="Mão de Obra",H404*(1+'7. BDI SERVIÇOS'!$K$5),H404*(1+'8. BDI MERO FORNECIMENTO'!$K$5))</f>
        <v>2.82291635</v>
      </c>
      <c r="J404" s="1298">
        <f t="shared" si="1"/>
        <v>1.6147</v>
      </c>
      <c r="K404" s="1298">
        <f t="shared" si="2"/>
        <v>1.891353955</v>
      </c>
      <c r="L404" s="1299">
        <f t="shared" si="3"/>
        <v>0.000006065513703</v>
      </c>
      <c r="M404" s="1300">
        <f t="shared" si="5"/>
        <v>0.760388285</v>
      </c>
      <c r="N404" s="1301" t="str">
        <f t="shared" si="4"/>
        <v>A</v>
      </c>
    </row>
    <row r="405">
      <c r="A405" s="1291">
        <v>401.0</v>
      </c>
      <c r="B405" s="1292">
        <v>3767.0</v>
      </c>
      <c r="C405" s="1304" t="s">
        <v>17759</v>
      </c>
      <c r="D405" s="1303" t="str">
        <f>IF(C405="SINAPI",VLOOKUP(B405,'20-A.SINAPI-I'!A:G,2,0),VLOOKUP(B405,'12.COT.MERCADO'!A:I,2,0))</f>
        <v>LIXA EM FOLHA PARA PAREDE OU MADEIRA, NUMERO 120, COR VERMELHA</v>
      </c>
      <c r="E405" s="1305" t="s">
        <v>18393</v>
      </c>
      <c r="F405" s="1296" t="str">
        <f>IF(C405="SINAPI",VLOOKUP(B405,'20-A.SINAPI-I'!A:G,3,0),VLOOKUP(B405,'12.COT.MERCADO'!A:I,7,0))</f>
        <v>UN</v>
      </c>
      <c r="G405" s="1306">
        <v>0.935</v>
      </c>
      <c r="H405" s="1298">
        <f>IF(C405="SINAPI",VLOOKUP(B405,'20-A.SINAPI-I'!A:G,4,0),VLOOKUP(B405,'12.COT.MERCADO'!A:I,8,0))</f>
        <v>1.66</v>
      </c>
      <c r="I405" s="1298">
        <f>IF(E405="Mão de Obra",H405*(1+'7. BDI SERVIÇOS'!$K$5),H405*(1+'8. BDI MERO FORNECIMENTO'!$K$5))</f>
        <v>1.944415411</v>
      </c>
      <c r="J405" s="1298">
        <f t="shared" si="1"/>
        <v>1.5521</v>
      </c>
      <c r="K405" s="1298">
        <f t="shared" si="2"/>
        <v>1.81802841</v>
      </c>
      <c r="L405" s="1299">
        <f t="shared" si="3"/>
        <v>0.000005830360945</v>
      </c>
      <c r="M405" s="1300">
        <f t="shared" si="5"/>
        <v>0.7603941154</v>
      </c>
      <c r="N405" s="1301" t="str">
        <f t="shared" si="4"/>
        <v>A</v>
      </c>
    </row>
    <row r="406">
      <c r="A406" s="1291">
        <v>402.0</v>
      </c>
      <c r="B406" s="1292">
        <v>107.0</v>
      </c>
      <c r="C406" s="1304" t="s">
        <v>17759</v>
      </c>
      <c r="D406" s="1303" t="str">
        <f>IF(C406="SINAPI",VLOOKUP(B406,'20-A.SINAPI-I'!A:G,2,0),VLOOKUP(B406,'12.COT.MERCADO'!A:I,2,0))</f>
        <v>ADAPTADOR PVC SOLDAVEL CURTO COM BOLSA E ROSCA, 20 MM X 1/2", PARA AGUA FRIA</v>
      </c>
      <c r="E406" s="1305" t="s">
        <v>18393</v>
      </c>
      <c r="F406" s="1296" t="str">
        <f>IF(C406="SINAPI",VLOOKUP(B406,'20-A.SINAPI-I'!A:G,3,0),VLOOKUP(B406,'12.COT.MERCADO'!A:I,7,0))</f>
        <v>UN</v>
      </c>
      <c r="G406" s="1306">
        <v>1.67</v>
      </c>
      <c r="H406" s="1298">
        <f>IF(C406="SINAPI",VLOOKUP(B406,'20-A.SINAPI-I'!A:G,4,0),VLOOKUP(B406,'12.COT.MERCADO'!A:I,8,0))</f>
        <v>0.85</v>
      </c>
      <c r="I406" s="1298">
        <f>IF(E406="Mão de Obra",H406*(1+'7. BDI SERVIÇOS'!$K$5),H406*(1+'8. BDI MERO FORNECIMENTO'!$K$5))</f>
        <v>0.9956343974</v>
      </c>
      <c r="J406" s="1298">
        <f t="shared" si="1"/>
        <v>1.4195</v>
      </c>
      <c r="K406" s="1298">
        <f t="shared" si="2"/>
        <v>1.662709444</v>
      </c>
      <c r="L406" s="1299">
        <f t="shared" si="3"/>
        <v>0.00000533225782</v>
      </c>
      <c r="M406" s="1300">
        <f t="shared" si="5"/>
        <v>0.7603994476</v>
      </c>
      <c r="N406" s="1301" t="str">
        <f t="shared" si="4"/>
        <v>A</v>
      </c>
    </row>
    <row r="407">
      <c r="A407" s="1291">
        <v>403.0</v>
      </c>
      <c r="B407" s="1292">
        <v>2557.0</v>
      </c>
      <c r="C407" s="1304" t="s">
        <v>17759</v>
      </c>
      <c r="D407" s="1303" t="str">
        <f>IF(C407="SINAPI",VLOOKUP(B407,'20-A.SINAPI-I'!A:G,2,0),VLOOKUP(B407,'12.COT.MERCADO'!A:I,2,0))</f>
        <v>CAIXA DE LUZ "4 X 4" EM ACO ESMALTADA</v>
      </c>
      <c r="E407" s="1305" t="s">
        <v>18393</v>
      </c>
      <c r="F407" s="1296" t="str">
        <f>IF(C407="SINAPI",VLOOKUP(B407,'20-A.SINAPI-I'!A:G,3,0),VLOOKUP(B407,'12.COT.MERCADO'!A:I,7,0))</f>
        <v>UN</v>
      </c>
      <c r="G407" s="1306">
        <v>0.33</v>
      </c>
      <c r="H407" s="1298">
        <f>IF(C407="SINAPI",VLOOKUP(B407,'20-A.SINAPI-I'!A:G,4,0),VLOOKUP(B407,'12.COT.MERCADO'!A:I,8,0))</f>
        <v>3.24</v>
      </c>
      <c r="I407" s="1298">
        <f>IF(E407="Mão de Obra",H407*(1+'7. BDI SERVIÇOS'!$K$5),H407*(1+'8. BDI MERO FORNECIMENTO'!$K$5))</f>
        <v>3.795124056</v>
      </c>
      <c r="J407" s="1298">
        <f t="shared" si="1"/>
        <v>1.0692</v>
      </c>
      <c r="K407" s="1298">
        <f t="shared" si="2"/>
        <v>1.252390938</v>
      </c>
      <c r="L407" s="1299">
        <f t="shared" si="3"/>
        <v>0.000004016379049</v>
      </c>
      <c r="M407" s="1300">
        <f t="shared" si="5"/>
        <v>0.760403464</v>
      </c>
      <c r="N407" s="1301" t="str">
        <f t="shared" si="4"/>
        <v>A</v>
      </c>
    </row>
    <row r="408">
      <c r="A408" s="1291">
        <v>407.0</v>
      </c>
      <c r="B408" s="1292">
        <v>34557.0</v>
      </c>
      <c r="C408" s="1304" t="s">
        <v>17759</v>
      </c>
      <c r="D408" s="1303" t="str">
        <f>IF(C408="SINAPI",VLOOKUP(B408,'20-A.SINAPI-I'!A:G,2,0),VLOOKUP(B408,'12.COT.MERCADO'!A:I,2,0))</f>
        <v>TELA DE ACO SOLDADA GALVANIZADA/ZINCADA PARA ALVENARIA, FIO D = *1,20 A 1,70* MM, MALHA 15 X 15 MM, (C X L) *50 X 7,5* CM</v>
      </c>
      <c r="E408" s="1305" t="s">
        <v>18397</v>
      </c>
      <c r="F408" s="1296" t="str">
        <f>IF(C408="SINAPI",VLOOKUP(B408,'20-A.SINAPI-I'!A:G,3,0),VLOOKUP(B408,'12.COT.MERCADO'!A:I,7,0))</f>
        <v>M</v>
      </c>
      <c r="G408" s="1306">
        <v>0.42</v>
      </c>
      <c r="H408" s="1298">
        <f>IF(C408="SINAPI",VLOOKUP(B408,'20-A.SINAPI-I'!A:G,4,0),VLOOKUP(B408,'12.COT.MERCADO'!A:I,8,0))</f>
        <v>2.4</v>
      </c>
      <c r="I408" s="1298">
        <f>IF(E408="Mão de Obra",H408*(1+'7. BDI SERVIÇOS'!$K$5),H408*(1+'8. BDI MERO FORNECIMENTO'!$K$5))</f>
        <v>2.811203004</v>
      </c>
      <c r="J408" s="1298">
        <f t="shared" si="1"/>
        <v>1.008</v>
      </c>
      <c r="K408" s="1298">
        <f t="shared" si="2"/>
        <v>1.180705262</v>
      </c>
      <c r="L408" s="1299">
        <f t="shared" si="3"/>
        <v>0.000003786485299</v>
      </c>
      <c r="M408" s="1300">
        <f t="shared" si="5"/>
        <v>0.7604072505</v>
      </c>
      <c r="N408" s="1301" t="str">
        <f t="shared" si="4"/>
        <v>A</v>
      </c>
    </row>
    <row r="409">
      <c r="A409" s="1291">
        <v>404.0</v>
      </c>
      <c r="B409" s="1292">
        <v>43464.0</v>
      </c>
      <c r="C409" s="1304" t="s">
        <v>17759</v>
      </c>
      <c r="D409" s="1303" t="str">
        <f>IF(C409="SINAPI",VLOOKUP(B409,'20-A.SINAPI-I'!A:G,2,0),VLOOKUP(B409,'12.COT.MERCADO'!A:I,2,0))</f>
        <v>FERRAMENTAS - FAMILIA OPERADOR ESCAVADEIRA - HORISTA (ENCARGOS COMPLEMENTARES - COLETADO CAIXA)</v>
      </c>
      <c r="E409" s="1305" t="s">
        <v>18393</v>
      </c>
      <c r="F409" s="1296" t="str">
        <f>IF(C409="SINAPI",VLOOKUP(B409,'20-A.SINAPI-I'!A:G,3,0),VLOOKUP(B409,'12.COT.MERCADO'!A:I,7,0))</f>
        <v>H</v>
      </c>
      <c r="G409" s="1306">
        <v>150.2223504</v>
      </c>
      <c r="H409" s="1298">
        <f>IF(C409="SINAPI",VLOOKUP(B409,'20-A.SINAPI-I'!A:G,4,0),VLOOKUP(B409,'12.COT.MERCADO'!A:I,8,0))</f>
        <v>0.01</v>
      </c>
      <c r="I409" s="1298">
        <f>IF(E409="Mão de Obra",H409*(1+'7. BDI SERVIÇOS'!$K$5),H409*(1+'8. BDI MERO FORNECIMENTO'!$K$5))</f>
        <v>0.01171334585</v>
      </c>
      <c r="J409" s="1298">
        <f t="shared" si="1"/>
        <v>1.502223504</v>
      </c>
      <c r="K409" s="1298">
        <f t="shared" si="2"/>
        <v>1.759606345</v>
      </c>
      <c r="L409" s="1299">
        <f t="shared" si="3"/>
        <v>0.000005643003188</v>
      </c>
      <c r="M409" s="1300">
        <f t="shared" si="5"/>
        <v>0.7604128935</v>
      </c>
      <c r="N409" s="1301" t="str">
        <f t="shared" si="4"/>
        <v>A</v>
      </c>
    </row>
    <row r="410">
      <c r="A410" s="1291">
        <v>405.0</v>
      </c>
      <c r="B410" s="1292">
        <v>11055.0</v>
      </c>
      <c r="C410" s="1304" t="s">
        <v>17759</v>
      </c>
      <c r="D410" s="1303" t="str">
        <f>IF(C410="SINAPI",VLOOKUP(B410,'20-A.SINAPI-I'!A:G,2,0),VLOOKUP(B410,'12.COT.MERCADO'!A:I,2,0))</f>
        <v>PARAFUSO ROSCA SOBERBA ZINCADO CABECA CHATA FENDA SIMPLES 3,5 X 25 MM (1 ")</v>
      </c>
      <c r="E410" s="1305" t="s">
        <v>18393</v>
      </c>
      <c r="F410" s="1296" t="str">
        <f>IF(C410="SINAPI",VLOOKUP(B410,'20-A.SINAPI-I'!A:G,3,0),VLOOKUP(B410,'12.COT.MERCADO'!A:I,7,0))</f>
        <v>UN</v>
      </c>
      <c r="G410" s="1306">
        <v>19.8</v>
      </c>
      <c r="H410" s="1298">
        <f>IF(C410="SINAPI",VLOOKUP(B410,'20-A.SINAPI-I'!A:G,4,0),VLOOKUP(B410,'12.COT.MERCADO'!A:I,8,0))</f>
        <v>0.05</v>
      </c>
      <c r="I410" s="1298">
        <f>IF(E410="Mão de Obra",H410*(1+'7. BDI SERVIÇOS'!$K$5),H410*(1+'8. BDI MERO FORNECIMENTO'!$K$5))</f>
        <v>0.05856672926</v>
      </c>
      <c r="J410" s="1298">
        <f t="shared" si="1"/>
        <v>0.99</v>
      </c>
      <c r="K410" s="1298">
        <f t="shared" si="2"/>
        <v>1.159621239</v>
      </c>
      <c r="L410" s="1299">
        <f t="shared" si="3"/>
        <v>0.00000371886949</v>
      </c>
      <c r="M410" s="1300">
        <f t="shared" si="5"/>
        <v>0.7604166124</v>
      </c>
      <c r="N410" s="1301" t="str">
        <f t="shared" si="4"/>
        <v>A</v>
      </c>
    </row>
    <row r="411">
      <c r="A411" s="1291">
        <v>406.0</v>
      </c>
      <c r="B411" s="1292">
        <v>11950.0</v>
      </c>
      <c r="C411" s="1304" t="s">
        <v>17759</v>
      </c>
      <c r="D411" s="1303" t="str">
        <f>IF(C411="SINAPI",VLOOKUP(B411,'20-A.SINAPI-I'!A:G,2,0),VLOOKUP(B411,'12.COT.MERCADO'!A:I,2,0))</f>
        <v>BUCHA DE NYLON SEM ABA S6, COM PARAFUSO DE 4,20 X 40 MM EM ACO ZINCADO COM ROSCA SOBERBA, CABECA CHATA E FENDA PHILLIPS</v>
      </c>
      <c r="E411" s="1305" t="s">
        <v>18393</v>
      </c>
      <c r="F411" s="1296" t="str">
        <f>IF(C411="SINAPI",VLOOKUP(B411,'20-A.SINAPI-I'!A:G,3,0),VLOOKUP(B411,'12.COT.MERCADO'!A:I,7,0))</f>
        <v>UN</v>
      </c>
      <c r="G411" s="1306">
        <v>3.32</v>
      </c>
      <c r="H411" s="1298">
        <f>IF(C411="SINAPI",VLOOKUP(B411,'20-A.SINAPI-I'!A:G,4,0),VLOOKUP(B411,'12.COT.MERCADO'!A:I,8,0))</f>
        <v>0.24</v>
      </c>
      <c r="I411" s="1298">
        <f>IF(E411="Mão de Obra",H411*(1+'7. BDI SERVIÇOS'!$K$5),H411*(1+'8. BDI MERO FORNECIMENTO'!$K$5))</f>
        <v>0.2811203004</v>
      </c>
      <c r="J411" s="1298">
        <f t="shared" si="1"/>
        <v>0.7968</v>
      </c>
      <c r="K411" s="1298">
        <f t="shared" si="2"/>
        <v>0.9333193974</v>
      </c>
      <c r="L411" s="1299">
        <f t="shared" si="3"/>
        <v>0.000002993126475</v>
      </c>
      <c r="M411" s="1300">
        <f t="shared" si="5"/>
        <v>0.7604196055</v>
      </c>
      <c r="N411" s="1301" t="str">
        <f t="shared" si="4"/>
        <v>A</v>
      </c>
    </row>
    <row r="412">
      <c r="A412" s="1291">
        <v>408.0</v>
      </c>
      <c r="B412" s="1292">
        <v>38100.0</v>
      </c>
      <c r="C412" s="1304" t="s">
        <v>17759</v>
      </c>
      <c r="D412" s="1303" t="str">
        <f>IF(C412="SINAPI",VLOOKUP(B412,'20-A.SINAPI-I'!A:G,2,0),VLOOKUP(B412,'12.COT.MERCADO'!A:I,2,0))</f>
        <v>SUPORTE DE FIXACAO PARA ESPELHO / PLACA 4" X 4", PARA 6 MODULOS, PARA INSTALACAO DE TOMADAS E INTERRUPTORES (SOMENTE SUPORTE)</v>
      </c>
      <c r="E412" s="1305" t="s">
        <v>18393</v>
      </c>
      <c r="F412" s="1296" t="str">
        <f>IF(C412="SINAPI",VLOOKUP(B412,'20-A.SINAPI-I'!A:G,3,0),VLOOKUP(B412,'12.COT.MERCADO'!A:I,7,0))</f>
        <v>UN</v>
      </c>
      <c r="G412" s="1306">
        <v>0.33</v>
      </c>
      <c r="H412" s="1298">
        <f>IF(C412="SINAPI",VLOOKUP(B412,'20-A.SINAPI-I'!A:G,4,0),VLOOKUP(B412,'12.COT.MERCADO'!A:I,8,0))</f>
        <v>2.66</v>
      </c>
      <c r="I412" s="1298">
        <f>IF(E412="Mão de Obra",H412*(1+'7. BDI SERVIÇOS'!$K$5),H412*(1+'8. BDI MERO FORNECIMENTO'!$K$5))</f>
        <v>3.115749996</v>
      </c>
      <c r="J412" s="1298">
        <f t="shared" si="1"/>
        <v>0.8778</v>
      </c>
      <c r="K412" s="1298">
        <f t="shared" si="2"/>
        <v>1.028197499</v>
      </c>
      <c r="L412" s="1299">
        <f t="shared" si="3"/>
        <v>0.000003297397615</v>
      </c>
      <c r="M412" s="1300">
        <f t="shared" si="5"/>
        <v>0.7604229029</v>
      </c>
      <c r="N412" s="1301" t="str">
        <f t="shared" si="4"/>
        <v>A</v>
      </c>
    </row>
    <row r="413">
      <c r="A413" s="1291">
        <v>409.0</v>
      </c>
      <c r="B413" s="1292">
        <v>11002.0</v>
      </c>
      <c r="C413" s="1304" t="s">
        <v>17759</v>
      </c>
      <c r="D413" s="1303" t="str">
        <f>IF(C413="SINAPI",VLOOKUP(B413,'20-A.SINAPI-I'!A:G,2,0),VLOOKUP(B413,'12.COT.MERCADO'!A:I,2,0))</f>
        <v>ELETRODO REVESTIDO AWS - E6013, DIAMETRO IGUAL A 2,50 MM</v>
      </c>
      <c r="E413" s="1305" t="s">
        <v>18393</v>
      </c>
      <c r="F413" s="1296" t="str">
        <f>IF(C413="SINAPI",VLOOKUP(B413,'20-A.SINAPI-I'!A:G,3,0),VLOOKUP(B413,'12.COT.MERCADO'!A:I,7,0))</f>
        <v>KG</v>
      </c>
      <c r="G413" s="1306">
        <v>0.024</v>
      </c>
      <c r="H413" s="1298">
        <f>IF(C413="SINAPI",VLOOKUP(B413,'20-A.SINAPI-I'!A:G,4,0),VLOOKUP(B413,'12.COT.MERCADO'!A:I,8,0))</f>
        <v>31.68</v>
      </c>
      <c r="I413" s="1298">
        <f>IF(E413="Mão de Obra",H413*(1+'7. BDI SERVIÇOS'!$K$5),H413*(1+'8. BDI MERO FORNECIMENTO'!$K$5))</f>
        <v>37.10787966</v>
      </c>
      <c r="J413" s="1298">
        <f t="shared" si="1"/>
        <v>0.76032</v>
      </c>
      <c r="K413" s="1298">
        <f t="shared" si="2"/>
        <v>0.8905891118</v>
      </c>
      <c r="L413" s="1299">
        <f t="shared" si="3"/>
        <v>0.000002856091768</v>
      </c>
      <c r="M413" s="1300">
        <f t="shared" si="5"/>
        <v>0.760425759</v>
      </c>
      <c r="N413" s="1301" t="str">
        <f t="shared" si="4"/>
        <v>A</v>
      </c>
    </row>
    <row r="414">
      <c r="A414" s="1291">
        <v>410.0</v>
      </c>
      <c r="B414" s="1292">
        <v>43462.0</v>
      </c>
      <c r="C414" s="1304" t="s">
        <v>17759</v>
      </c>
      <c r="D414" s="1303" t="str">
        <f>IF(C414="SINAPI",VLOOKUP(B414,'20-A.SINAPI-I'!A:G,2,0),VLOOKUP(B414,'12.COT.MERCADO'!A:I,2,0))</f>
        <v>FERRAMENTAS - FAMILIA ENGENHEIRO CIVIL - HORISTA (ENCARGOS COMPLEMENTARES - COLETADO CAIXA)</v>
      </c>
      <c r="E414" s="1305" t="s">
        <v>18393</v>
      </c>
      <c r="F414" s="1296" t="str">
        <f>IF(C414="SINAPI",VLOOKUP(B414,'20-A.SINAPI-I'!A:G,3,0),VLOOKUP(B414,'12.COT.MERCADO'!A:I,7,0))</f>
        <v>H</v>
      </c>
      <c r="G414" s="1306">
        <v>100.0</v>
      </c>
      <c r="H414" s="1298">
        <f>IF(C414="SINAPI",VLOOKUP(B414,'20-A.SINAPI-I'!A:G,4,0),VLOOKUP(B414,'12.COT.MERCADO'!A:I,8,0))</f>
        <v>0.01</v>
      </c>
      <c r="I414" s="1298">
        <f>IF(E414="Mão de Obra",H414*(1+'7. BDI SERVIÇOS'!$K$5),H414*(1+'8. BDI MERO FORNECIMENTO'!$K$5))</f>
        <v>0.01171334585</v>
      </c>
      <c r="J414" s="1298">
        <f t="shared" si="1"/>
        <v>1</v>
      </c>
      <c r="K414" s="1298">
        <f t="shared" si="2"/>
        <v>1.171334585</v>
      </c>
      <c r="L414" s="1299">
        <f t="shared" si="3"/>
        <v>0.000003756433828</v>
      </c>
      <c r="M414" s="1300">
        <f t="shared" si="5"/>
        <v>0.7604295154</v>
      </c>
      <c r="N414" s="1301" t="str">
        <f t="shared" si="4"/>
        <v>A</v>
      </c>
    </row>
    <row r="415">
      <c r="A415" s="1291">
        <v>411.0</v>
      </c>
      <c r="B415" s="1292">
        <v>65.0</v>
      </c>
      <c r="C415" s="1304" t="s">
        <v>17759</v>
      </c>
      <c r="D415" s="1303" t="str">
        <f>IF(C415="SINAPI",VLOOKUP(B415,'20-A.SINAPI-I'!A:G,2,0),VLOOKUP(B415,'12.COT.MERCADO'!A:I,2,0))</f>
        <v>ADAPTADOR PVC SOLDAVEL CURTO COM BOLSA E ROSCA, 25 MM X 3/4", PARA AGUA FRIA</v>
      </c>
      <c r="E415" s="1305" t="s">
        <v>18393</v>
      </c>
      <c r="F415" s="1296" t="str">
        <f>IF(C415="SINAPI",VLOOKUP(B415,'20-A.SINAPI-I'!A:G,3,0),VLOOKUP(B415,'12.COT.MERCADO'!A:I,7,0))</f>
        <v>UN</v>
      </c>
      <c r="G415" s="1306">
        <v>0.867426</v>
      </c>
      <c r="H415" s="1298">
        <f>IF(C415="SINAPI",VLOOKUP(B415,'20-A.SINAPI-I'!A:G,4,0),VLOOKUP(B415,'12.COT.MERCADO'!A:I,8,0))</f>
        <v>0.93</v>
      </c>
      <c r="I415" s="1298">
        <f>IF(E415="Mão de Obra",H415*(1+'7. BDI SERVIÇOS'!$K$5),H415*(1+'8. BDI MERO FORNECIMENTO'!$K$5))</f>
        <v>1.089341164</v>
      </c>
      <c r="J415" s="1298">
        <f t="shared" si="1"/>
        <v>0.80670618</v>
      </c>
      <c r="K415" s="1298">
        <f t="shared" si="2"/>
        <v>0.9449228487</v>
      </c>
      <c r="L415" s="1299">
        <f t="shared" si="3"/>
        <v>0.000003030338384</v>
      </c>
      <c r="M415" s="1300">
        <f t="shared" si="5"/>
        <v>0.7604325458</v>
      </c>
      <c r="N415" s="1301" t="str">
        <f t="shared" si="4"/>
        <v>A</v>
      </c>
    </row>
    <row r="416">
      <c r="A416" s="1291">
        <v>412.0</v>
      </c>
      <c r="B416" s="1292">
        <v>39443.0</v>
      </c>
      <c r="C416" s="1304" t="s">
        <v>17759</v>
      </c>
      <c r="D416" s="1303" t="str">
        <f>IF(C416="SINAPI",VLOOKUP(B416,'20-A.SINAPI-I'!A:G,2,0),VLOOKUP(B416,'12.COT.MERCADO'!A:I,2,0))</f>
        <v>PARAFUSO DRY WALL, EM ACO ZINCADO, CABECA LENTILHA E PONTA BROCA (LB), LARGURA 4,2 MM, COMPRIMENTO 13 MM</v>
      </c>
      <c r="E416" s="1305" t="s">
        <v>18393</v>
      </c>
      <c r="F416" s="1296" t="str">
        <f>IF(C416="SINAPI",VLOOKUP(B416,'20-A.SINAPI-I'!A:G,3,0),VLOOKUP(B416,'12.COT.MERCADO'!A:I,7,0))</f>
        <v>UN</v>
      </c>
      <c r="G416" s="1306">
        <v>3.504984</v>
      </c>
      <c r="H416" s="1298">
        <f>IF(C416="SINAPI",VLOOKUP(B416,'20-A.SINAPI-I'!A:G,4,0),VLOOKUP(B416,'12.COT.MERCADO'!A:I,8,0))</f>
        <v>0.27</v>
      </c>
      <c r="I416" s="1298">
        <f>IF(E416="Mão de Obra",H416*(1+'7. BDI SERVIÇOS'!$K$5),H416*(1+'8. BDI MERO FORNECIMENTO'!$K$5))</f>
        <v>0.316260338</v>
      </c>
      <c r="J416" s="1298">
        <f t="shared" si="1"/>
        <v>0.94634568</v>
      </c>
      <c r="K416" s="1298">
        <f t="shared" si="2"/>
        <v>1.108487424</v>
      </c>
      <c r="L416" s="1299">
        <f t="shared" si="3"/>
        <v>0.000003554884926</v>
      </c>
      <c r="M416" s="1300">
        <f t="shared" si="5"/>
        <v>0.7604361006</v>
      </c>
      <c r="N416" s="1301" t="str">
        <f t="shared" si="4"/>
        <v>A</v>
      </c>
    </row>
    <row r="417">
      <c r="A417" s="1291">
        <v>420.0</v>
      </c>
      <c r="B417" s="1292">
        <v>3529.0</v>
      </c>
      <c r="C417" s="1304" t="s">
        <v>17759</v>
      </c>
      <c r="D417" s="1303" t="str">
        <f>IF(C417="SINAPI",VLOOKUP(B417,'20-A.SINAPI-I'!A:G,2,0),VLOOKUP(B417,'12.COT.MERCADO'!A:I,2,0))</f>
        <v>JOELHO PVC, SOLDAVEL, 90 GRAUS, 25 MM, COR MARROM, PARA AGUA FRIA PREDIAL</v>
      </c>
      <c r="E417" s="1305" t="s">
        <v>18393</v>
      </c>
      <c r="F417" s="1296" t="str">
        <f>IF(C417="SINAPI",VLOOKUP(B417,'20-A.SINAPI-I'!A:G,3,0),VLOOKUP(B417,'12.COT.MERCADO'!A:I,7,0))</f>
        <v>UN</v>
      </c>
      <c r="G417" s="1306">
        <v>0.969437</v>
      </c>
      <c r="H417" s="1298">
        <f>IF(C417="SINAPI",VLOOKUP(B417,'20-A.SINAPI-I'!A:G,4,0),VLOOKUP(B417,'12.COT.MERCADO'!A:I,8,0))</f>
        <v>0.76</v>
      </c>
      <c r="I417" s="1298">
        <f>IF(E417="Mão de Obra",H417*(1+'7. BDI SERVIÇOS'!$K$5),H417*(1+'8. BDI MERO FORNECIMENTO'!$K$5))</f>
        <v>0.8902142847</v>
      </c>
      <c r="J417" s="1298">
        <f t="shared" si="1"/>
        <v>0.73677212</v>
      </c>
      <c r="K417" s="1298">
        <f t="shared" si="2"/>
        <v>0.8630066655</v>
      </c>
      <c r="L417" s="1299">
        <f t="shared" si="3"/>
        <v>0.000002767635715</v>
      </c>
      <c r="M417" s="1300">
        <f t="shared" si="5"/>
        <v>0.7604388683</v>
      </c>
      <c r="N417" s="1301" t="str">
        <f t="shared" si="4"/>
        <v>A</v>
      </c>
    </row>
    <row r="418">
      <c r="A418" s="1291">
        <v>413.0</v>
      </c>
      <c r="B418" s="1292">
        <v>38383.0</v>
      </c>
      <c r="C418" s="1304" t="s">
        <v>17759</v>
      </c>
      <c r="D418" s="1303" t="str">
        <f>IF(C418="SINAPI",VLOOKUP(B418,'20-A.SINAPI-I'!A:G,2,0),VLOOKUP(B418,'12.COT.MERCADO'!A:I,2,0))</f>
        <v>LIXA D'AGUA EM FOLHA, GRAO 100</v>
      </c>
      <c r="E418" s="1305" t="s">
        <v>18393</v>
      </c>
      <c r="F418" s="1296" t="str">
        <f>IF(C418="SINAPI",VLOOKUP(B418,'20-A.SINAPI-I'!A:G,3,0),VLOOKUP(B418,'12.COT.MERCADO'!A:I,7,0))</f>
        <v>UN</v>
      </c>
      <c r="G418" s="1306">
        <v>0.365406</v>
      </c>
      <c r="H418" s="1298">
        <f>IF(C418="SINAPI",VLOOKUP(B418,'20-A.SINAPI-I'!A:G,4,0),VLOOKUP(B418,'12.COT.MERCADO'!A:I,8,0))</f>
        <v>2.13</v>
      </c>
      <c r="I418" s="1298">
        <f>IF(E418="Mão de Obra",H418*(1+'7. BDI SERVIÇOS'!$K$5),H418*(1+'8. BDI MERO FORNECIMENTO'!$K$5))</f>
        <v>2.494942666</v>
      </c>
      <c r="J418" s="1298">
        <f t="shared" si="1"/>
        <v>0.77831478</v>
      </c>
      <c r="K418" s="1298">
        <f t="shared" si="2"/>
        <v>0.9116670199</v>
      </c>
      <c r="L418" s="1299">
        <f t="shared" si="3"/>
        <v>0.000002923687969</v>
      </c>
      <c r="M418" s="1300">
        <f t="shared" si="5"/>
        <v>0.760441792</v>
      </c>
      <c r="N418" s="1301" t="str">
        <f t="shared" si="4"/>
        <v>A</v>
      </c>
    </row>
    <row r="419">
      <c r="A419" s="1291">
        <v>414.0</v>
      </c>
      <c r="B419" s="1292">
        <v>5073.0</v>
      </c>
      <c r="C419" s="1304" t="s">
        <v>17759</v>
      </c>
      <c r="D419" s="1303" t="str">
        <f>IF(C419="SINAPI",VLOOKUP(B419,'20-A.SINAPI-I'!A:G,2,0),VLOOKUP(B419,'12.COT.MERCADO'!A:I,2,0))</f>
        <v>PREGO DE ACO POLIDO COM CABECA 17 X 24 (2 1/4 X 11)</v>
      </c>
      <c r="E419" s="1305" t="s">
        <v>18393</v>
      </c>
      <c r="F419" s="1296" t="str">
        <f>IF(C419="SINAPI",VLOOKUP(B419,'20-A.SINAPI-I'!A:G,3,0),VLOOKUP(B419,'12.COT.MERCADO'!A:I,7,0))</f>
        <v>KG</v>
      </c>
      <c r="G419" s="1306">
        <v>0.0357981</v>
      </c>
      <c r="H419" s="1298">
        <f>IF(C419="SINAPI",VLOOKUP(B419,'20-A.SINAPI-I'!A:G,4,0),VLOOKUP(B419,'12.COT.MERCADO'!A:I,8,0))</f>
        <v>16.59</v>
      </c>
      <c r="I419" s="1298">
        <f>IF(E419="Mão de Obra",H419*(1+'7. BDI SERVIÇOS'!$K$5),H419*(1+'8. BDI MERO FORNECIMENTO'!$K$5))</f>
        <v>19.43244077</v>
      </c>
      <c r="J419" s="1298">
        <f t="shared" si="1"/>
        <v>0.593890479</v>
      </c>
      <c r="K419" s="1298">
        <f t="shared" si="2"/>
        <v>0.6956444578</v>
      </c>
      <c r="L419" s="1299">
        <f t="shared" si="3"/>
        <v>0.000002230910286</v>
      </c>
      <c r="M419" s="1300">
        <f t="shared" si="5"/>
        <v>0.7604440229</v>
      </c>
      <c r="N419" s="1301" t="str">
        <f t="shared" si="4"/>
        <v>A</v>
      </c>
    </row>
    <row r="420">
      <c r="A420" s="1291">
        <v>415.0</v>
      </c>
      <c r="B420" s="1292">
        <v>44073.0</v>
      </c>
      <c r="C420" s="1304" t="s">
        <v>17759</v>
      </c>
      <c r="D420" s="1303" t="str">
        <f>IF(C420="SINAPI",VLOOKUP(B420,'20-A.SINAPI-I'!A:G,2,0),VLOOKUP(B420,'12.COT.MERCADO'!A:I,2,0))</f>
        <v>TARUGO DELIMITADOR DE PROFUNDIDADE EM ESPUMA DE POLIETILENO DE BAIXA DENSIDADE 10 MM, CINZA</v>
      </c>
      <c r="E420" s="1305" t="s">
        <v>18393</v>
      </c>
      <c r="F420" s="1296" t="str">
        <f>IF(C420="SINAPI",VLOOKUP(B420,'20-A.SINAPI-I'!A:G,3,0),VLOOKUP(B420,'12.COT.MERCADO'!A:I,7,0))</f>
        <v>M</v>
      </c>
      <c r="G420" s="1306">
        <v>1.0</v>
      </c>
      <c r="H420" s="1298">
        <f>IF(C420="SINAPI",VLOOKUP(B420,'20-A.SINAPI-I'!A:G,4,0),VLOOKUP(B420,'12.COT.MERCADO'!A:I,8,0))</f>
        <v>0.79</v>
      </c>
      <c r="I420" s="1298">
        <f>IF(E420="Mão de Obra",H420*(1+'7. BDI SERVIÇOS'!$K$5),H420*(1+'8. BDI MERO FORNECIMENTO'!$K$5))</f>
        <v>0.9253543223</v>
      </c>
      <c r="J420" s="1298">
        <f t="shared" si="1"/>
        <v>0.79</v>
      </c>
      <c r="K420" s="1298">
        <f t="shared" si="2"/>
        <v>0.9253543223</v>
      </c>
      <c r="L420" s="1299">
        <f t="shared" si="3"/>
        <v>0.000002967582725</v>
      </c>
      <c r="M420" s="1300">
        <f t="shared" si="5"/>
        <v>0.7604469905</v>
      </c>
      <c r="N420" s="1301" t="str">
        <f t="shared" si="4"/>
        <v>A</v>
      </c>
    </row>
    <row r="421">
      <c r="A421" s="1291">
        <v>416.0</v>
      </c>
      <c r="B421" s="1292">
        <v>39026.0</v>
      </c>
      <c r="C421" s="1304" t="s">
        <v>17759</v>
      </c>
      <c r="D421" s="1303" t="str">
        <f>IF(C421="SINAPI",VLOOKUP(B421,'20-A.SINAPI-I'!A:G,2,0),VLOOKUP(B421,'12.COT.MERCADO'!A:I,2,0))</f>
        <v>PREGO DE ACO POLIDO SEM CABECA 15 X 15 (1 1/4 X 13)</v>
      </c>
      <c r="E421" s="1305" t="s">
        <v>18393</v>
      </c>
      <c r="F421" s="1296" t="str">
        <f>IF(C421="SINAPI",VLOOKUP(B421,'20-A.SINAPI-I'!A:G,3,0),VLOOKUP(B421,'12.COT.MERCADO'!A:I,7,0))</f>
        <v>KG</v>
      </c>
      <c r="G421" s="1306">
        <v>0.03189</v>
      </c>
      <c r="H421" s="1298">
        <f>IF(C421="SINAPI",VLOOKUP(B421,'20-A.SINAPI-I'!A:G,4,0),VLOOKUP(B421,'12.COT.MERCADO'!A:I,8,0))</f>
        <v>18.3</v>
      </c>
      <c r="I421" s="1298">
        <f>IF(E421="Mão de Obra",H421*(1+'7. BDI SERVIÇOS'!$K$5),H421*(1+'8. BDI MERO FORNECIMENTO'!$K$5))</f>
        <v>21.43542291</v>
      </c>
      <c r="J421" s="1298">
        <f t="shared" si="1"/>
        <v>0.583587</v>
      </c>
      <c r="K421" s="1298">
        <f t="shared" si="2"/>
        <v>0.6835756365</v>
      </c>
      <c r="L421" s="1299">
        <f t="shared" si="3"/>
        <v>0.000002192205949</v>
      </c>
      <c r="M421" s="1300">
        <f t="shared" si="5"/>
        <v>0.7604491827</v>
      </c>
      <c r="N421" s="1301" t="str">
        <f t="shared" si="4"/>
        <v>A</v>
      </c>
    </row>
    <row r="422">
      <c r="A422" s="1291">
        <v>417.0</v>
      </c>
      <c r="B422" s="1292">
        <v>39014.0</v>
      </c>
      <c r="C422" s="1304" t="s">
        <v>17759</v>
      </c>
      <c r="D422" s="1303" t="str">
        <f>IF(C422="SINAPI",VLOOKUP(B422,'20-A.SINAPI-I'!A:G,2,0),VLOOKUP(B422,'12.COT.MERCADO'!A:I,2,0))</f>
        <v>FIBRA DE ACO PARA REFORCO DO CONCRETO, SOLTA, TIPO A-I, FATOR DE FORMA *50* L / D, COMPRIMENTO DE *30* MM E RESISTENCIA A TRACAO DO ACO MAIOR 1000 MPA</v>
      </c>
      <c r="E422" s="1305" t="s">
        <v>18393</v>
      </c>
      <c r="F422" s="1296" t="str">
        <f>IF(C422="SINAPI",VLOOKUP(B422,'20-A.SINAPI-I'!A:G,3,0),VLOOKUP(B422,'12.COT.MERCADO'!A:I,7,0))</f>
        <v>KG</v>
      </c>
      <c r="G422" s="1306">
        <v>0.060984</v>
      </c>
      <c r="H422" s="1298">
        <f>IF(C422="SINAPI",VLOOKUP(B422,'20-A.SINAPI-I'!A:G,4,0),VLOOKUP(B422,'12.COT.MERCADO'!A:I,8,0))</f>
        <v>10.68</v>
      </c>
      <c r="I422" s="1298">
        <f>IF(E422="Mão de Obra",H422*(1+'7. BDI SERVIÇOS'!$K$5),H422*(1+'8. BDI MERO FORNECIMENTO'!$K$5))</f>
        <v>12.50985337</v>
      </c>
      <c r="J422" s="1298">
        <f t="shared" si="1"/>
        <v>0.65130912</v>
      </c>
      <c r="K422" s="1298">
        <f t="shared" si="2"/>
        <v>0.7629008979</v>
      </c>
      <c r="L422" s="1299">
        <f t="shared" si="3"/>
        <v>0.000002446599611</v>
      </c>
      <c r="M422" s="1300">
        <f t="shared" si="5"/>
        <v>0.7604516293</v>
      </c>
      <c r="N422" s="1301" t="str">
        <f t="shared" si="4"/>
        <v>A</v>
      </c>
    </row>
    <row r="423">
      <c r="A423" s="1291">
        <v>418.0</v>
      </c>
      <c r="B423" s="1292">
        <v>10535.0</v>
      </c>
      <c r="C423" s="1304" t="s">
        <v>17759</v>
      </c>
      <c r="D423" s="1303" t="str">
        <f>IF(C423="SINAPI",VLOOKUP(B423,'20-A.SINAPI-I'!A:G,2,0),VLOOKUP(B423,'12.COT.MERCADO'!A:I,2,0))</f>
        <v>BETONEIRA CAPACIDADE NOMINAL 400 L, CAPACIDADE DE MISTURA  280 L, MOTOR ELETRICO TRIFASICO 220/380 V POTENCIA 2 CV, SEM CARREGADOR</v>
      </c>
      <c r="E423" s="1305" t="s">
        <v>18393</v>
      </c>
      <c r="F423" s="1296" t="str">
        <f>IF(C423="SINAPI",VLOOKUP(B423,'20-A.SINAPI-I'!A:G,3,0),VLOOKUP(B423,'12.COT.MERCADO'!A:I,7,0))</f>
        <v>UN</v>
      </c>
      <c r="G423" s="1306">
        <v>1.319E-4</v>
      </c>
      <c r="H423" s="1298">
        <f>IF(C423="SINAPI",VLOOKUP(B423,'20-A.SINAPI-I'!A:G,4,0),VLOOKUP(B423,'12.COT.MERCADO'!A:I,8,0))</f>
        <v>4785</v>
      </c>
      <c r="I423" s="1298">
        <f>IF(E423="Mão de Obra",H423*(1+'7. BDI SERVIÇOS'!$K$5),H423*(1+'8. BDI MERO FORNECIMENTO'!$K$5))</f>
        <v>5604.83599</v>
      </c>
      <c r="J423" s="1298">
        <f t="shared" si="1"/>
        <v>0.6311415</v>
      </c>
      <c r="K423" s="1298">
        <f t="shared" si="2"/>
        <v>0.7392778671</v>
      </c>
      <c r="L423" s="1299">
        <f t="shared" si="3"/>
        <v>0.000002370841281</v>
      </c>
      <c r="M423" s="1300">
        <f t="shared" si="5"/>
        <v>0.7604540001</v>
      </c>
      <c r="N423" s="1301" t="str">
        <f t="shared" si="4"/>
        <v>A</v>
      </c>
    </row>
    <row r="424">
      <c r="A424" s="1291">
        <v>419.0</v>
      </c>
      <c r="B424" s="1292">
        <v>7139.0</v>
      </c>
      <c r="C424" s="1304" t="s">
        <v>17759</v>
      </c>
      <c r="D424" s="1303" t="str">
        <f>IF(C424="SINAPI",VLOOKUP(B424,'20-A.SINAPI-I'!A:G,2,0),VLOOKUP(B424,'12.COT.MERCADO'!A:I,2,0))</f>
        <v>TE SOLDAVEL, PVC, 90 GRAUS, 25 MM, PARA AGUA FRIA PREDIAL (NBR 5648)</v>
      </c>
      <c r="E424" s="1305" t="s">
        <v>18393</v>
      </c>
      <c r="F424" s="1296" t="str">
        <f>IF(C424="SINAPI",VLOOKUP(B424,'20-A.SINAPI-I'!A:G,3,0),VLOOKUP(B424,'12.COT.MERCADO'!A:I,7,0))</f>
        <v>UN</v>
      </c>
      <c r="G424" s="1306">
        <v>0.406182</v>
      </c>
      <c r="H424" s="1298">
        <f>IF(C424="SINAPI",VLOOKUP(B424,'20-A.SINAPI-I'!A:G,4,0),VLOOKUP(B424,'12.COT.MERCADO'!A:I,8,0))</f>
        <v>1.26</v>
      </c>
      <c r="I424" s="1298">
        <f>IF(E424="Mão de Obra",H424*(1+'7. BDI SERVIÇOS'!$K$5),H424*(1+'8. BDI MERO FORNECIMENTO'!$K$5))</f>
        <v>1.475881577</v>
      </c>
      <c r="J424" s="1298">
        <f t="shared" si="1"/>
        <v>0.51178932</v>
      </c>
      <c r="K424" s="1298">
        <f t="shared" si="2"/>
        <v>0.5994765308</v>
      </c>
      <c r="L424" s="1299">
        <f t="shared" si="3"/>
        <v>0.000001922502715</v>
      </c>
      <c r="M424" s="1300">
        <f t="shared" si="5"/>
        <v>0.7604559226</v>
      </c>
      <c r="N424" s="1301" t="str">
        <f t="shared" si="4"/>
        <v>A</v>
      </c>
    </row>
    <row r="425">
      <c r="A425" s="1291">
        <v>421.0</v>
      </c>
      <c r="B425" s="1292">
        <v>44330.0</v>
      </c>
      <c r="C425" s="1304" t="s">
        <v>17759</v>
      </c>
      <c r="D425" s="1303" t="str">
        <f>IF(C425="SINAPI",VLOOKUP(B425,'20-A.SINAPI-I'!A:G,2,0),VLOOKUP(B425,'12.COT.MERCADO'!A:I,2,0))</f>
        <v>DESINFETANTE PRONTO USO</v>
      </c>
      <c r="E425" s="1305" t="s">
        <v>18393</v>
      </c>
      <c r="F425" s="1296" t="str">
        <f>IF(C425="SINAPI",VLOOKUP(B425,'20-A.SINAPI-I'!A:G,3,0),VLOOKUP(B425,'12.COT.MERCADO'!A:I,7,0))</f>
        <v>L</v>
      </c>
      <c r="G425" s="1306">
        <v>0.05511</v>
      </c>
      <c r="H425" s="1298">
        <f>IF(C425="SINAPI",VLOOKUP(B425,'20-A.SINAPI-I'!A:G,4,0),VLOOKUP(B425,'12.COT.MERCADO'!A:I,8,0))</f>
        <v>10.66</v>
      </c>
      <c r="I425" s="1298">
        <f>IF(E425="Mão de Obra",H425*(1+'7. BDI SERVIÇOS'!$K$5),H425*(1+'8. BDI MERO FORNECIMENTO'!$K$5))</f>
        <v>12.48642668</v>
      </c>
      <c r="J425" s="1298">
        <f t="shared" si="1"/>
        <v>0.5874726</v>
      </c>
      <c r="K425" s="1298">
        <f t="shared" si="2"/>
        <v>0.6881269742</v>
      </c>
      <c r="L425" s="1299">
        <f t="shared" si="3"/>
        <v>0.000002206801948</v>
      </c>
      <c r="M425" s="1300">
        <f t="shared" si="5"/>
        <v>0.7604581294</v>
      </c>
      <c r="N425" s="1301" t="str">
        <f t="shared" si="4"/>
        <v>A</v>
      </c>
    </row>
    <row r="426">
      <c r="A426" s="1291">
        <v>422.0</v>
      </c>
      <c r="B426" s="1292">
        <v>7136.0</v>
      </c>
      <c r="C426" s="1304" t="s">
        <v>17759</v>
      </c>
      <c r="D426" s="1303" t="str">
        <f>IF(C426="SINAPI",VLOOKUP(B426,'20-A.SINAPI-I'!A:G,2,0),VLOOKUP(B426,'12.COT.MERCADO'!A:I,2,0))</f>
        <v>TE DE REDUCAO, PVC, SOLDAVEL, 90 GRAUS, 32 MM X 25 MM, PARA AGUA FRIA PREDIAL</v>
      </c>
      <c r="E426" s="1305" t="s">
        <v>18393</v>
      </c>
      <c r="F426" s="1296" t="str">
        <f>IF(C426="SINAPI",VLOOKUP(B426,'20-A.SINAPI-I'!A:G,3,0),VLOOKUP(B426,'12.COT.MERCADO'!A:I,7,0))</f>
        <v>UN</v>
      </c>
      <c r="G426" s="1306">
        <v>0.071022</v>
      </c>
      <c r="H426" s="1298">
        <f>IF(C426="SINAPI",VLOOKUP(B426,'20-A.SINAPI-I'!A:G,4,0),VLOOKUP(B426,'12.COT.MERCADO'!A:I,8,0))</f>
        <v>7</v>
      </c>
      <c r="I426" s="1298">
        <f>IF(E426="Mão de Obra",H426*(1+'7. BDI SERVIÇOS'!$K$5),H426*(1+'8. BDI MERO FORNECIMENTO'!$K$5))</f>
        <v>8.199342096</v>
      </c>
      <c r="J426" s="1298">
        <f t="shared" si="1"/>
        <v>0.497154</v>
      </c>
      <c r="K426" s="1298">
        <f t="shared" si="2"/>
        <v>0.5823336743</v>
      </c>
      <c r="L426" s="1299">
        <f t="shared" si="3"/>
        <v>0.000001867526104</v>
      </c>
      <c r="M426" s="1300">
        <f t="shared" si="5"/>
        <v>0.7604599969</v>
      </c>
      <c r="N426" s="1301" t="str">
        <f t="shared" si="4"/>
        <v>A</v>
      </c>
    </row>
    <row r="427">
      <c r="A427" s="1291">
        <v>423.0</v>
      </c>
      <c r="B427" s="1292">
        <v>411.0</v>
      </c>
      <c r="C427" s="1304" t="s">
        <v>17759</v>
      </c>
      <c r="D427" s="1303" t="str">
        <f>IF(C427="SINAPI",VLOOKUP(B427,'20-A.SINAPI-I'!A:G,2,0),VLOOKUP(B427,'12.COT.MERCADO'!A:I,2,0))</f>
        <v>ABRACADEIRA DE NYLON PARA AMARRACAO DE CABOS, COMPRIMENTO DE 200 X *4,6* MM</v>
      </c>
      <c r="E427" s="1305" t="s">
        <v>18397</v>
      </c>
      <c r="F427" s="1296" t="str">
        <f>IF(C427="SINAPI",VLOOKUP(B427,'20-A.SINAPI-I'!A:G,3,0),VLOOKUP(B427,'12.COT.MERCADO'!A:I,7,0))</f>
        <v>UN</v>
      </c>
      <c r="G427" s="1306">
        <v>1.789</v>
      </c>
      <c r="H427" s="1298">
        <f>IF(C427="SINAPI",VLOOKUP(B427,'20-A.SINAPI-I'!A:G,4,0),VLOOKUP(B427,'12.COT.MERCADO'!A:I,8,0))</f>
        <v>0.2</v>
      </c>
      <c r="I427" s="1298">
        <f>IF(E427="Mão de Obra",H427*(1+'7. BDI SERVIÇOS'!$K$5),H427*(1+'8. BDI MERO FORNECIMENTO'!$K$5))</f>
        <v>0.234266917</v>
      </c>
      <c r="J427" s="1298">
        <f t="shared" si="1"/>
        <v>0.3578</v>
      </c>
      <c r="K427" s="1298">
        <f t="shared" si="2"/>
        <v>0.4191035146</v>
      </c>
      <c r="L427" s="1299">
        <f t="shared" si="3"/>
        <v>0.000001344052024</v>
      </c>
      <c r="M427" s="1300">
        <f t="shared" si="5"/>
        <v>0.760461341</v>
      </c>
      <c r="N427" s="1301" t="str">
        <f t="shared" si="4"/>
        <v>A</v>
      </c>
    </row>
    <row r="428">
      <c r="A428" s="1291">
        <v>424.0</v>
      </c>
      <c r="B428" s="1292">
        <v>44329.0</v>
      </c>
      <c r="C428" s="1304" t="s">
        <v>17759</v>
      </c>
      <c r="D428" s="1303" t="str">
        <f>IF(C428="SINAPI",VLOOKUP(B428,'20-A.SINAPI-I'!A:G,2,0),VLOOKUP(B428,'12.COT.MERCADO'!A:I,2,0))</f>
        <v>DETERGENTE NEUTRO USO GERAL, CONCENTRADO</v>
      </c>
      <c r="E428" s="1305" t="s">
        <v>18397</v>
      </c>
      <c r="F428" s="1296" t="str">
        <f>IF(C428="SINAPI",VLOOKUP(B428,'20-A.SINAPI-I'!A:G,3,0),VLOOKUP(B428,'12.COT.MERCADO'!A:I,7,0))</f>
        <v>L</v>
      </c>
      <c r="G428" s="1306">
        <v>0.03498</v>
      </c>
      <c r="H428" s="1298">
        <f>IF(C428="SINAPI",VLOOKUP(B428,'20-A.SINAPI-I'!A:G,4,0),VLOOKUP(B428,'12.COT.MERCADO'!A:I,8,0))</f>
        <v>13.97</v>
      </c>
      <c r="I428" s="1298">
        <f>IF(E428="Mão de Obra",H428*(1+'7. BDI SERVIÇOS'!$K$5),H428*(1+'8. BDI MERO FORNECIMENTO'!$K$5))</f>
        <v>16.36354415</v>
      </c>
      <c r="J428" s="1298">
        <f t="shared" si="1"/>
        <v>0.4886706</v>
      </c>
      <c r="K428" s="1298">
        <f t="shared" si="2"/>
        <v>0.5723967745</v>
      </c>
      <c r="L428" s="1299">
        <f t="shared" si="3"/>
        <v>0.000001835658773</v>
      </c>
      <c r="M428" s="1300">
        <f t="shared" si="5"/>
        <v>0.7604631766</v>
      </c>
      <c r="N428" s="1301" t="str">
        <f t="shared" si="4"/>
        <v>A</v>
      </c>
    </row>
    <row r="429">
      <c r="A429" s="1291">
        <v>425.0</v>
      </c>
      <c r="B429" s="1292">
        <v>14618.0</v>
      </c>
      <c r="C429" s="1304" t="s">
        <v>17759</v>
      </c>
      <c r="D429" s="1303" t="str">
        <f>IF(C429="SINAPI",VLOOKUP(B429,'20-A.SINAPI-I'!A:G,2,0),VLOOKUP(B429,'12.COT.MERCADO'!A:I,2,0))</f>
        <v>SERRA CIRCULAR DE BANCADA COM MOTOR ELETRICO, POTENCIA DE *1600* W, PARA DISCO DE DIAMETRO DE 10" (250 MM)</v>
      </c>
      <c r="E429" s="1305" t="s">
        <v>18393</v>
      </c>
      <c r="F429" s="1296" t="str">
        <f>IF(C429="SINAPI",VLOOKUP(B429,'20-A.SINAPI-I'!A:G,3,0),VLOOKUP(B429,'12.COT.MERCADO'!A:I,7,0))</f>
        <v>UN</v>
      </c>
      <c r="G429" s="1306">
        <v>3.32E-4</v>
      </c>
      <c r="H429" s="1298">
        <f>IF(C429="SINAPI",VLOOKUP(B429,'20-A.SINAPI-I'!A:G,4,0),VLOOKUP(B429,'12.COT.MERCADO'!A:I,8,0))</f>
        <v>1465.18</v>
      </c>
      <c r="I429" s="1298">
        <f>IF(E429="Mão de Obra",H429*(1+'7. BDI SERVIÇOS'!$K$5),H429*(1+'8. BDI MERO FORNECIMENTO'!$K$5))</f>
        <v>1716.216007</v>
      </c>
      <c r="J429" s="1298">
        <f t="shared" si="1"/>
        <v>0.48643976</v>
      </c>
      <c r="K429" s="1298">
        <f t="shared" si="2"/>
        <v>0.5697837145</v>
      </c>
      <c r="L429" s="1299">
        <f t="shared" si="3"/>
        <v>0.00000182727877</v>
      </c>
      <c r="M429" s="1300">
        <f t="shared" si="5"/>
        <v>0.7604650039</v>
      </c>
      <c r="N429" s="1301" t="str">
        <f t="shared" si="4"/>
        <v>A</v>
      </c>
    </row>
    <row r="430">
      <c r="A430" s="1291">
        <v>426.0</v>
      </c>
      <c r="B430" s="1292">
        <v>2692.0</v>
      </c>
      <c r="C430" s="1304" t="s">
        <v>17759</v>
      </c>
      <c r="D430" s="1303" t="str">
        <f>IF(C430="SINAPI",VLOOKUP(B430,'20-A.SINAPI-I'!A:G,2,0),VLOOKUP(B430,'12.COT.MERCADO'!A:I,2,0))</f>
        <v>DESMOLDANTE PROTETOR PARA FORMAS DE MADEIRA, DE BASE OLEOSA EMULSIONADA EM AGUA</v>
      </c>
      <c r="E430" s="1305" t="s">
        <v>18393</v>
      </c>
      <c r="F430" s="1296" t="str">
        <f>IF(C430="SINAPI",VLOOKUP(B430,'20-A.SINAPI-I'!A:G,3,0),VLOOKUP(B430,'12.COT.MERCADO'!A:I,7,0))</f>
        <v>L</v>
      </c>
      <c r="G430" s="1306">
        <v>0.0531163</v>
      </c>
      <c r="H430" s="1298">
        <f>IF(C430="SINAPI",VLOOKUP(B430,'20-A.SINAPI-I'!A:G,4,0),VLOOKUP(B430,'12.COT.MERCADO'!A:I,8,0))</f>
        <v>6.71</v>
      </c>
      <c r="I430" s="1298">
        <f>IF(E430="Mão de Obra",H430*(1+'7. BDI SERVIÇOS'!$K$5),H430*(1+'8. BDI MERO FORNECIMENTO'!$K$5))</f>
        <v>7.859655066</v>
      </c>
      <c r="J430" s="1298">
        <f t="shared" si="1"/>
        <v>0.356410373</v>
      </c>
      <c r="K430" s="1298">
        <f t="shared" si="2"/>
        <v>0.4174757964</v>
      </c>
      <c r="L430" s="1299">
        <f t="shared" si="3"/>
        <v>0.000001338831982</v>
      </c>
      <c r="M430" s="1300">
        <f t="shared" si="5"/>
        <v>0.7604663428</v>
      </c>
      <c r="N430" s="1301" t="str">
        <f t="shared" si="4"/>
        <v>A</v>
      </c>
    </row>
    <row r="431">
      <c r="A431" s="1291">
        <v>427.0</v>
      </c>
      <c r="B431" s="1292" t="s">
        <v>4130</v>
      </c>
      <c r="C431" s="1304" t="s">
        <v>1785</v>
      </c>
      <c r="D431" s="1302" t="str">
        <f>IF(C431="SINAPI",VLOOKUP(B431,'20-A.SINAPI-I'!A:G,2,0),VLOOKUP(B431,'12.COT.MERCADO'!A:I,2,0))</f>
        <v>EXECUÇÃO DO TESTE DE ESTANQUEIDADE PNEUMÁTICO EM CHUVEIRO AUTOMÁTICO SPRINKLER + ELABORAÇÃO DO RELATÓRIO TÉCNICO/LAUDO E FORNECIMENO DE ART</v>
      </c>
      <c r="E431" s="1305" t="s">
        <v>18393</v>
      </c>
      <c r="F431" s="1296" t="str">
        <f>IF(C431="SINAPI",VLOOKUP(B431,'20-A.SINAPI-I'!A:G,3,0),VLOOKUP(B431,'12.COT.MERCADO'!A:I,7,0))</f>
        <v>UN</v>
      </c>
      <c r="G431" s="1306">
        <v>0.33</v>
      </c>
      <c r="H431" s="1298">
        <f>IF(C431="SINAPI",VLOOKUP(B431,'20-A.SINAPI-I'!A:G,4,0),VLOOKUP(B431,'12.COT.MERCADO'!A:I,8,0))</f>
        <v>2800</v>
      </c>
      <c r="I431" s="1298">
        <f>IF(E431="Mão de Obra",H431*(1+'7. BDI SERVIÇOS'!$K$5),H431*(1+'8. BDI MERO FORNECIMENTO'!$K$5))</f>
        <v>3279.736838</v>
      </c>
      <c r="J431" s="1298">
        <f t="shared" si="1"/>
        <v>924</v>
      </c>
      <c r="K431" s="1298">
        <f t="shared" si="2"/>
        <v>1082.313157</v>
      </c>
      <c r="L431" s="1299">
        <f t="shared" si="3"/>
        <v>0.003470944858</v>
      </c>
      <c r="M431" s="1300">
        <f t="shared" si="5"/>
        <v>0.7639372876</v>
      </c>
      <c r="N431" s="1301" t="str">
        <f t="shared" si="4"/>
        <v>A</v>
      </c>
    </row>
    <row r="432">
      <c r="A432" s="1291">
        <v>428.0</v>
      </c>
      <c r="B432" s="1292" t="s">
        <v>4151</v>
      </c>
      <c r="C432" s="1304" t="s">
        <v>1785</v>
      </c>
      <c r="D432" s="1302" t="str">
        <f>IF(C432="SINAPI",VLOOKUP(B432,'20-A.SINAPI-I'!A:G,2,0),VLOOKUP(B432,'12.COT.MERCADO'!A:I,2,0))</f>
        <v>EXECUÇÃO DE TESTE EM SISTEMAS DE ALARME DE INCÊNDIO + ELABORAÇÃO DO RELATÓRIO TÉCNICO/LAUDO E FORNECIMENO DE ART</v>
      </c>
      <c r="E432" s="1305" t="s">
        <v>18393</v>
      </c>
      <c r="F432" s="1296" t="str">
        <f>IF(C432="SINAPI",VLOOKUP(B432,'20-A.SINAPI-I'!A:G,3,0),VLOOKUP(B432,'12.COT.MERCADO'!A:I,7,0))</f>
        <v>UN</v>
      </c>
      <c r="G432" s="1306">
        <v>0.33</v>
      </c>
      <c r="H432" s="1298">
        <f>IF(C432="SINAPI",VLOOKUP(B432,'20-A.SINAPI-I'!A:G,4,0),VLOOKUP(B432,'12.COT.MERCADO'!A:I,8,0))</f>
        <v>1500</v>
      </c>
      <c r="I432" s="1298">
        <f>IF(E432="Mão de Obra",H432*(1+'7. BDI SERVIÇOS'!$K$5),H432*(1+'8. BDI MERO FORNECIMENTO'!$K$5))</f>
        <v>1757.001878</v>
      </c>
      <c r="J432" s="1298">
        <f t="shared" si="1"/>
        <v>495</v>
      </c>
      <c r="K432" s="1298">
        <f t="shared" si="2"/>
        <v>579.8106196</v>
      </c>
      <c r="L432" s="1299">
        <f t="shared" si="3"/>
        <v>0.001859434745</v>
      </c>
      <c r="M432" s="1300">
        <f t="shared" si="5"/>
        <v>0.7657967224</v>
      </c>
      <c r="N432" s="1301" t="str">
        <f t="shared" si="4"/>
        <v>A</v>
      </c>
    </row>
    <row r="433">
      <c r="A433" s="1291">
        <v>432.0</v>
      </c>
      <c r="B433" s="1292" t="s">
        <v>4158</v>
      </c>
      <c r="C433" s="1304" t="s">
        <v>1785</v>
      </c>
      <c r="D433" s="1302" t="str">
        <f>IF(C433="SINAPI",VLOOKUP(B433,'20-A.SINAPI-I'!A:G,2,0),VLOOKUP(B433,'12.COT.MERCADO'!A:I,2,0))</f>
        <v>TESTE CMAR - ACABAMENTOS E REVESTIMENTOS + ELABORAÇÃO DO RELATÓRIO TÉCNICO/LAUDO E FORNECIMENO DE ART</v>
      </c>
      <c r="E433" s="1305" t="s">
        <v>18393</v>
      </c>
      <c r="F433" s="1296" t="str">
        <f>IF(C433="SINAPI",VLOOKUP(B433,'20-A.SINAPI-I'!A:G,3,0),VLOOKUP(B433,'12.COT.MERCADO'!A:I,7,0))</f>
        <v>UN</v>
      </c>
      <c r="G433" s="1306">
        <v>0.33</v>
      </c>
      <c r="H433" s="1298">
        <f>IF(C433="SINAPI",VLOOKUP(B433,'20-A.SINAPI-I'!A:G,4,0),VLOOKUP(B433,'12.COT.MERCADO'!A:I,8,0))</f>
        <v>1500</v>
      </c>
      <c r="I433" s="1298">
        <f>IF(E433="Mão de Obra",H433*(1+'7. BDI SERVIÇOS'!$K$5),H433*(1+'8. BDI MERO FORNECIMENTO'!$K$5))</f>
        <v>1757.001878</v>
      </c>
      <c r="J433" s="1298">
        <f t="shared" si="1"/>
        <v>495</v>
      </c>
      <c r="K433" s="1298">
        <f t="shared" si="2"/>
        <v>579.8106196</v>
      </c>
      <c r="L433" s="1299">
        <f t="shared" si="3"/>
        <v>0.001859434745</v>
      </c>
      <c r="M433" s="1300">
        <f t="shared" si="5"/>
        <v>0.7676561571</v>
      </c>
      <c r="N433" s="1301" t="str">
        <f t="shared" si="4"/>
        <v>A</v>
      </c>
    </row>
    <row r="434">
      <c r="A434" s="1291">
        <v>433.0</v>
      </c>
      <c r="B434" s="1292">
        <v>5075.0</v>
      </c>
      <c r="C434" s="1304" t="s">
        <v>17759</v>
      </c>
      <c r="D434" s="1303" t="str">
        <f>IF(C434="SINAPI",VLOOKUP(B434,'20-A.SINAPI-I'!A:G,2,0),VLOOKUP(B434,'12.COT.MERCADO'!A:I,2,0))</f>
        <v>PREGO DE ACO POLIDO COM CABECA 18 X 30 (2 3/4 X 10)</v>
      </c>
      <c r="E434" s="1305" t="s">
        <v>18393</v>
      </c>
      <c r="F434" s="1296" t="str">
        <f>IF(C434="SINAPI",VLOOKUP(B434,'20-A.SINAPI-I'!A:G,3,0),VLOOKUP(B434,'12.COT.MERCADO'!A:I,7,0))</f>
        <v>KG</v>
      </c>
      <c r="G434" s="1306">
        <v>0.01608</v>
      </c>
      <c r="H434" s="1298">
        <f>IF(C434="SINAPI",VLOOKUP(B434,'20-A.SINAPI-I'!A:G,4,0),VLOOKUP(B434,'12.COT.MERCADO'!A:I,8,0))</f>
        <v>16.27</v>
      </c>
      <c r="I434" s="1298">
        <f>IF(E434="Mão de Obra",H434*(1+'7. BDI SERVIÇOS'!$K$5),H434*(1+'8. BDI MERO FORNECIMENTO'!$K$5))</f>
        <v>19.0576137</v>
      </c>
      <c r="J434" s="1298">
        <f t="shared" si="1"/>
        <v>0.2616216</v>
      </c>
      <c r="K434" s="1298">
        <f t="shared" si="2"/>
        <v>0.3064464283</v>
      </c>
      <c r="L434" s="1299">
        <f t="shared" si="3"/>
        <v>0.0000009827642285</v>
      </c>
      <c r="M434" s="1300">
        <f t="shared" si="5"/>
        <v>0.7676571399</v>
      </c>
      <c r="N434" s="1301" t="str">
        <f t="shared" si="4"/>
        <v>A</v>
      </c>
    </row>
    <row r="435">
      <c r="A435" s="1291">
        <v>434.0</v>
      </c>
      <c r="B435" s="1292">
        <v>20250.0</v>
      </c>
      <c r="C435" s="1304" t="s">
        <v>17759</v>
      </c>
      <c r="D435" s="1303" t="str">
        <f>IF(C435="SINAPI",VLOOKUP(B435,'20-A.SINAPI-I'!A:G,2,0),VLOOKUP(B435,'12.COT.MERCADO'!A:I,2,0))</f>
        <v>SISAL EM FIBRA / ESTOPA SISAL PARA GESSO</v>
      </c>
      <c r="E435" s="1305" t="s">
        <v>18393</v>
      </c>
      <c r="F435" s="1296" t="str">
        <f>IF(C435="SINAPI",VLOOKUP(B435,'20-A.SINAPI-I'!A:G,3,0),VLOOKUP(B435,'12.COT.MERCADO'!A:I,7,0))</f>
        <v>KG</v>
      </c>
      <c r="G435" s="1306">
        <v>0.018174</v>
      </c>
      <c r="H435" s="1298">
        <f>IF(C435="SINAPI",VLOOKUP(B435,'20-A.SINAPI-I'!A:G,4,0),VLOOKUP(B435,'12.COT.MERCADO'!A:I,8,0))</f>
        <v>15</v>
      </c>
      <c r="I435" s="1298">
        <f>IF(E435="Mão de Obra",H435*(1+'7. BDI SERVIÇOS'!$K$5),H435*(1+'8. BDI MERO FORNECIMENTO'!$K$5))</f>
        <v>17.57001878</v>
      </c>
      <c r="J435" s="1298">
        <f t="shared" si="1"/>
        <v>0.27261</v>
      </c>
      <c r="K435" s="1298">
        <f t="shared" si="2"/>
        <v>0.3193175213</v>
      </c>
      <c r="L435" s="1299">
        <f t="shared" si="3"/>
        <v>0.000001024041426</v>
      </c>
      <c r="M435" s="1300">
        <f t="shared" si="5"/>
        <v>0.7676581639</v>
      </c>
      <c r="N435" s="1301" t="str">
        <f t="shared" si="4"/>
        <v>A</v>
      </c>
    </row>
    <row r="436">
      <c r="A436" s="1291">
        <v>435.0</v>
      </c>
      <c r="B436" s="1292">
        <v>7137.0</v>
      </c>
      <c r="C436" s="1304" t="s">
        <v>17759</v>
      </c>
      <c r="D436" s="1303" t="str">
        <f>IF(C436="SINAPI",VLOOKUP(B436,'20-A.SINAPI-I'!A:G,2,0),VLOOKUP(B436,'12.COT.MERCADO'!A:I,2,0))</f>
        <v>TE PVC, SOLDAVEL, COM BUCHA DE LATAO NA BOLSA CENTRAL, 90 GRAUS, 25 MM X 1/2", PARA AGUA FRIA PREDIAL</v>
      </c>
      <c r="E436" s="1305" t="s">
        <v>18393</v>
      </c>
      <c r="F436" s="1296" t="str">
        <f>IF(C436="SINAPI",VLOOKUP(B436,'20-A.SINAPI-I'!A:G,3,0),VLOOKUP(B436,'12.COT.MERCADO'!A:I,7,0))</f>
        <v>UN</v>
      </c>
      <c r="G436" s="1306">
        <v>0.022344</v>
      </c>
      <c r="H436" s="1298">
        <f>IF(C436="SINAPI",VLOOKUP(B436,'20-A.SINAPI-I'!A:G,4,0),VLOOKUP(B436,'12.COT.MERCADO'!A:I,8,0))</f>
        <v>10.48</v>
      </c>
      <c r="I436" s="1298">
        <f>IF(E436="Mão de Obra",H436*(1+'7. BDI SERVIÇOS'!$K$5),H436*(1+'8. BDI MERO FORNECIMENTO'!$K$5))</f>
        <v>12.27558645</v>
      </c>
      <c r="J436" s="1298">
        <f t="shared" si="1"/>
        <v>0.23416512</v>
      </c>
      <c r="K436" s="1298">
        <f t="shared" si="2"/>
        <v>0.2742857037</v>
      </c>
      <c r="L436" s="1299">
        <f t="shared" si="3"/>
        <v>0.0000008796257782</v>
      </c>
      <c r="M436" s="1300">
        <f t="shared" si="5"/>
        <v>0.7676590435</v>
      </c>
      <c r="N436" s="1301" t="str">
        <f t="shared" si="4"/>
        <v>A</v>
      </c>
    </row>
    <row r="437">
      <c r="A437" s="1291">
        <v>436.0</v>
      </c>
      <c r="B437" s="1292">
        <v>3869.0</v>
      </c>
      <c r="C437" s="1304" t="s">
        <v>17759</v>
      </c>
      <c r="D437" s="1303" t="str">
        <f>IF(C437="SINAPI",VLOOKUP(B437,'20-A.SINAPI-I'!A:G,2,0),VLOOKUP(B437,'12.COT.MERCADO'!A:I,2,0))</f>
        <v>LUVA DE REDUCAO SOLDAVEL, PVC, 32 MM X 25 MM, PARA AGUA FRIA PREDIAL</v>
      </c>
      <c r="E437" s="1305" t="s">
        <v>18393</v>
      </c>
      <c r="F437" s="1296" t="str">
        <f>IF(C437="SINAPI",VLOOKUP(B437,'20-A.SINAPI-I'!A:G,3,0),VLOOKUP(B437,'12.COT.MERCADO'!A:I,7,0))</f>
        <v>UN</v>
      </c>
      <c r="G437" s="1306">
        <v>0.061313</v>
      </c>
      <c r="H437" s="1298">
        <f>IF(C437="SINAPI",VLOOKUP(B437,'20-A.SINAPI-I'!A:G,4,0),VLOOKUP(B437,'12.COT.MERCADO'!A:I,8,0))</f>
        <v>3.25</v>
      </c>
      <c r="I437" s="1298">
        <f>IF(E437="Mão de Obra",H437*(1+'7. BDI SERVIÇOS'!$K$5),H437*(1+'8. BDI MERO FORNECIMENTO'!$K$5))</f>
        <v>3.806837402</v>
      </c>
      <c r="J437" s="1298">
        <f t="shared" si="1"/>
        <v>0.19926725</v>
      </c>
      <c r="K437" s="1298">
        <f t="shared" si="2"/>
        <v>0.2334086216</v>
      </c>
      <c r="L437" s="1299">
        <f t="shared" si="3"/>
        <v>0.0000007485342388</v>
      </c>
      <c r="M437" s="1300">
        <f t="shared" si="5"/>
        <v>0.7676597921</v>
      </c>
      <c r="N437" s="1301" t="str">
        <f t="shared" si="4"/>
        <v>A</v>
      </c>
    </row>
    <row r="438">
      <c r="A438" s="1291">
        <v>437.0</v>
      </c>
      <c r="B438" s="1292">
        <v>4229.0</v>
      </c>
      <c r="C438" s="1304" t="s">
        <v>17759</v>
      </c>
      <c r="D438" s="1303" t="str">
        <f>IF(C438="SINAPI",VLOOKUP(B438,'20-A.SINAPI-I'!A:G,2,0),VLOOKUP(B438,'12.COT.MERCADO'!A:I,2,0))</f>
        <v>GRAXA LUBRIFICANTE</v>
      </c>
      <c r="E438" s="1305" t="s">
        <v>18393</v>
      </c>
      <c r="F438" s="1296" t="str">
        <f>IF(C438="SINAPI",VLOOKUP(B438,'20-A.SINAPI-I'!A:G,3,0),VLOOKUP(B438,'12.COT.MERCADO'!A:I,7,0))</f>
        <v>KG</v>
      </c>
      <c r="G438" s="1306">
        <v>0.006097</v>
      </c>
      <c r="H438" s="1298">
        <f>IF(C438="SINAPI",VLOOKUP(B438,'20-A.SINAPI-I'!A:G,4,0),VLOOKUP(B438,'12.COT.MERCADO'!A:I,8,0))</f>
        <v>32.85</v>
      </c>
      <c r="I438" s="1298">
        <f>IF(E438="Mão de Obra",H438*(1+'7. BDI SERVIÇOS'!$K$5),H438*(1+'8. BDI MERO FORNECIMENTO'!$K$5))</f>
        <v>38.47834112</v>
      </c>
      <c r="J438" s="1298">
        <f t="shared" si="1"/>
        <v>0.20028645</v>
      </c>
      <c r="K438" s="1298">
        <f t="shared" si="2"/>
        <v>0.2346024458</v>
      </c>
      <c r="L438" s="1299">
        <f t="shared" si="3"/>
        <v>0.0000007523627962</v>
      </c>
      <c r="M438" s="1300">
        <f t="shared" si="5"/>
        <v>0.7676605444</v>
      </c>
      <c r="N438" s="1301" t="str">
        <f t="shared" si="4"/>
        <v>A</v>
      </c>
    </row>
    <row r="439">
      <c r="A439" s="1291">
        <v>438.0</v>
      </c>
      <c r="B439" s="1292">
        <v>37395.0</v>
      </c>
      <c r="C439" s="1304" t="s">
        <v>17759</v>
      </c>
      <c r="D439" s="1303" t="str">
        <f>IF(C439="SINAPI",VLOOKUP(B439,'20-A.SINAPI-I'!A:G,2,0),VLOOKUP(B439,'12.COT.MERCADO'!A:I,2,0))</f>
        <v>PINO DE ACO COM FURO, HASTE = 27 MM (ACAO DIRETA)</v>
      </c>
      <c r="E439" s="1305" t="s">
        <v>18393</v>
      </c>
      <c r="F439" s="1296" t="str">
        <f>IF(C439="SINAPI",VLOOKUP(B439,'20-A.SINAPI-I'!A:G,3,0),VLOOKUP(B439,'12.COT.MERCADO'!A:I,7,0))</f>
        <v>CENTO</v>
      </c>
      <c r="G439" s="1306">
        <v>0.005</v>
      </c>
      <c r="H439" s="1298">
        <f>IF(C439="SINAPI",VLOOKUP(B439,'20-A.SINAPI-I'!A:G,4,0),VLOOKUP(B439,'12.COT.MERCADO'!A:I,8,0))</f>
        <v>38.74</v>
      </c>
      <c r="I439" s="1298">
        <f>IF(E439="Mão de Obra",H439*(1+'7. BDI SERVIÇOS'!$K$5),H439*(1+'8. BDI MERO FORNECIMENTO'!$K$5))</f>
        <v>45.37750183</v>
      </c>
      <c r="J439" s="1298">
        <f t="shared" si="1"/>
        <v>0.1937</v>
      </c>
      <c r="K439" s="1298">
        <f t="shared" si="2"/>
        <v>0.2268875091</v>
      </c>
      <c r="L439" s="1299">
        <f t="shared" si="3"/>
        <v>0.0000007276212326</v>
      </c>
      <c r="M439" s="1300">
        <f t="shared" si="5"/>
        <v>0.767661272</v>
      </c>
      <c r="N439" s="1301" t="str">
        <f t="shared" si="4"/>
        <v>A</v>
      </c>
    </row>
    <row r="440">
      <c r="A440" s="1291">
        <v>439.0</v>
      </c>
      <c r="B440" s="1292">
        <v>5066.0</v>
      </c>
      <c r="C440" s="1304" t="s">
        <v>17759</v>
      </c>
      <c r="D440" s="1303" t="str">
        <f>IF(C440="SINAPI",VLOOKUP(B440,'20-A.SINAPI-I'!A:G,2,0),VLOOKUP(B440,'12.COT.MERCADO'!A:I,2,0))</f>
        <v>PREGO DE ACO POLIDO COM CABECA 12 X 12</v>
      </c>
      <c r="E440" s="1305" t="s">
        <v>18397</v>
      </c>
      <c r="F440" s="1296" t="str">
        <f>IF(C440="SINAPI",VLOOKUP(B440,'20-A.SINAPI-I'!A:G,3,0),VLOOKUP(B440,'12.COT.MERCADO'!A:I,7,0))</f>
        <v>KG</v>
      </c>
      <c r="G440" s="1306">
        <v>0.00737</v>
      </c>
      <c r="H440" s="1298">
        <f>IF(C440="SINAPI",VLOOKUP(B440,'20-A.SINAPI-I'!A:G,4,0),VLOOKUP(B440,'12.COT.MERCADO'!A:I,8,0))</f>
        <v>21.44</v>
      </c>
      <c r="I440" s="1298">
        <f>IF(E440="Mão de Obra",H440*(1+'7. BDI SERVIÇOS'!$K$5),H440*(1+'8. BDI MERO FORNECIMENTO'!$K$5))</f>
        <v>25.11341351</v>
      </c>
      <c r="J440" s="1298">
        <f t="shared" si="1"/>
        <v>0.1580128</v>
      </c>
      <c r="K440" s="1298">
        <f t="shared" si="2"/>
        <v>0.1850858575</v>
      </c>
      <c r="L440" s="1299">
        <f t="shared" si="3"/>
        <v>0.0000005935646273</v>
      </c>
      <c r="M440" s="1300">
        <f t="shared" si="5"/>
        <v>0.7676618656</v>
      </c>
      <c r="N440" s="1301" t="str">
        <f t="shared" si="4"/>
        <v>A</v>
      </c>
    </row>
    <row r="441">
      <c r="A441" s="1291">
        <v>440.0</v>
      </c>
      <c r="B441" s="1292">
        <v>13458.0</v>
      </c>
      <c r="C441" s="1304" t="s">
        <v>17759</v>
      </c>
      <c r="D441" s="1303" t="str">
        <f>IF(C441="SINAPI",VLOOKUP(B441,'20-A.SINAPI-I'!A:G,2,0),VLOOKUP(B441,'12.COT.MERCADO'!A:I,2,0))</f>
        <v>COMPACTADOR DE SOLOS DE PERCURSAO (SOQUETE) COM MOTOR A GASOLINA 4 TEMPOS DE 4 HP (4 CV)</v>
      </c>
      <c r="E441" s="1305" t="s">
        <v>18393</v>
      </c>
      <c r="F441" s="1296" t="str">
        <f>IF(C441="SINAPI",VLOOKUP(B441,'20-A.SINAPI-I'!A:G,3,0),VLOOKUP(B441,'12.COT.MERCADO'!A:I,7,0))</f>
        <v>UN</v>
      </c>
      <c r="G441" s="1306">
        <v>1.06E-5</v>
      </c>
      <c r="H441" s="1298">
        <f>IF(C441="SINAPI",VLOOKUP(B441,'20-A.SINAPI-I'!A:G,4,0),VLOOKUP(B441,'12.COT.MERCADO'!A:I,8,0))</f>
        <v>12637.89</v>
      </c>
      <c r="I441" s="1298">
        <f>IF(E441="Mão de Obra",H441*(1+'7. BDI SERVIÇOS'!$K$5),H441*(1+'8. BDI MERO FORNECIMENTO'!$K$5))</f>
        <v>14803.19764</v>
      </c>
      <c r="J441" s="1298">
        <f t="shared" si="1"/>
        <v>0.133961634</v>
      </c>
      <c r="K441" s="1298">
        <f t="shared" si="2"/>
        <v>0.156913895</v>
      </c>
      <c r="L441" s="1299">
        <f t="shared" si="3"/>
        <v>0.0000005032180137</v>
      </c>
      <c r="M441" s="1300">
        <f t="shared" si="5"/>
        <v>0.7676623688</v>
      </c>
      <c r="N441" s="1301" t="str">
        <f t="shared" si="4"/>
        <v>A</v>
      </c>
    </row>
    <row r="442">
      <c r="A442" s="1291">
        <v>441.0</v>
      </c>
      <c r="B442" s="1292">
        <v>3904.0</v>
      </c>
      <c r="C442" s="1304" t="s">
        <v>17759</v>
      </c>
      <c r="D442" s="1303" t="str">
        <f>IF(C442="SINAPI",VLOOKUP(B442,'20-A.SINAPI-I'!A:G,2,0),VLOOKUP(B442,'12.COT.MERCADO'!A:I,2,0))</f>
        <v>LUVA PVC SOLDAVEL, 25 MM, PARA AGUA FRIA PREDIAL</v>
      </c>
      <c r="E442" s="1305" t="s">
        <v>18393</v>
      </c>
      <c r="F442" s="1296" t="str">
        <f>IF(C442="SINAPI",VLOOKUP(B442,'20-A.SINAPI-I'!A:G,3,0),VLOOKUP(B442,'12.COT.MERCADO'!A:I,7,0))</f>
        <v>UN</v>
      </c>
      <c r="G442" s="1306">
        <v>0.138719</v>
      </c>
      <c r="H442" s="1298">
        <f>IF(C442="SINAPI",VLOOKUP(B442,'20-A.SINAPI-I'!A:G,4,0),VLOOKUP(B442,'12.COT.MERCADO'!A:I,8,0))</f>
        <v>0.86</v>
      </c>
      <c r="I442" s="1298">
        <f>IF(E442="Mão de Obra",H442*(1+'7. BDI SERVIÇOS'!$K$5),H442*(1+'8. BDI MERO FORNECIMENTO'!$K$5))</f>
        <v>1.007347743</v>
      </c>
      <c r="J442" s="1298">
        <f t="shared" si="1"/>
        <v>0.11929834</v>
      </c>
      <c r="K442" s="1298">
        <f t="shared" si="2"/>
        <v>0.1397382716</v>
      </c>
      <c r="L442" s="1299">
        <f t="shared" si="3"/>
        <v>0.0000004481363201</v>
      </c>
      <c r="M442" s="1300">
        <f t="shared" si="5"/>
        <v>0.767662817</v>
      </c>
      <c r="N442" s="1301" t="str">
        <f t="shared" si="4"/>
        <v>A</v>
      </c>
    </row>
    <row r="443">
      <c r="A443" s="1291">
        <v>442.0</v>
      </c>
      <c r="B443" s="1292">
        <v>4350.0</v>
      </c>
      <c r="C443" s="1304" t="s">
        <v>17759</v>
      </c>
      <c r="D443" s="1303" t="str">
        <f>IF(C443="SINAPI",VLOOKUP(B443,'20-A.SINAPI-I'!A:G,2,0),VLOOKUP(B443,'12.COT.MERCADO'!A:I,2,0))</f>
        <v>BUCHA DE NYLON, DIAMETRO DO FURO 8 MM, COMPRIMENTO 40 MM, COM PARAFUSO DE ROSCA SOBERBA, CABECA CHATA, FENDA SIMPLES, 4,8 X 50 MM</v>
      </c>
      <c r="E443" s="1305" t="s">
        <v>18393</v>
      </c>
      <c r="F443" s="1296" t="str">
        <f>IF(C443="SINAPI",VLOOKUP(B443,'20-A.SINAPI-I'!A:G,3,0),VLOOKUP(B443,'12.COT.MERCADO'!A:I,7,0))</f>
        <v>UN</v>
      </c>
      <c r="G443" s="1306">
        <v>0.203987</v>
      </c>
      <c r="H443" s="1298">
        <f>IF(C443="SINAPI",VLOOKUP(B443,'20-A.SINAPI-I'!A:G,4,0),VLOOKUP(B443,'12.COT.MERCADO'!A:I,8,0))</f>
        <v>0.7</v>
      </c>
      <c r="I443" s="1298">
        <f>IF(E443="Mão de Obra",H443*(1+'7. BDI SERVIÇOS'!$K$5),H443*(1+'8. BDI MERO FORNECIMENTO'!$K$5))</f>
        <v>0.8199342096</v>
      </c>
      <c r="J443" s="1298">
        <f t="shared" si="1"/>
        <v>0.1427909</v>
      </c>
      <c r="K443" s="1298">
        <f t="shared" si="2"/>
        <v>0.1672559196</v>
      </c>
      <c r="L443" s="1299">
        <f t="shared" si="3"/>
        <v>0.0000005363845672</v>
      </c>
      <c r="M443" s="1300">
        <f t="shared" si="5"/>
        <v>0.7676633534</v>
      </c>
      <c r="N443" s="1301" t="str">
        <f t="shared" si="4"/>
        <v>A</v>
      </c>
    </row>
    <row r="444">
      <c r="A444" s="1291">
        <v>443.0</v>
      </c>
      <c r="B444" s="1292">
        <v>14153.0</v>
      </c>
      <c r="C444" s="1304" t="s">
        <v>17759</v>
      </c>
      <c r="D444" s="1303" t="str">
        <f>IF(C444="SINAPI",VLOOKUP(B444,'20-A.SINAPI-I'!A:G,2,0),VLOOKUP(B444,'12.COT.MERCADO'!A:I,2,0))</f>
        <v>FITA METALICA PERFURADA, L = *18* MM, ROLO DE 30 M, CARGA RECOMENDADA = *30* KGF</v>
      </c>
      <c r="E444" s="1305" t="s">
        <v>18394</v>
      </c>
      <c r="F444" s="1296" t="str">
        <f>IF(C444="SINAPI",VLOOKUP(B444,'20-A.SINAPI-I'!A:G,3,0),VLOOKUP(B444,'12.COT.MERCADO'!A:I,7,0))</f>
        <v>UN</v>
      </c>
      <c r="G444" s="1306">
        <v>0.0013002</v>
      </c>
      <c r="H444" s="1298">
        <f>IF(C444="SINAPI",VLOOKUP(B444,'20-A.SINAPI-I'!A:G,4,0),VLOOKUP(B444,'12.COT.MERCADO'!A:I,8,0))</f>
        <v>53.3</v>
      </c>
      <c r="I444" s="1298">
        <f>IF(E444="Mão de Obra",H444*(1+'7. BDI SERVIÇOS'!$K$5),H444*(1+'8. BDI MERO FORNECIMENTO'!$K$5))</f>
        <v>62.5700943</v>
      </c>
      <c r="J444" s="1298">
        <f t="shared" si="1"/>
        <v>0.06930066</v>
      </c>
      <c r="K444" s="1298">
        <f t="shared" si="2"/>
        <v>0.08135363661</v>
      </c>
      <c r="L444" s="1299">
        <f t="shared" si="3"/>
        <v>0.0000002608985994</v>
      </c>
      <c r="M444" s="1300">
        <f t="shared" si="5"/>
        <v>0.7676636143</v>
      </c>
      <c r="N444" s="1301" t="str">
        <f t="shared" si="4"/>
        <v>A</v>
      </c>
    </row>
    <row r="445">
      <c r="A445" s="1291">
        <v>444.0</v>
      </c>
      <c r="B445" s="1292">
        <v>4253.0</v>
      </c>
      <c r="C445" s="1304" t="s">
        <v>17759</v>
      </c>
      <c r="D445" s="1303" t="str">
        <f>IF(C445="SINAPI",VLOOKUP(B445,'20-A.SINAPI-I'!A:G,2,0),VLOOKUP(B445,'12.COT.MERCADO'!A:I,2,0))</f>
        <v>OPERADOR DE GUINCHO OU GUINCHEIRO</v>
      </c>
      <c r="E445" s="1305" t="s">
        <v>18393</v>
      </c>
      <c r="F445" s="1296" t="str">
        <f>IF(C445="SINAPI",VLOOKUP(B445,'20-A.SINAPI-I'!A:G,3,0),VLOOKUP(B445,'12.COT.MERCADO'!A:I,7,0))</f>
        <v>H</v>
      </c>
      <c r="G445" s="1306">
        <v>0.002972</v>
      </c>
      <c r="H445" s="1298">
        <f>IF(C445="SINAPI",VLOOKUP(B445,'20-A.SINAPI-I'!A:G,4,0),VLOOKUP(B445,'12.COT.MERCADO'!A:I,8,0))</f>
        <v>19.64</v>
      </c>
      <c r="I445" s="1298">
        <f>IF(E445="Mão de Obra",H445*(1+'7. BDI SERVIÇOS'!$K$5),H445*(1+'8. BDI MERO FORNECIMENTO'!$K$5))</f>
        <v>23.00501125</v>
      </c>
      <c r="J445" s="1298">
        <f t="shared" si="1"/>
        <v>0.05837008</v>
      </c>
      <c r="K445" s="1298">
        <f t="shared" si="2"/>
        <v>0.06837089344</v>
      </c>
      <c r="L445" s="1299">
        <f t="shared" si="3"/>
        <v>0.0000002192633431</v>
      </c>
      <c r="M445" s="1300">
        <f t="shared" si="5"/>
        <v>0.7676638335</v>
      </c>
      <c r="N445" s="1301" t="str">
        <f t="shared" si="4"/>
        <v>A</v>
      </c>
    </row>
    <row r="446">
      <c r="A446" s="1291">
        <v>445.0</v>
      </c>
      <c r="B446" s="1292">
        <v>7129.0</v>
      </c>
      <c r="C446" s="1304" t="s">
        <v>17759</v>
      </c>
      <c r="D446" s="1303" t="str">
        <f>IF(C446="SINAPI",VLOOKUP(B446,'20-A.SINAPI-I'!A:G,2,0),VLOOKUP(B446,'12.COT.MERCADO'!A:I,2,0))</f>
        <v>TE DE REDUCAO, PVC, SOLDAVEL, 90 GRAUS, 50 MM X 25 MM, PARA AGUA FRIA PREDIAL</v>
      </c>
      <c r="E446" s="1305" t="s">
        <v>18393</v>
      </c>
      <c r="F446" s="1296" t="str">
        <f>IF(C446="SINAPI",VLOOKUP(B446,'20-A.SINAPI-I'!A:G,3,0),VLOOKUP(B446,'12.COT.MERCADO'!A:I,7,0))</f>
        <v>UN</v>
      </c>
      <c r="G446" s="1306">
        <v>0.004123</v>
      </c>
      <c r="H446" s="1298">
        <f>IF(C446="SINAPI",VLOOKUP(B446,'20-A.SINAPI-I'!A:G,4,0),VLOOKUP(B446,'12.COT.MERCADO'!A:I,8,0))</f>
        <v>10.66</v>
      </c>
      <c r="I446" s="1298">
        <f>IF(E446="Mão de Obra",H446*(1+'7. BDI SERVIÇOS'!$K$5),H446*(1+'8. BDI MERO FORNECIMENTO'!$K$5))</f>
        <v>12.48642668</v>
      </c>
      <c r="J446" s="1298">
        <f t="shared" si="1"/>
        <v>0.04395118</v>
      </c>
      <c r="K446" s="1298">
        <f t="shared" si="2"/>
        <v>0.05148153719</v>
      </c>
      <c r="L446" s="1299">
        <f t="shared" si="3"/>
        <v>0.0000001650996994</v>
      </c>
      <c r="M446" s="1300">
        <f t="shared" si="5"/>
        <v>0.7676639986</v>
      </c>
      <c r="N446" s="1301" t="str">
        <f t="shared" si="4"/>
        <v>A</v>
      </c>
    </row>
    <row r="447">
      <c r="A447" s="1307">
        <v>446.0</v>
      </c>
      <c r="B447" s="1308">
        <v>9835.0</v>
      </c>
      <c r="C447" s="1309" t="s">
        <v>17759</v>
      </c>
      <c r="D447" s="1310" t="str">
        <f>IF(C447="SINAPI",VLOOKUP(B447,'20-A.SINAPI-I'!A:G,2,0),VLOOKUP(B447,'12.COT.MERCADO'!A:I,2,0))</f>
        <v>TUBO PVC  SERIE NORMAL, DN 40 MM, PARA ESGOTO  PREDIAL (NBR 5688)</v>
      </c>
      <c r="E447" s="1311" t="s">
        <v>18397</v>
      </c>
      <c r="F447" s="1312" t="str">
        <f>IF(C447="SINAPI",VLOOKUP(B447,'20-A.SINAPI-I'!A:G,3,0),VLOOKUP(B447,'12.COT.MERCADO'!A:I,7,0))</f>
        <v>M</v>
      </c>
      <c r="G447" s="1313">
        <v>0.0014165</v>
      </c>
      <c r="H447" s="1314">
        <f>IF(C447="SINAPI",VLOOKUP(B447,'20-A.SINAPI-I'!A:G,4,0),VLOOKUP(B447,'12.COT.MERCADO'!A:I,8,0))</f>
        <v>7.43</v>
      </c>
      <c r="I447" s="1314">
        <f>IF(E447="Mão de Obra",H447*(1+'7. BDI SERVIÇOS'!$K$5),H447*(1+'8. BDI MERO FORNECIMENTO'!$K$5))</f>
        <v>8.703015968</v>
      </c>
      <c r="J447" s="1314">
        <f t="shared" si="1"/>
        <v>0.010524595</v>
      </c>
      <c r="K447" s="1314">
        <f t="shared" si="2"/>
        <v>0.01232782212</v>
      </c>
      <c r="L447" s="1315">
        <f t="shared" si="3"/>
        <v>0.00000003953494469</v>
      </c>
      <c r="M447" s="1316">
        <f t="shared" si="5"/>
        <v>0.7676640382</v>
      </c>
      <c r="N447" s="1317" t="str">
        <f t="shared" si="4"/>
        <v>A</v>
      </c>
    </row>
    <row r="448" ht="18.0" customHeight="1">
      <c r="A448" s="1307">
        <v>446.0</v>
      </c>
      <c r="B448" s="1308">
        <v>36487.0</v>
      </c>
      <c r="C448" s="1309" t="s">
        <v>17759</v>
      </c>
      <c r="D448" s="1310" t="str">
        <f>IF(C448="SINAPI",VLOOKUP(B448,'20-A.SINAPI-I'!A:G,2,0),VLOOKUP(B448,'12.COT.MERCADO'!A:I,2,0))</f>
        <v>GUINCHO ELETRICO DE COLUNA, CAPACIDADE 400 KG, COM MOTO FREIO, MOTOR TRIFASICO DE 1,25 CV</v>
      </c>
      <c r="E448" s="1311" t="s">
        <v>18397</v>
      </c>
      <c r="F448" s="1312" t="str">
        <f>IF(C448="SINAPI",VLOOKUP(B448,'20-A.SINAPI-I'!A:G,3,0),VLOOKUP(B448,'12.COT.MERCADO'!A:I,7,0))</f>
        <v>UN</v>
      </c>
      <c r="G448" s="1313">
        <v>3.0E-7</v>
      </c>
      <c r="H448" s="1314">
        <f>IF(C448="SINAPI",VLOOKUP(B448,'20-A.SINAPI-I'!A:G,4,0),VLOOKUP(B448,'12.COT.MERCADO'!A:I,8,0))</f>
        <v>4797.4</v>
      </c>
      <c r="I448" s="1314">
        <f>IF(E448="Mão de Obra",H448*(1+'7. BDI SERVIÇOS'!$K$5),H448*(1+'8. BDI MERO FORNECIMENTO'!$K$5))</f>
        <v>5619.360539</v>
      </c>
      <c r="J448" s="1314">
        <f t="shared" si="1"/>
        <v>0.00143922</v>
      </c>
      <c r="K448" s="1314">
        <f t="shared" si="2"/>
        <v>0.001685808162</v>
      </c>
      <c r="L448" s="1315">
        <f t="shared" si="3"/>
        <v>0.000000005406334695</v>
      </c>
      <c r="M448" s="1316">
        <f t="shared" si="5"/>
        <v>0.7676640436</v>
      </c>
      <c r="N448" s="1317" t="str">
        <f t="shared" si="4"/>
        <v>A</v>
      </c>
    </row>
    <row r="449" ht="18.0" customHeight="1">
      <c r="A449" s="1318" t="s">
        <v>1632</v>
      </c>
      <c r="C449" s="1319" t="s">
        <v>18399</v>
      </c>
    </row>
    <row r="450" ht="18.0" customHeight="1">
      <c r="A450" s="1205"/>
      <c r="B450" s="1320"/>
      <c r="C450" s="1206"/>
      <c r="E450" s="1321"/>
      <c r="F450" s="1322"/>
      <c r="G450" s="1322"/>
      <c r="H450" s="1323" t="s">
        <v>18400</v>
      </c>
      <c r="L450" s="1322"/>
      <c r="M450" s="1322"/>
    </row>
    <row r="451" ht="18.0" customHeight="1">
      <c r="A451" s="1205"/>
      <c r="B451" s="1320"/>
      <c r="C451" s="1206"/>
      <c r="E451" s="1321"/>
      <c r="F451" s="1322"/>
      <c r="G451" s="1322"/>
      <c r="H451" s="1323" t="str">
        <f>IFERROR(__xludf.DUMMYFUNCTION("unique(E3:E447)"),"Serviços")</f>
        <v>Serviços</v>
      </c>
      <c r="K451" s="1324">
        <f t="shared" ref="K451:K457" si="6">SUMIF($E$3:$E$448,H451,$K$3:$K$448)</f>
        <v>83075.05595</v>
      </c>
      <c r="L451" s="1322"/>
      <c r="M451" s="1322"/>
    </row>
    <row r="452" ht="18.0" customHeight="1">
      <c r="A452" s="1205"/>
      <c r="B452" s="1320"/>
      <c r="C452" s="1206"/>
      <c r="E452" s="1325"/>
      <c r="F452" s="1322"/>
      <c r="G452" s="1322"/>
      <c r="H452" s="1326" t="str">
        <f>IFERROR(__xludf.DUMMYFUNCTION("""COMPUTED_VALUE"""),"Material")</f>
        <v>Material</v>
      </c>
      <c r="K452" s="1324">
        <f t="shared" si="6"/>
        <v>106515.5856</v>
      </c>
      <c r="L452" s="1322"/>
      <c r="M452" s="1322"/>
    </row>
    <row r="453" ht="18.0" customHeight="1">
      <c r="A453" s="1205"/>
      <c r="B453" s="1320"/>
      <c r="C453" s="1206"/>
      <c r="E453" s="1327"/>
      <c r="F453" s="1328"/>
      <c r="G453" s="1322"/>
      <c r="H453" s="1323" t="str">
        <f>IFERROR(__xludf.DUMMYFUNCTION("""COMPUTED_VALUE"""),"Mão de Obra")</f>
        <v>Mão de Obra</v>
      </c>
      <c r="K453" s="1324">
        <f t="shared" si="6"/>
        <v>35942.69634</v>
      </c>
      <c r="L453" s="1322"/>
      <c r="M453" s="1329"/>
    </row>
    <row r="454" ht="18.0" customHeight="1">
      <c r="A454" s="1205"/>
      <c r="B454" s="1320"/>
      <c r="C454" s="1206"/>
      <c r="E454" s="1330"/>
      <c r="F454" s="1322"/>
      <c r="G454" s="1322"/>
      <c r="H454" s="1323" t="str">
        <f>IFERROR(__xludf.DUMMYFUNCTION("""COMPUTED_VALUE"""),"Outros")</f>
        <v>Outros</v>
      </c>
      <c r="K454" s="1324">
        <f t="shared" si="6"/>
        <v>7526.568788</v>
      </c>
      <c r="L454" s="1322"/>
      <c r="M454" s="1329"/>
    </row>
    <row r="455" ht="18.0" customHeight="1">
      <c r="A455" s="1205"/>
      <c r="B455" s="1320"/>
      <c r="C455" s="1206"/>
      <c r="E455" s="1330"/>
      <c r="F455" s="1322"/>
      <c r="G455" s="1322"/>
      <c r="H455" s="1323" t="str">
        <f>IFERROR(__xludf.DUMMYFUNCTION("""COMPUTED_VALUE"""),"Equipamento para Aquisição Permanente")</f>
        <v>Equipamento para Aquisição Permanente</v>
      </c>
      <c r="K455" s="1324">
        <f t="shared" si="6"/>
        <v>2110.509718</v>
      </c>
      <c r="L455" s="1322"/>
      <c r="M455" s="1329"/>
    </row>
    <row r="456" ht="18.0" customHeight="1">
      <c r="A456" s="1205"/>
      <c r="B456" s="1320"/>
      <c r="C456" s="1206"/>
      <c r="E456" s="1330"/>
      <c r="F456" s="1322"/>
      <c r="G456" s="1322"/>
      <c r="H456" s="1323" t="str">
        <f>IFERROR(__xludf.DUMMYFUNCTION("""COMPUTED_VALUE"""),"Equipamento")</f>
        <v>Equipamento</v>
      </c>
      <c r="K456" s="1324">
        <f t="shared" si="6"/>
        <v>4114.489839</v>
      </c>
      <c r="L456" s="1322"/>
      <c r="M456" s="1329"/>
    </row>
    <row r="457" ht="18.0" customHeight="1">
      <c r="A457" s="1205"/>
      <c r="B457" s="1320"/>
      <c r="C457" s="1206"/>
      <c r="E457" s="1330"/>
      <c r="F457" s="1322"/>
      <c r="G457" s="1322"/>
      <c r="H457" s="1323" t="str">
        <f>IFERROR(__xludf.DUMMYFUNCTION("""COMPUTED_VALUE"""),"Taxas")</f>
        <v>Taxas</v>
      </c>
      <c r="K457" s="1324">
        <f t="shared" si="6"/>
        <v>88.78833289</v>
      </c>
      <c r="L457" s="1322"/>
      <c r="M457" s="1322"/>
    </row>
    <row r="458" ht="18.0" customHeight="1">
      <c r="A458" s="1205"/>
      <c r="B458" s="1320"/>
      <c r="C458" s="1206"/>
      <c r="E458" s="1321"/>
      <c r="F458" s="1322"/>
      <c r="G458" s="1331"/>
      <c r="H458" s="1322"/>
      <c r="I458" s="1332"/>
      <c r="J458" s="1332"/>
      <c r="K458" s="1332"/>
      <c r="L458" s="1322"/>
      <c r="M458" s="1329"/>
    </row>
    <row r="459" ht="18.0" customHeight="1">
      <c r="A459" s="1205"/>
      <c r="B459" s="1320"/>
      <c r="C459" s="1206"/>
      <c r="E459" s="1321"/>
      <c r="F459" s="1322"/>
      <c r="G459" s="1331"/>
      <c r="H459" s="1322"/>
      <c r="I459" s="1333" t="s">
        <v>1397</v>
      </c>
      <c r="J459" s="27"/>
      <c r="K459" s="1333">
        <f>'5.SERVIÇOS_GERAIS_SOB_DEMANDA'!O322</f>
        <v>266100.3077</v>
      </c>
      <c r="L459" s="1322"/>
      <c r="M459" s="1329"/>
    </row>
    <row r="460" ht="18.0" customHeight="1">
      <c r="A460" s="1205"/>
      <c r="B460" s="1320"/>
      <c r="C460" s="1206"/>
      <c r="E460" s="1321"/>
      <c r="F460" s="1322"/>
      <c r="G460" s="1331"/>
      <c r="H460" s="1322"/>
      <c r="I460" s="1334" t="s">
        <v>1398</v>
      </c>
      <c r="J460" s="50"/>
      <c r="K460" s="1335">
        <f>K461-K459</f>
        <v>45720.59446</v>
      </c>
      <c r="L460" s="1322"/>
      <c r="M460" s="1329"/>
    </row>
    <row r="461" ht="18.0" customHeight="1">
      <c r="A461" s="1205"/>
      <c r="B461" s="1320"/>
      <c r="C461" s="1206"/>
      <c r="E461" s="1321"/>
      <c r="F461" s="1322"/>
      <c r="G461" s="1331"/>
      <c r="H461" s="1322"/>
      <c r="I461" s="1335" t="s">
        <v>1399</v>
      </c>
      <c r="J461" s="50"/>
      <c r="K461" s="1335">
        <f>'5.SERVIÇOS_GERAIS_SOB_DEMANDA'!M1</f>
        <v>311820.9021</v>
      </c>
      <c r="L461" s="1322"/>
      <c r="M461" s="1329"/>
    </row>
    <row r="462" ht="18.0" customHeight="1">
      <c r="A462" s="1205"/>
      <c r="B462" s="1320"/>
      <c r="C462" s="1206"/>
      <c r="E462" s="1321"/>
      <c r="F462" s="1322"/>
      <c r="G462" s="1336"/>
      <c r="H462" s="1328"/>
      <c r="I462" s="1337"/>
      <c r="J462" s="1332"/>
      <c r="K462" s="1332"/>
      <c r="L462" s="1322"/>
      <c r="M462" s="1329"/>
    </row>
    <row r="463" ht="18.0" customHeight="1">
      <c r="A463" s="1205"/>
      <c r="B463" s="1320"/>
      <c r="C463" s="1206"/>
      <c r="E463" s="1321"/>
      <c r="F463" s="1322"/>
      <c r="G463" s="1338" t="s">
        <v>18382</v>
      </c>
      <c r="H463" s="27"/>
      <c r="I463" s="1339" t="s">
        <v>18383</v>
      </c>
      <c r="J463" s="1340" t="s">
        <v>18384</v>
      </c>
      <c r="K463" s="1341" t="s">
        <v>18385</v>
      </c>
      <c r="L463" s="1322"/>
      <c r="M463" s="1329"/>
    </row>
    <row r="464" ht="18.0" customHeight="1">
      <c r="A464" s="1205"/>
      <c r="B464" s="1320"/>
      <c r="C464" s="1206"/>
      <c r="E464" s="1321"/>
      <c r="F464" s="1322"/>
      <c r="G464" s="1342" t="s">
        <v>1408</v>
      </c>
      <c r="H464" s="27"/>
      <c r="I464" s="1343">
        <v>0.8</v>
      </c>
      <c r="J464" s="1344">
        <f t="shared" ref="J464:J466" si="7">COUNTIF($N$3:$N$448,G464)/COUNTA($N$3:$N$448)</f>
        <v>1</v>
      </c>
      <c r="K464" s="1345">
        <f t="shared" ref="K464:K466" si="8">SUMIF($N$3:$N$448,G464,$K$3:$K$448)</f>
        <v>239373.6946</v>
      </c>
      <c r="L464" s="1322"/>
      <c r="M464" s="1329"/>
    </row>
    <row r="465" ht="18.0" customHeight="1">
      <c r="A465" s="1205"/>
      <c r="B465" s="1320"/>
      <c r="C465" s="1206"/>
      <c r="E465" s="1321"/>
      <c r="F465" s="1322"/>
      <c r="G465" s="1346" t="s">
        <v>1410</v>
      </c>
      <c r="H465" s="50"/>
      <c r="I465" s="1347">
        <v>0.9</v>
      </c>
      <c r="J465" s="1348">
        <f t="shared" si="7"/>
        <v>0</v>
      </c>
      <c r="K465" s="1349">
        <f t="shared" si="8"/>
        <v>0</v>
      </c>
      <c r="L465" s="1322"/>
      <c r="M465" s="1329"/>
    </row>
    <row r="466" ht="18.0" customHeight="1">
      <c r="A466" s="1205"/>
      <c r="B466" s="1320"/>
      <c r="C466" s="1206"/>
      <c r="E466" s="1321"/>
      <c r="F466" s="1322"/>
      <c r="G466" s="1350" t="s">
        <v>1413</v>
      </c>
      <c r="H466" s="50"/>
      <c r="I466" s="1351">
        <v>1.0</v>
      </c>
      <c r="J466" s="1352">
        <f t="shared" si="7"/>
        <v>0</v>
      </c>
      <c r="K466" s="1353">
        <f t="shared" si="8"/>
        <v>0</v>
      </c>
      <c r="L466" s="1322"/>
      <c r="M466" s="1329"/>
    </row>
    <row r="467" ht="18.0" customHeight="1">
      <c r="A467" s="1205"/>
      <c r="B467" s="1320"/>
      <c r="C467" s="1206"/>
      <c r="E467" s="1321"/>
      <c r="G467" s="1065"/>
      <c r="I467" s="1354"/>
      <c r="J467" s="1354"/>
      <c r="K467" s="1354"/>
      <c r="M467" s="1329"/>
    </row>
  </sheetData>
  <customSheetViews>
    <customSheetView guid="{3E9AE7B7-F4EF-4DB9-8230-994F8725EFA6}" filter="1" showAutoFilter="1">
      <autoFilter ref="$A$3:$K$448"/>
    </customSheetView>
    <customSheetView guid="{F2556E8B-7D95-4D2E-AD85-0C42B5E725B7}" filter="1" showAutoFilter="1">
      <autoFilter ref="$K$3:$K$448"/>
    </customSheetView>
  </customSheetViews>
  <mergeCells count="20">
    <mergeCell ref="A1:C1"/>
    <mergeCell ref="D1:F1"/>
    <mergeCell ref="L1:N1"/>
    <mergeCell ref="A449:B449"/>
    <mergeCell ref="C449:N449"/>
    <mergeCell ref="H450:K450"/>
    <mergeCell ref="H451:J451"/>
    <mergeCell ref="I460:J460"/>
    <mergeCell ref="I461:J461"/>
    <mergeCell ref="G463:H463"/>
    <mergeCell ref="G464:H464"/>
    <mergeCell ref="G465:H465"/>
    <mergeCell ref="G466:H466"/>
    <mergeCell ref="H452:J452"/>
    <mergeCell ref="H453:J453"/>
    <mergeCell ref="H454:J454"/>
    <mergeCell ref="H455:J455"/>
    <mergeCell ref="H456:J456"/>
    <mergeCell ref="H457:J457"/>
    <mergeCell ref="I459:J459"/>
  </mergeCells>
  <conditionalFormatting sqref="A3:N448">
    <cfRule type="expression" dxfId="8" priority="1">
      <formula>$N3="A"</formula>
    </cfRule>
  </conditionalFormatting>
  <conditionalFormatting sqref="A3:N448">
    <cfRule type="expression" dxfId="9" priority="2">
      <formula>$N3="B"</formula>
    </cfRule>
  </conditionalFormatting>
  <conditionalFormatting sqref="A3:N448">
    <cfRule type="expression" dxfId="10" priority="3">
      <formula>$N3="C"</formula>
    </cfRule>
  </conditionalFormatting>
  <hyperlinks>
    <hyperlink display="SUMÁRIO" location="'QUADRO RESUMO'!B16:D17" ref="L1"/>
  </hyperlinks>
  <printOptions/>
  <pageMargins bottom="0.75" footer="0.0" header="0.0" left="0.7" right="0.7" top="0.75"/>
  <pageSetup fitToHeight="0"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22.57"/>
    <col customWidth="1" min="2" max="2" width="27.86"/>
    <col customWidth="1" min="3" max="3" width="13.0"/>
    <col customWidth="1" min="4" max="4" width="24.71"/>
    <col customWidth="1" min="5" max="5" width="14.0"/>
  </cols>
  <sheetData>
    <row r="1" ht="50.25" customHeight="1">
      <c r="A1" s="284" t="s">
        <v>1400</v>
      </c>
      <c r="B1" s="285" t="s">
        <v>1401</v>
      </c>
      <c r="C1" s="127"/>
      <c r="D1" s="286">
        <f>SUM(D3)</f>
        <v>145195.6003</v>
      </c>
      <c r="E1" s="287" t="s">
        <v>29</v>
      </c>
    </row>
    <row r="2" ht="23.25" customHeight="1">
      <c r="A2" s="288" t="s">
        <v>1402</v>
      </c>
      <c r="D2" s="289">
        <f>D3/1.3115</f>
        <v>110709.5694</v>
      </c>
      <c r="E2" s="290"/>
    </row>
    <row r="3" ht="24.0" customHeight="1">
      <c r="D3" s="291">
        <f>D139</f>
        <v>145195.6003</v>
      </c>
    </row>
    <row r="4" ht="16.5" customHeight="1">
      <c r="A4" s="292" t="s">
        <v>1403</v>
      </c>
      <c r="E4" s="293"/>
    </row>
    <row r="5" ht="17.25" customHeight="1">
      <c r="A5" s="294"/>
      <c r="B5" s="36"/>
      <c r="C5" s="36"/>
      <c r="D5" s="36"/>
      <c r="E5" s="293"/>
    </row>
    <row r="6">
      <c r="A6" s="295" t="s">
        <v>1404</v>
      </c>
      <c r="B6" s="36"/>
      <c r="C6" s="36"/>
      <c r="D6" s="36"/>
      <c r="E6" s="296"/>
    </row>
    <row r="7">
      <c r="A7" s="297" t="s">
        <v>1405</v>
      </c>
      <c r="B7" s="36"/>
      <c r="C7" s="36"/>
      <c r="D7" s="36"/>
      <c r="E7" s="298"/>
    </row>
    <row r="8">
      <c r="A8" s="295" t="s">
        <v>1406</v>
      </c>
      <c r="B8" s="36"/>
      <c r="C8" s="36"/>
      <c r="D8" s="36"/>
      <c r="E8" s="296"/>
    </row>
    <row r="9">
      <c r="A9" s="299"/>
      <c r="B9" s="299"/>
      <c r="C9" s="299"/>
      <c r="D9" s="299"/>
      <c r="E9" s="290"/>
    </row>
    <row r="10">
      <c r="A10" s="300" t="s">
        <v>1407</v>
      </c>
      <c r="D10" s="301"/>
      <c r="E10" s="302"/>
    </row>
    <row r="11">
      <c r="A11" s="303" t="s">
        <v>1408</v>
      </c>
      <c r="B11" s="304" t="s">
        <v>1409</v>
      </c>
      <c r="C11" s="270"/>
      <c r="D11" s="301"/>
      <c r="E11" s="302"/>
    </row>
    <row r="12">
      <c r="A12" s="303" t="s">
        <v>1410</v>
      </c>
      <c r="B12" s="304" t="s">
        <v>1411</v>
      </c>
      <c r="C12" s="305" t="s">
        <v>1412</v>
      </c>
      <c r="D12" s="301"/>
      <c r="E12" s="302"/>
    </row>
    <row r="13">
      <c r="A13" s="303" t="s">
        <v>1413</v>
      </c>
      <c r="B13" s="304" t="s">
        <v>1414</v>
      </c>
      <c r="C13" s="306" t="s">
        <v>1415</v>
      </c>
      <c r="D13" s="301"/>
      <c r="E13" s="302"/>
    </row>
    <row r="14">
      <c r="A14" s="303" t="s">
        <v>1416</v>
      </c>
      <c r="B14" s="307" t="s">
        <v>1417</v>
      </c>
      <c r="C14" s="305">
        <v>12.0</v>
      </c>
      <c r="D14" s="301"/>
      <c r="E14" s="302"/>
    </row>
    <row r="15">
      <c r="A15" s="300" t="s">
        <v>1418</v>
      </c>
      <c r="D15" s="301"/>
      <c r="E15" s="302"/>
    </row>
    <row r="16">
      <c r="A16" s="305" t="s">
        <v>1419</v>
      </c>
      <c r="B16" s="301"/>
      <c r="C16" s="305" t="s">
        <v>1420</v>
      </c>
      <c r="D16" s="301"/>
      <c r="E16" s="302"/>
    </row>
    <row r="17">
      <c r="A17" s="308" t="s">
        <v>1421</v>
      </c>
      <c r="B17" s="301"/>
      <c r="C17" s="308">
        <v>1.0</v>
      </c>
      <c r="D17" s="301"/>
      <c r="E17" s="302"/>
    </row>
    <row r="18">
      <c r="A18" s="270"/>
      <c r="D18" s="301"/>
      <c r="E18" s="302"/>
    </row>
    <row r="19">
      <c r="A19" s="309" t="s">
        <v>1422</v>
      </c>
      <c r="D19" s="301"/>
      <c r="E19" s="290"/>
    </row>
    <row r="20">
      <c r="A20" s="310" t="s">
        <v>1423</v>
      </c>
      <c r="D20" s="301"/>
      <c r="E20" s="290"/>
    </row>
    <row r="21">
      <c r="A21" s="311" t="s">
        <v>1424</v>
      </c>
      <c r="D21" s="301"/>
      <c r="E21" s="290"/>
    </row>
    <row r="22">
      <c r="A22" s="312">
        <v>1.0</v>
      </c>
      <c r="B22" s="304" t="s">
        <v>1425</v>
      </c>
      <c r="C22" s="305" t="s">
        <v>1426</v>
      </c>
      <c r="D22" s="301"/>
      <c r="E22" s="290"/>
    </row>
    <row r="23">
      <c r="A23" s="312">
        <v>2.0</v>
      </c>
      <c r="B23" s="304" t="s">
        <v>1427</v>
      </c>
      <c r="C23" s="305" t="s">
        <v>1428</v>
      </c>
      <c r="D23" s="301"/>
      <c r="E23" s="290"/>
    </row>
    <row r="24">
      <c r="A24" s="313">
        <v>3.0</v>
      </c>
      <c r="B24" s="304" t="s">
        <v>1429</v>
      </c>
      <c r="C24" s="314">
        <f>VLOOKUP(E24,'20-A.SINAPI-I'!$A:$D,4,0)/1.488</f>
        <v>11061.04839</v>
      </c>
      <c r="D24" s="301"/>
      <c r="E24" s="315">
        <v>40939.0</v>
      </c>
    </row>
    <row r="25">
      <c r="A25" s="312">
        <v>4.0</v>
      </c>
      <c r="B25" s="304" t="s">
        <v>1430</v>
      </c>
      <c r="C25" s="316" t="s">
        <v>1431</v>
      </c>
      <c r="D25" s="301"/>
      <c r="E25" s="290"/>
    </row>
    <row r="26">
      <c r="A26" s="312">
        <v>5.0</v>
      </c>
      <c r="B26" s="304" t="s">
        <v>1432</v>
      </c>
      <c r="C26" s="317" t="s">
        <v>1433</v>
      </c>
      <c r="D26" s="301"/>
      <c r="E26" s="290"/>
    </row>
    <row r="27">
      <c r="A27" s="318"/>
      <c r="B27" s="304"/>
      <c r="C27" s="270"/>
      <c r="D27" s="301"/>
      <c r="E27" s="290"/>
    </row>
    <row r="28">
      <c r="A28" s="319" t="s">
        <v>1434</v>
      </c>
      <c r="B28" s="44"/>
      <c r="C28" s="44"/>
      <c r="D28" s="320"/>
      <c r="E28" s="290"/>
    </row>
    <row r="29">
      <c r="A29" s="321">
        <v>1.0</v>
      </c>
      <c r="B29" s="322" t="s">
        <v>1435</v>
      </c>
      <c r="C29" s="321" t="s">
        <v>1436</v>
      </c>
      <c r="D29" s="321" t="s">
        <v>1437</v>
      </c>
      <c r="E29" s="290"/>
    </row>
    <row r="30">
      <c r="A30" s="303" t="s">
        <v>1408</v>
      </c>
      <c r="B30" s="304" t="s">
        <v>1438</v>
      </c>
      <c r="C30" s="312"/>
      <c r="D30" s="323">
        <f>(C24/22*10)</f>
        <v>5027.749267</v>
      </c>
      <c r="E30" s="290"/>
    </row>
    <row r="31">
      <c r="A31" s="324" t="s">
        <v>1410</v>
      </c>
      <c r="B31" s="325" t="s">
        <v>1439</v>
      </c>
      <c r="C31" s="326">
        <v>0.3</v>
      </c>
      <c r="D31" s="327">
        <f>C31*D30</f>
        <v>1508.32478</v>
      </c>
      <c r="E31" s="290"/>
    </row>
    <row r="32">
      <c r="A32" s="303" t="s">
        <v>1413</v>
      </c>
      <c r="B32" s="304" t="s">
        <v>1440</v>
      </c>
      <c r="C32" s="312"/>
      <c r="D32" s="323"/>
      <c r="E32" s="290"/>
    </row>
    <row r="33">
      <c r="A33" s="303" t="s">
        <v>1416</v>
      </c>
      <c r="B33" s="304" t="s">
        <v>1441</v>
      </c>
      <c r="C33" s="312"/>
      <c r="D33" s="323"/>
      <c r="E33" s="290"/>
    </row>
    <row r="34">
      <c r="A34" s="303" t="s">
        <v>1442</v>
      </c>
      <c r="B34" s="304" t="s">
        <v>1443</v>
      </c>
      <c r="C34" s="312"/>
      <c r="D34" s="323"/>
      <c r="E34" s="290"/>
    </row>
    <row r="35">
      <c r="A35" s="303" t="s">
        <v>1444</v>
      </c>
      <c r="B35" s="304" t="s">
        <v>1445</v>
      </c>
      <c r="C35" s="312"/>
      <c r="D35" s="323"/>
      <c r="E35" s="290"/>
    </row>
    <row r="36">
      <c r="A36" s="303" t="s">
        <v>1446</v>
      </c>
      <c r="B36" s="304" t="s">
        <v>1447</v>
      </c>
      <c r="C36" s="312"/>
      <c r="D36" s="323"/>
      <c r="E36" s="290"/>
    </row>
    <row r="37">
      <c r="A37" s="312"/>
      <c r="B37" s="328" t="s">
        <v>1448</v>
      </c>
      <c r="C37" s="303"/>
      <c r="D37" s="329">
        <f>SUM(D30:D36)</f>
        <v>6536.074047</v>
      </c>
      <c r="E37" s="290"/>
    </row>
    <row r="38">
      <c r="A38" s="270"/>
      <c r="D38" s="301"/>
      <c r="E38" s="290"/>
    </row>
    <row r="39">
      <c r="A39" s="319" t="s">
        <v>1449</v>
      </c>
      <c r="B39" s="44"/>
      <c r="C39" s="44"/>
      <c r="D39" s="320"/>
      <c r="E39" s="290"/>
    </row>
    <row r="40">
      <c r="A40" s="321" t="s">
        <v>1450</v>
      </c>
      <c r="B40" s="322" t="s">
        <v>1451</v>
      </c>
      <c r="C40" s="321" t="s">
        <v>1436</v>
      </c>
      <c r="D40" s="321" t="s">
        <v>1437</v>
      </c>
      <c r="E40" s="290"/>
    </row>
    <row r="41">
      <c r="A41" s="303" t="s">
        <v>1408</v>
      </c>
      <c r="B41" s="304" t="s">
        <v>1452</v>
      </c>
      <c r="C41" s="330">
        <f>1/12</f>
        <v>0.08333333333</v>
      </c>
      <c r="D41" s="323">
        <f>C41*D$37</f>
        <v>544.6728372</v>
      </c>
      <c r="E41" s="331"/>
    </row>
    <row r="42">
      <c r="A42" s="303" t="s">
        <v>1410</v>
      </c>
      <c r="B42" s="328" t="s">
        <v>1453</v>
      </c>
      <c r="C42" s="332">
        <f>TRUNC(SUM(C43:C44),4)</f>
        <v>0.1212</v>
      </c>
      <c r="D42" s="323">
        <f>D37*C42</f>
        <v>792.1721745</v>
      </c>
      <c r="E42" s="331"/>
    </row>
    <row r="43">
      <c r="A43" s="303" t="s">
        <v>1454</v>
      </c>
      <c r="B43" s="304" t="s">
        <v>1455</v>
      </c>
      <c r="C43" s="330">
        <f>TRUNC((1/11),4)</f>
        <v>0.0909</v>
      </c>
      <c r="D43" s="323">
        <f>C43*D37</f>
        <v>594.1291309</v>
      </c>
      <c r="E43" s="331"/>
    </row>
    <row r="44">
      <c r="A44" s="303" t="s">
        <v>1456</v>
      </c>
      <c r="B44" s="304" t="s">
        <v>1457</v>
      </c>
      <c r="C44" s="330">
        <f>(1/3)/11</f>
        <v>0.0303030303</v>
      </c>
      <c r="D44" s="323">
        <f>C44*D37</f>
        <v>198.0628499</v>
      </c>
      <c r="E44" s="331"/>
    </row>
    <row r="45">
      <c r="A45" s="303"/>
      <c r="B45" s="328" t="s">
        <v>1458</v>
      </c>
      <c r="C45" s="330"/>
      <c r="D45" s="329">
        <f>D41+D42</f>
        <v>1336.845012</v>
      </c>
      <c r="E45" s="331"/>
    </row>
    <row r="46">
      <c r="A46" s="303" t="s">
        <v>1413</v>
      </c>
      <c r="B46" s="304" t="s">
        <v>1459</v>
      </c>
      <c r="C46" s="330">
        <f>C58</f>
        <v>0.28</v>
      </c>
      <c r="D46" s="323">
        <f>C46*D45</f>
        <v>374.3166033</v>
      </c>
      <c r="E46" s="290"/>
    </row>
    <row r="47">
      <c r="A47" s="318"/>
      <c r="B47" s="328" t="s">
        <v>1460</v>
      </c>
      <c r="C47" s="333">
        <f>SUM(C41:C46)</f>
        <v>0.6057363636</v>
      </c>
      <c r="D47" s="329">
        <f>D45+D46</f>
        <v>1711.161615</v>
      </c>
      <c r="E47" s="290"/>
    </row>
    <row r="48">
      <c r="A48" s="321" t="s">
        <v>1461</v>
      </c>
      <c r="B48" s="322" t="s">
        <v>1462</v>
      </c>
      <c r="C48" s="321" t="s">
        <v>1436</v>
      </c>
      <c r="D48" s="321" t="s">
        <v>1437</v>
      </c>
      <c r="E48" s="290"/>
    </row>
    <row r="49">
      <c r="A49" s="303" t="s">
        <v>1408</v>
      </c>
      <c r="B49" s="304" t="s">
        <v>1463</v>
      </c>
      <c r="C49" s="333">
        <v>0.2</v>
      </c>
      <c r="D49" s="323">
        <f t="shared" ref="D49:D57" si="1">C49*D$37</f>
        <v>1307.214809</v>
      </c>
      <c r="E49" s="290"/>
    </row>
    <row r="50">
      <c r="A50" s="303" t="s">
        <v>1410</v>
      </c>
      <c r="B50" s="304" t="s">
        <v>1464</v>
      </c>
      <c r="C50" s="330">
        <v>0.0</v>
      </c>
      <c r="D50" s="323">
        <f t="shared" si="1"/>
        <v>0</v>
      </c>
      <c r="E50" s="290"/>
    </row>
    <row r="51">
      <c r="A51" s="303" t="s">
        <v>1413</v>
      </c>
      <c r="B51" s="304" t="s">
        <v>1465</v>
      </c>
      <c r="C51" s="330">
        <v>0.0</v>
      </c>
      <c r="D51" s="323">
        <f t="shared" si="1"/>
        <v>0</v>
      </c>
      <c r="E51" s="290"/>
    </row>
    <row r="52">
      <c r="A52" s="303" t="s">
        <v>1416</v>
      </c>
      <c r="B52" s="304" t="s">
        <v>1466</v>
      </c>
      <c r="C52" s="330">
        <v>0.0</v>
      </c>
      <c r="D52" s="323">
        <f t="shared" si="1"/>
        <v>0</v>
      </c>
      <c r="E52" s="334"/>
    </row>
    <row r="53">
      <c r="A53" s="303" t="s">
        <v>1442</v>
      </c>
      <c r="B53" s="304" t="s">
        <v>1467</v>
      </c>
      <c r="C53" s="330">
        <v>0.0</v>
      </c>
      <c r="D53" s="323">
        <f t="shared" si="1"/>
        <v>0</v>
      </c>
      <c r="E53" s="290"/>
    </row>
    <row r="54">
      <c r="A54" s="303" t="s">
        <v>1444</v>
      </c>
      <c r="B54" s="304" t="s">
        <v>1468</v>
      </c>
      <c r="C54" s="330">
        <v>0.0</v>
      </c>
      <c r="D54" s="323">
        <f t="shared" si="1"/>
        <v>0</v>
      </c>
      <c r="E54" s="290"/>
    </row>
    <row r="55">
      <c r="A55" s="303" t="s">
        <v>1446</v>
      </c>
      <c r="B55" s="304" t="s">
        <v>1469</v>
      </c>
      <c r="C55" s="330">
        <v>0.0</v>
      </c>
      <c r="D55" s="323">
        <f t="shared" si="1"/>
        <v>0</v>
      </c>
      <c r="E55" s="290"/>
    </row>
    <row r="56">
      <c r="A56" s="303" t="s">
        <v>1470</v>
      </c>
      <c r="B56" s="304" t="s">
        <v>1471</v>
      </c>
      <c r="C56" s="333">
        <v>0.08</v>
      </c>
      <c r="D56" s="323">
        <f t="shared" si="1"/>
        <v>522.8859238</v>
      </c>
      <c r="E56" s="290"/>
    </row>
    <row r="57">
      <c r="A57" s="335" t="s">
        <v>1472</v>
      </c>
      <c r="B57" s="304" t="s">
        <v>1473</v>
      </c>
      <c r="C57" s="330">
        <v>0.0</v>
      </c>
      <c r="D57" s="323">
        <f t="shared" si="1"/>
        <v>0</v>
      </c>
      <c r="E57" s="290"/>
    </row>
    <row r="58">
      <c r="A58" s="318"/>
      <c r="B58" s="328" t="s">
        <v>1474</v>
      </c>
      <c r="C58" s="333">
        <f>SUM(C49:C57)</f>
        <v>0.28</v>
      </c>
      <c r="D58" s="329">
        <f>ROUND(SUM(D49:D57),2)</f>
        <v>1830.1</v>
      </c>
      <c r="E58" s="290"/>
    </row>
    <row r="59">
      <c r="A59" s="321" t="s">
        <v>1475</v>
      </c>
      <c r="B59" s="322" t="s">
        <v>1476</v>
      </c>
      <c r="C59" s="321"/>
      <c r="D59" s="321" t="s">
        <v>1437</v>
      </c>
      <c r="E59" s="290"/>
    </row>
    <row r="60">
      <c r="A60" s="303" t="s">
        <v>1408</v>
      </c>
      <c r="B60" s="304" t="s">
        <v>1477</v>
      </c>
      <c r="C60" s="336"/>
      <c r="D60" s="323">
        <f>IF((C61*44-(D30*0.06))&lt;0,0,(C61*44-(D30*0.06)))</f>
        <v>0</v>
      </c>
      <c r="E60" s="337"/>
    </row>
    <row r="61">
      <c r="A61" s="303"/>
      <c r="B61" s="304" t="s">
        <v>1478</v>
      </c>
      <c r="C61" s="338">
        <v>6.0</v>
      </c>
      <c r="D61" s="339"/>
      <c r="E61" s="290"/>
    </row>
    <row r="62">
      <c r="A62" s="303"/>
      <c r="B62" s="304" t="s">
        <v>1479</v>
      </c>
      <c r="C62" s="340">
        <v>2.0</v>
      </c>
      <c r="D62" s="339"/>
      <c r="E62" s="290"/>
    </row>
    <row r="63">
      <c r="A63" s="341" t="s">
        <v>1410</v>
      </c>
      <c r="B63" s="342" t="s">
        <v>1480</v>
      </c>
      <c r="C63" s="343"/>
      <c r="D63" s="344">
        <f>C65*C67</f>
        <v>0</v>
      </c>
      <c r="E63" s="290"/>
    </row>
    <row r="64">
      <c r="A64" s="303"/>
      <c r="B64" s="304" t="s">
        <v>1481</v>
      </c>
      <c r="C64" s="345">
        <v>0.0</v>
      </c>
      <c r="D64" s="346"/>
      <c r="E64" s="290"/>
    </row>
    <row r="65">
      <c r="A65" s="347"/>
      <c r="B65" s="304" t="s">
        <v>1482</v>
      </c>
      <c r="C65" s="348">
        <f>C64/C67*C66/220</f>
        <v>0</v>
      </c>
      <c r="D65" s="349"/>
      <c r="E65" s="331"/>
    </row>
    <row r="66">
      <c r="A66" s="347"/>
      <c r="B66" s="304" t="s">
        <v>1483</v>
      </c>
      <c r="C66" s="350" t="s">
        <v>1484</v>
      </c>
      <c r="D66" s="351"/>
      <c r="E66" s="290"/>
    </row>
    <row r="67">
      <c r="A67" s="347"/>
      <c r="B67" s="304" t="s">
        <v>1485</v>
      </c>
      <c r="C67" s="350" t="s">
        <v>1486</v>
      </c>
      <c r="D67" s="351"/>
      <c r="E67" s="290"/>
    </row>
    <row r="68">
      <c r="A68" s="341" t="s">
        <v>1416</v>
      </c>
      <c r="B68" s="352" t="s">
        <v>1487</v>
      </c>
      <c r="C68" s="353"/>
      <c r="D68" s="354">
        <v>0.0</v>
      </c>
      <c r="E68" s="315"/>
    </row>
    <row r="69">
      <c r="A69" s="341" t="s">
        <v>1442</v>
      </c>
      <c r="B69" s="342" t="s">
        <v>1488</v>
      </c>
      <c r="C69" s="355"/>
      <c r="D69" s="356">
        <f>D63/12</f>
        <v>0</v>
      </c>
      <c r="E69" s="290"/>
    </row>
    <row r="70">
      <c r="A70" s="312"/>
      <c r="B70" s="328" t="s">
        <v>89</v>
      </c>
      <c r="C70" s="357"/>
      <c r="D70" s="329">
        <f>SUM(D60:D69)</f>
        <v>0</v>
      </c>
      <c r="E70" s="290"/>
    </row>
    <row r="71">
      <c r="A71" s="300" t="s">
        <v>1489</v>
      </c>
      <c r="B71" s="301"/>
      <c r="C71" s="321" t="s">
        <v>1436</v>
      </c>
      <c r="D71" s="321" t="s">
        <v>1437</v>
      </c>
      <c r="E71" s="290"/>
    </row>
    <row r="72">
      <c r="A72" s="303" t="s">
        <v>1450</v>
      </c>
      <c r="B72" s="304" t="s">
        <v>1490</v>
      </c>
      <c r="C72" s="330">
        <f t="shared" ref="C72:D72" si="2">C47</f>
        <v>0.6057363636</v>
      </c>
      <c r="D72" s="323">
        <f t="shared" si="2"/>
        <v>1711.161615</v>
      </c>
      <c r="E72" s="290"/>
    </row>
    <row r="73">
      <c r="A73" s="303" t="s">
        <v>1461</v>
      </c>
      <c r="B73" s="304" t="s">
        <v>1462</v>
      </c>
      <c r="C73" s="330">
        <f t="shared" ref="C73:D73" si="3">C58</f>
        <v>0.28</v>
      </c>
      <c r="D73" s="323">
        <f t="shared" si="3"/>
        <v>1830.1</v>
      </c>
      <c r="E73" s="290"/>
    </row>
    <row r="74">
      <c r="A74" s="303" t="s">
        <v>1475</v>
      </c>
      <c r="B74" s="304" t="s">
        <v>1476</v>
      </c>
      <c r="C74" s="330">
        <f>D74/D37</f>
        <v>0</v>
      </c>
      <c r="D74" s="323">
        <f>D70</f>
        <v>0</v>
      </c>
      <c r="E74" s="290"/>
    </row>
    <row r="75">
      <c r="A75" s="312"/>
      <c r="B75" s="303" t="s">
        <v>1460</v>
      </c>
      <c r="C75" s="330"/>
      <c r="D75" s="329">
        <f>D72+D73+D74</f>
        <v>3541.261615</v>
      </c>
      <c r="E75" s="290"/>
    </row>
    <row r="76">
      <c r="A76" s="270"/>
      <c r="D76" s="301"/>
      <c r="E76" s="290"/>
    </row>
    <row r="77">
      <c r="A77" s="319" t="s">
        <v>1491</v>
      </c>
      <c r="B77" s="44"/>
      <c r="C77" s="44"/>
      <c r="D77" s="320"/>
      <c r="E77" s="290"/>
    </row>
    <row r="78">
      <c r="A78" s="303" t="s">
        <v>1408</v>
      </c>
      <c r="B78" s="304" t="s">
        <v>1492</v>
      </c>
      <c r="C78" s="358">
        <f>100%*(1/12)*5%</f>
        <v>0.004166666667</v>
      </c>
      <c r="D78" s="323">
        <f>C78*D$37</f>
        <v>27.23364186</v>
      </c>
      <c r="E78" s="331"/>
    </row>
    <row r="79">
      <c r="A79" s="303" t="s">
        <v>1410</v>
      </c>
      <c r="B79" s="304" t="s">
        <v>1493</v>
      </c>
      <c r="C79" s="330">
        <f>8%*C78</f>
        <v>0.0003333333333</v>
      </c>
      <c r="D79" s="323">
        <f>C79*D37</f>
        <v>2.178691349</v>
      </c>
      <c r="E79" s="331"/>
    </row>
    <row r="80">
      <c r="A80" s="303" t="s">
        <v>1413</v>
      </c>
      <c r="B80" s="304" t="s">
        <v>1494</v>
      </c>
      <c r="C80" s="330">
        <f>(1 + 2/12 + (1/3 * 1/12 ))* 0.08 * 0.4 * 0.9445</f>
        <v>0.03610088889</v>
      </c>
      <c r="D80" s="323">
        <f>C80*(D37+D45)</f>
        <v>284.2193762</v>
      </c>
      <c r="E80" s="331"/>
    </row>
    <row r="81">
      <c r="A81" s="303" t="s">
        <v>1416</v>
      </c>
      <c r="B81" s="304" t="s">
        <v>1495</v>
      </c>
      <c r="C81" s="330">
        <f>7/30/12</f>
        <v>0.01944444444</v>
      </c>
      <c r="D81" s="323">
        <f>C81*D37</f>
        <v>127.0903287</v>
      </c>
      <c r="E81" s="331"/>
    </row>
    <row r="82">
      <c r="A82" s="303" t="s">
        <v>1442</v>
      </c>
      <c r="B82" s="304" t="s">
        <v>1496</v>
      </c>
      <c r="C82" s="358">
        <f>C58*C81</f>
        <v>0.005444444444</v>
      </c>
      <c r="D82" s="323">
        <f>D81*C82</f>
        <v>0.691936234</v>
      </c>
      <c r="E82" s="331"/>
    </row>
    <row r="83">
      <c r="A83" s="303" t="s">
        <v>1444</v>
      </c>
      <c r="B83" s="304" t="s">
        <v>1497</v>
      </c>
      <c r="C83" s="359">
        <f>C81*C56*0.04</f>
        <v>0.00006222222222</v>
      </c>
      <c r="D83" s="323">
        <f>C83*(D37+D45)</f>
        <v>0.4898705192</v>
      </c>
      <c r="E83" s="290"/>
    </row>
    <row r="84">
      <c r="A84" s="303"/>
      <c r="B84" s="303" t="s">
        <v>1460</v>
      </c>
      <c r="C84" s="330"/>
      <c r="D84" s="329">
        <f>SUM(D78:D83)</f>
        <v>441.9038448</v>
      </c>
      <c r="E84" s="290"/>
    </row>
    <row r="85">
      <c r="A85" s="357"/>
      <c r="B85" s="357"/>
      <c r="C85" s="357"/>
      <c r="D85" s="357"/>
      <c r="E85" s="290"/>
    </row>
    <row r="86">
      <c r="A86" s="319" t="s">
        <v>1498</v>
      </c>
      <c r="B86" s="44"/>
      <c r="C86" s="44"/>
      <c r="D86" s="320"/>
      <c r="E86" s="290"/>
    </row>
    <row r="87">
      <c r="A87" s="321" t="s">
        <v>144</v>
      </c>
      <c r="B87" s="322" t="s">
        <v>1499</v>
      </c>
      <c r="C87" s="321" t="s">
        <v>1436</v>
      </c>
      <c r="D87" s="321" t="s">
        <v>1437</v>
      </c>
      <c r="E87" s="290"/>
    </row>
    <row r="88">
      <c r="A88" s="303" t="s">
        <v>1408</v>
      </c>
      <c r="B88" s="304" t="s">
        <v>1500</v>
      </c>
      <c r="C88" s="358">
        <f>1/12</f>
        <v>0.08333333333</v>
      </c>
      <c r="D88" s="323">
        <f>D47*C88</f>
        <v>142.5968013</v>
      </c>
      <c r="E88" s="290"/>
    </row>
    <row r="89">
      <c r="A89" s="303" t="s">
        <v>1410</v>
      </c>
      <c r="B89" s="304" t="s">
        <v>1501</v>
      </c>
      <c r="C89" s="330">
        <f>1/30/12</f>
        <v>0.002777777778</v>
      </c>
      <c r="D89" s="323">
        <f t="shared" ref="D89:D92" si="4">C89*(D$37+$D$45)</f>
        <v>21.86921961</v>
      </c>
      <c r="E89" s="290"/>
    </row>
    <row r="90">
      <c r="A90" s="303" t="s">
        <v>1413</v>
      </c>
      <c r="B90" s="304" t="s">
        <v>1502</v>
      </c>
      <c r="C90" s="330">
        <v>2.0E-4</v>
      </c>
      <c r="D90" s="323">
        <f t="shared" si="4"/>
        <v>1.574583812</v>
      </c>
      <c r="E90" s="290"/>
    </row>
    <row r="91">
      <c r="A91" s="303" t="s">
        <v>1416</v>
      </c>
      <c r="B91" s="304" t="s">
        <v>1503</v>
      </c>
      <c r="C91" s="330">
        <v>3.0E-4</v>
      </c>
      <c r="D91" s="323">
        <f t="shared" si="4"/>
        <v>2.361875718</v>
      </c>
      <c r="E91" s="290"/>
    </row>
    <row r="92">
      <c r="A92" s="303" t="s">
        <v>1442</v>
      </c>
      <c r="B92" s="304" t="s">
        <v>1504</v>
      </c>
      <c r="C92" s="330">
        <v>3.0E-4</v>
      </c>
      <c r="D92" s="323">
        <f t="shared" si="4"/>
        <v>2.361875718</v>
      </c>
      <c r="E92" s="290"/>
    </row>
    <row r="93">
      <c r="A93" s="303" t="s">
        <v>1444</v>
      </c>
      <c r="B93" s="304" t="s">
        <v>1505</v>
      </c>
      <c r="C93" s="330">
        <v>0.0</v>
      </c>
      <c r="D93" s="323">
        <f>C93*(D$37+D$45)</f>
        <v>0</v>
      </c>
      <c r="E93" s="290"/>
    </row>
    <row r="94">
      <c r="A94" s="347"/>
      <c r="B94" s="328" t="s">
        <v>1458</v>
      </c>
      <c r="C94" s="330"/>
      <c r="D94" s="329">
        <f>SUM(D88:D93)</f>
        <v>170.7643561</v>
      </c>
      <c r="E94" s="290"/>
    </row>
    <row r="95">
      <c r="A95" s="303" t="s">
        <v>1446</v>
      </c>
      <c r="B95" s="304" t="s">
        <v>1506</v>
      </c>
      <c r="C95" s="330"/>
      <c r="D95" s="323">
        <f>D94*C58</f>
        <v>47.81401971</v>
      </c>
      <c r="E95" s="290"/>
    </row>
    <row r="96">
      <c r="A96" s="303"/>
      <c r="B96" s="303" t="s">
        <v>1460</v>
      </c>
      <c r="C96" s="303"/>
      <c r="D96" s="360">
        <f>SUM(D94:D95)</f>
        <v>218.5783758</v>
      </c>
      <c r="E96" s="290"/>
    </row>
    <row r="97">
      <c r="A97" s="321" t="s">
        <v>166</v>
      </c>
      <c r="B97" s="322" t="s">
        <v>1507</v>
      </c>
      <c r="C97" s="321" t="s">
        <v>1436</v>
      </c>
      <c r="D97" s="321" t="s">
        <v>1437</v>
      </c>
      <c r="E97" s="290"/>
    </row>
    <row r="98">
      <c r="A98" s="303" t="s">
        <v>1408</v>
      </c>
      <c r="B98" s="304" t="s">
        <v>1508</v>
      </c>
      <c r="C98" s="357"/>
      <c r="D98" s="361" t="s">
        <v>1509</v>
      </c>
      <c r="E98" s="290"/>
    </row>
    <row r="99">
      <c r="A99" s="312"/>
      <c r="B99" s="303" t="s">
        <v>1460</v>
      </c>
      <c r="C99" s="357"/>
      <c r="D99" s="361"/>
      <c r="E99" s="290"/>
    </row>
    <row r="100">
      <c r="A100" s="300" t="s">
        <v>1510</v>
      </c>
      <c r="B100" s="301"/>
      <c r="C100" s="321"/>
      <c r="D100" s="321" t="s">
        <v>1437</v>
      </c>
      <c r="E100" s="290"/>
    </row>
    <row r="101">
      <c r="A101" s="312" t="s">
        <v>144</v>
      </c>
      <c r="B101" s="304" t="s">
        <v>1511</v>
      </c>
      <c r="C101" s="357"/>
      <c r="D101" s="362">
        <f>D96</f>
        <v>218.5783758</v>
      </c>
      <c r="E101" s="290"/>
    </row>
    <row r="102">
      <c r="A102" s="312" t="s">
        <v>166</v>
      </c>
      <c r="B102" s="363" t="s">
        <v>1507</v>
      </c>
      <c r="C102" s="330"/>
      <c r="D102" s="323" t="s">
        <v>1509</v>
      </c>
      <c r="E102" s="290"/>
    </row>
    <row r="103">
      <c r="A103" s="357"/>
      <c r="B103" s="357" t="s">
        <v>1460</v>
      </c>
      <c r="C103" s="357"/>
      <c r="D103" s="364">
        <f>D101</f>
        <v>218.5783758</v>
      </c>
      <c r="E103" s="290"/>
    </row>
    <row r="104">
      <c r="A104" s="357"/>
      <c r="B104" s="357"/>
      <c r="C104" s="357"/>
      <c r="D104" s="357"/>
      <c r="E104" s="290"/>
    </row>
    <row r="105">
      <c r="A105" s="319" t="s">
        <v>1512</v>
      </c>
      <c r="B105" s="44"/>
      <c r="C105" s="44"/>
      <c r="D105" s="320"/>
      <c r="E105" s="290"/>
    </row>
    <row r="106">
      <c r="A106" s="303">
        <v>5.0</v>
      </c>
      <c r="B106" s="328" t="s">
        <v>1513</v>
      </c>
      <c r="C106" s="303" t="s">
        <v>1436</v>
      </c>
      <c r="D106" s="303" t="s">
        <v>1437</v>
      </c>
      <c r="E106" s="290"/>
    </row>
    <row r="107">
      <c r="A107" s="365" t="s">
        <v>1408</v>
      </c>
      <c r="B107" s="366" t="s">
        <v>1514</v>
      </c>
      <c r="C107" s="367"/>
      <c r="D107" s="368">
        <f>VLOOKUP(E107,'20-A.SINAPI-I'!$A:$G,4,0)</f>
        <v>133.45</v>
      </c>
      <c r="E107" s="369">
        <v>43498.0</v>
      </c>
    </row>
    <row r="108">
      <c r="A108" s="303" t="s">
        <v>1410</v>
      </c>
      <c r="B108" s="304" t="s">
        <v>1515</v>
      </c>
      <c r="C108" s="304"/>
      <c r="D108" s="323"/>
      <c r="E108" s="290"/>
    </row>
    <row r="109">
      <c r="A109" s="365" t="s">
        <v>1413</v>
      </c>
      <c r="B109" s="370" t="s">
        <v>1516</v>
      </c>
      <c r="C109" s="370"/>
      <c r="D109" s="368">
        <f>VLOOKUP(E109,'20-A.SINAPI-I'!$A:$G,4,0)</f>
        <v>2.54</v>
      </c>
      <c r="E109" s="369">
        <v>43474.0</v>
      </c>
    </row>
    <row r="110">
      <c r="A110" s="371" t="s">
        <v>1517</v>
      </c>
      <c r="B110" s="301"/>
      <c r="C110" s="357"/>
      <c r="D110" s="329">
        <f>SUM(D107:D109)</f>
        <v>135.99</v>
      </c>
      <c r="E110" s="290"/>
    </row>
    <row r="111">
      <c r="A111" s="357"/>
      <c r="B111" s="357"/>
      <c r="C111" s="357"/>
      <c r="D111" s="357"/>
      <c r="E111" s="290"/>
    </row>
    <row r="112">
      <c r="A112" s="319" t="s">
        <v>1518</v>
      </c>
      <c r="B112" s="44"/>
      <c r="C112" s="44"/>
      <c r="D112" s="320"/>
      <c r="E112" s="290"/>
    </row>
    <row r="113">
      <c r="A113" s="303">
        <v>6.0</v>
      </c>
      <c r="B113" s="328" t="s">
        <v>1519</v>
      </c>
      <c r="C113" s="303" t="s">
        <v>1436</v>
      </c>
      <c r="D113" s="303" t="s">
        <v>1437</v>
      </c>
      <c r="E113" s="290"/>
    </row>
    <row r="114">
      <c r="A114" s="372" t="s">
        <v>1408</v>
      </c>
      <c r="B114" s="373" t="s">
        <v>1520</v>
      </c>
      <c r="C114" s="374">
        <f>'7. BDI SERVIÇOS'!K45</f>
        <v>0.1134823446</v>
      </c>
      <c r="D114" s="375">
        <f>C114*D124</f>
        <v>1218.55275</v>
      </c>
      <c r="E114" s="290"/>
    </row>
    <row r="115">
      <c r="A115" s="376" t="s">
        <v>1410</v>
      </c>
      <c r="B115" s="373" t="s">
        <v>1520</v>
      </c>
      <c r="C115" s="374">
        <f>'8. BDI MERO FORNECIMENTO'!$K$43</f>
        <v>0.05347986532</v>
      </c>
      <c r="D115" s="375">
        <f>C115*D110</f>
        <v>7.272726884</v>
      </c>
      <c r="E115" s="290"/>
    </row>
    <row r="116">
      <c r="A116" s="312"/>
      <c r="B116" s="303" t="s">
        <v>1460</v>
      </c>
      <c r="C116" s="357"/>
      <c r="D116" s="329">
        <f>SUM(D114:D115)</f>
        <v>1225.825477</v>
      </c>
      <c r="E116" s="290"/>
    </row>
    <row r="117">
      <c r="A117" s="312"/>
      <c r="B117" s="312"/>
      <c r="C117" s="312"/>
      <c r="D117" s="312"/>
      <c r="E117" s="290"/>
    </row>
    <row r="118">
      <c r="A118" s="311" t="s">
        <v>1521</v>
      </c>
      <c r="D118" s="301"/>
      <c r="E118" s="290"/>
    </row>
    <row r="119">
      <c r="A119" s="377" t="s">
        <v>1522</v>
      </c>
      <c r="B119" s="301"/>
      <c r="C119" s="303"/>
      <c r="D119" s="312" t="s">
        <v>1523</v>
      </c>
      <c r="E119" s="290"/>
    </row>
    <row r="120">
      <c r="A120" s="303" t="s">
        <v>1408</v>
      </c>
      <c r="B120" s="304" t="s">
        <v>1524</v>
      </c>
      <c r="C120" s="330"/>
      <c r="D120" s="323">
        <f>D37</f>
        <v>6536.074047</v>
      </c>
      <c r="E120" s="290"/>
    </row>
    <row r="121">
      <c r="A121" s="303" t="s">
        <v>1410</v>
      </c>
      <c r="B121" s="304" t="s">
        <v>1449</v>
      </c>
      <c r="C121" s="330"/>
      <c r="D121" s="323">
        <f>D75</f>
        <v>3541.261615</v>
      </c>
      <c r="E121" s="290"/>
    </row>
    <row r="122">
      <c r="A122" s="303" t="s">
        <v>1413</v>
      </c>
      <c r="B122" s="304" t="s">
        <v>1491</v>
      </c>
      <c r="C122" s="330"/>
      <c r="D122" s="323">
        <f>D84</f>
        <v>441.9038448</v>
      </c>
      <c r="E122" s="290"/>
    </row>
    <row r="123">
      <c r="A123" s="303" t="s">
        <v>1416</v>
      </c>
      <c r="B123" s="304" t="s">
        <v>1498</v>
      </c>
      <c r="C123" s="330"/>
      <c r="D123" s="323">
        <f>D103</f>
        <v>218.5783758</v>
      </c>
      <c r="E123" s="290"/>
    </row>
    <row r="124">
      <c r="A124" s="371" t="s">
        <v>1525</v>
      </c>
      <c r="B124" s="301"/>
      <c r="C124" s="330"/>
      <c r="D124" s="329">
        <f>SUM(D120:D123)</f>
        <v>10737.81788</v>
      </c>
      <c r="E124" s="290"/>
    </row>
    <row r="125">
      <c r="A125" s="303" t="s">
        <v>1442</v>
      </c>
      <c r="B125" s="304" t="s">
        <v>1512</v>
      </c>
      <c r="C125" s="330"/>
      <c r="D125" s="323">
        <f>D110</f>
        <v>135.99</v>
      </c>
      <c r="E125" s="290"/>
    </row>
    <row r="126">
      <c r="A126" s="371" t="s">
        <v>1526</v>
      </c>
      <c r="B126" s="301"/>
      <c r="C126" s="330"/>
      <c r="D126" s="329">
        <f>SUM(D125)</f>
        <v>135.99</v>
      </c>
      <c r="E126" s="290"/>
    </row>
    <row r="127">
      <c r="A127" s="303" t="s">
        <v>1444</v>
      </c>
      <c r="B127" s="304" t="s">
        <v>1527</v>
      </c>
      <c r="C127" s="330"/>
      <c r="D127" s="323">
        <f>D116</f>
        <v>1225.825477</v>
      </c>
      <c r="E127" s="290"/>
    </row>
    <row r="128">
      <c r="A128" s="371" t="s">
        <v>1528</v>
      </c>
      <c r="B128" s="301"/>
      <c r="C128" s="330"/>
      <c r="D128" s="329">
        <f>SUM(D127)</f>
        <v>1225.825477</v>
      </c>
      <c r="E128" s="290"/>
    </row>
    <row r="129">
      <c r="A129" s="318"/>
      <c r="B129" s="378" t="s">
        <v>1529</v>
      </c>
      <c r="C129" s="330"/>
      <c r="D129" s="329">
        <f>SUM(D128,D126,D124)</f>
        <v>12099.63336</v>
      </c>
      <c r="E129" s="290"/>
    </row>
    <row r="130">
      <c r="A130" s="312"/>
      <c r="B130" s="312"/>
      <c r="C130" s="312"/>
      <c r="D130" s="312"/>
      <c r="E130" s="290"/>
    </row>
    <row r="131">
      <c r="A131" s="311" t="s">
        <v>1530</v>
      </c>
      <c r="D131" s="301"/>
      <c r="E131" s="290"/>
    </row>
    <row r="132">
      <c r="A132" s="379" t="s">
        <v>1531</v>
      </c>
      <c r="B132" s="303" t="s">
        <v>1532</v>
      </c>
      <c r="C132" s="303" t="s">
        <v>1533</v>
      </c>
      <c r="D132" s="303" t="s">
        <v>1534</v>
      </c>
      <c r="E132" s="290"/>
    </row>
    <row r="133">
      <c r="A133" s="380" t="s">
        <v>1535</v>
      </c>
      <c r="B133" s="381">
        <f>D129</f>
        <v>12099.63336</v>
      </c>
      <c r="C133" s="382">
        <v>1.0</v>
      </c>
      <c r="D133" s="381">
        <f>D129</f>
        <v>12099.63336</v>
      </c>
      <c r="E133" s="290"/>
    </row>
    <row r="134">
      <c r="A134" s="312"/>
      <c r="B134" s="323"/>
      <c r="C134" s="270"/>
      <c r="D134" s="301"/>
      <c r="E134" s="290"/>
    </row>
    <row r="135">
      <c r="A135" s="311" t="s">
        <v>1536</v>
      </c>
      <c r="D135" s="301"/>
      <c r="E135" s="290"/>
    </row>
    <row r="136">
      <c r="A136" s="318"/>
      <c r="B136" s="383" t="s">
        <v>1537</v>
      </c>
      <c r="C136" s="301"/>
      <c r="D136" s="313" t="s">
        <v>1538</v>
      </c>
      <c r="E136" s="290"/>
    </row>
    <row r="137">
      <c r="A137" s="384" t="s">
        <v>1408</v>
      </c>
      <c r="B137" s="385" t="s">
        <v>1539</v>
      </c>
      <c r="C137" s="357"/>
      <c r="D137" s="386">
        <f>D133</f>
        <v>12099.63336</v>
      </c>
      <c r="E137" s="290"/>
    </row>
    <row r="138">
      <c r="A138" s="384" t="s">
        <v>1410</v>
      </c>
      <c r="B138" s="385" t="s">
        <v>1540</v>
      </c>
      <c r="C138" s="357"/>
      <c r="D138" s="386">
        <f>D137</f>
        <v>12099.63336</v>
      </c>
      <c r="E138" s="290"/>
    </row>
    <row r="139">
      <c r="A139" s="387" t="s">
        <v>1413</v>
      </c>
      <c r="B139" s="388" t="s">
        <v>1541</v>
      </c>
      <c r="C139" s="389"/>
      <c r="D139" s="390">
        <f>12*D138</f>
        <v>145195.6003</v>
      </c>
      <c r="E139" s="290"/>
    </row>
    <row r="140">
      <c r="A140" s="290"/>
      <c r="B140" s="290"/>
      <c r="C140" s="290"/>
      <c r="D140" s="290"/>
      <c r="E140" s="290"/>
    </row>
    <row r="141">
      <c r="A141" s="391"/>
      <c r="B141" s="391"/>
      <c r="C141" s="391"/>
      <c r="D141" s="391"/>
      <c r="E141" s="290"/>
    </row>
    <row r="142">
      <c r="A142" s="392" t="s">
        <v>1542</v>
      </c>
      <c r="B142" s="44"/>
      <c r="C142" s="44"/>
      <c r="D142" s="44"/>
      <c r="E142" s="320"/>
    </row>
    <row r="143">
      <c r="A143" s="393" t="s">
        <v>1449</v>
      </c>
      <c r="B143" s="36"/>
      <c r="C143" s="36"/>
      <c r="D143" s="36"/>
      <c r="E143" s="189"/>
    </row>
    <row r="144">
      <c r="A144" s="393" t="s">
        <v>1451</v>
      </c>
      <c r="B144" s="36"/>
      <c r="C144" s="36"/>
      <c r="D144" s="36"/>
      <c r="E144" s="189"/>
    </row>
    <row r="145">
      <c r="A145" s="394" t="s">
        <v>1408</v>
      </c>
      <c r="B145" s="395" t="s">
        <v>1543</v>
      </c>
      <c r="C145" s="36"/>
      <c r="D145" s="36"/>
      <c r="E145" s="189"/>
    </row>
    <row r="146">
      <c r="A146" s="394" t="s">
        <v>1544</v>
      </c>
      <c r="B146" s="395" t="s">
        <v>1545</v>
      </c>
      <c r="C146" s="36"/>
      <c r="D146" s="36"/>
      <c r="E146" s="189"/>
    </row>
    <row r="147">
      <c r="A147" s="393" t="s">
        <v>1546</v>
      </c>
      <c r="B147" s="36"/>
      <c r="C147" s="36"/>
      <c r="D147" s="36"/>
      <c r="E147" s="189"/>
    </row>
    <row r="148">
      <c r="A148" s="394" t="s">
        <v>1408</v>
      </c>
      <c r="B148" s="396" t="s">
        <v>1547</v>
      </c>
      <c r="C148" s="36"/>
      <c r="D148" s="36"/>
      <c r="E148" s="189"/>
    </row>
    <row r="149">
      <c r="A149" s="394" t="s">
        <v>1410</v>
      </c>
      <c r="B149" s="395" t="s">
        <v>1548</v>
      </c>
      <c r="C149" s="36"/>
      <c r="D149" s="36"/>
      <c r="E149" s="189"/>
    </row>
    <row r="150">
      <c r="A150" s="394" t="s">
        <v>1413</v>
      </c>
      <c r="B150" s="395" t="s">
        <v>1549</v>
      </c>
      <c r="C150" s="36"/>
      <c r="D150" s="36"/>
      <c r="E150" s="189"/>
    </row>
    <row r="151">
      <c r="A151" s="394" t="s">
        <v>1416</v>
      </c>
      <c r="B151" s="395" t="s">
        <v>1550</v>
      </c>
      <c r="C151" s="36"/>
      <c r="D151" s="36"/>
      <c r="E151" s="189"/>
    </row>
    <row r="152">
      <c r="A152" s="394" t="s">
        <v>1442</v>
      </c>
      <c r="B152" s="395" t="s">
        <v>1551</v>
      </c>
      <c r="C152" s="36"/>
      <c r="D152" s="36"/>
      <c r="E152" s="189"/>
    </row>
    <row r="153">
      <c r="A153" s="394" t="s">
        <v>1444</v>
      </c>
      <c r="B153" s="395" t="s">
        <v>1552</v>
      </c>
      <c r="C153" s="36"/>
      <c r="D153" s="36"/>
      <c r="E153" s="189"/>
    </row>
    <row r="154">
      <c r="A154" s="394" t="s">
        <v>1446</v>
      </c>
      <c r="B154" s="395" t="s">
        <v>1553</v>
      </c>
      <c r="C154" s="36"/>
      <c r="D154" s="36"/>
      <c r="E154" s="189"/>
    </row>
    <row r="155">
      <c r="A155" s="394" t="s">
        <v>1470</v>
      </c>
      <c r="B155" s="395" t="s">
        <v>1554</v>
      </c>
      <c r="C155" s="36"/>
      <c r="D155" s="36"/>
      <c r="E155" s="189"/>
    </row>
    <row r="156">
      <c r="A156" s="393" t="s">
        <v>1491</v>
      </c>
      <c r="B156" s="36"/>
      <c r="C156" s="36"/>
      <c r="D156" s="36"/>
      <c r="E156" s="189"/>
    </row>
    <row r="157">
      <c r="A157" s="394" t="s">
        <v>1408</v>
      </c>
      <c r="B157" s="395" t="s">
        <v>1555</v>
      </c>
      <c r="C157" s="36"/>
      <c r="D157" s="36"/>
      <c r="E157" s="189"/>
    </row>
    <row r="158">
      <c r="A158" s="394" t="s">
        <v>1410</v>
      </c>
      <c r="B158" s="395" t="s">
        <v>1556</v>
      </c>
      <c r="C158" s="36"/>
      <c r="D158" s="36"/>
      <c r="E158" s="189"/>
    </row>
    <row r="159">
      <c r="A159" s="394" t="s">
        <v>1413</v>
      </c>
      <c r="B159" s="395" t="s">
        <v>1557</v>
      </c>
      <c r="C159" s="36"/>
      <c r="D159" s="36"/>
      <c r="E159" s="189"/>
    </row>
    <row r="160">
      <c r="A160" s="394" t="s">
        <v>1416</v>
      </c>
      <c r="B160" s="395" t="s">
        <v>1558</v>
      </c>
      <c r="C160" s="36"/>
      <c r="D160" s="36"/>
      <c r="E160" s="189"/>
    </row>
    <row r="161">
      <c r="A161" s="394" t="s">
        <v>1442</v>
      </c>
      <c r="B161" s="395" t="s">
        <v>1559</v>
      </c>
      <c r="C161" s="36"/>
      <c r="D161" s="36"/>
      <c r="E161" s="189"/>
    </row>
    <row r="162">
      <c r="A162" s="394" t="s">
        <v>1444</v>
      </c>
      <c r="B162" s="395" t="s">
        <v>1560</v>
      </c>
      <c r="C162" s="36"/>
      <c r="D162" s="36"/>
      <c r="E162" s="189"/>
    </row>
    <row r="163">
      <c r="A163" s="397" t="s">
        <v>1498</v>
      </c>
      <c r="B163" s="36"/>
      <c r="C163" s="36"/>
      <c r="D163" s="36"/>
      <c r="E163" s="189"/>
    </row>
    <row r="164">
      <c r="A164" s="393" t="s">
        <v>1561</v>
      </c>
      <c r="B164" s="36"/>
      <c r="C164" s="36"/>
      <c r="D164" s="36"/>
      <c r="E164" s="189"/>
    </row>
    <row r="165">
      <c r="A165" s="394" t="s">
        <v>1408</v>
      </c>
      <c r="B165" s="395" t="s">
        <v>1562</v>
      </c>
      <c r="C165" s="36"/>
      <c r="D165" s="36"/>
      <c r="E165" s="189"/>
    </row>
    <row r="166">
      <c r="A166" s="394" t="s">
        <v>1410</v>
      </c>
      <c r="B166" s="395" t="s">
        <v>1563</v>
      </c>
      <c r="C166" s="36"/>
      <c r="D166" s="36"/>
      <c r="E166" s="189"/>
    </row>
    <row r="167">
      <c r="A167" s="394" t="s">
        <v>1413</v>
      </c>
      <c r="B167" s="395" t="s">
        <v>1564</v>
      </c>
      <c r="C167" s="36"/>
      <c r="D167" s="36"/>
      <c r="E167" s="189"/>
    </row>
    <row r="168">
      <c r="A168" s="394" t="s">
        <v>1416</v>
      </c>
      <c r="B168" s="395" t="s">
        <v>1565</v>
      </c>
      <c r="C168" s="36"/>
      <c r="D168" s="36"/>
      <c r="E168" s="189"/>
    </row>
    <row r="169">
      <c r="A169" s="394" t="s">
        <v>1442</v>
      </c>
      <c r="B169" s="395" t="s">
        <v>1566</v>
      </c>
      <c r="C169" s="36"/>
      <c r="D169" s="36"/>
      <c r="E169" s="189"/>
    </row>
    <row r="170">
      <c r="A170" s="394" t="s">
        <v>1446</v>
      </c>
      <c r="B170" s="395" t="s">
        <v>1567</v>
      </c>
      <c r="C170" s="36"/>
      <c r="D170" s="36"/>
      <c r="E170" s="189"/>
    </row>
    <row r="171">
      <c r="A171" s="290"/>
      <c r="B171" s="290"/>
      <c r="C171" s="290"/>
      <c r="D171" s="290"/>
      <c r="E171" s="290"/>
    </row>
    <row r="172">
      <c r="A172" s="270"/>
      <c r="B172" s="270"/>
      <c r="C172" s="270"/>
      <c r="D172" s="270"/>
      <c r="E172" s="270"/>
    </row>
    <row r="173">
      <c r="A173" s="270"/>
      <c r="B173" s="270"/>
      <c r="C173" s="270"/>
      <c r="D173" s="270"/>
      <c r="E173" s="270"/>
    </row>
    <row r="174">
      <c r="A174" s="270"/>
      <c r="B174" s="270"/>
      <c r="C174" s="270"/>
      <c r="D174" s="270"/>
      <c r="E174" s="270"/>
    </row>
    <row r="175">
      <c r="A175" s="270"/>
      <c r="B175" s="270"/>
      <c r="C175" s="270"/>
      <c r="D175" s="270"/>
      <c r="E175" s="270"/>
    </row>
    <row r="176">
      <c r="A176" s="270"/>
      <c r="B176" s="270"/>
      <c r="C176" s="270"/>
      <c r="D176" s="270"/>
      <c r="E176" s="270"/>
    </row>
    <row r="177">
      <c r="A177" s="270"/>
      <c r="B177" s="270"/>
      <c r="C177" s="270"/>
      <c r="D177" s="270"/>
      <c r="E177" s="270"/>
    </row>
    <row r="178">
      <c r="A178" s="270"/>
      <c r="B178" s="270"/>
      <c r="C178" s="270"/>
      <c r="D178" s="270"/>
      <c r="E178" s="270"/>
    </row>
    <row r="179">
      <c r="A179" s="270"/>
      <c r="B179" s="270"/>
      <c r="C179" s="270"/>
      <c r="D179" s="270"/>
      <c r="E179" s="270"/>
    </row>
    <row r="180">
      <c r="A180" s="270"/>
      <c r="B180" s="270"/>
      <c r="C180" s="270"/>
      <c r="D180" s="270"/>
      <c r="E180" s="270"/>
    </row>
    <row r="181">
      <c r="A181" s="270"/>
      <c r="B181" s="270"/>
      <c r="C181" s="270"/>
      <c r="D181" s="270"/>
      <c r="E181" s="270"/>
    </row>
    <row r="182">
      <c r="A182" s="270"/>
      <c r="B182" s="270"/>
      <c r="C182" s="270"/>
      <c r="D182" s="270"/>
      <c r="E182" s="270"/>
    </row>
    <row r="183">
      <c r="A183" s="270"/>
      <c r="B183" s="270"/>
      <c r="C183" s="270"/>
      <c r="D183" s="270"/>
      <c r="E183" s="270"/>
    </row>
    <row r="184">
      <c r="A184" s="270"/>
      <c r="B184" s="270"/>
      <c r="C184" s="270"/>
      <c r="D184" s="270"/>
      <c r="E184" s="270"/>
    </row>
    <row r="185">
      <c r="A185" s="270"/>
      <c r="B185" s="270"/>
      <c r="C185" s="270"/>
      <c r="D185" s="270"/>
      <c r="E185" s="270"/>
    </row>
    <row r="186">
      <c r="A186" s="270"/>
      <c r="B186" s="270"/>
      <c r="C186" s="270"/>
      <c r="D186" s="270"/>
      <c r="E186" s="270"/>
    </row>
    <row r="187">
      <c r="A187" s="270"/>
      <c r="B187" s="270"/>
      <c r="C187" s="270"/>
      <c r="D187" s="270"/>
      <c r="E187" s="270"/>
    </row>
    <row r="188">
      <c r="A188" s="270"/>
      <c r="B188" s="270"/>
      <c r="C188" s="270"/>
      <c r="D188" s="270"/>
      <c r="E188" s="270"/>
    </row>
    <row r="189">
      <c r="A189" s="270"/>
      <c r="B189" s="270"/>
      <c r="C189" s="270"/>
      <c r="D189" s="270"/>
      <c r="E189" s="270"/>
    </row>
    <row r="190">
      <c r="A190" s="270"/>
      <c r="B190" s="270"/>
      <c r="C190" s="270"/>
      <c r="D190" s="270"/>
      <c r="E190" s="270"/>
    </row>
    <row r="191">
      <c r="A191" s="270"/>
      <c r="B191" s="270"/>
      <c r="C191" s="270"/>
      <c r="D191" s="270"/>
      <c r="E191" s="270"/>
    </row>
    <row r="192">
      <c r="A192" s="270"/>
      <c r="B192" s="270"/>
      <c r="C192" s="270"/>
      <c r="D192" s="270"/>
      <c r="E192" s="270"/>
    </row>
    <row r="193">
      <c r="A193" s="270"/>
      <c r="B193" s="270"/>
      <c r="C193" s="270"/>
      <c r="D193" s="270"/>
      <c r="E193" s="270"/>
    </row>
    <row r="194">
      <c r="A194" s="270"/>
      <c r="B194" s="270"/>
      <c r="C194" s="270"/>
      <c r="D194" s="270"/>
      <c r="E194" s="270"/>
    </row>
    <row r="195">
      <c r="A195" s="270"/>
      <c r="B195" s="270"/>
      <c r="C195" s="270"/>
      <c r="D195" s="270"/>
      <c r="E195" s="270"/>
    </row>
    <row r="196">
      <c r="A196" s="270"/>
      <c r="B196" s="270"/>
      <c r="C196" s="270"/>
      <c r="D196" s="270"/>
      <c r="E196" s="270"/>
    </row>
    <row r="197">
      <c r="A197" s="270"/>
      <c r="B197" s="270"/>
      <c r="C197" s="270"/>
      <c r="D197" s="270"/>
      <c r="E197" s="270"/>
    </row>
    <row r="198">
      <c r="A198" s="270"/>
      <c r="B198" s="270"/>
      <c r="C198" s="270"/>
      <c r="D198" s="270"/>
      <c r="E198" s="270"/>
    </row>
    <row r="199">
      <c r="A199" s="270"/>
      <c r="B199" s="270"/>
      <c r="C199" s="270"/>
      <c r="D199" s="270"/>
      <c r="E199" s="270"/>
    </row>
    <row r="200">
      <c r="A200" s="270"/>
      <c r="B200" s="270"/>
      <c r="C200" s="270"/>
      <c r="D200" s="270"/>
      <c r="E200" s="270"/>
    </row>
    <row r="201">
      <c r="A201" s="270"/>
      <c r="B201" s="270"/>
      <c r="C201" s="270"/>
      <c r="D201" s="270"/>
      <c r="E201" s="270"/>
    </row>
    <row r="202">
      <c r="A202" s="270"/>
      <c r="B202" s="270"/>
      <c r="C202" s="270"/>
      <c r="D202" s="270"/>
      <c r="E202" s="270"/>
    </row>
    <row r="203">
      <c r="A203" s="270"/>
      <c r="B203" s="270"/>
      <c r="C203" s="270"/>
      <c r="D203" s="270"/>
      <c r="E203" s="270"/>
    </row>
    <row r="204">
      <c r="A204" s="270"/>
      <c r="B204" s="270"/>
      <c r="C204" s="270"/>
      <c r="D204" s="270"/>
      <c r="E204" s="270"/>
    </row>
    <row r="205">
      <c r="A205" s="270"/>
      <c r="B205" s="270"/>
      <c r="C205" s="270"/>
      <c r="D205" s="270"/>
      <c r="E205" s="270"/>
    </row>
    <row r="206">
      <c r="A206" s="270"/>
      <c r="B206" s="270"/>
      <c r="C206" s="270"/>
      <c r="D206" s="270"/>
      <c r="E206" s="270"/>
    </row>
    <row r="207">
      <c r="A207" s="270"/>
      <c r="B207" s="270"/>
      <c r="C207" s="270"/>
      <c r="D207" s="270"/>
      <c r="E207" s="270"/>
    </row>
    <row r="208">
      <c r="A208" s="270"/>
      <c r="B208" s="270"/>
      <c r="C208" s="270"/>
      <c r="D208" s="270"/>
      <c r="E208" s="270"/>
    </row>
    <row r="209">
      <c r="A209" s="270"/>
      <c r="B209" s="270"/>
      <c r="C209" s="270"/>
      <c r="D209" s="270"/>
      <c r="E209" s="270"/>
    </row>
    <row r="210">
      <c r="A210" s="270"/>
      <c r="B210" s="270"/>
      <c r="C210" s="270"/>
      <c r="D210" s="270"/>
      <c r="E210" s="270"/>
    </row>
    <row r="211">
      <c r="A211" s="270"/>
      <c r="B211" s="270"/>
      <c r="C211" s="270"/>
      <c r="D211" s="270"/>
      <c r="E211" s="270"/>
    </row>
    <row r="212">
      <c r="A212" s="270"/>
      <c r="B212" s="270"/>
      <c r="C212" s="270"/>
      <c r="D212" s="270"/>
      <c r="E212" s="270"/>
    </row>
    <row r="213">
      <c r="A213" s="270"/>
      <c r="B213" s="270"/>
      <c r="C213" s="270"/>
      <c r="D213" s="270"/>
      <c r="E213" s="270"/>
    </row>
    <row r="214">
      <c r="A214" s="270"/>
      <c r="B214" s="270"/>
      <c r="C214" s="270"/>
      <c r="D214" s="270"/>
      <c r="E214" s="270"/>
    </row>
    <row r="215">
      <c r="A215" s="270"/>
      <c r="B215" s="270"/>
      <c r="C215" s="270"/>
      <c r="D215" s="270"/>
      <c r="E215" s="270"/>
    </row>
    <row r="216">
      <c r="A216" s="270"/>
      <c r="B216" s="270"/>
      <c r="C216" s="270"/>
      <c r="D216" s="270"/>
      <c r="E216" s="270"/>
    </row>
    <row r="217">
      <c r="A217" s="270"/>
      <c r="B217" s="270"/>
      <c r="C217" s="270"/>
      <c r="D217" s="270"/>
      <c r="E217" s="270"/>
    </row>
    <row r="218">
      <c r="A218" s="270"/>
      <c r="B218" s="270"/>
      <c r="C218" s="270"/>
      <c r="D218" s="270"/>
      <c r="E218" s="270"/>
    </row>
    <row r="219">
      <c r="A219" s="270"/>
      <c r="B219" s="270"/>
      <c r="C219" s="270"/>
      <c r="D219" s="270"/>
      <c r="E219" s="270"/>
    </row>
    <row r="220">
      <c r="A220" s="270"/>
      <c r="B220" s="270"/>
      <c r="C220" s="270"/>
      <c r="D220" s="270"/>
      <c r="E220" s="270"/>
    </row>
    <row r="221">
      <c r="A221" s="270"/>
      <c r="B221" s="270"/>
      <c r="C221" s="270"/>
      <c r="D221" s="270"/>
      <c r="E221" s="270"/>
    </row>
    <row r="222">
      <c r="A222" s="270"/>
      <c r="B222" s="270"/>
      <c r="C222" s="270"/>
      <c r="D222" s="270"/>
      <c r="E222" s="270"/>
    </row>
    <row r="223">
      <c r="A223" s="270"/>
      <c r="B223" s="270"/>
      <c r="C223" s="270"/>
      <c r="D223" s="270"/>
      <c r="E223" s="270"/>
    </row>
    <row r="224">
      <c r="A224" s="270"/>
      <c r="B224" s="270"/>
      <c r="C224" s="270"/>
      <c r="D224" s="270"/>
      <c r="E224" s="270"/>
    </row>
    <row r="225">
      <c r="A225" s="270"/>
      <c r="B225" s="270"/>
      <c r="C225" s="270"/>
      <c r="D225" s="270"/>
      <c r="E225" s="270"/>
    </row>
    <row r="226">
      <c r="A226" s="270"/>
      <c r="B226" s="270"/>
      <c r="C226" s="270"/>
      <c r="D226" s="270"/>
      <c r="E226" s="270"/>
    </row>
    <row r="227">
      <c r="A227" s="270"/>
      <c r="B227" s="270"/>
      <c r="C227" s="270"/>
      <c r="D227" s="270"/>
      <c r="E227" s="270"/>
    </row>
    <row r="228">
      <c r="A228" s="270"/>
      <c r="B228" s="270"/>
      <c r="C228" s="270"/>
      <c r="D228" s="270"/>
      <c r="E228" s="270"/>
    </row>
    <row r="229">
      <c r="A229" s="270"/>
      <c r="B229" s="270"/>
      <c r="C229" s="270"/>
      <c r="D229" s="270"/>
      <c r="E229" s="270"/>
    </row>
    <row r="230">
      <c r="A230" s="270"/>
      <c r="B230" s="270"/>
      <c r="C230" s="270"/>
      <c r="D230" s="270"/>
      <c r="E230" s="270"/>
    </row>
    <row r="231">
      <c r="A231" s="270"/>
      <c r="B231" s="270"/>
      <c r="C231" s="270"/>
      <c r="D231" s="270"/>
      <c r="E231" s="270"/>
    </row>
    <row r="232">
      <c r="A232" s="270"/>
      <c r="B232" s="270"/>
      <c r="C232" s="270"/>
      <c r="D232" s="270"/>
      <c r="E232" s="270"/>
    </row>
    <row r="233">
      <c r="A233" s="270"/>
      <c r="B233" s="270"/>
      <c r="C233" s="270"/>
      <c r="D233" s="270"/>
      <c r="E233" s="270"/>
    </row>
    <row r="234">
      <c r="A234" s="270"/>
      <c r="B234" s="270"/>
      <c r="C234" s="270"/>
      <c r="D234" s="270"/>
      <c r="E234" s="270"/>
    </row>
    <row r="235">
      <c r="A235" s="270"/>
      <c r="B235" s="270"/>
      <c r="C235" s="270"/>
      <c r="D235" s="270"/>
      <c r="E235" s="270"/>
    </row>
    <row r="236">
      <c r="A236" s="270"/>
      <c r="B236" s="270"/>
      <c r="C236" s="270"/>
      <c r="D236" s="270"/>
      <c r="E236" s="270"/>
    </row>
    <row r="237">
      <c r="A237" s="270"/>
      <c r="B237" s="270"/>
      <c r="C237" s="270"/>
      <c r="D237" s="270"/>
      <c r="E237" s="270"/>
    </row>
    <row r="238">
      <c r="A238" s="270"/>
      <c r="B238" s="270"/>
      <c r="C238" s="270"/>
      <c r="D238" s="270"/>
      <c r="E238" s="270"/>
    </row>
    <row r="239">
      <c r="A239" s="270"/>
      <c r="B239" s="270"/>
      <c r="C239" s="270"/>
      <c r="D239" s="270"/>
      <c r="E239" s="270"/>
    </row>
    <row r="240">
      <c r="A240" s="270"/>
      <c r="B240" s="270"/>
      <c r="C240" s="270"/>
      <c r="D240" s="270"/>
      <c r="E240" s="270"/>
    </row>
    <row r="241">
      <c r="A241" s="270"/>
      <c r="B241" s="270"/>
      <c r="C241" s="270"/>
      <c r="D241" s="270"/>
      <c r="E241" s="270"/>
    </row>
    <row r="242">
      <c r="A242" s="270"/>
      <c r="B242" s="270"/>
      <c r="C242" s="270"/>
      <c r="D242" s="270"/>
      <c r="E242" s="270"/>
    </row>
    <row r="243">
      <c r="A243" s="270"/>
      <c r="B243" s="270"/>
      <c r="C243" s="270"/>
      <c r="D243" s="270"/>
      <c r="E243" s="270"/>
    </row>
    <row r="244">
      <c r="A244" s="270"/>
      <c r="B244" s="270"/>
      <c r="C244" s="270"/>
      <c r="D244" s="270"/>
      <c r="E244" s="270"/>
    </row>
    <row r="245">
      <c r="A245" s="270"/>
      <c r="B245" s="270"/>
      <c r="C245" s="270"/>
      <c r="D245" s="270"/>
      <c r="E245" s="270"/>
    </row>
    <row r="246">
      <c r="A246" s="270"/>
      <c r="B246" s="270"/>
      <c r="C246" s="270"/>
      <c r="D246" s="270"/>
      <c r="E246" s="270"/>
    </row>
    <row r="247">
      <c r="A247" s="270"/>
      <c r="B247" s="270"/>
      <c r="C247" s="270"/>
      <c r="D247" s="270"/>
      <c r="E247" s="270"/>
    </row>
    <row r="248">
      <c r="A248" s="270"/>
      <c r="B248" s="270"/>
      <c r="C248" s="270"/>
      <c r="D248" s="270"/>
      <c r="E248" s="270"/>
    </row>
    <row r="249">
      <c r="A249" s="270"/>
      <c r="B249" s="270"/>
      <c r="C249" s="270"/>
      <c r="D249" s="270"/>
      <c r="E249" s="270"/>
    </row>
    <row r="250">
      <c r="A250" s="270"/>
      <c r="B250" s="270"/>
      <c r="C250" s="270"/>
      <c r="D250" s="270"/>
      <c r="E250" s="270"/>
    </row>
    <row r="251">
      <c r="A251" s="270"/>
      <c r="B251" s="270"/>
      <c r="C251" s="270"/>
      <c r="D251" s="270"/>
      <c r="E251" s="270"/>
    </row>
    <row r="252">
      <c r="A252" s="270"/>
      <c r="B252" s="270"/>
      <c r="C252" s="270"/>
      <c r="D252" s="270"/>
      <c r="E252" s="270"/>
    </row>
    <row r="253">
      <c r="A253" s="270"/>
      <c r="B253" s="270"/>
      <c r="C253" s="270"/>
      <c r="D253" s="270"/>
      <c r="E253" s="270"/>
    </row>
    <row r="254">
      <c r="A254" s="270"/>
      <c r="B254" s="270"/>
      <c r="C254" s="270"/>
      <c r="D254" s="270"/>
      <c r="E254" s="270"/>
    </row>
    <row r="255">
      <c r="A255" s="270"/>
      <c r="B255" s="270"/>
      <c r="C255" s="270"/>
      <c r="D255" s="270"/>
      <c r="E255" s="270"/>
    </row>
    <row r="256">
      <c r="A256" s="270"/>
      <c r="B256" s="270"/>
      <c r="C256" s="270"/>
      <c r="D256" s="270"/>
      <c r="E256" s="270"/>
    </row>
    <row r="257">
      <c r="A257" s="270"/>
      <c r="B257" s="270"/>
      <c r="C257" s="270"/>
      <c r="D257" s="270"/>
      <c r="E257" s="270"/>
    </row>
    <row r="258">
      <c r="A258" s="270"/>
      <c r="B258" s="270"/>
      <c r="C258" s="270"/>
      <c r="D258" s="270"/>
      <c r="E258" s="270"/>
    </row>
    <row r="259">
      <c r="A259" s="270"/>
      <c r="B259" s="270"/>
      <c r="C259" s="270"/>
      <c r="D259" s="270"/>
      <c r="E259" s="270"/>
    </row>
    <row r="260">
      <c r="A260" s="270"/>
      <c r="B260" s="270"/>
      <c r="C260" s="270"/>
      <c r="D260" s="270"/>
      <c r="E260" s="270"/>
    </row>
    <row r="261">
      <c r="A261" s="270"/>
      <c r="B261" s="270"/>
      <c r="C261" s="270"/>
      <c r="D261" s="270"/>
      <c r="E261" s="270"/>
    </row>
    <row r="262">
      <c r="A262" s="270"/>
      <c r="B262" s="270"/>
      <c r="C262" s="270"/>
      <c r="D262" s="270"/>
      <c r="E262" s="270"/>
    </row>
    <row r="263">
      <c r="A263" s="270"/>
      <c r="B263" s="270"/>
      <c r="C263" s="270"/>
      <c r="D263" s="270"/>
      <c r="E263" s="270"/>
    </row>
    <row r="264">
      <c r="A264" s="270"/>
      <c r="B264" s="270"/>
      <c r="C264" s="270"/>
      <c r="D264" s="270"/>
      <c r="E264" s="270"/>
    </row>
    <row r="265">
      <c r="A265" s="270"/>
      <c r="B265" s="270"/>
      <c r="C265" s="270"/>
      <c r="D265" s="270"/>
      <c r="E265" s="270"/>
    </row>
    <row r="266">
      <c r="A266" s="270"/>
      <c r="B266" s="270"/>
      <c r="C266" s="270"/>
      <c r="D266" s="270"/>
      <c r="E266" s="270"/>
    </row>
    <row r="267">
      <c r="A267" s="270"/>
      <c r="B267" s="270"/>
      <c r="C267" s="270"/>
      <c r="D267" s="270"/>
      <c r="E267" s="270"/>
    </row>
    <row r="268">
      <c r="A268" s="270"/>
      <c r="B268" s="270"/>
      <c r="C268" s="270"/>
      <c r="D268" s="270"/>
      <c r="E268" s="270"/>
    </row>
    <row r="269">
      <c r="A269" s="270"/>
      <c r="B269" s="270"/>
      <c r="C269" s="270"/>
      <c r="D269" s="270"/>
      <c r="E269" s="270"/>
    </row>
    <row r="270">
      <c r="A270" s="270"/>
      <c r="B270" s="270"/>
      <c r="C270" s="270"/>
      <c r="D270" s="270"/>
      <c r="E270" s="270"/>
    </row>
    <row r="271">
      <c r="A271" s="270"/>
      <c r="B271" s="270"/>
      <c r="C271" s="270"/>
      <c r="D271" s="270"/>
      <c r="E271" s="270"/>
    </row>
    <row r="272">
      <c r="A272" s="270"/>
      <c r="B272" s="270"/>
      <c r="C272" s="270"/>
      <c r="D272" s="270"/>
      <c r="E272" s="270"/>
    </row>
    <row r="273">
      <c r="A273" s="270"/>
      <c r="B273" s="270"/>
      <c r="C273" s="270"/>
      <c r="D273" s="270"/>
      <c r="E273" s="270"/>
    </row>
    <row r="274">
      <c r="A274" s="270"/>
      <c r="B274" s="270"/>
      <c r="C274" s="270"/>
      <c r="D274" s="270"/>
      <c r="E274" s="270"/>
    </row>
    <row r="275">
      <c r="A275" s="270"/>
      <c r="B275" s="270"/>
      <c r="C275" s="270"/>
      <c r="D275" s="270"/>
      <c r="E275" s="270"/>
    </row>
    <row r="276">
      <c r="A276" s="270"/>
      <c r="B276" s="270"/>
      <c r="C276" s="270"/>
      <c r="D276" s="270"/>
      <c r="E276" s="270"/>
    </row>
    <row r="277">
      <c r="A277" s="270"/>
      <c r="B277" s="270"/>
      <c r="C277" s="270"/>
      <c r="D277" s="270"/>
      <c r="E277" s="270"/>
    </row>
    <row r="278">
      <c r="A278" s="270"/>
      <c r="B278" s="270"/>
      <c r="C278" s="270"/>
      <c r="D278" s="270"/>
      <c r="E278" s="270"/>
    </row>
    <row r="279">
      <c r="A279" s="270"/>
      <c r="B279" s="270"/>
      <c r="C279" s="270"/>
      <c r="D279" s="270"/>
      <c r="E279" s="270"/>
    </row>
    <row r="280">
      <c r="A280" s="270"/>
      <c r="B280" s="270"/>
      <c r="C280" s="270"/>
      <c r="D280" s="270"/>
      <c r="E280" s="270"/>
    </row>
    <row r="281">
      <c r="A281" s="270"/>
      <c r="B281" s="270"/>
      <c r="C281" s="270"/>
      <c r="D281" s="270"/>
      <c r="E281" s="270"/>
    </row>
    <row r="282">
      <c r="A282" s="270"/>
      <c r="B282" s="270"/>
      <c r="C282" s="270"/>
      <c r="D282" s="270"/>
      <c r="E282" s="270"/>
    </row>
    <row r="283">
      <c r="A283" s="270"/>
      <c r="B283" s="270"/>
      <c r="C283" s="270"/>
      <c r="D283" s="270"/>
      <c r="E283" s="270"/>
    </row>
    <row r="284">
      <c r="A284" s="270"/>
      <c r="B284" s="270"/>
      <c r="C284" s="270"/>
      <c r="D284" s="270"/>
      <c r="E284" s="270"/>
    </row>
    <row r="285">
      <c r="A285" s="270"/>
      <c r="B285" s="270"/>
      <c r="C285" s="270"/>
      <c r="D285" s="270"/>
      <c r="E285" s="270"/>
    </row>
    <row r="286">
      <c r="A286" s="270"/>
      <c r="B286" s="270"/>
      <c r="C286" s="270"/>
      <c r="D286" s="270"/>
      <c r="E286" s="270"/>
    </row>
    <row r="287">
      <c r="A287" s="270"/>
      <c r="B287" s="270"/>
      <c r="C287" s="270"/>
      <c r="D287" s="270"/>
      <c r="E287" s="270"/>
    </row>
    <row r="288">
      <c r="A288" s="270"/>
      <c r="B288" s="270"/>
      <c r="C288" s="270"/>
      <c r="D288" s="270"/>
      <c r="E288" s="270"/>
    </row>
    <row r="289">
      <c r="A289" s="270"/>
      <c r="B289" s="270"/>
      <c r="C289" s="270"/>
      <c r="D289" s="270"/>
      <c r="E289" s="270"/>
    </row>
    <row r="290">
      <c r="A290" s="270"/>
      <c r="B290" s="270"/>
      <c r="C290" s="270"/>
      <c r="D290" s="270"/>
      <c r="E290" s="270"/>
    </row>
    <row r="291">
      <c r="A291" s="270"/>
      <c r="B291" s="270"/>
      <c r="C291" s="270"/>
      <c r="D291" s="270"/>
      <c r="E291" s="270"/>
    </row>
    <row r="292">
      <c r="A292" s="270"/>
      <c r="B292" s="270"/>
      <c r="C292" s="270"/>
      <c r="D292" s="270"/>
      <c r="E292" s="270"/>
    </row>
    <row r="293">
      <c r="A293" s="270"/>
      <c r="B293" s="270"/>
      <c r="C293" s="270"/>
      <c r="D293" s="270"/>
      <c r="E293" s="270"/>
    </row>
    <row r="294">
      <c r="A294" s="270"/>
      <c r="B294" s="270"/>
      <c r="C294" s="270"/>
      <c r="D294" s="270"/>
      <c r="E294" s="270"/>
    </row>
    <row r="295">
      <c r="A295" s="270"/>
      <c r="B295" s="270"/>
      <c r="C295" s="270"/>
      <c r="D295" s="270"/>
      <c r="E295" s="270"/>
    </row>
    <row r="296">
      <c r="A296" s="270"/>
      <c r="B296" s="270"/>
      <c r="C296" s="270"/>
      <c r="D296" s="270"/>
      <c r="E296" s="270"/>
    </row>
    <row r="297">
      <c r="A297" s="270"/>
      <c r="B297" s="270"/>
      <c r="C297" s="270"/>
      <c r="D297" s="270"/>
      <c r="E297" s="270"/>
    </row>
    <row r="298">
      <c r="A298" s="270"/>
      <c r="B298" s="270"/>
      <c r="C298" s="270"/>
      <c r="D298" s="270"/>
      <c r="E298" s="270"/>
    </row>
    <row r="299">
      <c r="A299" s="270"/>
      <c r="B299" s="270"/>
      <c r="C299" s="270"/>
      <c r="D299" s="270"/>
      <c r="E299" s="270"/>
    </row>
    <row r="300">
      <c r="A300" s="270"/>
      <c r="B300" s="270"/>
      <c r="C300" s="270"/>
      <c r="D300" s="270"/>
      <c r="E300" s="270"/>
    </row>
    <row r="301">
      <c r="A301" s="270"/>
      <c r="B301" s="270"/>
      <c r="C301" s="270"/>
      <c r="D301" s="270"/>
      <c r="E301" s="270"/>
    </row>
    <row r="302">
      <c r="A302" s="270"/>
      <c r="B302" s="270"/>
      <c r="C302" s="270"/>
      <c r="D302" s="270"/>
      <c r="E302" s="270"/>
    </row>
    <row r="303">
      <c r="A303" s="270"/>
      <c r="B303" s="270"/>
      <c r="C303" s="270"/>
      <c r="D303" s="270"/>
      <c r="E303" s="270"/>
    </row>
    <row r="304">
      <c r="A304" s="270"/>
      <c r="B304" s="270"/>
      <c r="C304" s="270"/>
      <c r="D304" s="270"/>
      <c r="E304" s="270"/>
    </row>
    <row r="305">
      <c r="A305" s="270"/>
      <c r="B305" s="270"/>
      <c r="C305" s="270"/>
      <c r="D305" s="270"/>
      <c r="E305" s="270"/>
    </row>
    <row r="306">
      <c r="A306" s="270"/>
      <c r="B306" s="270"/>
      <c r="C306" s="270"/>
      <c r="D306" s="270"/>
      <c r="E306" s="270"/>
    </row>
    <row r="307">
      <c r="A307" s="270"/>
      <c r="B307" s="270"/>
      <c r="C307" s="270"/>
      <c r="D307" s="270"/>
      <c r="E307" s="270"/>
    </row>
    <row r="308">
      <c r="A308" s="270"/>
      <c r="B308" s="270"/>
      <c r="C308" s="270"/>
      <c r="D308" s="270"/>
      <c r="E308" s="270"/>
    </row>
    <row r="309">
      <c r="A309" s="270"/>
      <c r="B309" s="270"/>
      <c r="C309" s="270"/>
      <c r="D309" s="270"/>
      <c r="E309" s="270"/>
    </row>
    <row r="310">
      <c r="A310" s="270"/>
      <c r="B310" s="270"/>
      <c r="C310" s="270"/>
      <c r="D310" s="270"/>
      <c r="E310" s="270"/>
    </row>
    <row r="311">
      <c r="A311" s="270"/>
      <c r="B311" s="270"/>
      <c r="C311" s="270"/>
      <c r="D311" s="270"/>
      <c r="E311" s="270"/>
    </row>
    <row r="312">
      <c r="A312" s="270"/>
      <c r="B312" s="270"/>
      <c r="C312" s="270"/>
      <c r="D312" s="270"/>
      <c r="E312" s="270"/>
    </row>
    <row r="313">
      <c r="A313" s="270"/>
      <c r="B313" s="270"/>
      <c r="C313" s="270"/>
      <c r="D313" s="270"/>
      <c r="E313" s="270"/>
    </row>
    <row r="314">
      <c r="A314" s="270"/>
      <c r="B314" s="270"/>
      <c r="C314" s="270"/>
      <c r="D314" s="270"/>
      <c r="E314" s="270"/>
    </row>
    <row r="315">
      <c r="A315" s="270"/>
      <c r="B315" s="270"/>
      <c r="C315" s="270"/>
      <c r="D315" s="270"/>
      <c r="E315" s="270"/>
    </row>
    <row r="316">
      <c r="A316" s="270"/>
      <c r="B316" s="270"/>
      <c r="C316" s="270"/>
      <c r="D316" s="270"/>
      <c r="E316" s="270"/>
    </row>
    <row r="317">
      <c r="A317" s="270"/>
      <c r="B317" s="270"/>
      <c r="C317" s="270"/>
      <c r="D317" s="270"/>
      <c r="E317" s="270"/>
    </row>
    <row r="318">
      <c r="A318" s="270"/>
      <c r="B318" s="270"/>
      <c r="C318" s="270"/>
      <c r="D318" s="270"/>
      <c r="E318" s="270"/>
    </row>
    <row r="319">
      <c r="A319" s="270"/>
      <c r="B319" s="270"/>
      <c r="C319" s="270"/>
      <c r="D319" s="270"/>
      <c r="E319" s="270"/>
    </row>
    <row r="320">
      <c r="A320" s="270"/>
      <c r="B320" s="270"/>
      <c r="C320" s="270"/>
      <c r="D320" s="270"/>
      <c r="E320" s="270"/>
    </row>
    <row r="321">
      <c r="A321" s="270"/>
      <c r="B321" s="270"/>
      <c r="C321" s="270"/>
      <c r="D321" s="270"/>
      <c r="E321" s="270"/>
    </row>
    <row r="322">
      <c r="A322" s="270"/>
      <c r="B322" s="270"/>
      <c r="C322" s="270"/>
      <c r="D322" s="270"/>
      <c r="E322" s="270"/>
    </row>
    <row r="323">
      <c r="A323" s="270"/>
      <c r="B323" s="270"/>
      <c r="C323" s="270"/>
      <c r="D323" s="270"/>
      <c r="E323" s="270"/>
    </row>
    <row r="324">
      <c r="A324" s="270"/>
      <c r="B324" s="270"/>
      <c r="C324" s="270"/>
      <c r="D324" s="270"/>
      <c r="E324" s="270"/>
    </row>
    <row r="325">
      <c r="A325" s="270"/>
      <c r="B325" s="270"/>
      <c r="C325" s="270"/>
      <c r="D325" s="270"/>
      <c r="E325" s="270"/>
    </row>
    <row r="326">
      <c r="A326" s="270"/>
      <c r="B326" s="270"/>
      <c r="C326" s="270"/>
      <c r="D326" s="270"/>
      <c r="E326" s="270"/>
    </row>
    <row r="327">
      <c r="A327" s="270"/>
      <c r="B327" s="270"/>
      <c r="C327" s="270"/>
      <c r="D327" s="270"/>
      <c r="E327" s="270"/>
    </row>
    <row r="328">
      <c r="A328" s="270"/>
      <c r="B328" s="270"/>
      <c r="C328" s="270"/>
      <c r="D328" s="270"/>
      <c r="E328" s="270"/>
    </row>
    <row r="329">
      <c r="A329" s="270"/>
      <c r="B329" s="270"/>
      <c r="C329" s="270"/>
      <c r="D329" s="270"/>
      <c r="E329" s="270"/>
    </row>
    <row r="330">
      <c r="A330" s="270"/>
      <c r="B330" s="270"/>
      <c r="C330" s="270"/>
      <c r="D330" s="270"/>
      <c r="E330" s="270"/>
    </row>
    <row r="331">
      <c r="A331" s="270"/>
      <c r="B331" s="270"/>
      <c r="C331" s="270"/>
      <c r="D331" s="270"/>
      <c r="E331" s="270"/>
    </row>
    <row r="332">
      <c r="A332" s="270"/>
      <c r="B332" s="270"/>
      <c r="C332" s="270"/>
      <c r="D332" s="270"/>
      <c r="E332" s="270"/>
    </row>
    <row r="333">
      <c r="A333" s="270"/>
      <c r="B333" s="270"/>
      <c r="C333" s="270"/>
      <c r="D333" s="270"/>
      <c r="E333" s="270"/>
    </row>
    <row r="334">
      <c r="A334" s="270"/>
      <c r="B334" s="270"/>
      <c r="C334" s="270"/>
      <c r="D334" s="270"/>
      <c r="E334" s="270"/>
    </row>
    <row r="335">
      <c r="A335" s="270"/>
      <c r="B335" s="270"/>
      <c r="C335" s="270"/>
      <c r="D335" s="270"/>
      <c r="E335" s="270"/>
    </row>
    <row r="336">
      <c r="A336" s="270"/>
      <c r="B336" s="270"/>
      <c r="C336" s="270"/>
      <c r="D336" s="270"/>
      <c r="E336" s="270"/>
    </row>
    <row r="337">
      <c r="A337" s="270"/>
      <c r="B337" s="270"/>
      <c r="C337" s="270"/>
      <c r="D337" s="270"/>
      <c r="E337" s="270"/>
    </row>
    <row r="338">
      <c r="A338" s="270"/>
      <c r="B338" s="270"/>
      <c r="C338" s="270"/>
      <c r="D338" s="270"/>
      <c r="E338" s="270"/>
    </row>
    <row r="339">
      <c r="A339" s="270"/>
      <c r="B339" s="270"/>
      <c r="C339" s="270"/>
      <c r="D339" s="270"/>
      <c r="E339" s="270"/>
    </row>
    <row r="340">
      <c r="A340" s="270"/>
      <c r="B340" s="270"/>
      <c r="C340" s="270"/>
      <c r="D340" s="270"/>
      <c r="E340" s="270"/>
    </row>
    <row r="341">
      <c r="A341" s="270"/>
      <c r="B341" s="270"/>
      <c r="C341" s="270"/>
      <c r="D341" s="270"/>
      <c r="E341" s="270"/>
    </row>
    <row r="342">
      <c r="A342" s="270"/>
      <c r="B342" s="270"/>
      <c r="C342" s="270"/>
      <c r="D342" s="270"/>
      <c r="E342" s="270"/>
    </row>
    <row r="343">
      <c r="A343" s="270"/>
      <c r="B343" s="270"/>
      <c r="C343" s="270"/>
      <c r="D343" s="270"/>
      <c r="E343" s="270"/>
    </row>
    <row r="344">
      <c r="A344" s="270"/>
      <c r="B344" s="270"/>
      <c r="C344" s="270"/>
      <c r="D344" s="270"/>
      <c r="E344" s="270"/>
    </row>
    <row r="345">
      <c r="A345" s="270"/>
      <c r="B345" s="270"/>
      <c r="C345" s="270"/>
      <c r="D345" s="270"/>
      <c r="E345" s="270"/>
    </row>
    <row r="346">
      <c r="A346" s="270"/>
      <c r="B346" s="270"/>
      <c r="C346" s="270"/>
      <c r="D346" s="270"/>
      <c r="E346" s="270"/>
    </row>
    <row r="347">
      <c r="A347" s="270"/>
      <c r="B347" s="270"/>
      <c r="C347" s="270"/>
      <c r="D347" s="270"/>
      <c r="E347" s="270"/>
    </row>
    <row r="348">
      <c r="A348" s="270"/>
      <c r="B348" s="270"/>
      <c r="C348" s="270"/>
      <c r="D348" s="270"/>
      <c r="E348" s="270"/>
    </row>
    <row r="349">
      <c r="A349" s="270"/>
      <c r="B349" s="270"/>
      <c r="C349" s="270"/>
      <c r="D349" s="270"/>
      <c r="E349" s="270"/>
    </row>
    <row r="350">
      <c r="A350" s="270"/>
      <c r="B350" s="270"/>
      <c r="C350" s="270"/>
      <c r="D350" s="270"/>
      <c r="E350" s="270"/>
    </row>
    <row r="351">
      <c r="A351" s="270"/>
      <c r="B351" s="270"/>
      <c r="C351" s="270"/>
      <c r="D351" s="270"/>
      <c r="E351" s="270"/>
    </row>
    <row r="352">
      <c r="A352" s="270"/>
      <c r="B352" s="270"/>
      <c r="C352" s="270"/>
      <c r="D352" s="270"/>
      <c r="E352" s="270"/>
    </row>
    <row r="353">
      <c r="A353" s="270"/>
      <c r="B353" s="270"/>
      <c r="C353" s="270"/>
      <c r="D353" s="270"/>
      <c r="E353" s="270"/>
    </row>
    <row r="354">
      <c r="A354" s="270"/>
      <c r="B354" s="270"/>
      <c r="C354" s="270"/>
      <c r="D354" s="270"/>
      <c r="E354" s="270"/>
    </row>
    <row r="355">
      <c r="A355" s="270"/>
      <c r="B355" s="270"/>
      <c r="C355" s="270"/>
      <c r="D355" s="270"/>
      <c r="E355" s="270"/>
    </row>
    <row r="356">
      <c r="A356" s="270"/>
      <c r="B356" s="270"/>
      <c r="C356" s="270"/>
      <c r="D356" s="270"/>
      <c r="E356" s="270"/>
    </row>
    <row r="357">
      <c r="A357" s="270"/>
      <c r="B357" s="270"/>
      <c r="C357" s="270"/>
      <c r="D357" s="270"/>
      <c r="E357" s="270"/>
    </row>
    <row r="358">
      <c r="A358" s="270"/>
      <c r="B358" s="270"/>
      <c r="C358" s="270"/>
      <c r="D358" s="270"/>
      <c r="E358" s="270"/>
    </row>
    <row r="359">
      <c r="A359" s="270"/>
      <c r="B359" s="270"/>
      <c r="C359" s="270"/>
      <c r="D359" s="270"/>
      <c r="E359" s="270"/>
    </row>
    <row r="360">
      <c r="A360" s="270"/>
      <c r="B360" s="270"/>
      <c r="C360" s="270"/>
      <c r="D360" s="270"/>
      <c r="E360" s="270"/>
    </row>
    <row r="361">
      <c r="A361" s="270"/>
      <c r="B361" s="270"/>
      <c r="C361" s="270"/>
      <c r="D361" s="270"/>
      <c r="E361" s="270"/>
    </row>
    <row r="362">
      <c r="A362" s="270"/>
      <c r="B362" s="270"/>
      <c r="C362" s="270"/>
      <c r="D362" s="270"/>
      <c r="E362" s="270"/>
    </row>
    <row r="363">
      <c r="A363" s="270"/>
      <c r="B363" s="270"/>
      <c r="C363" s="270"/>
      <c r="D363" s="270"/>
      <c r="E363" s="270"/>
    </row>
    <row r="364">
      <c r="A364" s="270"/>
      <c r="B364" s="270"/>
      <c r="C364" s="270"/>
      <c r="D364" s="270"/>
      <c r="E364" s="270"/>
    </row>
    <row r="365">
      <c r="A365" s="270"/>
      <c r="B365" s="270"/>
      <c r="C365" s="270"/>
      <c r="D365" s="270"/>
      <c r="E365" s="270"/>
    </row>
    <row r="366">
      <c r="A366" s="270"/>
      <c r="B366" s="270"/>
      <c r="C366" s="270"/>
      <c r="D366" s="270"/>
      <c r="E366" s="270"/>
    </row>
    <row r="367">
      <c r="A367" s="270"/>
      <c r="B367" s="270"/>
      <c r="C367" s="270"/>
      <c r="D367" s="270"/>
      <c r="E367" s="270"/>
    </row>
    <row r="368">
      <c r="A368" s="270"/>
      <c r="B368" s="270"/>
      <c r="C368" s="270"/>
      <c r="D368" s="270"/>
      <c r="E368" s="270"/>
    </row>
    <row r="369">
      <c r="A369" s="270"/>
      <c r="B369" s="270"/>
      <c r="C369" s="270"/>
      <c r="D369" s="270"/>
      <c r="E369" s="270"/>
    </row>
    <row r="370">
      <c r="A370" s="270"/>
      <c r="B370" s="270"/>
      <c r="C370" s="270"/>
      <c r="D370" s="270"/>
      <c r="E370" s="270"/>
    </row>
    <row r="371">
      <c r="A371" s="270"/>
      <c r="B371" s="270"/>
      <c r="C371" s="270"/>
      <c r="D371" s="270"/>
      <c r="E371" s="270"/>
    </row>
    <row r="372">
      <c r="A372" s="270"/>
      <c r="B372" s="270"/>
      <c r="C372" s="270"/>
      <c r="D372" s="270"/>
      <c r="E372" s="270"/>
    </row>
    <row r="373">
      <c r="A373" s="270"/>
      <c r="B373" s="270"/>
      <c r="C373" s="270"/>
      <c r="D373" s="270"/>
      <c r="E373" s="270"/>
    </row>
    <row r="374">
      <c r="A374" s="270"/>
      <c r="B374" s="270"/>
      <c r="C374" s="270"/>
      <c r="D374" s="270"/>
      <c r="E374" s="270"/>
    </row>
    <row r="375">
      <c r="A375" s="270"/>
      <c r="B375" s="270"/>
      <c r="C375" s="270"/>
      <c r="D375" s="270"/>
      <c r="E375" s="270"/>
    </row>
    <row r="376">
      <c r="A376" s="270"/>
      <c r="B376" s="270"/>
      <c r="C376" s="270"/>
      <c r="D376" s="270"/>
      <c r="E376" s="270"/>
    </row>
    <row r="377">
      <c r="A377" s="270"/>
      <c r="B377" s="270"/>
      <c r="C377" s="270"/>
      <c r="D377" s="270"/>
      <c r="E377" s="270"/>
    </row>
    <row r="378">
      <c r="A378" s="270"/>
      <c r="B378" s="270"/>
      <c r="C378" s="270"/>
      <c r="D378" s="270"/>
      <c r="E378" s="270"/>
    </row>
    <row r="379">
      <c r="A379" s="270"/>
      <c r="B379" s="270"/>
      <c r="C379" s="270"/>
      <c r="D379" s="270"/>
      <c r="E379" s="270"/>
    </row>
    <row r="380">
      <c r="A380" s="270"/>
      <c r="B380" s="270"/>
      <c r="C380" s="270"/>
      <c r="D380" s="270"/>
      <c r="E380" s="270"/>
    </row>
    <row r="381">
      <c r="A381" s="270"/>
      <c r="B381" s="270"/>
      <c r="C381" s="270"/>
      <c r="D381" s="270"/>
      <c r="E381" s="270"/>
    </row>
    <row r="382">
      <c r="A382" s="270"/>
      <c r="B382" s="270"/>
      <c r="C382" s="270"/>
      <c r="D382" s="270"/>
      <c r="E382" s="270"/>
    </row>
    <row r="383">
      <c r="A383" s="270"/>
      <c r="B383" s="270"/>
      <c r="C383" s="270"/>
      <c r="D383" s="270"/>
      <c r="E383" s="270"/>
    </row>
    <row r="384">
      <c r="A384" s="270"/>
      <c r="B384" s="270"/>
      <c r="C384" s="270"/>
      <c r="D384" s="270"/>
      <c r="E384" s="270"/>
    </row>
    <row r="385">
      <c r="A385" s="270"/>
      <c r="B385" s="270"/>
      <c r="C385" s="270"/>
      <c r="D385" s="270"/>
      <c r="E385" s="270"/>
    </row>
    <row r="386">
      <c r="A386" s="270"/>
      <c r="B386" s="270"/>
      <c r="C386" s="270"/>
      <c r="D386" s="270"/>
      <c r="E386" s="270"/>
    </row>
    <row r="387">
      <c r="A387" s="270"/>
      <c r="B387" s="270"/>
      <c r="C387" s="270"/>
      <c r="D387" s="270"/>
      <c r="E387" s="270"/>
    </row>
    <row r="388">
      <c r="A388" s="270"/>
      <c r="B388" s="270"/>
      <c r="C388" s="270"/>
      <c r="D388" s="270"/>
      <c r="E388" s="270"/>
    </row>
    <row r="389">
      <c r="A389" s="270"/>
      <c r="B389" s="270"/>
      <c r="C389" s="270"/>
      <c r="D389" s="270"/>
      <c r="E389" s="270"/>
    </row>
    <row r="390">
      <c r="A390" s="270"/>
      <c r="B390" s="270"/>
      <c r="C390" s="270"/>
      <c r="D390" s="270"/>
      <c r="E390" s="270"/>
    </row>
    <row r="391">
      <c r="A391" s="270"/>
      <c r="B391" s="270"/>
      <c r="C391" s="270"/>
      <c r="D391" s="270"/>
      <c r="E391" s="270"/>
    </row>
    <row r="392">
      <c r="A392" s="270"/>
      <c r="B392" s="270"/>
      <c r="C392" s="270"/>
      <c r="D392" s="270"/>
      <c r="E392" s="270"/>
    </row>
    <row r="393">
      <c r="A393" s="270"/>
      <c r="B393" s="270"/>
      <c r="C393" s="270"/>
      <c r="D393" s="270"/>
      <c r="E393" s="270"/>
    </row>
    <row r="394">
      <c r="A394" s="270"/>
      <c r="B394" s="270"/>
      <c r="C394" s="270"/>
      <c r="D394" s="270"/>
      <c r="E394" s="270"/>
    </row>
    <row r="395">
      <c r="A395" s="270"/>
      <c r="B395" s="270"/>
      <c r="C395" s="270"/>
      <c r="D395" s="270"/>
      <c r="E395" s="270"/>
    </row>
    <row r="396">
      <c r="A396" s="270"/>
      <c r="B396" s="270"/>
      <c r="C396" s="270"/>
      <c r="D396" s="270"/>
      <c r="E396" s="270"/>
    </row>
    <row r="397">
      <c r="A397" s="270"/>
      <c r="B397" s="270"/>
      <c r="C397" s="270"/>
      <c r="D397" s="270"/>
      <c r="E397" s="270"/>
    </row>
    <row r="398">
      <c r="A398" s="270"/>
      <c r="B398" s="270"/>
      <c r="C398" s="270"/>
      <c r="D398" s="270"/>
      <c r="E398" s="270"/>
    </row>
    <row r="399">
      <c r="A399" s="270"/>
      <c r="B399" s="270"/>
      <c r="C399" s="270"/>
      <c r="D399" s="270"/>
      <c r="E399" s="270"/>
    </row>
    <row r="400">
      <c r="A400" s="270"/>
      <c r="B400" s="270"/>
      <c r="C400" s="270"/>
      <c r="D400" s="270"/>
      <c r="E400" s="270"/>
    </row>
    <row r="401">
      <c r="A401" s="270"/>
      <c r="B401" s="270"/>
      <c r="C401" s="270"/>
      <c r="D401" s="270"/>
      <c r="E401" s="270"/>
    </row>
    <row r="402">
      <c r="A402" s="270"/>
      <c r="B402" s="270"/>
      <c r="C402" s="270"/>
      <c r="D402" s="270"/>
      <c r="E402" s="270"/>
    </row>
    <row r="403">
      <c r="A403" s="270"/>
      <c r="B403" s="270"/>
      <c r="C403" s="270"/>
      <c r="D403" s="270"/>
      <c r="E403" s="270"/>
    </row>
    <row r="404">
      <c r="A404" s="270"/>
      <c r="B404" s="270"/>
      <c r="C404" s="270"/>
      <c r="D404" s="270"/>
      <c r="E404" s="270"/>
    </row>
    <row r="405">
      <c r="A405" s="270"/>
      <c r="B405" s="270"/>
      <c r="C405" s="270"/>
      <c r="D405" s="270"/>
      <c r="E405" s="270"/>
    </row>
    <row r="406">
      <c r="A406" s="270"/>
      <c r="B406" s="270"/>
      <c r="C406" s="270"/>
      <c r="D406" s="270"/>
      <c r="E406" s="270"/>
    </row>
    <row r="407">
      <c r="A407" s="270"/>
      <c r="B407" s="270"/>
      <c r="C407" s="270"/>
      <c r="D407" s="270"/>
      <c r="E407" s="270"/>
    </row>
    <row r="408">
      <c r="A408" s="270"/>
      <c r="B408" s="270"/>
      <c r="C408" s="270"/>
      <c r="D408" s="270"/>
      <c r="E408" s="270"/>
    </row>
    <row r="409">
      <c r="A409" s="270"/>
      <c r="B409" s="270"/>
      <c r="C409" s="270"/>
      <c r="D409" s="270"/>
      <c r="E409" s="270"/>
    </row>
    <row r="410">
      <c r="A410" s="270"/>
      <c r="B410" s="270"/>
      <c r="C410" s="270"/>
      <c r="D410" s="270"/>
      <c r="E410" s="270"/>
    </row>
    <row r="411">
      <c r="A411" s="270"/>
      <c r="B411" s="270"/>
      <c r="C411" s="270"/>
      <c r="D411" s="270"/>
      <c r="E411" s="270"/>
    </row>
    <row r="412">
      <c r="A412" s="270"/>
      <c r="B412" s="270"/>
      <c r="C412" s="270"/>
      <c r="D412" s="270"/>
      <c r="E412" s="270"/>
    </row>
    <row r="413">
      <c r="A413" s="270"/>
      <c r="B413" s="270"/>
      <c r="C413" s="270"/>
      <c r="D413" s="270"/>
      <c r="E413" s="270"/>
    </row>
    <row r="414">
      <c r="A414" s="270"/>
      <c r="B414" s="270"/>
      <c r="C414" s="270"/>
      <c r="D414" s="270"/>
      <c r="E414" s="270"/>
    </row>
    <row r="415">
      <c r="A415" s="270"/>
      <c r="B415" s="270"/>
      <c r="C415" s="270"/>
      <c r="D415" s="270"/>
      <c r="E415" s="270"/>
    </row>
    <row r="416">
      <c r="A416" s="270"/>
      <c r="B416" s="270"/>
      <c r="C416" s="270"/>
      <c r="D416" s="270"/>
      <c r="E416" s="270"/>
    </row>
    <row r="417">
      <c r="A417" s="270"/>
      <c r="B417" s="270"/>
      <c r="C417" s="270"/>
      <c r="D417" s="270"/>
      <c r="E417" s="270"/>
    </row>
    <row r="418">
      <c r="A418" s="270"/>
      <c r="B418" s="270"/>
      <c r="C418" s="270"/>
      <c r="D418" s="270"/>
      <c r="E418" s="270"/>
    </row>
    <row r="419">
      <c r="A419" s="270"/>
      <c r="B419" s="270"/>
      <c r="C419" s="270"/>
      <c r="D419" s="270"/>
      <c r="E419" s="270"/>
    </row>
    <row r="420">
      <c r="A420" s="270"/>
      <c r="B420" s="270"/>
      <c r="C420" s="270"/>
      <c r="D420" s="270"/>
      <c r="E420" s="270"/>
    </row>
    <row r="421">
      <c r="A421" s="270"/>
      <c r="B421" s="270"/>
      <c r="C421" s="270"/>
      <c r="D421" s="270"/>
      <c r="E421" s="270"/>
    </row>
    <row r="422">
      <c r="A422" s="270"/>
      <c r="B422" s="270"/>
      <c r="C422" s="270"/>
      <c r="D422" s="270"/>
      <c r="E422" s="270"/>
    </row>
    <row r="423">
      <c r="A423" s="270"/>
      <c r="B423" s="270"/>
      <c r="C423" s="270"/>
      <c r="D423" s="270"/>
      <c r="E423" s="270"/>
    </row>
    <row r="424">
      <c r="A424" s="270"/>
      <c r="B424" s="270"/>
      <c r="C424" s="270"/>
      <c r="D424" s="270"/>
      <c r="E424" s="270"/>
    </row>
    <row r="425">
      <c r="A425" s="270"/>
      <c r="B425" s="270"/>
      <c r="C425" s="270"/>
      <c r="D425" s="270"/>
      <c r="E425" s="270"/>
    </row>
    <row r="426">
      <c r="A426" s="270"/>
      <c r="B426" s="270"/>
      <c r="C426" s="270"/>
      <c r="D426" s="270"/>
      <c r="E426" s="270"/>
    </row>
    <row r="427">
      <c r="A427" s="270"/>
      <c r="B427" s="270"/>
      <c r="C427" s="270"/>
      <c r="D427" s="270"/>
      <c r="E427" s="270"/>
    </row>
    <row r="428">
      <c r="A428" s="270"/>
      <c r="B428" s="270"/>
      <c r="C428" s="270"/>
      <c r="D428" s="270"/>
      <c r="E428" s="270"/>
    </row>
    <row r="429">
      <c r="A429" s="270"/>
      <c r="B429" s="270"/>
      <c r="C429" s="270"/>
      <c r="D429" s="270"/>
      <c r="E429" s="270"/>
    </row>
    <row r="430">
      <c r="A430" s="270"/>
      <c r="B430" s="270"/>
      <c r="C430" s="270"/>
      <c r="D430" s="270"/>
      <c r="E430" s="270"/>
    </row>
    <row r="431">
      <c r="A431" s="270"/>
      <c r="B431" s="270"/>
      <c r="C431" s="270"/>
      <c r="D431" s="270"/>
      <c r="E431" s="270"/>
    </row>
    <row r="432">
      <c r="A432" s="270"/>
      <c r="B432" s="270"/>
      <c r="C432" s="270"/>
      <c r="D432" s="270"/>
      <c r="E432" s="270"/>
    </row>
    <row r="433">
      <c r="A433" s="270"/>
      <c r="B433" s="270"/>
      <c r="C433" s="270"/>
      <c r="D433" s="270"/>
      <c r="E433" s="270"/>
    </row>
    <row r="434">
      <c r="A434" s="270"/>
      <c r="B434" s="270"/>
      <c r="C434" s="270"/>
      <c r="D434" s="270"/>
      <c r="E434" s="270"/>
    </row>
    <row r="435">
      <c r="A435" s="270"/>
      <c r="B435" s="270"/>
      <c r="C435" s="270"/>
      <c r="D435" s="270"/>
      <c r="E435" s="270"/>
    </row>
    <row r="436">
      <c r="A436" s="270"/>
      <c r="B436" s="270"/>
      <c r="C436" s="270"/>
      <c r="D436" s="270"/>
      <c r="E436" s="270"/>
    </row>
    <row r="437">
      <c r="A437" s="270"/>
      <c r="B437" s="270"/>
      <c r="C437" s="270"/>
      <c r="D437" s="270"/>
      <c r="E437" s="270"/>
    </row>
    <row r="438">
      <c r="A438" s="270"/>
      <c r="B438" s="270"/>
      <c r="C438" s="270"/>
      <c r="D438" s="270"/>
      <c r="E438" s="270"/>
    </row>
    <row r="439">
      <c r="A439" s="270"/>
      <c r="B439" s="270"/>
      <c r="C439" s="270"/>
      <c r="D439" s="270"/>
      <c r="E439" s="270"/>
    </row>
    <row r="440">
      <c r="A440" s="270"/>
      <c r="B440" s="270"/>
      <c r="C440" s="270"/>
      <c r="D440" s="270"/>
      <c r="E440" s="270"/>
    </row>
    <row r="441">
      <c r="A441" s="270"/>
      <c r="B441" s="270"/>
      <c r="C441" s="270"/>
      <c r="D441" s="270"/>
      <c r="E441" s="270"/>
    </row>
    <row r="442">
      <c r="A442" s="270"/>
      <c r="B442" s="270"/>
      <c r="C442" s="270"/>
      <c r="D442" s="270"/>
      <c r="E442" s="270"/>
    </row>
    <row r="443">
      <c r="A443" s="270"/>
      <c r="B443" s="270"/>
      <c r="C443" s="270"/>
      <c r="D443" s="270"/>
      <c r="E443" s="270"/>
    </row>
    <row r="444">
      <c r="A444" s="270"/>
      <c r="B444" s="270"/>
      <c r="C444" s="270"/>
      <c r="D444" s="270"/>
      <c r="E444" s="270"/>
    </row>
    <row r="445">
      <c r="A445" s="270"/>
      <c r="B445" s="270"/>
      <c r="C445" s="270"/>
      <c r="D445" s="270"/>
      <c r="E445" s="270"/>
    </row>
    <row r="446">
      <c r="A446" s="270"/>
      <c r="B446" s="270"/>
      <c r="C446" s="270"/>
      <c r="D446" s="270"/>
      <c r="E446" s="270"/>
    </row>
    <row r="447">
      <c r="A447" s="270"/>
      <c r="B447" s="270"/>
      <c r="C447" s="270"/>
      <c r="D447" s="270"/>
      <c r="E447" s="270"/>
    </row>
    <row r="448">
      <c r="A448" s="270"/>
      <c r="B448" s="270"/>
      <c r="C448" s="270"/>
      <c r="D448" s="270"/>
      <c r="E448" s="270"/>
    </row>
    <row r="449">
      <c r="A449" s="270"/>
      <c r="B449" s="270"/>
      <c r="C449" s="270"/>
      <c r="D449" s="270"/>
      <c r="E449" s="270"/>
    </row>
    <row r="450">
      <c r="A450" s="270"/>
      <c r="B450" s="270"/>
      <c r="C450" s="270"/>
      <c r="D450" s="270"/>
      <c r="E450" s="270"/>
    </row>
    <row r="451">
      <c r="A451" s="270"/>
      <c r="B451" s="270"/>
      <c r="C451" s="270"/>
      <c r="D451" s="270"/>
      <c r="E451" s="270"/>
    </row>
    <row r="452">
      <c r="A452" s="270"/>
      <c r="B452" s="270"/>
      <c r="C452" s="270"/>
      <c r="D452" s="270"/>
      <c r="E452" s="270"/>
    </row>
    <row r="453">
      <c r="A453" s="270"/>
      <c r="B453" s="270"/>
      <c r="C453" s="270"/>
      <c r="D453" s="270"/>
      <c r="E453" s="270"/>
    </row>
    <row r="454">
      <c r="A454" s="270"/>
      <c r="B454" s="270"/>
      <c r="C454" s="270"/>
      <c r="D454" s="270"/>
      <c r="E454" s="270"/>
    </row>
    <row r="455">
      <c r="A455" s="270"/>
      <c r="B455" s="270"/>
      <c r="C455" s="270"/>
      <c r="D455" s="270"/>
      <c r="E455" s="270"/>
    </row>
    <row r="456">
      <c r="A456" s="270"/>
      <c r="B456" s="270"/>
      <c r="C456" s="270"/>
      <c r="D456" s="270"/>
      <c r="E456" s="270"/>
    </row>
    <row r="457">
      <c r="A457" s="270"/>
      <c r="B457" s="270"/>
      <c r="C457" s="270"/>
      <c r="D457" s="270"/>
      <c r="E457" s="270"/>
    </row>
    <row r="458">
      <c r="A458" s="270"/>
      <c r="B458" s="270"/>
      <c r="C458" s="270"/>
      <c r="D458" s="270"/>
      <c r="E458" s="270"/>
    </row>
    <row r="459">
      <c r="A459" s="270"/>
      <c r="B459" s="270"/>
      <c r="C459" s="270"/>
      <c r="D459" s="270"/>
      <c r="E459" s="270"/>
    </row>
    <row r="460">
      <c r="A460" s="270"/>
      <c r="B460" s="270"/>
      <c r="C460" s="270"/>
      <c r="D460" s="270"/>
      <c r="E460" s="270"/>
    </row>
    <row r="461">
      <c r="A461" s="270"/>
      <c r="B461" s="270"/>
      <c r="C461" s="270"/>
      <c r="D461" s="270"/>
      <c r="E461" s="270"/>
    </row>
    <row r="462">
      <c r="A462" s="270"/>
      <c r="B462" s="270"/>
      <c r="C462" s="270"/>
      <c r="D462" s="270"/>
      <c r="E462" s="270"/>
    </row>
    <row r="463">
      <c r="A463" s="270"/>
      <c r="B463" s="270"/>
      <c r="C463" s="270"/>
      <c r="D463" s="270"/>
      <c r="E463" s="270"/>
    </row>
    <row r="464">
      <c r="A464" s="270"/>
      <c r="B464" s="270"/>
      <c r="C464" s="270"/>
      <c r="D464" s="270"/>
      <c r="E464" s="270"/>
    </row>
    <row r="465">
      <c r="A465" s="270"/>
      <c r="B465" s="270"/>
      <c r="C465" s="270"/>
      <c r="D465" s="270"/>
      <c r="E465" s="270"/>
    </row>
    <row r="466">
      <c r="A466" s="270"/>
      <c r="B466" s="270"/>
      <c r="C466" s="270"/>
      <c r="D466" s="270"/>
      <c r="E466" s="270"/>
    </row>
    <row r="467">
      <c r="A467" s="270"/>
      <c r="B467" s="270"/>
      <c r="C467" s="270"/>
      <c r="D467" s="270"/>
      <c r="E467" s="270"/>
    </row>
    <row r="468">
      <c r="A468" s="270"/>
      <c r="B468" s="270"/>
      <c r="C468" s="270"/>
      <c r="D468" s="270"/>
      <c r="E468" s="270"/>
    </row>
    <row r="469">
      <c r="A469" s="270"/>
      <c r="B469" s="270"/>
      <c r="C469" s="270"/>
      <c r="D469" s="270"/>
      <c r="E469" s="270"/>
    </row>
    <row r="470">
      <c r="A470" s="270"/>
      <c r="B470" s="270"/>
      <c r="C470" s="270"/>
      <c r="D470" s="270"/>
      <c r="E470" s="270"/>
    </row>
    <row r="471">
      <c r="A471" s="270"/>
      <c r="B471" s="270"/>
      <c r="C471" s="270"/>
      <c r="D471" s="270"/>
      <c r="E471" s="270"/>
    </row>
    <row r="472">
      <c r="A472" s="270"/>
      <c r="B472" s="270"/>
      <c r="C472" s="270"/>
      <c r="D472" s="270"/>
      <c r="E472" s="270"/>
    </row>
    <row r="473">
      <c r="A473" s="270"/>
      <c r="B473" s="270"/>
      <c r="C473" s="270"/>
      <c r="D473" s="270"/>
      <c r="E473" s="270"/>
    </row>
    <row r="474">
      <c r="A474" s="270"/>
      <c r="B474" s="270"/>
      <c r="C474" s="270"/>
      <c r="D474" s="270"/>
      <c r="E474" s="270"/>
    </row>
    <row r="475">
      <c r="A475" s="270"/>
      <c r="B475" s="270"/>
      <c r="C475" s="270"/>
      <c r="D475" s="270"/>
      <c r="E475" s="270"/>
    </row>
    <row r="476">
      <c r="A476" s="270"/>
      <c r="B476" s="270"/>
      <c r="C476" s="270"/>
      <c r="D476" s="270"/>
      <c r="E476" s="270"/>
    </row>
    <row r="477">
      <c r="A477" s="270"/>
      <c r="B477" s="270"/>
      <c r="C477" s="270"/>
      <c r="D477" s="270"/>
      <c r="E477" s="270"/>
    </row>
    <row r="478">
      <c r="A478" s="270"/>
      <c r="B478" s="270"/>
      <c r="C478" s="270"/>
      <c r="D478" s="270"/>
      <c r="E478" s="270"/>
    </row>
    <row r="479">
      <c r="A479" s="270"/>
      <c r="B479" s="270"/>
      <c r="C479" s="270"/>
      <c r="D479" s="270"/>
      <c r="E479" s="270"/>
    </row>
    <row r="480">
      <c r="A480" s="270"/>
      <c r="B480" s="270"/>
      <c r="C480" s="270"/>
      <c r="D480" s="270"/>
      <c r="E480" s="270"/>
    </row>
    <row r="481">
      <c r="A481" s="270"/>
      <c r="B481" s="270"/>
      <c r="C481" s="270"/>
      <c r="D481" s="270"/>
      <c r="E481" s="270"/>
    </row>
    <row r="482">
      <c r="A482" s="270"/>
      <c r="B482" s="270"/>
      <c r="C482" s="270"/>
      <c r="D482" s="270"/>
      <c r="E482" s="270"/>
    </row>
    <row r="483">
      <c r="A483" s="270"/>
      <c r="B483" s="270"/>
      <c r="C483" s="270"/>
      <c r="D483" s="270"/>
      <c r="E483" s="270"/>
    </row>
    <row r="484">
      <c r="A484" s="270"/>
      <c r="B484" s="270"/>
      <c r="C484" s="270"/>
      <c r="D484" s="270"/>
      <c r="E484" s="270"/>
    </row>
    <row r="485">
      <c r="A485" s="270"/>
      <c r="B485" s="270"/>
      <c r="C485" s="270"/>
      <c r="D485" s="270"/>
      <c r="E485" s="270"/>
    </row>
    <row r="486">
      <c r="A486" s="270"/>
      <c r="B486" s="270"/>
      <c r="C486" s="270"/>
      <c r="D486" s="270"/>
      <c r="E486" s="270"/>
    </row>
    <row r="487">
      <c r="A487" s="270"/>
      <c r="B487" s="270"/>
      <c r="C487" s="270"/>
      <c r="D487" s="270"/>
      <c r="E487" s="270"/>
    </row>
    <row r="488">
      <c r="A488" s="270"/>
      <c r="B488" s="270"/>
      <c r="C488" s="270"/>
      <c r="D488" s="270"/>
      <c r="E488" s="270"/>
    </row>
    <row r="489">
      <c r="A489" s="270"/>
      <c r="B489" s="270"/>
      <c r="C489" s="270"/>
      <c r="D489" s="270"/>
      <c r="E489" s="270"/>
    </row>
    <row r="490">
      <c r="A490" s="270"/>
      <c r="B490" s="270"/>
      <c r="C490" s="270"/>
      <c r="D490" s="270"/>
      <c r="E490" s="270"/>
    </row>
    <row r="491">
      <c r="A491" s="270"/>
      <c r="B491" s="270"/>
      <c r="C491" s="270"/>
      <c r="D491" s="270"/>
      <c r="E491" s="270"/>
    </row>
    <row r="492">
      <c r="A492" s="270"/>
      <c r="B492" s="270"/>
      <c r="C492" s="270"/>
      <c r="D492" s="270"/>
      <c r="E492" s="270"/>
    </row>
    <row r="493">
      <c r="A493" s="270"/>
      <c r="B493" s="270"/>
      <c r="C493" s="270"/>
      <c r="D493" s="270"/>
      <c r="E493" s="270"/>
    </row>
    <row r="494">
      <c r="A494" s="270"/>
      <c r="B494" s="270"/>
      <c r="C494" s="270"/>
      <c r="D494" s="270"/>
      <c r="E494" s="270"/>
    </row>
    <row r="495">
      <c r="A495" s="270"/>
      <c r="B495" s="270"/>
      <c r="C495" s="270"/>
      <c r="D495" s="270"/>
      <c r="E495" s="270"/>
    </row>
    <row r="496">
      <c r="A496" s="270"/>
      <c r="B496" s="270"/>
      <c r="C496" s="270"/>
      <c r="D496" s="270"/>
      <c r="E496" s="270"/>
    </row>
    <row r="497">
      <c r="A497" s="270"/>
      <c r="B497" s="270"/>
      <c r="C497" s="270"/>
      <c r="D497" s="270"/>
      <c r="E497" s="270"/>
    </row>
    <row r="498">
      <c r="A498" s="270"/>
      <c r="B498" s="270"/>
      <c r="C498" s="270"/>
      <c r="D498" s="270"/>
      <c r="E498" s="270"/>
    </row>
    <row r="499">
      <c r="A499" s="270"/>
      <c r="B499" s="270"/>
      <c r="C499" s="270"/>
      <c r="D499" s="270"/>
      <c r="E499" s="270"/>
    </row>
    <row r="500">
      <c r="A500" s="270"/>
      <c r="B500" s="270"/>
      <c r="C500" s="270"/>
      <c r="D500" s="270"/>
      <c r="E500" s="270"/>
    </row>
    <row r="501">
      <c r="A501" s="270"/>
      <c r="B501" s="270"/>
      <c r="C501" s="270"/>
      <c r="D501" s="270"/>
      <c r="E501" s="270"/>
    </row>
    <row r="502">
      <c r="A502" s="270"/>
      <c r="B502" s="270"/>
      <c r="C502" s="270"/>
      <c r="D502" s="270"/>
      <c r="E502" s="270"/>
    </row>
    <row r="503">
      <c r="A503" s="270"/>
      <c r="B503" s="270"/>
      <c r="C503" s="270"/>
      <c r="D503" s="270"/>
      <c r="E503" s="270"/>
    </row>
    <row r="504">
      <c r="A504" s="270"/>
      <c r="B504" s="270"/>
      <c r="C504" s="270"/>
      <c r="D504" s="270"/>
      <c r="E504" s="270"/>
    </row>
    <row r="505">
      <c r="A505" s="270"/>
      <c r="B505" s="270"/>
      <c r="C505" s="270"/>
      <c r="D505" s="270"/>
      <c r="E505" s="270"/>
    </row>
    <row r="506">
      <c r="A506" s="270"/>
      <c r="B506" s="270"/>
      <c r="C506" s="270"/>
      <c r="D506" s="270"/>
      <c r="E506" s="270"/>
    </row>
    <row r="507">
      <c r="A507" s="270"/>
      <c r="B507" s="270"/>
      <c r="C507" s="270"/>
      <c r="D507" s="270"/>
      <c r="E507" s="270"/>
    </row>
    <row r="508">
      <c r="A508" s="270"/>
      <c r="B508" s="270"/>
      <c r="C508" s="270"/>
      <c r="D508" s="270"/>
      <c r="E508" s="270"/>
    </row>
    <row r="509">
      <c r="A509" s="270"/>
      <c r="B509" s="270"/>
      <c r="C509" s="270"/>
      <c r="D509" s="270"/>
      <c r="E509" s="270"/>
    </row>
    <row r="510">
      <c r="A510" s="270"/>
      <c r="B510" s="270"/>
      <c r="C510" s="270"/>
      <c r="D510" s="270"/>
      <c r="E510" s="270"/>
    </row>
    <row r="511">
      <c r="A511" s="270"/>
      <c r="B511" s="270"/>
      <c r="C511" s="270"/>
      <c r="D511" s="270"/>
      <c r="E511" s="270"/>
    </row>
    <row r="512">
      <c r="A512" s="270"/>
      <c r="B512" s="270"/>
      <c r="C512" s="270"/>
      <c r="D512" s="270"/>
      <c r="E512" s="270"/>
    </row>
    <row r="513">
      <c r="A513" s="270"/>
      <c r="B513" s="270"/>
      <c r="C513" s="270"/>
      <c r="D513" s="270"/>
      <c r="E513" s="270"/>
    </row>
    <row r="514">
      <c r="A514" s="270"/>
      <c r="B514" s="270"/>
      <c r="C514" s="270"/>
      <c r="D514" s="270"/>
      <c r="E514" s="270"/>
    </row>
    <row r="515">
      <c r="A515" s="270"/>
      <c r="B515" s="270"/>
      <c r="C515" s="270"/>
      <c r="D515" s="270"/>
      <c r="E515" s="270"/>
    </row>
    <row r="516">
      <c r="A516" s="270"/>
      <c r="B516" s="270"/>
      <c r="C516" s="270"/>
      <c r="D516" s="270"/>
      <c r="E516" s="270"/>
    </row>
    <row r="517">
      <c r="A517" s="270"/>
      <c r="B517" s="270"/>
      <c r="C517" s="270"/>
      <c r="D517" s="270"/>
      <c r="E517" s="270"/>
    </row>
    <row r="518">
      <c r="A518" s="270"/>
      <c r="B518" s="270"/>
      <c r="C518" s="270"/>
      <c r="D518" s="270"/>
      <c r="E518" s="270"/>
    </row>
    <row r="519">
      <c r="A519" s="270"/>
      <c r="B519" s="270"/>
      <c r="C519" s="270"/>
      <c r="D519" s="270"/>
      <c r="E519" s="270"/>
    </row>
    <row r="520">
      <c r="A520" s="270"/>
      <c r="B520" s="270"/>
      <c r="C520" s="270"/>
      <c r="D520" s="270"/>
      <c r="E520" s="270"/>
    </row>
    <row r="521">
      <c r="A521" s="270"/>
      <c r="B521" s="270"/>
      <c r="C521" s="270"/>
      <c r="D521" s="270"/>
      <c r="E521" s="270"/>
    </row>
    <row r="522">
      <c r="A522" s="270"/>
      <c r="B522" s="270"/>
      <c r="C522" s="270"/>
      <c r="D522" s="270"/>
      <c r="E522" s="270"/>
    </row>
    <row r="523">
      <c r="A523" s="270"/>
      <c r="B523" s="270"/>
      <c r="C523" s="270"/>
      <c r="D523" s="270"/>
      <c r="E523" s="270"/>
    </row>
    <row r="524">
      <c r="A524" s="270"/>
      <c r="B524" s="270"/>
      <c r="C524" s="270"/>
      <c r="D524" s="270"/>
      <c r="E524" s="270"/>
    </row>
    <row r="525">
      <c r="A525" s="270"/>
      <c r="B525" s="270"/>
      <c r="C525" s="270"/>
      <c r="D525" s="270"/>
      <c r="E525" s="270"/>
    </row>
    <row r="526">
      <c r="A526" s="270"/>
      <c r="B526" s="270"/>
      <c r="C526" s="270"/>
      <c r="D526" s="270"/>
      <c r="E526" s="270"/>
    </row>
    <row r="527">
      <c r="A527" s="270"/>
      <c r="B527" s="270"/>
      <c r="C527" s="270"/>
      <c r="D527" s="270"/>
      <c r="E527" s="270"/>
    </row>
    <row r="528">
      <c r="A528" s="270"/>
      <c r="B528" s="270"/>
      <c r="C528" s="270"/>
      <c r="D528" s="270"/>
      <c r="E528" s="270"/>
    </row>
    <row r="529">
      <c r="A529" s="270"/>
      <c r="B529" s="270"/>
      <c r="C529" s="270"/>
      <c r="D529" s="270"/>
      <c r="E529" s="270"/>
    </row>
    <row r="530">
      <c r="A530" s="270"/>
      <c r="B530" s="270"/>
      <c r="C530" s="270"/>
      <c r="D530" s="270"/>
      <c r="E530" s="270"/>
    </row>
    <row r="531">
      <c r="A531" s="270"/>
      <c r="B531" s="270"/>
      <c r="C531" s="270"/>
      <c r="D531" s="270"/>
      <c r="E531" s="270"/>
    </row>
    <row r="532">
      <c r="A532" s="270"/>
      <c r="B532" s="270"/>
      <c r="C532" s="270"/>
      <c r="D532" s="270"/>
      <c r="E532" s="270"/>
    </row>
    <row r="533">
      <c r="A533" s="270"/>
      <c r="B533" s="270"/>
      <c r="C533" s="270"/>
      <c r="D533" s="270"/>
      <c r="E533" s="270"/>
    </row>
    <row r="534">
      <c r="A534" s="270"/>
      <c r="B534" s="270"/>
      <c r="C534" s="270"/>
      <c r="D534" s="270"/>
      <c r="E534" s="270"/>
    </row>
    <row r="535">
      <c r="A535" s="270"/>
      <c r="B535" s="270"/>
      <c r="C535" s="270"/>
      <c r="D535" s="270"/>
      <c r="E535" s="270"/>
    </row>
    <row r="536">
      <c r="A536" s="270"/>
      <c r="B536" s="270"/>
      <c r="C536" s="270"/>
      <c r="D536" s="270"/>
      <c r="E536" s="270"/>
    </row>
    <row r="537">
      <c r="A537" s="270"/>
      <c r="B537" s="270"/>
      <c r="C537" s="270"/>
      <c r="D537" s="270"/>
      <c r="E537" s="270"/>
    </row>
    <row r="538">
      <c r="A538" s="270"/>
      <c r="B538" s="270"/>
      <c r="C538" s="270"/>
      <c r="D538" s="270"/>
      <c r="E538" s="270"/>
    </row>
    <row r="539">
      <c r="A539" s="270"/>
      <c r="B539" s="270"/>
      <c r="C539" s="270"/>
      <c r="D539" s="270"/>
      <c r="E539" s="270"/>
    </row>
    <row r="540">
      <c r="A540" s="270"/>
      <c r="B540" s="270"/>
      <c r="C540" s="270"/>
      <c r="D540" s="270"/>
      <c r="E540" s="270"/>
    </row>
    <row r="541">
      <c r="A541" s="270"/>
      <c r="B541" s="270"/>
      <c r="C541" s="270"/>
      <c r="D541" s="270"/>
      <c r="E541" s="270"/>
    </row>
    <row r="542">
      <c r="A542" s="270"/>
      <c r="B542" s="270"/>
      <c r="C542" s="270"/>
      <c r="D542" s="270"/>
      <c r="E542" s="270"/>
    </row>
    <row r="543">
      <c r="A543" s="270"/>
      <c r="B543" s="270"/>
      <c r="C543" s="270"/>
      <c r="D543" s="270"/>
      <c r="E543" s="270"/>
    </row>
    <row r="544">
      <c r="A544" s="270"/>
      <c r="B544" s="270"/>
      <c r="C544" s="270"/>
      <c r="D544" s="270"/>
      <c r="E544" s="270"/>
    </row>
    <row r="545">
      <c r="A545" s="270"/>
      <c r="B545" s="270"/>
      <c r="C545" s="270"/>
      <c r="D545" s="270"/>
      <c r="E545" s="270"/>
    </row>
    <row r="546">
      <c r="A546" s="270"/>
      <c r="B546" s="270"/>
      <c r="C546" s="270"/>
      <c r="D546" s="270"/>
      <c r="E546" s="270"/>
    </row>
    <row r="547">
      <c r="A547" s="270"/>
      <c r="B547" s="270"/>
      <c r="C547" s="270"/>
      <c r="D547" s="270"/>
      <c r="E547" s="270"/>
    </row>
    <row r="548">
      <c r="A548" s="270"/>
      <c r="B548" s="270"/>
      <c r="C548" s="270"/>
      <c r="D548" s="270"/>
      <c r="E548" s="270"/>
    </row>
    <row r="549">
      <c r="A549" s="270"/>
      <c r="B549" s="270"/>
      <c r="C549" s="270"/>
      <c r="D549" s="270"/>
      <c r="E549" s="270"/>
    </row>
    <row r="550">
      <c r="A550" s="270"/>
      <c r="B550" s="270"/>
      <c r="C550" s="270"/>
      <c r="D550" s="270"/>
      <c r="E550" s="270"/>
    </row>
    <row r="551">
      <c r="A551" s="270"/>
      <c r="B551" s="270"/>
      <c r="C551" s="270"/>
      <c r="D551" s="270"/>
      <c r="E551" s="270"/>
    </row>
    <row r="552">
      <c r="A552" s="270"/>
      <c r="B552" s="270"/>
      <c r="C552" s="270"/>
      <c r="D552" s="270"/>
      <c r="E552" s="270"/>
    </row>
    <row r="553">
      <c r="A553" s="270"/>
      <c r="B553" s="270"/>
      <c r="C553" s="270"/>
      <c r="D553" s="270"/>
      <c r="E553" s="270"/>
    </row>
    <row r="554">
      <c r="A554" s="270"/>
      <c r="B554" s="270"/>
      <c r="C554" s="270"/>
      <c r="D554" s="270"/>
      <c r="E554" s="270"/>
    </row>
    <row r="555">
      <c r="A555" s="270"/>
      <c r="B555" s="270"/>
      <c r="C555" s="270"/>
      <c r="D555" s="270"/>
      <c r="E555" s="270"/>
    </row>
    <row r="556">
      <c r="A556" s="270"/>
      <c r="B556" s="270"/>
      <c r="C556" s="270"/>
      <c r="D556" s="270"/>
      <c r="E556" s="270"/>
    </row>
    <row r="557">
      <c r="A557" s="270"/>
      <c r="B557" s="270"/>
      <c r="C557" s="270"/>
      <c r="D557" s="270"/>
      <c r="E557" s="270"/>
    </row>
    <row r="558">
      <c r="A558" s="270"/>
      <c r="B558" s="270"/>
      <c r="C558" s="270"/>
      <c r="D558" s="270"/>
      <c r="E558" s="270"/>
    </row>
    <row r="559">
      <c r="A559" s="270"/>
      <c r="B559" s="270"/>
      <c r="C559" s="270"/>
      <c r="D559" s="270"/>
      <c r="E559" s="270"/>
    </row>
    <row r="560">
      <c r="A560" s="270"/>
      <c r="B560" s="270"/>
      <c r="C560" s="270"/>
      <c r="D560" s="270"/>
      <c r="E560" s="270"/>
    </row>
    <row r="561">
      <c r="A561" s="270"/>
      <c r="B561" s="270"/>
      <c r="C561" s="270"/>
      <c r="D561" s="270"/>
      <c r="E561" s="270"/>
    </row>
    <row r="562">
      <c r="A562" s="270"/>
      <c r="B562" s="270"/>
      <c r="C562" s="270"/>
      <c r="D562" s="270"/>
      <c r="E562" s="270"/>
    </row>
    <row r="563">
      <c r="A563" s="270"/>
      <c r="B563" s="270"/>
      <c r="C563" s="270"/>
      <c r="D563" s="270"/>
      <c r="E563" s="270"/>
    </row>
    <row r="564">
      <c r="A564" s="270"/>
      <c r="B564" s="270"/>
      <c r="C564" s="270"/>
      <c r="D564" s="270"/>
      <c r="E564" s="270"/>
    </row>
    <row r="565">
      <c r="A565" s="270"/>
      <c r="B565" s="270"/>
      <c r="C565" s="270"/>
      <c r="D565" s="270"/>
      <c r="E565" s="270"/>
    </row>
    <row r="566">
      <c r="A566" s="270"/>
      <c r="B566" s="270"/>
      <c r="C566" s="270"/>
      <c r="D566" s="270"/>
      <c r="E566" s="270"/>
    </row>
    <row r="567">
      <c r="A567" s="270"/>
      <c r="B567" s="270"/>
      <c r="C567" s="270"/>
      <c r="D567" s="270"/>
      <c r="E567" s="270"/>
    </row>
    <row r="568">
      <c r="A568" s="270"/>
      <c r="B568" s="270"/>
      <c r="C568" s="270"/>
      <c r="D568" s="270"/>
      <c r="E568" s="270"/>
    </row>
    <row r="569">
      <c r="A569" s="270"/>
      <c r="B569" s="270"/>
      <c r="C569" s="270"/>
      <c r="D569" s="270"/>
      <c r="E569" s="270"/>
    </row>
    <row r="570">
      <c r="A570" s="270"/>
      <c r="B570" s="270"/>
      <c r="C570" s="270"/>
      <c r="D570" s="270"/>
      <c r="E570" s="270"/>
    </row>
    <row r="571">
      <c r="A571" s="270"/>
      <c r="B571" s="270"/>
      <c r="C571" s="270"/>
      <c r="D571" s="270"/>
      <c r="E571" s="270"/>
    </row>
    <row r="572">
      <c r="A572" s="270"/>
      <c r="B572" s="270"/>
      <c r="C572" s="270"/>
      <c r="D572" s="270"/>
      <c r="E572" s="270"/>
    </row>
    <row r="573">
      <c r="A573" s="270"/>
      <c r="B573" s="270"/>
      <c r="C573" s="270"/>
      <c r="D573" s="270"/>
      <c r="E573" s="270"/>
    </row>
    <row r="574">
      <c r="A574" s="270"/>
      <c r="B574" s="270"/>
      <c r="C574" s="270"/>
      <c r="D574" s="270"/>
      <c r="E574" s="270"/>
    </row>
    <row r="575">
      <c r="A575" s="270"/>
      <c r="B575" s="270"/>
      <c r="C575" s="270"/>
      <c r="D575" s="270"/>
      <c r="E575" s="270"/>
    </row>
    <row r="576">
      <c r="A576" s="270"/>
      <c r="B576" s="270"/>
      <c r="C576" s="270"/>
      <c r="D576" s="270"/>
      <c r="E576" s="270"/>
    </row>
    <row r="577">
      <c r="A577" s="270"/>
      <c r="B577" s="270"/>
      <c r="C577" s="270"/>
      <c r="D577" s="270"/>
      <c r="E577" s="270"/>
    </row>
    <row r="578">
      <c r="A578" s="270"/>
      <c r="B578" s="270"/>
      <c r="C578" s="270"/>
      <c r="D578" s="270"/>
      <c r="E578" s="270"/>
    </row>
    <row r="579">
      <c r="A579" s="270"/>
      <c r="B579" s="270"/>
      <c r="C579" s="270"/>
      <c r="D579" s="270"/>
      <c r="E579" s="270"/>
    </row>
    <row r="580">
      <c r="A580" s="270"/>
      <c r="B580" s="270"/>
      <c r="C580" s="270"/>
      <c r="D580" s="270"/>
      <c r="E580" s="270"/>
    </row>
    <row r="581">
      <c r="A581" s="270"/>
      <c r="B581" s="270"/>
      <c r="C581" s="270"/>
      <c r="D581" s="270"/>
      <c r="E581" s="270"/>
    </row>
    <row r="582">
      <c r="A582" s="270"/>
      <c r="B582" s="270"/>
      <c r="C582" s="270"/>
      <c r="D582" s="270"/>
      <c r="E582" s="270"/>
    </row>
    <row r="583">
      <c r="A583" s="270"/>
      <c r="B583" s="270"/>
      <c r="C583" s="270"/>
      <c r="D583" s="270"/>
      <c r="E583" s="270"/>
    </row>
    <row r="584">
      <c r="A584" s="270"/>
      <c r="B584" s="270"/>
      <c r="C584" s="270"/>
      <c r="D584" s="270"/>
      <c r="E584" s="270"/>
    </row>
    <row r="585">
      <c r="A585" s="270"/>
      <c r="B585" s="270"/>
      <c r="C585" s="270"/>
      <c r="D585" s="270"/>
      <c r="E585" s="270"/>
    </row>
    <row r="586">
      <c r="A586" s="270"/>
      <c r="B586" s="270"/>
      <c r="C586" s="270"/>
      <c r="D586" s="270"/>
      <c r="E586" s="270"/>
    </row>
    <row r="587">
      <c r="A587" s="270"/>
      <c r="B587" s="270"/>
      <c r="C587" s="270"/>
      <c r="D587" s="270"/>
      <c r="E587" s="270"/>
    </row>
    <row r="588">
      <c r="A588" s="270"/>
      <c r="B588" s="270"/>
      <c r="C588" s="270"/>
      <c r="D588" s="270"/>
      <c r="E588" s="270"/>
    </row>
    <row r="589">
      <c r="A589" s="270"/>
      <c r="B589" s="270"/>
      <c r="C589" s="270"/>
      <c r="D589" s="270"/>
      <c r="E589" s="270"/>
    </row>
    <row r="590">
      <c r="A590" s="270"/>
      <c r="B590" s="270"/>
      <c r="C590" s="270"/>
      <c r="D590" s="270"/>
      <c r="E590" s="270"/>
    </row>
    <row r="591">
      <c r="A591" s="270"/>
      <c r="B591" s="270"/>
      <c r="C591" s="270"/>
      <c r="D591" s="270"/>
      <c r="E591" s="270"/>
    </row>
    <row r="592">
      <c r="A592" s="270"/>
      <c r="B592" s="270"/>
      <c r="C592" s="270"/>
      <c r="D592" s="270"/>
      <c r="E592" s="270"/>
    </row>
    <row r="593">
      <c r="A593" s="270"/>
      <c r="B593" s="270"/>
      <c r="C593" s="270"/>
      <c r="D593" s="270"/>
      <c r="E593" s="270"/>
    </row>
    <row r="594">
      <c r="A594" s="270"/>
      <c r="B594" s="270"/>
      <c r="C594" s="270"/>
      <c r="D594" s="270"/>
      <c r="E594" s="270"/>
    </row>
    <row r="595">
      <c r="A595" s="270"/>
      <c r="B595" s="270"/>
      <c r="C595" s="270"/>
      <c r="D595" s="270"/>
      <c r="E595" s="270"/>
    </row>
    <row r="596">
      <c r="A596" s="270"/>
      <c r="B596" s="270"/>
      <c r="C596" s="270"/>
      <c r="D596" s="270"/>
      <c r="E596" s="270"/>
    </row>
    <row r="597">
      <c r="A597" s="270"/>
      <c r="B597" s="270"/>
      <c r="C597" s="270"/>
      <c r="D597" s="270"/>
      <c r="E597" s="270"/>
    </row>
    <row r="598">
      <c r="A598" s="270"/>
      <c r="B598" s="270"/>
      <c r="C598" s="270"/>
      <c r="D598" s="270"/>
      <c r="E598" s="270"/>
    </row>
    <row r="599">
      <c r="A599" s="270"/>
      <c r="B599" s="270"/>
      <c r="C599" s="270"/>
      <c r="D599" s="270"/>
      <c r="E599" s="270"/>
    </row>
    <row r="600">
      <c r="A600" s="270"/>
      <c r="B600" s="270"/>
      <c r="C600" s="270"/>
      <c r="D600" s="270"/>
      <c r="E600" s="270"/>
    </row>
    <row r="601">
      <c r="A601" s="270"/>
      <c r="B601" s="270"/>
      <c r="C601" s="270"/>
      <c r="D601" s="270"/>
      <c r="E601" s="270"/>
    </row>
    <row r="602">
      <c r="A602" s="270"/>
      <c r="B602" s="270"/>
      <c r="C602" s="270"/>
      <c r="D602" s="270"/>
      <c r="E602" s="270"/>
    </row>
    <row r="603">
      <c r="A603" s="270"/>
      <c r="B603" s="270"/>
      <c r="C603" s="270"/>
      <c r="D603" s="270"/>
      <c r="E603" s="270"/>
    </row>
    <row r="604">
      <c r="A604" s="270"/>
      <c r="B604" s="270"/>
      <c r="C604" s="270"/>
      <c r="D604" s="270"/>
      <c r="E604" s="270"/>
    </row>
    <row r="605">
      <c r="A605" s="270"/>
      <c r="B605" s="270"/>
      <c r="C605" s="270"/>
      <c r="D605" s="270"/>
      <c r="E605" s="270"/>
    </row>
    <row r="606">
      <c r="A606" s="270"/>
      <c r="B606" s="270"/>
      <c r="C606" s="270"/>
      <c r="D606" s="270"/>
      <c r="E606" s="270"/>
    </row>
    <row r="607">
      <c r="A607" s="270"/>
      <c r="B607" s="270"/>
      <c r="C607" s="270"/>
      <c r="D607" s="270"/>
      <c r="E607" s="270"/>
    </row>
    <row r="608">
      <c r="A608" s="270"/>
      <c r="B608" s="270"/>
      <c r="C608" s="270"/>
      <c r="D608" s="270"/>
      <c r="E608" s="270"/>
    </row>
    <row r="609">
      <c r="A609" s="270"/>
      <c r="B609" s="270"/>
      <c r="C609" s="270"/>
      <c r="D609" s="270"/>
      <c r="E609" s="270"/>
    </row>
    <row r="610">
      <c r="A610" s="270"/>
      <c r="B610" s="270"/>
      <c r="C610" s="270"/>
      <c r="D610" s="270"/>
      <c r="E610" s="270"/>
    </row>
    <row r="611">
      <c r="A611" s="270"/>
      <c r="B611" s="270"/>
      <c r="C611" s="270"/>
      <c r="D611" s="270"/>
      <c r="E611" s="270"/>
    </row>
    <row r="612">
      <c r="A612" s="270"/>
      <c r="B612" s="270"/>
      <c r="C612" s="270"/>
      <c r="D612" s="270"/>
      <c r="E612" s="270"/>
    </row>
    <row r="613">
      <c r="A613" s="270"/>
      <c r="B613" s="270"/>
      <c r="C613" s="270"/>
      <c r="D613" s="270"/>
      <c r="E613" s="270"/>
    </row>
    <row r="614">
      <c r="A614" s="270"/>
      <c r="B614" s="270"/>
      <c r="C614" s="270"/>
      <c r="D614" s="270"/>
      <c r="E614" s="270"/>
    </row>
    <row r="615">
      <c r="A615" s="270"/>
      <c r="B615" s="270"/>
      <c r="C615" s="270"/>
      <c r="D615" s="270"/>
      <c r="E615" s="270"/>
    </row>
    <row r="616">
      <c r="A616" s="270"/>
      <c r="B616" s="270"/>
      <c r="C616" s="270"/>
      <c r="D616" s="270"/>
      <c r="E616" s="270"/>
    </row>
    <row r="617">
      <c r="A617" s="270"/>
      <c r="B617" s="270"/>
      <c r="C617" s="270"/>
      <c r="D617" s="270"/>
      <c r="E617" s="270"/>
    </row>
    <row r="618">
      <c r="A618" s="270"/>
      <c r="B618" s="270"/>
      <c r="C618" s="270"/>
      <c r="D618" s="270"/>
      <c r="E618" s="270"/>
    </row>
    <row r="619">
      <c r="A619" s="270"/>
      <c r="B619" s="270"/>
      <c r="C619" s="270"/>
      <c r="D619" s="270"/>
      <c r="E619" s="270"/>
    </row>
    <row r="620">
      <c r="A620" s="270"/>
      <c r="B620" s="270"/>
      <c r="C620" s="270"/>
      <c r="D620" s="270"/>
      <c r="E620" s="270"/>
    </row>
    <row r="621">
      <c r="A621" s="270"/>
      <c r="B621" s="270"/>
      <c r="C621" s="270"/>
      <c r="D621" s="270"/>
      <c r="E621" s="270"/>
    </row>
    <row r="622">
      <c r="A622" s="270"/>
      <c r="B622" s="270"/>
      <c r="C622" s="270"/>
      <c r="D622" s="270"/>
      <c r="E622" s="270"/>
    </row>
    <row r="623">
      <c r="A623" s="270"/>
      <c r="B623" s="270"/>
      <c r="C623" s="270"/>
      <c r="D623" s="270"/>
      <c r="E623" s="270"/>
    </row>
    <row r="624">
      <c r="A624" s="270"/>
      <c r="B624" s="270"/>
      <c r="C624" s="270"/>
      <c r="D624" s="270"/>
      <c r="E624" s="270"/>
    </row>
    <row r="625">
      <c r="A625" s="270"/>
      <c r="B625" s="270"/>
      <c r="C625" s="270"/>
      <c r="D625" s="270"/>
      <c r="E625" s="270"/>
    </row>
    <row r="626">
      <c r="A626" s="270"/>
      <c r="B626" s="270"/>
      <c r="C626" s="270"/>
      <c r="D626" s="270"/>
      <c r="E626" s="270"/>
    </row>
    <row r="627">
      <c r="A627" s="270"/>
      <c r="B627" s="270"/>
      <c r="C627" s="270"/>
      <c r="D627" s="270"/>
      <c r="E627" s="270"/>
    </row>
    <row r="628">
      <c r="A628" s="270"/>
      <c r="B628" s="270"/>
      <c r="C628" s="270"/>
      <c r="D628" s="270"/>
      <c r="E628" s="270"/>
    </row>
    <row r="629">
      <c r="A629" s="270"/>
      <c r="B629" s="270"/>
      <c r="C629" s="270"/>
      <c r="D629" s="270"/>
      <c r="E629" s="270"/>
    </row>
    <row r="630">
      <c r="A630" s="270"/>
      <c r="B630" s="270"/>
      <c r="C630" s="270"/>
      <c r="D630" s="270"/>
      <c r="E630" s="270"/>
    </row>
    <row r="631">
      <c r="A631" s="270"/>
      <c r="B631" s="270"/>
      <c r="C631" s="270"/>
      <c r="D631" s="270"/>
      <c r="E631" s="270"/>
    </row>
    <row r="632">
      <c r="A632" s="270"/>
      <c r="B632" s="270"/>
      <c r="C632" s="270"/>
      <c r="D632" s="270"/>
      <c r="E632" s="270"/>
    </row>
    <row r="633">
      <c r="A633" s="270"/>
      <c r="B633" s="270"/>
      <c r="C633" s="270"/>
      <c r="D633" s="270"/>
      <c r="E633" s="270"/>
    </row>
    <row r="634">
      <c r="A634" s="270"/>
      <c r="B634" s="270"/>
      <c r="C634" s="270"/>
      <c r="D634" s="270"/>
      <c r="E634" s="270"/>
    </row>
    <row r="635">
      <c r="A635" s="270"/>
      <c r="B635" s="270"/>
      <c r="C635" s="270"/>
      <c r="D635" s="270"/>
      <c r="E635" s="270"/>
    </row>
    <row r="636">
      <c r="A636" s="270"/>
      <c r="B636" s="270"/>
      <c r="C636" s="270"/>
      <c r="D636" s="270"/>
      <c r="E636" s="270"/>
    </row>
    <row r="637">
      <c r="A637" s="270"/>
      <c r="B637" s="270"/>
      <c r="C637" s="270"/>
      <c r="D637" s="270"/>
      <c r="E637" s="270"/>
    </row>
    <row r="638">
      <c r="A638" s="270"/>
      <c r="B638" s="270"/>
      <c r="C638" s="270"/>
      <c r="D638" s="270"/>
      <c r="E638" s="270"/>
    </row>
    <row r="639">
      <c r="A639" s="270"/>
      <c r="B639" s="270"/>
      <c r="C639" s="270"/>
      <c r="D639" s="270"/>
      <c r="E639" s="270"/>
    </row>
    <row r="640">
      <c r="A640" s="270"/>
      <c r="B640" s="270"/>
      <c r="C640" s="270"/>
      <c r="D640" s="270"/>
      <c r="E640" s="270"/>
    </row>
    <row r="641">
      <c r="A641" s="270"/>
      <c r="B641" s="270"/>
      <c r="C641" s="270"/>
      <c r="D641" s="270"/>
      <c r="E641" s="270"/>
    </row>
    <row r="642">
      <c r="A642" s="270"/>
      <c r="B642" s="270"/>
      <c r="C642" s="270"/>
      <c r="D642" s="270"/>
      <c r="E642" s="270"/>
    </row>
    <row r="643">
      <c r="A643" s="270"/>
      <c r="B643" s="270"/>
      <c r="C643" s="270"/>
      <c r="D643" s="270"/>
      <c r="E643" s="270"/>
    </row>
    <row r="644">
      <c r="A644" s="270"/>
      <c r="B644" s="270"/>
      <c r="C644" s="270"/>
      <c r="D644" s="270"/>
      <c r="E644" s="270"/>
    </row>
    <row r="645">
      <c r="A645" s="270"/>
      <c r="B645" s="270"/>
      <c r="C645" s="270"/>
      <c r="D645" s="270"/>
      <c r="E645" s="270"/>
    </row>
    <row r="646">
      <c r="A646" s="270"/>
      <c r="B646" s="270"/>
      <c r="C646" s="270"/>
      <c r="D646" s="270"/>
      <c r="E646" s="270"/>
    </row>
    <row r="647">
      <c r="A647" s="270"/>
      <c r="B647" s="270"/>
      <c r="C647" s="270"/>
      <c r="D647" s="270"/>
      <c r="E647" s="270"/>
    </row>
    <row r="648">
      <c r="A648" s="270"/>
      <c r="B648" s="270"/>
      <c r="C648" s="270"/>
      <c r="D648" s="270"/>
      <c r="E648" s="270"/>
    </row>
    <row r="649">
      <c r="A649" s="270"/>
      <c r="B649" s="270"/>
      <c r="C649" s="270"/>
      <c r="D649" s="270"/>
      <c r="E649" s="270"/>
    </row>
    <row r="650">
      <c r="A650" s="270"/>
      <c r="B650" s="270"/>
      <c r="C650" s="270"/>
      <c r="D650" s="270"/>
      <c r="E650" s="270"/>
    </row>
    <row r="651">
      <c r="A651" s="270"/>
      <c r="B651" s="270"/>
      <c r="C651" s="270"/>
      <c r="D651" s="270"/>
      <c r="E651" s="270"/>
    </row>
    <row r="652">
      <c r="A652" s="270"/>
      <c r="B652" s="270"/>
      <c r="C652" s="270"/>
      <c r="D652" s="270"/>
      <c r="E652" s="270"/>
    </row>
    <row r="653">
      <c r="A653" s="270"/>
      <c r="B653" s="270"/>
      <c r="C653" s="270"/>
      <c r="D653" s="270"/>
      <c r="E653" s="270"/>
    </row>
    <row r="654">
      <c r="A654" s="270"/>
      <c r="B654" s="270"/>
      <c r="C654" s="270"/>
      <c r="D654" s="270"/>
      <c r="E654" s="270"/>
    </row>
    <row r="655">
      <c r="A655" s="270"/>
      <c r="B655" s="270"/>
      <c r="C655" s="270"/>
      <c r="D655" s="270"/>
      <c r="E655" s="270"/>
    </row>
    <row r="656">
      <c r="A656" s="270"/>
      <c r="B656" s="270"/>
      <c r="C656" s="270"/>
      <c r="D656" s="270"/>
      <c r="E656" s="270"/>
    </row>
    <row r="657">
      <c r="A657" s="270"/>
      <c r="B657" s="270"/>
      <c r="C657" s="270"/>
      <c r="D657" s="270"/>
      <c r="E657" s="270"/>
    </row>
    <row r="658">
      <c r="A658" s="270"/>
      <c r="B658" s="270"/>
      <c r="C658" s="270"/>
      <c r="D658" s="270"/>
      <c r="E658" s="270"/>
    </row>
    <row r="659">
      <c r="A659" s="270"/>
      <c r="B659" s="270"/>
      <c r="C659" s="270"/>
      <c r="D659" s="270"/>
      <c r="E659" s="270"/>
    </row>
    <row r="660">
      <c r="A660" s="270"/>
      <c r="B660" s="270"/>
      <c r="C660" s="270"/>
      <c r="D660" s="270"/>
      <c r="E660" s="270"/>
    </row>
    <row r="661">
      <c r="A661" s="270"/>
      <c r="B661" s="270"/>
      <c r="C661" s="270"/>
      <c r="D661" s="270"/>
      <c r="E661" s="270"/>
    </row>
    <row r="662">
      <c r="A662" s="270"/>
      <c r="B662" s="270"/>
      <c r="C662" s="270"/>
      <c r="D662" s="270"/>
      <c r="E662" s="270"/>
    </row>
    <row r="663">
      <c r="A663" s="270"/>
      <c r="B663" s="270"/>
      <c r="C663" s="270"/>
      <c r="D663" s="270"/>
      <c r="E663" s="270"/>
    </row>
    <row r="664">
      <c r="A664" s="270"/>
      <c r="B664" s="270"/>
      <c r="C664" s="270"/>
      <c r="D664" s="270"/>
      <c r="E664" s="270"/>
    </row>
    <row r="665">
      <c r="A665" s="270"/>
      <c r="B665" s="270"/>
      <c r="C665" s="270"/>
      <c r="D665" s="270"/>
      <c r="E665" s="270"/>
    </row>
    <row r="666">
      <c r="A666" s="270"/>
      <c r="B666" s="270"/>
      <c r="C666" s="270"/>
      <c r="D666" s="270"/>
      <c r="E666" s="270"/>
    </row>
    <row r="667">
      <c r="A667" s="270"/>
      <c r="B667" s="270"/>
      <c r="C667" s="270"/>
      <c r="D667" s="270"/>
      <c r="E667" s="270"/>
    </row>
    <row r="668">
      <c r="A668" s="270"/>
      <c r="B668" s="270"/>
      <c r="C668" s="270"/>
      <c r="D668" s="270"/>
      <c r="E668" s="270"/>
    </row>
    <row r="669">
      <c r="A669" s="270"/>
      <c r="B669" s="270"/>
      <c r="C669" s="270"/>
      <c r="D669" s="270"/>
      <c r="E669" s="270"/>
    </row>
    <row r="670">
      <c r="A670" s="270"/>
      <c r="B670" s="270"/>
      <c r="C670" s="270"/>
      <c r="D670" s="270"/>
      <c r="E670" s="270"/>
    </row>
    <row r="671">
      <c r="A671" s="270"/>
      <c r="B671" s="270"/>
      <c r="C671" s="270"/>
      <c r="D671" s="270"/>
      <c r="E671" s="270"/>
    </row>
    <row r="672">
      <c r="A672" s="270"/>
      <c r="B672" s="270"/>
      <c r="C672" s="270"/>
      <c r="D672" s="270"/>
      <c r="E672" s="270"/>
    </row>
    <row r="673">
      <c r="A673" s="270"/>
      <c r="B673" s="270"/>
      <c r="C673" s="270"/>
      <c r="D673" s="270"/>
      <c r="E673" s="270"/>
    </row>
    <row r="674">
      <c r="A674" s="270"/>
      <c r="B674" s="270"/>
      <c r="C674" s="270"/>
      <c r="D674" s="270"/>
      <c r="E674" s="270"/>
    </row>
    <row r="675">
      <c r="A675" s="270"/>
      <c r="B675" s="270"/>
      <c r="C675" s="270"/>
      <c r="D675" s="270"/>
      <c r="E675" s="270"/>
    </row>
    <row r="676">
      <c r="A676" s="270"/>
      <c r="B676" s="270"/>
      <c r="C676" s="270"/>
      <c r="D676" s="270"/>
      <c r="E676" s="270"/>
    </row>
    <row r="677">
      <c r="A677" s="270"/>
      <c r="B677" s="270"/>
      <c r="C677" s="270"/>
      <c r="D677" s="270"/>
      <c r="E677" s="270"/>
    </row>
    <row r="678">
      <c r="A678" s="270"/>
      <c r="B678" s="270"/>
      <c r="C678" s="270"/>
      <c r="D678" s="270"/>
      <c r="E678" s="270"/>
    </row>
    <row r="679">
      <c r="A679" s="270"/>
      <c r="B679" s="270"/>
      <c r="C679" s="270"/>
      <c r="D679" s="270"/>
      <c r="E679" s="270"/>
    </row>
    <row r="680">
      <c r="A680" s="270"/>
      <c r="B680" s="270"/>
      <c r="C680" s="270"/>
      <c r="D680" s="270"/>
      <c r="E680" s="270"/>
    </row>
    <row r="681">
      <c r="A681" s="270"/>
      <c r="B681" s="270"/>
      <c r="C681" s="270"/>
      <c r="D681" s="270"/>
      <c r="E681" s="270"/>
    </row>
    <row r="682">
      <c r="A682" s="270"/>
      <c r="B682" s="270"/>
      <c r="C682" s="270"/>
      <c r="D682" s="270"/>
      <c r="E682" s="270"/>
    </row>
    <row r="683">
      <c r="A683" s="270"/>
      <c r="B683" s="270"/>
      <c r="C683" s="270"/>
      <c r="D683" s="270"/>
      <c r="E683" s="270"/>
    </row>
    <row r="684">
      <c r="A684" s="270"/>
      <c r="B684" s="270"/>
      <c r="C684" s="270"/>
      <c r="D684" s="270"/>
      <c r="E684" s="270"/>
    </row>
    <row r="685">
      <c r="A685" s="270"/>
      <c r="B685" s="270"/>
      <c r="C685" s="270"/>
      <c r="D685" s="270"/>
      <c r="E685" s="270"/>
    </row>
    <row r="686">
      <c r="A686" s="270"/>
      <c r="B686" s="270"/>
      <c r="C686" s="270"/>
      <c r="D686" s="270"/>
      <c r="E686" s="270"/>
    </row>
    <row r="687">
      <c r="A687" s="270"/>
      <c r="B687" s="270"/>
      <c r="C687" s="270"/>
      <c r="D687" s="270"/>
      <c r="E687" s="270"/>
    </row>
    <row r="688">
      <c r="A688" s="270"/>
      <c r="B688" s="270"/>
      <c r="C688" s="270"/>
      <c r="D688" s="270"/>
      <c r="E688" s="270"/>
    </row>
    <row r="689">
      <c r="A689" s="270"/>
      <c r="B689" s="270"/>
      <c r="C689" s="270"/>
      <c r="D689" s="270"/>
      <c r="E689" s="270"/>
    </row>
    <row r="690">
      <c r="A690" s="270"/>
      <c r="B690" s="270"/>
      <c r="C690" s="270"/>
      <c r="D690" s="270"/>
      <c r="E690" s="270"/>
    </row>
    <row r="691">
      <c r="A691" s="270"/>
      <c r="B691" s="270"/>
      <c r="C691" s="270"/>
      <c r="D691" s="270"/>
      <c r="E691" s="270"/>
    </row>
    <row r="692">
      <c r="A692" s="270"/>
      <c r="B692" s="270"/>
      <c r="C692" s="270"/>
      <c r="D692" s="270"/>
      <c r="E692" s="270"/>
    </row>
    <row r="693">
      <c r="A693" s="270"/>
      <c r="B693" s="270"/>
      <c r="C693" s="270"/>
      <c r="D693" s="270"/>
      <c r="E693" s="270"/>
    </row>
    <row r="694">
      <c r="A694" s="270"/>
      <c r="B694" s="270"/>
      <c r="C694" s="270"/>
      <c r="D694" s="270"/>
      <c r="E694" s="270"/>
    </row>
    <row r="695">
      <c r="A695" s="270"/>
      <c r="B695" s="270"/>
      <c r="C695" s="270"/>
      <c r="D695" s="270"/>
      <c r="E695" s="270"/>
    </row>
    <row r="696">
      <c r="A696" s="270"/>
      <c r="B696" s="270"/>
      <c r="C696" s="270"/>
      <c r="D696" s="270"/>
      <c r="E696" s="270"/>
    </row>
    <row r="697">
      <c r="A697" s="270"/>
      <c r="B697" s="270"/>
      <c r="C697" s="270"/>
      <c r="D697" s="270"/>
      <c r="E697" s="270"/>
    </row>
    <row r="698">
      <c r="A698" s="270"/>
      <c r="B698" s="270"/>
      <c r="C698" s="270"/>
      <c r="D698" s="270"/>
      <c r="E698" s="270"/>
    </row>
    <row r="699">
      <c r="A699" s="270"/>
      <c r="B699" s="270"/>
      <c r="C699" s="270"/>
      <c r="D699" s="270"/>
      <c r="E699" s="270"/>
    </row>
    <row r="700">
      <c r="A700" s="270"/>
      <c r="B700" s="270"/>
      <c r="C700" s="270"/>
      <c r="D700" s="270"/>
      <c r="E700" s="270"/>
    </row>
    <row r="701">
      <c r="A701" s="270"/>
      <c r="B701" s="270"/>
      <c r="C701" s="270"/>
      <c r="D701" s="270"/>
      <c r="E701" s="270"/>
    </row>
    <row r="702">
      <c r="A702" s="270"/>
      <c r="B702" s="270"/>
      <c r="C702" s="270"/>
      <c r="D702" s="270"/>
      <c r="E702" s="270"/>
    </row>
    <row r="703">
      <c r="A703" s="270"/>
      <c r="B703" s="270"/>
      <c r="C703" s="270"/>
      <c r="D703" s="270"/>
      <c r="E703" s="270"/>
    </row>
    <row r="704">
      <c r="A704" s="270"/>
      <c r="B704" s="270"/>
      <c r="C704" s="270"/>
      <c r="D704" s="270"/>
      <c r="E704" s="270"/>
    </row>
    <row r="705">
      <c r="A705" s="270"/>
      <c r="B705" s="270"/>
      <c r="C705" s="270"/>
      <c r="D705" s="270"/>
      <c r="E705" s="270"/>
    </row>
    <row r="706">
      <c r="A706" s="270"/>
      <c r="B706" s="270"/>
      <c r="C706" s="270"/>
      <c r="D706" s="270"/>
      <c r="E706" s="270"/>
    </row>
    <row r="707">
      <c r="A707" s="270"/>
      <c r="B707" s="270"/>
      <c r="C707" s="270"/>
      <c r="D707" s="270"/>
      <c r="E707" s="270"/>
    </row>
    <row r="708">
      <c r="A708" s="270"/>
      <c r="B708" s="270"/>
      <c r="C708" s="270"/>
      <c r="D708" s="270"/>
      <c r="E708" s="270"/>
    </row>
    <row r="709">
      <c r="A709" s="270"/>
      <c r="B709" s="270"/>
      <c r="C709" s="270"/>
      <c r="D709" s="270"/>
      <c r="E709" s="270"/>
    </row>
    <row r="710">
      <c r="A710" s="270"/>
      <c r="B710" s="270"/>
      <c r="C710" s="270"/>
      <c r="D710" s="270"/>
      <c r="E710" s="270"/>
    </row>
    <row r="711">
      <c r="A711" s="270"/>
      <c r="B711" s="270"/>
      <c r="C711" s="270"/>
      <c r="D711" s="270"/>
      <c r="E711" s="270"/>
    </row>
    <row r="712">
      <c r="A712" s="270"/>
      <c r="B712" s="270"/>
      <c r="C712" s="270"/>
      <c r="D712" s="270"/>
      <c r="E712" s="270"/>
    </row>
    <row r="713">
      <c r="A713" s="270"/>
      <c r="B713" s="270"/>
      <c r="C713" s="270"/>
      <c r="D713" s="270"/>
      <c r="E713" s="270"/>
    </row>
    <row r="714">
      <c r="A714" s="270"/>
      <c r="B714" s="270"/>
      <c r="C714" s="270"/>
      <c r="D714" s="270"/>
      <c r="E714" s="270"/>
    </row>
    <row r="715">
      <c r="A715" s="270"/>
      <c r="B715" s="270"/>
      <c r="C715" s="270"/>
      <c r="D715" s="270"/>
      <c r="E715" s="270"/>
    </row>
    <row r="716">
      <c r="A716" s="270"/>
      <c r="B716" s="270"/>
      <c r="C716" s="270"/>
      <c r="D716" s="270"/>
      <c r="E716" s="270"/>
    </row>
    <row r="717">
      <c r="A717" s="270"/>
      <c r="B717" s="270"/>
      <c r="C717" s="270"/>
      <c r="D717" s="270"/>
      <c r="E717" s="270"/>
    </row>
    <row r="718">
      <c r="A718" s="270"/>
      <c r="B718" s="270"/>
      <c r="C718" s="270"/>
      <c r="D718" s="270"/>
      <c r="E718" s="270"/>
    </row>
    <row r="719">
      <c r="A719" s="270"/>
      <c r="B719" s="270"/>
      <c r="C719" s="270"/>
      <c r="D719" s="270"/>
      <c r="E719" s="270"/>
    </row>
    <row r="720">
      <c r="A720" s="270"/>
      <c r="B720" s="270"/>
      <c r="C720" s="270"/>
      <c r="D720" s="270"/>
      <c r="E720" s="270"/>
    </row>
    <row r="721">
      <c r="A721" s="270"/>
      <c r="B721" s="270"/>
      <c r="C721" s="270"/>
      <c r="D721" s="270"/>
      <c r="E721" s="270"/>
    </row>
    <row r="722">
      <c r="A722" s="270"/>
      <c r="B722" s="270"/>
      <c r="C722" s="270"/>
      <c r="D722" s="270"/>
      <c r="E722" s="270"/>
    </row>
    <row r="723">
      <c r="A723" s="270"/>
      <c r="B723" s="270"/>
      <c r="C723" s="270"/>
      <c r="D723" s="270"/>
      <c r="E723" s="270"/>
    </row>
    <row r="724">
      <c r="A724" s="270"/>
      <c r="B724" s="270"/>
      <c r="C724" s="270"/>
      <c r="D724" s="270"/>
      <c r="E724" s="270"/>
    </row>
    <row r="725">
      <c r="A725" s="270"/>
      <c r="B725" s="270"/>
      <c r="C725" s="270"/>
      <c r="D725" s="270"/>
      <c r="E725" s="270"/>
    </row>
    <row r="726">
      <c r="A726" s="270"/>
      <c r="B726" s="270"/>
      <c r="C726" s="270"/>
      <c r="D726" s="270"/>
      <c r="E726" s="270"/>
    </row>
    <row r="727">
      <c r="A727" s="270"/>
      <c r="B727" s="270"/>
      <c r="C727" s="270"/>
      <c r="D727" s="270"/>
      <c r="E727" s="270"/>
    </row>
    <row r="728">
      <c r="A728" s="270"/>
      <c r="B728" s="270"/>
      <c r="C728" s="270"/>
      <c r="D728" s="270"/>
      <c r="E728" s="270"/>
    </row>
    <row r="729">
      <c r="A729" s="270"/>
      <c r="B729" s="270"/>
      <c r="C729" s="270"/>
      <c r="D729" s="270"/>
      <c r="E729" s="270"/>
    </row>
    <row r="730">
      <c r="A730" s="270"/>
      <c r="B730" s="270"/>
      <c r="C730" s="270"/>
      <c r="D730" s="270"/>
      <c r="E730" s="270"/>
    </row>
    <row r="731">
      <c r="A731" s="270"/>
      <c r="B731" s="270"/>
      <c r="C731" s="270"/>
      <c r="D731" s="270"/>
      <c r="E731" s="270"/>
    </row>
    <row r="732">
      <c r="A732" s="270"/>
      <c r="B732" s="270"/>
      <c r="C732" s="270"/>
      <c r="D732" s="270"/>
      <c r="E732" s="270"/>
    </row>
    <row r="733">
      <c r="A733" s="270"/>
      <c r="B733" s="270"/>
      <c r="C733" s="270"/>
      <c r="D733" s="270"/>
      <c r="E733" s="270"/>
    </row>
    <row r="734">
      <c r="A734" s="270"/>
      <c r="B734" s="270"/>
      <c r="C734" s="270"/>
      <c r="D734" s="270"/>
      <c r="E734" s="270"/>
    </row>
    <row r="735">
      <c r="A735" s="270"/>
      <c r="B735" s="270"/>
      <c r="C735" s="270"/>
      <c r="D735" s="270"/>
      <c r="E735" s="270"/>
    </row>
    <row r="736">
      <c r="A736" s="270"/>
      <c r="B736" s="270"/>
      <c r="C736" s="270"/>
      <c r="D736" s="270"/>
      <c r="E736" s="270"/>
    </row>
    <row r="737">
      <c r="A737" s="270"/>
      <c r="B737" s="270"/>
      <c r="C737" s="270"/>
      <c r="D737" s="270"/>
      <c r="E737" s="270"/>
    </row>
    <row r="738">
      <c r="A738" s="270"/>
      <c r="B738" s="270"/>
      <c r="C738" s="270"/>
      <c r="D738" s="270"/>
      <c r="E738" s="270"/>
    </row>
    <row r="739">
      <c r="A739" s="270"/>
      <c r="B739" s="270"/>
      <c r="C739" s="270"/>
      <c r="D739" s="270"/>
      <c r="E739" s="270"/>
    </row>
    <row r="740">
      <c r="A740" s="270"/>
      <c r="B740" s="270"/>
      <c r="C740" s="270"/>
      <c r="D740" s="270"/>
      <c r="E740" s="270"/>
    </row>
    <row r="741">
      <c r="A741" s="270"/>
      <c r="B741" s="270"/>
      <c r="C741" s="270"/>
      <c r="D741" s="270"/>
      <c r="E741" s="270"/>
    </row>
    <row r="742">
      <c r="A742" s="270"/>
      <c r="B742" s="270"/>
      <c r="C742" s="270"/>
      <c r="D742" s="270"/>
      <c r="E742" s="270"/>
    </row>
    <row r="743">
      <c r="A743" s="270"/>
      <c r="B743" s="270"/>
      <c r="C743" s="270"/>
      <c r="D743" s="270"/>
      <c r="E743" s="270"/>
    </row>
    <row r="744">
      <c r="A744" s="270"/>
      <c r="B744" s="270"/>
      <c r="C744" s="270"/>
      <c r="D744" s="270"/>
      <c r="E744" s="270"/>
    </row>
    <row r="745">
      <c r="A745" s="270"/>
      <c r="B745" s="270"/>
      <c r="C745" s="270"/>
      <c r="D745" s="270"/>
      <c r="E745" s="270"/>
    </row>
    <row r="746">
      <c r="A746" s="270"/>
      <c r="B746" s="270"/>
      <c r="C746" s="270"/>
      <c r="D746" s="270"/>
      <c r="E746" s="270"/>
    </row>
    <row r="747">
      <c r="A747" s="270"/>
      <c r="B747" s="270"/>
      <c r="C747" s="270"/>
      <c r="D747" s="270"/>
      <c r="E747" s="270"/>
    </row>
    <row r="748">
      <c r="A748" s="270"/>
      <c r="B748" s="270"/>
      <c r="C748" s="270"/>
      <c r="D748" s="270"/>
      <c r="E748" s="270"/>
    </row>
    <row r="749">
      <c r="A749" s="270"/>
      <c r="B749" s="270"/>
      <c r="C749" s="270"/>
      <c r="D749" s="270"/>
      <c r="E749" s="270"/>
    </row>
    <row r="750">
      <c r="A750" s="270"/>
      <c r="B750" s="270"/>
      <c r="C750" s="270"/>
      <c r="D750" s="270"/>
      <c r="E750" s="270"/>
    </row>
    <row r="751">
      <c r="A751" s="270"/>
      <c r="B751" s="270"/>
      <c r="C751" s="270"/>
      <c r="D751" s="270"/>
      <c r="E751" s="270"/>
    </row>
    <row r="752">
      <c r="A752" s="270"/>
      <c r="B752" s="270"/>
      <c r="C752" s="270"/>
      <c r="D752" s="270"/>
      <c r="E752" s="270"/>
    </row>
    <row r="753">
      <c r="A753" s="270"/>
      <c r="B753" s="270"/>
      <c r="C753" s="270"/>
      <c r="D753" s="270"/>
      <c r="E753" s="270"/>
    </row>
    <row r="754">
      <c r="A754" s="270"/>
      <c r="B754" s="270"/>
      <c r="C754" s="270"/>
      <c r="D754" s="270"/>
      <c r="E754" s="270"/>
    </row>
    <row r="755">
      <c r="A755" s="270"/>
      <c r="B755" s="270"/>
      <c r="C755" s="270"/>
      <c r="D755" s="270"/>
      <c r="E755" s="270"/>
    </row>
    <row r="756">
      <c r="A756" s="270"/>
      <c r="B756" s="270"/>
      <c r="C756" s="270"/>
      <c r="D756" s="270"/>
      <c r="E756" s="270"/>
    </row>
    <row r="757">
      <c r="A757" s="270"/>
      <c r="B757" s="270"/>
      <c r="C757" s="270"/>
      <c r="D757" s="270"/>
      <c r="E757" s="270"/>
    </row>
    <row r="758">
      <c r="A758" s="270"/>
      <c r="B758" s="270"/>
      <c r="C758" s="270"/>
      <c r="D758" s="270"/>
      <c r="E758" s="270"/>
    </row>
    <row r="759">
      <c r="A759" s="270"/>
      <c r="B759" s="270"/>
      <c r="C759" s="270"/>
      <c r="D759" s="270"/>
      <c r="E759" s="270"/>
    </row>
    <row r="760">
      <c r="A760" s="270"/>
      <c r="B760" s="270"/>
      <c r="C760" s="270"/>
      <c r="D760" s="270"/>
      <c r="E760" s="270"/>
    </row>
    <row r="761">
      <c r="A761" s="270"/>
      <c r="B761" s="270"/>
      <c r="C761" s="270"/>
      <c r="D761" s="270"/>
      <c r="E761" s="270"/>
    </row>
    <row r="762">
      <c r="A762" s="270"/>
      <c r="B762" s="270"/>
      <c r="C762" s="270"/>
      <c r="D762" s="270"/>
      <c r="E762" s="270"/>
    </row>
    <row r="763">
      <c r="A763" s="270"/>
      <c r="B763" s="270"/>
      <c r="C763" s="270"/>
      <c r="D763" s="270"/>
      <c r="E763" s="270"/>
    </row>
    <row r="764">
      <c r="A764" s="270"/>
      <c r="B764" s="270"/>
      <c r="C764" s="270"/>
      <c r="D764" s="270"/>
      <c r="E764" s="270"/>
    </row>
    <row r="765">
      <c r="A765" s="270"/>
      <c r="B765" s="270"/>
      <c r="C765" s="270"/>
      <c r="D765" s="270"/>
      <c r="E765" s="270"/>
    </row>
    <row r="766">
      <c r="A766" s="270"/>
      <c r="B766" s="270"/>
      <c r="C766" s="270"/>
      <c r="D766" s="270"/>
      <c r="E766" s="270"/>
    </row>
    <row r="767">
      <c r="A767" s="270"/>
      <c r="B767" s="270"/>
      <c r="C767" s="270"/>
      <c r="D767" s="270"/>
      <c r="E767" s="270"/>
    </row>
    <row r="768">
      <c r="A768" s="270"/>
      <c r="B768" s="270"/>
      <c r="C768" s="270"/>
      <c r="D768" s="270"/>
      <c r="E768" s="270"/>
    </row>
    <row r="769">
      <c r="A769" s="270"/>
      <c r="B769" s="270"/>
      <c r="C769" s="270"/>
      <c r="D769" s="270"/>
      <c r="E769" s="270"/>
    </row>
    <row r="770">
      <c r="A770" s="270"/>
      <c r="B770" s="270"/>
      <c r="C770" s="270"/>
      <c r="D770" s="270"/>
      <c r="E770" s="270"/>
    </row>
    <row r="771">
      <c r="A771" s="270"/>
      <c r="B771" s="270"/>
      <c r="C771" s="270"/>
      <c r="D771" s="270"/>
      <c r="E771" s="270"/>
    </row>
    <row r="772">
      <c r="A772" s="270"/>
      <c r="B772" s="270"/>
      <c r="C772" s="270"/>
      <c r="D772" s="270"/>
      <c r="E772" s="270"/>
    </row>
    <row r="773">
      <c r="A773" s="270"/>
      <c r="B773" s="270"/>
      <c r="C773" s="270"/>
      <c r="D773" s="270"/>
      <c r="E773" s="270"/>
    </row>
    <row r="774">
      <c r="A774" s="270"/>
      <c r="B774" s="270"/>
      <c r="C774" s="270"/>
      <c r="D774" s="270"/>
      <c r="E774" s="270"/>
    </row>
    <row r="775">
      <c r="A775" s="270"/>
      <c r="B775" s="270"/>
      <c r="C775" s="270"/>
      <c r="D775" s="270"/>
      <c r="E775" s="270"/>
    </row>
    <row r="776">
      <c r="A776" s="270"/>
      <c r="B776" s="270"/>
      <c r="C776" s="270"/>
      <c r="D776" s="270"/>
      <c r="E776" s="270"/>
    </row>
    <row r="777">
      <c r="A777" s="270"/>
      <c r="B777" s="270"/>
      <c r="C777" s="270"/>
      <c r="D777" s="270"/>
      <c r="E777" s="270"/>
    </row>
    <row r="778">
      <c r="A778" s="270"/>
      <c r="B778" s="270"/>
      <c r="C778" s="270"/>
      <c r="D778" s="270"/>
      <c r="E778" s="270"/>
    </row>
    <row r="779">
      <c r="A779" s="270"/>
      <c r="B779" s="270"/>
      <c r="C779" s="270"/>
      <c r="D779" s="270"/>
      <c r="E779" s="270"/>
    </row>
    <row r="780">
      <c r="A780" s="270"/>
      <c r="B780" s="270"/>
      <c r="C780" s="270"/>
      <c r="D780" s="270"/>
      <c r="E780" s="270"/>
    </row>
    <row r="781">
      <c r="A781" s="270"/>
      <c r="B781" s="270"/>
      <c r="C781" s="270"/>
      <c r="D781" s="270"/>
      <c r="E781" s="270"/>
    </row>
    <row r="782">
      <c r="A782" s="270"/>
      <c r="B782" s="270"/>
      <c r="C782" s="270"/>
      <c r="D782" s="270"/>
      <c r="E782" s="270"/>
    </row>
    <row r="783">
      <c r="A783" s="270"/>
      <c r="B783" s="270"/>
      <c r="C783" s="270"/>
      <c r="D783" s="270"/>
      <c r="E783" s="270"/>
    </row>
    <row r="784">
      <c r="A784" s="270"/>
      <c r="B784" s="270"/>
      <c r="C784" s="270"/>
      <c r="D784" s="270"/>
      <c r="E784" s="270"/>
    </row>
    <row r="785">
      <c r="A785" s="270"/>
      <c r="B785" s="270"/>
      <c r="C785" s="270"/>
      <c r="D785" s="270"/>
      <c r="E785" s="270"/>
    </row>
    <row r="786">
      <c r="A786" s="270"/>
      <c r="B786" s="270"/>
      <c r="C786" s="270"/>
      <c r="D786" s="270"/>
      <c r="E786" s="270"/>
    </row>
    <row r="787">
      <c r="A787" s="270"/>
      <c r="B787" s="270"/>
      <c r="C787" s="270"/>
      <c r="D787" s="270"/>
      <c r="E787" s="270"/>
    </row>
    <row r="788">
      <c r="A788" s="270"/>
      <c r="B788" s="270"/>
      <c r="C788" s="270"/>
      <c r="D788" s="270"/>
      <c r="E788" s="270"/>
    </row>
    <row r="789">
      <c r="A789" s="270"/>
      <c r="B789" s="270"/>
      <c r="C789" s="270"/>
      <c r="D789" s="270"/>
      <c r="E789" s="270"/>
    </row>
    <row r="790">
      <c r="A790" s="270"/>
      <c r="B790" s="270"/>
      <c r="C790" s="270"/>
      <c r="D790" s="270"/>
      <c r="E790" s="270"/>
    </row>
    <row r="791">
      <c r="A791" s="270"/>
      <c r="B791" s="270"/>
      <c r="C791" s="270"/>
      <c r="D791" s="270"/>
      <c r="E791" s="270"/>
    </row>
    <row r="792">
      <c r="A792" s="270"/>
      <c r="B792" s="270"/>
      <c r="C792" s="270"/>
      <c r="D792" s="270"/>
      <c r="E792" s="270"/>
    </row>
    <row r="793">
      <c r="A793" s="270"/>
      <c r="B793" s="270"/>
      <c r="C793" s="270"/>
      <c r="D793" s="270"/>
      <c r="E793" s="270"/>
    </row>
    <row r="794">
      <c r="A794" s="270"/>
      <c r="B794" s="270"/>
      <c r="C794" s="270"/>
      <c r="D794" s="270"/>
      <c r="E794" s="270"/>
    </row>
    <row r="795">
      <c r="A795" s="270"/>
      <c r="B795" s="270"/>
      <c r="C795" s="270"/>
      <c r="D795" s="270"/>
      <c r="E795" s="270"/>
    </row>
    <row r="796">
      <c r="A796" s="270"/>
      <c r="B796" s="270"/>
      <c r="C796" s="270"/>
      <c r="D796" s="270"/>
      <c r="E796" s="270"/>
    </row>
    <row r="797">
      <c r="A797" s="270"/>
      <c r="B797" s="270"/>
      <c r="C797" s="270"/>
      <c r="D797" s="270"/>
      <c r="E797" s="270"/>
    </row>
    <row r="798">
      <c r="A798" s="270"/>
      <c r="B798" s="270"/>
      <c r="C798" s="270"/>
      <c r="D798" s="270"/>
      <c r="E798" s="270"/>
    </row>
    <row r="799">
      <c r="A799" s="270"/>
      <c r="B799" s="270"/>
      <c r="C799" s="270"/>
      <c r="D799" s="270"/>
      <c r="E799" s="270"/>
    </row>
    <row r="800">
      <c r="A800" s="270"/>
      <c r="B800" s="270"/>
      <c r="C800" s="270"/>
      <c r="D800" s="270"/>
      <c r="E800" s="270"/>
    </row>
    <row r="801">
      <c r="A801" s="270"/>
      <c r="B801" s="270"/>
      <c r="C801" s="270"/>
      <c r="D801" s="270"/>
      <c r="E801" s="270"/>
    </row>
    <row r="802">
      <c r="A802" s="270"/>
      <c r="B802" s="270"/>
      <c r="C802" s="270"/>
      <c r="D802" s="270"/>
      <c r="E802" s="270"/>
    </row>
    <row r="803">
      <c r="A803" s="270"/>
      <c r="B803" s="270"/>
      <c r="C803" s="270"/>
      <c r="D803" s="270"/>
      <c r="E803" s="270"/>
    </row>
    <row r="804">
      <c r="A804" s="270"/>
      <c r="B804" s="270"/>
      <c r="C804" s="270"/>
      <c r="D804" s="270"/>
      <c r="E804" s="270"/>
    </row>
    <row r="805">
      <c r="A805" s="270"/>
      <c r="B805" s="270"/>
      <c r="C805" s="270"/>
      <c r="D805" s="270"/>
      <c r="E805" s="270"/>
    </row>
    <row r="806">
      <c r="A806" s="270"/>
      <c r="B806" s="270"/>
      <c r="C806" s="270"/>
      <c r="D806" s="270"/>
      <c r="E806" s="270"/>
    </row>
    <row r="807">
      <c r="A807" s="270"/>
      <c r="B807" s="270"/>
      <c r="C807" s="270"/>
      <c r="D807" s="270"/>
      <c r="E807" s="270"/>
    </row>
    <row r="808">
      <c r="A808" s="270"/>
      <c r="B808" s="270"/>
      <c r="C808" s="270"/>
      <c r="D808" s="270"/>
      <c r="E808" s="270"/>
    </row>
    <row r="809">
      <c r="A809" s="270"/>
      <c r="B809" s="270"/>
      <c r="C809" s="270"/>
      <c r="D809" s="270"/>
      <c r="E809" s="270"/>
    </row>
    <row r="810">
      <c r="A810" s="270"/>
      <c r="B810" s="270"/>
      <c r="C810" s="270"/>
      <c r="D810" s="270"/>
      <c r="E810" s="270"/>
    </row>
    <row r="811">
      <c r="A811" s="270"/>
      <c r="B811" s="270"/>
      <c r="C811" s="270"/>
      <c r="D811" s="270"/>
      <c r="E811" s="270"/>
    </row>
    <row r="812">
      <c r="A812" s="270"/>
      <c r="B812" s="270"/>
      <c r="C812" s="270"/>
      <c r="D812" s="270"/>
      <c r="E812" s="270"/>
    </row>
    <row r="813">
      <c r="A813" s="270"/>
      <c r="B813" s="270"/>
      <c r="C813" s="270"/>
      <c r="D813" s="270"/>
      <c r="E813" s="270"/>
    </row>
    <row r="814">
      <c r="A814" s="270"/>
      <c r="B814" s="270"/>
      <c r="C814" s="270"/>
      <c r="D814" s="270"/>
      <c r="E814" s="270"/>
    </row>
    <row r="815">
      <c r="A815" s="270"/>
      <c r="B815" s="270"/>
      <c r="C815" s="270"/>
      <c r="D815" s="270"/>
      <c r="E815" s="270"/>
    </row>
    <row r="816">
      <c r="A816" s="270"/>
      <c r="B816" s="270"/>
      <c r="C816" s="270"/>
      <c r="D816" s="270"/>
      <c r="E816" s="270"/>
    </row>
    <row r="817">
      <c r="A817" s="270"/>
      <c r="B817" s="270"/>
      <c r="C817" s="270"/>
      <c r="D817" s="270"/>
      <c r="E817" s="270"/>
    </row>
    <row r="818">
      <c r="A818" s="270"/>
      <c r="B818" s="270"/>
      <c r="C818" s="270"/>
      <c r="D818" s="270"/>
      <c r="E818" s="270"/>
    </row>
    <row r="819">
      <c r="A819" s="270"/>
      <c r="B819" s="270"/>
      <c r="C819" s="270"/>
      <c r="D819" s="270"/>
      <c r="E819" s="270"/>
    </row>
    <row r="820">
      <c r="A820" s="270"/>
      <c r="B820" s="270"/>
      <c r="C820" s="270"/>
      <c r="D820" s="270"/>
      <c r="E820" s="270"/>
    </row>
    <row r="821">
      <c r="A821" s="270"/>
      <c r="B821" s="270"/>
      <c r="C821" s="270"/>
      <c r="D821" s="270"/>
      <c r="E821" s="270"/>
    </row>
    <row r="822">
      <c r="A822" s="270"/>
      <c r="B822" s="270"/>
      <c r="C822" s="270"/>
      <c r="D822" s="270"/>
      <c r="E822" s="270"/>
    </row>
    <row r="823">
      <c r="A823" s="270"/>
      <c r="B823" s="270"/>
      <c r="C823" s="270"/>
      <c r="D823" s="270"/>
      <c r="E823" s="270"/>
    </row>
    <row r="824">
      <c r="A824" s="270"/>
      <c r="B824" s="270"/>
      <c r="C824" s="270"/>
      <c r="D824" s="270"/>
      <c r="E824" s="270"/>
    </row>
    <row r="825">
      <c r="A825" s="270"/>
      <c r="B825" s="270"/>
      <c r="C825" s="270"/>
      <c r="D825" s="270"/>
      <c r="E825" s="270"/>
    </row>
    <row r="826">
      <c r="A826" s="270"/>
      <c r="B826" s="270"/>
      <c r="C826" s="270"/>
      <c r="D826" s="270"/>
      <c r="E826" s="270"/>
    </row>
    <row r="827">
      <c r="A827" s="270"/>
      <c r="B827" s="270"/>
      <c r="C827" s="270"/>
      <c r="D827" s="270"/>
      <c r="E827" s="270"/>
    </row>
    <row r="828">
      <c r="A828" s="270"/>
      <c r="B828" s="270"/>
      <c r="C828" s="270"/>
      <c r="D828" s="270"/>
      <c r="E828" s="270"/>
    </row>
    <row r="829">
      <c r="A829" s="270"/>
      <c r="B829" s="270"/>
      <c r="C829" s="270"/>
      <c r="D829" s="270"/>
      <c r="E829" s="270"/>
    </row>
    <row r="830">
      <c r="A830" s="270"/>
      <c r="B830" s="270"/>
      <c r="C830" s="270"/>
      <c r="D830" s="270"/>
      <c r="E830" s="270"/>
    </row>
    <row r="831">
      <c r="A831" s="270"/>
      <c r="B831" s="270"/>
      <c r="C831" s="270"/>
      <c r="D831" s="270"/>
      <c r="E831" s="270"/>
    </row>
    <row r="832">
      <c r="A832" s="270"/>
      <c r="B832" s="270"/>
      <c r="C832" s="270"/>
      <c r="D832" s="270"/>
      <c r="E832" s="270"/>
    </row>
    <row r="833">
      <c r="A833" s="270"/>
      <c r="B833" s="270"/>
      <c r="C833" s="270"/>
      <c r="D833" s="270"/>
      <c r="E833" s="270"/>
    </row>
    <row r="834">
      <c r="A834" s="270"/>
      <c r="B834" s="270"/>
      <c r="C834" s="270"/>
      <c r="D834" s="270"/>
      <c r="E834" s="270"/>
    </row>
    <row r="835">
      <c r="A835" s="270"/>
      <c r="B835" s="270"/>
      <c r="C835" s="270"/>
      <c r="D835" s="270"/>
      <c r="E835" s="270"/>
    </row>
    <row r="836">
      <c r="A836" s="270"/>
      <c r="B836" s="270"/>
      <c r="C836" s="270"/>
      <c r="D836" s="270"/>
      <c r="E836" s="270"/>
    </row>
    <row r="837">
      <c r="A837" s="270"/>
      <c r="B837" s="270"/>
      <c r="C837" s="270"/>
      <c r="D837" s="270"/>
      <c r="E837" s="270"/>
    </row>
    <row r="838">
      <c r="A838" s="270"/>
      <c r="B838" s="270"/>
      <c r="C838" s="270"/>
      <c r="D838" s="270"/>
      <c r="E838" s="270"/>
    </row>
    <row r="839">
      <c r="A839" s="270"/>
      <c r="B839" s="270"/>
      <c r="C839" s="270"/>
      <c r="D839" s="270"/>
      <c r="E839" s="270"/>
    </row>
    <row r="840">
      <c r="A840" s="270"/>
      <c r="B840" s="270"/>
      <c r="C840" s="270"/>
      <c r="D840" s="270"/>
      <c r="E840" s="270"/>
    </row>
    <row r="841">
      <c r="A841" s="270"/>
      <c r="B841" s="270"/>
      <c r="C841" s="270"/>
      <c r="D841" s="270"/>
      <c r="E841" s="270"/>
    </row>
    <row r="842">
      <c r="A842" s="270"/>
      <c r="B842" s="270"/>
      <c r="C842" s="270"/>
      <c r="D842" s="270"/>
      <c r="E842" s="270"/>
    </row>
    <row r="843">
      <c r="A843" s="270"/>
      <c r="B843" s="270"/>
      <c r="C843" s="270"/>
      <c r="D843" s="270"/>
      <c r="E843" s="270"/>
    </row>
    <row r="844">
      <c r="A844" s="270"/>
      <c r="B844" s="270"/>
      <c r="C844" s="270"/>
      <c r="D844" s="270"/>
      <c r="E844" s="270"/>
    </row>
    <row r="845">
      <c r="A845" s="270"/>
      <c r="B845" s="270"/>
      <c r="C845" s="270"/>
      <c r="D845" s="270"/>
      <c r="E845" s="270"/>
    </row>
    <row r="846">
      <c r="A846" s="270"/>
      <c r="B846" s="270"/>
      <c r="C846" s="270"/>
      <c r="D846" s="270"/>
      <c r="E846" s="270"/>
    </row>
    <row r="847">
      <c r="A847" s="270"/>
      <c r="B847" s="270"/>
      <c r="C847" s="270"/>
      <c r="D847" s="270"/>
      <c r="E847" s="270"/>
    </row>
    <row r="848">
      <c r="A848" s="270"/>
      <c r="B848" s="270"/>
      <c r="C848" s="270"/>
      <c r="D848" s="270"/>
      <c r="E848" s="270"/>
    </row>
    <row r="849">
      <c r="A849" s="270"/>
      <c r="B849" s="270"/>
      <c r="C849" s="270"/>
      <c r="D849" s="270"/>
      <c r="E849" s="270"/>
    </row>
    <row r="850">
      <c r="A850" s="270"/>
      <c r="B850" s="270"/>
      <c r="C850" s="270"/>
      <c r="D850" s="270"/>
      <c r="E850" s="270"/>
    </row>
    <row r="851">
      <c r="A851" s="270"/>
      <c r="B851" s="270"/>
      <c r="C851" s="270"/>
      <c r="D851" s="270"/>
      <c r="E851" s="270"/>
    </row>
    <row r="852">
      <c r="A852" s="270"/>
      <c r="B852" s="270"/>
      <c r="C852" s="270"/>
      <c r="D852" s="270"/>
      <c r="E852" s="270"/>
    </row>
    <row r="853">
      <c r="A853" s="270"/>
      <c r="B853" s="270"/>
      <c r="C853" s="270"/>
      <c r="D853" s="270"/>
      <c r="E853" s="270"/>
    </row>
    <row r="854">
      <c r="A854" s="270"/>
      <c r="B854" s="270"/>
      <c r="C854" s="270"/>
      <c r="D854" s="270"/>
      <c r="E854" s="270"/>
    </row>
    <row r="855">
      <c r="A855" s="270"/>
      <c r="B855" s="270"/>
      <c r="C855" s="270"/>
      <c r="D855" s="270"/>
      <c r="E855" s="270"/>
    </row>
    <row r="856">
      <c r="A856" s="270"/>
      <c r="B856" s="270"/>
      <c r="C856" s="270"/>
      <c r="D856" s="270"/>
      <c r="E856" s="270"/>
    </row>
    <row r="857">
      <c r="A857" s="270"/>
      <c r="B857" s="270"/>
      <c r="C857" s="270"/>
      <c r="D857" s="270"/>
      <c r="E857" s="270"/>
    </row>
    <row r="858">
      <c r="A858" s="270"/>
      <c r="B858" s="270"/>
      <c r="C858" s="270"/>
      <c r="D858" s="270"/>
      <c r="E858" s="270"/>
    </row>
    <row r="859">
      <c r="A859" s="270"/>
      <c r="B859" s="270"/>
      <c r="C859" s="270"/>
      <c r="D859" s="270"/>
      <c r="E859" s="270"/>
    </row>
    <row r="860">
      <c r="A860" s="270"/>
      <c r="B860" s="270"/>
      <c r="C860" s="270"/>
      <c r="D860" s="270"/>
      <c r="E860" s="270"/>
    </row>
    <row r="861">
      <c r="A861" s="270"/>
      <c r="B861" s="270"/>
      <c r="C861" s="270"/>
      <c r="D861" s="270"/>
      <c r="E861" s="270"/>
    </row>
    <row r="862">
      <c r="A862" s="270"/>
      <c r="B862" s="270"/>
      <c r="C862" s="270"/>
      <c r="D862" s="270"/>
      <c r="E862" s="270"/>
    </row>
    <row r="863">
      <c r="A863" s="270"/>
      <c r="B863" s="270"/>
      <c r="C863" s="270"/>
      <c r="D863" s="270"/>
      <c r="E863" s="270"/>
    </row>
    <row r="864">
      <c r="A864" s="270"/>
      <c r="B864" s="270"/>
      <c r="C864" s="270"/>
      <c r="D864" s="270"/>
      <c r="E864" s="270"/>
    </row>
    <row r="865">
      <c r="A865" s="270"/>
      <c r="B865" s="270"/>
      <c r="C865" s="270"/>
      <c r="D865" s="270"/>
      <c r="E865" s="270"/>
    </row>
    <row r="866">
      <c r="A866" s="270"/>
      <c r="B866" s="270"/>
      <c r="C866" s="270"/>
      <c r="D866" s="270"/>
      <c r="E866" s="270"/>
    </row>
    <row r="867">
      <c r="A867" s="270"/>
      <c r="B867" s="270"/>
      <c r="C867" s="270"/>
      <c r="D867" s="270"/>
      <c r="E867" s="270"/>
    </row>
    <row r="868">
      <c r="A868" s="270"/>
      <c r="B868" s="270"/>
      <c r="C868" s="270"/>
      <c r="D868" s="270"/>
      <c r="E868" s="270"/>
    </row>
    <row r="869">
      <c r="A869" s="270"/>
      <c r="B869" s="270"/>
      <c r="C869" s="270"/>
      <c r="D869" s="270"/>
      <c r="E869" s="270"/>
    </row>
    <row r="870">
      <c r="A870" s="270"/>
      <c r="B870" s="270"/>
      <c r="C870" s="270"/>
      <c r="D870" s="270"/>
      <c r="E870" s="270"/>
    </row>
    <row r="871">
      <c r="A871" s="270"/>
      <c r="B871" s="270"/>
      <c r="C871" s="270"/>
      <c r="D871" s="270"/>
      <c r="E871" s="270"/>
    </row>
    <row r="872">
      <c r="A872" s="270"/>
      <c r="B872" s="270"/>
      <c r="C872" s="270"/>
      <c r="D872" s="270"/>
      <c r="E872" s="270"/>
    </row>
    <row r="873">
      <c r="A873" s="270"/>
      <c r="B873" s="270"/>
      <c r="C873" s="270"/>
      <c r="D873" s="270"/>
      <c r="E873" s="270"/>
    </row>
    <row r="874">
      <c r="A874" s="270"/>
      <c r="B874" s="270"/>
      <c r="C874" s="270"/>
      <c r="D874" s="270"/>
      <c r="E874" s="270"/>
    </row>
    <row r="875">
      <c r="A875" s="270"/>
      <c r="B875" s="270"/>
      <c r="C875" s="270"/>
      <c r="D875" s="270"/>
      <c r="E875" s="270"/>
    </row>
    <row r="876">
      <c r="A876" s="270"/>
      <c r="B876" s="270"/>
      <c r="C876" s="270"/>
      <c r="D876" s="270"/>
      <c r="E876" s="270"/>
    </row>
    <row r="877">
      <c r="A877" s="270"/>
      <c r="B877" s="270"/>
      <c r="C877" s="270"/>
      <c r="D877" s="270"/>
      <c r="E877" s="270"/>
    </row>
    <row r="878">
      <c r="A878" s="270"/>
      <c r="B878" s="270"/>
      <c r="C878" s="270"/>
      <c r="D878" s="270"/>
      <c r="E878" s="270"/>
    </row>
    <row r="879">
      <c r="A879" s="270"/>
      <c r="B879" s="270"/>
      <c r="C879" s="270"/>
      <c r="D879" s="270"/>
      <c r="E879" s="270"/>
    </row>
    <row r="880">
      <c r="A880" s="270"/>
      <c r="B880" s="270"/>
      <c r="C880" s="270"/>
      <c r="D880" s="270"/>
      <c r="E880" s="270"/>
    </row>
    <row r="881">
      <c r="A881" s="270"/>
      <c r="B881" s="270"/>
      <c r="C881" s="270"/>
      <c r="D881" s="270"/>
      <c r="E881" s="270"/>
    </row>
    <row r="882">
      <c r="A882" s="270"/>
      <c r="B882" s="270"/>
      <c r="C882" s="270"/>
      <c r="D882" s="270"/>
      <c r="E882" s="270"/>
    </row>
    <row r="883">
      <c r="A883" s="270"/>
      <c r="B883" s="270"/>
      <c r="C883" s="270"/>
      <c r="D883" s="270"/>
      <c r="E883" s="270"/>
    </row>
    <row r="884">
      <c r="A884" s="270"/>
      <c r="B884" s="270"/>
      <c r="C884" s="270"/>
      <c r="D884" s="270"/>
      <c r="E884" s="270"/>
    </row>
    <row r="885">
      <c r="A885" s="270"/>
      <c r="B885" s="270"/>
      <c r="C885" s="270"/>
      <c r="D885" s="270"/>
      <c r="E885" s="270"/>
    </row>
    <row r="886">
      <c r="A886" s="270"/>
      <c r="B886" s="270"/>
      <c r="C886" s="270"/>
      <c r="D886" s="270"/>
      <c r="E886" s="270"/>
    </row>
    <row r="887">
      <c r="A887" s="270"/>
      <c r="B887" s="270"/>
      <c r="C887" s="270"/>
      <c r="D887" s="270"/>
      <c r="E887" s="270"/>
    </row>
    <row r="888">
      <c r="A888" s="270"/>
      <c r="B888" s="270"/>
      <c r="C888" s="270"/>
      <c r="D888" s="270"/>
      <c r="E888" s="270"/>
    </row>
    <row r="889">
      <c r="A889" s="270"/>
      <c r="B889" s="270"/>
      <c r="C889" s="270"/>
      <c r="D889" s="270"/>
      <c r="E889" s="270"/>
    </row>
    <row r="890">
      <c r="A890" s="270"/>
      <c r="B890" s="270"/>
      <c r="C890" s="270"/>
      <c r="D890" s="270"/>
      <c r="E890" s="270"/>
    </row>
    <row r="891">
      <c r="A891" s="270"/>
      <c r="B891" s="270"/>
      <c r="C891" s="270"/>
      <c r="D891" s="270"/>
      <c r="E891" s="270"/>
    </row>
    <row r="892">
      <c r="A892" s="270"/>
      <c r="B892" s="270"/>
      <c r="C892" s="270"/>
      <c r="D892" s="270"/>
      <c r="E892" s="270"/>
    </row>
    <row r="893">
      <c r="A893" s="270"/>
      <c r="B893" s="270"/>
      <c r="C893" s="270"/>
      <c r="D893" s="270"/>
      <c r="E893" s="270"/>
    </row>
    <row r="894">
      <c r="A894" s="270"/>
      <c r="B894" s="270"/>
      <c r="C894" s="270"/>
      <c r="D894" s="270"/>
      <c r="E894" s="270"/>
    </row>
    <row r="895">
      <c r="A895" s="270"/>
      <c r="B895" s="270"/>
      <c r="C895" s="270"/>
      <c r="D895" s="270"/>
      <c r="E895" s="270"/>
    </row>
    <row r="896">
      <c r="A896" s="270"/>
      <c r="B896" s="270"/>
      <c r="C896" s="270"/>
      <c r="D896" s="270"/>
      <c r="E896" s="270"/>
    </row>
    <row r="897">
      <c r="A897" s="270"/>
      <c r="B897" s="270"/>
      <c r="C897" s="270"/>
      <c r="D897" s="270"/>
      <c r="E897" s="270"/>
    </row>
    <row r="898">
      <c r="A898" s="270"/>
      <c r="B898" s="270"/>
      <c r="C898" s="270"/>
      <c r="D898" s="270"/>
      <c r="E898" s="270"/>
    </row>
    <row r="899">
      <c r="A899" s="270"/>
      <c r="B899" s="270"/>
      <c r="C899" s="270"/>
      <c r="D899" s="270"/>
      <c r="E899" s="270"/>
    </row>
    <row r="900">
      <c r="A900" s="270"/>
      <c r="B900" s="270"/>
      <c r="C900" s="270"/>
      <c r="D900" s="270"/>
      <c r="E900" s="270"/>
    </row>
    <row r="901">
      <c r="A901" s="270"/>
      <c r="B901" s="270"/>
      <c r="C901" s="270"/>
      <c r="D901" s="270"/>
      <c r="E901" s="270"/>
    </row>
    <row r="902">
      <c r="A902" s="270"/>
      <c r="B902" s="270"/>
      <c r="C902" s="270"/>
      <c r="D902" s="270"/>
      <c r="E902" s="270"/>
    </row>
    <row r="903">
      <c r="A903" s="270"/>
      <c r="B903" s="270"/>
      <c r="C903" s="270"/>
      <c r="D903" s="270"/>
      <c r="E903" s="270"/>
    </row>
    <row r="904">
      <c r="A904" s="270"/>
      <c r="B904" s="270"/>
      <c r="C904" s="270"/>
      <c r="D904" s="270"/>
      <c r="E904" s="270"/>
    </row>
    <row r="905">
      <c r="A905" s="270"/>
      <c r="B905" s="270"/>
      <c r="C905" s="270"/>
      <c r="D905" s="270"/>
      <c r="E905" s="270"/>
    </row>
    <row r="906">
      <c r="A906" s="270"/>
      <c r="B906" s="270"/>
      <c r="C906" s="270"/>
      <c r="D906" s="270"/>
      <c r="E906" s="270"/>
    </row>
    <row r="907">
      <c r="A907" s="270"/>
      <c r="B907" s="270"/>
      <c r="C907" s="270"/>
      <c r="D907" s="270"/>
      <c r="E907" s="270"/>
    </row>
    <row r="908">
      <c r="A908" s="270"/>
      <c r="B908" s="270"/>
      <c r="C908" s="270"/>
      <c r="D908" s="270"/>
      <c r="E908" s="270"/>
    </row>
    <row r="909">
      <c r="A909" s="270"/>
      <c r="B909" s="270"/>
      <c r="C909" s="270"/>
      <c r="D909" s="270"/>
      <c r="E909" s="270"/>
    </row>
    <row r="910">
      <c r="A910" s="270"/>
      <c r="B910" s="270"/>
      <c r="C910" s="270"/>
      <c r="D910" s="270"/>
      <c r="E910" s="270"/>
    </row>
    <row r="911">
      <c r="A911" s="270"/>
      <c r="B911" s="270"/>
      <c r="C911" s="270"/>
      <c r="D911" s="270"/>
      <c r="E911" s="270"/>
    </row>
    <row r="912">
      <c r="A912" s="270"/>
      <c r="B912" s="270"/>
      <c r="C912" s="270"/>
      <c r="D912" s="270"/>
      <c r="E912" s="270"/>
    </row>
    <row r="913">
      <c r="A913" s="270"/>
      <c r="B913" s="270"/>
      <c r="C913" s="270"/>
      <c r="D913" s="270"/>
      <c r="E913" s="270"/>
    </row>
    <row r="914">
      <c r="A914" s="270"/>
      <c r="B914" s="270"/>
      <c r="C914" s="270"/>
      <c r="D914" s="270"/>
      <c r="E914" s="270"/>
    </row>
    <row r="915">
      <c r="A915" s="270"/>
      <c r="B915" s="270"/>
      <c r="C915" s="270"/>
      <c r="D915" s="270"/>
      <c r="E915" s="270"/>
    </row>
    <row r="916">
      <c r="A916" s="270"/>
      <c r="B916" s="270"/>
      <c r="C916" s="270"/>
      <c r="D916" s="270"/>
      <c r="E916" s="270"/>
    </row>
    <row r="917">
      <c r="A917" s="270"/>
      <c r="B917" s="270"/>
      <c r="C917" s="270"/>
      <c r="D917" s="270"/>
      <c r="E917" s="270"/>
    </row>
    <row r="918">
      <c r="A918" s="270"/>
      <c r="B918" s="270"/>
      <c r="C918" s="270"/>
      <c r="D918" s="270"/>
      <c r="E918" s="270"/>
    </row>
    <row r="919">
      <c r="A919" s="270"/>
      <c r="B919" s="270"/>
      <c r="C919" s="270"/>
      <c r="D919" s="270"/>
      <c r="E919" s="270"/>
    </row>
    <row r="920">
      <c r="A920" s="270"/>
      <c r="B920" s="270"/>
      <c r="C920" s="270"/>
      <c r="D920" s="270"/>
      <c r="E920" s="270"/>
    </row>
    <row r="921">
      <c r="A921" s="270"/>
      <c r="B921" s="270"/>
      <c r="C921" s="270"/>
      <c r="D921" s="270"/>
      <c r="E921" s="270"/>
    </row>
    <row r="922">
      <c r="A922" s="270"/>
      <c r="B922" s="270"/>
      <c r="C922" s="270"/>
      <c r="D922" s="270"/>
      <c r="E922" s="270"/>
    </row>
    <row r="923">
      <c r="A923" s="270"/>
      <c r="B923" s="270"/>
      <c r="C923" s="270"/>
      <c r="D923" s="270"/>
      <c r="E923" s="270"/>
    </row>
    <row r="924">
      <c r="A924" s="270"/>
      <c r="B924" s="270"/>
      <c r="C924" s="270"/>
      <c r="D924" s="270"/>
      <c r="E924" s="270"/>
    </row>
    <row r="925">
      <c r="A925" s="270"/>
      <c r="B925" s="270"/>
      <c r="C925" s="270"/>
      <c r="D925" s="270"/>
      <c r="E925" s="270"/>
    </row>
    <row r="926">
      <c r="A926" s="270"/>
      <c r="B926" s="270"/>
      <c r="C926" s="270"/>
      <c r="D926" s="270"/>
      <c r="E926" s="270"/>
    </row>
    <row r="927">
      <c r="A927" s="270"/>
      <c r="B927" s="270"/>
      <c r="C927" s="270"/>
      <c r="D927" s="270"/>
      <c r="E927" s="270"/>
    </row>
    <row r="928">
      <c r="A928" s="270"/>
      <c r="B928" s="270"/>
      <c r="C928" s="270"/>
      <c r="D928" s="270"/>
      <c r="E928" s="270"/>
    </row>
    <row r="929">
      <c r="A929" s="270"/>
      <c r="B929" s="270"/>
      <c r="C929" s="270"/>
      <c r="D929" s="270"/>
      <c r="E929" s="270"/>
    </row>
    <row r="930">
      <c r="A930" s="270"/>
      <c r="B930" s="270"/>
      <c r="C930" s="270"/>
      <c r="D930" s="270"/>
      <c r="E930" s="270"/>
    </row>
    <row r="931">
      <c r="A931" s="270"/>
      <c r="B931" s="270"/>
      <c r="C931" s="270"/>
      <c r="D931" s="270"/>
      <c r="E931" s="270"/>
    </row>
    <row r="932">
      <c r="A932" s="270"/>
      <c r="B932" s="270"/>
      <c r="C932" s="270"/>
      <c r="D932" s="270"/>
      <c r="E932" s="270"/>
    </row>
    <row r="933">
      <c r="A933" s="270"/>
      <c r="B933" s="270"/>
      <c r="C933" s="270"/>
      <c r="D933" s="270"/>
      <c r="E933" s="270"/>
    </row>
    <row r="934">
      <c r="A934" s="270"/>
      <c r="B934" s="270"/>
      <c r="C934" s="270"/>
      <c r="D934" s="270"/>
      <c r="E934" s="270"/>
    </row>
    <row r="935">
      <c r="A935" s="270"/>
      <c r="B935" s="270"/>
      <c r="C935" s="270"/>
      <c r="D935" s="270"/>
      <c r="E935" s="270"/>
    </row>
    <row r="936">
      <c r="A936" s="270"/>
      <c r="B936" s="270"/>
      <c r="C936" s="270"/>
      <c r="D936" s="270"/>
      <c r="E936" s="270"/>
    </row>
    <row r="937">
      <c r="A937" s="270"/>
      <c r="B937" s="270"/>
      <c r="C937" s="270"/>
      <c r="D937" s="270"/>
      <c r="E937" s="270"/>
    </row>
    <row r="938">
      <c r="A938" s="270"/>
      <c r="B938" s="270"/>
      <c r="C938" s="270"/>
      <c r="D938" s="270"/>
      <c r="E938" s="270"/>
    </row>
    <row r="939">
      <c r="A939" s="270"/>
      <c r="B939" s="270"/>
      <c r="C939" s="270"/>
      <c r="D939" s="270"/>
      <c r="E939" s="270"/>
    </row>
    <row r="940">
      <c r="A940" s="270"/>
      <c r="B940" s="270"/>
      <c r="C940" s="270"/>
      <c r="D940" s="270"/>
      <c r="E940" s="270"/>
    </row>
    <row r="941">
      <c r="A941" s="270"/>
      <c r="B941" s="270"/>
      <c r="C941" s="270"/>
      <c r="D941" s="270"/>
      <c r="E941" s="270"/>
    </row>
    <row r="942">
      <c r="A942" s="270"/>
      <c r="B942" s="270"/>
      <c r="C942" s="270"/>
      <c r="D942" s="270"/>
      <c r="E942" s="270"/>
    </row>
    <row r="943">
      <c r="A943" s="270"/>
      <c r="B943" s="270"/>
      <c r="C943" s="270"/>
      <c r="D943" s="270"/>
      <c r="E943" s="270"/>
    </row>
    <row r="944">
      <c r="A944" s="270"/>
      <c r="B944" s="270"/>
      <c r="C944" s="270"/>
      <c r="D944" s="270"/>
      <c r="E944" s="270"/>
    </row>
    <row r="945">
      <c r="A945" s="270"/>
      <c r="B945" s="270"/>
      <c r="C945" s="270"/>
      <c r="D945" s="270"/>
      <c r="E945" s="270"/>
    </row>
    <row r="946">
      <c r="A946" s="270"/>
      <c r="B946" s="270"/>
      <c r="C946" s="270"/>
      <c r="D946" s="270"/>
      <c r="E946" s="270"/>
    </row>
    <row r="947">
      <c r="A947" s="270"/>
      <c r="B947" s="270"/>
      <c r="C947" s="270"/>
      <c r="D947" s="270"/>
      <c r="E947" s="270"/>
    </row>
    <row r="948">
      <c r="A948" s="270"/>
      <c r="B948" s="270"/>
      <c r="C948" s="270"/>
      <c r="D948" s="270"/>
      <c r="E948" s="270"/>
    </row>
    <row r="949">
      <c r="A949" s="270"/>
      <c r="B949" s="270"/>
      <c r="C949" s="270"/>
      <c r="D949" s="270"/>
      <c r="E949" s="270"/>
    </row>
    <row r="950">
      <c r="A950" s="270"/>
      <c r="B950" s="270"/>
      <c r="C950" s="270"/>
      <c r="D950" s="270"/>
      <c r="E950" s="270"/>
    </row>
    <row r="951">
      <c r="A951" s="270"/>
      <c r="B951" s="270"/>
      <c r="C951" s="270"/>
      <c r="D951" s="270"/>
      <c r="E951" s="270"/>
    </row>
    <row r="952">
      <c r="A952" s="270"/>
      <c r="B952" s="270"/>
      <c r="C952" s="270"/>
      <c r="D952" s="270"/>
      <c r="E952" s="270"/>
    </row>
    <row r="953">
      <c r="A953" s="270"/>
      <c r="B953" s="270"/>
      <c r="C953" s="270"/>
      <c r="D953" s="270"/>
      <c r="E953" s="270"/>
    </row>
    <row r="954">
      <c r="A954" s="270"/>
      <c r="B954" s="270"/>
      <c r="C954" s="270"/>
      <c r="D954" s="270"/>
      <c r="E954" s="270"/>
    </row>
    <row r="955">
      <c r="A955" s="270"/>
      <c r="B955" s="270"/>
      <c r="C955" s="270"/>
      <c r="D955" s="270"/>
      <c r="E955" s="270"/>
    </row>
    <row r="956">
      <c r="A956" s="270"/>
      <c r="B956" s="270"/>
      <c r="C956" s="270"/>
      <c r="D956" s="270"/>
      <c r="E956" s="270"/>
    </row>
    <row r="957">
      <c r="A957" s="270"/>
      <c r="B957" s="270"/>
      <c r="C957" s="270"/>
      <c r="D957" s="270"/>
      <c r="E957" s="270"/>
    </row>
    <row r="958">
      <c r="A958" s="270"/>
      <c r="B958" s="270"/>
      <c r="C958" s="270"/>
      <c r="D958" s="270"/>
      <c r="E958" s="270"/>
    </row>
    <row r="959">
      <c r="A959" s="270"/>
      <c r="B959" s="270"/>
      <c r="C959" s="270"/>
      <c r="D959" s="270"/>
      <c r="E959" s="270"/>
    </row>
    <row r="960">
      <c r="A960" s="270"/>
      <c r="B960" s="270"/>
      <c r="C960" s="270"/>
      <c r="D960" s="270"/>
      <c r="E960" s="270"/>
    </row>
    <row r="961">
      <c r="A961" s="270"/>
      <c r="B961" s="270"/>
      <c r="C961" s="270"/>
      <c r="D961" s="270"/>
      <c r="E961" s="270"/>
    </row>
    <row r="962">
      <c r="A962" s="270"/>
      <c r="B962" s="270"/>
      <c r="C962" s="270"/>
      <c r="D962" s="270"/>
      <c r="E962" s="270"/>
    </row>
    <row r="963">
      <c r="A963" s="270"/>
      <c r="B963" s="270"/>
      <c r="C963" s="270"/>
      <c r="D963" s="270"/>
      <c r="E963" s="270"/>
    </row>
    <row r="964">
      <c r="A964" s="270"/>
      <c r="B964" s="270"/>
      <c r="C964" s="270"/>
      <c r="D964" s="270"/>
      <c r="E964" s="270"/>
    </row>
    <row r="965">
      <c r="A965" s="270"/>
      <c r="B965" s="270"/>
      <c r="C965" s="270"/>
      <c r="D965" s="270"/>
      <c r="E965" s="270"/>
    </row>
    <row r="966">
      <c r="A966" s="270"/>
      <c r="B966" s="270"/>
      <c r="C966" s="270"/>
      <c r="D966" s="270"/>
      <c r="E966" s="270"/>
    </row>
    <row r="967">
      <c r="A967" s="270"/>
      <c r="B967" s="270"/>
      <c r="C967" s="270"/>
      <c r="D967" s="270"/>
      <c r="E967" s="270"/>
    </row>
    <row r="968">
      <c r="A968" s="270"/>
      <c r="B968" s="270"/>
      <c r="C968" s="270"/>
      <c r="D968" s="270"/>
      <c r="E968" s="270"/>
    </row>
    <row r="969">
      <c r="A969" s="270"/>
      <c r="B969" s="270"/>
      <c r="C969" s="270"/>
      <c r="D969" s="270"/>
      <c r="E969" s="270"/>
    </row>
    <row r="970">
      <c r="A970" s="270"/>
      <c r="B970" s="270"/>
      <c r="C970" s="270"/>
      <c r="D970" s="270"/>
      <c r="E970" s="270"/>
    </row>
    <row r="971">
      <c r="A971" s="270"/>
      <c r="B971" s="270"/>
      <c r="C971" s="270"/>
      <c r="D971" s="270"/>
      <c r="E971" s="270"/>
    </row>
    <row r="972">
      <c r="A972" s="270"/>
      <c r="B972" s="270"/>
      <c r="C972" s="270"/>
      <c r="D972" s="270"/>
      <c r="E972" s="270"/>
    </row>
    <row r="973">
      <c r="A973" s="270"/>
      <c r="B973" s="270"/>
      <c r="C973" s="270"/>
      <c r="D973" s="270"/>
      <c r="E973" s="270"/>
    </row>
    <row r="974">
      <c r="A974" s="270"/>
      <c r="B974" s="270"/>
      <c r="C974" s="270"/>
      <c r="D974" s="270"/>
      <c r="E974" s="270"/>
    </row>
    <row r="975">
      <c r="A975" s="270"/>
      <c r="B975" s="270"/>
      <c r="C975" s="270"/>
      <c r="D975" s="270"/>
      <c r="E975" s="270"/>
    </row>
    <row r="976">
      <c r="A976" s="270"/>
      <c r="B976" s="270"/>
      <c r="C976" s="270"/>
      <c r="D976" s="270"/>
      <c r="E976" s="270"/>
    </row>
    <row r="977">
      <c r="A977" s="270"/>
      <c r="B977" s="270"/>
      <c r="C977" s="270"/>
      <c r="D977" s="270"/>
      <c r="E977" s="270"/>
    </row>
    <row r="978">
      <c r="A978" s="270"/>
      <c r="B978" s="270"/>
      <c r="C978" s="270"/>
      <c r="D978" s="270"/>
      <c r="E978" s="270"/>
    </row>
    <row r="979">
      <c r="A979" s="270"/>
      <c r="B979" s="270"/>
      <c r="C979" s="270"/>
      <c r="D979" s="270"/>
      <c r="E979" s="270"/>
    </row>
    <row r="980">
      <c r="A980" s="270"/>
      <c r="B980" s="270"/>
      <c r="C980" s="270"/>
      <c r="D980" s="270"/>
      <c r="E980" s="270"/>
    </row>
    <row r="981">
      <c r="A981" s="270"/>
      <c r="B981" s="270"/>
      <c r="C981" s="270"/>
      <c r="D981" s="270"/>
      <c r="E981" s="270"/>
    </row>
    <row r="982">
      <c r="A982" s="270"/>
      <c r="B982" s="270"/>
      <c r="C982" s="270"/>
      <c r="D982" s="270"/>
      <c r="E982" s="270"/>
    </row>
    <row r="983">
      <c r="A983" s="270"/>
      <c r="B983" s="270"/>
      <c r="C983" s="270"/>
      <c r="D983" s="270"/>
      <c r="E983" s="270"/>
    </row>
    <row r="984">
      <c r="A984" s="270"/>
      <c r="B984" s="270"/>
      <c r="C984" s="270"/>
      <c r="D984" s="270"/>
      <c r="E984" s="270"/>
    </row>
    <row r="985">
      <c r="A985" s="270"/>
      <c r="B985" s="270"/>
      <c r="C985" s="270"/>
      <c r="D985" s="270"/>
      <c r="E985" s="270"/>
    </row>
    <row r="986">
      <c r="A986" s="270"/>
      <c r="B986" s="270"/>
      <c r="C986" s="270"/>
      <c r="D986" s="270"/>
      <c r="E986" s="270"/>
    </row>
    <row r="987">
      <c r="A987" s="270"/>
      <c r="B987" s="270"/>
      <c r="C987" s="270"/>
      <c r="D987" s="270"/>
      <c r="E987" s="270"/>
    </row>
    <row r="988">
      <c r="A988" s="270"/>
      <c r="B988" s="270"/>
      <c r="C988" s="270"/>
      <c r="D988" s="270"/>
      <c r="E988" s="270"/>
    </row>
    <row r="989">
      <c r="A989" s="270"/>
      <c r="B989" s="270"/>
      <c r="C989" s="270"/>
      <c r="D989" s="270"/>
      <c r="E989" s="270"/>
    </row>
    <row r="990">
      <c r="A990" s="270"/>
      <c r="B990" s="270"/>
      <c r="C990" s="270"/>
      <c r="D990" s="270"/>
      <c r="E990" s="270"/>
    </row>
    <row r="991">
      <c r="A991" s="270"/>
      <c r="B991" s="270"/>
      <c r="C991" s="270"/>
      <c r="D991" s="270"/>
      <c r="E991" s="270"/>
    </row>
    <row r="992">
      <c r="A992" s="270"/>
      <c r="B992" s="270"/>
      <c r="C992" s="270"/>
      <c r="D992" s="270"/>
      <c r="E992" s="270"/>
    </row>
    <row r="993">
      <c r="A993" s="270"/>
      <c r="B993" s="270"/>
      <c r="C993" s="270"/>
      <c r="D993" s="270"/>
      <c r="E993" s="270"/>
    </row>
    <row r="994">
      <c r="A994" s="270"/>
      <c r="B994" s="270"/>
      <c r="C994" s="270"/>
      <c r="D994" s="270"/>
      <c r="E994" s="270"/>
    </row>
    <row r="995">
      <c r="A995" s="270"/>
      <c r="B995" s="270"/>
      <c r="C995" s="270"/>
      <c r="D995" s="270"/>
      <c r="E995" s="270"/>
    </row>
    <row r="996">
      <c r="A996" s="270"/>
      <c r="B996" s="270"/>
      <c r="C996" s="270"/>
      <c r="D996" s="270"/>
      <c r="E996" s="270"/>
    </row>
    <row r="997">
      <c r="A997" s="270"/>
      <c r="B997" s="270"/>
      <c r="C997" s="270"/>
      <c r="D997" s="270"/>
      <c r="E997" s="270"/>
    </row>
    <row r="998">
      <c r="A998" s="270"/>
      <c r="B998" s="270"/>
      <c r="C998" s="270"/>
      <c r="D998" s="270"/>
      <c r="E998" s="270"/>
    </row>
    <row r="999">
      <c r="A999" s="270"/>
      <c r="B999" s="270"/>
      <c r="C999" s="270"/>
      <c r="D999" s="270"/>
      <c r="E999" s="270"/>
    </row>
    <row r="1000">
      <c r="A1000" s="270"/>
      <c r="B1000" s="270"/>
      <c r="C1000" s="270"/>
      <c r="D1000" s="270"/>
      <c r="E1000" s="270"/>
    </row>
    <row r="1001">
      <c r="A1001" s="270"/>
      <c r="B1001" s="270"/>
      <c r="C1001" s="270"/>
      <c r="D1001" s="270"/>
      <c r="E1001" s="270"/>
    </row>
    <row r="1002">
      <c r="A1002" s="270"/>
      <c r="B1002" s="270"/>
      <c r="C1002" s="270"/>
      <c r="D1002" s="270"/>
      <c r="E1002" s="270"/>
    </row>
    <row r="1003">
      <c r="A1003" s="270"/>
      <c r="B1003" s="270"/>
      <c r="C1003" s="270"/>
      <c r="D1003" s="270"/>
      <c r="E1003" s="270"/>
    </row>
  </sheetData>
  <mergeCells count="76">
    <mergeCell ref="A128:B128"/>
    <mergeCell ref="A131:D131"/>
    <mergeCell ref="C134:D134"/>
    <mergeCell ref="A135:D135"/>
    <mergeCell ref="B136:C136"/>
    <mergeCell ref="A142:E142"/>
    <mergeCell ref="A143:E143"/>
    <mergeCell ref="A144:E144"/>
    <mergeCell ref="B145:E145"/>
    <mergeCell ref="B146:E146"/>
    <mergeCell ref="A147:E147"/>
    <mergeCell ref="B148:E148"/>
    <mergeCell ref="B149:E149"/>
    <mergeCell ref="B150:E150"/>
    <mergeCell ref="B151:E151"/>
    <mergeCell ref="B152:E152"/>
    <mergeCell ref="B153:E153"/>
    <mergeCell ref="B154:E154"/>
    <mergeCell ref="B155:E155"/>
    <mergeCell ref="A156:E156"/>
    <mergeCell ref="B157:E157"/>
    <mergeCell ref="B158:E158"/>
    <mergeCell ref="B159:E159"/>
    <mergeCell ref="B160:E160"/>
    <mergeCell ref="B161:E161"/>
    <mergeCell ref="B162:E162"/>
    <mergeCell ref="A163:E163"/>
    <mergeCell ref="A164:E164"/>
    <mergeCell ref="B1:C1"/>
    <mergeCell ref="A2:C3"/>
    <mergeCell ref="E2:E3"/>
    <mergeCell ref="A4:D5"/>
    <mergeCell ref="A6:D6"/>
    <mergeCell ref="A7:D7"/>
    <mergeCell ref="A8:D8"/>
    <mergeCell ref="A10:D10"/>
    <mergeCell ref="C11:D11"/>
    <mergeCell ref="C12:D12"/>
    <mergeCell ref="C13:D13"/>
    <mergeCell ref="C14:D14"/>
    <mergeCell ref="A15:D15"/>
    <mergeCell ref="C16:D16"/>
    <mergeCell ref="C24:D24"/>
    <mergeCell ref="C25:D25"/>
    <mergeCell ref="C26:D26"/>
    <mergeCell ref="C27:D27"/>
    <mergeCell ref="A28:D28"/>
    <mergeCell ref="A38:D38"/>
    <mergeCell ref="A39:D39"/>
    <mergeCell ref="C17:D17"/>
    <mergeCell ref="A18:D18"/>
    <mergeCell ref="A19:D19"/>
    <mergeCell ref="A20:D20"/>
    <mergeCell ref="A21:D21"/>
    <mergeCell ref="C22:D22"/>
    <mergeCell ref="C23:D23"/>
    <mergeCell ref="A16:B16"/>
    <mergeCell ref="A17:B17"/>
    <mergeCell ref="A71:B71"/>
    <mergeCell ref="A76:D76"/>
    <mergeCell ref="A77:D77"/>
    <mergeCell ref="A86:D86"/>
    <mergeCell ref="A100:B100"/>
    <mergeCell ref="A105:D105"/>
    <mergeCell ref="A110:B110"/>
    <mergeCell ref="A112:D112"/>
    <mergeCell ref="A118:D118"/>
    <mergeCell ref="A119:B119"/>
    <mergeCell ref="A124:B124"/>
    <mergeCell ref="A126:B126"/>
    <mergeCell ref="B165:E165"/>
    <mergeCell ref="B166:E166"/>
    <mergeCell ref="B167:E167"/>
    <mergeCell ref="B168:E168"/>
    <mergeCell ref="B169:E169"/>
    <mergeCell ref="B170:E170"/>
  </mergeCells>
  <hyperlinks>
    <hyperlink display="SUMÁRIO" location="'QUADRO RESUMO'!B16:D17" ref="E1"/>
  </hyperlin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4" width="1.71"/>
    <col customWidth="1" min="5" max="5" width="2.43"/>
    <col customWidth="1" min="6" max="6" width="8.0"/>
    <col customWidth="1" min="7" max="7" width="21.29"/>
    <col customWidth="1" min="8" max="8" width="9.14"/>
    <col customWidth="1" min="9" max="9" width="13.43"/>
    <col customWidth="1" min="10" max="10" width="5.14"/>
    <col customWidth="1" min="11" max="11" width="7.0"/>
    <col customWidth="1" min="12" max="12" width="19.14"/>
    <col customWidth="1" min="13" max="13" width="10.29"/>
    <col customWidth="1" min="14" max="14" width="13.14"/>
    <col customWidth="1" min="15" max="15" width="4.71"/>
    <col customWidth="1" min="16" max="16" width="7.57"/>
    <col customWidth="1" min="17" max="17" width="19.14"/>
    <col customWidth="1" min="18" max="18" width="9.14"/>
    <col customWidth="1" min="19" max="19" width="13.29"/>
    <col customWidth="1" min="20" max="20" width="5.43"/>
    <col customWidth="1" min="21" max="21" width="7.86"/>
    <col customWidth="1" min="22" max="22" width="18.29"/>
    <col customWidth="1" min="23" max="23" width="8.71"/>
    <col customWidth="1" min="24" max="24" width="12.43"/>
    <col customWidth="1" min="25" max="25" width="5.0"/>
  </cols>
  <sheetData>
    <row r="1" ht="51.75" customHeight="1">
      <c r="F1" s="284" t="s">
        <v>1568</v>
      </c>
      <c r="I1" s="398"/>
      <c r="J1" s="398"/>
      <c r="K1" s="285" t="s">
        <v>1569</v>
      </c>
      <c r="L1" s="127"/>
      <c r="M1" s="127"/>
      <c r="N1" s="127"/>
      <c r="O1" s="127"/>
      <c r="P1" s="127"/>
      <c r="Q1" s="286"/>
      <c r="R1" s="286"/>
      <c r="S1" s="398"/>
      <c r="T1" s="286">
        <f>SUM(I3,N3,S3,X3)</f>
        <v>373197.7487</v>
      </c>
      <c r="W1" s="287" t="s">
        <v>29</v>
      </c>
      <c r="X1" s="44"/>
      <c r="Y1" s="399"/>
    </row>
    <row r="2">
      <c r="A2" s="400"/>
      <c r="D2" s="401"/>
      <c r="E2" s="290"/>
      <c r="F2" s="288" t="s">
        <v>1570</v>
      </c>
      <c r="I2" s="289">
        <f>I3/1.3115</f>
        <v>73983.33325</v>
      </c>
      <c r="J2" s="402"/>
      <c r="K2" s="288" t="s">
        <v>1571</v>
      </c>
      <c r="N2" s="289">
        <f>N3/1.3115</f>
        <v>74017.36564</v>
      </c>
      <c r="O2" s="402"/>
      <c r="P2" s="288" t="s">
        <v>1572</v>
      </c>
      <c r="S2" s="289">
        <f>S3/1.3115</f>
        <v>55797.4534</v>
      </c>
      <c r="T2" s="402"/>
      <c r="U2" s="288" t="s">
        <v>1573</v>
      </c>
      <c r="X2" s="289">
        <f>X3/1.3115</f>
        <v>80759.7956</v>
      </c>
      <c r="Y2" s="399"/>
    </row>
    <row r="3" ht="33.0" customHeight="1">
      <c r="D3" s="403"/>
      <c r="E3" s="290"/>
      <c r="I3" s="291">
        <f>I139</f>
        <v>97029.14155</v>
      </c>
      <c r="J3" s="402"/>
      <c r="N3" s="291">
        <f>N139</f>
        <v>97073.77504</v>
      </c>
      <c r="O3" s="402"/>
      <c r="S3" s="291">
        <f>S139</f>
        <v>73178.36013</v>
      </c>
      <c r="T3" s="402"/>
      <c r="X3" s="291">
        <f>X139</f>
        <v>105916.4719</v>
      </c>
      <c r="Y3" s="399"/>
    </row>
    <row r="4" ht="16.5" customHeight="1">
      <c r="A4" s="293"/>
      <c r="E4" s="404"/>
      <c r="F4" s="405" t="s">
        <v>1403</v>
      </c>
      <c r="I4" s="301"/>
      <c r="J4" s="404"/>
      <c r="K4" s="405" t="s">
        <v>1403</v>
      </c>
      <c r="N4" s="301"/>
      <c r="O4" s="404"/>
      <c r="P4" s="405" t="s">
        <v>1403</v>
      </c>
      <c r="S4" s="301"/>
      <c r="T4" s="404"/>
      <c r="U4" s="405" t="s">
        <v>1403</v>
      </c>
      <c r="X4" s="301"/>
      <c r="Y4" s="406"/>
    </row>
    <row r="5" ht="17.25" customHeight="1">
      <c r="E5" s="404"/>
      <c r="F5" s="36"/>
      <c r="G5" s="36"/>
      <c r="H5" s="36"/>
      <c r="I5" s="189"/>
      <c r="J5" s="404"/>
      <c r="N5" s="301"/>
      <c r="O5" s="404"/>
      <c r="P5" s="36"/>
      <c r="Q5" s="36"/>
      <c r="R5" s="36"/>
      <c r="S5" s="189"/>
      <c r="T5" s="404"/>
      <c r="U5" s="36"/>
      <c r="V5" s="36"/>
      <c r="W5" s="36"/>
      <c r="X5" s="189"/>
      <c r="Y5" s="406"/>
    </row>
    <row r="6">
      <c r="A6" s="296"/>
      <c r="E6" s="404"/>
      <c r="F6" s="407" t="s">
        <v>1404</v>
      </c>
      <c r="G6" s="36"/>
      <c r="H6" s="36"/>
      <c r="I6" s="189"/>
      <c r="J6" s="404"/>
      <c r="K6" s="407" t="s">
        <v>1404</v>
      </c>
      <c r="L6" s="36"/>
      <c r="M6" s="36"/>
      <c r="N6" s="189"/>
      <c r="O6" s="404"/>
      <c r="P6" s="407" t="s">
        <v>1404</v>
      </c>
      <c r="Q6" s="36"/>
      <c r="R6" s="36"/>
      <c r="S6" s="189"/>
      <c r="T6" s="404"/>
      <c r="U6" s="407" t="s">
        <v>1404</v>
      </c>
      <c r="V6" s="36"/>
      <c r="W6" s="36"/>
      <c r="X6" s="189"/>
      <c r="Y6" s="406"/>
    </row>
    <row r="7">
      <c r="A7" s="298"/>
      <c r="E7" s="404"/>
      <c r="F7" s="408" t="s">
        <v>1574</v>
      </c>
      <c r="G7" s="36"/>
      <c r="H7" s="36"/>
      <c r="I7" s="189"/>
      <c r="J7" s="404"/>
      <c r="K7" s="408" t="s">
        <v>1575</v>
      </c>
      <c r="L7" s="36"/>
      <c r="M7" s="36"/>
      <c r="N7" s="189"/>
      <c r="O7" s="404"/>
      <c r="P7" s="408" t="s">
        <v>1576</v>
      </c>
      <c r="Q7" s="36"/>
      <c r="R7" s="36"/>
      <c r="S7" s="189"/>
      <c r="T7" s="404"/>
      <c r="U7" s="408" t="s">
        <v>1577</v>
      </c>
      <c r="V7" s="36"/>
      <c r="W7" s="36"/>
      <c r="X7" s="189"/>
      <c r="Y7" s="406"/>
    </row>
    <row r="8">
      <c r="A8" s="296"/>
      <c r="E8" s="404"/>
      <c r="F8" s="407" t="s">
        <v>1406</v>
      </c>
      <c r="G8" s="36"/>
      <c r="H8" s="36"/>
      <c r="I8" s="189"/>
      <c r="J8" s="404"/>
      <c r="K8" s="407" t="s">
        <v>1406</v>
      </c>
      <c r="L8" s="36"/>
      <c r="M8" s="36"/>
      <c r="N8" s="189"/>
      <c r="O8" s="404"/>
      <c r="P8" s="407" t="s">
        <v>1406</v>
      </c>
      <c r="Q8" s="36"/>
      <c r="R8" s="36"/>
      <c r="S8" s="189"/>
      <c r="T8" s="404"/>
      <c r="U8" s="407" t="s">
        <v>1406</v>
      </c>
      <c r="V8" s="36"/>
      <c r="W8" s="36"/>
      <c r="X8" s="189"/>
      <c r="Y8" s="406"/>
    </row>
    <row r="9">
      <c r="A9" s="290"/>
      <c r="B9" s="290"/>
      <c r="C9" s="290"/>
      <c r="D9" s="290"/>
      <c r="E9" s="290"/>
      <c r="F9" s="299"/>
      <c r="G9" s="299"/>
      <c r="H9" s="299"/>
      <c r="I9" s="299"/>
      <c r="J9" s="290"/>
      <c r="K9" s="299"/>
      <c r="L9" s="299"/>
      <c r="M9" s="299"/>
      <c r="N9" s="299"/>
      <c r="O9" s="290"/>
      <c r="P9" s="299"/>
      <c r="Q9" s="299"/>
      <c r="R9" s="299"/>
      <c r="S9" s="299"/>
      <c r="T9" s="290"/>
      <c r="U9" s="299"/>
      <c r="V9" s="299"/>
      <c r="W9" s="299"/>
      <c r="X9" s="299"/>
      <c r="Y9" s="399"/>
    </row>
    <row r="10">
      <c r="A10" s="409"/>
      <c r="E10" s="404"/>
      <c r="F10" s="300" t="s">
        <v>1407</v>
      </c>
      <c r="I10" s="301"/>
      <c r="J10" s="404"/>
      <c r="K10" s="300" t="s">
        <v>1407</v>
      </c>
      <c r="N10" s="301"/>
      <c r="O10" s="404"/>
      <c r="P10" s="300" t="s">
        <v>1407</v>
      </c>
      <c r="S10" s="301"/>
      <c r="T10" s="404"/>
      <c r="U10" s="300" t="s">
        <v>1407</v>
      </c>
      <c r="X10" s="301"/>
      <c r="Y10" s="406"/>
    </row>
    <row r="11">
      <c r="A11" s="410"/>
      <c r="B11" s="296"/>
      <c r="C11" s="270"/>
      <c r="E11" s="404"/>
      <c r="F11" s="303" t="s">
        <v>1408</v>
      </c>
      <c r="G11" s="304" t="s">
        <v>1409</v>
      </c>
      <c r="H11" s="270"/>
      <c r="I11" s="301"/>
      <c r="J11" s="404"/>
      <c r="K11" s="303" t="s">
        <v>1408</v>
      </c>
      <c r="L11" s="304" t="s">
        <v>1409</v>
      </c>
      <c r="M11" s="270"/>
      <c r="N11" s="301"/>
      <c r="O11" s="404"/>
      <c r="P11" s="303" t="s">
        <v>1408</v>
      </c>
      <c r="Q11" s="304" t="s">
        <v>1409</v>
      </c>
      <c r="R11" s="270"/>
      <c r="S11" s="301"/>
      <c r="T11" s="404"/>
      <c r="U11" s="303" t="s">
        <v>1408</v>
      </c>
      <c r="V11" s="304" t="s">
        <v>1409</v>
      </c>
      <c r="W11" s="270"/>
      <c r="X11" s="301"/>
      <c r="Y11" s="406"/>
    </row>
    <row r="12">
      <c r="A12" s="410"/>
      <c r="B12" s="296"/>
      <c r="C12" s="293"/>
      <c r="E12" s="404"/>
      <c r="F12" s="303" t="s">
        <v>1410</v>
      </c>
      <c r="G12" s="304" t="s">
        <v>1411</v>
      </c>
      <c r="H12" s="305" t="s">
        <v>1412</v>
      </c>
      <c r="I12" s="301"/>
      <c r="J12" s="404"/>
      <c r="K12" s="303" t="s">
        <v>1410</v>
      </c>
      <c r="L12" s="304" t="s">
        <v>1411</v>
      </c>
      <c r="M12" s="305" t="s">
        <v>1412</v>
      </c>
      <c r="N12" s="301"/>
      <c r="O12" s="404"/>
      <c r="P12" s="303" t="s">
        <v>1410</v>
      </c>
      <c r="Q12" s="304" t="s">
        <v>1411</v>
      </c>
      <c r="R12" s="305" t="s">
        <v>1412</v>
      </c>
      <c r="S12" s="301"/>
      <c r="T12" s="404"/>
      <c r="U12" s="303" t="s">
        <v>1410</v>
      </c>
      <c r="V12" s="304" t="s">
        <v>1411</v>
      </c>
      <c r="W12" s="305" t="s">
        <v>1412</v>
      </c>
      <c r="X12" s="301"/>
      <c r="Y12" s="406"/>
    </row>
    <row r="13">
      <c r="A13" s="410"/>
      <c r="B13" s="296"/>
      <c r="C13" s="411"/>
      <c r="E13" s="404"/>
      <c r="F13" s="303" t="s">
        <v>1413</v>
      </c>
      <c r="G13" s="304" t="s">
        <v>1414</v>
      </c>
      <c r="H13" s="306" t="s">
        <v>1415</v>
      </c>
      <c r="I13" s="301"/>
      <c r="J13" s="404"/>
      <c r="K13" s="303" t="s">
        <v>1413</v>
      </c>
      <c r="L13" s="304" t="s">
        <v>1414</v>
      </c>
      <c r="M13" s="306" t="s">
        <v>1415</v>
      </c>
      <c r="N13" s="301"/>
      <c r="O13" s="404"/>
      <c r="P13" s="303" t="s">
        <v>1413</v>
      </c>
      <c r="Q13" s="304" t="s">
        <v>1414</v>
      </c>
      <c r="R13" s="306" t="s">
        <v>1415</v>
      </c>
      <c r="S13" s="301"/>
      <c r="T13" s="404"/>
      <c r="U13" s="303" t="s">
        <v>1413</v>
      </c>
      <c r="V13" s="304" t="s">
        <v>1414</v>
      </c>
      <c r="W13" s="306" t="s">
        <v>1415</v>
      </c>
      <c r="X13" s="301"/>
      <c r="Y13" s="406"/>
    </row>
    <row r="14">
      <c r="A14" s="410"/>
      <c r="B14" s="298"/>
      <c r="C14" s="293"/>
      <c r="E14" s="404"/>
      <c r="F14" s="303" t="s">
        <v>1416</v>
      </c>
      <c r="G14" s="307" t="s">
        <v>1578</v>
      </c>
      <c r="H14" s="305">
        <v>12.0</v>
      </c>
      <c r="I14" s="301"/>
      <c r="J14" s="404"/>
      <c r="K14" s="303" t="s">
        <v>1416</v>
      </c>
      <c r="L14" s="307" t="s">
        <v>1579</v>
      </c>
      <c r="M14" s="305">
        <v>12.0</v>
      </c>
      <c r="N14" s="301"/>
      <c r="O14" s="404"/>
      <c r="P14" s="303" t="s">
        <v>1416</v>
      </c>
      <c r="Q14" s="307" t="s">
        <v>1580</v>
      </c>
      <c r="R14" s="305">
        <v>12.0</v>
      </c>
      <c r="S14" s="301"/>
      <c r="T14" s="404"/>
      <c r="U14" s="303" t="s">
        <v>1416</v>
      </c>
      <c r="V14" s="307" t="s">
        <v>1581</v>
      </c>
      <c r="W14" s="305">
        <v>12.0</v>
      </c>
      <c r="X14" s="301"/>
      <c r="Y14" s="406"/>
    </row>
    <row r="15">
      <c r="A15" s="409"/>
      <c r="E15" s="404"/>
      <c r="F15" s="300" t="s">
        <v>1418</v>
      </c>
      <c r="I15" s="301"/>
      <c r="J15" s="404"/>
      <c r="K15" s="300" t="s">
        <v>1418</v>
      </c>
      <c r="N15" s="301"/>
      <c r="O15" s="404"/>
      <c r="P15" s="300" t="s">
        <v>1418</v>
      </c>
      <c r="S15" s="301"/>
      <c r="T15" s="404"/>
      <c r="U15" s="300" t="s">
        <v>1418</v>
      </c>
      <c r="X15" s="301"/>
      <c r="Y15" s="406"/>
    </row>
    <row r="16">
      <c r="A16" s="293"/>
      <c r="C16" s="293"/>
      <c r="E16" s="404"/>
      <c r="F16" s="305" t="s">
        <v>1419</v>
      </c>
      <c r="G16" s="301"/>
      <c r="H16" s="305" t="s">
        <v>1420</v>
      </c>
      <c r="I16" s="301"/>
      <c r="J16" s="404"/>
      <c r="K16" s="305" t="s">
        <v>8</v>
      </c>
      <c r="L16" s="301"/>
      <c r="M16" s="305" t="s">
        <v>1420</v>
      </c>
      <c r="N16" s="301"/>
      <c r="O16" s="404"/>
      <c r="P16" s="305" t="s">
        <v>1419</v>
      </c>
      <c r="Q16" s="301"/>
      <c r="R16" s="305" t="s">
        <v>1420</v>
      </c>
      <c r="S16" s="301"/>
      <c r="T16" s="404"/>
      <c r="U16" s="305" t="s">
        <v>8</v>
      </c>
      <c r="V16" s="301"/>
      <c r="W16" s="305" t="s">
        <v>1420</v>
      </c>
      <c r="X16" s="301"/>
      <c r="Y16" s="406"/>
    </row>
    <row r="17">
      <c r="A17" s="412"/>
      <c r="C17" s="412"/>
      <c r="E17" s="404"/>
      <c r="F17" s="413" t="s">
        <v>1582</v>
      </c>
      <c r="G17" s="301"/>
      <c r="H17" s="414">
        <v>1.0</v>
      </c>
      <c r="I17" s="301"/>
      <c r="J17" s="404"/>
      <c r="K17" s="413" t="s">
        <v>1583</v>
      </c>
      <c r="L17" s="301"/>
      <c r="M17" s="308">
        <v>1.0</v>
      </c>
      <c r="N17" s="301"/>
      <c r="O17" s="404"/>
      <c r="P17" s="413" t="s">
        <v>1584</v>
      </c>
      <c r="Q17" s="301"/>
      <c r="R17" s="308">
        <v>1.0</v>
      </c>
      <c r="S17" s="301"/>
      <c r="T17" s="404"/>
      <c r="U17" s="413" t="s">
        <v>1585</v>
      </c>
      <c r="V17" s="301"/>
      <c r="W17" s="308">
        <v>1.0</v>
      </c>
      <c r="X17" s="301"/>
      <c r="Y17" s="406"/>
    </row>
    <row r="18">
      <c r="A18" s="270"/>
      <c r="E18" s="404"/>
      <c r="F18" s="270"/>
      <c r="I18" s="301"/>
      <c r="J18" s="404"/>
      <c r="K18" s="270"/>
      <c r="N18" s="301"/>
      <c r="O18" s="404"/>
      <c r="P18" s="270"/>
      <c r="S18" s="301"/>
      <c r="T18" s="404"/>
      <c r="U18" s="270"/>
      <c r="X18" s="301"/>
      <c r="Y18" s="406"/>
    </row>
    <row r="19">
      <c r="A19" s="410"/>
      <c r="E19" s="347"/>
      <c r="F19" s="309" t="s">
        <v>1422</v>
      </c>
      <c r="I19" s="301"/>
      <c r="J19" s="347"/>
      <c r="K19" s="309" t="s">
        <v>1422</v>
      </c>
      <c r="N19" s="301"/>
      <c r="O19" s="347"/>
      <c r="P19" s="309" t="s">
        <v>1422</v>
      </c>
      <c r="S19" s="301"/>
      <c r="T19" s="347"/>
      <c r="U19" s="309" t="s">
        <v>1422</v>
      </c>
      <c r="X19" s="301"/>
      <c r="Y19" s="399"/>
    </row>
    <row r="20">
      <c r="A20" s="415"/>
      <c r="E20" s="347"/>
      <c r="F20" s="310" t="s">
        <v>1586</v>
      </c>
      <c r="I20" s="301"/>
      <c r="J20" s="347"/>
      <c r="K20" s="310" t="s">
        <v>1587</v>
      </c>
      <c r="N20" s="301"/>
      <c r="O20" s="347"/>
      <c r="P20" s="310" t="s">
        <v>1588</v>
      </c>
      <c r="S20" s="301"/>
      <c r="T20" s="347"/>
      <c r="U20" s="310" t="s">
        <v>1589</v>
      </c>
      <c r="X20" s="301"/>
      <c r="Y20" s="399"/>
    </row>
    <row r="21">
      <c r="A21" s="410"/>
      <c r="E21" s="347"/>
      <c r="F21" s="311" t="s">
        <v>1424</v>
      </c>
      <c r="I21" s="301"/>
      <c r="J21" s="347"/>
      <c r="K21" s="311" t="s">
        <v>1424</v>
      </c>
      <c r="N21" s="301"/>
      <c r="O21" s="347"/>
      <c r="P21" s="311" t="s">
        <v>1424</v>
      </c>
      <c r="S21" s="301"/>
      <c r="T21" s="347"/>
      <c r="U21" s="311" t="s">
        <v>1424</v>
      </c>
      <c r="X21" s="301"/>
      <c r="Y21" s="399"/>
    </row>
    <row r="22">
      <c r="A22" s="293"/>
      <c r="B22" s="296"/>
      <c r="C22" s="293"/>
      <c r="E22" s="347"/>
      <c r="F22" s="312">
        <v>1.0</v>
      </c>
      <c r="G22" s="304" t="s">
        <v>1425</v>
      </c>
      <c r="H22" s="305" t="s">
        <v>1426</v>
      </c>
      <c r="I22" s="301"/>
      <c r="J22" s="347"/>
      <c r="K22" s="312">
        <v>1.0</v>
      </c>
      <c r="L22" s="304" t="s">
        <v>1425</v>
      </c>
      <c r="M22" s="305" t="s">
        <v>1426</v>
      </c>
      <c r="N22" s="301"/>
      <c r="O22" s="347"/>
      <c r="P22" s="312">
        <v>1.0</v>
      </c>
      <c r="Q22" s="304" t="s">
        <v>1425</v>
      </c>
      <c r="R22" s="305" t="s">
        <v>1426</v>
      </c>
      <c r="S22" s="301"/>
      <c r="T22" s="347"/>
      <c r="U22" s="312">
        <v>1.0</v>
      </c>
      <c r="V22" s="304" t="s">
        <v>1425</v>
      </c>
      <c r="W22" s="305" t="s">
        <v>1426</v>
      </c>
      <c r="X22" s="301"/>
      <c r="Y22" s="399"/>
    </row>
    <row r="23">
      <c r="A23" s="293"/>
      <c r="B23" s="296"/>
      <c r="C23" s="293"/>
      <c r="E23" s="347"/>
      <c r="F23" s="312">
        <v>2.0</v>
      </c>
      <c r="G23" s="304" t="s">
        <v>1427</v>
      </c>
      <c r="H23" s="305" t="s">
        <v>1590</v>
      </c>
      <c r="I23" s="301"/>
      <c r="J23" s="347"/>
      <c r="K23" s="312">
        <v>2.0</v>
      </c>
      <c r="L23" s="304" t="s">
        <v>1427</v>
      </c>
      <c r="M23" s="305" t="s">
        <v>1591</v>
      </c>
      <c r="N23" s="301"/>
      <c r="O23" s="347"/>
      <c r="P23" s="312">
        <v>2.0</v>
      </c>
      <c r="Q23" s="304" t="s">
        <v>1427</v>
      </c>
      <c r="R23" s="305" t="s">
        <v>1592</v>
      </c>
      <c r="S23" s="301"/>
      <c r="T23" s="347"/>
      <c r="U23" s="312">
        <v>2.0</v>
      </c>
      <c r="V23" s="304" t="s">
        <v>1427</v>
      </c>
      <c r="W23" s="305" t="s">
        <v>1593</v>
      </c>
      <c r="X23" s="301"/>
      <c r="Y23" s="399"/>
    </row>
    <row r="24">
      <c r="A24" s="416"/>
      <c r="B24" s="296"/>
      <c r="C24" s="417"/>
      <c r="E24" s="418">
        <v>40939.0</v>
      </c>
      <c r="F24" s="313">
        <v>3.0</v>
      </c>
      <c r="G24" s="304" t="s">
        <v>1429</v>
      </c>
      <c r="H24" s="419">
        <v>2596.0</v>
      </c>
      <c r="I24" s="301"/>
      <c r="J24" s="418">
        <v>40918.0</v>
      </c>
      <c r="K24" s="313">
        <v>3.0</v>
      </c>
      <c r="L24" s="304" t="s">
        <v>1429</v>
      </c>
      <c r="M24" s="419">
        <v>2596.0</v>
      </c>
      <c r="N24" s="301"/>
      <c r="O24" s="418">
        <v>41065.0</v>
      </c>
      <c r="P24" s="313">
        <v>3.0</v>
      </c>
      <c r="Q24" s="304" t="s">
        <v>1429</v>
      </c>
      <c r="R24" s="419">
        <v>1834.8</v>
      </c>
      <c r="S24" s="301"/>
      <c r="T24" s="418">
        <v>41084.0</v>
      </c>
      <c r="U24" s="313">
        <v>3.0</v>
      </c>
      <c r="V24" s="304" t="s">
        <v>1429</v>
      </c>
      <c r="W24" s="419">
        <f>SUM(2596*1.1111)</f>
        <v>2884.4156</v>
      </c>
      <c r="X24" s="301"/>
      <c r="Y24" s="418">
        <v>40925.0</v>
      </c>
    </row>
    <row r="25">
      <c r="A25" s="293"/>
      <c r="B25" s="296"/>
      <c r="C25" s="293"/>
      <c r="E25" s="347"/>
      <c r="F25" s="312">
        <v>4.0</v>
      </c>
      <c r="G25" s="304" t="s">
        <v>1430</v>
      </c>
      <c r="H25" s="317" t="s">
        <v>1594</v>
      </c>
      <c r="I25" s="301"/>
      <c r="J25" s="347"/>
      <c r="K25" s="312">
        <v>4.0</v>
      </c>
      <c r="L25" s="304" t="s">
        <v>1430</v>
      </c>
      <c r="M25" s="317" t="s">
        <v>1595</v>
      </c>
      <c r="N25" s="301"/>
      <c r="O25" s="347"/>
      <c r="P25" s="312">
        <v>4.0</v>
      </c>
      <c r="Q25" s="304" t="s">
        <v>1430</v>
      </c>
      <c r="R25" s="316" t="s">
        <v>1596</v>
      </c>
      <c r="S25" s="301"/>
      <c r="T25" s="347"/>
      <c r="U25" s="312">
        <v>4.0</v>
      </c>
      <c r="V25" s="304" t="s">
        <v>1430</v>
      </c>
      <c r="W25" s="316" t="s">
        <v>1597</v>
      </c>
      <c r="X25" s="301"/>
      <c r="Y25" s="399"/>
    </row>
    <row r="26">
      <c r="A26" s="293"/>
      <c r="B26" s="296"/>
      <c r="C26" s="293"/>
      <c r="E26" s="347"/>
      <c r="F26" s="312">
        <v>5.0</v>
      </c>
      <c r="G26" s="304" t="s">
        <v>1432</v>
      </c>
      <c r="H26" s="420">
        <v>44713.0</v>
      </c>
      <c r="I26" s="301"/>
      <c r="J26" s="347"/>
      <c r="K26" s="312">
        <v>5.0</v>
      </c>
      <c r="L26" s="304" t="s">
        <v>1432</v>
      </c>
      <c r="M26" s="420">
        <v>44713.0</v>
      </c>
      <c r="N26" s="301"/>
      <c r="O26" s="347"/>
      <c r="P26" s="312">
        <v>5.0</v>
      </c>
      <c r="Q26" s="304" t="s">
        <v>1432</v>
      </c>
      <c r="R26" s="420">
        <v>44713.0</v>
      </c>
      <c r="S26" s="301"/>
      <c r="T26" s="347"/>
      <c r="U26" s="312">
        <v>5.0</v>
      </c>
      <c r="V26" s="304" t="s">
        <v>1432</v>
      </c>
      <c r="W26" s="420">
        <v>44713.0</v>
      </c>
      <c r="X26" s="301"/>
      <c r="Y26" s="399"/>
    </row>
    <row r="27">
      <c r="A27" s="290"/>
      <c r="B27" s="296"/>
      <c r="C27" s="270"/>
      <c r="E27" s="347"/>
      <c r="F27" s="304"/>
      <c r="G27" s="304"/>
      <c r="H27" s="270"/>
      <c r="I27" s="301"/>
      <c r="J27" s="347"/>
      <c r="K27" s="304"/>
      <c r="L27" s="304"/>
      <c r="M27" s="421"/>
      <c r="N27" s="312"/>
      <c r="O27" s="347"/>
      <c r="P27" s="304"/>
      <c r="Q27" s="304"/>
      <c r="R27" s="270"/>
      <c r="S27" s="301"/>
      <c r="T27" s="347"/>
      <c r="U27" s="304"/>
      <c r="V27" s="304"/>
      <c r="W27" s="270"/>
      <c r="X27" s="301"/>
      <c r="Y27" s="399"/>
    </row>
    <row r="28">
      <c r="A28" s="422"/>
      <c r="E28" s="347"/>
      <c r="F28" s="319" t="s">
        <v>1434</v>
      </c>
      <c r="G28" s="44"/>
      <c r="H28" s="44"/>
      <c r="I28" s="320"/>
      <c r="J28" s="347"/>
      <c r="K28" s="319" t="s">
        <v>1434</v>
      </c>
      <c r="L28" s="44"/>
      <c r="M28" s="44"/>
      <c r="N28" s="320"/>
      <c r="O28" s="347"/>
      <c r="P28" s="319" t="s">
        <v>1434</v>
      </c>
      <c r="Q28" s="44"/>
      <c r="R28" s="44"/>
      <c r="S28" s="320"/>
      <c r="T28" s="347"/>
      <c r="U28" s="319" t="s">
        <v>1434</v>
      </c>
      <c r="V28" s="44"/>
      <c r="W28" s="44"/>
      <c r="X28" s="320"/>
      <c r="Y28" s="399"/>
    </row>
    <row r="29">
      <c r="A29" s="410"/>
      <c r="B29" s="409"/>
      <c r="C29" s="410"/>
      <c r="D29" s="410"/>
      <c r="E29" s="347"/>
      <c r="F29" s="321">
        <v>1.0</v>
      </c>
      <c r="G29" s="322" t="s">
        <v>1598</v>
      </c>
      <c r="H29" s="321" t="s">
        <v>1436</v>
      </c>
      <c r="I29" s="321" t="s">
        <v>1437</v>
      </c>
      <c r="J29" s="347"/>
      <c r="K29" s="321">
        <v>1.0</v>
      </c>
      <c r="L29" s="322" t="s">
        <v>1598</v>
      </c>
      <c r="M29" s="321" t="s">
        <v>1436</v>
      </c>
      <c r="N29" s="321" t="s">
        <v>1437</v>
      </c>
      <c r="O29" s="347"/>
      <c r="P29" s="321">
        <v>1.0</v>
      </c>
      <c r="Q29" s="322" t="s">
        <v>1598</v>
      </c>
      <c r="R29" s="321" t="s">
        <v>1436</v>
      </c>
      <c r="S29" s="321" t="s">
        <v>1437</v>
      </c>
      <c r="T29" s="347"/>
      <c r="U29" s="321">
        <v>1.0</v>
      </c>
      <c r="V29" s="322" t="s">
        <v>1598</v>
      </c>
      <c r="W29" s="321" t="s">
        <v>1436</v>
      </c>
      <c r="X29" s="321" t="s">
        <v>1437</v>
      </c>
      <c r="Y29" s="399"/>
    </row>
    <row r="30">
      <c r="A30" s="410"/>
      <c r="B30" s="296"/>
      <c r="C30" s="293"/>
      <c r="D30" s="423"/>
      <c r="E30" s="347"/>
      <c r="F30" s="303" t="s">
        <v>1408</v>
      </c>
      <c r="G30" s="304" t="s">
        <v>1599</v>
      </c>
      <c r="H30" s="312"/>
      <c r="I30" s="323">
        <f>H24</f>
        <v>2596</v>
      </c>
      <c r="J30" s="347"/>
      <c r="K30" s="303" t="s">
        <v>1408</v>
      </c>
      <c r="L30" s="304" t="s">
        <v>1599</v>
      </c>
      <c r="M30" s="312"/>
      <c r="N30" s="323">
        <f>M24</f>
        <v>2596</v>
      </c>
      <c r="O30" s="347"/>
      <c r="P30" s="303" t="s">
        <v>1408</v>
      </c>
      <c r="Q30" s="304" t="s">
        <v>1599</v>
      </c>
      <c r="R30" s="312"/>
      <c r="S30" s="323">
        <f>R24</f>
        <v>1834.8</v>
      </c>
      <c r="T30" s="347"/>
      <c r="U30" s="303" t="s">
        <v>1408</v>
      </c>
      <c r="V30" s="304" t="s">
        <v>1599</v>
      </c>
      <c r="W30" s="312"/>
      <c r="X30" s="323">
        <f>W24</f>
        <v>2884.4156</v>
      </c>
      <c r="Y30" s="399"/>
    </row>
    <row r="31">
      <c r="A31" s="410"/>
      <c r="B31" s="296"/>
      <c r="C31" s="424"/>
      <c r="D31" s="423"/>
      <c r="E31" s="347"/>
      <c r="F31" s="324" t="s">
        <v>1410</v>
      </c>
      <c r="G31" s="325" t="s">
        <v>1439</v>
      </c>
      <c r="H31" s="326">
        <v>0.3</v>
      </c>
      <c r="I31" s="327">
        <f>H31*I30</f>
        <v>778.8</v>
      </c>
      <c r="J31" s="347"/>
      <c r="K31" s="324" t="s">
        <v>1410</v>
      </c>
      <c r="L31" s="325" t="s">
        <v>1439</v>
      </c>
      <c r="M31" s="326">
        <v>0.3</v>
      </c>
      <c r="N31" s="327">
        <f>M31*N30</f>
        <v>778.8</v>
      </c>
      <c r="O31" s="347"/>
      <c r="P31" s="324" t="s">
        <v>1410</v>
      </c>
      <c r="Q31" s="325" t="s">
        <v>1439</v>
      </c>
      <c r="R31" s="326">
        <v>0.3</v>
      </c>
      <c r="S31" s="327">
        <f>R31*S30</f>
        <v>550.44</v>
      </c>
      <c r="T31" s="347"/>
      <c r="U31" s="324" t="s">
        <v>1410</v>
      </c>
      <c r="V31" s="325" t="s">
        <v>1439</v>
      </c>
      <c r="W31" s="326">
        <v>0.3</v>
      </c>
      <c r="X31" s="327">
        <f>W31*X30</f>
        <v>865.32468</v>
      </c>
      <c r="Y31" s="399"/>
    </row>
    <row r="32">
      <c r="A32" s="410"/>
      <c r="B32" s="296"/>
      <c r="C32" s="293"/>
      <c r="D32" s="423"/>
      <c r="E32" s="347"/>
      <c r="F32" s="303" t="s">
        <v>1413</v>
      </c>
      <c r="G32" s="304" t="s">
        <v>1440</v>
      </c>
      <c r="H32" s="312"/>
      <c r="I32" s="323"/>
      <c r="J32" s="347"/>
      <c r="K32" s="303" t="s">
        <v>1413</v>
      </c>
      <c r="L32" s="304" t="s">
        <v>1440</v>
      </c>
      <c r="M32" s="312"/>
      <c r="N32" s="323"/>
      <c r="O32" s="347"/>
      <c r="P32" s="303" t="s">
        <v>1413</v>
      </c>
      <c r="Q32" s="304" t="s">
        <v>1440</v>
      </c>
      <c r="R32" s="312"/>
      <c r="S32" s="323"/>
      <c r="T32" s="347"/>
      <c r="U32" s="303" t="s">
        <v>1413</v>
      </c>
      <c r="V32" s="304" t="s">
        <v>1440</v>
      </c>
      <c r="W32" s="312"/>
      <c r="X32" s="323"/>
      <c r="Y32" s="399"/>
    </row>
    <row r="33">
      <c r="A33" s="410"/>
      <c r="B33" s="296"/>
      <c r="C33" s="293"/>
      <c r="D33" s="423"/>
      <c r="E33" s="347"/>
      <c r="F33" s="303" t="s">
        <v>1416</v>
      </c>
      <c r="G33" s="304" t="s">
        <v>1441</v>
      </c>
      <c r="H33" s="312"/>
      <c r="I33" s="323"/>
      <c r="J33" s="347"/>
      <c r="K33" s="303" t="s">
        <v>1416</v>
      </c>
      <c r="L33" s="304" t="s">
        <v>1441</v>
      </c>
      <c r="M33" s="312"/>
      <c r="N33" s="323"/>
      <c r="O33" s="347"/>
      <c r="P33" s="303" t="s">
        <v>1416</v>
      </c>
      <c r="Q33" s="304" t="s">
        <v>1441</v>
      </c>
      <c r="R33" s="312"/>
      <c r="S33" s="323"/>
      <c r="T33" s="347"/>
      <c r="U33" s="303" t="s">
        <v>1416</v>
      </c>
      <c r="V33" s="304" t="s">
        <v>1441</v>
      </c>
      <c r="W33" s="312"/>
      <c r="X33" s="323"/>
      <c r="Y33" s="399"/>
    </row>
    <row r="34">
      <c r="A34" s="410"/>
      <c r="B34" s="296"/>
      <c r="C34" s="293"/>
      <c r="D34" s="423"/>
      <c r="E34" s="347"/>
      <c r="F34" s="303" t="s">
        <v>1442</v>
      </c>
      <c r="G34" s="304" t="s">
        <v>1443</v>
      </c>
      <c r="H34" s="312"/>
      <c r="I34" s="323"/>
      <c r="J34" s="347"/>
      <c r="K34" s="303" t="s">
        <v>1442</v>
      </c>
      <c r="L34" s="304" t="s">
        <v>1443</v>
      </c>
      <c r="M34" s="312"/>
      <c r="N34" s="323"/>
      <c r="O34" s="347"/>
      <c r="P34" s="303" t="s">
        <v>1442</v>
      </c>
      <c r="Q34" s="304" t="s">
        <v>1443</v>
      </c>
      <c r="R34" s="312"/>
      <c r="S34" s="323"/>
      <c r="T34" s="347"/>
      <c r="U34" s="303" t="s">
        <v>1442</v>
      </c>
      <c r="V34" s="304" t="s">
        <v>1443</v>
      </c>
      <c r="W34" s="312"/>
      <c r="X34" s="323"/>
      <c r="Y34" s="399"/>
    </row>
    <row r="35">
      <c r="A35" s="410"/>
      <c r="B35" s="296"/>
      <c r="C35" s="293"/>
      <c r="D35" s="423"/>
      <c r="E35" s="347"/>
      <c r="F35" s="303" t="s">
        <v>1444</v>
      </c>
      <c r="G35" s="304" t="s">
        <v>1445</v>
      </c>
      <c r="H35" s="312"/>
      <c r="I35" s="323"/>
      <c r="J35" s="347"/>
      <c r="K35" s="303" t="s">
        <v>1444</v>
      </c>
      <c r="L35" s="304" t="s">
        <v>1445</v>
      </c>
      <c r="M35" s="312"/>
      <c r="N35" s="323"/>
      <c r="O35" s="347"/>
      <c r="P35" s="303" t="s">
        <v>1444</v>
      </c>
      <c r="Q35" s="304" t="s">
        <v>1445</v>
      </c>
      <c r="R35" s="312"/>
      <c r="S35" s="323"/>
      <c r="T35" s="347"/>
      <c r="U35" s="303" t="s">
        <v>1444</v>
      </c>
      <c r="V35" s="304" t="s">
        <v>1445</v>
      </c>
      <c r="W35" s="312"/>
      <c r="X35" s="323"/>
      <c r="Y35" s="399"/>
    </row>
    <row r="36">
      <c r="A36" s="410"/>
      <c r="B36" s="296"/>
      <c r="C36" s="293"/>
      <c r="D36" s="423"/>
      <c r="E36" s="347"/>
      <c r="F36" s="303" t="s">
        <v>1446</v>
      </c>
      <c r="G36" s="304" t="s">
        <v>1447</v>
      </c>
      <c r="H36" s="312"/>
      <c r="I36" s="323"/>
      <c r="J36" s="347"/>
      <c r="K36" s="303" t="s">
        <v>1446</v>
      </c>
      <c r="L36" s="304" t="s">
        <v>1447</v>
      </c>
      <c r="M36" s="312"/>
      <c r="N36" s="323"/>
      <c r="O36" s="347"/>
      <c r="P36" s="303" t="s">
        <v>1446</v>
      </c>
      <c r="Q36" s="304" t="s">
        <v>1447</v>
      </c>
      <c r="R36" s="312"/>
      <c r="S36" s="323"/>
      <c r="T36" s="347"/>
      <c r="U36" s="303" t="s">
        <v>1446</v>
      </c>
      <c r="V36" s="304" t="s">
        <v>1447</v>
      </c>
      <c r="W36" s="312"/>
      <c r="X36" s="323"/>
      <c r="Y36" s="399"/>
    </row>
    <row r="37">
      <c r="A37" s="293"/>
      <c r="B37" s="409"/>
      <c r="C37" s="410"/>
      <c r="D37" s="425"/>
      <c r="E37" s="347"/>
      <c r="F37" s="312"/>
      <c r="G37" s="328" t="s">
        <v>1448</v>
      </c>
      <c r="H37" s="303"/>
      <c r="I37" s="329">
        <f>SUM(I30:I36)</f>
        <v>3374.8</v>
      </c>
      <c r="J37" s="347"/>
      <c r="K37" s="312"/>
      <c r="L37" s="328" t="s">
        <v>1448</v>
      </c>
      <c r="M37" s="303"/>
      <c r="N37" s="329">
        <f>SUM(N30:N36)</f>
        <v>3374.8</v>
      </c>
      <c r="O37" s="347"/>
      <c r="P37" s="312"/>
      <c r="Q37" s="328" t="s">
        <v>1448</v>
      </c>
      <c r="R37" s="303"/>
      <c r="S37" s="329">
        <f>SUM(S30:S36)</f>
        <v>2385.24</v>
      </c>
      <c r="T37" s="347"/>
      <c r="U37" s="312"/>
      <c r="V37" s="328" t="s">
        <v>1448</v>
      </c>
      <c r="W37" s="303"/>
      <c r="X37" s="329">
        <f>SUM(X30:X36)</f>
        <v>3749.74028</v>
      </c>
      <c r="Y37" s="399"/>
    </row>
    <row r="38">
      <c r="A38" s="270"/>
      <c r="E38" s="347"/>
      <c r="F38" s="270"/>
      <c r="I38" s="301"/>
      <c r="J38" s="347"/>
      <c r="K38" s="270"/>
      <c r="N38" s="301"/>
      <c r="O38" s="347"/>
      <c r="P38" s="270"/>
      <c r="S38" s="301"/>
      <c r="T38" s="347"/>
      <c r="U38" s="270"/>
      <c r="X38" s="301"/>
      <c r="Y38" s="399"/>
    </row>
    <row r="39">
      <c r="A39" s="422"/>
      <c r="E39" s="347"/>
      <c r="F39" s="319" t="s">
        <v>1449</v>
      </c>
      <c r="G39" s="44"/>
      <c r="H39" s="44"/>
      <c r="I39" s="320"/>
      <c r="J39" s="347"/>
      <c r="K39" s="319" t="s">
        <v>1449</v>
      </c>
      <c r="L39" s="44"/>
      <c r="M39" s="44"/>
      <c r="N39" s="320"/>
      <c r="O39" s="347"/>
      <c r="P39" s="319" t="s">
        <v>1449</v>
      </c>
      <c r="Q39" s="44"/>
      <c r="R39" s="44"/>
      <c r="S39" s="320"/>
      <c r="T39" s="347"/>
      <c r="U39" s="319" t="s">
        <v>1449</v>
      </c>
      <c r="V39" s="44"/>
      <c r="W39" s="44"/>
      <c r="X39" s="320"/>
      <c r="Y39" s="399"/>
    </row>
    <row r="40">
      <c r="A40" s="410"/>
      <c r="B40" s="409"/>
      <c r="C40" s="410"/>
      <c r="D40" s="410"/>
      <c r="E40" s="347"/>
      <c r="F40" s="321" t="s">
        <v>1450</v>
      </c>
      <c r="G40" s="321" t="s">
        <v>1451</v>
      </c>
      <c r="H40" s="321" t="s">
        <v>1436</v>
      </c>
      <c r="I40" s="321" t="s">
        <v>1437</v>
      </c>
      <c r="J40" s="347"/>
      <c r="K40" s="321" t="s">
        <v>1450</v>
      </c>
      <c r="L40" s="321" t="s">
        <v>1451</v>
      </c>
      <c r="M40" s="321" t="s">
        <v>1436</v>
      </c>
      <c r="N40" s="321" t="s">
        <v>1437</v>
      </c>
      <c r="O40" s="347"/>
      <c r="P40" s="321" t="s">
        <v>1450</v>
      </c>
      <c r="Q40" s="321" t="s">
        <v>1451</v>
      </c>
      <c r="R40" s="321" t="s">
        <v>1436</v>
      </c>
      <c r="S40" s="321" t="s">
        <v>1437</v>
      </c>
      <c r="T40" s="347"/>
      <c r="U40" s="321" t="s">
        <v>1450</v>
      </c>
      <c r="V40" s="321" t="s">
        <v>1451</v>
      </c>
      <c r="W40" s="321" t="s">
        <v>1436</v>
      </c>
      <c r="X40" s="321" t="s">
        <v>1437</v>
      </c>
      <c r="Y40" s="399"/>
    </row>
    <row r="41">
      <c r="A41" s="410"/>
      <c r="B41" s="296"/>
      <c r="C41" s="426"/>
      <c r="D41" s="423"/>
      <c r="E41" s="427"/>
      <c r="F41" s="303" t="s">
        <v>1408</v>
      </c>
      <c r="G41" s="304" t="s">
        <v>1452</v>
      </c>
      <c r="H41" s="330">
        <f>1/12</f>
        <v>0.08333333333</v>
      </c>
      <c r="I41" s="323">
        <f>H41*I$37</f>
        <v>281.2333333</v>
      </c>
      <c r="J41" s="347"/>
      <c r="K41" s="303" t="s">
        <v>1408</v>
      </c>
      <c r="L41" s="304" t="s">
        <v>1452</v>
      </c>
      <c r="M41" s="330">
        <f>1/12</f>
        <v>0.08333333333</v>
      </c>
      <c r="N41" s="323">
        <f>M41*N$37</f>
        <v>281.2333333</v>
      </c>
      <c r="O41" s="347"/>
      <c r="P41" s="303" t="s">
        <v>1408</v>
      </c>
      <c r="Q41" s="304" t="s">
        <v>1452</v>
      </c>
      <c r="R41" s="330">
        <f>1/12</f>
        <v>0.08333333333</v>
      </c>
      <c r="S41" s="323">
        <f>R41*S$37</f>
        <v>198.77</v>
      </c>
      <c r="T41" s="347"/>
      <c r="U41" s="303" t="s">
        <v>1408</v>
      </c>
      <c r="V41" s="304" t="s">
        <v>1452</v>
      </c>
      <c r="W41" s="330">
        <f>1/12</f>
        <v>0.08333333333</v>
      </c>
      <c r="X41" s="323">
        <f>W41*X$37</f>
        <v>312.4783567</v>
      </c>
      <c r="Y41" s="399"/>
    </row>
    <row r="42">
      <c r="A42" s="410"/>
      <c r="B42" s="409"/>
      <c r="C42" s="428"/>
      <c r="D42" s="423"/>
      <c r="E42" s="427"/>
      <c r="F42" s="303" t="s">
        <v>1410</v>
      </c>
      <c r="G42" s="328" t="s">
        <v>1453</v>
      </c>
      <c r="H42" s="332">
        <f>SUM(H43:H44)</f>
        <v>0.1212121212</v>
      </c>
      <c r="I42" s="323">
        <f>I37*H42</f>
        <v>409.0666667</v>
      </c>
      <c r="J42" s="347"/>
      <c r="K42" s="303" t="s">
        <v>1410</v>
      </c>
      <c r="L42" s="328" t="s">
        <v>1453</v>
      </c>
      <c r="M42" s="332">
        <f>SUM(M43:M44)</f>
        <v>0.1212121212</v>
      </c>
      <c r="N42" s="323">
        <f>N37*M42</f>
        <v>409.0666667</v>
      </c>
      <c r="O42" s="347"/>
      <c r="P42" s="303" t="s">
        <v>1410</v>
      </c>
      <c r="Q42" s="328" t="s">
        <v>1453</v>
      </c>
      <c r="R42" s="332">
        <f>SUM(R43:R44)</f>
        <v>0.1212121212</v>
      </c>
      <c r="S42" s="323">
        <f>S37*R42</f>
        <v>289.12</v>
      </c>
      <c r="T42" s="347"/>
      <c r="U42" s="303" t="s">
        <v>1410</v>
      </c>
      <c r="V42" s="328" t="s">
        <v>1453</v>
      </c>
      <c r="W42" s="332">
        <f>SUM(W43:W44)</f>
        <v>0.1212121212</v>
      </c>
      <c r="X42" s="323">
        <f>X37*W42</f>
        <v>454.5139733</v>
      </c>
      <c r="Y42" s="399"/>
    </row>
    <row r="43">
      <c r="A43" s="410"/>
      <c r="B43" s="296"/>
      <c r="C43" s="426"/>
      <c r="D43" s="423"/>
      <c r="E43" s="427"/>
      <c r="F43" s="303" t="s">
        <v>1454</v>
      </c>
      <c r="G43" s="304" t="s">
        <v>1455</v>
      </c>
      <c r="H43" s="332">
        <f>1/11</f>
        <v>0.09090909091</v>
      </c>
      <c r="I43" s="323">
        <f>H43*I37</f>
        <v>306.8</v>
      </c>
      <c r="J43" s="347"/>
      <c r="K43" s="303" t="s">
        <v>1454</v>
      </c>
      <c r="L43" s="304" t="s">
        <v>1455</v>
      </c>
      <c r="M43" s="332">
        <f>1/11</f>
        <v>0.09090909091</v>
      </c>
      <c r="N43" s="323">
        <f>M43*N37</f>
        <v>306.8</v>
      </c>
      <c r="O43" s="347"/>
      <c r="P43" s="303" t="s">
        <v>1454</v>
      </c>
      <c r="Q43" s="304" t="s">
        <v>1455</v>
      </c>
      <c r="R43" s="332">
        <f>1/11</f>
        <v>0.09090909091</v>
      </c>
      <c r="S43" s="323">
        <f>R43*S37</f>
        <v>216.84</v>
      </c>
      <c r="T43" s="347"/>
      <c r="U43" s="303" t="s">
        <v>1454</v>
      </c>
      <c r="V43" s="304" t="s">
        <v>1455</v>
      </c>
      <c r="W43" s="332">
        <f>1/11</f>
        <v>0.09090909091</v>
      </c>
      <c r="X43" s="323">
        <f>W43*X37</f>
        <v>340.88548</v>
      </c>
      <c r="Y43" s="399"/>
    </row>
    <row r="44">
      <c r="A44" s="410"/>
      <c r="B44" s="296"/>
      <c r="C44" s="426"/>
      <c r="D44" s="423"/>
      <c r="E44" s="427"/>
      <c r="F44" s="303" t="s">
        <v>1456</v>
      </c>
      <c r="G44" s="304" t="s">
        <v>1457</v>
      </c>
      <c r="H44" s="332">
        <f>(1/3)/11</f>
        <v>0.0303030303</v>
      </c>
      <c r="I44" s="323">
        <f>H44*I37</f>
        <v>102.2666667</v>
      </c>
      <c r="J44" s="347"/>
      <c r="K44" s="303" t="s">
        <v>1456</v>
      </c>
      <c r="L44" s="304" t="s">
        <v>1457</v>
      </c>
      <c r="M44" s="429">
        <f>(1/3)/11</f>
        <v>0.0303030303</v>
      </c>
      <c r="N44" s="323">
        <f>M44*N37</f>
        <v>102.2666667</v>
      </c>
      <c r="O44" s="347"/>
      <c r="P44" s="303" t="s">
        <v>1456</v>
      </c>
      <c r="Q44" s="304" t="s">
        <v>1457</v>
      </c>
      <c r="R44" s="429">
        <f>(1/3)/11</f>
        <v>0.0303030303</v>
      </c>
      <c r="S44" s="323">
        <f>R44*S37</f>
        <v>72.28</v>
      </c>
      <c r="T44" s="347"/>
      <c r="U44" s="303" t="s">
        <v>1456</v>
      </c>
      <c r="V44" s="304" t="s">
        <v>1457</v>
      </c>
      <c r="W44" s="429">
        <f>(1/3)/11</f>
        <v>0.0303030303</v>
      </c>
      <c r="X44" s="323">
        <f>W44*X37</f>
        <v>113.6284933</v>
      </c>
      <c r="Y44" s="399"/>
    </row>
    <row r="45">
      <c r="A45" s="410"/>
      <c r="B45" s="409"/>
      <c r="C45" s="426"/>
      <c r="D45" s="425"/>
      <c r="E45" s="427"/>
      <c r="F45" s="303"/>
      <c r="G45" s="328" t="s">
        <v>1458</v>
      </c>
      <c r="H45" s="330"/>
      <c r="I45" s="329">
        <f>I41+I42</f>
        <v>690.3</v>
      </c>
      <c r="J45" s="347"/>
      <c r="K45" s="303"/>
      <c r="L45" s="328" t="s">
        <v>1458</v>
      </c>
      <c r="M45" s="330"/>
      <c r="N45" s="329">
        <f>N41+N42</f>
        <v>690.3</v>
      </c>
      <c r="O45" s="347"/>
      <c r="P45" s="303"/>
      <c r="Q45" s="328" t="s">
        <v>1458</v>
      </c>
      <c r="R45" s="330"/>
      <c r="S45" s="329">
        <f>S41+S42</f>
        <v>487.89</v>
      </c>
      <c r="T45" s="347"/>
      <c r="U45" s="303"/>
      <c r="V45" s="328" t="s">
        <v>1458</v>
      </c>
      <c r="W45" s="330"/>
      <c r="X45" s="329">
        <f>X41+X42</f>
        <v>766.99233</v>
      </c>
      <c r="Y45" s="399"/>
    </row>
    <row r="46">
      <c r="A46" s="410"/>
      <c r="B46" s="296"/>
      <c r="C46" s="426"/>
      <c r="D46" s="423"/>
      <c r="E46" s="347"/>
      <c r="F46" s="303" t="s">
        <v>1413</v>
      </c>
      <c r="G46" s="304" t="s">
        <v>1459</v>
      </c>
      <c r="H46" s="330">
        <f>H58</f>
        <v>0.378</v>
      </c>
      <c r="I46" s="323">
        <f>H46*I45</f>
        <v>260.9334</v>
      </c>
      <c r="J46" s="347"/>
      <c r="K46" s="303" t="s">
        <v>1413</v>
      </c>
      <c r="L46" s="304" t="s">
        <v>1459</v>
      </c>
      <c r="M46" s="330">
        <f>M58</f>
        <v>0.378</v>
      </c>
      <c r="N46" s="323">
        <f>M46*N45</f>
        <v>260.9334</v>
      </c>
      <c r="O46" s="347"/>
      <c r="P46" s="303" t="s">
        <v>1413</v>
      </c>
      <c r="Q46" s="304" t="s">
        <v>1459</v>
      </c>
      <c r="R46" s="330">
        <f>R58</f>
        <v>0.378</v>
      </c>
      <c r="S46" s="323">
        <f>R46*S45</f>
        <v>184.42242</v>
      </c>
      <c r="T46" s="347"/>
      <c r="U46" s="303" t="s">
        <v>1413</v>
      </c>
      <c r="V46" s="304" t="s">
        <v>1459</v>
      </c>
      <c r="W46" s="330">
        <f>W58</f>
        <v>0.378</v>
      </c>
      <c r="X46" s="323">
        <f>W46*X45</f>
        <v>289.9231007</v>
      </c>
      <c r="Y46" s="399"/>
    </row>
    <row r="47">
      <c r="A47" s="290"/>
      <c r="B47" s="409"/>
      <c r="C47" s="430"/>
      <c r="D47" s="425"/>
      <c r="E47" s="347"/>
      <c r="F47" s="328"/>
      <c r="G47" s="328" t="s">
        <v>1460</v>
      </c>
      <c r="H47" s="333">
        <f>SUM(H41:H46)</f>
        <v>0.7037575758</v>
      </c>
      <c r="I47" s="329">
        <f>I45+I46</f>
        <v>951.2334</v>
      </c>
      <c r="J47" s="347"/>
      <c r="K47" s="328"/>
      <c r="L47" s="328" t="s">
        <v>1460</v>
      </c>
      <c r="M47" s="333">
        <f>SUM(M41:M46)</f>
        <v>0.7037575758</v>
      </c>
      <c r="N47" s="329">
        <f>N45+N46</f>
        <v>951.2334</v>
      </c>
      <c r="O47" s="347"/>
      <c r="P47" s="328"/>
      <c r="Q47" s="328" t="s">
        <v>1460</v>
      </c>
      <c r="R47" s="333">
        <f>SUM(R41:R46)</f>
        <v>0.7037575758</v>
      </c>
      <c r="S47" s="329">
        <f>S45+S46</f>
        <v>672.31242</v>
      </c>
      <c r="T47" s="347"/>
      <c r="U47" s="328"/>
      <c r="V47" s="328" t="s">
        <v>1460</v>
      </c>
      <c r="W47" s="333">
        <f>SUM(W41:W46)</f>
        <v>0.7037575758</v>
      </c>
      <c r="X47" s="329">
        <f>X45+X46</f>
        <v>1056.915431</v>
      </c>
      <c r="Y47" s="399"/>
    </row>
    <row r="48">
      <c r="A48" s="410"/>
      <c r="B48" s="409"/>
      <c r="C48" s="410"/>
      <c r="D48" s="410"/>
      <c r="E48" s="347"/>
      <c r="F48" s="321" t="s">
        <v>1461</v>
      </c>
      <c r="G48" s="322" t="s">
        <v>1462</v>
      </c>
      <c r="H48" s="321" t="s">
        <v>1436</v>
      </c>
      <c r="I48" s="321" t="s">
        <v>1437</v>
      </c>
      <c r="J48" s="347"/>
      <c r="K48" s="321" t="s">
        <v>1461</v>
      </c>
      <c r="L48" s="322" t="s">
        <v>1462</v>
      </c>
      <c r="M48" s="321" t="s">
        <v>1436</v>
      </c>
      <c r="N48" s="431" t="s">
        <v>1437</v>
      </c>
      <c r="O48" s="347"/>
      <c r="P48" s="321" t="s">
        <v>1461</v>
      </c>
      <c r="Q48" s="322" t="s">
        <v>1462</v>
      </c>
      <c r="R48" s="321" t="s">
        <v>1436</v>
      </c>
      <c r="S48" s="321" t="s">
        <v>1437</v>
      </c>
      <c r="T48" s="347"/>
      <c r="U48" s="321" t="s">
        <v>1461</v>
      </c>
      <c r="V48" s="322" t="s">
        <v>1462</v>
      </c>
      <c r="W48" s="321" t="s">
        <v>1436</v>
      </c>
      <c r="X48" s="431" t="s">
        <v>1437</v>
      </c>
      <c r="Y48" s="399"/>
    </row>
    <row r="49">
      <c r="A49" s="410"/>
      <c r="B49" s="296"/>
      <c r="C49" s="426"/>
      <c r="D49" s="423"/>
      <c r="E49" s="347"/>
      <c r="F49" s="303" t="s">
        <v>1408</v>
      </c>
      <c r="G49" s="304" t="s">
        <v>1463</v>
      </c>
      <c r="H49" s="333">
        <v>0.2</v>
      </c>
      <c r="I49" s="323">
        <f t="shared" ref="I49:I57" si="1">H49*I$37</f>
        <v>674.96</v>
      </c>
      <c r="J49" s="347"/>
      <c r="K49" s="303" t="s">
        <v>1408</v>
      </c>
      <c r="L49" s="304" t="s">
        <v>1463</v>
      </c>
      <c r="M49" s="333">
        <v>0.2</v>
      </c>
      <c r="N49" s="323">
        <f t="shared" ref="N49:N57" si="2">M49*N$37</f>
        <v>674.96</v>
      </c>
      <c r="O49" s="347"/>
      <c r="P49" s="303" t="s">
        <v>1408</v>
      </c>
      <c r="Q49" s="304" t="s">
        <v>1463</v>
      </c>
      <c r="R49" s="333">
        <v>0.2</v>
      </c>
      <c r="S49" s="323">
        <f t="shared" ref="S49:S57" si="3">R49*S$37</f>
        <v>477.048</v>
      </c>
      <c r="T49" s="347"/>
      <c r="U49" s="303" t="s">
        <v>1408</v>
      </c>
      <c r="V49" s="304" t="s">
        <v>1463</v>
      </c>
      <c r="W49" s="333">
        <v>0.2</v>
      </c>
      <c r="X49" s="323">
        <f t="shared" ref="X49:X57" si="4">W49*X$37</f>
        <v>749.948056</v>
      </c>
      <c r="Y49" s="399"/>
    </row>
    <row r="50">
      <c r="A50" s="410"/>
      <c r="B50" s="296"/>
      <c r="C50" s="426"/>
      <c r="D50" s="423"/>
      <c r="E50" s="347"/>
      <c r="F50" s="303" t="s">
        <v>1410</v>
      </c>
      <c r="G50" s="304" t="s">
        <v>1464</v>
      </c>
      <c r="H50" s="330">
        <v>0.025</v>
      </c>
      <c r="I50" s="323">
        <f t="shared" si="1"/>
        <v>84.37</v>
      </c>
      <c r="J50" s="347"/>
      <c r="K50" s="303" t="s">
        <v>1410</v>
      </c>
      <c r="L50" s="304" t="s">
        <v>1464</v>
      </c>
      <c r="M50" s="330">
        <v>0.025</v>
      </c>
      <c r="N50" s="323">
        <f t="shared" si="2"/>
        <v>84.37</v>
      </c>
      <c r="O50" s="347"/>
      <c r="P50" s="303" t="s">
        <v>1410</v>
      </c>
      <c r="Q50" s="304" t="s">
        <v>1464</v>
      </c>
      <c r="R50" s="330">
        <v>0.025</v>
      </c>
      <c r="S50" s="323">
        <f t="shared" si="3"/>
        <v>59.631</v>
      </c>
      <c r="T50" s="347"/>
      <c r="U50" s="303" t="s">
        <v>1410</v>
      </c>
      <c r="V50" s="304" t="s">
        <v>1464</v>
      </c>
      <c r="W50" s="330">
        <v>0.025</v>
      </c>
      <c r="X50" s="323">
        <f t="shared" si="4"/>
        <v>93.743507</v>
      </c>
      <c r="Y50" s="399"/>
    </row>
    <row r="51">
      <c r="A51" s="410"/>
      <c r="B51" s="296"/>
      <c r="C51" s="426"/>
      <c r="D51" s="423"/>
      <c r="E51" s="347"/>
      <c r="F51" s="303" t="s">
        <v>1413</v>
      </c>
      <c r="G51" s="304" t="s">
        <v>1465</v>
      </c>
      <c r="H51" s="330">
        <v>0.03</v>
      </c>
      <c r="I51" s="323">
        <f t="shared" si="1"/>
        <v>101.244</v>
      </c>
      <c r="J51" s="347"/>
      <c r="K51" s="303" t="s">
        <v>1413</v>
      </c>
      <c r="L51" s="304" t="s">
        <v>1465</v>
      </c>
      <c r="M51" s="330">
        <v>0.03</v>
      </c>
      <c r="N51" s="323">
        <f t="shared" si="2"/>
        <v>101.244</v>
      </c>
      <c r="O51" s="347"/>
      <c r="P51" s="303" t="s">
        <v>1413</v>
      </c>
      <c r="Q51" s="304" t="s">
        <v>1465</v>
      </c>
      <c r="R51" s="330">
        <v>0.03</v>
      </c>
      <c r="S51" s="323">
        <f t="shared" si="3"/>
        <v>71.5572</v>
      </c>
      <c r="T51" s="347"/>
      <c r="U51" s="303" t="s">
        <v>1413</v>
      </c>
      <c r="V51" s="304" t="s">
        <v>1465</v>
      </c>
      <c r="W51" s="330">
        <v>0.03</v>
      </c>
      <c r="X51" s="323">
        <f t="shared" si="4"/>
        <v>112.4922084</v>
      </c>
      <c r="Y51" s="399"/>
    </row>
    <row r="52">
      <c r="A52" s="410"/>
      <c r="B52" s="296"/>
      <c r="C52" s="426"/>
      <c r="D52" s="423"/>
      <c r="E52" s="432"/>
      <c r="F52" s="303" t="s">
        <v>1416</v>
      </c>
      <c r="G52" s="304" t="s">
        <v>1466</v>
      </c>
      <c r="H52" s="330">
        <v>0.015</v>
      </c>
      <c r="I52" s="323">
        <f t="shared" si="1"/>
        <v>50.622</v>
      </c>
      <c r="J52" s="347"/>
      <c r="K52" s="303" t="s">
        <v>1416</v>
      </c>
      <c r="L52" s="304" t="s">
        <v>1466</v>
      </c>
      <c r="M52" s="330">
        <v>0.015</v>
      </c>
      <c r="N52" s="323">
        <f t="shared" si="2"/>
        <v>50.622</v>
      </c>
      <c r="O52" s="347"/>
      <c r="P52" s="303" t="s">
        <v>1416</v>
      </c>
      <c r="Q52" s="304" t="s">
        <v>1466</v>
      </c>
      <c r="R52" s="330">
        <v>0.015</v>
      </c>
      <c r="S52" s="323">
        <f t="shared" si="3"/>
        <v>35.7786</v>
      </c>
      <c r="T52" s="347"/>
      <c r="U52" s="303" t="s">
        <v>1416</v>
      </c>
      <c r="V52" s="304" t="s">
        <v>1466</v>
      </c>
      <c r="W52" s="330">
        <v>0.015</v>
      </c>
      <c r="X52" s="323">
        <f t="shared" si="4"/>
        <v>56.2461042</v>
      </c>
      <c r="Y52" s="399"/>
    </row>
    <row r="53">
      <c r="A53" s="410"/>
      <c r="B53" s="296"/>
      <c r="C53" s="426"/>
      <c r="D53" s="423"/>
      <c r="E53" s="347"/>
      <c r="F53" s="303" t="s">
        <v>1442</v>
      </c>
      <c r="G53" s="304" t="s">
        <v>1467</v>
      </c>
      <c r="H53" s="330">
        <v>0.01</v>
      </c>
      <c r="I53" s="323">
        <f t="shared" si="1"/>
        <v>33.748</v>
      </c>
      <c r="J53" s="347"/>
      <c r="K53" s="303" t="s">
        <v>1442</v>
      </c>
      <c r="L53" s="304" t="s">
        <v>1467</v>
      </c>
      <c r="M53" s="330">
        <v>0.01</v>
      </c>
      <c r="N53" s="323">
        <f t="shared" si="2"/>
        <v>33.748</v>
      </c>
      <c r="O53" s="347"/>
      <c r="P53" s="303" t="s">
        <v>1442</v>
      </c>
      <c r="Q53" s="304" t="s">
        <v>1467</v>
      </c>
      <c r="R53" s="330">
        <v>0.01</v>
      </c>
      <c r="S53" s="323">
        <f t="shared" si="3"/>
        <v>23.8524</v>
      </c>
      <c r="T53" s="347"/>
      <c r="U53" s="303" t="s">
        <v>1442</v>
      </c>
      <c r="V53" s="304" t="s">
        <v>1467</v>
      </c>
      <c r="W53" s="330">
        <v>0.01</v>
      </c>
      <c r="X53" s="323">
        <f t="shared" si="4"/>
        <v>37.4974028</v>
      </c>
      <c r="Y53" s="399"/>
    </row>
    <row r="54">
      <c r="A54" s="410"/>
      <c r="B54" s="296"/>
      <c r="C54" s="426"/>
      <c r="D54" s="423"/>
      <c r="E54" s="347"/>
      <c r="F54" s="303" t="s">
        <v>1444</v>
      </c>
      <c r="G54" s="304" t="s">
        <v>1468</v>
      </c>
      <c r="H54" s="330">
        <v>0.006</v>
      </c>
      <c r="I54" s="323">
        <f t="shared" si="1"/>
        <v>20.2488</v>
      </c>
      <c r="J54" s="347"/>
      <c r="K54" s="303" t="s">
        <v>1444</v>
      </c>
      <c r="L54" s="304" t="s">
        <v>1468</v>
      </c>
      <c r="M54" s="330">
        <v>0.006</v>
      </c>
      <c r="N54" s="323">
        <f t="shared" si="2"/>
        <v>20.2488</v>
      </c>
      <c r="O54" s="347"/>
      <c r="P54" s="303" t="s">
        <v>1444</v>
      </c>
      <c r="Q54" s="304" t="s">
        <v>1468</v>
      </c>
      <c r="R54" s="330">
        <v>0.006</v>
      </c>
      <c r="S54" s="323">
        <f t="shared" si="3"/>
        <v>14.31144</v>
      </c>
      <c r="T54" s="347"/>
      <c r="U54" s="303" t="s">
        <v>1444</v>
      </c>
      <c r="V54" s="304" t="s">
        <v>1468</v>
      </c>
      <c r="W54" s="330">
        <v>0.006</v>
      </c>
      <c r="X54" s="323">
        <f t="shared" si="4"/>
        <v>22.49844168</v>
      </c>
      <c r="Y54" s="399"/>
    </row>
    <row r="55">
      <c r="A55" s="410"/>
      <c r="B55" s="296"/>
      <c r="C55" s="426"/>
      <c r="D55" s="423"/>
      <c r="E55" s="347"/>
      <c r="F55" s="303" t="s">
        <v>1446</v>
      </c>
      <c r="G55" s="304" t="s">
        <v>1469</v>
      </c>
      <c r="H55" s="330">
        <v>0.002</v>
      </c>
      <c r="I55" s="323">
        <f t="shared" si="1"/>
        <v>6.7496</v>
      </c>
      <c r="J55" s="347"/>
      <c r="K55" s="303" t="s">
        <v>1446</v>
      </c>
      <c r="L55" s="304" t="s">
        <v>1469</v>
      </c>
      <c r="M55" s="330">
        <v>0.002</v>
      </c>
      <c r="N55" s="323">
        <f t="shared" si="2"/>
        <v>6.7496</v>
      </c>
      <c r="O55" s="347"/>
      <c r="P55" s="303" t="s">
        <v>1446</v>
      </c>
      <c r="Q55" s="304" t="s">
        <v>1469</v>
      </c>
      <c r="R55" s="330">
        <v>0.002</v>
      </c>
      <c r="S55" s="323">
        <f t="shared" si="3"/>
        <v>4.77048</v>
      </c>
      <c r="T55" s="347"/>
      <c r="U55" s="303" t="s">
        <v>1446</v>
      </c>
      <c r="V55" s="304" t="s">
        <v>1469</v>
      </c>
      <c r="W55" s="330">
        <v>0.002</v>
      </c>
      <c r="X55" s="323">
        <f t="shared" si="4"/>
        <v>7.49948056</v>
      </c>
      <c r="Y55" s="399"/>
    </row>
    <row r="56">
      <c r="A56" s="410"/>
      <c r="B56" s="296"/>
      <c r="C56" s="430"/>
      <c r="D56" s="423"/>
      <c r="E56" s="347"/>
      <c r="F56" s="303" t="s">
        <v>1470</v>
      </c>
      <c r="G56" s="304" t="s">
        <v>1471</v>
      </c>
      <c r="H56" s="330">
        <v>0.08</v>
      </c>
      <c r="I56" s="323">
        <f t="shared" si="1"/>
        <v>269.984</v>
      </c>
      <c r="J56" s="347"/>
      <c r="K56" s="303" t="s">
        <v>1470</v>
      </c>
      <c r="L56" s="304" t="s">
        <v>1471</v>
      </c>
      <c r="M56" s="330">
        <v>0.08</v>
      </c>
      <c r="N56" s="323">
        <f t="shared" si="2"/>
        <v>269.984</v>
      </c>
      <c r="O56" s="347"/>
      <c r="P56" s="303" t="s">
        <v>1470</v>
      </c>
      <c r="Q56" s="304" t="s">
        <v>1471</v>
      </c>
      <c r="R56" s="330">
        <v>0.08</v>
      </c>
      <c r="S56" s="323">
        <f t="shared" si="3"/>
        <v>190.8192</v>
      </c>
      <c r="T56" s="347"/>
      <c r="U56" s="303" t="s">
        <v>1470</v>
      </c>
      <c r="V56" s="304" t="s">
        <v>1471</v>
      </c>
      <c r="W56" s="330">
        <v>0.08</v>
      </c>
      <c r="X56" s="323">
        <f t="shared" si="4"/>
        <v>299.9792224</v>
      </c>
      <c r="Y56" s="399"/>
    </row>
    <row r="57">
      <c r="A57" s="410"/>
      <c r="B57" s="296"/>
      <c r="C57" s="426"/>
      <c r="D57" s="423"/>
      <c r="E57" s="347"/>
      <c r="F57" s="303" t="s">
        <v>1472</v>
      </c>
      <c r="G57" s="304" t="s">
        <v>1473</v>
      </c>
      <c r="H57" s="330">
        <v>0.01</v>
      </c>
      <c r="I57" s="323">
        <f t="shared" si="1"/>
        <v>33.748</v>
      </c>
      <c r="J57" s="347"/>
      <c r="K57" s="303" t="s">
        <v>1472</v>
      </c>
      <c r="L57" s="304" t="s">
        <v>1473</v>
      </c>
      <c r="M57" s="330">
        <v>0.01</v>
      </c>
      <c r="N57" s="323">
        <f t="shared" si="2"/>
        <v>33.748</v>
      </c>
      <c r="O57" s="347"/>
      <c r="P57" s="303" t="s">
        <v>1472</v>
      </c>
      <c r="Q57" s="304" t="s">
        <v>1473</v>
      </c>
      <c r="R57" s="330">
        <v>0.01</v>
      </c>
      <c r="S57" s="323">
        <f t="shared" si="3"/>
        <v>23.8524</v>
      </c>
      <c r="T57" s="347"/>
      <c r="U57" s="303" t="s">
        <v>1472</v>
      </c>
      <c r="V57" s="304" t="s">
        <v>1473</v>
      </c>
      <c r="W57" s="330">
        <v>0.01</v>
      </c>
      <c r="X57" s="323">
        <f t="shared" si="4"/>
        <v>37.4974028</v>
      </c>
      <c r="Y57" s="399"/>
    </row>
    <row r="58">
      <c r="A58" s="290"/>
      <c r="B58" s="409"/>
      <c r="C58" s="430"/>
      <c r="D58" s="425"/>
      <c r="E58" s="347"/>
      <c r="F58" s="328"/>
      <c r="G58" s="328" t="s">
        <v>1474</v>
      </c>
      <c r="H58" s="333">
        <f>SUM(H49:H57)</f>
        <v>0.378</v>
      </c>
      <c r="I58" s="329">
        <f>ROUND(SUM(I49:I57),2)</f>
        <v>1275.67</v>
      </c>
      <c r="J58" s="347"/>
      <c r="K58" s="328"/>
      <c r="L58" s="328" t="s">
        <v>1474</v>
      </c>
      <c r="M58" s="333">
        <f>SUM(M49:M57)</f>
        <v>0.378</v>
      </c>
      <c r="N58" s="329">
        <f>ROUND(SUM(N49:N57),2)</f>
        <v>1275.67</v>
      </c>
      <c r="O58" s="347"/>
      <c r="P58" s="328"/>
      <c r="Q58" s="328" t="s">
        <v>1474</v>
      </c>
      <c r="R58" s="333">
        <f>SUM(R49:R57)</f>
        <v>0.378</v>
      </c>
      <c r="S58" s="329">
        <f>ROUND(SUM(S49:S57),2)</f>
        <v>901.62</v>
      </c>
      <c r="T58" s="347"/>
      <c r="U58" s="328"/>
      <c r="V58" s="328" t="s">
        <v>1474</v>
      </c>
      <c r="W58" s="333">
        <f>SUM(W49:W57)</f>
        <v>0.378</v>
      </c>
      <c r="X58" s="329">
        <f>ROUND(SUM(X49:X57),2)</f>
        <v>1417.4</v>
      </c>
      <c r="Y58" s="399"/>
    </row>
    <row r="59">
      <c r="A59" s="410"/>
      <c r="B59" s="409"/>
      <c r="C59" s="410"/>
      <c r="D59" s="410"/>
      <c r="E59" s="347"/>
      <c r="F59" s="321" t="s">
        <v>1475</v>
      </c>
      <c r="G59" s="322" t="s">
        <v>1476</v>
      </c>
      <c r="H59" s="321"/>
      <c r="I59" s="321" t="s">
        <v>1437</v>
      </c>
      <c r="J59" s="347"/>
      <c r="K59" s="321" t="s">
        <v>1475</v>
      </c>
      <c r="L59" s="322" t="s">
        <v>1476</v>
      </c>
      <c r="M59" s="321"/>
      <c r="N59" s="321" t="s">
        <v>1437</v>
      </c>
      <c r="O59" s="347"/>
      <c r="P59" s="321" t="s">
        <v>1475</v>
      </c>
      <c r="Q59" s="322" t="s">
        <v>1476</v>
      </c>
      <c r="R59" s="321"/>
      <c r="S59" s="321" t="s">
        <v>1437</v>
      </c>
      <c r="T59" s="347"/>
      <c r="U59" s="321" t="s">
        <v>1475</v>
      </c>
      <c r="V59" s="322" t="s">
        <v>1476</v>
      </c>
      <c r="W59" s="321"/>
      <c r="X59" s="321" t="s">
        <v>1437</v>
      </c>
      <c r="Y59" s="399"/>
    </row>
    <row r="60">
      <c r="A60" s="410"/>
      <c r="B60" s="296"/>
      <c r="C60" s="302"/>
      <c r="D60" s="423"/>
      <c r="E60" s="433"/>
      <c r="F60" s="303" t="s">
        <v>1408</v>
      </c>
      <c r="G60" s="304" t="s">
        <v>1600</v>
      </c>
      <c r="H60" s="336"/>
      <c r="I60" s="323">
        <f>IF((H61*44-(I30*0.06))&lt;0,0,(H61*44-(I30*0.06)))</f>
        <v>108.24</v>
      </c>
      <c r="J60" s="347"/>
      <c r="K60" s="303" t="s">
        <v>1408</v>
      </c>
      <c r="L60" s="304" t="s">
        <v>1600</v>
      </c>
      <c r="M60" s="336"/>
      <c r="N60" s="323">
        <f>IF((M61*44-(N30*0.06))&lt;0,0,(M61*44-(N30*0.06)))</f>
        <v>108.24</v>
      </c>
      <c r="O60" s="347"/>
      <c r="P60" s="303" t="s">
        <v>1408</v>
      </c>
      <c r="Q60" s="304" t="s">
        <v>1600</v>
      </c>
      <c r="R60" s="336"/>
      <c r="S60" s="323">
        <f>IF((R61*44-(S30*0.06))&lt;0,0,(R61*44-(S30*0.06)))</f>
        <v>153.912</v>
      </c>
      <c r="T60" s="347"/>
      <c r="U60" s="303" t="s">
        <v>1408</v>
      </c>
      <c r="V60" s="304" t="s">
        <v>1600</v>
      </c>
      <c r="W60" s="336"/>
      <c r="X60" s="323">
        <f>IF((W61*44-(X30*0.06))&lt;0,0,(W61*44-(X30*0.06)))</f>
        <v>90.935064</v>
      </c>
      <c r="Y60" s="399"/>
    </row>
    <row r="61">
      <c r="A61" s="410"/>
      <c r="B61" s="296"/>
      <c r="C61" s="434"/>
      <c r="D61" s="435"/>
      <c r="E61" s="347"/>
      <c r="F61" s="303"/>
      <c r="G61" s="304" t="s">
        <v>1478</v>
      </c>
      <c r="H61" s="338">
        <v>6.0</v>
      </c>
      <c r="I61" s="339"/>
      <c r="J61" s="347"/>
      <c r="K61" s="303"/>
      <c r="L61" s="304" t="s">
        <v>1478</v>
      </c>
      <c r="M61" s="338">
        <v>6.0</v>
      </c>
      <c r="N61" s="339"/>
      <c r="O61" s="347"/>
      <c r="P61" s="303"/>
      <c r="Q61" s="304" t="s">
        <v>1478</v>
      </c>
      <c r="R61" s="338">
        <v>6.0</v>
      </c>
      <c r="S61" s="339"/>
      <c r="T61" s="347"/>
      <c r="U61" s="303"/>
      <c r="V61" s="304" t="s">
        <v>1478</v>
      </c>
      <c r="W61" s="338">
        <v>6.0</v>
      </c>
      <c r="X61" s="339"/>
      <c r="Y61" s="399"/>
    </row>
    <row r="62">
      <c r="A62" s="410"/>
      <c r="B62" s="296"/>
      <c r="C62" s="436"/>
      <c r="D62" s="435"/>
      <c r="E62" s="347"/>
      <c r="F62" s="303"/>
      <c r="G62" s="304" t="s">
        <v>1479</v>
      </c>
      <c r="H62" s="340">
        <v>2.0</v>
      </c>
      <c r="I62" s="339"/>
      <c r="J62" s="347"/>
      <c r="K62" s="303"/>
      <c r="L62" s="304" t="s">
        <v>1479</v>
      </c>
      <c r="M62" s="340">
        <v>2.0</v>
      </c>
      <c r="N62" s="339"/>
      <c r="O62" s="347"/>
      <c r="P62" s="303"/>
      <c r="Q62" s="304" t="s">
        <v>1479</v>
      </c>
      <c r="R62" s="340">
        <v>2.0</v>
      </c>
      <c r="S62" s="339"/>
      <c r="T62" s="347"/>
      <c r="U62" s="303"/>
      <c r="V62" s="304" t="s">
        <v>1479</v>
      </c>
      <c r="W62" s="340">
        <v>2.0</v>
      </c>
      <c r="X62" s="339"/>
      <c r="Y62" s="399"/>
    </row>
    <row r="63">
      <c r="A63" s="410"/>
      <c r="B63" s="296"/>
      <c r="C63" s="302"/>
      <c r="D63" s="423"/>
      <c r="E63" s="347"/>
      <c r="F63" s="341" t="s">
        <v>1410</v>
      </c>
      <c r="G63" s="342" t="s">
        <v>1601</v>
      </c>
      <c r="H63" s="343"/>
      <c r="I63" s="344">
        <f>H65*H67</f>
        <v>560</v>
      </c>
      <c r="J63" s="347"/>
      <c r="K63" s="341" t="s">
        <v>1410</v>
      </c>
      <c r="L63" s="342" t="s">
        <v>1601</v>
      </c>
      <c r="M63" s="343"/>
      <c r="N63" s="344">
        <f>M65*M67</f>
        <v>560</v>
      </c>
      <c r="O63" s="347"/>
      <c r="P63" s="341" t="s">
        <v>1410</v>
      </c>
      <c r="Q63" s="342" t="s">
        <v>1601</v>
      </c>
      <c r="R63" s="343"/>
      <c r="S63" s="344">
        <f>R65*R67</f>
        <v>560</v>
      </c>
      <c r="T63" s="347"/>
      <c r="U63" s="341" t="s">
        <v>1410</v>
      </c>
      <c r="V63" s="342" t="s">
        <v>1601</v>
      </c>
      <c r="W63" s="343"/>
      <c r="X63" s="344">
        <f>W65*W67</f>
        <v>560</v>
      </c>
      <c r="Y63" s="399"/>
    </row>
    <row r="64">
      <c r="A64" s="410"/>
      <c r="B64" s="296"/>
      <c r="C64" s="437"/>
      <c r="D64" s="438"/>
      <c r="E64" s="347"/>
      <c r="F64" s="303"/>
      <c r="G64" s="304" t="s">
        <v>1481</v>
      </c>
      <c r="H64" s="345">
        <v>560.0</v>
      </c>
      <c r="I64" s="346"/>
      <c r="J64" s="347"/>
      <c r="K64" s="303"/>
      <c r="L64" s="304" t="s">
        <v>1481</v>
      </c>
      <c r="M64" s="345">
        <v>560.0</v>
      </c>
      <c r="N64" s="346"/>
      <c r="O64" s="347"/>
      <c r="P64" s="303"/>
      <c r="Q64" s="304" t="s">
        <v>1481</v>
      </c>
      <c r="R64" s="345">
        <v>560.0</v>
      </c>
      <c r="S64" s="346"/>
      <c r="T64" s="347"/>
      <c r="U64" s="303"/>
      <c r="V64" s="304" t="s">
        <v>1481</v>
      </c>
      <c r="W64" s="345">
        <v>560.0</v>
      </c>
      <c r="X64" s="346"/>
      <c r="Y64" s="399"/>
    </row>
    <row r="65">
      <c r="A65" s="290"/>
      <c r="B65" s="296"/>
      <c r="C65" s="439"/>
      <c r="D65" s="440"/>
      <c r="E65" s="427"/>
      <c r="F65" s="303"/>
      <c r="G65" s="304" t="s">
        <v>1482</v>
      </c>
      <c r="H65" s="348">
        <f>H64/H67*H66/220</f>
        <v>26.66666667</v>
      </c>
      <c r="I65" s="349"/>
      <c r="J65" s="347"/>
      <c r="K65" s="303"/>
      <c r="L65" s="304" t="s">
        <v>1482</v>
      </c>
      <c r="M65" s="348">
        <f>M64/M67*M66/220</f>
        <v>26.66666667</v>
      </c>
      <c r="N65" s="349"/>
      <c r="O65" s="347"/>
      <c r="P65" s="303"/>
      <c r="Q65" s="304" t="s">
        <v>1482</v>
      </c>
      <c r="R65" s="348">
        <f>R64/R67*R66/220</f>
        <v>26.66666667</v>
      </c>
      <c r="S65" s="349"/>
      <c r="T65" s="347"/>
      <c r="U65" s="303"/>
      <c r="V65" s="304" t="s">
        <v>1482</v>
      </c>
      <c r="W65" s="348">
        <f>W64/W67*W66/220</f>
        <v>26.66666667</v>
      </c>
      <c r="X65" s="349"/>
      <c r="Y65" s="399"/>
    </row>
    <row r="66">
      <c r="A66" s="290"/>
      <c r="B66" s="296"/>
      <c r="C66" s="441"/>
      <c r="D66" s="442"/>
      <c r="E66" s="347"/>
      <c r="F66" s="303"/>
      <c r="G66" s="304" t="s">
        <v>1483</v>
      </c>
      <c r="H66" s="350" t="s">
        <v>1484</v>
      </c>
      <c r="I66" s="351"/>
      <c r="J66" s="347"/>
      <c r="K66" s="303"/>
      <c r="L66" s="304" t="s">
        <v>1483</v>
      </c>
      <c r="M66" s="350" t="s">
        <v>1484</v>
      </c>
      <c r="N66" s="351"/>
      <c r="O66" s="347"/>
      <c r="P66" s="303"/>
      <c r="Q66" s="304" t="s">
        <v>1483</v>
      </c>
      <c r="R66" s="350" t="s">
        <v>1484</v>
      </c>
      <c r="S66" s="351"/>
      <c r="T66" s="347"/>
      <c r="U66" s="303"/>
      <c r="V66" s="304" t="s">
        <v>1483</v>
      </c>
      <c r="W66" s="350" t="s">
        <v>1484</v>
      </c>
      <c r="X66" s="351"/>
      <c r="Y66" s="399"/>
    </row>
    <row r="67">
      <c r="A67" s="290"/>
      <c r="B67" s="296"/>
      <c r="C67" s="441"/>
      <c r="D67" s="442"/>
      <c r="E67" s="347"/>
      <c r="F67" s="303"/>
      <c r="G67" s="304" t="s">
        <v>1485</v>
      </c>
      <c r="H67" s="350" t="s">
        <v>1486</v>
      </c>
      <c r="I67" s="351"/>
      <c r="J67" s="347"/>
      <c r="K67" s="303"/>
      <c r="L67" s="304" t="s">
        <v>1485</v>
      </c>
      <c r="M67" s="350" t="s">
        <v>1486</v>
      </c>
      <c r="N67" s="351"/>
      <c r="O67" s="347"/>
      <c r="P67" s="303"/>
      <c r="Q67" s="304" t="s">
        <v>1485</v>
      </c>
      <c r="R67" s="350" t="s">
        <v>1486</v>
      </c>
      <c r="S67" s="351"/>
      <c r="T67" s="347"/>
      <c r="U67" s="303"/>
      <c r="V67" s="304" t="s">
        <v>1485</v>
      </c>
      <c r="W67" s="350" t="s">
        <v>1486</v>
      </c>
      <c r="X67" s="351"/>
      <c r="Y67" s="399"/>
    </row>
    <row r="68">
      <c r="A68" s="410"/>
      <c r="B68" s="443"/>
      <c r="C68" s="444"/>
      <c r="D68" s="445"/>
      <c r="E68" s="418"/>
      <c r="F68" s="341" t="s">
        <v>1416</v>
      </c>
      <c r="G68" s="352" t="s">
        <v>1487</v>
      </c>
      <c r="H68" s="353"/>
      <c r="I68" s="344">
        <f>VLOOKUP(J68,'20-A.SINAPI-I'!$A:$D,4,0)*0.5</f>
        <v>6.445</v>
      </c>
      <c r="J68" s="418">
        <v>40864.0</v>
      </c>
      <c r="K68" s="341" t="s">
        <v>1416</v>
      </c>
      <c r="L68" s="352" t="s">
        <v>1487</v>
      </c>
      <c r="M68" s="353"/>
      <c r="N68" s="344">
        <f>VLOOKUP(O68,'20-A.SINAPI-I'!$A:$D,4,0)*0.5</f>
        <v>6.445</v>
      </c>
      <c r="O68" s="418">
        <v>40864.0</v>
      </c>
      <c r="P68" s="341" t="s">
        <v>1416</v>
      </c>
      <c r="Q68" s="352" t="s">
        <v>1487</v>
      </c>
      <c r="R68" s="353"/>
      <c r="S68" s="344">
        <f>VLOOKUP(T68,'20-A.SINAPI-I'!$A:$D,4,0)*0.5</f>
        <v>6.445</v>
      </c>
      <c r="T68" s="418">
        <v>40864.0</v>
      </c>
      <c r="U68" s="341" t="s">
        <v>1416</v>
      </c>
      <c r="V68" s="352" t="s">
        <v>1487</v>
      </c>
      <c r="W68" s="353"/>
      <c r="X68" s="344">
        <f>VLOOKUP(Y68,'20-A.SINAPI-I'!$A:$D,4,0)*0.5</f>
        <v>6.445</v>
      </c>
      <c r="Y68" s="418">
        <v>40864.0</v>
      </c>
    </row>
    <row r="69">
      <c r="A69" s="410"/>
      <c r="B69" s="296"/>
      <c r="C69" s="446"/>
      <c r="D69" s="440"/>
      <c r="E69" s="347"/>
      <c r="F69" s="341" t="s">
        <v>1442</v>
      </c>
      <c r="G69" s="342" t="s">
        <v>1488</v>
      </c>
      <c r="H69" s="355"/>
      <c r="I69" s="356">
        <f>I63/12</f>
        <v>46.66666667</v>
      </c>
      <c r="J69" s="347"/>
      <c r="K69" s="341" t="s">
        <v>1442</v>
      </c>
      <c r="L69" s="342" t="s">
        <v>1488</v>
      </c>
      <c r="M69" s="355"/>
      <c r="N69" s="356">
        <f>N63/12</f>
        <v>46.66666667</v>
      </c>
      <c r="O69" s="347"/>
      <c r="P69" s="341" t="s">
        <v>1442</v>
      </c>
      <c r="Q69" s="342" t="s">
        <v>1488</v>
      </c>
      <c r="R69" s="355"/>
      <c r="S69" s="356">
        <f>S63/12</f>
        <v>46.66666667</v>
      </c>
      <c r="T69" s="347"/>
      <c r="U69" s="341" t="s">
        <v>1442</v>
      </c>
      <c r="V69" s="342" t="s">
        <v>1488</v>
      </c>
      <c r="W69" s="355"/>
      <c r="X69" s="356">
        <f>X63/12</f>
        <v>46.66666667</v>
      </c>
      <c r="Y69" s="399"/>
    </row>
    <row r="70">
      <c r="A70" s="293"/>
      <c r="B70" s="409"/>
      <c r="C70" s="444"/>
      <c r="D70" s="425"/>
      <c r="E70" s="347"/>
      <c r="F70" s="312"/>
      <c r="G70" s="328" t="s">
        <v>1474</v>
      </c>
      <c r="H70" s="357"/>
      <c r="I70" s="329">
        <f>SUM(I60:I69)</f>
        <v>721.3516667</v>
      </c>
      <c r="J70" s="347"/>
      <c r="K70" s="312"/>
      <c r="L70" s="328" t="s">
        <v>1474</v>
      </c>
      <c r="M70" s="357"/>
      <c r="N70" s="329">
        <f>SUM(N60:N69)</f>
        <v>721.3516667</v>
      </c>
      <c r="O70" s="347"/>
      <c r="P70" s="312"/>
      <c r="Q70" s="328" t="s">
        <v>1474</v>
      </c>
      <c r="R70" s="357"/>
      <c r="S70" s="329">
        <f>SUM(S60:S69)</f>
        <v>767.0236667</v>
      </c>
      <c r="T70" s="347"/>
      <c r="U70" s="312"/>
      <c r="V70" s="328" t="s">
        <v>1474</v>
      </c>
      <c r="W70" s="357"/>
      <c r="X70" s="329">
        <f>SUM(X60:X69)</f>
        <v>704.0467307</v>
      </c>
      <c r="Y70" s="399"/>
    </row>
    <row r="71">
      <c r="A71" s="409"/>
      <c r="C71" s="410"/>
      <c r="D71" s="410"/>
      <c r="E71" s="347"/>
      <c r="F71" s="300" t="s">
        <v>1489</v>
      </c>
      <c r="G71" s="301"/>
      <c r="H71" s="321" t="s">
        <v>1436</v>
      </c>
      <c r="I71" s="321" t="s">
        <v>1437</v>
      </c>
      <c r="J71" s="347"/>
      <c r="K71" s="300" t="s">
        <v>1489</v>
      </c>
      <c r="L71" s="301"/>
      <c r="M71" s="321" t="s">
        <v>1436</v>
      </c>
      <c r="N71" s="321" t="s">
        <v>1437</v>
      </c>
      <c r="O71" s="347"/>
      <c r="P71" s="300" t="s">
        <v>1489</v>
      </c>
      <c r="Q71" s="301"/>
      <c r="R71" s="321" t="s">
        <v>1436</v>
      </c>
      <c r="S71" s="321" t="s">
        <v>1437</v>
      </c>
      <c r="T71" s="347"/>
      <c r="U71" s="300" t="s">
        <v>1489</v>
      </c>
      <c r="V71" s="301"/>
      <c r="W71" s="321" t="s">
        <v>1436</v>
      </c>
      <c r="X71" s="321" t="s">
        <v>1437</v>
      </c>
      <c r="Y71" s="399"/>
    </row>
    <row r="72">
      <c r="A72" s="410"/>
      <c r="B72" s="296"/>
      <c r="C72" s="426"/>
      <c r="D72" s="423"/>
      <c r="E72" s="347"/>
      <c r="F72" s="303" t="s">
        <v>1450</v>
      </c>
      <c r="G72" s="304" t="s">
        <v>1490</v>
      </c>
      <c r="H72" s="330">
        <f t="shared" ref="H72:I72" si="5">H47</f>
        <v>0.7037575758</v>
      </c>
      <c r="I72" s="323">
        <f t="shared" si="5"/>
        <v>951.2334</v>
      </c>
      <c r="J72" s="347"/>
      <c r="K72" s="303" t="s">
        <v>1450</v>
      </c>
      <c r="L72" s="304" t="s">
        <v>1490</v>
      </c>
      <c r="M72" s="330">
        <f t="shared" ref="M72:N72" si="6">M47</f>
        <v>0.7037575758</v>
      </c>
      <c r="N72" s="323">
        <f t="shared" si="6"/>
        <v>951.2334</v>
      </c>
      <c r="O72" s="347"/>
      <c r="P72" s="303" t="s">
        <v>1450</v>
      </c>
      <c r="Q72" s="304" t="s">
        <v>1490</v>
      </c>
      <c r="R72" s="330">
        <f t="shared" ref="R72:S72" si="7">R47</f>
        <v>0.7037575758</v>
      </c>
      <c r="S72" s="323">
        <f t="shared" si="7"/>
        <v>672.31242</v>
      </c>
      <c r="T72" s="347"/>
      <c r="U72" s="303" t="s">
        <v>1450</v>
      </c>
      <c r="V72" s="304" t="s">
        <v>1490</v>
      </c>
      <c r="W72" s="330">
        <f t="shared" ref="W72:X72" si="8">W47</f>
        <v>0.7037575758</v>
      </c>
      <c r="X72" s="323">
        <f t="shared" si="8"/>
        <v>1056.915431</v>
      </c>
      <c r="Y72" s="399"/>
    </row>
    <row r="73">
      <c r="A73" s="410"/>
      <c r="B73" s="296"/>
      <c r="C73" s="426"/>
      <c r="D73" s="423"/>
      <c r="E73" s="347"/>
      <c r="F73" s="303" t="s">
        <v>1461</v>
      </c>
      <c r="G73" s="304" t="s">
        <v>1462</v>
      </c>
      <c r="H73" s="330">
        <f t="shared" ref="H73:I73" si="9">H58</f>
        <v>0.378</v>
      </c>
      <c r="I73" s="323">
        <f t="shared" si="9"/>
        <v>1275.67</v>
      </c>
      <c r="J73" s="347"/>
      <c r="K73" s="303" t="s">
        <v>1461</v>
      </c>
      <c r="L73" s="304" t="s">
        <v>1462</v>
      </c>
      <c r="M73" s="330">
        <f t="shared" ref="M73:N73" si="10">M58</f>
        <v>0.378</v>
      </c>
      <c r="N73" s="323">
        <f t="shared" si="10"/>
        <v>1275.67</v>
      </c>
      <c r="O73" s="347"/>
      <c r="P73" s="303" t="s">
        <v>1461</v>
      </c>
      <c r="Q73" s="304" t="s">
        <v>1462</v>
      </c>
      <c r="R73" s="330">
        <f t="shared" ref="R73:S73" si="11">R58</f>
        <v>0.378</v>
      </c>
      <c r="S73" s="323">
        <f t="shared" si="11"/>
        <v>901.62</v>
      </c>
      <c r="T73" s="347"/>
      <c r="U73" s="303" t="s">
        <v>1461</v>
      </c>
      <c r="V73" s="304" t="s">
        <v>1462</v>
      </c>
      <c r="W73" s="330">
        <f t="shared" ref="W73:X73" si="12">W58</f>
        <v>0.378</v>
      </c>
      <c r="X73" s="323">
        <f t="shared" si="12"/>
        <v>1417.4</v>
      </c>
      <c r="Y73" s="399"/>
    </row>
    <row r="74">
      <c r="A74" s="410"/>
      <c r="B74" s="296"/>
      <c r="C74" s="426"/>
      <c r="D74" s="423"/>
      <c r="E74" s="347"/>
      <c r="F74" s="303" t="s">
        <v>1475</v>
      </c>
      <c r="G74" s="304" t="s">
        <v>1476</v>
      </c>
      <c r="H74" s="330">
        <f>I74/I37</f>
        <v>0.2137464936</v>
      </c>
      <c r="I74" s="323">
        <f>I70</f>
        <v>721.3516667</v>
      </c>
      <c r="J74" s="347"/>
      <c r="K74" s="303" t="s">
        <v>1475</v>
      </c>
      <c r="L74" s="304" t="s">
        <v>1476</v>
      </c>
      <c r="M74" s="330">
        <f>N74/N37</f>
        <v>0.2137464936</v>
      </c>
      <c r="N74" s="323">
        <f>N70</f>
        <v>721.3516667</v>
      </c>
      <c r="O74" s="347"/>
      <c r="P74" s="303" t="s">
        <v>1475</v>
      </c>
      <c r="Q74" s="304" t="s">
        <v>1476</v>
      </c>
      <c r="R74" s="330">
        <f>S74/S37</f>
        <v>0.3215708552</v>
      </c>
      <c r="S74" s="323">
        <f>S70</f>
        <v>767.0236667</v>
      </c>
      <c r="T74" s="347"/>
      <c r="U74" s="303" t="s">
        <v>1475</v>
      </c>
      <c r="V74" s="304" t="s">
        <v>1476</v>
      </c>
      <c r="W74" s="330">
        <f>X74/X37</f>
        <v>0.1877587988</v>
      </c>
      <c r="X74" s="323">
        <f>X70</f>
        <v>704.0467307</v>
      </c>
      <c r="Y74" s="399"/>
    </row>
    <row r="75">
      <c r="A75" s="293"/>
      <c r="B75" s="410"/>
      <c r="C75" s="426"/>
      <c r="D75" s="425"/>
      <c r="E75" s="347"/>
      <c r="F75" s="312"/>
      <c r="G75" s="303" t="s">
        <v>1460</v>
      </c>
      <c r="H75" s="330"/>
      <c r="I75" s="329">
        <f>I72+I73+I74</f>
        <v>2948.255067</v>
      </c>
      <c r="J75" s="347"/>
      <c r="K75" s="312"/>
      <c r="L75" s="303" t="s">
        <v>1460</v>
      </c>
      <c r="M75" s="330"/>
      <c r="N75" s="329">
        <f>N72+N73+N74</f>
        <v>2948.255067</v>
      </c>
      <c r="O75" s="347"/>
      <c r="P75" s="312"/>
      <c r="Q75" s="303" t="s">
        <v>1460</v>
      </c>
      <c r="R75" s="330"/>
      <c r="S75" s="329">
        <f>S72+S73+S74</f>
        <v>2340.956087</v>
      </c>
      <c r="T75" s="347"/>
      <c r="U75" s="312"/>
      <c r="V75" s="303" t="s">
        <v>1460</v>
      </c>
      <c r="W75" s="330"/>
      <c r="X75" s="329">
        <f>X72+X73+X74</f>
        <v>3178.362161</v>
      </c>
      <c r="Y75" s="399"/>
    </row>
    <row r="76">
      <c r="A76" s="270"/>
      <c r="E76" s="347"/>
      <c r="F76" s="270"/>
      <c r="I76" s="301"/>
      <c r="J76" s="347"/>
      <c r="K76" s="270"/>
      <c r="N76" s="301"/>
      <c r="O76" s="347"/>
      <c r="P76" s="270"/>
      <c r="S76" s="301"/>
      <c r="T76" s="347"/>
      <c r="U76" s="270"/>
      <c r="X76" s="301"/>
      <c r="Y76" s="399"/>
    </row>
    <row r="77">
      <c r="A77" s="422"/>
      <c r="E77" s="347"/>
      <c r="F77" s="319" t="s">
        <v>1491</v>
      </c>
      <c r="G77" s="44"/>
      <c r="H77" s="44"/>
      <c r="I77" s="320"/>
      <c r="J77" s="347"/>
      <c r="K77" s="319" t="s">
        <v>1491</v>
      </c>
      <c r="L77" s="44"/>
      <c r="M77" s="44"/>
      <c r="N77" s="320"/>
      <c r="O77" s="347"/>
      <c r="P77" s="319" t="s">
        <v>1491</v>
      </c>
      <c r="Q77" s="44"/>
      <c r="R77" s="44"/>
      <c r="S77" s="320"/>
      <c r="T77" s="347"/>
      <c r="U77" s="319" t="s">
        <v>1491</v>
      </c>
      <c r="V77" s="44"/>
      <c r="W77" s="44"/>
      <c r="X77" s="320"/>
      <c r="Y77" s="399"/>
    </row>
    <row r="78">
      <c r="A78" s="410"/>
      <c r="B78" s="296"/>
      <c r="C78" s="426"/>
      <c r="D78" s="423"/>
      <c r="E78" s="427"/>
      <c r="F78" s="303" t="s">
        <v>1408</v>
      </c>
      <c r="G78" s="304" t="s">
        <v>1492</v>
      </c>
      <c r="H78" s="358">
        <f>100%*(1/12)*5%</f>
        <v>0.004166666667</v>
      </c>
      <c r="I78" s="447">
        <f>H78*I$37</f>
        <v>14.06166667</v>
      </c>
      <c r="J78" s="347"/>
      <c r="K78" s="303" t="s">
        <v>1408</v>
      </c>
      <c r="L78" s="304" t="s">
        <v>1492</v>
      </c>
      <c r="M78" s="358">
        <f>100%*(1/12)*5%</f>
        <v>0.004166666667</v>
      </c>
      <c r="N78" s="447">
        <f>M78*N$37</f>
        <v>14.06166667</v>
      </c>
      <c r="O78" s="347"/>
      <c r="P78" s="303" t="s">
        <v>1408</v>
      </c>
      <c r="Q78" s="304" t="s">
        <v>1492</v>
      </c>
      <c r="R78" s="358">
        <f>100%*(1/12)*5%</f>
        <v>0.004166666667</v>
      </c>
      <c r="S78" s="447">
        <f>R78*S$37</f>
        <v>9.9385</v>
      </c>
      <c r="T78" s="347"/>
      <c r="U78" s="303" t="s">
        <v>1408</v>
      </c>
      <c r="V78" s="304" t="s">
        <v>1492</v>
      </c>
      <c r="W78" s="358">
        <f>100%*(1/12)*5%</f>
        <v>0.004166666667</v>
      </c>
      <c r="X78" s="447">
        <f>W78*X$37</f>
        <v>15.62391783</v>
      </c>
      <c r="Y78" s="399"/>
    </row>
    <row r="79">
      <c r="A79" s="410"/>
      <c r="B79" s="296"/>
      <c r="C79" s="426"/>
      <c r="D79" s="423"/>
      <c r="E79" s="427"/>
      <c r="F79" s="303" t="s">
        <v>1410</v>
      </c>
      <c r="G79" s="304" t="s">
        <v>1493</v>
      </c>
      <c r="H79" s="330">
        <f>8%*H78</f>
        <v>0.0003333333333</v>
      </c>
      <c r="I79" s="323">
        <f>H79*I37</f>
        <v>1.124933333</v>
      </c>
      <c r="J79" s="347"/>
      <c r="K79" s="303" t="s">
        <v>1410</v>
      </c>
      <c r="L79" s="304" t="s">
        <v>1493</v>
      </c>
      <c r="M79" s="330">
        <f>8%*M78</f>
        <v>0.0003333333333</v>
      </c>
      <c r="N79" s="323">
        <f>M79*N37</f>
        <v>1.124933333</v>
      </c>
      <c r="O79" s="347"/>
      <c r="P79" s="303" t="s">
        <v>1410</v>
      </c>
      <c r="Q79" s="304" t="s">
        <v>1493</v>
      </c>
      <c r="R79" s="330">
        <f>8%*R78</f>
        <v>0.0003333333333</v>
      </c>
      <c r="S79" s="323">
        <f>R79*S37</f>
        <v>0.79508</v>
      </c>
      <c r="T79" s="347"/>
      <c r="U79" s="303" t="s">
        <v>1410</v>
      </c>
      <c r="V79" s="304" t="s">
        <v>1493</v>
      </c>
      <c r="W79" s="330">
        <f>8%*W78</f>
        <v>0.0003333333333</v>
      </c>
      <c r="X79" s="323">
        <f>W79*X37</f>
        <v>1.249913427</v>
      </c>
      <c r="Y79" s="399"/>
    </row>
    <row r="80">
      <c r="A80" s="410"/>
      <c r="B80" s="296"/>
      <c r="C80" s="426"/>
      <c r="D80" s="423"/>
      <c r="E80" s="427"/>
      <c r="F80" s="303" t="s">
        <v>1413</v>
      </c>
      <c r="G80" s="304" t="s">
        <v>1602</v>
      </c>
      <c r="H80" s="330">
        <f>(1 + 2/12 + (1/3 * 1/12 ))* 0.08 * 0.4 * 0.9445</f>
        <v>0.03610088889</v>
      </c>
      <c r="I80" s="323">
        <f>H80*(I$37+$I$45)</f>
        <v>146.7537234</v>
      </c>
      <c r="J80" s="347"/>
      <c r="K80" s="303" t="s">
        <v>1413</v>
      </c>
      <c r="L80" s="304" t="s">
        <v>1602</v>
      </c>
      <c r="M80" s="330">
        <f>(1 + 2/12 + (1/3 * 1/12 ))* 0.08 * 0.4 * 0.9445</f>
        <v>0.03610088889</v>
      </c>
      <c r="N80" s="323">
        <f>M80*(N$37+$N$45)</f>
        <v>146.7537234</v>
      </c>
      <c r="O80" s="347"/>
      <c r="P80" s="303" t="s">
        <v>1413</v>
      </c>
      <c r="Q80" s="304" t="s">
        <v>1602</v>
      </c>
      <c r="R80" s="330">
        <f>(1 + 2/12 + (1/3 * 1/12 ))* 0.08 * 0.4 * 0.9445</f>
        <v>0.03610088889</v>
      </c>
      <c r="S80" s="323">
        <f>R80*(S$37+$S$45)</f>
        <v>103.7225469</v>
      </c>
      <c r="T80" s="347"/>
      <c r="U80" s="303" t="s">
        <v>1413</v>
      </c>
      <c r="V80" s="304" t="s">
        <v>1602</v>
      </c>
      <c r="W80" s="330">
        <f>(1 + 2/12 + (1/3 * 1/12 ))* 0.08 * 0.4 * 0.9445</f>
        <v>0.03610088889</v>
      </c>
      <c r="X80" s="323">
        <f>W80*(X$37+$X$45)</f>
        <v>163.0580621</v>
      </c>
      <c r="Y80" s="399"/>
    </row>
    <row r="81">
      <c r="A81" s="410"/>
      <c r="B81" s="296"/>
      <c r="C81" s="426"/>
      <c r="D81" s="423"/>
      <c r="E81" s="427"/>
      <c r="F81" s="303" t="s">
        <v>1416</v>
      </c>
      <c r="G81" s="304" t="s">
        <v>1495</v>
      </c>
      <c r="H81" s="330">
        <f>7/30/12</f>
        <v>0.01944444444</v>
      </c>
      <c r="I81" s="323">
        <f>H81*I37</f>
        <v>65.62111111</v>
      </c>
      <c r="J81" s="347"/>
      <c r="K81" s="303" t="s">
        <v>1416</v>
      </c>
      <c r="L81" s="304" t="s">
        <v>1495</v>
      </c>
      <c r="M81" s="330">
        <f>7/30/12</f>
        <v>0.01944444444</v>
      </c>
      <c r="N81" s="323">
        <f>M81*N37</f>
        <v>65.62111111</v>
      </c>
      <c r="O81" s="347"/>
      <c r="P81" s="303" t="s">
        <v>1416</v>
      </c>
      <c r="Q81" s="304" t="s">
        <v>1495</v>
      </c>
      <c r="R81" s="330">
        <f>7/30/12</f>
        <v>0.01944444444</v>
      </c>
      <c r="S81" s="323">
        <f>R81*S37</f>
        <v>46.37966667</v>
      </c>
      <c r="T81" s="347"/>
      <c r="U81" s="303" t="s">
        <v>1416</v>
      </c>
      <c r="V81" s="304" t="s">
        <v>1495</v>
      </c>
      <c r="W81" s="330">
        <f>7/30/12</f>
        <v>0.01944444444</v>
      </c>
      <c r="X81" s="323">
        <f>W81*X37</f>
        <v>72.91161656</v>
      </c>
      <c r="Y81" s="399"/>
    </row>
    <row r="82">
      <c r="A82" s="410"/>
      <c r="B82" s="296"/>
      <c r="C82" s="426"/>
      <c r="D82" s="423"/>
      <c r="E82" s="427"/>
      <c r="F82" s="303" t="s">
        <v>1442</v>
      </c>
      <c r="G82" s="304" t="s">
        <v>1496</v>
      </c>
      <c r="H82" s="358">
        <f>H58*H81</f>
        <v>0.00735</v>
      </c>
      <c r="I82" s="323">
        <f>I81*H82</f>
        <v>0.4823151667</v>
      </c>
      <c r="J82" s="347"/>
      <c r="K82" s="303" t="s">
        <v>1442</v>
      </c>
      <c r="L82" s="304" t="s">
        <v>1496</v>
      </c>
      <c r="M82" s="358">
        <f>M58*M81</f>
        <v>0.00735</v>
      </c>
      <c r="N82" s="323">
        <f>N81*M82</f>
        <v>0.4823151667</v>
      </c>
      <c r="O82" s="347"/>
      <c r="P82" s="303" t="s">
        <v>1442</v>
      </c>
      <c r="Q82" s="304" t="s">
        <v>1496</v>
      </c>
      <c r="R82" s="358">
        <f>R58*R81</f>
        <v>0.00735</v>
      </c>
      <c r="S82" s="323">
        <f>S81*R82</f>
        <v>0.34089055</v>
      </c>
      <c r="T82" s="347"/>
      <c r="U82" s="303" t="s">
        <v>1442</v>
      </c>
      <c r="V82" s="304" t="s">
        <v>1496</v>
      </c>
      <c r="W82" s="358">
        <f>W58*W81</f>
        <v>0.00735</v>
      </c>
      <c r="X82" s="323">
        <f>X81*W82</f>
        <v>0.5359003817</v>
      </c>
      <c r="Y82" s="399"/>
    </row>
    <row r="83">
      <c r="A83" s="410"/>
      <c r="B83" s="296"/>
      <c r="C83" s="448"/>
      <c r="D83" s="423"/>
      <c r="E83" s="347"/>
      <c r="F83" s="303" t="s">
        <v>1444</v>
      </c>
      <c r="G83" s="304" t="s">
        <v>1497</v>
      </c>
      <c r="H83" s="359">
        <f>H81*H56*0.04</f>
        <v>0.00006222222222</v>
      </c>
      <c r="I83" s="323">
        <f>H83*(I$37+$I$45)</f>
        <v>0.2529395556</v>
      </c>
      <c r="J83" s="347"/>
      <c r="K83" s="303" t="s">
        <v>1444</v>
      </c>
      <c r="L83" s="304" t="s">
        <v>1497</v>
      </c>
      <c r="M83" s="359">
        <f>M81*M56*0.04</f>
        <v>0.00006222222222</v>
      </c>
      <c r="N83" s="323">
        <f>M83*(N$37+$D$45)</f>
        <v>0.2099875556</v>
      </c>
      <c r="O83" s="347"/>
      <c r="P83" s="303" t="s">
        <v>1444</v>
      </c>
      <c r="Q83" s="304" t="s">
        <v>1497</v>
      </c>
      <c r="R83" s="359">
        <f>R81*R56*0.04</f>
        <v>0.00006222222222</v>
      </c>
      <c r="S83" s="323">
        <f>R83*(S$37+$S$45)</f>
        <v>0.1787725333</v>
      </c>
      <c r="T83" s="347"/>
      <c r="U83" s="303" t="s">
        <v>1444</v>
      </c>
      <c r="V83" s="304" t="s">
        <v>1497</v>
      </c>
      <c r="W83" s="359">
        <f>W81*W56*0.04</f>
        <v>0.00006222222222</v>
      </c>
      <c r="X83" s="323">
        <f>W83*(X$37+$X$45)</f>
        <v>0.2810411402</v>
      </c>
      <c r="Y83" s="399"/>
    </row>
    <row r="84">
      <c r="A84" s="410"/>
      <c r="B84" s="410"/>
      <c r="C84" s="426"/>
      <c r="D84" s="425"/>
      <c r="E84" s="347"/>
      <c r="F84" s="303"/>
      <c r="G84" s="303" t="s">
        <v>1460</v>
      </c>
      <c r="H84" s="330"/>
      <c r="I84" s="329">
        <f>SUM(I78:I83)</f>
        <v>228.2966893</v>
      </c>
      <c r="J84" s="347"/>
      <c r="K84" s="303"/>
      <c r="L84" s="303" t="s">
        <v>1460</v>
      </c>
      <c r="M84" s="330"/>
      <c r="N84" s="329">
        <f>SUM(N78:N83)</f>
        <v>228.2537373</v>
      </c>
      <c r="O84" s="347"/>
      <c r="P84" s="303"/>
      <c r="Q84" s="303" t="s">
        <v>1460</v>
      </c>
      <c r="R84" s="330"/>
      <c r="S84" s="329">
        <f>SUM(S78:S83)</f>
        <v>161.3554566</v>
      </c>
      <c r="T84" s="347"/>
      <c r="U84" s="303"/>
      <c r="V84" s="303" t="s">
        <v>1460</v>
      </c>
      <c r="W84" s="330"/>
      <c r="X84" s="329">
        <f>SUM(X78:X83)</f>
        <v>253.6604514</v>
      </c>
      <c r="Y84" s="399"/>
    </row>
    <row r="85">
      <c r="A85" s="444"/>
      <c r="B85" s="444"/>
      <c r="C85" s="444"/>
      <c r="D85" s="444"/>
      <c r="E85" s="347"/>
      <c r="F85" s="357"/>
      <c r="G85" s="357"/>
      <c r="H85" s="357"/>
      <c r="I85" s="357"/>
      <c r="J85" s="347"/>
      <c r="K85" s="357"/>
      <c r="L85" s="357"/>
      <c r="M85" s="357"/>
      <c r="N85" s="357"/>
      <c r="O85" s="347"/>
      <c r="P85" s="357"/>
      <c r="Q85" s="357"/>
      <c r="R85" s="357"/>
      <c r="S85" s="357"/>
      <c r="T85" s="347"/>
      <c r="U85" s="357"/>
      <c r="V85" s="357"/>
      <c r="W85" s="357"/>
      <c r="X85" s="357"/>
      <c r="Y85" s="399"/>
    </row>
    <row r="86">
      <c r="A86" s="422"/>
      <c r="E86" s="347"/>
      <c r="F86" s="319" t="s">
        <v>1498</v>
      </c>
      <c r="G86" s="44"/>
      <c r="H86" s="44"/>
      <c r="I86" s="320"/>
      <c r="J86" s="347"/>
      <c r="K86" s="319" t="s">
        <v>1498</v>
      </c>
      <c r="L86" s="44"/>
      <c r="M86" s="44"/>
      <c r="N86" s="320"/>
      <c r="O86" s="347"/>
      <c r="P86" s="319" t="s">
        <v>1498</v>
      </c>
      <c r="Q86" s="44"/>
      <c r="R86" s="44"/>
      <c r="S86" s="320"/>
      <c r="T86" s="347"/>
      <c r="U86" s="319" t="s">
        <v>1498</v>
      </c>
      <c r="V86" s="44"/>
      <c r="W86" s="44"/>
      <c r="X86" s="320"/>
      <c r="Y86" s="399"/>
    </row>
    <row r="87">
      <c r="A87" s="410"/>
      <c r="B87" s="409"/>
      <c r="C87" s="410"/>
      <c r="D87" s="410"/>
      <c r="E87" s="347"/>
      <c r="F87" s="321" t="s">
        <v>144</v>
      </c>
      <c r="G87" s="322" t="s">
        <v>1499</v>
      </c>
      <c r="H87" s="321" t="s">
        <v>1436</v>
      </c>
      <c r="I87" s="321" t="s">
        <v>1437</v>
      </c>
      <c r="J87" s="347"/>
      <c r="K87" s="321" t="s">
        <v>144</v>
      </c>
      <c r="L87" s="322" t="s">
        <v>1499</v>
      </c>
      <c r="M87" s="321" t="s">
        <v>1436</v>
      </c>
      <c r="N87" s="321" t="s">
        <v>1437</v>
      </c>
      <c r="O87" s="347"/>
      <c r="P87" s="321" t="s">
        <v>144</v>
      </c>
      <c r="Q87" s="322" t="s">
        <v>1499</v>
      </c>
      <c r="R87" s="321" t="s">
        <v>1436</v>
      </c>
      <c r="S87" s="321" t="s">
        <v>1437</v>
      </c>
      <c r="T87" s="347"/>
      <c r="U87" s="321" t="s">
        <v>144</v>
      </c>
      <c r="V87" s="322" t="s">
        <v>1499</v>
      </c>
      <c r="W87" s="321" t="s">
        <v>1436</v>
      </c>
      <c r="X87" s="321" t="s">
        <v>1437</v>
      </c>
      <c r="Y87" s="399"/>
    </row>
    <row r="88">
      <c r="A88" s="410"/>
      <c r="B88" s="296"/>
      <c r="C88" s="426"/>
      <c r="D88" s="423"/>
      <c r="E88" s="347"/>
      <c r="F88" s="303" t="s">
        <v>1408</v>
      </c>
      <c r="G88" s="304" t="s">
        <v>1500</v>
      </c>
      <c r="H88" s="358">
        <f>1/12</f>
        <v>0.08333333333</v>
      </c>
      <c r="I88" s="447">
        <f>I47*H88</f>
        <v>79.26945</v>
      </c>
      <c r="J88" s="347"/>
      <c r="K88" s="303" t="s">
        <v>1408</v>
      </c>
      <c r="L88" s="304" t="s">
        <v>1500</v>
      </c>
      <c r="M88" s="358">
        <f>1/12</f>
        <v>0.08333333333</v>
      </c>
      <c r="N88" s="447">
        <f>N47*M88</f>
        <v>79.26945</v>
      </c>
      <c r="O88" s="347"/>
      <c r="P88" s="303" t="s">
        <v>1408</v>
      </c>
      <c r="Q88" s="304" t="s">
        <v>1500</v>
      </c>
      <c r="R88" s="358">
        <f>1/12</f>
        <v>0.08333333333</v>
      </c>
      <c r="S88" s="447">
        <f>S47*R88</f>
        <v>56.026035</v>
      </c>
      <c r="T88" s="347"/>
      <c r="U88" s="303" t="s">
        <v>1408</v>
      </c>
      <c r="V88" s="304" t="s">
        <v>1500</v>
      </c>
      <c r="W88" s="358">
        <f>1/12</f>
        <v>0.08333333333</v>
      </c>
      <c r="X88" s="447">
        <f>X47*W88</f>
        <v>88.0762859</v>
      </c>
      <c r="Y88" s="399"/>
    </row>
    <row r="89">
      <c r="A89" s="410"/>
      <c r="B89" s="296"/>
      <c r="C89" s="426"/>
      <c r="D89" s="423"/>
      <c r="E89" s="347"/>
      <c r="F89" s="303" t="s">
        <v>1410</v>
      </c>
      <c r="G89" s="304" t="s">
        <v>1501</v>
      </c>
      <c r="H89" s="330">
        <f>1/30/12</f>
        <v>0.002777777778</v>
      </c>
      <c r="I89" s="323">
        <f t="shared" ref="I89:I92" si="13">H89*(I$37+$I$45)</f>
        <v>11.29194444</v>
      </c>
      <c r="J89" s="347"/>
      <c r="K89" s="303" t="s">
        <v>1410</v>
      </c>
      <c r="L89" s="304" t="s">
        <v>1501</v>
      </c>
      <c r="M89" s="330">
        <f>1/30/12</f>
        <v>0.002777777778</v>
      </c>
      <c r="N89" s="323">
        <f t="shared" ref="N89:N92" si="14">M89*(N$37+$N$45)</f>
        <v>11.29194444</v>
      </c>
      <c r="O89" s="347"/>
      <c r="P89" s="303" t="s">
        <v>1410</v>
      </c>
      <c r="Q89" s="304" t="s">
        <v>1501</v>
      </c>
      <c r="R89" s="330">
        <f>1/30/12</f>
        <v>0.002777777778</v>
      </c>
      <c r="S89" s="323">
        <f t="shared" ref="S89:S92" si="15">R89*(S$37+$S$45)</f>
        <v>7.980916667</v>
      </c>
      <c r="T89" s="347"/>
      <c r="U89" s="303" t="s">
        <v>1410</v>
      </c>
      <c r="V89" s="304" t="s">
        <v>1501</v>
      </c>
      <c r="W89" s="330">
        <f>1/30/12</f>
        <v>0.002777777778</v>
      </c>
      <c r="X89" s="323">
        <f t="shared" ref="X89:X92" si="16">W89*(X$37+$X$45)</f>
        <v>12.54647947</v>
      </c>
      <c r="Y89" s="399"/>
    </row>
    <row r="90">
      <c r="A90" s="410"/>
      <c r="B90" s="296"/>
      <c r="C90" s="426"/>
      <c r="D90" s="423"/>
      <c r="E90" s="347"/>
      <c r="F90" s="303" t="s">
        <v>1413</v>
      </c>
      <c r="G90" s="304" t="s">
        <v>1502</v>
      </c>
      <c r="H90" s="330">
        <v>2.0E-4</v>
      </c>
      <c r="I90" s="323">
        <f t="shared" si="13"/>
        <v>0.81302</v>
      </c>
      <c r="J90" s="347"/>
      <c r="K90" s="303" t="s">
        <v>1413</v>
      </c>
      <c r="L90" s="304" t="s">
        <v>1502</v>
      </c>
      <c r="M90" s="330">
        <v>2.0E-4</v>
      </c>
      <c r="N90" s="323">
        <f t="shared" si="14"/>
        <v>0.81302</v>
      </c>
      <c r="O90" s="347"/>
      <c r="P90" s="303" t="s">
        <v>1413</v>
      </c>
      <c r="Q90" s="304" t="s">
        <v>1502</v>
      </c>
      <c r="R90" s="330">
        <v>2.0E-4</v>
      </c>
      <c r="S90" s="323">
        <f t="shared" si="15"/>
        <v>0.574626</v>
      </c>
      <c r="T90" s="347"/>
      <c r="U90" s="303" t="s">
        <v>1413</v>
      </c>
      <c r="V90" s="304" t="s">
        <v>1502</v>
      </c>
      <c r="W90" s="330">
        <v>2.0E-4</v>
      </c>
      <c r="X90" s="323">
        <f t="shared" si="16"/>
        <v>0.903346522</v>
      </c>
      <c r="Y90" s="399"/>
    </row>
    <row r="91">
      <c r="A91" s="410"/>
      <c r="B91" s="296"/>
      <c r="C91" s="426"/>
      <c r="D91" s="423"/>
      <c r="E91" s="347"/>
      <c r="F91" s="303" t="s">
        <v>1416</v>
      </c>
      <c r="G91" s="304" t="s">
        <v>1503</v>
      </c>
      <c r="H91" s="330">
        <v>3.0E-4</v>
      </c>
      <c r="I91" s="323">
        <f t="shared" si="13"/>
        <v>1.21953</v>
      </c>
      <c r="J91" s="347"/>
      <c r="K91" s="303" t="s">
        <v>1416</v>
      </c>
      <c r="L91" s="304" t="s">
        <v>1503</v>
      </c>
      <c r="M91" s="330">
        <v>3.0E-4</v>
      </c>
      <c r="N91" s="323">
        <f t="shared" si="14"/>
        <v>1.21953</v>
      </c>
      <c r="O91" s="347"/>
      <c r="P91" s="303" t="s">
        <v>1416</v>
      </c>
      <c r="Q91" s="304" t="s">
        <v>1503</v>
      </c>
      <c r="R91" s="330">
        <v>3.0E-4</v>
      </c>
      <c r="S91" s="323">
        <f t="shared" si="15"/>
        <v>0.861939</v>
      </c>
      <c r="T91" s="347"/>
      <c r="U91" s="303" t="s">
        <v>1416</v>
      </c>
      <c r="V91" s="304" t="s">
        <v>1503</v>
      </c>
      <c r="W91" s="330">
        <v>3.0E-4</v>
      </c>
      <c r="X91" s="323">
        <f t="shared" si="16"/>
        <v>1.355019783</v>
      </c>
      <c r="Y91" s="399"/>
    </row>
    <row r="92">
      <c r="A92" s="410"/>
      <c r="B92" s="296"/>
      <c r="C92" s="426"/>
      <c r="D92" s="423"/>
      <c r="E92" s="347"/>
      <c r="F92" s="303" t="s">
        <v>1442</v>
      </c>
      <c r="G92" s="304" t="s">
        <v>1504</v>
      </c>
      <c r="H92" s="330">
        <v>3.0E-4</v>
      </c>
      <c r="I92" s="323">
        <f t="shared" si="13"/>
        <v>1.21953</v>
      </c>
      <c r="J92" s="347"/>
      <c r="K92" s="303" t="s">
        <v>1442</v>
      </c>
      <c r="L92" s="304" t="s">
        <v>1504</v>
      </c>
      <c r="M92" s="330">
        <v>3.0E-4</v>
      </c>
      <c r="N92" s="323">
        <f t="shared" si="14"/>
        <v>1.21953</v>
      </c>
      <c r="O92" s="347"/>
      <c r="P92" s="303" t="s">
        <v>1442</v>
      </c>
      <c r="Q92" s="304" t="s">
        <v>1504</v>
      </c>
      <c r="R92" s="330">
        <v>3.0E-4</v>
      </c>
      <c r="S92" s="323">
        <f t="shared" si="15"/>
        <v>0.861939</v>
      </c>
      <c r="T92" s="347"/>
      <c r="U92" s="303" t="s">
        <v>1442</v>
      </c>
      <c r="V92" s="304" t="s">
        <v>1504</v>
      </c>
      <c r="W92" s="330">
        <v>3.0E-4</v>
      </c>
      <c r="X92" s="323">
        <f t="shared" si="16"/>
        <v>1.355019783</v>
      </c>
      <c r="Y92" s="399"/>
    </row>
    <row r="93">
      <c r="A93" s="410"/>
      <c r="B93" s="296"/>
      <c r="C93" s="426"/>
      <c r="D93" s="423"/>
      <c r="E93" s="347"/>
      <c r="F93" s="303" t="s">
        <v>1444</v>
      </c>
      <c r="G93" s="304" t="s">
        <v>1505</v>
      </c>
      <c r="H93" s="330">
        <v>0.0</v>
      </c>
      <c r="I93" s="323">
        <f>H93*(I$37+I$45)</f>
        <v>0</v>
      </c>
      <c r="J93" s="347"/>
      <c r="K93" s="303" t="s">
        <v>1444</v>
      </c>
      <c r="L93" s="304" t="s">
        <v>1505</v>
      </c>
      <c r="M93" s="330">
        <v>0.0</v>
      </c>
      <c r="N93" s="323">
        <f>M93*(N$37+N$45)</f>
        <v>0</v>
      </c>
      <c r="O93" s="347"/>
      <c r="P93" s="303" t="s">
        <v>1444</v>
      </c>
      <c r="Q93" s="304" t="s">
        <v>1505</v>
      </c>
      <c r="R93" s="330">
        <v>0.0</v>
      </c>
      <c r="S93" s="323">
        <f>R93*(S$37+S$45)</f>
        <v>0</v>
      </c>
      <c r="T93" s="347"/>
      <c r="U93" s="303" t="s">
        <v>1444</v>
      </c>
      <c r="V93" s="304" t="s">
        <v>1505</v>
      </c>
      <c r="W93" s="330">
        <v>0.0</v>
      </c>
      <c r="X93" s="323">
        <f>W93*(X$37+X$45)</f>
        <v>0</v>
      </c>
      <c r="Y93" s="399"/>
    </row>
    <row r="94">
      <c r="A94" s="290"/>
      <c r="B94" s="409"/>
      <c r="C94" s="426"/>
      <c r="D94" s="425"/>
      <c r="E94" s="347"/>
      <c r="F94" s="347"/>
      <c r="G94" s="328" t="s">
        <v>1458</v>
      </c>
      <c r="H94" s="330"/>
      <c r="I94" s="329">
        <f>SUM(I88:I93)</f>
        <v>93.81347444</v>
      </c>
      <c r="J94" s="347"/>
      <c r="K94" s="347"/>
      <c r="L94" s="328" t="s">
        <v>1458</v>
      </c>
      <c r="M94" s="330"/>
      <c r="N94" s="329">
        <f>SUM(N88:N93)</f>
        <v>93.81347444</v>
      </c>
      <c r="O94" s="347"/>
      <c r="P94" s="347"/>
      <c r="Q94" s="328" t="s">
        <v>1458</v>
      </c>
      <c r="R94" s="330"/>
      <c r="S94" s="329">
        <f>SUM(S88:S93)</f>
        <v>66.30545567</v>
      </c>
      <c r="T94" s="347"/>
      <c r="U94" s="347"/>
      <c r="V94" s="328" t="s">
        <v>1458</v>
      </c>
      <c r="W94" s="330"/>
      <c r="X94" s="329">
        <f>SUM(X88:X93)</f>
        <v>104.2361515</v>
      </c>
      <c r="Y94" s="399"/>
    </row>
    <row r="95">
      <c r="A95" s="410"/>
      <c r="B95" s="296"/>
      <c r="C95" s="426"/>
      <c r="D95" s="423"/>
      <c r="E95" s="347"/>
      <c r="F95" s="303" t="s">
        <v>1446</v>
      </c>
      <c r="G95" s="304" t="s">
        <v>1506</v>
      </c>
      <c r="H95" s="330"/>
      <c r="I95" s="323">
        <f>I94*H58</f>
        <v>35.46149334</v>
      </c>
      <c r="J95" s="347"/>
      <c r="K95" s="303" t="s">
        <v>1446</v>
      </c>
      <c r="L95" s="304" t="s">
        <v>1506</v>
      </c>
      <c r="M95" s="330"/>
      <c r="N95" s="323">
        <f>N94*M58</f>
        <v>35.46149334</v>
      </c>
      <c r="O95" s="347"/>
      <c r="P95" s="303" t="s">
        <v>1446</v>
      </c>
      <c r="Q95" s="304" t="s">
        <v>1506</v>
      </c>
      <c r="R95" s="330"/>
      <c r="S95" s="323">
        <f>S94*R58</f>
        <v>25.06346224</v>
      </c>
      <c r="T95" s="347"/>
      <c r="U95" s="303" t="s">
        <v>1446</v>
      </c>
      <c r="V95" s="304" t="s">
        <v>1506</v>
      </c>
      <c r="W95" s="330"/>
      <c r="X95" s="323">
        <f>X94*W58</f>
        <v>39.40126525</v>
      </c>
      <c r="Y95" s="399"/>
    </row>
    <row r="96">
      <c r="A96" s="410"/>
      <c r="B96" s="410"/>
      <c r="C96" s="410"/>
      <c r="D96" s="425"/>
      <c r="E96" s="347"/>
      <c r="F96" s="303"/>
      <c r="G96" s="303" t="s">
        <v>1460</v>
      </c>
      <c r="H96" s="303"/>
      <c r="I96" s="360">
        <f>SUM(I94:I95)</f>
        <v>129.2749678</v>
      </c>
      <c r="J96" s="347"/>
      <c r="K96" s="303"/>
      <c r="L96" s="303" t="s">
        <v>1460</v>
      </c>
      <c r="M96" s="303"/>
      <c r="N96" s="360">
        <f>SUM(N94:N95)</f>
        <v>129.2749678</v>
      </c>
      <c r="O96" s="347"/>
      <c r="P96" s="303"/>
      <c r="Q96" s="303" t="s">
        <v>1460</v>
      </c>
      <c r="R96" s="303"/>
      <c r="S96" s="360">
        <f>SUM(S94:S95)</f>
        <v>91.36891791</v>
      </c>
      <c r="T96" s="347"/>
      <c r="U96" s="303"/>
      <c r="V96" s="303" t="s">
        <v>1460</v>
      </c>
      <c r="W96" s="303"/>
      <c r="X96" s="360">
        <f>SUM(X94:X95)</f>
        <v>143.6374167</v>
      </c>
      <c r="Y96" s="399"/>
    </row>
    <row r="97">
      <c r="A97" s="410"/>
      <c r="B97" s="409"/>
      <c r="C97" s="410"/>
      <c r="D97" s="410"/>
      <c r="E97" s="347"/>
      <c r="F97" s="321" t="s">
        <v>166</v>
      </c>
      <c r="G97" s="322" t="s">
        <v>1507</v>
      </c>
      <c r="H97" s="321" t="s">
        <v>1436</v>
      </c>
      <c r="I97" s="321" t="s">
        <v>1437</v>
      </c>
      <c r="J97" s="347"/>
      <c r="K97" s="321" t="s">
        <v>166</v>
      </c>
      <c r="L97" s="322" t="s">
        <v>1507</v>
      </c>
      <c r="M97" s="321" t="s">
        <v>1436</v>
      </c>
      <c r="N97" s="321" t="s">
        <v>1437</v>
      </c>
      <c r="O97" s="347"/>
      <c r="P97" s="321" t="s">
        <v>166</v>
      </c>
      <c r="Q97" s="322" t="s">
        <v>1507</v>
      </c>
      <c r="R97" s="321" t="s">
        <v>1436</v>
      </c>
      <c r="S97" s="321" t="s">
        <v>1437</v>
      </c>
      <c r="T97" s="347"/>
      <c r="U97" s="321" t="s">
        <v>166</v>
      </c>
      <c r="V97" s="322" t="s">
        <v>1507</v>
      </c>
      <c r="W97" s="321" t="s">
        <v>1436</v>
      </c>
      <c r="X97" s="321" t="s">
        <v>1437</v>
      </c>
      <c r="Y97" s="399"/>
    </row>
    <row r="98">
      <c r="A98" s="410"/>
      <c r="B98" s="296"/>
      <c r="C98" s="444"/>
      <c r="D98" s="449"/>
      <c r="E98" s="347"/>
      <c r="F98" s="303" t="s">
        <v>1408</v>
      </c>
      <c r="G98" s="304" t="s">
        <v>1508</v>
      </c>
      <c r="H98" s="357"/>
      <c r="I98" s="361" t="s">
        <v>1509</v>
      </c>
      <c r="J98" s="347"/>
      <c r="K98" s="303" t="s">
        <v>1408</v>
      </c>
      <c r="L98" s="304" t="s">
        <v>1508</v>
      </c>
      <c r="M98" s="357"/>
      <c r="N98" s="361" t="s">
        <v>1509</v>
      </c>
      <c r="O98" s="347"/>
      <c r="P98" s="303" t="s">
        <v>1408</v>
      </c>
      <c r="Q98" s="304" t="s">
        <v>1508</v>
      </c>
      <c r="R98" s="357"/>
      <c r="S98" s="361" t="s">
        <v>1509</v>
      </c>
      <c r="T98" s="347"/>
      <c r="U98" s="303" t="s">
        <v>1408</v>
      </c>
      <c r="V98" s="304" t="s">
        <v>1508</v>
      </c>
      <c r="W98" s="357"/>
      <c r="X98" s="361" t="s">
        <v>1509</v>
      </c>
      <c r="Y98" s="399"/>
    </row>
    <row r="99">
      <c r="A99" s="293"/>
      <c r="B99" s="410"/>
      <c r="C99" s="444"/>
      <c r="D99" s="449"/>
      <c r="E99" s="347"/>
      <c r="F99" s="312"/>
      <c r="G99" s="303" t="s">
        <v>1460</v>
      </c>
      <c r="H99" s="357"/>
      <c r="I99" s="361"/>
      <c r="J99" s="347"/>
      <c r="K99" s="312"/>
      <c r="L99" s="303" t="s">
        <v>1460</v>
      </c>
      <c r="M99" s="357"/>
      <c r="N99" s="361"/>
      <c r="O99" s="347"/>
      <c r="P99" s="312"/>
      <c r="Q99" s="303" t="s">
        <v>1460</v>
      </c>
      <c r="R99" s="357"/>
      <c r="S99" s="361"/>
      <c r="T99" s="347"/>
      <c r="U99" s="312"/>
      <c r="V99" s="303" t="s">
        <v>1460</v>
      </c>
      <c r="W99" s="357"/>
      <c r="X99" s="361"/>
      <c r="Y99" s="399"/>
    </row>
    <row r="100">
      <c r="A100" s="409"/>
      <c r="C100" s="410"/>
      <c r="D100" s="410"/>
      <c r="E100" s="347"/>
      <c r="F100" s="300" t="s">
        <v>1510</v>
      </c>
      <c r="G100" s="301"/>
      <c r="H100" s="321"/>
      <c r="I100" s="321" t="s">
        <v>1437</v>
      </c>
      <c r="J100" s="347"/>
      <c r="K100" s="300" t="s">
        <v>1510</v>
      </c>
      <c r="L100" s="301"/>
      <c r="M100" s="321"/>
      <c r="N100" s="321" t="s">
        <v>1437</v>
      </c>
      <c r="O100" s="347"/>
      <c r="P100" s="300" t="s">
        <v>1510</v>
      </c>
      <c r="Q100" s="301"/>
      <c r="R100" s="321"/>
      <c r="S100" s="321" t="s">
        <v>1437</v>
      </c>
      <c r="T100" s="347"/>
      <c r="U100" s="300" t="s">
        <v>1510</v>
      </c>
      <c r="V100" s="301"/>
      <c r="W100" s="321"/>
      <c r="X100" s="321" t="s">
        <v>1437</v>
      </c>
      <c r="Y100" s="399"/>
    </row>
    <row r="101">
      <c r="A101" s="293"/>
      <c r="B101" s="296"/>
      <c r="C101" s="444"/>
      <c r="D101" s="449"/>
      <c r="E101" s="347"/>
      <c r="F101" s="312" t="s">
        <v>144</v>
      </c>
      <c r="G101" s="304" t="s">
        <v>1511</v>
      </c>
      <c r="H101" s="357"/>
      <c r="I101" s="362">
        <f>I96</f>
        <v>129.2749678</v>
      </c>
      <c r="J101" s="347"/>
      <c r="K101" s="312" t="s">
        <v>144</v>
      </c>
      <c r="L101" s="304" t="s">
        <v>1511</v>
      </c>
      <c r="M101" s="357"/>
      <c r="N101" s="323">
        <f>N96</f>
        <v>129.2749678</v>
      </c>
      <c r="O101" s="347"/>
      <c r="P101" s="312" t="s">
        <v>144</v>
      </c>
      <c r="Q101" s="304" t="s">
        <v>1511</v>
      </c>
      <c r="R101" s="357"/>
      <c r="S101" s="447">
        <f>S96</f>
        <v>91.36891791</v>
      </c>
      <c r="T101" s="347"/>
      <c r="U101" s="312" t="s">
        <v>144</v>
      </c>
      <c r="V101" s="304" t="s">
        <v>1511</v>
      </c>
      <c r="W101" s="357"/>
      <c r="X101" s="323">
        <f>X96</f>
        <v>143.6374167</v>
      </c>
      <c r="Y101" s="399"/>
    </row>
    <row r="102">
      <c r="A102" s="293"/>
      <c r="B102" s="450"/>
      <c r="C102" s="426"/>
      <c r="D102" s="423"/>
      <c r="E102" s="347"/>
      <c r="F102" s="312" t="s">
        <v>166</v>
      </c>
      <c r="G102" s="363" t="s">
        <v>1507</v>
      </c>
      <c r="H102" s="330"/>
      <c r="I102" s="323" t="s">
        <v>1509</v>
      </c>
      <c r="J102" s="347"/>
      <c r="K102" s="312" t="s">
        <v>166</v>
      </c>
      <c r="L102" s="363" t="s">
        <v>1507</v>
      </c>
      <c r="M102" s="330"/>
      <c r="N102" s="323" t="s">
        <v>1509</v>
      </c>
      <c r="O102" s="347"/>
      <c r="P102" s="312" t="s">
        <v>166</v>
      </c>
      <c r="Q102" s="363" t="s">
        <v>1507</v>
      </c>
      <c r="R102" s="330"/>
      <c r="S102" s="323" t="s">
        <v>1509</v>
      </c>
      <c r="T102" s="347"/>
      <c r="U102" s="312" t="s">
        <v>166</v>
      </c>
      <c r="V102" s="363" t="s">
        <v>1507</v>
      </c>
      <c r="W102" s="330"/>
      <c r="X102" s="361" t="s">
        <v>1509</v>
      </c>
      <c r="Y102" s="399"/>
    </row>
    <row r="103">
      <c r="A103" s="444"/>
      <c r="B103" s="444"/>
      <c r="C103" s="444"/>
      <c r="D103" s="451"/>
      <c r="E103" s="347"/>
      <c r="F103" s="330"/>
      <c r="G103" s="357" t="s">
        <v>1460</v>
      </c>
      <c r="H103" s="330"/>
      <c r="I103" s="364">
        <f>I101</f>
        <v>129.2749678</v>
      </c>
      <c r="J103" s="347"/>
      <c r="K103" s="330"/>
      <c r="L103" s="357" t="s">
        <v>1460</v>
      </c>
      <c r="M103" s="330"/>
      <c r="N103" s="323">
        <f>N101</f>
        <v>129.2749678</v>
      </c>
      <c r="O103" s="347"/>
      <c r="P103" s="330"/>
      <c r="Q103" s="357" t="s">
        <v>1460</v>
      </c>
      <c r="R103" s="330"/>
      <c r="S103" s="323">
        <f>S101</f>
        <v>91.36891791</v>
      </c>
      <c r="T103" s="347"/>
      <c r="U103" s="330"/>
      <c r="V103" s="357" t="s">
        <v>1460</v>
      </c>
      <c r="W103" s="330"/>
      <c r="X103" s="323">
        <f>X101</f>
        <v>143.6374167</v>
      </c>
      <c r="Y103" s="399"/>
    </row>
    <row r="104">
      <c r="A104" s="444"/>
      <c r="B104" s="444"/>
      <c r="C104" s="444"/>
      <c r="D104" s="444"/>
      <c r="E104" s="347"/>
      <c r="F104" s="357"/>
      <c r="G104" s="357"/>
      <c r="H104" s="357"/>
      <c r="I104" s="357"/>
      <c r="J104" s="347"/>
      <c r="K104" s="357"/>
      <c r="L104" s="357"/>
      <c r="M104" s="357"/>
      <c r="N104" s="357"/>
      <c r="O104" s="347"/>
      <c r="P104" s="357"/>
      <c r="Q104" s="357"/>
      <c r="R104" s="357"/>
      <c r="S104" s="357"/>
      <c r="T104" s="347"/>
      <c r="U104" s="357"/>
      <c r="V104" s="357"/>
      <c r="W104" s="357"/>
      <c r="X104" s="357"/>
      <c r="Y104" s="399"/>
    </row>
    <row r="105">
      <c r="A105" s="422"/>
      <c r="E105" s="347"/>
      <c r="F105" s="319" t="s">
        <v>1512</v>
      </c>
      <c r="G105" s="44"/>
      <c r="H105" s="44"/>
      <c r="I105" s="320"/>
      <c r="J105" s="347"/>
      <c r="K105" s="319" t="s">
        <v>1512</v>
      </c>
      <c r="L105" s="44"/>
      <c r="M105" s="44"/>
      <c r="N105" s="320"/>
      <c r="O105" s="347"/>
      <c r="P105" s="319" t="s">
        <v>1512</v>
      </c>
      <c r="Q105" s="44"/>
      <c r="R105" s="44"/>
      <c r="S105" s="320"/>
      <c r="T105" s="347"/>
      <c r="U105" s="319" t="s">
        <v>1512</v>
      </c>
      <c r="V105" s="44"/>
      <c r="W105" s="44"/>
      <c r="X105" s="320"/>
      <c r="Y105" s="399"/>
    </row>
    <row r="106">
      <c r="A106" s="410"/>
      <c r="B106" s="409"/>
      <c r="C106" s="410"/>
      <c r="D106" s="410"/>
      <c r="E106" s="347"/>
      <c r="F106" s="303">
        <v>5.0</v>
      </c>
      <c r="G106" s="328" t="s">
        <v>1513</v>
      </c>
      <c r="H106" s="303" t="s">
        <v>1436</v>
      </c>
      <c r="I106" s="303" t="s">
        <v>1437</v>
      </c>
      <c r="J106" s="347"/>
      <c r="K106" s="303">
        <v>5.0</v>
      </c>
      <c r="L106" s="328" t="s">
        <v>1513</v>
      </c>
      <c r="M106" s="303" t="s">
        <v>1436</v>
      </c>
      <c r="N106" s="303" t="s">
        <v>1437</v>
      </c>
      <c r="O106" s="347"/>
      <c r="P106" s="303">
        <v>5.0</v>
      </c>
      <c r="Q106" s="328" t="s">
        <v>1513</v>
      </c>
      <c r="R106" s="303" t="s">
        <v>1436</v>
      </c>
      <c r="S106" s="303" t="s">
        <v>1437</v>
      </c>
      <c r="T106" s="347"/>
      <c r="U106" s="303">
        <v>5.0</v>
      </c>
      <c r="V106" s="328" t="s">
        <v>1513</v>
      </c>
      <c r="W106" s="303" t="s">
        <v>1436</v>
      </c>
      <c r="X106" s="303" t="s">
        <v>1437</v>
      </c>
      <c r="Y106" s="399"/>
    </row>
    <row r="107">
      <c r="A107" s="410"/>
      <c r="B107" s="443"/>
      <c r="C107" s="290"/>
      <c r="D107" s="423"/>
      <c r="E107" s="452">
        <v>43498.0</v>
      </c>
      <c r="F107" s="365" t="s">
        <v>1408</v>
      </c>
      <c r="G107" s="370" t="s">
        <v>1603</v>
      </c>
      <c r="H107" s="367"/>
      <c r="I107" s="368">
        <f>VLOOKUP(J107,'20-A.SINAPI-I'!$A:$G,4,0)</f>
        <v>214.4</v>
      </c>
      <c r="J107" s="453">
        <v>43496.0</v>
      </c>
      <c r="K107" s="365" t="s">
        <v>1408</v>
      </c>
      <c r="L107" s="370" t="s">
        <v>1603</v>
      </c>
      <c r="M107" s="367"/>
      <c r="N107" s="368">
        <f>VLOOKUP(O107,'20-A.SINAPI-I'!$A:$G,4,0)</f>
        <v>220.75</v>
      </c>
      <c r="O107" s="454">
        <v>43501.0</v>
      </c>
      <c r="P107" s="455" t="s">
        <v>1408</v>
      </c>
      <c r="Q107" s="370" t="s">
        <v>1603</v>
      </c>
      <c r="R107" s="367"/>
      <c r="S107" s="368">
        <f>VLOOKUP(T107,'20-A.SINAPI-I'!$A:$G,4,0)</f>
        <v>235.5</v>
      </c>
      <c r="T107" s="454">
        <v>43503.0</v>
      </c>
      <c r="U107" s="455" t="s">
        <v>1408</v>
      </c>
      <c r="V107" s="370" t="s">
        <v>1603</v>
      </c>
      <c r="W107" s="367"/>
      <c r="X107" s="368">
        <f>VLOOKUP(Y107,'20-A.SINAPI-I'!$A:$G,4,0)</f>
        <v>214.4</v>
      </c>
      <c r="Y107" s="456">
        <v>43496.0</v>
      </c>
    </row>
    <row r="108">
      <c r="A108" s="410"/>
      <c r="B108" s="296"/>
      <c r="C108" s="296"/>
      <c r="D108" s="423"/>
      <c r="E108" s="347"/>
      <c r="F108" s="303" t="s">
        <v>1410</v>
      </c>
      <c r="G108" s="304" t="s">
        <v>1515</v>
      </c>
      <c r="H108" s="304"/>
      <c r="I108" s="323"/>
      <c r="J108" s="347"/>
      <c r="K108" s="303" t="s">
        <v>1410</v>
      </c>
      <c r="L108" s="304" t="s">
        <v>1515</v>
      </c>
      <c r="M108" s="304"/>
      <c r="N108" s="323"/>
      <c r="O108" s="347"/>
      <c r="P108" s="303" t="s">
        <v>1410</v>
      </c>
      <c r="Q108" s="304" t="s">
        <v>1515</v>
      </c>
      <c r="R108" s="304"/>
      <c r="S108" s="323"/>
      <c r="T108" s="347"/>
      <c r="U108" s="303" t="s">
        <v>1410</v>
      </c>
      <c r="V108" s="304" t="s">
        <v>1515</v>
      </c>
      <c r="W108" s="304"/>
      <c r="X108" s="323"/>
      <c r="Y108" s="399"/>
    </row>
    <row r="109">
      <c r="A109" s="410"/>
      <c r="B109" s="296"/>
      <c r="C109" s="296"/>
      <c r="D109" s="423"/>
      <c r="E109" s="452">
        <v>43474.0</v>
      </c>
      <c r="F109" s="365" t="s">
        <v>1413</v>
      </c>
      <c r="G109" s="370" t="s">
        <v>1516</v>
      </c>
      <c r="H109" s="370"/>
      <c r="I109" s="368">
        <f>VLOOKUP(J109,'20-A.SINAPI-I'!$A:$G,4,0)</f>
        <v>161.79</v>
      </c>
      <c r="J109" s="453">
        <v>43472.0</v>
      </c>
      <c r="K109" s="365" t="s">
        <v>1413</v>
      </c>
      <c r="L109" s="370" t="s">
        <v>1516</v>
      </c>
      <c r="M109" s="370"/>
      <c r="N109" s="368">
        <f>VLOOKUP(O109,'20-A.SINAPI-I'!$A:$G,4,0)</f>
        <v>158.88</v>
      </c>
      <c r="O109" s="454">
        <v>43477.0</v>
      </c>
      <c r="P109" s="455" t="s">
        <v>1413</v>
      </c>
      <c r="Q109" s="370" t="s">
        <v>1516</v>
      </c>
      <c r="R109" s="370"/>
      <c r="S109" s="368">
        <f>VLOOKUP(T109,'20-A.SINAPI-I'!$A:$G,4,0)</f>
        <v>110.64</v>
      </c>
      <c r="T109" s="454">
        <v>43479.0</v>
      </c>
      <c r="U109" s="455" t="s">
        <v>1413</v>
      </c>
      <c r="V109" s="370" t="s">
        <v>1516</v>
      </c>
      <c r="W109" s="370"/>
      <c r="X109" s="368">
        <f>VLOOKUP(Y109,'20-A.SINAPI-I'!$A:$G,4,0)</f>
        <v>161.79</v>
      </c>
      <c r="Y109" s="457">
        <v>43472.0</v>
      </c>
    </row>
    <row r="110">
      <c r="A110" s="458"/>
      <c r="C110" s="444"/>
      <c r="D110" s="425"/>
      <c r="E110" s="347"/>
      <c r="F110" s="371" t="s">
        <v>1517</v>
      </c>
      <c r="G110" s="301"/>
      <c r="H110" s="357"/>
      <c r="I110" s="329">
        <f>SUM(I107:I109)</f>
        <v>376.19</v>
      </c>
      <c r="J110" s="347"/>
      <c r="K110" s="371" t="s">
        <v>1517</v>
      </c>
      <c r="L110" s="301"/>
      <c r="M110" s="357"/>
      <c r="N110" s="329">
        <f>SUM(N107:N109)</f>
        <v>379.63</v>
      </c>
      <c r="O110" s="347"/>
      <c r="P110" s="371" t="s">
        <v>1517</v>
      </c>
      <c r="Q110" s="301"/>
      <c r="R110" s="357"/>
      <c r="S110" s="329">
        <f>SUM(S107:S109)</f>
        <v>346.14</v>
      </c>
      <c r="T110" s="347"/>
      <c r="U110" s="371" t="s">
        <v>1517</v>
      </c>
      <c r="V110" s="301"/>
      <c r="W110" s="357"/>
      <c r="X110" s="329">
        <f>SUM(X107:X109)</f>
        <v>376.19</v>
      </c>
      <c r="Y110" s="399"/>
    </row>
    <row r="111">
      <c r="A111" s="444"/>
      <c r="B111" s="444"/>
      <c r="C111" s="444"/>
      <c r="D111" s="444"/>
      <c r="E111" s="347"/>
      <c r="F111" s="357"/>
      <c r="G111" s="357"/>
      <c r="H111" s="357"/>
      <c r="I111" s="357"/>
      <c r="J111" s="347"/>
      <c r="K111" s="357"/>
      <c r="L111" s="357"/>
      <c r="M111" s="357"/>
      <c r="N111" s="357"/>
      <c r="O111" s="347"/>
      <c r="P111" s="357"/>
      <c r="Q111" s="357"/>
      <c r="R111" s="357"/>
      <c r="S111" s="357"/>
      <c r="T111" s="347"/>
      <c r="U111" s="357"/>
      <c r="V111" s="357"/>
      <c r="W111" s="357"/>
      <c r="X111" s="357"/>
      <c r="Y111" s="399"/>
    </row>
    <row r="112">
      <c r="A112" s="422"/>
      <c r="E112" s="347"/>
      <c r="F112" s="319" t="s">
        <v>1518</v>
      </c>
      <c r="G112" s="44"/>
      <c r="H112" s="44"/>
      <c r="I112" s="320"/>
      <c r="J112" s="347"/>
      <c r="K112" s="319" t="s">
        <v>1518</v>
      </c>
      <c r="L112" s="44"/>
      <c r="M112" s="44"/>
      <c r="N112" s="320"/>
      <c r="O112" s="347"/>
      <c r="P112" s="319" t="s">
        <v>1518</v>
      </c>
      <c r="Q112" s="44"/>
      <c r="R112" s="44"/>
      <c r="S112" s="320"/>
      <c r="T112" s="347"/>
      <c r="U112" s="319" t="s">
        <v>1518</v>
      </c>
      <c r="V112" s="44"/>
      <c r="W112" s="44"/>
      <c r="X112" s="320"/>
      <c r="Y112" s="399"/>
    </row>
    <row r="113">
      <c r="A113" s="410"/>
      <c r="B113" s="409"/>
      <c r="C113" s="410"/>
      <c r="D113" s="410"/>
      <c r="E113" s="347"/>
      <c r="F113" s="303">
        <v>6.0</v>
      </c>
      <c r="G113" s="328" t="s">
        <v>1519</v>
      </c>
      <c r="H113" s="303" t="s">
        <v>1436</v>
      </c>
      <c r="I113" s="303" t="s">
        <v>1437</v>
      </c>
      <c r="J113" s="347"/>
      <c r="K113" s="303">
        <v>6.0</v>
      </c>
      <c r="L113" s="328" t="s">
        <v>1519</v>
      </c>
      <c r="M113" s="303" t="s">
        <v>1436</v>
      </c>
      <c r="N113" s="303" t="s">
        <v>1437</v>
      </c>
      <c r="O113" s="347"/>
      <c r="P113" s="303">
        <v>6.0</v>
      </c>
      <c r="Q113" s="328" t="s">
        <v>1519</v>
      </c>
      <c r="R113" s="303" t="s">
        <v>1436</v>
      </c>
      <c r="S113" s="303" t="s">
        <v>1437</v>
      </c>
      <c r="T113" s="347"/>
      <c r="U113" s="303">
        <v>6.0</v>
      </c>
      <c r="V113" s="328" t="s">
        <v>1519</v>
      </c>
      <c r="W113" s="303" t="s">
        <v>1436</v>
      </c>
      <c r="X113" s="303" t="s">
        <v>1437</v>
      </c>
      <c r="Y113" s="399"/>
    </row>
    <row r="114">
      <c r="A114" s="459"/>
      <c r="B114" s="460"/>
      <c r="C114" s="461"/>
      <c r="D114" s="462"/>
      <c r="E114" s="347"/>
      <c r="F114" s="372" t="s">
        <v>1408</v>
      </c>
      <c r="G114" s="463" t="s">
        <v>1604</v>
      </c>
      <c r="H114" s="374">
        <f>'7. BDI SERVIÇOS'!K25</f>
        <v>0.1486371045</v>
      </c>
      <c r="I114" s="375">
        <f>H114*I124</f>
        <v>992.9890123</v>
      </c>
      <c r="J114" s="347"/>
      <c r="K114" s="372" t="s">
        <v>1408</v>
      </c>
      <c r="L114" s="463" t="s">
        <v>1604</v>
      </c>
      <c r="M114" s="374">
        <f>'7. BDI SERVIÇOS'!K25</f>
        <v>0.1486371045</v>
      </c>
      <c r="N114" s="375">
        <f>M114*N124</f>
        <v>992.9826281</v>
      </c>
      <c r="O114" s="347"/>
      <c r="P114" s="372" t="s">
        <v>1408</v>
      </c>
      <c r="Q114" s="463" t="s">
        <v>1604</v>
      </c>
      <c r="R114" s="374">
        <f>'7. BDI SERVIÇOS'!K25</f>
        <v>0.1486371045</v>
      </c>
      <c r="S114" s="375">
        <f>R114*S124</f>
        <v>740.0523208</v>
      </c>
      <c r="T114" s="347"/>
      <c r="U114" s="372" t="s">
        <v>1408</v>
      </c>
      <c r="V114" s="463" t="s">
        <v>1604</v>
      </c>
      <c r="W114" s="374">
        <f>'7. BDI SERVIÇOS'!K25</f>
        <v>0.1486371045</v>
      </c>
      <c r="X114" s="375">
        <f>W114*X124</f>
        <v>1088.826291</v>
      </c>
      <c r="Y114" s="399"/>
    </row>
    <row r="115">
      <c r="A115" s="464"/>
      <c r="B115" s="460"/>
      <c r="C115" s="461"/>
      <c r="D115" s="462"/>
      <c r="E115" s="347"/>
      <c r="F115" s="376" t="s">
        <v>1410</v>
      </c>
      <c r="G115" s="373" t="s">
        <v>1520</v>
      </c>
      <c r="H115" s="374">
        <f>'8. BDI MERO FORNECIMENTO'!$K$62</f>
        <v>0.09557952109</v>
      </c>
      <c r="I115" s="375">
        <f>H115*I110</f>
        <v>35.95606004</v>
      </c>
      <c r="J115" s="347"/>
      <c r="K115" s="376" t="s">
        <v>1410</v>
      </c>
      <c r="L115" s="373" t="s">
        <v>1520</v>
      </c>
      <c r="M115" s="374">
        <f>'8. BDI MERO FORNECIMENTO'!$K$62</f>
        <v>0.09557952109</v>
      </c>
      <c r="N115" s="375">
        <f>M115*N110</f>
        <v>36.28485359</v>
      </c>
      <c r="O115" s="347"/>
      <c r="P115" s="376" t="s">
        <v>1410</v>
      </c>
      <c r="Q115" s="373" t="s">
        <v>1520</v>
      </c>
      <c r="R115" s="374">
        <f>'8. BDI MERO FORNECIMENTO'!$K$62</f>
        <v>0.09557952109</v>
      </c>
      <c r="S115" s="375">
        <f>R115*S110</f>
        <v>33.08389543</v>
      </c>
      <c r="T115" s="347"/>
      <c r="U115" s="376" t="s">
        <v>1410</v>
      </c>
      <c r="V115" s="373" t="s">
        <v>1520</v>
      </c>
      <c r="W115" s="374">
        <f>'8. BDI MERO FORNECIMENTO'!$K$62</f>
        <v>0.09557952109</v>
      </c>
      <c r="X115" s="375">
        <f>W115*X110</f>
        <v>35.95606004</v>
      </c>
      <c r="Y115" s="399"/>
    </row>
    <row r="116">
      <c r="A116" s="293"/>
      <c r="B116" s="410"/>
      <c r="C116" s="444"/>
      <c r="D116" s="425"/>
      <c r="E116" s="347"/>
      <c r="F116" s="312"/>
      <c r="G116" s="303" t="s">
        <v>1460</v>
      </c>
      <c r="H116" s="357"/>
      <c r="I116" s="329">
        <f>SUM(I114:I115)</f>
        <v>1028.945072</v>
      </c>
      <c r="J116" s="347"/>
      <c r="K116" s="312"/>
      <c r="L116" s="303" t="s">
        <v>1460</v>
      </c>
      <c r="M116" s="357"/>
      <c r="N116" s="329">
        <f>SUM(N114:N115)</f>
        <v>1029.267482</v>
      </c>
      <c r="O116" s="347"/>
      <c r="P116" s="312"/>
      <c r="Q116" s="303" t="s">
        <v>1460</v>
      </c>
      <c r="R116" s="357"/>
      <c r="S116" s="329">
        <f>SUM(S114:S115)</f>
        <v>773.1362162</v>
      </c>
      <c r="T116" s="347"/>
      <c r="U116" s="312"/>
      <c r="V116" s="303" t="s">
        <v>1460</v>
      </c>
      <c r="W116" s="357"/>
      <c r="X116" s="329">
        <f>SUM(X114:X115)</f>
        <v>1124.782351</v>
      </c>
      <c r="Y116" s="399"/>
    </row>
    <row r="117">
      <c r="A117" s="293"/>
      <c r="B117" s="293"/>
      <c r="C117" s="293"/>
      <c r="D117" s="293"/>
      <c r="E117" s="347"/>
      <c r="F117" s="312"/>
      <c r="G117" s="312"/>
      <c r="H117" s="312"/>
      <c r="I117" s="312"/>
      <c r="J117" s="347"/>
      <c r="K117" s="312"/>
      <c r="L117" s="312"/>
      <c r="M117" s="312"/>
      <c r="N117" s="312"/>
      <c r="O117" s="347"/>
      <c r="P117" s="312"/>
      <c r="Q117" s="312"/>
      <c r="R117" s="312"/>
      <c r="S117" s="312"/>
      <c r="T117" s="347"/>
      <c r="U117" s="312"/>
      <c r="V117" s="312"/>
      <c r="W117" s="312"/>
      <c r="X117" s="312"/>
      <c r="Y117" s="399"/>
    </row>
    <row r="118">
      <c r="A118" s="410"/>
      <c r="E118" s="347"/>
      <c r="F118" s="311" t="s">
        <v>1521</v>
      </c>
      <c r="I118" s="301"/>
      <c r="J118" s="347"/>
      <c r="K118" s="311" t="s">
        <v>1521</v>
      </c>
      <c r="N118" s="301"/>
      <c r="O118" s="347"/>
      <c r="P118" s="311" t="s">
        <v>1521</v>
      </c>
      <c r="S118" s="301"/>
      <c r="T118" s="347"/>
      <c r="U118" s="311" t="s">
        <v>1521</v>
      </c>
      <c r="X118" s="301"/>
      <c r="Y118" s="399"/>
    </row>
    <row r="119">
      <c r="A119" s="409"/>
      <c r="C119" s="410"/>
      <c r="D119" s="293"/>
      <c r="E119" s="347"/>
      <c r="F119" s="377" t="s">
        <v>1522</v>
      </c>
      <c r="G119" s="301"/>
      <c r="H119" s="303"/>
      <c r="I119" s="312" t="s">
        <v>1523</v>
      </c>
      <c r="J119" s="347"/>
      <c r="K119" s="377" t="s">
        <v>1522</v>
      </c>
      <c r="L119" s="301"/>
      <c r="M119" s="303"/>
      <c r="N119" s="312" t="s">
        <v>1523</v>
      </c>
      <c r="O119" s="347"/>
      <c r="P119" s="377" t="s">
        <v>1522</v>
      </c>
      <c r="Q119" s="301"/>
      <c r="R119" s="303"/>
      <c r="S119" s="312" t="s">
        <v>1523</v>
      </c>
      <c r="T119" s="347"/>
      <c r="U119" s="377" t="s">
        <v>1522</v>
      </c>
      <c r="V119" s="301"/>
      <c r="W119" s="303"/>
      <c r="X119" s="312" t="s">
        <v>1523</v>
      </c>
      <c r="Y119" s="399"/>
    </row>
    <row r="120">
      <c r="A120" s="410"/>
      <c r="B120" s="296"/>
      <c r="C120" s="426"/>
      <c r="D120" s="423"/>
      <c r="E120" s="347"/>
      <c r="F120" s="303" t="s">
        <v>1408</v>
      </c>
      <c r="G120" s="304" t="s">
        <v>1524</v>
      </c>
      <c r="H120" s="330"/>
      <c r="I120" s="323">
        <f>I37</f>
        <v>3374.8</v>
      </c>
      <c r="J120" s="347"/>
      <c r="K120" s="303" t="s">
        <v>1408</v>
      </c>
      <c r="L120" s="304" t="s">
        <v>1524</v>
      </c>
      <c r="M120" s="330"/>
      <c r="N120" s="361">
        <f>N37</f>
        <v>3374.8</v>
      </c>
      <c r="O120" s="347"/>
      <c r="P120" s="303" t="s">
        <v>1408</v>
      </c>
      <c r="Q120" s="304" t="s">
        <v>1524</v>
      </c>
      <c r="R120" s="330"/>
      <c r="S120" s="323">
        <f>S37</f>
        <v>2385.24</v>
      </c>
      <c r="T120" s="347"/>
      <c r="U120" s="303" t="s">
        <v>1408</v>
      </c>
      <c r="V120" s="304" t="s">
        <v>1524</v>
      </c>
      <c r="W120" s="330"/>
      <c r="X120" s="361">
        <f>X37</f>
        <v>3749.74028</v>
      </c>
      <c r="Y120" s="399"/>
    </row>
    <row r="121">
      <c r="A121" s="410"/>
      <c r="B121" s="296"/>
      <c r="C121" s="426"/>
      <c r="D121" s="423"/>
      <c r="E121" s="347"/>
      <c r="F121" s="303" t="s">
        <v>1410</v>
      </c>
      <c r="G121" s="304" t="s">
        <v>1449</v>
      </c>
      <c r="H121" s="330"/>
      <c r="I121" s="323">
        <f>I75</f>
        <v>2948.255067</v>
      </c>
      <c r="J121" s="347"/>
      <c r="K121" s="303" t="s">
        <v>1410</v>
      </c>
      <c r="L121" s="304" t="s">
        <v>1449</v>
      </c>
      <c r="M121" s="330"/>
      <c r="N121" s="361">
        <f>N75</f>
        <v>2948.255067</v>
      </c>
      <c r="O121" s="347"/>
      <c r="P121" s="303" t="s">
        <v>1410</v>
      </c>
      <c r="Q121" s="304" t="s">
        <v>1449</v>
      </c>
      <c r="R121" s="330"/>
      <c r="S121" s="323">
        <f>S75</f>
        <v>2340.956087</v>
      </c>
      <c r="T121" s="347"/>
      <c r="U121" s="303" t="s">
        <v>1410</v>
      </c>
      <c r="V121" s="304" t="s">
        <v>1449</v>
      </c>
      <c r="W121" s="330"/>
      <c r="X121" s="361">
        <f>X75</f>
        <v>3178.362161</v>
      </c>
      <c r="Y121" s="399"/>
    </row>
    <row r="122">
      <c r="A122" s="410"/>
      <c r="B122" s="296"/>
      <c r="C122" s="426"/>
      <c r="D122" s="423"/>
      <c r="E122" s="347"/>
      <c r="F122" s="303" t="s">
        <v>1413</v>
      </c>
      <c r="G122" s="304" t="s">
        <v>1491</v>
      </c>
      <c r="H122" s="330"/>
      <c r="I122" s="323">
        <f>I84</f>
        <v>228.2966893</v>
      </c>
      <c r="J122" s="347"/>
      <c r="K122" s="303" t="s">
        <v>1413</v>
      </c>
      <c r="L122" s="304" t="s">
        <v>1491</v>
      </c>
      <c r="M122" s="330"/>
      <c r="N122" s="361">
        <f>N84</f>
        <v>228.2537373</v>
      </c>
      <c r="O122" s="347"/>
      <c r="P122" s="303" t="s">
        <v>1413</v>
      </c>
      <c r="Q122" s="304" t="s">
        <v>1491</v>
      </c>
      <c r="R122" s="330"/>
      <c r="S122" s="323">
        <f>S84</f>
        <v>161.3554566</v>
      </c>
      <c r="T122" s="347"/>
      <c r="U122" s="303" t="s">
        <v>1413</v>
      </c>
      <c r="V122" s="304" t="s">
        <v>1491</v>
      </c>
      <c r="W122" s="330"/>
      <c r="X122" s="361">
        <f>X84</f>
        <v>253.6604514</v>
      </c>
      <c r="Y122" s="399"/>
    </row>
    <row r="123">
      <c r="A123" s="410"/>
      <c r="B123" s="296"/>
      <c r="C123" s="426"/>
      <c r="D123" s="423"/>
      <c r="E123" s="347"/>
      <c r="F123" s="303" t="s">
        <v>1416</v>
      </c>
      <c r="G123" s="304" t="s">
        <v>1498</v>
      </c>
      <c r="H123" s="330"/>
      <c r="I123" s="323">
        <f>I103</f>
        <v>129.2749678</v>
      </c>
      <c r="J123" s="347"/>
      <c r="K123" s="303" t="s">
        <v>1416</v>
      </c>
      <c r="L123" s="304" t="s">
        <v>1498</v>
      </c>
      <c r="M123" s="330"/>
      <c r="N123" s="361">
        <f>N103</f>
        <v>129.2749678</v>
      </c>
      <c r="O123" s="347"/>
      <c r="P123" s="303" t="s">
        <v>1416</v>
      </c>
      <c r="Q123" s="304" t="s">
        <v>1498</v>
      </c>
      <c r="R123" s="330"/>
      <c r="S123" s="323">
        <f>S103</f>
        <v>91.36891791</v>
      </c>
      <c r="T123" s="347"/>
      <c r="U123" s="303" t="s">
        <v>1416</v>
      </c>
      <c r="V123" s="304" t="s">
        <v>1498</v>
      </c>
      <c r="W123" s="330"/>
      <c r="X123" s="361">
        <f>X103</f>
        <v>143.6374167</v>
      </c>
      <c r="Y123" s="399"/>
    </row>
    <row r="124">
      <c r="A124" s="458"/>
      <c r="C124" s="426"/>
      <c r="D124" s="425"/>
      <c r="E124" s="347"/>
      <c r="F124" s="371" t="s">
        <v>1525</v>
      </c>
      <c r="G124" s="301"/>
      <c r="H124" s="330"/>
      <c r="I124" s="329">
        <f>SUM(I120:I123)</f>
        <v>6680.626724</v>
      </c>
      <c r="J124" s="347"/>
      <c r="K124" s="371" t="s">
        <v>1525</v>
      </c>
      <c r="L124" s="301"/>
      <c r="M124" s="330"/>
      <c r="N124" s="329">
        <f>SUM(N120:N123)</f>
        <v>6680.583772</v>
      </c>
      <c r="O124" s="347"/>
      <c r="P124" s="371" t="s">
        <v>1525</v>
      </c>
      <c r="Q124" s="301"/>
      <c r="R124" s="330"/>
      <c r="S124" s="329">
        <f>SUM(S120:S123)</f>
        <v>4978.920461</v>
      </c>
      <c r="T124" s="347"/>
      <c r="U124" s="371" t="s">
        <v>1525</v>
      </c>
      <c r="V124" s="301"/>
      <c r="W124" s="330"/>
      <c r="X124" s="329">
        <f>SUM(X120:X123)</f>
        <v>7325.40031</v>
      </c>
      <c r="Y124" s="399"/>
    </row>
    <row r="125">
      <c r="A125" s="410"/>
      <c r="B125" s="296"/>
      <c r="C125" s="426"/>
      <c r="D125" s="423"/>
      <c r="E125" s="347"/>
      <c r="F125" s="303" t="s">
        <v>1442</v>
      </c>
      <c r="G125" s="304" t="s">
        <v>1512</v>
      </c>
      <c r="H125" s="330"/>
      <c r="I125" s="323">
        <f>I110</f>
        <v>376.19</v>
      </c>
      <c r="J125" s="347"/>
      <c r="K125" s="303" t="s">
        <v>1442</v>
      </c>
      <c r="L125" s="304" t="s">
        <v>1512</v>
      </c>
      <c r="M125" s="330"/>
      <c r="N125" s="323">
        <f>N110</f>
        <v>379.63</v>
      </c>
      <c r="O125" s="347"/>
      <c r="P125" s="303" t="s">
        <v>1442</v>
      </c>
      <c r="Q125" s="304" t="s">
        <v>1512</v>
      </c>
      <c r="R125" s="330"/>
      <c r="S125" s="323">
        <f>S110</f>
        <v>346.14</v>
      </c>
      <c r="T125" s="347"/>
      <c r="U125" s="303" t="s">
        <v>1442</v>
      </c>
      <c r="V125" s="304" t="s">
        <v>1512</v>
      </c>
      <c r="W125" s="330"/>
      <c r="X125" s="323">
        <f>X110</f>
        <v>376.19</v>
      </c>
      <c r="Y125" s="399"/>
    </row>
    <row r="126">
      <c r="A126" s="458"/>
      <c r="C126" s="426"/>
      <c r="D126" s="425"/>
      <c r="E126" s="347"/>
      <c r="F126" s="371" t="s">
        <v>1526</v>
      </c>
      <c r="G126" s="301"/>
      <c r="H126" s="330"/>
      <c r="I126" s="329">
        <f>SUM(I125)</f>
        <v>376.19</v>
      </c>
      <c r="J126" s="347"/>
      <c r="K126" s="371" t="s">
        <v>1526</v>
      </c>
      <c r="L126" s="301"/>
      <c r="M126" s="330"/>
      <c r="N126" s="329">
        <f>SUM(N125)</f>
        <v>379.63</v>
      </c>
      <c r="O126" s="347"/>
      <c r="P126" s="371" t="s">
        <v>1526</v>
      </c>
      <c r="Q126" s="301"/>
      <c r="R126" s="330"/>
      <c r="S126" s="329">
        <f>SUM(S125)</f>
        <v>346.14</v>
      </c>
      <c r="T126" s="347"/>
      <c r="U126" s="371" t="s">
        <v>1526</v>
      </c>
      <c r="V126" s="301"/>
      <c r="W126" s="330"/>
      <c r="X126" s="329">
        <f>SUM(X125)</f>
        <v>376.19</v>
      </c>
      <c r="Y126" s="399"/>
    </row>
    <row r="127">
      <c r="A127" s="410"/>
      <c r="B127" s="296"/>
      <c r="C127" s="426"/>
      <c r="D127" s="423"/>
      <c r="E127" s="347"/>
      <c r="F127" s="303" t="s">
        <v>1444</v>
      </c>
      <c r="G127" s="304" t="s">
        <v>1527</v>
      </c>
      <c r="H127" s="330"/>
      <c r="I127" s="323">
        <f>I116</f>
        <v>1028.945072</v>
      </c>
      <c r="J127" s="347"/>
      <c r="K127" s="303" t="s">
        <v>1444</v>
      </c>
      <c r="L127" s="304" t="s">
        <v>1527</v>
      </c>
      <c r="M127" s="330"/>
      <c r="N127" s="323">
        <f>N116</f>
        <v>1029.267482</v>
      </c>
      <c r="O127" s="347"/>
      <c r="P127" s="303" t="s">
        <v>1444</v>
      </c>
      <c r="Q127" s="304" t="s">
        <v>1527</v>
      </c>
      <c r="R127" s="330"/>
      <c r="S127" s="323">
        <f>S116</f>
        <v>773.1362162</v>
      </c>
      <c r="T127" s="347"/>
      <c r="U127" s="303" t="s">
        <v>1444</v>
      </c>
      <c r="V127" s="304" t="s">
        <v>1527</v>
      </c>
      <c r="W127" s="330"/>
      <c r="X127" s="323">
        <f>X116</f>
        <v>1124.782351</v>
      </c>
      <c r="Y127" s="399"/>
    </row>
    <row r="128">
      <c r="A128" s="458"/>
      <c r="C128" s="426"/>
      <c r="D128" s="425"/>
      <c r="E128" s="347"/>
      <c r="F128" s="371" t="s">
        <v>1528</v>
      </c>
      <c r="G128" s="301"/>
      <c r="H128" s="330"/>
      <c r="I128" s="329">
        <f>SUM(I127)</f>
        <v>1028.945072</v>
      </c>
      <c r="J128" s="347"/>
      <c r="K128" s="371" t="s">
        <v>1528</v>
      </c>
      <c r="L128" s="301"/>
      <c r="M128" s="330"/>
      <c r="N128" s="329">
        <f>SUM(N127)</f>
        <v>1029.267482</v>
      </c>
      <c r="O128" s="347"/>
      <c r="P128" s="371" t="s">
        <v>1528</v>
      </c>
      <c r="Q128" s="301"/>
      <c r="R128" s="330"/>
      <c r="S128" s="329">
        <f>SUM(S127)</f>
        <v>773.1362162</v>
      </c>
      <c r="T128" s="347"/>
      <c r="U128" s="371" t="s">
        <v>1528</v>
      </c>
      <c r="V128" s="301"/>
      <c r="W128" s="330"/>
      <c r="X128" s="329">
        <f>SUM(X127)</f>
        <v>1124.782351</v>
      </c>
      <c r="Y128" s="399"/>
    </row>
    <row r="129">
      <c r="A129" s="290"/>
      <c r="B129" s="465"/>
      <c r="C129" s="426"/>
      <c r="D129" s="425"/>
      <c r="E129" s="347"/>
      <c r="F129" s="304"/>
      <c r="G129" s="378" t="s">
        <v>1529</v>
      </c>
      <c r="H129" s="330"/>
      <c r="I129" s="329">
        <f>SUM(I128,I126,I124)</f>
        <v>8085.761796</v>
      </c>
      <c r="J129" s="347"/>
      <c r="K129" s="304"/>
      <c r="L129" s="378" t="s">
        <v>1529</v>
      </c>
      <c r="M129" s="330"/>
      <c r="N129" s="329">
        <f>SUM(N128,N126,N124)</f>
        <v>8089.481253</v>
      </c>
      <c r="O129" s="347"/>
      <c r="P129" s="304"/>
      <c r="Q129" s="378" t="s">
        <v>1529</v>
      </c>
      <c r="R129" s="330"/>
      <c r="S129" s="329">
        <f>SUM(S128,S126,S124)</f>
        <v>6098.196677</v>
      </c>
      <c r="T129" s="347"/>
      <c r="U129" s="304"/>
      <c r="V129" s="378" t="s">
        <v>1529</v>
      </c>
      <c r="W129" s="330"/>
      <c r="X129" s="329">
        <f>SUM(X128,X126,X124)</f>
        <v>8826.372661</v>
      </c>
      <c r="Y129" s="399"/>
    </row>
    <row r="130">
      <c r="A130" s="293"/>
      <c r="B130" s="293"/>
      <c r="C130" s="293"/>
      <c r="D130" s="293"/>
      <c r="E130" s="347"/>
      <c r="F130" s="312"/>
      <c r="G130" s="312"/>
      <c r="H130" s="312"/>
      <c r="I130" s="312"/>
      <c r="J130" s="347"/>
      <c r="K130" s="312"/>
      <c r="L130" s="312"/>
      <c r="M130" s="312"/>
      <c r="N130" s="312"/>
      <c r="O130" s="347"/>
      <c r="P130" s="312"/>
      <c r="Q130" s="312"/>
      <c r="R130" s="312"/>
      <c r="S130" s="312"/>
      <c r="T130" s="347"/>
      <c r="U130" s="312"/>
      <c r="V130" s="312"/>
      <c r="W130" s="312"/>
      <c r="X130" s="312"/>
      <c r="Y130" s="399"/>
    </row>
    <row r="131">
      <c r="A131" s="410"/>
      <c r="E131" s="347"/>
      <c r="F131" s="311" t="s">
        <v>1530</v>
      </c>
      <c r="I131" s="301"/>
      <c r="J131" s="347"/>
      <c r="K131" s="311" t="s">
        <v>1530</v>
      </c>
      <c r="N131" s="301"/>
      <c r="O131" s="347"/>
      <c r="P131" s="311" t="s">
        <v>1530</v>
      </c>
      <c r="S131" s="301"/>
      <c r="T131" s="347"/>
      <c r="U131" s="311" t="s">
        <v>1530</v>
      </c>
      <c r="X131" s="301"/>
      <c r="Y131" s="399"/>
    </row>
    <row r="132">
      <c r="A132" s="466"/>
      <c r="B132" s="410"/>
      <c r="C132" s="410"/>
      <c r="D132" s="410"/>
      <c r="E132" s="347"/>
      <c r="F132" s="379" t="s">
        <v>1531</v>
      </c>
      <c r="G132" s="328" t="s">
        <v>1532</v>
      </c>
      <c r="H132" s="303" t="s">
        <v>1533</v>
      </c>
      <c r="I132" s="303" t="s">
        <v>1534</v>
      </c>
      <c r="J132" s="347"/>
      <c r="K132" s="379" t="s">
        <v>1531</v>
      </c>
      <c r="L132" s="303" t="s">
        <v>1532</v>
      </c>
      <c r="M132" s="303" t="s">
        <v>1533</v>
      </c>
      <c r="N132" s="303" t="s">
        <v>1534</v>
      </c>
      <c r="O132" s="347"/>
      <c r="P132" s="379" t="s">
        <v>1531</v>
      </c>
      <c r="Q132" s="328" t="s">
        <v>1532</v>
      </c>
      <c r="R132" s="303" t="s">
        <v>1533</v>
      </c>
      <c r="S132" s="303" t="s">
        <v>1534</v>
      </c>
      <c r="T132" s="347"/>
      <c r="U132" s="379" t="s">
        <v>1531</v>
      </c>
      <c r="V132" s="303" t="s">
        <v>1532</v>
      </c>
      <c r="W132" s="303" t="s">
        <v>1533</v>
      </c>
      <c r="X132" s="303" t="s">
        <v>1534</v>
      </c>
      <c r="Y132" s="399"/>
    </row>
    <row r="133">
      <c r="A133" s="466"/>
      <c r="B133" s="451"/>
      <c r="C133" s="410"/>
      <c r="D133" s="451"/>
      <c r="E133" s="347"/>
      <c r="F133" s="380" t="s">
        <v>1605</v>
      </c>
      <c r="G133" s="381">
        <f>I129</f>
        <v>8085.761796</v>
      </c>
      <c r="H133" s="382">
        <v>1.0</v>
      </c>
      <c r="I133" s="381">
        <f>I129</f>
        <v>8085.761796</v>
      </c>
      <c r="J133" s="347"/>
      <c r="K133" s="380" t="s">
        <v>1606</v>
      </c>
      <c r="L133" s="381">
        <f>N129</f>
        <v>8089.481253</v>
      </c>
      <c r="M133" s="382">
        <v>1.0</v>
      </c>
      <c r="N133" s="381">
        <f>L133*M133</f>
        <v>8089.481253</v>
      </c>
      <c r="O133" s="347"/>
      <c r="P133" s="380" t="s">
        <v>1607</v>
      </c>
      <c r="Q133" s="467">
        <f>S129</f>
        <v>6098.196677</v>
      </c>
      <c r="R133" s="468">
        <v>1.0</v>
      </c>
      <c r="S133" s="467">
        <f>S129</f>
        <v>6098.196677</v>
      </c>
      <c r="T133" s="347"/>
      <c r="U133" s="380" t="s">
        <v>1608</v>
      </c>
      <c r="V133" s="381">
        <f>X129</f>
        <v>8826.372661</v>
      </c>
      <c r="W133" s="382">
        <f>W17</f>
        <v>1</v>
      </c>
      <c r="X133" s="381">
        <f>V133*W133</f>
        <v>8826.372661</v>
      </c>
      <c r="Y133" s="399"/>
    </row>
    <row r="134">
      <c r="A134" s="293"/>
      <c r="B134" s="423"/>
      <c r="C134" s="270"/>
      <c r="E134" s="347"/>
      <c r="F134" s="318"/>
      <c r="G134" s="323"/>
      <c r="H134" s="312"/>
      <c r="I134" s="361"/>
      <c r="J134" s="347"/>
      <c r="K134" s="318"/>
      <c r="L134" s="323"/>
      <c r="M134" s="312"/>
      <c r="N134" s="361"/>
      <c r="O134" s="347"/>
      <c r="P134" s="318"/>
      <c r="Q134" s="323"/>
      <c r="R134" s="312"/>
      <c r="S134" s="361"/>
      <c r="T134" s="347"/>
      <c r="U134" s="318"/>
      <c r="V134" s="323"/>
      <c r="W134" s="312"/>
      <c r="X134" s="361"/>
      <c r="Y134" s="399"/>
    </row>
    <row r="135">
      <c r="A135" s="410"/>
      <c r="E135" s="347"/>
      <c r="F135" s="311" t="s">
        <v>1536</v>
      </c>
      <c r="I135" s="301"/>
      <c r="J135" s="347"/>
      <c r="K135" s="311" t="s">
        <v>1536</v>
      </c>
      <c r="N135" s="301"/>
      <c r="O135" s="347"/>
      <c r="P135" s="311" t="s">
        <v>1536</v>
      </c>
      <c r="S135" s="301"/>
      <c r="T135" s="347"/>
      <c r="U135" s="311" t="s">
        <v>1536</v>
      </c>
      <c r="X135" s="301"/>
      <c r="Y135" s="399"/>
    </row>
    <row r="136">
      <c r="A136" s="290"/>
      <c r="B136" s="469"/>
      <c r="D136" s="416"/>
      <c r="E136" s="347"/>
      <c r="F136" s="318"/>
      <c r="G136" s="383" t="s">
        <v>1537</v>
      </c>
      <c r="H136" s="301"/>
      <c r="I136" s="313" t="s">
        <v>1538</v>
      </c>
      <c r="J136" s="347"/>
      <c r="K136" s="318"/>
      <c r="L136" s="383" t="s">
        <v>1537</v>
      </c>
      <c r="M136" s="301"/>
      <c r="N136" s="313" t="s">
        <v>1538</v>
      </c>
      <c r="O136" s="347"/>
      <c r="P136" s="318"/>
      <c r="Q136" s="383" t="s">
        <v>1537</v>
      </c>
      <c r="R136" s="301"/>
      <c r="S136" s="313" t="s">
        <v>1538</v>
      </c>
      <c r="T136" s="347"/>
      <c r="U136" s="318"/>
      <c r="V136" s="383" t="s">
        <v>1537</v>
      </c>
      <c r="W136" s="301"/>
      <c r="X136" s="313" t="s">
        <v>1538</v>
      </c>
      <c r="Y136" s="399"/>
    </row>
    <row r="137">
      <c r="A137" s="470"/>
      <c r="B137" s="471"/>
      <c r="C137" s="444"/>
      <c r="D137" s="472"/>
      <c r="E137" s="347"/>
      <c r="F137" s="384" t="s">
        <v>1408</v>
      </c>
      <c r="G137" s="385" t="s">
        <v>1539</v>
      </c>
      <c r="H137" s="357"/>
      <c r="I137" s="386">
        <f>I133</f>
        <v>8085.761796</v>
      </c>
      <c r="J137" s="347"/>
      <c r="K137" s="384" t="s">
        <v>1408</v>
      </c>
      <c r="L137" s="385" t="s">
        <v>1539</v>
      </c>
      <c r="M137" s="357"/>
      <c r="N137" s="386">
        <f>N133</f>
        <v>8089.481253</v>
      </c>
      <c r="O137" s="347"/>
      <c r="P137" s="384" t="s">
        <v>1408</v>
      </c>
      <c r="Q137" s="385" t="s">
        <v>1539</v>
      </c>
      <c r="R137" s="357"/>
      <c r="S137" s="386">
        <f>S133</f>
        <v>6098.196677</v>
      </c>
      <c r="T137" s="347"/>
      <c r="U137" s="384" t="s">
        <v>1408</v>
      </c>
      <c r="V137" s="385" t="s">
        <v>1539</v>
      </c>
      <c r="W137" s="357"/>
      <c r="X137" s="386">
        <f>X133</f>
        <v>8826.372661</v>
      </c>
      <c r="Y137" s="399"/>
    </row>
    <row r="138">
      <c r="A138" s="470"/>
      <c r="B138" s="471"/>
      <c r="C138" s="444"/>
      <c r="D138" s="472"/>
      <c r="E138" s="347"/>
      <c r="F138" s="384" t="s">
        <v>1410</v>
      </c>
      <c r="G138" s="385" t="s">
        <v>1540</v>
      </c>
      <c r="H138" s="357"/>
      <c r="I138" s="386">
        <f>I137</f>
        <v>8085.761796</v>
      </c>
      <c r="J138" s="347"/>
      <c r="K138" s="384" t="s">
        <v>1410</v>
      </c>
      <c r="L138" s="473" t="s">
        <v>1540</v>
      </c>
      <c r="M138" s="301"/>
      <c r="N138" s="386">
        <f>N137</f>
        <v>8089.481253</v>
      </c>
      <c r="O138" s="347"/>
      <c r="P138" s="384" t="s">
        <v>1410</v>
      </c>
      <c r="Q138" s="385" t="s">
        <v>1540</v>
      </c>
      <c r="R138" s="357"/>
      <c r="S138" s="386">
        <f>S137</f>
        <v>6098.196677</v>
      </c>
      <c r="T138" s="347"/>
      <c r="U138" s="384" t="s">
        <v>1410</v>
      </c>
      <c r="V138" s="385" t="s">
        <v>1540</v>
      </c>
      <c r="W138" s="385"/>
      <c r="X138" s="386">
        <f>X137</f>
        <v>8826.372661</v>
      </c>
      <c r="Y138" s="399"/>
    </row>
    <row r="139">
      <c r="A139" s="474"/>
      <c r="B139" s="471"/>
      <c r="C139" s="444"/>
      <c r="D139" s="417"/>
      <c r="E139" s="347"/>
      <c r="F139" s="387" t="s">
        <v>1413</v>
      </c>
      <c r="G139" s="388" t="s">
        <v>1541</v>
      </c>
      <c r="H139" s="389"/>
      <c r="I139" s="390">
        <f>12*I138</f>
        <v>97029.14155</v>
      </c>
      <c r="J139" s="347"/>
      <c r="K139" s="387" t="s">
        <v>1413</v>
      </c>
      <c r="L139" s="475" t="s">
        <v>1541</v>
      </c>
      <c r="M139" s="301"/>
      <c r="N139" s="390">
        <f>12*N138</f>
        <v>97073.77504</v>
      </c>
      <c r="O139" s="347"/>
      <c r="P139" s="387" t="s">
        <v>1413</v>
      </c>
      <c r="Q139" s="388" t="s">
        <v>1541</v>
      </c>
      <c r="R139" s="389"/>
      <c r="S139" s="390">
        <f>12*S138</f>
        <v>73178.36013</v>
      </c>
      <c r="T139" s="347"/>
      <c r="U139" s="387" t="s">
        <v>1413</v>
      </c>
      <c r="V139" s="475" t="s">
        <v>1541</v>
      </c>
      <c r="W139" s="301"/>
      <c r="X139" s="390">
        <f>12*X138</f>
        <v>105916.4719</v>
      </c>
      <c r="Y139" s="399"/>
    </row>
    <row r="140">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399"/>
    </row>
    <row r="141">
      <c r="A141" s="391"/>
      <c r="B141" s="391"/>
      <c r="C141" s="391"/>
      <c r="D141" s="391"/>
      <c r="E141" s="290"/>
      <c r="F141" s="392" t="s">
        <v>1542</v>
      </c>
      <c r="G141" s="44"/>
      <c r="H141" s="44"/>
      <c r="I141" s="44"/>
      <c r="J141" s="44"/>
      <c r="K141" s="44"/>
      <c r="L141" s="44"/>
      <c r="M141" s="44"/>
      <c r="N141" s="320"/>
      <c r="O141" s="290"/>
      <c r="P141" s="290"/>
      <c r="Q141" s="290"/>
      <c r="R141" s="290"/>
      <c r="S141" s="290"/>
      <c r="T141" s="290"/>
      <c r="U141" s="290"/>
      <c r="V141" s="290"/>
      <c r="W141" s="290"/>
      <c r="X141" s="290"/>
      <c r="Y141" s="399"/>
    </row>
    <row r="142">
      <c r="F142" s="393" t="s">
        <v>1449</v>
      </c>
      <c r="G142" s="36"/>
      <c r="H142" s="36"/>
      <c r="I142" s="36"/>
      <c r="J142" s="36"/>
      <c r="K142" s="36"/>
      <c r="L142" s="36"/>
      <c r="M142" s="36"/>
      <c r="N142" s="189"/>
      <c r="O142" s="290"/>
      <c r="P142" s="290"/>
      <c r="Q142" s="290"/>
      <c r="R142" s="290"/>
      <c r="S142" s="290"/>
      <c r="T142" s="290"/>
      <c r="U142" s="290"/>
      <c r="V142" s="290"/>
      <c r="W142" s="290"/>
      <c r="X142" s="290"/>
      <c r="Y142" s="399"/>
    </row>
    <row r="143">
      <c r="F143" s="393" t="s">
        <v>1451</v>
      </c>
      <c r="G143" s="36"/>
      <c r="H143" s="36"/>
      <c r="I143" s="36"/>
      <c r="J143" s="36"/>
      <c r="K143" s="36"/>
      <c r="L143" s="36"/>
      <c r="M143" s="36"/>
      <c r="N143" s="189"/>
      <c r="O143" s="290"/>
      <c r="P143" s="290"/>
      <c r="Q143" s="290"/>
      <c r="R143" s="290"/>
      <c r="S143" s="290"/>
      <c r="T143" s="290"/>
      <c r="U143" s="290"/>
      <c r="V143" s="290"/>
      <c r="W143" s="290"/>
      <c r="X143" s="290"/>
      <c r="Y143" s="399"/>
    </row>
    <row r="144">
      <c r="F144" s="394" t="s">
        <v>1408</v>
      </c>
      <c r="G144" s="395" t="s">
        <v>1543</v>
      </c>
      <c r="H144" s="36"/>
      <c r="I144" s="36"/>
      <c r="J144" s="36"/>
      <c r="K144" s="36"/>
      <c r="L144" s="36"/>
      <c r="M144" s="36"/>
      <c r="N144" s="189"/>
      <c r="O144" s="290"/>
      <c r="P144" s="290"/>
      <c r="Q144" s="290"/>
      <c r="R144" s="290"/>
      <c r="S144" s="290"/>
      <c r="T144" s="290"/>
      <c r="U144" s="290"/>
      <c r="V144" s="290"/>
      <c r="W144" s="290"/>
      <c r="X144" s="290"/>
      <c r="Y144" s="399"/>
    </row>
    <row r="145">
      <c r="F145" s="394" t="s">
        <v>1544</v>
      </c>
      <c r="G145" s="395" t="s">
        <v>1545</v>
      </c>
      <c r="H145" s="36"/>
      <c r="I145" s="36"/>
      <c r="J145" s="36"/>
      <c r="K145" s="36"/>
      <c r="L145" s="36"/>
      <c r="M145" s="36"/>
      <c r="N145" s="189"/>
      <c r="O145" s="290"/>
      <c r="P145" s="290"/>
      <c r="Q145" s="290"/>
      <c r="R145" s="290"/>
      <c r="S145" s="290"/>
      <c r="T145" s="290"/>
      <c r="U145" s="290"/>
      <c r="V145" s="290"/>
      <c r="W145" s="290"/>
      <c r="X145" s="290"/>
      <c r="Y145" s="399"/>
    </row>
    <row r="146">
      <c r="F146" s="393" t="s">
        <v>1546</v>
      </c>
      <c r="G146" s="36"/>
      <c r="H146" s="36"/>
      <c r="I146" s="36"/>
      <c r="J146" s="36"/>
      <c r="K146" s="36"/>
      <c r="L146" s="36"/>
      <c r="M146" s="36"/>
      <c r="N146" s="189"/>
      <c r="O146" s="290"/>
      <c r="P146" s="290"/>
      <c r="Q146" s="290"/>
      <c r="R146" s="290"/>
      <c r="S146" s="290"/>
      <c r="T146" s="290"/>
      <c r="U146" s="290"/>
      <c r="V146" s="290"/>
      <c r="W146" s="290"/>
      <c r="X146" s="290"/>
      <c r="Y146" s="399"/>
    </row>
    <row r="147">
      <c r="F147" s="394" t="s">
        <v>1408</v>
      </c>
      <c r="G147" s="396" t="s">
        <v>1547</v>
      </c>
      <c r="H147" s="36"/>
      <c r="I147" s="36"/>
      <c r="J147" s="36"/>
      <c r="K147" s="36"/>
      <c r="L147" s="36"/>
      <c r="M147" s="36"/>
      <c r="N147" s="189"/>
      <c r="O147" s="290"/>
      <c r="P147" s="290"/>
      <c r="Q147" s="290"/>
      <c r="R147" s="290"/>
      <c r="S147" s="290"/>
      <c r="T147" s="290"/>
      <c r="U147" s="290"/>
      <c r="V147" s="290"/>
      <c r="W147" s="290"/>
      <c r="X147" s="290"/>
      <c r="Y147" s="399"/>
    </row>
    <row r="148">
      <c r="F148" s="394" t="s">
        <v>1410</v>
      </c>
      <c r="G148" s="395" t="s">
        <v>1548</v>
      </c>
      <c r="H148" s="36"/>
      <c r="I148" s="36"/>
      <c r="J148" s="36"/>
      <c r="K148" s="36"/>
      <c r="L148" s="36"/>
      <c r="M148" s="36"/>
      <c r="N148" s="189"/>
      <c r="O148" s="290"/>
      <c r="P148" s="290"/>
      <c r="Q148" s="290"/>
      <c r="R148" s="290"/>
      <c r="S148" s="290"/>
      <c r="T148" s="290"/>
      <c r="U148" s="290"/>
      <c r="V148" s="290"/>
      <c r="W148" s="290"/>
      <c r="X148" s="290"/>
      <c r="Y148" s="399"/>
    </row>
    <row r="149">
      <c r="F149" s="394" t="s">
        <v>1413</v>
      </c>
      <c r="G149" s="395" t="s">
        <v>1549</v>
      </c>
      <c r="H149" s="36"/>
      <c r="I149" s="36"/>
      <c r="J149" s="36"/>
      <c r="K149" s="36"/>
      <c r="L149" s="36"/>
      <c r="M149" s="36"/>
      <c r="N149" s="189"/>
      <c r="O149" s="290"/>
      <c r="P149" s="290"/>
      <c r="Q149" s="290"/>
      <c r="R149" s="290"/>
      <c r="S149" s="290"/>
      <c r="T149" s="290"/>
      <c r="U149" s="290"/>
      <c r="V149" s="290"/>
      <c r="W149" s="290"/>
      <c r="X149" s="290"/>
      <c r="Y149" s="399"/>
    </row>
    <row r="150">
      <c r="F150" s="394" t="s">
        <v>1416</v>
      </c>
      <c r="G150" s="395" t="s">
        <v>1550</v>
      </c>
      <c r="H150" s="36"/>
      <c r="I150" s="36"/>
      <c r="J150" s="36"/>
      <c r="K150" s="36"/>
      <c r="L150" s="36"/>
      <c r="M150" s="36"/>
      <c r="N150" s="189"/>
      <c r="O150" s="290"/>
      <c r="P150" s="290"/>
      <c r="Q150" s="290"/>
      <c r="R150" s="290"/>
      <c r="S150" s="290"/>
      <c r="T150" s="290"/>
      <c r="U150" s="290"/>
      <c r="V150" s="290"/>
      <c r="W150" s="290"/>
      <c r="X150" s="290"/>
      <c r="Y150" s="399"/>
    </row>
    <row r="151">
      <c r="F151" s="394" t="s">
        <v>1442</v>
      </c>
      <c r="G151" s="395" t="s">
        <v>1551</v>
      </c>
      <c r="H151" s="36"/>
      <c r="I151" s="36"/>
      <c r="J151" s="36"/>
      <c r="K151" s="36"/>
      <c r="L151" s="36"/>
      <c r="M151" s="36"/>
      <c r="N151" s="189"/>
      <c r="O151" s="290"/>
      <c r="P151" s="290"/>
      <c r="Q151" s="290"/>
      <c r="R151" s="290"/>
      <c r="S151" s="290"/>
      <c r="T151" s="290"/>
      <c r="U151" s="290"/>
      <c r="V151" s="290"/>
      <c r="W151" s="290"/>
      <c r="X151" s="290"/>
      <c r="Y151" s="399"/>
    </row>
    <row r="152">
      <c r="F152" s="394" t="s">
        <v>1444</v>
      </c>
      <c r="G152" s="395" t="s">
        <v>1552</v>
      </c>
      <c r="H152" s="36"/>
      <c r="I152" s="36"/>
      <c r="J152" s="36"/>
      <c r="K152" s="36"/>
      <c r="L152" s="36"/>
      <c r="M152" s="36"/>
      <c r="N152" s="189"/>
      <c r="O152" s="290"/>
      <c r="P152" s="290"/>
      <c r="Q152" s="290"/>
      <c r="R152" s="290"/>
      <c r="S152" s="290"/>
      <c r="T152" s="290"/>
      <c r="U152" s="290"/>
      <c r="V152" s="290"/>
      <c r="W152" s="290"/>
      <c r="X152" s="290"/>
      <c r="Y152" s="399"/>
    </row>
    <row r="153">
      <c r="F153" s="394" t="s">
        <v>1446</v>
      </c>
      <c r="G153" s="395" t="s">
        <v>1553</v>
      </c>
      <c r="H153" s="36"/>
      <c r="I153" s="36"/>
      <c r="J153" s="36"/>
      <c r="K153" s="36"/>
      <c r="L153" s="36"/>
      <c r="M153" s="36"/>
      <c r="N153" s="189"/>
      <c r="O153" s="290"/>
      <c r="P153" s="290"/>
      <c r="Q153" s="290"/>
      <c r="R153" s="290"/>
      <c r="S153" s="290"/>
      <c r="T153" s="290"/>
      <c r="U153" s="290"/>
      <c r="V153" s="290"/>
      <c r="W153" s="290"/>
      <c r="X153" s="290"/>
      <c r="Y153" s="399"/>
    </row>
    <row r="154">
      <c r="F154" s="394" t="s">
        <v>1470</v>
      </c>
      <c r="G154" s="395" t="s">
        <v>1554</v>
      </c>
      <c r="H154" s="36"/>
      <c r="I154" s="36"/>
      <c r="J154" s="36"/>
      <c r="K154" s="36"/>
      <c r="L154" s="36"/>
      <c r="M154" s="36"/>
      <c r="N154" s="189"/>
      <c r="O154" s="290"/>
      <c r="P154" s="290"/>
      <c r="Q154" s="290"/>
      <c r="R154" s="290"/>
      <c r="S154" s="290"/>
      <c r="T154" s="290"/>
      <c r="U154" s="290"/>
      <c r="V154" s="290"/>
      <c r="W154" s="290"/>
      <c r="X154" s="290"/>
      <c r="Y154" s="399"/>
    </row>
    <row r="155">
      <c r="F155" s="393" t="s">
        <v>1491</v>
      </c>
      <c r="G155" s="36"/>
      <c r="H155" s="36"/>
      <c r="I155" s="36"/>
      <c r="J155" s="36"/>
      <c r="K155" s="36"/>
      <c r="L155" s="36"/>
      <c r="M155" s="36"/>
      <c r="N155" s="189"/>
      <c r="O155" s="290"/>
      <c r="P155" s="290"/>
      <c r="Q155" s="290"/>
      <c r="R155" s="290"/>
      <c r="S155" s="290"/>
      <c r="T155" s="290"/>
      <c r="U155" s="290"/>
      <c r="V155" s="290"/>
      <c r="W155" s="290"/>
      <c r="X155" s="290"/>
      <c r="Y155" s="399"/>
    </row>
    <row r="156">
      <c r="F156" s="394" t="s">
        <v>1408</v>
      </c>
      <c r="G156" s="395" t="s">
        <v>1555</v>
      </c>
      <c r="H156" s="36"/>
      <c r="I156" s="36"/>
      <c r="J156" s="36"/>
      <c r="K156" s="36"/>
      <c r="L156" s="36"/>
      <c r="M156" s="36"/>
      <c r="N156" s="189"/>
      <c r="O156" s="290"/>
      <c r="P156" s="290"/>
      <c r="Q156" s="290"/>
      <c r="R156" s="290"/>
      <c r="S156" s="290"/>
      <c r="T156" s="290"/>
      <c r="U156" s="290"/>
      <c r="V156" s="290"/>
      <c r="W156" s="290"/>
      <c r="X156" s="290"/>
      <c r="Y156" s="399"/>
    </row>
    <row r="157">
      <c r="F157" s="394" t="s">
        <v>1410</v>
      </c>
      <c r="G157" s="395" t="s">
        <v>1556</v>
      </c>
      <c r="H157" s="36"/>
      <c r="I157" s="36"/>
      <c r="J157" s="36"/>
      <c r="K157" s="36"/>
      <c r="L157" s="36"/>
      <c r="M157" s="36"/>
      <c r="N157" s="189"/>
      <c r="O157" s="290"/>
      <c r="P157" s="290"/>
      <c r="Q157" s="290"/>
      <c r="R157" s="290"/>
      <c r="S157" s="290"/>
      <c r="T157" s="290"/>
      <c r="U157" s="290"/>
      <c r="V157" s="290"/>
      <c r="W157" s="290"/>
      <c r="X157" s="290"/>
      <c r="Y157" s="399"/>
    </row>
    <row r="158">
      <c r="F158" s="394" t="s">
        <v>1413</v>
      </c>
      <c r="G158" s="395" t="s">
        <v>1557</v>
      </c>
      <c r="H158" s="36"/>
      <c r="I158" s="36"/>
      <c r="J158" s="36"/>
      <c r="K158" s="36"/>
      <c r="L158" s="36"/>
      <c r="M158" s="36"/>
      <c r="N158" s="189"/>
      <c r="O158" s="290"/>
      <c r="P158" s="290"/>
      <c r="Q158" s="290"/>
      <c r="R158" s="290"/>
      <c r="S158" s="290"/>
      <c r="T158" s="290"/>
      <c r="U158" s="290"/>
      <c r="V158" s="290"/>
      <c r="W158" s="290"/>
      <c r="X158" s="290"/>
      <c r="Y158" s="399"/>
    </row>
    <row r="159">
      <c r="F159" s="394" t="s">
        <v>1416</v>
      </c>
      <c r="G159" s="395" t="s">
        <v>1558</v>
      </c>
      <c r="H159" s="36"/>
      <c r="I159" s="36"/>
      <c r="J159" s="36"/>
      <c r="K159" s="36"/>
      <c r="L159" s="36"/>
      <c r="M159" s="36"/>
      <c r="N159" s="189"/>
      <c r="O159" s="290"/>
      <c r="P159" s="290"/>
      <c r="Q159" s="290"/>
      <c r="R159" s="290"/>
      <c r="S159" s="290"/>
      <c r="T159" s="290"/>
      <c r="U159" s="290"/>
      <c r="V159" s="290"/>
      <c r="W159" s="290"/>
      <c r="X159" s="290"/>
      <c r="Y159" s="399"/>
    </row>
    <row r="160">
      <c r="F160" s="394" t="s">
        <v>1442</v>
      </c>
      <c r="G160" s="395" t="s">
        <v>1559</v>
      </c>
      <c r="H160" s="36"/>
      <c r="I160" s="36"/>
      <c r="J160" s="36"/>
      <c r="K160" s="36"/>
      <c r="L160" s="36"/>
      <c r="M160" s="36"/>
      <c r="N160" s="189"/>
      <c r="O160" s="290"/>
      <c r="P160" s="290"/>
      <c r="Q160" s="290"/>
      <c r="R160" s="290"/>
      <c r="S160" s="290"/>
      <c r="T160" s="290"/>
      <c r="U160" s="290"/>
      <c r="V160" s="290"/>
      <c r="W160" s="290"/>
      <c r="X160" s="290"/>
      <c r="Y160" s="399"/>
    </row>
    <row r="161">
      <c r="F161" s="394" t="s">
        <v>1444</v>
      </c>
      <c r="G161" s="395" t="s">
        <v>1560</v>
      </c>
      <c r="H161" s="36"/>
      <c r="I161" s="36"/>
      <c r="J161" s="36"/>
      <c r="K161" s="36"/>
      <c r="L161" s="36"/>
      <c r="M161" s="36"/>
      <c r="N161" s="189"/>
      <c r="O161" s="290"/>
      <c r="P161" s="290"/>
      <c r="Q161" s="290"/>
      <c r="R161" s="290"/>
      <c r="S161" s="290"/>
      <c r="T161" s="290"/>
      <c r="U161" s="290"/>
      <c r="V161" s="290"/>
      <c r="W161" s="290"/>
      <c r="X161" s="290"/>
      <c r="Y161" s="399"/>
    </row>
    <row r="162">
      <c r="F162" s="397" t="s">
        <v>1498</v>
      </c>
      <c r="G162" s="36"/>
      <c r="H162" s="36"/>
      <c r="I162" s="36"/>
      <c r="J162" s="36"/>
      <c r="K162" s="36"/>
      <c r="L162" s="36"/>
      <c r="M162" s="36"/>
      <c r="N162" s="189"/>
      <c r="O162" s="290"/>
      <c r="P162" s="290"/>
      <c r="Q162" s="290"/>
      <c r="R162" s="290"/>
      <c r="S162" s="290"/>
      <c r="T162" s="290"/>
      <c r="U162" s="290"/>
      <c r="V162" s="290"/>
      <c r="W162" s="290"/>
      <c r="X162" s="290"/>
      <c r="Y162" s="399"/>
    </row>
    <row r="163">
      <c r="F163" s="393" t="s">
        <v>1561</v>
      </c>
      <c r="G163" s="36"/>
      <c r="H163" s="36"/>
      <c r="I163" s="36"/>
      <c r="J163" s="36"/>
      <c r="K163" s="36"/>
      <c r="L163" s="36"/>
      <c r="M163" s="36"/>
      <c r="N163" s="189"/>
      <c r="O163" s="290"/>
      <c r="P163" s="290"/>
      <c r="Q163" s="290"/>
      <c r="R163" s="290"/>
      <c r="S163" s="290"/>
      <c r="T163" s="290"/>
      <c r="U163" s="290"/>
      <c r="V163" s="290"/>
      <c r="W163" s="290"/>
      <c r="X163" s="290"/>
      <c r="Y163" s="399"/>
    </row>
    <row r="164">
      <c r="F164" s="394" t="s">
        <v>1408</v>
      </c>
      <c r="G164" s="395" t="s">
        <v>1562</v>
      </c>
      <c r="H164" s="36"/>
      <c r="I164" s="36"/>
      <c r="J164" s="36"/>
      <c r="K164" s="36"/>
      <c r="L164" s="36"/>
      <c r="M164" s="36"/>
      <c r="N164" s="189"/>
      <c r="O164" s="290"/>
      <c r="P164" s="290"/>
      <c r="Q164" s="290"/>
      <c r="R164" s="290"/>
      <c r="S164" s="290"/>
      <c r="T164" s="290"/>
      <c r="U164" s="290"/>
      <c r="V164" s="290"/>
      <c r="W164" s="290"/>
      <c r="X164" s="290"/>
      <c r="Y164" s="399"/>
    </row>
    <row r="165">
      <c r="F165" s="394" t="s">
        <v>1410</v>
      </c>
      <c r="G165" s="395" t="s">
        <v>1563</v>
      </c>
      <c r="H165" s="36"/>
      <c r="I165" s="36"/>
      <c r="J165" s="36"/>
      <c r="K165" s="36"/>
      <c r="L165" s="36"/>
      <c r="M165" s="36"/>
      <c r="N165" s="189"/>
      <c r="O165" s="290"/>
      <c r="P165" s="290"/>
      <c r="Q165" s="290"/>
      <c r="R165" s="290"/>
      <c r="S165" s="290"/>
      <c r="T165" s="290"/>
      <c r="U165" s="290"/>
      <c r="V165" s="290"/>
      <c r="W165" s="290"/>
      <c r="X165" s="290"/>
      <c r="Y165" s="399"/>
    </row>
    <row r="166">
      <c r="F166" s="394" t="s">
        <v>1413</v>
      </c>
      <c r="G166" s="395" t="s">
        <v>1564</v>
      </c>
      <c r="H166" s="36"/>
      <c r="I166" s="36"/>
      <c r="J166" s="36"/>
      <c r="K166" s="36"/>
      <c r="L166" s="36"/>
      <c r="M166" s="36"/>
      <c r="N166" s="189"/>
      <c r="O166" s="290"/>
      <c r="P166" s="290"/>
      <c r="Q166" s="290"/>
      <c r="R166" s="290"/>
      <c r="S166" s="290"/>
      <c r="T166" s="290"/>
      <c r="U166" s="290"/>
      <c r="V166" s="290"/>
      <c r="W166" s="290"/>
      <c r="X166" s="290"/>
      <c r="Y166" s="399"/>
    </row>
    <row r="167">
      <c r="F167" s="394" t="s">
        <v>1416</v>
      </c>
      <c r="G167" s="395" t="s">
        <v>1565</v>
      </c>
      <c r="H167" s="36"/>
      <c r="I167" s="36"/>
      <c r="J167" s="36"/>
      <c r="K167" s="36"/>
      <c r="L167" s="36"/>
      <c r="M167" s="36"/>
      <c r="N167" s="189"/>
      <c r="O167" s="290"/>
      <c r="P167" s="290"/>
      <c r="Q167" s="290"/>
      <c r="R167" s="290"/>
      <c r="S167" s="290"/>
      <c r="T167" s="290"/>
      <c r="U167" s="290"/>
      <c r="V167" s="290"/>
      <c r="W167" s="290"/>
      <c r="X167" s="290"/>
      <c r="Y167" s="399"/>
    </row>
    <row r="168">
      <c r="F168" s="394" t="s">
        <v>1442</v>
      </c>
      <c r="G168" s="395" t="s">
        <v>1566</v>
      </c>
      <c r="H168" s="36"/>
      <c r="I168" s="36"/>
      <c r="J168" s="36"/>
      <c r="K168" s="36"/>
      <c r="L168" s="36"/>
      <c r="M168" s="36"/>
      <c r="N168" s="189"/>
      <c r="O168" s="290"/>
      <c r="P168" s="290"/>
      <c r="Q168" s="290"/>
      <c r="R168" s="290"/>
      <c r="S168" s="290"/>
      <c r="T168" s="290"/>
      <c r="U168" s="290"/>
      <c r="V168" s="290"/>
      <c r="W168" s="290"/>
      <c r="X168" s="290"/>
      <c r="Y168" s="399"/>
    </row>
    <row r="169">
      <c r="F169" s="394" t="s">
        <v>1446</v>
      </c>
      <c r="G169" s="395" t="s">
        <v>1567</v>
      </c>
      <c r="H169" s="36"/>
      <c r="I169" s="36"/>
      <c r="J169" s="36"/>
      <c r="K169" s="36"/>
      <c r="L169" s="36"/>
      <c r="M169" s="36"/>
      <c r="N169" s="189"/>
      <c r="O169" s="290"/>
      <c r="P169" s="290"/>
      <c r="Q169" s="290"/>
      <c r="R169" s="290"/>
      <c r="S169" s="290"/>
      <c r="T169" s="290"/>
      <c r="U169" s="290"/>
      <c r="V169" s="290"/>
      <c r="W169" s="290"/>
      <c r="X169" s="290"/>
      <c r="Y169" s="399"/>
    </row>
    <row r="170">
      <c r="J170" s="290"/>
      <c r="K170" s="290"/>
      <c r="L170" s="290"/>
      <c r="M170" s="290"/>
      <c r="N170" s="290"/>
      <c r="O170" s="290"/>
      <c r="P170" s="290"/>
      <c r="Q170" s="290"/>
      <c r="R170" s="290"/>
      <c r="S170" s="290"/>
      <c r="T170" s="290"/>
      <c r="U170" s="290"/>
      <c r="V170" s="290"/>
      <c r="W170" s="290"/>
      <c r="X170" s="290"/>
      <c r="Y170" s="399"/>
    </row>
    <row r="17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399"/>
    </row>
    <row r="172">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row>
    <row r="173">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row>
    <row r="174">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row>
    <row r="175">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row>
    <row r="176">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row>
    <row r="177">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row>
    <row r="178">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row>
    <row r="179">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row>
    <row r="180">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row>
    <row r="18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row>
    <row r="182">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row>
    <row r="183">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row>
    <row r="184">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row>
    <row r="185">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row>
    <row r="186">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row>
    <row r="187">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row>
    <row r="188">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row>
    <row r="189">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row>
    <row r="190">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row>
    <row r="19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row>
    <row r="192">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row>
    <row r="193">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row>
    <row r="194">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row>
    <row r="195">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row>
    <row r="196">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row>
    <row r="197">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row>
    <row r="198">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row>
    <row r="199">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row>
    <row r="200">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row>
    <row r="20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row>
    <row r="202">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row>
    <row r="203">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row>
    <row r="204">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row>
    <row r="205">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row>
    <row r="206">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row>
    <row r="207">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row>
    <row r="208">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row>
    <row r="209">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row>
    <row r="210">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row>
    <row r="21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row>
    <row r="212">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row>
    <row r="213">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row>
    <row r="214">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row>
    <row r="215">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row>
    <row r="216">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row>
    <row r="217">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row>
    <row r="218">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row>
    <row r="219">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row>
    <row r="220">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row>
    <row r="22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row>
    <row r="222">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row>
    <row r="223">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row>
    <row r="224">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row>
    <row r="225">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row>
    <row r="226">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row>
    <row r="227">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row>
    <row r="228">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row>
    <row r="229">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row>
    <row r="230">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row>
    <row r="23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row>
    <row r="232">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row>
    <row r="233">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row>
    <row r="234">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row>
    <row r="235">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row>
    <row r="236">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row>
    <row r="237">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row>
    <row r="238">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row>
    <row r="239">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row>
    <row r="240">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row>
    <row r="24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row>
    <row r="242">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row>
    <row r="243">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row>
    <row r="244">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row>
    <row r="245">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row>
    <row r="246">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row>
    <row r="247">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row>
    <row r="248">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row>
    <row r="249">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row>
    <row r="250">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row>
    <row r="25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row>
    <row r="252">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row>
    <row r="253">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row>
    <row r="254">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row>
    <row r="255">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row>
    <row r="256">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row>
    <row r="257">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row>
    <row r="258">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row>
    <row r="259">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row>
    <row r="260">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row>
    <row r="26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row>
    <row r="262">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row>
    <row r="263">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row>
    <row r="264">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row>
    <row r="265">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row>
    <row r="266">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row>
    <row r="267">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row>
    <row r="268">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row>
    <row r="269">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row>
    <row r="270">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row>
    <row r="27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row>
    <row r="272">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row>
    <row r="273">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row>
    <row r="274">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row>
    <row r="275">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row>
    <row r="276">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row>
    <row r="277">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row>
    <row r="278">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row>
    <row r="279">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row>
    <row r="280">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row>
    <row r="28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row>
    <row r="282">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row>
    <row r="283">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row>
    <row r="284">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row>
    <row r="285">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row>
    <row r="286">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row>
    <row r="287">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row>
    <row r="288">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row>
    <row r="289">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row>
    <row r="290">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row>
    <row r="29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row>
    <row r="292">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row>
    <row r="293">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row>
    <row r="294">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row>
    <row r="295">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row>
    <row r="296">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row>
    <row r="297">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row>
    <row r="298">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row>
    <row r="299">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row>
    <row r="300">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row>
    <row r="30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row>
    <row r="302">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row>
    <row r="303">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row>
    <row r="304">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row>
    <row r="305">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row>
    <row r="306">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row>
    <row r="307">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row>
    <row r="308">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row>
    <row r="309">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row>
    <row r="310">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row>
    <row r="31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row>
    <row r="312">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row>
    <row r="313">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row>
    <row r="314">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row>
    <row r="315">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row>
    <row r="316">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row>
    <row r="317">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row>
    <row r="318">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row>
    <row r="319">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row>
    <row r="320">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row>
    <row r="32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row>
    <row r="322">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row>
    <row r="323">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row>
    <row r="324">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row>
    <row r="325">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row>
    <row r="326">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row>
    <row r="327">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row>
    <row r="328">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row>
    <row r="329">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row>
    <row r="330">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row>
    <row r="33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row>
    <row r="332">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row>
    <row r="333">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row>
    <row r="334">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row>
    <row r="335">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row>
    <row r="336">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row>
    <row r="337">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row>
    <row r="338">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row>
    <row r="339">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row>
    <row r="340">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row>
    <row r="34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row>
    <row r="342">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row>
    <row r="343">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row>
    <row r="344">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row>
    <row r="345">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row>
    <row r="346">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row>
    <row r="347">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row>
    <row r="348">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row>
    <row r="349">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row>
    <row r="350">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row>
    <row r="35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row>
    <row r="352">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row>
    <row r="353">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row>
    <row r="354">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row>
    <row r="355">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row>
    <row r="356">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row>
    <row r="357">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row>
    <row r="358">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row>
    <row r="359">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row>
    <row r="360">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row>
    <row r="36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row>
    <row r="362">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row>
    <row r="363">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row>
    <row r="364">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row>
    <row r="365">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row>
    <row r="366">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row>
    <row r="367">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row>
    <row r="368">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row>
    <row r="369">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row>
    <row r="370">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row>
    <row r="37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row>
    <row r="372">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row>
    <row r="373">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row>
    <row r="374">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row>
    <row r="375">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row>
    <row r="376">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row>
    <row r="377">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row>
    <row r="378">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row>
    <row r="379">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row>
    <row r="380">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row>
    <row r="38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row>
    <row r="382">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row>
    <row r="383">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row>
    <row r="384">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row>
    <row r="385">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row>
    <row r="386">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row>
    <row r="387">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row>
    <row r="388">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row>
    <row r="389">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row>
    <row r="390">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row>
    <row r="39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row>
    <row r="392">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row>
    <row r="393">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row>
    <row r="394">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row>
    <row r="395">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row>
    <row r="396">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row>
    <row r="397">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row>
    <row r="398">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row>
    <row r="399">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row>
    <row r="400">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row>
    <row r="40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row>
    <row r="402">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row>
    <row r="403">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row>
    <row r="404">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row>
    <row r="405">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row>
    <row r="406">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row>
    <row r="407">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row>
    <row r="408">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row>
    <row r="409">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row>
    <row r="410">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row>
    <row r="41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row>
    <row r="412">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row>
    <row r="413">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row>
    <row r="414">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row>
    <row r="415">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row>
    <row r="416">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row>
    <row r="417">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row>
    <row r="418">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row>
    <row r="419">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row>
    <row r="420">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row>
    <row r="42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row>
    <row r="422">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row>
    <row r="423">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row>
    <row r="424">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row>
    <row r="425">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row>
    <row r="426">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row>
    <row r="427">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row>
    <row r="428">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row>
    <row r="429">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row>
    <row r="430">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row>
    <row r="43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row>
    <row r="432">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row>
    <row r="433">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row>
    <row r="434">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row>
    <row r="435">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row>
    <row r="436">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row>
    <row r="437">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row>
    <row r="438">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row>
    <row r="439">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row>
    <row r="440">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row>
    <row r="44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row>
    <row r="442">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row>
    <row r="443">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row>
    <row r="444">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row>
    <row r="445">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row>
    <row r="446">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row>
    <row r="447">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row>
    <row r="448">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row>
    <row r="449">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row>
    <row r="450">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row>
    <row r="45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row>
    <row r="452">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row>
    <row r="453">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row>
    <row r="454">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row>
    <row r="455">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row>
    <row r="456">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row>
    <row r="457">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row>
    <row r="458">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row>
    <row r="459">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row>
    <row r="460">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row>
    <row r="46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row>
    <row r="462">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row>
    <row r="463">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row>
    <row r="464">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row>
    <row r="465">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row>
    <row r="466">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row>
    <row r="467">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row>
    <row r="468">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row>
    <row r="469">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row>
    <row r="470">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row>
    <row r="47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row>
    <row r="472">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row>
    <row r="473">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row>
    <row r="474">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row>
    <row r="475">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row>
    <row r="476">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row>
    <row r="477">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row>
    <row r="478">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row>
    <row r="479">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row>
    <row r="480">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row>
    <row r="48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row>
    <row r="482">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row>
    <row r="483">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row>
    <row r="484">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row>
    <row r="485">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row>
    <row r="486">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row>
    <row r="487">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row>
    <row r="488">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row>
    <row r="489">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row>
    <row r="490">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row>
    <row r="49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row>
    <row r="492">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row>
    <row r="493">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row>
    <row r="494">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row>
    <row r="495">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row>
    <row r="496">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row>
    <row r="497">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row>
    <row r="498">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row>
    <row r="499">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row>
    <row r="500">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row>
    <row r="50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row>
    <row r="502">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row>
    <row r="503">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row>
    <row r="504">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row>
    <row r="505">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row>
    <row r="506">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row>
    <row r="507">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row>
    <row r="508">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row>
    <row r="509">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row>
    <row r="510">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row>
    <row r="51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row>
    <row r="512">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row>
    <row r="513">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row>
    <row r="514">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row>
    <row r="515">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row>
    <row r="516">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row>
    <row r="517">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row>
    <row r="518">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row>
    <row r="519">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row>
    <row r="520">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row>
    <row r="52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row>
    <row r="522">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row>
    <row r="523">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row>
    <row r="524">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row>
    <row r="525">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row>
    <row r="526">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row>
    <row r="527">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row>
    <row r="528">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row>
    <row r="529">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row>
    <row r="530">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row>
    <row r="53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row>
    <row r="532">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row>
    <row r="533">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row>
    <row r="534">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row>
    <row r="535">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row>
    <row r="536">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row>
    <row r="537">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row>
    <row r="538">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row>
    <row r="539">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row>
    <row r="540">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row>
    <row r="54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row>
    <row r="542">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row>
    <row r="543">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row>
    <row r="544">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row>
    <row r="545">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row>
    <row r="546">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row>
    <row r="547">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row>
    <row r="548">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row>
    <row r="549">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row>
    <row r="550">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row>
    <row r="55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row>
    <row r="552">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row>
    <row r="553">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row>
    <row r="554">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row>
    <row r="555">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row>
    <row r="556">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row>
    <row r="557">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row>
    <row r="558">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row>
    <row r="559">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row>
    <row r="560">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row>
    <row r="56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row>
    <row r="562">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row>
    <row r="563">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row>
    <row r="564">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row>
    <row r="565">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row>
    <row r="566">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row>
    <row r="567">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row>
    <row r="568">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row>
    <row r="569">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row>
    <row r="570">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row>
    <row r="57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row>
    <row r="572">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row>
    <row r="573">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row>
    <row r="574">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row>
    <row r="575">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row>
    <row r="576">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row>
    <row r="577">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row>
    <row r="578">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row>
    <row r="579">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row>
    <row r="580">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row>
    <row r="58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row>
    <row r="582">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row>
    <row r="583">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row>
    <row r="584">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row>
    <row r="585">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row>
    <row r="586">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row>
    <row r="587">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row>
    <row r="588">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row>
    <row r="589">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row>
    <row r="590">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row>
    <row r="59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row>
    <row r="592">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row>
    <row r="593">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row>
    <row r="594">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row>
    <row r="595">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row>
    <row r="596">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row>
    <row r="597">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row>
    <row r="598">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row>
    <row r="599">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row>
    <row r="600">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row>
    <row r="60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row>
    <row r="602">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row>
    <row r="603">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row>
    <row r="604">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row>
    <row r="605">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row>
    <row r="606">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row>
    <row r="607">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row>
    <row r="608">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row>
    <row r="609">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row>
    <row r="610">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row>
    <row r="61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row>
    <row r="612">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row>
    <row r="613">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row>
    <row r="614">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row>
    <row r="615">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row>
    <row r="616">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row>
    <row r="617">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row>
    <row r="618">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row>
    <row r="619">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row>
    <row r="620">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row>
    <row r="62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row>
    <row r="622">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row>
    <row r="623">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row>
    <row r="624">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row>
    <row r="625">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row>
    <row r="626">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row>
    <row r="627">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row>
    <row r="628">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row>
    <row r="629">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row>
    <row r="630">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row>
    <row r="63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row>
    <row r="632">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row>
    <row r="633">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row>
    <row r="634">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row>
    <row r="635">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row>
    <row r="636">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row>
    <row r="637">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row>
    <row r="638">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row>
    <row r="639">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row>
    <row r="640">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row>
    <row r="64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row>
    <row r="642">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row>
    <row r="643">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row>
    <row r="644">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row>
    <row r="645">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row>
    <row r="646">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row>
    <row r="647">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row>
    <row r="648">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row>
    <row r="649">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row>
    <row r="650">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row>
    <row r="65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row>
    <row r="652">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row>
    <row r="653">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row>
    <row r="654">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row>
    <row r="655">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row>
    <row r="656">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row>
    <row r="657">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row>
    <row r="658">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row>
    <row r="659">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row>
    <row r="660">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row>
    <row r="66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row>
    <row r="662">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row>
    <row r="663">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row>
    <row r="664">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row>
    <row r="665">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row>
    <row r="666">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row>
    <row r="667">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row>
    <row r="668">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row>
    <row r="669">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row>
    <row r="670">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row>
    <row r="67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row>
    <row r="672">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row>
    <row r="673">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row>
    <row r="674">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row>
    <row r="675">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row>
    <row r="676">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row>
    <row r="677">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row>
    <row r="678">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row>
    <row r="679">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row>
    <row r="680">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row>
    <row r="68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row>
    <row r="682">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row>
    <row r="683">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row>
    <row r="684">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row>
    <row r="685">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row>
    <row r="686">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row>
    <row r="687">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row>
    <row r="688">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row>
    <row r="689">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row>
    <row r="690">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row>
    <row r="69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row>
    <row r="692">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row>
    <row r="693">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row>
    <row r="694">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row>
    <row r="695">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row>
    <row r="696">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row>
    <row r="697">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row>
    <row r="698">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row>
    <row r="699">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row>
    <row r="700">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row>
    <row r="70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row>
    <row r="702">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row>
    <row r="703">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row>
    <row r="704">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row>
    <row r="705">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row>
    <row r="706">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row>
    <row r="707">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row>
    <row r="708">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row>
    <row r="709">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row>
    <row r="710">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row>
    <row r="71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row>
    <row r="712">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row>
    <row r="713">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row>
    <row r="714">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row>
    <row r="715">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row>
    <row r="716">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row>
    <row r="717">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row>
    <row r="718">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row>
    <row r="719">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row>
    <row r="720">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row>
    <row r="72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row>
    <row r="722">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row>
    <row r="723">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row>
    <row r="724">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row>
    <row r="725">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row>
    <row r="726">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row>
    <row r="727">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row>
    <row r="728">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row>
    <row r="729">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row>
    <row r="730">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row>
    <row r="73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row>
    <row r="732">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row>
    <row r="733">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row>
    <row r="734">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row>
    <row r="735">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row>
    <row r="736">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row>
    <row r="737">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row>
    <row r="738">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row>
    <row r="739">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row>
    <row r="740">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row>
    <row r="74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row>
    <row r="742">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row>
    <row r="743">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row>
    <row r="744">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row>
    <row r="745">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row>
    <row r="746">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row>
    <row r="747">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row>
    <row r="748">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row>
    <row r="749">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row>
    <row r="750">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row>
    <row r="75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row>
    <row r="752">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row>
    <row r="753">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row>
    <row r="754">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row>
    <row r="755">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row>
    <row r="756">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row>
    <row r="757">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row>
    <row r="758">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row>
    <row r="759">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row>
    <row r="760">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row>
    <row r="76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row>
    <row r="762">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row>
    <row r="763">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row>
    <row r="764">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row>
    <row r="765">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row>
    <row r="766">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row>
    <row r="767">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row>
    <row r="768">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row>
    <row r="769">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row>
    <row r="770">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row>
    <row r="77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row>
    <row r="772">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row>
    <row r="773">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row>
    <row r="774">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row>
    <row r="775">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row>
    <row r="776">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row>
    <row r="777">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row>
    <row r="778">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row>
    <row r="779">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row>
    <row r="780">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row>
    <row r="78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row>
    <row r="782">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row>
    <row r="783">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row>
    <row r="784">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row>
    <row r="785">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row>
    <row r="786">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row>
    <row r="787">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row>
    <row r="788">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row>
    <row r="789">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row>
    <row r="790">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row>
    <row r="79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row>
    <row r="792">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row>
    <row r="793">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row>
    <row r="794">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row>
    <row r="795">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row>
    <row r="796">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row>
    <row r="797">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row>
    <row r="798">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row>
    <row r="799">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row>
    <row r="800">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row>
    <row r="80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row>
    <row r="802">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row>
    <row r="803">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row>
    <row r="804">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row>
    <row r="805">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row>
    <row r="806">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row>
    <row r="807">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row>
    <row r="808">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row>
    <row r="809">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row>
    <row r="810">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row>
    <row r="81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row>
    <row r="812">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row>
    <row r="813">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row>
    <row r="814">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row>
    <row r="815">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row>
    <row r="816">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row>
    <row r="817">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row>
    <row r="818">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row>
    <row r="819">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row>
    <row r="820">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row>
    <row r="82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row>
    <row r="822">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row>
    <row r="823">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row>
    <row r="824">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row>
    <row r="825">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row>
    <row r="826">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row>
    <row r="827">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row>
    <row r="828">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row>
    <row r="829">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row>
    <row r="830">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row>
    <row r="83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row>
    <row r="832">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row>
    <row r="833">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row>
    <row r="834">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row>
    <row r="835">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row>
    <row r="836">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row>
    <row r="837">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row>
    <row r="838">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row>
    <row r="839">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row>
    <row r="840">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row>
    <row r="84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row>
    <row r="842">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row>
    <row r="843">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row>
    <row r="844">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row>
    <row r="845">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row>
    <row r="846">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row>
    <row r="847">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row>
    <row r="848">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row>
    <row r="849">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row>
    <row r="850">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row>
    <row r="85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row>
    <row r="852">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row>
    <row r="853">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row>
    <row r="854">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row>
    <row r="855">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row>
    <row r="856">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row>
    <row r="857">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row>
    <row r="858">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row>
    <row r="859">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row>
    <row r="860">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row>
    <row r="86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row>
    <row r="862">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row>
    <row r="863">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row>
    <row r="864">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row>
    <row r="865">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row>
    <row r="866">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row>
    <row r="867">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row>
    <row r="868">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row>
    <row r="869">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row>
    <row r="870">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row>
    <row r="87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row>
    <row r="872">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row>
    <row r="873">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row>
    <row r="874">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row>
    <row r="875">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row>
    <row r="876">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row>
    <row r="877">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row>
    <row r="878">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row>
    <row r="879">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row>
    <row r="880">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row>
    <row r="88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row>
    <row r="882">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row>
    <row r="883">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row>
    <row r="884">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row>
    <row r="885">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row>
    <row r="886">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row>
    <row r="887">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row>
    <row r="888">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row>
    <row r="889">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row>
    <row r="890">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row>
    <row r="89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row>
    <row r="892">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row>
    <row r="893">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row>
    <row r="894">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row>
    <row r="895">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row>
    <row r="896">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row>
    <row r="897">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row>
    <row r="898">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row>
    <row r="899">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row>
    <row r="900">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row>
    <row r="90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row>
    <row r="902">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row>
    <row r="903">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row>
    <row r="904">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row>
    <row r="905">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row>
    <row r="906">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row>
    <row r="907">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row>
    <row r="908">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row>
    <row r="909">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row>
    <row r="910">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row>
    <row r="91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row>
    <row r="912">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row>
    <row r="913">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row>
    <row r="914">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row>
    <row r="915">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row>
    <row r="916">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row>
    <row r="917">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row>
    <row r="918">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row>
    <row r="919">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row>
    <row r="920">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row>
    <row r="92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row>
    <row r="922">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row>
    <row r="923">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row>
    <row r="924">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row>
    <row r="925">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row>
    <row r="926">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row>
    <row r="927">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row>
    <row r="928">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row>
    <row r="929">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row>
    <row r="930">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row>
    <row r="93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row>
    <row r="932">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row>
    <row r="933">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row>
    <row r="934">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row>
    <row r="935">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row>
    <row r="936">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row>
    <row r="937">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row>
    <row r="938">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row>
    <row r="939">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row>
    <row r="940">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row>
    <row r="94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row>
    <row r="942">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row>
    <row r="943">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row>
    <row r="944">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row>
    <row r="945">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row>
    <row r="946">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row>
    <row r="947">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row>
    <row r="948">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row>
    <row r="949">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row>
    <row r="950">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row>
    <row r="95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row>
    <row r="952">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row>
    <row r="953">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row>
    <row r="954">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row>
    <row r="955">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row>
    <row r="956">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row>
    <row r="957">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row>
    <row r="958">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row>
    <row r="959">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row>
    <row r="960">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row>
    <row r="96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row>
    <row r="962">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row>
    <row r="963">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row>
    <row r="964">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row>
    <row r="965">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row>
    <row r="966">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row>
    <row r="967">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row>
    <row r="968">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row>
    <row r="969">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row>
    <row r="970">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row>
    <row r="97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row>
    <row r="972">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row>
    <row r="973">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row>
    <row r="974">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row>
    <row r="975">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row>
    <row r="976">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row>
    <row r="977">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row>
    <row r="978">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row>
    <row r="979">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row>
    <row r="980">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row>
    <row r="98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row>
    <row r="982">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row>
    <row r="983">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row>
    <row r="984">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row>
    <row r="985">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row>
    <row r="986">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row>
    <row r="987">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row>
    <row r="988">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row>
    <row r="989">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row>
    <row r="990">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row>
    <row r="99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row>
    <row r="992">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row>
    <row r="993">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row>
    <row r="994">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row>
    <row r="995">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row>
    <row r="996">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row>
    <row r="997">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row>
    <row r="998">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row>
    <row r="999">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row>
    <row r="1000">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row>
    <row r="100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row>
    <row r="1002">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row>
    <row r="1003">
      <c r="A1003" s="270"/>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row>
  </sheetData>
  <mergeCells count="256">
    <mergeCell ref="C25:D25"/>
    <mergeCell ref="C26:D26"/>
    <mergeCell ref="C27:D27"/>
    <mergeCell ref="A28:D28"/>
    <mergeCell ref="A38:D38"/>
    <mergeCell ref="A39:D39"/>
    <mergeCell ref="A71:B71"/>
    <mergeCell ref="A76:D76"/>
    <mergeCell ref="A77:D77"/>
    <mergeCell ref="A86:D86"/>
    <mergeCell ref="A100:B100"/>
    <mergeCell ref="F100:G100"/>
    <mergeCell ref="A105:D105"/>
    <mergeCell ref="F110:G110"/>
    <mergeCell ref="F124:G124"/>
    <mergeCell ref="F126:G126"/>
    <mergeCell ref="A128:B128"/>
    <mergeCell ref="F128:G128"/>
    <mergeCell ref="A131:D131"/>
    <mergeCell ref="C134:D134"/>
    <mergeCell ref="A135:D135"/>
    <mergeCell ref="B136:C136"/>
    <mergeCell ref="A110:B110"/>
    <mergeCell ref="A112:D112"/>
    <mergeCell ref="A118:D118"/>
    <mergeCell ref="A119:B119"/>
    <mergeCell ref="F119:G119"/>
    <mergeCell ref="A124:B124"/>
    <mergeCell ref="A126:B126"/>
    <mergeCell ref="A19:D19"/>
    <mergeCell ref="A20:D20"/>
    <mergeCell ref="F20:I20"/>
    <mergeCell ref="K20:N20"/>
    <mergeCell ref="A21:D21"/>
    <mergeCell ref="K21:N21"/>
    <mergeCell ref="C22:D22"/>
    <mergeCell ref="F21:I21"/>
    <mergeCell ref="H22:I22"/>
    <mergeCell ref="C23:D23"/>
    <mergeCell ref="H23:I23"/>
    <mergeCell ref="C24:D24"/>
    <mergeCell ref="H24:I24"/>
    <mergeCell ref="H25:I25"/>
    <mergeCell ref="W23:X23"/>
    <mergeCell ref="W24:X24"/>
    <mergeCell ref="W26:X26"/>
    <mergeCell ref="W27:X27"/>
    <mergeCell ref="U28:X28"/>
    <mergeCell ref="U38:X38"/>
    <mergeCell ref="U39:X39"/>
    <mergeCell ref="H26:I26"/>
    <mergeCell ref="H27:I27"/>
    <mergeCell ref="F28:I28"/>
    <mergeCell ref="F38:I38"/>
    <mergeCell ref="F39:I39"/>
    <mergeCell ref="F71:G71"/>
    <mergeCell ref="F76:I76"/>
    <mergeCell ref="P119:Q119"/>
    <mergeCell ref="P131:S131"/>
    <mergeCell ref="P135:S135"/>
    <mergeCell ref="Q136:R136"/>
    <mergeCell ref="P71:Q71"/>
    <mergeCell ref="P76:S76"/>
    <mergeCell ref="P77:S77"/>
    <mergeCell ref="P86:S86"/>
    <mergeCell ref="P105:S105"/>
    <mergeCell ref="P112:S112"/>
    <mergeCell ref="P118:S118"/>
    <mergeCell ref="U135:X135"/>
    <mergeCell ref="V136:W136"/>
    <mergeCell ref="A6:D6"/>
    <mergeCell ref="A7:D7"/>
    <mergeCell ref="F7:I7"/>
    <mergeCell ref="K7:N7"/>
    <mergeCell ref="U7:X7"/>
    <mergeCell ref="F8:I8"/>
    <mergeCell ref="U8:X8"/>
    <mergeCell ref="A8:D8"/>
    <mergeCell ref="A10:D10"/>
    <mergeCell ref="F10:I10"/>
    <mergeCell ref="K10:N10"/>
    <mergeCell ref="U10:X10"/>
    <mergeCell ref="H11:I11"/>
    <mergeCell ref="W11:X11"/>
    <mergeCell ref="T1:V1"/>
    <mergeCell ref="U2:W3"/>
    <mergeCell ref="F1:H1"/>
    <mergeCell ref="K1:P1"/>
    <mergeCell ref="W1:X1"/>
    <mergeCell ref="A2:C3"/>
    <mergeCell ref="F2:H3"/>
    <mergeCell ref="K2:M3"/>
    <mergeCell ref="P2:R3"/>
    <mergeCell ref="P4:S5"/>
    <mergeCell ref="P6:S6"/>
    <mergeCell ref="P7:S7"/>
    <mergeCell ref="P10:S10"/>
    <mergeCell ref="A4:D5"/>
    <mergeCell ref="F4:I5"/>
    <mergeCell ref="K4:N5"/>
    <mergeCell ref="U4:X5"/>
    <mergeCell ref="F6:I6"/>
    <mergeCell ref="K6:N6"/>
    <mergeCell ref="U6:X6"/>
    <mergeCell ref="K8:N8"/>
    <mergeCell ref="P8:S8"/>
    <mergeCell ref="M13:N13"/>
    <mergeCell ref="M14:N14"/>
    <mergeCell ref="R14:S14"/>
    <mergeCell ref="W14:X14"/>
    <mergeCell ref="K15:N15"/>
    <mergeCell ref="P15:S15"/>
    <mergeCell ref="U15:X15"/>
    <mergeCell ref="M11:N11"/>
    <mergeCell ref="R11:S11"/>
    <mergeCell ref="M12:N12"/>
    <mergeCell ref="R12:S12"/>
    <mergeCell ref="W12:X12"/>
    <mergeCell ref="R13:S13"/>
    <mergeCell ref="W13:X13"/>
    <mergeCell ref="C11:D11"/>
    <mergeCell ref="C12:D12"/>
    <mergeCell ref="H12:I12"/>
    <mergeCell ref="C13:D13"/>
    <mergeCell ref="H13:I13"/>
    <mergeCell ref="C14:D14"/>
    <mergeCell ref="H14:I14"/>
    <mergeCell ref="M16:N16"/>
    <mergeCell ref="P16:Q16"/>
    <mergeCell ref="R16:S16"/>
    <mergeCell ref="U16:V16"/>
    <mergeCell ref="W16:X16"/>
    <mergeCell ref="A15:D15"/>
    <mergeCell ref="F15:I15"/>
    <mergeCell ref="A16:B16"/>
    <mergeCell ref="C16:D16"/>
    <mergeCell ref="F16:G16"/>
    <mergeCell ref="H16:I16"/>
    <mergeCell ref="K16:L16"/>
    <mergeCell ref="R17:S17"/>
    <mergeCell ref="U17:V17"/>
    <mergeCell ref="W17:X17"/>
    <mergeCell ref="A17:B17"/>
    <mergeCell ref="C17:D17"/>
    <mergeCell ref="F17:G17"/>
    <mergeCell ref="H17:I17"/>
    <mergeCell ref="K17:L17"/>
    <mergeCell ref="M17:N17"/>
    <mergeCell ref="P17:Q17"/>
    <mergeCell ref="P18:S18"/>
    <mergeCell ref="P19:S19"/>
    <mergeCell ref="P20:S20"/>
    <mergeCell ref="U20:X20"/>
    <mergeCell ref="P21:S21"/>
    <mergeCell ref="U21:X21"/>
    <mergeCell ref="A18:D18"/>
    <mergeCell ref="F18:I18"/>
    <mergeCell ref="K18:N18"/>
    <mergeCell ref="U18:X18"/>
    <mergeCell ref="F19:I19"/>
    <mergeCell ref="K19:N19"/>
    <mergeCell ref="U19:X19"/>
    <mergeCell ref="M22:N22"/>
    <mergeCell ref="R22:S22"/>
    <mergeCell ref="W22:X22"/>
    <mergeCell ref="M23:N23"/>
    <mergeCell ref="R23:S23"/>
    <mergeCell ref="M24:N24"/>
    <mergeCell ref="W25:X25"/>
    <mergeCell ref="R24:S24"/>
    <mergeCell ref="R25:S25"/>
    <mergeCell ref="R26:S26"/>
    <mergeCell ref="R27:S27"/>
    <mergeCell ref="P28:S28"/>
    <mergeCell ref="P38:S38"/>
    <mergeCell ref="P39:S39"/>
    <mergeCell ref="M25:N25"/>
    <mergeCell ref="M26:N26"/>
    <mergeCell ref="K28:N28"/>
    <mergeCell ref="K38:N38"/>
    <mergeCell ref="K39:N39"/>
    <mergeCell ref="K71:L71"/>
    <mergeCell ref="K76:N76"/>
    <mergeCell ref="P124:Q124"/>
    <mergeCell ref="P126:Q126"/>
    <mergeCell ref="K128:L128"/>
    <mergeCell ref="P128:Q128"/>
    <mergeCell ref="K77:N77"/>
    <mergeCell ref="K86:N86"/>
    <mergeCell ref="K100:L100"/>
    <mergeCell ref="P100:Q100"/>
    <mergeCell ref="K110:L110"/>
    <mergeCell ref="P110:Q110"/>
    <mergeCell ref="K126:L126"/>
    <mergeCell ref="F77:I77"/>
    <mergeCell ref="F86:I86"/>
    <mergeCell ref="F105:I105"/>
    <mergeCell ref="K105:N105"/>
    <mergeCell ref="F112:I112"/>
    <mergeCell ref="K112:N112"/>
    <mergeCell ref="F118:I118"/>
    <mergeCell ref="K118:N118"/>
    <mergeCell ref="K119:L119"/>
    <mergeCell ref="K124:L124"/>
    <mergeCell ref="F131:I131"/>
    <mergeCell ref="K131:N131"/>
    <mergeCell ref="F135:I135"/>
    <mergeCell ref="G136:H136"/>
    <mergeCell ref="K135:N135"/>
    <mergeCell ref="L136:M136"/>
    <mergeCell ref="L138:M138"/>
    <mergeCell ref="L139:M139"/>
    <mergeCell ref="F141:N141"/>
    <mergeCell ref="F142:N142"/>
    <mergeCell ref="F143:N143"/>
    <mergeCell ref="G144:N144"/>
    <mergeCell ref="G145:N145"/>
    <mergeCell ref="F146:N146"/>
    <mergeCell ref="G147:N147"/>
    <mergeCell ref="G148:N148"/>
    <mergeCell ref="G149:N149"/>
    <mergeCell ref="G150:N150"/>
    <mergeCell ref="G151:N151"/>
    <mergeCell ref="G152:N152"/>
    <mergeCell ref="G153:N153"/>
    <mergeCell ref="G154:N154"/>
    <mergeCell ref="F155:N155"/>
    <mergeCell ref="G156:N156"/>
    <mergeCell ref="G157:N157"/>
    <mergeCell ref="G165:N165"/>
    <mergeCell ref="G166:N166"/>
    <mergeCell ref="G167:N167"/>
    <mergeCell ref="G168:N168"/>
    <mergeCell ref="G169:N169"/>
    <mergeCell ref="G158:N158"/>
    <mergeCell ref="G159:N159"/>
    <mergeCell ref="G160:N160"/>
    <mergeCell ref="G161:N161"/>
    <mergeCell ref="F162:N162"/>
    <mergeCell ref="F163:N163"/>
    <mergeCell ref="G164:N164"/>
    <mergeCell ref="U71:V71"/>
    <mergeCell ref="U76:X76"/>
    <mergeCell ref="U77:X77"/>
    <mergeCell ref="U86:X86"/>
    <mergeCell ref="U100:V100"/>
    <mergeCell ref="U105:X105"/>
    <mergeCell ref="U110:V110"/>
    <mergeCell ref="U112:X112"/>
    <mergeCell ref="U118:X118"/>
    <mergeCell ref="U119:V119"/>
    <mergeCell ref="U124:V124"/>
    <mergeCell ref="U126:V126"/>
    <mergeCell ref="U128:V128"/>
    <mergeCell ref="U131:X131"/>
    <mergeCell ref="V139:W139"/>
  </mergeCells>
  <hyperlinks>
    <hyperlink display="SUMÁRIO" location="'QUADRO RESUMO'!B16:D17" ref="W1"/>
  </hyperlin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pageSetUpPr fitToPage="1"/>
  </sheetPr>
  <sheetViews>
    <sheetView showGridLines="0" workbookViewId="0">
      <pane ySplit="10.0" topLeftCell="A11" activePane="bottomLeft" state="frozen"/>
      <selection activeCell="B12" sqref="B12" pane="bottomLeft"/>
    </sheetView>
  </sheetViews>
  <sheetFormatPr customHeight="1" defaultColWidth="14.43" defaultRowHeight="15.0"/>
  <cols>
    <col customWidth="1" min="1" max="1" width="8.29"/>
    <col customWidth="1" min="2" max="2" width="15.86"/>
    <col customWidth="1" min="3" max="3" width="9.71"/>
    <col customWidth="1" min="4" max="4" width="20.0"/>
    <col customWidth="1" min="5" max="5" width="50.86"/>
    <col customWidth="1" min="6" max="6" width="7.43"/>
    <col customWidth="1" min="7" max="7" width="6.86"/>
    <col customWidth="1" min="8" max="8" width="7.57"/>
    <col customWidth="1" min="9" max="9" width="12.29"/>
    <col customWidth="1" min="10" max="10" width="7.0"/>
    <col customWidth="1" min="11" max="11" width="12.29"/>
    <col customWidth="1" min="12" max="12" width="10.29"/>
    <col customWidth="1" min="13" max="13" width="8.0"/>
    <col customWidth="1" min="14" max="14" width="15.86"/>
    <col customWidth="1" min="15" max="15" width="14.14"/>
    <col customWidth="1" min="16" max="16" width="12.0"/>
  </cols>
  <sheetData>
    <row r="1" ht="52.5" customHeight="1">
      <c r="A1" s="1" t="s">
        <v>1609</v>
      </c>
      <c r="D1" s="1"/>
      <c r="E1" s="126" t="s">
        <v>1610</v>
      </c>
      <c r="F1" s="127"/>
      <c r="G1" s="127"/>
      <c r="H1" s="127"/>
      <c r="I1" s="127"/>
      <c r="J1" s="127"/>
      <c r="K1" s="127"/>
      <c r="L1" s="128">
        <f>SUM(O11)</f>
        <v>179994.1592</v>
      </c>
      <c r="M1" s="127"/>
      <c r="N1" s="127"/>
      <c r="O1" s="287" t="s">
        <v>29</v>
      </c>
      <c r="P1" s="44"/>
    </row>
    <row r="2" ht="10.5" customHeight="1">
      <c r="A2" s="476"/>
      <c r="B2" s="477"/>
      <c r="C2" s="477"/>
      <c r="D2" s="477"/>
      <c r="E2" s="477"/>
      <c r="F2" s="477"/>
      <c r="G2" s="478"/>
      <c r="H2" s="478"/>
      <c r="I2" s="478"/>
      <c r="J2" s="478"/>
      <c r="K2" s="478"/>
      <c r="L2" s="478"/>
      <c r="M2" s="478"/>
      <c r="N2" s="478"/>
      <c r="O2" s="478"/>
      <c r="P2" s="479"/>
    </row>
    <row r="3" ht="10.5" customHeight="1">
      <c r="A3" s="133"/>
      <c r="B3" s="159"/>
      <c r="C3" s="160"/>
      <c r="D3" s="161"/>
      <c r="E3" s="137"/>
      <c r="F3" s="138" t="s">
        <v>57</v>
      </c>
      <c r="G3" s="139"/>
      <c r="H3" s="140"/>
      <c r="I3" s="141"/>
      <c r="J3" s="142" t="s">
        <v>1611</v>
      </c>
      <c r="K3" s="143"/>
      <c r="L3" s="143"/>
      <c r="M3" s="143"/>
      <c r="N3" s="143"/>
      <c r="O3" s="144"/>
      <c r="P3" s="145"/>
    </row>
    <row r="4" ht="10.5" customHeight="1">
      <c r="A4" s="133"/>
      <c r="B4" s="154"/>
      <c r="C4" s="154"/>
      <c r="D4" s="480"/>
      <c r="E4" s="137"/>
      <c r="F4" s="481" t="s">
        <v>60</v>
      </c>
      <c r="H4" s="102"/>
      <c r="I4" s="141"/>
      <c r="J4" s="149" t="s">
        <v>61</v>
      </c>
      <c r="K4" s="150" t="s">
        <v>62</v>
      </c>
      <c r="L4" s="150" t="s">
        <v>63</v>
      </c>
      <c r="M4" s="150" t="s">
        <v>64</v>
      </c>
      <c r="N4" s="150" t="s">
        <v>65</v>
      </c>
      <c r="O4" s="150" t="s">
        <v>66</v>
      </c>
      <c r="P4" s="145"/>
    </row>
    <row r="5" ht="10.5" customHeight="1">
      <c r="A5" s="133"/>
      <c r="B5" s="159"/>
      <c r="C5" s="160"/>
      <c r="D5" s="161"/>
      <c r="E5" s="162"/>
      <c r="F5" s="482"/>
      <c r="G5" s="8"/>
      <c r="H5" s="9"/>
      <c r="I5" s="141"/>
      <c r="J5" s="152">
        <f>'7. BDI SERVIÇOS'!K5</f>
        <v>0.17392297</v>
      </c>
      <c r="K5" s="152">
        <f>'7. BDI SERVIÇOS'!K64</f>
        <v>0.1486201794</v>
      </c>
      <c r="L5" s="152">
        <f>'7. BDI SERVIÇOS'!K83</f>
        <v>0.1486201794</v>
      </c>
      <c r="M5" s="152">
        <f>'7. BDI SERVIÇOS'!K102</f>
        <v>0.17392297</v>
      </c>
      <c r="N5" s="152">
        <f>'7. BDI SERVIÇOS'!K121</f>
        <v>0.17392297</v>
      </c>
      <c r="O5" s="153">
        <f>'7. BDI SERVIÇOS'!K140</f>
        <v>0.1611337449</v>
      </c>
      <c r="P5" s="145"/>
    </row>
    <row r="6" ht="10.5" customHeight="1">
      <c r="A6" s="133"/>
      <c r="B6" s="154"/>
      <c r="C6" s="155"/>
      <c r="D6" s="156"/>
      <c r="E6" s="137"/>
      <c r="F6" s="157"/>
      <c r="G6" s="141"/>
      <c r="H6" s="141"/>
      <c r="I6" s="141"/>
      <c r="J6" s="152"/>
      <c r="K6" s="141"/>
      <c r="L6" s="141"/>
      <c r="M6" s="141"/>
      <c r="N6" s="141"/>
      <c r="O6" s="141"/>
      <c r="P6" s="145"/>
    </row>
    <row r="7" ht="10.5" customHeight="1">
      <c r="A7" s="133"/>
      <c r="B7" s="154"/>
      <c r="C7" s="155"/>
      <c r="D7" s="158"/>
      <c r="E7" s="137"/>
      <c r="F7" s="157"/>
      <c r="G7" s="141"/>
      <c r="H7" s="141"/>
      <c r="I7" s="141"/>
      <c r="J7" s="142" t="s">
        <v>70</v>
      </c>
      <c r="K7" s="143"/>
      <c r="L7" s="143"/>
      <c r="M7" s="143"/>
      <c r="N7" s="143"/>
      <c r="O7" s="144"/>
      <c r="P7" s="145"/>
    </row>
    <row r="8" ht="10.5" customHeight="1">
      <c r="A8" s="133"/>
      <c r="B8" s="159"/>
      <c r="C8" s="160"/>
      <c r="D8" s="161"/>
      <c r="E8" s="162"/>
      <c r="F8" s="157"/>
      <c r="G8" s="141"/>
      <c r="H8" s="141"/>
      <c r="I8" s="141"/>
      <c r="J8" s="163">
        <f>'8. BDI MERO FORNECIMENTO'!K24</f>
        <v>0.1806916232</v>
      </c>
      <c r="K8" s="8"/>
      <c r="L8" s="8"/>
      <c r="M8" s="8"/>
      <c r="N8" s="8"/>
      <c r="O8" s="9"/>
      <c r="P8" s="145"/>
    </row>
    <row r="9">
      <c r="A9" s="184" t="s">
        <v>79</v>
      </c>
      <c r="B9" s="185" t="s">
        <v>80</v>
      </c>
      <c r="C9" s="186" t="s">
        <v>81</v>
      </c>
      <c r="D9" s="186" t="s">
        <v>82</v>
      </c>
      <c r="E9" s="187" t="s">
        <v>8</v>
      </c>
      <c r="F9" s="185" t="s">
        <v>83</v>
      </c>
      <c r="G9" s="185" t="s">
        <v>11</v>
      </c>
      <c r="H9" s="188" t="s">
        <v>84</v>
      </c>
      <c r="I9" s="189"/>
      <c r="J9" s="188" t="s">
        <v>85</v>
      </c>
      <c r="K9" s="36"/>
      <c r="L9" s="189"/>
      <c r="M9" s="188" t="s">
        <v>86</v>
      </c>
      <c r="N9" s="36"/>
      <c r="O9" s="189"/>
      <c r="P9" s="190"/>
    </row>
    <row r="10">
      <c r="B10" s="75"/>
      <c r="C10" s="75"/>
      <c r="D10" s="75"/>
      <c r="E10" s="75"/>
      <c r="F10" s="75"/>
      <c r="G10" s="75"/>
      <c r="H10" s="191" t="s">
        <v>87</v>
      </c>
      <c r="I10" s="191" t="s">
        <v>88</v>
      </c>
      <c r="J10" s="191" t="s">
        <v>87</v>
      </c>
      <c r="K10" s="191" t="s">
        <v>88</v>
      </c>
      <c r="L10" s="191" t="s">
        <v>89</v>
      </c>
      <c r="M10" s="191" t="s">
        <v>87</v>
      </c>
      <c r="N10" s="191" t="s">
        <v>88</v>
      </c>
      <c r="O10" s="191" t="s">
        <v>89</v>
      </c>
      <c r="P10" s="192" t="s">
        <v>90</v>
      </c>
    </row>
    <row r="11" ht="34.5" customHeight="1">
      <c r="A11" s="483">
        <v>3.0</v>
      </c>
      <c r="B11" s="484" t="s">
        <v>105</v>
      </c>
      <c r="C11" s="44"/>
      <c r="D11" s="44"/>
      <c r="E11" s="44"/>
      <c r="F11" s="44"/>
      <c r="G11" s="44"/>
      <c r="H11" s="44"/>
      <c r="I11" s="44"/>
      <c r="J11" s="44"/>
      <c r="K11" s="44"/>
      <c r="L11" s="44"/>
      <c r="M11" s="251">
        <f t="shared" ref="M11:O11" si="1">SUM(M12,M14,M18,M20,M22,M24,M26,M29)</f>
        <v>0</v>
      </c>
      <c r="N11" s="251">
        <f t="shared" si="1"/>
        <v>179994.1592</v>
      </c>
      <c r="O11" s="251">
        <f t="shared" si="1"/>
        <v>179994.1592</v>
      </c>
      <c r="P11" s="252">
        <f t="shared" ref="P11:P30" si="3">O11/$L$1</f>
        <v>1</v>
      </c>
    </row>
    <row r="12">
      <c r="A12" s="212" t="s">
        <v>106</v>
      </c>
      <c r="B12" s="213" t="s">
        <v>107</v>
      </c>
      <c r="C12" s="44"/>
      <c r="D12" s="44"/>
      <c r="E12" s="44"/>
      <c r="F12" s="44"/>
      <c r="G12" s="44"/>
      <c r="H12" s="44"/>
      <c r="I12" s="44"/>
      <c r="J12" s="44"/>
      <c r="K12" s="44"/>
      <c r="L12" s="44"/>
      <c r="M12" s="214">
        <f t="shared" ref="M12:O12" si="2">SUM(M13)</f>
        <v>0</v>
      </c>
      <c r="N12" s="214">
        <f t="shared" si="2"/>
        <v>42349.04714</v>
      </c>
      <c r="O12" s="214">
        <f t="shared" si="2"/>
        <v>42349.04714</v>
      </c>
      <c r="P12" s="485">
        <f t="shared" si="3"/>
        <v>0.2352801187</v>
      </c>
    </row>
    <row r="13">
      <c r="A13" s="216" t="s">
        <v>108</v>
      </c>
      <c r="B13" s="217" t="s">
        <v>109</v>
      </c>
      <c r="C13" s="218" t="str">
        <f>IF(OR(D13="SINAPI-S",D13="SINAPI-I"),"SINAPI","PRÓPRIO")</f>
        <v>PRÓPRIO</v>
      </c>
      <c r="D13" s="219" t="s">
        <v>110</v>
      </c>
      <c r="E13" s="220" t="str">
        <f>IFERROR(IF(D13="SINAPI-S",VLOOKUP(B13,'20-B.SINAPI-S'!A:J,2,0),IF(D13="SINAPI-I",VLOOKUP(B13,'20-A.SINAPI-I'!A:G,2,0),IF(D13="COMPOSIÇÕES",VLOOKUP(B13,'11.COMPOSIÇÕES GERAIS'!B:I,2,0),VLOOKUP(B13,'12.COT.MERCADO'!A:I,2,0)))),"Em Elaboração")</f>
        <v>SERVIÇO DE MANUTENÇÃO PREVENTIVA, CORRETIVA E EMERGENCIAL PARA GRUPO GERADOR SCANIA 450KVA MAQUIGERAL (WEG GTA 315), MOTOR SCANIA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v>
      </c>
      <c r="F13" s="221" t="str">
        <f>IFERROR(IF(D13="SINAPI-S",VLOOKUP(B13,'20-B.SINAPI-S'!A:J,3,0),IF(D13="SINAPI-I",VLOOKUP(B13,'20-A.SINAPI-I'!A:G,3,0),IF(D13="COMPOSIÇÕES",VLOOKUP(B13,'11.COMPOSIÇÕES GERAIS'!B:I,3,0),VLOOKUP(B13,'12.COT.MERCADO'!A:I,7,0)))),"Em Elaboração")</f>
        <v>MÊS</v>
      </c>
      <c r="G13" s="217">
        <v>12.0</v>
      </c>
      <c r="H13" s="222">
        <f>IFERROR(IF(D13="SINAPI-S",VLOOKUP(B13,'20-B.SINAPI-S'!A:J,5,0),IF(D13="SINAPI-I",VLOOKUP(B13,'20-A.SINAPI-I'!A:G,6,0),IF(D13="COMPOSIÇÕES",VLOOKUP(B13,'11.COMPOSIÇÕES GERAIS'!B:I,7,0),0))),"Em Elaboração")</f>
        <v>0</v>
      </c>
      <c r="I13" s="222">
        <f>IFERROR(IF(D13="SINAPI-S",VLOOKUP(B13,'20-B.SINAPI-S'!A:J,6,0),IF(D13="SINAPI-I",VLOOKUP(B13,'20-A.SINAPI-I'!A:G,7,0),IF(D13="COMPOSIÇÕES",VLOOKUP(B13,'11.COMPOSIÇÕES GERAIS'!B:I,8,0),VLOOKUP(B13,'12.COT.MERCADO'!A:I,8,0)))),"Em Elaboração")</f>
        <v>2989</v>
      </c>
      <c r="J13" s="222">
        <f>H13*(1+$J$5)</f>
        <v>0</v>
      </c>
      <c r="K13" s="222">
        <f>I13*(1+$J$8)</f>
        <v>3529.087262</v>
      </c>
      <c r="L13" s="222">
        <f>SUM(J13:K13)</f>
        <v>3529.087262</v>
      </c>
      <c r="M13" s="222">
        <f>J13*G13</f>
        <v>0</v>
      </c>
      <c r="N13" s="222">
        <f>K13*G13</f>
        <v>42349.04714</v>
      </c>
      <c r="O13" s="222">
        <f>SUM(M13:N13)</f>
        <v>42349.04714</v>
      </c>
      <c r="P13" s="486">
        <f t="shared" si="3"/>
        <v>0.2352801187</v>
      </c>
    </row>
    <row r="14">
      <c r="A14" s="212" t="s">
        <v>111</v>
      </c>
      <c r="B14" s="213" t="s">
        <v>112</v>
      </c>
      <c r="C14" s="44"/>
      <c r="D14" s="44"/>
      <c r="E14" s="44"/>
      <c r="F14" s="44"/>
      <c r="G14" s="44"/>
      <c r="H14" s="44"/>
      <c r="I14" s="44"/>
      <c r="J14" s="44"/>
      <c r="K14" s="44"/>
      <c r="L14" s="44"/>
      <c r="M14" s="214">
        <f t="shared" ref="M14:O14" si="4">SUM(M15:M17)</f>
        <v>0</v>
      </c>
      <c r="N14" s="214">
        <f t="shared" si="4"/>
        <v>8052.31687</v>
      </c>
      <c r="O14" s="214">
        <f t="shared" si="4"/>
        <v>8052.31687</v>
      </c>
      <c r="P14" s="485">
        <f t="shared" si="3"/>
        <v>0.04473654537</v>
      </c>
    </row>
    <row r="15">
      <c r="A15" s="216" t="s">
        <v>113</v>
      </c>
      <c r="B15" s="217" t="s">
        <v>114</v>
      </c>
      <c r="C15" s="224" t="str">
        <f t="shared" ref="C15:C17" si="5">IF(OR(D15="SINAPI-S",D15="SINAPI-I"),"SINAPI","PRÓPRIO")</f>
        <v>PRÓPRIO</v>
      </c>
      <c r="D15" s="225" t="s">
        <v>110</v>
      </c>
      <c r="E15" s="226" t="str">
        <f>IFERROR(IF(D15="SINAPI-S",VLOOKUP(B15,'20-B.SINAPI-S'!A:J,2,0),IF(D15="SINAPI-I",VLOOKUP(B15,'20-A.SINAPI-I'!A:G,2,0),IF(D15="COMPOSIÇÕES",VLOOKUP(B15,'11.COMPOSIÇÕES GERAIS'!B:I,2,0),VLOOKUP(B15,'12.COT.MERCADO'!A:I,2,0)))),"Em Elaboração")</f>
        <v>Serviço de Manutenção Preventiva de Nobreak de 30 KVA, revisão e limpeza geral conforme rotina estipulada em TR</v>
      </c>
      <c r="F15" s="221" t="str">
        <f>IFERROR(IF(D15="SINAPI-S",VLOOKUP(B15,'20-B.SINAPI-S'!A:J,3,0),IF(D15="SINAPI-I",VLOOKUP(B15,'20-A.SINAPI-I'!A:G,3,0),IF(D15="COMPOSIÇÕES",VLOOKUP(B15,'11.COMPOSIÇÕES GERAIS'!B:I,3,0),VLOOKUP(B15,'12.COT.MERCADO'!A:I,7,0)))),"Em Elaboração")</f>
        <v>UN </v>
      </c>
      <c r="G15" s="217">
        <v>1.0</v>
      </c>
      <c r="H15" s="222">
        <f>IFERROR(IF(D15="SINAPI-S",VLOOKUP(B15,'20-B.SINAPI-S'!A:J,5,0),IF(D15="SINAPI-I",VLOOKUP(B15,'20-A.SINAPI-I'!A:G,6,0),IF(D15="COMPOSIÇÕES",VLOOKUP(B15,'11.COMPOSIÇÕES GERAIS'!B:I,7,0),0))),"Em Elaboração")</f>
        <v>0</v>
      </c>
      <c r="I15" s="222">
        <f>IFERROR(IF(D15="SINAPI-S",VLOOKUP(B15,'20-B.SINAPI-S'!A:J,6,0),IF(D15="SINAPI-I",VLOOKUP(B15,'20-A.SINAPI-I'!A:G,7,0),IF(D15="COMPOSIÇÕES",VLOOKUP(B15,'11.COMPOSIÇÕES GERAIS'!B:I,8,0),VLOOKUP(B15,'12.COT.MERCADO'!A:I,8,0)))),"Em Elaboração")</f>
        <v>1140</v>
      </c>
      <c r="J15" s="222">
        <f t="shared" ref="J15:J17" si="6">H15*(1+$J$5)</f>
        <v>0</v>
      </c>
      <c r="K15" s="222">
        <f t="shared" ref="K15:K17" si="7">I15*(1+$J$8)</f>
        <v>1345.98845</v>
      </c>
      <c r="L15" s="222">
        <f t="shared" ref="L15:L17" si="8">SUM(J15:K15)</f>
        <v>1345.98845</v>
      </c>
      <c r="M15" s="222">
        <f t="shared" ref="M15:M17" si="9">J15*G15</f>
        <v>0</v>
      </c>
      <c r="N15" s="222">
        <f t="shared" ref="N15:N17" si="10">K15*G15</f>
        <v>1345.98845</v>
      </c>
      <c r="O15" s="222">
        <f t="shared" ref="O15:O17" si="11">SUM(M15:N15)</f>
        <v>1345.98845</v>
      </c>
      <c r="P15" s="486">
        <f t="shared" si="3"/>
        <v>0.007477956264</v>
      </c>
    </row>
    <row r="16">
      <c r="A16" s="216" t="s">
        <v>115</v>
      </c>
      <c r="B16" s="217" t="s">
        <v>116</v>
      </c>
      <c r="C16" s="227" t="str">
        <f t="shared" si="5"/>
        <v>PRÓPRIO</v>
      </c>
      <c r="D16" s="228" t="s">
        <v>110</v>
      </c>
      <c r="E16" s="226" t="str">
        <f>IFERROR(IF(D16="SINAPI-S",VLOOKUP(B16,'20-B.SINAPI-S'!A:J,2,0),IF(D16="SINAPI-I",VLOOKUP(B16,'20-A.SINAPI-I'!A:G,2,0),IF(D16="COMPOSIÇÕES",VLOOKUP(B16,'11.COMPOSIÇÕES GERAIS'!B:I,2,0),VLOOKUP(B16,'12.COT.MERCADO'!A:I,2,0)))),"Em Elaboração")</f>
        <v>Serviço de Manutenção Preventiva de Nobreak de 60 KVA, revisão e limpeza geral conforme rotina estipulada em TR</v>
      </c>
      <c r="F16" s="221" t="str">
        <f>IFERROR(IF(D16="SINAPI-S",VLOOKUP(B16,'20-B.SINAPI-S'!A:J,3,0),IF(D16="SINAPI-I",VLOOKUP(B16,'20-A.SINAPI-I'!A:G,3,0),IF(D16="COMPOSIÇÕES",VLOOKUP(B16,'11.COMPOSIÇÕES GERAIS'!B:I,3,0),VLOOKUP(B16,'12.COT.MERCADO'!A:I,7,0)))),"Em Elaboração")</f>
        <v>UN </v>
      </c>
      <c r="G16" s="217">
        <v>1.0</v>
      </c>
      <c r="H16" s="222">
        <f>IFERROR(IF(D16="SINAPI-S",VLOOKUP(B16,'20-B.SINAPI-S'!A:J,5,0),IF(D16="SINAPI-I",VLOOKUP(B16,'20-A.SINAPI-I'!A:G,6,0),IF(D16="COMPOSIÇÕES",VLOOKUP(B16,'11.COMPOSIÇÕES GERAIS'!B:I,7,0),0))),"Em Elaboração")</f>
        <v>0</v>
      </c>
      <c r="I16" s="222">
        <f>IFERROR(IF(D16="SINAPI-S",VLOOKUP(B16,'20-B.SINAPI-S'!A:J,6,0),IF(D16="SINAPI-I",VLOOKUP(B16,'20-A.SINAPI-I'!A:G,7,0),IF(D16="COMPOSIÇÕES",VLOOKUP(B16,'11.COMPOSIÇÕES GERAIS'!B:I,8,0),VLOOKUP(B16,'12.COT.MERCADO'!A:I,8,0)))),"Em Elaboração")</f>
        <v>2390</v>
      </c>
      <c r="J16" s="222">
        <f t="shared" si="6"/>
        <v>0</v>
      </c>
      <c r="K16" s="222">
        <f t="shared" si="7"/>
        <v>2821.852979</v>
      </c>
      <c r="L16" s="222">
        <f t="shared" si="8"/>
        <v>2821.852979</v>
      </c>
      <c r="M16" s="222">
        <f t="shared" si="9"/>
        <v>0</v>
      </c>
      <c r="N16" s="222">
        <f t="shared" si="10"/>
        <v>2821.852979</v>
      </c>
      <c r="O16" s="222">
        <f t="shared" si="11"/>
        <v>2821.852979</v>
      </c>
      <c r="P16" s="486">
        <f t="shared" si="3"/>
        <v>0.01567746971</v>
      </c>
    </row>
    <row r="17">
      <c r="A17" s="216" t="s">
        <v>117</v>
      </c>
      <c r="B17" s="217" t="s">
        <v>118</v>
      </c>
      <c r="C17" s="218" t="str">
        <f t="shared" si="5"/>
        <v>PRÓPRIO</v>
      </c>
      <c r="D17" s="219" t="s">
        <v>110</v>
      </c>
      <c r="E17" s="220" t="str">
        <f>IFERROR(IF(D17="SINAPI-S",VLOOKUP(B17,'20-B.SINAPI-S'!A:J,2,0),IF(D17="SINAPI-I",VLOOKUP(B17,'20-A.SINAPI-I'!A:G,2,0),IF(D17="COMPOSIÇÕES",VLOOKUP(B17,'11.COMPOSIÇÕES GERAIS'!B:I,2,0),VLOOKUP(B17,'12.COT.MERCADO'!A:I,2,0)))),"Em Elaboração")</f>
        <v>Serviço de Manutenção Preventiva de Nobreak de 100 KVA,revisão e limpeza geral conforme rotina estipulada em TR</v>
      </c>
      <c r="F17" s="221" t="str">
        <f>IFERROR(IF(D17="SINAPI-S",VLOOKUP(B17,'20-B.SINAPI-S'!A:J,3,0),IF(D17="SINAPI-I",VLOOKUP(B17,'20-A.SINAPI-I'!A:G,3,0),IF(D17="COMPOSIÇÕES",VLOOKUP(B17,'11.COMPOSIÇÕES GERAIS'!B:I,3,0),VLOOKUP(B17,'12.COT.MERCADO'!A:I,7,0)))),"Em Elaboração")</f>
        <v>UN </v>
      </c>
      <c r="G17" s="217">
        <v>1.0</v>
      </c>
      <c r="H17" s="222">
        <f>IFERROR(IF(D17="SINAPI-S",VLOOKUP(B17,'20-B.SINAPI-S'!A:J,5,0),IF(D17="SINAPI-I",VLOOKUP(B17,'20-A.SINAPI-I'!A:G,6,0),IF(D17="COMPOSIÇÕES",VLOOKUP(B17,'11.COMPOSIÇÕES GERAIS'!B:I,7,0),0))),"Em Elaboração")</f>
        <v>0</v>
      </c>
      <c r="I17" s="222">
        <f>IFERROR(IF(D17="SINAPI-S",VLOOKUP(B17,'20-B.SINAPI-S'!A:J,6,0),IF(D17="SINAPI-I",VLOOKUP(B17,'20-A.SINAPI-I'!A:G,7,0),IF(D17="COMPOSIÇÕES",VLOOKUP(B17,'11.COMPOSIÇÕES GERAIS'!B:I,8,0),VLOOKUP(B17,'12.COT.MERCADO'!A:I,8,0)))),"Em Elaboração")</f>
        <v>3290</v>
      </c>
      <c r="J17" s="222">
        <f t="shared" si="6"/>
        <v>0</v>
      </c>
      <c r="K17" s="222">
        <f t="shared" si="7"/>
        <v>3884.47544</v>
      </c>
      <c r="L17" s="222">
        <f t="shared" si="8"/>
        <v>3884.47544</v>
      </c>
      <c r="M17" s="222">
        <f t="shared" si="9"/>
        <v>0</v>
      </c>
      <c r="N17" s="222">
        <f t="shared" si="10"/>
        <v>3884.47544</v>
      </c>
      <c r="O17" s="222">
        <f t="shared" si="11"/>
        <v>3884.47544</v>
      </c>
      <c r="P17" s="486">
        <f t="shared" si="3"/>
        <v>0.02158111939</v>
      </c>
    </row>
    <row r="18">
      <c r="A18" s="212" t="s">
        <v>119</v>
      </c>
      <c r="B18" s="213" t="s">
        <v>120</v>
      </c>
      <c r="C18" s="44"/>
      <c r="D18" s="44"/>
      <c r="E18" s="44"/>
      <c r="F18" s="44"/>
      <c r="G18" s="44"/>
      <c r="H18" s="44"/>
      <c r="I18" s="44"/>
      <c r="J18" s="44"/>
      <c r="K18" s="44"/>
      <c r="L18" s="44"/>
      <c r="M18" s="214">
        <f t="shared" ref="M18:O18" si="12">SUM(M19)</f>
        <v>0</v>
      </c>
      <c r="N18" s="214">
        <f t="shared" si="12"/>
        <v>80230.43983</v>
      </c>
      <c r="O18" s="214">
        <f t="shared" si="12"/>
        <v>80230.43983</v>
      </c>
      <c r="P18" s="485">
        <f t="shared" si="3"/>
        <v>0.4457391294</v>
      </c>
    </row>
    <row r="19">
      <c r="A19" s="216" t="s">
        <v>121</v>
      </c>
      <c r="B19" s="217" t="s">
        <v>122</v>
      </c>
      <c r="C19" s="224" t="str">
        <f>IF(OR(D19="SINAPI-S",D19="SINAPI-I"),"SINAPI","PRÓPRIO")</f>
        <v>PRÓPRIO</v>
      </c>
      <c r="D19" s="225" t="s">
        <v>110</v>
      </c>
      <c r="E19" s="226" t="str">
        <f>IFERROR(IF(D19="SINAPI-S",VLOOKUP(B19,'20-B.SINAPI-S'!A:J,2,0),IF(D19="SINAPI-I",VLOOKUP(B19,'20-A.SINAPI-I'!A:G,2,0),IF(D19="COMPOSIÇÕES",VLOOKUP(B19,'11.COMPOSIÇÕES GERAIS'!B:I,2,0),VLOOKUP(B19,'12.COT.MERCADO'!A:I,2,0)))),"Em Elaboração")</f>
        <v>SERVIÇO DE MANUTENÇÃO QUADRIMESTRAL contendo: 01 (um) Sistema de climatização central composto por 04 chillers (Marca HITACHI) com as seguintes capacidades: 01 chiller de 260 TR - RCU 260AZ4ATP; 01 chiller de 210 TR - RCU 210AZ4ATP; 02 chillers de 30 TR (apenas um funcionando) - RCU 030AS2ATP e 030AS2ATP; </v>
      </c>
      <c r="F19" s="221" t="str">
        <f>IFERROR(IF(D19="SINAPI-S",VLOOKUP(B19,'20-B.SINAPI-S'!A:J,3,0),IF(D19="SINAPI-I",VLOOKUP(B19,'20-A.SINAPI-I'!A:G,3,0),IF(D19="COMPOSIÇÕES",VLOOKUP(B19,'11.COMPOSIÇÕES GERAIS'!B:I,3,0),VLOOKUP(B19,'12.COT.MERCADO'!A:I,7,0)))),"Em Elaboração")</f>
        <v>ANO </v>
      </c>
      <c r="G19" s="217">
        <v>1.0</v>
      </c>
      <c r="H19" s="222">
        <f>IFERROR(IF(D19="SINAPI-S",VLOOKUP(B19,'20-B.SINAPI-S'!A:J,5,0),IF(D19="SINAPI-I",VLOOKUP(B19,'20-A.SINAPI-I'!A:G,6,0),IF(D19="COMPOSIÇÕES",VLOOKUP(B19,'11.COMPOSIÇÕES GERAIS'!B:I,7,0),0))),"Em Elaboração")</f>
        <v>0</v>
      </c>
      <c r="I19" s="222">
        <f>IFERROR(IF(D19="SINAPI-S",VLOOKUP(B19,'20-B.SINAPI-S'!A:J,6,0),IF(D19="SINAPI-I",VLOOKUP(B19,'20-A.SINAPI-I'!A:G,7,0),IF(D19="COMPOSIÇÕES",VLOOKUP(B19,'11.COMPOSIÇÕES GERAIS'!B:I,8,0),VLOOKUP(B19,'12.COT.MERCADO'!A:I,8,0)))),"Em Elaboração")</f>
        <v>67952.07</v>
      </c>
      <c r="J19" s="222">
        <f>H19*(1+$J$5)</f>
        <v>0</v>
      </c>
      <c r="K19" s="222">
        <f>I19*(1+$J$8)</f>
        <v>80230.43983</v>
      </c>
      <c r="L19" s="222">
        <f>SUM(J19:K19)</f>
        <v>80230.43983</v>
      </c>
      <c r="M19" s="222">
        <f>J19*G19</f>
        <v>0</v>
      </c>
      <c r="N19" s="222">
        <f>K19*G19</f>
        <v>80230.43983</v>
      </c>
      <c r="O19" s="222">
        <f>SUM(M19:N19)</f>
        <v>80230.43983</v>
      </c>
      <c r="P19" s="486">
        <f t="shared" si="3"/>
        <v>0.4457391294</v>
      </c>
    </row>
    <row r="20">
      <c r="A20" s="212" t="s">
        <v>123</v>
      </c>
      <c r="B20" s="213" t="s">
        <v>124</v>
      </c>
      <c r="C20" s="44"/>
      <c r="D20" s="44"/>
      <c r="E20" s="44"/>
      <c r="F20" s="44"/>
      <c r="G20" s="44"/>
      <c r="H20" s="44"/>
      <c r="I20" s="44"/>
      <c r="J20" s="44"/>
      <c r="K20" s="44"/>
      <c r="L20" s="44"/>
      <c r="M20" s="214">
        <f t="shared" ref="M20:O20" si="13">SUM(M21)</f>
        <v>0</v>
      </c>
      <c r="N20" s="214">
        <f t="shared" si="13"/>
        <v>42349.04714</v>
      </c>
      <c r="O20" s="214">
        <f t="shared" si="13"/>
        <v>42349.04714</v>
      </c>
      <c r="P20" s="485">
        <f t="shared" si="3"/>
        <v>0.2352801187</v>
      </c>
    </row>
    <row r="21">
      <c r="A21" s="216" t="s">
        <v>125</v>
      </c>
      <c r="B21" s="217" t="s">
        <v>126</v>
      </c>
      <c r="C21" s="227" t="str">
        <f>IF(OR(D21="SINAPI-S",D21="SINAPI-I"),"SINAPI","PRÓPRIO")</f>
        <v>PRÓPRIO</v>
      </c>
      <c r="D21" s="228" t="s">
        <v>110</v>
      </c>
      <c r="E21" s="226" t="str">
        <f>IFERROR(IF(D21="SINAPI-S",VLOOKUP(B21,'20-B.SINAPI-S'!A:J,2,0),IF(D21="SINAPI-I",VLOOKUP(B21,'20-A.SINAPI-I'!A:G,2,0),IF(D21="COMPOSIÇÕES",VLOOKUP(B21,'11.COMPOSIÇÕES GERAIS'!B:I,2,0),VLOOKUP(B21,'12.COT.MERCADO'!A:I,2,0)))),"Em Elaboração")</f>
        <v>SERVIÇO DE MANUTENÇÃO PREVENTIVA, CORRETIVA E EMERGENCIAL PARA GRUPO GERADOR STEMAC 150KVA (DS 7320), MOTOR MWM COM FORNECIMENTO DE MATERIAIS E EXECUÇÃO DE ROTINAS DE SERVIÇOS CONFORME TERMO DE REFERÊNCIA. MATERIAIS INCLUSOS: 2 FILTROS DE ÓLEO DIESEL, 2 FILTROS DE ÓLEO LUBRIFICANTE, 2 JUNTAS DO BUJÃO DO CARTER, 2 FILTROS DE AR PRIMÁRIO, 2 FILTROS DE AR SECUNDÁRIO, 2 PRÉ-FILTROS, 4 ARRUELAS DE VEDAÇÃO, 2 BALDES DE ÓLEO DE 20 L, 2 MANGUEIRAS DE PRE AQUECIMENTO DE 5/8 E 8 ABRAÇADEIRAS PRÉ AQUECIMENTO.</v>
      </c>
      <c r="F21" s="221" t="str">
        <f>IFERROR(IF(D21="SINAPI-S",VLOOKUP(B21,'20-B.SINAPI-S'!A:J,3,0),IF(D21="SINAPI-I",VLOOKUP(B21,'20-A.SINAPI-I'!A:G,3,0),IF(D21="COMPOSIÇÕES",VLOOKUP(B21,'11.COMPOSIÇÕES GERAIS'!B:I,3,0),VLOOKUP(B21,'12.COT.MERCADO'!A:I,7,0)))),"Em Elaboração")</f>
        <v>MÊS</v>
      </c>
      <c r="G21" s="217">
        <v>12.0</v>
      </c>
      <c r="H21" s="222">
        <f>IFERROR(IF(D21="SINAPI-S",VLOOKUP(B21,'20-B.SINAPI-S'!A:J,5,0),IF(D21="SINAPI-I",VLOOKUP(B21,'20-A.SINAPI-I'!A:G,6,0),IF(D21="COMPOSIÇÕES",VLOOKUP(B21,'11.COMPOSIÇÕES GERAIS'!B:I,7,0),0))),"Em Elaboração")</f>
        <v>0</v>
      </c>
      <c r="I21" s="222">
        <f>IFERROR(IF(D21="SINAPI-S",VLOOKUP(B21,'20-B.SINAPI-S'!A:J,6,0),IF(D21="SINAPI-I",VLOOKUP(B21,'20-A.SINAPI-I'!A:G,7,0),IF(D21="COMPOSIÇÕES",VLOOKUP(B21,'11.COMPOSIÇÕES GERAIS'!B:I,8,0),VLOOKUP(B21,'12.COT.MERCADO'!A:I,8,0)))),"Em Elaboração")</f>
        <v>2989</v>
      </c>
      <c r="J21" s="222">
        <f>H21*(1+$J$5)</f>
        <v>0</v>
      </c>
      <c r="K21" s="222">
        <f>I21*(1+$J$8)</f>
        <v>3529.087262</v>
      </c>
      <c r="L21" s="222">
        <f>SUM(J21:K21)</f>
        <v>3529.087262</v>
      </c>
      <c r="M21" s="222">
        <f>J21*G21</f>
        <v>0</v>
      </c>
      <c r="N21" s="222">
        <f>K21*G21</f>
        <v>42349.04714</v>
      </c>
      <c r="O21" s="222">
        <f>SUM(M21:N21)</f>
        <v>42349.04714</v>
      </c>
      <c r="P21" s="486">
        <f t="shared" si="3"/>
        <v>0.2352801187</v>
      </c>
    </row>
    <row r="22">
      <c r="A22" s="212" t="s">
        <v>127</v>
      </c>
      <c r="B22" s="213" t="s">
        <v>128</v>
      </c>
      <c r="C22" s="44"/>
      <c r="D22" s="44"/>
      <c r="E22" s="44"/>
      <c r="F22" s="44"/>
      <c r="G22" s="44"/>
      <c r="H22" s="44"/>
      <c r="I22" s="44"/>
      <c r="J22" s="44"/>
      <c r="K22" s="44"/>
      <c r="L22" s="44"/>
      <c r="M22" s="214">
        <f t="shared" ref="M22:O22" si="14">SUM(M23)</f>
        <v>0</v>
      </c>
      <c r="N22" s="214">
        <f t="shared" si="14"/>
        <v>1794.651267</v>
      </c>
      <c r="O22" s="214">
        <f t="shared" si="14"/>
        <v>1794.651267</v>
      </c>
      <c r="P22" s="485">
        <f t="shared" si="3"/>
        <v>0.009970608352</v>
      </c>
    </row>
    <row r="23">
      <c r="A23" s="216" t="s">
        <v>129</v>
      </c>
      <c r="B23" s="217" t="s">
        <v>130</v>
      </c>
      <c r="C23" s="227" t="str">
        <f>IF(OR(D23="SINAPI-S",D23="SINAPI-I"),"SINAPI","PRÓPRIO")</f>
        <v>PRÓPRIO</v>
      </c>
      <c r="D23" s="228" t="s">
        <v>110</v>
      </c>
      <c r="E23" s="226" t="str">
        <f>IFERROR(IF(D23="SINAPI-S",VLOOKUP(B23,'20-B.SINAPI-S'!A:J,2,0),IF(D23="SINAPI-I",VLOOKUP(B23,'20-A.SINAPI-I'!A:G,2,0),IF(D23="COMPOSIÇÕES",VLOOKUP(B23,'11.COMPOSIÇÕES GERAIS'!B:I,2,0),VLOOKUP(B23,'12.COT.MERCADO'!A:I,2,0)))),"Em Elaboração")</f>
        <v>Serviço de Manutenção Preventiva de Nobreak de 40 KVA, revisão e limpeza geral conforme rotina estipulada em TR</v>
      </c>
      <c r="F23" s="221" t="str">
        <f>IFERROR(IF(D23="SINAPI-S",VLOOKUP(B23,'20-B.SINAPI-S'!A:J,3,0),IF(D23="SINAPI-I",VLOOKUP(B23,'20-A.SINAPI-I'!A:G,3,0),IF(D23="COMPOSIÇÕES",VLOOKUP(B23,'11.COMPOSIÇÕES GERAIS'!B:I,3,0),VLOOKUP(B23,'12.COT.MERCADO'!A:I,7,0)))),"Em Elaboração")</f>
        <v>UN </v>
      </c>
      <c r="G23" s="217">
        <v>1.0</v>
      </c>
      <c r="H23" s="222">
        <f>IFERROR(IF(D23="SINAPI-S",VLOOKUP(B23,'20-B.SINAPI-S'!A:J,5,0),IF(D23="SINAPI-I",VLOOKUP(B23,'20-A.SINAPI-I'!A:G,6,0),IF(D23="COMPOSIÇÕES",VLOOKUP(B23,'11.COMPOSIÇÕES GERAIS'!B:I,7,0),0))),"Em Elaboração")</f>
        <v>0</v>
      </c>
      <c r="I23" s="222">
        <f>IFERROR(IF(D23="SINAPI-S",VLOOKUP(B23,'20-B.SINAPI-S'!A:J,6,0),IF(D23="SINAPI-I",VLOOKUP(B23,'20-A.SINAPI-I'!A:G,7,0),IF(D23="COMPOSIÇÕES",VLOOKUP(B23,'11.COMPOSIÇÕES GERAIS'!B:I,8,0),VLOOKUP(B23,'12.COT.MERCADO'!A:I,8,0)))),"Em Elaboração")</f>
        <v>1520</v>
      </c>
      <c r="J23" s="222">
        <f>H23*(1+$J$5)</f>
        <v>0</v>
      </c>
      <c r="K23" s="222">
        <f>I23*(1+$J$8)</f>
        <v>1794.651267</v>
      </c>
      <c r="L23" s="222">
        <f>SUM(J23:K23)</f>
        <v>1794.651267</v>
      </c>
      <c r="M23" s="222">
        <f>J23*G23</f>
        <v>0</v>
      </c>
      <c r="N23" s="222">
        <f>K23*G23</f>
        <v>1794.651267</v>
      </c>
      <c r="O23" s="222">
        <f>SUM(M23:N23)</f>
        <v>1794.651267</v>
      </c>
      <c r="P23" s="486">
        <f t="shared" si="3"/>
        <v>0.009970608352</v>
      </c>
    </row>
    <row r="24">
      <c r="A24" s="212" t="s">
        <v>131</v>
      </c>
      <c r="B24" s="213" t="s">
        <v>132</v>
      </c>
      <c r="C24" s="44"/>
      <c r="D24" s="44"/>
      <c r="E24" s="44"/>
      <c r="F24" s="44"/>
      <c r="G24" s="44"/>
      <c r="H24" s="44"/>
      <c r="I24" s="44"/>
      <c r="J24" s="44"/>
      <c r="K24" s="44"/>
      <c r="L24" s="44"/>
      <c r="M24" s="214">
        <f t="shared" ref="M24:O24" si="15">SUM(M25)</f>
        <v>0</v>
      </c>
      <c r="N24" s="214">
        <f t="shared" si="15"/>
        <v>1487.671445</v>
      </c>
      <c r="O24" s="214">
        <f t="shared" si="15"/>
        <v>1487.671445</v>
      </c>
      <c r="P24" s="485">
        <f t="shared" si="3"/>
        <v>0.008265109555</v>
      </c>
    </row>
    <row r="25">
      <c r="A25" s="216" t="s">
        <v>133</v>
      </c>
      <c r="B25" s="217" t="s">
        <v>134</v>
      </c>
      <c r="C25" s="227" t="str">
        <f>IF(OR(D25="SINAPI-S",D25="SINAPI-I"),"SINAPI","PRÓPRIO")</f>
        <v>PRÓPRIO</v>
      </c>
      <c r="D25" s="228" t="s">
        <v>110</v>
      </c>
      <c r="E25" s="226" t="str">
        <f>IFERROR(IF(D25="SINAPI-S",VLOOKUP(B25,'20-B.SINAPI-S'!A:J,2,0),IF(D25="SINAPI-I",VLOOKUP(B25,'20-A.SINAPI-I'!A:G,2,0),IF(D25="COMPOSIÇÕES",VLOOKUP(B25,'11.COMPOSIÇÕES GERAIS'!B:I,2,0),VLOOKUP(B25,'12.COT.MERCADO'!A:I,2,0)))),"Em Elaboração")</f>
        <v>Serviço de Manutenção Preventiva de Nobreak até 5 KVA, revisão e limpeza geral conforme rotina estipulada em TR</v>
      </c>
      <c r="F25" s="221" t="str">
        <f>IFERROR(IF(D25="SINAPI-S",VLOOKUP(B25,'20-B.SINAPI-S'!A:J,3,0),IF(D25="SINAPI-I",VLOOKUP(B25,'20-A.SINAPI-I'!A:G,3,0),IF(D25="COMPOSIÇÕES",VLOOKUP(B25,'11.COMPOSIÇÕES GERAIS'!B:I,3,0),VLOOKUP(B25,'12.COT.MERCADO'!A:I,7,0)))),"Em Elaboração")</f>
        <v>UN </v>
      </c>
      <c r="G25" s="217">
        <v>1.0</v>
      </c>
      <c r="H25" s="222">
        <f>IFERROR(IF(D25="SINAPI-S",VLOOKUP(B25,'20-B.SINAPI-S'!A:J,5,0),IF(D25="SINAPI-I",VLOOKUP(B25,'20-A.SINAPI-I'!A:G,6,0),IF(D25="COMPOSIÇÕES",VLOOKUP(B25,'11.COMPOSIÇÕES GERAIS'!B:I,7,0),0))),"Em Elaboração")</f>
        <v>0</v>
      </c>
      <c r="I25" s="222">
        <f>IFERROR(IF(D25="SINAPI-S",VLOOKUP(B25,'20-B.SINAPI-S'!A:J,6,0),IF(D25="SINAPI-I",VLOOKUP(B25,'20-A.SINAPI-I'!A:G,7,0),IF(D25="COMPOSIÇÕES",VLOOKUP(B25,'11.COMPOSIÇÕES GERAIS'!B:I,8,0),VLOOKUP(B25,'12.COT.MERCADO'!A:I,8,0)))),"Em Elaboração")</f>
        <v>1260</v>
      </c>
      <c r="J25" s="222">
        <f>H25*(1+$J$5)</f>
        <v>0</v>
      </c>
      <c r="K25" s="222">
        <f>I25*(1+$J$8)</f>
        <v>1487.671445</v>
      </c>
      <c r="L25" s="222">
        <f>SUM(J25:K25)</f>
        <v>1487.671445</v>
      </c>
      <c r="M25" s="222">
        <f>J25*G25</f>
        <v>0</v>
      </c>
      <c r="N25" s="222">
        <f>K25*G25</f>
        <v>1487.671445</v>
      </c>
      <c r="O25" s="222">
        <f>SUM(M25:N25)</f>
        <v>1487.671445</v>
      </c>
      <c r="P25" s="486">
        <f t="shared" si="3"/>
        <v>0.008265109555</v>
      </c>
    </row>
    <row r="26">
      <c r="A26" s="212" t="s">
        <v>135</v>
      </c>
      <c r="B26" s="213" t="s">
        <v>136</v>
      </c>
      <c r="C26" s="44"/>
      <c r="D26" s="44"/>
      <c r="E26" s="44"/>
      <c r="F26" s="44"/>
      <c r="G26" s="44"/>
      <c r="H26" s="44"/>
      <c r="I26" s="44"/>
      <c r="J26" s="44"/>
      <c r="K26" s="44"/>
      <c r="L26" s="44"/>
      <c r="M26" s="214">
        <f t="shared" ref="M26:O26" si="16">SUM(M27:M28)</f>
        <v>0</v>
      </c>
      <c r="N26" s="214">
        <f t="shared" si="16"/>
        <v>2609.328487</v>
      </c>
      <c r="O26" s="214">
        <f t="shared" si="16"/>
        <v>2609.328487</v>
      </c>
      <c r="P26" s="485">
        <f t="shared" si="3"/>
        <v>0.01449673978</v>
      </c>
    </row>
    <row r="27">
      <c r="A27" s="216" t="s">
        <v>137</v>
      </c>
      <c r="B27" s="217" t="s">
        <v>134</v>
      </c>
      <c r="C27" s="227" t="str">
        <f t="shared" ref="C27:C28" si="17">IF(OR(D27="SINAPI-S",D27="SINAPI-I"),"SINAPI","PRÓPRIO")</f>
        <v>PRÓPRIO</v>
      </c>
      <c r="D27" s="228" t="s">
        <v>110</v>
      </c>
      <c r="E27" s="226" t="str">
        <f>IFERROR(IF(D27="SINAPI-S",VLOOKUP(B27,'20-B.SINAPI-S'!A:J,2,0),IF(D27="SINAPI-I",VLOOKUP(B27,'20-A.SINAPI-I'!A:G,2,0),IF(D27="COMPOSIÇÕES",VLOOKUP(B27,'11.COMPOSIÇÕES GERAIS'!B:I,2,0),VLOOKUP(B27,'12.COT.MERCADO'!A:I,2,0)))),"Em Elaboração")</f>
        <v>Serviço de Manutenção Preventiva de Nobreak até 5 KVA, revisão e limpeza geral conforme rotina estipulada em TR</v>
      </c>
      <c r="F27" s="221" t="str">
        <f>IFERROR(IF(D27="SINAPI-S",VLOOKUP(B27,'20-B.SINAPI-S'!A:J,3,0),IF(D27="SINAPI-I",VLOOKUP(B27,'20-A.SINAPI-I'!A:G,3,0),IF(D27="COMPOSIÇÕES",VLOOKUP(B27,'11.COMPOSIÇÕES GERAIS'!B:I,3,0),VLOOKUP(B27,'12.COT.MERCADO'!A:I,7,0)))),"Em Elaboração")</f>
        <v>UN </v>
      </c>
      <c r="G27" s="217">
        <v>1.0</v>
      </c>
      <c r="H27" s="222">
        <f>IFERROR(IF(D27="SINAPI-S",VLOOKUP(B27,'20-B.SINAPI-S'!A:J,5,0),IF(D27="SINAPI-I",VLOOKUP(B27,'20-A.SINAPI-I'!A:G,6,0),IF(D27="COMPOSIÇÕES",VLOOKUP(B27,'11.COMPOSIÇÕES GERAIS'!B:I,7,0),0))),"Em Elaboração")</f>
        <v>0</v>
      </c>
      <c r="I27" s="222">
        <f>IFERROR(IF(D27="SINAPI-S",VLOOKUP(B27,'20-B.SINAPI-S'!A:J,6,0),IF(D27="SINAPI-I",VLOOKUP(B27,'20-A.SINAPI-I'!A:G,7,0),IF(D27="COMPOSIÇÕES",VLOOKUP(B27,'11.COMPOSIÇÕES GERAIS'!B:I,8,0),VLOOKUP(B27,'12.COT.MERCADO'!A:I,8,0)))),"Em Elaboração")</f>
        <v>1260</v>
      </c>
      <c r="J27" s="222">
        <f t="shared" ref="J27:J28" si="18">H27*(1+$J$5)</f>
        <v>0</v>
      </c>
      <c r="K27" s="222">
        <f t="shared" ref="K27:K28" si="19">I27*(1+$J$8)</f>
        <v>1487.671445</v>
      </c>
      <c r="L27" s="222">
        <f t="shared" ref="L27:L28" si="20">SUM(J27:K27)</f>
        <v>1487.671445</v>
      </c>
      <c r="M27" s="222">
        <f t="shared" ref="M27:M28" si="21">J27*G27</f>
        <v>0</v>
      </c>
      <c r="N27" s="222">
        <f t="shared" ref="N27:N28" si="22">K27*G27</f>
        <v>1487.671445</v>
      </c>
      <c r="O27" s="222">
        <f t="shared" ref="O27:O28" si="23">SUM(M27:N27)</f>
        <v>1487.671445</v>
      </c>
      <c r="P27" s="486">
        <f t="shared" si="3"/>
        <v>0.008265109555</v>
      </c>
    </row>
    <row r="28">
      <c r="A28" s="216" t="s">
        <v>138</v>
      </c>
      <c r="B28" s="217" t="s">
        <v>139</v>
      </c>
      <c r="C28" s="227" t="str">
        <f t="shared" si="17"/>
        <v>PRÓPRIO</v>
      </c>
      <c r="D28" s="228" t="s">
        <v>110</v>
      </c>
      <c r="E28" s="226" t="str">
        <f>IFERROR(IF(D28="SINAPI-S",VLOOKUP(B28,'20-B.SINAPI-S'!A:J,2,0),IF(D28="SINAPI-I",VLOOKUP(B28,'20-A.SINAPI-I'!A:G,2,0),IF(D28="COMPOSIÇÕES",VLOOKUP(B28,'11.COMPOSIÇÕES GERAIS'!B:I,2,0),VLOOKUP(B28,'12.COT.MERCADO'!A:I,2,0)))),"Em Elaboração")</f>
        <v>Serviço de Manutenção Preventiva de Nobreak de 20 KVA, revisão e limpeza geral conforme rotina estipulada em TR</v>
      </c>
      <c r="F28" s="221" t="str">
        <f>IFERROR(IF(D28="SINAPI-S",VLOOKUP(B28,'20-B.SINAPI-S'!A:J,3,0),IF(D28="SINAPI-I",VLOOKUP(B28,'20-A.SINAPI-I'!A:G,3,0),IF(D28="COMPOSIÇÕES",VLOOKUP(B28,'11.COMPOSIÇÕES GERAIS'!B:I,3,0),VLOOKUP(B28,'12.COT.MERCADO'!A:I,7,0)))),"Em Elaboração")</f>
        <v>UN </v>
      </c>
      <c r="G28" s="217">
        <v>1.0</v>
      </c>
      <c r="H28" s="222">
        <f>IFERROR(IF(D28="SINAPI-S",VLOOKUP(B28,'20-B.SINAPI-S'!A:J,5,0),IF(D28="SINAPI-I",VLOOKUP(B28,'20-A.SINAPI-I'!A:G,6,0),IF(D28="COMPOSIÇÕES",VLOOKUP(B28,'11.COMPOSIÇÕES GERAIS'!B:I,7,0),0))),"Em Elaboração")</f>
        <v>0</v>
      </c>
      <c r="I28" s="222">
        <f>IFERROR(IF(D28="SINAPI-S",VLOOKUP(B28,'20-B.SINAPI-S'!A:J,6,0),IF(D28="SINAPI-I",VLOOKUP(B28,'20-A.SINAPI-I'!A:G,7,0),IF(D28="COMPOSIÇÕES",VLOOKUP(B28,'11.COMPOSIÇÕES GERAIS'!B:I,8,0),VLOOKUP(B28,'12.COT.MERCADO'!A:I,8,0)))),"Em Elaboração")</f>
        <v>950</v>
      </c>
      <c r="J28" s="222">
        <f t="shared" si="18"/>
        <v>0</v>
      </c>
      <c r="K28" s="222">
        <f t="shared" si="19"/>
        <v>1121.657042</v>
      </c>
      <c r="L28" s="222">
        <f t="shared" si="20"/>
        <v>1121.657042</v>
      </c>
      <c r="M28" s="222">
        <f t="shared" si="21"/>
        <v>0</v>
      </c>
      <c r="N28" s="222">
        <f t="shared" si="22"/>
        <v>1121.657042</v>
      </c>
      <c r="O28" s="222">
        <f t="shared" si="23"/>
        <v>1121.657042</v>
      </c>
      <c r="P28" s="486">
        <f t="shared" si="3"/>
        <v>0.00623163022</v>
      </c>
    </row>
    <row r="29">
      <c r="A29" s="212" t="s">
        <v>140</v>
      </c>
      <c r="B29" s="213" t="s">
        <v>141</v>
      </c>
      <c r="C29" s="44"/>
      <c r="D29" s="44"/>
      <c r="E29" s="44"/>
      <c r="F29" s="44"/>
      <c r="G29" s="44"/>
      <c r="H29" s="44"/>
      <c r="I29" s="44"/>
      <c r="J29" s="44"/>
      <c r="K29" s="44"/>
      <c r="L29" s="44"/>
      <c r="M29" s="214">
        <f t="shared" ref="M29:O29" si="24">SUM(M30)</f>
        <v>0</v>
      </c>
      <c r="N29" s="214">
        <f t="shared" si="24"/>
        <v>1121.657042</v>
      </c>
      <c r="O29" s="214">
        <f t="shared" si="24"/>
        <v>1121.657042</v>
      </c>
      <c r="P29" s="485">
        <f t="shared" si="3"/>
        <v>0.00623163022</v>
      </c>
    </row>
    <row r="30">
      <c r="A30" s="216" t="s">
        <v>142</v>
      </c>
      <c r="B30" s="217" t="s">
        <v>139</v>
      </c>
      <c r="C30" s="227" t="str">
        <f>IF(OR(D30="SINAPI-S",D30="SINAPI-I"),"SINAPI","PRÓPRIO")</f>
        <v>PRÓPRIO</v>
      </c>
      <c r="D30" s="228" t="s">
        <v>110</v>
      </c>
      <c r="E30" s="226" t="str">
        <f>IFERROR(IF(D30="SINAPI-S",VLOOKUP(B30,'20-B.SINAPI-S'!A:J,2,0),IF(D30="SINAPI-I",VLOOKUP(B30,'20-A.SINAPI-I'!A:G,2,0),IF(D30="COMPOSIÇÕES",VLOOKUP(B30,'11.COMPOSIÇÕES GERAIS'!B:I,2,0),VLOOKUP(B30,'12.COT.MERCADO'!A:I,2,0)))),"Em Elaboração")</f>
        <v>Serviço de Manutenção Preventiva de Nobreak de 20 KVA, revisão e limpeza geral conforme rotina estipulada em TR</v>
      </c>
      <c r="F30" s="221" t="str">
        <f>IFERROR(IF(D30="SINAPI-S",VLOOKUP(B30,'20-B.SINAPI-S'!A:J,3,0),IF(D30="SINAPI-I",VLOOKUP(B30,'20-A.SINAPI-I'!A:G,3,0),IF(D30="COMPOSIÇÕES",VLOOKUP(B30,'11.COMPOSIÇÕES GERAIS'!B:I,3,0),VLOOKUP(B30,'12.COT.MERCADO'!A:I,7,0)))),"Em Elaboração")</f>
        <v>UN </v>
      </c>
      <c r="G30" s="217">
        <v>1.0</v>
      </c>
      <c r="H30" s="222">
        <f>IFERROR(IF(D30="SINAPI-S",VLOOKUP(B30,'20-B.SINAPI-S'!A:J,5,0),IF(D30="SINAPI-I",VLOOKUP(B30,'20-A.SINAPI-I'!A:G,6,0),IF(D30="COMPOSIÇÕES",VLOOKUP(B30,'11.COMPOSIÇÕES GERAIS'!B:I,7,0),0))),"Em Elaboração")</f>
        <v>0</v>
      </c>
      <c r="I30" s="222">
        <f>IFERROR(IF(D30="SINAPI-S",VLOOKUP(B30,'20-B.SINAPI-S'!A:J,6,0),IF(D30="SINAPI-I",VLOOKUP(B30,'20-A.SINAPI-I'!A:G,7,0),IF(D30="COMPOSIÇÕES",VLOOKUP(B30,'11.COMPOSIÇÕES GERAIS'!B:I,8,0),VLOOKUP(B30,'12.COT.MERCADO'!A:I,8,0)))),"Em Elaboração")</f>
        <v>950</v>
      </c>
      <c r="J30" s="222">
        <f>H30*(1+$J$5)</f>
        <v>0</v>
      </c>
      <c r="K30" s="222">
        <f>I30*(1+$J$8)</f>
        <v>1121.657042</v>
      </c>
      <c r="L30" s="222">
        <f>SUM(J30:K30)</f>
        <v>1121.657042</v>
      </c>
      <c r="M30" s="222">
        <f>J30*G30</f>
        <v>0</v>
      </c>
      <c r="N30" s="222">
        <f>K30*G30</f>
        <v>1121.657042</v>
      </c>
      <c r="O30" s="222">
        <f>SUM(M30:N30)</f>
        <v>1121.657042</v>
      </c>
      <c r="P30" s="486">
        <f t="shared" si="3"/>
        <v>0.00623163022</v>
      </c>
    </row>
    <row r="31">
      <c r="A31" s="269"/>
      <c r="B31" s="270"/>
      <c r="L31" s="271" t="s">
        <v>1396</v>
      </c>
      <c r="M31" s="272">
        <f t="shared" ref="M31:O31" si="25">SUM(M11)</f>
        <v>0</v>
      </c>
      <c r="N31" s="272">
        <f t="shared" si="25"/>
        <v>179994.1592</v>
      </c>
      <c r="O31" s="272">
        <f t="shared" si="25"/>
        <v>179994.1592</v>
      </c>
    </row>
    <row r="32">
      <c r="A32" s="269"/>
      <c r="B32" s="270"/>
      <c r="M32" s="273">
        <f t="shared" ref="M32:N32" si="26">M31/$O31</f>
        <v>0</v>
      </c>
      <c r="N32" s="273">
        <f t="shared" si="26"/>
        <v>1</v>
      </c>
    </row>
    <row r="33">
      <c r="A33" s="269"/>
      <c r="B33" s="270"/>
      <c r="M33" s="274"/>
      <c r="N33" s="274"/>
      <c r="O33" s="275"/>
      <c r="P33" s="275"/>
    </row>
    <row r="34">
      <c r="A34" s="269"/>
      <c r="B34" s="270"/>
      <c r="L34" s="276"/>
      <c r="M34" s="277" t="s">
        <v>1397</v>
      </c>
      <c r="N34" s="27"/>
      <c r="O34" s="278">
        <f>SUMPRODUCT(H11:H30,G11:G30)+SUMPRODUCT(I11:I30,G11:G30)</f>
        <v>152448.07</v>
      </c>
      <c r="P34" s="27"/>
    </row>
    <row r="35">
      <c r="A35" s="269"/>
      <c r="B35" s="270"/>
      <c r="L35" s="280"/>
      <c r="M35" s="281" t="s">
        <v>1398</v>
      </c>
      <c r="N35" s="50"/>
      <c r="O35" s="282">
        <f>O36-O34</f>
        <v>27546.08922</v>
      </c>
      <c r="P35" s="50"/>
    </row>
    <row r="36">
      <c r="A36" s="269"/>
      <c r="B36" s="270"/>
      <c r="L36" s="280"/>
      <c r="M36" s="281" t="s">
        <v>1399</v>
      </c>
      <c r="N36" s="50"/>
      <c r="O36" s="283">
        <f>SUM(O31)</f>
        <v>179994.1592</v>
      </c>
      <c r="P36" s="50"/>
    </row>
    <row r="37">
      <c r="A37" s="269"/>
      <c r="B37" s="270"/>
    </row>
  </sheetData>
  <mergeCells count="34">
    <mergeCell ref="A1:C1"/>
    <mergeCell ref="E1:K1"/>
    <mergeCell ref="L1:N1"/>
    <mergeCell ref="O1:P1"/>
    <mergeCell ref="F3:H3"/>
    <mergeCell ref="J3:O3"/>
    <mergeCell ref="F4:H5"/>
    <mergeCell ref="F9:F10"/>
    <mergeCell ref="G9:G10"/>
    <mergeCell ref="H9:I9"/>
    <mergeCell ref="J9:L9"/>
    <mergeCell ref="J7:O7"/>
    <mergeCell ref="J8:O8"/>
    <mergeCell ref="A9:A10"/>
    <mergeCell ref="B9:B10"/>
    <mergeCell ref="C9:C10"/>
    <mergeCell ref="D9:D10"/>
    <mergeCell ref="M9:O9"/>
    <mergeCell ref="E9:E10"/>
    <mergeCell ref="B11:L11"/>
    <mergeCell ref="B12:L12"/>
    <mergeCell ref="B14:L14"/>
    <mergeCell ref="B18:L18"/>
    <mergeCell ref="B20:L20"/>
    <mergeCell ref="B22:L22"/>
    <mergeCell ref="M36:N36"/>
    <mergeCell ref="O36:P36"/>
    <mergeCell ref="B24:L24"/>
    <mergeCell ref="B26:L26"/>
    <mergeCell ref="B29:L29"/>
    <mergeCell ref="M34:N34"/>
    <mergeCell ref="O34:P34"/>
    <mergeCell ref="M35:N35"/>
    <mergeCell ref="O35:P35"/>
  </mergeCells>
  <dataValidations>
    <dataValidation type="list" allowBlank="1" showErrorMessage="1" sqref="D13 D15:D17 D19 D21 D23 D25 D27:D28 D30">
      <formula1>"SINAPI-S,SINAPI-I,COMPOSIÇÕES,COT.MERCADO"</formula1>
    </dataValidation>
  </dataValidations>
  <hyperlinks>
    <hyperlink display="SUMÁRIO" location="'QUADRO RESUMO'!B16:D17" ref="O1"/>
  </hyperlinks>
  <printOptions/>
  <pageMargins bottom="0.75" footer="0.0" header="0.0" left="0.25" right="0.25" top="0.75"/>
  <pageSetup fitToHeight="0" paperSize="9"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497D"/>
    <pageSetUpPr fitToPage="1"/>
  </sheetPr>
  <sheetViews>
    <sheetView showGridLines="0" workbookViewId="0"/>
  </sheetViews>
  <sheetFormatPr customHeight="1" defaultColWidth="14.43" defaultRowHeight="15.0"/>
  <cols>
    <col customWidth="1" min="1" max="1" width="5.29"/>
    <col customWidth="1" min="2" max="2" width="8.71"/>
    <col customWidth="1" min="3" max="3" width="10.86"/>
    <col customWidth="1" min="4" max="4" width="8.71"/>
    <col customWidth="1" min="5" max="5" width="6.29"/>
    <col customWidth="1" min="6" max="6" width="7.86"/>
    <col customWidth="1" min="7" max="7" width="19.71"/>
    <col customWidth="1" min="8" max="8" width="6.57"/>
    <col customWidth="1" min="9" max="11" width="8.71"/>
    <col customWidth="1" min="12" max="12" width="14.43"/>
  </cols>
  <sheetData>
    <row r="1" ht="58.5" customHeight="1">
      <c r="A1" s="487" t="s">
        <v>1612</v>
      </c>
      <c r="B1" s="36"/>
      <c r="C1" s="36"/>
      <c r="D1" s="487"/>
      <c r="E1" s="488" t="s">
        <v>1613</v>
      </c>
      <c r="F1" s="44"/>
      <c r="G1" s="44"/>
      <c r="H1" s="44"/>
      <c r="I1" s="44"/>
      <c r="J1" s="44"/>
      <c r="K1" s="287" t="s">
        <v>29</v>
      </c>
      <c r="L1" s="44"/>
    </row>
    <row r="2" ht="14.25" customHeight="1">
      <c r="A2" s="489" t="s">
        <v>1614</v>
      </c>
      <c r="B2" s="44"/>
      <c r="C2" s="44"/>
      <c r="D2" s="44"/>
      <c r="E2" s="44"/>
      <c r="F2" s="44"/>
      <c r="G2" s="44"/>
      <c r="H2" s="44"/>
      <c r="I2" s="44"/>
      <c r="J2" s="44"/>
      <c r="K2" s="44"/>
      <c r="L2" s="320"/>
    </row>
    <row r="3" ht="14.25" customHeight="1">
      <c r="A3" s="489" t="s">
        <v>1615</v>
      </c>
      <c r="B3" s="44"/>
      <c r="C3" s="44"/>
      <c r="D3" s="44"/>
      <c r="E3" s="44"/>
      <c r="F3" s="44"/>
      <c r="G3" s="320"/>
      <c r="H3" s="490" t="s">
        <v>1616</v>
      </c>
      <c r="I3" s="44"/>
      <c r="J3" s="44"/>
      <c r="K3" s="44"/>
      <c r="L3" s="320"/>
    </row>
    <row r="4" ht="42.75" customHeight="1">
      <c r="A4" s="491" t="s">
        <v>1617</v>
      </c>
      <c r="B4" s="44"/>
      <c r="C4" s="44"/>
      <c r="D4" s="44"/>
      <c r="E4" s="44"/>
      <c r="F4" s="44"/>
      <c r="G4" s="320"/>
      <c r="H4" s="492" t="s">
        <v>1618</v>
      </c>
      <c r="I4" s="44"/>
      <c r="J4" s="44"/>
      <c r="K4" s="44"/>
      <c r="L4" s="320"/>
    </row>
    <row r="5" ht="14.25" customHeight="1">
      <c r="A5" s="493" t="s">
        <v>1619</v>
      </c>
      <c r="B5" s="494"/>
      <c r="C5" s="495"/>
      <c r="D5" s="496" t="s">
        <v>1620</v>
      </c>
      <c r="E5" s="44"/>
      <c r="F5" s="320"/>
      <c r="G5" s="497" t="s">
        <v>1621</v>
      </c>
      <c r="H5" s="495"/>
      <c r="I5" s="497" t="s">
        <v>1622</v>
      </c>
      <c r="J5" s="495"/>
      <c r="K5" s="498">
        <f>((1+H10+H8+H7)*(1+H9)*(1+H11))/(1-H12)-1</f>
        <v>0.17392297</v>
      </c>
      <c r="L5" s="495"/>
    </row>
    <row r="6" ht="14.25" customHeight="1">
      <c r="A6" s="294"/>
      <c r="B6" s="36"/>
      <c r="C6" s="189"/>
      <c r="D6" s="499" t="s">
        <v>1623</v>
      </c>
      <c r="E6" s="499" t="s">
        <v>1624</v>
      </c>
      <c r="F6" s="499" t="s">
        <v>1625</v>
      </c>
      <c r="G6" s="294"/>
      <c r="H6" s="189"/>
      <c r="I6" s="294"/>
      <c r="J6" s="189"/>
      <c r="K6" s="294"/>
      <c r="L6" s="189"/>
    </row>
    <row r="7" ht="14.25" customHeight="1">
      <c r="A7" s="500">
        <v>1.0</v>
      </c>
      <c r="B7" s="501" t="s">
        <v>1626</v>
      </c>
      <c r="C7" s="320"/>
      <c r="D7" s="502">
        <v>0.008</v>
      </c>
      <c r="E7" s="502">
        <v>0.008</v>
      </c>
      <c r="F7" s="502">
        <v>0.01</v>
      </c>
      <c r="G7" s="503" t="s">
        <v>1626</v>
      </c>
      <c r="H7" s="504">
        <v>0.008</v>
      </c>
      <c r="I7" s="505" t="s">
        <v>1627</v>
      </c>
      <c r="J7" s="494"/>
      <c r="K7" s="494"/>
      <c r="L7" s="495"/>
    </row>
    <row r="8" ht="14.25" customHeight="1">
      <c r="A8" s="500">
        <v>2.0</v>
      </c>
      <c r="B8" s="501" t="s">
        <v>1628</v>
      </c>
      <c r="C8" s="320"/>
      <c r="D8" s="502">
        <v>0.0097</v>
      </c>
      <c r="E8" s="502">
        <v>0.0127</v>
      </c>
      <c r="F8" s="502">
        <v>0.0127</v>
      </c>
      <c r="G8" s="503" t="s">
        <v>1628</v>
      </c>
      <c r="H8" s="506">
        <v>0.0097</v>
      </c>
      <c r="I8" s="294"/>
      <c r="J8" s="36"/>
      <c r="K8" s="36"/>
      <c r="L8" s="189"/>
    </row>
    <row r="9" ht="14.25" customHeight="1">
      <c r="A9" s="500">
        <v>3.0</v>
      </c>
      <c r="B9" s="501" t="s">
        <v>1629</v>
      </c>
      <c r="C9" s="320"/>
      <c r="D9" s="502">
        <v>0.0059</v>
      </c>
      <c r="E9" s="502">
        <v>0.0123</v>
      </c>
      <c r="F9" s="502">
        <v>0.0139</v>
      </c>
      <c r="G9" s="503" t="s">
        <v>1629</v>
      </c>
      <c r="H9" s="506">
        <v>0.0059</v>
      </c>
      <c r="I9" s="507" t="s">
        <v>1630</v>
      </c>
      <c r="J9" s="44"/>
      <c r="K9" s="44"/>
      <c r="L9" s="320"/>
    </row>
    <row r="10" ht="14.25" customHeight="1">
      <c r="A10" s="500">
        <v>4.0</v>
      </c>
      <c r="B10" s="501" t="s">
        <v>1631</v>
      </c>
      <c r="C10" s="320"/>
      <c r="D10" s="502">
        <v>0.03</v>
      </c>
      <c r="E10" s="502">
        <v>0.04</v>
      </c>
      <c r="F10" s="508">
        <v>0.055</v>
      </c>
      <c r="G10" s="503" t="s">
        <v>1631</v>
      </c>
      <c r="H10" s="506">
        <v>0.0145</v>
      </c>
      <c r="I10" s="509" t="s">
        <v>1632</v>
      </c>
      <c r="J10" s="44"/>
      <c r="K10" s="44"/>
      <c r="L10" s="320"/>
    </row>
    <row r="11" ht="14.25" customHeight="1">
      <c r="A11" s="500">
        <v>5.0</v>
      </c>
      <c r="B11" s="501" t="s">
        <v>1633</v>
      </c>
      <c r="C11" s="320"/>
      <c r="D11" s="502">
        <v>0.0616</v>
      </c>
      <c r="E11" s="502">
        <v>0.074</v>
      </c>
      <c r="F11" s="502">
        <v>0.0896</v>
      </c>
      <c r="G11" s="503" t="s">
        <v>1633</v>
      </c>
      <c r="H11" s="506">
        <v>0.0265</v>
      </c>
      <c r="I11" s="510" t="s">
        <v>1634</v>
      </c>
      <c r="J11" s="494"/>
      <c r="K11" s="494"/>
      <c r="L11" s="495"/>
    </row>
    <row r="12" ht="14.25" customHeight="1">
      <c r="A12" s="500">
        <v>6.0</v>
      </c>
      <c r="B12" s="501" t="s">
        <v>1635</v>
      </c>
      <c r="C12" s="320"/>
      <c r="D12" s="511" t="s">
        <v>1636</v>
      </c>
      <c r="E12" s="44"/>
      <c r="F12" s="320"/>
      <c r="G12" s="503" t="s">
        <v>1637</v>
      </c>
      <c r="H12" s="512">
        <f>SUM(H13:H16)</f>
        <v>0.0921</v>
      </c>
      <c r="I12" s="513"/>
      <c r="L12" s="301"/>
    </row>
    <row r="13" ht="14.25" customHeight="1">
      <c r="A13" s="500" t="s">
        <v>554</v>
      </c>
      <c r="B13" s="501" t="s">
        <v>1638</v>
      </c>
      <c r="C13" s="320"/>
      <c r="D13" s="511" t="s">
        <v>1636</v>
      </c>
      <c r="E13" s="44"/>
      <c r="F13" s="320"/>
      <c r="G13" s="503" t="s">
        <v>1638</v>
      </c>
      <c r="H13" s="514">
        <v>0.0076</v>
      </c>
      <c r="I13" s="513"/>
      <c r="L13" s="301"/>
    </row>
    <row r="14" ht="14.25" customHeight="1">
      <c r="A14" s="500" t="s">
        <v>695</v>
      </c>
      <c r="B14" s="501" t="s">
        <v>1639</v>
      </c>
      <c r="C14" s="320"/>
      <c r="D14" s="511" t="s">
        <v>1636</v>
      </c>
      <c r="E14" s="44"/>
      <c r="F14" s="320"/>
      <c r="G14" s="503" t="s">
        <v>1639</v>
      </c>
      <c r="H14" s="514">
        <v>0.0345</v>
      </c>
      <c r="I14" s="294"/>
      <c r="J14" s="36"/>
      <c r="K14" s="36"/>
      <c r="L14" s="189"/>
    </row>
    <row r="15" ht="14.25" customHeight="1">
      <c r="A15" s="500" t="s">
        <v>995</v>
      </c>
      <c r="B15" s="501" t="s">
        <v>1640</v>
      </c>
      <c r="C15" s="320"/>
      <c r="D15" s="511" t="s">
        <v>1636</v>
      </c>
      <c r="E15" s="44"/>
      <c r="F15" s="320"/>
      <c r="G15" s="503" t="s">
        <v>1640</v>
      </c>
      <c r="H15" s="514">
        <v>0.05</v>
      </c>
      <c r="I15" s="515" t="s">
        <v>1641</v>
      </c>
      <c r="J15" s="494"/>
      <c r="K15" s="494"/>
      <c r="L15" s="495"/>
    </row>
    <row r="16" ht="14.25" customHeight="1">
      <c r="A16" s="500" t="s">
        <v>1034</v>
      </c>
      <c r="B16" s="501" t="s">
        <v>1642</v>
      </c>
      <c r="C16" s="320"/>
      <c r="D16" s="511">
        <v>0.045</v>
      </c>
      <c r="E16" s="44"/>
      <c r="F16" s="320"/>
      <c r="G16" s="503" t="s">
        <v>1642</v>
      </c>
      <c r="H16" s="514">
        <v>0.0</v>
      </c>
      <c r="I16" s="294"/>
      <c r="J16" s="36"/>
      <c r="K16" s="36"/>
      <c r="L16" s="189"/>
    </row>
    <row r="17" ht="19.5" customHeight="1">
      <c r="A17" s="516" t="s">
        <v>1643</v>
      </c>
      <c r="B17" s="44"/>
      <c r="C17" s="44"/>
      <c r="D17" s="44"/>
      <c r="E17" s="44"/>
      <c r="F17" s="44"/>
      <c r="G17" s="44"/>
      <c r="H17" s="44"/>
      <c r="I17" s="44"/>
      <c r="J17" s="44"/>
      <c r="K17" s="44"/>
      <c r="L17" s="320"/>
    </row>
    <row r="18" ht="19.5" customHeight="1">
      <c r="A18" s="501" t="s">
        <v>1644</v>
      </c>
      <c r="B18" s="44"/>
      <c r="C18" s="44"/>
      <c r="D18" s="44"/>
      <c r="E18" s="44"/>
      <c r="F18" s="44"/>
      <c r="G18" s="44"/>
      <c r="H18" s="44"/>
      <c r="I18" s="44"/>
      <c r="J18" s="44"/>
      <c r="K18" s="44"/>
      <c r="L18" s="320"/>
    </row>
    <row r="19" ht="14.25" customHeight="1">
      <c r="A19" s="501" t="s">
        <v>1645</v>
      </c>
      <c r="B19" s="44"/>
      <c r="C19" s="44"/>
      <c r="D19" s="44"/>
      <c r="E19" s="44"/>
      <c r="F19" s="44"/>
      <c r="G19" s="44"/>
      <c r="H19" s="44"/>
      <c r="I19" s="44"/>
      <c r="J19" s="44"/>
      <c r="K19" s="44"/>
      <c r="L19" s="320"/>
    </row>
    <row r="20" ht="30.75" customHeight="1">
      <c r="A20" s="517"/>
      <c r="B20" s="517"/>
      <c r="C20" s="517"/>
      <c r="D20" s="517"/>
      <c r="E20" s="517"/>
      <c r="F20" s="517"/>
      <c r="G20" s="517"/>
      <c r="H20" s="517"/>
      <c r="I20" s="517"/>
      <c r="J20" s="517"/>
      <c r="K20" s="517"/>
      <c r="L20" s="517"/>
    </row>
    <row r="21" ht="22.5" customHeight="1">
      <c r="A21" s="518" t="s">
        <v>1646</v>
      </c>
    </row>
    <row r="22" ht="24.75" customHeight="1">
      <c r="A22" s="489" t="s">
        <v>1647</v>
      </c>
      <c r="B22" s="44"/>
      <c r="C22" s="44"/>
      <c r="D22" s="44"/>
      <c r="E22" s="44"/>
      <c r="F22" s="44"/>
      <c r="G22" s="44"/>
      <c r="H22" s="44"/>
      <c r="I22" s="44"/>
      <c r="J22" s="44"/>
      <c r="K22" s="44"/>
      <c r="L22" s="320"/>
    </row>
    <row r="23" ht="23.25" customHeight="1">
      <c r="A23" s="489" t="s">
        <v>1648</v>
      </c>
      <c r="B23" s="44"/>
      <c r="C23" s="44"/>
      <c r="D23" s="44"/>
      <c r="E23" s="44"/>
      <c r="F23" s="44"/>
      <c r="G23" s="320"/>
      <c r="H23" s="490" t="s">
        <v>1616</v>
      </c>
      <c r="I23" s="44"/>
      <c r="J23" s="44"/>
      <c r="K23" s="44"/>
      <c r="L23" s="320"/>
    </row>
    <row r="24" ht="36.0" customHeight="1">
      <c r="A24" s="491" t="s">
        <v>1649</v>
      </c>
      <c r="B24" s="44"/>
      <c r="C24" s="44"/>
      <c r="D24" s="44"/>
      <c r="E24" s="44"/>
      <c r="F24" s="44"/>
      <c r="G24" s="320"/>
      <c r="H24" s="492" t="s">
        <v>1650</v>
      </c>
      <c r="I24" s="44"/>
      <c r="J24" s="44"/>
      <c r="K24" s="44"/>
      <c r="L24" s="320"/>
    </row>
    <row r="25" ht="30.75" customHeight="1">
      <c r="A25" s="493" t="s">
        <v>1619</v>
      </c>
      <c r="B25" s="494"/>
      <c r="C25" s="495"/>
      <c r="D25" s="519" t="s">
        <v>1620</v>
      </c>
      <c r="E25" s="44"/>
      <c r="F25" s="320"/>
      <c r="G25" s="497" t="s">
        <v>1621</v>
      </c>
      <c r="H25" s="495"/>
      <c r="I25" s="497" t="s">
        <v>1622</v>
      </c>
      <c r="J25" s="495"/>
      <c r="K25" s="520">
        <f>((1+H30+H28+H27)*(1+H29)*(1+H31))/(1-H32)-1</f>
        <v>0.1486371045</v>
      </c>
      <c r="L25" s="495"/>
    </row>
    <row r="26" ht="22.5" customHeight="1">
      <c r="A26" s="294"/>
      <c r="B26" s="36"/>
      <c r="C26" s="189"/>
      <c r="D26" s="499" t="s">
        <v>1623</v>
      </c>
      <c r="E26" s="499" t="s">
        <v>1624</v>
      </c>
      <c r="F26" s="499" t="s">
        <v>1625</v>
      </c>
      <c r="G26" s="294"/>
      <c r="H26" s="189"/>
      <c r="I26" s="294"/>
      <c r="J26" s="189"/>
      <c r="K26" s="294"/>
      <c r="L26" s="189"/>
    </row>
    <row r="27" ht="16.5" customHeight="1">
      <c r="A27" s="500">
        <v>1.0</v>
      </c>
      <c r="B27" s="501" t="s">
        <v>1626</v>
      </c>
      <c r="C27" s="320"/>
      <c r="D27" s="502">
        <v>0.008</v>
      </c>
      <c r="E27" s="502">
        <v>0.008</v>
      </c>
      <c r="F27" s="502">
        <v>0.01</v>
      </c>
      <c r="G27" s="503" t="s">
        <v>1626</v>
      </c>
      <c r="H27" s="521">
        <v>0.006</v>
      </c>
      <c r="I27" s="505" t="s">
        <v>1627</v>
      </c>
      <c r="J27" s="494"/>
      <c r="K27" s="494"/>
      <c r="L27" s="495"/>
    </row>
    <row r="28" ht="16.5" customHeight="1">
      <c r="A28" s="500">
        <v>2.0</v>
      </c>
      <c r="B28" s="501" t="s">
        <v>1628</v>
      </c>
      <c r="C28" s="320"/>
      <c r="D28" s="502">
        <v>0.0097</v>
      </c>
      <c r="E28" s="502">
        <v>0.0127</v>
      </c>
      <c r="F28" s="502">
        <v>0.0127</v>
      </c>
      <c r="G28" s="503" t="s">
        <v>1628</v>
      </c>
      <c r="H28" s="521">
        <v>0.006</v>
      </c>
      <c r="I28" s="294"/>
      <c r="J28" s="36"/>
      <c r="K28" s="36"/>
      <c r="L28" s="189"/>
    </row>
    <row r="29" ht="16.5" customHeight="1">
      <c r="A29" s="500">
        <v>3.0</v>
      </c>
      <c r="B29" s="501" t="s">
        <v>1629</v>
      </c>
      <c r="C29" s="320"/>
      <c r="D29" s="502">
        <v>0.0059</v>
      </c>
      <c r="E29" s="502">
        <v>0.0123</v>
      </c>
      <c r="F29" s="502">
        <v>0.0139</v>
      </c>
      <c r="G29" s="503" t="s">
        <v>1629</v>
      </c>
      <c r="H29" s="521">
        <v>0.006</v>
      </c>
      <c r="I29" s="507" t="s">
        <v>1630</v>
      </c>
      <c r="J29" s="44"/>
      <c r="K29" s="44"/>
      <c r="L29" s="320"/>
    </row>
    <row r="30" ht="16.5" customHeight="1">
      <c r="A30" s="500">
        <v>4.0</v>
      </c>
      <c r="B30" s="501" t="s">
        <v>1631</v>
      </c>
      <c r="C30" s="320"/>
      <c r="D30" s="502">
        <v>0.03</v>
      </c>
      <c r="E30" s="502">
        <v>0.04</v>
      </c>
      <c r="F30" s="508">
        <v>0.055</v>
      </c>
      <c r="G30" s="503" t="s">
        <v>1631</v>
      </c>
      <c r="H30" s="521">
        <v>0.0074</v>
      </c>
      <c r="I30" s="509" t="s">
        <v>1632</v>
      </c>
      <c r="J30" s="44"/>
      <c r="K30" s="44"/>
      <c r="L30" s="320"/>
    </row>
    <row r="31" ht="16.5" customHeight="1">
      <c r="A31" s="500">
        <v>5.0</v>
      </c>
      <c r="B31" s="501" t="s">
        <v>1633</v>
      </c>
      <c r="C31" s="320"/>
      <c r="D31" s="502">
        <v>0.0616</v>
      </c>
      <c r="E31" s="502">
        <v>0.074</v>
      </c>
      <c r="F31" s="502">
        <v>0.0896</v>
      </c>
      <c r="G31" s="503" t="s">
        <v>1633</v>
      </c>
      <c r="H31" s="521">
        <v>0.0169</v>
      </c>
      <c r="I31" s="510" t="s">
        <v>1634</v>
      </c>
      <c r="J31" s="494"/>
      <c r="K31" s="494"/>
      <c r="L31" s="495"/>
    </row>
    <row r="32" ht="16.5" customHeight="1">
      <c r="A32" s="500">
        <v>6.0</v>
      </c>
      <c r="B32" s="501" t="s">
        <v>1635</v>
      </c>
      <c r="C32" s="320"/>
      <c r="D32" s="511" t="s">
        <v>1636</v>
      </c>
      <c r="E32" s="44"/>
      <c r="F32" s="320"/>
      <c r="G32" s="503" t="s">
        <v>1637</v>
      </c>
      <c r="H32" s="522">
        <f>SUM(H33:H36)</f>
        <v>0.0921</v>
      </c>
      <c r="I32" s="513"/>
      <c r="L32" s="301"/>
    </row>
    <row r="33" ht="16.5" customHeight="1">
      <c r="A33" s="500" t="s">
        <v>554</v>
      </c>
      <c r="B33" s="501" t="s">
        <v>1638</v>
      </c>
      <c r="C33" s="320"/>
      <c r="D33" s="511" t="s">
        <v>1636</v>
      </c>
      <c r="E33" s="44"/>
      <c r="F33" s="320"/>
      <c r="G33" s="503" t="s">
        <v>1638</v>
      </c>
      <c r="H33" s="521">
        <v>0.0076</v>
      </c>
      <c r="I33" s="513"/>
      <c r="L33" s="301"/>
    </row>
    <row r="34" ht="16.5" customHeight="1">
      <c r="A34" s="500" t="s">
        <v>695</v>
      </c>
      <c r="B34" s="501" t="s">
        <v>1639</v>
      </c>
      <c r="C34" s="320"/>
      <c r="D34" s="511" t="s">
        <v>1636</v>
      </c>
      <c r="E34" s="44"/>
      <c r="F34" s="320"/>
      <c r="G34" s="503" t="s">
        <v>1639</v>
      </c>
      <c r="H34" s="521">
        <v>0.0345</v>
      </c>
      <c r="I34" s="294"/>
      <c r="J34" s="36"/>
      <c r="K34" s="36"/>
      <c r="L34" s="189"/>
    </row>
    <row r="35" ht="16.5" customHeight="1">
      <c r="A35" s="500" t="s">
        <v>995</v>
      </c>
      <c r="B35" s="501" t="s">
        <v>1640</v>
      </c>
      <c r="C35" s="320"/>
      <c r="D35" s="511" t="s">
        <v>1636</v>
      </c>
      <c r="E35" s="44"/>
      <c r="F35" s="320"/>
      <c r="G35" s="503" t="s">
        <v>1640</v>
      </c>
      <c r="H35" s="521">
        <v>0.05</v>
      </c>
      <c r="I35" s="515" t="s">
        <v>1641</v>
      </c>
      <c r="J35" s="494"/>
      <c r="K35" s="494"/>
      <c r="L35" s="495"/>
    </row>
    <row r="36" ht="16.5" customHeight="1">
      <c r="A36" s="500" t="s">
        <v>1034</v>
      </c>
      <c r="B36" s="501" t="s">
        <v>1642</v>
      </c>
      <c r="C36" s="320"/>
      <c r="D36" s="511">
        <v>0.045</v>
      </c>
      <c r="E36" s="44"/>
      <c r="F36" s="320"/>
      <c r="G36" s="503" t="s">
        <v>1642</v>
      </c>
      <c r="H36" s="521">
        <v>0.0</v>
      </c>
      <c r="I36" s="294"/>
      <c r="J36" s="36"/>
      <c r="K36" s="36"/>
      <c r="L36" s="189"/>
    </row>
    <row r="37" ht="16.5" customHeight="1">
      <c r="A37" s="516" t="s">
        <v>1643</v>
      </c>
      <c r="B37" s="44"/>
      <c r="C37" s="44"/>
      <c r="D37" s="44"/>
      <c r="E37" s="44"/>
      <c r="F37" s="44"/>
      <c r="G37" s="44"/>
      <c r="H37" s="44"/>
      <c r="I37" s="44"/>
      <c r="J37" s="44"/>
      <c r="K37" s="44"/>
      <c r="L37" s="320"/>
    </row>
    <row r="38" ht="16.5" customHeight="1">
      <c r="A38" s="501" t="s">
        <v>1644</v>
      </c>
      <c r="B38" s="44"/>
      <c r="C38" s="44"/>
      <c r="D38" s="44"/>
      <c r="E38" s="44"/>
      <c r="F38" s="44"/>
      <c r="G38" s="44"/>
      <c r="H38" s="44"/>
      <c r="I38" s="44"/>
      <c r="J38" s="44"/>
      <c r="K38" s="44"/>
      <c r="L38" s="320"/>
    </row>
    <row r="39" ht="16.5" customHeight="1">
      <c r="A39" s="501" t="s">
        <v>1645</v>
      </c>
      <c r="B39" s="44"/>
      <c r="C39" s="44"/>
      <c r="D39" s="44"/>
      <c r="E39" s="44"/>
      <c r="F39" s="44"/>
      <c r="G39" s="44"/>
      <c r="H39" s="44"/>
      <c r="I39" s="44"/>
      <c r="J39" s="44"/>
      <c r="K39" s="44"/>
      <c r="L39" s="320"/>
    </row>
    <row r="40" ht="31.5" customHeight="1">
      <c r="A40" s="517"/>
      <c r="B40" s="517"/>
      <c r="C40" s="517"/>
      <c r="D40" s="517"/>
      <c r="E40" s="517"/>
      <c r="F40" s="517"/>
      <c r="G40" s="517"/>
      <c r="H40" s="517"/>
      <c r="I40" s="517"/>
      <c r="J40" s="517"/>
      <c r="K40" s="517"/>
      <c r="L40" s="517"/>
    </row>
    <row r="41" ht="21.75" customHeight="1">
      <c r="A41" s="518" t="s">
        <v>1651</v>
      </c>
    </row>
    <row r="42" ht="14.25" customHeight="1">
      <c r="A42" s="489" t="s">
        <v>1652</v>
      </c>
      <c r="B42" s="44"/>
      <c r="C42" s="44"/>
      <c r="D42" s="44"/>
      <c r="E42" s="44"/>
      <c r="F42" s="44"/>
      <c r="G42" s="44"/>
      <c r="H42" s="44"/>
      <c r="I42" s="44"/>
      <c r="J42" s="44"/>
      <c r="K42" s="44"/>
      <c r="L42" s="320"/>
    </row>
    <row r="43" ht="14.25" customHeight="1">
      <c r="A43" s="489" t="s">
        <v>1653</v>
      </c>
      <c r="B43" s="44"/>
      <c r="C43" s="44"/>
      <c r="D43" s="44"/>
      <c r="E43" s="44"/>
      <c r="F43" s="44"/>
      <c r="G43" s="320"/>
      <c r="H43" s="490" t="s">
        <v>1616</v>
      </c>
      <c r="I43" s="44"/>
      <c r="J43" s="44"/>
      <c r="K43" s="44"/>
      <c r="L43" s="320"/>
    </row>
    <row r="44" ht="14.25" customHeight="1">
      <c r="A44" s="491" t="s">
        <v>1654</v>
      </c>
      <c r="B44" s="44"/>
      <c r="C44" s="44"/>
      <c r="D44" s="44"/>
      <c r="E44" s="44"/>
      <c r="F44" s="44"/>
      <c r="G44" s="320"/>
      <c r="H44" s="492" t="s">
        <v>1655</v>
      </c>
      <c r="I44" s="44"/>
      <c r="J44" s="44"/>
      <c r="K44" s="44"/>
      <c r="L44" s="320"/>
    </row>
    <row r="45" ht="14.25" customHeight="1">
      <c r="A45" s="493" t="s">
        <v>1619</v>
      </c>
      <c r="B45" s="494"/>
      <c r="C45" s="495"/>
      <c r="D45" s="519" t="s">
        <v>1620</v>
      </c>
      <c r="E45" s="44"/>
      <c r="F45" s="320"/>
      <c r="G45" s="497" t="s">
        <v>1621</v>
      </c>
      <c r="H45" s="495"/>
      <c r="I45" s="497" t="s">
        <v>1622</v>
      </c>
      <c r="J45" s="495"/>
      <c r="K45" s="520">
        <f>((1+H50+H48+H47)*(1+H49)*(1+H51))/(1-H52)-1</f>
        <v>0.1134823446</v>
      </c>
      <c r="L45" s="495"/>
    </row>
    <row r="46" ht="14.25" customHeight="1">
      <c r="A46" s="294"/>
      <c r="B46" s="36"/>
      <c r="C46" s="189"/>
      <c r="D46" s="499" t="s">
        <v>1623</v>
      </c>
      <c r="E46" s="499" t="s">
        <v>1624</v>
      </c>
      <c r="F46" s="499" t="s">
        <v>1625</v>
      </c>
      <c r="G46" s="294"/>
      <c r="H46" s="189"/>
      <c r="I46" s="294"/>
      <c r="J46" s="189"/>
      <c r="K46" s="294"/>
      <c r="L46" s="189"/>
    </row>
    <row r="47" ht="14.25" customHeight="1">
      <c r="A47" s="500">
        <v>1.0</v>
      </c>
      <c r="B47" s="501" t="s">
        <v>1626</v>
      </c>
      <c r="C47" s="320"/>
      <c r="D47" s="502">
        <v>0.008</v>
      </c>
      <c r="E47" s="502">
        <v>0.008</v>
      </c>
      <c r="F47" s="502">
        <v>0.01</v>
      </c>
      <c r="G47" s="503" t="s">
        <v>1626</v>
      </c>
      <c r="H47" s="523">
        <v>0.001</v>
      </c>
      <c r="I47" s="505" t="s">
        <v>1627</v>
      </c>
      <c r="J47" s="494"/>
      <c r="K47" s="494"/>
      <c r="L47" s="495"/>
    </row>
    <row r="48" ht="14.25" customHeight="1">
      <c r="A48" s="500">
        <v>2.0</v>
      </c>
      <c r="B48" s="501" t="s">
        <v>1628</v>
      </c>
      <c r="C48" s="320"/>
      <c r="D48" s="502">
        <v>0.0097</v>
      </c>
      <c r="E48" s="502">
        <v>0.0127</v>
      </c>
      <c r="F48" s="502">
        <v>0.0127</v>
      </c>
      <c r="G48" s="503" t="s">
        <v>1628</v>
      </c>
      <c r="H48" s="524">
        <v>0.001</v>
      </c>
      <c r="I48" s="294"/>
      <c r="J48" s="36"/>
      <c r="K48" s="36"/>
      <c r="L48" s="189"/>
    </row>
    <row r="49" ht="14.25" customHeight="1">
      <c r="A49" s="500">
        <v>3.0</v>
      </c>
      <c r="B49" s="501" t="s">
        <v>1629</v>
      </c>
      <c r="C49" s="320"/>
      <c r="D49" s="502">
        <v>0.0059</v>
      </c>
      <c r="E49" s="502">
        <v>0.0123</v>
      </c>
      <c r="F49" s="502">
        <v>0.0139</v>
      </c>
      <c r="G49" s="503" t="s">
        <v>1629</v>
      </c>
      <c r="H49" s="524">
        <v>0.001</v>
      </c>
      <c r="I49" s="507" t="s">
        <v>1630</v>
      </c>
      <c r="J49" s="44"/>
      <c r="K49" s="44"/>
      <c r="L49" s="320"/>
    </row>
    <row r="50" ht="14.25" customHeight="1">
      <c r="A50" s="500">
        <v>4.0</v>
      </c>
      <c r="B50" s="501" t="s">
        <v>1631</v>
      </c>
      <c r="C50" s="320"/>
      <c r="D50" s="502">
        <v>0.03</v>
      </c>
      <c r="E50" s="502">
        <v>0.04</v>
      </c>
      <c r="F50" s="508">
        <v>0.055</v>
      </c>
      <c r="G50" s="503" t="s">
        <v>1631</v>
      </c>
      <c r="H50" s="524">
        <v>0.001</v>
      </c>
      <c r="I50" s="509" t="s">
        <v>1632</v>
      </c>
      <c r="J50" s="44"/>
      <c r="K50" s="44"/>
      <c r="L50" s="320"/>
    </row>
    <row r="51" ht="14.25" customHeight="1">
      <c r="A51" s="500">
        <v>5.0</v>
      </c>
      <c r="B51" s="501" t="s">
        <v>1633</v>
      </c>
      <c r="C51" s="320"/>
      <c r="D51" s="502">
        <v>0.0616</v>
      </c>
      <c r="E51" s="502">
        <v>0.074</v>
      </c>
      <c r="F51" s="502">
        <v>0.0896</v>
      </c>
      <c r="G51" s="503" t="s">
        <v>1633</v>
      </c>
      <c r="H51" s="524">
        <v>0.0069</v>
      </c>
      <c r="I51" s="510" t="s">
        <v>1634</v>
      </c>
      <c r="J51" s="494"/>
      <c r="K51" s="494"/>
      <c r="L51" s="495"/>
    </row>
    <row r="52" ht="14.25" customHeight="1">
      <c r="A52" s="500">
        <v>6.0</v>
      </c>
      <c r="B52" s="501" t="s">
        <v>1635</v>
      </c>
      <c r="C52" s="320"/>
      <c r="D52" s="511" t="s">
        <v>1636</v>
      </c>
      <c r="E52" s="44"/>
      <c r="F52" s="320"/>
      <c r="G52" s="503" t="s">
        <v>1637</v>
      </c>
      <c r="H52" s="522">
        <f>SUM(H53:H56)</f>
        <v>0.0921</v>
      </c>
      <c r="I52" s="513"/>
      <c r="L52" s="301"/>
    </row>
    <row r="53" ht="14.25" customHeight="1">
      <c r="A53" s="500" t="s">
        <v>554</v>
      </c>
      <c r="B53" s="501" t="s">
        <v>1638</v>
      </c>
      <c r="C53" s="320"/>
      <c r="D53" s="511" t="s">
        <v>1636</v>
      </c>
      <c r="E53" s="44"/>
      <c r="F53" s="320"/>
      <c r="G53" s="503" t="s">
        <v>1638</v>
      </c>
      <c r="H53" s="521">
        <v>0.0076</v>
      </c>
      <c r="I53" s="513"/>
      <c r="L53" s="301"/>
    </row>
    <row r="54" ht="14.25" customHeight="1">
      <c r="A54" s="500" t="s">
        <v>695</v>
      </c>
      <c r="B54" s="501" t="s">
        <v>1639</v>
      </c>
      <c r="C54" s="320"/>
      <c r="D54" s="511" t="s">
        <v>1636</v>
      </c>
      <c r="E54" s="44"/>
      <c r="F54" s="320"/>
      <c r="G54" s="503" t="s">
        <v>1639</v>
      </c>
      <c r="H54" s="521">
        <v>0.0345</v>
      </c>
      <c r="I54" s="294"/>
      <c r="J54" s="36"/>
      <c r="K54" s="36"/>
      <c r="L54" s="189"/>
    </row>
    <row r="55" ht="14.25" customHeight="1">
      <c r="A55" s="500" t="s">
        <v>995</v>
      </c>
      <c r="B55" s="501" t="s">
        <v>1640</v>
      </c>
      <c r="C55" s="320"/>
      <c r="D55" s="511" t="s">
        <v>1636</v>
      </c>
      <c r="E55" s="44"/>
      <c r="F55" s="320"/>
      <c r="G55" s="503" t="s">
        <v>1640</v>
      </c>
      <c r="H55" s="521">
        <v>0.05</v>
      </c>
      <c r="I55" s="515" t="s">
        <v>1641</v>
      </c>
      <c r="J55" s="494"/>
      <c r="K55" s="494"/>
      <c r="L55" s="495"/>
    </row>
    <row r="56" ht="14.25" customHeight="1">
      <c r="A56" s="500" t="s">
        <v>1034</v>
      </c>
      <c r="B56" s="501" t="s">
        <v>1642</v>
      </c>
      <c r="C56" s="320"/>
      <c r="D56" s="511">
        <v>0.045</v>
      </c>
      <c r="E56" s="44"/>
      <c r="F56" s="320"/>
      <c r="G56" s="503" t="s">
        <v>1642</v>
      </c>
      <c r="H56" s="521">
        <v>0.0</v>
      </c>
      <c r="I56" s="294"/>
      <c r="J56" s="36"/>
      <c r="K56" s="36"/>
      <c r="L56" s="189"/>
    </row>
    <row r="57" ht="14.25" customHeight="1">
      <c r="A57" s="516" t="s">
        <v>1643</v>
      </c>
      <c r="B57" s="44"/>
      <c r="C57" s="44"/>
      <c r="D57" s="44"/>
      <c r="E57" s="44"/>
      <c r="F57" s="44"/>
      <c r="G57" s="44"/>
      <c r="H57" s="44"/>
      <c r="I57" s="44"/>
      <c r="J57" s="44"/>
      <c r="K57" s="44"/>
      <c r="L57" s="320"/>
    </row>
    <row r="58" ht="14.25" customHeight="1">
      <c r="A58" s="501" t="s">
        <v>1644</v>
      </c>
      <c r="B58" s="44"/>
      <c r="C58" s="44"/>
      <c r="D58" s="44"/>
      <c r="E58" s="44"/>
      <c r="F58" s="44"/>
      <c r="G58" s="44"/>
      <c r="H58" s="44"/>
      <c r="I58" s="44"/>
      <c r="J58" s="44"/>
      <c r="K58" s="44"/>
      <c r="L58" s="320"/>
    </row>
    <row r="59" ht="14.25" customHeight="1">
      <c r="A59" s="501" t="s">
        <v>1645</v>
      </c>
      <c r="B59" s="44"/>
      <c r="C59" s="44"/>
      <c r="D59" s="44"/>
      <c r="E59" s="44"/>
      <c r="F59" s="44"/>
      <c r="G59" s="44"/>
      <c r="H59" s="44"/>
      <c r="I59" s="44"/>
      <c r="J59" s="44"/>
      <c r="K59" s="44"/>
      <c r="L59" s="320"/>
    </row>
    <row r="60" ht="30.0" customHeight="1">
      <c r="A60" s="517"/>
      <c r="B60" s="517"/>
      <c r="C60" s="517"/>
      <c r="D60" s="517"/>
      <c r="E60" s="517"/>
      <c r="F60" s="517"/>
      <c r="G60" s="517"/>
      <c r="H60" s="517"/>
      <c r="I60" s="517"/>
      <c r="J60" s="517"/>
      <c r="K60" s="517"/>
      <c r="L60" s="517"/>
    </row>
    <row r="61" ht="14.25" customHeight="1">
      <c r="A61" s="489" t="s">
        <v>1656</v>
      </c>
      <c r="B61" s="44"/>
      <c r="C61" s="44"/>
      <c r="D61" s="44"/>
      <c r="E61" s="44"/>
      <c r="F61" s="44"/>
      <c r="G61" s="44"/>
      <c r="H61" s="44"/>
      <c r="I61" s="44"/>
      <c r="J61" s="44"/>
      <c r="K61" s="44"/>
      <c r="L61" s="320"/>
    </row>
    <row r="62" ht="14.25" customHeight="1">
      <c r="A62" s="489" t="s">
        <v>1657</v>
      </c>
      <c r="B62" s="44"/>
      <c r="C62" s="44"/>
      <c r="D62" s="44"/>
      <c r="E62" s="44"/>
      <c r="F62" s="44"/>
      <c r="G62" s="320"/>
      <c r="H62" s="490" t="s">
        <v>1616</v>
      </c>
      <c r="I62" s="44"/>
      <c r="J62" s="44"/>
      <c r="K62" s="44"/>
      <c r="L62" s="320"/>
    </row>
    <row r="63" ht="43.5" customHeight="1">
      <c r="A63" s="491" t="s">
        <v>1658</v>
      </c>
      <c r="B63" s="44"/>
      <c r="C63" s="44"/>
      <c r="D63" s="44"/>
      <c r="E63" s="44"/>
      <c r="F63" s="44"/>
      <c r="G63" s="320"/>
      <c r="H63" s="492" t="s">
        <v>1659</v>
      </c>
      <c r="I63" s="44"/>
      <c r="J63" s="44"/>
      <c r="K63" s="44"/>
      <c r="L63" s="320"/>
    </row>
    <row r="64" ht="14.25" customHeight="1">
      <c r="A64" s="493" t="s">
        <v>1619</v>
      </c>
      <c r="B64" s="494"/>
      <c r="C64" s="495"/>
      <c r="D64" s="496" t="s">
        <v>1620</v>
      </c>
      <c r="E64" s="44"/>
      <c r="F64" s="320"/>
      <c r="G64" s="497" t="s">
        <v>1621</v>
      </c>
      <c r="H64" s="495"/>
      <c r="I64" s="497" t="s">
        <v>1622</v>
      </c>
      <c r="J64" s="495"/>
      <c r="K64" s="498">
        <f>((1+H69+H67+H66)*(1+H68)*(1+H70))/(1-H71)-1</f>
        <v>0.1486201794</v>
      </c>
      <c r="L64" s="495"/>
    </row>
    <row r="65" ht="14.25" customHeight="1">
      <c r="A65" s="294"/>
      <c r="B65" s="36"/>
      <c r="C65" s="189"/>
      <c r="D65" s="499" t="s">
        <v>1623</v>
      </c>
      <c r="E65" s="499" t="s">
        <v>1624</v>
      </c>
      <c r="F65" s="499" t="s">
        <v>1625</v>
      </c>
      <c r="G65" s="294"/>
      <c r="H65" s="189"/>
      <c r="I65" s="294"/>
      <c r="J65" s="189"/>
      <c r="K65" s="294"/>
      <c r="L65" s="189"/>
    </row>
    <row r="66" ht="14.25" customHeight="1">
      <c r="A66" s="500">
        <v>1.0</v>
      </c>
      <c r="B66" s="501" t="s">
        <v>1626</v>
      </c>
      <c r="C66" s="320"/>
      <c r="D66" s="502">
        <v>0.008</v>
      </c>
      <c r="E66" s="502">
        <v>0.008</v>
      </c>
      <c r="F66" s="502">
        <v>0.01</v>
      </c>
      <c r="G66" s="503" t="s">
        <v>1626</v>
      </c>
      <c r="H66" s="504">
        <v>0.008</v>
      </c>
      <c r="I66" s="505" t="s">
        <v>1627</v>
      </c>
      <c r="J66" s="494"/>
      <c r="K66" s="494"/>
      <c r="L66" s="495"/>
    </row>
    <row r="67" ht="16.5" customHeight="1">
      <c r="A67" s="500">
        <v>2.0</v>
      </c>
      <c r="B67" s="501" t="s">
        <v>1628</v>
      </c>
      <c r="C67" s="320"/>
      <c r="D67" s="502">
        <v>0.0097</v>
      </c>
      <c r="E67" s="502">
        <v>0.0127</v>
      </c>
      <c r="F67" s="502">
        <v>0.0127</v>
      </c>
      <c r="G67" s="503" t="s">
        <v>1628</v>
      </c>
      <c r="H67" s="506">
        <v>0.0097</v>
      </c>
      <c r="I67" s="294"/>
      <c r="J67" s="36"/>
      <c r="K67" s="36"/>
      <c r="L67" s="189"/>
    </row>
    <row r="68" ht="14.25" customHeight="1">
      <c r="A68" s="500">
        <v>3.0</v>
      </c>
      <c r="B68" s="501" t="s">
        <v>1629</v>
      </c>
      <c r="C68" s="320"/>
      <c r="D68" s="502">
        <v>0.0059</v>
      </c>
      <c r="E68" s="502">
        <v>0.0123</v>
      </c>
      <c r="F68" s="502">
        <v>0.0139</v>
      </c>
      <c r="G68" s="503" t="s">
        <v>1629</v>
      </c>
      <c r="H68" s="506">
        <v>0.0059</v>
      </c>
      <c r="I68" s="507" t="s">
        <v>1630</v>
      </c>
      <c r="J68" s="44"/>
      <c r="K68" s="44"/>
      <c r="L68" s="320"/>
    </row>
    <row r="69" ht="14.25" customHeight="1">
      <c r="A69" s="500">
        <v>4.0</v>
      </c>
      <c r="B69" s="501" t="s">
        <v>1631</v>
      </c>
      <c r="C69" s="320"/>
      <c r="D69" s="502">
        <v>0.03</v>
      </c>
      <c r="E69" s="502">
        <v>0.04</v>
      </c>
      <c r="F69" s="508">
        <v>0.055</v>
      </c>
      <c r="G69" s="503" t="s">
        <v>1631</v>
      </c>
      <c r="H69" s="506">
        <v>0.0145</v>
      </c>
      <c r="I69" s="509" t="s">
        <v>1632</v>
      </c>
      <c r="J69" s="44"/>
      <c r="K69" s="44"/>
      <c r="L69" s="320"/>
    </row>
    <row r="70" ht="14.25" customHeight="1">
      <c r="A70" s="500">
        <v>5.0</v>
      </c>
      <c r="B70" s="501" t="s">
        <v>1633</v>
      </c>
      <c r="C70" s="320"/>
      <c r="D70" s="502">
        <v>0.0616</v>
      </c>
      <c r="E70" s="502">
        <v>0.074</v>
      </c>
      <c r="F70" s="502">
        <v>0.0896</v>
      </c>
      <c r="G70" s="503" t="s">
        <v>1633</v>
      </c>
      <c r="H70" s="506">
        <v>0.0265</v>
      </c>
      <c r="I70" s="510" t="s">
        <v>1634</v>
      </c>
      <c r="J70" s="494"/>
      <c r="K70" s="494"/>
      <c r="L70" s="495"/>
    </row>
    <row r="71" ht="14.25" customHeight="1">
      <c r="A71" s="500">
        <v>6.0</v>
      </c>
      <c r="B71" s="501" t="s">
        <v>1635</v>
      </c>
      <c r="C71" s="320"/>
      <c r="D71" s="511" t="s">
        <v>1636</v>
      </c>
      <c r="E71" s="44"/>
      <c r="F71" s="320"/>
      <c r="G71" s="503" t="s">
        <v>1637</v>
      </c>
      <c r="H71" s="512">
        <f>SUM(H72:H75)</f>
        <v>0.0721</v>
      </c>
      <c r="I71" s="513"/>
      <c r="L71" s="301"/>
    </row>
    <row r="72" ht="14.25" customHeight="1">
      <c r="A72" s="500" t="s">
        <v>554</v>
      </c>
      <c r="B72" s="501" t="s">
        <v>1638</v>
      </c>
      <c r="C72" s="320"/>
      <c r="D72" s="511" t="s">
        <v>1636</v>
      </c>
      <c r="E72" s="44"/>
      <c r="F72" s="320"/>
      <c r="G72" s="503" t="s">
        <v>1638</v>
      </c>
      <c r="H72" s="514">
        <v>0.0076</v>
      </c>
      <c r="I72" s="513"/>
      <c r="L72" s="301"/>
    </row>
    <row r="73" ht="14.25" customHeight="1">
      <c r="A73" s="500" t="s">
        <v>695</v>
      </c>
      <c r="B73" s="501" t="s">
        <v>1639</v>
      </c>
      <c r="C73" s="320"/>
      <c r="D73" s="511" t="s">
        <v>1636</v>
      </c>
      <c r="E73" s="44"/>
      <c r="F73" s="320"/>
      <c r="G73" s="503" t="s">
        <v>1639</v>
      </c>
      <c r="H73" s="514">
        <v>0.0345</v>
      </c>
      <c r="I73" s="294"/>
      <c r="J73" s="36"/>
      <c r="K73" s="36"/>
      <c r="L73" s="189"/>
    </row>
    <row r="74" ht="14.25" customHeight="1">
      <c r="A74" s="500" t="s">
        <v>995</v>
      </c>
      <c r="B74" s="501" t="s">
        <v>1640</v>
      </c>
      <c r="C74" s="320"/>
      <c r="D74" s="511" t="s">
        <v>1636</v>
      </c>
      <c r="E74" s="44"/>
      <c r="F74" s="320"/>
      <c r="G74" s="503" t="s">
        <v>1640</v>
      </c>
      <c r="H74" s="512">
        <v>0.03</v>
      </c>
      <c r="I74" s="515" t="s">
        <v>1641</v>
      </c>
      <c r="J74" s="494"/>
      <c r="K74" s="494"/>
      <c r="L74" s="495"/>
    </row>
    <row r="75" ht="14.25" customHeight="1">
      <c r="A75" s="500" t="s">
        <v>1034</v>
      </c>
      <c r="B75" s="501" t="s">
        <v>1642</v>
      </c>
      <c r="C75" s="320"/>
      <c r="D75" s="511">
        <v>0.045</v>
      </c>
      <c r="E75" s="44"/>
      <c r="F75" s="320"/>
      <c r="G75" s="503" t="s">
        <v>1642</v>
      </c>
      <c r="H75" s="514">
        <v>0.0</v>
      </c>
      <c r="I75" s="294"/>
      <c r="J75" s="36"/>
      <c r="K75" s="36"/>
      <c r="L75" s="189"/>
    </row>
    <row r="76" ht="14.25" customHeight="1">
      <c r="A76" s="516" t="s">
        <v>1643</v>
      </c>
      <c r="B76" s="44"/>
      <c r="C76" s="44"/>
      <c r="D76" s="44"/>
      <c r="E76" s="44"/>
      <c r="F76" s="44"/>
      <c r="G76" s="44"/>
      <c r="H76" s="44"/>
      <c r="I76" s="44"/>
      <c r="J76" s="44"/>
      <c r="K76" s="44"/>
      <c r="L76" s="320"/>
    </row>
    <row r="77" ht="14.25" customHeight="1">
      <c r="A77" s="501" t="s">
        <v>1644</v>
      </c>
      <c r="B77" s="44"/>
      <c r="C77" s="44"/>
      <c r="D77" s="44"/>
      <c r="E77" s="44"/>
      <c r="F77" s="44"/>
      <c r="G77" s="44"/>
      <c r="H77" s="44"/>
      <c r="I77" s="44"/>
      <c r="J77" s="44"/>
      <c r="K77" s="44"/>
      <c r="L77" s="320"/>
    </row>
    <row r="78" ht="14.25" customHeight="1">
      <c r="A78" s="501" t="s">
        <v>1660</v>
      </c>
      <c r="B78" s="44"/>
      <c r="C78" s="44"/>
      <c r="D78" s="44"/>
      <c r="E78" s="44"/>
      <c r="F78" s="44"/>
      <c r="G78" s="44"/>
      <c r="H78" s="44"/>
      <c r="I78" s="44"/>
      <c r="J78" s="44"/>
      <c r="K78" s="44"/>
      <c r="L78" s="320"/>
    </row>
    <row r="79" ht="39.0" customHeight="1">
      <c r="A79" s="517"/>
      <c r="B79" s="517"/>
      <c r="C79" s="517"/>
      <c r="D79" s="517"/>
      <c r="E79" s="517"/>
      <c r="F79" s="517"/>
      <c r="G79" s="517"/>
      <c r="H79" s="517"/>
      <c r="I79" s="517"/>
      <c r="J79" s="517"/>
      <c r="K79" s="517"/>
      <c r="L79" s="517"/>
    </row>
    <row r="80" ht="14.25" customHeight="1">
      <c r="A80" s="489" t="s">
        <v>1661</v>
      </c>
      <c r="B80" s="44"/>
      <c r="C80" s="44"/>
      <c r="D80" s="44"/>
      <c r="E80" s="44"/>
      <c r="F80" s="44"/>
      <c r="G80" s="44"/>
      <c r="H80" s="44"/>
      <c r="I80" s="44"/>
      <c r="J80" s="44"/>
      <c r="K80" s="44"/>
      <c r="L80" s="320"/>
    </row>
    <row r="81" ht="14.25" customHeight="1">
      <c r="A81" s="489" t="s">
        <v>1662</v>
      </c>
      <c r="B81" s="44"/>
      <c r="C81" s="44"/>
      <c r="D81" s="44"/>
      <c r="E81" s="44"/>
      <c r="F81" s="44"/>
      <c r="G81" s="320"/>
      <c r="H81" s="490" t="s">
        <v>1616</v>
      </c>
      <c r="I81" s="44"/>
      <c r="J81" s="44"/>
      <c r="K81" s="44"/>
      <c r="L81" s="320"/>
    </row>
    <row r="82" ht="42.75" customHeight="1">
      <c r="A82" s="491" t="s">
        <v>1663</v>
      </c>
      <c r="B82" s="44"/>
      <c r="C82" s="44"/>
      <c r="D82" s="44"/>
      <c r="E82" s="44"/>
      <c r="F82" s="44"/>
      <c r="G82" s="320"/>
      <c r="H82" s="492" t="s">
        <v>1664</v>
      </c>
      <c r="I82" s="44"/>
      <c r="J82" s="44"/>
      <c r="K82" s="44"/>
      <c r="L82" s="320"/>
    </row>
    <row r="83" ht="14.25" customHeight="1">
      <c r="A83" s="493" t="s">
        <v>1619</v>
      </c>
      <c r="B83" s="494"/>
      <c r="C83" s="495"/>
      <c r="D83" s="496" t="s">
        <v>1620</v>
      </c>
      <c r="E83" s="44"/>
      <c r="F83" s="320"/>
      <c r="G83" s="497" t="s">
        <v>1621</v>
      </c>
      <c r="H83" s="495"/>
      <c r="I83" s="497" t="s">
        <v>1622</v>
      </c>
      <c r="J83" s="495"/>
      <c r="K83" s="498">
        <f>((1+H88+H86+H85)*(1+H87)*(1+H89))/(1-H90)-1</f>
        <v>0.1486201794</v>
      </c>
      <c r="L83" s="495"/>
    </row>
    <row r="84" ht="14.25" customHeight="1">
      <c r="A84" s="294"/>
      <c r="B84" s="36"/>
      <c r="C84" s="189"/>
      <c r="D84" s="499" t="s">
        <v>1623</v>
      </c>
      <c r="E84" s="499" t="s">
        <v>1624</v>
      </c>
      <c r="F84" s="499" t="s">
        <v>1625</v>
      </c>
      <c r="G84" s="294"/>
      <c r="H84" s="189"/>
      <c r="I84" s="294"/>
      <c r="J84" s="189"/>
      <c r="K84" s="294"/>
      <c r="L84" s="189"/>
    </row>
    <row r="85" ht="14.25" customHeight="1">
      <c r="A85" s="500">
        <v>1.0</v>
      </c>
      <c r="B85" s="501" t="s">
        <v>1626</v>
      </c>
      <c r="C85" s="320"/>
      <c r="D85" s="502">
        <v>0.008</v>
      </c>
      <c r="E85" s="502">
        <v>0.008</v>
      </c>
      <c r="F85" s="502">
        <v>0.01</v>
      </c>
      <c r="G85" s="503" t="s">
        <v>1626</v>
      </c>
      <c r="H85" s="504">
        <v>0.008</v>
      </c>
      <c r="I85" s="505" t="s">
        <v>1627</v>
      </c>
      <c r="J85" s="494"/>
      <c r="K85" s="494"/>
      <c r="L85" s="495"/>
    </row>
    <row r="86" ht="14.25" customHeight="1">
      <c r="A86" s="500">
        <v>2.0</v>
      </c>
      <c r="B86" s="501" t="s">
        <v>1628</v>
      </c>
      <c r="C86" s="320"/>
      <c r="D86" s="502">
        <v>0.0097</v>
      </c>
      <c r="E86" s="502">
        <v>0.0127</v>
      </c>
      <c r="F86" s="502">
        <v>0.0127</v>
      </c>
      <c r="G86" s="503" t="s">
        <v>1628</v>
      </c>
      <c r="H86" s="506">
        <v>0.0097</v>
      </c>
      <c r="I86" s="294"/>
      <c r="J86" s="36"/>
      <c r="K86" s="36"/>
      <c r="L86" s="189"/>
    </row>
    <row r="87" ht="14.25" customHeight="1">
      <c r="A87" s="500">
        <v>3.0</v>
      </c>
      <c r="B87" s="501" t="s">
        <v>1629</v>
      </c>
      <c r="C87" s="320"/>
      <c r="D87" s="502">
        <v>0.0059</v>
      </c>
      <c r="E87" s="502">
        <v>0.0123</v>
      </c>
      <c r="F87" s="502">
        <v>0.0139</v>
      </c>
      <c r="G87" s="503" t="s">
        <v>1629</v>
      </c>
      <c r="H87" s="506">
        <v>0.0059</v>
      </c>
      <c r="I87" s="507" t="s">
        <v>1630</v>
      </c>
      <c r="J87" s="44"/>
      <c r="K87" s="44"/>
      <c r="L87" s="320"/>
    </row>
    <row r="88" ht="14.25" customHeight="1">
      <c r="A88" s="500">
        <v>4.0</v>
      </c>
      <c r="B88" s="501" t="s">
        <v>1631</v>
      </c>
      <c r="C88" s="320"/>
      <c r="D88" s="502">
        <v>0.03</v>
      </c>
      <c r="E88" s="502">
        <v>0.04</v>
      </c>
      <c r="F88" s="508">
        <v>0.055</v>
      </c>
      <c r="G88" s="503" t="s">
        <v>1631</v>
      </c>
      <c r="H88" s="506">
        <v>0.0145</v>
      </c>
      <c r="I88" s="509" t="s">
        <v>1632</v>
      </c>
      <c r="J88" s="44"/>
      <c r="K88" s="44"/>
      <c r="L88" s="320"/>
    </row>
    <row r="89" ht="14.25" customHeight="1">
      <c r="A89" s="500">
        <v>5.0</v>
      </c>
      <c r="B89" s="501" t="s">
        <v>1633</v>
      </c>
      <c r="C89" s="320"/>
      <c r="D89" s="502">
        <v>0.0616</v>
      </c>
      <c r="E89" s="502">
        <v>0.074</v>
      </c>
      <c r="F89" s="502">
        <v>0.0896</v>
      </c>
      <c r="G89" s="503" t="s">
        <v>1633</v>
      </c>
      <c r="H89" s="506">
        <v>0.0265</v>
      </c>
      <c r="I89" s="510" t="s">
        <v>1634</v>
      </c>
      <c r="J89" s="494"/>
      <c r="K89" s="494"/>
      <c r="L89" s="495"/>
    </row>
    <row r="90" ht="14.25" customHeight="1">
      <c r="A90" s="500">
        <v>6.0</v>
      </c>
      <c r="B90" s="501" t="s">
        <v>1635</v>
      </c>
      <c r="C90" s="320"/>
      <c r="D90" s="511" t="s">
        <v>1636</v>
      </c>
      <c r="E90" s="44"/>
      <c r="F90" s="320"/>
      <c r="G90" s="503" t="s">
        <v>1637</v>
      </c>
      <c r="H90" s="512">
        <f>SUM(H91:H94)</f>
        <v>0.0721</v>
      </c>
      <c r="I90" s="513"/>
      <c r="L90" s="301"/>
    </row>
    <row r="91" ht="14.25" customHeight="1">
      <c r="A91" s="500" t="s">
        <v>554</v>
      </c>
      <c r="B91" s="501" t="s">
        <v>1638</v>
      </c>
      <c r="C91" s="320"/>
      <c r="D91" s="511" t="s">
        <v>1636</v>
      </c>
      <c r="E91" s="44"/>
      <c r="F91" s="320"/>
      <c r="G91" s="503" t="s">
        <v>1638</v>
      </c>
      <c r="H91" s="514">
        <v>0.0076</v>
      </c>
      <c r="I91" s="513"/>
      <c r="L91" s="301"/>
    </row>
    <row r="92" ht="14.25" customHeight="1">
      <c r="A92" s="500" t="s">
        <v>695</v>
      </c>
      <c r="B92" s="501" t="s">
        <v>1639</v>
      </c>
      <c r="C92" s="320"/>
      <c r="D92" s="511" t="s">
        <v>1636</v>
      </c>
      <c r="E92" s="44"/>
      <c r="F92" s="320"/>
      <c r="G92" s="503" t="s">
        <v>1639</v>
      </c>
      <c r="H92" s="514">
        <v>0.0345</v>
      </c>
      <c r="I92" s="294"/>
      <c r="J92" s="36"/>
      <c r="K92" s="36"/>
      <c r="L92" s="189"/>
    </row>
    <row r="93" ht="14.25" customHeight="1">
      <c r="A93" s="500" t="s">
        <v>995</v>
      </c>
      <c r="B93" s="501" t="s">
        <v>1640</v>
      </c>
      <c r="C93" s="320"/>
      <c r="D93" s="511" t="s">
        <v>1636</v>
      </c>
      <c r="E93" s="44"/>
      <c r="F93" s="320"/>
      <c r="G93" s="503" t="s">
        <v>1640</v>
      </c>
      <c r="H93" s="512">
        <v>0.03</v>
      </c>
      <c r="I93" s="515" t="s">
        <v>1641</v>
      </c>
      <c r="J93" s="494"/>
      <c r="K93" s="494"/>
      <c r="L93" s="495"/>
    </row>
    <row r="94" ht="14.25" customHeight="1">
      <c r="A94" s="500" t="s">
        <v>1034</v>
      </c>
      <c r="B94" s="501" t="s">
        <v>1642</v>
      </c>
      <c r="C94" s="320"/>
      <c r="D94" s="511">
        <v>0.045</v>
      </c>
      <c r="E94" s="44"/>
      <c r="F94" s="320"/>
      <c r="G94" s="503" t="s">
        <v>1642</v>
      </c>
      <c r="H94" s="514">
        <v>0.0</v>
      </c>
      <c r="I94" s="294"/>
      <c r="J94" s="36"/>
      <c r="K94" s="36"/>
      <c r="L94" s="189"/>
    </row>
    <row r="95" ht="14.25" customHeight="1">
      <c r="A95" s="516" t="s">
        <v>1643</v>
      </c>
      <c r="B95" s="44"/>
      <c r="C95" s="44"/>
      <c r="D95" s="44"/>
      <c r="E95" s="44"/>
      <c r="F95" s="44"/>
      <c r="G95" s="44"/>
      <c r="H95" s="44"/>
      <c r="I95" s="44"/>
      <c r="J95" s="44"/>
      <c r="K95" s="44"/>
      <c r="L95" s="320"/>
    </row>
    <row r="96" ht="14.25" customHeight="1">
      <c r="A96" s="501" t="s">
        <v>1644</v>
      </c>
      <c r="B96" s="44"/>
      <c r="C96" s="44"/>
      <c r="D96" s="44"/>
      <c r="E96" s="44"/>
      <c r="F96" s="44"/>
      <c r="G96" s="44"/>
      <c r="H96" s="44"/>
      <c r="I96" s="44"/>
      <c r="J96" s="44"/>
      <c r="K96" s="44"/>
      <c r="L96" s="320"/>
    </row>
    <row r="97" ht="14.25" customHeight="1">
      <c r="A97" s="501" t="s">
        <v>1665</v>
      </c>
      <c r="B97" s="44"/>
      <c r="C97" s="44"/>
      <c r="D97" s="44"/>
      <c r="E97" s="44"/>
      <c r="F97" s="44"/>
      <c r="G97" s="44"/>
      <c r="H97" s="44"/>
      <c r="I97" s="44"/>
      <c r="J97" s="44"/>
      <c r="K97" s="44"/>
      <c r="L97" s="320"/>
    </row>
    <row r="98" ht="41.25" customHeight="1">
      <c r="A98" s="517"/>
      <c r="B98" s="517"/>
      <c r="C98" s="517"/>
      <c r="D98" s="517"/>
      <c r="E98" s="517"/>
      <c r="F98" s="517"/>
      <c r="G98" s="517"/>
      <c r="H98" s="517"/>
      <c r="I98" s="517"/>
      <c r="J98" s="517"/>
      <c r="K98" s="517"/>
      <c r="L98" s="517"/>
    </row>
    <row r="99" ht="14.25" customHeight="1">
      <c r="A99" s="489" t="s">
        <v>1666</v>
      </c>
      <c r="B99" s="44"/>
      <c r="C99" s="44"/>
      <c r="D99" s="44"/>
      <c r="E99" s="44"/>
      <c r="F99" s="44"/>
      <c r="G99" s="44"/>
      <c r="H99" s="44"/>
      <c r="I99" s="44"/>
      <c r="J99" s="44"/>
      <c r="K99" s="44"/>
      <c r="L99" s="320"/>
    </row>
    <row r="100" ht="14.25" customHeight="1">
      <c r="A100" s="489" t="s">
        <v>1667</v>
      </c>
      <c r="B100" s="44"/>
      <c r="C100" s="44"/>
      <c r="D100" s="44"/>
      <c r="E100" s="44"/>
      <c r="F100" s="44"/>
      <c r="G100" s="320"/>
      <c r="H100" s="490" t="s">
        <v>1616</v>
      </c>
      <c r="I100" s="44"/>
      <c r="J100" s="44"/>
      <c r="K100" s="44"/>
      <c r="L100" s="320"/>
    </row>
    <row r="101" ht="42.0" customHeight="1">
      <c r="A101" s="491" t="s">
        <v>1668</v>
      </c>
      <c r="B101" s="44"/>
      <c r="C101" s="44"/>
      <c r="D101" s="44"/>
      <c r="E101" s="44"/>
      <c r="F101" s="44"/>
      <c r="G101" s="320"/>
      <c r="H101" s="492" t="s">
        <v>1669</v>
      </c>
      <c r="I101" s="44"/>
      <c r="J101" s="44"/>
      <c r="K101" s="44"/>
      <c r="L101" s="320"/>
    </row>
    <row r="102" ht="14.25" customHeight="1">
      <c r="A102" s="493" t="s">
        <v>1619</v>
      </c>
      <c r="B102" s="494"/>
      <c r="C102" s="495"/>
      <c r="D102" s="496" t="s">
        <v>1620</v>
      </c>
      <c r="E102" s="44"/>
      <c r="F102" s="320"/>
      <c r="G102" s="497" t="s">
        <v>1621</v>
      </c>
      <c r="H102" s="495"/>
      <c r="I102" s="497" t="s">
        <v>1622</v>
      </c>
      <c r="J102" s="495"/>
      <c r="K102" s="498">
        <f>((1+H107+H105+H104)*(1+H106)*(1+H108))/(1-H109)-1</f>
        <v>0.17392297</v>
      </c>
      <c r="L102" s="495"/>
    </row>
    <row r="103" ht="14.25" customHeight="1">
      <c r="A103" s="294"/>
      <c r="B103" s="36"/>
      <c r="C103" s="189"/>
      <c r="D103" s="499" t="s">
        <v>1623</v>
      </c>
      <c r="E103" s="499" t="s">
        <v>1624</v>
      </c>
      <c r="F103" s="499" t="s">
        <v>1625</v>
      </c>
      <c r="G103" s="294"/>
      <c r="H103" s="189"/>
      <c r="I103" s="294"/>
      <c r="J103" s="189"/>
      <c r="K103" s="294"/>
      <c r="L103" s="189"/>
    </row>
    <row r="104" ht="14.25" customHeight="1">
      <c r="A104" s="500">
        <v>1.0</v>
      </c>
      <c r="B104" s="501" t="s">
        <v>1626</v>
      </c>
      <c r="C104" s="320"/>
      <c r="D104" s="502">
        <v>0.008</v>
      </c>
      <c r="E104" s="502">
        <v>0.008</v>
      </c>
      <c r="F104" s="502">
        <v>0.01</v>
      </c>
      <c r="G104" s="503" t="s">
        <v>1626</v>
      </c>
      <c r="H104" s="504">
        <v>0.008</v>
      </c>
      <c r="I104" s="505" t="s">
        <v>1627</v>
      </c>
      <c r="J104" s="494"/>
      <c r="K104" s="494"/>
      <c r="L104" s="495"/>
    </row>
    <row r="105" ht="14.25" customHeight="1">
      <c r="A105" s="500">
        <v>2.0</v>
      </c>
      <c r="B105" s="501" t="s">
        <v>1628</v>
      </c>
      <c r="C105" s="320"/>
      <c r="D105" s="502">
        <v>0.0097</v>
      </c>
      <c r="E105" s="502">
        <v>0.0127</v>
      </c>
      <c r="F105" s="502">
        <v>0.0127</v>
      </c>
      <c r="G105" s="503" t="s">
        <v>1628</v>
      </c>
      <c r="H105" s="506">
        <v>0.0097</v>
      </c>
      <c r="I105" s="294"/>
      <c r="J105" s="36"/>
      <c r="K105" s="36"/>
      <c r="L105" s="189"/>
    </row>
    <row r="106" ht="14.25" customHeight="1">
      <c r="A106" s="500">
        <v>3.0</v>
      </c>
      <c r="B106" s="501" t="s">
        <v>1629</v>
      </c>
      <c r="C106" s="320"/>
      <c r="D106" s="502">
        <v>0.0059</v>
      </c>
      <c r="E106" s="502">
        <v>0.0123</v>
      </c>
      <c r="F106" s="502">
        <v>0.0139</v>
      </c>
      <c r="G106" s="503" t="s">
        <v>1629</v>
      </c>
      <c r="H106" s="506">
        <v>0.0059</v>
      </c>
      <c r="I106" s="507" t="s">
        <v>1630</v>
      </c>
      <c r="J106" s="44"/>
      <c r="K106" s="44"/>
      <c r="L106" s="320"/>
    </row>
    <row r="107" ht="14.25" customHeight="1">
      <c r="A107" s="500">
        <v>4.0</v>
      </c>
      <c r="B107" s="501" t="s">
        <v>1631</v>
      </c>
      <c r="C107" s="320"/>
      <c r="D107" s="502">
        <v>0.03</v>
      </c>
      <c r="E107" s="502">
        <v>0.04</v>
      </c>
      <c r="F107" s="508">
        <v>0.055</v>
      </c>
      <c r="G107" s="503" t="s">
        <v>1631</v>
      </c>
      <c r="H107" s="506">
        <v>0.0145</v>
      </c>
      <c r="I107" s="509" t="s">
        <v>1632</v>
      </c>
      <c r="J107" s="44"/>
      <c r="K107" s="44"/>
      <c r="L107" s="320"/>
    </row>
    <row r="108" ht="14.25" customHeight="1">
      <c r="A108" s="500">
        <v>5.0</v>
      </c>
      <c r="B108" s="501" t="s">
        <v>1633</v>
      </c>
      <c r="C108" s="320"/>
      <c r="D108" s="502">
        <v>0.0616</v>
      </c>
      <c r="E108" s="502">
        <v>0.074</v>
      </c>
      <c r="F108" s="502">
        <v>0.0896</v>
      </c>
      <c r="G108" s="503" t="s">
        <v>1633</v>
      </c>
      <c r="H108" s="506">
        <v>0.0265</v>
      </c>
      <c r="I108" s="510" t="s">
        <v>1634</v>
      </c>
      <c r="J108" s="494"/>
      <c r="K108" s="494"/>
      <c r="L108" s="495"/>
    </row>
    <row r="109" ht="14.25" customHeight="1">
      <c r="A109" s="500">
        <v>6.0</v>
      </c>
      <c r="B109" s="501" t="s">
        <v>1635</v>
      </c>
      <c r="C109" s="320"/>
      <c r="D109" s="511" t="s">
        <v>1636</v>
      </c>
      <c r="E109" s="44"/>
      <c r="F109" s="320"/>
      <c r="G109" s="503" t="s">
        <v>1637</v>
      </c>
      <c r="H109" s="512">
        <f>SUM(H110:H113)</f>
        <v>0.0921</v>
      </c>
      <c r="I109" s="513"/>
      <c r="L109" s="301"/>
    </row>
    <row r="110" ht="14.25" customHeight="1">
      <c r="A110" s="500" t="s">
        <v>554</v>
      </c>
      <c r="B110" s="501" t="s">
        <v>1638</v>
      </c>
      <c r="C110" s="320"/>
      <c r="D110" s="511" t="s">
        <v>1636</v>
      </c>
      <c r="E110" s="44"/>
      <c r="F110" s="320"/>
      <c r="G110" s="503" t="s">
        <v>1638</v>
      </c>
      <c r="H110" s="514">
        <v>0.0076</v>
      </c>
      <c r="I110" s="513"/>
      <c r="L110" s="301"/>
    </row>
    <row r="111" ht="14.25" customHeight="1">
      <c r="A111" s="500" t="s">
        <v>695</v>
      </c>
      <c r="B111" s="501" t="s">
        <v>1639</v>
      </c>
      <c r="C111" s="320"/>
      <c r="D111" s="511" t="s">
        <v>1636</v>
      </c>
      <c r="E111" s="44"/>
      <c r="F111" s="320"/>
      <c r="G111" s="503" t="s">
        <v>1639</v>
      </c>
      <c r="H111" s="514">
        <v>0.0345</v>
      </c>
      <c r="I111" s="294"/>
      <c r="J111" s="36"/>
      <c r="K111" s="36"/>
      <c r="L111" s="189"/>
    </row>
    <row r="112" ht="14.25" customHeight="1">
      <c r="A112" s="500" t="s">
        <v>995</v>
      </c>
      <c r="B112" s="501" t="s">
        <v>1640</v>
      </c>
      <c r="C112" s="320"/>
      <c r="D112" s="511" t="s">
        <v>1636</v>
      </c>
      <c r="E112" s="44"/>
      <c r="F112" s="320"/>
      <c r="G112" s="503" t="s">
        <v>1640</v>
      </c>
      <c r="H112" s="512">
        <v>0.05</v>
      </c>
      <c r="I112" s="515" t="s">
        <v>1641</v>
      </c>
      <c r="J112" s="494"/>
      <c r="K112" s="494"/>
      <c r="L112" s="495"/>
    </row>
    <row r="113" ht="14.25" customHeight="1">
      <c r="A113" s="500" t="s">
        <v>1034</v>
      </c>
      <c r="B113" s="501" t="s">
        <v>1642</v>
      </c>
      <c r="C113" s="320"/>
      <c r="D113" s="511">
        <v>0.045</v>
      </c>
      <c r="E113" s="44"/>
      <c r="F113" s="320"/>
      <c r="G113" s="503" t="s">
        <v>1642</v>
      </c>
      <c r="H113" s="514">
        <v>0.0</v>
      </c>
      <c r="I113" s="294"/>
      <c r="J113" s="36"/>
      <c r="K113" s="36"/>
      <c r="L113" s="189"/>
    </row>
    <row r="114" ht="14.25" customHeight="1">
      <c r="A114" s="516" t="s">
        <v>1643</v>
      </c>
      <c r="B114" s="44"/>
      <c r="C114" s="44"/>
      <c r="D114" s="44"/>
      <c r="E114" s="44"/>
      <c r="F114" s="44"/>
      <c r="G114" s="44"/>
      <c r="H114" s="44"/>
      <c r="I114" s="44"/>
      <c r="J114" s="44"/>
      <c r="K114" s="44"/>
      <c r="L114" s="320"/>
    </row>
    <row r="115" ht="14.25" customHeight="1">
      <c r="A115" s="501" t="s">
        <v>1644</v>
      </c>
      <c r="B115" s="44"/>
      <c r="C115" s="44"/>
      <c r="D115" s="44"/>
      <c r="E115" s="44"/>
      <c r="F115" s="44"/>
      <c r="G115" s="44"/>
      <c r="H115" s="44"/>
      <c r="I115" s="44"/>
      <c r="J115" s="44"/>
      <c r="K115" s="44"/>
      <c r="L115" s="320"/>
    </row>
    <row r="116" ht="14.25" customHeight="1">
      <c r="A116" s="501" t="s">
        <v>1670</v>
      </c>
      <c r="B116" s="44"/>
      <c r="C116" s="44"/>
      <c r="D116" s="44"/>
      <c r="E116" s="44"/>
      <c r="F116" s="44"/>
      <c r="G116" s="44"/>
      <c r="H116" s="44"/>
      <c r="I116" s="44"/>
      <c r="J116" s="44"/>
      <c r="K116" s="44"/>
      <c r="L116" s="320"/>
    </row>
    <row r="117" ht="43.5" customHeight="1">
      <c r="A117" s="517"/>
      <c r="B117" s="517"/>
      <c r="C117" s="517"/>
      <c r="D117" s="517"/>
      <c r="E117" s="517"/>
      <c r="F117" s="517"/>
      <c r="G117" s="517"/>
      <c r="H117" s="517"/>
      <c r="I117" s="517"/>
      <c r="J117" s="517"/>
      <c r="K117" s="517"/>
      <c r="L117" s="517"/>
    </row>
    <row r="118" ht="14.25" customHeight="1">
      <c r="A118" s="489" t="s">
        <v>1671</v>
      </c>
      <c r="B118" s="44"/>
      <c r="C118" s="44"/>
      <c r="D118" s="44"/>
      <c r="E118" s="44"/>
      <c r="F118" s="44"/>
      <c r="G118" s="44"/>
      <c r="H118" s="44"/>
      <c r="I118" s="44"/>
      <c r="J118" s="44"/>
      <c r="K118" s="44"/>
      <c r="L118" s="320"/>
    </row>
    <row r="119" ht="14.25" customHeight="1">
      <c r="A119" s="489" t="s">
        <v>1672</v>
      </c>
      <c r="B119" s="44"/>
      <c r="C119" s="44"/>
      <c r="D119" s="44"/>
      <c r="E119" s="44"/>
      <c r="F119" s="44"/>
      <c r="G119" s="320"/>
      <c r="H119" s="490" t="s">
        <v>1616</v>
      </c>
      <c r="I119" s="44"/>
      <c r="J119" s="44"/>
      <c r="K119" s="44"/>
      <c r="L119" s="320"/>
    </row>
    <row r="120" ht="42.75" customHeight="1">
      <c r="A120" s="491" t="s">
        <v>1673</v>
      </c>
      <c r="B120" s="44"/>
      <c r="C120" s="44"/>
      <c r="D120" s="44"/>
      <c r="E120" s="44"/>
      <c r="F120" s="44"/>
      <c r="G120" s="320"/>
      <c r="H120" s="492" t="s">
        <v>1674</v>
      </c>
      <c r="I120" s="44"/>
      <c r="J120" s="44"/>
      <c r="K120" s="44"/>
      <c r="L120" s="320"/>
    </row>
    <row r="121" ht="14.25" customHeight="1">
      <c r="A121" s="493" t="s">
        <v>1619</v>
      </c>
      <c r="B121" s="494"/>
      <c r="C121" s="495"/>
      <c r="D121" s="496" t="s">
        <v>1620</v>
      </c>
      <c r="E121" s="44"/>
      <c r="F121" s="320"/>
      <c r="G121" s="497" t="s">
        <v>1621</v>
      </c>
      <c r="H121" s="495"/>
      <c r="I121" s="497" t="s">
        <v>1622</v>
      </c>
      <c r="J121" s="495"/>
      <c r="K121" s="498">
        <f>((1+H126+H124+H123)*(1+H125)*(1+H127))/(1-H128)-1</f>
        <v>0.17392297</v>
      </c>
      <c r="L121" s="495"/>
    </row>
    <row r="122" ht="14.25" customHeight="1">
      <c r="A122" s="294"/>
      <c r="B122" s="36"/>
      <c r="C122" s="189"/>
      <c r="D122" s="499" t="s">
        <v>1623</v>
      </c>
      <c r="E122" s="499" t="s">
        <v>1624</v>
      </c>
      <c r="F122" s="499" t="s">
        <v>1625</v>
      </c>
      <c r="G122" s="294"/>
      <c r="H122" s="189"/>
      <c r="I122" s="294"/>
      <c r="J122" s="189"/>
      <c r="K122" s="294"/>
      <c r="L122" s="189"/>
    </row>
    <row r="123" ht="14.25" customHeight="1">
      <c r="A123" s="500">
        <v>1.0</v>
      </c>
      <c r="B123" s="501" t="s">
        <v>1626</v>
      </c>
      <c r="C123" s="320"/>
      <c r="D123" s="502">
        <v>0.008</v>
      </c>
      <c r="E123" s="502">
        <v>0.008</v>
      </c>
      <c r="F123" s="502">
        <v>0.01</v>
      </c>
      <c r="G123" s="503" t="s">
        <v>1626</v>
      </c>
      <c r="H123" s="504">
        <v>0.008</v>
      </c>
      <c r="I123" s="505" t="s">
        <v>1627</v>
      </c>
      <c r="J123" s="494"/>
      <c r="K123" s="494"/>
      <c r="L123" s="495"/>
    </row>
    <row r="124" ht="14.25" customHeight="1">
      <c r="A124" s="500">
        <v>2.0</v>
      </c>
      <c r="B124" s="501" t="s">
        <v>1628</v>
      </c>
      <c r="C124" s="320"/>
      <c r="D124" s="502">
        <v>0.0097</v>
      </c>
      <c r="E124" s="502">
        <v>0.0127</v>
      </c>
      <c r="F124" s="502">
        <v>0.0127</v>
      </c>
      <c r="G124" s="503" t="s">
        <v>1628</v>
      </c>
      <c r="H124" s="506">
        <v>0.0097</v>
      </c>
      <c r="I124" s="294"/>
      <c r="J124" s="36"/>
      <c r="K124" s="36"/>
      <c r="L124" s="189"/>
    </row>
    <row r="125" ht="14.25" customHeight="1">
      <c r="A125" s="500">
        <v>3.0</v>
      </c>
      <c r="B125" s="501" t="s">
        <v>1629</v>
      </c>
      <c r="C125" s="320"/>
      <c r="D125" s="502">
        <v>0.0059</v>
      </c>
      <c r="E125" s="502">
        <v>0.0123</v>
      </c>
      <c r="F125" s="502">
        <v>0.0139</v>
      </c>
      <c r="G125" s="503" t="s">
        <v>1629</v>
      </c>
      <c r="H125" s="506">
        <v>0.0059</v>
      </c>
      <c r="I125" s="507" t="s">
        <v>1630</v>
      </c>
      <c r="J125" s="44"/>
      <c r="K125" s="44"/>
      <c r="L125" s="320"/>
    </row>
    <row r="126" ht="14.25" customHeight="1">
      <c r="A126" s="500">
        <v>4.0</v>
      </c>
      <c r="B126" s="501" t="s">
        <v>1631</v>
      </c>
      <c r="C126" s="320"/>
      <c r="D126" s="502">
        <v>0.03</v>
      </c>
      <c r="E126" s="502">
        <v>0.04</v>
      </c>
      <c r="F126" s="508">
        <v>0.055</v>
      </c>
      <c r="G126" s="503" t="s">
        <v>1631</v>
      </c>
      <c r="H126" s="506">
        <v>0.0145</v>
      </c>
      <c r="I126" s="509" t="s">
        <v>1632</v>
      </c>
      <c r="J126" s="44"/>
      <c r="K126" s="44"/>
      <c r="L126" s="320"/>
    </row>
    <row r="127" ht="14.25" customHeight="1">
      <c r="A127" s="500">
        <v>5.0</v>
      </c>
      <c r="B127" s="501" t="s">
        <v>1633</v>
      </c>
      <c r="C127" s="320"/>
      <c r="D127" s="502">
        <v>0.0616</v>
      </c>
      <c r="E127" s="502">
        <v>0.074</v>
      </c>
      <c r="F127" s="502">
        <v>0.0896</v>
      </c>
      <c r="G127" s="503" t="s">
        <v>1633</v>
      </c>
      <c r="H127" s="506">
        <v>0.0265</v>
      </c>
      <c r="I127" s="510" t="s">
        <v>1634</v>
      </c>
      <c r="J127" s="494"/>
      <c r="K127" s="494"/>
      <c r="L127" s="495"/>
    </row>
    <row r="128" ht="14.25" customHeight="1">
      <c r="A128" s="500">
        <v>6.0</v>
      </c>
      <c r="B128" s="501" t="s">
        <v>1635</v>
      </c>
      <c r="C128" s="320"/>
      <c r="D128" s="511" t="s">
        <v>1636</v>
      </c>
      <c r="E128" s="44"/>
      <c r="F128" s="320"/>
      <c r="G128" s="503" t="s">
        <v>1637</v>
      </c>
      <c r="H128" s="512">
        <f>SUM(H129:H132)</f>
        <v>0.0921</v>
      </c>
      <c r="I128" s="513"/>
      <c r="L128" s="301"/>
    </row>
    <row r="129" ht="14.25" customHeight="1">
      <c r="A129" s="500" t="s">
        <v>554</v>
      </c>
      <c r="B129" s="501" t="s">
        <v>1638</v>
      </c>
      <c r="C129" s="320"/>
      <c r="D129" s="511" t="s">
        <v>1636</v>
      </c>
      <c r="E129" s="44"/>
      <c r="F129" s="320"/>
      <c r="G129" s="503" t="s">
        <v>1638</v>
      </c>
      <c r="H129" s="514">
        <v>0.0076</v>
      </c>
      <c r="I129" s="513"/>
      <c r="L129" s="301"/>
    </row>
    <row r="130" ht="14.25" customHeight="1">
      <c r="A130" s="500" t="s">
        <v>695</v>
      </c>
      <c r="B130" s="501" t="s">
        <v>1639</v>
      </c>
      <c r="C130" s="320"/>
      <c r="D130" s="511" t="s">
        <v>1636</v>
      </c>
      <c r="E130" s="44"/>
      <c r="F130" s="320"/>
      <c r="G130" s="503" t="s">
        <v>1639</v>
      </c>
      <c r="H130" s="514">
        <v>0.0345</v>
      </c>
      <c r="I130" s="294"/>
      <c r="J130" s="36"/>
      <c r="K130" s="36"/>
      <c r="L130" s="189"/>
    </row>
    <row r="131" ht="14.25" customHeight="1">
      <c r="A131" s="500" t="s">
        <v>995</v>
      </c>
      <c r="B131" s="501" t="s">
        <v>1640</v>
      </c>
      <c r="C131" s="320"/>
      <c r="D131" s="511" t="s">
        <v>1636</v>
      </c>
      <c r="E131" s="44"/>
      <c r="F131" s="320"/>
      <c r="G131" s="503" t="s">
        <v>1640</v>
      </c>
      <c r="H131" s="512">
        <v>0.05</v>
      </c>
      <c r="I131" s="515" t="s">
        <v>1641</v>
      </c>
      <c r="J131" s="494"/>
      <c r="K131" s="494"/>
      <c r="L131" s="495"/>
    </row>
    <row r="132" ht="14.25" customHeight="1">
      <c r="A132" s="500" t="s">
        <v>1034</v>
      </c>
      <c r="B132" s="501" t="s">
        <v>1642</v>
      </c>
      <c r="C132" s="320"/>
      <c r="D132" s="511">
        <v>0.045</v>
      </c>
      <c r="E132" s="44"/>
      <c r="F132" s="320"/>
      <c r="G132" s="503" t="s">
        <v>1642</v>
      </c>
      <c r="H132" s="514">
        <v>0.0</v>
      </c>
      <c r="I132" s="294"/>
      <c r="J132" s="36"/>
      <c r="K132" s="36"/>
      <c r="L132" s="189"/>
    </row>
    <row r="133" ht="14.25" customHeight="1">
      <c r="A133" s="516" t="s">
        <v>1643</v>
      </c>
      <c r="B133" s="44"/>
      <c r="C133" s="44"/>
      <c r="D133" s="44"/>
      <c r="E133" s="44"/>
      <c r="F133" s="44"/>
      <c r="G133" s="44"/>
      <c r="H133" s="44"/>
      <c r="I133" s="44"/>
      <c r="J133" s="44"/>
      <c r="K133" s="44"/>
      <c r="L133" s="320"/>
    </row>
    <row r="134" ht="14.25" customHeight="1">
      <c r="A134" s="501" t="s">
        <v>1644</v>
      </c>
      <c r="B134" s="44"/>
      <c r="C134" s="44"/>
      <c r="D134" s="44"/>
      <c r="E134" s="44"/>
      <c r="F134" s="44"/>
      <c r="G134" s="44"/>
      <c r="H134" s="44"/>
      <c r="I134" s="44"/>
      <c r="J134" s="44"/>
      <c r="K134" s="44"/>
      <c r="L134" s="320"/>
    </row>
    <row r="135" ht="14.25" customHeight="1">
      <c r="A135" s="501" t="s">
        <v>1675</v>
      </c>
      <c r="B135" s="44"/>
      <c r="C135" s="44"/>
      <c r="D135" s="44"/>
      <c r="E135" s="44"/>
      <c r="F135" s="44"/>
      <c r="G135" s="44"/>
      <c r="H135" s="44"/>
      <c r="I135" s="44"/>
      <c r="J135" s="44"/>
      <c r="K135" s="44"/>
      <c r="L135" s="320"/>
    </row>
    <row r="136" ht="43.5" customHeight="1">
      <c r="A136" s="517"/>
      <c r="B136" s="517"/>
      <c r="C136" s="517"/>
      <c r="D136" s="517"/>
      <c r="E136" s="517"/>
      <c r="F136" s="517"/>
      <c r="G136" s="517"/>
      <c r="H136" s="517"/>
      <c r="I136" s="517"/>
      <c r="J136" s="517"/>
      <c r="K136" s="517"/>
      <c r="L136" s="517"/>
    </row>
    <row r="137" ht="14.25" customHeight="1">
      <c r="A137" s="489" t="s">
        <v>1676</v>
      </c>
      <c r="B137" s="44"/>
      <c r="C137" s="44"/>
      <c r="D137" s="44"/>
      <c r="E137" s="44"/>
      <c r="F137" s="44"/>
      <c r="G137" s="44"/>
      <c r="H137" s="44"/>
      <c r="I137" s="44"/>
      <c r="J137" s="44"/>
      <c r="K137" s="44"/>
      <c r="L137" s="320"/>
    </row>
    <row r="138" ht="14.25" customHeight="1">
      <c r="A138" s="489" t="s">
        <v>1677</v>
      </c>
      <c r="B138" s="44"/>
      <c r="C138" s="44"/>
      <c r="D138" s="44"/>
      <c r="E138" s="44"/>
      <c r="F138" s="44"/>
      <c r="G138" s="320"/>
      <c r="H138" s="490" t="s">
        <v>1616</v>
      </c>
      <c r="I138" s="44"/>
      <c r="J138" s="44"/>
      <c r="K138" s="44"/>
      <c r="L138" s="320"/>
    </row>
    <row r="139" ht="43.5" customHeight="1">
      <c r="A139" s="491" t="s">
        <v>1678</v>
      </c>
      <c r="B139" s="44"/>
      <c r="C139" s="44"/>
      <c r="D139" s="44"/>
      <c r="E139" s="44"/>
      <c r="F139" s="44"/>
      <c r="G139" s="320"/>
      <c r="H139" s="492" t="s">
        <v>1679</v>
      </c>
      <c r="I139" s="44"/>
      <c r="J139" s="44"/>
      <c r="K139" s="44"/>
      <c r="L139" s="320"/>
    </row>
    <row r="140" ht="14.25" customHeight="1">
      <c r="A140" s="493" t="s">
        <v>1619</v>
      </c>
      <c r="B140" s="494"/>
      <c r="C140" s="495"/>
      <c r="D140" s="496" t="s">
        <v>1620</v>
      </c>
      <c r="E140" s="44"/>
      <c r="F140" s="320"/>
      <c r="G140" s="497" t="s">
        <v>1621</v>
      </c>
      <c r="H140" s="495"/>
      <c r="I140" s="497" t="s">
        <v>1622</v>
      </c>
      <c r="J140" s="495"/>
      <c r="K140" s="498">
        <f>((1+H145+H143+H142)*(1+H144)*(1+H146))/(1-H147)-1</f>
        <v>0.1611337449</v>
      </c>
      <c r="L140" s="495"/>
    </row>
    <row r="141" ht="14.25" customHeight="1">
      <c r="A141" s="294"/>
      <c r="B141" s="36"/>
      <c r="C141" s="189"/>
      <c r="D141" s="499" t="s">
        <v>1623</v>
      </c>
      <c r="E141" s="499" t="s">
        <v>1624</v>
      </c>
      <c r="F141" s="499" t="s">
        <v>1625</v>
      </c>
      <c r="G141" s="294"/>
      <c r="H141" s="189"/>
      <c r="I141" s="294"/>
      <c r="J141" s="189"/>
      <c r="K141" s="294"/>
      <c r="L141" s="189"/>
    </row>
    <row r="142" ht="18.0" customHeight="1">
      <c r="A142" s="500">
        <v>1.0</v>
      </c>
      <c r="B142" s="501" t="s">
        <v>1626</v>
      </c>
      <c r="C142" s="320"/>
      <c r="D142" s="502">
        <v>0.008</v>
      </c>
      <c r="E142" s="502">
        <v>0.008</v>
      </c>
      <c r="F142" s="502">
        <v>0.01</v>
      </c>
      <c r="G142" s="503" t="s">
        <v>1626</v>
      </c>
      <c r="H142" s="504">
        <v>0.008</v>
      </c>
      <c r="I142" s="505" t="s">
        <v>1627</v>
      </c>
      <c r="J142" s="494"/>
      <c r="K142" s="494"/>
      <c r="L142" s="495"/>
    </row>
    <row r="143" ht="14.25" customHeight="1">
      <c r="A143" s="500">
        <v>2.0</v>
      </c>
      <c r="B143" s="501" t="s">
        <v>1628</v>
      </c>
      <c r="C143" s="320"/>
      <c r="D143" s="502">
        <v>0.0097</v>
      </c>
      <c r="E143" s="502">
        <v>0.0127</v>
      </c>
      <c r="F143" s="502">
        <v>0.0127</v>
      </c>
      <c r="G143" s="503" t="s">
        <v>1628</v>
      </c>
      <c r="H143" s="506">
        <v>0.0097</v>
      </c>
      <c r="I143" s="294"/>
      <c r="J143" s="36"/>
      <c r="K143" s="36"/>
      <c r="L143" s="189"/>
    </row>
    <row r="144" ht="14.25" customHeight="1">
      <c r="A144" s="500">
        <v>3.0</v>
      </c>
      <c r="B144" s="501" t="s">
        <v>1629</v>
      </c>
      <c r="C144" s="320"/>
      <c r="D144" s="502">
        <v>0.0059</v>
      </c>
      <c r="E144" s="502">
        <v>0.0123</v>
      </c>
      <c r="F144" s="502">
        <v>0.0139</v>
      </c>
      <c r="G144" s="503" t="s">
        <v>1629</v>
      </c>
      <c r="H144" s="506">
        <v>0.0059</v>
      </c>
      <c r="I144" s="507" t="s">
        <v>1630</v>
      </c>
      <c r="J144" s="44"/>
      <c r="K144" s="44"/>
      <c r="L144" s="320"/>
    </row>
    <row r="145" ht="14.25" customHeight="1">
      <c r="A145" s="500">
        <v>4.0</v>
      </c>
      <c r="B145" s="501" t="s">
        <v>1631</v>
      </c>
      <c r="C145" s="320"/>
      <c r="D145" s="502">
        <v>0.03</v>
      </c>
      <c r="E145" s="502">
        <v>0.04</v>
      </c>
      <c r="F145" s="508">
        <v>0.055</v>
      </c>
      <c r="G145" s="503" t="s">
        <v>1631</v>
      </c>
      <c r="H145" s="506">
        <v>0.0145</v>
      </c>
      <c r="I145" s="509" t="s">
        <v>1632</v>
      </c>
      <c r="J145" s="44"/>
      <c r="K145" s="44"/>
      <c r="L145" s="320"/>
    </row>
    <row r="146" ht="14.25" customHeight="1">
      <c r="A146" s="500"/>
      <c r="B146" s="501" t="s">
        <v>1633</v>
      </c>
      <c r="C146" s="320"/>
      <c r="D146" s="502">
        <v>0.0616</v>
      </c>
      <c r="E146" s="502">
        <v>0.074</v>
      </c>
      <c r="F146" s="502">
        <v>0.0896</v>
      </c>
      <c r="G146" s="503" t="s">
        <v>1633</v>
      </c>
      <c r="H146" s="506">
        <v>0.0265</v>
      </c>
      <c r="I146" s="510" t="s">
        <v>1634</v>
      </c>
      <c r="J146" s="494"/>
      <c r="K146" s="494"/>
      <c r="L146" s="495"/>
    </row>
    <row r="147" ht="14.25" customHeight="1">
      <c r="A147" s="500">
        <v>6.0</v>
      </c>
      <c r="B147" s="501" t="s">
        <v>1635</v>
      </c>
      <c r="C147" s="320"/>
      <c r="D147" s="511" t="s">
        <v>1636</v>
      </c>
      <c r="E147" s="44"/>
      <c r="F147" s="320"/>
      <c r="G147" s="503" t="s">
        <v>1637</v>
      </c>
      <c r="H147" s="512">
        <f>SUM(H148:H151)</f>
        <v>0.0821</v>
      </c>
      <c r="I147" s="513"/>
      <c r="L147" s="301"/>
    </row>
    <row r="148" ht="14.25" customHeight="1">
      <c r="A148" s="500" t="s">
        <v>554</v>
      </c>
      <c r="B148" s="501" t="s">
        <v>1638</v>
      </c>
      <c r="C148" s="320"/>
      <c r="D148" s="511" t="s">
        <v>1636</v>
      </c>
      <c r="E148" s="44"/>
      <c r="F148" s="320"/>
      <c r="G148" s="503" t="s">
        <v>1638</v>
      </c>
      <c r="H148" s="514">
        <v>0.0076</v>
      </c>
      <c r="I148" s="513"/>
      <c r="L148" s="301"/>
    </row>
    <row r="149" ht="14.25" customHeight="1">
      <c r="A149" s="500" t="s">
        <v>695</v>
      </c>
      <c r="B149" s="501" t="s">
        <v>1639</v>
      </c>
      <c r="C149" s="320"/>
      <c r="D149" s="511" t="s">
        <v>1636</v>
      </c>
      <c r="E149" s="44"/>
      <c r="F149" s="320"/>
      <c r="G149" s="503" t="s">
        <v>1639</v>
      </c>
      <c r="H149" s="514">
        <v>0.0345</v>
      </c>
      <c r="I149" s="294"/>
      <c r="J149" s="36"/>
      <c r="K149" s="36"/>
      <c r="L149" s="189"/>
    </row>
    <row r="150" ht="14.25" customHeight="1">
      <c r="A150" s="500" t="s">
        <v>995</v>
      </c>
      <c r="B150" s="501" t="s">
        <v>1640</v>
      </c>
      <c r="C150" s="320"/>
      <c r="D150" s="511" t="s">
        <v>1636</v>
      </c>
      <c r="E150" s="44"/>
      <c r="F150" s="320"/>
      <c r="G150" s="503" t="s">
        <v>1640</v>
      </c>
      <c r="H150" s="512">
        <v>0.04</v>
      </c>
      <c r="I150" s="515" t="s">
        <v>1641</v>
      </c>
      <c r="J150" s="494"/>
      <c r="K150" s="494"/>
      <c r="L150" s="495"/>
    </row>
    <row r="151" ht="14.25" customHeight="1">
      <c r="A151" s="500" t="s">
        <v>1034</v>
      </c>
      <c r="B151" s="501" t="s">
        <v>1642</v>
      </c>
      <c r="C151" s="320"/>
      <c r="D151" s="511">
        <v>0.045</v>
      </c>
      <c r="E151" s="44"/>
      <c r="F151" s="320"/>
      <c r="G151" s="503" t="s">
        <v>1642</v>
      </c>
      <c r="H151" s="514">
        <v>0.0</v>
      </c>
      <c r="I151" s="294"/>
      <c r="J151" s="36"/>
      <c r="K151" s="36"/>
      <c r="L151" s="189"/>
    </row>
    <row r="152" ht="14.25" customHeight="1">
      <c r="A152" s="516" t="s">
        <v>1643</v>
      </c>
      <c r="B152" s="44"/>
      <c r="C152" s="44"/>
      <c r="D152" s="44"/>
      <c r="E152" s="44"/>
      <c r="F152" s="44"/>
      <c r="G152" s="44"/>
      <c r="H152" s="44"/>
      <c r="I152" s="44"/>
      <c r="J152" s="44"/>
      <c r="K152" s="44"/>
      <c r="L152" s="320"/>
    </row>
    <row r="153" ht="14.25" customHeight="1">
      <c r="A153" s="501" t="s">
        <v>1644</v>
      </c>
      <c r="B153" s="44"/>
      <c r="C153" s="44"/>
      <c r="D153" s="44"/>
      <c r="E153" s="44"/>
      <c r="F153" s="44"/>
      <c r="G153" s="44"/>
      <c r="H153" s="44"/>
      <c r="I153" s="44"/>
      <c r="J153" s="44"/>
      <c r="K153" s="44"/>
      <c r="L153" s="320"/>
    </row>
    <row r="154" ht="14.25" customHeight="1">
      <c r="A154" s="501" t="s">
        <v>1680</v>
      </c>
      <c r="B154" s="44"/>
      <c r="C154" s="44"/>
      <c r="D154" s="44"/>
      <c r="E154" s="44"/>
      <c r="F154" s="44"/>
      <c r="G154" s="44"/>
      <c r="H154" s="44"/>
      <c r="I154" s="44"/>
      <c r="J154" s="44"/>
      <c r="K154" s="44"/>
      <c r="L154" s="320"/>
    </row>
    <row r="155" ht="14.25" customHeight="1"/>
  </sheetData>
  <mergeCells count="269">
    <mergeCell ref="A44:G44"/>
    <mergeCell ref="H44:L44"/>
    <mergeCell ref="D45:F45"/>
    <mergeCell ref="G45:H46"/>
    <mergeCell ref="I45:J46"/>
    <mergeCell ref="K45:L46"/>
    <mergeCell ref="A45:C46"/>
    <mergeCell ref="B47:C47"/>
    <mergeCell ref="B49:C49"/>
    <mergeCell ref="B50:C50"/>
    <mergeCell ref="B51:C51"/>
    <mergeCell ref="B53:C53"/>
    <mergeCell ref="D53:F53"/>
    <mergeCell ref="B54:C54"/>
    <mergeCell ref="H43:L43"/>
    <mergeCell ref="A43:G43"/>
    <mergeCell ref="I47:L48"/>
    <mergeCell ref="B48:C48"/>
    <mergeCell ref="I49:L49"/>
    <mergeCell ref="I50:L50"/>
    <mergeCell ref="I51:L54"/>
    <mergeCell ref="D52:F52"/>
    <mergeCell ref="B55:C55"/>
    <mergeCell ref="B56:C56"/>
    <mergeCell ref="I55:L56"/>
    <mergeCell ref="D56:F56"/>
    <mergeCell ref="A57:L57"/>
    <mergeCell ref="A58:L58"/>
    <mergeCell ref="A59:L59"/>
    <mergeCell ref="D36:F36"/>
    <mergeCell ref="A37:L37"/>
    <mergeCell ref="A38:L38"/>
    <mergeCell ref="A39:L39"/>
    <mergeCell ref="A61:L61"/>
    <mergeCell ref="H62:L62"/>
    <mergeCell ref="A62:G62"/>
    <mergeCell ref="B32:C32"/>
    <mergeCell ref="B36:C36"/>
    <mergeCell ref="I27:L28"/>
    <mergeCell ref="B28:C28"/>
    <mergeCell ref="I29:L29"/>
    <mergeCell ref="I30:L30"/>
    <mergeCell ref="I31:L34"/>
    <mergeCell ref="D32:F32"/>
    <mergeCell ref="I35:L36"/>
    <mergeCell ref="K64:L65"/>
    <mergeCell ref="I66:L67"/>
    <mergeCell ref="I68:L68"/>
    <mergeCell ref="I69:L69"/>
    <mergeCell ref="I70:L73"/>
    <mergeCell ref="I74:L75"/>
    <mergeCell ref="A63:G63"/>
    <mergeCell ref="H63:L63"/>
    <mergeCell ref="A64:C65"/>
    <mergeCell ref="D64:F64"/>
    <mergeCell ref="G64:H65"/>
    <mergeCell ref="I64:J65"/>
    <mergeCell ref="B66:C66"/>
    <mergeCell ref="B72:C72"/>
    <mergeCell ref="B73:C73"/>
    <mergeCell ref="B74:C74"/>
    <mergeCell ref="B75:C75"/>
    <mergeCell ref="D75:F75"/>
    <mergeCell ref="A76:L76"/>
    <mergeCell ref="A77:L77"/>
    <mergeCell ref="B34:C34"/>
    <mergeCell ref="D34:F34"/>
    <mergeCell ref="B35:C35"/>
    <mergeCell ref="D35:F35"/>
    <mergeCell ref="D54:F54"/>
    <mergeCell ref="D55:F55"/>
    <mergeCell ref="B52:C52"/>
    <mergeCell ref="A41:L41"/>
    <mergeCell ref="A42:L42"/>
    <mergeCell ref="D16:F16"/>
    <mergeCell ref="A17:L17"/>
    <mergeCell ref="A18:L18"/>
    <mergeCell ref="A19:L19"/>
    <mergeCell ref="A21:L21"/>
    <mergeCell ref="A22:L22"/>
    <mergeCell ref="H23:L23"/>
    <mergeCell ref="A23:G23"/>
    <mergeCell ref="A24:G24"/>
    <mergeCell ref="H24:L24"/>
    <mergeCell ref="D25:F25"/>
    <mergeCell ref="G25:H26"/>
    <mergeCell ref="I25:J26"/>
    <mergeCell ref="K25:L26"/>
    <mergeCell ref="A1:C1"/>
    <mergeCell ref="E1:J1"/>
    <mergeCell ref="K1:L1"/>
    <mergeCell ref="A2:L2"/>
    <mergeCell ref="A3:G3"/>
    <mergeCell ref="H3:L3"/>
    <mergeCell ref="H4:L4"/>
    <mergeCell ref="I9:L9"/>
    <mergeCell ref="I10:L10"/>
    <mergeCell ref="I11:L14"/>
    <mergeCell ref="I15:L16"/>
    <mergeCell ref="A4:G4"/>
    <mergeCell ref="A5:C6"/>
    <mergeCell ref="D5:F5"/>
    <mergeCell ref="G5:H6"/>
    <mergeCell ref="I5:J6"/>
    <mergeCell ref="K5:L6"/>
    <mergeCell ref="I7:L8"/>
    <mergeCell ref="B7:C7"/>
    <mergeCell ref="B8:C8"/>
    <mergeCell ref="B9:C9"/>
    <mergeCell ref="B10:C10"/>
    <mergeCell ref="B11:C11"/>
    <mergeCell ref="B12:C12"/>
    <mergeCell ref="D12:F12"/>
    <mergeCell ref="B13:C13"/>
    <mergeCell ref="D13:F13"/>
    <mergeCell ref="B14:C14"/>
    <mergeCell ref="D14:F14"/>
    <mergeCell ref="B15:C15"/>
    <mergeCell ref="D15:F15"/>
    <mergeCell ref="B16:C16"/>
    <mergeCell ref="A25:C26"/>
    <mergeCell ref="B27:C27"/>
    <mergeCell ref="B29:C29"/>
    <mergeCell ref="B30:C30"/>
    <mergeCell ref="B31:C31"/>
    <mergeCell ref="B33:C33"/>
    <mergeCell ref="D33:F33"/>
    <mergeCell ref="D73:F73"/>
    <mergeCell ref="D74:F74"/>
    <mergeCell ref="B67:C67"/>
    <mergeCell ref="B68:C68"/>
    <mergeCell ref="B69:C69"/>
    <mergeCell ref="B70:C70"/>
    <mergeCell ref="B71:C71"/>
    <mergeCell ref="D71:F71"/>
    <mergeCell ref="D72:F72"/>
    <mergeCell ref="I83:J84"/>
    <mergeCell ref="K83:L84"/>
    <mergeCell ref="I85:L86"/>
    <mergeCell ref="I87:L87"/>
    <mergeCell ref="I88:L88"/>
    <mergeCell ref="I89:L92"/>
    <mergeCell ref="I93:L94"/>
    <mergeCell ref="A78:L78"/>
    <mergeCell ref="A80:L80"/>
    <mergeCell ref="A81:G81"/>
    <mergeCell ref="H81:L81"/>
    <mergeCell ref="A82:G82"/>
    <mergeCell ref="H82:L82"/>
    <mergeCell ref="A83:C84"/>
    <mergeCell ref="D83:F83"/>
    <mergeCell ref="G83:H84"/>
    <mergeCell ref="B85:C85"/>
    <mergeCell ref="B86:C86"/>
    <mergeCell ref="B87:C87"/>
    <mergeCell ref="B88:C88"/>
    <mergeCell ref="B89:C89"/>
    <mergeCell ref="B90:C90"/>
    <mergeCell ref="D90:F90"/>
    <mergeCell ref="B91:C91"/>
    <mergeCell ref="D91:F91"/>
    <mergeCell ref="B92:C92"/>
    <mergeCell ref="D92:F92"/>
    <mergeCell ref="D93:F93"/>
    <mergeCell ref="D94:F94"/>
    <mergeCell ref="B93:C93"/>
    <mergeCell ref="B94:C94"/>
    <mergeCell ref="A95:L95"/>
    <mergeCell ref="A96:L96"/>
    <mergeCell ref="A97:L97"/>
    <mergeCell ref="A99:L99"/>
    <mergeCell ref="H100:L100"/>
    <mergeCell ref="A102:C103"/>
    <mergeCell ref="B104:C104"/>
    <mergeCell ref="B106:C106"/>
    <mergeCell ref="B107:C107"/>
    <mergeCell ref="B108:C108"/>
    <mergeCell ref="A100:G100"/>
    <mergeCell ref="A101:G101"/>
    <mergeCell ref="H101:L101"/>
    <mergeCell ref="D102:F102"/>
    <mergeCell ref="G102:H103"/>
    <mergeCell ref="I102:J103"/>
    <mergeCell ref="K102:L103"/>
    <mergeCell ref="B129:C129"/>
    <mergeCell ref="B130:C130"/>
    <mergeCell ref="B131:C131"/>
    <mergeCell ref="D130:F130"/>
    <mergeCell ref="D131:F131"/>
    <mergeCell ref="B124:C124"/>
    <mergeCell ref="B125:C125"/>
    <mergeCell ref="B126:C126"/>
    <mergeCell ref="B127:C127"/>
    <mergeCell ref="B128:C128"/>
    <mergeCell ref="D128:F128"/>
    <mergeCell ref="D129:F129"/>
    <mergeCell ref="A133:L133"/>
    <mergeCell ref="A134:L134"/>
    <mergeCell ref="A135:L135"/>
    <mergeCell ref="A137:L137"/>
    <mergeCell ref="A138:G138"/>
    <mergeCell ref="H138:L138"/>
    <mergeCell ref="H139:L139"/>
    <mergeCell ref="I144:L144"/>
    <mergeCell ref="I145:L145"/>
    <mergeCell ref="I146:L149"/>
    <mergeCell ref="I150:L151"/>
    <mergeCell ref="A139:G139"/>
    <mergeCell ref="A140:C141"/>
    <mergeCell ref="D140:F140"/>
    <mergeCell ref="G140:H141"/>
    <mergeCell ref="I140:J141"/>
    <mergeCell ref="K140:L141"/>
    <mergeCell ref="I142:L143"/>
    <mergeCell ref="B142:C142"/>
    <mergeCell ref="B143:C143"/>
    <mergeCell ref="B144:C144"/>
    <mergeCell ref="B145:C145"/>
    <mergeCell ref="B146:C146"/>
    <mergeCell ref="B147:C147"/>
    <mergeCell ref="D147:F147"/>
    <mergeCell ref="D151:F151"/>
    <mergeCell ref="A152:L152"/>
    <mergeCell ref="A153:L153"/>
    <mergeCell ref="A154:L154"/>
    <mergeCell ref="B148:C148"/>
    <mergeCell ref="D148:F148"/>
    <mergeCell ref="B149:C149"/>
    <mergeCell ref="D149:F149"/>
    <mergeCell ref="B150:C150"/>
    <mergeCell ref="D150:F150"/>
    <mergeCell ref="B151:C151"/>
    <mergeCell ref="B110:C110"/>
    <mergeCell ref="D110:F110"/>
    <mergeCell ref="B111:C111"/>
    <mergeCell ref="D111:F111"/>
    <mergeCell ref="B112:C112"/>
    <mergeCell ref="D112:F112"/>
    <mergeCell ref="B109:C109"/>
    <mergeCell ref="B113:C113"/>
    <mergeCell ref="B132:C132"/>
    <mergeCell ref="I104:L105"/>
    <mergeCell ref="B105:C105"/>
    <mergeCell ref="I106:L106"/>
    <mergeCell ref="I107:L107"/>
    <mergeCell ref="I108:L111"/>
    <mergeCell ref="D109:F109"/>
    <mergeCell ref="I112:L113"/>
    <mergeCell ref="D113:F113"/>
    <mergeCell ref="A114:L114"/>
    <mergeCell ref="A115:L115"/>
    <mergeCell ref="A116:L116"/>
    <mergeCell ref="A118:L118"/>
    <mergeCell ref="A119:G119"/>
    <mergeCell ref="H119:L119"/>
    <mergeCell ref="A120:G120"/>
    <mergeCell ref="H120:L120"/>
    <mergeCell ref="A121:C122"/>
    <mergeCell ref="D121:F121"/>
    <mergeCell ref="G121:H122"/>
    <mergeCell ref="I121:J122"/>
    <mergeCell ref="B123:C123"/>
    <mergeCell ref="K121:L122"/>
    <mergeCell ref="I123:L124"/>
    <mergeCell ref="I125:L125"/>
    <mergeCell ref="I126:L126"/>
    <mergeCell ref="I127:L130"/>
    <mergeCell ref="I131:L132"/>
    <mergeCell ref="D132:F132"/>
  </mergeCells>
  <hyperlinks>
    <hyperlink display="SUMÁRIO" location="'QUADRO RESUMO'!B16:D17" ref="K1"/>
  </hyperlinks>
  <printOptions/>
  <pageMargins bottom="0.75" footer="0.0" header="0.0" left="0.25" right="0.25" top="0.75"/>
  <pageSetup fitToHeight="0"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497D"/>
    <pageSetUpPr fitToPage="1"/>
  </sheetPr>
  <sheetViews>
    <sheetView showGridLines="0" workbookViewId="0"/>
  </sheetViews>
  <sheetFormatPr customHeight="1" defaultColWidth="14.43" defaultRowHeight="15.0"/>
  <cols>
    <col customWidth="1" min="1" max="1" width="5.57"/>
    <col customWidth="1" min="2" max="2" width="8.71"/>
    <col customWidth="1" min="3" max="3" width="11.14"/>
    <col customWidth="1" min="4" max="4" width="8.14"/>
    <col customWidth="1" min="5" max="5" width="6.71"/>
    <col customWidth="1" min="6" max="6" width="6.57"/>
    <col customWidth="1" min="7" max="7" width="20.57"/>
    <col customWidth="1" min="8" max="8" width="7.0"/>
    <col customWidth="1" min="9" max="11" width="8.71"/>
    <col customWidth="1" min="12" max="12" width="10.43"/>
  </cols>
  <sheetData>
    <row r="1" ht="57.75" customHeight="1">
      <c r="A1" s="525" t="s">
        <v>1681</v>
      </c>
      <c r="B1" s="526"/>
      <c r="C1" s="526"/>
      <c r="D1" s="527"/>
      <c r="E1" s="528" t="s">
        <v>1682</v>
      </c>
      <c r="F1" s="529"/>
      <c r="G1" s="529"/>
      <c r="H1" s="529"/>
      <c r="I1" s="529"/>
      <c r="J1" s="529"/>
      <c r="K1" s="287" t="s">
        <v>29</v>
      </c>
      <c r="L1" s="44"/>
    </row>
    <row r="2" ht="14.25" customHeight="1">
      <c r="A2" s="530" t="s">
        <v>1683</v>
      </c>
      <c r="B2" s="44"/>
      <c r="C2" s="44"/>
      <c r="D2" s="44"/>
      <c r="E2" s="44"/>
      <c r="F2" s="44"/>
      <c r="G2" s="44"/>
      <c r="H2" s="44"/>
      <c r="I2" s="44"/>
      <c r="J2" s="44"/>
      <c r="K2" s="44"/>
      <c r="L2" s="320"/>
    </row>
    <row r="3" ht="14.25" customHeight="1">
      <c r="A3" s="531" t="s">
        <v>1684</v>
      </c>
      <c r="B3" s="44"/>
      <c r="C3" s="44"/>
      <c r="D3" s="44"/>
      <c r="E3" s="44"/>
      <c r="F3" s="44"/>
      <c r="G3" s="320"/>
      <c r="H3" s="530" t="s">
        <v>1685</v>
      </c>
      <c r="I3" s="44"/>
      <c r="J3" s="44"/>
      <c r="K3" s="44"/>
      <c r="L3" s="532"/>
    </row>
    <row r="4" ht="48.75" customHeight="1">
      <c r="A4" s="533" t="s">
        <v>1686</v>
      </c>
      <c r="B4" s="44"/>
      <c r="C4" s="44"/>
      <c r="D4" s="44"/>
      <c r="E4" s="44"/>
      <c r="F4" s="44"/>
      <c r="G4" s="320"/>
      <c r="H4" s="534" t="s">
        <v>1687</v>
      </c>
      <c r="I4" s="44"/>
      <c r="J4" s="44"/>
      <c r="K4" s="44"/>
      <c r="L4" s="532"/>
    </row>
    <row r="5" ht="14.25" customHeight="1">
      <c r="A5" s="535" t="s">
        <v>1619</v>
      </c>
      <c r="B5" s="494"/>
      <c r="C5" s="495"/>
      <c r="D5" s="496" t="s">
        <v>1620</v>
      </c>
      <c r="E5" s="44"/>
      <c r="F5" s="320"/>
      <c r="G5" s="497" t="s">
        <v>1621</v>
      </c>
      <c r="H5" s="495"/>
      <c r="I5" s="497" t="s">
        <v>1622</v>
      </c>
      <c r="J5" s="495"/>
      <c r="K5" s="498">
        <f>((1+H10+H8+H7)*(1+H9)*(1+H11))/(1-H12)-1</f>
        <v>0.1713345851</v>
      </c>
      <c r="L5" s="536"/>
    </row>
    <row r="6" ht="14.25" customHeight="1">
      <c r="A6" s="537"/>
      <c r="B6" s="36"/>
      <c r="C6" s="189"/>
      <c r="D6" s="499" t="s">
        <v>1623</v>
      </c>
      <c r="E6" s="499" t="s">
        <v>1624</v>
      </c>
      <c r="F6" s="499" t="s">
        <v>1625</v>
      </c>
      <c r="G6" s="294"/>
      <c r="H6" s="189"/>
      <c r="I6" s="294"/>
      <c r="J6" s="189"/>
      <c r="K6" s="294"/>
      <c r="L6" s="538"/>
    </row>
    <row r="7" ht="14.25" customHeight="1">
      <c r="A7" s="539">
        <v>1.0</v>
      </c>
      <c r="B7" s="501" t="s">
        <v>1626</v>
      </c>
      <c r="C7" s="320"/>
      <c r="D7" s="502">
        <v>0.003</v>
      </c>
      <c r="E7" s="502">
        <v>0.0048</v>
      </c>
      <c r="F7" s="502">
        <v>0.0082</v>
      </c>
      <c r="G7" s="503" t="s">
        <v>1626</v>
      </c>
      <c r="H7" s="523">
        <v>0.003</v>
      </c>
      <c r="I7" s="505" t="s">
        <v>1627</v>
      </c>
      <c r="J7" s="494"/>
      <c r="K7" s="494"/>
      <c r="L7" s="536"/>
    </row>
    <row r="8" ht="15.0" customHeight="1">
      <c r="A8" s="539">
        <v>2.0</v>
      </c>
      <c r="B8" s="501" t="s">
        <v>1628</v>
      </c>
      <c r="C8" s="320"/>
      <c r="D8" s="502">
        <v>0.0056</v>
      </c>
      <c r="E8" s="502">
        <v>0.0085</v>
      </c>
      <c r="F8" s="502">
        <v>0.0089</v>
      </c>
      <c r="G8" s="503" t="s">
        <v>1628</v>
      </c>
      <c r="H8" s="524">
        <v>0.0056</v>
      </c>
      <c r="I8" s="294"/>
      <c r="J8" s="36"/>
      <c r="K8" s="36"/>
      <c r="L8" s="538"/>
    </row>
    <row r="9" ht="14.25" customHeight="1">
      <c r="A9" s="539">
        <v>3.0</v>
      </c>
      <c r="B9" s="501" t="s">
        <v>1629</v>
      </c>
      <c r="C9" s="320"/>
      <c r="D9" s="502">
        <v>0.0085</v>
      </c>
      <c r="E9" s="502">
        <v>0.0085</v>
      </c>
      <c r="F9" s="502">
        <v>0.0111</v>
      </c>
      <c r="G9" s="503" t="s">
        <v>1629</v>
      </c>
      <c r="H9" s="524">
        <v>0.0085</v>
      </c>
      <c r="I9" s="507" t="s">
        <v>1688</v>
      </c>
      <c r="J9" s="44"/>
      <c r="K9" s="44"/>
      <c r="L9" s="532"/>
    </row>
    <row r="10" ht="14.25" customHeight="1">
      <c r="A10" s="539">
        <v>4.0</v>
      </c>
      <c r="B10" s="501" t="s">
        <v>1631</v>
      </c>
      <c r="C10" s="320"/>
      <c r="D10" s="502">
        <v>0.015</v>
      </c>
      <c r="E10" s="502">
        <v>0.0345</v>
      </c>
      <c r="F10" s="508">
        <v>0.0449</v>
      </c>
      <c r="G10" s="503" t="s">
        <v>1631</v>
      </c>
      <c r="H10" s="524">
        <v>0.04</v>
      </c>
      <c r="I10" s="509" t="s">
        <v>1632</v>
      </c>
      <c r="J10" s="44"/>
      <c r="K10" s="44"/>
      <c r="L10" s="532"/>
    </row>
    <row r="11" ht="14.25" customHeight="1">
      <c r="A11" s="539">
        <v>5.0</v>
      </c>
      <c r="B11" s="501" t="s">
        <v>1633</v>
      </c>
      <c r="C11" s="320"/>
      <c r="D11" s="502">
        <v>0.035</v>
      </c>
      <c r="E11" s="502">
        <v>0.0511</v>
      </c>
      <c r="F11" s="502">
        <v>0.0622</v>
      </c>
      <c r="G11" s="503" t="s">
        <v>1633</v>
      </c>
      <c r="H11" s="524">
        <v>0.061</v>
      </c>
      <c r="I11" s="510" t="s">
        <v>1634</v>
      </c>
      <c r="J11" s="494"/>
      <c r="K11" s="494"/>
      <c r="L11" s="536"/>
    </row>
    <row r="12" ht="14.25" customHeight="1">
      <c r="A12" s="539">
        <v>6.0</v>
      </c>
      <c r="B12" s="501" t="s">
        <v>1635</v>
      </c>
      <c r="C12" s="320"/>
      <c r="D12" s="511" t="s">
        <v>1636</v>
      </c>
      <c r="E12" s="44"/>
      <c r="F12" s="320"/>
      <c r="G12" s="503" t="s">
        <v>1637</v>
      </c>
      <c r="H12" s="522">
        <f>SUM(H13:H16)</f>
        <v>0.0421</v>
      </c>
      <c r="I12" s="513"/>
      <c r="L12" s="540"/>
    </row>
    <row r="13" ht="14.25" customHeight="1">
      <c r="A13" s="539" t="s">
        <v>554</v>
      </c>
      <c r="B13" s="501" t="s">
        <v>1638</v>
      </c>
      <c r="C13" s="320"/>
      <c r="D13" s="511" t="s">
        <v>1636</v>
      </c>
      <c r="E13" s="44"/>
      <c r="F13" s="320"/>
      <c r="G13" s="503" t="s">
        <v>1638</v>
      </c>
      <c r="H13" s="521">
        <v>0.0076</v>
      </c>
      <c r="I13" s="513"/>
      <c r="L13" s="540"/>
    </row>
    <row r="14" ht="17.25" customHeight="1">
      <c r="A14" s="539" t="s">
        <v>695</v>
      </c>
      <c r="B14" s="501" t="s">
        <v>1639</v>
      </c>
      <c r="C14" s="320"/>
      <c r="D14" s="511" t="s">
        <v>1636</v>
      </c>
      <c r="E14" s="44"/>
      <c r="F14" s="320"/>
      <c r="G14" s="503" t="s">
        <v>1639</v>
      </c>
      <c r="H14" s="521">
        <v>0.0345</v>
      </c>
      <c r="I14" s="294"/>
      <c r="J14" s="36"/>
      <c r="K14" s="36"/>
      <c r="L14" s="538"/>
    </row>
    <row r="15" ht="14.25" customHeight="1">
      <c r="A15" s="539" t="s">
        <v>995</v>
      </c>
      <c r="B15" s="501" t="s">
        <v>1640</v>
      </c>
      <c r="C15" s="320"/>
      <c r="D15" s="511" t="s">
        <v>1636</v>
      </c>
      <c r="E15" s="44"/>
      <c r="F15" s="320"/>
      <c r="G15" s="503" t="s">
        <v>1640</v>
      </c>
      <c r="H15" s="522">
        <v>0.0</v>
      </c>
      <c r="I15" s="515" t="s">
        <v>1641</v>
      </c>
      <c r="J15" s="494"/>
      <c r="K15" s="494"/>
      <c r="L15" s="536"/>
    </row>
    <row r="16" ht="20.25" customHeight="1">
      <c r="A16" s="539" t="s">
        <v>1034</v>
      </c>
      <c r="B16" s="501" t="s">
        <v>1642</v>
      </c>
      <c r="C16" s="320"/>
      <c r="D16" s="511" t="s">
        <v>1636</v>
      </c>
      <c r="E16" s="44"/>
      <c r="F16" s="320"/>
      <c r="G16" s="503" t="s">
        <v>1642</v>
      </c>
      <c r="H16" s="521">
        <v>0.0</v>
      </c>
      <c r="I16" s="294"/>
      <c r="J16" s="36"/>
      <c r="K16" s="36"/>
      <c r="L16" s="538"/>
    </row>
    <row r="17" ht="19.5" customHeight="1">
      <c r="A17" s="541" t="s">
        <v>1643</v>
      </c>
      <c r="B17" s="44"/>
      <c r="C17" s="44"/>
      <c r="D17" s="44"/>
      <c r="E17" s="44"/>
      <c r="F17" s="44"/>
      <c r="G17" s="44"/>
      <c r="H17" s="44"/>
      <c r="I17" s="44"/>
      <c r="J17" s="44"/>
      <c r="K17" s="44"/>
      <c r="L17" s="532"/>
    </row>
    <row r="18" ht="14.25" customHeight="1">
      <c r="A18" s="542" t="s">
        <v>1644</v>
      </c>
      <c r="B18" s="543"/>
      <c r="C18" s="543"/>
      <c r="D18" s="543"/>
      <c r="E18" s="543"/>
      <c r="F18" s="543"/>
      <c r="G18" s="543"/>
      <c r="H18" s="543"/>
      <c r="I18" s="543"/>
      <c r="J18" s="543"/>
      <c r="K18" s="543"/>
      <c r="L18" s="544"/>
    </row>
    <row r="19" ht="19.5" customHeight="1"/>
    <row r="20" ht="22.5" customHeight="1">
      <c r="A20" s="518" t="s">
        <v>1689</v>
      </c>
    </row>
    <row r="21" ht="19.5" customHeight="1">
      <c r="A21" s="545" t="s">
        <v>1690</v>
      </c>
      <c r="B21" s="546"/>
      <c r="C21" s="546"/>
      <c r="D21" s="546"/>
      <c r="E21" s="546"/>
      <c r="F21" s="546"/>
      <c r="G21" s="546"/>
      <c r="H21" s="546"/>
      <c r="I21" s="546"/>
      <c r="J21" s="546"/>
      <c r="K21" s="546"/>
      <c r="L21" s="547"/>
    </row>
    <row r="22" ht="17.25" customHeight="1">
      <c r="A22" s="548" t="s">
        <v>1691</v>
      </c>
      <c r="B22" s="36"/>
      <c r="C22" s="36"/>
      <c r="D22" s="36"/>
      <c r="E22" s="36"/>
      <c r="F22" s="36"/>
      <c r="G22" s="538"/>
      <c r="H22" s="549" t="s">
        <v>1692</v>
      </c>
      <c r="I22" s="36"/>
      <c r="J22" s="36"/>
      <c r="K22" s="36"/>
      <c r="L22" s="538"/>
    </row>
    <row r="23" ht="14.25" customHeight="1">
      <c r="A23" s="550" t="s">
        <v>1693</v>
      </c>
      <c r="B23" s="36"/>
      <c r="C23" s="36"/>
      <c r="D23" s="36"/>
      <c r="E23" s="36"/>
      <c r="F23" s="36"/>
      <c r="G23" s="189"/>
      <c r="H23" s="551" t="s">
        <v>1694</v>
      </c>
      <c r="I23" s="36"/>
      <c r="J23" s="36"/>
      <c r="K23" s="36"/>
      <c r="L23" s="538"/>
    </row>
    <row r="24" ht="14.25" customHeight="1">
      <c r="A24" s="552" t="s">
        <v>1619</v>
      </c>
      <c r="C24" s="540"/>
      <c r="D24" s="553" t="s">
        <v>1620</v>
      </c>
      <c r="E24" s="36"/>
      <c r="F24" s="189"/>
      <c r="G24" s="554" t="s">
        <v>1621</v>
      </c>
      <c r="H24" s="301"/>
      <c r="I24" s="554" t="s">
        <v>1622</v>
      </c>
      <c r="J24" s="301"/>
      <c r="K24" s="555">
        <f>((1+H29+H27+H26)*(1+H28)*(1+H30))/(1-H31)-1</f>
        <v>0.1806916232</v>
      </c>
      <c r="L24" s="540"/>
    </row>
    <row r="25" ht="14.25" customHeight="1">
      <c r="A25" s="537"/>
      <c r="B25" s="36"/>
      <c r="C25" s="538"/>
      <c r="D25" s="556" t="s">
        <v>1623</v>
      </c>
      <c r="E25" s="556" t="s">
        <v>1624</v>
      </c>
      <c r="F25" s="556" t="s">
        <v>1625</v>
      </c>
      <c r="G25" s="36"/>
      <c r="H25" s="189"/>
      <c r="I25" s="36"/>
      <c r="J25" s="189"/>
      <c r="K25" s="36"/>
      <c r="L25" s="538"/>
    </row>
    <row r="26" ht="14.25" customHeight="1">
      <c r="A26" s="557">
        <v>1.0</v>
      </c>
      <c r="B26" s="558" t="s">
        <v>1626</v>
      </c>
      <c r="C26" s="189"/>
      <c r="D26" s="559">
        <v>0.003</v>
      </c>
      <c r="E26" s="559">
        <v>0.0048</v>
      </c>
      <c r="F26" s="559">
        <v>0.0082</v>
      </c>
      <c r="G26" s="560" t="s">
        <v>1626</v>
      </c>
      <c r="H26" s="561">
        <v>0.008</v>
      </c>
      <c r="I26" s="562" t="s">
        <v>1627</v>
      </c>
      <c r="L26" s="540"/>
    </row>
    <row r="27" ht="14.25" customHeight="1">
      <c r="A27" s="557">
        <v>2.0</v>
      </c>
      <c r="B27" s="558" t="s">
        <v>1628</v>
      </c>
      <c r="C27" s="189"/>
      <c r="D27" s="559">
        <v>0.0056</v>
      </c>
      <c r="E27" s="559">
        <v>0.0085</v>
      </c>
      <c r="F27" s="559">
        <v>0.0089</v>
      </c>
      <c r="G27" s="560" t="s">
        <v>1628</v>
      </c>
      <c r="H27" s="563">
        <v>0.0078</v>
      </c>
      <c r="I27" s="36"/>
      <c r="J27" s="36"/>
      <c r="K27" s="36"/>
      <c r="L27" s="538"/>
    </row>
    <row r="28" ht="14.25" customHeight="1">
      <c r="A28" s="557">
        <v>3.0</v>
      </c>
      <c r="B28" s="558" t="s">
        <v>1629</v>
      </c>
      <c r="C28" s="189"/>
      <c r="D28" s="559">
        <v>0.0085</v>
      </c>
      <c r="E28" s="559">
        <v>0.0085</v>
      </c>
      <c r="F28" s="559">
        <v>0.0111</v>
      </c>
      <c r="G28" s="560" t="s">
        <v>1629</v>
      </c>
      <c r="H28" s="561">
        <v>0.0098</v>
      </c>
      <c r="I28" s="564" t="s">
        <v>1688</v>
      </c>
      <c r="J28" s="36"/>
      <c r="K28" s="36"/>
      <c r="L28" s="538"/>
    </row>
    <row r="29" ht="14.25" customHeight="1">
      <c r="A29" s="557">
        <v>4.0</v>
      </c>
      <c r="B29" s="558" t="s">
        <v>1631</v>
      </c>
      <c r="C29" s="189"/>
      <c r="D29" s="559">
        <v>0.015</v>
      </c>
      <c r="E29" s="559">
        <v>0.0345</v>
      </c>
      <c r="F29" s="565">
        <v>0.0449</v>
      </c>
      <c r="G29" s="560" t="s">
        <v>1631</v>
      </c>
      <c r="H29" s="561">
        <v>0.0412</v>
      </c>
      <c r="I29" s="566" t="s">
        <v>1632</v>
      </c>
      <c r="J29" s="36"/>
      <c r="K29" s="36"/>
      <c r="L29" s="538"/>
    </row>
    <row r="30" ht="14.25" customHeight="1">
      <c r="A30" s="557">
        <v>5.0</v>
      </c>
      <c r="B30" s="558" t="s">
        <v>1633</v>
      </c>
      <c r="C30" s="189"/>
      <c r="D30" s="559">
        <v>0.035</v>
      </c>
      <c r="E30" s="559">
        <v>0.0511</v>
      </c>
      <c r="F30" s="559">
        <v>0.0622</v>
      </c>
      <c r="G30" s="560" t="s">
        <v>1633</v>
      </c>
      <c r="H30" s="561">
        <v>0.0595</v>
      </c>
      <c r="I30" s="567" t="s">
        <v>1634</v>
      </c>
      <c r="L30" s="540"/>
    </row>
    <row r="31" ht="14.25" customHeight="1">
      <c r="A31" s="557">
        <v>6.0</v>
      </c>
      <c r="B31" s="558" t="s">
        <v>1635</v>
      </c>
      <c r="C31" s="189"/>
      <c r="D31" s="568" t="s">
        <v>1636</v>
      </c>
      <c r="E31" s="36"/>
      <c r="F31" s="189"/>
      <c r="G31" s="560" t="s">
        <v>1637</v>
      </c>
      <c r="H31" s="561">
        <v>0.0422</v>
      </c>
      <c r="L31" s="540"/>
    </row>
    <row r="32" ht="14.25" customHeight="1">
      <c r="A32" s="557" t="s">
        <v>554</v>
      </c>
      <c r="B32" s="558" t="s">
        <v>1638</v>
      </c>
      <c r="C32" s="189"/>
      <c r="D32" s="568" t="s">
        <v>1636</v>
      </c>
      <c r="E32" s="36"/>
      <c r="F32" s="189"/>
      <c r="G32" s="560" t="s">
        <v>1638</v>
      </c>
      <c r="H32" s="569">
        <v>0.0076</v>
      </c>
      <c r="L32" s="540"/>
    </row>
    <row r="33" ht="14.25" customHeight="1">
      <c r="A33" s="557" t="s">
        <v>695</v>
      </c>
      <c r="B33" s="558" t="s">
        <v>1639</v>
      </c>
      <c r="C33" s="189"/>
      <c r="D33" s="568" t="s">
        <v>1636</v>
      </c>
      <c r="E33" s="36"/>
      <c r="F33" s="189"/>
      <c r="G33" s="560" t="s">
        <v>1639</v>
      </c>
      <c r="H33" s="569">
        <v>0.0345</v>
      </c>
      <c r="I33" s="36"/>
      <c r="J33" s="36"/>
      <c r="K33" s="36"/>
      <c r="L33" s="538"/>
    </row>
    <row r="34" ht="14.25" customHeight="1">
      <c r="A34" s="557" t="s">
        <v>995</v>
      </c>
      <c r="B34" s="558" t="s">
        <v>1640</v>
      </c>
      <c r="C34" s="189"/>
      <c r="D34" s="568" t="s">
        <v>1636</v>
      </c>
      <c r="E34" s="36"/>
      <c r="F34" s="189"/>
      <c r="G34" s="560" t="s">
        <v>1640</v>
      </c>
      <c r="H34" s="569">
        <v>0.0</v>
      </c>
      <c r="I34" s="517" t="s">
        <v>1641</v>
      </c>
      <c r="L34" s="540"/>
    </row>
    <row r="35" ht="14.25" customHeight="1">
      <c r="A35" s="557" t="s">
        <v>1034</v>
      </c>
      <c r="B35" s="558" t="s">
        <v>1642</v>
      </c>
      <c r="C35" s="189"/>
      <c r="D35" s="568" t="s">
        <v>1636</v>
      </c>
      <c r="E35" s="36"/>
      <c r="F35" s="189"/>
      <c r="G35" s="560" t="s">
        <v>1642</v>
      </c>
      <c r="H35" s="569">
        <v>0.0</v>
      </c>
      <c r="I35" s="36"/>
      <c r="J35" s="36"/>
      <c r="K35" s="36"/>
      <c r="L35" s="538"/>
    </row>
    <row r="36" ht="14.25" customHeight="1">
      <c r="A36" s="570" t="s">
        <v>1643</v>
      </c>
      <c r="B36" s="36"/>
      <c r="C36" s="36"/>
      <c r="D36" s="36"/>
      <c r="E36" s="36"/>
      <c r="F36" s="36"/>
      <c r="G36" s="36"/>
      <c r="H36" s="36"/>
      <c r="I36" s="36"/>
      <c r="J36" s="36"/>
      <c r="K36" s="36"/>
      <c r="L36" s="538"/>
    </row>
    <row r="37" ht="14.25" customHeight="1">
      <c r="A37" s="571" t="s">
        <v>1644</v>
      </c>
      <c r="B37" s="526"/>
      <c r="C37" s="526"/>
      <c r="D37" s="526"/>
      <c r="E37" s="526"/>
      <c r="F37" s="526"/>
      <c r="G37" s="526"/>
      <c r="H37" s="526"/>
      <c r="I37" s="526"/>
      <c r="J37" s="526"/>
      <c r="K37" s="526"/>
      <c r="L37" s="572"/>
    </row>
    <row r="38" ht="20.25" customHeight="1"/>
    <row r="39" ht="24.75" customHeight="1">
      <c r="A39" s="518" t="s">
        <v>1651</v>
      </c>
    </row>
    <row r="40" ht="14.25" customHeight="1">
      <c r="A40" s="545" t="s">
        <v>1695</v>
      </c>
      <c r="B40" s="546"/>
      <c r="C40" s="546"/>
      <c r="D40" s="546"/>
      <c r="E40" s="546"/>
      <c r="F40" s="546"/>
      <c r="G40" s="546"/>
      <c r="H40" s="546"/>
      <c r="I40" s="546"/>
      <c r="J40" s="546"/>
      <c r="K40" s="546"/>
      <c r="L40" s="547"/>
    </row>
    <row r="41" ht="14.25" customHeight="1">
      <c r="A41" s="548" t="s">
        <v>1696</v>
      </c>
      <c r="B41" s="36"/>
      <c r="C41" s="36"/>
      <c r="D41" s="36"/>
      <c r="E41" s="36"/>
      <c r="F41" s="36"/>
      <c r="G41" s="538"/>
      <c r="H41" s="549" t="s">
        <v>1697</v>
      </c>
      <c r="I41" s="36"/>
      <c r="J41" s="36"/>
      <c r="K41" s="36"/>
      <c r="L41" s="538"/>
    </row>
    <row r="42" ht="14.25" customHeight="1">
      <c r="A42" s="550" t="s">
        <v>1698</v>
      </c>
      <c r="B42" s="36"/>
      <c r="C42" s="36"/>
      <c r="D42" s="36"/>
      <c r="E42" s="36"/>
      <c r="F42" s="36"/>
      <c r="G42" s="189"/>
      <c r="H42" s="573" t="s">
        <v>1699</v>
      </c>
      <c r="I42" s="36"/>
      <c r="J42" s="36"/>
      <c r="K42" s="36"/>
      <c r="L42" s="538"/>
    </row>
    <row r="43" ht="14.25" customHeight="1">
      <c r="A43" s="552" t="s">
        <v>1619</v>
      </c>
      <c r="C43" s="540"/>
      <c r="D43" s="553" t="s">
        <v>1620</v>
      </c>
      <c r="E43" s="36"/>
      <c r="F43" s="189"/>
      <c r="G43" s="554" t="s">
        <v>1621</v>
      </c>
      <c r="H43" s="301"/>
      <c r="I43" s="554" t="s">
        <v>1622</v>
      </c>
      <c r="J43" s="301"/>
      <c r="K43" s="555">
        <f>((1+H48+H46+H45)*(1+H47)*(1+H49))/(1-H50)-1</f>
        <v>0.05347986532</v>
      </c>
      <c r="L43" s="540"/>
    </row>
    <row r="44" ht="14.25" customHeight="1">
      <c r="A44" s="537"/>
      <c r="B44" s="36"/>
      <c r="C44" s="538"/>
      <c r="D44" s="556" t="s">
        <v>1623</v>
      </c>
      <c r="E44" s="556" t="s">
        <v>1624</v>
      </c>
      <c r="F44" s="556" t="s">
        <v>1625</v>
      </c>
      <c r="G44" s="36"/>
      <c r="H44" s="189"/>
      <c r="I44" s="36"/>
      <c r="J44" s="189"/>
      <c r="K44" s="36"/>
      <c r="L44" s="538"/>
    </row>
    <row r="45" ht="14.25" customHeight="1">
      <c r="A45" s="557">
        <v>1.0</v>
      </c>
      <c r="B45" s="558" t="s">
        <v>1626</v>
      </c>
      <c r="C45" s="189"/>
      <c r="D45" s="559">
        <v>0.003</v>
      </c>
      <c r="E45" s="559">
        <v>0.0048</v>
      </c>
      <c r="F45" s="559">
        <v>0.0082</v>
      </c>
      <c r="G45" s="560" t="s">
        <v>1626</v>
      </c>
      <c r="H45" s="523">
        <v>0.001</v>
      </c>
      <c r="I45" s="562" t="s">
        <v>1627</v>
      </c>
      <c r="L45" s="540"/>
    </row>
    <row r="46" ht="14.25" customHeight="1">
      <c r="A46" s="557">
        <v>2.0</v>
      </c>
      <c r="B46" s="558" t="s">
        <v>1628</v>
      </c>
      <c r="C46" s="189"/>
      <c r="D46" s="559">
        <v>0.0056</v>
      </c>
      <c r="E46" s="559">
        <v>0.0085</v>
      </c>
      <c r="F46" s="559">
        <v>0.0089</v>
      </c>
      <c r="G46" s="560" t="s">
        <v>1628</v>
      </c>
      <c r="H46" s="524">
        <v>0.001</v>
      </c>
      <c r="I46" s="36"/>
      <c r="J46" s="36"/>
      <c r="K46" s="36"/>
      <c r="L46" s="538"/>
    </row>
    <row r="47" ht="14.25" customHeight="1">
      <c r="A47" s="557">
        <v>3.0</v>
      </c>
      <c r="B47" s="558" t="s">
        <v>1629</v>
      </c>
      <c r="C47" s="189"/>
      <c r="D47" s="559">
        <v>0.0085</v>
      </c>
      <c r="E47" s="559">
        <v>0.0085</v>
      </c>
      <c r="F47" s="559">
        <v>0.0111</v>
      </c>
      <c r="G47" s="560" t="s">
        <v>1629</v>
      </c>
      <c r="H47" s="524">
        <v>0.001</v>
      </c>
      <c r="I47" s="564" t="s">
        <v>1688</v>
      </c>
      <c r="J47" s="36"/>
      <c r="K47" s="36"/>
      <c r="L47" s="538"/>
    </row>
    <row r="48" ht="14.25" customHeight="1">
      <c r="A48" s="557">
        <v>4.0</v>
      </c>
      <c r="B48" s="558" t="s">
        <v>1631</v>
      </c>
      <c r="C48" s="189"/>
      <c r="D48" s="559">
        <v>0.015</v>
      </c>
      <c r="E48" s="559">
        <v>0.0345</v>
      </c>
      <c r="F48" s="565">
        <v>0.0449</v>
      </c>
      <c r="G48" s="560" t="s">
        <v>1631</v>
      </c>
      <c r="H48" s="524">
        <v>0.001</v>
      </c>
      <c r="I48" s="566" t="s">
        <v>1632</v>
      </c>
      <c r="J48" s="36"/>
      <c r="K48" s="36"/>
      <c r="L48" s="538"/>
    </row>
    <row r="49" ht="14.25" customHeight="1">
      <c r="A49" s="557">
        <v>5.0</v>
      </c>
      <c r="B49" s="558" t="s">
        <v>1633</v>
      </c>
      <c r="C49" s="189"/>
      <c r="D49" s="559">
        <v>0.035</v>
      </c>
      <c r="E49" s="559">
        <v>0.0511</v>
      </c>
      <c r="F49" s="559">
        <v>0.0622</v>
      </c>
      <c r="G49" s="560" t="s">
        <v>1633</v>
      </c>
      <c r="H49" s="561">
        <v>0.005</v>
      </c>
      <c r="I49" s="567" t="s">
        <v>1634</v>
      </c>
      <c r="L49" s="540"/>
    </row>
    <row r="50" ht="14.25" customHeight="1">
      <c r="A50" s="557">
        <v>6.0</v>
      </c>
      <c r="B50" s="558" t="s">
        <v>1635</v>
      </c>
      <c r="C50" s="189"/>
      <c r="D50" s="568" t="s">
        <v>1636</v>
      </c>
      <c r="E50" s="36"/>
      <c r="F50" s="189"/>
      <c r="G50" s="560" t="s">
        <v>1637</v>
      </c>
      <c r="H50" s="561">
        <v>0.0422</v>
      </c>
      <c r="L50" s="540"/>
    </row>
    <row r="51" ht="14.25" customHeight="1">
      <c r="A51" s="557" t="s">
        <v>554</v>
      </c>
      <c r="B51" s="558" t="s">
        <v>1638</v>
      </c>
      <c r="C51" s="189"/>
      <c r="D51" s="568" t="s">
        <v>1636</v>
      </c>
      <c r="E51" s="36"/>
      <c r="F51" s="189"/>
      <c r="G51" s="560" t="s">
        <v>1638</v>
      </c>
      <c r="H51" s="569">
        <v>0.0076</v>
      </c>
      <c r="L51" s="540"/>
    </row>
    <row r="52" ht="14.25" customHeight="1">
      <c r="A52" s="557" t="s">
        <v>695</v>
      </c>
      <c r="B52" s="558" t="s">
        <v>1639</v>
      </c>
      <c r="C52" s="189"/>
      <c r="D52" s="568" t="s">
        <v>1636</v>
      </c>
      <c r="E52" s="36"/>
      <c r="F52" s="189"/>
      <c r="G52" s="560" t="s">
        <v>1639</v>
      </c>
      <c r="H52" s="569">
        <v>0.0345</v>
      </c>
      <c r="I52" s="36"/>
      <c r="J52" s="36"/>
      <c r="K52" s="36"/>
      <c r="L52" s="538"/>
    </row>
    <row r="53" ht="14.25" customHeight="1">
      <c r="A53" s="557" t="s">
        <v>995</v>
      </c>
      <c r="B53" s="558" t="s">
        <v>1640</v>
      </c>
      <c r="C53" s="189"/>
      <c r="D53" s="568" t="s">
        <v>1636</v>
      </c>
      <c r="E53" s="36"/>
      <c r="F53" s="189"/>
      <c r="G53" s="560" t="s">
        <v>1640</v>
      </c>
      <c r="H53" s="569">
        <v>0.0</v>
      </c>
      <c r="I53" s="517" t="s">
        <v>1641</v>
      </c>
      <c r="L53" s="540"/>
    </row>
    <row r="54" ht="14.25" customHeight="1">
      <c r="A54" s="557" t="s">
        <v>1034</v>
      </c>
      <c r="B54" s="558" t="s">
        <v>1642</v>
      </c>
      <c r="C54" s="189"/>
      <c r="D54" s="568" t="s">
        <v>1636</v>
      </c>
      <c r="E54" s="36"/>
      <c r="F54" s="189"/>
      <c r="G54" s="560" t="s">
        <v>1642</v>
      </c>
      <c r="H54" s="569">
        <v>0.0</v>
      </c>
      <c r="I54" s="36"/>
      <c r="J54" s="36"/>
      <c r="K54" s="36"/>
      <c r="L54" s="538"/>
    </row>
    <row r="55" ht="14.25" customHeight="1">
      <c r="A55" s="570" t="s">
        <v>1643</v>
      </c>
      <c r="B55" s="36"/>
      <c r="C55" s="36"/>
      <c r="D55" s="36"/>
      <c r="E55" s="36"/>
      <c r="F55" s="36"/>
      <c r="G55" s="36"/>
      <c r="H55" s="36"/>
      <c r="I55" s="36"/>
      <c r="J55" s="36"/>
      <c r="K55" s="36"/>
      <c r="L55" s="538"/>
    </row>
    <row r="56" ht="14.25" customHeight="1">
      <c r="A56" s="571" t="s">
        <v>1644</v>
      </c>
      <c r="B56" s="526"/>
      <c r="C56" s="526"/>
      <c r="D56" s="526"/>
      <c r="E56" s="526"/>
      <c r="F56" s="526"/>
      <c r="G56" s="526"/>
      <c r="H56" s="526"/>
      <c r="I56" s="526"/>
      <c r="J56" s="526"/>
      <c r="K56" s="526"/>
      <c r="L56" s="572"/>
    </row>
    <row r="57" ht="14.25" customHeight="1">
      <c r="A57" s="574"/>
      <c r="B57" s="574"/>
      <c r="C57" s="574"/>
      <c r="D57" s="574"/>
      <c r="E57" s="574"/>
      <c r="F57" s="574"/>
      <c r="G57" s="574"/>
      <c r="H57" s="574"/>
      <c r="I57" s="574"/>
      <c r="J57" s="574"/>
      <c r="K57" s="574"/>
      <c r="L57" s="574"/>
    </row>
    <row r="58" ht="14.25" customHeight="1">
      <c r="A58" s="518" t="s">
        <v>1700</v>
      </c>
    </row>
    <row r="59" ht="14.25" customHeight="1">
      <c r="A59" s="545" t="s">
        <v>1701</v>
      </c>
      <c r="B59" s="546"/>
      <c r="C59" s="546"/>
      <c r="D59" s="546"/>
      <c r="E59" s="546"/>
      <c r="F59" s="546"/>
      <c r="G59" s="546"/>
      <c r="H59" s="546"/>
      <c r="I59" s="546"/>
      <c r="J59" s="546"/>
      <c r="K59" s="546"/>
      <c r="L59" s="547"/>
    </row>
    <row r="60" ht="14.25" customHeight="1">
      <c r="A60" s="548" t="s">
        <v>1702</v>
      </c>
      <c r="B60" s="36"/>
      <c r="C60" s="36"/>
      <c r="D60" s="36"/>
      <c r="E60" s="36"/>
      <c r="F60" s="36"/>
      <c r="G60" s="538"/>
      <c r="H60" s="549" t="s">
        <v>1703</v>
      </c>
      <c r="I60" s="36"/>
      <c r="J60" s="36"/>
      <c r="K60" s="36"/>
      <c r="L60" s="538"/>
    </row>
    <row r="61" ht="14.25" customHeight="1">
      <c r="A61" s="575" t="s">
        <v>1704</v>
      </c>
      <c r="B61" s="36"/>
      <c r="C61" s="36"/>
      <c r="D61" s="36"/>
      <c r="E61" s="36"/>
      <c r="F61" s="36"/>
      <c r="G61" s="189"/>
      <c r="H61" s="573" t="s">
        <v>1705</v>
      </c>
      <c r="I61" s="36"/>
      <c r="J61" s="36"/>
      <c r="K61" s="36"/>
      <c r="L61" s="538"/>
    </row>
    <row r="62" ht="14.25" customHeight="1">
      <c r="A62" s="552" t="s">
        <v>1619</v>
      </c>
      <c r="C62" s="540"/>
      <c r="D62" s="553" t="s">
        <v>1620</v>
      </c>
      <c r="E62" s="36"/>
      <c r="F62" s="189"/>
      <c r="G62" s="554" t="s">
        <v>1621</v>
      </c>
      <c r="H62" s="301"/>
      <c r="I62" s="554" t="s">
        <v>1622</v>
      </c>
      <c r="J62" s="301"/>
      <c r="K62" s="555">
        <f>((1+H67+H65+H64)*(1+H66)*(1+H68))/(1-H69)-1</f>
        <v>0.09557952109</v>
      </c>
      <c r="L62" s="540"/>
    </row>
    <row r="63" ht="14.25" customHeight="1">
      <c r="A63" s="537"/>
      <c r="B63" s="36"/>
      <c r="C63" s="538"/>
      <c r="D63" s="556" t="s">
        <v>1623</v>
      </c>
      <c r="E63" s="556" t="s">
        <v>1624</v>
      </c>
      <c r="F63" s="556" t="s">
        <v>1625</v>
      </c>
      <c r="G63" s="36"/>
      <c r="H63" s="189"/>
      <c r="I63" s="36"/>
      <c r="J63" s="189"/>
      <c r="K63" s="36"/>
      <c r="L63" s="538"/>
    </row>
    <row r="64" ht="14.25" customHeight="1">
      <c r="A64" s="557">
        <v>1.0</v>
      </c>
      <c r="B64" s="558" t="s">
        <v>1626</v>
      </c>
      <c r="C64" s="189"/>
      <c r="D64" s="559">
        <v>0.003</v>
      </c>
      <c r="E64" s="559">
        <v>0.0048</v>
      </c>
      <c r="F64" s="559">
        <v>0.0082</v>
      </c>
      <c r="G64" s="560" t="s">
        <v>1626</v>
      </c>
      <c r="H64" s="523">
        <v>0.003</v>
      </c>
      <c r="I64" s="562" t="s">
        <v>1627</v>
      </c>
      <c r="L64" s="540"/>
    </row>
    <row r="65" ht="14.25" customHeight="1">
      <c r="A65" s="557">
        <v>2.0</v>
      </c>
      <c r="B65" s="558" t="s">
        <v>1628</v>
      </c>
      <c r="C65" s="189"/>
      <c r="D65" s="559">
        <v>0.0056</v>
      </c>
      <c r="E65" s="559">
        <v>0.0085</v>
      </c>
      <c r="F65" s="559">
        <v>0.0089</v>
      </c>
      <c r="G65" s="560" t="s">
        <v>1628</v>
      </c>
      <c r="H65" s="524">
        <v>0.0056</v>
      </c>
      <c r="I65" s="36"/>
      <c r="J65" s="36"/>
      <c r="K65" s="36"/>
      <c r="L65" s="538"/>
    </row>
    <row r="66" ht="14.25" customHeight="1">
      <c r="A66" s="557">
        <v>3.0</v>
      </c>
      <c r="B66" s="558" t="s">
        <v>1629</v>
      </c>
      <c r="C66" s="189"/>
      <c r="D66" s="559">
        <v>0.0085</v>
      </c>
      <c r="E66" s="559">
        <v>0.0085</v>
      </c>
      <c r="F66" s="559">
        <v>0.0111</v>
      </c>
      <c r="G66" s="560" t="s">
        <v>1629</v>
      </c>
      <c r="H66" s="524">
        <v>0.0085</v>
      </c>
      <c r="I66" s="564" t="s">
        <v>1688</v>
      </c>
      <c r="J66" s="36"/>
      <c r="K66" s="36"/>
      <c r="L66" s="538"/>
    </row>
    <row r="67" ht="14.25" customHeight="1">
      <c r="A67" s="557">
        <v>4.0</v>
      </c>
      <c r="B67" s="558" t="s">
        <v>1631</v>
      </c>
      <c r="C67" s="189"/>
      <c r="D67" s="559">
        <v>0.015</v>
      </c>
      <c r="E67" s="559">
        <v>0.0345</v>
      </c>
      <c r="F67" s="565">
        <v>0.0449</v>
      </c>
      <c r="G67" s="560" t="s">
        <v>1631</v>
      </c>
      <c r="H67" s="524">
        <v>0.011</v>
      </c>
      <c r="I67" s="566" t="s">
        <v>1632</v>
      </c>
      <c r="J67" s="36"/>
      <c r="K67" s="36"/>
      <c r="L67" s="538"/>
    </row>
    <row r="68" ht="14.25" customHeight="1">
      <c r="A68" s="557">
        <v>5.0</v>
      </c>
      <c r="B68" s="558" t="s">
        <v>1633</v>
      </c>
      <c r="C68" s="189"/>
      <c r="D68" s="559">
        <v>0.035</v>
      </c>
      <c r="E68" s="559">
        <v>0.0511</v>
      </c>
      <c r="F68" s="559">
        <v>0.0622</v>
      </c>
      <c r="G68" s="560" t="s">
        <v>1633</v>
      </c>
      <c r="H68" s="524">
        <v>0.0205</v>
      </c>
      <c r="I68" s="567" t="s">
        <v>1634</v>
      </c>
      <c r="L68" s="540"/>
    </row>
    <row r="69" ht="14.25" customHeight="1">
      <c r="A69" s="557">
        <v>6.0</v>
      </c>
      <c r="B69" s="558" t="s">
        <v>1635</v>
      </c>
      <c r="C69" s="189"/>
      <c r="D69" s="568" t="s">
        <v>1636</v>
      </c>
      <c r="E69" s="36"/>
      <c r="F69" s="189"/>
      <c r="G69" s="560" t="s">
        <v>1637</v>
      </c>
      <c r="H69" s="561">
        <v>0.0422</v>
      </c>
      <c r="L69" s="540"/>
    </row>
    <row r="70" ht="14.25" customHeight="1">
      <c r="A70" s="557" t="s">
        <v>554</v>
      </c>
      <c r="B70" s="558" t="s">
        <v>1638</v>
      </c>
      <c r="C70" s="189"/>
      <c r="D70" s="568" t="s">
        <v>1636</v>
      </c>
      <c r="E70" s="36"/>
      <c r="F70" s="189"/>
      <c r="G70" s="560" t="s">
        <v>1638</v>
      </c>
      <c r="H70" s="569">
        <v>0.0076</v>
      </c>
      <c r="L70" s="540"/>
    </row>
    <row r="71" ht="14.25" customHeight="1">
      <c r="A71" s="557" t="s">
        <v>695</v>
      </c>
      <c r="B71" s="558" t="s">
        <v>1639</v>
      </c>
      <c r="C71" s="189"/>
      <c r="D71" s="568" t="s">
        <v>1636</v>
      </c>
      <c r="E71" s="36"/>
      <c r="F71" s="189"/>
      <c r="G71" s="560" t="s">
        <v>1639</v>
      </c>
      <c r="H71" s="569">
        <v>0.0345</v>
      </c>
      <c r="I71" s="36"/>
      <c r="J71" s="36"/>
      <c r="K71" s="36"/>
      <c r="L71" s="538"/>
    </row>
    <row r="72" ht="14.25" customHeight="1">
      <c r="A72" s="557" t="s">
        <v>995</v>
      </c>
      <c r="B72" s="558" t="s">
        <v>1640</v>
      </c>
      <c r="C72" s="189"/>
      <c r="D72" s="568" t="s">
        <v>1636</v>
      </c>
      <c r="E72" s="36"/>
      <c r="F72" s="189"/>
      <c r="G72" s="560" t="s">
        <v>1640</v>
      </c>
      <c r="H72" s="569">
        <v>0.0</v>
      </c>
      <c r="I72" s="517" t="s">
        <v>1641</v>
      </c>
      <c r="L72" s="540"/>
    </row>
    <row r="73" ht="14.25" customHeight="1">
      <c r="A73" s="557" t="s">
        <v>1034</v>
      </c>
      <c r="B73" s="558" t="s">
        <v>1642</v>
      </c>
      <c r="C73" s="189"/>
      <c r="D73" s="568" t="s">
        <v>1636</v>
      </c>
      <c r="E73" s="36"/>
      <c r="F73" s="189"/>
      <c r="G73" s="560" t="s">
        <v>1642</v>
      </c>
      <c r="H73" s="569">
        <v>0.0</v>
      </c>
      <c r="I73" s="36"/>
      <c r="J73" s="36"/>
      <c r="K73" s="36"/>
      <c r="L73" s="538"/>
    </row>
    <row r="74" ht="14.25" customHeight="1">
      <c r="A74" s="570" t="s">
        <v>1643</v>
      </c>
      <c r="B74" s="36"/>
      <c r="C74" s="36"/>
      <c r="D74" s="36"/>
      <c r="E74" s="36"/>
      <c r="F74" s="36"/>
      <c r="G74" s="36"/>
      <c r="H74" s="36"/>
      <c r="I74" s="36"/>
      <c r="J74" s="36"/>
      <c r="K74" s="36"/>
      <c r="L74" s="538"/>
    </row>
    <row r="75" ht="14.25" customHeight="1">
      <c r="A75" s="571" t="s">
        <v>1644</v>
      </c>
      <c r="B75" s="526"/>
      <c r="C75" s="526"/>
      <c r="D75" s="526"/>
      <c r="E75" s="526"/>
      <c r="F75" s="526"/>
      <c r="G75" s="526"/>
      <c r="H75" s="526"/>
      <c r="I75" s="526"/>
      <c r="J75" s="526"/>
      <c r="K75" s="526"/>
      <c r="L75" s="572"/>
    </row>
    <row r="76" ht="14.25" customHeight="1">
      <c r="A76" s="574"/>
      <c r="B76" s="574"/>
      <c r="C76" s="574"/>
      <c r="D76" s="574"/>
      <c r="E76" s="574"/>
      <c r="F76" s="574"/>
      <c r="G76" s="574"/>
      <c r="H76" s="574"/>
      <c r="I76" s="574"/>
      <c r="J76" s="574"/>
      <c r="K76" s="574"/>
      <c r="L76" s="574"/>
    </row>
    <row r="77" ht="14.25" customHeight="1">
      <c r="A77" s="574"/>
      <c r="B77" s="574"/>
      <c r="C77" s="574"/>
      <c r="D77" s="574"/>
      <c r="E77" s="574"/>
      <c r="F77" s="574"/>
      <c r="G77" s="574"/>
      <c r="H77" s="574"/>
      <c r="I77" s="574"/>
      <c r="J77" s="574"/>
      <c r="K77" s="574"/>
      <c r="L77" s="574"/>
    </row>
    <row r="78" ht="14.25" customHeight="1">
      <c r="A78" s="574"/>
      <c r="B78" s="574"/>
      <c r="C78" s="574"/>
      <c r="D78" s="574"/>
      <c r="E78" s="574"/>
      <c r="F78" s="574"/>
      <c r="G78" s="574"/>
      <c r="H78" s="574"/>
      <c r="I78" s="574"/>
      <c r="J78" s="574"/>
      <c r="K78" s="574"/>
      <c r="L78" s="574"/>
    </row>
    <row r="79" ht="14.25" customHeight="1">
      <c r="A79" s="574"/>
      <c r="B79" s="574"/>
      <c r="C79" s="574"/>
      <c r="D79" s="574"/>
      <c r="E79" s="574"/>
      <c r="F79" s="574"/>
      <c r="G79" s="574"/>
      <c r="H79" s="574"/>
      <c r="I79" s="574"/>
      <c r="J79" s="574"/>
      <c r="K79" s="574"/>
      <c r="L79" s="574"/>
    </row>
    <row r="80" ht="14.25" customHeight="1">
      <c r="A80" s="574"/>
      <c r="B80" s="574"/>
      <c r="C80" s="574"/>
      <c r="D80" s="574"/>
      <c r="E80" s="574"/>
      <c r="F80" s="574"/>
      <c r="G80" s="574"/>
      <c r="H80" s="574"/>
      <c r="I80" s="574"/>
      <c r="J80" s="574"/>
      <c r="K80" s="574"/>
      <c r="L80" s="574"/>
    </row>
    <row r="81" ht="14.25" customHeight="1">
      <c r="A81" s="574"/>
      <c r="B81" s="574"/>
      <c r="C81" s="574"/>
      <c r="D81" s="574"/>
      <c r="E81" s="574"/>
      <c r="F81" s="574"/>
      <c r="G81" s="574"/>
      <c r="H81" s="574"/>
      <c r="I81" s="574"/>
      <c r="J81" s="574"/>
      <c r="K81" s="574"/>
      <c r="L81" s="574"/>
    </row>
    <row r="82" ht="14.25" customHeight="1">
      <c r="A82" s="574"/>
      <c r="B82" s="574"/>
      <c r="C82" s="574"/>
      <c r="D82" s="574"/>
      <c r="E82" s="574"/>
      <c r="F82" s="574"/>
      <c r="G82" s="574"/>
      <c r="H82" s="574"/>
      <c r="I82" s="574"/>
      <c r="J82" s="574"/>
      <c r="K82" s="574"/>
      <c r="L82" s="574"/>
    </row>
    <row r="83" ht="14.25" customHeight="1">
      <c r="A83" s="574"/>
      <c r="B83" s="574"/>
      <c r="C83" s="574"/>
      <c r="D83" s="574"/>
      <c r="E83" s="574"/>
      <c r="F83" s="574"/>
      <c r="G83" s="574"/>
      <c r="H83" s="574"/>
      <c r="I83" s="574"/>
      <c r="J83" s="574"/>
      <c r="K83" s="574"/>
      <c r="L83" s="574"/>
    </row>
    <row r="84" ht="14.25" customHeight="1">
      <c r="A84" s="574"/>
      <c r="B84" s="574"/>
      <c r="C84" s="574"/>
      <c r="D84" s="574"/>
      <c r="E84" s="574"/>
      <c r="F84" s="574"/>
      <c r="G84" s="574"/>
      <c r="H84" s="574"/>
      <c r="I84" s="574"/>
      <c r="J84" s="574"/>
      <c r="K84" s="574"/>
      <c r="L84" s="574"/>
    </row>
    <row r="85" ht="14.25" customHeight="1">
      <c r="A85" s="574"/>
      <c r="B85" s="574"/>
      <c r="C85" s="574"/>
      <c r="D85" s="574"/>
      <c r="E85" s="574"/>
      <c r="F85" s="574"/>
      <c r="G85" s="574"/>
      <c r="H85" s="574"/>
      <c r="I85" s="574"/>
      <c r="J85" s="574"/>
      <c r="K85" s="574"/>
      <c r="L85" s="574"/>
    </row>
    <row r="86" ht="14.25" customHeight="1">
      <c r="A86" s="574"/>
      <c r="B86" s="574"/>
      <c r="C86" s="574"/>
      <c r="D86" s="574"/>
      <c r="E86" s="574"/>
      <c r="F86" s="574"/>
      <c r="G86" s="574"/>
      <c r="H86" s="574"/>
      <c r="I86" s="574"/>
      <c r="J86" s="574"/>
      <c r="K86" s="574"/>
      <c r="L86" s="574"/>
    </row>
  </sheetData>
  <mergeCells count="134">
    <mergeCell ref="D16:F16"/>
    <mergeCell ref="A17:L17"/>
    <mergeCell ref="A18:L18"/>
    <mergeCell ref="A21:L21"/>
    <mergeCell ref="A22:G22"/>
    <mergeCell ref="H22:L22"/>
    <mergeCell ref="H23:L23"/>
    <mergeCell ref="A20:L20"/>
    <mergeCell ref="A23:G23"/>
    <mergeCell ref="A24:C25"/>
    <mergeCell ref="D24:F24"/>
    <mergeCell ref="G24:H25"/>
    <mergeCell ref="I24:J25"/>
    <mergeCell ref="K24:L25"/>
    <mergeCell ref="I26:L27"/>
    <mergeCell ref="B26:C26"/>
    <mergeCell ref="B27:C27"/>
    <mergeCell ref="B28:C28"/>
    <mergeCell ref="B29:C29"/>
    <mergeCell ref="B30:C30"/>
    <mergeCell ref="B31:C31"/>
    <mergeCell ref="D31:F31"/>
    <mergeCell ref="B32:C32"/>
    <mergeCell ref="D32:F32"/>
    <mergeCell ref="B33:C33"/>
    <mergeCell ref="D33:F33"/>
    <mergeCell ref="B34:C34"/>
    <mergeCell ref="D34:F34"/>
    <mergeCell ref="B35:C35"/>
    <mergeCell ref="A1:C1"/>
    <mergeCell ref="E1:J1"/>
    <mergeCell ref="K1:L1"/>
    <mergeCell ref="A2:L2"/>
    <mergeCell ref="A3:G3"/>
    <mergeCell ref="H3:L3"/>
    <mergeCell ref="H4:L4"/>
    <mergeCell ref="I9:L9"/>
    <mergeCell ref="I10:L10"/>
    <mergeCell ref="I11:L14"/>
    <mergeCell ref="I15:L16"/>
    <mergeCell ref="A4:G4"/>
    <mergeCell ref="A5:C6"/>
    <mergeCell ref="D5:F5"/>
    <mergeCell ref="G5:H6"/>
    <mergeCell ref="I5:J6"/>
    <mergeCell ref="K5:L6"/>
    <mergeCell ref="I7:L8"/>
    <mergeCell ref="B7:C7"/>
    <mergeCell ref="B8:C8"/>
    <mergeCell ref="B9:C9"/>
    <mergeCell ref="B10:C10"/>
    <mergeCell ref="B11:C11"/>
    <mergeCell ref="B12:C12"/>
    <mergeCell ref="D12:F12"/>
    <mergeCell ref="B13:C13"/>
    <mergeCell ref="D13:F13"/>
    <mergeCell ref="B14:C14"/>
    <mergeCell ref="D14:F14"/>
    <mergeCell ref="B15:C15"/>
    <mergeCell ref="D15:F15"/>
    <mergeCell ref="B16:C16"/>
    <mergeCell ref="I28:L28"/>
    <mergeCell ref="I29:L29"/>
    <mergeCell ref="I30:L33"/>
    <mergeCell ref="I34:L35"/>
    <mergeCell ref="D35:F35"/>
    <mergeCell ref="A36:L36"/>
    <mergeCell ref="A37:L37"/>
    <mergeCell ref="A40:L40"/>
    <mergeCell ref="A41:G41"/>
    <mergeCell ref="H41:L41"/>
    <mergeCell ref="A39:L39"/>
    <mergeCell ref="I64:L65"/>
    <mergeCell ref="I62:J63"/>
    <mergeCell ref="K62:L63"/>
    <mergeCell ref="I45:L46"/>
    <mergeCell ref="I47:L47"/>
    <mergeCell ref="I48:L48"/>
    <mergeCell ref="I49:L52"/>
    <mergeCell ref="I53:L54"/>
    <mergeCell ref="I66:L66"/>
    <mergeCell ref="H61:L61"/>
    <mergeCell ref="H60:L60"/>
    <mergeCell ref="B71:C71"/>
    <mergeCell ref="B72:C72"/>
    <mergeCell ref="D73:F73"/>
    <mergeCell ref="B73:C73"/>
    <mergeCell ref="D69:F69"/>
    <mergeCell ref="A74:L74"/>
    <mergeCell ref="A75:L75"/>
    <mergeCell ref="B70:C70"/>
    <mergeCell ref="D70:F70"/>
    <mergeCell ref="D71:F71"/>
    <mergeCell ref="D72:F72"/>
    <mergeCell ref="A43:C44"/>
    <mergeCell ref="B45:C45"/>
    <mergeCell ref="B47:C47"/>
    <mergeCell ref="B48:C48"/>
    <mergeCell ref="B49:C49"/>
    <mergeCell ref="B50:C50"/>
    <mergeCell ref="D50:F50"/>
    <mergeCell ref="H42:L42"/>
    <mergeCell ref="A42:G42"/>
    <mergeCell ref="D43:F43"/>
    <mergeCell ref="G43:H44"/>
    <mergeCell ref="I43:J44"/>
    <mergeCell ref="K43:L44"/>
    <mergeCell ref="B46:C46"/>
    <mergeCell ref="D54:F54"/>
    <mergeCell ref="A55:L55"/>
    <mergeCell ref="A56:L56"/>
    <mergeCell ref="A59:L59"/>
    <mergeCell ref="A58:L58"/>
    <mergeCell ref="B51:C51"/>
    <mergeCell ref="D51:F51"/>
    <mergeCell ref="B52:C52"/>
    <mergeCell ref="D52:F52"/>
    <mergeCell ref="B53:C53"/>
    <mergeCell ref="D53:F53"/>
    <mergeCell ref="B54:C54"/>
    <mergeCell ref="I67:L67"/>
    <mergeCell ref="I68:L71"/>
    <mergeCell ref="I72:L73"/>
    <mergeCell ref="A62:C63"/>
    <mergeCell ref="D62:F62"/>
    <mergeCell ref="G62:H63"/>
    <mergeCell ref="B64:C64"/>
    <mergeCell ref="B66:C66"/>
    <mergeCell ref="B67:C67"/>
    <mergeCell ref="B68:C68"/>
    <mergeCell ref="B69:C69"/>
    <mergeCell ref="A61:G61"/>
    <mergeCell ref="B65:C65"/>
    <mergeCell ref="A60:G60"/>
  </mergeCells>
  <hyperlinks>
    <hyperlink display="SUMÁRIO" location="'QUADRO RESUMO'!B16:D17" ref="K1"/>
  </hyperlinks>
  <printOptions/>
  <pageMargins bottom="0.75" footer="0.0" header="0.0" left="0.25" right="0.25" top="0.75"/>
  <pageSetup fitToHeight="0"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pageSetUpPr fitToPage="1"/>
  </sheetPr>
  <sheetViews>
    <sheetView showGridLines="0" workbookViewId="0">
      <pane ySplit="10.0" topLeftCell="A11" activePane="bottomLeft" state="frozen"/>
      <selection activeCell="B12" sqref="B12" pane="bottomLeft"/>
    </sheetView>
  </sheetViews>
  <sheetFormatPr customHeight="1" defaultColWidth="14.43" defaultRowHeight="15.0"/>
  <cols>
    <col customWidth="1" min="1" max="1" width="8.29"/>
    <col customWidth="1" min="2" max="2" width="15.86"/>
    <col customWidth="1" min="3" max="3" width="9.71"/>
    <col customWidth="1" min="4" max="4" width="20.0"/>
    <col customWidth="1" min="5" max="5" width="50.86"/>
    <col customWidth="1" min="6" max="6" width="7.0"/>
    <col customWidth="1" min="7" max="7" width="7.86"/>
    <col customWidth="1" min="8" max="8" width="9.14"/>
    <col customWidth="1" min="9" max="9" width="12.29"/>
    <col customWidth="1" min="10" max="10" width="9.0"/>
    <col customWidth="1" min="11" max="11" width="12.29"/>
    <col customWidth="1" min="12" max="12" width="10.29"/>
    <col customWidth="1" min="13" max="13" width="9.43"/>
    <col customWidth="1" min="14" max="14" width="13.86"/>
    <col customWidth="1" min="15" max="15" width="13.29"/>
    <col customWidth="1" min="16" max="16" width="12.0"/>
  </cols>
  <sheetData>
    <row r="1" ht="52.5" customHeight="1">
      <c r="A1" s="1" t="s">
        <v>1706</v>
      </c>
      <c r="D1" s="1"/>
      <c r="E1" s="126" t="s">
        <v>1707</v>
      </c>
      <c r="F1" s="127"/>
      <c r="G1" s="127"/>
      <c r="H1" s="127"/>
      <c r="I1" s="127"/>
      <c r="J1" s="127"/>
      <c r="K1" s="127"/>
      <c r="L1" s="128">
        <f>SUM(O56)</f>
        <v>84673.05966</v>
      </c>
      <c r="M1" s="127"/>
      <c r="N1" s="127"/>
      <c r="O1" s="287" t="s">
        <v>29</v>
      </c>
      <c r="P1" s="44"/>
    </row>
    <row r="2" ht="10.5" customHeight="1">
      <c r="A2" s="476"/>
      <c r="B2" s="477"/>
      <c r="C2" s="477"/>
      <c r="D2" s="477"/>
      <c r="E2" s="477"/>
      <c r="F2" s="477"/>
      <c r="G2" s="478"/>
      <c r="H2" s="478"/>
      <c r="I2" s="478"/>
      <c r="J2" s="478"/>
      <c r="K2" s="478"/>
      <c r="L2" s="478"/>
      <c r="M2" s="478"/>
      <c r="N2" s="478"/>
      <c r="O2" s="478"/>
      <c r="P2" s="479"/>
    </row>
    <row r="3" ht="10.5" customHeight="1">
      <c r="A3" s="133"/>
      <c r="B3" s="138" t="s">
        <v>57</v>
      </c>
      <c r="C3" s="139"/>
      <c r="D3" s="140"/>
      <c r="E3" s="137"/>
      <c r="F3" s="576"/>
      <c r="G3" s="576"/>
      <c r="H3" s="576"/>
      <c r="I3" s="141"/>
      <c r="J3" s="142" t="s">
        <v>1611</v>
      </c>
      <c r="K3" s="143"/>
      <c r="L3" s="143"/>
      <c r="M3" s="143"/>
      <c r="N3" s="143"/>
      <c r="O3" s="144"/>
      <c r="P3" s="145"/>
    </row>
    <row r="4" ht="10.5" customHeight="1">
      <c r="A4" s="133"/>
      <c r="B4" s="481" t="s">
        <v>60</v>
      </c>
      <c r="D4" s="102"/>
      <c r="E4" s="137"/>
      <c r="F4" s="576"/>
      <c r="G4" s="576"/>
      <c r="H4" s="576"/>
      <c r="I4" s="141"/>
      <c r="J4" s="149" t="s">
        <v>61</v>
      </c>
      <c r="K4" s="150" t="s">
        <v>62</v>
      </c>
      <c r="L4" s="150" t="s">
        <v>63</v>
      </c>
      <c r="M4" s="150" t="s">
        <v>64</v>
      </c>
      <c r="N4" s="150" t="s">
        <v>65</v>
      </c>
      <c r="O4" s="150" t="s">
        <v>66</v>
      </c>
      <c r="P4" s="145"/>
    </row>
    <row r="5" ht="10.5" customHeight="1">
      <c r="A5" s="133"/>
      <c r="B5" s="482"/>
      <c r="C5" s="8"/>
      <c r="D5" s="9"/>
      <c r="E5" s="162"/>
      <c r="F5" s="576"/>
      <c r="G5" s="576"/>
      <c r="H5" s="576"/>
      <c r="I5" s="141"/>
      <c r="J5" s="152">
        <f>'7. BDI SERVIÇOS'!K5</f>
        <v>0.17392297</v>
      </c>
      <c r="K5" s="152">
        <f>'7. BDI SERVIÇOS'!K64</f>
        <v>0.1486201794</v>
      </c>
      <c r="L5" s="152">
        <f>'7. BDI SERVIÇOS'!K83</f>
        <v>0.1486201794</v>
      </c>
      <c r="M5" s="152">
        <f>'7. BDI SERVIÇOS'!K102</f>
        <v>0.17392297</v>
      </c>
      <c r="N5" s="152">
        <f>'7. BDI SERVIÇOS'!K121</f>
        <v>0.17392297</v>
      </c>
      <c r="O5" s="153">
        <f>'7. BDI SERVIÇOS'!K140</f>
        <v>0.1611337449</v>
      </c>
      <c r="P5" s="145"/>
    </row>
    <row r="6" ht="10.5" customHeight="1">
      <c r="A6" s="133"/>
      <c r="B6" s="154"/>
      <c r="C6" s="155"/>
      <c r="D6" s="156"/>
      <c r="E6" s="137"/>
      <c r="F6" s="157"/>
      <c r="G6" s="141"/>
      <c r="H6" s="141"/>
      <c r="I6" s="141"/>
      <c r="J6" s="152"/>
      <c r="K6" s="141"/>
      <c r="L6" s="141"/>
      <c r="M6" s="141"/>
      <c r="N6" s="141"/>
      <c r="O6" s="141"/>
      <c r="P6" s="145"/>
    </row>
    <row r="7" ht="10.5" customHeight="1">
      <c r="A7" s="133"/>
      <c r="B7" s="154"/>
      <c r="C7" s="155"/>
      <c r="D7" s="158"/>
      <c r="E7" s="137"/>
      <c r="F7" s="157"/>
      <c r="G7" s="141"/>
      <c r="H7" s="141"/>
      <c r="I7" s="141"/>
      <c r="J7" s="142" t="s">
        <v>70</v>
      </c>
      <c r="K7" s="143"/>
      <c r="L7" s="143"/>
      <c r="M7" s="143"/>
      <c r="N7" s="143"/>
      <c r="O7" s="144"/>
      <c r="P7" s="145"/>
    </row>
    <row r="8" ht="10.5" customHeight="1">
      <c r="A8" s="133"/>
      <c r="B8" s="159"/>
      <c r="C8" s="160"/>
      <c r="D8" s="161"/>
      <c r="E8" s="162"/>
      <c r="F8" s="157"/>
      <c r="G8" s="141"/>
      <c r="H8" s="141"/>
      <c r="I8" s="141"/>
      <c r="J8" s="163">
        <f>'8. BDI MERO FORNECIMENTO'!K5</f>
        <v>0.1713345851</v>
      </c>
      <c r="K8" s="8"/>
      <c r="L8" s="8"/>
      <c r="M8" s="8"/>
      <c r="N8" s="8"/>
      <c r="O8" s="9"/>
      <c r="P8" s="145"/>
    </row>
    <row r="9">
      <c r="A9" s="184" t="s">
        <v>79</v>
      </c>
      <c r="B9" s="185" t="s">
        <v>80</v>
      </c>
      <c r="C9" s="186" t="s">
        <v>81</v>
      </c>
      <c r="D9" s="186" t="s">
        <v>82</v>
      </c>
      <c r="E9" s="187" t="s">
        <v>8</v>
      </c>
      <c r="F9" s="185" t="s">
        <v>83</v>
      </c>
      <c r="G9" s="185" t="s">
        <v>11</v>
      </c>
      <c r="H9" s="188" t="s">
        <v>84</v>
      </c>
      <c r="I9" s="189"/>
      <c r="J9" s="188" t="s">
        <v>85</v>
      </c>
      <c r="K9" s="36"/>
      <c r="L9" s="189"/>
      <c r="M9" s="188" t="s">
        <v>86</v>
      </c>
      <c r="N9" s="36"/>
      <c r="O9" s="189"/>
      <c r="P9" s="190"/>
    </row>
    <row r="10">
      <c r="B10" s="75"/>
      <c r="C10" s="75"/>
      <c r="D10" s="75"/>
      <c r="E10" s="75"/>
      <c r="F10" s="75"/>
      <c r="G10" s="75"/>
      <c r="H10" s="191" t="s">
        <v>87</v>
      </c>
      <c r="I10" s="191" t="s">
        <v>88</v>
      </c>
      <c r="J10" s="191" t="s">
        <v>87</v>
      </c>
      <c r="K10" s="191" t="s">
        <v>88</v>
      </c>
      <c r="L10" s="191" t="s">
        <v>89</v>
      </c>
      <c r="M10" s="191" t="s">
        <v>87</v>
      </c>
      <c r="N10" s="191" t="s">
        <v>88</v>
      </c>
      <c r="O10" s="191" t="s">
        <v>89</v>
      </c>
      <c r="P10" s="192" t="s">
        <v>90</v>
      </c>
    </row>
    <row r="11" ht="35.25" customHeight="1">
      <c r="A11" s="577">
        <v>4.0</v>
      </c>
      <c r="B11" s="484" t="s">
        <v>143</v>
      </c>
      <c r="C11" s="44"/>
      <c r="D11" s="44"/>
      <c r="E11" s="44"/>
      <c r="F11" s="44"/>
      <c r="G11" s="44"/>
      <c r="H11" s="44"/>
      <c r="I11" s="44"/>
      <c r="J11" s="44"/>
      <c r="K11" s="44"/>
      <c r="L11" s="44"/>
      <c r="M11" s="251">
        <f t="shared" ref="M11:O11" si="1">SUM(M12,M23,M27,M31,M33,M38,M41,M45,M48,M52,M54)</f>
        <v>0</v>
      </c>
      <c r="N11" s="251">
        <f t="shared" si="1"/>
        <v>84673.05966</v>
      </c>
      <c r="O11" s="251">
        <f t="shared" si="1"/>
        <v>84673.05966</v>
      </c>
      <c r="P11" s="252">
        <f t="shared" ref="P11:P55" si="3">O11/$L$1</f>
        <v>1</v>
      </c>
    </row>
    <row r="12">
      <c r="A12" s="212" t="s">
        <v>144</v>
      </c>
      <c r="B12" s="213" t="s">
        <v>145</v>
      </c>
      <c r="C12" s="44"/>
      <c r="D12" s="44"/>
      <c r="E12" s="44"/>
      <c r="F12" s="44"/>
      <c r="G12" s="44"/>
      <c r="H12" s="44"/>
      <c r="I12" s="44"/>
      <c r="J12" s="44"/>
      <c r="K12" s="44"/>
      <c r="L12" s="44"/>
      <c r="M12" s="214">
        <f t="shared" ref="M12:O12" si="2">SUM(M13:M22)</f>
        <v>0</v>
      </c>
      <c r="N12" s="214">
        <f t="shared" si="2"/>
        <v>9555.571845</v>
      </c>
      <c r="O12" s="214">
        <f t="shared" si="2"/>
        <v>9555.571845</v>
      </c>
      <c r="P12" s="215">
        <f t="shared" si="3"/>
        <v>0.1128525635</v>
      </c>
    </row>
    <row r="13">
      <c r="A13" s="216" t="s">
        <v>146</v>
      </c>
      <c r="B13" s="217" t="s">
        <v>147</v>
      </c>
      <c r="C13" s="227" t="str">
        <f t="shared" ref="C13:C22" si="4">IF(OR(D13="SINAPI-S",D13="SINAPI-I"),"SINAPI","PRÓPRIO")</f>
        <v>PRÓPRIO</v>
      </c>
      <c r="D13" s="228" t="s">
        <v>110</v>
      </c>
      <c r="E13" s="226" t="str">
        <f>IFERROR(IF(D13="SINAPI-S",VLOOKUP(B13,'20-B.SINAPI-S'!A:J,2,0),IF(D13="SINAPI-I",VLOOKUP(B13,'20-A.SINAPI-I'!A:G,2,0),IF(D13="COMPOSIÇÕES",VLOOKUP(B13,'11.COMPOSIÇÕES GERAIS'!B:I,2,0),VLOOKUP(B13,'12.COT.MERCADO'!A:I,2,0)))),"Em Elaboração")</f>
        <v>Recarga de extintor de gás carbônico (CO2) classe AB - 6Kg</v>
      </c>
      <c r="F13" s="221" t="str">
        <f>IFERROR(IF(D13="SINAPI-S",VLOOKUP(B13,'20-B.SINAPI-S'!A:J,3,0),IF(D13="SINAPI-I",VLOOKUP(B13,'20-A.SINAPI-I'!A:G,3,0),IF(D13="COMPOSIÇÕES",VLOOKUP(B13,'11.COMPOSIÇÕES GERAIS'!B:I,3,0),VLOOKUP(B13,'12.COT.MERCADO'!A:I,7,0)))),"Em Elaboração")</f>
        <v>UN </v>
      </c>
      <c r="G13" s="217">
        <v>30.0</v>
      </c>
      <c r="H13" s="222">
        <f>IFERROR(IF(D13="SINAPI-S",VLOOKUP(B13,'20-B.SINAPI-S'!A:J,5,0),IF(D13="SINAPI-I",VLOOKUP(B13,'20-A.SINAPI-I'!A:G,6,0),IF(D13="COMPOSIÇÕES",VLOOKUP(B13,'11.COMPOSIÇÕES GERAIS'!B:I,7,0),0))),"Em Elaboração")</f>
        <v>0</v>
      </c>
      <c r="I13" s="222">
        <f>IFERROR(IF(D13="SINAPI-S",VLOOKUP(B13,'20-B.SINAPI-S'!A:J,6,0),IF(D13="SINAPI-I",VLOOKUP(B13,'20-A.SINAPI-I'!A:G,7,0),IF(D13="COMPOSIÇÕES",VLOOKUP(B13,'11.COMPOSIÇÕES GERAIS'!B:I,8,0),VLOOKUP(B13,'12.COT.MERCADO'!A:I,8,0)))),"Em Elaboração")</f>
        <v>60</v>
      </c>
      <c r="J13" s="222">
        <f t="shared" ref="J13:J22" si="5">H13*(1+$J$5)</f>
        <v>0</v>
      </c>
      <c r="K13" s="222">
        <f t="shared" ref="K13:K22" si="6">I13*(1+$J$8)</f>
        <v>70.28007511</v>
      </c>
      <c r="L13" s="222">
        <f t="shared" ref="L13:L22" si="7">SUM(J13:K13)</f>
        <v>70.28007511</v>
      </c>
      <c r="M13" s="222">
        <f t="shared" ref="M13:M22" si="8">J13*G13</f>
        <v>0</v>
      </c>
      <c r="N13" s="222">
        <f t="shared" ref="N13:N22" si="9">K13*G13</f>
        <v>2108.402253</v>
      </c>
      <c r="O13" s="222">
        <f t="shared" ref="O13:O22" si="10">SUM(M13:N13)</f>
        <v>2108.402253</v>
      </c>
      <c r="P13" s="223">
        <f t="shared" si="3"/>
        <v>0.02490050863</v>
      </c>
    </row>
    <row r="14">
      <c r="A14" s="216" t="s">
        <v>148</v>
      </c>
      <c r="B14" s="217" t="s">
        <v>149</v>
      </c>
      <c r="C14" s="227" t="str">
        <f t="shared" si="4"/>
        <v>PRÓPRIO</v>
      </c>
      <c r="D14" s="228" t="s">
        <v>110</v>
      </c>
      <c r="E14" s="226" t="str">
        <f>IFERROR(IF(D14="SINAPI-S",VLOOKUP(B14,'20-B.SINAPI-S'!A:J,2,0),IF(D14="SINAPI-I",VLOOKUP(B14,'20-A.SINAPI-I'!A:G,2,0),IF(D14="COMPOSIÇÕES",VLOOKUP(B14,'11.COMPOSIÇÕES GERAIS'!B:I,2,0),VLOOKUP(B14,'12.COT.MERCADO'!A:I,2,0)))),"Em Elaboração")</f>
        <v>Recarga de extintor de gás carbônico (CO2) classe AB - 10Kg</v>
      </c>
      <c r="F14" s="221" t="str">
        <f>IFERROR(IF(D14="SINAPI-S",VLOOKUP(B14,'20-B.SINAPI-S'!A:J,3,0),IF(D14="SINAPI-I",VLOOKUP(B14,'20-A.SINAPI-I'!A:G,3,0),IF(D14="COMPOSIÇÕES",VLOOKUP(B14,'11.COMPOSIÇÕES GERAIS'!B:I,3,0),VLOOKUP(B14,'12.COT.MERCADO'!A:I,7,0)))),"Em Elaboração")</f>
        <v>UN </v>
      </c>
      <c r="G14" s="217">
        <v>1.0</v>
      </c>
      <c r="H14" s="222">
        <f>IFERROR(IF(D14="SINAPI-S",VLOOKUP(B14,'20-B.SINAPI-S'!A:J,5,0),IF(D14="SINAPI-I",VLOOKUP(B14,'20-A.SINAPI-I'!A:G,6,0),IF(D14="COMPOSIÇÕES",VLOOKUP(B14,'11.COMPOSIÇÕES GERAIS'!B:I,7,0),0))),"Em Elaboração")</f>
        <v>0</v>
      </c>
      <c r="I14" s="222">
        <f>IFERROR(IF(D14="SINAPI-S",VLOOKUP(B14,'20-B.SINAPI-S'!A:J,6,0),IF(D14="SINAPI-I",VLOOKUP(B14,'20-A.SINAPI-I'!A:G,7,0),IF(D14="COMPOSIÇÕES",VLOOKUP(B14,'11.COMPOSIÇÕES GERAIS'!B:I,8,0),VLOOKUP(B14,'12.COT.MERCADO'!A:I,8,0)))),"Em Elaboração")</f>
        <v>100</v>
      </c>
      <c r="J14" s="222">
        <f t="shared" si="5"/>
        <v>0</v>
      </c>
      <c r="K14" s="222">
        <f t="shared" si="6"/>
        <v>117.1334585</v>
      </c>
      <c r="L14" s="222">
        <f t="shared" si="7"/>
        <v>117.1334585</v>
      </c>
      <c r="M14" s="222">
        <f t="shared" si="8"/>
        <v>0</v>
      </c>
      <c r="N14" s="222">
        <f t="shared" si="9"/>
        <v>117.1334585</v>
      </c>
      <c r="O14" s="222">
        <f t="shared" si="10"/>
        <v>117.1334585</v>
      </c>
      <c r="P14" s="223">
        <f t="shared" si="3"/>
        <v>0.001383361591</v>
      </c>
    </row>
    <row r="15">
      <c r="A15" s="216" t="s">
        <v>150</v>
      </c>
      <c r="B15" s="217" t="s">
        <v>151</v>
      </c>
      <c r="C15" s="227" t="str">
        <f t="shared" si="4"/>
        <v>PRÓPRIO</v>
      </c>
      <c r="D15" s="228" t="s">
        <v>110</v>
      </c>
      <c r="E15" s="226" t="str">
        <f>IFERROR(IF(D15="SINAPI-S",VLOOKUP(B15,'20-B.SINAPI-S'!A:J,2,0),IF(D15="SINAPI-I",VLOOKUP(B15,'20-A.SINAPI-I'!A:G,2,0),IF(D15="COMPOSIÇÕES",VLOOKUP(B15,'11.COMPOSIÇÕES GERAIS'!B:I,2,0),VLOOKUP(B15,'12.COT.MERCADO'!A:I,2,0)))),"Em Elaboração")</f>
        <v>Recarga de extintor de gás carbônico (CO2) classe AB - 25Kg</v>
      </c>
      <c r="F15" s="221" t="str">
        <f>IFERROR(IF(D15="SINAPI-S",VLOOKUP(B15,'20-B.SINAPI-S'!A:J,3,0),IF(D15="SINAPI-I",VLOOKUP(B15,'20-A.SINAPI-I'!A:G,3,0),IF(D15="COMPOSIÇÕES",VLOOKUP(B15,'11.COMPOSIÇÕES GERAIS'!B:I,3,0),VLOOKUP(B15,'12.COT.MERCADO'!A:I,7,0)))),"Em Elaboração")</f>
        <v>UN </v>
      </c>
      <c r="G15" s="217">
        <v>2.0</v>
      </c>
      <c r="H15" s="222">
        <f>IFERROR(IF(D15="SINAPI-S",VLOOKUP(B15,'20-B.SINAPI-S'!A:J,5,0),IF(D15="SINAPI-I",VLOOKUP(B15,'20-A.SINAPI-I'!A:G,6,0),IF(D15="COMPOSIÇÕES",VLOOKUP(B15,'11.COMPOSIÇÕES GERAIS'!B:I,7,0),0))),"Em Elaboração")</f>
        <v>0</v>
      </c>
      <c r="I15" s="222">
        <f>IFERROR(IF(D15="SINAPI-S",VLOOKUP(B15,'20-B.SINAPI-S'!A:J,6,0),IF(D15="SINAPI-I",VLOOKUP(B15,'20-A.SINAPI-I'!A:G,7,0),IF(D15="COMPOSIÇÕES",VLOOKUP(B15,'11.COMPOSIÇÕES GERAIS'!B:I,8,0),VLOOKUP(B15,'12.COT.MERCADO'!A:I,8,0)))),"Em Elaboração")</f>
        <v>220</v>
      </c>
      <c r="J15" s="222">
        <f t="shared" si="5"/>
        <v>0</v>
      </c>
      <c r="K15" s="222">
        <f t="shared" si="6"/>
        <v>257.6936087</v>
      </c>
      <c r="L15" s="222">
        <f t="shared" si="7"/>
        <v>257.6936087</v>
      </c>
      <c r="M15" s="222">
        <f t="shared" si="8"/>
        <v>0</v>
      </c>
      <c r="N15" s="222">
        <f t="shared" si="9"/>
        <v>515.3872175</v>
      </c>
      <c r="O15" s="222">
        <f t="shared" si="10"/>
        <v>515.3872175</v>
      </c>
      <c r="P15" s="223">
        <f t="shared" si="3"/>
        <v>0.006086791</v>
      </c>
    </row>
    <row r="16">
      <c r="A16" s="216" t="s">
        <v>152</v>
      </c>
      <c r="B16" s="217" t="s">
        <v>153</v>
      </c>
      <c r="C16" s="227" t="str">
        <f t="shared" si="4"/>
        <v>PRÓPRIO</v>
      </c>
      <c r="D16" s="228" t="s">
        <v>110</v>
      </c>
      <c r="E16" s="226" t="str">
        <f>IFERROR(IF(D16="SINAPI-S",VLOOKUP(B16,'20-B.SINAPI-S'!A:J,2,0),IF(D16="SINAPI-I",VLOOKUP(B16,'20-A.SINAPI-I'!A:G,2,0),IF(D16="COMPOSIÇÕES",VLOOKUP(B16,'11.COMPOSIÇÕES GERAIS'!B:I,2,0),VLOOKUP(B16,'12.COT.MERCADO'!A:I,2,0)))),"Em Elaboração")</f>
        <v>Recarga de extintor de pó químico seco (PQS) classe ABC - 4Kg</v>
      </c>
      <c r="F16" s="221" t="str">
        <f>IFERROR(IF(D16="SINAPI-S",VLOOKUP(B16,'20-B.SINAPI-S'!A:J,3,0),IF(D16="SINAPI-I",VLOOKUP(B16,'20-A.SINAPI-I'!A:G,3,0),IF(D16="COMPOSIÇÕES",VLOOKUP(B16,'11.COMPOSIÇÕES GERAIS'!B:I,3,0),VLOOKUP(B16,'12.COT.MERCADO'!A:I,7,0)))),"Em Elaboração")</f>
        <v>UN </v>
      </c>
      <c r="G16" s="217">
        <v>16.0</v>
      </c>
      <c r="H16" s="222">
        <f>IFERROR(IF(D16="SINAPI-S",VLOOKUP(B16,'20-B.SINAPI-S'!A:J,5,0),IF(D16="SINAPI-I",VLOOKUP(B16,'20-A.SINAPI-I'!A:G,6,0),IF(D16="COMPOSIÇÕES",VLOOKUP(B16,'11.COMPOSIÇÕES GERAIS'!B:I,7,0),0))),"Em Elaboração")</f>
        <v>0</v>
      </c>
      <c r="I16" s="222">
        <f>IFERROR(IF(D16="SINAPI-S",VLOOKUP(B16,'20-B.SINAPI-S'!A:J,6,0),IF(D16="SINAPI-I",VLOOKUP(B16,'20-A.SINAPI-I'!A:G,7,0),IF(D16="COMPOSIÇÕES",VLOOKUP(B16,'11.COMPOSIÇÕES GERAIS'!B:I,8,0),VLOOKUP(B16,'12.COT.MERCADO'!A:I,8,0)))),"Em Elaboração")</f>
        <v>36.4</v>
      </c>
      <c r="J16" s="222">
        <f t="shared" si="5"/>
        <v>0</v>
      </c>
      <c r="K16" s="222">
        <f t="shared" si="6"/>
        <v>42.6365789</v>
      </c>
      <c r="L16" s="222">
        <f t="shared" si="7"/>
        <v>42.6365789</v>
      </c>
      <c r="M16" s="222">
        <f t="shared" si="8"/>
        <v>0</v>
      </c>
      <c r="N16" s="222">
        <f t="shared" si="9"/>
        <v>682.1852624</v>
      </c>
      <c r="O16" s="222">
        <f t="shared" si="10"/>
        <v>682.1852624</v>
      </c>
      <c r="P16" s="223">
        <f t="shared" si="3"/>
        <v>0.008056697905</v>
      </c>
    </row>
    <row r="17">
      <c r="A17" s="216" t="s">
        <v>154</v>
      </c>
      <c r="B17" s="217" t="s">
        <v>155</v>
      </c>
      <c r="C17" s="227" t="str">
        <f t="shared" si="4"/>
        <v>PRÓPRIO</v>
      </c>
      <c r="D17" s="228" t="s">
        <v>110</v>
      </c>
      <c r="E17" s="226" t="str">
        <f>IFERROR(IF(D17="SINAPI-S",VLOOKUP(B17,'20-B.SINAPI-S'!A:J,2,0),IF(D17="SINAPI-I",VLOOKUP(B17,'20-A.SINAPI-I'!A:G,2,0),IF(D17="COMPOSIÇÕES",VLOOKUP(B17,'11.COMPOSIÇÕES GERAIS'!B:I,2,0),VLOOKUP(B17,'12.COT.MERCADO'!A:I,2,0)))),"Em Elaboração")</f>
        <v>Recarga de extintor de pó químico seco (PQS) classe ABC - 6Kg</v>
      </c>
      <c r="F17" s="221" t="str">
        <f>IFERROR(IF(D17="SINAPI-S",VLOOKUP(B17,'20-B.SINAPI-S'!A:J,3,0),IF(D17="SINAPI-I",VLOOKUP(B17,'20-A.SINAPI-I'!A:G,3,0),IF(D17="COMPOSIÇÕES",VLOOKUP(B17,'11.COMPOSIÇÕES GERAIS'!B:I,3,0),VLOOKUP(B17,'12.COT.MERCADO'!A:I,7,0)))),"Em Elaboração")</f>
        <v>UN </v>
      </c>
      <c r="G17" s="217">
        <v>56.0</v>
      </c>
      <c r="H17" s="222">
        <f>IFERROR(IF(D17="SINAPI-S",VLOOKUP(B17,'20-B.SINAPI-S'!A:J,5,0),IF(D17="SINAPI-I",VLOOKUP(B17,'20-A.SINAPI-I'!A:G,6,0),IF(D17="COMPOSIÇÕES",VLOOKUP(B17,'11.COMPOSIÇÕES GERAIS'!B:I,7,0),0))),"Em Elaboração")</f>
        <v>0</v>
      </c>
      <c r="I17" s="222">
        <f>IFERROR(IF(D17="SINAPI-S",VLOOKUP(B17,'20-B.SINAPI-S'!A:J,6,0),IF(D17="SINAPI-I",VLOOKUP(B17,'20-A.SINAPI-I'!A:G,7,0),IF(D17="COMPOSIÇÕES",VLOOKUP(B17,'11.COMPOSIÇÕES GERAIS'!B:I,8,0),VLOOKUP(B17,'12.COT.MERCADO'!A:I,8,0)))),"Em Elaboração")</f>
        <v>48</v>
      </c>
      <c r="J17" s="222">
        <f t="shared" si="5"/>
        <v>0</v>
      </c>
      <c r="K17" s="222">
        <f t="shared" si="6"/>
        <v>56.22406009</v>
      </c>
      <c r="L17" s="222">
        <f t="shared" si="7"/>
        <v>56.22406009</v>
      </c>
      <c r="M17" s="222">
        <f t="shared" si="8"/>
        <v>0</v>
      </c>
      <c r="N17" s="222">
        <f t="shared" si="9"/>
        <v>3148.547365</v>
      </c>
      <c r="O17" s="222">
        <f t="shared" si="10"/>
        <v>3148.547365</v>
      </c>
      <c r="P17" s="223">
        <f t="shared" si="3"/>
        <v>0.03718475956</v>
      </c>
    </row>
    <row r="18">
      <c r="A18" s="216" t="s">
        <v>156</v>
      </c>
      <c r="B18" s="217" t="s">
        <v>157</v>
      </c>
      <c r="C18" s="227" t="str">
        <f t="shared" si="4"/>
        <v>PRÓPRIO</v>
      </c>
      <c r="D18" s="228" t="s">
        <v>110</v>
      </c>
      <c r="E18" s="226" t="str">
        <f>IFERROR(IF(D18="SINAPI-S",VLOOKUP(B18,'20-B.SINAPI-S'!A:J,2,0),IF(D18="SINAPI-I",VLOOKUP(B18,'20-A.SINAPI-I'!A:G,2,0),IF(D18="COMPOSIÇÕES",VLOOKUP(B18,'11.COMPOSIÇÕES GERAIS'!B:I,2,0),VLOOKUP(B18,'12.COT.MERCADO'!A:I,2,0)))),"Em Elaboração")</f>
        <v>Recarga de extintor de pó químico seco (PQS) classe ABC - 12Kg</v>
      </c>
      <c r="F18" s="221" t="str">
        <f>IFERROR(IF(D18="SINAPI-S",VLOOKUP(B18,'20-B.SINAPI-S'!A:J,3,0),IF(D18="SINAPI-I",VLOOKUP(B18,'20-A.SINAPI-I'!A:G,3,0),IF(D18="COMPOSIÇÕES",VLOOKUP(B18,'11.COMPOSIÇÕES GERAIS'!B:I,3,0),VLOOKUP(B18,'12.COT.MERCADO'!A:I,7,0)))),"Em Elaboração")</f>
        <v>UN </v>
      </c>
      <c r="G18" s="217">
        <v>4.0</v>
      </c>
      <c r="H18" s="222">
        <f>IFERROR(IF(D18="SINAPI-S",VLOOKUP(B18,'20-B.SINAPI-S'!A:J,5,0),IF(D18="SINAPI-I",VLOOKUP(B18,'20-A.SINAPI-I'!A:G,6,0),IF(D18="COMPOSIÇÕES",VLOOKUP(B18,'11.COMPOSIÇÕES GERAIS'!B:I,7,0),0))),"Em Elaboração")</f>
        <v>0</v>
      </c>
      <c r="I18" s="222">
        <f>IFERROR(IF(D18="SINAPI-S",VLOOKUP(B18,'20-B.SINAPI-S'!A:J,6,0),IF(D18="SINAPI-I",VLOOKUP(B18,'20-A.SINAPI-I'!A:G,7,0),IF(D18="COMPOSIÇÕES",VLOOKUP(B18,'11.COMPOSIÇÕES GERAIS'!B:I,8,0),VLOOKUP(B18,'12.COT.MERCADO'!A:I,8,0)))),"Em Elaboração")</f>
        <v>80.5</v>
      </c>
      <c r="J18" s="222">
        <f t="shared" si="5"/>
        <v>0</v>
      </c>
      <c r="K18" s="222">
        <f t="shared" si="6"/>
        <v>94.2924341</v>
      </c>
      <c r="L18" s="222">
        <f t="shared" si="7"/>
        <v>94.2924341</v>
      </c>
      <c r="M18" s="222">
        <f t="shared" si="8"/>
        <v>0</v>
      </c>
      <c r="N18" s="222">
        <f t="shared" si="9"/>
        <v>377.1697364</v>
      </c>
      <c r="O18" s="222">
        <f t="shared" si="10"/>
        <v>377.1697364</v>
      </c>
      <c r="P18" s="223">
        <f t="shared" si="3"/>
        <v>0.004454424322</v>
      </c>
    </row>
    <row r="19">
      <c r="A19" s="216" t="s">
        <v>158</v>
      </c>
      <c r="B19" s="217" t="s">
        <v>159</v>
      </c>
      <c r="C19" s="227" t="str">
        <f t="shared" si="4"/>
        <v>PRÓPRIO</v>
      </c>
      <c r="D19" s="228" t="s">
        <v>110</v>
      </c>
      <c r="E19" s="226" t="str">
        <f>IFERROR(IF(D19="SINAPI-S",VLOOKUP(B19,'20-B.SINAPI-S'!A:J,2,0),IF(D19="SINAPI-I",VLOOKUP(B19,'20-A.SINAPI-I'!A:G,2,0),IF(D19="COMPOSIÇÕES",VLOOKUP(B19,'11.COMPOSIÇÕES GERAIS'!B:I,2,0),VLOOKUP(B19,'12.COT.MERCADO'!A:I,2,0)))),"Em Elaboração")</f>
        <v>Recarga de extintor de pó químico seco (PQS) classe BC - 20Kg</v>
      </c>
      <c r="F19" s="221" t="str">
        <f>IFERROR(IF(D19="SINAPI-S",VLOOKUP(B19,'20-B.SINAPI-S'!A:J,3,0),IF(D19="SINAPI-I",VLOOKUP(B19,'20-A.SINAPI-I'!A:G,3,0),IF(D19="COMPOSIÇÕES",VLOOKUP(B19,'11.COMPOSIÇÕES GERAIS'!B:I,3,0),VLOOKUP(B19,'12.COT.MERCADO'!A:I,7,0)))),"Em Elaboração")</f>
        <v>UN </v>
      </c>
      <c r="G19" s="217">
        <v>1.0</v>
      </c>
      <c r="H19" s="222">
        <f>IFERROR(IF(D19="SINAPI-S",VLOOKUP(B19,'20-B.SINAPI-S'!A:J,5,0),IF(D19="SINAPI-I",VLOOKUP(B19,'20-A.SINAPI-I'!A:G,6,0),IF(D19="COMPOSIÇÕES",VLOOKUP(B19,'11.COMPOSIÇÕES GERAIS'!B:I,7,0),0))),"Em Elaboração")</f>
        <v>0</v>
      </c>
      <c r="I19" s="222">
        <f>IFERROR(IF(D19="SINAPI-S",VLOOKUP(B19,'20-B.SINAPI-S'!A:J,6,0),IF(D19="SINAPI-I",VLOOKUP(B19,'20-A.SINAPI-I'!A:G,7,0),IF(D19="COMPOSIÇÕES",VLOOKUP(B19,'11.COMPOSIÇÕES GERAIS'!B:I,8,0),VLOOKUP(B19,'12.COT.MERCADO'!A:I,8,0)))),"Em Elaboração")</f>
        <v>112.75</v>
      </c>
      <c r="J19" s="222">
        <f t="shared" si="5"/>
        <v>0</v>
      </c>
      <c r="K19" s="222">
        <f t="shared" si="6"/>
        <v>132.0679745</v>
      </c>
      <c r="L19" s="222">
        <f t="shared" si="7"/>
        <v>132.0679745</v>
      </c>
      <c r="M19" s="222">
        <f t="shared" si="8"/>
        <v>0</v>
      </c>
      <c r="N19" s="222">
        <f t="shared" si="9"/>
        <v>132.0679745</v>
      </c>
      <c r="O19" s="222">
        <f t="shared" si="10"/>
        <v>132.0679745</v>
      </c>
      <c r="P19" s="223">
        <f t="shared" si="3"/>
        <v>0.001559740194</v>
      </c>
    </row>
    <row r="20">
      <c r="A20" s="216" t="s">
        <v>160</v>
      </c>
      <c r="B20" s="217" t="s">
        <v>161</v>
      </c>
      <c r="C20" s="227" t="str">
        <f t="shared" si="4"/>
        <v>PRÓPRIO</v>
      </c>
      <c r="D20" s="228" t="s">
        <v>110</v>
      </c>
      <c r="E20" s="226" t="str">
        <f>IFERROR(IF(D20="SINAPI-S",VLOOKUP(B20,'20-B.SINAPI-S'!A:J,2,0),IF(D20="SINAPI-I",VLOOKUP(B20,'20-A.SINAPI-I'!A:G,2,0),IF(D20="COMPOSIÇÕES",VLOOKUP(B20,'11.COMPOSIÇÕES GERAIS'!B:I,2,0),VLOOKUP(B20,'12.COT.MERCADO'!A:I,2,0)))),"Em Elaboração")</f>
        <v>Recarga de extintor de pó químico seco (PQS) classe BC - 50Kg</v>
      </c>
      <c r="F20" s="221" t="str">
        <f>IFERROR(IF(D20="SINAPI-S",VLOOKUP(B20,'20-B.SINAPI-S'!A:J,3,0),IF(D20="SINAPI-I",VLOOKUP(B20,'20-A.SINAPI-I'!A:G,3,0),IF(D20="COMPOSIÇÕES",VLOOKUP(B20,'11.COMPOSIÇÕES GERAIS'!B:I,3,0),VLOOKUP(B20,'12.COT.MERCADO'!A:I,7,0)))),"Em Elaboração")</f>
        <v>UN </v>
      </c>
      <c r="G20" s="217">
        <v>1.0</v>
      </c>
      <c r="H20" s="222">
        <f>IFERROR(IF(D20="SINAPI-S",VLOOKUP(B20,'20-B.SINAPI-S'!A:J,5,0),IF(D20="SINAPI-I",VLOOKUP(B20,'20-A.SINAPI-I'!A:G,6,0),IF(D20="COMPOSIÇÕES",VLOOKUP(B20,'11.COMPOSIÇÕES GERAIS'!B:I,7,0),0))),"Em Elaboração")</f>
        <v>0</v>
      </c>
      <c r="I20" s="222">
        <f>IFERROR(IF(D20="SINAPI-S",VLOOKUP(B20,'20-B.SINAPI-S'!A:J,6,0),IF(D20="SINAPI-I",VLOOKUP(B20,'20-A.SINAPI-I'!A:G,7,0),IF(D20="COMPOSIÇÕES",VLOOKUP(B20,'11.COMPOSIÇÕES GERAIS'!B:I,8,0),VLOOKUP(B20,'12.COT.MERCADO'!A:I,8,0)))),"Em Elaboração")</f>
        <v>206.5</v>
      </c>
      <c r="J20" s="222">
        <f t="shared" si="5"/>
        <v>0</v>
      </c>
      <c r="K20" s="222">
        <f t="shared" si="6"/>
        <v>241.8805918</v>
      </c>
      <c r="L20" s="222">
        <f t="shared" si="7"/>
        <v>241.8805918</v>
      </c>
      <c r="M20" s="222">
        <f t="shared" si="8"/>
        <v>0</v>
      </c>
      <c r="N20" s="222">
        <f t="shared" si="9"/>
        <v>241.8805918</v>
      </c>
      <c r="O20" s="222">
        <f t="shared" si="10"/>
        <v>241.8805918</v>
      </c>
      <c r="P20" s="223">
        <f t="shared" si="3"/>
        <v>0.002856641685</v>
      </c>
    </row>
    <row r="21">
      <c r="A21" s="216" t="s">
        <v>162</v>
      </c>
      <c r="B21" s="217" t="s">
        <v>163</v>
      </c>
      <c r="C21" s="227" t="str">
        <f t="shared" si="4"/>
        <v>PRÓPRIO</v>
      </c>
      <c r="D21" s="228" t="s">
        <v>110</v>
      </c>
      <c r="E21" s="226" t="str">
        <f>IFERROR(IF(D21="SINAPI-S",VLOOKUP(B21,'20-B.SINAPI-S'!A:J,2,0),IF(D21="SINAPI-I",VLOOKUP(B21,'20-A.SINAPI-I'!A:G,2,0),IF(D21="COMPOSIÇÕES",VLOOKUP(B21,'11.COMPOSIÇÕES GERAIS'!B:I,2,0),VLOOKUP(B21,'12.COT.MERCADO'!A:I,2,0)))),"Em Elaboração")</f>
        <v>Recarga de extintor de espuma mecânica classe AB - 50 L</v>
      </c>
      <c r="F21" s="221" t="str">
        <f>IFERROR(IF(D21="SINAPI-S",VLOOKUP(B21,'20-B.SINAPI-S'!A:J,3,0),IF(D21="SINAPI-I",VLOOKUP(B21,'20-A.SINAPI-I'!A:G,3,0),IF(D21="COMPOSIÇÕES",VLOOKUP(B21,'11.COMPOSIÇÕES GERAIS'!B:I,3,0),VLOOKUP(B21,'12.COT.MERCADO'!A:I,7,0)))),"Em Elaboração")</f>
        <v>UN </v>
      </c>
      <c r="G21" s="217">
        <v>1.0</v>
      </c>
      <c r="H21" s="222">
        <f>IFERROR(IF(D21="SINAPI-S",VLOOKUP(B21,'20-B.SINAPI-S'!A:J,5,0),IF(D21="SINAPI-I",VLOOKUP(B21,'20-A.SINAPI-I'!A:G,6,0),IF(D21="COMPOSIÇÕES",VLOOKUP(B21,'11.COMPOSIÇÕES GERAIS'!B:I,7,0),0))),"Em Elaboração")</f>
        <v>0</v>
      </c>
      <c r="I21" s="222">
        <f>IFERROR(IF(D21="SINAPI-S",VLOOKUP(B21,'20-B.SINAPI-S'!A:J,6,0),IF(D21="SINAPI-I",VLOOKUP(B21,'20-A.SINAPI-I'!A:G,7,0),IF(D21="COMPOSIÇÕES",VLOOKUP(B21,'11.COMPOSIÇÕES GERAIS'!B:I,8,0),VLOOKUP(B21,'12.COT.MERCADO'!A:I,8,0)))),"Em Elaboração")</f>
        <v>299</v>
      </c>
      <c r="J21" s="222">
        <f t="shared" si="5"/>
        <v>0</v>
      </c>
      <c r="K21" s="222">
        <f t="shared" si="6"/>
        <v>350.229041</v>
      </c>
      <c r="L21" s="222">
        <f t="shared" si="7"/>
        <v>350.229041</v>
      </c>
      <c r="M21" s="222">
        <f t="shared" si="8"/>
        <v>0</v>
      </c>
      <c r="N21" s="222">
        <f t="shared" si="9"/>
        <v>350.229041</v>
      </c>
      <c r="O21" s="222">
        <f t="shared" si="10"/>
        <v>350.229041</v>
      </c>
      <c r="P21" s="223">
        <f t="shared" si="3"/>
        <v>0.004136251156</v>
      </c>
    </row>
    <row r="22">
      <c r="A22" s="216" t="s">
        <v>164</v>
      </c>
      <c r="B22" s="217" t="s">
        <v>165</v>
      </c>
      <c r="C22" s="227" t="str">
        <f t="shared" si="4"/>
        <v>PRÓPRIO</v>
      </c>
      <c r="D22" s="228" t="s">
        <v>110</v>
      </c>
      <c r="E22" s="226" t="str">
        <f>IFERROR(IF(D22="SINAPI-S",VLOOKUP(B22,'20-B.SINAPI-S'!A:J,2,0),IF(D22="SINAPI-I",VLOOKUP(B22,'20-A.SINAPI-I'!A:G,2,0),IF(D22="COMPOSIÇÕES",VLOOKUP(B22,'11.COMPOSIÇÕES GERAIS'!B:I,2,0),VLOOKUP(B22,'12.COT.MERCADO'!A:I,2,0)))),"Em Elaboração")</f>
        <v>Recarga de extintor de água pressurizada classe A - 10 L</v>
      </c>
      <c r="F22" s="221" t="str">
        <f>IFERROR(IF(D22="SINAPI-S",VLOOKUP(B22,'20-B.SINAPI-S'!A:J,3,0),IF(D22="SINAPI-I",VLOOKUP(B22,'20-A.SINAPI-I'!A:G,3,0),IF(D22="COMPOSIÇÕES",VLOOKUP(B22,'11.COMPOSIÇÕES GERAIS'!B:I,3,0),VLOOKUP(B22,'12.COT.MERCADO'!A:I,7,0)))),"Em Elaboração")</f>
        <v>UN </v>
      </c>
      <c r="G22" s="217">
        <v>56.0</v>
      </c>
      <c r="H22" s="222">
        <f>IFERROR(IF(D22="SINAPI-S",VLOOKUP(B22,'20-B.SINAPI-S'!A:J,5,0),IF(D22="SINAPI-I",VLOOKUP(B22,'20-A.SINAPI-I'!A:G,6,0),IF(D22="COMPOSIÇÕES",VLOOKUP(B22,'11.COMPOSIÇÕES GERAIS'!B:I,7,0),0))),"Em Elaboração")</f>
        <v>0</v>
      </c>
      <c r="I22" s="222">
        <f>IFERROR(IF(D22="SINAPI-S",VLOOKUP(B22,'20-B.SINAPI-S'!A:J,6,0),IF(D22="SINAPI-I",VLOOKUP(B22,'20-A.SINAPI-I'!A:G,7,0),IF(D22="COMPOSIÇÕES",VLOOKUP(B22,'11.COMPOSIÇÕES GERAIS'!B:I,8,0),VLOOKUP(B22,'12.COT.MERCADO'!A:I,8,0)))),"Em Elaboração")</f>
        <v>28.7</v>
      </c>
      <c r="J22" s="222">
        <f t="shared" si="5"/>
        <v>0</v>
      </c>
      <c r="K22" s="222">
        <f t="shared" si="6"/>
        <v>33.61730259</v>
      </c>
      <c r="L22" s="222">
        <f t="shared" si="7"/>
        <v>33.61730259</v>
      </c>
      <c r="M22" s="222">
        <f t="shared" si="8"/>
        <v>0</v>
      </c>
      <c r="N22" s="222">
        <f t="shared" si="9"/>
        <v>1882.568945</v>
      </c>
      <c r="O22" s="222">
        <f t="shared" si="10"/>
        <v>1882.568945</v>
      </c>
      <c r="P22" s="223">
        <f t="shared" si="3"/>
        <v>0.02223338749</v>
      </c>
    </row>
    <row r="23">
      <c r="A23" s="212" t="s">
        <v>166</v>
      </c>
      <c r="B23" s="213" t="s">
        <v>112</v>
      </c>
      <c r="C23" s="44"/>
      <c r="D23" s="44"/>
      <c r="E23" s="44"/>
      <c r="F23" s="44"/>
      <c r="G23" s="44"/>
      <c r="H23" s="44"/>
      <c r="I23" s="44"/>
      <c r="J23" s="44"/>
      <c r="K23" s="44"/>
      <c r="L23" s="44"/>
      <c r="M23" s="214">
        <f t="shared" ref="M23:O23" si="11">SUM(M24:M26)</f>
        <v>0</v>
      </c>
      <c r="N23" s="214">
        <f t="shared" si="11"/>
        <v>56080.16163</v>
      </c>
      <c r="O23" s="214">
        <f t="shared" si="11"/>
        <v>56080.16163</v>
      </c>
      <c r="P23" s="578">
        <f t="shared" si="3"/>
        <v>0.6623141039</v>
      </c>
    </row>
    <row r="24">
      <c r="A24" s="216" t="s">
        <v>167</v>
      </c>
      <c r="B24" s="217" t="s">
        <v>168</v>
      </c>
      <c r="C24" s="227" t="str">
        <f t="shared" ref="C24:C26" si="12">IF(OR(D24="SINAPI-S",D24="SINAPI-I"),"SINAPI","PRÓPRIO")</f>
        <v>PRÓPRIO</v>
      </c>
      <c r="D24" s="228" t="s">
        <v>110</v>
      </c>
      <c r="E24" s="226" t="str">
        <f>IFERROR(IF(D24="SINAPI-S",VLOOKUP(B24,'20-B.SINAPI-S'!A:J,2,0),IF(D24="SINAPI-I",VLOOKUP(B24,'20-A.SINAPI-I'!A:G,2,0),IF(D24="COMPOSIÇÕES",VLOOKUP(B24,'11.COMPOSIÇÕES GERAIS'!B:I,2,0),VLOOKUP(B24,'12.COT.MERCADO'!A:I,2,0)))),"Em Elaboração")</f>
        <v>Substituição de banco de baterias composto por 62 unidades de 100 Ah - Mão de obra e Material</v>
      </c>
      <c r="F24" s="221" t="str">
        <f>IFERROR(IF(D24="SINAPI-S",VLOOKUP(B24,'20-B.SINAPI-S'!A:J,3,0),IF(D24="SINAPI-I",VLOOKUP(B24,'20-A.SINAPI-I'!A:G,3,0),IF(D24="COMPOSIÇÕES",VLOOKUP(B24,'11.COMPOSIÇÕES GERAIS'!B:I,3,0),VLOOKUP(B24,'12.COT.MERCADO'!A:I,7,0)))),"Em Elaboração")</f>
        <v>UN </v>
      </c>
      <c r="G24" s="217">
        <v>13.0</v>
      </c>
      <c r="H24" s="222">
        <f>IFERROR(IF(D24="SINAPI-S",VLOOKUP(B24,'20-B.SINAPI-S'!A:J,5,0),IF(D24="SINAPI-I",VLOOKUP(B24,'20-A.SINAPI-I'!A:G,6,0),IF(D24="COMPOSIÇÕES",VLOOKUP(B24,'11.COMPOSIÇÕES GERAIS'!B:I,7,0),0))),"Em Elaboração")</f>
        <v>0</v>
      </c>
      <c r="I24" s="222">
        <f>IFERROR(IF(D24="SINAPI-S",VLOOKUP(B24,'20-B.SINAPI-S'!A:J,6,0),IF(D24="SINAPI-I",VLOOKUP(B24,'20-A.SINAPI-I'!A:G,7,0),IF(D24="COMPOSIÇÕES",VLOOKUP(B24,'11.COMPOSIÇÕES GERAIS'!B:I,8,0),VLOOKUP(B24,'12.COT.MERCADO'!A:I,8,0)))),"Em Elaboração")</f>
        <v>2051</v>
      </c>
      <c r="J24" s="222">
        <f t="shared" ref="J24:J26" si="13">H24*(1+$J$5)</f>
        <v>0</v>
      </c>
      <c r="K24" s="222">
        <f t="shared" ref="K24:K26" si="14">I24*(1+$J$8)</f>
        <v>2402.407234</v>
      </c>
      <c r="L24" s="222">
        <f t="shared" ref="L24:L26" si="15">SUM(J24:K24)</f>
        <v>2402.407234</v>
      </c>
      <c r="M24" s="222">
        <f t="shared" ref="M24:M26" si="16">J24*G24</f>
        <v>0</v>
      </c>
      <c r="N24" s="222">
        <f t="shared" ref="N24:N26" si="17">K24*G24</f>
        <v>31231.29404</v>
      </c>
      <c r="O24" s="222">
        <f t="shared" ref="O24:O26" si="18">SUM(M24:N24)</f>
        <v>31231.29404</v>
      </c>
      <c r="P24" s="223">
        <f t="shared" si="3"/>
        <v>0.368845701</v>
      </c>
    </row>
    <row r="25">
      <c r="A25" s="216" t="s">
        <v>169</v>
      </c>
      <c r="B25" s="217" t="s">
        <v>170</v>
      </c>
      <c r="C25" s="227" t="str">
        <f t="shared" si="12"/>
        <v>PRÓPRIO</v>
      </c>
      <c r="D25" s="228" t="s">
        <v>110</v>
      </c>
      <c r="E25" s="226" t="str">
        <f>IFERROR(IF(D25="SINAPI-S",VLOOKUP(B25,'20-B.SINAPI-S'!A:J,2,0),IF(D25="SINAPI-I",VLOOKUP(B25,'20-A.SINAPI-I'!A:G,2,0),IF(D25="COMPOSIÇÕES",VLOOKUP(B25,'11.COMPOSIÇÕES GERAIS'!B:I,2,0),VLOOKUP(B25,'12.COT.MERCADO'!A:I,2,0)))),"Em Elaboração")</f>
        <v>Substituição de banco de baterias composto por 124 unidades de 18 Ah - Mão de obra e Material</v>
      </c>
      <c r="F25" s="221" t="str">
        <f>IFERROR(IF(D25="SINAPI-S",VLOOKUP(B25,'20-B.SINAPI-S'!A:J,3,0),IF(D25="SINAPI-I",VLOOKUP(B25,'20-A.SINAPI-I'!A:G,3,0),IF(D25="COMPOSIÇÕES",VLOOKUP(B25,'11.COMPOSIÇÕES GERAIS'!B:I,3,0),VLOOKUP(B25,'12.COT.MERCADO'!A:I,7,0)))),"Em Elaboração")</f>
        <v>UN </v>
      </c>
      <c r="G25" s="217">
        <v>25.0</v>
      </c>
      <c r="H25" s="222">
        <f>IFERROR(IF(D25="SINAPI-S",VLOOKUP(B25,'20-B.SINAPI-S'!A:J,5,0),IF(D25="SINAPI-I",VLOOKUP(B25,'20-A.SINAPI-I'!A:G,6,0),IF(D25="COMPOSIÇÕES",VLOOKUP(B25,'11.COMPOSIÇÕES GERAIS'!B:I,7,0),0))),"Em Elaboração")</f>
        <v>0</v>
      </c>
      <c r="I25" s="222">
        <f>IFERROR(IF(D25="SINAPI-S",VLOOKUP(B25,'20-B.SINAPI-S'!A:J,6,0),IF(D25="SINAPI-I",VLOOKUP(B25,'20-A.SINAPI-I'!A:G,7,0),IF(D25="COMPOSIÇÕES",VLOOKUP(B25,'11.COMPOSIÇÕES GERAIS'!B:I,8,0),VLOOKUP(B25,'12.COT.MERCADO'!A:I,8,0)))),"Em Elaboração")</f>
        <v>349.99</v>
      </c>
      <c r="J25" s="222">
        <f t="shared" si="13"/>
        <v>0</v>
      </c>
      <c r="K25" s="222">
        <f t="shared" si="14"/>
        <v>409.9553915</v>
      </c>
      <c r="L25" s="222">
        <f t="shared" si="15"/>
        <v>409.9553915</v>
      </c>
      <c r="M25" s="222">
        <f t="shared" si="16"/>
        <v>0</v>
      </c>
      <c r="N25" s="222">
        <f t="shared" si="17"/>
        <v>10248.88479</v>
      </c>
      <c r="O25" s="222">
        <f t="shared" si="18"/>
        <v>10248.88479</v>
      </c>
      <c r="P25" s="223">
        <f t="shared" si="3"/>
        <v>0.1210406808</v>
      </c>
    </row>
    <row r="26">
      <c r="A26" s="216" t="s">
        <v>171</v>
      </c>
      <c r="B26" s="217" t="s">
        <v>172</v>
      </c>
      <c r="C26" s="227" t="str">
        <f t="shared" si="12"/>
        <v>PRÓPRIO</v>
      </c>
      <c r="D26" s="228" t="s">
        <v>110</v>
      </c>
      <c r="E26" s="226" t="str">
        <f>IFERROR(IF(D26="SINAPI-S",VLOOKUP(B26,'20-B.SINAPI-S'!A:J,2,0),IF(D26="SINAPI-I",VLOOKUP(B26,'20-A.SINAPI-I'!A:G,2,0),IF(D26="COMPOSIÇÕES",VLOOKUP(B26,'11.COMPOSIÇÕES GERAIS'!B:I,2,0),VLOOKUP(B26,'12.COT.MERCADO'!A:I,2,0)))),"Em Elaboração")</f>
        <v>Substituição de banco de baterias composto por 336 unidades de 9 Ah - Mão de obra e Material</v>
      </c>
      <c r="F26" s="221" t="str">
        <f>IFERROR(IF(D26="SINAPI-S",VLOOKUP(B26,'20-B.SINAPI-S'!A:J,3,0),IF(D26="SINAPI-I",VLOOKUP(B26,'20-A.SINAPI-I'!A:G,3,0),IF(D26="COMPOSIÇÕES",VLOOKUP(B26,'11.COMPOSIÇÕES GERAIS'!B:I,3,0),VLOOKUP(B26,'12.COT.MERCADO'!A:I,7,0)))),"Em Elaboração")</f>
        <v>UN </v>
      </c>
      <c r="G26" s="217">
        <v>68.0</v>
      </c>
      <c r="H26" s="222">
        <f>IFERROR(IF(D26="SINAPI-S",VLOOKUP(B26,'20-B.SINAPI-S'!A:J,5,0),IF(D26="SINAPI-I",VLOOKUP(B26,'20-A.SINAPI-I'!A:G,6,0),IF(D26="COMPOSIÇÕES",VLOOKUP(B26,'11.COMPOSIÇÕES GERAIS'!B:I,7,0),0))),"Em Elaboração")</f>
        <v>0</v>
      </c>
      <c r="I26" s="222">
        <f>IFERROR(IF(D26="SINAPI-S",VLOOKUP(B26,'20-B.SINAPI-S'!A:J,6,0),IF(D26="SINAPI-I",VLOOKUP(B26,'20-A.SINAPI-I'!A:G,7,0),IF(D26="COMPOSIÇÕES",VLOOKUP(B26,'11.COMPOSIÇÕES GERAIS'!B:I,8,0),VLOOKUP(B26,'12.COT.MERCADO'!A:I,8,0)))),"Em Elaboração")</f>
        <v>183.3</v>
      </c>
      <c r="J26" s="222">
        <f t="shared" si="13"/>
        <v>0</v>
      </c>
      <c r="K26" s="222">
        <f t="shared" si="14"/>
        <v>214.7056295</v>
      </c>
      <c r="L26" s="222">
        <f t="shared" si="15"/>
        <v>214.7056295</v>
      </c>
      <c r="M26" s="222">
        <f t="shared" si="16"/>
        <v>0</v>
      </c>
      <c r="N26" s="222">
        <f t="shared" si="17"/>
        <v>14599.9828</v>
      </c>
      <c r="O26" s="222">
        <f t="shared" si="18"/>
        <v>14599.9828</v>
      </c>
      <c r="P26" s="223">
        <f t="shared" si="3"/>
        <v>0.1724277221</v>
      </c>
    </row>
    <row r="27">
      <c r="A27" s="212" t="s">
        <v>173</v>
      </c>
      <c r="B27" s="213" t="s">
        <v>174</v>
      </c>
      <c r="C27" s="44"/>
      <c r="D27" s="44"/>
      <c r="E27" s="44"/>
      <c r="F27" s="44"/>
      <c r="G27" s="44"/>
      <c r="H27" s="44"/>
      <c r="I27" s="44"/>
      <c r="J27" s="44"/>
      <c r="K27" s="44"/>
      <c r="L27" s="44"/>
      <c r="M27" s="214">
        <f t="shared" ref="M27:O27" si="19">SUM(M28:M30)</f>
        <v>0</v>
      </c>
      <c r="N27" s="214">
        <f t="shared" si="19"/>
        <v>891.0342189</v>
      </c>
      <c r="O27" s="214">
        <f t="shared" si="19"/>
        <v>891.0342189</v>
      </c>
      <c r="P27" s="578">
        <f t="shared" si="3"/>
        <v>0.01052323162</v>
      </c>
    </row>
    <row r="28">
      <c r="A28" s="216" t="s">
        <v>175</v>
      </c>
      <c r="B28" s="217" t="s">
        <v>147</v>
      </c>
      <c r="C28" s="227" t="str">
        <f t="shared" ref="C28:C30" si="20">IF(OR(D28="SINAPI-S",D28="SINAPI-I"),"SINAPI","PRÓPRIO")</f>
        <v>PRÓPRIO</v>
      </c>
      <c r="D28" s="228" t="s">
        <v>110</v>
      </c>
      <c r="E28" s="226" t="str">
        <f>IFERROR(IF(D28="SINAPI-S",VLOOKUP(B28,'20-B.SINAPI-S'!A:J,2,0),IF(D28="SINAPI-I",VLOOKUP(B28,'20-A.SINAPI-I'!A:G,2,0),IF(D28="COMPOSIÇÕES",VLOOKUP(B28,'11.COMPOSIÇÕES GERAIS'!B:I,2,0),VLOOKUP(B28,'12.COT.MERCADO'!A:I,2,0)))),"Em Elaboração")</f>
        <v>Recarga de extintor de gás carbônico (CO2) classe AB - 6Kg</v>
      </c>
      <c r="F28" s="221" t="str">
        <f>IFERROR(IF(D28="SINAPI-S",VLOOKUP(B28,'20-B.SINAPI-S'!A:J,3,0),IF(D28="SINAPI-I",VLOOKUP(B28,'20-A.SINAPI-I'!A:G,3,0),IF(D28="COMPOSIÇÕES",VLOOKUP(B28,'11.COMPOSIÇÕES GERAIS'!B:I,3,0),VLOOKUP(B28,'12.COT.MERCADO'!A:I,7,0)))),"Em Elaboração")</f>
        <v>UN </v>
      </c>
      <c r="G28" s="217">
        <v>5.0</v>
      </c>
      <c r="H28" s="222">
        <f>IFERROR(IF(D28="SINAPI-S",VLOOKUP(B28,'20-B.SINAPI-S'!A:J,5,0),IF(D28="SINAPI-I",VLOOKUP(B28,'20-A.SINAPI-I'!A:G,6,0),IF(D28="COMPOSIÇÕES",VLOOKUP(B28,'11.COMPOSIÇÕES GERAIS'!B:I,7,0),0))),"Em Elaboração")</f>
        <v>0</v>
      </c>
      <c r="I28" s="222">
        <f>IFERROR(IF(D28="SINAPI-S",VLOOKUP(B28,'20-B.SINAPI-S'!A:J,6,0),IF(D28="SINAPI-I",VLOOKUP(B28,'20-A.SINAPI-I'!A:G,7,0),IF(D28="COMPOSIÇÕES",VLOOKUP(B28,'11.COMPOSIÇÕES GERAIS'!B:I,8,0),VLOOKUP(B28,'12.COT.MERCADO'!A:I,8,0)))),"Em Elaboração")</f>
        <v>60</v>
      </c>
      <c r="J28" s="222">
        <f t="shared" ref="J28:J30" si="21">H28*(1+$J$5)</f>
        <v>0</v>
      </c>
      <c r="K28" s="222">
        <f t="shared" ref="K28:K30" si="22">I28*(1+$J$8)</f>
        <v>70.28007511</v>
      </c>
      <c r="L28" s="222">
        <f t="shared" ref="L28:L30" si="23">SUM(J28:K28)</f>
        <v>70.28007511</v>
      </c>
      <c r="M28" s="222">
        <f t="shared" ref="M28:M30" si="24">J28*G28</f>
        <v>0</v>
      </c>
      <c r="N28" s="222">
        <f t="shared" ref="N28:N30" si="25">K28*G28</f>
        <v>351.4003755</v>
      </c>
      <c r="O28" s="222">
        <f t="shared" ref="O28:O30" si="26">SUM(M28:N28)</f>
        <v>351.4003755</v>
      </c>
      <c r="P28" s="223">
        <f t="shared" si="3"/>
        <v>0.004150084772</v>
      </c>
    </row>
    <row r="29">
      <c r="A29" s="216" t="s">
        <v>176</v>
      </c>
      <c r="B29" s="217" t="s">
        <v>155</v>
      </c>
      <c r="C29" s="227" t="str">
        <f t="shared" si="20"/>
        <v>PRÓPRIO</v>
      </c>
      <c r="D29" s="228" t="s">
        <v>110</v>
      </c>
      <c r="E29" s="226" t="str">
        <f>IFERROR(IF(D29="SINAPI-S",VLOOKUP(B29,'20-B.SINAPI-S'!A:J,2,0),IF(D29="SINAPI-I",VLOOKUP(B29,'20-A.SINAPI-I'!A:G,2,0),IF(D29="COMPOSIÇÕES",VLOOKUP(B29,'11.COMPOSIÇÕES GERAIS'!B:I,2,0),VLOOKUP(B29,'12.COT.MERCADO'!A:I,2,0)))),"Em Elaboração")</f>
        <v>Recarga de extintor de pó químico seco (PQS) classe ABC - 6Kg</v>
      </c>
      <c r="F29" s="221" t="str">
        <f>IFERROR(IF(D29="SINAPI-S",VLOOKUP(B29,'20-B.SINAPI-S'!A:J,3,0),IF(D29="SINAPI-I",VLOOKUP(B29,'20-A.SINAPI-I'!A:G,3,0),IF(D29="COMPOSIÇÕES",VLOOKUP(B29,'11.COMPOSIÇÕES GERAIS'!B:I,3,0),VLOOKUP(B29,'12.COT.MERCADO'!A:I,7,0)))),"Em Elaboração")</f>
        <v>UN </v>
      </c>
      <c r="G29" s="217">
        <v>9.0</v>
      </c>
      <c r="H29" s="222">
        <f>IFERROR(IF(D29="SINAPI-S",VLOOKUP(B29,'20-B.SINAPI-S'!A:J,5,0),IF(D29="SINAPI-I",VLOOKUP(B29,'20-A.SINAPI-I'!A:G,6,0),IF(D29="COMPOSIÇÕES",VLOOKUP(B29,'11.COMPOSIÇÕES GERAIS'!B:I,7,0),0))),"Em Elaboração")</f>
        <v>0</v>
      </c>
      <c r="I29" s="222">
        <f>IFERROR(IF(D29="SINAPI-S",VLOOKUP(B29,'20-B.SINAPI-S'!A:J,6,0),IF(D29="SINAPI-I",VLOOKUP(B29,'20-A.SINAPI-I'!A:G,7,0),IF(D29="COMPOSIÇÕES",VLOOKUP(B29,'11.COMPOSIÇÕES GERAIS'!B:I,8,0),VLOOKUP(B29,'12.COT.MERCADO'!A:I,8,0)))),"Em Elaboração")</f>
        <v>48</v>
      </c>
      <c r="J29" s="222">
        <f t="shared" si="21"/>
        <v>0</v>
      </c>
      <c r="K29" s="222">
        <f t="shared" si="22"/>
        <v>56.22406009</v>
      </c>
      <c r="L29" s="222">
        <f t="shared" si="23"/>
        <v>56.22406009</v>
      </c>
      <c r="M29" s="222">
        <f t="shared" si="24"/>
        <v>0</v>
      </c>
      <c r="N29" s="222">
        <f t="shared" si="25"/>
        <v>506.0165408</v>
      </c>
      <c r="O29" s="222">
        <f t="shared" si="26"/>
        <v>506.0165408</v>
      </c>
      <c r="P29" s="223">
        <f t="shared" si="3"/>
        <v>0.005976122072</v>
      </c>
    </row>
    <row r="30">
      <c r="A30" s="216" t="s">
        <v>177</v>
      </c>
      <c r="B30" s="217" t="s">
        <v>165</v>
      </c>
      <c r="C30" s="227" t="str">
        <f t="shared" si="20"/>
        <v>PRÓPRIO</v>
      </c>
      <c r="D30" s="228" t="s">
        <v>110</v>
      </c>
      <c r="E30" s="226" t="str">
        <f>IFERROR(IF(D30="SINAPI-S",VLOOKUP(B30,'20-B.SINAPI-S'!A:J,2,0),IF(D30="SINAPI-I",VLOOKUP(B30,'20-A.SINAPI-I'!A:G,2,0),IF(D30="COMPOSIÇÕES",VLOOKUP(B30,'11.COMPOSIÇÕES GERAIS'!B:I,2,0),VLOOKUP(B30,'12.COT.MERCADO'!A:I,2,0)))),"Em Elaboração")</f>
        <v>Recarga de extintor de água pressurizada classe A - 10 L</v>
      </c>
      <c r="F30" s="221" t="str">
        <f>IFERROR(IF(D30="SINAPI-S",VLOOKUP(B30,'20-B.SINAPI-S'!A:J,3,0),IF(D30="SINAPI-I",VLOOKUP(B30,'20-A.SINAPI-I'!A:G,3,0),IF(D30="COMPOSIÇÕES",VLOOKUP(B30,'11.COMPOSIÇÕES GERAIS'!B:I,3,0),VLOOKUP(B30,'12.COT.MERCADO'!A:I,7,0)))),"Em Elaboração")</f>
        <v>UN </v>
      </c>
      <c r="G30" s="217">
        <v>1.0</v>
      </c>
      <c r="H30" s="222">
        <f>IFERROR(IF(D30="SINAPI-S",VLOOKUP(B30,'20-B.SINAPI-S'!A:J,5,0),IF(D30="SINAPI-I",VLOOKUP(B30,'20-A.SINAPI-I'!A:G,6,0),IF(D30="COMPOSIÇÕES",VLOOKUP(B30,'11.COMPOSIÇÕES GERAIS'!B:I,7,0),0))),"Em Elaboração")</f>
        <v>0</v>
      </c>
      <c r="I30" s="222">
        <f>IFERROR(IF(D30="SINAPI-S",VLOOKUP(B30,'20-B.SINAPI-S'!A:J,6,0),IF(D30="SINAPI-I",VLOOKUP(B30,'20-A.SINAPI-I'!A:G,7,0),IF(D30="COMPOSIÇÕES",VLOOKUP(B30,'11.COMPOSIÇÕES GERAIS'!B:I,8,0),VLOOKUP(B30,'12.COT.MERCADO'!A:I,8,0)))),"Em Elaboração")</f>
        <v>28.7</v>
      </c>
      <c r="J30" s="222">
        <f t="shared" si="21"/>
        <v>0</v>
      </c>
      <c r="K30" s="222">
        <f t="shared" si="22"/>
        <v>33.61730259</v>
      </c>
      <c r="L30" s="222">
        <f t="shared" si="23"/>
        <v>33.61730259</v>
      </c>
      <c r="M30" s="222">
        <f t="shared" si="24"/>
        <v>0</v>
      </c>
      <c r="N30" s="222">
        <f t="shared" si="25"/>
        <v>33.61730259</v>
      </c>
      <c r="O30" s="222">
        <f t="shared" si="26"/>
        <v>33.61730259</v>
      </c>
      <c r="P30" s="223">
        <f t="shared" si="3"/>
        <v>0.0003970247766</v>
      </c>
    </row>
    <row r="31">
      <c r="A31" s="212" t="s">
        <v>178</v>
      </c>
      <c r="B31" s="213" t="s">
        <v>128</v>
      </c>
      <c r="C31" s="44"/>
      <c r="D31" s="44"/>
      <c r="E31" s="44"/>
      <c r="F31" s="44"/>
      <c r="G31" s="44"/>
      <c r="H31" s="44"/>
      <c r="I31" s="44"/>
      <c r="J31" s="44"/>
      <c r="K31" s="44"/>
      <c r="L31" s="44"/>
      <c r="M31" s="214">
        <f t="shared" ref="M31:O31" si="27">SUM(M32)</f>
        <v>0</v>
      </c>
      <c r="N31" s="214">
        <f t="shared" si="27"/>
        <v>6417.789045</v>
      </c>
      <c r="O31" s="214">
        <f t="shared" si="27"/>
        <v>6417.789045</v>
      </c>
      <c r="P31" s="578">
        <f t="shared" si="3"/>
        <v>0.0757949349</v>
      </c>
    </row>
    <row r="32">
      <c r="A32" s="216" t="s">
        <v>179</v>
      </c>
      <c r="B32" s="217" t="s">
        <v>180</v>
      </c>
      <c r="C32" s="227" t="str">
        <f>IF(OR(D32="SINAPI-S",D32="SINAPI-I"),"SINAPI","PRÓPRIO")</f>
        <v>PRÓPRIO</v>
      </c>
      <c r="D32" s="228" t="s">
        <v>110</v>
      </c>
      <c r="E32" s="226" t="str">
        <f>IFERROR(IF(D32="SINAPI-S",VLOOKUP(B32,'20-B.SINAPI-S'!A:J,2,0),IF(D32="SINAPI-I",VLOOKUP(B32,'20-A.SINAPI-I'!A:G,2,0),IF(D32="COMPOSIÇÕES",VLOOKUP(B32,'11.COMPOSIÇÕES GERAIS'!B:I,2,0),VLOOKUP(B32,'12.COT.MERCADO'!A:I,2,0)))),"Em Elaboração")</f>
        <v>Substituição de banco de baterias composto por 128 unidades de 9 Ah - Mão de obra e Material</v>
      </c>
      <c r="F32" s="221" t="str">
        <f>IFERROR(IF(D32="SINAPI-S",VLOOKUP(B32,'20-B.SINAPI-S'!A:J,3,0),IF(D32="SINAPI-I",VLOOKUP(B32,'20-A.SINAPI-I'!A:G,3,0),IF(D32="COMPOSIÇÕES",VLOOKUP(B32,'11.COMPOSIÇÕES GERAIS'!B:I,3,0),VLOOKUP(B32,'12.COT.MERCADO'!A:I,7,0)))),"Em Elaboração")</f>
        <v>UN </v>
      </c>
      <c r="G32" s="217">
        <v>32.0</v>
      </c>
      <c r="H32" s="222">
        <f>IFERROR(IF(D32="SINAPI-S",VLOOKUP(B32,'20-B.SINAPI-S'!A:J,5,0),IF(D32="SINAPI-I",VLOOKUP(B32,'20-A.SINAPI-I'!A:G,6,0),IF(D32="COMPOSIÇÕES",VLOOKUP(B32,'11.COMPOSIÇÕES GERAIS'!B:I,7,0),0))),"Em Elaboração")</f>
        <v>0</v>
      </c>
      <c r="I32" s="222">
        <f>IFERROR(IF(D32="SINAPI-S",VLOOKUP(B32,'20-B.SINAPI-S'!A:J,6,0),IF(D32="SINAPI-I",VLOOKUP(B32,'20-A.SINAPI-I'!A:G,7,0),IF(D32="COMPOSIÇÕES",VLOOKUP(B32,'11.COMPOSIÇÕES GERAIS'!B:I,8,0),VLOOKUP(B32,'12.COT.MERCADO'!A:I,8,0)))),"Em Elaboração")</f>
        <v>171.22</v>
      </c>
      <c r="J32" s="222">
        <f>H32*(1+$J$5)</f>
        <v>0</v>
      </c>
      <c r="K32" s="222">
        <f>I32*(1+$J$8)</f>
        <v>200.5559077</v>
      </c>
      <c r="L32" s="222">
        <f>SUM(J32:K32)</f>
        <v>200.5559077</v>
      </c>
      <c r="M32" s="222">
        <f>J32*G32</f>
        <v>0</v>
      </c>
      <c r="N32" s="222">
        <f>K32*G32</f>
        <v>6417.789045</v>
      </c>
      <c r="O32" s="222">
        <f>SUM(M32:N32)</f>
        <v>6417.789045</v>
      </c>
      <c r="P32" s="223">
        <f t="shared" si="3"/>
        <v>0.0757949349</v>
      </c>
    </row>
    <row r="33">
      <c r="A33" s="212" t="s">
        <v>181</v>
      </c>
      <c r="B33" s="213" t="s">
        <v>182</v>
      </c>
      <c r="C33" s="44"/>
      <c r="D33" s="44"/>
      <c r="E33" s="44"/>
      <c r="F33" s="44"/>
      <c r="G33" s="44"/>
      <c r="H33" s="44"/>
      <c r="I33" s="44"/>
      <c r="J33" s="44"/>
      <c r="K33" s="44"/>
      <c r="L33" s="44"/>
      <c r="M33" s="214">
        <f t="shared" ref="M33:O33" si="28">SUM(M34:M37)</f>
        <v>0</v>
      </c>
      <c r="N33" s="214">
        <f t="shared" si="28"/>
        <v>679.7254598</v>
      </c>
      <c r="O33" s="214">
        <f t="shared" si="28"/>
        <v>679.7254598</v>
      </c>
      <c r="P33" s="578">
        <f t="shared" si="3"/>
        <v>0.008027647311</v>
      </c>
    </row>
    <row r="34">
      <c r="A34" s="216" t="s">
        <v>183</v>
      </c>
      <c r="B34" s="217" t="s">
        <v>184</v>
      </c>
      <c r="C34" s="227" t="str">
        <f t="shared" ref="C34:C37" si="29">IF(OR(D34="SINAPI-S",D34="SINAPI-I"),"SINAPI","PRÓPRIO")</f>
        <v>PRÓPRIO</v>
      </c>
      <c r="D34" s="228" t="s">
        <v>110</v>
      </c>
      <c r="E34" s="226" t="str">
        <f>IFERROR(IF(D34="SINAPI-S",VLOOKUP(B34,'20-B.SINAPI-S'!A:J,2,0),IF(D34="SINAPI-I",VLOOKUP(B34,'20-A.SINAPI-I'!A:G,2,0),IF(D34="COMPOSIÇÕES",VLOOKUP(B34,'11.COMPOSIÇÕES GERAIS'!B:I,2,0),VLOOKUP(B34,'12.COT.MERCADO'!A:I,2,0)))),"Em Elaboração")</f>
        <v>Recarga de extintor de gás carbônico (CO2) classe AB - 4Kg</v>
      </c>
      <c r="F34" s="221" t="str">
        <f>IFERROR(IF(D34="SINAPI-S",VLOOKUP(B34,'20-B.SINAPI-S'!A:J,3,0),IF(D34="SINAPI-I",VLOOKUP(B34,'20-A.SINAPI-I'!A:G,3,0),IF(D34="COMPOSIÇÕES",VLOOKUP(B34,'11.COMPOSIÇÕES GERAIS'!B:I,3,0),VLOOKUP(B34,'12.COT.MERCADO'!A:I,7,0)))),"Em Elaboração")</f>
        <v>UN </v>
      </c>
      <c r="G34" s="217">
        <v>1.0</v>
      </c>
      <c r="H34" s="222">
        <f>IFERROR(IF(D34="SINAPI-S",VLOOKUP(B34,'20-B.SINAPI-S'!A:J,5,0),IF(D34="SINAPI-I",VLOOKUP(B34,'20-A.SINAPI-I'!A:G,6,0),IF(D34="COMPOSIÇÕES",VLOOKUP(B34,'11.COMPOSIÇÕES GERAIS'!B:I,7,0),0))),"Em Elaboração")</f>
        <v>0</v>
      </c>
      <c r="I34" s="222">
        <f>IFERROR(IF(D34="SINAPI-S",VLOOKUP(B34,'20-B.SINAPI-S'!A:J,6,0),IF(D34="SINAPI-I",VLOOKUP(B34,'20-A.SINAPI-I'!A:G,7,0),IF(D34="COMPOSIÇÕES",VLOOKUP(B34,'11.COMPOSIÇÕES GERAIS'!B:I,8,0),VLOOKUP(B34,'12.COT.MERCADO'!A:I,8,0)))),"Em Elaboração")</f>
        <v>45</v>
      </c>
      <c r="J34" s="222">
        <f t="shared" ref="J34:J37" si="30">H34*(1+$J$5)</f>
        <v>0</v>
      </c>
      <c r="K34" s="222">
        <f t="shared" ref="K34:K37" si="31">I34*(1+$J$8)</f>
        <v>52.71005633</v>
      </c>
      <c r="L34" s="222">
        <f t="shared" ref="L34:L37" si="32">SUM(J34:K34)</f>
        <v>52.71005633</v>
      </c>
      <c r="M34" s="222">
        <f t="shared" ref="M34:M37" si="33">J34*G34</f>
        <v>0</v>
      </c>
      <c r="N34" s="222">
        <f t="shared" ref="N34:N37" si="34">K34*G34</f>
        <v>52.71005633</v>
      </c>
      <c r="O34" s="222">
        <f t="shared" ref="O34:O37" si="35">SUM(M34:N34)</f>
        <v>52.71005633</v>
      </c>
      <c r="P34" s="223">
        <f t="shared" si="3"/>
        <v>0.0006225127159</v>
      </c>
    </row>
    <row r="35">
      <c r="A35" s="216" t="s">
        <v>185</v>
      </c>
      <c r="B35" s="217" t="s">
        <v>153</v>
      </c>
      <c r="C35" s="227" t="str">
        <f t="shared" si="29"/>
        <v>PRÓPRIO</v>
      </c>
      <c r="D35" s="228" t="s">
        <v>110</v>
      </c>
      <c r="E35" s="226" t="str">
        <f>IFERROR(IF(D35="SINAPI-S",VLOOKUP(B35,'20-B.SINAPI-S'!A:J,2,0),IF(D35="SINAPI-I",VLOOKUP(B35,'20-A.SINAPI-I'!A:G,2,0),IF(D35="COMPOSIÇÕES",VLOOKUP(B35,'11.COMPOSIÇÕES GERAIS'!B:I,2,0),VLOOKUP(B35,'12.COT.MERCADO'!A:I,2,0)))),"Em Elaboração")</f>
        <v>Recarga de extintor de pó químico seco (PQS) classe ABC - 4Kg</v>
      </c>
      <c r="F35" s="221" t="str">
        <f>IFERROR(IF(D35="SINAPI-S",VLOOKUP(B35,'20-B.SINAPI-S'!A:J,3,0),IF(D35="SINAPI-I",VLOOKUP(B35,'20-A.SINAPI-I'!A:G,3,0),IF(D35="COMPOSIÇÕES",VLOOKUP(B35,'11.COMPOSIÇÕES GERAIS'!B:I,3,0),VLOOKUP(B35,'12.COT.MERCADO'!A:I,7,0)))),"Em Elaboração")</f>
        <v>UN </v>
      </c>
      <c r="G35" s="217">
        <v>7.0</v>
      </c>
      <c r="H35" s="222">
        <f>IFERROR(IF(D35="SINAPI-S",VLOOKUP(B35,'20-B.SINAPI-S'!A:J,5,0),IF(D35="SINAPI-I",VLOOKUP(B35,'20-A.SINAPI-I'!A:G,6,0),IF(D35="COMPOSIÇÕES",VLOOKUP(B35,'11.COMPOSIÇÕES GERAIS'!B:I,7,0),0))),"Em Elaboração")</f>
        <v>0</v>
      </c>
      <c r="I35" s="222">
        <f>IFERROR(IF(D35="SINAPI-S",VLOOKUP(B35,'20-B.SINAPI-S'!A:J,6,0),IF(D35="SINAPI-I",VLOOKUP(B35,'20-A.SINAPI-I'!A:G,7,0),IF(D35="COMPOSIÇÕES",VLOOKUP(B35,'11.COMPOSIÇÕES GERAIS'!B:I,8,0),VLOOKUP(B35,'12.COT.MERCADO'!A:I,8,0)))),"Em Elaboração")</f>
        <v>36.4</v>
      </c>
      <c r="J35" s="222">
        <f t="shared" si="30"/>
        <v>0</v>
      </c>
      <c r="K35" s="222">
        <f t="shared" si="31"/>
        <v>42.6365789</v>
      </c>
      <c r="L35" s="222">
        <f t="shared" si="32"/>
        <v>42.6365789</v>
      </c>
      <c r="M35" s="222">
        <f t="shared" si="33"/>
        <v>0</v>
      </c>
      <c r="N35" s="222">
        <f t="shared" si="34"/>
        <v>298.4560523</v>
      </c>
      <c r="O35" s="222">
        <f t="shared" si="35"/>
        <v>298.4560523</v>
      </c>
      <c r="P35" s="223">
        <f t="shared" si="3"/>
        <v>0.003524805333</v>
      </c>
    </row>
    <row r="36">
      <c r="A36" s="216" t="s">
        <v>186</v>
      </c>
      <c r="B36" s="217" t="s">
        <v>187</v>
      </c>
      <c r="C36" s="227" t="str">
        <f t="shared" si="29"/>
        <v>PRÓPRIO</v>
      </c>
      <c r="D36" s="228" t="s">
        <v>110</v>
      </c>
      <c r="E36" s="226" t="str">
        <f>IFERROR(IF(D36="SINAPI-S",VLOOKUP(B36,'20-B.SINAPI-S'!A:J,2,0),IF(D36="SINAPI-I",VLOOKUP(B36,'20-A.SINAPI-I'!A:G,2,0),IF(D36="COMPOSIÇÕES",VLOOKUP(B36,'11.COMPOSIÇÕES GERAIS'!B:I,2,0),VLOOKUP(B36,'12.COT.MERCADO'!A:I,2,0)))),"Em Elaboração")</f>
        <v>Recarga de extintor de pó químico seco (PQS) classe BC - 4Kg</v>
      </c>
      <c r="F36" s="221" t="str">
        <f>IFERROR(IF(D36="SINAPI-S",VLOOKUP(B36,'20-B.SINAPI-S'!A:J,3,0),IF(D36="SINAPI-I",VLOOKUP(B36,'20-A.SINAPI-I'!A:G,3,0),IF(D36="COMPOSIÇÕES",VLOOKUP(B36,'11.COMPOSIÇÕES GERAIS'!B:I,3,0),VLOOKUP(B36,'12.COT.MERCADO'!A:I,7,0)))),"Em Elaboração")</f>
        <v>UN </v>
      </c>
      <c r="G36" s="217">
        <v>5.0</v>
      </c>
      <c r="H36" s="222">
        <f>IFERROR(IF(D36="SINAPI-S",VLOOKUP(B36,'20-B.SINAPI-S'!A:J,5,0),IF(D36="SINAPI-I",VLOOKUP(B36,'20-A.SINAPI-I'!A:G,6,0),IF(D36="COMPOSIÇÕES",VLOOKUP(B36,'11.COMPOSIÇÕES GERAIS'!B:I,7,0),0))),"Em Elaboração")</f>
        <v>0</v>
      </c>
      <c r="I36" s="222">
        <f>IFERROR(IF(D36="SINAPI-S",VLOOKUP(B36,'20-B.SINAPI-S'!A:J,6,0),IF(D36="SINAPI-I",VLOOKUP(B36,'20-A.SINAPI-I'!A:G,7,0),IF(D36="COMPOSIÇÕES",VLOOKUP(B36,'11.COMPOSIÇÕES GERAIS'!B:I,8,0),VLOOKUP(B36,'12.COT.MERCADO'!A:I,8,0)))),"Em Elaboração")</f>
        <v>40</v>
      </c>
      <c r="J36" s="222">
        <f t="shared" si="30"/>
        <v>0</v>
      </c>
      <c r="K36" s="222">
        <f t="shared" si="31"/>
        <v>46.85338341</v>
      </c>
      <c r="L36" s="222">
        <f t="shared" si="32"/>
        <v>46.85338341</v>
      </c>
      <c r="M36" s="222">
        <f t="shared" si="33"/>
        <v>0</v>
      </c>
      <c r="N36" s="222">
        <f t="shared" si="34"/>
        <v>234.266917</v>
      </c>
      <c r="O36" s="222">
        <f t="shared" si="35"/>
        <v>234.266917</v>
      </c>
      <c r="P36" s="223">
        <f t="shared" si="3"/>
        <v>0.002766723182</v>
      </c>
    </row>
    <row r="37">
      <c r="A37" s="216" t="s">
        <v>188</v>
      </c>
      <c r="B37" s="217" t="s">
        <v>157</v>
      </c>
      <c r="C37" s="227" t="str">
        <f t="shared" si="29"/>
        <v>PRÓPRIO</v>
      </c>
      <c r="D37" s="228" t="s">
        <v>110</v>
      </c>
      <c r="E37" s="226" t="str">
        <f>IFERROR(IF(D37="SINAPI-S",VLOOKUP(B37,'20-B.SINAPI-S'!A:J,2,0),IF(D37="SINAPI-I",VLOOKUP(B37,'20-A.SINAPI-I'!A:G,2,0),IF(D37="COMPOSIÇÕES",VLOOKUP(B37,'11.COMPOSIÇÕES GERAIS'!B:I,2,0),VLOOKUP(B37,'12.COT.MERCADO'!A:I,2,0)))),"Em Elaboração")</f>
        <v>Recarga de extintor de pó químico seco (PQS) classe ABC - 12Kg</v>
      </c>
      <c r="F37" s="221" t="str">
        <f>IFERROR(IF(D37="SINAPI-S",VLOOKUP(B37,'20-B.SINAPI-S'!A:J,3,0),IF(D37="SINAPI-I",VLOOKUP(B37,'20-A.SINAPI-I'!A:G,3,0),IF(D37="COMPOSIÇÕES",VLOOKUP(B37,'11.COMPOSIÇÕES GERAIS'!B:I,3,0),VLOOKUP(B37,'12.COT.MERCADO'!A:I,7,0)))),"Em Elaboração")</f>
        <v>UN </v>
      </c>
      <c r="G37" s="217">
        <v>1.0</v>
      </c>
      <c r="H37" s="222">
        <f>IFERROR(IF(D37="SINAPI-S",VLOOKUP(B37,'20-B.SINAPI-S'!A:J,5,0),IF(D37="SINAPI-I",VLOOKUP(B37,'20-A.SINAPI-I'!A:G,6,0),IF(D37="COMPOSIÇÕES",VLOOKUP(B37,'11.COMPOSIÇÕES GERAIS'!B:I,7,0),0))),"Em Elaboração")</f>
        <v>0</v>
      </c>
      <c r="I37" s="222">
        <f>IFERROR(IF(D37="SINAPI-S",VLOOKUP(B37,'20-B.SINAPI-S'!A:J,6,0),IF(D37="SINAPI-I",VLOOKUP(B37,'20-A.SINAPI-I'!A:G,7,0),IF(D37="COMPOSIÇÕES",VLOOKUP(B37,'11.COMPOSIÇÕES GERAIS'!B:I,8,0),VLOOKUP(B37,'12.COT.MERCADO'!A:I,8,0)))),"Em Elaboração")</f>
        <v>80.5</v>
      </c>
      <c r="J37" s="222">
        <f t="shared" si="30"/>
        <v>0</v>
      </c>
      <c r="K37" s="222">
        <f t="shared" si="31"/>
        <v>94.2924341</v>
      </c>
      <c r="L37" s="222">
        <f t="shared" si="32"/>
        <v>94.2924341</v>
      </c>
      <c r="M37" s="222">
        <f t="shared" si="33"/>
        <v>0</v>
      </c>
      <c r="N37" s="222">
        <f t="shared" si="34"/>
        <v>94.2924341</v>
      </c>
      <c r="O37" s="222">
        <f t="shared" si="35"/>
        <v>94.2924341</v>
      </c>
      <c r="P37" s="223">
        <f t="shared" si="3"/>
        <v>0.001113606081</v>
      </c>
    </row>
    <row r="38">
      <c r="A38" s="212" t="s">
        <v>189</v>
      </c>
      <c r="B38" s="213" t="s">
        <v>128</v>
      </c>
      <c r="C38" s="44"/>
      <c r="D38" s="44"/>
      <c r="E38" s="44"/>
      <c r="F38" s="44"/>
      <c r="G38" s="44"/>
      <c r="H38" s="44"/>
      <c r="I38" s="44"/>
      <c r="J38" s="44"/>
      <c r="K38" s="44"/>
      <c r="L38" s="44"/>
      <c r="M38" s="214">
        <f t="shared" ref="M38:O38" si="36">SUM(M39:M40)</f>
        <v>0</v>
      </c>
      <c r="N38" s="214">
        <f t="shared" si="36"/>
        <v>1596.341626</v>
      </c>
      <c r="O38" s="214">
        <f t="shared" si="36"/>
        <v>1596.341626</v>
      </c>
      <c r="P38" s="578">
        <f t="shared" si="3"/>
        <v>0.0188530051</v>
      </c>
    </row>
    <row r="39">
      <c r="A39" s="216" t="s">
        <v>190</v>
      </c>
      <c r="B39" s="217" t="s">
        <v>191</v>
      </c>
      <c r="C39" s="227" t="str">
        <f t="shared" ref="C39:C40" si="37">IF(OR(D39="SINAPI-S",D39="SINAPI-I"),"SINAPI","PRÓPRIO")</f>
        <v>PRÓPRIO</v>
      </c>
      <c r="D39" s="228" t="s">
        <v>110</v>
      </c>
      <c r="E39" s="226" t="str">
        <f>IFERROR(IF(D39="SINAPI-S",VLOOKUP(B39,'20-B.SINAPI-S'!A:J,2,0),IF(D39="SINAPI-I",VLOOKUP(B39,'20-A.SINAPI-I'!A:G,2,0),IF(D39="COMPOSIÇÕES",VLOOKUP(B39,'11.COMPOSIÇÕES GERAIS'!B:I,2,0),VLOOKUP(B39,'12.COT.MERCADO'!A:I,2,0)))),"Em Elaboração")</f>
        <v>Substituição de banco de baterias composto por 32 unidades de 7 Ah - Mão de obra e Material</v>
      </c>
      <c r="F39" s="221" t="str">
        <f>IFERROR(IF(D39="SINAPI-S",VLOOKUP(B39,'20-B.SINAPI-S'!A:J,3,0),IF(D39="SINAPI-I",VLOOKUP(B39,'20-A.SINAPI-I'!A:G,3,0),IF(D39="COMPOSIÇÕES",VLOOKUP(B39,'11.COMPOSIÇÕES GERAIS'!B:I,3,0),VLOOKUP(B39,'12.COT.MERCADO'!A:I,7,0)))),"Em Elaboração")</f>
        <v>UN </v>
      </c>
      <c r="G39" s="217">
        <v>8.0</v>
      </c>
      <c r="H39" s="222">
        <f>IFERROR(IF(D39="SINAPI-S",VLOOKUP(B39,'20-B.SINAPI-S'!A:J,5,0),IF(D39="SINAPI-I",VLOOKUP(B39,'20-A.SINAPI-I'!A:G,6,0),IF(D39="COMPOSIÇÕES",VLOOKUP(B39,'11.COMPOSIÇÕES GERAIS'!B:I,7,0),0))),"Em Elaboração")</f>
        <v>0</v>
      </c>
      <c r="I39" s="222">
        <f>IFERROR(IF(D39="SINAPI-S",VLOOKUP(B39,'20-B.SINAPI-S'!A:J,6,0),IF(D39="SINAPI-I",VLOOKUP(B39,'20-A.SINAPI-I'!A:G,7,0),IF(D39="COMPOSIÇÕES",VLOOKUP(B39,'11.COMPOSIÇÕES GERAIS'!B:I,8,0),VLOOKUP(B39,'12.COT.MERCADO'!A:I,8,0)))),"Em Elaboração")</f>
        <v>121.38</v>
      </c>
      <c r="J39" s="222">
        <f t="shared" ref="J39:J40" si="38">H39*(1+$J$5)</f>
        <v>0</v>
      </c>
      <c r="K39" s="222">
        <f t="shared" ref="K39:K40" si="39">I39*(1+$J$8)</f>
        <v>142.1765919</v>
      </c>
      <c r="L39" s="222">
        <f t="shared" ref="L39:L40" si="40">SUM(J39:K39)</f>
        <v>142.1765919</v>
      </c>
      <c r="M39" s="222">
        <f t="shared" ref="M39:M40" si="41">J39*G39</f>
        <v>0</v>
      </c>
      <c r="N39" s="222">
        <f t="shared" ref="N39:N40" si="42">K39*G39</f>
        <v>1137.412736</v>
      </c>
      <c r="O39" s="222">
        <f t="shared" ref="O39:O40" si="43">SUM(M39:N39)</f>
        <v>1137.412736</v>
      </c>
      <c r="P39" s="223">
        <f t="shared" si="3"/>
        <v>0.01343299439</v>
      </c>
    </row>
    <row r="40">
      <c r="A40" s="216" t="s">
        <v>192</v>
      </c>
      <c r="B40" s="217" t="s">
        <v>193</v>
      </c>
      <c r="C40" s="227" t="str">
        <f t="shared" si="37"/>
        <v>PRÓPRIO</v>
      </c>
      <c r="D40" s="228" t="s">
        <v>110</v>
      </c>
      <c r="E40" s="226" t="str">
        <f>IFERROR(IF(D40="SINAPI-S",VLOOKUP(B40,'20-B.SINAPI-S'!A:J,2,0),IF(D40="SINAPI-I",VLOOKUP(B40,'20-A.SINAPI-I'!A:G,2,0),IF(D40="COMPOSIÇÕES",VLOOKUP(B40,'11.COMPOSIÇÕES GERAIS'!B:I,2,0),VLOOKUP(B40,'12.COT.MERCADO'!A:I,2,0)))),"Em Elaboração")</f>
        <v>Substituição de banco de baterias composto por 8 unidades de 9 Ah - Mão de obra e Material</v>
      </c>
      <c r="F40" s="221" t="str">
        <f>IFERROR(IF(D40="SINAPI-S",VLOOKUP(B40,'20-B.SINAPI-S'!A:J,3,0),IF(D40="SINAPI-I",VLOOKUP(B40,'20-A.SINAPI-I'!A:G,3,0),IF(D40="COMPOSIÇÕES",VLOOKUP(B40,'11.COMPOSIÇÕES GERAIS'!B:I,3,0),VLOOKUP(B40,'12.COT.MERCADO'!A:I,7,0)))),"Em Elaboração")</f>
        <v>UN </v>
      </c>
      <c r="G40" s="217">
        <v>2.0</v>
      </c>
      <c r="H40" s="222">
        <f>IFERROR(IF(D40="SINAPI-S",VLOOKUP(B40,'20-B.SINAPI-S'!A:J,5,0),IF(D40="SINAPI-I",VLOOKUP(B40,'20-A.SINAPI-I'!A:G,6,0),IF(D40="COMPOSIÇÕES",VLOOKUP(B40,'11.COMPOSIÇÕES GERAIS'!B:I,7,0),0))),"Em Elaboração")</f>
        <v>0</v>
      </c>
      <c r="I40" s="222">
        <f>IFERROR(IF(D40="SINAPI-S",VLOOKUP(B40,'20-B.SINAPI-S'!A:J,6,0),IF(D40="SINAPI-I",VLOOKUP(B40,'20-A.SINAPI-I'!A:G,7,0),IF(D40="COMPOSIÇÕES",VLOOKUP(B40,'11.COMPOSIÇÕES GERAIS'!B:I,8,0),VLOOKUP(B40,'12.COT.MERCADO'!A:I,8,0)))),"Em Elaboração")</f>
        <v>195.9</v>
      </c>
      <c r="J40" s="222">
        <f t="shared" si="38"/>
        <v>0</v>
      </c>
      <c r="K40" s="222">
        <f t="shared" si="39"/>
        <v>229.4644452</v>
      </c>
      <c r="L40" s="222">
        <f t="shared" si="40"/>
        <v>229.4644452</v>
      </c>
      <c r="M40" s="222">
        <f t="shared" si="41"/>
        <v>0</v>
      </c>
      <c r="N40" s="222">
        <f t="shared" si="42"/>
        <v>458.9288905</v>
      </c>
      <c r="O40" s="222">
        <f t="shared" si="43"/>
        <v>458.9288905</v>
      </c>
      <c r="P40" s="223">
        <f t="shared" si="3"/>
        <v>0.005420010713</v>
      </c>
    </row>
    <row r="41">
      <c r="A41" s="212" t="s">
        <v>194</v>
      </c>
      <c r="B41" s="213" t="s">
        <v>195</v>
      </c>
      <c r="C41" s="44"/>
      <c r="D41" s="44"/>
      <c r="E41" s="44"/>
      <c r="F41" s="44"/>
      <c r="G41" s="44"/>
      <c r="H41" s="44"/>
      <c r="I41" s="44"/>
      <c r="J41" s="44"/>
      <c r="K41" s="44"/>
      <c r="L41" s="44"/>
      <c r="M41" s="214">
        <f t="shared" ref="M41:O41" si="44">SUM(M42:M44)</f>
        <v>0</v>
      </c>
      <c r="N41" s="214">
        <f t="shared" si="44"/>
        <v>324.9282139</v>
      </c>
      <c r="O41" s="214">
        <f t="shared" si="44"/>
        <v>324.9282139</v>
      </c>
      <c r="P41" s="578">
        <f t="shared" si="3"/>
        <v>0.003837445053</v>
      </c>
    </row>
    <row r="42">
      <c r="A42" s="216" t="s">
        <v>196</v>
      </c>
      <c r="B42" s="217" t="s">
        <v>147</v>
      </c>
      <c r="C42" s="227" t="str">
        <f t="shared" ref="C42:C44" si="45">IF(OR(D42="SINAPI-S",D42="SINAPI-I"),"SINAPI","PRÓPRIO")</f>
        <v>PRÓPRIO</v>
      </c>
      <c r="D42" s="228" t="s">
        <v>110</v>
      </c>
      <c r="E42" s="226" t="str">
        <f>IFERROR(IF(D42="SINAPI-S",VLOOKUP(B42,'20-B.SINAPI-S'!A:J,2,0),IF(D42="SINAPI-I",VLOOKUP(B42,'20-A.SINAPI-I'!A:G,2,0),IF(D42="COMPOSIÇÕES",VLOOKUP(B42,'11.COMPOSIÇÕES GERAIS'!B:I,2,0),VLOOKUP(B42,'12.COT.MERCADO'!A:I,2,0)))),"Em Elaboração")</f>
        <v>Recarga de extintor de gás carbônico (CO2) classe AB - 6Kg</v>
      </c>
      <c r="F42" s="221" t="str">
        <f>IFERROR(IF(D42="SINAPI-S",VLOOKUP(B42,'20-B.SINAPI-S'!A:J,3,0),IF(D42="SINAPI-I",VLOOKUP(B42,'20-A.SINAPI-I'!A:G,3,0),IF(D42="COMPOSIÇÕES",VLOOKUP(B42,'11.COMPOSIÇÕES GERAIS'!B:I,3,0),VLOOKUP(B42,'12.COT.MERCADO'!A:I,7,0)))),"Em Elaboração")</f>
        <v>UN </v>
      </c>
      <c r="G42" s="217">
        <v>1.0</v>
      </c>
      <c r="H42" s="222">
        <f>IFERROR(IF(D42="SINAPI-S",VLOOKUP(B42,'20-B.SINAPI-S'!A:J,5,0),IF(D42="SINAPI-I",VLOOKUP(B42,'20-A.SINAPI-I'!A:G,6,0),IF(D42="COMPOSIÇÕES",VLOOKUP(B42,'11.COMPOSIÇÕES GERAIS'!B:I,7,0),0))),"Em Elaboração")</f>
        <v>0</v>
      </c>
      <c r="I42" s="222">
        <f>IFERROR(IF(D42="SINAPI-S",VLOOKUP(B42,'20-B.SINAPI-S'!A:J,6,0),IF(D42="SINAPI-I",VLOOKUP(B42,'20-A.SINAPI-I'!A:G,7,0),IF(D42="COMPOSIÇÕES",VLOOKUP(B42,'11.COMPOSIÇÕES GERAIS'!B:I,8,0),VLOOKUP(B42,'12.COT.MERCADO'!A:I,8,0)))),"Em Elaboração")</f>
        <v>60</v>
      </c>
      <c r="J42" s="222">
        <f t="shared" ref="J42:J44" si="46">H42*(1+$J$5)</f>
        <v>0</v>
      </c>
      <c r="K42" s="222">
        <f t="shared" ref="K42:K44" si="47">I42*(1+$J$8)</f>
        <v>70.28007511</v>
      </c>
      <c r="L42" s="222">
        <f t="shared" ref="L42:L44" si="48">SUM(J42:K42)</f>
        <v>70.28007511</v>
      </c>
      <c r="M42" s="222">
        <f t="shared" ref="M42:M44" si="49">J42*G42</f>
        <v>0</v>
      </c>
      <c r="N42" s="222">
        <f t="shared" ref="N42:N44" si="50">K42*G42</f>
        <v>70.28007511</v>
      </c>
      <c r="O42" s="222">
        <f t="shared" ref="O42:O44" si="51">SUM(M42:N42)</f>
        <v>70.28007511</v>
      </c>
      <c r="P42" s="223">
        <f t="shared" si="3"/>
        <v>0.0008300169545</v>
      </c>
    </row>
    <row r="43">
      <c r="A43" s="216" t="s">
        <v>197</v>
      </c>
      <c r="B43" s="217" t="s">
        <v>187</v>
      </c>
      <c r="C43" s="227" t="str">
        <f t="shared" si="45"/>
        <v>PRÓPRIO</v>
      </c>
      <c r="D43" s="228" t="s">
        <v>110</v>
      </c>
      <c r="E43" s="226" t="str">
        <f>IFERROR(IF(D43="SINAPI-S",VLOOKUP(B43,'20-B.SINAPI-S'!A:J,2,0),IF(D43="SINAPI-I",VLOOKUP(B43,'20-A.SINAPI-I'!A:G,2,0),IF(D43="COMPOSIÇÕES",VLOOKUP(B43,'11.COMPOSIÇÕES GERAIS'!B:I,2,0),VLOOKUP(B43,'12.COT.MERCADO'!A:I,2,0)))),"Em Elaboração")</f>
        <v>Recarga de extintor de pó químico seco (PQS) classe BC - 4Kg</v>
      </c>
      <c r="F43" s="221" t="str">
        <f>IFERROR(IF(D43="SINAPI-S",VLOOKUP(B43,'20-B.SINAPI-S'!A:J,3,0),IF(D43="SINAPI-I",VLOOKUP(B43,'20-A.SINAPI-I'!A:G,3,0),IF(D43="COMPOSIÇÕES",VLOOKUP(B43,'11.COMPOSIÇÕES GERAIS'!B:I,3,0),VLOOKUP(B43,'12.COT.MERCADO'!A:I,7,0)))),"Em Elaboração")</f>
        <v>UN </v>
      </c>
      <c r="G43" s="217">
        <v>4.0</v>
      </c>
      <c r="H43" s="222">
        <f>IFERROR(IF(D43="SINAPI-S",VLOOKUP(B43,'20-B.SINAPI-S'!A:J,5,0),IF(D43="SINAPI-I",VLOOKUP(B43,'20-A.SINAPI-I'!A:G,6,0),IF(D43="COMPOSIÇÕES",VLOOKUP(B43,'11.COMPOSIÇÕES GERAIS'!B:I,7,0),0))),"Em Elaboração")</f>
        <v>0</v>
      </c>
      <c r="I43" s="222">
        <f>IFERROR(IF(D43="SINAPI-S",VLOOKUP(B43,'20-B.SINAPI-S'!A:J,6,0),IF(D43="SINAPI-I",VLOOKUP(B43,'20-A.SINAPI-I'!A:G,7,0),IF(D43="COMPOSIÇÕES",VLOOKUP(B43,'11.COMPOSIÇÕES GERAIS'!B:I,8,0),VLOOKUP(B43,'12.COT.MERCADO'!A:I,8,0)))),"Em Elaboração")</f>
        <v>40</v>
      </c>
      <c r="J43" s="222">
        <f t="shared" si="46"/>
        <v>0</v>
      </c>
      <c r="K43" s="222">
        <f t="shared" si="47"/>
        <v>46.85338341</v>
      </c>
      <c r="L43" s="222">
        <f t="shared" si="48"/>
        <v>46.85338341</v>
      </c>
      <c r="M43" s="222">
        <f t="shared" si="49"/>
        <v>0</v>
      </c>
      <c r="N43" s="222">
        <f t="shared" si="50"/>
        <v>187.4135336</v>
      </c>
      <c r="O43" s="222">
        <f t="shared" si="51"/>
        <v>187.4135336</v>
      </c>
      <c r="P43" s="223">
        <f t="shared" si="3"/>
        <v>0.002213378545</v>
      </c>
    </row>
    <row r="44">
      <c r="A44" s="216" t="s">
        <v>198</v>
      </c>
      <c r="B44" s="217" t="s">
        <v>165</v>
      </c>
      <c r="C44" s="227" t="str">
        <f t="shared" si="45"/>
        <v>PRÓPRIO</v>
      </c>
      <c r="D44" s="228" t="s">
        <v>110</v>
      </c>
      <c r="E44" s="226" t="str">
        <f>IFERROR(IF(D44="SINAPI-S",VLOOKUP(B44,'20-B.SINAPI-S'!A:J,2,0),IF(D44="SINAPI-I",VLOOKUP(B44,'20-A.SINAPI-I'!A:G,2,0),IF(D44="COMPOSIÇÕES",VLOOKUP(B44,'11.COMPOSIÇÕES GERAIS'!B:I,2,0),VLOOKUP(B44,'12.COT.MERCADO'!A:I,2,0)))),"Em Elaboração")</f>
        <v>Recarga de extintor de água pressurizada classe A - 10 L</v>
      </c>
      <c r="F44" s="221" t="str">
        <f>IFERROR(IF(D44="SINAPI-S",VLOOKUP(B44,'20-B.SINAPI-S'!A:J,3,0),IF(D44="SINAPI-I",VLOOKUP(B44,'20-A.SINAPI-I'!A:G,3,0),IF(D44="COMPOSIÇÕES",VLOOKUP(B44,'11.COMPOSIÇÕES GERAIS'!B:I,3,0),VLOOKUP(B44,'12.COT.MERCADO'!A:I,7,0)))),"Em Elaboração")</f>
        <v>UN </v>
      </c>
      <c r="G44" s="217">
        <v>2.0</v>
      </c>
      <c r="H44" s="222">
        <f>IFERROR(IF(D44="SINAPI-S",VLOOKUP(B44,'20-B.SINAPI-S'!A:J,5,0),IF(D44="SINAPI-I",VLOOKUP(B44,'20-A.SINAPI-I'!A:G,6,0),IF(D44="COMPOSIÇÕES",VLOOKUP(B44,'11.COMPOSIÇÕES GERAIS'!B:I,7,0),0))),"Em Elaboração")</f>
        <v>0</v>
      </c>
      <c r="I44" s="222">
        <f>IFERROR(IF(D44="SINAPI-S",VLOOKUP(B44,'20-B.SINAPI-S'!A:J,6,0),IF(D44="SINAPI-I",VLOOKUP(B44,'20-A.SINAPI-I'!A:G,7,0),IF(D44="COMPOSIÇÕES",VLOOKUP(B44,'11.COMPOSIÇÕES GERAIS'!B:I,8,0),VLOOKUP(B44,'12.COT.MERCADO'!A:I,8,0)))),"Em Elaboração")</f>
        <v>28.7</v>
      </c>
      <c r="J44" s="222">
        <f t="shared" si="46"/>
        <v>0</v>
      </c>
      <c r="K44" s="222">
        <f t="shared" si="47"/>
        <v>33.61730259</v>
      </c>
      <c r="L44" s="222">
        <f t="shared" si="48"/>
        <v>33.61730259</v>
      </c>
      <c r="M44" s="222">
        <f t="shared" si="49"/>
        <v>0</v>
      </c>
      <c r="N44" s="222">
        <f t="shared" si="50"/>
        <v>67.23460519</v>
      </c>
      <c r="O44" s="222">
        <f t="shared" si="51"/>
        <v>67.23460519</v>
      </c>
      <c r="P44" s="223">
        <f t="shared" si="3"/>
        <v>0.0007940495531</v>
      </c>
    </row>
    <row r="45">
      <c r="A45" s="212" t="s">
        <v>199</v>
      </c>
      <c r="B45" s="213" t="s">
        <v>136</v>
      </c>
      <c r="C45" s="44"/>
      <c r="D45" s="44"/>
      <c r="E45" s="44"/>
      <c r="F45" s="44"/>
      <c r="G45" s="44"/>
      <c r="H45" s="44"/>
      <c r="I45" s="44"/>
      <c r="J45" s="44"/>
      <c r="K45" s="44"/>
      <c r="L45" s="44"/>
      <c r="M45" s="214">
        <f t="shared" ref="M45:O45" si="52">SUM(M46:M47)</f>
        <v>0</v>
      </c>
      <c r="N45" s="214">
        <f t="shared" si="52"/>
        <v>3353.530917</v>
      </c>
      <c r="O45" s="214">
        <f t="shared" si="52"/>
        <v>3353.530917</v>
      </c>
      <c r="P45" s="578">
        <f t="shared" si="3"/>
        <v>0.03960564234</v>
      </c>
    </row>
    <row r="46">
      <c r="A46" s="216" t="s">
        <v>200</v>
      </c>
      <c r="B46" s="217" t="s">
        <v>201</v>
      </c>
      <c r="C46" s="227" t="str">
        <f t="shared" ref="C46:C47" si="53">IF(OR(D46="SINAPI-S",D46="SINAPI-I"),"SINAPI","PRÓPRIO")</f>
        <v>PRÓPRIO</v>
      </c>
      <c r="D46" s="228" t="s">
        <v>110</v>
      </c>
      <c r="E46" s="226" t="str">
        <f>IFERROR(IF(D46="SINAPI-S",VLOOKUP(B46,'20-B.SINAPI-S'!A:J,2,0),IF(D46="SINAPI-I",VLOOKUP(B46,'20-A.SINAPI-I'!A:G,2,0),IF(D46="COMPOSIÇÕES",VLOOKUP(B46,'11.COMPOSIÇÕES GERAIS'!B:I,2,0),VLOOKUP(B46,'12.COT.MERCADO'!A:I,2,0)))),"Em Elaboração")</f>
        <v>Substituição de banco de baterias composto por 24 unidades de 45 Ah - Mão de obra e Material</v>
      </c>
      <c r="F46" s="221" t="str">
        <f>IFERROR(IF(D46="SINAPI-S",VLOOKUP(B46,'20-B.SINAPI-S'!A:J,3,0),IF(D46="SINAPI-I",VLOOKUP(B46,'20-A.SINAPI-I'!A:G,3,0),IF(D46="COMPOSIÇÕES",VLOOKUP(B46,'11.COMPOSIÇÕES GERAIS'!B:I,3,0),VLOOKUP(B46,'12.COT.MERCADO'!A:I,7,0)))),"Em Elaboração")</f>
        <v>UN </v>
      </c>
      <c r="G46" s="217">
        <v>6.0</v>
      </c>
      <c r="H46" s="222">
        <f>IFERROR(IF(D46="SINAPI-S",VLOOKUP(B46,'20-B.SINAPI-S'!A:J,5,0),IF(D46="SINAPI-I",VLOOKUP(B46,'20-A.SINAPI-I'!A:G,6,0),IF(D46="COMPOSIÇÕES",VLOOKUP(B46,'11.COMPOSIÇÕES GERAIS'!B:I,7,0),0))),"Em Elaboração")</f>
        <v>0</v>
      </c>
      <c r="I46" s="222">
        <f>IFERROR(IF(D46="SINAPI-S",VLOOKUP(B46,'20-B.SINAPI-S'!A:J,6,0),IF(D46="SINAPI-I",VLOOKUP(B46,'20-A.SINAPI-I'!A:G,7,0),IF(D46="COMPOSIÇÕES",VLOOKUP(B46,'11.COMPOSIÇÕES GERAIS'!B:I,8,0),VLOOKUP(B46,'12.COT.MERCADO'!A:I,8,0)))),"Em Elaboração")</f>
        <v>462</v>
      </c>
      <c r="J46" s="222">
        <f t="shared" ref="J46:J47" si="54">H46*(1+$J$5)</f>
        <v>0</v>
      </c>
      <c r="K46" s="222">
        <f t="shared" ref="K46:K47" si="55">I46*(1+$J$8)</f>
        <v>541.1565783</v>
      </c>
      <c r="L46" s="222">
        <f t="shared" ref="L46:L47" si="56">SUM(J46:K46)</f>
        <v>541.1565783</v>
      </c>
      <c r="M46" s="222">
        <f t="shared" ref="M46:M47" si="57">J46*G46</f>
        <v>0</v>
      </c>
      <c r="N46" s="222">
        <f t="shared" ref="N46:N47" si="58">K46*G46</f>
        <v>3246.93947</v>
      </c>
      <c r="O46" s="222">
        <f t="shared" ref="O46:O47" si="59">SUM(M46:N46)</f>
        <v>3246.93947</v>
      </c>
      <c r="P46" s="223">
        <f t="shared" si="3"/>
        <v>0.0383467833</v>
      </c>
    </row>
    <row r="47">
      <c r="A47" s="216" t="s">
        <v>202</v>
      </c>
      <c r="B47" s="217" t="s">
        <v>203</v>
      </c>
      <c r="C47" s="227" t="str">
        <f t="shared" si="53"/>
        <v>PRÓPRIO</v>
      </c>
      <c r="D47" s="228" t="s">
        <v>110</v>
      </c>
      <c r="E47" s="226" t="str">
        <f>IFERROR(IF(D47="SINAPI-S",VLOOKUP(B47,'20-B.SINAPI-S'!A:J,2,0),IF(D47="SINAPI-I",VLOOKUP(B47,'20-A.SINAPI-I'!A:G,2,0),IF(D47="COMPOSIÇÕES",VLOOKUP(B47,'11.COMPOSIÇÕES GERAIS'!B:I,2,0),VLOOKUP(B47,'12.COT.MERCADO'!A:I,2,0)))),"Em Elaboração")</f>
        <v>Substituição de banco de baterias composto por 4 unidades de 7 Ah - Mão de obra e Material</v>
      </c>
      <c r="F47" s="221" t="str">
        <f>IFERROR(IF(D47="SINAPI-S",VLOOKUP(B47,'20-B.SINAPI-S'!A:J,3,0),IF(D47="SINAPI-I",VLOOKUP(B47,'20-A.SINAPI-I'!A:G,3,0),IF(D47="COMPOSIÇÕES",VLOOKUP(B47,'11.COMPOSIÇÕES GERAIS'!B:I,3,0),VLOOKUP(B47,'12.COT.MERCADO'!A:I,7,0)))),"Em Elaboração")</f>
        <v>UN </v>
      </c>
      <c r="G47" s="217">
        <v>1.0</v>
      </c>
      <c r="H47" s="222">
        <f>IFERROR(IF(D47="SINAPI-S",VLOOKUP(B47,'20-B.SINAPI-S'!A:J,5,0),IF(D47="SINAPI-I",VLOOKUP(B47,'20-A.SINAPI-I'!A:G,6,0),IF(D47="COMPOSIÇÕES",VLOOKUP(B47,'11.COMPOSIÇÕES GERAIS'!B:I,7,0),0))),"Em Elaboração")</f>
        <v>0</v>
      </c>
      <c r="I47" s="222">
        <f>IFERROR(IF(D47="SINAPI-S",VLOOKUP(B47,'20-B.SINAPI-S'!A:J,6,0),IF(D47="SINAPI-I",VLOOKUP(B47,'20-A.SINAPI-I'!A:G,7,0),IF(D47="COMPOSIÇÕES",VLOOKUP(B47,'11.COMPOSIÇÕES GERAIS'!B:I,8,0),VLOOKUP(B47,'12.COT.MERCADO'!A:I,8,0)))),"Em Elaboração")</f>
        <v>91</v>
      </c>
      <c r="J47" s="222">
        <f t="shared" si="54"/>
        <v>0</v>
      </c>
      <c r="K47" s="222">
        <f t="shared" si="55"/>
        <v>106.5914472</v>
      </c>
      <c r="L47" s="222">
        <f t="shared" si="56"/>
        <v>106.5914472</v>
      </c>
      <c r="M47" s="222">
        <f t="shared" si="57"/>
        <v>0</v>
      </c>
      <c r="N47" s="222">
        <f t="shared" si="58"/>
        <v>106.5914472</v>
      </c>
      <c r="O47" s="222">
        <f t="shared" si="59"/>
        <v>106.5914472</v>
      </c>
      <c r="P47" s="223">
        <f t="shared" si="3"/>
        <v>0.001258859048</v>
      </c>
    </row>
    <row r="48">
      <c r="A48" s="212" t="s">
        <v>204</v>
      </c>
      <c r="B48" s="213" t="s">
        <v>205</v>
      </c>
      <c r="C48" s="44"/>
      <c r="D48" s="44"/>
      <c r="E48" s="44"/>
      <c r="F48" s="44"/>
      <c r="G48" s="44"/>
      <c r="H48" s="44"/>
      <c r="I48" s="44"/>
      <c r="J48" s="44"/>
      <c r="K48" s="44"/>
      <c r="L48" s="44"/>
      <c r="M48" s="214">
        <f t="shared" ref="M48:O48" si="60">SUM(M49:M51)</f>
        <v>0</v>
      </c>
      <c r="N48" s="214">
        <f t="shared" si="60"/>
        <v>840.3154314</v>
      </c>
      <c r="O48" s="214">
        <f t="shared" si="60"/>
        <v>840.3154314</v>
      </c>
      <c r="P48" s="578">
        <f t="shared" si="3"/>
        <v>0.009924236052</v>
      </c>
    </row>
    <row r="49">
      <c r="A49" s="216" t="s">
        <v>206</v>
      </c>
      <c r="B49" s="217" t="s">
        <v>147</v>
      </c>
      <c r="C49" s="227" t="str">
        <f t="shared" ref="C49:C51" si="61">IF(OR(D49="SINAPI-S",D49="SINAPI-I"),"SINAPI","PRÓPRIO")</f>
        <v>PRÓPRIO</v>
      </c>
      <c r="D49" s="228" t="s">
        <v>110</v>
      </c>
      <c r="E49" s="226" t="str">
        <f>IFERROR(IF(D49="SINAPI-S",VLOOKUP(B49,'20-B.SINAPI-S'!A:J,2,0),IF(D49="SINAPI-I",VLOOKUP(B49,'20-A.SINAPI-I'!A:G,2,0),IF(D49="COMPOSIÇÕES",VLOOKUP(B49,'11.COMPOSIÇÕES GERAIS'!B:I,2,0),VLOOKUP(B49,'12.COT.MERCADO'!A:I,2,0)))),"Em Elaboração")</f>
        <v>Recarga de extintor de gás carbônico (CO2) classe AB - 6Kg</v>
      </c>
      <c r="F49" s="221" t="str">
        <f>IFERROR(IF(D49="SINAPI-S",VLOOKUP(B49,'20-B.SINAPI-S'!A:J,3,0),IF(D49="SINAPI-I",VLOOKUP(B49,'20-A.SINAPI-I'!A:G,3,0),IF(D49="COMPOSIÇÕES",VLOOKUP(B49,'11.COMPOSIÇÕES GERAIS'!B:I,3,0),VLOOKUP(B49,'12.COT.MERCADO'!A:I,7,0)))),"Em Elaboração")</f>
        <v>UN </v>
      </c>
      <c r="G49" s="217">
        <v>7.0</v>
      </c>
      <c r="H49" s="222">
        <f>IFERROR(IF(D49="SINAPI-S",VLOOKUP(B49,'20-B.SINAPI-S'!A:J,5,0),IF(D49="SINAPI-I",VLOOKUP(B49,'20-A.SINAPI-I'!A:G,6,0),IF(D49="COMPOSIÇÕES",VLOOKUP(B49,'11.COMPOSIÇÕES GERAIS'!B:I,7,0),0))),"Em Elaboração")</f>
        <v>0</v>
      </c>
      <c r="I49" s="222">
        <f>IFERROR(IF(D49="SINAPI-S",VLOOKUP(B49,'20-B.SINAPI-S'!A:J,6,0),IF(D49="SINAPI-I",VLOOKUP(B49,'20-A.SINAPI-I'!A:G,7,0),IF(D49="COMPOSIÇÕES",VLOOKUP(B49,'11.COMPOSIÇÕES GERAIS'!B:I,8,0),VLOOKUP(B49,'12.COT.MERCADO'!A:I,8,0)))),"Em Elaboração")</f>
        <v>60</v>
      </c>
      <c r="J49" s="222">
        <f t="shared" ref="J49:J51" si="62">H49*(1+$J$5)</f>
        <v>0</v>
      </c>
      <c r="K49" s="222">
        <f t="shared" ref="K49:K51" si="63">I49*(1+$J$8)</f>
        <v>70.28007511</v>
      </c>
      <c r="L49" s="222">
        <f t="shared" ref="L49:L51" si="64">SUM(J49:K49)</f>
        <v>70.28007511</v>
      </c>
      <c r="M49" s="222">
        <f t="shared" ref="M49:M51" si="65">J49*G49</f>
        <v>0</v>
      </c>
      <c r="N49" s="222">
        <f t="shared" ref="N49:N51" si="66">K49*G49</f>
        <v>491.9605258</v>
      </c>
      <c r="O49" s="222">
        <f t="shared" ref="O49:O51" si="67">SUM(M49:N49)</f>
        <v>491.9605258</v>
      </c>
      <c r="P49" s="223">
        <f t="shared" si="3"/>
        <v>0.005810118681</v>
      </c>
    </row>
    <row r="50">
      <c r="A50" s="216" t="s">
        <v>207</v>
      </c>
      <c r="B50" s="217" t="s">
        <v>187</v>
      </c>
      <c r="C50" s="227" t="str">
        <f t="shared" si="61"/>
        <v>PRÓPRIO</v>
      </c>
      <c r="D50" s="228" t="s">
        <v>110</v>
      </c>
      <c r="E50" s="226" t="str">
        <f>IFERROR(IF(D50="SINAPI-S",VLOOKUP(B50,'20-B.SINAPI-S'!A:J,2,0),IF(D50="SINAPI-I",VLOOKUP(B50,'20-A.SINAPI-I'!A:G,2,0),IF(D50="COMPOSIÇÕES",VLOOKUP(B50,'11.COMPOSIÇÕES GERAIS'!B:I,2,0),VLOOKUP(B50,'12.COT.MERCADO'!A:I,2,0)))),"Em Elaboração")</f>
        <v>Recarga de extintor de pó químico seco (PQS) classe BC - 4Kg</v>
      </c>
      <c r="F50" s="221" t="str">
        <f>IFERROR(IF(D50="SINAPI-S",VLOOKUP(B50,'20-B.SINAPI-S'!A:J,3,0),IF(D50="SINAPI-I",VLOOKUP(B50,'20-A.SINAPI-I'!A:G,3,0),IF(D50="COMPOSIÇÕES",VLOOKUP(B50,'11.COMPOSIÇÕES GERAIS'!B:I,3,0),VLOOKUP(B50,'12.COT.MERCADO'!A:I,7,0)))),"Em Elaboração")</f>
        <v>UN </v>
      </c>
      <c r="G50" s="217">
        <v>6.0</v>
      </c>
      <c r="H50" s="222">
        <f>IFERROR(IF(D50="SINAPI-S",VLOOKUP(B50,'20-B.SINAPI-S'!A:J,5,0),IF(D50="SINAPI-I",VLOOKUP(B50,'20-A.SINAPI-I'!A:G,6,0),IF(D50="COMPOSIÇÕES",VLOOKUP(B50,'11.COMPOSIÇÕES GERAIS'!B:I,7,0),0))),"Em Elaboração")</f>
        <v>0</v>
      </c>
      <c r="I50" s="222">
        <f>IFERROR(IF(D50="SINAPI-S",VLOOKUP(B50,'20-B.SINAPI-S'!A:J,6,0),IF(D50="SINAPI-I",VLOOKUP(B50,'20-A.SINAPI-I'!A:G,7,0),IF(D50="COMPOSIÇÕES",VLOOKUP(B50,'11.COMPOSIÇÕES GERAIS'!B:I,8,0),VLOOKUP(B50,'12.COT.MERCADO'!A:I,8,0)))),"Em Elaboração")</f>
        <v>40</v>
      </c>
      <c r="J50" s="222">
        <f t="shared" si="62"/>
        <v>0</v>
      </c>
      <c r="K50" s="222">
        <f t="shared" si="63"/>
        <v>46.85338341</v>
      </c>
      <c r="L50" s="222">
        <f t="shared" si="64"/>
        <v>46.85338341</v>
      </c>
      <c r="M50" s="222">
        <f t="shared" si="65"/>
        <v>0</v>
      </c>
      <c r="N50" s="222">
        <f t="shared" si="66"/>
        <v>281.1203004</v>
      </c>
      <c r="O50" s="222">
        <f t="shared" si="67"/>
        <v>281.1203004</v>
      </c>
      <c r="P50" s="223">
        <f t="shared" si="3"/>
        <v>0.003320067818</v>
      </c>
    </row>
    <row r="51">
      <c r="A51" s="216" t="s">
        <v>208</v>
      </c>
      <c r="B51" s="217" t="s">
        <v>165</v>
      </c>
      <c r="C51" s="227" t="str">
        <f t="shared" si="61"/>
        <v>PRÓPRIO</v>
      </c>
      <c r="D51" s="228" t="s">
        <v>110</v>
      </c>
      <c r="E51" s="226" t="str">
        <f>IFERROR(IF(D51="SINAPI-S",VLOOKUP(B51,'20-B.SINAPI-S'!A:J,2,0),IF(D51="SINAPI-I",VLOOKUP(B51,'20-A.SINAPI-I'!A:G,2,0),IF(D51="COMPOSIÇÕES",VLOOKUP(B51,'11.COMPOSIÇÕES GERAIS'!B:I,2,0),VLOOKUP(B51,'12.COT.MERCADO'!A:I,2,0)))),"Em Elaboração")</f>
        <v>Recarga de extintor de água pressurizada classe A - 10 L</v>
      </c>
      <c r="F51" s="221" t="str">
        <f>IFERROR(IF(D51="SINAPI-S",VLOOKUP(B51,'20-B.SINAPI-S'!A:J,3,0),IF(D51="SINAPI-I",VLOOKUP(B51,'20-A.SINAPI-I'!A:G,3,0),IF(D51="COMPOSIÇÕES",VLOOKUP(B51,'11.COMPOSIÇÕES GERAIS'!B:I,3,0),VLOOKUP(B51,'12.COT.MERCADO'!A:I,7,0)))),"Em Elaboração")</f>
        <v>UN </v>
      </c>
      <c r="G51" s="217">
        <v>2.0</v>
      </c>
      <c r="H51" s="222">
        <f>IFERROR(IF(D51="SINAPI-S",VLOOKUP(B51,'20-B.SINAPI-S'!A:J,5,0),IF(D51="SINAPI-I",VLOOKUP(B51,'20-A.SINAPI-I'!A:G,6,0),IF(D51="COMPOSIÇÕES",VLOOKUP(B51,'11.COMPOSIÇÕES GERAIS'!B:I,7,0),0))),"Em Elaboração")</f>
        <v>0</v>
      </c>
      <c r="I51" s="222">
        <f>IFERROR(IF(D51="SINAPI-S",VLOOKUP(B51,'20-B.SINAPI-S'!A:J,6,0),IF(D51="SINAPI-I",VLOOKUP(B51,'20-A.SINAPI-I'!A:G,7,0),IF(D51="COMPOSIÇÕES",VLOOKUP(B51,'11.COMPOSIÇÕES GERAIS'!B:I,8,0),VLOOKUP(B51,'12.COT.MERCADO'!A:I,8,0)))),"Em Elaboração")</f>
        <v>28.7</v>
      </c>
      <c r="J51" s="222">
        <f t="shared" si="62"/>
        <v>0</v>
      </c>
      <c r="K51" s="222">
        <f t="shared" si="63"/>
        <v>33.61730259</v>
      </c>
      <c r="L51" s="222">
        <f t="shared" si="64"/>
        <v>33.61730259</v>
      </c>
      <c r="M51" s="222">
        <f t="shared" si="65"/>
        <v>0</v>
      </c>
      <c r="N51" s="222">
        <f t="shared" si="66"/>
        <v>67.23460519</v>
      </c>
      <c r="O51" s="222">
        <f t="shared" si="67"/>
        <v>67.23460519</v>
      </c>
      <c r="P51" s="223">
        <f t="shared" si="3"/>
        <v>0.0007940495531</v>
      </c>
    </row>
    <row r="52">
      <c r="A52" s="212" t="s">
        <v>209</v>
      </c>
      <c r="B52" s="213" t="s">
        <v>210</v>
      </c>
      <c r="C52" s="44"/>
      <c r="D52" s="44"/>
      <c r="E52" s="44"/>
      <c r="F52" s="44"/>
      <c r="G52" s="44"/>
      <c r="H52" s="44"/>
      <c r="I52" s="44"/>
      <c r="J52" s="44"/>
      <c r="K52" s="44"/>
      <c r="L52" s="44"/>
      <c r="M52" s="214">
        <f t="shared" ref="M52:O52" si="68">SUM(M53)</f>
        <v>0</v>
      </c>
      <c r="N52" s="214">
        <f t="shared" si="68"/>
        <v>1686.721803</v>
      </c>
      <c r="O52" s="214">
        <f t="shared" si="68"/>
        <v>1686.721803</v>
      </c>
      <c r="P52" s="578">
        <f t="shared" si="3"/>
        <v>0.01992040691</v>
      </c>
    </row>
    <row r="53">
      <c r="A53" s="216" t="s">
        <v>211</v>
      </c>
      <c r="B53" s="217" t="s">
        <v>147</v>
      </c>
      <c r="C53" s="227" t="str">
        <f>IF(OR(D53="SINAPI-S",D53="SINAPI-I"),"SINAPI","PRÓPRIO")</f>
        <v>PRÓPRIO</v>
      </c>
      <c r="D53" s="228" t="s">
        <v>110</v>
      </c>
      <c r="E53" s="226" t="str">
        <f>IFERROR(IF(D53="SINAPI-S",VLOOKUP(B53,'20-B.SINAPI-S'!A:J,2,0),IF(D53="SINAPI-I",VLOOKUP(B53,'20-A.SINAPI-I'!A:G,2,0),IF(D53="COMPOSIÇÕES",VLOOKUP(B53,'11.COMPOSIÇÕES GERAIS'!B:I,2,0),VLOOKUP(B53,'12.COT.MERCADO'!A:I,2,0)))),"Em Elaboração")</f>
        <v>Recarga de extintor de gás carbônico (CO2) classe AB - 6Kg</v>
      </c>
      <c r="F53" s="221" t="str">
        <f>IFERROR(IF(D53="SINAPI-S",VLOOKUP(B53,'20-B.SINAPI-S'!A:J,3,0),IF(D53="SINAPI-I",VLOOKUP(B53,'20-A.SINAPI-I'!A:G,3,0),IF(D53="COMPOSIÇÕES",VLOOKUP(B53,'11.COMPOSIÇÕES GERAIS'!B:I,3,0),VLOOKUP(B53,'12.COT.MERCADO'!A:I,7,0)))),"Em Elaboração")</f>
        <v>UN </v>
      </c>
      <c r="G53" s="217">
        <v>24.0</v>
      </c>
      <c r="H53" s="222">
        <f>IFERROR(IF(D53="SINAPI-S",VLOOKUP(B53,'20-B.SINAPI-S'!A:J,5,0),IF(D53="SINAPI-I",VLOOKUP(B53,'20-A.SINAPI-I'!A:G,6,0),IF(D53="COMPOSIÇÕES",VLOOKUP(B53,'11.COMPOSIÇÕES GERAIS'!B:I,7,0),0))),"Em Elaboração")</f>
        <v>0</v>
      </c>
      <c r="I53" s="222">
        <f>IFERROR(IF(D53="SINAPI-S",VLOOKUP(B53,'20-B.SINAPI-S'!A:J,6,0),IF(D53="SINAPI-I",VLOOKUP(B53,'20-A.SINAPI-I'!A:G,7,0),IF(D53="COMPOSIÇÕES",VLOOKUP(B53,'11.COMPOSIÇÕES GERAIS'!B:I,8,0),VLOOKUP(B53,'12.COT.MERCADO'!A:I,8,0)))),"Em Elaboração")</f>
        <v>60</v>
      </c>
      <c r="J53" s="222">
        <f>H53*(1+$J$5)</f>
        <v>0</v>
      </c>
      <c r="K53" s="222">
        <f>I53*(1+$J$8)</f>
        <v>70.28007511</v>
      </c>
      <c r="L53" s="222">
        <f>SUM(J53:K53)</f>
        <v>70.28007511</v>
      </c>
      <c r="M53" s="222">
        <f>J53*G53</f>
        <v>0</v>
      </c>
      <c r="N53" s="222">
        <f>K53*G53</f>
        <v>1686.721803</v>
      </c>
      <c r="O53" s="222">
        <f>SUM(M53:N53)</f>
        <v>1686.721803</v>
      </c>
      <c r="P53" s="223">
        <f t="shared" si="3"/>
        <v>0.01992040691</v>
      </c>
    </row>
    <row r="54">
      <c r="A54" s="212" t="s">
        <v>212</v>
      </c>
      <c r="B54" s="213" t="s">
        <v>213</v>
      </c>
      <c r="C54" s="44"/>
      <c r="D54" s="44"/>
      <c r="E54" s="44"/>
      <c r="F54" s="44"/>
      <c r="G54" s="44"/>
      <c r="H54" s="44"/>
      <c r="I54" s="44"/>
      <c r="J54" s="44"/>
      <c r="K54" s="44"/>
      <c r="L54" s="44"/>
      <c r="M54" s="214">
        <f t="shared" ref="M54:O54" si="69">SUM(M55)</f>
        <v>0</v>
      </c>
      <c r="N54" s="214">
        <f t="shared" si="69"/>
        <v>3246.93947</v>
      </c>
      <c r="O54" s="214">
        <f t="shared" si="69"/>
        <v>3246.93947</v>
      </c>
      <c r="P54" s="578">
        <f t="shared" si="3"/>
        <v>0.0383467833</v>
      </c>
    </row>
    <row r="55">
      <c r="A55" s="216" t="s">
        <v>214</v>
      </c>
      <c r="B55" s="217" t="s">
        <v>201</v>
      </c>
      <c r="C55" s="227" t="str">
        <f>IF(OR(D55="SINAPI-S",D55="SINAPI-I"),"SINAPI","PRÓPRIO")</f>
        <v>PRÓPRIO</v>
      </c>
      <c r="D55" s="228" t="s">
        <v>110</v>
      </c>
      <c r="E55" s="226" t="str">
        <f>IFERROR(IF(D55="SINAPI-S",VLOOKUP(B55,'20-B.SINAPI-S'!A:J,2,0),IF(D55="SINAPI-I",VLOOKUP(B55,'20-A.SINAPI-I'!A:G,2,0),IF(D55="COMPOSIÇÕES",VLOOKUP(B55,'11.COMPOSIÇÕES GERAIS'!B:I,2,0),VLOOKUP(B55,'12.COT.MERCADO'!A:I,2,0)))),"Em Elaboração")</f>
        <v>Substituição de banco de baterias composto por 24 unidades de 45 Ah - Mão de obra e Material</v>
      </c>
      <c r="F55" s="221" t="str">
        <f>IFERROR(IF(D55="SINAPI-S",VLOOKUP(B55,'20-B.SINAPI-S'!A:J,3,0),IF(D55="SINAPI-I",VLOOKUP(B55,'20-A.SINAPI-I'!A:G,3,0),IF(D55="COMPOSIÇÕES",VLOOKUP(B55,'11.COMPOSIÇÕES GERAIS'!B:I,3,0),VLOOKUP(B55,'12.COT.MERCADO'!A:I,7,0)))),"Em Elaboração")</f>
        <v>UN </v>
      </c>
      <c r="G55" s="217">
        <v>6.0</v>
      </c>
      <c r="H55" s="222">
        <f>IFERROR(IF(D55="SINAPI-S",VLOOKUP(B55,'20-B.SINAPI-S'!A:J,5,0),IF(D55="SINAPI-I",VLOOKUP(B55,'20-A.SINAPI-I'!A:G,6,0),IF(D55="COMPOSIÇÕES",VLOOKUP(B55,'11.COMPOSIÇÕES GERAIS'!B:I,7,0),0))),"Em Elaboração")</f>
        <v>0</v>
      </c>
      <c r="I55" s="222">
        <f>IFERROR(IF(D55="SINAPI-S",VLOOKUP(B55,'20-B.SINAPI-S'!A:J,6,0),IF(D55="SINAPI-I",VLOOKUP(B55,'20-A.SINAPI-I'!A:G,7,0),IF(D55="COMPOSIÇÕES",VLOOKUP(B55,'11.COMPOSIÇÕES GERAIS'!B:I,8,0),VLOOKUP(B55,'12.COT.MERCADO'!A:I,8,0)))),"Em Elaboração")</f>
        <v>462</v>
      </c>
      <c r="J55" s="222">
        <f>H55*(1+$J$5)</f>
        <v>0</v>
      </c>
      <c r="K55" s="222">
        <f>I55*(1+$J$8)</f>
        <v>541.1565783</v>
      </c>
      <c r="L55" s="222">
        <f>SUM(J55:K55)</f>
        <v>541.1565783</v>
      </c>
      <c r="M55" s="222">
        <f>J55*G55</f>
        <v>0</v>
      </c>
      <c r="N55" s="222">
        <f>K55*G55</f>
        <v>3246.93947</v>
      </c>
      <c r="O55" s="222">
        <f>SUM(M55:N55)</f>
        <v>3246.93947</v>
      </c>
      <c r="P55" s="223">
        <f t="shared" si="3"/>
        <v>0.0383467833</v>
      </c>
    </row>
    <row r="56">
      <c r="A56" s="269"/>
      <c r="B56" s="270"/>
      <c r="L56" s="271" t="s">
        <v>1396</v>
      </c>
      <c r="M56" s="272">
        <f t="shared" ref="M56:O56" si="70">SUM(M11)</f>
        <v>0</v>
      </c>
      <c r="N56" s="272">
        <f t="shared" si="70"/>
        <v>84673.05966</v>
      </c>
      <c r="O56" s="272">
        <f t="shared" si="70"/>
        <v>84673.05966</v>
      </c>
    </row>
    <row r="57">
      <c r="A57" s="269"/>
      <c r="B57" s="270"/>
      <c r="M57" s="273">
        <f t="shared" ref="M57:N57" si="71">M56/$O56</f>
        <v>0</v>
      </c>
      <c r="N57" s="273">
        <f t="shared" si="71"/>
        <v>1</v>
      </c>
    </row>
    <row r="58">
      <c r="A58" s="269"/>
      <c r="B58" s="270"/>
      <c r="M58" s="274"/>
      <c r="N58" s="274"/>
      <c r="O58" s="275"/>
      <c r="P58" s="275"/>
    </row>
    <row r="59">
      <c r="A59" s="269"/>
      <c r="B59" s="270"/>
      <c r="L59" s="276"/>
      <c r="M59" s="277" t="s">
        <v>1397</v>
      </c>
      <c r="N59" s="27"/>
      <c r="O59" s="278">
        <f>SUMPRODUCT(H11:H55,G11:G55)+SUMPRODUCT(I11:I55,G11:G55)</f>
        <v>72287.68</v>
      </c>
      <c r="P59" s="27"/>
    </row>
    <row r="60">
      <c r="A60" s="269"/>
      <c r="B60" s="270"/>
      <c r="L60" s="280"/>
      <c r="M60" s="281" t="s">
        <v>1398</v>
      </c>
      <c r="N60" s="50"/>
      <c r="O60" s="282">
        <f>O61-O59</f>
        <v>12385.37966</v>
      </c>
      <c r="P60" s="50"/>
    </row>
    <row r="61">
      <c r="A61" s="269"/>
      <c r="B61" s="270"/>
      <c r="L61" s="280"/>
      <c r="M61" s="281" t="s">
        <v>1399</v>
      </c>
      <c r="N61" s="50"/>
      <c r="O61" s="283">
        <f>SUM(O56)</f>
        <v>84673.05966</v>
      </c>
      <c r="P61" s="50"/>
    </row>
    <row r="62">
      <c r="A62" s="269"/>
      <c r="B62" s="270"/>
    </row>
  </sheetData>
  <mergeCells count="37">
    <mergeCell ref="A1:C1"/>
    <mergeCell ref="E1:K1"/>
    <mergeCell ref="L1:N1"/>
    <mergeCell ref="O1:P1"/>
    <mergeCell ref="B3:D3"/>
    <mergeCell ref="J3:O3"/>
    <mergeCell ref="B4:D5"/>
    <mergeCell ref="F9:F10"/>
    <mergeCell ref="G9:G10"/>
    <mergeCell ref="H9:I9"/>
    <mergeCell ref="J9:L9"/>
    <mergeCell ref="J7:O7"/>
    <mergeCell ref="J8:O8"/>
    <mergeCell ref="A9:A10"/>
    <mergeCell ref="B9:B10"/>
    <mergeCell ref="C9:C10"/>
    <mergeCell ref="D9:D10"/>
    <mergeCell ref="M9:O9"/>
    <mergeCell ref="E9:E10"/>
    <mergeCell ref="B11:L11"/>
    <mergeCell ref="B12:L12"/>
    <mergeCell ref="B23:L23"/>
    <mergeCell ref="B27:L27"/>
    <mergeCell ref="B31:L31"/>
    <mergeCell ref="B33:L33"/>
    <mergeCell ref="M59:N59"/>
    <mergeCell ref="M60:N60"/>
    <mergeCell ref="O60:P60"/>
    <mergeCell ref="M61:N61"/>
    <mergeCell ref="O61:P61"/>
    <mergeCell ref="B38:L38"/>
    <mergeCell ref="B41:L41"/>
    <mergeCell ref="B45:L45"/>
    <mergeCell ref="B48:L48"/>
    <mergeCell ref="B52:L52"/>
    <mergeCell ref="B54:L54"/>
    <mergeCell ref="O59:P59"/>
  </mergeCells>
  <dataValidations>
    <dataValidation type="list" allowBlank="1" showErrorMessage="1" sqref="D13:D22 D24:D26 D28:D30 D32 D34:D37 D39:D40 D42:D44 D46:D47 D49:D51 D53 D55">
      <formula1>"SINAPI-S,SINAPI-I,COMPOSIÇÕES,COT.MERCADO"</formula1>
    </dataValidation>
  </dataValidations>
  <hyperlinks>
    <hyperlink display="SUMÁRIO" location="'QUADRO RESUMO'!B16:D17" ref="O1"/>
  </hyperlinks>
  <printOptions/>
  <pageMargins bottom="0.75" footer="0.0" header="0.0" left="0.25" right="0.25" top="0.75"/>
  <pageSetup fitToHeight="0"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pageSetUpPr fitToPage="1"/>
  </sheetPr>
  <sheetViews>
    <sheetView showGridLines="0" workbookViewId="0">
      <pane ySplit="10.0" topLeftCell="A11" activePane="bottomLeft" state="frozen"/>
      <selection activeCell="B12" sqref="B12" pane="bottomLeft"/>
    </sheetView>
  </sheetViews>
  <sheetFormatPr customHeight="1" defaultColWidth="14.43" defaultRowHeight="15.0"/>
  <cols>
    <col customWidth="1" min="1" max="1" width="8.29"/>
    <col customWidth="1" min="2" max="2" width="14.14"/>
    <col customWidth="1" min="3" max="3" width="9.71"/>
    <col customWidth="1" min="4" max="4" width="20.0"/>
    <col customWidth="1" min="5" max="5" width="50.86"/>
    <col customWidth="1" min="6" max="6" width="7.29"/>
    <col customWidth="1" min="7" max="7" width="7.14"/>
    <col customWidth="1" min="8" max="8" width="10.43"/>
    <col customWidth="1" min="9" max="9" width="10.0"/>
    <col customWidth="1" min="10" max="10" width="10.86"/>
    <col customWidth="1" min="11" max="11" width="10.43"/>
    <col customWidth="1" min="12" max="12" width="10.0"/>
    <col customWidth="1" min="13" max="13" width="14.86"/>
    <col customWidth="1" min="14" max="14" width="15.86"/>
    <col customWidth="1" min="15" max="15" width="14.14"/>
    <col customWidth="1" min="16" max="16" width="12.0"/>
  </cols>
  <sheetData>
    <row r="1" ht="52.5" customHeight="1">
      <c r="A1" s="1" t="s">
        <v>1708</v>
      </c>
      <c r="D1" s="1"/>
      <c r="E1" s="126" t="s">
        <v>1709</v>
      </c>
      <c r="F1" s="127"/>
      <c r="G1" s="127"/>
      <c r="H1" s="127"/>
      <c r="I1" s="127"/>
      <c r="J1" s="127"/>
      <c r="K1" s="127"/>
      <c r="L1" s="126"/>
      <c r="M1" s="128">
        <f>SUM(O11)</f>
        <v>311820.9021</v>
      </c>
      <c r="N1" s="127"/>
      <c r="O1" s="287" t="s">
        <v>29</v>
      </c>
      <c r="P1" s="44"/>
    </row>
    <row r="2" ht="10.5" customHeight="1">
      <c r="A2" s="476"/>
      <c r="B2" s="477"/>
      <c r="C2" s="477"/>
      <c r="D2" s="477"/>
      <c r="E2" s="477"/>
      <c r="F2" s="477"/>
      <c r="G2" s="478"/>
      <c r="H2" s="478"/>
      <c r="I2" s="478"/>
      <c r="J2" s="478"/>
      <c r="K2" s="478"/>
      <c r="L2" s="478"/>
      <c r="M2" s="478"/>
      <c r="N2" s="478"/>
      <c r="O2" s="478"/>
      <c r="P2" s="479"/>
    </row>
    <row r="3" ht="10.5" customHeight="1">
      <c r="A3" s="133"/>
      <c r="B3" s="159"/>
      <c r="C3" s="160"/>
      <c r="D3" s="161"/>
      <c r="E3" s="137"/>
      <c r="F3" s="138" t="s">
        <v>57</v>
      </c>
      <c r="G3" s="139"/>
      <c r="H3" s="140"/>
      <c r="I3" s="141"/>
      <c r="J3" s="142" t="s">
        <v>1611</v>
      </c>
      <c r="K3" s="143"/>
      <c r="L3" s="143"/>
      <c r="M3" s="143"/>
      <c r="N3" s="143"/>
      <c r="O3" s="144"/>
      <c r="P3" s="145"/>
    </row>
    <row r="4" ht="10.5" customHeight="1">
      <c r="A4" s="133"/>
      <c r="B4" s="154"/>
      <c r="C4" s="154"/>
      <c r="D4" s="480"/>
      <c r="E4" s="137"/>
      <c r="F4" s="481" t="s">
        <v>60</v>
      </c>
      <c r="H4" s="102"/>
      <c r="I4" s="141"/>
      <c r="J4" s="149" t="s">
        <v>61</v>
      </c>
      <c r="K4" s="150" t="s">
        <v>62</v>
      </c>
      <c r="L4" s="150" t="s">
        <v>63</v>
      </c>
      <c r="M4" s="150" t="s">
        <v>64</v>
      </c>
      <c r="N4" s="150" t="s">
        <v>65</v>
      </c>
      <c r="O4" s="150" t="s">
        <v>66</v>
      </c>
      <c r="P4" s="145"/>
    </row>
    <row r="5" ht="10.5" customHeight="1">
      <c r="A5" s="133"/>
      <c r="B5" s="159"/>
      <c r="C5" s="160"/>
      <c r="D5" s="161"/>
      <c r="E5" s="162"/>
      <c r="F5" s="482"/>
      <c r="G5" s="8"/>
      <c r="H5" s="9"/>
      <c r="I5" s="141"/>
      <c r="J5" s="152">
        <f>'7. BDI SERVIÇOS'!K5</f>
        <v>0.17392297</v>
      </c>
      <c r="K5" s="152">
        <f>'7. BDI SERVIÇOS'!K64</f>
        <v>0.1486201794</v>
      </c>
      <c r="L5" s="152">
        <f>'7. BDI SERVIÇOS'!K83</f>
        <v>0.1486201794</v>
      </c>
      <c r="M5" s="152">
        <f>'7. BDI SERVIÇOS'!K102</f>
        <v>0.17392297</v>
      </c>
      <c r="N5" s="152">
        <f>'7. BDI SERVIÇOS'!K121</f>
        <v>0.17392297</v>
      </c>
      <c r="O5" s="153">
        <f>'7. BDI SERVIÇOS'!K140</f>
        <v>0.1611337449</v>
      </c>
      <c r="P5" s="145"/>
    </row>
    <row r="6" ht="10.5" customHeight="1">
      <c r="A6" s="133"/>
      <c r="B6" s="154"/>
      <c r="C6" s="155"/>
      <c r="D6" s="156"/>
      <c r="E6" s="137"/>
      <c r="F6" s="157"/>
      <c r="G6" s="141"/>
      <c r="H6" s="141"/>
      <c r="I6" s="141"/>
      <c r="J6" s="152"/>
      <c r="K6" s="141"/>
      <c r="L6" s="141"/>
      <c r="M6" s="141"/>
      <c r="N6" s="141"/>
      <c r="O6" s="141"/>
      <c r="P6" s="145"/>
    </row>
    <row r="7" ht="10.5" customHeight="1">
      <c r="A7" s="133"/>
      <c r="B7" s="154"/>
      <c r="C7" s="155"/>
      <c r="D7" s="158"/>
      <c r="E7" s="137"/>
      <c r="F7" s="157"/>
      <c r="G7" s="141"/>
      <c r="H7" s="141"/>
      <c r="I7" s="141"/>
      <c r="J7" s="142" t="s">
        <v>70</v>
      </c>
      <c r="K7" s="143"/>
      <c r="L7" s="143"/>
      <c r="M7" s="143"/>
      <c r="N7" s="143"/>
      <c r="O7" s="144"/>
      <c r="P7" s="145"/>
    </row>
    <row r="8" ht="10.5" customHeight="1">
      <c r="A8" s="133"/>
      <c r="B8" s="159"/>
      <c r="C8" s="160"/>
      <c r="D8" s="161"/>
      <c r="E8" s="162"/>
      <c r="F8" s="157"/>
      <c r="G8" s="141"/>
      <c r="H8" s="141"/>
      <c r="I8" s="141"/>
      <c r="J8" s="163">
        <f>'8. BDI MERO FORNECIMENTO'!K5</f>
        <v>0.1713345851</v>
      </c>
      <c r="K8" s="8"/>
      <c r="L8" s="8"/>
      <c r="M8" s="8"/>
      <c r="N8" s="8"/>
      <c r="O8" s="9"/>
      <c r="P8" s="145"/>
    </row>
    <row r="9">
      <c r="A9" s="184" t="s">
        <v>79</v>
      </c>
      <c r="B9" s="185" t="s">
        <v>80</v>
      </c>
      <c r="C9" s="186" t="s">
        <v>81</v>
      </c>
      <c r="D9" s="186" t="s">
        <v>82</v>
      </c>
      <c r="E9" s="187" t="s">
        <v>8</v>
      </c>
      <c r="F9" s="185" t="s">
        <v>83</v>
      </c>
      <c r="G9" s="185" t="s">
        <v>11</v>
      </c>
      <c r="H9" s="188" t="s">
        <v>84</v>
      </c>
      <c r="I9" s="189"/>
      <c r="J9" s="188" t="s">
        <v>85</v>
      </c>
      <c r="K9" s="36"/>
      <c r="L9" s="189"/>
      <c r="M9" s="188" t="s">
        <v>86</v>
      </c>
      <c r="N9" s="36"/>
      <c r="O9" s="189"/>
      <c r="P9" s="190"/>
    </row>
    <row r="10">
      <c r="B10" s="75"/>
      <c r="C10" s="75"/>
      <c r="D10" s="75"/>
      <c r="E10" s="75"/>
      <c r="F10" s="75"/>
      <c r="G10" s="75"/>
      <c r="H10" s="191" t="s">
        <v>87</v>
      </c>
      <c r="I10" s="191" t="s">
        <v>88</v>
      </c>
      <c r="J10" s="191" t="s">
        <v>87</v>
      </c>
      <c r="K10" s="191" t="s">
        <v>88</v>
      </c>
      <c r="L10" s="191" t="s">
        <v>89</v>
      </c>
      <c r="M10" s="191" t="s">
        <v>87</v>
      </c>
      <c r="N10" s="191" t="s">
        <v>88</v>
      </c>
      <c r="O10" s="191" t="s">
        <v>89</v>
      </c>
      <c r="P10" s="192" t="s">
        <v>90</v>
      </c>
    </row>
    <row r="11" ht="37.5" customHeight="1">
      <c r="A11" s="577">
        <v>5.0</v>
      </c>
      <c r="B11" s="579" t="s">
        <v>215</v>
      </c>
      <c r="C11" s="44"/>
      <c r="D11" s="44"/>
      <c r="E11" s="44"/>
      <c r="F11" s="44"/>
      <c r="G11" s="44"/>
      <c r="H11" s="44"/>
      <c r="I11" s="44"/>
      <c r="J11" s="44"/>
      <c r="K11" s="44"/>
      <c r="L11" s="44"/>
      <c r="M11" s="230">
        <f t="shared" ref="M11:O11" si="1">M12+M23+M291</f>
        <v>58237.80867</v>
      </c>
      <c r="N11" s="230">
        <f t="shared" si="1"/>
        <v>253583.0934</v>
      </c>
      <c r="O11" s="230">
        <f t="shared" si="1"/>
        <v>311820.9021</v>
      </c>
      <c r="P11" s="231">
        <f t="shared" ref="P11:P318" si="3">O11/$M$1</f>
        <v>1</v>
      </c>
    </row>
    <row r="12" ht="21.0" customHeight="1">
      <c r="A12" s="232">
        <v>44931.0</v>
      </c>
      <c r="B12" s="580" t="s">
        <v>216</v>
      </c>
      <c r="C12" s="44"/>
      <c r="D12" s="44"/>
      <c r="E12" s="44"/>
      <c r="F12" s="44"/>
      <c r="G12" s="44"/>
      <c r="H12" s="44"/>
      <c r="I12" s="44"/>
      <c r="J12" s="44"/>
      <c r="K12" s="44"/>
      <c r="L12" s="44"/>
      <c r="M12" s="581">
        <f t="shared" ref="M12:O12" si="2">SUM(M13:M22)</f>
        <v>15941.75654</v>
      </c>
      <c r="N12" s="581">
        <f t="shared" si="2"/>
        <v>1112.240755</v>
      </c>
      <c r="O12" s="581">
        <f t="shared" si="2"/>
        <v>17053.9973</v>
      </c>
      <c r="P12" s="582">
        <f t="shared" si="3"/>
        <v>0.05469164248</v>
      </c>
    </row>
    <row r="13">
      <c r="A13" s="236" t="s">
        <v>217</v>
      </c>
      <c r="B13" s="237">
        <f>VLOOKUP(A13,'Planilha_Sintética_Geral'!A:P,2,0)</f>
        <v>88309</v>
      </c>
      <c r="C13" s="238" t="str">
        <f t="shared" ref="C13:C22" si="4">IF(OR(D13="SINAPI-S",D13="SINAPI-I"),"SINAPI","PRÓPRIO")</f>
        <v>SINAPI</v>
      </c>
      <c r="D13" s="238" t="s">
        <v>218</v>
      </c>
      <c r="E13" s="239" t="str">
        <f>IFERROR(IF(D13="SINAPI-S",VLOOKUP(B13,'20-B.SINAPI-S'!A:J,2,0),IF(D13="SINAPI-I",VLOOKUP(B13,'20-A.SINAPI-I'!A:G,2,0),IF(D13="COMPOSIÇÕES",VLOOKUP(B13,'11.COMPOSIÇÕES GERAIS'!B:I,2,0),VLOOKUP(B13,'12.COT.MERCADO'!A:I,2,0)))),"Em Elaboração")</f>
        <v>PEDREIRO COM ENCARGOS COMPLEMENTARES</v>
      </c>
      <c r="F13" s="240" t="str">
        <f>IFERROR(IF(D13="SINAPI-S",VLOOKUP(B13,'20-B.SINAPI-S'!A:J,3,0),IF(D13="SINAPI-I",VLOOKUP(B13,'20-A.SINAPI-I'!A:G,3,0),IF(D13="COMPOSIÇÕES",VLOOKUP(B13,'11.COMPOSIÇÕES GERAIS'!B:I,3,0),VLOOKUP(B13,'12.COT.MERCADO'!A:I,7,0)))),"Em Elaboração")</f>
        <v>H</v>
      </c>
      <c r="G13" s="237">
        <v>20.0</v>
      </c>
      <c r="H13" s="241">
        <f>IFERROR(IF(D13="SINAPI-S",VLOOKUP(B13,'20-B.SINAPI-S'!A:J,5,0),IF(D13="SINAPI-I",VLOOKUP(B13,'20-A.SINAPI-I'!A:G,6,0),IF(D13="COMPOSIÇÕES",VLOOKUP(B13,'11.COMPOSIÇÕES GERAIS'!B:I,7,0),0))),"Em Elaboração")</f>
        <v>24.68</v>
      </c>
      <c r="I13" s="241">
        <f>IFERROR(IF(D13="SINAPI-S",VLOOKUP(B13,'20-B.SINAPI-S'!A:J,6,0),IF(D13="SINAPI-I",VLOOKUP(B13,'20-A.SINAPI-I'!A:G,7,0),IF(D13="COMPOSIÇÕES",VLOOKUP(B13,'11.COMPOSIÇÕES GERAIS'!B:I,8,0),VLOOKUP(B13,'12.COT.MERCADO'!A:I,8,0)))),"Em Elaboração")</f>
        <v>7.87</v>
      </c>
      <c r="J13" s="241">
        <f t="shared" ref="J13:J22" si="5">H13*(1+$J$5)</f>
        <v>28.9724189</v>
      </c>
      <c r="K13" s="241">
        <f t="shared" ref="K13:K22" si="6">I13*(1+$J$8)</f>
        <v>9.218403185</v>
      </c>
      <c r="L13" s="241">
        <f t="shared" ref="L13:L22" si="7">SUM(J13:K13)</f>
        <v>38.19082208</v>
      </c>
      <c r="M13" s="241">
        <f t="shared" ref="M13:M22" si="8">J13*G13</f>
        <v>579.448378</v>
      </c>
      <c r="N13" s="241">
        <f t="shared" ref="N13:N22" si="9">K13*G13</f>
        <v>184.3680637</v>
      </c>
      <c r="O13" s="241">
        <f t="shared" ref="O13:O22" si="10">SUM(M13:N13)</f>
        <v>763.8164417</v>
      </c>
      <c r="P13" s="242">
        <f t="shared" si="3"/>
        <v>0.002449535732</v>
      </c>
    </row>
    <row r="14">
      <c r="A14" s="236" t="s">
        <v>219</v>
      </c>
      <c r="B14" s="237">
        <f>VLOOKUP(A14,'Planilha_Sintética_Geral'!A:P,2,0)</f>
        <v>88325</v>
      </c>
      <c r="C14" s="238" t="str">
        <f t="shared" si="4"/>
        <v>SINAPI</v>
      </c>
      <c r="D14" s="238" t="s">
        <v>218</v>
      </c>
      <c r="E14" s="239" t="str">
        <f>IFERROR(IF(D14="SINAPI-S",VLOOKUP(B14,'20-B.SINAPI-S'!A:J,2,0),IF(D14="SINAPI-I",VLOOKUP(B14,'20-A.SINAPI-I'!A:G,2,0),IF(D14="COMPOSIÇÕES",VLOOKUP(B14,'11.COMPOSIÇÕES GERAIS'!B:I,2,0),VLOOKUP(B14,'12.COT.MERCADO'!A:I,2,0)))),"Em Elaboração")</f>
        <v>VIDRACEIRO COM ENCARGOS COMPLEMENTARES</v>
      </c>
      <c r="F14" s="240" t="str">
        <f>IFERROR(IF(D14="SINAPI-S",VLOOKUP(B14,'20-B.SINAPI-S'!A:J,3,0),IF(D14="SINAPI-I",VLOOKUP(B14,'20-A.SINAPI-I'!A:G,3,0),IF(D14="COMPOSIÇÕES",VLOOKUP(B14,'11.COMPOSIÇÕES GERAIS'!B:I,3,0),VLOOKUP(B14,'12.COT.MERCADO'!A:I,7,0)))),"Em Elaboração")</f>
        <v>H</v>
      </c>
      <c r="G14" s="237">
        <v>10.0</v>
      </c>
      <c r="H14" s="241">
        <f>IFERROR(IF(D14="SINAPI-S",VLOOKUP(B14,'20-B.SINAPI-S'!A:J,5,0),IF(D14="SINAPI-I",VLOOKUP(B14,'20-A.SINAPI-I'!A:G,6,0),IF(D14="COMPOSIÇÕES",VLOOKUP(B14,'11.COMPOSIÇÕES GERAIS'!B:I,7,0),0))),"Em Elaboração")</f>
        <v>24.86</v>
      </c>
      <c r="I14" s="241">
        <f>IFERROR(IF(D14="SINAPI-S",VLOOKUP(B14,'20-B.SINAPI-S'!A:J,6,0),IF(D14="SINAPI-I",VLOOKUP(B14,'20-A.SINAPI-I'!A:G,7,0),IF(D14="COMPOSIÇÕES",VLOOKUP(B14,'11.COMPOSIÇÕES GERAIS'!B:I,8,0),VLOOKUP(B14,'12.COT.MERCADO'!A:I,8,0)))),"Em Elaboração")</f>
        <v>7.87</v>
      </c>
      <c r="J14" s="241">
        <f t="shared" si="5"/>
        <v>29.18372503</v>
      </c>
      <c r="K14" s="241">
        <f t="shared" si="6"/>
        <v>9.218403185</v>
      </c>
      <c r="L14" s="241">
        <f t="shared" si="7"/>
        <v>38.40212822</v>
      </c>
      <c r="M14" s="241">
        <f t="shared" si="8"/>
        <v>291.8372503</v>
      </c>
      <c r="N14" s="241">
        <f t="shared" si="9"/>
        <v>92.18403185</v>
      </c>
      <c r="O14" s="241">
        <f t="shared" si="10"/>
        <v>384.0212822</v>
      </c>
      <c r="P14" s="242">
        <f t="shared" si="3"/>
        <v>0.001231544388</v>
      </c>
    </row>
    <row r="15">
      <c r="A15" s="236" t="s">
        <v>220</v>
      </c>
      <c r="B15" s="237">
        <f>VLOOKUP(A15,'Planilha_Sintética_Geral'!A:P,2,0)</f>
        <v>88310</v>
      </c>
      <c r="C15" s="238" t="str">
        <f t="shared" si="4"/>
        <v>SINAPI</v>
      </c>
      <c r="D15" s="238" t="s">
        <v>218</v>
      </c>
      <c r="E15" s="239" t="str">
        <f>IFERROR(IF(D15="SINAPI-S",VLOOKUP(B15,'20-B.SINAPI-S'!A:J,2,0),IF(D15="SINAPI-I",VLOOKUP(B15,'20-A.SINAPI-I'!A:G,2,0),IF(D15="COMPOSIÇÕES",VLOOKUP(B15,'11.COMPOSIÇÕES GERAIS'!B:I,2,0),VLOOKUP(B15,'12.COT.MERCADO'!A:I,2,0)))),"Em Elaboração")</f>
        <v>PINTOR COM ENCARGOS COMPLEMENTARES</v>
      </c>
      <c r="F15" s="240" t="str">
        <f>IFERROR(IF(D15="SINAPI-S",VLOOKUP(B15,'20-B.SINAPI-S'!A:J,3,0),IF(D15="SINAPI-I",VLOOKUP(B15,'20-A.SINAPI-I'!A:G,3,0),IF(D15="COMPOSIÇÕES",VLOOKUP(B15,'11.COMPOSIÇÕES GERAIS'!B:I,3,0),VLOOKUP(B15,'12.COT.MERCADO'!A:I,7,0)))),"Em Elaboração")</f>
        <v>H</v>
      </c>
      <c r="G15" s="237">
        <v>10.0</v>
      </c>
      <c r="H15" s="241">
        <f>IFERROR(IF(D15="SINAPI-S",VLOOKUP(B15,'20-B.SINAPI-S'!A:J,5,0),IF(D15="SINAPI-I",VLOOKUP(B15,'20-A.SINAPI-I'!A:G,6,0),IF(D15="COMPOSIÇÕES",VLOOKUP(B15,'11.COMPOSIÇÕES GERAIS'!B:I,7,0),0))),"Em Elaboração")</f>
        <v>24.52</v>
      </c>
      <c r="I15" s="241">
        <f>IFERROR(IF(D15="SINAPI-S",VLOOKUP(B15,'20-B.SINAPI-S'!A:J,6,0),IF(D15="SINAPI-I",VLOOKUP(B15,'20-A.SINAPI-I'!A:G,7,0),IF(D15="COMPOSIÇÕES",VLOOKUP(B15,'11.COMPOSIÇÕES GERAIS'!B:I,8,0),VLOOKUP(B15,'12.COT.MERCADO'!A:I,8,0)))),"Em Elaboração")</f>
        <v>9.22</v>
      </c>
      <c r="J15" s="241">
        <f t="shared" si="5"/>
        <v>28.78459122</v>
      </c>
      <c r="K15" s="241">
        <f t="shared" si="6"/>
        <v>10.79970487</v>
      </c>
      <c r="L15" s="241">
        <f t="shared" si="7"/>
        <v>39.5842961</v>
      </c>
      <c r="M15" s="241">
        <f t="shared" si="8"/>
        <v>287.8459122</v>
      </c>
      <c r="N15" s="241">
        <f t="shared" si="9"/>
        <v>107.9970487</v>
      </c>
      <c r="O15" s="241">
        <f t="shared" si="10"/>
        <v>395.842961</v>
      </c>
      <c r="P15" s="242">
        <f t="shared" si="3"/>
        <v>0.001269456147</v>
      </c>
    </row>
    <row r="16">
      <c r="A16" s="236" t="s">
        <v>221</v>
      </c>
      <c r="B16" s="237">
        <f>VLOOKUP(A16,'Planilha_Sintética_Geral'!A:P,2,0)</f>
        <v>88267</v>
      </c>
      <c r="C16" s="238" t="str">
        <f t="shared" si="4"/>
        <v>SINAPI</v>
      </c>
      <c r="D16" s="238" t="s">
        <v>218</v>
      </c>
      <c r="E16" s="239" t="str">
        <f>IFERROR(IF(D16="SINAPI-S",VLOOKUP(B16,'20-B.SINAPI-S'!A:J,2,0),IF(D16="SINAPI-I",VLOOKUP(B16,'20-A.SINAPI-I'!A:G,2,0),IF(D16="COMPOSIÇÕES",VLOOKUP(B16,'11.COMPOSIÇÕES GERAIS'!B:I,2,0),VLOOKUP(B16,'12.COT.MERCADO'!A:I,2,0)))),"Em Elaboração")</f>
        <v>ENCANADOR OU BOMBEIRO HIDRÁULICO COM ENCARGOS COMPLEMENTARES</v>
      </c>
      <c r="F16" s="240" t="str">
        <f>IFERROR(IF(D16="SINAPI-S",VLOOKUP(B16,'20-B.SINAPI-S'!A:J,3,0),IF(D16="SINAPI-I",VLOOKUP(B16,'20-A.SINAPI-I'!A:G,3,0),IF(D16="COMPOSIÇÕES",VLOOKUP(B16,'11.COMPOSIÇÕES GERAIS'!B:I,3,0),VLOOKUP(B16,'12.COT.MERCADO'!A:I,7,0)))),"Em Elaboração")</f>
        <v>H</v>
      </c>
      <c r="G16" s="237">
        <v>10.0</v>
      </c>
      <c r="H16" s="241">
        <f>IFERROR(IF(D16="SINAPI-S",VLOOKUP(B16,'20-B.SINAPI-S'!A:J,5,0),IF(D16="SINAPI-I",VLOOKUP(B16,'20-A.SINAPI-I'!A:G,6,0),IF(D16="COMPOSIÇÕES",VLOOKUP(B16,'11.COMPOSIÇÕES GERAIS'!B:I,7,0),0))),"Em Elaboração")</f>
        <v>24.6</v>
      </c>
      <c r="I16" s="241">
        <f>IFERROR(IF(D16="SINAPI-S",VLOOKUP(B16,'20-B.SINAPI-S'!A:J,6,0),IF(D16="SINAPI-I",VLOOKUP(B16,'20-A.SINAPI-I'!A:G,7,0),IF(D16="COMPOSIÇÕES",VLOOKUP(B16,'11.COMPOSIÇÕES GERAIS'!B:I,8,0),VLOOKUP(B16,'12.COT.MERCADO'!A:I,8,0)))),"Em Elaboração")</f>
        <v>7.19</v>
      </c>
      <c r="J16" s="241">
        <f t="shared" si="5"/>
        <v>28.87850506</v>
      </c>
      <c r="K16" s="241">
        <f t="shared" si="6"/>
        <v>8.421895667</v>
      </c>
      <c r="L16" s="241">
        <f t="shared" si="7"/>
        <v>37.30040073</v>
      </c>
      <c r="M16" s="241">
        <f t="shared" si="8"/>
        <v>288.7850506</v>
      </c>
      <c r="N16" s="241">
        <f t="shared" si="9"/>
        <v>84.21895667</v>
      </c>
      <c r="O16" s="241">
        <f t="shared" si="10"/>
        <v>373.0040073</v>
      </c>
      <c r="P16" s="242">
        <f t="shared" si="3"/>
        <v>0.001196212328</v>
      </c>
    </row>
    <row r="17">
      <c r="A17" s="236" t="s">
        <v>222</v>
      </c>
      <c r="B17" s="237">
        <f>VLOOKUP(A17,'Planilha_Sintética_Geral'!A:P,2,0)</f>
        <v>88273</v>
      </c>
      <c r="C17" s="238" t="str">
        <f t="shared" si="4"/>
        <v>SINAPI</v>
      </c>
      <c r="D17" s="238" t="s">
        <v>218</v>
      </c>
      <c r="E17" s="239" t="str">
        <f>IFERROR(IF(D17="SINAPI-S",VLOOKUP(B17,'20-B.SINAPI-S'!A:J,2,0),IF(D17="SINAPI-I",VLOOKUP(B17,'20-A.SINAPI-I'!A:G,2,0),IF(D17="COMPOSIÇÕES",VLOOKUP(B17,'11.COMPOSIÇÕES GERAIS'!B:I,2,0),VLOOKUP(B17,'12.COT.MERCADO'!A:I,2,0)))),"Em Elaboração")</f>
        <v>MARCENEIRO COM ENCARGOS COMPLEMENTARES</v>
      </c>
      <c r="F17" s="240" t="str">
        <f>IFERROR(IF(D17="SINAPI-S",VLOOKUP(B17,'20-B.SINAPI-S'!A:J,3,0),IF(D17="SINAPI-I",VLOOKUP(B17,'20-A.SINAPI-I'!A:G,3,0),IF(D17="COMPOSIÇÕES",VLOOKUP(B17,'11.COMPOSIÇÕES GERAIS'!B:I,3,0),VLOOKUP(B17,'12.COT.MERCADO'!A:I,7,0)))),"Em Elaboração")</f>
        <v>H</v>
      </c>
      <c r="G17" s="237">
        <v>10.0</v>
      </c>
      <c r="H17" s="241">
        <f>IFERROR(IF(D17="SINAPI-S",VLOOKUP(B17,'20-B.SINAPI-S'!A:J,5,0),IF(D17="SINAPI-I",VLOOKUP(B17,'20-A.SINAPI-I'!A:G,6,0),IF(D17="COMPOSIÇÕES",VLOOKUP(B17,'11.COMPOSIÇÕES GERAIS'!B:I,7,0),0))),"Em Elaboração")</f>
        <v>22.47</v>
      </c>
      <c r="I17" s="241">
        <f>IFERROR(IF(D17="SINAPI-S",VLOOKUP(B17,'20-B.SINAPI-S'!A:J,6,0),IF(D17="SINAPI-I",VLOOKUP(B17,'20-A.SINAPI-I'!A:G,7,0),IF(D17="COMPOSIÇÕES",VLOOKUP(B17,'11.COMPOSIÇÕES GERAIS'!B:I,8,0),VLOOKUP(B17,'12.COT.MERCADO'!A:I,8,0)))),"Em Elaboração")</f>
        <v>7.69</v>
      </c>
      <c r="J17" s="241">
        <f t="shared" si="5"/>
        <v>26.37804914</v>
      </c>
      <c r="K17" s="241">
        <f t="shared" si="6"/>
        <v>9.00756296</v>
      </c>
      <c r="L17" s="241">
        <f t="shared" si="7"/>
        <v>35.3856121</v>
      </c>
      <c r="M17" s="241">
        <f t="shared" si="8"/>
        <v>263.7804914</v>
      </c>
      <c r="N17" s="241">
        <f t="shared" si="9"/>
        <v>90.0756296</v>
      </c>
      <c r="O17" s="241">
        <f t="shared" si="10"/>
        <v>353.856121</v>
      </c>
      <c r="P17" s="242">
        <f t="shared" si="3"/>
        <v>0.001134805648</v>
      </c>
    </row>
    <row r="18">
      <c r="A18" s="236" t="s">
        <v>223</v>
      </c>
      <c r="B18" s="237">
        <f>VLOOKUP(A18,'Planilha_Sintética_Geral'!A:P,2,0)</f>
        <v>88317</v>
      </c>
      <c r="C18" s="238" t="str">
        <f t="shared" si="4"/>
        <v>SINAPI</v>
      </c>
      <c r="D18" s="238" t="s">
        <v>218</v>
      </c>
      <c r="E18" s="239" t="str">
        <f>IFERROR(IF(D18="SINAPI-S",VLOOKUP(B18,'20-B.SINAPI-S'!A:J,2,0),IF(D18="SINAPI-I",VLOOKUP(B18,'20-A.SINAPI-I'!A:G,2,0),IF(D18="COMPOSIÇÕES",VLOOKUP(B18,'11.COMPOSIÇÕES GERAIS'!B:I,2,0),VLOOKUP(B18,'12.COT.MERCADO'!A:I,2,0)))),"Em Elaboração")</f>
        <v>SOLDADOR COM ENCARGOS COMPLEMENTARES</v>
      </c>
      <c r="F18" s="240" t="str">
        <f>IFERROR(IF(D18="SINAPI-S",VLOOKUP(B18,'20-B.SINAPI-S'!A:J,3,0),IF(D18="SINAPI-I",VLOOKUP(B18,'20-A.SINAPI-I'!A:G,3,0),IF(D18="COMPOSIÇÕES",VLOOKUP(B18,'11.COMPOSIÇÕES GERAIS'!B:I,3,0),VLOOKUP(B18,'12.COT.MERCADO'!A:I,7,0)))),"Em Elaboração")</f>
        <v>H</v>
      </c>
      <c r="G18" s="237">
        <v>5.0</v>
      </c>
      <c r="H18" s="241">
        <f>IFERROR(IF(D18="SINAPI-S",VLOOKUP(B18,'20-B.SINAPI-S'!A:J,5,0),IF(D18="SINAPI-I",VLOOKUP(B18,'20-A.SINAPI-I'!A:G,6,0),IF(D18="COMPOSIÇÕES",VLOOKUP(B18,'11.COMPOSIÇÕES GERAIS'!B:I,7,0),0))),"Em Elaboração")</f>
        <v>25.12</v>
      </c>
      <c r="I18" s="241">
        <f>IFERROR(IF(D18="SINAPI-S",VLOOKUP(B18,'20-B.SINAPI-S'!A:J,6,0),IF(D18="SINAPI-I",VLOOKUP(B18,'20-A.SINAPI-I'!A:G,7,0),IF(D18="COMPOSIÇÕES",VLOOKUP(B18,'11.COMPOSIÇÕES GERAIS'!B:I,8,0),VLOOKUP(B18,'12.COT.MERCADO'!A:I,8,0)))),"Em Elaboração")</f>
        <v>8.71</v>
      </c>
      <c r="J18" s="241">
        <f t="shared" si="5"/>
        <v>29.48894501</v>
      </c>
      <c r="K18" s="241">
        <f t="shared" si="6"/>
        <v>10.20232424</v>
      </c>
      <c r="L18" s="241">
        <f t="shared" si="7"/>
        <v>39.69126924</v>
      </c>
      <c r="M18" s="241">
        <f t="shared" si="8"/>
        <v>147.444725</v>
      </c>
      <c r="N18" s="241">
        <f t="shared" si="9"/>
        <v>51.01162118</v>
      </c>
      <c r="O18" s="241">
        <f t="shared" si="10"/>
        <v>198.4563462</v>
      </c>
      <c r="P18" s="242">
        <f t="shared" si="3"/>
        <v>0.0006364433714</v>
      </c>
    </row>
    <row r="19">
      <c r="A19" s="236" t="s">
        <v>224</v>
      </c>
      <c r="B19" s="237">
        <f>VLOOKUP(A19,'Planilha_Sintética_Geral'!A:P,2,0)</f>
        <v>88315</v>
      </c>
      <c r="C19" s="238" t="str">
        <f t="shared" si="4"/>
        <v>SINAPI</v>
      </c>
      <c r="D19" s="238" t="s">
        <v>218</v>
      </c>
      <c r="E19" s="239" t="str">
        <f>IFERROR(IF(D19="SINAPI-S",VLOOKUP(B19,'20-B.SINAPI-S'!A:J,2,0),IF(D19="SINAPI-I",VLOOKUP(B19,'20-A.SINAPI-I'!A:G,2,0),IF(D19="COMPOSIÇÕES",VLOOKUP(B19,'11.COMPOSIÇÕES GERAIS'!B:I,2,0),VLOOKUP(B19,'12.COT.MERCADO'!A:I,2,0)))),"Em Elaboração")</f>
        <v>SERRALHEIRO COM ENCARGOS COMPLEMENTARES</v>
      </c>
      <c r="F19" s="240" t="str">
        <f>IFERROR(IF(D19="SINAPI-S",VLOOKUP(B19,'20-B.SINAPI-S'!A:J,3,0),IF(D19="SINAPI-I",VLOOKUP(B19,'20-A.SINAPI-I'!A:G,3,0),IF(D19="COMPOSIÇÕES",VLOOKUP(B19,'11.COMPOSIÇÕES GERAIS'!B:I,3,0),VLOOKUP(B19,'12.COT.MERCADO'!A:I,7,0)))),"Em Elaboração")</f>
        <v>H</v>
      </c>
      <c r="G19" s="237">
        <v>10.0</v>
      </c>
      <c r="H19" s="241">
        <f>IFERROR(IF(D19="SINAPI-S",VLOOKUP(B19,'20-B.SINAPI-S'!A:J,5,0),IF(D19="SINAPI-I",VLOOKUP(B19,'20-A.SINAPI-I'!A:G,6,0),IF(D19="COMPOSIÇÕES",VLOOKUP(B19,'11.COMPOSIÇÕES GERAIS'!B:I,7,0),0))),"Em Elaboração")</f>
        <v>24.44</v>
      </c>
      <c r="I19" s="241">
        <f>IFERROR(IF(D19="SINAPI-S",VLOOKUP(B19,'20-B.SINAPI-S'!A:J,6,0),IF(D19="SINAPI-I",VLOOKUP(B19,'20-A.SINAPI-I'!A:G,7,0),IF(D19="COMPOSIÇÕES",VLOOKUP(B19,'11.COMPOSIÇÕES GERAIS'!B:I,8,0),VLOOKUP(B19,'12.COT.MERCADO'!A:I,8,0)))),"Em Elaboração")</f>
        <v>7.87</v>
      </c>
      <c r="J19" s="241">
        <f t="shared" si="5"/>
        <v>28.69067739</v>
      </c>
      <c r="K19" s="241">
        <f t="shared" si="6"/>
        <v>9.218403185</v>
      </c>
      <c r="L19" s="241">
        <f t="shared" si="7"/>
        <v>37.90908057</v>
      </c>
      <c r="M19" s="241">
        <f t="shared" si="8"/>
        <v>286.9067739</v>
      </c>
      <c r="N19" s="241">
        <f t="shared" si="9"/>
        <v>92.18403185</v>
      </c>
      <c r="O19" s="241">
        <f t="shared" si="10"/>
        <v>379.0908057</v>
      </c>
      <c r="P19" s="242">
        <f t="shared" si="3"/>
        <v>0.001215732503</v>
      </c>
    </row>
    <row r="20">
      <c r="A20" s="236" t="s">
        <v>225</v>
      </c>
      <c r="B20" s="237">
        <f>VLOOKUP(A20,'Planilha_Sintética_Geral'!A:P,2,0)</f>
        <v>88264</v>
      </c>
      <c r="C20" s="238" t="str">
        <f t="shared" si="4"/>
        <v>SINAPI</v>
      </c>
      <c r="D20" s="238" t="s">
        <v>218</v>
      </c>
      <c r="E20" s="239" t="str">
        <f>IFERROR(IF(D20="SINAPI-S",VLOOKUP(B20,'20-B.SINAPI-S'!A:J,2,0),IF(D20="SINAPI-I",VLOOKUP(B20,'20-A.SINAPI-I'!A:G,2,0),IF(D20="COMPOSIÇÕES",VLOOKUP(B20,'11.COMPOSIÇÕES GERAIS'!B:I,2,0),VLOOKUP(B20,'12.COT.MERCADO'!A:I,2,0)))),"Em Elaboração")</f>
        <v>ELETRICISTA COM ENCARGOS COMPLEMENTARES</v>
      </c>
      <c r="F20" s="240" t="str">
        <f>IFERROR(IF(D20="SINAPI-S",VLOOKUP(B20,'20-B.SINAPI-S'!A:J,3,0),IF(D20="SINAPI-I",VLOOKUP(B20,'20-A.SINAPI-I'!A:G,3,0),IF(D20="COMPOSIÇÕES",VLOOKUP(B20,'11.COMPOSIÇÕES GERAIS'!B:I,3,0),VLOOKUP(B20,'12.COT.MERCADO'!A:I,7,0)))),"Em Elaboração")</f>
        <v>H</v>
      </c>
      <c r="G20" s="237">
        <v>20.0</v>
      </c>
      <c r="H20" s="241">
        <f>IFERROR(IF(D20="SINAPI-S",VLOOKUP(B20,'20-B.SINAPI-S'!A:J,5,0),IF(D20="SINAPI-I",VLOOKUP(B20,'20-A.SINAPI-I'!A:G,6,0),IF(D20="COMPOSIÇÕES",VLOOKUP(B20,'11.COMPOSIÇÕES GERAIS'!B:I,7,0),0))),"Em Elaboração")</f>
        <v>25.09</v>
      </c>
      <c r="I20" s="241">
        <f>IFERROR(IF(D20="SINAPI-S",VLOOKUP(B20,'20-B.SINAPI-S'!A:J,6,0),IF(D20="SINAPI-I",VLOOKUP(B20,'20-A.SINAPI-I'!A:G,7,0),IF(D20="COMPOSIÇÕES",VLOOKUP(B20,'11.COMPOSIÇÕES GERAIS'!B:I,8,0),VLOOKUP(B20,'12.COT.MERCADO'!A:I,8,0)))),"Em Elaboração")</f>
        <v>7.86</v>
      </c>
      <c r="J20" s="241">
        <f t="shared" si="5"/>
        <v>29.45372732</v>
      </c>
      <c r="K20" s="241">
        <f t="shared" si="6"/>
        <v>9.206689839</v>
      </c>
      <c r="L20" s="241">
        <f t="shared" si="7"/>
        <v>38.66041716</v>
      </c>
      <c r="M20" s="241">
        <f t="shared" si="8"/>
        <v>589.0745463</v>
      </c>
      <c r="N20" s="241">
        <f t="shared" si="9"/>
        <v>184.1337968</v>
      </c>
      <c r="O20" s="241">
        <f t="shared" si="10"/>
        <v>773.2083431</v>
      </c>
      <c r="P20" s="242">
        <f t="shared" si="3"/>
        <v>0.00247965527</v>
      </c>
    </row>
    <row r="21">
      <c r="A21" s="236" t="s">
        <v>226</v>
      </c>
      <c r="B21" s="237">
        <f>VLOOKUP(A21,'Planilha_Sintética_Geral'!A:P,2,0)</f>
        <v>90777</v>
      </c>
      <c r="C21" s="238" t="str">
        <f t="shared" si="4"/>
        <v>SINAPI</v>
      </c>
      <c r="D21" s="238" t="s">
        <v>218</v>
      </c>
      <c r="E21" s="239" t="str">
        <f>IFERROR(IF(D21="SINAPI-S",VLOOKUP(B21,'20-B.SINAPI-S'!A:J,2,0),IF(D21="SINAPI-I",VLOOKUP(B21,'20-A.SINAPI-I'!A:G,2,0),IF(D21="COMPOSIÇÕES",VLOOKUP(B21,'11.COMPOSIÇÕES GERAIS'!B:I,2,0),VLOOKUP(B21,'12.COT.MERCADO'!A:I,2,0)))),"Em Elaboração")</f>
        <v>ENGENHEIRO CIVIL DE OBRA JUNIOR COM ENCARGOS COMPLEMENTARES</v>
      </c>
      <c r="F21" s="240" t="str">
        <f>IFERROR(IF(D21="SINAPI-S",VLOOKUP(B21,'20-B.SINAPI-S'!A:J,3,0),IF(D21="SINAPI-I",VLOOKUP(B21,'20-A.SINAPI-I'!A:G,3,0),IF(D21="COMPOSIÇÕES",VLOOKUP(B21,'11.COMPOSIÇÕES GERAIS'!B:I,3,0),VLOOKUP(B21,'12.COT.MERCADO'!A:I,7,0)))),"Em Elaboração")</f>
        <v>H</v>
      </c>
      <c r="G21" s="237">
        <v>80.0</v>
      </c>
      <c r="H21" s="241">
        <f>IFERROR(IF(D21="SINAPI-S",VLOOKUP(B21,'20-B.SINAPI-S'!A:J,5,0),IF(D21="SINAPI-I",VLOOKUP(B21,'20-A.SINAPI-I'!A:G,6,0),IF(D21="COMPOSIÇÕES",VLOOKUP(B21,'11.COMPOSIÇÕES GERAIS'!B:I,7,0),0))),"Em Elaboração")</f>
        <v>112.38</v>
      </c>
      <c r="I21" s="241">
        <f>IFERROR(IF(D21="SINAPI-S",VLOOKUP(B21,'20-B.SINAPI-S'!A:J,6,0),IF(D21="SINAPI-I",VLOOKUP(B21,'20-A.SINAPI-I'!A:G,7,0),IF(D21="COMPOSIÇÕES",VLOOKUP(B21,'11.COMPOSIÇÕES GERAIS'!B:I,8,0),VLOOKUP(B21,'12.COT.MERCADO'!A:I,8,0)))),"Em Elaboração")</f>
        <v>1.93</v>
      </c>
      <c r="J21" s="241">
        <f t="shared" si="5"/>
        <v>131.9254634</v>
      </c>
      <c r="K21" s="241">
        <f t="shared" si="6"/>
        <v>2.260675749</v>
      </c>
      <c r="L21" s="241">
        <f t="shared" si="7"/>
        <v>134.1861391</v>
      </c>
      <c r="M21" s="241">
        <f t="shared" si="8"/>
        <v>10554.03707</v>
      </c>
      <c r="N21" s="241">
        <f t="shared" si="9"/>
        <v>180.8540599</v>
      </c>
      <c r="O21" s="241">
        <f t="shared" si="10"/>
        <v>10734.89113</v>
      </c>
      <c r="P21" s="242">
        <f t="shared" si="3"/>
        <v>0.03442646422</v>
      </c>
    </row>
    <row r="22">
      <c r="A22" s="236" t="s">
        <v>227</v>
      </c>
      <c r="B22" s="237">
        <f>VLOOKUP(A22,'Planilha_Sintética_Geral'!A:P,2,0)</f>
        <v>91677</v>
      </c>
      <c r="C22" s="238" t="str">
        <f t="shared" si="4"/>
        <v>SINAPI</v>
      </c>
      <c r="D22" s="238" t="s">
        <v>218</v>
      </c>
      <c r="E22" s="239" t="str">
        <f>IFERROR(IF(D22="SINAPI-S",VLOOKUP(B22,'20-B.SINAPI-S'!A:J,2,0),IF(D22="SINAPI-I",VLOOKUP(B22,'20-A.SINAPI-I'!A:G,2,0),IF(D22="COMPOSIÇÕES",VLOOKUP(B22,'11.COMPOSIÇÕES GERAIS'!B:I,2,0),VLOOKUP(B22,'12.COT.MERCADO'!A:I,2,0)))),"Em Elaboração")</f>
        <v>ENGENHEIRO ELETRICISTA COM ENCARGOS COMPLEMENTARES</v>
      </c>
      <c r="F22" s="240" t="str">
        <f>IFERROR(IF(D22="SINAPI-S",VLOOKUP(B22,'20-B.SINAPI-S'!A:J,3,0),IF(D22="SINAPI-I",VLOOKUP(B22,'20-A.SINAPI-I'!A:G,3,0),IF(D22="COMPOSIÇÕES",VLOOKUP(B22,'11.COMPOSIÇÕES GERAIS'!B:I,3,0),VLOOKUP(B22,'12.COT.MERCADO'!A:I,7,0)))),"Em Elaboração")</f>
        <v>H</v>
      </c>
      <c r="G22" s="237">
        <v>20.0</v>
      </c>
      <c r="H22" s="241">
        <f>IFERROR(IF(D22="SINAPI-S",VLOOKUP(B22,'20-B.SINAPI-S'!A:J,5,0),IF(D22="SINAPI-I",VLOOKUP(B22,'20-A.SINAPI-I'!A:G,6,0),IF(D22="COMPOSIÇÕES",VLOOKUP(B22,'11.COMPOSIÇÕES GERAIS'!B:I,7,0),0))),"Em Elaboração")</f>
        <v>112.98</v>
      </c>
      <c r="I22" s="241">
        <f>IFERROR(IF(D22="SINAPI-S",VLOOKUP(B22,'20-B.SINAPI-S'!A:J,6,0),IF(D22="SINAPI-I",VLOOKUP(B22,'20-A.SINAPI-I'!A:G,7,0),IF(D22="COMPOSIÇÕES",VLOOKUP(B22,'11.COMPOSIÇÕES GERAIS'!B:I,8,0),VLOOKUP(B22,'12.COT.MERCADO'!A:I,8,0)))),"Em Elaboração")</f>
        <v>1.93</v>
      </c>
      <c r="J22" s="241">
        <f t="shared" si="5"/>
        <v>132.6298172</v>
      </c>
      <c r="K22" s="241">
        <f t="shared" si="6"/>
        <v>2.260675749</v>
      </c>
      <c r="L22" s="241">
        <f t="shared" si="7"/>
        <v>134.8904929</v>
      </c>
      <c r="M22" s="241">
        <f t="shared" si="8"/>
        <v>2652.596343</v>
      </c>
      <c r="N22" s="241">
        <f t="shared" si="9"/>
        <v>45.21351499</v>
      </c>
      <c r="O22" s="241">
        <f t="shared" si="10"/>
        <v>2697.809858</v>
      </c>
      <c r="P22" s="242">
        <f t="shared" si="3"/>
        <v>0.008651792871</v>
      </c>
    </row>
    <row r="23" ht="21.0" customHeight="1">
      <c r="A23" s="232">
        <v>44962.0</v>
      </c>
      <c r="B23" s="580" t="s">
        <v>228</v>
      </c>
      <c r="C23" s="44"/>
      <c r="D23" s="44"/>
      <c r="E23" s="44"/>
      <c r="F23" s="44"/>
      <c r="G23" s="44"/>
      <c r="H23" s="44"/>
      <c r="I23" s="44"/>
      <c r="J23" s="44"/>
      <c r="K23" s="44"/>
      <c r="L23" s="44"/>
      <c r="M23" s="581">
        <f t="shared" ref="M23:O23" si="11">SUM(M24:M290)</f>
        <v>42119.25526</v>
      </c>
      <c r="N23" s="581">
        <f t="shared" si="11"/>
        <v>166606.5086</v>
      </c>
      <c r="O23" s="581">
        <f t="shared" si="11"/>
        <v>208725.7638</v>
      </c>
      <c r="P23" s="578">
        <f t="shared" si="3"/>
        <v>0.6693770764</v>
      </c>
    </row>
    <row r="24">
      <c r="A24" s="236" t="s">
        <v>229</v>
      </c>
      <c r="B24" s="237" t="str">
        <f>VLOOKUP(A24,'Planilha_Sintética_Geral'!A:P,2,0)</f>
        <v>MAN_PR_001</v>
      </c>
      <c r="C24" s="238" t="str">
        <f t="shared" ref="C24:C290" si="12">IF(OR(D24="SINAPI-S",D24="SINAPI-I"),"SINAPI","PRÓPRIO")</f>
        <v>PRÓPRIO</v>
      </c>
      <c r="D24" s="243" t="s">
        <v>230</v>
      </c>
      <c r="E24" s="239" t="str">
        <f>IFERROR(IF(D24="SINAPI-S",VLOOKUP(B24,'20-B.SINAPI-S'!A:J,2,0),IF(D24="SINAPI-I",VLOOKUP(B24,'20-A.SINAPI-I'!A:G,2,0),IF(D24="COMPOSIÇÕES",VLOOKUP(B24,'11.COMPOSIÇÕES GERAIS'!B:I,2,0),VLOOKUP(B24,'12.COT.MERCADO'!A:I,2,0)))),"Em Elaboração")</f>
        <v>FORNECIMENTO E INSTALAÇÃO DE SUPORTE DE PAREDE FIXO PARA TV E MONITOR DE 32 À 80 POLEGADAS</v>
      </c>
      <c r="F24" s="240" t="str">
        <f>IFERROR(IF(D24="SINAPI-S",VLOOKUP(B24,'20-B.SINAPI-S'!A:J,3,0),IF(D24="SINAPI-I",VLOOKUP(B24,'20-A.SINAPI-I'!A:G,3,0),IF(D24="COMPOSIÇÕES",VLOOKUP(B24,'11.COMPOSIÇÕES GERAIS'!B:I,3,0),VLOOKUP(B24,'12.COT.MERCADO'!A:I,7,0)))),"Em Elaboração")</f>
        <v>UN</v>
      </c>
      <c r="G24" s="244">
        <f>VLOOKUP(A24,'Planilha_Sintética_Geral'!A:O,7,0)</f>
        <v>3</v>
      </c>
      <c r="H24" s="241">
        <f>IFERROR(IF(D24="SINAPI-S",VLOOKUP(B24,'20-B.SINAPI-S'!A:J,5,0),IF(D24="SINAPI-I",VLOOKUP(B24,'20-A.SINAPI-I'!A:G,6,0),IF(D24="COMPOSIÇÕES",VLOOKUP(B24,'11.COMPOSIÇÕES GERAIS'!B:I,7,0),0))),"Em Elaboração")</f>
        <v>62.72</v>
      </c>
      <c r="I24" s="241">
        <f>IFERROR(IF(D24="SINAPI-S",VLOOKUP(B24,'20-B.SINAPI-S'!A:J,6,0),IF(D24="SINAPI-I",VLOOKUP(B24,'20-A.SINAPI-I'!A:G,7,0),IF(D24="COMPOSIÇÕES",VLOOKUP(B24,'11.COMPOSIÇÕES GERAIS'!B:I,8,0),VLOOKUP(B24,'12.COT.MERCADO'!A:I,8,0)))),"Em Elaboração")</f>
        <v>197.26</v>
      </c>
      <c r="J24" s="241">
        <f t="shared" ref="J24:J290" si="13">H24*(1+$J$5)</f>
        <v>73.62844868</v>
      </c>
      <c r="K24" s="241">
        <f t="shared" ref="K24:K290" si="14">I24*(1+$J$8)</f>
        <v>231.0574603</v>
      </c>
      <c r="L24" s="241">
        <f t="shared" ref="L24:L290" si="15">SUM(J24:K24)</f>
        <v>304.6859089</v>
      </c>
      <c r="M24" s="241">
        <f t="shared" ref="M24:M290" si="16">J24*G24</f>
        <v>220.885346</v>
      </c>
      <c r="N24" s="241">
        <f t="shared" ref="N24:N290" si="17">K24*G24</f>
        <v>693.1723808</v>
      </c>
      <c r="O24" s="241">
        <f t="shared" ref="O24:O290" si="18">SUM(M24:N24)</f>
        <v>914.0577268</v>
      </c>
      <c r="P24" s="242">
        <f t="shared" si="3"/>
        <v>0.002931354892</v>
      </c>
    </row>
    <row r="25">
      <c r="A25" s="236" t="s">
        <v>231</v>
      </c>
      <c r="B25" s="237">
        <f>VLOOKUP(A25,'Planilha_Sintética_Geral'!A:P,2,0)</f>
        <v>100903</v>
      </c>
      <c r="C25" s="238" t="str">
        <f t="shared" si="12"/>
        <v>SINAPI</v>
      </c>
      <c r="D25" s="243" t="s">
        <v>218</v>
      </c>
      <c r="E25" s="239" t="str">
        <f>IFERROR(IF(D25="SINAPI-S",VLOOKUP(B25,'20-B.SINAPI-S'!A:J,2,0),IF(D25="SINAPI-I",VLOOKUP(B25,'20-A.SINAPI-I'!A:G,2,0),IF(D25="COMPOSIÇÕES",VLOOKUP(B25,'11.COMPOSIÇÕES GERAIS'!B:I,2,0),VLOOKUP(B25,'12.COT.MERCADO'!A:I,2,0)))),"Em Elaboração")</f>
        <v>LÂMPADA TUBULAR LED DE 18/20 W, BASE G13 - FORNECIMENTO E INSTALAÇÃO. AF_02/2020_PS</v>
      </c>
      <c r="F25" s="240" t="str">
        <f>IFERROR(IF(D25="SINAPI-S",VLOOKUP(B25,'20-B.SINAPI-S'!A:J,3,0),IF(D25="SINAPI-I",VLOOKUP(B25,'20-A.SINAPI-I'!A:G,3,0),IF(D25="COMPOSIÇÕES",VLOOKUP(B25,'11.COMPOSIÇÕES GERAIS'!B:I,3,0),VLOOKUP(B25,'12.COT.MERCADO'!A:I,7,0)))),"Em Elaboração")</f>
        <v>UN</v>
      </c>
      <c r="G25" s="244">
        <f>VLOOKUP(A25,'Planilha_Sintética_Geral'!A:O,7,0)</f>
        <v>227</v>
      </c>
      <c r="H25" s="241">
        <f>IFERROR(IF(D25="SINAPI-S",VLOOKUP(B25,'20-B.SINAPI-S'!A:J,5,0),IF(D25="SINAPI-I",VLOOKUP(B25,'20-A.SINAPI-I'!A:G,6,0),IF(D25="COMPOSIÇÕES",VLOOKUP(B25,'11.COMPOSIÇÕES GERAIS'!B:I,7,0),0))),"Em Elaboração")</f>
        <v>8.2</v>
      </c>
      <c r="I25" s="241">
        <f>IFERROR(IF(D25="SINAPI-S",VLOOKUP(B25,'20-B.SINAPI-S'!A:J,6,0),IF(D25="SINAPI-I",VLOOKUP(B25,'20-A.SINAPI-I'!A:G,7,0),IF(D25="COMPOSIÇÕES",VLOOKUP(B25,'11.COMPOSIÇÕES GERAIS'!B:I,8,0),VLOOKUP(B25,'12.COT.MERCADO'!A:I,8,0)))),"Em Elaboração")</f>
        <v>24.04</v>
      </c>
      <c r="J25" s="241">
        <f t="shared" si="13"/>
        <v>9.626168354</v>
      </c>
      <c r="K25" s="241">
        <f t="shared" si="14"/>
        <v>28.15888343</v>
      </c>
      <c r="L25" s="241">
        <f t="shared" si="15"/>
        <v>37.78505178</v>
      </c>
      <c r="M25" s="241">
        <f t="shared" si="16"/>
        <v>2185.140216</v>
      </c>
      <c r="N25" s="241">
        <f t="shared" si="17"/>
        <v>6392.066538</v>
      </c>
      <c r="O25" s="241">
        <f t="shared" si="18"/>
        <v>8577.206754</v>
      </c>
      <c r="P25" s="242">
        <f t="shared" si="3"/>
        <v>0.02750683709</v>
      </c>
    </row>
    <row r="26">
      <c r="A26" s="236" t="s">
        <v>232</v>
      </c>
      <c r="B26" s="237">
        <f>VLOOKUP(A26,'Planilha_Sintética_Geral'!A:P,2,0)</f>
        <v>91953</v>
      </c>
      <c r="C26" s="238" t="str">
        <f t="shared" si="12"/>
        <v>SINAPI</v>
      </c>
      <c r="D26" s="238" t="s">
        <v>218</v>
      </c>
      <c r="E26" s="239" t="str">
        <f>IFERROR(IF(D26="SINAPI-S",VLOOKUP(B26,'20-B.SINAPI-S'!A:J,2,0),IF(D26="SINAPI-I",VLOOKUP(B26,'20-A.SINAPI-I'!A:G,2,0),IF(D26="COMPOSIÇÕES",VLOOKUP(B26,'11.COMPOSIÇÕES GERAIS'!B:I,2,0),VLOOKUP(B26,'12.COT.MERCADO'!A:I,2,0)))),"Em Elaboração")</f>
        <v>INTERRUPTOR SIMPLES (1 MÓDULO), 10A/250V, INCLUINDO SUPORTE E PLACA - FORNECIMENTO E INSTALAÇÃO. AF_03/2023</v>
      </c>
      <c r="F26" s="240" t="str">
        <f>IFERROR(IF(D26="SINAPI-S",VLOOKUP(B26,'20-B.SINAPI-S'!A:J,3,0),IF(D26="SINAPI-I",VLOOKUP(B26,'20-A.SINAPI-I'!A:G,3,0),IF(D26="COMPOSIÇÕES",VLOOKUP(B26,'11.COMPOSIÇÕES GERAIS'!B:I,3,0),VLOOKUP(B26,'12.COT.MERCADO'!A:I,7,0)))),"Em Elaboração")</f>
        <v>UN</v>
      </c>
      <c r="G26" s="244">
        <f>VLOOKUP(A26,'Planilha_Sintética_Geral'!A:O,7,0)</f>
        <v>1</v>
      </c>
      <c r="H26" s="241">
        <f>IFERROR(IF(D26="SINAPI-S",VLOOKUP(B26,'20-B.SINAPI-S'!A:J,5,0),IF(D26="SINAPI-I",VLOOKUP(B26,'20-A.SINAPI-I'!A:G,6,0),IF(D26="COMPOSIÇÕES",VLOOKUP(B26,'11.COMPOSIÇÕES GERAIS'!B:I,7,0),0))),"Em Elaboração")</f>
        <v>15.98</v>
      </c>
      <c r="I26" s="241">
        <f>IFERROR(IF(D26="SINAPI-S",VLOOKUP(B26,'20-B.SINAPI-S'!A:J,6,0),IF(D26="SINAPI-I",VLOOKUP(B26,'20-A.SINAPI-I'!A:G,7,0),IF(D26="COMPOSIÇÕES",VLOOKUP(B26,'11.COMPOSIÇÕES GERAIS'!B:I,8,0),VLOOKUP(B26,'12.COT.MERCADO'!A:I,8,0)))),"Em Elaboração")</f>
        <v>17.79</v>
      </c>
      <c r="J26" s="241">
        <f t="shared" si="13"/>
        <v>18.75928906</v>
      </c>
      <c r="K26" s="241">
        <f t="shared" si="14"/>
        <v>20.83804227</v>
      </c>
      <c r="L26" s="241">
        <f t="shared" si="15"/>
        <v>39.59733133</v>
      </c>
      <c r="M26" s="241">
        <f t="shared" si="16"/>
        <v>18.75928906</v>
      </c>
      <c r="N26" s="241">
        <f t="shared" si="17"/>
        <v>20.83804227</v>
      </c>
      <c r="O26" s="241">
        <f t="shared" si="18"/>
        <v>39.59733133</v>
      </c>
      <c r="P26" s="242">
        <f t="shared" si="3"/>
        <v>0.0001269874183</v>
      </c>
    </row>
    <row r="27">
      <c r="A27" s="236" t="s">
        <v>233</v>
      </c>
      <c r="B27" s="237" t="str">
        <f>VLOOKUP(A27,'Planilha_Sintética_Geral'!A:P,2,0)</f>
        <v>MAN_PR_002</v>
      </c>
      <c r="C27" s="238" t="str">
        <f t="shared" si="12"/>
        <v>PRÓPRIO</v>
      </c>
      <c r="D27" s="243" t="s">
        <v>230</v>
      </c>
      <c r="E27" s="239" t="str">
        <f>IFERROR(IF(D27="SINAPI-S",VLOOKUP(B27,'20-B.SINAPI-S'!A:J,2,0),IF(D27="SINAPI-I",VLOOKUP(B27,'20-A.SINAPI-I'!A:G,2,0),IF(D27="COMPOSIÇÕES",VLOOKUP(B27,'11.COMPOSIÇÕES GERAIS'!B:I,2,0),VLOOKUP(B27,'12.COT.MERCADO'!A:I,2,0)))),"Em Elaboração")</f>
        <v>FORNECIMENTO E INSTALAÇÃO DE CABO DE AÇO 1/8 REVESTIDO COM PVC, TOTAL 50M, PARA PORTA BANDEIRAS</v>
      </c>
      <c r="F27" s="240" t="str">
        <f>IFERROR(IF(D27="SINAPI-S",VLOOKUP(B27,'20-B.SINAPI-S'!A:J,3,0),IF(D27="SINAPI-I",VLOOKUP(B27,'20-A.SINAPI-I'!A:G,3,0),IF(D27="COMPOSIÇÕES",VLOOKUP(B27,'11.COMPOSIÇÕES GERAIS'!B:I,3,0),VLOOKUP(B27,'12.COT.MERCADO'!A:I,7,0)))),"Em Elaboração")</f>
        <v>UN</v>
      </c>
      <c r="G27" s="244">
        <f>VLOOKUP(A27,'Planilha_Sintética_Geral'!A:O,7,0)</f>
        <v>2</v>
      </c>
      <c r="H27" s="241">
        <f>IFERROR(IF(D27="SINAPI-S",VLOOKUP(B27,'20-B.SINAPI-S'!A:J,5,0),IF(D27="SINAPI-I",VLOOKUP(B27,'20-A.SINAPI-I'!A:G,6,0),IF(D27="COMPOSIÇÕES",VLOOKUP(B27,'11.COMPOSIÇÕES GERAIS'!B:I,7,0),0))),"Em Elaboração")</f>
        <v>252.625</v>
      </c>
      <c r="I27" s="241">
        <f>IFERROR(IF(D27="SINAPI-S",VLOOKUP(B27,'20-B.SINAPI-S'!A:J,6,0),IF(D27="SINAPI-I",VLOOKUP(B27,'20-A.SINAPI-I'!A:G,7,0),IF(D27="COMPOSIÇÕES",VLOOKUP(B27,'11.COMPOSIÇÕES GERAIS'!B:I,8,0),VLOOKUP(B27,'12.COT.MERCADO'!A:I,8,0)))),"Em Elaboração")</f>
        <v>528.2825</v>
      </c>
      <c r="J27" s="241">
        <f t="shared" si="13"/>
        <v>296.5622903</v>
      </c>
      <c r="K27" s="241">
        <f t="shared" si="14"/>
        <v>618.795563</v>
      </c>
      <c r="L27" s="241">
        <f t="shared" si="15"/>
        <v>915.3578533</v>
      </c>
      <c r="M27" s="241">
        <f t="shared" si="16"/>
        <v>593.1245806</v>
      </c>
      <c r="N27" s="241">
        <f t="shared" si="17"/>
        <v>1237.591126</v>
      </c>
      <c r="O27" s="241">
        <f t="shared" si="18"/>
        <v>1830.715707</v>
      </c>
      <c r="P27" s="242">
        <f t="shared" si="3"/>
        <v>0.005871048715</v>
      </c>
    </row>
    <row r="28">
      <c r="A28" s="236" t="s">
        <v>234</v>
      </c>
      <c r="B28" s="237" t="str">
        <f>VLOOKUP(A28,'Planilha_Sintética_Geral'!A:P,2,0)</f>
        <v>MAN_PR_003</v>
      </c>
      <c r="C28" s="238" t="str">
        <f t="shared" si="12"/>
        <v>PRÓPRIO</v>
      </c>
      <c r="D28" s="243" t="s">
        <v>230</v>
      </c>
      <c r="E28" s="239" t="str">
        <f>IFERROR(IF(D28="SINAPI-S",VLOOKUP(B28,'20-B.SINAPI-S'!A:J,2,0),IF(D28="SINAPI-I",VLOOKUP(B28,'20-A.SINAPI-I'!A:G,2,0),IF(D28="COMPOSIÇÕES",VLOOKUP(B28,'11.COMPOSIÇÕES GERAIS'!B:I,2,0),VLOOKUP(B28,'12.COT.MERCADO'!A:I,2,0)))),"Em Elaboração")</f>
        <v>FORNECIMENTO E INSTALAÇÃO DE VENTILADOR DE PAREDE 50CM COM 6 PÁS, 200W, BIVOLT</v>
      </c>
      <c r="F28" s="240" t="str">
        <f>IFERROR(IF(D28="SINAPI-S",VLOOKUP(B28,'20-B.SINAPI-S'!A:J,3,0),IF(D28="SINAPI-I",VLOOKUP(B28,'20-A.SINAPI-I'!A:G,3,0),IF(D28="COMPOSIÇÕES",VLOOKUP(B28,'11.COMPOSIÇÕES GERAIS'!B:I,3,0),VLOOKUP(B28,'12.COT.MERCADO'!A:I,7,0)))),"Em Elaboração")</f>
        <v>UN</v>
      </c>
      <c r="G28" s="244">
        <f>VLOOKUP(A28,'Planilha_Sintética_Geral'!A:O,7,0)</f>
        <v>4</v>
      </c>
      <c r="H28" s="241">
        <f>IFERROR(IF(D28="SINAPI-S",VLOOKUP(B28,'20-B.SINAPI-S'!A:J,5,0),IF(D28="SINAPI-I",VLOOKUP(B28,'20-A.SINAPI-I'!A:G,6,0),IF(D28="COMPOSIÇÕES",VLOOKUP(B28,'11.COMPOSIÇÕES GERAIS'!B:I,7,0),0))),"Em Elaboração")</f>
        <v>44.29</v>
      </c>
      <c r="I28" s="241">
        <f>IFERROR(IF(D28="SINAPI-S",VLOOKUP(B28,'20-B.SINAPI-S'!A:J,6,0),IF(D28="SINAPI-I",VLOOKUP(B28,'20-A.SINAPI-I'!A:G,7,0),IF(D28="COMPOSIÇÕES",VLOOKUP(B28,'11.COMPOSIÇÕES GERAIS'!B:I,8,0),VLOOKUP(B28,'12.COT.MERCADO'!A:I,8,0)))),"Em Elaboração")</f>
        <v>231.52</v>
      </c>
      <c r="J28" s="241">
        <f t="shared" si="13"/>
        <v>51.99304834</v>
      </c>
      <c r="K28" s="241">
        <f t="shared" si="14"/>
        <v>271.1873832</v>
      </c>
      <c r="L28" s="241">
        <f t="shared" si="15"/>
        <v>323.1804315</v>
      </c>
      <c r="M28" s="241">
        <f t="shared" si="16"/>
        <v>207.9721934</v>
      </c>
      <c r="N28" s="241">
        <f t="shared" si="17"/>
        <v>1084.749533</v>
      </c>
      <c r="O28" s="241">
        <f t="shared" si="18"/>
        <v>1292.721726</v>
      </c>
      <c r="P28" s="242">
        <f t="shared" si="3"/>
        <v>0.004145718639</v>
      </c>
    </row>
    <row r="29">
      <c r="A29" s="236" t="s">
        <v>235</v>
      </c>
      <c r="B29" s="237" t="str">
        <f>VLOOKUP(A29,'Planilha_Sintética_Geral'!A:P,2,0)</f>
        <v>MAN_PR_004</v>
      </c>
      <c r="C29" s="238" t="str">
        <f t="shared" si="12"/>
        <v>PRÓPRIO</v>
      </c>
      <c r="D29" s="243" t="s">
        <v>230</v>
      </c>
      <c r="E29" s="239" t="str">
        <f>IFERROR(IF(D29="SINAPI-S",VLOOKUP(B29,'20-B.SINAPI-S'!A:J,2,0),IF(D29="SINAPI-I",VLOOKUP(B29,'20-A.SINAPI-I'!A:G,2,0),IF(D29="COMPOSIÇÕES",VLOOKUP(B29,'11.COMPOSIÇÕES GERAIS'!B:I,2,0),VLOOKUP(B29,'12.COT.MERCADO'!A:I,2,0)))),"Em Elaboração")</f>
        <v>FORNECIMENTO E INSTALAÇÃO DE PLACAS DE FORRO DE FIBRA MINERAL - EXCLUSIVE ESTRUTURA DE SUSTENTAÇÃO</v>
      </c>
      <c r="F29" s="240" t="str">
        <f>IFERROR(IF(D29="SINAPI-S",VLOOKUP(B29,'20-B.SINAPI-S'!A:J,3,0),IF(D29="SINAPI-I",VLOOKUP(B29,'20-A.SINAPI-I'!A:G,3,0),IF(D29="COMPOSIÇÕES",VLOOKUP(B29,'11.COMPOSIÇÕES GERAIS'!B:I,3,0),VLOOKUP(B29,'12.COT.MERCADO'!A:I,7,0)))),"Em Elaboração")</f>
        <v>UN</v>
      </c>
      <c r="G29" s="244">
        <f>VLOOKUP(A29,'Planilha_Sintética_Geral'!A:O,7,0)</f>
        <v>35</v>
      </c>
      <c r="H29" s="241">
        <f>IFERROR(IF(D29="SINAPI-S",VLOOKUP(B29,'20-B.SINAPI-S'!A:J,5,0),IF(D29="SINAPI-I",VLOOKUP(B29,'20-A.SINAPI-I'!A:G,6,0),IF(D29="COMPOSIÇÕES",VLOOKUP(B29,'11.COMPOSIÇÕES GERAIS'!B:I,7,0),0))),"Em Elaboração")</f>
        <v>4.98273</v>
      </c>
      <c r="I29" s="241">
        <f>IFERROR(IF(D29="SINAPI-S",VLOOKUP(B29,'20-B.SINAPI-S'!A:J,6,0),IF(D29="SINAPI-I",VLOOKUP(B29,'20-A.SINAPI-I'!A:G,7,0),IF(D29="COMPOSIÇÕES",VLOOKUP(B29,'11.COMPOSIÇÕES GERAIS'!B:I,8,0),VLOOKUP(B29,'12.COT.MERCADO'!A:I,8,0)))),"Em Elaboração")</f>
        <v>47.27397</v>
      </c>
      <c r="J29" s="241">
        <f t="shared" si="13"/>
        <v>5.8493412</v>
      </c>
      <c r="K29" s="241">
        <f t="shared" si="14"/>
        <v>55.37363604</v>
      </c>
      <c r="L29" s="241">
        <f t="shared" si="15"/>
        <v>61.22297724</v>
      </c>
      <c r="M29" s="241">
        <f t="shared" si="16"/>
        <v>204.726942</v>
      </c>
      <c r="N29" s="241">
        <f t="shared" si="17"/>
        <v>1938.077261</v>
      </c>
      <c r="O29" s="241">
        <f t="shared" si="18"/>
        <v>2142.804203</v>
      </c>
      <c r="P29" s="242">
        <f t="shared" si="3"/>
        <v>0.006871906882</v>
      </c>
    </row>
    <row r="30">
      <c r="A30" s="236" t="s">
        <v>236</v>
      </c>
      <c r="B30" s="237" t="str">
        <f>VLOOKUP(A30,'Planilha_Sintética_Geral'!A:P,2,0)</f>
        <v>MAN_PR_005</v>
      </c>
      <c r="C30" s="238" t="str">
        <f t="shared" si="12"/>
        <v>PRÓPRIO</v>
      </c>
      <c r="D30" s="243" t="s">
        <v>230</v>
      </c>
      <c r="E30" s="239" t="str">
        <f>IFERROR(IF(D30="SINAPI-S",VLOOKUP(B30,'20-B.SINAPI-S'!A:J,2,0),IF(D30="SINAPI-I",VLOOKUP(B30,'20-A.SINAPI-I'!A:G,2,0),IF(D30="COMPOSIÇÕES",VLOOKUP(B30,'11.COMPOSIÇÕES GERAIS'!B:I,2,0),VLOOKUP(B30,'12.COT.MERCADO'!A:I,2,0)))),"Em Elaboração")</f>
        <v>FORNECIMENTO E INSTALAÇÃO DE BATERIA SELADA 12V - 60 AH</v>
      </c>
      <c r="F30" s="240" t="str">
        <f>IFERROR(IF(D30="SINAPI-S",VLOOKUP(B30,'20-B.SINAPI-S'!A:J,3,0),IF(D30="SINAPI-I",VLOOKUP(B30,'20-A.SINAPI-I'!A:G,3,0),IF(D30="COMPOSIÇÕES",VLOOKUP(B30,'11.COMPOSIÇÕES GERAIS'!B:I,3,0),VLOOKUP(B30,'12.COT.MERCADO'!A:I,7,0)))),"Em Elaboração")</f>
        <v>UN</v>
      </c>
      <c r="G30" s="244">
        <f>VLOOKUP(A30,'Planilha_Sintética_Geral'!A:O,7,0)</f>
        <v>9</v>
      </c>
      <c r="H30" s="241">
        <f>IFERROR(IF(D30="SINAPI-S",VLOOKUP(B30,'20-B.SINAPI-S'!A:J,5,0),IF(D30="SINAPI-I",VLOOKUP(B30,'20-A.SINAPI-I'!A:G,6,0),IF(D30="COMPOSIÇÕES",VLOOKUP(B30,'11.COMPOSIÇÕES GERAIS'!B:I,7,0),0))),"Em Elaboração")</f>
        <v>22.145</v>
      </c>
      <c r="I30" s="241">
        <f>IFERROR(IF(D30="SINAPI-S",VLOOKUP(B30,'20-B.SINAPI-S'!A:J,6,0),IF(D30="SINAPI-I",VLOOKUP(B30,'20-A.SINAPI-I'!A:G,7,0),IF(D30="COMPOSIÇÕES",VLOOKUP(B30,'11.COMPOSIÇÕES GERAIS'!B:I,8,0),VLOOKUP(B30,'12.COT.MERCADO'!A:I,8,0)))),"Em Elaboração")</f>
        <v>483.72</v>
      </c>
      <c r="J30" s="241">
        <f t="shared" si="13"/>
        <v>25.99652417</v>
      </c>
      <c r="K30" s="241">
        <f t="shared" si="14"/>
        <v>566.5979655</v>
      </c>
      <c r="L30" s="241">
        <f t="shared" si="15"/>
        <v>592.5944897</v>
      </c>
      <c r="M30" s="241">
        <f t="shared" si="16"/>
        <v>233.9687175</v>
      </c>
      <c r="N30" s="241">
        <f t="shared" si="17"/>
        <v>5099.38169</v>
      </c>
      <c r="O30" s="241">
        <f t="shared" si="18"/>
        <v>5333.350407</v>
      </c>
      <c r="P30" s="242">
        <f t="shared" si="3"/>
        <v>0.01710388999</v>
      </c>
    </row>
    <row r="31">
      <c r="A31" s="236" t="s">
        <v>237</v>
      </c>
      <c r="B31" s="237">
        <f>VLOOKUP(A31,'Planilha_Sintética_Geral'!A:P,2,0)</f>
        <v>88489</v>
      </c>
      <c r="C31" s="238" t="str">
        <f t="shared" si="12"/>
        <v>SINAPI</v>
      </c>
      <c r="D31" s="238" t="s">
        <v>218</v>
      </c>
      <c r="E31" s="239" t="str">
        <f>IFERROR(IF(D31="SINAPI-S",VLOOKUP(B31,'20-B.SINAPI-S'!A:J,2,0),IF(D31="SINAPI-I",VLOOKUP(B31,'20-A.SINAPI-I'!A:G,2,0),IF(D31="COMPOSIÇÕES",VLOOKUP(B31,'11.COMPOSIÇÕES GERAIS'!B:I,2,0),VLOOKUP(B31,'12.COT.MERCADO'!A:I,2,0)))),"Em Elaboração")</f>
        <v>PINTURA LÁTEX ACRÍLICA PREMIUM, APLICAÇÃO MANUAL EM PAREDES, DUAS DEMÃOS. AF_04/2023</v>
      </c>
      <c r="F31" s="240" t="str">
        <f>IFERROR(IF(D31="SINAPI-S",VLOOKUP(B31,'20-B.SINAPI-S'!A:J,3,0),IF(D31="SINAPI-I",VLOOKUP(B31,'20-A.SINAPI-I'!A:G,3,0),IF(D31="COMPOSIÇÕES",VLOOKUP(B31,'11.COMPOSIÇÕES GERAIS'!B:I,3,0),VLOOKUP(B31,'12.COT.MERCADO'!A:I,7,0)))),"Em Elaboração")</f>
        <v>M2</v>
      </c>
      <c r="G31" s="244">
        <f>VLOOKUP(A31,'Planilha_Sintética_Geral'!A:O,7,0)</f>
        <v>50</v>
      </c>
      <c r="H31" s="241">
        <f>IFERROR(IF(D31="SINAPI-S",VLOOKUP(B31,'20-B.SINAPI-S'!A:J,5,0),IF(D31="SINAPI-I",VLOOKUP(B31,'20-A.SINAPI-I'!A:G,6,0),IF(D31="COMPOSIÇÕES",VLOOKUP(B31,'11.COMPOSIÇÕES GERAIS'!B:I,7,0),0))),"Em Elaboração")</f>
        <v>4.95</v>
      </c>
      <c r="I31" s="241">
        <f>IFERROR(IF(D31="SINAPI-S",VLOOKUP(B31,'20-B.SINAPI-S'!A:J,6,0),IF(D31="SINAPI-I",VLOOKUP(B31,'20-A.SINAPI-I'!A:G,7,0),IF(D31="COMPOSIÇÕES",VLOOKUP(B31,'11.COMPOSIÇÕES GERAIS'!B:I,8,0),VLOOKUP(B31,'12.COT.MERCADO'!A:I,8,0)))),"Em Elaboração")</f>
        <v>8.21</v>
      </c>
      <c r="J31" s="241">
        <f t="shared" si="13"/>
        <v>5.810918702</v>
      </c>
      <c r="K31" s="241">
        <f t="shared" si="14"/>
        <v>9.616656944</v>
      </c>
      <c r="L31" s="241">
        <f t="shared" si="15"/>
        <v>15.42757565</v>
      </c>
      <c r="M31" s="241">
        <f t="shared" si="16"/>
        <v>290.5459351</v>
      </c>
      <c r="N31" s="241">
        <f t="shared" si="17"/>
        <v>480.8328472</v>
      </c>
      <c r="O31" s="241">
        <f t="shared" si="18"/>
        <v>771.3787823</v>
      </c>
      <c r="P31" s="242">
        <f t="shared" si="3"/>
        <v>0.002473787925</v>
      </c>
    </row>
    <row r="32">
      <c r="A32" s="236" t="s">
        <v>238</v>
      </c>
      <c r="B32" s="237">
        <f>VLOOKUP(A32,'Planilha_Sintética_Geral'!A:P,2,0)</f>
        <v>102209</v>
      </c>
      <c r="C32" s="238" t="str">
        <f t="shared" si="12"/>
        <v>SINAPI</v>
      </c>
      <c r="D32" s="238" t="s">
        <v>218</v>
      </c>
      <c r="E32" s="239" t="str">
        <f>IFERROR(IF(D32="SINAPI-S",VLOOKUP(B32,'20-B.SINAPI-S'!A:J,2,0),IF(D32="SINAPI-I",VLOOKUP(B32,'20-A.SINAPI-I'!A:G,2,0),IF(D32="COMPOSIÇÕES",VLOOKUP(B32,'11.COMPOSIÇÕES GERAIS'!B:I,2,0),VLOOKUP(B32,'12.COT.MERCADO'!A:I,2,0)))),"Em Elaboração")</f>
        <v>PINTURA TINTA DE ACABAMENTO (PIGMENTADA) ESMALTE SINTÉTICO ACETINADO EM MADEIRA, 1 DEMÃO. AF_01/2021</v>
      </c>
      <c r="F32" s="240" t="str">
        <f>IFERROR(IF(D32="SINAPI-S",VLOOKUP(B32,'20-B.SINAPI-S'!A:J,3,0),IF(D32="SINAPI-I",VLOOKUP(B32,'20-A.SINAPI-I'!A:G,3,0),IF(D32="COMPOSIÇÕES",VLOOKUP(B32,'11.COMPOSIÇÕES GERAIS'!B:I,3,0),VLOOKUP(B32,'12.COT.MERCADO'!A:I,7,0)))),"Em Elaboração")</f>
        <v>M2</v>
      </c>
      <c r="G32" s="244">
        <f>VLOOKUP(A32,'Planilha_Sintética_Geral'!A:O,7,0)</f>
        <v>3</v>
      </c>
      <c r="H32" s="241">
        <f>IFERROR(IF(D32="SINAPI-S",VLOOKUP(B32,'20-B.SINAPI-S'!A:J,5,0),IF(D32="SINAPI-I",VLOOKUP(B32,'20-A.SINAPI-I'!A:G,6,0),IF(D32="COMPOSIÇÕES",VLOOKUP(B32,'11.COMPOSIÇÕES GERAIS'!B:I,7,0),0))),"Em Elaboração")</f>
        <v>4.69</v>
      </c>
      <c r="I32" s="241">
        <f>IFERROR(IF(D32="SINAPI-S",VLOOKUP(B32,'20-B.SINAPI-S'!A:J,6,0),IF(D32="SINAPI-I",VLOOKUP(B32,'20-A.SINAPI-I'!A:G,7,0),IF(D32="COMPOSIÇÕES",VLOOKUP(B32,'11.COMPOSIÇÕES GERAIS'!B:I,8,0),VLOOKUP(B32,'12.COT.MERCADO'!A:I,8,0)))),"Em Elaboração")</f>
        <v>4.62</v>
      </c>
      <c r="J32" s="241">
        <f t="shared" si="13"/>
        <v>5.505698729</v>
      </c>
      <c r="K32" s="241">
        <f t="shared" si="14"/>
        <v>5.411565783</v>
      </c>
      <c r="L32" s="241">
        <f t="shared" si="15"/>
        <v>10.91726451</v>
      </c>
      <c r="M32" s="241">
        <f t="shared" si="16"/>
        <v>16.51709619</v>
      </c>
      <c r="N32" s="241">
        <f t="shared" si="17"/>
        <v>16.23469735</v>
      </c>
      <c r="O32" s="241">
        <f t="shared" si="18"/>
        <v>32.75179354</v>
      </c>
      <c r="P32" s="242">
        <f t="shared" si="3"/>
        <v>0.0001050339901</v>
      </c>
    </row>
    <row r="33">
      <c r="A33" s="236" t="s">
        <v>239</v>
      </c>
      <c r="B33" s="237">
        <f>VLOOKUP(A33,'Planilha_Sintética_Geral'!A:P,2,0)</f>
        <v>93653</v>
      </c>
      <c r="C33" s="238" t="str">
        <f t="shared" si="12"/>
        <v>SINAPI</v>
      </c>
      <c r="D33" s="238" t="s">
        <v>218</v>
      </c>
      <c r="E33" s="239" t="str">
        <f>IFERROR(IF(D33="SINAPI-S",VLOOKUP(B33,'20-B.SINAPI-S'!A:J,2,0),IF(D33="SINAPI-I",VLOOKUP(B33,'20-A.SINAPI-I'!A:G,2,0),IF(D33="COMPOSIÇÕES",VLOOKUP(B33,'11.COMPOSIÇÕES GERAIS'!B:I,2,0),VLOOKUP(B33,'12.COT.MERCADO'!A:I,2,0)))),"Em Elaboração")</f>
        <v>DISJUNTOR MONOPOLAR TIPO DIN, CORRENTE NOMINAL DE 10A - FORNECIMENTO E INSTALAÇÃO. AF_10/2020</v>
      </c>
      <c r="F33" s="240" t="str">
        <f>IFERROR(IF(D33="SINAPI-S",VLOOKUP(B33,'20-B.SINAPI-S'!A:J,3,0),IF(D33="SINAPI-I",VLOOKUP(B33,'20-A.SINAPI-I'!A:G,3,0),IF(D33="COMPOSIÇÕES",VLOOKUP(B33,'11.COMPOSIÇÕES GERAIS'!B:I,3,0),VLOOKUP(B33,'12.COT.MERCADO'!A:I,7,0)))),"Em Elaboração")</f>
        <v>UN</v>
      </c>
      <c r="G33" s="244">
        <f>VLOOKUP(A33,'Planilha_Sintética_Geral'!A:O,7,0)</f>
        <v>4</v>
      </c>
      <c r="H33" s="241">
        <f>IFERROR(IF(D33="SINAPI-S",VLOOKUP(B33,'20-B.SINAPI-S'!A:J,5,0),IF(D33="SINAPI-I",VLOOKUP(B33,'20-A.SINAPI-I'!A:G,6,0),IF(D33="COMPOSIÇÕES",VLOOKUP(B33,'11.COMPOSIÇÕES GERAIS'!B:I,7,0),0))),"Em Elaboração")</f>
        <v>1.55</v>
      </c>
      <c r="I33" s="241">
        <f>IFERROR(IF(D33="SINAPI-S",VLOOKUP(B33,'20-B.SINAPI-S'!A:J,6,0),IF(D33="SINAPI-I",VLOOKUP(B33,'20-A.SINAPI-I'!A:G,7,0),IF(D33="COMPOSIÇÕES",VLOOKUP(B33,'11.COMPOSIÇÕES GERAIS'!B:I,8,0),VLOOKUP(B33,'12.COT.MERCADO'!A:I,8,0)))),"Em Elaboração")</f>
        <v>10.73</v>
      </c>
      <c r="J33" s="241">
        <f t="shared" si="13"/>
        <v>1.819580604</v>
      </c>
      <c r="K33" s="241">
        <f t="shared" si="14"/>
        <v>12.5684201</v>
      </c>
      <c r="L33" s="241">
        <f t="shared" si="15"/>
        <v>14.3880007</v>
      </c>
      <c r="M33" s="241">
        <f t="shared" si="16"/>
        <v>7.278322414</v>
      </c>
      <c r="N33" s="241">
        <f t="shared" si="17"/>
        <v>50.27368039</v>
      </c>
      <c r="O33" s="241">
        <f t="shared" si="18"/>
        <v>57.55200281</v>
      </c>
      <c r="P33" s="242">
        <f t="shared" si="3"/>
        <v>0.0001845674951</v>
      </c>
    </row>
    <row r="34">
      <c r="A34" s="236" t="s">
        <v>240</v>
      </c>
      <c r="B34" s="237">
        <f>VLOOKUP(A34,'Planilha_Sintética_Geral'!A:P,2,0)</f>
        <v>96358</v>
      </c>
      <c r="C34" s="238" t="str">
        <f t="shared" si="12"/>
        <v>SINAPI</v>
      </c>
      <c r="D34" s="238" t="s">
        <v>218</v>
      </c>
      <c r="E34" s="239" t="str">
        <f>IFERROR(IF(D34="SINAPI-S",VLOOKUP(B34,'20-B.SINAPI-S'!A:J,2,0),IF(D34="SINAPI-I",VLOOKUP(B34,'20-A.SINAPI-I'!A:G,2,0),IF(D34="COMPOSIÇÕES",VLOOKUP(B34,'11.COMPOSIÇÕES GERAIS'!B:I,2,0),VLOOKUP(B34,'12.COT.MERCADO'!A:I,2,0)))),"Em Elaboração")</f>
        <v>PAREDE COM PLACAS DE GESSO ACARTONADO (DRYWALL), PARA USO INTERNO, COM DUAS FACES SIMPLES E ESTRUTURA METÁLICA COM GUIAS SIMPLES, SEM VÃOS. AF_06/2017_PS</v>
      </c>
      <c r="F34" s="240" t="str">
        <f>IFERROR(IF(D34="SINAPI-S",VLOOKUP(B34,'20-B.SINAPI-S'!A:J,3,0),IF(D34="SINAPI-I",VLOOKUP(B34,'20-A.SINAPI-I'!A:G,3,0),IF(D34="COMPOSIÇÕES",VLOOKUP(B34,'11.COMPOSIÇÕES GERAIS'!B:I,3,0),VLOOKUP(B34,'12.COT.MERCADO'!A:I,7,0)))),"Em Elaboração")</f>
        <v>M2</v>
      </c>
      <c r="G34" s="244">
        <f>VLOOKUP(A34,'Planilha_Sintética_Geral'!A:O,7,0)</f>
        <v>6</v>
      </c>
      <c r="H34" s="241">
        <f>IFERROR(IF(D34="SINAPI-S",VLOOKUP(B34,'20-B.SINAPI-S'!A:J,5,0),IF(D34="SINAPI-I",VLOOKUP(B34,'20-A.SINAPI-I'!A:G,6,0),IF(D34="COMPOSIÇÕES",VLOOKUP(B34,'11.COMPOSIÇÕES GERAIS'!B:I,7,0),0))),"Em Elaboração")</f>
        <v>14.91</v>
      </c>
      <c r="I34" s="241">
        <f>IFERROR(IF(D34="SINAPI-S",VLOOKUP(B34,'20-B.SINAPI-S'!A:J,6,0),IF(D34="SINAPI-I",VLOOKUP(B34,'20-A.SINAPI-I'!A:G,7,0),IF(D34="COMPOSIÇÕES",VLOOKUP(B34,'11.COMPOSIÇÕES GERAIS'!B:I,8,0),VLOOKUP(B34,'12.COT.MERCADO'!A:I,8,0)))),"Em Elaboração")</f>
        <v>82.3</v>
      </c>
      <c r="J34" s="241">
        <f t="shared" si="13"/>
        <v>17.50319148</v>
      </c>
      <c r="K34" s="241">
        <f t="shared" si="14"/>
        <v>96.40083636</v>
      </c>
      <c r="L34" s="241">
        <f t="shared" si="15"/>
        <v>113.9040278</v>
      </c>
      <c r="M34" s="241">
        <f t="shared" si="16"/>
        <v>105.0191489</v>
      </c>
      <c r="N34" s="241">
        <f t="shared" si="17"/>
        <v>578.4050181</v>
      </c>
      <c r="O34" s="241">
        <f t="shared" si="18"/>
        <v>683.424167</v>
      </c>
      <c r="P34" s="242">
        <f t="shared" si="3"/>
        <v>0.002191720191</v>
      </c>
    </row>
    <row r="35">
      <c r="A35" s="236" t="s">
        <v>241</v>
      </c>
      <c r="B35" s="237">
        <f>VLOOKUP(A35,'Planilha_Sintética_Geral'!A:P,2,0)</f>
        <v>97611</v>
      </c>
      <c r="C35" s="238" t="str">
        <f t="shared" si="12"/>
        <v>SINAPI</v>
      </c>
      <c r="D35" s="238" t="s">
        <v>218</v>
      </c>
      <c r="E35" s="239" t="str">
        <f>IFERROR(IF(D35="SINAPI-S",VLOOKUP(B35,'20-B.SINAPI-S'!A:J,2,0),IF(D35="SINAPI-I",VLOOKUP(B35,'20-A.SINAPI-I'!A:G,2,0),IF(D35="COMPOSIÇÕES",VLOOKUP(B35,'11.COMPOSIÇÕES GERAIS'!B:I,2,0),VLOOKUP(B35,'12.COT.MERCADO'!A:I,2,0)))),"Em Elaboração")</f>
        <v>LÂMPADA COMPACTA FLUORESCENTE DE 15 W, BASE E27 - FORNECIMENTO E INSTALAÇÃO. AF_02/2020</v>
      </c>
      <c r="F35" s="240" t="str">
        <f>IFERROR(IF(D35="SINAPI-S",VLOOKUP(B35,'20-B.SINAPI-S'!A:J,3,0),IF(D35="SINAPI-I",VLOOKUP(B35,'20-A.SINAPI-I'!A:G,3,0),IF(D35="COMPOSIÇÕES",VLOOKUP(B35,'11.COMPOSIÇÕES GERAIS'!B:I,3,0),VLOOKUP(B35,'12.COT.MERCADO'!A:I,7,0)))),"Em Elaboração")</f>
        <v>UN</v>
      </c>
      <c r="G35" s="244">
        <f>VLOOKUP(A35,'Planilha_Sintética_Geral'!A:O,7,0)</f>
        <v>45</v>
      </c>
      <c r="H35" s="241">
        <f>IFERROR(IF(D35="SINAPI-S",VLOOKUP(B35,'20-B.SINAPI-S'!A:J,5,0),IF(D35="SINAPI-I",VLOOKUP(B35,'20-A.SINAPI-I'!A:G,6,0),IF(D35="COMPOSIÇÕES",VLOOKUP(B35,'11.COMPOSIÇÕES GERAIS'!B:I,7,0),0))),"Em Elaboração")</f>
        <v>5.46</v>
      </c>
      <c r="I35" s="241">
        <f>IFERROR(IF(D35="SINAPI-S",VLOOKUP(B35,'20-B.SINAPI-S'!A:J,6,0),IF(D35="SINAPI-I",VLOOKUP(B35,'20-A.SINAPI-I'!A:G,7,0),IF(D35="COMPOSIÇÕES",VLOOKUP(B35,'11.COMPOSIÇÕES GERAIS'!B:I,8,0),VLOOKUP(B35,'12.COT.MERCADO'!A:I,8,0)))),"Em Elaboração")</f>
        <v>20.19</v>
      </c>
      <c r="J35" s="241">
        <f t="shared" si="13"/>
        <v>6.409619416</v>
      </c>
      <c r="K35" s="241">
        <f t="shared" si="14"/>
        <v>23.64924527</v>
      </c>
      <c r="L35" s="241">
        <f t="shared" si="15"/>
        <v>30.05886469</v>
      </c>
      <c r="M35" s="241">
        <f t="shared" si="16"/>
        <v>288.4328737</v>
      </c>
      <c r="N35" s="241">
        <f t="shared" si="17"/>
        <v>1064.216037</v>
      </c>
      <c r="O35" s="241">
        <f t="shared" si="18"/>
        <v>1352.648911</v>
      </c>
      <c r="P35" s="242">
        <f t="shared" si="3"/>
        <v>0.00433790327</v>
      </c>
    </row>
    <row r="36">
      <c r="A36" s="236" t="s">
        <v>242</v>
      </c>
      <c r="B36" s="237">
        <f>VLOOKUP(A36,'Planilha_Sintética_Geral'!A:P,2,0)</f>
        <v>86878</v>
      </c>
      <c r="C36" s="238" t="str">
        <f t="shared" si="12"/>
        <v>SINAPI</v>
      </c>
      <c r="D36" s="238" t="s">
        <v>218</v>
      </c>
      <c r="E36" s="239" t="str">
        <f>IFERROR(IF(D36="SINAPI-S",VLOOKUP(B36,'20-B.SINAPI-S'!A:J,2,0),IF(D36="SINAPI-I",VLOOKUP(B36,'20-A.SINAPI-I'!A:G,2,0),IF(D36="COMPOSIÇÕES",VLOOKUP(B36,'11.COMPOSIÇÕES GERAIS'!B:I,2,0),VLOOKUP(B36,'12.COT.MERCADO'!A:I,2,0)))),"Em Elaboração")</f>
        <v>VÁLVULA EM METAL CROMADO TIPO AMERICANA 3.1/2_x0094_ X 1.1/2_x0094_ PARA PIA - FORNECIMENTO E INSTALAÇÃO. AF_01/2020</v>
      </c>
      <c r="F36" s="240" t="str">
        <f>IFERROR(IF(D36="SINAPI-S",VLOOKUP(B36,'20-B.SINAPI-S'!A:J,3,0),IF(D36="SINAPI-I",VLOOKUP(B36,'20-A.SINAPI-I'!A:G,3,0),IF(D36="COMPOSIÇÕES",VLOOKUP(B36,'11.COMPOSIÇÕES GERAIS'!B:I,3,0),VLOOKUP(B36,'12.COT.MERCADO'!A:I,7,0)))),"Em Elaboração")</f>
        <v>UN</v>
      </c>
      <c r="G36" s="244">
        <f>VLOOKUP(A36,'Planilha_Sintética_Geral'!A:O,7,0)</f>
        <v>3</v>
      </c>
      <c r="H36" s="241">
        <f>IFERROR(IF(D36="SINAPI-S",VLOOKUP(B36,'20-B.SINAPI-S'!A:J,5,0),IF(D36="SINAPI-I",VLOOKUP(B36,'20-A.SINAPI-I'!A:G,6,0),IF(D36="COMPOSIÇÕES",VLOOKUP(B36,'11.COMPOSIÇÕES GERAIS'!B:I,7,0),0))),"Em Elaboração")</f>
        <v>5.22</v>
      </c>
      <c r="I36" s="241">
        <f>IFERROR(IF(D36="SINAPI-S",VLOOKUP(B36,'20-B.SINAPI-S'!A:J,6,0),IF(D36="SINAPI-I",VLOOKUP(B36,'20-A.SINAPI-I'!A:G,7,0),IF(D36="COMPOSIÇÕES",VLOOKUP(B36,'11.COMPOSIÇÕES GERAIS'!B:I,8,0),VLOOKUP(B36,'12.COT.MERCADO'!A:I,8,0)))),"Em Elaboração")</f>
        <v>94.96</v>
      </c>
      <c r="J36" s="241">
        <f t="shared" si="13"/>
        <v>6.127877903</v>
      </c>
      <c r="K36" s="241">
        <f t="shared" si="14"/>
        <v>111.2299322</v>
      </c>
      <c r="L36" s="241">
        <f t="shared" si="15"/>
        <v>117.3578101</v>
      </c>
      <c r="M36" s="241">
        <f t="shared" si="16"/>
        <v>18.38363371</v>
      </c>
      <c r="N36" s="241">
        <f t="shared" si="17"/>
        <v>333.6897966</v>
      </c>
      <c r="O36" s="241">
        <f t="shared" si="18"/>
        <v>352.0734303</v>
      </c>
      <c r="P36" s="242">
        <f t="shared" si="3"/>
        <v>0.001129088614</v>
      </c>
    </row>
    <row r="37">
      <c r="A37" s="236" t="s">
        <v>243</v>
      </c>
      <c r="B37" s="237" t="str">
        <f>VLOOKUP(A37,'Planilha_Sintética_Geral'!A:P,2,0)</f>
        <v>MAN_PR_014</v>
      </c>
      <c r="C37" s="238" t="str">
        <f t="shared" si="12"/>
        <v>PRÓPRIO</v>
      </c>
      <c r="D37" s="243" t="s">
        <v>230</v>
      </c>
      <c r="E37" s="239" t="str">
        <f>IFERROR(IF(D37="SINAPI-S",VLOOKUP(B37,'20-B.SINAPI-S'!A:J,2,0),IF(D37="SINAPI-I",VLOOKUP(B37,'20-A.SINAPI-I'!A:G,2,0),IF(D37="COMPOSIÇÕES",VLOOKUP(B37,'11.COMPOSIÇÕES GERAIS'!B:I,2,0),VLOOKUP(B37,'12.COT.MERCADO'!A:I,2,0)))),"Em Elaboração")</f>
        <v>FORNECIMENTO E INSTALAÇÃO DE EXTENSÃO ELÉTRICA COM CABO  DE COBRE PP CORDPLAST 3 X 2,5MM2, ISOLAMENTO 40/750V COM ISOLAÇÃO PP 70ºC, COMPRIMENTO DE 1,5M</v>
      </c>
      <c r="F37" s="240" t="str">
        <f>IFERROR(IF(D37="SINAPI-S",VLOOKUP(B37,'20-B.SINAPI-S'!A:J,3,0),IF(D37="SINAPI-I",VLOOKUP(B37,'20-A.SINAPI-I'!A:G,3,0),IF(D37="COMPOSIÇÕES",VLOOKUP(B37,'11.COMPOSIÇÕES GERAIS'!B:I,3,0),VLOOKUP(B37,'12.COT.MERCADO'!A:I,7,0)))),"Em Elaboração")</f>
        <v>UN</v>
      </c>
      <c r="G37" s="244">
        <f>VLOOKUP(A37,'Planilha_Sintética_Geral'!A:O,7,0)</f>
        <v>11</v>
      </c>
      <c r="H37" s="241">
        <f>IFERROR(IF(D37="SINAPI-S",VLOOKUP(B37,'20-B.SINAPI-S'!A:J,5,0),IF(D37="SINAPI-I",VLOOKUP(B37,'20-A.SINAPI-I'!A:G,6,0),IF(D37="COMPOSIÇÕES",VLOOKUP(B37,'11.COMPOSIÇÕES GERAIS'!B:I,7,0),0))),"Em Elaboração")</f>
        <v>15.5015</v>
      </c>
      <c r="I37" s="241">
        <f>IFERROR(IF(D37="SINAPI-S",VLOOKUP(B37,'20-B.SINAPI-S'!A:J,6,0),IF(D37="SINAPI-I",VLOOKUP(B37,'20-A.SINAPI-I'!A:G,7,0),IF(D37="COMPOSIÇÕES",VLOOKUP(B37,'11.COMPOSIÇÕES GERAIS'!B:I,8,0),VLOOKUP(B37,'12.COT.MERCADO'!A:I,8,0)))),"Em Elaboração")</f>
        <v>40.842</v>
      </c>
      <c r="J37" s="241">
        <f t="shared" si="13"/>
        <v>18.19756692</v>
      </c>
      <c r="K37" s="241">
        <f t="shared" si="14"/>
        <v>47.83964713</v>
      </c>
      <c r="L37" s="241">
        <f t="shared" si="15"/>
        <v>66.03721405</v>
      </c>
      <c r="M37" s="241">
        <f t="shared" si="16"/>
        <v>200.1732361</v>
      </c>
      <c r="N37" s="241">
        <f t="shared" si="17"/>
        <v>526.2361184</v>
      </c>
      <c r="O37" s="241">
        <f t="shared" si="18"/>
        <v>726.4093545</v>
      </c>
      <c r="P37" s="242">
        <f t="shared" si="3"/>
        <v>0.002329572359</v>
      </c>
    </row>
    <row r="38">
      <c r="A38" s="236" t="s">
        <v>244</v>
      </c>
      <c r="B38" s="237">
        <f>VLOOKUP(A38,'Planilha_Sintética_Geral'!A:P,2,0)</f>
        <v>98296</v>
      </c>
      <c r="C38" s="238" t="str">
        <f t="shared" si="12"/>
        <v>SINAPI</v>
      </c>
      <c r="D38" s="238" t="s">
        <v>218</v>
      </c>
      <c r="E38" s="239" t="str">
        <f>IFERROR(IF(D38="SINAPI-S",VLOOKUP(B38,'20-B.SINAPI-S'!A:J,2,0),IF(D38="SINAPI-I",VLOOKUP(B38,'20-A.SINAPI-I'!A:G,2,0),IF(D38="COMPOSIÇÕES",VLOOKUP(B38,'11.COMPOSIÇÕES GERAIS'!B:I,2,0),VLOOKUP(B38,'12.COT.MERCADO'!A:I,2,0)))),"Em Elaboração")</f>
        <v>CABO ELETRÔNICO CATEGORIA 6, INSTALADO EM EDIFICAÇÃO RESIDENCIAL - FORNECIMENTO E INSTALAÇÃO. AF_11/2019</v>
      </c>
      <c r="F38" s="240" t="str">
        <f>IFERROR(IF(D38="SINAPI-S",VLOOKUP(B38,'20-B.SINAPI-S'!A:J,3,0),IF(D38="SINAPI-I",VLOOKUP(B38,'20-A.SINAPI-I'!A:G,3,0),IF(D38="COMPOSIÇÕES",VLOOKUP(B38,'11.COMPOSIÇÕES GERAIS'!B:I,3,0),VLOOKUP(B38,'12.COT.MERCADO'!A:I,7,0)))),"Em Elaboração")</f>
        <v>M</v>
      </c>
      <c r="G38" s="244">
        <f>VLOOKUP(A38,'Planilha_Sintética_Geral'!A:O,7,0)</f>
        <v>64</v>
      </c>
      <c r="H38" s="241">
        <f>IFERROR(IF(D38="SINAPI-S",VLOOKUP(B38,'20-B.SINAPI-S'!A:J,5,0),IF(D38="SINAPI-I",VLOOKUP(B38,'20-A.SINAPI-I'!A:G,6,0),IF(D38="COMPOSIÇÕES",VLOOKUP(B38,'11.COMPOSIÇÕES GERAIS'!B:I,7,0),0))),"Em Elaboração")</f>
        <v>1.16</v>
      </c>
      <c r="I38" s="241">
        <f>IFERROR(IF(D38="SINAPI-S",VLOOKUP(B38,'20-B.SINAPI-S'!A:J,6,0),IF(D38="SINAPI-I",VLOOKUP(B38,'20-A.SINAPI-I'!A:G,7,0),IF(D38="COMPOSIÇÕES",VLOOKUP(B38,'11.COMPOSIÇÕES GERAIS'!B:I,8,0),VLOOKUP(B38,'12.COT.MERCADO'!A:I,8,0)))),"Em Elaboração")</f>
        <v>8.83</v>
      </c>
      <c r="J38" s="241">
        <f t="shared" si="13"/>
        <v>1.361750645</v>
      </c>
      <c r="K38" s="241">
        <f t="shared" si="14"/>
        <v>10.34288439</v>
      </c>
      <c r="L38" s="241">
        <f t="shared" si="15"/>
        <v>11.70463503</v>
      </c>
      <c r="M38" s="241">
        <f t="shared" si="16"/>
        <v>87.15204129</v>
      </c>
      <c r="N38" s="241">
        <f t="shared" si="17"/>
        <v>661.9446008</v>
      </c>
      <c r="O38" s="241">
        <f t="shared" si="18"/>
        <v>749.096642</v>
      </c>
      <c r="P38" s="242">
        <f t="shared" si="3"/>
        <v>0.002402329789</v>
      </c>
    </row>
    <row r="39">
      <c r="A39" s="236" t="s">
        <v>245</v>
      </c>
      <c r="B39" s="237">
        <f>VLOOKUP(A39,'Planilha_Sintética_Geral'!A:P,2,0)</f>
        <v>101657</v>
      </c>
      <c r="C39" s="238" t="str">
        <f t="shared" si="12"/>
        <v>SINAPI</v>
      </c>
      <c r="D39" s="238" t="s">
        <v>218</v>
      </c>
      <c r="E39" s="239" t="str">
        <f>IFERROR(IF(D39="SINAPI-S",VLOOKUP(B39,'20-B.SINAPI-S'!A:J,2,0),IF(D39="SINAPI-I",VLOOKUP(B39,'20-A.SINAPI-I'!A:G,2,0),IF(D39="COMPOSIÇÕES",VLOOKUP(B39,'11.COMPOSIÇÕES GERAIS'!B:I,2,0),VLOOKUP(B39,'12.COT.MERCADO'!A:I,2,0)))),"Em Elaboração")</f>
        <v>LUMINÁRIA DE LED PARA ILUMINAÇÃO PÚBLICA, DE 98 W ATÉ 137 W - FORNECIMENTO E INSTALAÇÃO. AF_08/2020</v>
      </c>
      <c r="F39" s="240" t="str">
        <f>IFERROR(IF(D39="SINAPI-S",VLOOKUP(B39,'20-B.SINAPI-S'!A:J,3,0),IF(D39="SINAPI-I",VLOOKUP(B39,'20-A.SINAPI-I'!A:G,3,0),IF(D39="COMPOSIÇÕES",VLOOKUP(B39,'11.COMPOSIÇÕES GERAIS'!B:I,3,0),VLOOKUP(B39,'12.COT.MERCADO'!A:I,7,0)))),"Em Elaboração")</f>
        <v>UN</v>
      </c>
      <c r="G39" s="244">
        <f>VLOOKUP(A39,'Planilha_Sintética_Geral'!A:O,7,0)</f>
        <v>33</v>
      </c>
      <c r="H39" s="241">
        <f>IFERROR(IF(D39="SINAPI-S",VLOOKUP(B39,'20-B.SINAPI-S'!A:J,5,0),IF(D39="SINAPI-I",VLOOKUP(B39,'20-A.SINAPI-I'!A:G,6,0),IF(D39="COMPOSIÇÕES",VLOOKUP(B39,'11.COMPOSIÇÕES GERAIS'!B:I,7,0),0))),"Em Elaboração")</f>
        <v>17.26</v>
      </c>
      <c r="I39" s="241">
        <f>IFERROR(IF(D39="SINAPI-S",VLOOKUP(B39,'20-B.SINAPI-S'!A:J,6,0),IF(D39="SINAPI-I",VLOOKUP(B39,'20-A.SINAPI-I'!A:G,7,0),IF(D39="COMPOSIÇÕES",VLOOKUP(B39,'11.COMPOSIÇÕES GERAIS'!B:I,8,0),VLOOKUP(B39,'12.COT.MERCADO'!A:I,8,0)))),"Em Elaboração")</f>
        <v>530.42</v>
      </c>
      <c r="J39" s="241">
        <f t="shared" si="13"/>
        <v>20.26191046</v>
      </c>
      <c r="K39" s="241">
        <f t="shared" si="14"/>
        <v>621.2992906</v>
      </c>
      <c r="L39" s="241">
        <f t="shared" si="15"/>
        <v>641.5612011</v>
      </c>
      <c r="M39" s="241">
        <f t="shared" si="16"/>
        <v>668.6430453</v>
      </c>
      <c r="N39" s="241">
        <f t="shared" si="17"/>
        <v>20502.87659</v>
      </c>
      <c r="O39" s="241">
        <f t="shared" si="18"/>
        <v>21171.51964</v>
      </c>
      <c r="P39" s="242">
        <f t="shared" si="3"/>
        <v>0.06789640942</v>
      </c>
    </row>
    <row r="40">
      <c r="A40" s="236" t="s">
        <v>246</v>
      </c>
      <c r="B40" s="237">
        <f>VLOOKUP(A40,'Planilha_Sintética_Geral'!A:P,2,0)</f>
        <v>101632</v>
      </c>
      <c r="C40" s="238" t="str">
        <f t="shared" si="12"/>
        <v>SINAPI</v>
      </c>
      <c r="D40" s="238" t="s">
        <v>218</v>
      </c>
      <c r="E40" s="239" t="str">
        <f>IFERROR(IF(D40="SINAPI-S",VLOOKUP(B40,'20-B.SINAPI-S'!A:J,2,0),IF(D40="SINAPI-I",VLOOKUP(B40,'20-A.SINAPI-I'!A:G,2,0),IF(D40="COMPOSIÇÕES",VLOOKUP(B40,'11.COMPOSIÇÕES GERAIS'!B:I,2,0),VLOOKUP(B40,'12.COT.MERCADO'!A:I,2,0)))),"Em Elaboração")</f>
        <v>RELÉ FOTOELÉTRICO PARA COMANDO DE ILUMINAÇÃO EXTERNA 1000 W - FORNECIMENTO E INSTALAÇÃO. AF_08/2020</v>
      </c>
      <c r="F40" s="240" t="str">
        <f>IFERROR(IF(D40="SINAPI-S",VLOOKUP(B40,'20-B.SINAPI-S'!A:J,3,0),IF(D40="SINAPI-I",VLOOKUP(B40,'20-A.SINAPI-I'!A:G,3,0),IF(D40="COMPOSIÇÕES",VLOOKUP(B40,'11.COMPOSIÇÕES GERAIS'!B:I,3,0),VLOOKUP(B40,'12.COT.MERCADO'!A:I,7,0)))),"Em Elaboração")</f>
        <v>UN</v>
      </c>
      <c r="G40" s="244">
        <f>VLOOKUP(A40,'Planilha_Sintética_Geral'!A:O,7,0)</f>
        <v>4</v>
      </c>
      <c r="H40" s="241">
        <f>IFERROR(IF(D40="SINAPI-S",VLOOKUP(B40,'20-B.SINAPI-S'!A:J,5,0),IF(D40="SINAPI-I",VLOOKUP(B40,'20-A.SINAPI-I'!A:G,6,0),IF(D40="COMPOSIÇÕES",VLOOKUP(B40,'11.COMPOSIÇÕES GERAIS'!B:I,7,0),0))),"Em Elaboração")</f>
        <v>0.73</v>
      </c>
      <c r="I40" s="241">
        <f>IFERROR(IF(D40="SINAPI-S",VLOOKUP(B40,'20-B.SINAPI-S'!A:J,6,0),IF(D40="SINAPI-I",VLOOKUP(B40,'20-A.SINAPI-I'!A:G,7,0),IF(D40="COMPOSIÇÕES",VLOOKUP(B40,'11.COMPOSIÇÕES GERAIS'!B:I,8,0),VLOOKUP(B40,'12.COT.MERCADO'!A:I,8,0)))),"Em Elaboração")</f>
        <v>34.67</v>
      </c>
      <c r="J40" s="241">
        <f t="shared" si="13"/>
        <v>0.8569637681</v>
      </c>
      <c r="K40" s="241">
        <f t="shared" si="14"/>
        <v>40.61017007</v>
      </c>
      <c r="L40" s="241">
        <f t="shared" si="15"/>
        <v>41.46713383</v>
      </c>
      <c r="M40" s="241">
        <f t="shared" si="16"/>
        <v>3.427855072</v>
      </c>
      <c r="N40" s="241">
        <f t="shared" si="17"/>
        <v>162.4406803</v>
      </c>
      <c r="O40" s="241">
        <f t="shared" si="18"/>
        <v>165.8685353</v>
      </c>
      <c r="P40" s="242">
        <f t="shared" si="3"/>
        <v>0.0005319352687</v>
      </c>
    </row>
    <row r="41">
      <c r="A41" s="236" t="s">
        <v>247</v>
      </c>
      <c r="B41" s="237">
        <f>VLOOKUP(A41,'Planilha_Sintética_Geral'!A:P,2,0)</f>
        <v>91306</v>
      </c>
      <c r="C41" s="238" t="str">
        <f t="shared" si="12"/>
        <v>SINAPI</v>
      </c>
      <c r="D41" s="238" t="s">
        <v>218</v>
      </c>
      <c r="E41" s="239" t="str">
        <f>IFERROR(IF(D41="SINAPI-S",VLOOKUP(B41,'20-B.SINAPI-S'!A:J,2,0),IF(D41="SINAPI-I",VLOOKUP(B41,'20-A.SINAPI-I'!A:G,2,0),IF(D41="COMPOSIÇÕES",VLOOKUP(B41,'11.COMPOSIÇÕES GERAIS'!B:I,2,0),VLOOKUP(B41,'12.COT.MERCADO'!A:I,2,0)))),"Em Elaboração")</f>
        <v>FECHADURA DE EMBUTIR PARA PORTAS INTERNAS, COMPLETA, ACABAMENTO PADRÃO MÉDIO, COM EXECUÇÃO DE FURO - FORNECIMENTO E INSTALAÇÃO. AF_12/2019</v>
      </c>
      <c r="F41" s="240" t="str">
        <f>IFERROR(IF(D41="SINAPI-S",VLOOKUP(B41,'20-B.SINAPI-S'!A:J,3,0),IF(D41="SINAPI-I",VLOOKUP(B41,'20-A.SINAPI-I'!A:G,3,0),IF(D41="COMPOSIÇÕES",VLOOKUP(B41,'11.COMPOSIÇÕES GERAIS'!B:I,3,0),VLOOKUP(B41,'12.COT.MERCADO'!A:I,7,0)))),"Em Elaboração")</f>
        <v>UN</v>
      </c>
      <c r="G41" s="244">
        <f>VLOOKUP(A41,'Planilha_Sintética_Geral'!A:O,7,0)</f>
        <v>3</v>
      </c>
      <c r="H41" s="241">
        <f>IFERROR(IF(D41="SINAPI-S",VLOOKUP(B41,'20-B.SINAPI-S'!A:J,5,0),IF(D41="SINAPI-I",VLOOKUP(B41,'20-A.SINAPI-I'!A:G,6,0),IF(D41="COMPOSIÇÕES",VLOOKUP(B41,'11.COMPOSIÇÕES GERAIS'!B:I,7,0),0))),"Em Elaboração")</f>
        <v>24.39</v>
      </c>
      <c r="I41" s="241">
        <f>IFERROR(IF(D41="SINAPI-S",VLOOKUP(B41,'20-B.SINAPI-S'!A:J,6,0),IF(D41="SINAPI-I",VLOOKUP(B41,'20-A.SINAPI-I'!A:G,7,0),IF(D41="COMPOSIÇÕES",VLOOKUP(B41,'11.COMPOSIÇÕES GERAIS'!B:I,8,0),VLOOKUP(B41,'12.COT.MERCADO'!A:I,8,0)))),"Em Elaboração")</f>
        <v>133.19</v>
      </c>
      <c r="J41" s="241">
        <f t="shared" si="13"/>
        <v>28.63198124</v>
      </c>
      <c r="K41" s="241">
        <f t="shared" si="14"/>
        <v>156.0100534</v>
      </c>
      <c r="L41" s="241">
        <f t="shared" si="15"/>
        <v>184.6420346</v>
      </c>
      <c r="M41" s="241">
        <f t="shared" si="16"/>
        <v>85.89594372</v>
      </c>
      <c r="N41" s="241">
        <f t="shared" si="17"/>
        <v>468.0301602</v>
      </c>
      <c r="O41" s="241">
        <f t="shared" si="18"/>
        <v>553.9261039</v>
      </c>
      <c r="P41" s="242">
        <f t="shared" si="3"/>
        <v>0.001776423903</v>
      </c>
    </row>
    <row r="42">
      <c r="A42" s="236" t="s">
        <v>248</v>
      </c>
      <c r="B42" s="237">
        <f>VLOOKUP(A42,'Planilha_Sintética_Geral'!A:P,2,0)</f>
        <v>95547</v>
      </c>
      <c r="C42" s="238" t="str">
        <f t="shared" si="12"/>
        <v>SINAPI</v>
      </c>
      <c r="D42" s="238" t="s">
        <v>218</v>
      </c>
      <c r="E42" s="239" t="str">
        <f>IFERROR(IF(D42="SINAPI-S",VLOOKUP(B42,'20-B.SINAPI-S'!A:J,2,0),IF(D42="SINAPI-I",VLOOKUP(B42,'20-A.SINAPI-I'!A:G,2,0),IF(D42="COMPOSIÇÕES",VLOOKUP(B42,'11.COMPOSIÇÕES GERAIS'!B:I,2,0),VLOOKUP(B42,'12.COT.MERCADO'!A:I,2,0)))),"Em Elaboração")</f>
        <v>SABONETEIRA PLASTICA TIPO DISPENSER PARA SABONETE LIQUIDO COM RESERVATORIO 800 A 1500 ML, INCLUSO FIXAÇÃO. AF_01/2020</v>
      </c>
      <c r="F42" s="240" t="str">
        <f>IFERROR(IF(D42="SINAPI-S",VLOOKUP(B42,'20-B.SINAPI-S'!A:J,3,0),IF(D42="SINAPI-I",VLOOKUP(B42,'20-A.SINAPI-I'!A:G,3,0),IF(D42="COMPOSIÇÕES",VLOOKUP(B42,'11.COMPOSIÇÕES GERAIS'!B:I,3,0),VLOOKUP(B42,'12.COT.MERCADO'!A:I,7,0)))),"Em Elaboração")</f>
        <v>UN</v>
      </c>
      <c r="G42" s="244">
        <f>VLOOKUP(A42,'Planilha_Sintética_Geral'!A:O,7,0)</f>
        <v>10</v>
      </c>
      <c r="H42" s="241">
        <f>IFERROR(IF(D42="SINAPI-S",VLOOKUP(B42,'20-B.SINAPI-S'!A:J,5,0),IF(D42="SINAPI-I",VLOOKUP(B42,'20-A.SINAPI-I'!A:G,6,0),IF(D42="COMPOSIÇÕES",VLOOKUP(B42,'11.COMPOSIÇÕES GERAIS'!B:I,7,0),0))),"Em Elaboração")</f>
        <v>9.5</v>
      </c>
      <c r="I42" s="241">
        <f>IFERROR(IF(D42="SINAPI-S",VLOOKUP(B42,'20-B.SINAPI-S'!A:J,6,0),IF(D42="SINAPI-I",VLOOKUP(B42,'20-A.SINAPI-I'!A:G,7,0),IF(D42="COMPOSIÇÕES",VLOOKUP(B42,'11.COMPOSIÇÕES GERAIS'!B:I,8,0),VLOOKUP(B42,'12.COT.MERCADO'!A:I,8,0)))),"Em Elaboração")</f>
        <v>47.94</v>
      </c>
      <c r="J42" s="241">
        <f t="shared" si="13"/>
        <v>11.15226822</v>
      </c>
      <c r="K42" s="241">
        <f t="shared" si="14"/>
        <v>56.15378001</v>
      </c>
      <c r="L42" s="241">
        <f t="shared" si="15"/>
        <v>67.30604823</v>
      </c>
      <c r="M42" s="241">
        <f t="shared" si="16"/>
        <v>111.5226822</v>
      </c>
      <c r="N42" s="241">
        <f t="shared" si="17"/>
        <v>561.5378001</v>
      </c>
      <c r="O42" s="241">
        <f t="shared" si="18"/>
        <v>673.0604823</v>
      </c>
      <c r="P42" s="242">
        <f t="shared" si="3"/>
        <v>0.002158484174</v>
      </c>
    </row>
    <row r="43">
      <c r="A43" s="236" t="s">
        <v>249</v>
      </c>
      <c r="B43" s="237" t="str">
        <f>VLOOKUP(A43,'Planilha_Sintética_Geral'!A:P,2,0)</f>
        <v>MAN_PR_015</v>
      </c>
      <c r="C43" s="238" t="str">
        <f t="shared" si="12"/>
        <v>PRÓPRIO</v>
      </c>
      <c r="D43" s="243" t="s">
        <v>230</v>
      </c>
      <c r="E43" s="239" t="str">
        <f>IFERROR(IF(D43="SINAPI-S",VLOOKUP(B43,'20-B.SINAPI-S'!A:J,2,0),IF(D43="SINAPI-I",VLOOKUP(B43,'20-A.SINAPI-I'!A:G,2,0),IF(D43="COMPOSIÇÕES",VLOOKUP(B43,'11.COMPOSIÇÕES GERAIS'!B:I,2,0),VLOOKUP(B43,'12.COT.MERCADO'!A:I,2,0)))),"Em Elaboração")</f>
        <v>VEDAÇÃO DE ELEMENTOS COM SILICONE PASTOSO</v>
      </c>
      <c r="F43" s="240" t="str">
        <f>IFERROR(IF(D43="SINAPI-S",VLOOKUP(B43,'20-B.SINAPI-S'!A:J,3,0),IF(D43="SINAPI-I",VLOOKUP(B43,'20-A.SINAPI-I'!A:G,3,0),IF(D43="COMPOSIÇÕES",VLOOKUP(B43,'11.COMPOSIÇÕES GERAIS'!B:I,3,0),VLOOKUP(B43,'12.COT.MERCADO'!A:I,7,0)))),"Em Elaboração")</f>
        <v>M</v>
      </c>
      <c r="G43" s="244">
        <f>VLOOKUP(A43,'Planilha_Sintética_Geral'!A:O,7,0)</f>
        <v>3</v>
      </c>
      <c r="H43" s="241">
        <f>IFERROR(IF(D43="SINAPI-S",VLOOKUP(B43,'20-B.SINAPI-S'!A:J,5,0),IF(D43="SINAPI-I",VLOOKUP(B43,'20-A.SINAPI-I'!A:G,6,0),IF(D43="COMPOSIÇÕES",VLOOKUP(B43,'11.COMPOSIÇÕES GERAIS'!B:I,7,0),0))),"Em Elaboração")</f>
        <v>1.16714</v>
      </c>
      <c r="I43" s="241">
        <f>IFERROR(IF(D43="SINAPI-S",VLOOKUP(B43,'20-B.SINAPI-S'!A:J,6,0),IF(D43="SINAPI-I",VLOOKUP(B43,'20-A.SINAPI-I'!A:G,7,0),IF(D43="COMPOSIÇÕES",VLOOKUP(B43,'11.COMPOSIÇÕES GERAIS'!B:I,8,0),VLOOKUP(B43,'12.COT.MERCADO'!A:I,8,0)))),"Em Elaboração")</f>
        <v>0.9589</v>
      </c>
      <c r="J43" s="241">
        <f t="shared" si="13"/>
        <v>1.370132455</v>
      </c>
      <c r="K43" s="241">
        <f t="shared" si="14"/>
        <v>1.123192734</v>
      </c>
      <c r="L43" s="241">
        <f t="shared" si="15"/>
        <v>2.493325189</v>
      </c>
      <c r="M43" s="241">
        <f t="shared" si="16"/>
        <v>4.110397366</v>
      </c>
      <c r="N43" s="241">
        <f t="shared" si="17"/>
        <v>3.369578201</v>
      </c>
      <c r="O43" s="241">
        <f t="shared" si="18"/>
        <v>7.479975567</v>
      </c>
      <c r="P43" s="242">
        <f t="shared" si="3"/>
        <v>0.00002398805056</v>
      </c>
    </row>
    <row r="44">
      <c r="A44" s="236" t="s">
        <v>250</v>
      </c>
      <c r="B44" s="237" t="str">
        <f>VLOOKUP(A44,'Planilha_Sintética_Geral'!A:P,2,0)</f>
        <v>MAN_PR_021</v>
      </c>
      <c r="C44" s="238" t="str">
        <f t="shared" si="12"/>
        <v>PRÓPRIO</v>
      </c>
      <c r="D44" s="243" t="s">
        <v>230</v>
      </c>
      <c r="E44" s="239" t="str">
        <f>IFERROR(IF(D44="SINAPI-S",VLOOKUP(B44,'20-B.SINAPI-S'!A:J,2,0),IF(D44="SINAPI-I",VLOOKUP(B44,'20-A.SINAPI-I'!A:G,2,0),IF(D44="COMPOSIÇÕES",VLOOKUP(B44,'11.COMPOSIÇÕES GERAIS'!B:I,2,0),VLOOKUP(B44,'12.COT.MERCADO'!A:I,2,0)))),"Em Elaboração")</f>
        <v>REPARO DE VAZAMENTO EM BACIAS SANITÁRIAS COM A RETIRADA, COLOCAÇÃO DE NOVAS VEDAÇÕES E REASSENTAMENTO</v>
      </c>
      <c r="F44" s="240" t="str">
        <f>IFERROR(IF(D44="SINAPI-S",VLOOKUP(B44,'20-B.SINAPI-S'!A:J,3,0),IF(D44="SINAPI-I",VLOOKUP(B44,'20-A.SINAPI-I'!A:G,3,0),IF(D44="COMPOSIÇÕES",VLOOKUP(B44,'11.COMPOSIÇÕES GERAIS'!B:I,3,0),VLOOKUP(B44,'12.COT.MERCADO'!A:I,7,0)))),"Em Elaboração")</f>
        <v>UN</v>
      </c>
      <c r="G44" s="244">
        <f>VLOOKUP(A44,'Planilha_Sintética_Geral'!A:O,7,0)</f>
        <v>1</v>
      </c>
      <c r="H44" s="241">
        <f>IFERROR(IF(D44="SINAPI-S",VLOOKUP(B44,'20-B.SINAPI-S'!A:J,5,0),IF(D44="SINAPI-I",VLOOKUP(B44,'20-A.SINAPI-I'!A:G,6,0),IF(D44="COMPOSIÇÕES",VLOOKUP(B44,'11.COMPOSIÇÕES GERAIS'!B:I,7,0),0))),"Em Elaboração")</f>
        <v>84.04</v>
      </c>
      <c r="I44" s="241">
        <f>IFERROR(IF(D44="SINAPI-S",VLOOKUP(B44,'20-B.SINAPI-S'!A:J,6,0),IF(D44="SINAPI-I",VLOOKUP(B44,'20-A.SINAPI-I'!A:G,7,0),IF(D44="COMPOSIÇÕES",VLOOKUP(B44,'11.COMPOSIÇÕES GERAIS'!B:I,8,0),VLOOKUP(B44,'12.COT.MERCADO'!A:I,8,0)))),"Em Elaboração")</f>
        <v>48.963668</v>
      </c>
      <c r="J44" s="241">
        <f t="shared" si="13"/>
        <v>98.6564864</v>
      </c>
      <c r="K44" s="241">
        <f t="shared" si="14"/>
        <v>57.35283774</v>
      </c>
      <c r="L44" s="241">
        <f t="shared" si="15"/>
        <v>156.0093241</v>
      </c>
      <c r="M44" s="241">
        <f t="shared" si="16"/>
        <v>98.6564864</v>
      </c>
      <c r="N44" s="241">
        <f t="shared" si="17"/>
        <v>57.35283774</v>
      </c>
      <c r="O44" s="241">
        <f t="shared" si="18"/>
        <v>156.0093241</v>
      </c>
      <c r="P44" s="242">
        <f t="shared" si="3"/>
        <v>0.0005003170829</v>
      </c>
    </row>
    <row r="45">
      <c r="A45" s="236" t="s">
        <v>251</v>
      </c>
      <c r="B45" s="237">
        <f>VLOOKUP(A45,'Planilha_Sintética_Geral'!A:P,2,0)</f>
        <v>101654</v>
      </c>
      <c r="C45" s="238" t="str">
        <f t="shared" si="12"/>
        <v>SINAPI</v>
      </c>
      <c r="D45" s="238" t="s">
        <v>218</v>
      </c>
      <c r="E45" s="239" t="str">
        <f>IFERROR(IF(D45="SINAPI-S",VLOOKUP(B45,'20-B.SINAPI-S'!A:J,2,0),IF(D45="SINAPI-I",VLOOKUP(B45,'20-A.SINAPI-I'!A:G,2,0),IF(D45="COMPOSIÇÕES",VLOOKUP(B45,'11.COMPOSIÇÕES GERAIS'!B:I,2,0),VLOOKUP(B45,'12.COT.MERCADO'!A:I,2,0)))),"Em Elaboração")</f>
        <v>LUMINÁRIA DE LED PARA ILUMINAÇÃO PÚBLICA, DE 33 W ATÉ 50 W - FORNECIMENTO E INSTALAÇÃO. AF_08/2020</v>
      </c>
      <c r="F45" s="240" t="str">
        <f>IFERROR(IF(D45="SINAPI-S",VLOOKUP(B45,'20-B.SINAPI-S'!A:J,3,0),IF(D45="SINAPI-I",VLOOKUP(B45,'20-A.SINAPI-I'!A:G,3,0),IF(D45="COMPOSIÇÕES",VLOOKUP(B45,'11.COMPOSIÇÕES GERAIS'!B:I,3,0),VLOOKUP(B45,'12.COT.MERCADO'!A:I,7,0)))),"Em Elaboração")</f>
        <v>UN</v>
      </c>
      <c r="G45" s="244">
        <f>VLOOKUP(A45,'Planilha_Sintética_Geral'!A:O,7,0)</f>
        <v>18</v>
      </c>
      <c r="H45" s="241">
        <f>IFERROR(IF(D45="SINAPI-S",VLOOKUP(B45,'20-B.SINAPI-S'!A:J,5,0),IF(D45="SINAPI-I",VLOOKUP(B45,'20-A.SINAPI-I'!A:G,6,0),IF(D45="COMPOSIÇÕES",VLOOKUP(B45,'11.COMPOSIÇÕES GERAIS'!B:I,7,0),0))),"Em Elaboração")</f>
        <v>17.26</v>
      </c>
      <c r="I45" s="241">
        <f>IFERROR(IF(D45="SINAPI-S",VLOOKUP(B45,'20-B.SINAPI-S'!A:J,6,0),IF(D45="SINAPI-I",VLOOKUP(B45,'20-A.SINAPI-I'!A:G,7,0),IF(D45="COMPOSIÇÕES",VLOOKUP(B45,'11.COMPOSIÇÕES GERAIS'!B:I,8,0),VLOOKUP(B45,'12.COT.MERCADO'!A:I,8,0)))),"Em Elaboração")</f>
        <v>247.65</v>
      </c>
      <c r="J45" s="241">
        <f t="shared" si="13"/>
        <v>20.26191046</v>
      </c>
      <c r="K45" s="241">
        <f t="shared" si="14"/>
        <v>290.08101</v>
      </c>
      <c r="L45" s="241">
        <f t="shared" si="15"/>
        <v>310.3429205</v>
      </c>
      <c r="M45" s="241">
        <f t="shared" si="16"/>
        <v>364.7143883</v>
      </c>
      <c r="N45" s="241">
        <f t="shared" si="17"/>
        <v>5221.45818</v>
      </c>
      <c r="O45" s="241">
        <f t="shared" si="18"/>
        <v>5586.172568</v>
      </c>
      <c r="P45" s="242">
        <f t="shared" si="3"/>
        <v>0.01791468285</v>
      </c>
    </row>
    <row r="46">
      <c r="A46" s="236" t="s">
        <v>252</v>
      </c>
      <c r="B46" s="237" t="str">
        <f>VLOOKUP(A46,'Planilha_Sintética_Geral'!A:P,2,0)</f>
        <v>MAN_PR_016</v>
      </c>
      <c r="C46" s="238" t="str">
        <f t="shared" si="12"/>
        <v>PRÓPRIO</v>
      </c>
      <c r="D46" s="243" t="s">
        <v>230</v>
      </c>
      <c r="E46" s="239" t="str">
        <f>IFERROR(IF(D46="SINAPI-S",VLOOKUP(B46,'20-B.SINAPI-S'!A:J,2,0),IF(D46="SINAPI-I",VLOOKUP(B46,'20-A.SINAPI-I'!A:G,2,0),IF(D46="COMPOSIÇÕES",VLOOKUP(B46,'11.COMPOSIÇÕES GERAIS'!B:I,2,0),VLOOKUP(B46,'12.COT.MERCADO'!A:I,2,0)))),"Em Elaboração")</f>
        <v>VISITA TÉCNICA DE OFICIAL DE ELÉTRICA E AJUDANTE PARA VERIFICAÇÃO DE PROBLEMA GERAL</v>
      </c>
      <c r="F46" s="240" t="str">
        <f>IFERROR(IF(D46="SINAPI-S",VLOOKUP(B46,'20-B.SINAPI-S'!A:J,3,0),IF(D46="SINAPI-I",VLOOKUP(B46,'20-A.SINAPI-I'!A:G,3,0),IF(D46="COMPOSIÇÕES",VLOOKUP(B46,'11.COMPOSIÇÕES GERAIS'!B:I,3,0),VLOOKUP(B46,'12.COT.MERCADO'!A:I,7,0)))),"Em Elaboração")</f>
        <v>UN</v>
      </c>
      <c r="G46" s="244">
        <f>VLOOKUP(A46,'Planilha_Sintética_Geral'!A:O,7,0)</f>
        <v>2</v>
      </c>
      <c r="H46" s="241">
        <f>IFERROR(IF(D46="SINAPI-S",VLOOKUP(B46,'20-B.SINAPI-S'!A:J,5,0),IF(D46="SINAPI-I",VLOOKUP(B46,'20-A.SINAPI-I'!A:G,6,0),IF(D46="COMPOSIÇÕES",VLOOKUP(B46,'11.COMPOSIÇÕES GERAIS'!B:I,7,0),0))),"Em Elaboração")</f>
        <v>66.435</v>
      </c>
      <c r="I46" s="241">
        <f>IFERROR(IF(D46="SINAPI-S",VLOOKUP(B46,'20-B.SINAPI-S'!A:J,6,0),IF(D46="SINAPI-I",VLOOKUP(B46,'20-A.SINAPI-I'!A:G,7,0),IF(D46="COMPOSIÇÕES",VLOOKUP(B46,'11.COMPOSIÇÕES GERAIS'!B:I,8,0),VLOOKUP(B46,'12.COT.MERCADO'!A:I,8,0)))),"Em Elaboração")</f>
        <v>34.13625</v>
      </c>
      <c r="J46" s="241">
        <f t="shared" si="13"/>
        <v>77.98957251</v>
      </c>
      <c r="K46" s="241">
        <f t="shared" si="14"/>
        <v>39.98497023</v>
      </c>
      <c r="L46" s="241">
        <f t="shared" si="15"/>
        <v>117.9745427</v>
      </c>
      <c r="M46" s="241">
        <f t="shared" si="16"/>
        <v>155.979145</v>
      </c>
      <c r="N46" s="241">
        <f t="shared" si="17"/>
        <v>79.96994046</v>
      </c>
      <c r="O46" s="241">
        <f t="shared" si="18"/>
        <v>235.9490855</v>
      </c>
      <c r="P46" s="242">
        <f t="shared" si="3"/>
        <v>0.000756681428</v>
      </c>
    </row>
    <row r="47">
      <c r="A47" s="236" t="s">
        <v>253</v>
      </c>
      <c r="B47" s="237">
        <f>VLOOKUP(A47,'Planilha_Sintética_Geral'!A:P,2,0)</f>
        <v>91952</v>
      </c>
      <c r="C47" s="238" t="str">
        <f t="shared" si="12"/>
        <v>SINAPI</v>
      </c>
      <c r="D47" s="238" t="s">
        <v>218</v>
      </c>
      <c r="E47" s="239" t="str">
        <f>IFERROR(IF(D47="SINAPI-S",VLOOKUP(B47,'20-B.SINAPI-S'!A:J,2,0),IF(D47="SINAPI-I",VLOOKUP(B47,'20-A.SINAPI-I'!A:G,2,0),IF(D47="COMPOSIÇÕES",VLOOKUP(B47,'11.COMPOSIÇÕES GERAIS'!B:I,2,0),VLOOKUP(B47,'12.COT.MERCADO'!A:I,2,0)))),"Em Elaboração")</f>
        <v>INTERRUPTOR SIMPLES (1 MÓDULO), 10A/250V, SEM SUPORTE E SEM PLACA - FORNECIMENTO E INSTALAÇÃO. AF_03/2023</v>
      </c>
      <c r="F47" s="240" t="str">
        <f>IFERROR(IF(D47="SINAPI-S",VLOOKUP(B47,'20-B.SINAPI-S'!A:J,3,0),IF(D47="SINAPI-I",VLOOKUP(B47,'20-A.SINAPI-I'!A:G,3,0),IF(D47="COMPOSIÇÕES",VLOOKUP(B47,'11.COMPOSIÇÕES GERAIS'!B:I,3,0),VLOOKUP(B47,'12.COT.MERCADO'!A:I,7,0)))),"Em Elaboração")</f>
        <v>UN</v>
      </c>
      <c r="G47" s="244">
        <f>VLOOKUP(A47,'Planilha_Sintética_Geral'!A:O,7,0)</f>
        <v>2</v>
      </c>
      <c r="H47" s="241">
        <f>IFERROR(IF(D47="SINAPI-S",VLOOKUP(B47,'20-B.SINAPI-S'!A:J,5,0),IF(D47="SINAPI-I",VLOOKUP(B47,'20-A.SINAPI-I'!A:G,6,0),IF(D47="COMPOSIÇÕES",VLOOKUP(B47,'11.COMPOSIÇÕES GERAIS'!B:I,7,0),0))),"Em Elaboração")</f>
        <v>10.29</v>
      </c>
      <c r="I47" s="241">
        <f>IFERROR(IF(D47="SINAPI-S",VLOOKUP(B47,'20-B.SINAPI-S'!A:J,6,0),IF(D47="SINAPI-I",VLOOKUP(B47,'20-A.SINAPI-I'!A:G,7,0),IF(D47="COMPOSIÇÕES",VLOOKUP(B47,'11.COMPOSIÇÕES GERAIS'!B:I,8,0),VLOOKUP(B47,'12.COT.MERCADO'!A:I,8,0)))),"Em Elaboração")</f>
        <v>11.02</v>
      </c>
      <c r="J47" s="241">
        <f t="shared" si="13"/>
        <v>12.07966736</v>
      </c>
      <c r="K47" s="241">
        <f t="shared" si="14"/>
        <v>12.90810713</v>
      </c>
      <c r="L47" s="241">
        <f t="shared" si="15"/>
        <v>24.98777449</v>
      </c>
      <c r="M47" s="241">
        <f t="shared" si="16"/>
        <v>24.15933472</v>
      </c>
      <c r="N47" s="241">
        <f t="shared" si="17"/>
        <v>25.81621426</v>
      </c>
      <c r="O47" s="241">
        <f t="shared" si="18"/>
        <v>49.97554898</v>
      </c>
      <c r="P47" s="242">
        <f t="shared" si="3"/>
        <v>0.0001602700417</v>
      </c>
    </row>
    <row r="48">
      <c r="A48" s="236" t="s">
        <v>254</v>
      </c>
      <c r="B48" s="237" t="str">
        <f>VLOOKUP(A48,'Planilha_Sintética_Geral'!A:P,2,0)</f>
        <v>MAN_PR_051</v>
      </c>
      <c r="C48" s="238" t="str">
        <f t="shared" si="12"/>
        <v>PRÓPRIO</v>
      </c>
      <c r="D48" s="243" t="s">
        <v>230</v>
      </c>
      <c r="E48" s="239" t="str">
        <f>IFERROR(IF(D48="SINAPI-S",VLOOKUP(B48,'20-B.SINAPI-S'!A:J,2,0),IF(D48="SINAPI-I",VLOOKUP(B48,'20-A.SINAPI-I'!A:G,2,0),IF(D48="COMPOSIÇÕES",VLOOKUP(B48,'11.COMPOSIÇÕES GERAIS'!B:I,2,0),VLOOKUP(B48,'12.COT.MERCADO'!A:I,2,0)))),"Em Elaboração")</f>
        <v>SERVIÇO DE MONTAGEM DE MÓVEIS/ARMÁRIOS EM MDF</v>
      </c>
      <c r="F48" s="240" t="str">
        <f>IFERROR(IF(D48="SINAPI-S",VLOOKUP(B48,'20-B.SINAPI-S'!A:J,3,0),IF(D48="SINAPI-I",VLOOKUP(B48,'20-A.SINAPI-I'!A:G,3,0),IF(D48="COMPOSIÇÕES",VLOOKUP(B48,'11.COMPOSIÇÕES GERAIS'!B:I,3,0),VLOOKUP(B48,'12.COT.MERCADO'!A:I,7,0)))),"Em Elaboração")</f>
        <v>M2</v>
      </c>
      <c r="G48" s="244">
        <f>VLOOKUP(A48,'Planilha_Sintética_Geral'!A:O,7,0)</f>
        <v>3</v>
      </c>
      <c r="H48" s="241">
        <f>IFERROR(IF(D48="SINAPI-S",VLOOKUP(B48,'20-B.SINAPI-S'!A:J,5,0),IF(D48="SINAPI-I",VLOOKUP(B48,'20-A.SINAPI-I'!A:G,6,0),IF(D48="COMPOSIÇÕES",VLOOKUP(B48,'11.COMPOSIÇÕES GERAIS'!B:I,7,0),0))),"Em Elaboração")</f>
        <v>21.6</v>
      </c>
      <c r="I48" s="241">
        <f>IFERROR(IF(D48="SINAPI-S",VLOOKUP(B48,'20-B.SINAPI-S'!A:J,6,0),IF(D48="SINAPI-I",VLOOKUP(B48,'20-A.SINAPI-I'!A:G,7,0),IF(D48="COMPOSIÇÕES",VLOOKUP(B48,'11.COMPOSIÇÕES GERAIS'!B:I,8,0),VLOOKUP(B48,'12.COT.MERCADO'!A:I,8,0)))),"Em Elaboração")</f>
        <v>7.69</v>
      </c>
      <c r="J48" s="241">
        <f t="shared" si="13"/>
        <v>25.35673615</v>
      </c>
      <c r="K48" s="241">
        <f t="shared" si="14"/>
        <v>9.00756296</v>
      </c>
      <c r="L48" s="241">
        <f t="shared" si="15"/>
        <v>34.36429911</v>
      </c>
      <c r="M48" s="241">
        <f t="shared" si="16"/>
        <v>76.07020846</v>
      </c>
      <c r="N48" s="241">
        <f t="shared" si="17"/>
        <v>27.02268888</v>
      </c>
      <c r="O48" s="241">
        <f t="shared" si="18"/>
        <v>103.0928973</v>
      </c>
      <c r="P48" s="242">
        <f t="shared" si="3"/>
        <v>0.0003306157369</v>
      </c>
    </row>
    <row r="49">
      <c r="A49" s="236" t="s">
        <v>255</v>
      </c>
      <c r="B49" s="237">
        <f>VLOOKUP(A49,'Planilha_Sintética_Geral'!A:P,2,0)</f>
        <v>90831</v>
      </c>
      <c r="C49" s="238" t="str">
        <f t="shared" si="12"/>
        <v>SINAPI</v>
      </c>
      <c r="D49" s="238" t="s">
        <v>218</v>
      </c>
      <c r="E49" s="239" t="str">
        <f>IFERROR(IF(D49="SINAPI-S",VLOOKUP(B49,'20-B.SINAPI-S'!A:J,2,0),IF(D49="SINAPI-I",VLOOKUP(B49,'20-A.SINAPI-I'!A:G,2,0),IF(D49="COMPOSIÇÕES",VLOOKUP(B49,'11.COMPOSIÇÕES GERAIS'!B:I,2,0),VLOOKUP(B49,'12.COT.MERCADO'!A:I,2,0)))),"Em Elaboração")</f>
        <v>FECHADURA DE EMBUTIR PARA PORTA DE BANHEIRO, COMPLETA, ACABAMENTO PADRÃO MÉDIO, INCLUSO EXECUÇÃO DE FURO - FORNECIMENTO E INSTALAÇÃO. AF_12/2019</v>
      </c>
      <c r="F49" s="240" t="str">
        <f>IFERROR(IF(D49="SINAPI-S",VLOOKUP(B49,'20-B.SINAPI-S'!A:J,3,0),IF(D49="SINAPI-I",VLOOKUP(B49,'20-A.SINAPI-I'!A:G,3,0),IF(D49="COMPOSIÇÕES",VLOOKUP(B49,'11.COMPOSIÇÕES GERAIS'!B:I,3,0),VLOOKUP(B49,'12.COT.MERCADO'!A:I,7,0)))),"Em Elaboração")</f>
        <v>UN</v>
      </c>
      <c r="G49" s="244">
        <f>VLOOKUP(A49,'Planilha_Sintética_Geral'!A:O,7,0)</f>
        <v>1</v>
      </c>
      <c r="H49" s="241">
        <f>IFERROR(IF(D49="SINAPI-S",VLOOKUP(B49,'20-B.SINAPI-S'!A:J,5,0),IF(D49="SINAPI-I",VLOOKUP(B49,'20-A.SINAPI-I'!A:G,6,0),IF(D49="COMPOSIÇÕES",VLOOKUP(B49,'11.COMPOSIÇÕES GERAIS'!B:I,7,0),0))),"Em Elaboração")</f>
        <v>24.39</v>
      </c>
      <c r="I49" s="241">
        <f>IFERROR(IF(D49="SINAPI-S",VLOOKUP(B49,'20-B.SINAPI-S'!A:J,6,0),IF(D49="SINAPI-I",VLOOKUP(B49,'20-A.SINAPI-I'!A:G,7,0),IF(D49="COMPOSIÇÕES",VLOOKUP(B49,'11.COMPOSIÇÕES GERAIS'!B:I,8,0),VLOOKUP(B49,'12.COT.MERCADO'!A:I,8,0)))),"Em Elaboração")</f>
        <v>133.19</v>
      </c>
      <c r="J49" s="241">
        <f t="shared" si="13"/>
        <v>28.63198124</v>
      </c>
      <c r="K49" s="241">
        <f t="shared" si="14"/>
        <v>156.0100534</v>
      </c>
      <c r="L49" s="241">
        <f t="shared" si="15"/>
        <v>184.6420346</v>
      </c>
      <c r="M49" s="241">
        <f t="shared" si="16"/>
        <v>28.63198124</v>
      </c>
      <c r="N49" s="241">
        <f t="shared" si="17"/>
        <v>156.0100534</v>
      </c>
      <c r="O49" s="241">
        <f t="shared" si="18"/>
        <v>184.6420346</v>
      </c>
      <c r="P49" s="242">
        <f t="shared" si="3"/>
        <v>0.0005921413009</v>
      </c>
    </row>
    <row r="50">
      <c r="A50" s="236" t="s">
        <v>256</v>
      </c>
      <c r="B50" s="237" t="str">
        <f>VLOOKUP(A50,'Planilha_Sintética_Geral'!A:P,2,0)</f>
        <v>MAN_PR_007</v>
      </c>
      <c r="C50" s="238" t="str">
        <f t="shared" si="12"/>
        <v>PRÓPRIO</v>
      </c>
      <c r="D50" s="243" t="s">
        <v>230</v>
      </c>
      <c r="E50" s="239" t="str">
        <f>IFERROR(IF(D50="SINAPI-S",VLOOKUP(B50,'20-B.SINAPI-S'!A:J,2,0),IF(D50="SINAPI-I",VLOOKUP(B50,'20-A.SINAPI-I'!A:G,2,0),IF(D50="COMPOSIÇÕES",VLOOKUP(B50,'11.COMPOSIÇÕES GERAIS'!B:I,2,0),VLOOKUP(B50,'12.COT.MERCADO'!A:I,2,0)))),"Em Elaboração")</f>
        <v>DESENTUPIMENTO DE LOUÇAS</v>
      </c>
      <c r="F50" s="240" t="str">
        <f>IFERROR(IF(D50="SINAPI-S",VLOOKUP(B50,'20-B.SINAPI-S'!A:J,3,0),IF(D50="SINAPI-I",VLOOKUP(B50,'20-A.SINAPI-I'!A:G,3,0),IF(D50="COMPOSIÇÕES",VLOOKUP(B50,'11.COMPOSIÇÕES GERAIS'!B:I,3,0),VLOOKUP(B50,'12.COT.MERCADO'!A:I,7,0)))),"Em Elaboração")</f>
        <v>UN</v>
      </c>
      <c r="G50" s="244">
        <f>VLOOKUP(A50,'Planilha_Sintética_Geral'!A:O,7,0)</f>
        <v>6</v>
      </c>
      <c r="H50" s="241">
        <f>IFERROR(IF(D50="SINAPI-S",VLOOKUP(B50,'20-B.SINAPI-S'!A:J,5,0),IF(D50="SINAPI-I",VLOOKUP(B50,'20-A.SINAPI-I'!A:G,6,0),IF(D50="COMPOSIÇÕES",VLOOKUP(B50,'11.COMPOSIÇÕES GERAIS'!B:I,7,0),0))),"Em Elaboração")</f>
        <v>67.891718</v>
      </c>
      <c r="I50" s="241">
        <f>IFERROR(IF(D50="SINAPI-S",VLOOKUP(B50,'20-B.SINAPI-S'!A:J,6,0),IF(D50="SINAPI-I",VLOOKUP(B50,'20-A.SINAPI-I'!A:G,7,0),IF(D50="COMPOSIÇÕES",VLOOKUP(B50,'11.COMPOSIÇÕES GERAIS'!B:I,8,0),VLOOKUP(B50,'12.COT.MERCADO'!A:I,8,0)))),"Em Elaboração")</f>
        <v>24.91129</v>
      </c>
      <c r="J50" s="241">
        <f t="shared" si="13"/>
        <v>79.69964723</v>
      </c>
      <c r="K50" s="241">
        <f t="shared" si="14"/>
        <v>29.17945554</v>
      </c>
      <c r="L50" s="241">
        <f t="shared" si="15"/>
        <v>108.8791028</v>
      </c>
      <c r="M50" s="241">
        <f t="shared" si="16"/>
        <v>478.1978834</v>
      </c>
      <c r="N50" s="241">
        <f t="shared" si="17"/>
        <v>175.0767332</v>
      </c>
      <c r="O50" s="241">
        <f t="shared" si="18"/>
        <v>653.2746166</v>
      </c>
      <c r="P50" s="242">
        <f t="shared" si="3"/>
        <v>0.002095031514</v>
      </c>
    </row>
    <row r="51">
      <c r="A51" s="236" t="s">
        <v>257</v>
      </c>
      <c r="B51" s="237">
        <f>VLOOKUP(A51,'Planilha_Sintética_Geral'!A:P,2,0)</f>
        <v>86906</v>
      </c>
      <c r="C51" s="238" t="str">
        <f t="shared" si="12"/>
        <v>SINAPI</v>
      </c>
      <c r="D51" s="238" t="s">
        <v>218</v>
      </c>
      <c r="E51" s="239" t="str">
        <f>IFERROR(IF(D51="SINAPI-S",VLOOKUP(B51,'20-B.SINAPI-S'!A:J,2,0),IF(D51="SINAPI-I",VLOOKUP(B51,'20-A.SINAPI-I'!A:G,2,0),IF(D51="COMPOSIÇÕES",VLOOKUP(B51,'11.COMPOSIÇÕES GERAIS'!B:I,2,0),VLOOKUP(B51,'12.COT.MERCADO'!A:I,2,0)))),"Em Elaboração")</f>
        <v>TORNEIRA CROMADA DE MESA, 1/2_x0094_ OU 3/4_x0094_, PARA LAVATÓRIO, PADRÃO POPULAR - FORNECIMENTO E INSTALAÇÃO. AF_01/2020</v>
      </c>
      <c r="F51" s="240" t="str">
        <f>IFERROR(IF(D51="SINAPI-S",VLOOKUP(B51,'20-B.SINAPI-S'!A:J,3,0),IF(D51="SINAPI-I",VLOOKUP(B51,'20-A.SINAPI-I'!A:G,3,0),IF(D51="COMPOSIÇÕES",VLOOKUP(B51,'11.COMPOSIÇÕES GERAIS'!B:I,3,0),VLOOKUP(B51,'12.COT.MERCADO'!A:I,7,0)))),"Em Elaboração")</f>
        <v>UN</v>
      </c>
      <c r="G51" s="244">
        <f>VLOOKUP(A51,'Planilha_Sintética_Geral'!A:O,7,0)</f>
        <v>3</v>
      </c>
      <c r="H51" s="241">
        <f>IFERROR(IF(D51="SINAPI-S",VLOOKUP(B51,'20-B.SINAPI-S'!A:J,5,0),IF(D51="SINAPI-I",VLOOKUP(B51,'20-A.SINAPI-I'!A:G,6,0),IF(D51="COMPOSIÇÕES",VLOOKUP(B51,'11.COMPOSIÇÕES GERAIS'!B:I,7,0),0))),"Em Elaboração")</f>
        <v>2.87</v>
      </c>
      <c r="I51" s="241">
        <f>IFERROR(IF(D51="SINAPI-S",VLOOKUP(B51,'20-B.SINAPI-S'!A:J,6,0),IF(D51="SINAPI-I",VLOOKUP(B51,'20-A.SINAPI-I'!A:G,7,0),IF(D51="COMPOSIÇÕES",VLOOKUP(B51,'11.COMPOSIÇÕES GERAIS'!B:I,8,0),VLOOKUP(B51,'12.COT.MERCADO'!A:I,8,0)))),"Em Elaboração")</f>
        <v>60.96</v>
      </c>
      <c r="J51" s="241">
        <f t="shared" si="13"/>
        <v>3.369158924</v>
      </c>
      <c r="K51" s="241">
        <f t="shared" si="14"/>
        <v>71.40455631</v>
      </c>
      <c r="L51" s="241">
        <f t="shared" si="15"/>
        <v>74.77371523</v>
      </c>
      <c r="M51" s="241">
        <f t="shared" si="16"/>
        <v>10.10747677</v>
      </c>
      <c r="N51" s="241">
        <f t="shared" si="17"/>
        <v>214.2136689</v>
      </c>
      <c r="O51" s="241">
        <f t="shared" si="18"/>
        <v>224.3211457</v>
      </c>
      <c r="P51" s="242">
        <f t="shared" si="3"/>
        <v>0.0007193909843</v>
      </c>
    </row>
    <row r="52">
      <c r="A52" s="236" t="s">
        <v>258</v>
      </c>
      <c r="B52" s="237">
        <f>VLOOKUP(A52,'Planilha_Sintética_Geral'!A:P,2,0)</f>
        <v>100849</v>
      </c>
      <c r="C52" s="238" t="str">
        <f t="shared" si="12"/>
        <v>SINAPI</v>
      </c>
      <c r="D52" s="238" t="s">
        <v>218</v>
      </c>
      <c r="E52" s="239" t="str">
        <f>IFERROR(IF(D52="SINAPI-S",VLOOKUP(B52,'20-B.SINAPI-S'!A:J,2,0),IF(D52="SINAPI-I",VLOOKUP(B52,'20-A.SINAPI-I'!A:G,2,0),IF(D52="COMPOSIÇÕES",VLOOKUP(B52,'11.COMPOSIÇÕES GERAIS'!B:I,2,0),VLOOKUP(B52,'12.COT.MERCADO'!A:I,2,0)))),"Em Elaboração")</f>
        <v>ASSENTO SANITÁRIO CONVENCIONAL - FORNECIMENTO E INSTALACAO. AF_01/2020</v>
      </c>
      <c r="F52" s="240" t="str">
        <f>IFERROR(IF(D52="SINAPI-S",VLOOKUP(B52,'20-B.SINAPI-S'!A:J,3,0),IF(D52="SINAPI-I",VLOOKUP(B52,'20-A.SINAPI-I'!A:G,3,0),IF(D52="COMPOSIÇÕES",VLOOKUP(B52,'11.COMPOSIÇÕES GERAIS'!B:I,3,0),VLOOKUP(B52,'12.COT.MERCADO'!A:I,7,0)))),"Em Elaboração")</f>
        <v>UN</v>
      </c>
      <c r="G52" s="244">
        <f>VLOOKUP(A52,'Planilha_Sintética_Geral'!A:O,7,0)</f>
        <v>4</v>
      </c>
      <c r="H52" s="241">
        <f>IFERROR(IF(D52="SINAPI-S",VLOOKUP(B52,'20-B.SINAPI-S'!A:J,5,0),IF(D52="SINAPI-I",VLOOKUP(B52,'20-A.SINAPI-I'!A:G,6,0),IF(D52="COMPOSIÇÕES",VLOOKUP(B52,'11.COMPOSIÇÕES GERAIS'!B:I,7,0),0))),"Em Elaboração")</f>
        <v>4.59</v>
      </c>
      <c r="I52" s="241">
        <f>IFERROR(IF(D52="SINAPI-S",VLOOKUP(B52,'20-B.SINAPI-S'!A:J,6,0),IF(D52="SINAPI-I",VLOOKUP(B52,'20-A.SINAPI-I'!A:G,7,0),IF(D52="COMPOSIÇÕES",VLOOKUP(B52,'11.COMPOSIÇÕES GERAIS'!B:I,8,0),VLOOKUP(B52,'12.COT.MERCADO'!A:I,8,0)))),"Em Elaboração")</f>
        <v>40.49</v>
      </c>
      <c r="J52" s="241">
        <f t="shared" si="13"/>
        <v>5.388306432</v>
      </c>
      <c r="K52" s="241">
        <f t="shared" si="14"/>
        <v>47.42733735</v>
      </c>
      <c r="L52" s="241">
        <f t="shared" si="15"/>
        <v>52.81564378</v>
      </c>
      <c r="M52" s="241">
        <f t="shared" si="16"/>
        <v>21.55322573</v>
      </c>
      <c r="N52" s="241">
        <f t="shared" si="17"/>
        <v>189.7093494</v>
      </c>
      <c r="O52" s="241">
        <f t="shared" si="18"/>
        <v>211.2625751</v>
      </c>
      <c r="P52" s="242">
        <f t="shared" si="3"/>
        <v>0.0006775125519</v>
      </c>
    </row>
    <row r="53">
      <c r="A53" s="236" t="s">
        <v>259</v>
      </c>
      <c r="B53" s="237" t="str">
        <f>VLOOKUP(A53,'Planilha_Sintética_Geral'!A:P,2,0)</f>
        <v>MAN_PR_006</v>
      </c>
      <c r="C53" s="238" t="str">
        <f t="shared" si="12"/>
        <v>PRÓPRIO</v>
      </c>
      <c r="D53" s="243" t="s">
        <v>230</v>
      </c>
      <c r="E53" s="239" t="str">
        <f>IFERROR(IF(D53="SINAPI-S",VLOOKUP(B53,'20-B.SINAPI-S'!A:J,2,0),IF(D53="SINAPI-I",VLOOKUP(B53,'20-A.SINAPI-I'!A:G,2,0),IF(D53="COMPOSIÇÕES",VLOOKUP(B53,'11.COMPOSIÇÕES GERAIS'!B:I,2,0),VLOOKUP(B53,'12.COT.MERCADO'!A:I,2,0)))),"Em Elaboração")</f>
        <v>FORNECIMENTO E INSTALAÇÃO DE REFLETOR LED, CORPO DE ALUMÍNIO, VIDRO TEMPERADO, POTÊNCIA 30W, BIVOLT, TEMP. COR 3000K, IP-66</v>
      </c>
      <c r="F53" s="240" t="str">
        <f>IFERROR(IF(D53="SINAPI-S",VLOOKUP(B53,'20-B.SINAPI-S'!A:J,3,0),IF(D53="SINAPI-I",VLOOKUP(B53,'20-A.SINAPI-I'!A:G,3,0),IF(D53="COMPOSIÇÕES",VLOOKUP(B53,'11.COMPOSIÇÕES GERAIS'!B:I,3,0),VLOOKUP(B53,'12.COT.MERCADO'!A:I,7,0)))),"Em Elaboração")</f>
        <v>UN</v>
      </c>
      <c r="G53" s="244">
        <f>VLOOKUP(A53,'Planilha_Sintética_Geral'!A:O,7,0)</f>
        <v>18</v>
      </c>
      <c r="H53" s="241">
        <f>IFERROR(IF(D53="SINAPI-S",VLOOKUP(B53,'20-B.SINAPI-S'!A:J,5,0),IF(D53="SINAPI-I",VLOOKUP(B53,'20-A.SINAPI-I'!A:G,6,0),IF(D53="COMPOSIÇÕES",VLOOKUP(B53,'11.COMPOSIÇÕES GERAIS'!B:I,7,0),0))),"Em Elaboração")</f>
        <v>18.305</v>
      </c>
      <c r="I53" s="241">
        <f>IFERROR(IF(D53="SINAPI-S",VLOOKUP(B53,'20-B.SINAPI-S'!A:J,6,0),IF(D53="SINAPI-I",VLOOKUP(B53,'20-A.SINAPI-I'!A:G,7,0),IF(D53="COMPOSIÇÕES",VLOOKUP(B53,'11.COMPOSIÇÕES GERAIS'!B:I,8,0),VLOOKUP(B53,'12.COT.MERCADO'!A:I,8,0)))),"Em Elaboração")</f>
        <v>45.478</v>
      </c>
      <c r="J53" s="241">
        <f t="shared" si="13"/>
        <v>21.48865997</v>
      </c>
      <c r="K53" s="241">
        <f t="shared" si="14"/>
        <v>53.26995426</v>
      </c>
      <c r="L53" s="241">
        <f t="shared" si="15"/>
        <v>74.75861423</v>
      </c>
      <c r="M53" s="241">
        <f t="shared" si="16"/>
        <v>386.7958794</v>
      </c>
      <c r="N53" s="241">
        <f t="shared" si="17"/>
        <v>958.8591767</v>
      </c>
      <c r="O53" s="241">
        <f t="shared" si="18"/>
        <v>1345.655056</v>
      </c>
      <c r="P53" s="242">
        <f t="shared" si="3"/>
        <v>0.004315474194</v>
      </c>
    </row>
    <row r="54">
      <c r="A54" s="236" t="s">
        <v>260</v>
      </c>
      <c r="B54" s="237">
        <f>VLOOKUP(A54,'Planilha_Sintética_Geral'!A:P,2,0)</f>
        <v>91926</v>
      </c>
      <c r="C54" s="238" t="str">
        <f t="shared" si="12"/>
        <v>SINAPI</v>
      </c>
      <c r="D54" s="238" t="s">
        <v>218</v>
      </c>
      <c r="E54" s="239" t="str">
        <f>IFERROR(IF(D54="SINAPI-S",VLOOKUP(B54,'20-B.SINAPI-S'!A:J,2,0),IF(D54="SINAPI-I",VLOOKUP(B54,'20-A.SINAPI-I'!A:G,2,0),IF(D54="COMPOSIÇÕES",VLOOKUP(B54,'11.COMPOSIÇÕES GERAIS'!B:I,2,0),VLOOKUP(B54,'12.COT.MERCADO'!A:I,2,0)))),"Em Elaboração")</f>
        <v>CABO DE COBRE FLEXÍVEL ISOLADO, 2,5 MM², ANTI-CHAMA 450/750 V, PARA CIRCUITOS TERMINAIS - FORNECIMENTO E INSTALAÇÃO. AF_03/2023</v>
      </c>
      <c r="F54" s="240" t="str">
        <f>IFERROR(IF(D54="SINAPI-S",VLOOKUP(B54,'20-B.SINAPI-S'!A:J,3,0),IF(D54="SINAPI-I",VLOOKUP(B54,'20-A.SINAPI-I'!A:G,3,0),IF(D54="COMPOSIÇÕES",VLOOKUP(B54,'11.COMPOSIÇÕES GERAIS'!B:I,3,0),VLOOKUP(B54,'12.COT.MERCADO'!A:I,7,0)))),"Em Elaboração")</f>
        <v>M</v>
      </c>
      <c r="G54" s="244">
        <f>VLOOKUP(A54,'Planilha_Sintética_Geral'!A:O,7,0)</f>
        <v>35</v>
      </c>
      <c r="H54" s="241">
        <f>IFERROR(IF(D54="SINAPI-S",VLOOKUP(B54,'20-B.SINAPI-S'!A:J,5,0),IF(D54="SINAPI-I",VLOOKUP(B54,'20-A.SINAPI-I'!A:G,6,0),IF(D54="COMPOSIÇÕES",VLOOKUP(B54,'11.COMPOSIÇÕES GERAIS'!B:I,7,0),0))),"Em Elaboração")</f>
        <v>1.28</v>
      </c>
      <c r="I54" s="241">
        <f>IFERROR(IF(D54="SINAPI-S",VLOOKUP(B54,'20-B.SINAPI-S'!A:J,6,0),IF(D54="SINAPI-I",VLOOKUP(B54,'20-A.SINAPI-I'!A:G,7,0),IF(D54="COMPOSIÇÕES",VLOOKUP(B54,'11.COMPOSIÇÕES GERAIS'!B:I,8,0),VLOOKUP(B54,'12.COT.MERCADO'!A:I,8,0)))),"Em Elaboração")</f>
        <v>3.17</v>
      </c>
      <c r="J54" s="241">
        <f t="shared" si="13"/>
        <v>1.502621402</v>
      </c>
      <c r="K54" s="241">
        <f t="shared" si="14"/>
        <v>3.713130635</v>
      </c>
      <c r="L54" s="241">
        <f t="shared" si="15"/>
        <v>5.215752036</v>
      </c>
      <c r="M54" s="241">
        <f t="shared" si="16"/>
        <v>52.59174906</v>
      </c>
      <c r="N54" s="241">
        <f t="shared" si="17"/>
        <v>129.9595722</v>
      </c>
      <c r="O54" s="241">
        <f t="shared" si="18"/>
        <v>182.5513213</v>
      </c>
      <c r="P54" s="242">
        <f t="shared" si="3"/>
        <v>0.0005854364478</v>
      </c>
    </row>
    <row r="55">
      <c r="A55" s="236" t="s">
        <v>261</v>
      </c>
      <c r="B55" s="237">
        <f>VLOOKUP(A55,'Planilha_Sintética_Geral'!A:P,2,0)</f>
        <v>104476</v>
      </c>
      <c r="C55" s="238" t="str">
        <f t="shared" si="12"/>
        <v>SINAPI</v>
      </c>
      <c r="D55" s="238" t="s">
        <v>218</v>
      </c>
      <c r="E55" s="239" t="str">
        <f>IFERROR(IF(D55="SINAPI-S",VLOOKUP(B55,'20-B.SINAPI-S'!A:J,2,0),IF(D55="SINAPI-I",VLOOKUP(B55,'20-A.SINAPI-I'!A:G,2,0),IF(D55="COMPOSIÇÕES",VLOOKUP(B55,'11.COMPOSIÇÕES GERAIS'!B:I,2,0),VLOOKUP(B55,'12.COT.MERCADO'!A:I,2,0)))),"Em Elaboração")</f>
        <v>COMPOSIÇÃO PARAMÉTRICA DE PONTO ELÉTRICO DE TOMADA DE USO ESPECÍFICO 2P+T (20A/250V) EM EDIFÍCIO RESIDENCIAL COM ELETRODUTO EMBUTIDO EM RASGOS NAS PAREDES, INCLUSO TOMADA, ELETRODUTO, CABO, RASGO, QUEBRA E CHUMBAMENTO (EXCETO CHUVEIRO). AF_11/2022</v>
      </c>
      <c r="F55" s="240" t="str">
        <f>IFERROR(IF(D55="SINAPI-S",VLOOKUP(B55,'20-B.SINAPI-S'!A:J,3,0),IF(D55="SINAPI-I",VLOOKUP(B55,'20-A.SINAPI-I'!A:G,3,0),IF(D55="COMPOSIÇÕES",VLOOKUP(B55,'11.COMPOSIÇÕES GERAIS'!B:I,3,0),VLOOKUP(B55,'12.COT.MERCADO'!A:I,7,0)))),"Em Elaboração")</f>
        <v>UN</v>
      </c>
      <c r="G55" s="244">
        <f>VLOOKUP(A55,'Planilha_Sintética_Geral'!A:O,7,0)</f>
        <v>1</v>
      </c>
      <c r="H55" s="241">
        <f>IFERROR(IF(D55="SINAPI-S",VLOOKUP(B55,'20-B.SINAPI-S'!A:J,5,0),IF(D55="SINAPI-I",VLOOKUP(B55,'20-A.SINAPI-I'!A:G,6,0),IF(D55="COMPOSIÇÕES",VLOOKUP(B55,'11.COMPOSIÇÕES GERAIS'!B:I,7,0),0))),"Em Elaboração")</f>
        <v>99.85</v>
      </c>
      <c r="I55" s="241">
        <f>IFERROR(IF(D55="SINAPI-S",VLOOKUP(B55,'20-B.SINAPI-S'!A:J,6,0),IF(D55="SINAPI-I",VLOOKUP(B55,'20-A.SINAPI-I'!A:G,7,0),IF(D55="COMPOSIÇÕES",VLOOKUP(B55,'11.COMPOSIÇÕES GERAIS'!B:I,8,0),VLOOKUP(B55,'12.COT.MERCADO'!A:I,8,0)))),"Em Elaboração")</f>
        <v>102.03</v>
      </c>
      <c r="J55" s="241">
        <f t="shared" si="13"/>
        <v>117.2162086</v>
      </c>
      <c r="K55" s="241">
        <f t="shared" si="14"/>
        <v>119.5112677</v>
      </c>
      <c r="L55" s="241">
        <f t="shared" si="15"/>
        <v>236.7274763</v>
      </c>
      <c r="M55" s="241">
        <f t="shared" si="16"/>
        <v>117.2162086</v>
      </c>
      <c r="N55" s="241">
        <f t="shared" si="17"/>
        <v>119.5112677</v>
      </c>
      <c r="O55" s="241">
        <f t="shared" si="18"/>
        <v>236.7274763</v>
      </c>
      <c r="P55" s="242">
        <f t="shared" si="3"/>
        <v>0.0007591777032</v>
      </c>
    </row>
    <row r="56">
      <c r="A56" s="236" t="s">
        <v>262</v>
      </c>
      <c r="B56" s="237">
        <f>VLOOKUP(A56,'Planilha_Sintética_Geral'!A:P,2,0)</f>
        <v>97617</v>
      </c>
      <c r="C56" s="238" t="str">
        <f t="shared" si="12"/>
        <v>SINAPI</v>
      </c>
      <c r="D56" s="238" t="s">
        <v>218</v>
      </c>
      <c r="E56" s="239" t="str">
        <f>IFERROR(IF(D56="SINAPI-S",VLOOKUP(B56,'20-B.SINAPI-S'!A:J,2,0),IF(D56="SINAPI-I",VLOOKUP(B56,'20-A.SINAPI-I'!A:G,2,0),IF(D56="COMPOSIÇÕES",VLOOKUP(B56,'11.COMPOSIÇÕES GERAIS'!B:I,2,0),VLOOKUP(B56,'12.COT.MERCADO'!A:I,2,0)))),"Em Elaboração")</f>
        <v>LÂMPADA TUBULAR FLUORESCENTE T10 DE 20/40 W, BASE G13 - FORNECIMENTO E INSTALAÇÃO. AF_02/2020_PS</v>
      </c>
      <c r="F56" s="240" t="str">
        <f>IFERROR(IF(D56="SINAPI-S",VLOOKUP(B56,'20-B.SINAPI-S'!A:J,3,0),IF(D56="SINAPI-I",VLOOKUP(B56,'20-A.SINAPI-I'!A:G,3,0),IF(D56="COMPOSIÇÕES",VLOOKUP(B56,'11.COMPOSIÇÕES GERAIS'!B:I,3,0),VLOOKUP(B56,'12.COT.MERCADO'!A:I,7,0)))),"Em Elaboração")</f>
        <v>UN</v>
      </c>
      <c r="G56" s="244">
        <f>VLOOKUP(A56,'Planilha_Sintética_Geral'!A:O,7,0)</f>
        <v>4</v>
      </c>
      <c r="H56" s="241">
        <f>IFERROR(IF(D56="SINAPI-S",VLOOKUP(B56,'20-B.SINAPI-S'!A:J,5,0),IF(D56="SINAPI-I",VLOOKUP(B56,'20-A.SINAPI-I'!A:G,6,0),IF(D56="COMPOSIÇÕES",VLOOKUP(B56,'11.COMPOSIÇÕES GERAIS'!B:I,7,0),0))),"Em Elaboração")</f>
        <v>8.19</v>
      </c>
      <c r="I56" s="241">
        <f>IFERROR(IF(D56="SINAPI-S",VLOOKUP(B56,'20-B.SINAPI-S'!A:J,6,0),IF(D56="SINAPI-I",VLOOKUP(B56,'20-A.SINAPI-I'!A:G,7,0),IF(D56="COMPOSIÇÕES",VLOOKUP(B56,'11.COMPOSIÇÕES GERAIS'!B:I,8,0),VLOOKUP(B56,'12.COT.MERCADO'!A:I,8,0)))),"Em Elaboração")</f>
        <v>53.4</v>
      </c>
      <c r="J56" s="241">
        <f t="shared" si="13"/>
        <v>9.614429124</v>
      </c>
      <c r="K56" s="241">
        <f t="shared" si="14"/>
        <v>62.54926685</v>
      </c>
      <c r="L56" s="241">
        <f t="shared" si="15"/>
        <v>72.16369597</v>
      </c>
      <c r="M56" s="241">
        <f t="shared" si="16"/>
        <v>38.4577165</v>
      </c>
      <c r="N56" s="241">
        <f t="shared" si="17"/>
        <v>250.1970674</v>
      </c>
      <c r="O56" s="241">
        <f t="shared" si="18"/>
        <v>288.6547839</v>
      </c>
      <c r="P56" s="242">
        <f t="shared" si="3"/>
        <v>0.0009257069745</v>
      </c>
    </row>
    <row r="57">
      <c r="A57" s="236" t="s">
        <v>263</v>
      </c>
      <c r="B57" s="237" t="str">
        <f>VLOOKUP(A57,'Planilha_Sintética_Geral'!A:P,2,0)</f>
        <v>MAN_PR_008</v>
      </c>
      <c r="C57" s="238" t="str">
        <f t="shared" si="12"/>
        <v>PRÓPRIO</v>
      </c>
      <c r="D57" s="243" t="s">
        <v>230</v>
      </c>
      <c r="E57" s="239" t="str">
        <f>IFERROR(IF(D57="SINAPI-S",VLOOKUP(B57,'20-B.SINAPI-S'!A:J,2,0),IF(D57="SINAPI-I",VLOOKUP(B57,'20-A.SINAPI-I'!A:G,2,0),IF(D57="COMPOSIÇÕES",VLOOKUP(B57,'11.COMPOSIÇÕES GERAIS'!B:I,2,0),VLOOKUP(B57,'12.COT.MERCADO'!A:I,2,0)))),"Em Elaboração")</f>
        <v>RETIRADA E RECOLOCAÇÃO DE DIVISÓRIA NAVAL</v>
      </c>
      <c r="F57" s="240" t="str">
        <f>IFERROR(IF(D57="SINAPI-S",VLOOKUP(B57,'20-B.SINAPI-S'!A:J,3,0),IF(D57="SINAPI-I",VLOOKUP(B57,'20-A.SINAPI-I'!A:G,3,0),IF(D57="COMPOSIÇÕES",VLOOKUP(B57,'11.COMPOSIÇÕES GERAIS'!B:I,3,0),VLOOKUP(B57,'12.COT.MERCADO'!A:I,7,0)))),"Em Elaboração")</f>
        <v>M2</v>
      </c>
      <c r="G57" s="244">
        <f>VLOOKUP(A57,'Planilha_Sintética_Geral'!A:O,7,0)</f>
        <v>6</v>
      </c>
      <c r="H57" s="241">
        <f>IFERROR(IF(D57="SINAPI-S",VLOOKUP(B57,'20-B.SINAPI-S'!A:J,5,0),IF(D57="SINAPI-I",VLOOKUP(B57,'20-A.SINAPI-I'!A:G,6,0),IF(D57="COMPOSIÇÕES",VLOOKUP(B57,'11.COMPOSIÇÕES GERAIS'!B:I,7,0),0))),"Em Elaboração")</f>
        <v>47.963</v>
      </c>
      <c r="I57" s="241">
        <f>IFERROR(IF(D57="SINAPI-S",VLOOKUP(B57,'20-B.SINAPI-S'!A:J,6,0),IF(D57="SINAPI-I",VLOOKUP(B57,'20-A.SINAPI-I'!A:G,7,0),IF(D57="COMPOSIÇÕES",VLOOKUP(B57,'11.COMPOSIÇÕES GERAIS'!B:I,8,0),VLOOKUP(B57,'12.COT.MERCADO'!A:I,8,0)))),"Em Elaboração")</f>
        <v>16.923</v>
      </c>
      <c r="J57" s="241">
        <f t="shared" si="13"/>
        <v>56.30486741</v>
      </c>
      <c r="K57" s="241">
        <f t="shared" si="14"/>
        <v>19.82249518</v>
      </c>
      <c r="L57" s="241">
        <f t="shared" si="15"/>
        <v>76.12736259</v>
      </c>
      <c r="M57" s="241">
        <f t="shared" si="16"/>
        <v>337.8292045</v>
      </c>
      <c r="N57" s="241">
        <f t="shared" si="17"/>
        <v>118.9349711</v>
      </c>
      <c r="O57" s="241">
        <f t="shared" si="18"/>
        <v>456.7641756</v>
      </c>
      <c r="P57" s="242">
        <f t="shared" si="3"/>
        <v>0.0014648286</v>
      </c>
    </row>
    <row r="58">
      <c r="A58" s="236" t="s">
        <v>264</v>
      </c>
      <c r="B58" s="237">
        <f>VLOOKUP(A58,'Planilha_Sintética_Geral'!A:P,2,0)</f>
        <v>98532</v>
      </c>
      <c r="C58" s="238" t="str">
        <f t="shared" si="12"/>
        <v>SINAPI</v>
      </c>
      <c r="D58" s="238" t="s">
        <v>218</v>
      </c>
      <c r="E58" s="239" t="str">
        <f>IFERROR(IF(D58="SINAPI-S",VLOOKUP(B58,'20-B.SINAPI-S'!A:J,2,0),IF(D58="SINAPI-I",VLOOKUP(B58,'20-A.SINAPI-I'!A:G,2,0),IF(D58="COMPOSIÇÕES",VLOOKUP(B58,'11.COMPOSIÇÕES GERAIS'!B:I,2,0),VLOOKUP(B58,'12.COT.MERCADO'!A:I,2,0)))),"Em Elaboração")</f>
        <v>PODA EM ALTURA DE ÁRVORE COM DIÂMETRO DE TRONCO MENOR QUE 0,20 M.AF_05/2018</v>
      </c>
      <c r="F58" s="240" t="str">
        <f>IFERROR(IF(D58="SINAPI-S",VLOOKUP(B58,'20-B.SINAPI-S'!A:J,3,0),IF(D58="SINAPI-I",VLOOKUP(B58,'20-A.SINAPI-I'!A:G,3,0),IF(D58="COMPOSIÇÕES",VLOOKUP(B58,'11.COMPOSIÇÕES GERAIS'!B:I,3,0),VLOOKUP(B58,'12.COT.MERCADO'!A:I,7,0)))),"Em Elaboração")</f>
        <v>UN</v>
      </c>
      <c r="G58" s="244">
        <f>VLOOKUP(A58,'Planilha_Sintética_Geral'!A:O,7,0)</f>
        <v>1</v>
      </c>
      <c r="H58" s="241">
        <f>IFERROR(IF(D58="SINAPI-S",VLOOKUP(B58,'20-B.SINAPI-S'!A:J,5,0),IF(D58="SINAPI-I",VLOOKUP(B58,'20-A.SINAPI-I'!A:G,6,0),IF(D58="COMPOSIÇÕES",VLOOKUP(B58,'11.COMPOSIÇÕES GERAIS'!B:I,7,0),0))),"Em Elaboração")</f>
        <v>44.27</v>
      </c>
      <c r="I58" s="241">
        <f>IFERROR(IF(D58="SINAPI-S",VLOOKUP(B58,'20-B.SINAPI-S'!A:J,6,0),IF(D58="SINAPI-I",VLOOKUP(B58,'20-A.SINAPI-I'!A:G,7,0),IF(D58="COMPOSIÇÕES",VLOOKUP(B58,'11.COMPOSIÇÕES GERAIS'!B:I,8,0),VLOOKUP(B58,'12.COT.MERCADO'!A:I,8,0)))),"Em Elaboração")</f>
        <v>75.49</v>
      </c>
      <c r="J58" s="241">
        <f t="shared" si="13"/>
        <v>51.96956988</v>
      </c>
      <c r="K58" s="241">
        <f t="shared" si="14"/>
        <v>88.42404783</v>
      </c>
      <c r="L58" s="241">
        <f t="shared" si="15"/>
        <v>140.3936177</v>
      </c>
      <c r="M58" s="241">
        <f t="shared" si="16"/>
        <v>51.96956988</v>
      </c>
      <c r="N58" s="241">
        <f t="shared" si="17"/>
        <v>88.42404783</v>
      </c>
      <c r="O58" s="241">
        <f t="shared" si="18"/>
        <v>140.3936177</v>
      </c>
      <c r="P58" s="242">
        <f t="shared" si="3"/>
        <v>0.0004502379948</v>
      </c>
    </row>
    <row r="59">
      <c r="A59" s="236" t="s">
        <v>265</v>
      </c>
      <c r="B59" s="237" t="str">
        <f>VLOOKUP(A59,'Planilha_Sintética_Geral'!A:P,2,0)</f>
        <v>MAN_PR_009</v>
      </c>
      <c r="C59" s="238" t="str">
        <f t="shared" si="12"/>
        <v>PRÓPRIO</v>
      </c>
      <c r="D59" s="243" t="s">
        <v>230</v>
      </c>
      <c r="E59" s="239" t="str">
        <f>IFERROR(IF(D59="SINAPI-S",VLOOKUP(B59,'20-B.SINAPI-S'!A:J,2,0),IF(D59="SINAPI-I",VLOOKUP(B59,'20-A.SINAPI-I'!A:G,2,0),IF(D59="COMPOSIÇÕES",VLOOKUP(B59,'11.COMPOSIÇÕES GERAIS'!B:I,2,0),VLOOKUP(B59,'12.COT.MERCADO'!A:I,2,0)))),"Em Elaboração")</f>
        <v>FORNECIMENTO E INSTALAÇÃO DE PLACA DE SINALIZAÇÃO FOTOLUMINOSCENTE 13x26CM</v>
      </c>
      <c r="F59" s="240" t="str">
        <f>IFERROR(IF(D59="SINAPI-S",VLOOKUP(B59,'20-B.SINAPI-S'!A:J,3,0),IF(D59="SINAPI-I",VLOOKUP(B59,'20-A.SINAPI-I'!A:G,3,0),IF(D59="COMPOSIÇÕES",VLOOKUP(B59,'11.COMPOSIÇÕES GERAIS'!B:I,3,0),VLOOKUP(B59,'12.COT.MERCADO'!A:I,7,0)))),"Em Elaboração")</f>
        <v>UN</v>
      </c>
      <c r="G59" s="244">
        <f>VLOOKUP(A59,'Planilha_Sintética_Geral'!A:O,7,0)</f>
        <v>10</v>
      </c>
      <c r="H59" s="241">
        <f>IFERROR(IF(D59="SINAPI-S",VLOOKUP(B59,'20-B.SINAPI-S'!A:J,5,0),IF(D59="SINAPI-I",VLOOKUP(B59,'20-A.SINAPI-I'!A:G,6,0),IF(D59="COMPOSIÇÕES",VLOOKUP(B59,'11.COMPOSIÇÕES GERAIS'!B:I,7,0),0))),"Em Elaboração")</f>
        <v>8.394</v>
      </c>
      <c r="I59" s="241">
        <f>IFERROR(IF(D59="SINAPI-S",VLOOKUP(B59,'20-B.SINAPI-S'!A:J,6,0),IF(D59="SINAPI-I",VLOOKUP(B59,'20-A.SINAPI-I'!A:G,7,0),IF(D59="COMPOSIÇÕES",VLOOKUP(B59,'11.COMPOSIÇÕES GERAIS'!B:I,8,0),VLOOKUP(B59,'12.COT.MERCADO'!A:I,8,0)))),"Em Elaboração")</f>
        <v>13.148</v>
      </c>
      <c r="J59" s="241">
        <f t="shared" si="13"/>
        <v>9.85390941</v>
      </c>
      <c r="K59" s="241">
        <f t="shared" si="14"/>
        <v>15.40070713</v>
      </c>
      <c r="L59" s="241">
        <f t="shared" si="15"/>
        <v>25.25461654</v>
      </c>
      <c r="M59" s="241">
        <f t="shared" si="16"/>
        <v>98.5390941</v>
      </c>
      <c r="N59" s="241">
        <f t="shared" si="17"/>
        <v>154.0070713</v>
      </c>
      <c r="O59" s="241">
        <f t="shared" si="18"/>
        <v>252.5461654</v>
      </c>
      <c r="P59" s="242">
        <f t="shared" si="3"/>
        <v>0.0008099077504</v>
      </c>
    </row>
    <row r="60">
      <c r="A60" s="236" t="s">
        <v>266</v>
      </c>
      <c r="B60" s="237" t="str">
        <f>VLOOKUP(A60,'Planilha_Sintética_Geral'!A:P,2,0)</f>
        <v>MAN_PR_010</v>
      </c>
      <c r="C60" s="238" t="str">
        <f t="shared" si="12"/>
        <v>PRÓPRIO</v>
      </c>
      <c r="D60" s="243" t="s">
        <v>230</v>
      </c>
      <c r="E60" s="239" t="str">
        <f>IFERROR(IF(D60="SINAPI-S",VLOOKUP(B60,'20-B.SINAPI-S'!A:J,2,0),IF(D60="SINAPI-I",VLOOKUP(B60,'20-A.SINAPI-I'!A:G,2,0),IF(D60="COMPOSIÇÕES",VLOOKUP(B60,'11.COMPOSIÇÕES GERAIS'!B:I,2,0),VLOOKUP(B60,'12.COT.MERCADO'!A:I,2,0)))),"Em Elaboração")</f>
        <v>TESTE DE ENERGIZAÇÃO DE CERCA ELÉTRICA</v>
      </c>
      <c r="F60" s="240" t="str">
        <f>IFERROR(IF(D60="SINAPI-S",VLOOKUP(B60,'20-B.SINAPI-S'!A:J,3,0),IF(D60="SINAPI-I",VLOOKUP(B60,'20-A.SINAPI-I'!A:G,3,0),IF(D60="COMPOSIÇÕES",VLOOKUP(B60,'11.COMPOSIÇÕES GERAIS'!B:I,3,0),VLOOKUP(B60,'12.COT.MERCADO'!A:I,7,0)))),"Em Elaboração")</f>
        <v>UN</v>
      </c>
      <c r="G60" s="244">
        <f>VLOOKUP(A60,'Planilha_Sintética_Geral'!A:O,7,0)</f>
        <v>1</v>
      </c>
      <c r="H60" s="241">
        <f>IFERROR(IF(D60="SINAPI-S",VLOOKUP(B60,'20-B.SINAPI-S'!A:J,5,0),IF(D60="SINAPI-I",VLOOKUP(B60,'20-A.SINAPI-I'!A:G,6,0),IF(D60="COMPOSIÇÕES",VLOOKUP(B60,'11.COMPOSIÇÕES GERAIS'!B:I,7,0),0))),"Em Elaboração")</f>
        <v>28.225</v>
      </c>
      <c r="I60" s="241">
        <f>IFERROR(IF(D60="SINAPI-S",VLOOKUP(B60,'20-B.SINAPI-S'!A:J,6,0),IF(D60="SINAPI-I",VLOOKUP(B60,'20-A.SINAPI-I'!A:G,7,0),IF(D60="COMPOSIÇÕES",VLOOKUP(B60,'11.COMPOSIÇÕES GERAIS'!B:I,8,0),VLOOKUP(B60,'12.COT.MERCADO'!A:I,8,0)))),"Em Elaboração")</f>
        <v>7.86</v>
      </c>
      <c r="J60" s="241">
        <f t="shared" si="13"/>
        <v>33.13397583</v>
      </c>
      <c r="K60" s="241">
        <f t="shared" si="14"/>
        <v>9.206689839</v>
      </c>
      <c r="L60" s="241">
        <f t="shared" si="15"/>
        <v>42.34066567</v>
      </c>
      <c r="M60" s="241">
        <f t="shared" si="16"/>
        <v>33.13397583</v>
      </c>
      <c r="N60" s="241">
        <f t="shared" si="17"/>
        <v>9.206689839</v>
      </c>
      <c r="O60" s="241">
        <f t="shared" si="18"/>
        <v>42.34066567</v>
      </c>
      <c r="P60" s="242">
        <f t="shared" si="3"/>
        <v>0.0001357852068</v>
      </c>
    </row>
    <row r="61">
      <c r="A61" s="236" t="s">
        <v>267</v>
      </c>
      <c r="B61" s="237" t="str">
        <f>VLOOKUP(A61,'Planilha_Sintética_Geral'!A:P,2,0)</f>
        <v>MAN_PR_011</v>
      </c>
      <c r="C61" s="238" t="str">
        <f t="shared" si="12"/>
        <v>PRÓPRIO</v>
      </c>
      <c r="D61" s="243" t="s">
        <v>230</v>
      </c>
      <c r="E61" s="239" t="str">
        <f>IFERROR(IF(D61="SINAPI-S",VLOOKUP(B61,'20-B.SINAPI-S'!A:J,2,0),IF(D61="SINAPI-I",VLOOKUP(B61,'20-A.SINAPI-I'!A:G,2,0),IF(D61="COMPOSIÇÕES",VLOOKUP(B61,'11.COMPOSIÇÕES GERAIS'!B:I,2,0),VLOOKUP(B61,'12.COT.MERCADO'!A:I,2,0)))),"Em Elaboração")</f>
        <v>TESTE FUNCIONAL EM CIRCUITOS</v>
      </c>
      <c r="F61" s="240" t="str">
        <f>IFERROR(IF(D61="SINAPI-S",VLOOKUP(B61,'20-B.SINAPI-S'!A:J,3,0),IF(D61="SINAPI-I",VLOOKUP(B61,'20-A.SINAPI-I'!A:G,3,0),IF(D61="COMPOSIÇÕES",VLOOKUP(B61,'11.COMPOSIÇÕES GERAIS'!B:I,3,0),VLOOKUP(B61,'12.COT.MERCADO'!A:I,7,0)))),"Em Elaboração")</f>
        <v>UN</v>
      </c>
      <c r="G61" s="244">
        <f>VLOOKUP(A61,'Planilha_Sintética_Geral'!A:O,7,0)</f>
        <v>3</v>
      </c>
      <c r="H61" s="241">
        <f>IFERROR(IF(D61="SINAPI-S",VLOOKUP(B61,'20-B.SINAPI-S'!A:J,5,0),IF(D61="SINAPI-I",VLOOKUP(B61,'20-A.SINAPI-I'!A:G,6,0),IF(D61="COMPOSIÇÕES",VLOOKUP(B61,'11.COMPOSIÇÕES GERAIS'!B:I,7,0),0))),"Em Elaboração")</f>
        <v>28.225</v>
      </c>
      <c r="I61" s="241">
        <f>IFERROR(IF(D61="SINAPI-S",VLOOKUP(B61,'20-B.SINAPI-S'!A:J,6,0),IF(D61="SINAPI-I",VLOOKUP(B61,'20-A.SINAPI-I'!A:G,7,0),IF(D61="COMPOSIÇÕES",VLOOKUP(B61,'11.COMPOSIÇÕES GERAIS'!B:I,8,0),VLOOKUP(B61,'12.COT.MERCADO'!A:I,8,0)))),"Em Elaboração")</f>
        <v>7.86</v>
      </c>
      <c r="J61" s="241">
        <f t="shared" si="13"/>
        <v>33.13397583</v>
      </c>
      <c r="K61" s="241">
        <f t="shared" si="14"/>
        <v>9.206689839</v>
      </c>
      <c r="L61" s="241">
        <f t="shared" si="15"/>
        <v>42.34066567</v>
      </c>
      <c r="M61" s="241">
        <f t="shared" si="16"/>
        <v>99.40192749</v>
      </c>
      <c r="N61" s="241">
        <f t="shared" si="17"/>
        <v>27.62006952</v>
      </c>
      <c r="O61" s="241">
        <f t="shared" si="18"/>
        <v>127.021997</v>
      </c>
      <c r="P61" s="242">
        <f t="shared" si="3"/>
        <v>0.0004073556203</v>
      </c>
    </row>
    <row r="62">
      <c r="A62" s="236" t="s">
        <v>268</v>
      </c>
      <c r="B62" s="237" t="str">
        <f>VLOOKUP(A62,'Planilha_Sintética_Geral'!A:P,2,0)</f>
        <v>MAN_PR_018</v>
      </c>
      <c r="C62" s="238" t="str">
        <f t="shared" si="12"/>
        <v>PRÓPRIO</v>
      </c>
      <c r="D62" s="243" t="s">
        <v>230</v>
      </c>
      <c r="E62" s="239" t="str">
        <f>IFERROR(IF(D62="SINAPI-S",VLOOKUP(B62,'20-B.SINAPI-S'!A:J,2,0),IF(D62="SINAPI-I",VLOOKUP(B62,'20-A.SINAPI-I'!A:G,2,0),IF(D62="COMPOSIÇÕES",VLOOKUP(B62,'11.COMPOSIÇÕES GERAIS'!B:I,2,0),VLOOKUP(B62,'12.COT.MERCADO'!A:I,2,0)))),"Em Elaboração")</f>
        <v>FORNECIMENTO E INSTALAÇÃO DE PLACA CENTRAL DE COMANDO UNIVERSAL X2 FULL ST IPEC PARA AUTOMATIZADORES</v>
      </c>
      <c r="F62" s="240" t="str">
        <f>IFERROR(IF(D62="SINAPI-S",VLOOKUP(B62,'20-B.SINAPI-S'!A:J,3,0),IF(D62="SINAPI-I",VLOOKUP(B62,'20-A.SINAPI-I'!A:G,3,0),IF(D62="COMPOSIÇÕES",VLOOKUP(B62,'11.COMPOSIÇÕES GERAIS'!B:I,3,0),VLOOKUP(B62,'12.COT.MERCADO'!A:I,7,0)))),"Em Elaboração")</f>
        <v>UN</v>
      </c>
      <c r="G62" s="244">
        <f>VLOOKUP(A62,'Planilha_Sintética_Geral'!A:O,7,0)</f>
        <v>4</v>
      </c>
      <c r="H62" s="241">
        <f>IFERROR(IF(D62="SINAPI-S",VLOOKUP(B62,'20-B.SINAPI-S'!A:J,5,0),IF(D62="SINAPI-I",VLOOKUP(B62,'20-A.SINAPI-I'!A:G,6,0),IF(D62="COMPOSIÇÕES",VLOOKUP(B62,'11.COMPOSIÇÕES GERAIS'!B:I,7,0),0))),"Em Elaboração")</f>
        <v>13.287</v>
      </c>
      <c r="I62" s="241">
        <f>IFERROR(IF(D62="SINAPI-S",VLOOKUP(B62,'20-B.SINAPI-S'!A:J,6,0),IF(D62="SINAPI-I",VLOOKUP(B62,'20-A.SINAPI-I'!A:G,7,0),IF(D62="COMPOSIÇÕES",VLOOKUP(B62,'11.COMPOSIÇÕES GERAIS'!B:I,8,0),VLOOKUP(B62,'12.COT.MERCADO'!A:I,8,0)))),"Em Elaboração")</f>
        <v>71.126</v>
      </c>
      <c r="J62" s="241">
        <f t="shared" si="13"/>
        <v>15.5979145</v>
      </c>
      <c r="K62" s="241">
        <f t="shared" si="14"/>
        <v>83.3123437</v>
      </c>
      <c r="L62" s="241">
        <f t="shared" si="15"/>
        <v>98.9102582</v>
      </c>
      <c r="M62" s="241">
        <f t="shared" si="16"/>
        <v>62.39165801</v>
      </c>
      <c r="N62" s="241">
        <f t="shared" si="17"/>
        <v>333.2493748</v>
      </c>
      <c r="O62" s="241">
        <f t="shared" si="18"/>
        <v>395.6410328</v>
      </c>
      <c r="P62" s="242">
        <f t="shared" si="3"/>
        <v>0.00126880857</v>
      </c>
    </row>
    <row r="63">
      <c r="A63" s="236" t="s">
        <v>269</v>
      </c>
      <c r="B63" s="237">
        <f>VLOOKUP(A63,'Planilha_Sintética_Geral'!A:P,2,0)</f>
        <v>91997</v>
      </c>
      <c r="C63" s="238" t="str">
        <f t="shared" si="12"/>
        <v>SINAPI</v>
      </c>
      <c r="D63" s="238" t="s">
        <v>218</v>
      </c>
      <c r="E63" s="239" t="str">
        <f>IFERROR(IF(D63="SINAPI-S",VLOOKUP(B63,'20-B.SINAPI-S'!A:J,2,0),IF(D63="SINAPI-I",VLOOKUP(B63,'20-A.SINAPI-I'!A:G,2,0),IF(D63="COMPOSIÇÕES",VLOOKUP(B63,'11.COMPOSIÇÕES GERAIS'!B:I,2,0),VLOOKUP(B63,'12.COT.MERCADO'!A:I,2,0)))),"Em Elaboração")</f>
        <v>TOMADA MÉDIA DE EMBUTIR (1 MÓDULO), 2P+T 20 A, INCLUINDO SUPORTE E PLACA - FORNECIMENTO E INSTALAÇÃO. AF_03/2023</v>
      </c>
      <c r="F63" s="240" t="str">
        <f>IFERROR(IF(D63="SINAPI-S",VLOOKUP(B63,'20-B.SINAPI-S'!A:J,3,0),IF(D63="SINAPI-I",VLOOKUP(B63,'20-A.SINAPI-I'!A:G,3,0),IF(D63="COMPOSIÇÕES",VLOOKUP(B63,'11.COMPOSIÇÕES GERAIS'!B:I,3,0),VLOOKUP(B63,'12.COT.MERCADO'!A:I,7,0)))),"Em Elaboração")</f>
        <v>UN</v>
      </c>
      <c r="G63" s="244">
        <f>VLOOKUP(A63,'Planilha_Sintética_Geral'!A:O,7,0)</f>
        <v>1</v>
      </c>
      <c r="H63" s="241">
        <f>IFERROR(IF(D63="SINAPI-S",VLOOKUP(B63,'20-B.SINAPI-S'!A:J,5,0),IF(D63="SINAPI-I",VLOOKUP(B63,'20-A.SINAPI-I'!A:G,6,0),IF(D63="COMPOSIÇÕES",VLOOKUP(B63,'11.COMPOSIÇÕES GERAIS'!B:I,7,0),0))),"Em Elaboração")</f>
        <v>19.71</v>
      </c>
      <c r="I63" s="241">
        <f>IFERROR(IF(D63="SINAPI-S",VLOOKUP(B63,'20-B.SINAPI-S'!A:J,6,0),IF(D63="SINAPI-I",VLOOKUP(B63,'20-A.SINAPI-I'!A:G,7,0),IF(D63="COMPOSIÇÕES",VLOOKUP(B63,'11.COMPOSIÇÕES GERAIS'!B:I,8,0),VLOOKUP(B63,'12.COT.MERCADO'!A:I,8,0)))),"Em Elaboração")</f>
        <v>22.54</v>
      </c>
      <c r="J63" s="241">
        <f t="shared" si="13"/>
        <v>23.13802174</v>
      </c>
      <c r="K63" s="241">
        <f t="shared" si="14"/>
        <v>26.40188155</v>
      </c>
      <c r="L63" s="241">
        <f t="shared" si="15"/>
        <v>49.53990329</v>
      </c>
      <c r="M63" s="241">
        <f t="shared" si="16"/>
        <v>23.13802174</v>
      </c>
      <c r="N63" s="241">
        <f t="shared" si="17"/>
        <v>26.40188155</v>
      </c>
      <c r="O63" s="241">
        <f t="shared" si="18"/>
        <v>49.53990329</v>
      </c>
      <c r="P63" s="242">
        <f t="shared" si="3"/>
        <v>0.0001588729394</v>
      </c>
    </row>
    <row r="64">
      <c r="A64" s="236" t="s">
        <v>270</v>
      </c>
      <c r="B64" s="237">
        <f>VLOOKUP(A64,'Planilha_Sintética_Geral'!A:P,2,0)</f>
        <v>89985</v>
      </c>
      <c r="C64" s="238" t="str">
        <f t="shared" si="12"/>
        <v>SINAPI</v>
      </c>
      <c r="D64" s="238" t="s">
        <v>218</v>
      </c>
      <c r="E64" s="239" t="str">
        <f>IFERROR(IF(D64="SINAPI-S",VLOOKUP(B64,'20-B.SINAPI-S'!A:J,2,0),IF(D64="SINAPI-I",VLOOKUP(B64,'20-A.SINAPI-I'!A:G,2,0),IF(D64="COMPOSIÇÕES",VLOOKUP(B64,'11.COMPOSIÇÕES GERAIS'!B:I,2,0),VLOOKUP(B64,'12.COT.MERCADO'!A:I,2,0)))),"Em Elaboração")</f>
        <v>REGISTRO DE PRESSÃO BRUTO, LATÃO, ROSCÁVEL, 3/4", COM ACABAMENTO E CANOPLA CROMADOS - FORNECIMENTO E INSTALAÇÃO. AF_08/2021</v>
      </c>
      <c r="F64" s="240" t="str">
        <f>IFERROR(IF(D64="SINAPI-S",VLOOKUP(B64,'20-B.SINAPI-S'!A:J,3,0),IF(D64="SINAPI-I",VLOOKUP(B64,'20-A.SINAPI-I'!A:G,3,0),IF(D64="COMPOSIÇÕES",VLOOKUP(B64,'11.COMPOSIÇÕES GERAIS'!B:I,3,0),VLOOKUP(B64,'12.COT.MERCADO'!A:I,7,0)))),"Em Elaboração")</f>
        <v>UN</v>
      </c>
      <c r="G64" s="244">
        <f>VLOOKUP(A64,'Planilha_Sintética_Geral'!A:O,7,0)</f>
        <v>1</v>
      </c>
      <c r="H64" s="241">
        <f>IFERROR(IF(D64="SINAPI-S",VLOOKUP(B64,'20-B.SINAPI-S'!A:J,5,0),IF(D64="SINAPI-I",VLOOKUP(B64,'20-A.SINAPI-I'!A:G,6,0),IF(D64="COMPOSIÇÕES",VLOOKUP(B64,'11.COMPOSIÇÕES GERAIS'!B:I,7,0),0))),"Em Elaboração")</f>
        <v>9.58</v>
      </c>
      <c r="I64" s="241">
        <f>IFERROR(IF(D64="SINAPI-S",VLOOKUP(B64,'20-B.SINAPI-S'!A:J,6,0),IF(D64="SINAPI-I",VLOOKUP(B64,'20-A.SINAPI-I'!A:G,7,0),IF(D64="COMPOSIÇÕES",VLOOKUP(B64,'11.COMPOSIÇÕES GERAIS'!B:I,8,0),VLOOKUP(B64,'12.COT.MERCADO'!A:I,8,0)))),"Em Elaboração")</f>
        <v>91.98</v>
      </c>
      <c r="J64" s="241">
        <f t="shared" si="13"/>
        <v>11.24618205</v>
      </c>
      <c r="K64" s="241">
        <f t="shared" si="14"/>
        <v>107.7393551</v>
      </c>
      <c r="L64" s="241">
        <f t="shared" si="15"/>
        <v>118.9855372</v>
      </c>
      <c r="M64" s="241">
        <f t="shared" si="16"/>
        <v>11.24618205</v>
      </c>
      <c r="N64" s="241">
        <f t="shared" si="17"/>
        <v>107.7393551</v>
      </c>
      <c r="O64" s="241">
        <f t="shared" si="18"/>
        <v>118.9855372</v>
      </c>
      <c r="P64" s="242">
        <f t="shared" si="3"/>
        <v>0.000381582942</v>
      </c>
    </row>
    <row r="65">
      <c r="A65" s="236" t="s">
        <v>271</v>
      </c>
      <c r="B65" s="237" t="str">
        <f>VLOOKUP(A65,'Planilha_Sintética_Geral'!A:P,2,0)</f>
        <v>MAN_PR_012</v>
      </c>
      <c r="C65" s="238" t="str">
        <f t="shared" si="12"/>
        <v>PRÓPRIO</v>
      </c>
      <c r="D65" s="243" t="s">
        <v>230</v>
      </c>
      <c r="E65" s="239" t="str">
        <f>IFERROR(IF(D65="SINAPI-S",VLOOKUP(B65,'20-B.SINAPI-S'!A:J,2,0),IF(D65="SINAPI-I",VLOOKUP(B65,'20-A.SINAPI-I'!A:G,2,0),IF(D65="COMPOSIÇÕES",VLOOKUP(B65,'11.COMPOSIÇÕES GERAIS'!B:I,2,0),VLOOKUP(B65,'12.COT.MERCADO'!A:I,2,0)))),"Em Elaboração")</f>
        <v>RETIRADA DE LÂMPADA E ACONDICIONAMENTO EM CAIXA DE PAPELÃO, EXCLUSIVE FORNECIMENTO DA CAIXA</v>
      </c>
      <c r="F65" s="240" t="str">
        <f>IFERROR(IF(D65="SINAPI-S",VLOOKUP(B65,'20-B.SINAPI-S'!A:J,3,0),IF(D65="SINAPI-I",VLOOKUP(B65,'20-A.SINAPI-I'!A:G,3,0),IF(D65="COMPOSIÇÕES",VLOOKUP(B65,'11.COMPOSIÇÕES GERAIS'!B:I,3,0),VLOOKUP(B65,'12.COT.MERCADO'!A:I,7,0)))),"Em Elaboração")</f>
        <v>UN</v>
      </c>
      <c r="G65" s="244">
        <f>VLOOKUP(A65,'Planilha_Sintética_Geral'!A:O,7,0)</f>
        <v>1</v>
      </c>
      <c r="H65" s="241">
        <f>IFERROR(IF(D65="SINAPI-S",VLOOKUP(B65,'20-B.SINAPI-S'!A:J,5,0),IF(D65="SINAPI-I",VLOOKUP(B65,'20-A.SINAPI-I'!A:G,6,0),IF(D65="COMPOSIÇÕES",VLOOKUP(B65,'11.COMPOSIÇÕES GERAIS'!B:I,7,0),0))),"Em Elaboração")</f>
        <v>9.6</v>
      </c>
      <c r="I65" s="241">
        <f>IFERROR(IF(D65="SINAPI-S",VLOOKUP(B65,'20-B.SINAPI-S'!A:J,6,0),IF(D65="SINAPI-I",VLOOKUP(B65,'20-A.SINAPI-I'!A:G,7,0),IF(D65="COMPOSIÇÕES",VLOOKUP(B65,'11.COMPOSIÇÕES GERAIS'!B:I,8,0),VLOOKUP(B65,'12.COT.MERCADO'!A:I,8,0)))),"Em Elaboração")</f>
        <v>3.93</v>
      </c>
      <c r="J65" s="241">
        <f t="shared" si="13"/>
        <v>11.26966051</v>
      </c>
      <c r="K65" s="241">
        <f t="shared" si="14"/>
        <v>4.60334492</v>
      </c>
      <c r="L65" s="241">
        <f t="shared" si="15"/>
        <v>15.87300543</v>
      </c>
      <c r="M65" s="241">
        <f t="shared" si="16"/>
        <v>11.26966051</v>
      </c>
      <c r="N65" s="241">
        <f t="shared" si="17"/>
        <v>4.60334492</v>
      </c>
      <c r="O65" s="241">
        <f t="shared" si="18"/>
        <v>15.87300543</v>
      </c>
      <c r="P65" s="242">
        <f t="shared" si="3"/>
        <v>0.00005090423805</v>
      </c>
    </row>
    <row r="66">
      <c r="A66" s="236" t="s">
        <v>272</v>
      </c>
      <c r="B66" s="237">
        <f>VLOOKUP(A66,'Planilha_Sintética_Geral'!A:P,2,0)</f>
        <v>98297</v>
      </c>
      <c r="C66" s="238" t="str">
        <f t="shared" si="12"/>
        <v>SINAPI</v>
      </c>
      <c r="D66" s="238" t="s">
        <v>218</v>
      </c>
      <c r="E66" s="239" t="str">
        <f>IFERROR(IF(D66="SINAPI-S",VLOOKUP(B66,'20-B.SINAPI-S'!A:J,2,0),IF(D66="SINAPI-I",VLOOKUP(B66,'20-A.SINAPI-I'!A:G,2,0),IF(D66="COMPOSIÇÕES",VLOOKUP(B66,'11.COMPOSIÇÕES GERAIS'!B:I,2,0),VLOOKUP(B66,'12.COT.MERCADO'!A:I,2,0)))),"Em Elaboração")</f>
        <v>CABO ELETRÔNICO CATEGORIA 6, INSTALADO EM EDIFICAÇÃO INSTITUCIONAL - FORNECIMENTO E INSTALAÇÃO. AF_11/2019</v>
      </c>
      <c r="F66" s="240" t="str">
        <f>IFERROR(IF(D66="SINAPI-S",VLOOKUP(B66,'20-B.SINAPI-S'!A:J,3,0),IF(D66="SINAPI-I",VLOOKUP(B66,'20-A.SINAPI-I'!A:G,3,0),IF(D66="COMPOSIÇÕES",VLOOKUP(B66,'11.COMPOSIÇÕES GERAIS'!B:I,3,0),VLOOKUP(B66,'12.COT.MERCADO'!A:I,7,0)))),"Em Elaboração")</f>
        <v>M</v>
      </c>
      <c r="G66" s="244">
        <f>VLOOKUP(A66,'Planilha_Sintética_Geral'!A:O,7,0)</f>
        <v>363</v>
      </c>
      <c r="H66" s="241">
        <f>IFERROR(IF(D66="SINAPI-S",VLOOKUP(B66,'20-B.SINAPI-S'!A:J,5,0),IF(D66="SINAPI-I",VLOOKUP(B66,'20-A.SINAPI-I'!A:G,6,0),IF(D66="COMPOSIÇÕES",VLOOKUP(B66,'11.COMPOSIÇÕES GERAIS'!B:I,7,0),0))),"Em Elaboração")</f>
        <v>0.18</v>
      </c>
      <c r="I66" s="241">
        <f>IFERROR(IF(D66="SINAPI-S",VLOOKUP(B66,'20-B.SINAPI-S'!A:J,6,0),IF(D66="SINAPI-I",VLOOKUP(B66,'20-A.SINAPI-I'!A:G,7,0),IF(D66="COMPOSIÇÕES",VLOOKUP(B66,'11.COMPOSIÇÕES GERAIS'!B:I,8,0),VLOOKUP(B66,'12.COT.MERCADO'!A:I,8,0)))),"Em Elaboração")</f>
        <v>8.47</v>
      </c>
      <c r="J66" s="241">
        <f t="shared" si="13"/>
        <v>0.2113061346</v>
      </c>
      <c r="K66" s="241">
        <f t="shared" si="14"/>
        <v>9.921203936</v>
      </c>
      <c r="L66" s="241">
        <f t="shared" si="15"/>
        <v>10.13251007</v>
      </c>
      <c r="M66" s="241">
        <f t="shared" si="16"/>
        <v>76.70412686</v>
      </c>
      <c r="N66" s="241">
        <f t="shared" si="17"/>
        <v>3601.397029</v>
      </c>
      <c r="O66" s="241">
        <f t="shared" si="18"/>
        <v>3678.101156</v>
      </c>
      <c r="P66" s="242">
        <f t="shared" si="3"/>
        <v>0.01179555678</v>
      </c>
    </row>
    <row r="67">
      <c r="A67" s="236" t="s">
        <v>273</v>
      </c>
      <c r="B67" s="237">
        <f>VLOOKUP(A67,'Planilha_Sintética_Geral'!A:P,2,0)</f>
        <v>96113</v>
      </c>
      <c r="C67" s="238" t="str">
        <f t="shared" si="12"/>
        <v>SINAPI</v>
      </c>
      <c r="D67" s="238" t="s">
        <v>218</v>
      </c>
      <c r="E67" s="239" t="str">
        <f>IFERROR(IF(D67="SINAPI-S",VLOOKUP(B67,'20-B.SINAPI-S'!A:J,2,0),IF(D67="SINAPI-I",VLOOKUP(B67,'20-A.SINAPI-I'!A:G,2,0),IF(D67="COMPOSIÇÕES",VLOOKUP(B67,'11.COMPOSIÇÕES GERAIS'!B:I,2,0),VLOOKUP(B67,'12.COT.MERCADO'!A:I,2,0)))),"Em Elaboração")</f>
        <v>FORRO EM PLACAS DE GESSO, PARA AMBIENTES COMERCIAIS. AF_05/2017_PS</v>
      </c>
      <c r="F67" s="240" t="str">
        <f>IFERROR(IF(D67="SINAPI-S",VLOOKUP(B67,'20-B.SINAPI-S'!A:J,3,0),IF(D67="SINAPI-I",VLOOKUP(B67,'20-A.SINAPI-I'!A:G,3,0),IF(D67="COMPOSIÇÕES",VLOOKUP(B67,'11.COMPOSIÇÕES GERAIS'!B:I,3,0),VLOOKUP(B67,'12.COT.MERCADO'!A:I,7,0)))),"Em Elaboração")</f>
        <v>M2</v>
      </c>
      <c r="G67" s="244">
        <f>VLOOKUP(A67,'Planilha_Sintética_Geral'!A:O,7,0)</f>
        <v>3</v>
      </c>
      <c r="H67" s="241">
        <f>IFERROR(IF(D67="SINAPI-S",VLOOKUP(B67,'20-B.SINAPI-S'!A:J,5,0),IF(D67="SINAPI-I",VLOOKUP(B67,'20-A.SINAPI-I'!A:G,6,0),IF(D67="COMPOSIÇÕES",VLOOKUP(B67,'11.COMPOSIÇÕES GERAIS'!B:I,7,0),0))),"Em Elaboração")</f>
        <v>20.21</v>
      </c>
      <c r="I67" s="241">
        <f>IFERROR(IF(D67="SINAPI-S",VLOOKUP(B67,'20-B.SINAPI-S'!A:J,6,0),IF(D67="SINAPI-I",VLOOKUP(B67,'20-A.SINAPI-I'!A:G,7,0),IF(D67="COMPOSIÇÕES",VLOOKUP(B67,'11.COMPOSIÇÕES GERAIS'!B:I,8,0),VLOOKUP(B67,'12.COT.MERCADO'!A:I,8,0)))),"Em Elaboração")</f>
        <v>21.76</v>
      </c>
      <c r="J67" s="241">
        <f t="shared" si="13"/>
        <v>23.72498322</v>
      </c>
      <c r="K67" s="241">
        <f t="shared" si="14"/>
        <v>25.48824057</v>
      </c>
      <c r="L67" s="241">
        <f t="shared" si="15"/>
        <v>49.2132238</v>
      </c>
      <c r="M67" s="241">
        <f t="shared" si="16"/>
        <v>71.17494967</v>
      </c>
      <c r="N67" s="241">
        <f t="shared" si="17"/>
        <v>76.46472172</v>
      </c>
      <c r="O67" s="241">
        <f t="shared" si="18"/>
        <v>147.6396714</v>
      </c>
      <c r="P67" s="242">
        <f t="shared" si="3"/>
        <v>0.0004734758651</v>
      </c>
    </row>
    <row r="68">
      <c r="A68" s="236" t="s">
        <v>274</v>
      </c>
      <c r="B68" s="237" t="str">
        <f>VLOOKUP(A68,'Planilha_Sintética_Geral'!A:P,2,0)</f>
        <v>MAN_PR_013</v>
      </c>
      <c r="C68" s="238" t="str">
        <f t="shared" si="12"/>
        <v>PRÓPRIO</v>
      </c>
      <c r="D68" s="243" t="s">
        <v>230</v>
      </c>
      <c r="E68" s="239" t="str">
        <f>IFERROR(IF(D68="SINAPI-S",VLOOKUP(B68,'20-B.SINAPI-S'!A:J,2,0),IF(D68="SINAPI-I",VLOOKUP(B68,'20-A.SINAPI-I'!A:G,2,0),IF(D68="COMPOSIÇÕES",VLOOKUP(B68,'11.COMPOSIÇÕES GERAIS'!B:I,2,0),VLOOKUP(B68,'12.COT.MERCADO'!A:I,2,0)))),"Em Elaboração")</f>
        <v>FORNECIMENTO E INSTALAÇÃO DE PERSIANA EM PVC BRANCO, LÂMINA COM LARGURA DE 89MM, SEM BANDÔ</v>
      </c>
      <c r="F68" s="240" t="str">
        <f>IFERROR(IF(D68="SINAPI-S",VLOOKUP(B68,'20-B.SINAPI-S'!A:J,3,0),IF(D68="SINAPI-I",VLOOKUP(B68,'20-A.SINAPI-I'!A:G,3,0),IF(D68="COMPOSIÇÕES",VLOOKUP(B68,'11.COMPOSIÇÕES GERAIS'!B:I,3,0),VLOOKUP(B68,'12.COT.MERCADO'!A:I,7,0)))),"Em Elaboração")</f>
        <v>M2</v>
      </c>
      <c r="G68" s="244">
        <f>VLOOKUP(A68,'Planilha_Sintética_Geral'!A:O,7,0)</f>
        <v>1</v>
      </c>
      <c r="H68" s="241">
        <f>IFERROR(IF(D68="SINAPI-S",VLOOKUP(B68,'20-B.SINAPI-S'!A:J,5,0),IF(D68="SINAPI-I",VLOOKUP(B68,'20-A.SINAPI-I'!A:G,6,0),IF(D68="COMPOSIÇÕES",VLOOKUP(B68,'11.COMPOSIÇÕES GERAIS'!B:I,7,0),0))),"Em Elaboração")</f>
        <v>0</v>
      </c>
      <c r="I68" s="241">
        <f>IFERROR(IF(D68="SINAPI-S",VLOOKUP(B68,'20-B.SINAPI-S'!A:J,6,0),IF(D68="SINAPI-I",VLOOKUP(B68,'20-A.SINAPI-I'!A:G,7,0),IF(D68="COMPOSIÇÕES",VLOOKUP(B68,'11.COMPOSIÇÕES GERAIS'!B:I,8,0),VLOOKUP(B68,'12.COT.MERCADO'!A:I,8,0)))),"Em Elaboração")</f>
        <v>170</v>
      </c>
      <c r="J68" s="241">
        <f t="shared" si="13"/>
        <v>0</v>
      </c>
      <c r="K68" s="241">
        <f t="shared" si="14"/>
        <v>199.1268795</v>
      </c>
      <c r="L68" s="241">
        <f t="shared" si="15"/>
        <v>199.1268795</v>
      </c>
      <c r="M68" s="241">
        <f t="shared" si="16"/>
        <v>0</v>
      </c>
      <c r="N68" s="241">
        <f t="shared" si="17"/>
        <v>199.1268795</v>
      </c>
      <c r="O68" s="241">
        <f t="shared" si="18"/>
        <v>199.1268795</v>
      </c>
      <c r="P68" s="242">
        <f t="shared" si="3"/>
        <v>0.0006385937508</v>
      </c>
    </row>
    <row r="69">
      <c r="A69" s="236" t="s">
        <v>275</v>
      </c>
      <c r="B69" s="237">
        <f>VLOOKUP(A69,'Planilha_Sintética_Geral'!A:P,2,0)</f>
        <v>96803</v>
      </c>
      <c r="C69" s="238" t="str">
        <f t="shared" si="12"/>
        <v>SINAPI</v>
      </c>
      <c r="D69" s="238" t="s">
        <v>218</v>
      </c>
      <c r="E69" s="239" t="str">
        <f>IFERROR(IF(D69="SINAPI-S",VLOOKUP(B69,'20-B.SINAPI-S'!A:J,2,0),IF(D69="SINAPI-I",VLOOKUP(B69,'20-A.SINAPI-I'!A:G,2,0),IF(D69="COMPOSIÇÕES",VLOOKUP(B69,'11.COMPOSIÇÕES GERAIS'!B:I,2,0),VLOOKUP(B69,'12.COT.MERCADO'!A:I,2,0)))),"Em Elaboração")</f>
        <v>KIT CHASSI PEX, PRÉ-FABRICADO, PARA COZINHA COM CUBA SIMPLES, INCLUSO QUADRO METÁLICO, TUBOS E CONEXÕES POR CRIMPAGEM - FORNECIMENTO E INSTALAÇÃO. AF_02/2023</v>
      </c>
      <c r="F69" s="240" t="str">
        <f>IFERROR(IF(D69="SINAPI-S",VLOOKUP(B69,'20-B.SINAPI-S'!A:J,3,0),IF(D69="SINAPI-I",VLOOKUP(B69,'20-A.SINAPI-I'!A:G,3,0),IF(D69="COMPOSIÇÕES",VLOOKUP(B69,'11.COMPOSIÇÕES GERAIS'!B:I,3,0),VLOOKUP(B69,'12.COT.MERCADO'!A:I,7,0)))),"Em Elaboração")</f>
        <v>UN</v>
      </c>
      <c r="G69" s="244">
        <f>VLOOKUP(A69,'Planilha_Sintética_Geral'!A:O,7,0)</f>
        <v>1</v>
      </c>
      <c r="H69" s="241">
        <f>IFERROR(IF(D69="SINAPI-S",VLOOKUP(B69,'20-B.SINAPI-S'!A:J,5,0),IF(D69="SINAPI-I",VLOOKUP(B69,'20-A.SINAPI-I'!A:G,6,0),IF(D69="COMPOSIÇÕES",VLOOKUP(B69,'11.COMPOSIÇÕES GERAIS'!B:I,7,0),0))),"Em Elaboração")</f>
        <v>14.09</v>
      </c>
      <c r="I69" s="241">
        <f>IFERROR(IF(D69="SINAPI-S",VLOOKUP(B69,'20-B.SINAPI-S'!A:J,6,0),IF(D69="SINAPI-I",VLOOKUP(B69,'20-A.SINAPI-I'!A:G,7,0),IF(D69="COMPOSIÇÕES",VLOOKUP(B69,'11.COMPOSIÇÕES GERAIS'!B:I,8,0),VLOOKUP(B69,'12.COT.MERCADO'!A:I,8,0)))),"Em Elaboração")</f>
        <v>54.05</v>
      </c>
      <c r="J69" s="241">
        <f t="shared" si="13"/>
        <v>16.54057465</v>
      </c>
      <c r="K69" s="241">
        <f t="shared" si="14"/>
        <v>63.31063433</v>
      </c>
      <c r="L69" s="241">
        <f t="shared" si="15"/>
        <v>79.85120897</v>
      </c>
      <c r="M69" s="241">
        <f t="shared" si="16"/>
        <v>16.54057465</v>
      </c>
      <c r="N69" s="241">
        <f t="shared" si="17"/>
        <v>63.31063433</v>
      </c>
      <c r="O69" s="241">
        <f t="shared" si="18"/>
        <v>79.85120897</v>
      </c>
      <c r="P69" s="242">
        <f t="shared" si="3"/>
        <v>0.0002560803603</v>
      </c>
    </row>
    <row r="70">
      <c r="A70" s="236" t="s">
        <v>276</v>
      </c>
      <c r="B70" s="237" t="str">
        <f>VLOOKUP(A70,'Planilha_Sintética_Geral'!A:P,2,0)</f>
        <v>MAN_PR_022</v>
      </c>
      <c r="C70" s="238" t="str">
        <f t="shared" si="12"/>
        <v>PRÓPRIO</v>
      </c>
      <c r="D70" s="243" t="s">
        <v>230</v>
      </c>
      <c r="E70" s="239" t="str">
        <f>IFERROR(IF(D70="SINAPI-S",VLOOKUP(B70,'20-B.SINAPI-S'!A:J,2,0),IF(D70="SINAPI-I",VLOOKUP(B70,'20-A.SINAPI-I'!A:G,2,0),IF(D70="COMPOSIÇÕES",VLOOKUP(B70,'11.COMPOSIÇÕES GERAIS'!B:I,2,0),VLOOKUP(B70,'12.COT.MERCADO'!A:I,2,0)))),"Em Elaboração")</f>
        <v>VERIFICAÇÃO E TESTE DE PONTO/CIRCUITO COM EMISSÃO DE RELATÓRIO</v>
      </c>
      <c r="F70" s="240" t="str">
        <f>IFERROR(IF(D70="SINAPI-S",VLOOKUP(B70,'20-B.SINAPI-S'!A:J,3,0),IF(D70="SINAPI-I",VLOOKUP(B70,'20-A.SINAPI-I'!A:G,3,0),IF(D70="COMPOSIÇÕES",VLOOKUP(B70,'11.COMPOSIÇÕES GERAIS'!B:I,3,0),VLOOKUP(B70,'12.COT.MERCADO'!A:I,7,0)))),"Em Elaboração")</f>
        <v>UN</v>
      </c>
      <c r="G70" s="244">
        <f>VLOOKUP(A70,'Planilha_Sintética_Geral'!A:O,7,0)</f>
        <v>2</v>
      </c>
      <c r="H70" s="241">
        <f>IFERROR(IF(D70="SINAPI-S",VLOOKUP(B70,'20-B.SINAPI-S'!A:J,5,0),IF(D70="SINAPI-I",VLOOKUP(B70,'20-A.SINAPI-I'!A:G,6,0),IF(D70="COMPOSIÇÕES",VLOOKUP(B70,'11.COMPOSIÇÕES GERAIS'!B:I,7,0),0))),"Em Elaboração")</f>
        <v>14.1125</v>
      </c>
      <c r="I70" s="241">
        <f>IFERROR(IF(D70="SINAPI-S",VLOOKUP(B70,'20-B.SINAPI-S'!A:J,6,0),IF(D70="SINAPI-I",VLOOKUP(B70,'20-A.SINAPI-I'!A:G,7,0),IF(D70="COMPOSIÇÕES",VLOOKUP(B70,'11.COMPOSIÇÕES GERAIS'!B:I,8,0),VLOOKUP(B70,'12.COT.MERCADO'!A:I,8,0)))),"Em Elaboração")</f>
        <v>3.93</v>
      </c>
      <c r="J70" s="241">
        <f t="shared" si="13"/>
        <v>16.56698791</v>
      </c>
      <c r="K70" s="241">
        <f t="shared" si="14"/>
        <v>4.60334492</v>
      </c>
      <c r="L70" s="241">
        <f t="shared" si="15"/>
        <v>21.17033283</v>
      </c>
      <c r="M70" s="241">
        <f t="shared" si="16"/>
        <v>33.13397583</v>
      </c>
      <c r="N70" s="241">
        <f t="shared" si="17"/>
        <v>9.206689839</v>
      </c>
      <c r="O70" s="241">
        <f t="shared" si="18"/>
        <v>42.34066567</v>
      </c>
      <c r="P70" s="242">
        <f t="shared" si="3"/>
        <v>0.0001357852068</v>
      </c>
    </row>
    <row r="71">
      <c r="A71" s="236" t="s">
        <v>277</v>
      </c>
      <c r="B71" s="237">
        <f>VLOOKUP(A71,'Planilha_Sintética_Geral'!A:P,2,0)</f>
        <v>91971</v>
      </c>
      <c r="C71" s="238" t="str">
        <f t="shared" si="12"/>
        <v>SINAPI</v>
      </c>
      <c r="D71" s="238" t="s">
        <v>218</v>
      </c>
      <c r="E71" s="239" t="str">
        <f>IFERROR(IF(D71="SINAPI-S",VLOOKUP(B71,'20-B.SINAPI-S'!A:J,2,0),IF(D71="SINAPI-I",VLOOKUP(B71,'20-A.SINAPI-I'!A:G,2,0),IF(D71="COMPOSIÇÕES",VLOOKUP(B71,'11.COMPOSIÇÕES GERAIS'!B:I,2,0),VLOOKUP(B71,'12.COT.MERCADO'!A:I,2,0)))),"Em Elaboração")</f>
        <v>INTERRUPTOR SIMPLES (3 MÓDULOS) COM INTERRUPTOR PARALELO (1 MÓDULO), 10A/250V, INCLUINDO SUPORTE E PLACA - FORNECIMENTO E INSTALAÇÃO. AF_03/2023</v>
      </c>
      <c r="F71" s="240" t="str">
        <f>IFERROR(IF(D71="SINAPI-S",VLOOKUP(B71,'20-B.SINAPI-S'!A:J,3,0),IF(D71="SINAPI-I",VLOOKUP(B71,'20-A.SINAPI-I'!A:G,3,0),IF(D71="COMPOSIÇÕES",VLOOKUP(B71,'11.COMPOSIÇÕES GERAIS'!B:I,3,0),VLOOKUP(B71,'12.COT.MERCADO'!A:I,7,0)))),"Em Elaboração")</f>
        <v>UN</v>
      </c>
      <c r="G71" s="244">
        <f>VLOOKUP(A71,'Planilha_Sintética_Geral'!A:O,7,0)</f>
        <v>1</v>
      </c>
      <c r="H71" s="241">
        <f>IFERROR(IF(D71="SINAPI-S",VLOOKUP(B71,'20-B.SINAPI-S'!A:J,5,0),IF(D71="SINAPI-I",VLOOKUP(B71,'20-A.SINAPI-I'!A:G,6,0),IF(D71="COMPOSIÇÕES",VLOOKUP(B71,'11.COMPOSIÇÕES GERAIS'!B:I,7,0),0))),"Em Elaboração")</f>
        <v>43.57</v>
      </c>
      <c r="I71" s="241">
        <f>IFERROR(IF(D71="SINAPI-S",VLOOKUP(B71,'20-B.SINAPI-S'!A:J,6,0),IF(D71="SINAPI-I",VLOOKUP(B71,'20-A.SINAPI-I'!A:G,7,0),IF(D71="COMPOSIÇÕES",VLOOKUP(B71,'11.COMPOSIÇÕES GERAIS'!B:I,8,0),VLOOKUP(B71,'12.COT.MERCADO'!A:I,8,0)))),"Em Elaboração")</f>
        <v>56.28</v>
      </c>
      <c r="J71" s="241">
        <f t="shared" si="13"/>
        <v>51.1478238</v>
      </c>
      <c r="K71" s="241">
        <f t="shared" si="14"/>
        <v>65.92271045</v>
      </c>
      <c r="L71" s="241">
        <f t="shared" si="15"/>
        <v>117.0705343</v>
      </c>
      <c r="M71" s="241">
        <f t="shared" si="16"/>
        <v>51.1478238</v>
      </c>
      <c r="N71" s="241">
        <f t="shared" si="17"/>
        <v>65.92271045</v>
      </c>
      <c r="O71" s="241">
        <f t="shared" si="18"/>
        <v>117.0705343</v>
      </c>
      <c r="P71" s="242">
        <f t="shared" si="3"/>
        <v>0.0003754415867</v>
      </c>
    </row>
    <row r="72">
      <c r="A72" s="236" t="s">
        <v>278</v>
      </c>
      <c r="B72" s="237">
        <f>VLOOKUP(A72,'Planilha_Sintética_Geral'!A:P,2,0)</f>
        <v>97665</v>
      </c>
      <c r="C72" s="238" t="str">
        <f t="shared" si="12"/>
        <v>SINAPI</v>
      </c>
      <c r="D72" s="238" t="s">
        <v>218</v>
      </c>
      <c r="E72" s="239" t="str">
        <f>IFERROR(IF(D72="SINAPI-S",VLOOKUP(B72,'20-B.SINAPI-S'!A:J,2,0),IF(D72="SINAPI-I",VLOOKUP(B72,'20-A.SINAPI-I'!A:G,2,0),IF(D72="COMPOSIÇÕES",VLOOKUP(B72,'11.COMPOSIÇÕES GERAIS'!B:I,2,0),VLOOKUP(B72,'12.COT.MERCADO'!A:I,2,0)))),"Em Elaboração")</f>
        <v>REMOÇÃO DE LUMINÁRIAS, DE FORMA MANUAL, SEM REAPROVEITAMENTO. AF_12/2017</v>
      </c>
      <c r="F72" s="240" t="str">
        <f>IFERROR(IF(D72="SINAPI-S",VLOOKUP(B72,'20-B.SINAPI-S'!A:J,3,0),IF(D72="SINAPI-I",VLOOKUP(B72,'20-A.SINAPI-I'!A:G,3,0),IF(D72="COMPOSIÇÕES",VLOOKUP(B72,'11.COMPOSIÇÕES GERAIS'!B:I,3,0),VLOOKUP(B72,'12.COT.MERCADO'!A:I,7,0)))),"Em Elaboração")</f>
        <v>UN</v>
      </c>
      <c r="G72" s="244">
        <f>VLOOKUP(A72,'Planilha_Sintética_Geral'!A:O,7,0)</f>
        <v>1</v>
      </c>
      <c r="H72" s="241">
        <f>IFERROR(IF(D72="SINAPI-S",VLOOKUP(B72,'20-B.SINAPI-S'!A:J,5,0),IF(D72="SINAPI-I",VLOOKUP(B72,'20-A.SINAPI-I'!A:G,6,0),IF(D72="COMPOSIÇÕES",VLOOKUP(B72,'11.COMPOSIÇÕES GERAIS'!B:I,7,0),0))),"Em Elaboração")</f>
        <v>1.11</v>
      </c>
      <c r="I72" s="241">
        <f>IFERROR(IF(D72="SINAPI-S",VLOOKUP(B72,'20-B.SINAPI-S'!A:J,6,0),IF(D72="SINAPI-I",VLOOKUP(B72,'20-A.SINAPI-I'!A:G,7,0),IF(D72="COMPOSIÇÕES",VLOOKUP(B72,'11.COMPOSIÇÕES GERAIS'!B:I,8,0),VLOOKUP(B72,'12.COT.MERCADO'!A:I,8,0)))),"Em Elaboração")</f>
        <v>0.39</v>
      </c>
      <c r="J72" s="241">
        <f t="shared" si="13"/>
        <v>1.303054497</v>
      </c>
      <c r="K72" s="241">
        <f t="shared" si="14"/>
        <v>0.4568204882</v>
      </c>
      <c r="L72" s="241">
        <f t="shared" si="15"/>
        <v>1.759874985</v>
      </c>
      <c r="M72" s="241">
        <f t="shared" si="16"/>
        <v>1.303054497</v>
      </c>
      <c r="N72" s="241">
        <f t="shared" si="17"/>
        <v>0.4568204882</v>
      </c>
      <c r="O72" s="241">
        <f t="shared" si="18"/>
        <v>1.759874985</v>
      </c>
      <c r="P72" s="242">
        <f t="shared" si="3"/>
        <v>0.000005643864709</v>
      </c>
    </row>
    <row r="73">
      <c r="A73" s="236" t="s">
        <v>279</v>
      </c>
      <c r="B73" s="237">
        <f>VLOOKUP(A73,'Planilha_Sintética_Geral'!A:P,2,0)</f>
        <v>101915</v>
      </c>
      <c r="C73" s="238" t="str">
        <f t="shared" si="12"/>
        <v>SINAPI</v>
      </c>
      <c r="D73" s="238" t="s">
        <v>218</v>
      </c>
      <c r="E73" s="239" t="str">
        <f>IFERROR(IF(D73="SINAPI-S",VLOOKUP(B73,'20-B.SINAPI-S'!A:J,2,0),IF(D73="SINAPI-I",VLOOKUP(B73,'20-A.SINAPI-I'!A:G,2,0),IF(D73="COMPOSIÇÕES",VLOOKUP(B73,'11.COMPOSIÇÕES GERAIS'!B:I,2,0),VLOOKUP(B73,'12.COT.MERCADO'!A:I,2,0)))),"Em Elaboração")</f>
        <v>CONJUNTO DE MANGUEIRA PARA COMBATE A INCÊNDIO EM FIBRA DE POLIESTER PURA, COM 1.1/2", REVESTIDA INTERNAMENTE, COMPRIMENTO DE 15M - FORNECIMENTO E INSTALAÇÃO. AF_10/2020</v>
      </c>
      <c r="F73" s="240" t="str">
        <f>IFERROR(IF(D73="SINAPI-S",VLOOKUP(B73,'20-B.SINAPI-S'!A:J,3,0),IF(D73="SINAPI-I",VLOOKUP(B73,'20-A.SINAPI-I'!A:G,3,0),IF(D73="COMPOSIÇÕES",VLOOKUP(B73,'11.COMPOSIÇÕES GERAIS'!B:I,3,0),VLOOKUP(B73,'12.COT.MERCADO'!A:I,7,0)))),"Em Elaboração")</f>
        <v>UN</v>
      </c>
      <c r="G73" s="244">
        <f>VLOOKUP(A73,'Planilha_Sintética_Geral'!A:O,7,0)</f>
        <v>1</v>
      </c>
      <c r="H73" s="241">
        <f>IFERROR(IF(D73="SINAPI-S",VLOOKUP(B73,'20-B.SINAPI-S'!A:J,5,0),IF(D73="SINAPI-I",VLOOKUP(B73,'20-A.SINAPI-I'!A:G,6,0),IF(D73="COMPOSIÇÕES",VLOOKUP(B73,'11.COMPOSIÇÕES GERAIS'!B:I,7,0),0))),"Em Elaboração")</f>
        <v>6.12</v>
      </c>
      <c r="I73" s="241">
        <f>IFERROR(IF(D73="SINAPI-S",VLOOKUP(B73,'20-B.SINAPI-S'!A:J,6,0),IF(D73="SINAPI-I",VLOOKUP(B73,'20-A.SINAPI-I'!A:G,7,0),IF(D73="COMPOSIÇÕES",VLOOKUP(B73,'11.COMPOSIÇÕES GERAIS'!B:I,8,0),VLOOKUP(B73,'12.COT.MERCADO'!A:I,8,0)))),"Em Elaboração")</f>
        <v>297.05</v>
      </c>
      <c r="J73" s="241">
        <f t="shared" si="13"/>
        <v>7.184408576</v>
      </c>
      <c r="K73" s="241">
        <f t="shared" si="14"/>
        <v>347.9449385</v>
      </c>
      <c r="L73" s="241">
        <f t="shared" si="15"/>
        <v>355.1293471</v>
      </c>
      <c r="M73" s="241">
        <f t="shared" si="16"/>
        <v>7.184408576</v>
      </c>
      <c r="N73" s="241">
        <f t="shared" si="17"/>
        <v>347.9449385</v>
      </c>
      <c r="O73" s="241">
        <f t="shared" si="18"/>
        <v>355.1293471</v>
      </c>
      <c r="P73" s="242">
        <f t="shared" si="3"/>
        <v>0.001138888845</v>
      </c>
    </row>
    <row r="74">
      <c r="A74" s="236" t="s">
        <v>280</v>
      </c>
      <c r="B74" s="237">
        <f>VLOOKUP(A74,'Planilha_Sintética_Geral'!A:P,2,0)</f>
        <v>87811</v>
      </c>
      <c r="C74" s="238" t="str">
        <f t="shared" si="12"/>
        <v>SINAPI</v>
      </c>
      <c r="D74" s="238" t="s">
        <v>218</v>
      </c>
      <c r="E74" s="239" t="str">
        <f>IFERROR(IF(D74="SINAPI-S",VLOOKUP(B74,'20-B.SINAPI-S'!A:J,2,0),IF(D74="SINAPI-I",VLOOKUP(B74,'20-A.SINAPI-I'!A:G,2,0),IF(D74="COMPOSIÇÕES",VLOOKUP(B74,'11.COMPOSIÇÕES GERAIS'!B:I,2,0),VLOOKUP(B74,'12.COT.MERCADO'!A:I,2,0)))),"Em Elaboração")</f>
        <v>EMBOÇO OU MASSA ÚNICA EM ARGAMASSA TRAÇO 1:2:8, PREPARO MANUAL, APLICADA MANUALMENTE EM SUPERFÍCIES EXTERNAS DA SACADA, ESPESSURA DE 25 MM, SEM USO DE TELA METÁLICA DE REFORÇO CONTRA FISSURAÇÃO. AF_08/2022</v>
      </c>
      <c r="F74" s="240" t="str">
        <f>IFERROR(IF(D74="SINAPI-S",VLOOKUP(B74,'20-B.SINAPI-S'!A:J,3,0),IF(D74="SINAPI-I",VLOOKUP(B74,'20-A.SINAPI-I'!A:G,3,0),IF(D74="COMPOSIÇÕES",VLOOKUP(B74,'11.COMPOSIÇÕES GERAIS'!B:I,3,0),VLOOKUP(B74,'12.COT.MERCADO'!A:I,7,0)))),"Em Elaboração")</f>
        <v>M2</v>
      </c>
      <c r="G74" s="244">
        <f>VLOOKUP(A74,'Planilha_Sintética_Geral'!A:O,7,0)</f>
        <v>2</v>
      </c>
      <c r="H74" s="241">
        <f>IFERROR(IF(D74="SINAPI-S",VLOOKUP(B74,'20-B.SINAPI-S'!A:J,5,0),IF(D74="SINAPI-I",VLOOKUP(B74,'20-A.SINAPI-I'!A:G,6,0),IF(D74="COMPOSIÇÕES",VLOOKUP(B74,'11.COMPOSIÇÕES GERAIS'!B:I,7,0),0))),"Em Elaboração")</f>
        <v>56.91</v>
      </c>
      <c r="I74" s="241">
        <f>IFERROR(IF(D74="SINAPI-S",VLOOKUP(B74,'20-B.SINAPI-S'!A:J,6,0),IF(D74="SINAPI-I",VLOOKUP(B74,'20-A.SINAPI-I'!A:G,7,0),IF(D74="COMPOSIÇÕES",VLOOKUP(B74,'11.COMPOSIÇÕES GERAIS'!B:I,8,0),VLOOKUP(B74,'12.COT.MERCADO'!A:I,8,0)))),"Em Elaboração")</f>
        <v>33.14</v>
      </c>
      <c r="J74" s="241">
        <f t="shared" si="13"/>
        <v>66.80795622</v>
      </c>
      <c r="K74" s="241">
        <f t="shared" si="14"/>
        <v>38.81802815</v>
      </c>
      <c r="L74" s="241">
        <f t="shared" si="15"/>
        <v>105.6259844</v>
      </c>
      <c r="M74" s="241">
        <f t="shared" si="16"/>
        <v>133.6159124</v>
      </c>
      <c r="N74" s="241">
        <f t="shared" si="17"/>
        <v>77.6360563</v>
      </c>
      <c r="O74" s="241">
        <f t="shared" si="18"/>
        <v>211.2519687</v>
      </c>
      <c r="P74" s="242">
        <f t="shared" si="3"/>
        <v>0.0006774785376</v>
      </c>
    </row>
    <row r="75">
      <c r="A75" s="236" t="s">
        <v>281</v>
      </c>
      <c r="B75" s="237">
        <f>VLOOKUP(A75,'Planilha_Sintética_Geral'!A:P,2,0)</f>
        <v>98546</v>
      </c>
      <c r="C75" s="238" t="str">
        <f t="shared" si="12"/>
        <v>SINAPI</v>
      </c>
      <c r="D75" s="238" t="s">
        <v>218</v>
      </c>
      <c r="E75" s="239" t="str">
        <f>IFERROR(IF(D75="SINAPI-S",VLOOKUP(B75,'20-B.SINAPI-S'!A:J,2,0),IF(D75="SINAPI-I",VLOOKUP(B75,'20-A.SINAPI-I'!A:G,2,0),IF(D75="COMPOSIÇÕES",VLOOKUP(B75,'11.COMPOSIÇÕES GERAIS'!B:I,2,0),VLOOKUP(B75,'12.COT.MERCADO'!A:I,2,0)))),"Em Elaboração")</f>
        <v>IMPERMEABILIZAÇÃO DE SUPERFÍCIE COM MANTA ASFÁLTICA, UMA CAMADA, INCLUSIVE APLICAÇÃO DE PRIMER ASFÁLTICO, E=3MM. AF_06/2018</v>
      </c>
      <c r="F75" s="240" t="str">
        <f>IFERROR(IF(D75="SINAPI-S",VLOOKUP(B75,'20-B.SINAPI-S'!A:J,3,0),IF(D75="SINAPI-I",VLOOKUP(B75,'20-A.SINAPI-I'!A:G,3,0),IF(D75="COMPOSIÇÕES",VLOOKUP(B75,'11.COMPOSIÇÕES GERAIS'!B:I,3,0),VLOOKUP(B75,'12.COT.MERCADO'!A:I,7,0)))),"Em Elaboração")</f>
        <v>M2</v>
      </c>
      <c r="G75" s="244">
        <f>VLOOKUP(A75,'Planilha_Sintética_Geral'!A:O,7,0)</f>
        <v>7</v>
      </c>
      <c r="H75" s="241">
        <f>IFERROR(IF(D75="SINAPI-S",VLOOKUP(B75,'20-B.SINAPI-S'!A:J,5,0),IF(D75="SINAPI-I",VLOOKUP(B75,'20-A.SINAPI-I'!A:G,6,0),IF(D75="COMPOSIÇÕES",VLOOKUP(B75,'11.COMPOSIÇÕES GERAIS'!B:I,7,0),0))),"Em Elaboração")</f>
        <v>26.98</v>
      </c>
      <c r="I75" s="241">
        <f>IFERROR(IF(D75="SINAPI-S",VLOOKUP(B75,'20-B.SINAPI-S'!A:J,6,0),IF(D75="SINAPI-I",VLOOKUP(B75,'20-A.SINAPI-I'!A:G,7,0),IF(D75="COMPOSIÇÕES",VLOOKUP(B75,'11.COMPOSIÇÕES GERAIS'!B:I,8,0),VLOOKUP(B75,'12.COT.MERCADO'!A:I,8,0)))),"Em Elaboração")</f>
        <v>82.61</v>
      </c>
      <c r="J75" s="241">
        <f t="shared" si="13"/>
        <v>31.67244173</v>
      </c>
      <c r="K75" s="241">
        <f t="shared" si="14"/>
        <v>96.76395008</v>
      </c>
      <c r="L75" s="241">
        <f t="shared" si="15"/>
        <v>128.4363918</v>
      </c>
      <c r="M75" s="241">
        <f t="shared" si="16"/>
        <v>221.7070921</v>
      </c>
      <c r="N75" s="241">
        <f t="shared" si="17"/>
        <v>677.3476505</v>
      </c>
      <c r="O75" s="241">
        <f t="shared" si="18"/>
        <v>899.0547427</v>
      </c>
      <c r="P75" s="242">
        <f t="shared" si="3"/>
        <v>0.002883240785</v>
      </c>
    </row>
    <row r="76">
      <c r="A76" s="236" t="s">
        <v>282</v>
      </c>
      <c r="B76" s="237">
        <f>VLOOKUP(A76,'Planilha_Sintética_Geral'!A:P,2,0)</f>
        <v>97644</v>
      </c>
      <c r="C76" s="238" t="str">
        <f t="shared" si="12"/>
        <v>SINAPI</v>
      </c>
      <c r="D76" s="238" t="s">
        <v>218</v>
      </c>
      <c r="E76" s="239" t="str">
        <f>IFERROR(IF(D76="SINAPI-S",VLOOKUP(B76,'20-B.SINAPI-S'!A:J,2,0),IF(D76="SINAPI-I",VLOOKUP(B76,'20-A.SINAPI-I'!A:G,2,0),IF(D76="COMPOSIÇÕES",VLOOKUP(B76,'11.COMPOSIÇÕES GERAIS'!B:I,2,0),VLOOKUP(B76,'12.COT.MERCADO'!A:I,2,0)))),"Em Elaboração")</f>
        <v>REMOÇÃO DE PORTAS, DE FORMA MANUAL, SEM REAPROVEITAMENTO. AF_12/2017</v>
      </c>
      <c r="F76" s="240" t="str">
        <f>IFERROR(IF(D76="SINAPI-S",VLOOKUP(B76,'20-B.SINAPI-S'!A:J,3,0),IF(D76="SINAPI-I",VLOOKUP(B76,'20-A.SINAPI-I'!A:G,3,0),IF(D76="COMPOSIÇÕES",VLOOKUP(B76,'11.COMPOSIÇÕES GERAIS'!B:I,3,0),VLOOKUP(B76,'12.COT.MERCADO'!A:I,7,0)))),"Em Elaboração")</f>
        <v>M2</v>
      </c>
      <c r="G76" s="244">
        <f>VLOOKUP(A76,'Planilha_Sintética_Geral'!A:O,7,0)</f>
        <v>1</v>
      </c>
      <c r="H76" s="241">
        <f>IFERROR(IF(D76="SINAPI-S",VLOOKUP(B76,'20-B.SINAPI-S'!A:J,5,0),IF(D76="SINAPI-I",VLOOKUP(B76,'20-A.SINAPI-I'!A:G,6,0),IF(D76="COMPOSIÇÕES",VLOOKUP(B76,'11.COMPOSIÇÕES GERAIS'!B:I,7,0),0))),"Em Elaboração")</f>
        <v>7.78</v>
      </c>
      <c r="I76" s="241">
        <f>IFERROR(IF(D76="SINAPI-S",VLOOKUP(B76,'20-B.SINAPI-S'!A:J,6,0),IF(D76="SINAPI-I",VLOOKUP(B76,'20-A.SINAPI-I'!A:G,7,0),IF(D76="COMPOSIÇÕES",VLOOKUP(B76,'11.COMPOSIÇÕES GERAIS'!B:I,8,0),VLOOKUP(B76,'12.COT.MERCADO'!A:I,8,0)))),"Em Elaboração")</f>
        <v>2.98</v>
      </c>
      <c r="J76" s="241">
        <f t="shared" si="13"/>
        <v>9.133120707</v>
      </c>
      <c r="K76" s="241">
        <f t="shared" si="14"/>
        <v>3.490577064</v>
      </c>
      <c r="L76" s="241">
        <f t="shared" si="15"/>
        <v>12.62369777</v>
      </c>
      <c r="M76" s="241">
        <f t="shared" si="16"/>
        <v>9.133120707</v>
      </c>
      <c r="N76" s="241">
        <f t="shared" si="17"/>
        <v>3.490577064</v>
      </c>
      <c r="O76" s="241">
        <f t="shared" si="18"/>
        <v>12.62369777</v>
      </c>
      <c r="P76" s="242">
        <f t="shared" si="3"/>
        <v>0.00004048380877</v>
      </c>
    </row>
    <row r="77">
      <c r="A77" s="236" t="s">
        <v>283</v>
      </c>
      <c r="B77" s="237">
        <f>VLOOKUP(A77,'Planilha_Sintética_Geral'!A:P,2,0)</f>
        <v>103323</v>
      </c>
      <c r="C77" s="238" t="str">
        <f t="shared" si="12"/>
        <v>SINAPI</v>
      </c>
      <c r="D77" s="238" t="s">
        <v>218</v>
      </c>
      <c r="E77" s="239" t="str">
        <f>IFERROR(IF(D77="SINAPI-S",VLOOKUP(B77,'20-B.SINAPI-S'!A:J,2,0),IF(D77="SINAPI-I",VLOOKUP(B77,'20-A.SINAPI-I'!A:G,2,0),IF(D77="COMPOSIÇÕES",VLOOKUP(B77,'11.COMPOSIÇÕES GERAIS'!B:I,2,0),VLOOKUP(B77,'12.COT.MERCADO'!A:I,2,0)))),"Em Elaboração")</f>
        <v>ALVENARIA DE VEDAÇÃO DE BLOCOS CERÂMICOS FURADOS NA VERTICAL DE 9X19X39 CM (ESPESSURA 9 CM) E ARGAMASSA DE ASSENTAMENTO COM PREPARO MANUAL. AF_12/2021</v>
      </c>
      <c r="F77" s="240" t="str">
        <f>IFERROR(IF(D77="SINAPI-S",VLOOKUP(B77,'20-B.SINAPI-S'!A:J,3,0),IF(D77="SINAPI-I",VLOOKUP(B77,'20-A.SINAPI-I'!A:G,3,0),IF(D77="COMPOSIÇÕES",VLOOKUP(B77,'11.COMPOSIÇÕES GERAIS'!B:I,3,0),VLOOKUP(B77,'12.COT.MERCADO'!A:I,7,0)))),"Em Elaboração")</f>
        <v>M2</v>
      </c>
      <c r="G77" s="244">
        <f>VLOOKUP(A77,'Planilha_Sintética_Geral'!A:O,7,0)</f>
        <v>1</v>
      </c>
      <c r="H77" s="241">
        <f>IFERROR(IF(D77="SINAPI-S",VLOOKUP(B77,'20-B.SINAPI-S'!A:J,5,0),IF(D77="SINAPI-I",VLOOKUP(B77,'20-A.SINAPI-I'!A:G,6,0),IF(D77="COMPOSIÇÕES",VLOOKUP(B77,'11.COMPOSIÇÕES GERAIS'!B:I,7,0),0))),"Em Elaboração")</f>
        <v>21.71</v>
      </c>
      <c r="I77" s="241">
        <f>IFERROR(IF(D77="SINAPI-S",VLOOKUP(B77,'20-B.SINAPI-S'!A:J,6,0),IF(D77="SINAPI-I",VLOOKUP(B77,'20-A.SINAPI-I'!A:G,7,0),IF(D77="COMPOSIÇÕES",VLOOKUP(B77,'11.COMPOSIÇÕES GERAIS'!B:I,8,0),VLOOKUP(B77,'12.COT.MERCADO'!A:I,8,0)))),"Em Elaboração")</f>
        <v>41.3</v>
      </c>
      <c r="J77" s="241">
        <f t="shared" si="13"/>
        <v>25.48586768</v>
      </c>
      <c r="K77" s="241">
        <f t="shared" si="14"/>
        <v>48.37611837</v>
      </c>
      <c r="L77" s="241">
        <f t="shared" si="15"/>
        <v>73.86198604</v>
      </c>
      <c r="M77" s="241">
        <f t="shared" si="16"/>
        <v>25.48586768</v>
      </c>
      <c r="N77" s="241">
        <f t="shared" si="17"/>
        <v>48.37611837</v>
      </c>
      <c r="O77" s="241">
        <f t="shared" si="18"/>
        <v>73.86198604</v>
      </c>
      <c r="P77" s="242">
        <f t="shared" si="3"/>
        <v>0.0002368731074</v>
      </c>
    </row>
    <row r="78">
      <c r="A78" s="236" t="s">
        <v>284</v>
      </c>
      <c r="B78" s="237">
        <f>VLOOKUP(A78,'Planilha_Sintética_Geral'!A:P,2,0)</f>
        <v>97583</v>
      </c>
      <c r="C78" s="238" t="str">
        <f t="shared" si="12"/>
        <v>SINAPI</v>
      </c>
      <c r="D78" s="238" t="s">
        <v>218</v>
      </c>
      <c r="E78" s="239" t="str">
        <f>IFERROR(IF(D78="SINAPI-S",VLOOKUP(B78,'20-B.SINAPI-S'!A:J,2,0),IF(D78="SINAPI-I",VLOOKUP(B78,'20-A.SINAPI-I'!A:G,2,0),IF(D78="COMPOSIÇÕES",VLOOKUP(B78,'11.COMPOSIÇÕES GERAIS'!B:I,2,0),VLOOKUP(B78,'12.COT.MERCADO'!A:I,2,0)))),"Em Elaboração")</f>
        <v>LUMINÁRIA TIPO CALHA, DE SOBREPOR, COM 1 LÂMPADA TUBULAR FLUORESCENTE DE 18 W, COM REATOR DE PARTIDA RÁPIDA - FORNECIMENTO E INSTALAÇÃO. AF_02/2020</v>
      </c>
      <c r="F78" s="240" t="str">
        <f>IFERROR(IF(D78="SINAPI-S",VLOOKUP(B78,'20-B.SINAPI-S'!A:J,3,0),IF(D78="SINAPI-I",VLOOKUP(B78,'20-A.SINAPI-I'!A:G,3,0),IF(D78="COMPOSIÇÕES",VLOOKUP(B78,'11.COMPOSIÇÕES GERAIS'!B:I,3,0),VLOOKUP(B78,'12.COT.MERCADO'!A:I,7,0)))),"Em Elaboração")</f>
        <v>UN</v>
      </c>
      <c r="G78" s="244">
        <f>VLOOKUP(A78,'Planilha_Sintética_Geral'!A:O,7,0)</f>
        <v>1</v>
      </c>
      <c r="H78" s="241">
        <f>IFERROR(IF(D78="SINAPI-S",VLOOKUP(B78,'20-B.SINAPI-S'!A:J,5,0),IF(D78="SINAPI-I",VLOOKUP(B78,'20-A.SINAPI-I'!A:G,6,0),IF(D78="COMPOSIÇÕES",VLOOKUP(B78,'11.COMPOSIÇÕES GERAIS'!B:I,7,0),0))),"Em Elaboração")</f>
        <v>12.04</v>
      </c>
      <c r="I78" s="241">
        <f>IFERROR(IF(D78="SINAPI-S",VLOOKUP(B78,'20-B.SINAPI-S'!A:J,6,0),IF(D78="SINAPI-I",VLOOKUP(B78,'20-A.SINAPI-I'!A:G,7,0),IF(D78="COMPOSIÇÕES",VLOOKUP(B78,'11.COMPOSIÇÕES GERAIS'!B:I,8,0),VLOOKUP(B78,'12.COT.MERCADO'!A:I,8,0)))),"Em Elaboração")</f>
        <v>71.51</v>
      </c>
      <c r="J78" s="241">
        <f t="shared" si="13"/>
        <v>14.13403256</v>
      </c>
      <c r="K78" s="241">
        <f t="shared" si="14"/>
        <v>83.76213618</v>
      </c>
      <c r="L78" s="241">
        <f t="shared" si="15"/>
        <v>97.89616874</v>
      </c>
      <c r="M78" s="241">
        <f t="shared" si="16"/>
        <v>14.13403256</v>
      </c>
      <c r="N78" s="241">
        <f t="shared" si="17"/>
        <v>83.76213618</v>
      </c>
      <c r="O78" s="241">
        <f t="shared" si="18"/>
        <v>97.89616874</v>
      </c>
      <c r="P78" s="242">
        <f t="shared" si="3"/>
        <v>0.0003139499888</v>
      </c>
    </row>
    <row r="79">
      <c r="A79" s="236" t="s">
        <v>285</v>
      </c>
      <c r="B79" s="237">
        <f>VLOOKUP(A79,'Planilha_Sintética_Geral'!A:P,2,0)</f>
        <v>567</v>
      </c>
      <c r="C79" s="238" t="str">
        <f t="shared" si="12"/>
        <v>SINAPI</v>
      </c>
      <c r="D79" s="243" t="s">
        <v>286</v>
      </c>
      <c r="E79" s="239" t="str">
        <f>IFERROR(IF(D79="SINAPI-S",VLOOKUP(B79,'20-B.SINAPI-S'!A:J,2,0),IF(D79="SINAPI-I",VLOOKUP(B79,'20-A.SINAPI-I'!A:G,2,0),IF(D79="COMPOSIÇÕES",VLOOKUP(B79,'11.COMPOSIÇÕES GERAIS'!B:I,2,0),VLOOKUP(B79,'12.COT.MERCADO'!A:I,2,0)))),"Em Elaboração")</f>
        <v>CANTONEIRA (ABAS IGUAIS) EM ACO CARBONO, 25,4 MM X 3,17 MM (L X E), 1,27KG/M</v>
      </c>
      <c r="F79" s="240" t="str">
        <f>IFERROR(IF(D79="SINAPI-S",VLOOKUP(B79,'20-B.SINAPI-S'!A:J,3,0),IF(D79="SINAPI-I",VLOOKUP(B79,'20-A.SINAPI-I'!A:G,3,0),IF(D79="COMPOSIÇÕES",VLOOKUP(B79,'11.COMPOSIÇÕES GERAIS'!B:I,3,0),VLOOKUP(B79,'12.COT.MERCADO'!A:I,7,0)))),"Em Elaboração")</f>
        <v>M</v>
      </c>
      <c r="G79" s="244">
        <f>VLOOKUP(A79,'Planilha_Sintética_Geral'!A:O,7,0)</f>
        <v>3</v>
      </c>
      <c r="H79" s="241">
        <f>IFERROR(IF(D79="SINAPI-S",VLOOKUP(B79,'20-B.SINAPI-S'!A:J,5,0),IF(D79="SINAPI-I",VLOOKUP(B79,'20-A.SINAPI-I'!A:G,6,0),IF(D79="COMPOSIÇÕES",VLOOKUP(B79,'11.COMPOSIÇÕES GERAIS'!B:I,7,0),0))),"Em Elaboração")</f>
        <v>0</v>
      </c>
      <c r="I79" s="241">
        <f>IFERROR(IF(D79="SINAPI-S",VLOOKUP(B79,'20-B.SINAPI-S'!A:J,6,0),IF(D79="SINAPI-I",VLOOKUP(B79,'20-A.SINAPI-I'!A:G,7,0),IF(D79="COMPOSIÇÕES",VLOOKUP(B79,'11.COMPOSIÇÕES GERAIS'!B:I,8,0),VLOOKUP(B79,'12.COT.MERCADO'!A:I,8,0)))),"Em Elaboração")</f>
        <v>11.96</v>
      </c>
      <c r="J79" s="241">
        <f t="shared" si="13"/>
        <v>0</v>
      </c>
      <c r="K79" s="241">
        <f t="shared" si="14"/>
        <v>14.00916164</v>
      </c>
      <c r="L79" s="241">
        <f t="shared" si="15"/>
        <v>14.00916164</v>
      </c>
      <c r="M79" s="241">
        <f t="shared" si="16"/>
        <v>0</v>
      </c>
      <c r="N79" s="241">
        <f t="shared" si="17"/>
        <v>42.02748491</v>
      </c>
      <c r="O79" s="241">
        <f t="shared" si="18"/>
        <v>42.02748491</v>
      </c>
      <c r="P79" s="242">
        <f t="shared" si="3"/>
        <v>0.0001347808458</v>
      </c>
    </row>
    <row r="80">
      <c r="A80" s="236" t="s">
        <v>287</v>
      </c>
      <c r="B80" s="237">
        <f>VLOOKUP(A80,'Planilha_Sintética_Geral'!A:P,2,0)</f>
        <v>91989</v>
      </c>
      <c r="C80" s="238" t="str">
        <f t="shared" si="12"/>
        <v>SINAPI</v>
      </c>
      <c r="D80" s="238" t="s">
        <v>218</v>
      </c>
      <c r="E80" s="239" t="str">
        <f>IFERROR(IF(D80="SINAPI-S",VLOOKUP(B80,'20-B.SINAPI-S'!A:J,2,0),IF(D80="SINAPI-I",VLOOKUP(B80,'20-A.SINAPI-I'!A:G,2,0),IF(D80="COMPOSIÇÕES",VLOOKUP(B80,'11.COMPOSIÇÕES GERAIS'!B:I,2,0),VLOOKUP(B80,'12.COT.MERCADO'!A:I,2,0)))),"Em Elaboração")</f>
        <v>INTERRUPTOR PULSADOR MINUTERIA (1 MÓDULO), 10A/250V, INCLUINDO SUPORTE E PLACA - FORNECIMENTO E INSTALAÇÃO. AF_03/2023</v>
      </c>
      <c r="F80" s="240" t="str">
        <f>IFERROR(IF(D80="SINAPI-S",VLOOKUP(B80,'20-B.SINAPI-S'!A:J,3,0),IF(D80="SINAPI-I",VLOOKUP(B80,'20-A.SINAPI-I'!A:G,3,0),IF(D80="COMPOSIÇÕES",VLOOKUP(B80,'11.COMPOSIÇÕES GERAIS'!B:I,3,0),VLOOKUP(B80,'12.COT.MERCADO'!A:I,7,0)))),"Em Elaboração")</f>
        <v>UN</v>
      </c>
      <c r="G80" s="244">
        <f>VLOOKUP(A80,'Planilha_Sintética_Geral'!A:O,7,0)</f>
        <v>1</v>
      </c>
      <c r="H80" s="241">
        <f>IFERROR(IF(D80="SINAPI-S",VLOOKUP(B80,'20-B.SINAPI-S'!A:J,5,0),IF(D80="SINAPI-I",VLOOKUP(B80,'20-A.SINAPI-I'!A:G,6,0),IF(D80="COMPOSIÇÕES",VLOOKUP(B80,'11.COMPOSIÇÕES GERAIS'!B:I,7,0),0))),"Em Elaboração")</f>
        <v>15.97</v>
      </c>
      <c r="I80" s="241">
        <f>IFERROR(IF(D80="SINAPI-S",VLOOKUP(B80,'20-B.SINAPI-S'!A:J,6,0),IF(D80="SINAPI-I",VLOOKUP(B80,'20-A.SINAPI-I'!A:G,7,0),IF(D80="COMPOSIÇÕES",VLOOKUP(B80,'11.COMPOSIÇÕES GERAIS'!B:I,8,0),VLOOKUP(B80,'12.COT.MERCADO'!A:I,8,0)))),"Em Elaboração")</f>
        <v>20.96</v>
      </c>
      <c r="J80" s="241">
        <f t="shared" si="13"/>
        <v>18.74754983</v>
      </c>
      <c r="K80" s="241">
        <f t="shared" si="14"/>
        <v>24.5511729</v>
      </c>
      <c r="L80" s="241">
        <f t="shared" si="15"/>
        <v>43.29872274</v>
      </c>
      <c r="M80" s="241">
        <f t="shared" si="16"/>
        <v>18.74754983</v>
      </c>
      <c r="N80" s="241">
        <f t="shared" si="17"/>
        <v>24.5511729</v>
      </c>
      <c r="O80" s="241">
        <f t="shared" si="18"/>
        <v>43.29872274</v>
      </c>
      <c r="P80" s="242">
        <f t="shared" si="3"/>
        <v>0.0001388576662</v>
      </c>
    </row>
    <row r="81">
      <c r="A81" s="236" t="s">
        <v>288</v>
      </c>
      <c r="B81" s="237">
        <f>VLOOKUP(A81,'Planilha_Sintética_Geral'!A:P,2,0)</f>
        <v>86937</v>
      </c>
      <c r="C81" s="238" t="str">
        <f t="shared" si="12"/>
        <v>SINAPI</v>
      </c>
      <c r="D81" s="238" t="s">
        <v>218</v>
      </c>
      <c r="E81" s="239" t="str">
        <f>IFERROR(IF(D81="SINAPI-S",VLOOKUP(B81,'20-B.SINAPI-S'!A:J,2,0),IF(D81="SINAPI-I",VLOOKUP(B81,'20-A.SINAPI-I'!A:G,2,0),IF(D81="COMPOSIÇÕES",VLOOKUP(B81,'11.COMPOSIÇÕES GERAIS'!B:I,2,0),VLOOKUP(B81,'12.COT.MERCADO'!A:I,2,0)))),"Em Elaboração")</f>
        <v>CUBA DE EMBUTIR OVAL EM LOUÇA BRANCA, 35 X 50CM OU EQUIVALENTE, INCLUSO VÁLVULA EM METAL CROMADO E SIFÃO FLEXÍVEL EM PVC - FORNECIMENTO E INSTALAÇÃO. AF_01/2020</v>
      </c>
      <c r="F81" s="240" t="str">
        <f>IFERROR(IF(D81="SINAPI-S",VLOOKUP(B81,'20-B.SINAPI-S'!A:J,3,0),IF(D81="SINAPI-I",VLOOKUP(B81,'20-A.SINAPI-I'!A:G,3,0),IF(D81="COMPOSIÇÕES",VLOOKUP(B81,'11.COMPOSIÇÕES GERAIS'!B:I,3,0),VLOOKUP(B81,'12.COT.MERCADO'!A:I,7,0)))),"Em Elaboração")</f>
        <v>UN</v>
      </c>
      <c r="G81" s="244">
        <f>VLOOKUP(A81,'Planilha_Sintética_Geral'!A:O,7,0)</f>
        <v>1</v>
      </c>
      <c r="H81" s="241">
        <f>IFERROR(IF(D81="SINAPI-S",VLOOKUP(B81,'20-B.SINAPI-S'!A:J,5,0),IF(D81="SINAPI-I",VLOOKUP(B81,'20-A.SINAPI-I'!A:G,6,0),IF(D81="COMPOSIÇÕES",VLOOKUP(B81,'11.COMPOSIÇÕES GERAIS'!B:I,7,0),0))),"Em Elaboração")</f>
        <v>35.93</v>
      </c>
      <c r="I81" s="241">
        <f>IFERROR(IF(D81="SINAPI-S",VLOOKUP(B81,'20-B.SINAPI-S'!A:J,6,0),IF(D81="SINAPI-I",VLOOKUP(B81,'20-A.SINAPI-I'!A:G,7,0),IF(D81="COMPOSIÇÕES",VLOOKUP(B81,'11.COMPOSIÇÕES GERAIS'!B:I,8,0),VLOOKUP(B81,'12.COT.MERCADO'!A:I,8,0)))),"Em Elaboração")</f>
        <v>231.29</v>
      </c>
      <c r="J81" s="241">
        <f t="shared" si="13"/>
        <v>42.17905231</v>
      </c>
      <c r="K81" s="241">
        <f t="shared" si="14"/>
        <v>270.9179762</v>
      </c>
      <c r="L81" s="241">
        <f t="shared" si="15"/>
        <v>313.0970285</v>
      </c>
      <c r="M81" s="241">
        <f t="shared" si="16"/>
        <v>42.17905231</v>
      </c>
      <c r="N81" s="241">
        <f t="shared" si="17"/>
        <v>270.9179762</v>
      </c>
      <c r="O81" s="241">
        <f t="shared" si="18"/>
        <v>313.0970285</v>
      </c>
      <c r="P81" s="242">
        <f t="shared" si="3"/>
        <v>0.001004092498</v>
      </c>
    </row>
    <row r="82">
      <c r="A82" s="236" t="s">
        <v>289</v>
      </c>
      <c r="B82" s="237">
        <f>VLOOKUP(A82,'Planilha_Sintética_Geral'!A:P,2,0)</f>
        <v>89969</v>
      </c>
      <c r="C82" s="238" t="str">
        <f t="shared" si="12"/>
        <v>SINAPI</v>
      </c>
      <c r="D82" s="238" t="s">
        <v>218</v>
      </c>
      <c r="E82" s="239" t="str">
        <f>IFERROR(IF(D82="SINAPI-S",VLOOKUP(B82,'20-B.SINAPI-S'!A:J,2,0),IF(D82="SINAPI-I",VLOOKUP(B82,'20-A.SINAPI-I'!A:G,2,0),IF(D82="COMPOSIÇÕES",VLOOKUP(B82,'11.COMPOSIÇÕES GERAIS'!B:I,2,0),VLOOKUP(B82,'12.COT.MERCADO'!A:I,2,0)))),"Em Elaboração")</f>
        <v>KIT DE REGISTRO DE PRESSÃO BRUTO DE LATÃO ½", INCLUSIVE CONEXÕES,  ROSCÁVEL, INSTALADO EM RAMAL DE ÁGUA FRIA - FORNECIMENTO E INSTALAÇÃO. AF_12/2014</v>
      </c>
      <c r="F82" s="240" t="str">
        <f>IFERROR(IF(D82="SINAPI-S",VLOOKUP(B82,'20-B.SINAPI-S'!A:J,3,0),IF(D82="SINAPI-I",VLOOKUP(B82,'20-A.SINAPI-I'!A:G,3,0),IF(D82="COMPOSIÇÕES",VLOOKUP(B82,'11.COMPOSIÇÕES GERAIS'!B:I,3,0),VLOOKUP(B82,'12.COT.MERCADO'!A:I,7,0)))),"Em Elaboração")</f>
        <v>UN</v>
      </c>
      <c r="G82" s="244">
        <f>VLOOKUP(A82,'Planilha_Sintética_Geral'!A:O,7,0)</f>
        <v>2</v>
      </c>
      <c r="H82" s="241">
        <f>IFERROR(IF(D82="SINAPI-S",VLOOKUP(B82,'20-B.SINAPI-S'!A:J,5,0),IF(D82="SINAPI-I",VLOOKUP(B82,'20-A.SINAPI-I'!A:G,6,0),IF(D82="COMPOSIÇÕES",VLOOKUP(B82,'11.COMPOSIÇÕES GERAIS'!B:I,7,0),0))),"Em Elaboração")</f>
        <v>10.08</v>
      </c>
      <c r="I82" s="241">
        <f>IFERROR(IF(D82="SINAPI-S",VLOOKUP(B82,'20-B.SINAPI-S'!A:J,6,0),IF(D82="SINAPI-I",VLOOKUP(B82,'20-A.SINAPI-I'!A:G,7,0),IF(D82="COMPOSIÇÕES",VLOOKUP(B82,'11.COMPOSIÇÕES GERAIS'!B:I,8,0),VLOOKUP(B82,'12.COT.MERCADO'!A:I,8,0)))),"Em Elaboração")</f>
        <v>37.3</v>
      </c>
      <c r="J82" s="241">
        <f t="shared" si="13"/>
        <v>11.83314354</v>
      </c>
      <c r="K82" s="241">
        <f t="shared" si="14"/>
        <v>43.69078003</v>
      </c>
      <c r="L82" s="241">
        <f t="shared" si="15"/>
        <v>55.52392356</v>
      </c>
      <c r="M82" s="241">
        <f t="shared" si="16"/>
        <v>23.66628708</v>
      </c>
      <c r="N82" s="241">
        <f t="shared" si="17"/>
        <v>87.38156005</v>
      </c>
      <c r="O82" s="241">
        <f t="shared" si="18"/>
        <v>111.0478471</v>
      </c>
      <c r="P82" s="242">
        <f t="shared" si="3"/>
        <v>0.0003561270151</v>
      </c>
    </row>
    <row r="83">
      <c r="A83" s="236" t="s">
        <v>290</v>
      </c>
      <c r="B83" s="237">
        <f>VLOOKUP(A83,'Planilha_Sintética_Geral'!A:P,2,0)</f>
        <v>104479</v>
      </c>
      <c r="C83" s="238" t="str">
        <f t="shared" si="12"/>
        <v>SINAPI</v>
      </c>
      <c r="D83" s="238" t="s">
        <v>218</v>
      </c>
      <c r="E83" s="239" t="str">
        <f>IFERROR(IF(D83="SINAPI-S",VLOOKUP(B83,'20-B.SINAPI-S'!A:J,2,0),IF(D83="SINAPI-I",VLOOKUP(B83,'20-A.SINAPI-I'!A:G,2,0),IF(D83="COMPOSIÇÕES",VLOOKUP(B83,'11.COMPOSIÇÕES GERAIS'!B:I,2,0),VLOOKUP(B83,'12.COT.MERCADO'!A:I,2,0)))),"Em Elaboração")</f>
        <v>COMPOSIÇÃO PARAMÉTRICA DE PONTO ELÉTRICO DE TOMADA DE USO GERAL 2P+T (10A/250V) EM EDIFÍCIO RESIDENCIAL COM ELETRODUTO EMBUTIDO SEM NECESSIDADE DE RASGOS, INCLUSO TOMADA, ELETRODUTO, CABO E QUEBRA. AF_11/2022</v>
      </c>
      <c r="F83" s="240" t="str">
        <f>IFERROR(IF(D83="SINAPI-S",VLOOKUP(B83,'20-B.SINAPI-S'!A:J,3,0),IF(D83="SINAPI-I",VLOOKUP(B83,'20-A.SINAPI-I'!A:G,3,0),IF(D83="COMPOSIÇÕES",VLOOKUP(B83,'11.COMPOSIÇÕES GERAIS'!B:I,3,0),VLOOKUP(B83,'12.COT.MERCADO'!A:I,7,0)))),"Em Elaboração")</f>
        <v>UN</v>
      </c>
      <c r="G83" s="244">
        <f>VLOOKUP(A83,'Planilha_Sintética_Geral'!A:O,7,0)</f>
        <v>1</v>
      </c>
      <c r="H83" s="241">
        <f>IFERROR(IF(D83="SINAPI-S",VLOOKUP(B83,'20-B.SINAPI-S'!A:J,5,0),IF(D83="SINAPI-I",VLOOKUP(B83,'20-A.SINAPI-I'!A:G,6,0),IF(D83="COMPOSIÇÕES",VLOOKUP(B83,'11.COMPOSIÇÕES GERAIS'!B:I,7,0),0))),"Em Elaboração")</f>
        <v>57.43</v>
      </c>
      <c r="I83" s="241">
        <f>IFERROR(IF(D83="SINAPI-S",VLOOKUP(B83,'20-B.SINAPI-S'!A:J,6,0),IF(D83="SINAPI-I",VLOOKUP(B83,'20-A.SINAPI-I'!A:G,7,0),IF(D83="COMPOSIÇÕES",VLOOKUP(B83,'11.COMPOSIÇÕES GERAIS'!B:I,8,0),VLOOKUP(B83,'12.COT.MERCADO'!A:I,8,0)))),"Em Elaboração")</f>
        <v>79.27</v>
      </c>
      <c r="J83" s="241">
        <f t="shared" si="13"/>
        <v>67.41839617</v>
      </c>
      <c r="K83" s="241">
        <f t="shared" si="14"/>
        <v>92.85169256</v>
      </c>
      <c r="L83" s="241">
        <f t="shared" si="15"/>
        <v>160.2700887</v>
      </c>
      <c r="M83" s="241">
        <f t="shared" si="16"/>
        <v>67.41839617</v>
      </c>
      <c r="N83" s="241">
        <f t="shared" si="17"/>
        <v>92.85169256</v>
      </c>
      <c r="O83" s="241">
        <f t="shared" si="18"/>
        <v>160.2700887</v>
      </c>
      <c r="P83" s="242">
        <f t="shared" si="3"/>
        <v>0.0005139812233</v>
      </c>
    </row>
    <row r="84">
      <c r="A84" s="236" t="s">
        <v>291</v>
      </c>
      <c r="B84" s="237">
        <f>VLOOKUP(A84,'Planilha_Sintética_Geral'!A:P,2,0)</f>
        <v>97600</v>
      </c>
      <c r="C84" s="238" t="str">
        <f t="shared" si="12"/>
        <v>SINAPI</v>
      </c>
      <c r="D84" s="238" t="s">
        <v>218</v>
      </c>
      <c r="E84" s="239" t="str">
        <f>IFERROR(IF(D84="SINAPI-S",VLOOKUP(B84,'20-B.SINAPI-S'!A:J,2,0),IF(D84="SINAPI-I",VLOOKUP(B84,'20-A.SINAPI-I'!A:G,2,0),IF(D84="COMPOSIÇÕES",VLOOKUP(B84,'11.COMPOSIÇÕES GERAIS'!B:I,2,0),VLOOKUP(B84,'12.COT.MERCADO'!A:I,2,0)))),"Em Elaboração")</f>
        <v>REFLETOR EM ALUMÍNIO, DE SUPORTE E ALÇA, COM 1 LÂMPADA VAPOR DE MERCÚRIO DE 125 W, COM REATOR ALTO FATOR DE POTÊNCIA - FORNECIMENTO E INSTALAÇÃO. AF_02/2020</v>
      </c>
      <c r="F84" s="240" t="str">
        <f>IFERROR(IF(D84="SINAPI-S",VLOOKUP(B84,'20-B.SINAPI-S'!A:J,3,0),IF(D84="SINAPI-I",VLOOKUP(B84,'20-A.SINAPI-I'!A:G,3,0),IF(D84="COMPOSIÇÕES",VLOOKUP(B84,'11.COMPOSIÇÕES GERAIS'!B:I,3,0),VLOOKUP(B84,'12.COT.MERCADO'!A:I,7,0)))),"Em Elaboração")</f>
        <v>UN</v>
      </c>
      <c r="G84" s="244">
        <f>VLOOKUP(A84,'Planilha_Sintética_Geral'!A:O,7,0)</f>
        <v>3</v>
      </c>
      <c r="H84" s="241">
        <f>IFERROR(IF(D84="SINAPI-S",VLOOKUP(B84,'20-B.SINAPI-S'!A:J,5,0),IF(D84="SINAPI-I",VLOOKUP(B84,'20-A.SINAPI-I'!A:G,6,0),IF(D84="COMPOSIÇÕES",VLOOKUP(B84,'11.COMPOSIÇÕES GERAIS'!B:I,7,0),0))),"Em Elaboração")</f>
        <v>13.76</v>
      </c>
      <c r="I84" s="241">
        <f>IFERROR(IF(D84="SINAPI-S",VLOOKUP(B84,'20-B.SINAPI-S'!A:J,6,0),IF(D84="SINAPI-I",VLOOKUP(B84,'20-A.SINAPI-I'!A:G,7,0),IF(D84="COMPOSIÇÕES",VLOOKUP(B84,'11.COMPOSIÇÕES GERAIS'!B:I,8,0),VLOOKUP(B84,'12.COT.MERCADO'!A:I,8,0)))),"Em Elaboração")</f>
        <v>306.58</v>
      </c>
      <c r="J84" s="241">
        <f t="shared" si="13"/>
        <v>16.15318007</v>
      </c>
      <c r="K84" s="241">
        <f t="shared" si="14"/>
        <v>359.1077571</v>
      </c>
      <c r="L84" s="241">
        <f t="shared" si="15"/>
        <v>375.2609372</v>
      </c>
      <c r="M84" s="241">
        <f t="shared" si="16"/>
        <v>48.4595402</v>
      </c>
      <c r="N84" s="241">
        <f t="shared" si="17"/>
        <v>1077.323271</v>
      </c>
      <c r="O84" s="241">
        <f t="shared" si="18"/>
        <v>1125.782812</v>
      </c>
      <c r="P84" s="242">
        <f t="shared" si="3"/>
        <v>0.003610350698</v>
      </c>
    </row>
    <row r="85">
      <c r="A85" s="236" t="s">
        <v>292</v>
      </c>
      <c r="B85" s="237">
        <f>VLOOKUP(A85,'Planilha_Sintética_Geral'!A:P,2,0)</f>
        <v>99818</v>
      </c>
      <c r="C85" s="238" t="str">
        <f t="shared" si="12"/>
        <v>SINAPI</v>
      </c>
      <c r="D85" s="238" t="s">
        <v>218</v>
      </c>
      <c r="E85" s="239" t="str">
        <f>IFERROR(IF(D85="SINAPI-S",VLOOKUP(B85,'20-B.SINAPI-S'!A:J,2,0),IF(D85="SINAPI-I",VLOOKUP(B85,'20-A.SINAPI-I'!A:G,2,0),IF(D85="COMPOSIÇÕES",VLOOKUP(B85,'11.COMPOSIÇÕES GERAIS'!B:I,2,0),VLOOKUP(B85,'12.COT.MERCADO'!A:I,2,0)))),"Em Elaboração")</f>
        <v>LIMPEZA DE BACIA SANITÁRIA, BIDÊ OU MICTÓRIO EM LOUÇA, INCLUSIVE METAIS CORRESPONDENTES. AF_04/2019</v>
      </c>
      <c r="F85" s="240" t="str">
        <f>IFERROR(IF(D85="SINAPI-S",VLOOKUP(B85,'20-B.SINAPI-S'!A:J,3,0),IF(D85="SINAPI-I",VLOOKUP(B85,'20-A.SINAPI-I'!A:G,3,0),IF(D85="COMPOSIÇÕES",VLOOKUP(B85,'11.COMPOSIÇÕES GERAIS'!B:I,3,0),VLOOKUP(B85,'12.COT.MERCADO'!A:I,7,0)))),"Em Elaboração")</f>
        <v>UN</v>
      </c>
      <c r="G85" s="244">
        <f>VLOOKUP(A85,'Planilha_Sintética_Geral'!A:O,7,0)</f>
        <v>1</v>
      </c>
      <c r="H85" s="241">
        <f>IFERROR(IF(D85="SINAPI-S",VLOOKUP(B85,'20-B.SINAPI-S'!A:J,5,0),IF(D85="SINAPI-I",VLOOKUP(B85,'20-A.SINAPI-I'!A:G,6,0),IF(D85="COMPOSIÇÕES",VLOOKUP(B85,'11.COMPOSIÇÕES GERAIS'!B:I,7,0),0))),"Em Elaboração")</f>
        <v>2.16</v>
      </c>
      <c r="I85" s="241">
        <f>IFERROR(IF(D85="SINAPI-S",VLOOKUP(B85,'20-B.SINAPI-S'!A:J,6,0),IF(D85="SINAPI-I",VLOOKUP(B85,'20-A.SINAPI-I'!A:G,7,0),IF(D85="COMPOSIÇÕES",VLOOKUP(B85,'11.COMPOSIÇÕES GERAIS'!B:I,8,0),VLOOKUP(B85,'12.COT.MERCADO'!A:I,8,0)))),"Em Elaboração")</f>
        <v>4.12</v>
      </c>
      <c r="J85" s="241">
        <f t="shared" si="13"/>
        <v>2.535673615</v>
      </c>
      <c r="K85" s="241">
        <f t="shared" si="14"/>
        <v>4.825898491</v>
      </c>
      <c r="L85" s="241">
        <f t="shared" si="15"/>
        <v>7.361572106</v>
      </c>
      <c r="M85" s="241">
        <f t="shared" si="16"/>
        <v>2.535673615</v>
      </c>
      <c r="N85" s="241">
        <f t="shared" si="17"/>
        <v>4.825898491</v>
      </c>
      <c r="O85" s="241">
        <f t="shared" si="18"/>
        <v>7.361572106</v>
      </c>
      <c r="P85" s="242">
        <f t="shared" si="3"/>
        <v>0.00002360833432</v>
      </c>
    </row>
    <row r="86">
      <c r="A86" s="236" t="s">
        <v>293</v>
      </c>
      <c r="B86" s="237" t="str">
        <f>VLOOKUP(A86,'Planilha_Sintética_Geral'!A:P,2,0)</f>
        <v>MAN_PR_019</v>
      </c>
      <c r="C86" s="238" t="str">
        <f t="shared" si="12"/>
        <v>PRÓPRIO</v>
      </c>
      <c r="D86" s="243" t="s">
        <v>230</v>
      </c>
      <c r="E86" s="239" t="str">
        <f>IFERROR(IF(D86="SINAPI-S",VLOOKUP(B86,'20-B.SINAPI-S'!A:J,2,0),IF(D86="SINAPI-I",VLOOKUP(B86,'20-A.SINAPI-I'!A:G,2,0),IF(D86="COMPOSIÇÕES",VLOOKUP(B86,'11.COMPOSIÇÕES GERAIS'!B:I,2,0),VLOOKUP(B86,'12.COT.MERCADO'!A:I,2,0)))),"Em Elaboração")</f>
        <v>DESENTUPIMENTO E LIMPEZA DE BACIAS SANITÁRIAS</v>
      </c>
      <c r="F86" s="240" t="str">
        <f>IFERROR(IF(D86="SINAPI-S",VLOOKUP(B86,'20-B.SINAPI-S'!A:J,3,0),IF(D86="SINAPI-I",VLOOKUP(B86,'20-A.SINAPI-I'!A:G,3,0),IF(D86="COMPOSIÇÕES",VLOOKUP(B86,'11.COMPOSIÇÕES GERAIS'!B:I,3,0),VLOOKUP(B86,'12.COT.MERCADO'!A:I,7,0)))),"Em Elaboração")</f>
        <v>UN</v>
      </c>
      <c r="G86" s="244">
        <f>VLOOKUP(A86,'Planilha_Sintética_Geral'!A:O,7,0)</f>
        <v>3</v>
      </c>
      <c r="H86" s="241">
        <f>IFERROR(IF(D86="SINAPI-S",VLOOKUP(B86,'20-B.SINAPI-S'!A:J,5,0),IF(D86="SINAPI-I",VLOOKUP(B86,'20-A.SINAPI-I'!A:G,6,0),IF(D86="COMPOSIÇÕES",VLOOKUP(B86,'11.COMPOSIÇÕES GERAIS'!B:I,7,0),0))),"Em Elaboração")</f>
        <v>10.452</v>
      </c>
      <c r="I86" s="241">
        <f>IFERROR(IF(D86="SINAPI-S",VLOOKUP(B86,'20-B.SINAPI-S'!A:J,6,0),IF(D86="SINAPI-I",VLOOKUP(B86,'20-A.SINAPI-I'!A:G,7,0),IF(D86="COMPOSIÇÕES",VLOOKUP(B86,'11.COMPOSIÇÕES GERAIS'!B:I,8,0),VLOOKUP(B86,'12.COT.MERCADO'!A:I,8,0)))),"Em Elaboração")</f>
        <v>4.62</v>
      </c>
      <c r="J86" s="241">
        <f t="shared" si="13"/>
        <v>12.26984288</v>
      </c>
      <c r="K86" s="241">
        <f t="shared" si="14"/>
        <v>5.411565783</v>
      </c>
      <c r="L86" s="241">
        <f t="shared" si="15"/>
        <v>17.68140867</v>
      </c>
      <c r="M86" s="241">
        <f t="shared" si="16"/>
        <v>36.80952865</v>
      </c>
      <c r="N86" s="241">
        <f t="shared" si="17"/>
        <v>16.23469735</v>
      </c>
      <c r="O86" s="241">
        <f t="shared" si="18"/>
        <v>53.044226</v>
      </c>
      <c r="P86" s="242">
        <f t="shared" si="3"/>
        <v>0.0001701111941</v>
      </c>
    </row>
    <row r="87">
      <c r="A87" s="236" t="s">
        <v>294</v>
      </c>
      <c r="B87" s="237">
        <f>VLOOKUP(A87,'Planilha_Sintética_Geral'!A:P,2,0)</f>
        <v>91795</v>
      </c>
      <c r="C87" s="238" t="str">
        <f t="shared" si="12"/>
        <v>SINAPI</v>
      </c>
      <c r="D87" s="238" t="s">
        <v>218</v>
      </c>
      <c r="E87" s="239" t="str">
        <f>IFERROR(IF(D87="SINAPI-S",VLOOKUP(B87,'20-B.SINAPI-S'!A:J,2,0),IF(D87="SINAPI-I",VLOOKUP(B87,'20-A.SINAPI-I'!A:G,2,0),IF(D87="COMPOSIÇÕES",VLOOKUP(B87,'11.COMPOSIÇÕES GERAIS'!B:I,2,0),VLOOKUP(B87,'12.COT.MERCADO'!A:I,2,0)))),"Em Elaboração")</f>
        <v>(COMPOSIÇÃO REPRESENTATIVA) DO SERVIÇO DE INST. TUBO PVC, SÉRIE N, ESGOTO PREDIAL, 100 MM (INST. RAMAL DESCARGA, RAMAL DE ESG. SANIT., PRUMADA ESG. SANIT., VENTILAÇÃO OU SUB-COLETOR AÉREO), INCL. CONEXÕES E CORTES, FIXAÇÕES, P/ PRÉDIOS. AF_10/2015</v>
      </c>
      <c r="F87" s="240" t="str">
        <f>IFERROR(IF(D87="SINAPI-S",VLOOKUP(B87,'20-B.SINAPI-S'!A:J,3,0),IF(D87="SINAPI-I",VLOOKUP(B87,'20-A.SINAPI-I'!A:G,3,0),IF(D87="COMPOSIÇÕES",VLOOKUP(B87,'11.COMPOSIÇÕES GERAIS'!B:I,3,0),VLOOKUP(B87,'12.COT.MERCADO'!A:I,7,0)))),"Em Elaboração")</f>
        <v>M</v>
      </c>
      <c r="G87" s="244">
        <f>VLOOKUP(A87,'Planilha_Sintética_Geral'!A:O,7,0)</f>
        <v>3</v>
      </c>
      <c r="H87" s="241">
        <f>IFERROR(IF(D87="SINAPI-S",VLOOKUP(B87,'20-B.SINAPI-S'!A:J,5,0),IF(D87="SINAPI-I",VLOOKUP(B87,'20-A.SINAPI-I'!A:G,6,0),IF(D87="COMPOSIÇÕES",VLOOKUP(B87,'11.COMPOSIÇÕES GERAIS'!B:I,7,0),0))),"Em Elaboração")</f>
        <v>28.24</v>
      </c>
      <c r="I87" s="241">
        <f>IFERROR(IF(D87="SINAPI-S",VLOOKUP(B87,'20-B.SINAPI-S'!A:J,6,0),IF(D87="SINAPI-I",VLOOKUP(B87,'20-A.SINAPI-I'!A:G,7,0),IF(D87="COMPOSIÇÕES",VLOOKUP(B87,'11.COMPOSIÇÕES GERAIS'!B:I,8,0),VLOOKUP(B87,'12.COT.MERCADO'!A:I,8,0)))),"Em Elaboração")</f>
        <v>51.59</v>
      </c>
      <c r="J87" s="241">
        <f t="shared" si="13"/>
        <v>33.15158467</v>
      </c>
      <c r="K87" s="241">
        <f t="shared" si="14"/>
        <v>60.42915125</v>
      </c>
      <c r="L87" s="241">
        <f t="shared" si="15"/>
        <v>93.58073592</v>
      </c>
      <c r="M87" s="241">
        <f t="shared" si="16"/>
        <v>99.45475402</v>
      </c>
      <c r="N87" s="241">
        <f t="shared" si="17"/>
        <v>181.2874537</v>
      </c>
      <c r="O87" s="241">
        <f t="shared" si="18"/>
        <v>280.7422078</v>
      </c>
      <c r="P87" s="242">
        <f t="shared" si="3"/>
        <v>0.0009003315873</v>
      </c>
    </row>
    <row r="88">
      <c r="A88" s="236" t="s">
        <v>295</v>
      </c>
      <c r="B88" s="237">
        <f>VLOOKUP(A88,'Planilha_Sintética_Geral'!A:P,2,0)</f>
        <v>101913</v>
      </c>
      <c r="C88" s="238" t="str">
        <f t="shared" si="12"/>
        <v>SINAPI</v>
      </c>
      <c r="D88" s="238" t="s">
        <v>218</v>
      </c>
      <c r="E88" s="239" t="str">
        <f>IFERROR(IF(D88="SINAPI-S",VLOOKUP(B88,'20-B.SINAPI-S'!A:J,2,0),IF(D88="SINAPI-I",VLOOKUP(B88,'20-A.SINAPI-I'!A:G,2,0),IF(D88="COMPOSIÇÕES",VLOOKUP(B88,'11.COMPOSIÇÕES GERAIS'!B:I,2,0),VLOOKUP(B88,'12.COT.MERCADO'!A:I,2,0)))),"Em Elaboração")</f>
        <v>CAIXA DE INCÊNDIO 45X75X17CM - FORNECIMENTO E INSTALAÇÃO. AF_10/2020</v>
      </c>
      <c r="F88" s="240" t="str">
        <f>IFERROR(IF(D88="SINAPI-S",VLOOKUP(B88,'20-B.SINAPI-S'!A:J,3,0),IF(D88="SINAPI-I",VLOOKUP(B88,'20-A.SINAPI-I'!A:G,3,0),IF(D88="COMPOSIÇÕES",VLOOKUP(B88,'11.COMPOSIÇÕES GERAIS'!B:I,3,0),VLOOKUP(B88,'12.COT.MERCADO'!A:I,7,0)))),"Em Elaboração")</f>
        <v>UN</v>
      </c>
      <c r="G88" s="244">
        <f>VLOOKUP(A88,'Planilha_Sintética_Geral'!A:O,7,0)</f>
        <v>2</v>
      </c>
      <c r="H88" s="241">
        <f>IFERROR(IF(D88="SINAPI-S",VLOOKUP(B88,'20-B.SINAPI-S'!A:J,5,0),IF(D88="SINAPI-I",VLOOKUP(B88,'20-A.SINAPI-I'!A:G,6,0),IF(D88="COMPOSIÇÕES",VLOOKUP(B88,'11.COMPOSIÇÕES GERAIS'!B:I,7,0),0))),"Em Elaboração")</f>
        <v>46.93</v>
      </c>
      <c r="I88" s="241">
        <f>IFERROR(IF(D88="SINAPI-S",VLOOKUP(B88,'20-B.SINAPI-S'!A:J,6,0),IF(D88="SINAPI-I",VLOOKUP(B88,'20-A.SINAPI-I'!A:G,7,0),IF(D88="COMPOSIÇÕES",VLOOKUP(B88,'11.COMPOSIÇÕES GERAIS'!B:I,8,0),VLOOKUP(B88,'12.COT.MERCADO'!A:I,8,0)))),"Em Elaboração")</f>
        <v>381.33</v>
      </c>
      <c r="J88" s="241">
        <f t="shared" si="13"/>
        <v>55.09220498</v>
      </c>
      <c r="K88" s="241">
        <f t="shared" si="14"/>
        <v>446.6650173</v>
      </c>
      <c r="L88" s="241">
        <f t="shared" si="15"/>
        <v>501.7572223</v>
      </c>
      <c r="M88" s="241">
        <f t="shared" si="16"/>
        <v>110.18441</v>
      </c>
      <c r="N88" s="241">
        <f t="shared" si="17"/>
        <v>893.3300347</v>
      </c>
      <c r="O88" s="241">
        <f t="shared" si="18"/>
        <v>1003.514445</v>
      </c>
      <c r="P88" s="242">
        <f t="shared" si="3"/>
        <v>0.003218239822</v>
      </c>
    </row>
    <row r="89">
      <c r="A89" s="236" t="s">
        <v>296</v>
      </c>
      <c r="B89" s="237">
        <f>VLOOKUP(A89,'Planilha_Sintética_Geral'!A:P,2,0)</f>
        <v>11581</v>
      </c>
      <c r="C89" s="238" t="str">
        <f t="shared" si="12"/>
        <v>SINAPI</v>
      </c>
      <c r="D89" s="243" t="s">
        <v>286</v>
      </c>
      <c r="E89" s="239" t="str">
        <f>IFERROR(IF(D89="SINAPI-S",VLOOKUP(B89,'20-B.SINAPI-S'!A:J,2,0),IF(D89="SINAPI-I",VLOOKUP(B89,'20-A.SINAPI-I'!A:G,2,0),IF(D89="COMPOSIÇÕES",VLOOKUP(B89,'11.COMPOSIÇÕES GERAIS'!B:I,2,0),VLOOKUP(B89,'12.COT.MERCADO'!A:I,2,0)))),"Em Elaboração")</f>
        <v>TRILHO PANTOGRAFICO CONCAVO, TIPO U, EM ALUMINIO, COM DIMENSOES DE APROX *35 X 35* MM, PARA ROLDANA DE PORTA DE CORRER</v>
      </c>
      <c r="F89" s="240" t="str">
        <f>IFERROR(IF(D89="SINAPI-S",VLOOKUP(B89,'20-B.SINAPI-S'!A:J,3,0),IF(D89="SINAPI-I",VLOOKUP(B89,'20-A.SINAPI-I'!A:G,3,0),IF(D89="COMPOSIÇÕES",VLOOKUP(B89,'11.COMPOSIÇÕES GERAIS'!B:I,3,0),VLOOKUP(B89,'12.COT.MERCADO'!A:I,7,0)))),"Em Elaboração")</f>
        <v>M</v>
      </c>
      <c r="G89" s="244">
        <f>VLOOKUP(A89,'Planilha_Sintética_Geral'!A:O,7,0)</f>
        <v>1</v>
      </c>
      <c r="H89" s="241">
        <f>IFERROR(IF(D89="SINAPI-S",VLOOKUP(B89,'20-B.SINAPI-S'!A:J,5,0),IF(D89="SINAPI-I",VLOOKUP(B89,'20-A.SINAPI-I'!A:G,6,0),IF(D89="COMPOSIÇÕES",VLOOKUP(B89,'11.COMPOSIÇÕES GERAIS'!B:I,7,0),0))),"Em Elaboração")</f>
        <v>0</v>
      </c>
      <c r="I89" s="241">
        <f>IFERROR(IF(D89="SINAPI-S",VLOOKUP(B89,'20-B.SINAPI-S'!A:J,6,0),IF(D89="SINAPI-I",VLOOKUP(B89,'20-A.SINAPI-I'!A:G,7,0),IF(D89="COMPOSIÇÕES",VLOOKUP(B89,'11.COMPOSIÇÕES GERAIS'!B:I,8,0),VLOOKUP(B89,'12.COT.MERCADO'!A:I,8,0)))),"Em Elaboração")</f>
        <v>20.54</v>
      </c>
      <c r="J89" s="241">
        <f t="shared" si="13"/>
        <v>0</v>
      </c>
      <c r="K89" s="241">
        <f t="shared" si="14"/>
        <v>24.05921238</v>
      </c>
      <c r="L89" s="241">
        <f t="shared" si="15"/>
        <v>24.05921238</v>
      </c>
      <c r="M89" s="241">
        <f t="shared" si="16"/>
        <v>0</v>
      </c>
      <c r="N89" s="241">
        <f t="shared" si="17"/>
        <v>24.05921238</v>
      </c>
      <c r="O89" s="241">
        <f t="shared" si="18"/>
        <v>24.05921238</v>
      </c>
      <c r="P89" s="242">
        <f t="shared" si="3"/>
        <v>0.00007715715084</v>
      </c>
    </row>
    <row r="90">
      <c r="A90" s="236" t="s">
        <v>297</v>
      </c>
      <c r="B90" s="237">
        <f>VLOOKUP(A90,'Planilha_Sintética_Geral'!A:P,2,0)</f>
        <v>100742</v>
      </c>
      <c r="C90" s="238" t="str">
        <f t="shared" si="12"/>
        <v>SINAPI</v>
      </c>
      <c r="D90" s="238" t="s">
        <v>218</v>
      </c>
      <c r="E90" s="239" t="str">
        <f>IFERROR(IF(D90="SINAPI-S",VLOOKUP(B90,'20-B.SINAPI-S'!A:J,2,0),IF(D90="SINAPI-I",VLOOKUP(B90,'20-A.SINAPI-I'!A:G,2,0),IF(D90="COMPOSIÇÕES",VLOOKUP(B90,'11.COMPOSIÇÕES GERAIS'!B:I,2,0),VLOOKUP(B90,'12.COT.MERCADO'!A:I,2,0)))),"Em Elaboração")</f>
        <v>PINTURA COM TINTA ALQUÍDICA DE ACABAMENTO (ESMALTE SINTÉTICO ACETINADO) APLICADA A ROLO OU PINCEL SOBRE SUPERFÍCIES METÁLICAS (EXCETO PERFIL) EXECUTADO EM OBRA (POR DEMÃO). AF_01/2020</v>
      </c>
      <c r="F90" s="240" t="str">
        <f>IFERROR(IF(D90="SINAPI-S",VLOOKUP(B90,'20-B.SINAPI-S'!A:J,3,0),IF(D90="SINAPI-I",VLOOKUP(B90,'20-A.SINAPI-I'!A:G,3,0),IF(D90="COMPOSIÇÕES",VLOOKUP(B90,'11.COMPOSIÇÕES GERAIS'!B:I,3,0),VLOOKUP(B90,'12.COT.MERCADO'!A:I,7,0)))),"Em Elaboração")</f>
        <v>M2</v>
      </c>
      <c r="G90" s="244">
        <f>VLOOKUP(A90,'Planilha_Sintética_Geral'!A:O,7,0)</f>
        <v>44</v>
      </c>
      <c r="H90" s="241">
        <f>IFERROR(IF(D90="SINAPI-S",VLOOKUP(B90,'20-B.SINAPI-S'!A:J,5,0),IF(D90="SINAPI-I",VLOOKUP(B90,'20-A.SINAPI-I'!A:G,6,0),IF(D90="COMPOSIÇÕES",VLOOKUP(B90,'11.COMPOSIÇÕES GERAIS'!B:I,7,0),0))),"Em Elaboração")</f>
        <v>16.65</v>
      </c>
      <c r="I90" s="241">
        <f>IFERROR(IF(D90="SINAPI-S",VLOOKUP(B90,'20-B.SINAPI-S'!A:J,6,0),IF(D90="SINAPI-I",VLOOKUP(B90,'20-A.SINAPI-I'!A:G,7,0),IF(D90="COMPOSIÇÕES",VLOOKUP(B90,'11.COMPOSIÇÕES GERAIS'!B:I,8,0),VLOOKUP(B90,'12.COT.MERCADO'!A:I,8,0)))),"Em Elaboração")</f>
        <v>11.47</v>
      </c>
      <c r="J90" s="241">
        <f t="shared" si="13"/>
        <v>19.54581745</v>
      </c>
      <c r="K90" s="241">
        <f t="shared" si="14"/>
        <v>13.43520769</v>
      </c>
      <c r="L90" s="241">
        <f t="shared" si="15"/>
        <v>32.98102514</v>
      </c>
      <c r="M90" s="241">
        <f t="shared" si="16"/>
        <v>860.0159678</v>
      </c>
      <c r="N90" s="241">
        <f t="shared" si="17"/>
        <v>591.1491384</v>
      </c>
      <c r="O90" s="241">
        <f t="shared" si="18"/>
        <v>1451.165106</v>
      </c>
      <c r="P90" s="242">
        <f t="shared" si="3"/>
        <v>0.004653841665</v>
      </c>
    </row>
    <row r="91">
      <c r="A91" s="236" t="s">
        <v>298</v>
      </c>
      <c r="B91" s="237">
        <f>VLOOKUP(A91,'Planilha_Sintética_Geral'!A:P,2,0)</f>
        <v>38179</v>
      </c>
      <c r="C91" s="238" t="str">
        <f t="shared" si="12"/>
        <v>SINAPI</v>
      </c>
      <c r="D91" s="243" t="s">
        <v>286</v>
      </c>
      <c r="E91" s="239" t="str">
        <f>IFERROR(IF(D91="SINAPI-S",VLOOKUP(B91,'20-B.SINAPI-S'!A:J,2,0),IF(D91="SINAPI-I",VLOOKUP(B91,'20-A.SINAPI-I'!A:G,2,0),IF(D91="COMPOSIÇÕES",VLOOKUP(B91,'11.COMPOSIÇÕES GERAIS'!B:I,2,0),VLOOKUP(B91,'12.COT.MERCADO'!A:I,2,0)))),"Em Elaboração")</f>
        <v>ROLDANA CONCAVA DUPLA, 4 RODAS, PARA PORTA DE CORRER, EM ZAMAC COM CHAPA DE ACO,  ROLAMENTO INTERNO BLINDADO DE ACO REVESTIDO EM NYLON</v>
      </c>
      <c r="F91" s="240" t="str">
        <f>IFERROR(IF(D91="SINAPI-S",VLOOKUP(B91,'20-B.SINAPI-S'!A:J,3,0),IF(D91="SINAPI-I",VLOOKUP(B91,'20-A.SINAPI-I'!A:G,3,0),IF(D91="COMPOSIÇÕES",VLOOKUP(B91,'11.COMPOSIÇÕES GERAIS'!B:I,3,0),VLOOKUP(B91,'12.COT.MERCADO'!A:I,7,0)))),"Em Elaboração")</f>
        <v>UN</v>
      </c>
      <c r="G91" s="244">
        <f>VLOOKUP(A91,'Planilha_Sintética_Geral'!A:O,7,0)</f>
        <v>2</v>
      </c>
      <c r="H91" s="241">
        <f>IFERROR(IF(D91="SINAPI-S",VLOOKUP(B91,'20-B.SINAPI-S'!A:J,5,0),IF(D91="SINAPI-I",VLOOKUP(B91,'20-A.SINAPI-I'!A:G,6,0),IF(D91="COMPOSIÇÕES",VLOOKUP(B91,'11.COMPOSIÇÕES GERAIS'!B:I,7,0),0))),"Em Elaboração")</f>
        <v>0</v>
      </c>
      <c r="I91" s="241">
        <f>IFERROR(IF(D91="SINAPI-S",VLOOKUP(B91,'20-B.SINAPI-S'!A:J,6,0),IF(D91="SINAPI-I",VLOOKUP(B91,'20-A.SINAPI-I'!A:G,7,0),IF(D91="COMPOSIÇÕES",VLOOKUP(B91,'11.COMPOSIÇÕES GERAIS'!B:I,8,0),VLOOKUP(B91,'12.COT.MERCADO'!A:I,8,0)))),"Em Elaboração")</f>
        <v>46.32</v>
      </c>
      <c r="J91" s="241">
        <f t="shared" si="13"/>
        <v>0</v>
      </c>
      <c r="K91" s="241">
        <f t="shared" si="14"/>
        <v>54.25621798</v>
      </c>
      <c r="L91" s="241">
        <f t="shared" si="15"/>
        <v>54.25621798</v>
      </c>
      <c r="M91" s="241">
        <f t="shared" si="16"/>
        <v>0</v>
      </c>
      <c r="N91" s="241">
        <f t="shared" si="17"/>
        <v>108.512436</v>
      </c>
      <c r="O91" s="241">
        <f t="shared" si="18"/>
        <v>108.512436</v>
      </c>
      <c r="P91" s="242">
        <f t="shared" si="3"/>
        <v>0.0003479960299</v>
      </c>
    </row>
    <row r="92">
      <c r="A92" s="236" t="s">
        <v>299</v>
      </c>
      <c r="B92" s="237" t="str">
        <f>VLOOKUP(A92,'Planilha_Sintética_Geral'!A:P,2,0)</f>
        <v>MAN_PR_020</v>
      </c>
      <c r="C92" s="238" t="str">
        <f t="shared" si="12"/>
        <v>PRÓPRIO</v>
      </c>
      <c r="D92" s="243" t="s">
        <v>230</v>
      </c>
      <c r="E92" s="239" t="str">
        <f>IFERROR(IF(D92="SINAPI-S",VLOOKUP(B92,'20-B.SINAPI-S'!A:J,2,0),IF(D92="SINAPI-I",VLOOKUP(B92,'20-A.SINAPI-I'!A:G,2,0),IF(D92="COMPOSIÇÕES",VLOOKUP(B92,'11.COMPOSIÇÕES GERAIS'!B:I,2,0),VLOOKUP(B92,'12.COT.MERCADO'!A:I,2,0)))),"Em Elaboração")</f>
        <v>TESTE, LIMPEZA E REAPERTO DOS COMPONENTES PARA QUADROS DE DISTRIBUIÇÃO ATÉ 64 CIRCUITOS</v>
      </c>
      <c r="F92" s="240" t="str">
        <f>IFERROR(IF(D92="SINAPI-S",VLOOKUP(B92,'20-B.SINAPI-S'!A:J,3,0),IF(D92="SINAPI-I",VLOOKUP(B92,'20-A.SINAPI-I'!A:G,3,0),IF(D92="COMPOSIÇÕES",VLOOKUP(B92,'11.COMPOSIÇÕES GERAIS'!B:I,3,0),VLOOKUP(B92,'12.COT.MERCADO'!A:I,7,0)))),"Em Elaboração")</f>
        <v>UN</v>
      </c>
      <c r="G92" s="244">
        <f>VLOOKUP(A92,'Planilha_Sintética_Geral'!A:O,7,0)</f>
        <v>6</v>
      </c>
      <c r="H92" s="241">
        <f>IFERROR(IF(D92="SINAPI-S",VLOOKUP(B92,'20-B.SINAPI-S'!A:J,5,0),IF(D92="SINAPI-I",VLOOKUP(B92,'20-A.SINAPI-I'!A:G,6,0),IF(D92="COMPOSIÇÕES",VLOOKUP(B92,'11.COMPOSIÇÕES GERAIS'!B:I,7,0),0))),"Em Elaboração")</f>
        <v>265.74</v>
      </c>
      <c r="I92" s="241">
        <f>IFERROR(IF(D92="SINAPI-S",VLOOKUP(B92,'20-B.SINAPI-S'!A:J,6,0),IF(D92="SINAPI-I",VLOOKUP(B92,'20-A.SINAPI-I'!A:G,7,0),IF(D92="COMPOSIÇÕES",VLOOKUP(B92,'11.COMPOSIÇÕES GERAIS'!B:I,8,0),VLOOKUP(B92,'12.COT.MERCADO'!A:I,8,0)))),"Em Elaboração")</f>
        <v>94.32</v>
      </c>
      <c r="J92" s="241">
        <f t="shared" si="13"/>
        <v>311.95829</v>
      </c>
      <c r="K92" s="241">
        <f t="shared" si="14"/>
        <v>110.4802781</v>
      </c>
      <c r="L92" s="241">
        <f t="shared" si="15"/>
        <v>422.4385681</v>
      </c>
      <c r="M92" s="241">
        <f t="shared" si="16"/>
        <v>1871.74974</v>
      </c>
      <c r="N92" s="241">
        <f t="shared" si="17"/>
        <v>662.8816684</v>
      </c>
      <c r="O92" s="241">
        <f t="shared" si="18"/>
        <v>2534.631409</v>
      </c>
      <c r="P92" s="242">
        <f t="shared" si="3"/>
        <v>0.008128484625</v>
      </c>
    </row>
    <row r="93">
      <c r="A93" s="236" t="s">
        <v>300</v>
      </c>
      <c r="B93" s="237">
        <f>VLOOKUP(A93,'Planilha_Sintética_Geral'!A:P,2,0)</f>
        <v>100858</v>
      </c>
      <c r="C93" s="238" t="str">
        <f t="shared" si="12"/>
        <v>SINAPI</v>
      </c>
      <c r="D93" s="238" t="s">
        <v>218</v>
      </c>
      <c r="E93" s="239" t="str">
        <f>IFERROR(IF(D93="SINAPI-S",VLOOKUP(B93,'20-B.SINAPI-S'!A:J,2,0),IF(D93="SINAPI-I",VLOOKUP(B93,'20-A.SINAPI-I'!A:G,2,0),IF(D93="COMPOSIÇÕES",VLOOKUP(B93,'11.COMPOSIÇÕES GERAIS'!B:I,2,0),VLOOKUP(B93,'12.COT.MERCADO'!A:I,2,0)))),"Em Elaboração")</f>
        <v>MICTÓRIO SIFONADO LOUÇA BRANCA _x0096_ PADRÃO MÉDIO _x0096_ FORNECIMENTO E INSTALAÇÃO. AF_01/2020</v>
      </c>
      <c r="F93" s="240" t="str">
        <f>IFERROR(IF(D93="SINAPI-S",VLOOKUP(B93,'20-B.SINAPI-S'!A:J,3,0),IF(D93="SINAPI-I",VLOOKUP(B93,'20-A.SINAPI-I'!A:G,3,0),IF(D93="COMPOSIÇÕES",VLOOKUP(B93,'11.COMPOSIÇÕES GERAIS'!B:I,3,0),VLOOKUP(B93,'12.COT.MERCADO'!A:I,7,0)))),"Em Elaboração")</f>
        <v>UN</v>
      </c>
      <c r="G93" s="244">
        <f>VLOOKUP(A93,'Planilha_Sintética_Geral'!A:O,7,0)</f>
        <v>1</v>
      </c>
      <c r="H93" s="241">
        <f>IFERROR(IF(D93="SINAPI-S",VLOOKUP(B93,'20-B.SINAPI-S'!A:J,5,0),IF(D93="SINAPI-I",VLOOKUP(B93,'20-A.SINAPI-I'!A:G,6,0),IF(D93="COMPOSIÇÕES",VLOOKUP(B93,'11.COMPOSIÇÕES GERAIS'!B:I,7,0),0))),"Em Elaboração")</f>
        <v>30.34</v>
      </c>
      <c r="I93" s="241">
        <f>IFERROR(IF(D93="SINAPI-S",VLOOKUP(B93,'20-B.SINAPI-S'!A:J,6,0),IF(D93="SINAPI-I",VLOOKUP(B93,'20-A.SINAPI-I'!A:G,7,0),IF(D93="COMPOSIÇÕES",VLOOKUP(B93,'11.COMPOSIÇÕES GERAIS'!B:I,8,0),VLOOKUP(B93,'12.COT.MERCADO'!A:I,8,0)))),"Em Elaboração")</f>
        <v>673.46</v>
      </c>
      <c r="J93" s="241">
        <f t="shared" si="13"/>
        <v>35.61682291</v>
      </c>
      <c r="K93" s="241">
        <f t="shared" si="14"/>
        <v>788.8469897</v>
      </c>
      <c r="L93" s="241">
        <f t="shared" si="15"/>
        <v>824.4638126</v>
      </c>
      <c r="M93" s="241">
        <f t="shared" si="16"/>
        <v>35.61682291</v>
      </c>
      <c r="N93" s="241">
        <f t="shared" si="17"/>
        <v>788.8469897</v>
      </c>
      <c r="O93" s="241">
        <f t="shared" si="18"/>
        <v>824.4638126</v>
      </c>
      <c r="P93" s="242">
        <f t="shared" si="3"/>
        <v>0.002644029977</v>
      </c>
    </row>
    <row r="94">
      <c r="A94" s="236" t="s">
        <v>301</v>
      </c>
      <c r="B94" s="237">
        <f>VLOOKUP(A94,'Planilha_Sintética_Geral'!A:P,2,0)</f>
        <v>94213</v>
      </c>
      <c r="C94" s="238" t="str">
        <f t="shared" si="12"/>
        <v>SINAPI</v>
      </c>
      <c r="D94" s="238" t="s">
        <v>218</v>
      </c>
      <c r="E94" s="239" t="str">
        <f>IFERROR(IF(D94="SINAPI-S",VLOOKUP(B94,'20-B.SINAPI-S'!A:J,2,0),IF(D94="SINAPI-I",VLOOKUP(B94,'20-A.SINAPI-I'!A:G,2,0),IF(D94="COMPOSIÇÕES",VLOOKUP(B94,'11.COMPOSIÇÕES GERAIS'!B:I,2,0),VLOOKUP(B94,'12.COT.MERCADO'!A:I,2,0)))),"Em Elaboração")</f>
        <v>TELHAMENTO COM TELHA DE AÇO/ALUMÍNIO E = 0,5 MM, COM ATÉ 2 ÁGUAS, INCLUSO IÇAMENTO. AF_07/2019</v>
      </c>
      <c r="F94" s="240" t="str">
        <f>IFERROR(IF(D94="SINAPI-S",VLOOKUP(B94,'20-B.SINAPI-S'!A:J,3,0),IF(D94="SINAPI-I",VLOOKUP(B94,'20-A.SINAPI-I'!A:G,3,0),IF(D94="COMPOSIÇÕES",VLOOKUP(B94,'11.COMPOSIÇÕES GERAIS'!B:I,3,0),VLOOKUP(B94,'12.COT.MERCADO'!A:I,7,0)))),"Em Elaboração")</f>
        <v>M2</v>
      </c>
      <c r="G94" s="244">
        <f>VLOOKUP(A94,'Planilha_Sintética_Geral'!A:O,7,0)</f>
        <v>2</v>
      </c>
      <c r="H94" s="241">
        <f>IFERROR(IF(D94="SINAPI-S",VLOOKUP(B94,'20-B.SINAPI-S'!A:J,5,0),IF(D94="SINAPI-I",VLOOKUP(B94,'20-A.SINAPI-I'!A:G,6,0),IF(D94="COMPOSIÇÕES",VLOOKUP(B94,'11.COMPOSIÇÕES GERAIS'!B:I,7,0),0))),"Em Elaboração")</f>
        <v>3.9</v>
      </c>
      <c r="I94" s="241">
        <f>IFERROR(IF(D94="SINAPI-S",VLOOKUP(B94,'20-B.SINAPI-S'!A:J,6,0),IF(D94="SINAPI-I",VLOOKUP(B94,'20-A.SINAPI-I'!A:G,7,0),IF(D94="COMPOSIÇÕES",VLOOKUP(B94,'11.COMPOSIÇÕES GERAIS'!B:I,8,0),VLOOKUP(B94,'12.COT.MERCADO'!A:I,8,0)))),"Em Elaboração")</f>
        <v>70.85</v>
      </c>
      <c r="J94" s="241">
        <f t="shared" si="13"/>
        <v>4.578299583</v>
      </c>
      <c r="K94" s="241">
        <f t="shared" si="14"/>
        <v>82.98905536</v>
      </c>
      <c r="L94" s="241">
        <f t="shared" si="15"/>
        <v>87.56735494</v>
      </c>
      <c r="M94" s="241">
        <f t="shared" si="16"/>
        <v>9.156599166</v>
      </c>
      <c r="N94" s="241">
        <f t="shared" si="17"/>
        <v>165.9781107</v>
      </c>
      <c r="O94" s="241">
        <f t="shared" si="18"/>
        <v>175.1347099</v>
      </c>
      <c r="P94" s="242">
        <f t="shared" si="3"/>
        <v>0.0005616516041</v>
      </c>
    </row>
    <row r="95">
      <c r="A95" s="236" t="s">
        <v>302</v>
      </c>
      <c r="B95" s="237">
        <f>VLOOKUP(A95,'Planilha_Sintética_Geral'!A:P,2,0)</f>
        <v>91785</v>
      </c>
      <c r="C95" s="238" t="str">
        <f t="shared" si="12"/>
        <v>SINAPI</v>
      </c>
      <c r="D95" s="238" t="s">
        <v>218</v>
      </c>
      <c r="E95" s="239" t="str">
        <f>IFERROR(IF(D95="SINAPI-S",VLOOKUP(B95,'20-B.SINAPI-S'!A:J,2,0),IF(D95="SINAPI-I",VLOOKUP(B95,'20-A.SINAPI-I'!A:G,2,0),IF(D95="COMPOSIÇÕES",VLOOKUP(B95,'11.COMPOSIÇÕES GERAIS'!B:I,2,0),VLOOKUP(B95,'12.COT.MERCADO'!A:I,2,0)))),"Em Elaboração")</f>
        <v>(COMPOSIÇÃO REPRESENTATIVA) DO SERVIÇO DE INSTALAÇÃO DE TUBOS DE PVC, SOLDÁVEL, ÁGUA FRIA, DN 25 MM (INSTALADO EM RAMAL, SUB-RAMAL, RAMAL DE DISTRIBUIÇÃO OU PRUMADA), INCLUSIVE CONEXÕES, CORTES E FIXAÇÕES, PARA PRÉDIOS. AF_10/2015</v>
      </c>
      <c r="F95" s="240" t="str">
        <f>IFERROR(IF(D95="SINAPI-S",VLOOKUP(B95,'20-B.SINAPI-S'!A:J,3,0),IF(D95="SINAPI-I",VLOOKUP(B95,'20-A.SINAPI-I'!A:G,3,0),IF(D95="COMPOSIÇÕES",VLOOKUP(B95,'11.COMPOSIÇÕES GERAIS'!B:I,3,0),VLOOKUP(B95,'12.COT.MERCADO'!A:I,7,0)))),"Em Elaboração")</f>
        <v>M</v>
      </c>
      <c r="G95" s="244">
        <f>VLOOKUP(A95,'Planilha_Sintética_Geral'!A:O,7,0)</f>
        <v>2</v>
      </c>
      <c r="H95" s="241">
        <f>IFERROR(IF(D95="SINAPI-S",VLOOKUP(B95,'20-B.SINAPI-S'!A:J,5,0),IF(D95="SINAPI-I",VLOOKUP(B95,'20-A.SINAPI-I'!A:G,6,0),IF(D95="COMPOSIÇÕES",VLOOKUP(B95,'11.COMPOSIÇÕES GERAIS'!B:I,7,0),0))),"Em Elaboração")</f>
        <v>31.14</v>
      </c>
      <c r="I95" s="241">
        <f>IFERROR(IF(D95="SINAPI-S",VLOOKUP(B95,'20-B.SINAPI-S'!A:J,6,0),IF(D95="SINAPI-I",VLOOKUP(B95,'20-A.SINAPI-I'!A:G,7,0),IF(D95="COMPOSIÇÕES",VLOOKUP(B95,'11.COMPOSIÇÕES GERAIS'!B:I,8,0),VLOOKUP(B95,'12.COT.MERCADO'!A:I,8,0)))),"Em Elaboração")</f>
        <v>20.76</v>
      </c>
      <c r="J95" s="241">
        <f t="shared" si="13"/>
        <v>36.55596129</v>
      </c>
      <c r="K95" s="241">
        <f t="shared" si="14"/>
        <v>24.31690599</v>
      </c>
      <c r="L95" s="241">
        <f t="shared" si="15"/>
        <v>60.87286727</v>
      </c>
      <c r="M95" s="241">
        <f t="shared" si="16"/>
        <v>73.11192257</v>
      </c>
      <c r="N95" s="241">
        <f t="shared" si="17"/>
        <v>48.63381197</v>
      </c>
      <c r="O95" s="241">
        <f t="shared" si="18"/>
        <v>121.7457345</v>
      </c>
      <c r="P95" s="242">
        <f t="shared" si="3"/>
        <v>0.0003904348096</v>
      </c>
    </row>
    <row r="96">
      <c r="A96" s="236" t="s">
        <v>303</v>
      </c>
      <c r="B96" s="237">
        <f>VLOOKUP(A96,'Planilha_Sintética_Geral'!A:P,2,0)</f>
        <v>86883</v>
      </c>
      <c r="C96" s="238" t="str">
        <f t="shared" si="12"/>
        <v>SINAPI</v>
      </c>
      <c r="D96" s="238" t="s">
        <v>218</v>
      </c>
      <c r="E96" s="239" t="str">
        <f>IFERROR(IF(D96="SINAPI-S",VLOOKUP(B96,'20-B.SINAPI-S'!A:J,2,0),IF(D96="SINAPI-I",VLOOKUP(B96,'20-A.SINAPI-I'!A:G,2,0),IF(D96="COMPOSIÇÕES",VLOOKUP(B96,'11.COMPOSIÇÕES GERAIS'!B:I,2,0),VLOOKUP(B96,'12.COT.MERCADO'!A:I,2,0)))),"Em Elaboração")</f>
        <v>SIFÃO DO TIPO FLEXÍVEL EM PVC 1  X 1.1/2  - FORNECIMENTO E INSTALAÇÃO. AF_01/2020</v>
      </c>
      <c r="F96" s="240" t="str">
        <f>IFERROR(IF(D96="SINAPI-S",VLOOKUP(B96,'20-B.SINAPI-S'!A:J,3,0),IF(D96="SINAPI-I",VLOOKUP(B96,'20-A.SINAPI-I'!A:G,3,0),IF(D96="COMPOSIÇÕES",VLOOKUP(B96,'11.COMPOSIÇÕES GERAIS'!B:I,3,0),VLOOKUP(B96,'12.COT.MERCADO'!A:I,7,0)))),"Em Elaboração")</f>
        <v>UN</v>
      </c>
      <c r="G96" s="244">
        <f>VLOOKUP(A96,'Planilha_Sintética_Geral'!A:O,7,0)</f>
        <v>12</v>
      </c>
      <c r="H96" s="241">
        <f>IFERROR(IF(D96="SINAPI-S",VLOOKUP(B96,'20-B.SINAPI-S'!A:J,5,0),IF(D96="SINAPI-I",VLOOKUP(B96,'20-A.SINAPI-I'!A:G,6,0),IF(D96="COMPOSIÇÕES",VLOOKUP(B96,'11.COMPOSIÇÕES GERAIS'!B:I,7,0),0))),"Em Elaboração")</f>
        <v>2.52</v>
      </c>
      <c r="I96" s="241">
        <f>IFERROR(IF(D96="SINAPI-S",VLOOKUP(B96,'20-B.SINAPI-S'!A:J,6,0),IF(D96="SINAPI-I",VLOOKUP(B96,'20-A.SINAPI-I'!A:G,7,0),IF(D96="COMPOSIÇÕES",VLOOKUP(B96,'11.COMPOSIÇÕES GERAIS'!B:I,8,0),VLOOKUP(B96,'12.COT.MERCADO'!A:I,8,0)))),"Em Elaboração")</f>
        <v>10.45</v>
      </c>
      <c r="J96" s="241">
        <f t="shared" si="13"/>
        <v>2.958285884</v>
      </c>
      <c r="K96" s="241">
        <f t="shared" si="14"/>
        <v>12.24044641</v>
      </c>
      <c r="L96" s="241">
        <f t="shared" si="15"/>
        <v>15.1987323</v>
      </c>
      <c r="M96" s="241">
        <f t="shared" si="16"/>
        <v>35.49943061</v>
      </c>
      <c r="N96" s="241">
        <f t="shared" si="17"/>
        <v>146.885357</v>
      </c>
      <c r="O96" s="241">
        <f t="shared" si="18"/>
        <v>182.3847876</v>
      </c>
      <c r="P96" s="242">
        <f t="shared" si="3"/>
        <v>0.0005849023794</v>
      </c>
    </row>
    <row r="97">
      <c r="A97" s="236" t="s">
        <v>304</v>
      </c>
      <c r="B97" s="237">
        <f>VLOOKUP(A97,'Planilha_Sintética_Geral'!A:P,2,0)</f>
        <v>95248</v>
      </c>
      <c r="C97" s="238" t="str">
        <f t="shared" si="12"/>
        <v>SINAPI</v>
      </c>
      <c r="D97" s="238" t="s">
        <v>218</v>
      </c>
      <c r="E97" s="239" t="str">
        <f>IFERROR(IF(D97="SINAPI-S",VLOOKUP(B97,'20-B.SINAPI-S'!A:J,2,0),IF(D97="SINAPI-I",VLOOKUP(B97,'20-A.SINAPI-I'!A:G,2,0),IF(D97="COMPOSIÇÕES",VLOOKUP(B97,'11.COMPOSIÇÕES GERAIS'!B:I,2,0),VLOOKUP(B97,'12.COT.MERCADO'!A:I,2,0)))),"Em Elaboração")</f>
        <v>VÁLVULA DE ESFERA BRUTA, BRONZE, ROSCÁVEL, 1/2" - FORNECIMENTO E INSTALAÇÃO. AF_08/2021</v>
      </c>
      <c r="F97" s="240" t="str">
        <f>IFERROR(IF(D97="SINAPI-S",VLOOKUP(B97,'20-B.SINAPI-S'!A:J,3,0),IF(D97="SINAPI-I",VLOOKUP(B97,'20-A.SINAPI-I'!A:G,3,0),IF(D97="COMPOSIÇÕES",VLOOKUP(B97,'11.COMPOSIÇÕES GERAIS'!B:I,3,0),VLOOKUP(B97,'12.COT.MERCADO'!A:I,7,0)))),"Em Elaboração")</f>
        <v>UN</v>
      </c>
      <c r="G97" s="244">
        <f>VLOOKUP(A97,'Planilha_Sintética_Geral'!A:O,7,0)</f>
        <v>1</v>
      </c>
      <c r="H97" s="241">
        <f>IFERROR(IF(D97="SINAPI-S",VLOOKUP(B97,'20-B.SINAPI-S'!A:J,5,0),IF(D97="SINAPI-I",VLOOKUP(B97,'20-A.SINAPI-I'!A:G,6,0),IF(D97="COMPOSIÇÕES",VLOOKUP(B97,'11.COMPOSIÇÕES GERAIS'!B:I,7,0),0))),"Em Elaboração")</f>
        <v>3.1</v>
      </c>
      <c r="I97" s="241">
        <f>IFERROR(IF(D97="SINAPI-S",VLOOKUP(B97,'20-B.SINAPI-S'!A:J,6,0),IF(D97="SINAPI-I",VLOOKUP(B97,'20-A.SINAPI-I'!A:G,7,0),IF(D97="COMPOSIÇÕES",VLOOKUP(B97,'11.COMPOSIÇÕES GERAIS'!B:I,8,0),VLOOKUP(B97,'12.COT.MERCADO'!A:I,8,0)))),"Em Elaboração")</f>
        <v>55.91</v>
      </c>
      <c r="J97" s="241">
        <f t="shared" si="13"/>
        <v>3.639161207</v>
      </c>
      <c r="K97" s="241">
        <f t="shared" si="14"/>
        <v>65.48931665</v>
      </c>
      <c r="L97" s="241">
        <f t="shared" si="15"/>
        <v>69.12847786</v>
      </c>
      <c r="M97" s="241">
        <f t="shared" si="16"/>
        <v>3.639161207</v>
      </c>
      <c r="N97" s="241">
        <f t="shared" si="17"/>
        <v>65.48931665</v>
      </c>
      <c r="O97" s="241">
        <f t="shared" si="18"/>
        <v>69.12847786</v>
      </c>
      <c r="P97" s="242">
        <f t="shared" si="3"/>
        <v>0.0002216928929</v>
      </c>
    </row>
    <row r="98">
      <c r="A98" s="236" t="s">
        <v>305</v>
      </c>
      <c r="B98" s="237">
        <f>VLOOKUP(A98,'Planilha_Sintética_Geral'!A:P,2,0)</f>
        <v>87411</v>
      </c>
      <c r="C98" s="238" t="str">
        <f t="shared" si="12"/>
        <v>SINAPI</v>
      </c>
      <c r="D98" s="238" t="s">
        <v>218</v>
      </c>
      <c r="E98" s="239" t="str">
        <f>IFERROR(IF(D98="SINAPI-S",VLOOKUP(B98,'20-B.SINAPI-S'!A:J,2,0),IF(D98="SINAPI-I",VLOOKUP(B98,'20-A.SINAPI-I'!A:G,2,0),IF(D98="COMPOSIÇÕES",VLOOKUP(B98,'11.COMPOSIÇÕES GERAIS'!B:I,2,0),VLOOKUP(B98,'12.COT.MERCADO'!A:I,2,0)))),"Em Elaboração")</f>
        <v>APLICAÇÃO MANUAL DE GESSO DESEMPENADO (SEM TALISCAS) EM TETO DE AMBIENTES DE ÁREA MAIOR QUE 10M², ESPESSURA DE 0,5CM. AF_03/2023</v>
      </c>
      <c r="F98" s="240" t="str">
        <f>IFERROR(IF(D98="SINAPI-S",VLOOKUP(B98,'20-B.SINAPI-S'!A:J,3,0),IF(D98="SINAPI-I",VLOOKUP(B98,'20-A.SINAPI-I'!A:G,3,0),IF(D98="COMPOSIÇÕES",VLOOKUP(B98,'11.COMPOSIÇÕES GERAIS'!B:I,3,0),VLOOKUP(B98,'12.COT.MERCADO'!A:I,7,0)))),"Em Elaboração")</f>
        <v>M2</v>
      </c>
      <c r="G98" s="244">
        <f>VLOOKUP(A98,'Planilha_Sintética_Geral'!A:O,7,0)</f>
        <v>1</v>
      </c>
      <c r="H98" s="241">
        <f>IFERROR(IF(D98="SINAPI-S",VLOOKUP(B98,'20-B.SINAPI-S'!A:J,5,0),IF(D98="SINAPI-I",VLOOKUP(B98,'20-A.SINAPI-I'!A:G,6,0),IF(D98="COMPOSIÇÕES",VLOOKUP(B98,'11.COMPOSIÇÕES GERAIS'!B:I,7,0),0))),"Em Elaboração")</f>
        <v>7.31</v>
      </c>
      <c r="I98" s="241">
        <f>IFERROR(IF(D98="SINAPI-S",VLOOKUP(B98,'20-B.SINAPI-S'!A:J,6,0),IF(D98="SINAPI-I",VLOOKUP(B98,'20-A.SINAPI-I'!A:G,7,0),IF(D98="COMPOSIÇÕES",VLOOKUP(B98,'11.COMPOSIÇÕES GERAIS'!B:I,8,0),VLOOKUP(B98,'12.COT.MERCADO'!A:I,8,0)))),"Em Elaboração")</f>
        <v>10.04</v>
      </c>
      <c r="J98" s="241">
        <f t="shared" si="13"/>
        <v>8.581376911</v>
      </c>
      <c r="K98" s="241">
        <f t="shared" si="14"/>
        <v>11.76019923</v>
      </c>
      <c r="L98" s="241">
        <f t="shared" si="15"/>
        <v>20.34157615</v>
      </c>
      <c r="M98" s="241">
        <f t="shared" si="16"/>
        <v>8.581376911</v>
      </c>
      <c r="N98" s="241">
        <f t="shared" si="17"/>
        <v>11.76019923</v>
      </c>
      <c r="O98" s="241">
        <f t="shared" si="18"/>
        <v>20.34157615</v>
      </c>
      <c r="P98" s="242">
        <f t="shared" si="3"/>
        <v>0.00006523480629</v>
      </c>
    </row>
    <row r="99">
      <c r="A99" s="236" t="s">
        <v>306</v>
      </c>
      <c r="B99" s="237">
        <f>VLOOKUP(A99,'Planilha_Sintética_Geral'!A:P,2,0)</f>
        <v>97064</v>
      </c>
      <c r="C99" s="238" t="str">
        <f t="shared" si="12"/>
        <v>SINAPI</v>
      </c>
      <c r="D99" s="238" t="s">
        <v>218</v>
      </c>
      <c r="E99" s="239" t="str">
        <f>IFERROR(IF(D99="SINAPI-S",VLOOKUP(B99,'20-B.SINAPI-S'!A:J,2,0),IF(D99="SINAPI-I",VLOOKUP(B99,'20-A.SINAPI-I'!A:G,2,0),IF(D99="COMPOSIÇÕES",VLOOKUP(B99,'11.COMPOSIÇÕES GERAIS'!B:I,2,0),VLOOKUP(B99,'12.COT.MERCADO'!A:I,2,0)))),"Em Elaboração")</f>
        <v>MONTAGEM E DESMONTAGEM DE ANDAIME TUBULAR TIPO _x0093_TORRE_x0094_ (EXCLUSIVE ANDAIME E LIMPEZA). AF_11/2017</v>
      </c>
      <c r="F99" s="240" t="str">
        <f>IFERROR(IF(D99="SINAPI-S",VLOOKUP(B99,'20-B.SINAPI-S'!A:J,3,0),IF(D99="SINAPI-I",VLOOKUP(B99,'20-A.SINAPI-I'!A:G,3,0),IF(D99="COMPOSIÇÕES",VLOOKUP(B99,'11.COMPOSIÇÕES GERAIS'!B:I,3,0),VLOOKUP(B99,'12.COT.MERCADO'!A:I,7,0)))),"Em Elaboração")</f>
        <v>M</v>
      </c>
      <c r="G99" s="244">
        <f>VLOOKUP(A99,'Planilha_Sintética_Geral'!A:O,7,0)</f>
        <v>3</v>
      </c>
      <c r="H99" s="241">
        <f>IFERROR(IF(D99="SINAPI-S",VLOOKUP(B99,'20-B.SINAPI-S'!A:J,5,0),IF(D99="SINAPI-I",VLOOKUP(B99,'20-A.SINAPI-I'!A:G,6,0),IF(D99="COMPOSIÇÕES",VLOOKUP(B99,'11.COMPOSIÇÕES GERAIS'!B:I,7,0),0))),"Em Elaboração")</f>
        <v>17.6</v>
      </c>
      <c r="I99" s="241">
        <f>IFERROR(IF(D99="SINAPI-S",VLOOKUP(B99,'20-B.SINAPI-S'!A:J,6,0),IF(D99="SINAPI-I",VLOOKUP(B99,'20-A.SINAPI-I'!A:G,7,0),IF(D99="COMPOSIÇÕES",VLOOKUP(B99,'11.COMPOSIÇÕES GERAIS'!B:I,8,0),VLOOKUP(B99,'12.COT.MERCADO'!A:I,8,0)))),"Em Elaboração")</f>
        <v>5.93</v>
      </c>
      <c r="J99" s="241">
        <f t="shared" si="13"/>
        <v>20.66104427</v>
      </c>
      <c r="K99" s="241">
        <f t="shared" si="14"/>
        <v>6.94601409</v>
      </c>
      <c r="L99" s="241">
        <f t="shared" si="15"/>
        <v>27.60705836</v>
      </c>
      <c r="M99" s="241">
        <f t="shared" si="16"/>
        <v>61.98313282</v>
      </c>
      <c r="N99" s="241">
        <f t="shared" si="17"/>
        <v>20.83804227</v>
      </c>
      <c r="O99" s="241">
        <f t="shared" si="18"/>
        <v>82.82117509</v>
      </c>
      <c r="P99" s="242">
        <f t="shared" si="3"/>
        <v>0.0002656049499</v>
      </c>
    </row>
    <row r="100">
      <c r="A100" s="236" t="s">
        <v>307</v>
      </c>
      <c r="B100" s="237">
        <f>VLOOKUP(A100,'Planilha_Sintética_Geral'!A:P,2,0)</f>
        <v>92009</v>
      </c>
      <c r="C100" s="238" t="str">
        <f t="shared" si="12"/>
        <v>SINAPI</v>
      </c>
      <c r="D100" s="238" t="s">
        <v>218</v>
      </c>
      <c r="E100" s="239" t="str">
        <f>IFERROR(IF(D100="SINAPI-S",VLOOKUP(B100,'20-B.SINAPI-S'!A:J,2,0),IF(D100="SINAPI-I",VLOOKUP(B100,'20-A.SINAPI-I'!A:G,2,0),IF(D100="COMPOSIÇÕES",VLOOKUP(B100,'11.COMPOSIÇÕES GERAIS'!B:I,2,0),VLOOKUP(B100,'12.COT.MERCADO'!A:I,2,0)))),"Em Elaboração")</f>
        <v>TOMADA BAIXA DE EMBUTIR (2 MÓDULOS), 2P+T 20 A, INCLUINDO SUPORTE E PLACA - FORNECIMENTO E INSTALAÇÃO. AF_03/2023</v>
      </c>
      <c r="F100" s="240" t="str">
        <f>IFERROR(IF(D100="SINAPI-S",VLOOKUP(B100,'20-B.SINAPI-S'!A:J,3,0),IF(D100="SINAPI-I",VLOOKUP(B100,'20-A.SINAPI-I'!A:G,3,0),IF(D100="COMPOSIÇÕES",VLOOKUP(B100,'11.COMPOSIÇÕES GERAIS'!B:I,3,0),VLOOKUP(B100,'12.COT.MERCADO'!A:I,7,0)))),"Em Elaboração")</f>
        <v>UN</v>
      </c>
      <c r="G100" s="244">
        <f>VLOOKUP(A100,'Planilha_Sintética_Geral'!A:O,7,0)</f>
        <v>1</v>
      </c>
      <c r="H100" s="241">
        <f>IFERROR(IF(D100="SINAPI-S",VLOOKUP(B100,'20-B.SINAPI-S'!A:J,5,0),IF(D100="SINAPI-I",VLOOKUP(B100,'20-A.SINAPI-I'!A:G,6,0),IF(D100="COMPOSIÇÕES",VLOOKUP(B100,'11.COMPOSIÇÕES GERAIS'!B:I,7,0),0))),"Em Elaboração")</f>
        <v>24.34</v>
      </c>
      <c r="I100" s="241">
        <f>IFERROR(IF(D100="SINAPI-S",VLOOKUP(B100,'20-B.SINAPI-S'!A:J,6,0),IF(D100="SINAPI-I",VLOOKUP(B100,'20-A.SINAPI-I'!A:G,7,0),IF(D100="COMPOSIÇÕES",VLOOKUP(B100,'11.COMPOSIÇÕES GERAIS'!B:I,8,0),VLOOKUP(B100,'12.COT.MERCADO'!A:I,8,0)))),"Em Elaboração")</f>
        <v>34.93</v>
      </c>
      <c r="J100" s="241">
        <f t="shared" si="13"/>
        <v>28.57328509</v>
      </c>
      <c r="K100" s="241">
        <f t="shared" si="14"/>
        <v>40.91471706</v>
      </c>
      <c r="L100" s="241">
        <f t="shared" si="15"/>
        <v>69.48800215</v>
      </c>
      <c r="M100" s="241">
        <f t="shared" si="16"/>
        <v>28.57328509</v>
      </c>
      <c r="N100" s="241">
        <f t="shared" si="17"/>
        <v>40.91471706</v>
      </c>
      <c r="O100" s="241">
        <f t="shared" si="18"/>
        <v>69.48800215</v>
      </c>
      <c r="P100" s="242">
        <f t="shared" si="3"/>
        <v>0.0002228458762</v>
      </c>
    </row>
    <row r="101">
      <c r="A101" s="236" t="s">
        <v>308</v>
      </c>
      <c r="B101" s="237">
        <f>VLOOKUP(A101,'Planilha_Sintética_Geral'!A:P,2,0)</f>
        <v>90830</v>
      </c>
      <c r="C101" s="238" t="str">
        <f t="shared" si="12"/>
        <v>SINAPI</v>
      </c>
      <c r="D101" s="238" t="s">
        <v>218</v>
      </c>
      <c r="E101" s="239" t="str">
        <f>IFERROR(IF(D101="SINAPI-S",VLOOKUP(B101,'20-B.SINAPI-S'!A:J,2,0),IF(D101="SINAPI-I",VLOOKUP(B101,'20-A.SINAPI-I'!A:G,2,0),IF(D101="COMPOSIÇÕES",VLOOKUP(B101,'11.COMPOSIÇÕES GERAIS'!B:I,2,0),VLOOKUP(B101,'12.COT.MERCADO'!A:I,2,0)))),"Em Elaboração")</f>
        <v>FECHADURA DE EMBUTIR COM CILINDRO, EXTERNA, COMPLETA, ACABAMENTO PADRÃO MÉDIO, INCLUSO EXECUÇÃO DE FURO - FORNECIMENTO E INSTALAÇÃO. AF_12/2019</v>
      </c>
      <c r="F101" s="240" t="str">
        <f>IFERROR(IF(D101="SINAPI-S",VLOOKUP(B101,'20-B.SINAPI-S'!A:J,3,0),IF(D101="SINAPI-I",VLOOKUP(B101,'20-A.SINAPI-I'!A:G,3,0),IF(D101="COMPOSIÇÕES",VLOOKUP(B101,'11.COMPOSIÇÕES GERAIS'!B:I,3,0),VLOOKUP(B101,'12.COT.MERCADO'!A:I,7,0)))),"Em Elaboração")</f>
        <v>UN</v>
      </c>
      <c r="G101" s="244">
        <f>VLOOKUP(A101,'Planilha_Sintética_Geral'!A:O,7,0)</f>
        <v>6</v>
      </c>
      <c r="H101" s="241">
        <f>IFERROR(IF(D101="SINAPI-S",VLOOKUP(B101,'20-B.SINAPI-S'!A:J,5,0),IF(D101="SINAPI-I",VLOOKUP(B101,'20-A.SINAPI-I'!A:G,6,0),IF(D101="COMPOSIÇÕES",VLOOKUP(B101,'11.COMPOSIÇÕES GERAIS'!B:I,7,0),0))),"Em Elaboração")</f>
        <v>31.85</v>
      </c>
      <c r="I101" s="241">
        <f>IFERROR(IF(D101="SINAPI-S",VLOOKUP(B101,'20-B.SINAPI-S'!A:J,6,0),IF(D101="SINAPI-I",VLOOKUP(B101,'20-A.SINAPI-I'!A:G,7,0),IF(D101="COMPOSIÇÕES",VLOOKUP(B101,'11.COMPOSIÇÕES GERAIS'!B:I,8,0),VLOOKUP(B101,'12.COT.MERCADO'!A:I,8,0)))),"Em Elaboração")</f>
        <v>148.78</v>
      </c>
      <c r="J101" s="241">
        <f t="shared" si="13"/>
        <v>37.38944659</v>
      </c>
      <c r="K101" s="241">
        <f t="shared" si="14"/>
        <v>174.2711596</v>
      </c>
      <c r="L101" s="241">
        <f t="shared" si="15"/>
        <v>211.6606062</v>
      </c>
      <c r="M101" s="241">
        <f t="shared" si="16"/>
        <v>224.3366796</v>
      </c>
      <c r="N101" s="241">
        <f t="shared" si="17"/>
        <v>1045.626957</v>
      </c>
      <c r="O101" s="241">
        <f t="shared" si="18"/>
        <v>1269.963637</v>
      </c>
      <c r="P101" s="242">
        <f t="shared" si="3"/>
        <v>0.004072734151</v>
      </c>
    </row>
    <row r="102">
      <c r="A102" s="236" t="s">
        <v>309</v>
      </c>
      <c r="B102" s="237">
        <f>VLOOKUP(A102,'Planilha_Sintética_Geral'!A:P,2,0)</f>
        <v>102520</v>
      </c>
      <c r="C102" s="238" t="str">
        <f t="shared" si="12"/>
        <v>SINAPI</v>
      </c>
      <c r="D102" s="238" t="s">
        <v>218</v>
      </c>
      <c r="E102" s="239" t="str">
        <f>IFERROR(IF(D102="SINAPI-S",VLOOKUP(B102,'20-B.SINAPI-S'!A:J,2,0),IF(D102="SINAPI-I",VLOOKUP(B102,'20-A.SINAPI-I'!A:G,2,0),IF(D102="COMPOSIÇÕES",VLOOKUP(B102,'11.COMPOSIÇÕES GERAIS'!B:I,2,0),VLOOKUP(B102,'12.COT.MERCADO'!A:I,2,0)))),"Em Elaboração")</f>
        <v>PINTURA DE SINALIZAÇÃO VERTICAL DE SEGURANÇA, FAIXAS AMARELA E PRETA, APLICAÇÃO MANUAL, 2 DEMÃOS. AF_05/2021</v>
      </c>
      <c r="F102" s="240" t="str">
        <f>IFERROR(IF(D102="SINAPI-S",VLOOKUP(B102,'20-B.SINAPI-S'!A:J,3,0),IF(D102="SINAPI-I",VLOOKUP(B102,'20-A.SINAPI-I'!A:G,3,0),IF(D102="COMPOSIÇÕES",VLOOKUP(B102,'11.COMPOSIÇÕES GERAIS'!B:I,3,0),VLOOKUP(B102,'12.COT.MERCADO'!A:I,7,0)))),"Em Elaboração")</f>
        <v>M2</v>
      </c>
      <c r="G102" s="244">
        <f>VLOOKUP(A102,'Planilha_Sintética_Geral'!A:O,7,0)</f>
        <v>13</v>
      </c>
      <c r="H102" s="241">
        <f>IFERROR(IF(D102="SINAPI-S",VLOOKUP(B102,'20-B.SINAPI-S'!A:J,5,0),IF(D102="SINAPI-I",VLOOKUP(B102,'20-A.SINAPI-I'!A:G,6,0),IF(D102="COMPOSIÇÕES",VLOOKUP(B102,'11.COMPOSIÇÕES GERAIS'!B:I,7,0),0))),"Em Elaboração")</f>
        <v>54.8</v>
      </c>
      <c r="I102" s="241">
        <f>IFERROR(IF(D102="SINAPI-S",VLOOKUP(B102,'20-B.SINAPI-S'!A:J,6,0),IF(D102="SINAPI-I",VLOOKUP(B102,'20-A.SINAPI-I'!A:G,7,0),IF(D102="COMPOSIÇÕES",VLOOKUP(B102,'11.COMPOSIÇÕES GERAIS'!B:I,8,0),VLOOKUP(B102,'12.COT.MERCADO'!A:I,8,0)))),"Em Elaboração")</f>
        <v>36.52</v>
      </c>
      <c r="J102" s="241">
        <f t="shared" si="13"/>
        <v>64.33097876</v>
      </c>
      <c r="K102" s="241">
        <f t="shared" si="14"/>
        <v>42.77713905</v>
      </c>
      <c r="L102" s="241">
        <f t="shared" si="15"/>
        <v>107.1081178</v>
      </c>
      <c r="M102" s="241">
        <f t="shared" si="16"/>
        <v>836.3027238</v>
      </c>
      <c r="N102" s="241">
        <f t="shared" si="17"/>
        <v>556.1028076</v>
      </c>
      <c r="O102" s="241">
        <f t="shared" si="18"/>
        <v>1392.405531</v>
      </c>
      <c r="P102" s="242">
        <f t="shared" si="3"/>
        <v>0.004465401524</v>
      </c>
    </row>
    <row r="103">
      <c r="A103" s="236" t="s">
        <v>310</v>
      </c>
      <c r="B103" s="237">
        <f>VLOOKUP(A103,'Planilha_Sintética_Geral'!A:P,2,0)</f>
        <v>90825</v>
      </c>
      <c r="C103" s="238" t="str">
        <f t="shared" si="12"/>
        <v>SINAPI</v>
      </c>
      <c r="D103" s="238" t="s">
        <v>218</v>
      </c>
      <c r="E103" s="239" t="str">
        <f>IFERROR(IF(D103="SINAPI-S",VLOOKUP(B103,'20-B.SINAPI-S'!A:J,2,0),IF(D103="SINAPI-I",VLOOKUP(B103,'20-A.SINAPI-I'!A:G,2,0),IF(D103="COMPOSIÇÕES",VLOOKUP(B103,'11.COMPOSIÇÕES GERAIS'!B:I,2,0),VLOOKUP(B103,'12.COT.MERCADO'!A:I,2,0)))),"Em Elaboração")</f>
        <v>PORTA DE MADEIRA, MACIÇA (PESADA OU SUPERPESADA), 90X210CM, ESPESSURA DE 3,5CM, INCLUSO DOBRADIÇAS - FORNECIMENTO E INSTALAÇÃO. AF_12/2019</v>
      </c>
      <c r="F103" s="240" t="str">
        <f>IFERROR(IF(D103="SINAPI-S",VLOOKUP(B103,'20-B.SINAPI-S'!A:J,3,0),IF(D103="SINAPI-I",VLOOKUP(B103,'20-A.SINAPI-I'!A:G,3,0),IF(D103="COMPOSIÇÕES",VLOOKUP(B103,'11.COMPOSIÇÕES GERAIS'!B:I,3,0),VLOOKUP(B103,'12.COT.MERCADO'!A:I,7,0)))),"Em Elaboração")</f>
        <v>UN</v>
      </c>
      <c r="G103" s="244">
        <f>VLOOKUP(A103,'Planilha_Sintética_Geral'!A:O,7,0)</f>
        <v>1</v>
      </c>
      <c r="H103" s="241">
        <f>IFERROR(IF(D103="SINAPI-S",VLOOKUP(B103,'20-B.SINAPI-S'!A:J,5,0),IF(D103="SINAPI-I",VLOOKUP(B103,'20-A.SINAPI-I'!A:G,6,0),IF(D103="COMPOSIÇÕES",VLOOKUP(B103,'11.COMPOSIÇÕES GERAIS'!B:I,7,0),0))),"Em Elaboração")</f>
        <v>74.01</v>
      </c>
      <c r="I103" s="241">
        <f>IFERROR(IF(D103="SINAPI-S",VLOOKUP(B103,'20-B.SINAPI-S'!A:J,6,0),IF(D103="SINAPI-I",VLOOKUP(B103,'20-A.SINAPI-I'!A:G,7,0),IF(D103="COMPOSIÇÕES",VLOOKUP(B103,'11.COMPOSIÇÕES GERAIS'!B:I,8,0),VLOOKUP(B103,'12.COT.MERCADO'!A:I,8,0)))),"Em Elaboração")</f>
        <v>596.31</v>
      </c>
      <c r="J103" s="241">
        <f t="shared" si="13"/>
        <v>86.88203901</v>
      </c>
      <c r="K103" s="241">
        <f t="shared" si="14"/>
        <v>698.4785265</v>
      </c>
      <c r="L103" s="241">
        <f t="shared" si="15"/>
        <v>785.3605655</v>
      </c>
      <c r="M103" s="241">
        <f t="shared" si="16"/>
        <v>86.88203901</v>
      </c>
      <c r="N103" s="241">
        <f t="shared" si="17"/>
        <v>698.4785265</v>
      </c>
      <c r="O103" s="241">
        <f t="shared" si="18"/>
        <v>785.3605655</v>
      </c>
      <c r="P103" s="242">
        <f t="shared" si="3"/>
        <v>0.002518627071</v>
      </c>
    </row>
    <row r="104">
      <c r="A104" s="236" t="s">
        <v>311</v>
      </c>
      <c r="B104" s="237">
        <f>VLOOKUP(A104,'Planilha_Sintética_Geral'!A:P,2,0)</f>
        <v>100860</v>
      </c>
      <c r="C104" s="238" t="str">
        <f t="shared" si="12"/>
        <v>SINAPI</v>
      </c>
      <c r="D104" s="238" t="s">
        <v>218</v>
      </c>
      <c r="E104" s="239" t="str">
        <f>IFERROR(IF(D104="SINAPI-S",VLOOKUP(B104,'20-B.SINAPI-S'!A:J,2,0),IF(D104="SINAPI-I",VLOOKUP(B104,'20-A.SINAPI-I'!A:G,2,0),IF(D104="COMPOSIÇÕES",VLOOKUP(B104,'11.COMPOSIÇÕES GERAIS'!B:I,2,0),VLOOKUP(B104,'12.COT.MERCADO'!A:I,2,0)))),"Em Elaboração")</f>
        <v>CHUVEIRO ELÉTRICO COMUM CORPO PLÁSTICO, TIPO DUCHA _x0096_ FORNECIMENTO E INSTALAÇÃO. AF_01/2020</v>
      </c>
      <c r="F104" s="240" t="str">
        <f>IFERROR(IF(D104="SINAPI-S",VLOOKUP(B104,'20-B.SINAPI-S'!A:J,3,0),IF(D104="SINAPI-I",VLOOKUP(B104,'20-A.SINAPI-I'!A:G,3,0),IF(D104="COMPOSIÇÕES",VLOOKUP(B104,'11.COMPOSIÇÕES GERAIS'!B:I,3,0),VLOOKUP(B104,'12.COT.MERCADO'!A:I,7,0)))),"Em Elaboração")</f>
        <v>UN</v>
      </c>
      <c r="G104" s="244">
        <f>VLOOKUP(A104,'Planilha_Sintética_Geral'!A:O,7,0)</f>
        <v>3</v>
      </c>
      <c r="H104" s="241">
        <f>IFERROR(IF(D104="SINAPI-S",VLOOKUP(B104,'20-B.SINAPI-S'!A:J,5,0),IF(D104="SINAPI-I",VLOOKUP(B104,'20-A.SINAPI-I'!A:G,6,0),IF(D104="COMPOSIÇÕES",VLOOKUP(B104,'11.COMPOSIÇÕES GERAIS'!B:I,7,0),0))),"Em Elaboração")</f>
        <v>13.42</v>
      </c>
      <c r="I104" s="241">
        <f>IFERROR(IF(D104="SINAPI-S",VLOOKUP(B104,'20-B.SINAPI-S'!A:J,6,0),IF(D104="SINAPI-I",VLOOKUP(B104,'20-A.SINAPI-I'!A:G,7,0),IF(D104="COMPOSIÇÕES",VLOOKUP(B104,'11.COMPOSIÇÕES GERAIS'!B:I,8,0),VLOOKUP(B104,'12.COT.MERCADO'!A:I,8,0)))),"Em Elaboração")</f>
        <v>89.93</v>
      </c>
      <c r="J104" s="241">
        <f t="shared" si="13"/>
        <v>15.75404626</v>
      </c>
      <c r="K104" s="241">
        <f t="shared" si="14"/>
        <v>105.3381192</v>
      </c>
      <c r="L104" s="241">
        <f t="shared" si="15"/>
        <v>121.0921655</v>
      </c>
      <c r="M104" s="241">
        <f t="shared" si="16"/>
        <v>47.26213877</v>
      </c>
      <c r="N104" s="241">
        <f t="shared" si="17"/>
        <v>316.0143577</v>
      </c>
      <c r="O104" s="241">
        <f t="shared" si="18"/>
        <v>363.2764965</v>
      </c>
      <c r="P104" s="242">
        <f t="shared" si="3"/>
        <v>0.001165016502</v>
      </c>
    </row>
    <row r="105">
      <c r="A105" s="236" t="s">
        <v>312</v>
      </c>
      <c r="B105" s="237" t="str">
        <f>VLOOKUP(A105,'Planilha_Sintética_Geral'!A:P,2,0)</f>
        <v>MAN_PR_023</v>
      </c>
      <c r="C105" s="238" t="str">
        <f t="shared" si="12"/>
        <v>PRÓPRIO</v>
      </c>
      <c r="D105" s="243" t="s">
        <v>230</v>
      </c>
      <c r="E105" s="239" t="str">
        <f>IFERROR(IF(D105="SINAPI-S",VLOOKUP(B105,'20-B.SINAPI-S'!A:J,2,0),IF(D105="SINAPI-I",VLOOKUP(B105,'20-A.SINAPI-I'!A:G,2,0),IF(D105="COMPOSIÇÕES",VLOOKUP(B105,'11.COMPOSIÇÕES GERAIS'!B:I,2,0),VLOOKUP(B105,'12.COT.MERCADO'!A:I,2,0)))),"Em Elaboração")</f>
        <v>RETIRADA E RECOLOCAÇÃO DE PORTA DE DIVISÓRIA, UM MÓDULO</v>
      </c>
      <c r="F105" s="240" t="str">
        <f>IFERROR(IF(D105="SINAPI-S",VLOOKUP(B105,'20-B.SINAPI-S'!A:J,3,0),IF(D105="SINAPI-I",VLOOKUP(B105,'20-A.SINAPI-I'!A:G,3,0),IF(D105="COMPOSIÇÕES",VLOOKUP(B105,'11.COMPOSIÇÕES GERAIS'!B:I,3,0),VLOOKUP(B105,'12.COT.MERCADO'!A:I,7,0)))),"Em Elaboração")</f>
        <v>UN</v>
      </c>
      <c r="G105" s="244">
        <f>VLOOKUP(A105,'Planilha_Sintética_Geral'!A:O,7,0)</f>
        <v>1</v>
      </c>
      <c r="H105" s="241">
        <f>IFERROR(IF(D105="SINAPI-S",VLOOKUP(B105,'20-B.SINAPI-S'!A:J,5,0),IF(D105="SINAPI-I",VLOOKUP(B105,'20-A.SINAPI-I'!A:G,6,0),IF(D105="COMPOSIÇÕES",VLOOKUP(B105,'11.COMPOSIÇÕES GERAIS'!B:I,7,0),0))),"Em Elaboração")</f>
        <v>91.87668</v>
      </c>
      <c r="I105" s="241">
        <f>IFERROR(IF(D105="SINAPI-S",VLOOKUP(B105,'20-B.SINAPI-S'!A:J,6,0),IF(D105="SINAPI-I",VLOOKUP(B105,'20-A.SINAPI-I'!A:G,7,0),IF(D105="COMPOSIÇÕES",VLOOKUP(B105,'11.COMPOSIÇÕES GERAIS'!B:I,8,0),VLOOKUP(B105,'12.COT.MERCADO'!A:I,8,0)))),"Em Elaboração")</f>
        <v>34.90452</v>
      </c>
      <c r="J105" s="241">
        <f t="shared" si="13"/>
        <v>107.8561451</v>
      </c>
      <c r="K105" s="241">
        <f t="shared" si="14"/>
        <v>40.88487145</v>
      </c>
      <c r="L105" s="241">
        <f t="shared" si="15"/>
        <v>148.7410165</v>
      </c>
      <c r="M105" s="241">
        <f t="shared" si="16"/>
        <v>107.8561451</v>
      </c>
      <c r="N105" s="241">
        <f t="shared" si="17"/>
        <v>40.88487145</v>
      </c>
      <c r="O105" s="241">
        <f t="shared" si="18"/>
        <v>148.7410165</v>
      </c>
      <c r="P105" s="242">
        <f t="shared" si="3"/>
        <v>0.0004770078449</v>
      </c>
    </row>
    <row r="106">
      <c r="A106" s="236" t="s">
        <v>313</v>
      </c>
      <c r="B106" s="237">
        <f>VLOOKUP(A106,'Planilha_Sintética_Geral'!A:P,2,0)</f>
        <v>101903</v>
      </c>
      <c r="C106" s="238" t="str">
        <f t="shared" si="12"/>
        <v>SINAPI</v>
      </c>
      <c r="D106" s="238" t="s">
        <v>218</v>
      </c>
      <c r="E106" s="239" t="str">
        <f>IFERROR(IF(D106="SINAPI-S",VLOOKUP(B106,'20-B.SINAPI-S'!A:J,2,0),IF(D106="SINAPI-I",VLOOKUP(B106,'20-A.SINAPI-I'!A:G,2,0),IF(D106="COMPOSIÇÕES",VLOOKUP(B106,'11.COMPOSIÇÕES GERAIS'!B:I,2,0),VLOOKUP(B106,'12.COT.MERCADO'!A:I,2,0)))),"Em Elaboração")</f>
        <v>CONTATOR TRIPOLAR I NOMINAL 38A - FORNECIMENTO E INSTALAÇÃO. AF_10/2020</v>
      </c>
      <c r="F106" s="240" t="str">
        <f>IFERROR(IF(D106="SINAPI-S",VLOOKUP(B106,'20-B.SINAPI-S'!A:J,3,0),IF(D106="SINAPI-I",VLOOKUP(B106,'20-A.SINAPI-I'!A:G,3,0),IF(D106="COMPOSIÇÕES",VLOOKUP(B106,'11.COMPOSIÇÕES GERAIS'!B:I,3,0),VLOOKUP(B106,'12.COT.MERCADO'!A:I,7,0)))),"Em Elaboração")</f>
        <v>UN</v>
      </c>
      <c r="G106" s="244">
        <f>VLOOKUP(A106,'Planilha_Sintética_Geral'!A:O,7,0)</f>
        <v>2</v>
      </c>
      <c r="H106" s="241">
        <f>IFERROR(IF(D106="SINAPI-S",VLOOKUP(B106,'20-B.SINAPI-S'!A:J,5,0),IF(D106="SINAPI-I",VLOOKUP(B106,'20-A.SINAPI-I'!A:G,6,0),IF(D106="COMPOSIÇÕES",VLOOKUP(B106,'11.COMPOSIÇÕES GERAIS'!B:I,7,0),0))),"Em Elaboração")</f>
        <v>17.95</v>
      </c>
      <c r="I106" s="241">
        <f>IFERROR(IF(D106="SINAPI-S",VLOOKUP(B106,'20-B.SINAPI-S'!A:J,6,0),IF(D106="SINAPI-I",VLOOKUP(B106,'20-A.SINAPI-I'!A:G,7,0),IF(D106="COMPOSIÇÕES",VLOOKUP(B106,'11.COMPOSIÇÕES GERAIS'!B:I,8,0),VLOOKUP(B106,'12.COT.MERCADO'!A:I,8,0)))),"Em Elaboração")</f>
        <v>287.52</v>
      </c>
      <c r="J106" s="241">
        <f t="shared" si="13"/>
        <v>21.07191731</v>
      </c>
      <c r="K106" s="241">
        <f t="shared" si="14"/>
        <v>336.7821199</v>
      </c>
      <c r="L106" s="241">
        <f t="shared" si="15"/>
        <v>357.8540372</v>
      </c>
      <c r="M106" s="241">
        <f t="shared" si="16"/>
        <v>42.14383462</v>
      </c>
      <c r="N106" s="241">
        <f t="shared" si="17"/>
        <v>673.5642398</v>
      </c>
      <c r="O106" s="241">
        <f t="shared" si="18"/>
        <v>715.7080745</v>
      </c>
      <c r="P106" s="242">
        <f t="shared" si="3"/>
        <v>0.002295253684</v>
      </c>
    </row>
    <row r="107">
      <c r="A107" s="236" t="s">
        <v>314</v>
      </c>
      <c r="B107" s="237">
        <f>VLOOKUP(A107,'Planilha_Sintética_Geral'!A:P,2,0)</f>
        <v>92008</v>
      </c>
      <c r="C107" s="238" t="str">
        <f t="shared" si="12"/>
        <v>SINAPI</v>
      </c>
      <c r="D107" s="238" t="s">
        <v>218</v>
      </c>
      <c r="E107" s="239" t="str">
        <f>IFERROR(IF(D107="SINAPI-S",VLOOKUP(B107,'20-B.SINAPI-S'!A:J,2,0),IF(D107="SINAPI-I",VLOOKUP(B107,'20-A.SINAPI-I'!A:G,2,0),IF(D107="COMPOSIÇÕES",VLOOKUP(B107,'11.COMPOSIÇÕES GERAIS'!B:I,2,0),VLOOKUP(B107,'12.COT.MERCADO'!A:I,2,0)))),"Em Elaboração")</f>
        <v>TOMADA BAIXA DE EMBUTIR (2 MÓDULOS), 2P+T 10 A, INCLUINDO SUPORTE E PLACA - FORNECIMENTO E INSTALAÇÃO. AF_03/2023</v>
      </c>
      <c r="F107" s="240" t="str">
        <f>IFERROR(IF(D107="SINAPI-S",VLOOKUP(B107,'20-B.SINAPI-S'!A:J,3,0),IF(D107="SINAPI-I",VLOOKUP(B107,'20-A.SINAPI-I'!A:G,3,0),IF(D107="COMPOSIÇÕES",VLOOKUP(B107,'11.COMPOSIÇÕES GERAIS'!B:I,3,0),VLOOKUP(B107,'12.COT.MERCADO'!A:I,7,0)))),"Em Elaboração")</f>
        <v>UN</v>
      </c>
      <c r="G107" s="244">
        <f>VLOOKUP(A107,'Planilha_Sintética_Geral'!A:O,7,0)</f>
        <v>3</v>
      </c>
      <c r="H107" s="241">
        <f>IFERROR(IF(D107="SINAPI-S",VLOOKUP(B107,'20-B.SINAPI-S'!A:J,5,0),IF(D107="SINAPI-I",VLOOKUP(B107,'20-A.SINAPI-I'!A:G,6,0),IF(D107="COMPOSIÇÕES",VLOOKUP(B107,'11.COMPOSIÇÕES GERAIS'!B:I,7,0),0))),"Em Elaboração")</f>
        <v>24.35</v>
      </c>
      <c r="I107" s="241">
        <f>IFERROR(IF(D107="SINAPI-S",VLOOKUP(B107,'20-B.SINAPI-S'!A:J,6,0),IF(D107="SINAPI-I",VLOOKUP(B107,'20-A.SINAPI-I'!A:G,7,0),IF(D107="COMPOSIÇÕES",VLOOKUP(B107,'11.COMPOSIÇÕES GERAIS'!B:I,8,0),VLOOKUP(B107,'12.COT.MERCADO'!A:I,8,0)))),"Em Elaboração")</f>
        <v>30.2</v>
      </c>
      <c r="J107" s="241">
        <f t="shared" si="13"/>
        <v>28.58502432</v>
      </c>
      <c r="K107" s="241">
        <f t="shared" si="14"/>
        <v>35.37430447</v>
      </c>
      <c r="L107" s="241">
        <f t="shared" si="15"/>
        <v>63.95932879</v>
      </c>
      <c r="M107" s="241">
        <f t="shared" si="16"/>
        <v>85.75507296</v>
      </c>
      <c r="N107" s="241">
        <f t="shared" si="17"/>
        <v>106.1229134</v>
      </c>
      <c r="O107" s="241">
        <f t="shared" si="18"/>
        <v>191.8779864</v>
      </c>
      <c r="P107" s="242">
        <f t="shared" si="3"/>
        <v>0.0006153467746</v>
      </c>
    </row>
    <row r="108">
      <c r="A108" s="236" t="s">
        <v>315</v>
      </c>
      <c r="B108" s="237">
        <f>VLOOKUP(A108,'Planilha_Sintética_Geral'!A:P,2,0)</f>
        <v>98307</v>
      </c>
      <c r="C108" s="238" t="str">
        <f t="shared" si="12"/>
        <v>SINAPI</v>
      </c>
      <c r="D108" s="238" t="s">
        <v>218</v>
      </c>
      <c r="E108" s="239" t="str">
        <f>IFERROR(IF(D108="SINAPI-S",VLOOKUP(B108,'20-B.SINAPI-S'!A:J,2,0),IF(D108="SINAPI-I",VLOOKUP(B108,'20-A.SINAPI-I'!A:G,2,0),IF(D108="COMPOSIÇÕES",VLOOKUP(B108,'11.COMPOSIÇÕES GERAIS'!B:I,2,0),VLOOKUP(B108,'12.COT.MERCADO'!A:I,2,0)))),"Em Elaboração")</f>
        <v>TOMADA DE REDE RJ45 - FORNECIMENTO E INSTALAÇÃO. AF_11/2019</v>
      </c>
      <c r="F108" s="240" t="str">
        <f>IFERROR(IF(D108="SINAPI-S",VLOOKUP(B108,'20-B.SINAPI-S'!A:J,3,0),IF(D108="SINAPI-I",VLOOKUP(B108,'20-A.SINAPI-I'!A:G,3,0),IF(D108="COMPOSIÇÕES",VLOOKUP(B108,'11.COMPOSIÇÕES GERAIS'!B:I,3,0),VLOOKUP(B108,'12.COT.MERCADO'!A:I,7,0)))),"Em Elaboração")</f>
        <v>UN</v>
      </c>
      <c r="G108" s="244">
        <f>VLOOKUP(A108,'Planilha_Sintética_Geral'!A:O,7,0)</f>
        <v>1</v>
      </c>
      <c r="H108" s="241">
        <f>IFERROR(IF(D108="SINAPI-S",VLOOKUP(B108,'20-B.SINAPI-S'!A:J,5,0),IF(D108="SINAPI-I",VLOOKUP(B108,'20-A.SINAPI-I'!A:G,6,0),IF(D108="COMPOSIÇÕES",VLOOKUP(B108,'11.COMPOSIÇÕES GERAIS'!B:I,7,0),0))),"Em Elaboração")</f>
        <v>9.12</v>
      </c>
      <c r="I108" s="241">
        <f>IFERROR(IF(D108="SINAPI-S",VLOOKUP(B108,'20-B.SINAPI-S'!A:J,6,0),IF(D108="SINAPI-I",VLOOKUP(B108,'20-A.SINAPI-I'!A:G,7,0),IF(D108="COMPOSIÇÕES",VLOOKUP(B108,'11.COMPOSIÇÕES GERAIS'!B:I,8,0),VLOOKUP(B108,'12.COT.MERCADO'!A:I,8,0)))),"Em Elaboração")</f>
        <v>41.76</v>
      </c>
      <c r="J108" s="241">
        <f t="shared" si="13"/>
        <v>10.70617749</v>
      </c>
      <c r="K108" s="241">
        <f t="shared" si="14"/>
        <v>48.91493228</v>
      </c>
      <c r="L108" s="241">
        <f t="shared" si="15"/>
        <v>59.62110976</v>
      </c>
      <c r="M108" s="241">
        <f t="shared" si="16"/>
        <v>10.70617749</v>
      </c>
      <c r="N108" s="241">
        <f t="shared" si="17"/>
        <v>48.91493228</v>
      </c>
      <c r="O108" s="241">
        <f t="shared" si="18"/>
        <v>59.62110976</v>
      </c>
      <c r="P108" s="242">
        <f t="shared" si="3"/>
        <v>0.0001912030571</v>
      </c>
    </row>
    <row r="109">
      <c r="A109" s="236" t="s">
        <v>316</v>
      </c>
      <c r="B109" s="237">
        <f>VLOOKUP(A109,'Planilha_Sintética_Geral'!A:P,2,0)</f>
        <v>94991</v>
      </c>
      <c r="C109" s="238" t="str">
        <f t="shared" si="12"/>
        <v>SINAPI</v>
      </c>
      <c r="D109" s="238" t="s">
        <v>218</v>
      </c>
      <c r="E109" s="239" t="str">
        <f>IFERROR(IF(D109="SINAPI-S",VLOOKUP(B109,'20-B.SINAPI-S'!A:J,2,0),IF(D109="SINAPI-I",VLOOKUP(B109,'20-A.SINAPI-I'!A:G,2,0),IF(D109="COMPOSIÇÕES",VLOOKUP(B109,'11.COMPOSIÇÕES GERAIS'!B:I,2,0),VLOOKUP(B109,'12.COT.MERCADO'!A:I,2,0)))),"Em Elaboração")</f>
        <v>EXECUÇÃO DE PASSEIO (CALÇADA) OU PISO DE CONCRETO COM CONCRETO MOLDADO IN LOCO, USINADO C20, ACABAMENTO CONVENCIONAL, NÃO ARMADO. AF_08/2022</v>
      </c>
      <c r="F109" s="240" t="str">
        <f>IFERROR(IF(D109="SINAPI-S",VLOOKUP(B109,'20-B.SINAPI-S'!A:J,3,0),IF(D109="SINAPI-I",VLOOKUP(B109,'20-A.SINAPI-I'!A:G,3,0),IF(D109="COMPOSIÇÕES",VLOOKUP(B109,'11.COMPOSIÇÕES GERAIS'!B:I,3,0),VLOOKUP(B109,'12.COT.MERCADO'!A:I,7,0)))),"Em Elaboração")</f>
        <v>M3</v>
      </c>
      <c r="G109" s="244">
        <f>VLOOKUP(A109,'Planilha_Sintética_Geral'!A:O,7,0)</f>
        <v>1</v>
      </c>
      <c r="H109" s="241">
        <f>IFERROR(IF(D109="SINAPI-S",VLOOKUP(B109,'20-B.SINAPI-S'!A:J,5,0),IF(D109="SINAPI-I",VLOOKUP(B109,'20-A.SINAPI-I'!A:G,6,0),IF(D109="COMPOSIÇÕES",VLOOKUP(B109,'11.COMPOSIÇÕES GERAIS'!B:I,7,0),0))),"Em Elaboração")</f>
        <v>74.64</v>
      </c>
      <c r="I109" s="241">
        <f>IFERROR(IF(D109="SINAPI-S",VLOOKUP(B109,'20-B.SINAPI-S'!A:J,6,0),IF(D109="SINAPI-I",VLOOKUP(B109,'20-A.SINAPI-I'!A:G,7,0),IF(D109="COMPOSIÇÕES",VLOOKUP(B109,'11.COMPOSIÇÕES GERAIS'!B:I,8,0),VLOOKUP(B109,'12.COT.MERCADO'!A:I,8,0)))),"Em Elaboração")</f>
        <v>550.77</v>
      </c>
      <c r="J109" s="241">
        <f t="shared" si="13"/>
        <v>87.62161048</v>
      </c>
      <c r="K109" s="241">
        <f t="shared" si="14"/>
        <v>645.1359495</v>
      </c>
      <c r="L109" s="241">
        <f t="shared" si="15"/>
        <v>732.7575599</v>
      </c>
      <c r="M109" s="241">
        <f t="shared" si="16"/>
        <v>87.62161048</v>
      </c>
      <c r="N109" s="241">
        <f t="shared" si="17"/>
        <v>645.1359495</v>
      </c>
      <c r="O109" s="241">
        <f t="shared" si="18"/>
        <v>732.7575599</v>
      </c>
      <c r="P109" s="242">
        <f t="shared" si="3"/>
        <v>0.002349930858</v>
      </c>
    </row>
    <row r="110">
      <c r="A110" s="236" t="s">
        <v>317</v>
      </c>
      <c r="B110" s="237" t="str">
        <f>VLOOKUP(A110,'Planilha_Sintética_Geral'!A:P,2,0)</f>
        <v>MAN_PR_024</v>
      </c>
      <c r="C110" s="238" t="str">
        <f t="shared" si="12"/>
        <v>PRÓPRIO</v>
      </c>
      <c r="D110" s="243" t="s">
        <v>230</v>
      </c>
      <c r="E110" s="239" t="str">
        <f>IFERROR(IF(D110="SINAPI-S",VLOOKUP(B110,'20-B.SINAPI-S'!A:J,2,0),IF(D110="SINAPI-I",VLOOKUP(B110,'20-A.SINAPI-I'!A:G,2,0),IF(D110="COMPOSIÇÕES",VLOOKUP(B110,'11.COMPOSIÇÕES GERAIS'!B:I,2,0),VLOOKUP(B110,'12.COT.MERCADO'!A:I,2,0)))),"Em Elaboração")</f>
        <v>VERIFICAÇÃO DE VAZAMENTO EM INSTALAÇÕES INTERNAS POR RAMAL</v>
      </c>
      <c r="F110" s="240" t="str">
        <f>IFERROR(IF(D110="SINAPI-S",VLOOKUP(B110,'20-B.SINAPI-S'!A:J,3,0),IF(D110="SINAPI-I",VLOOKUP(B110,'20-A.SINAPI-I'!A:G,3,0),IF(D110="COMPOSIÇÕES",VLOOKUP(B110,'11.COMPOSIÇÕES GERAIS'!B:I,3,0),VLOOKUP(B110,'12.COT.MERCADO'!A:I,7,0)))),"Em Elaboração")</f>
        <v>UN</v>
      </c>
      <c r="G110" s="244">
        <f>VLOOKUP(A110,'Planilha_Sintética_Geral'!A:O,7,0)</f>
        <v>1</v>
      </c>
      <c r="H110" s="241">
        <f>IFERROR(IF(D110="SINAPI-S",VLOOKUP(B110,'20-B.SINAPI-S'!A:J,5,0),IF(D110="SINAPI-I",VLOOKUP(B110,'20-A.SINAPI-I'!A:G,6,0),IF(D110="COMPOSIÇÕES",VLOOKUP(B110,'11.COMPOSIÇÕES GERAIS'!B:I,7,0),0))),"Em Elaboração")</f>
        <v>23.155886</v>
      </c>
      <c r="I110" s="241">
        <f>IFERROR(IF(D110="SINAPI-S",VLOOKUP(B110,'20-B.SINAPI-S'!A:J,6,0),IF(D110="SINAPI-I",VLOOKUP(B110,'20-A.SINAPI-I'!A:G,7,0),IF(D110="COMPOSIÇÕES",VLOOKUP(B110,'11.COMPOSIÇÕES GERAIS'!B:I,8,0),VLOOKUP(B110,'12.COT.MERCADO'!A:I,8,0)))),"Em Elaboração")</f>
        <v>7.668854</v>
      </c>
      <c r="J110" s="241">
        <f t="shared" si="13"/>
        <v>27.18322647</v>
      </c>
      <c r="K110" s="241">
        <f t="shared" si="14"/>
        <v>8.982793919</v>
      </c>
      <c r="L110" s="241">
        <f t="shared" si="15"/>
        <v>36.16602038</v>
      </c>
      <c r="M110" s="241">
        <f t="shared" si="16"/>
        <v>27.18322647</v>
      </c>
      <c r="N110" s="241">
        <f t="shared" si="17"/>
        <v>8.982793919</v>
      </c>
      <c r="O110" s="241">
        <f t="shared" si="18"/>
        <v>36.16602038</v>
      </c>
      <c r="P110" s="242">
        <f t="shared" si="3"/>
        <v>0.0001159833101</v>
      </c>
    </row>
    <row r="111">
      <c r="A111" s="236" t="s">
        <v>318</v>
      </c>
      <c r="B111" s="237">
        <f>VLOOKUP(A111,'Planilha_Sintética_Geral'!A:P,2,0)</f>
        <v>91928</v>
      </c>
      <c r="C111" s="238" t="str">
        <f t="shared" si="12"/>
        <v>SINAPI</v>
      </c>
      <c r="D111" s="238" t="s">
        <v>218</v>
      </c>
      <c r="E111" s="239" t="str">
        <f>IFERROR(IF(D111="SINAPI-S",VLOOKUP(B111,'20-B.SINAPI-S'!A:J,2,0),IF(D111="SINAPI-I",VLOOKUP(B111,'20-A.SINAPI-I'!A:G,2,0),IF(D111="COMPOSIÇÕES",VLOOKUP(B111,'11.COMPOSIÇÕES GERAIS'!B:I,2,0),VLOOKUP(B111,'12.COT.MERCADO'!A:I,2,0)))),"Em Elaboração")</f>
        <v>CABO DE COBRE FLEXÍVEL ISOLADO, 4 MM², ANTI-CHAMA 450/750 V, PARA CIRCUITOS TERMINAIS - FORNECIMENTO E INSTALAÇÃO. AF_03/2023</v>
      </c>
      <c r="F111" s="240" t="str">
        <f>IFERROR(IF(D111="SINAPI-S",VLOOKUP(B111,'20-B.SINAPI-S'!A:J,3,0),IF(D111="SINAPI-I",VLOOKUP(B111,'20-A.SINAPI-I'!A:G,3,0),IF(D111="COMPOSIÇÕES",VLOOKUP(B111,'11.COMPOSIÇÕES GERAIS'!B:I,3,0),VLOOKUP(B111,'12.COT.MERCADO'!A:I,7,0)))),"Em Elaboração")</f>
        <v>M</v>
      </c>
      <c r="G111" s="244">
        <f>VLOOKUP(A111,'Planilha_Sintética_Geral'!A:O,7,0)</f>
        <v>26</v>
      </c>
      <c r="H111" s="241">
        <f>IFERROR(IF(D111="SINAPI-S",VLOOKUP(B111,'20-B.SINAPI-S'!A:J,5,0),IF(D111="SINAPI-I",VLOOKUP(B111,'20-A.SINAPI-I'!A:G,6,0),IF(D111="COMPOSIÇÕES",VLOOKUP(B111,'11.COMPOSIÇÕES GERAIS'!B:I,7,0),0))),"Em Elaboração")</f>
        <v>1.72</v>
      </c>
      <c r="I111" s="241">
        <f>IFERROR(IF(D111="SINAPI-S",VLOOKUP(B111,'20-B.SINAPI-S'!A:J,6,0),IF(D111="SINAPI-I",VLOOKUP(B111,'20-A.SINAPI-I'!A:G,7,0),IF(D111="COMPOSIÇÕES",VLOOKUP(B111,'11.COMPOSIÇÕES GERAIS'!B:I,8,0),VLOOKUP(B111,'12.COT.MERCADO'!A:I,8,0)))),"Em Elaboração")</f>
        <v>5.11</v>
      </c>
      <c r="J111" s="241">
        <f t="shared" si="13"/>
        <v>2.019147508</v>
      </c>
      <c r="K111" s="241">
        <f t="shared" si="14"/>
        <v>5.98551973</v>
      </c>
      <c r="L111" s="241">
        <f t="shared" si="15"/>
        <v>8.004667238</v>
      </c>
      <c r="M111" s="241">
        <f t="shared" si="16"/>
        <v>52.49783522</v>
      </c>
      <c r="N111" s="241">
        <f t="shared" si="17"/>
        <v>155.623513</v>
      </c>
      <c r="O111" s="241">
        <f t="shared" si="18"/>
        <v>208.1213482</v>
      </c>
      <c r="P111" s="242">
        <f t="shared" si="3"/>
        <v>0.0006674387342</v>
      </c>
    </row>
    <row r="112">
      <c r="A112" s="236" t="s">
        <v>319</v>
      </c>
      <c r="B112" s="237">
        <f>VLOOKUP(A112,'Planilha_Sintética_Geral'!A:P,2,0)</f>
        <v>104480</v>
      </c>
      <c r="C112" s="238" t="str">
        <f t="shared" si="12"/>
        <v>SINAPI</v>
      </c>
      <c r="D112" s="238" t="s">
        <v>218</v>
      </c>
      <c r="E112" s="239" t="str">
        <f>IFERROR(IF(D112="SINAPI-S",VLOOKUP(B112,'20-B.SINAPI-S'!A:J,2,0),IF(D112="SINAPI-I",VLOOKUP(B112,'20-A.SINAPI-I'!A:G,2,0),IF(D112="COMPOSIÇÕES",VLOOKUP(B112,'11.COMPOSIÇÕES GERAIS'!B:I,2,0),VLOOKUP(B112,'12.COT.MERCADO'!A:I,2,0)))),"Em Elaboração")</f>
        <v>COMPOSIÇÃO PARAMÉTRICA DE PONTO ELÉTRICO DE TOMADA DE USO ESPECÍFICO 2P+T (20A/250V) EM EDIFÍCIO RESIDENCIAL COM ELETRODUTO EMBUTIDO SEM NECESSIDADE DE RASGOS, INCLUSO TOMADA, ELETRODUTO, CABO E QUEBRA (EXCETO CHUVEIRO). AF_11/2022</v>
      </c>
      <c r="F112" s="240" t="str">
        <f>IFERROR(IF(D112="SINAPI-S",VLOOKUP(B112,'20-B.SINAPI-S'!A:J,3,0),IF(D112="SINAPI-I",VLOOKUP(B112,'20-A.SINAPI-I'!A:G,3,0),IF(D112="COMPOSIÇÕES",VLOOKUP(B112,'11.COMPOSIÇÕES GERAIS'!B:I,3,0),VLOOKUP(B112,'12.COT.MERCADO'!A:I,7,0)))),"Em Elaboração")</f>
        <v>UN</v>
      </c>
      <c r="G112" s="244">
        <f>VLOOKUP(A112,'Planilha_Sintética_Geral'!A:O,7,0)</f>
        <v>1</v>
      </c>
      <c r="H112" s="241">
        <f>IFERROR(IF(D112="SINAPI-S",VLOOKUP(B112,'20-B.SINAPI-S'!A:J,5,0),IF(D112="SINAPI-I",VLOOKUP(B112,'20-A.SINAPI-I'!A:G,6,0),IF(D112="COMPOSIÇÕES",VLOOKUP(B112,'11.COMPOSIÇÕES GERAIS'!B:I,7,0),0))),"Em Elaboração")</f>
        <v>66.35</v>
      </c>
      <c r="I112" s="241">
        <f>IFERROR(IF(D112="SINAPI-S",VLOOKUP(B112,'20-B.SINAPI-S'!A:J,6,0),IF(D112="SINAPI-I",VLOOKUP(B112,'20-A.SINAPI-I'!A:G,7,0),IF(D112="COMPOSIÇÕES",VLOOKUP(B112,'11.COMPOSIÇÕES GERAIS'!B:I,8,0),VLOOKUP(B112,'12.COT.MERCADO'!A:I,8,0)))),"Em Elaboração")</f>
        <v>89.31</v>
      </c>
      <c r="J112" s="241">
        <f t="shared" si="13"/>
        <v>77.88978906</v>
      </c>
      <c r="K112" s="241">
        <f t="shared" si="14"/>
        <v>104.6118918</v>
      </c>
      <c r="L112" s="241">
        <f t="shared" si="15"/>
        <v>182.5016809</v>
      </c>
      <c r="M112" s="241">
        <f t="shared" si="16"/>
        <v>77.88978906</v>
      </c>
      <c r="N112" s="241">
        <f t="shared" si="17"/>
        <v>104.6118918</v>
      </c>
      <c r="O112" s="241">
        <f t="shared" si="18"/>
        <v>182.5016809</v>
      </c>
      <c r="P112" s="242">
        <f t="shared" si="3"/>
        <v>0.0005852772525</v>
      </c>
    </row>
    <row r="113">
      <c r="A113" s="236" t="s">
        <v>320</v>
      </c>
      <c r="B113" s="237">
        <f>VLOOKUP(A113,'Planilha_Sintética_Geral'!A:P,2,0)</f>
        <v>103307</v>
      </c>
      <c r="C113" s="238" t="str">
        <f t="shared" si="12"/>
        <v>SINAPI</v>
      </c>
      <c r="D113" s="238" t="s">
        <v>218</v>
      </c>
      <c r="E113" s="239" t="str">
        <f>IFERROR(IF(D113="SINAPI-S",VLOOKUP(B113,'20-B.SINAPI-S'!A:J,2,0),IF(D113="SINAPI-I",VLOOKUP(B113,'20-A.SINAPI-I'!A:G,2,0),IF(D113="COMPOSIÇÕES",VLOOKUP(B113,'11.COMPOSIÇÕES GERAIS'!B:I,2,0),VLOOKUP(B113,'12.COT.MERCADO'!A:I,2,0)))),"Em Elaboração")</f>
        <v>INSTALAÇÃO DE LIXEIRA METÁLICA DUPLA, CAPACIDADE DE 60 L, EM TUBO DE AÇO CARBONO E CESTOS EM CHAPA DE AÇO COM PINTURA ELETROSTÁTICA, SOBRE PISO DE CONCRETO EXISTENTE. AF_11/2021</v>
      </c>
      <c r="F113" s="240" t="str">
        <f>IFERROR(IF(D113="SINAPI-S",VLOOKUP(B113,'20-B.SINAPI-S'!A:J,3,0),IF(D113="SINAPI-I",VLOOKUP(B113,'20-A.SINAPI-I'!A:G,3,0),IF(D113="COMPOSIÇÕES",VLOOKUP(B113,'11.COMPOSIÇÕES GERAIS'!B:I,3,0),VLOOKUP(B113,'12.COT.MERCADO'!A:I,7,0)))),"Em Elaboração")</f>
        <v>UN</v>
      </c>
      <c r="G113" s="244">
        <f>VLOOKUP(A113,'Planilha_Sintética_Geral'!A:O,7,0)</f>
        <v>2</v>
      </c>
      <c r="H113" s="241">
        <f>IFERROR(IF(D113="SINAPI-S",VLOOKUP(B113,'20-B.SINAPI-S'!A:J,5,0),IF(D113="SINAPI-I",VLOOKUP(B113,'20-A.SINAPI-I'!A:G,6,0),IF(D113="COMPOSIÇÕES",VLOOKUP(B113,'11.COMPOSIÇÕES GERAIS'!B:I,7,0),0))),"Em Elaboração")</f>
        <v>76.14</v>
      </c>
      <c r="I113" s="241">
        <f>IFERROR(IF(D113="SINAPI-S",VLOOKUP(B113,'20-B.SINAPI-S'!A:J,6,0),IF(D113="SINAPI-I",VLOOKUP(B113,'20-A.SINAPI-I'!A:G,7,0),IF(D113="COMPOSIÇÕES",VLOOKUP(B113,'11.COMPOSIÇÕES GERAIS'!B:I,8,0),VLOOKUP(B113,'12.COT.MERCADO'!A:I,8,0)))),"Em Elaboração")</f>
        <v>1274.1</v>
      </c>
      <c r="J113" s="241">
        <f t="shared" si="13"/>
        <v>89.38249494</v>
      </c>
      <c r="K113" s="241">
        <f t="shared" si="14"/>
        <v>1492.397395</v>
      </c>
      <c r="L113" s="241">
        <f t="shared" si="15"/>
        <v>1581.77989</v>
      </c>
      <c r="M113" s="241">
        <f t="shared" si="16"/>
        <v>178.7649899</v>
      </c>
      <c r="N113" s="241">
        <f t="shared" si="17"/>
        <v>2984.79479</v>
      </c>
      <c r="O113" s="241">
        <f t="shared" si="18"/>
        <v>3163.55978</v>
      </c>
      <c r="P113" s="242">
        <f t="shared" si="3"/>
        <v>0.01014543848</v>
      </c>
    </row>
    <row r="114">
      <c r="A114" s="236" t="s">
        <v>321</v>
      </c>
      <c r="B114" s="237">
        <f>VLOOKUP(A114,'Planilha_Sintética_Geral'!A:P,2,0)</f>
        <v>97585</v>
      </c>
      <c r="C114" s="238" t="str">
        <f t="shared" si="12"/>
        <v>SINAPI</v>
      </c>
      <c r="D114" s="238" t="s">
        <v>218</v>
      </c>
      <c r="E114" s="239" t="str">
        <f>IFERROR(IF(D114="SINAPI-S",VLOOKUP(B114,'20-B.SINAPI-S'!A:J,2,0),IF(D114="SINAPI-I",VLOOKUP(B114,'20-A.SINAPI-I'!A:G,2,0),IF(D114="COMPOSIÇÕES",VLOOKUP(B114,'11.COMPOSIÇÕES GERAIS'!B:I,2,0),VLOOKUP(B114,'12.COT.MERCADO'!A:I,2,0)))),"Em Elaboração")</f>
        <v>LUMINÁRIA TIPO CALHA, DE SOBREPOR, COM 2 LÂMPADAS TUBULARES FLUORESCENTES DE 18 W, COM REATOR DE PARTIDA RÁPIDA - FORNECIMENTO E INSTALAÇÃO. AF_02/2020</v>
      </c>
      <c r="F114" s="240" t="str">
        <f>IFERROR(IF(D114="SINAPI-S",VLOOKUP(B114,'20-B.SINAPI-S'!A:J,3,0),IF(D114="SINAPI-I",VLOOKUP(B114,'20-A.SINAPI-I'!A:G,3,0),IF(D114="COMPOSIÇÕES",VLOOKUP(B114,'11.COMPOSIÇÕES GERAIS'!B:I,3,0),VLOOKUP(B114,'12.COT.MERCADO'!A:I,7,0)))),"Em Elaboração")</f>
        <v>UN</v>
      </c>
      <c r="G114" s="244">
        <f>VLOOKUP(A114,'Planilha_Sintética_Geral'!A:O,7,0)</f>
        <v>2</v>
      </c>
      <c r="H114" s="241">
        <f>IFERROR(IF(D114="SINAPI-S",VLOOKUP(B114,'20-B.SINAPI-S'!A:J,5,0),IF(D114="SINAPI-I",VLOOKUP(B114,'20-A.SINAPI-I'!A:G,6,0),IF(D114="COMPOSIÇÕES",VLOOKUP(B114,'11.COMPOSIÇÕES GERAIS'!B:I,7,0),0))),"Em Elaboração")</f>
        <v>13.69</v>
      </c>
      <c r="I114" s="241">
        <f>IFERROR(IF(D114="SINAPI-S",VLOOKUP(B114,'20-B.SINAPI-S'!A:J,6,0),IF(D114="SINAPI-I",VLOOKUP(B114,'20-A.SINAPI-I'!A:G,7,0),IF(D114="COMPOSIÇÕES",VLOOKUP(B114,'11.COMPOSIÇÕES GERAIS'!B:I,8,0),VLOOKUP(B114,'12.COT.MERCADO'!A:I,8,0)))),"Em Elaboração")</f>
        <v>98.09</v>
      </c>
      <c r="J114" s="241">
        <f t="shared" si="13"/>
        <v>16.07100546</v>
      </c>
      <c r="K114" s="241">
        <f t="shared" si="14"/>
        <v>114.8962095</v>
      </c>
      <c r="L114" s="241">
        <f t="shared" si="15"/>
        <v>130.9672149</v>
      </c>
      <c r="M114" s="241">
        <f t="shared" si="16"/>
        <v>32.14201092</v>
      </c>
      <c r="N114" s="241">
        <f t="shared" si="17"/>
        <v>229.7924189</v>
      </c>
      <c r="O114" s="241">
        <f t="shared" si="18"/>
        <v>261.9344298</v>
      </c>
      <c r="P114" s="242">
        <f t="shared" si="3"/>
        <v>0.0008400156245</v>
      </c>
    </row>
    <row r="115">
      <c r="A115" s="236" t="s">
        <v>322</v>
      </c>
      <c r="B115" s="237">
        <f>VLOOKUP(A115,'Planilha_Sintética_Geral'!A:P,2,0)</f>
        <v>101648</v>
      </c>
      <c r="C115" s="238" t="str">
        <f t="shared" si="12"/>
        <v>SINAPI</v>
      </c>
      <c r="D115" s="238" t="s">
        <v>218</v>
      </c>
      <c r="E115" s="239" t="str">
        <f>IFERROR(IF(D115="SINAPI-S",VLOOKUP(B115,'20-B.SINAPI-S'!A:J,2,0),IF(D115="SINAPI-I",VLOOKUP(B115,'20-A.SINAPI-I'!A:G,2,0),IF(D115="COMPOSIÇÕES",VLOOKUP(B115,'11.COMPOSIÇÕES GERAIS'!B:I,2,0),VLOOKUP(B115,'12.COT.MERCADO'!A:I,2,0)))),"Em Elaboração")</f>
        <v>LÂMPADA VAPOR DE SÓDIO 150 W - FORNECIMENTO E INSTALAÇÃO. AF_08/2020</v>
      </c>
      <c r="F115" s="240" t="str">
        <f>IFERROR(IF(D115="SINAPI-S",VLOOKUP(B115,'20-B.SINAPI-S'!A:J,3,0),IF(D115="SINAPI-I",VLOOKUP(B115,'20-A.SINAPI-I'!A:G,3,0),IF(D115="COMPOSIÇÕES",VLOOKUP(B115,'11.COMPOSIÇÕES GERAIS'!B:I,3,0),VLOOKUP(B115,'12.COT.MERCADO'!A:I,7,0)))),"Em Elaboração")</f>
        <v>UN</v>
      </c>
      <c r="G115" s="244">
        <f>VLOOKUP(A115,'Planilha_Sintética_Geral'!A:O,7,0)</f>
        <v>1</v>
      </c>
      <c r="H115" s="241">
        <f>IFERROR(IF(D115="SINAPI-S",VLOOKUP(B115,'20-B.SINAPI-S'!A:J,5,0),IF(D115="SINAPI-I",VLOOKUP(B115,'20-A.SINAPI-I'!A:G,6,0),IF(D115="COMPOSIÇÕES",VLOOKUP(B115,'11.COMPOSIÇÕES GERAIS'!B:I,7,0),0))),"Em Elaboração")</f>
        <v>1.19</v>
      </c>
      <c r="I115" s="241">
        <f>IFERROR(IF(D115="SINAPI-S",VLOOKUP(B115,'20-B.SINAPI-S'!A:J,6,0),IF(D115="SINAPI-I",VLOOKUP(B115,'20-A.SINAPI-I'!A:G,7,0),IF(D115="COMPOSIÇÕES",VLOOKUP(B115,'11.COMPOSIÇÕES GERAIS'!B:I,8,0),VLOOKUP(B115,'12.COT.MERCADO'!A:I,8,0)))),"Em Elaboração")</f>
        <v>52.32</v>
      </c>
      <c r="J115" s="241">
        <f t="shared" si="13"/>
        <v>1.396968334</v>
      </c>
      <c r="K115" s="241">
        <f t="shared" si="14"/>
        <v>61.28422549</v>
      </c>
      <c r="L115" s="241">
        <f t="shared" si="15"/>
        <v>62.68119383</v>
      </c>
      <c r="M115" s="241">
        <f t="shared" si="16"/>
        <v>1.396968334</v>
      </c>
      <c r="N115" s="241">
        <f t="shared" si="17"/>
        <v>61.28422549</v>
      </c>
      <c r="O115" s="241">
        <f t="shared" si="18"/>
        <v>62.68119383</v>
      </c>
      <c r="P115" s="242">
        <f t="shared" si="3"/>
        <v>0.0002010166522</v>
      </c>
    </row>
    <row r="116">
      <c r="A116" s="236" t="s">
        <v>323</v>
      </c>
      <c r="B116" s="237">
        <f>VLOOKUP(A116,'Planilha_Sintética_Geral'!A:P,2,0)</f>
        <v>101627</v>
      </c>
      <c r="C116" s="238" t="str">
        <f t="shared" si="12"/>
        <v>SINAPI</v>
      </c>
      <c r="D116" s="238" t="s">
        <v>218</v>
      </c>
      <c r="E116" s="239" t="str">
        <f>IFERROR(IF(D116="SINAPI-S",VLOOKUP(B116,'20-B.SINAPI-S'!A:J,2,0),IF(D116="SINAPI-I",VLOOKUP(B116,'20-A.SINAPI-I'!A:G,2,0),IF(D116="COMPOSIÇÕES",VLOOKUP(B116,'11.COMPOSIÇÕES GERAIS'!B:I,2,0),VLOOKUP(B116,'12.COT.MERCADO'!A:I,2,0)))),"Em Elaboração")</f>
        <v>REATOR PARA LÂMPADA VAPOR DE SÓDIO 250 W, USO EXTERNO - FORNECIMENTO E INSTALAÇÃO. AF_08/2020</v>
      </c>
      <c r="F116" s="240" t="str">
        <f>IFERROR(IF(D116="SINAPI-S",VLOOKUP(B116,'20-B.SINAPI-S'!A:J,3,0),IF(D116="SINAPI-I",VLOOKUP(B116,'20-A.SINAPI-I'!A:G,3,0),IF(D116="COMPOSIÇÕES",VLOOKUP(B116,'11.COMPOSIÇÕES GERAIS'!B:I,3,0),VLOOKUP(B116,'12.COT.MERCADO'!A:I,7,0)))),"Em Elaboração")</f>
        <v>UN</v>
      </c>
      <c r="G116" s="244">
        <f>VLOOKUP(A116,'Planilha_Sintética_Geral'!A:O,7,0)</f>
        <v>1</v>
      </c>
      <c r="H116" s="241">
        <f>IFERROR(IF(D116="SINAPI-S",VLOOKUP(B116,'20-B.SINAPI-S'!A:J,5,0),IF(D116="SINAPI-I",VLOOKUP(B116,'20-A.SINAPI-I'!A:G,6,0),IF(D116="COMPOSIÇÕES",VLOOKUP(B116,'11.COMPOSIÇÕES GERAIS'!B:I,7,0),0))),"Em Elaboração")</f>
        <v>8.59</v>
      </c>
      <c r="I116" s="241">
        <f>IFERROR(IF(D116="SINAPI-S",VLOOKUP(B116,'20-B.SINAPI-S'!A:J,6,0),IF(D116="SINAPI-I",VLOOKUP(B116,'20-A.SINAPI-I'!A:G,7,0),IF(D116="COMPOSIÇÕES",VLOOKUP(B116,'11.COMPOSIÇÕES GERAIS'!B:I,8,0),VLOOKUP(B116,'12.COT.MERCADO'!A:I,8,0)))),"Em Elaboração")</f>
        <v>239.91</v>
      </c>
      <c r="J116" s="241">
        <f t="shared" si="13"/>
        <v>10.08399831</v>
      </c>
      <c r="K116" s="241">
        <f t="shared" si="14"/>
        <v>281.0148803</v>
      </c>
      <c r="L116" s="241">
        <f t="shared" si="15"/>
        <v>291.0988786</v>
      </c>
      <c r="M116" s="241">
        <f t="shared" si="16"/>
        <v>10.08399831</v>
      </c>
      <c r="N116" s="241">
        <f t="shared" si="17"/>
        <v>281.0148803</v>
      </c>
      <c r="O116" s="241">
        <f t="shared" si="18"/>
        <v>291.0988786</v>
      </c>
      <c r="P116" s="242">
        <f t="shared" si="3"/>
        <v>0.0009335451109</v>
      </c>
    </row>
    <row r="117">
      <c r="A117" s="236" t="s">
        <v>324</v>
      </c>
      <c r="B117" s="237">
        <f>VLOOKUP(A117,'Planilha_Sintética_Geral'!A:P,2,0)</f>
        <v>86935</v>
      </c>
      <c r="C117" s="238" t="str">
        <f t="shared" si="12"/>
        <v>SINAPI</v>
      </c>
      <c r="D117" s="238" t="s">
        <v>218</v>
      </c>
      <c r="E117" s="239" t="str">
        <f>IFERROR(IF(D117="SINAPI-S",VLOOKUP(B117,'20-B.SINAPI-S'!A:J,2,0),IF(D117="SINAPI-I",VLOOKUP(B117,'20-A.SINAPI-I'!A:G,2,0),IF(D117="COMPOSIÇÕES",VLOOKUP(B117,'11.COMPOSIÇÕES GERAIS'!B:I,2,0),VLOOKUP(B117,'12.COT.MERCADO'!A:I,2,0)))),"Em Elaboração")</f>
        <v>CUBA DE EMBUTIR DE AÇO INOXIDÁVEL MÉDIA, INCLUSO VÁLVULA TIPO AMERICANA EM METAL CROMADO E SIFÃO FLEXÍVEL EM PVC - FORNECIMENTO E INSTALAÇÃO. AF_01/2020</v>
      </c>
      <c r="F117" s="240" t="str">
        <f>IFERROR(IF(D117="SINAPI-S",VLOOKUP(B117,'20-B.SINAPI-S'!A:J,3,0),IF(D117="SINAPI-I",VLOOKUP(B117,'20-A.SINAPI-I'!A:G,3,0),IF(D117="COMPOSIÇÕES",VLOOKUP(B117,'11.COMPOSIÇÕES GERAIS'!B:I,3,0),VLOOKUP(B117,'12.COT.MERCADO'!A:I,7,0)))),"Em Elaboração")</f>
        <v>UN</v>
      </c>
      <c r="G117" s="244">
        <f>VLOOKUP(A117,'Planilha_Sintética_Geral'!A:O,7,0)</f>
        <v>1</v>
      </c>
      <c r="H117" s="241">
        <f>IFERROR(IF(D117="SINAPI-S",VLOOKUP(B117,'20-B.SINAPI-S'!A:J,5,0),IF(D117="SINAPI-I",VLOOKUP(B117,'20-A.SINAPI-I'!A:G,6,0),IF(D117="COMPOSIÇÕES",VLOOKUP(B117,'11.COMPOSIÇÕES GERAIS'!B:I,7,0),0))),"Em Elaboração")</f>
        <v>23.65</v>
      </c>
      <c r="I117" s="241">
        <f>IFERROR(IF(D117="SINAPI-S",VLOOKUP(B117,'20-B.SINAPI-S'!A:J,6,0),IF(D117="SINAPI-I",VLOOKUP(B117,'20-A.SINAPI-I'!A:G,7,0),IF(D117="COMPOSIÇÕES",VLOOKUP(B117,'11.COMPOSIÇÕES GERAIS'!B:I,8,0),VLOOKUP(B117,'12.COT.MERCADO'!A:I,8,0)))),"Em Elaboração")</f>
        <v>338.79</v>
      </c>
      <c r="J117" s="241">
        <f t="shared" si="13"/>
        <v>27.76327824</v>
      </c>
      <c r="K117" s="241">
        <f t="shared" si="14"/>
        <v>396.8364441</v>
      </c>
      <c r="L117" s="241">
        <f t="shared" si="15"/>
        <v>424.5997223</v>
      </c>
      <c r="M117" s="241">
        <f t="shared" si="16"/>
        <v>27.76327824</v>
      </c>
      <c r="N117" s="241">
        <f t="shared" si="17"/>
        <v>396.8364441</v>
      </c>
      <c r="O117" s="241">
        <f t="shared" si="18"/>
        <v>424.5997223</v>
      </c>
      <c r="P117" s="242">
        <f t="shared" si="3"/>
        <v>0.001361678192</v>
      </c>
    </row>
    <row r="118">
      <c r="A118" s="236" t="s">
        <v>325</v>
      </c>
      <c r="B118" s="237" t="str">
        <f>VLOOKUP(A118,'Planilha_Sintética_Geral'!A:P,2,0)</f>
        <v>MAN_PR_025</v>
      </c>
      <c r="C118" s="238" t="str">
        <f t="shared" si="12"/>
        <v>PRÓPRIO</v>
      </c>
      <c r="D118" s="243" t="s">
        <v>230</v>
      </c>
      <c r="E118" s="239" t="str">
        <f>IFERROR(IF(D118="SINAPI-S",VLOOKUP(B118,'20-B.SINAPI-S'!A:J,2,0),IF(D118="SINAPI-I",VLOOKUP(B118,'20-A.SINAPI-I'!A:G,2,0),IF(D118="COMPOSIÇÕES",VLOOKUP(B118,'11.COMPOSIÇÕES GERAIS'!B:I,2,0),VLOOKUP(B118,'12.COT.MERCADO'!A:I,2,0)))),"Em Elaboração")</f>
        <v>FORNECIMENTO E INSTALAÇÃO DE CANALETA EM PVC PARA INSTALAÇÃO ELÉTRICA APARENTE, INCLUSIVE CONEXÕES, DIMENSÕES 20 X 10 MM</v>
      </c>
      <c r="F118" s="240" t="str">
        <f>IFERROR(IF(D118="SINAPI-S",VLOOKUP(B118,'20-B.SINAPI-S'!A:J,3,0),IF(D118="SINAPI-I",VLOOKUP(B118,'20-A.SINAPI-I'!A:G,3,0),IF(D118="COMPOSIÇÕES",VLOOKUP(B118,'11.COMPOSIÇÕES GERAIS'!B:I,3,0),VLOOKUP(B118,'12.COT.MERCADO'!A:I,7,0)))),"Em Elaboração")</f>
        <v>M</v>
      </c>
      <c r="G118" s="244">
        <f>VLOOKUP(A118,'Planilha_Sintética_Geral'!A:O,7,0)</f>
        <v>10</v>
      </c>
      <c r="H118" s="241">
        <f>IFERROR(IF(D118="SINAPI-S",VLOOKUP(B118,'20-B.SINAPI-S'!A:J,5,0),IF(D118="SINAPI-I",VLOOKUP(B118,'20-A.SINAPI-I'!A:G,6,0),IF(D118="COMPOSIÇÕES",VLOOKUP(B118,'11.COMPOSIÇÕES GERAIS'!B:I,7,0),0))),"Em Elaboração")</f>
        <v>15.5015</v>
      </c>
      <c r="I118" s="241">
        <f>IFERROR(IF(D118="SINAPI-S",VLOOKUP(B118,'20-B.SINAPI-S'!A:J,6,0),IF(D118="SINAPI-I",VLOOKUP(B118,'20-A.SINAPI-I'!A:G,7,0),IF(D118="COMPOSIÇÕES",VLOOKUP(B118,'11.COMPOSIÇÕES GERAIS'!B:I,8,0),VLOOKUP(B118,'12.COT.MERCADO'!A:I,8,0)))),"Em Elaboração")</f>
        <v>11.627</v>
      </c>
      <c r="J118" s="241">
        <f t="shared" si="13"/>
        <v>18.19756692</v>
      </c>
      <c r="K118" s="241">
        <f t="shared" si="14"/>
        <v>13.61910722</v>
      </c>
      <c r="L118" s="241">
        <f t="shared" si="15"/>
        <v>31.81667414</v>
      </c>
      <c r="M118" s="241">
        <f t="shared" si="16"/>
        <v>181.9756692</v>
      </c>
      <c r="N118" s="241">
        <f t="shared" si="17"/>
        <v>136.1910722</v>
      </c>
      <c r="O118" s="241">
        <f t="shared" si="18"/>
        <v>318.1667414</v>
      </c>
      <c r="P118" s="242">
        <f t="shared" si="3"/>
        <v>0.001020350911</v>
      </c>
    </row>
    <row r="119">
      <c r="A119" s="236" t="s">
        <v>326</v>
      </c>
      <c r="B119" s="237">
        <f>VLOOKUP(A119,'Planilha_Sintética_Geral'!A:P,2,0)</f>
        <v>99634</v>
      </c>
      <c r="C119" s="238" t="str">
        <f t="shared" si="12"/>
        <v>SINAPI</v>
      </c>
      <c r="D119" s="238" t="s">
        <v>218</v>
      </c>
      <c r="E119" s="239" t="str">
        <f>IFERROR(IF(D119="SINAPI-S",VLOOKUP(B119,'20-B.SINAPI-S'!A:J,2,0),IF(D119="SINAPI-I",VLOOKUP(B119,'20-A.SINAPI-I'!A:G,2,0),IF(D119="COMPOSIÇÕES",VLOOKUP(B119,'11.COMPOSIÇÕES GERAIS'!B:I,2,0),VLOOKUP(B119,'12.COT.MERCADO'!A:I,2,0)))),"Em Elaboração")</f>
        <v>VÁLVULA DE RETENÇÃO VERTICAL, DE BRONZE, ROSCÁVEL, 4" - FORNECIMENTO E INSTALAÇÃO. AF_08/2021</v>
      </c>
      <c r="F119" s="240" t="str">
        <f>IFERROR(IF(D119="SINAPI-S",VLOOKUP(B119,'20-B.SINAPI-S'!A:J,3,0),IF(D119="SINAPI-I",VLOOKUP(B119,'20-A.SINAPI-I'!A:G,3,0),IF(D119="COMPOSIÇÕES",VLOOKUP(B119,'11.COMPOSIÇÕES GERAIS'!B:I,3,0),VLOOKUP(B119,'12.COT.MERCADO'!A:I,7,0)))),"Em Elaboração")</f>
        <v>UN</v>
      </c>
      <c r="G119" s="244">
        <f>VLOOKUP(A119,'Planilha_Sintética_Geral'!A:O,7,0)</f>
        <v>1</v>
      </c>
      <c r="H119" s="241">
        <f>IFERROR(IF(D119="SINAPI-S",VLOOKUP(B119,'20-B.SINAPI-S'!A:J,5,0),IF(D119="SINAPI-I",VLOOKUP(B119,'20-A.SINAPI-I'!A:G,6,0),IF(D119="COMPOSIÇÕES",VLOOKUP(B119,'11.COMPOSIÇÕES GERAIS'!B:I,7,0),0))),"Em Elaboração")</f>
        <v>31.35</v>
      </c>
      <c r="I119" s="241">
        <f>IFERROR(IF(D119="SINAPI-S",VLOOKUP(B119,'20-B.SINAPI-S'!A:J,6,0),IF(D119="SINAPI-I",VLOOKUP(B119,'20-A.SINAPI-I'!A:G,7,0),IF(D119="COMPOSIÇÕES",VLOOKUP(B119,'11.COMPOSIÇÕES GERAIS'!B:I,8,0),VLOOKUP(B119,'12.COT.MERCADO'!A:I,8,0)))),"Em Elaboração")</f>
        <v>767.56</v>
      </c>
      <c r="J119" s="241">
        <f t="shared" si="13"/>
        <v>36.80248511</v>
      </c>
      <c r="K119" s="241">
        <f t="shared" si="14"/>
        <v>899.0695742</v>
      </c>
      <c r="L119" s="241">
        <f t="shared" si="15"/>
        <v>935.8720593</v>
      </c>
      <c r="M119" s="241">
        <f t="shared" si="16"/>
        <v>36.80248511</v>
      </c>
      <c r="N119" s="241">
        <f t="shared" si="17"/>
        <v>899.0695742</v>
      </c>
      <c r="O119" s="241">
        <f t="shared" si="18"/>
        <v>935.8720593</v>
      </c>
      <c r="P119" s="242">
        <f t="shared" si="3"/>
        <v>0.003001312782</v>
      </c>
    </row>
    <row r="120">
      <c r="A120" s="236" t="s">
        <v>327</v>
      </c>
      <c r="B120" s="237" t="str">
        <f>VLOOKUP(A120,'Planilha_Sintética_Geral'!A:P,2,0)</f>
        <v>MAN_PR_026</v>
      </c>
      <c r="C120" s="238" t="str">
        <f t="shared" si="12"/>
        <v>PRÓPRIO</v>
      </c>
      <c r="D120" s="243" t="s">
        <v>230</v>
      </c>
      <c r="E120" s="239" t="str">
        <f>IFERROR(IF(D120="SINAPI-S",VLOOKUP(B120,'20-B.SINAPI-S'!A:J,2,0),IF(D120="SINAPI-I",VLOOKUP(B120,'20-A.SINAPI-I'!A:G,2,0),IF(D120="COMPOSIÇÕES",VLOOKUP(B120,'11.COMPOSIÇÕES GERAIS'!B:I,2,0),VLOOKUP(B120,'12.COT.MERCADO'!A:I,2,0)))),"Em Elaboração")</f>
        <v>FORNECIMENTO E INSTALAÇÃO DE FECHADURA BIOMÉTRICA PARA PORTA, ABERTURA TIPO SENHA OU CHAVEIRO DE PROXIMIDADE. REF: INTELBRAS FR 320 OU SIMILAR</v>
      </c>
      <c r="F120" s="240" t="str">
        <f>IFERROR(IF(D120="SINAPI-S",VLOOKUP(B120,'20-B.SINAPI-S'!A:J,3,0),IF(D120="SINAPI-I",VLOOKUP(B120,'20-A.SINAPI-I'!A:G,3,0),IF(D120="COMPOSIÇÕES",VLOOKUP(B120,'11.COMPOSIÇÕES GERAIS'!B:I,3,0),VLOOKUP(B120,'12.COT.MERCADO'!A:I,7,0)))),"Em Elaboração")</f>
        <v>UN</v>
      </c>
      <c r="G120" s="244">
        <f>VLOOKUP(A120,'Planilha_Sintética_Geral'!A:O,7,0)</f>
        <v>1</v>
      </c>
      <c r="H120" s="241">
        <f>IFERROR(IF(D120="SINAPI-S",VLOOKUP(B120,'20-B.SINAPI-S'!A:J,5,0),IF(D120="SINAPI-I",VLOOKUP(B120,'20-A.SINAPI-I'!A:G,6,0),IF(D120="COMPOSIÇÕES",VLOOKUP(B120,'11.COMPOSIÇÕES GERAIS'!B:I,7,0),0))),"Em Elaboração")</f>
        <v>66.435</v>
      </c>
      <c r="I120" s="241">
        <f>IFERROR(IF(D120="SINAPI-S",VLOOKUP(B120,'20-B.SINAPI-S'!A:J,6,0),IF(D120="SINAPI-I",VLOOKUP(B120,'20-A.SINAPI-I'!A:G,7,0),IF(D120="COMPOSIÇÕES",VLOOKUP(B120,'11.COMPOSIÇÕES GERAIS'!B:I,8,0),VLOOKUP(B120,'12.COT.MERCADO'!A:I,8,0)))),"Em Elaboração")</f>
        <v>1376.42</v>
      </c>
      <c r="J120" s="241">
        <f t="shared" si="13"/>
        <v>77.98957251</v>
      </c>
      <c r="K120" s="241">
        <f t="shared" si="14"/>
        <v>1612.24835</v>
      </c>
      <c r="L120" s="241">
        <f t="shared" si="15"/>
        <v>1690.237922</v>
      </c>
      <c r="M120" s="241">
        <f t="shared" si="16"/>
        <v>77.98957251</v>
      </c>
      <c r="N120" s="241">
        <f t="shared" si="17"/>
        <v>1612.24835</v>
      </c>
      <c r="O120" s="241">
        <f t="shared" si="18"/>
        <v>1690.237922</v>
      </c>
      <c r="P120" s="242">
        <f t="shared" si="3"/>
        <v>0.0054205408</v>
      </c>
    </row>
    <row r="121">
      <c r="A121" s="236" t="s">
        <v>328</v>
      </c>
      <c r="B121" s="237">
        <f>VLOOKUP(A121,'Planilha_Sintética_Geral'!A:P,2,0)</f>
        <v>86877</v>
      </c>
      <c r="C121" s="238" t="str">
        <f t="shared" si="12"/>
        <v>SINAPI</v>
      </c>
      <c r="D121" s="238" t="s">
        <v>218</v>
      </c>
      <c r="E121" s="239" t="str">
        <f>IFERROR(IF(D121="SINAPI-S",VLOOKUP(B121,'20-B.SINAPI-S'!A:J,2,0),IF(D121="SINAPI-I",VLOOKUP(B121,'20-A.SINAPI-I'!A:G,2,0),IF(D121="COMPOSIÇÕES",VLOOKUP(B121,'11.COMPOSIÇÕES GERAIS'!B:I,2,0),VLOOKUP(B121,'12.COT.MERCADO'!A:I,2,0)))),"Em Elaboração")</f>
        <v>VÁLVULA EM METAL CROMADO 1.1/2_x0094_ X 1.1/2_x0094_ PARA TANQUE OU LAVATÓRIO, COM OU SEM LADRÃO - FORNECIMENTO E INSTALAÇÃO. AF_01/2020</v>
      </c>
      <c r="F121" s="240" t="str">
        <f>IFERROR(IF(D121="SINAPI-S",VLOOKUP(B121,'20-B.SINAPI-S'!A:J,3,0),IF(D121="SINAPI-I",VLOOKUP(B121,'20-A.SINAPI-I'!A:G,3,0),IF(D121="COMPOSIÇÕES",VLOOKUP(B121,'11.COMPOSIÇÕES GERAIS'!B:I,3,0),VLOOKUP(B121,'12.COT.MERCADO'!A:I,7,0)))),"Em Elaboração")</f>
        <v>UN</v>
      </c>
      <c r="G121" s="244">
        <f>VLOOKUP(A121,'Planilha_Sintética_Geral'!A:O,7,0)</f>
        <v>1</v>
      </c>
      <c r="H121" s="241">
        <f>IFERROR(IF(D121="SINAPI-S",VLOOKUP(B121,'20-B.SINAPI-S'!A:J,5,0),IF(D121="SINAPI-I",VLOOKUP(B121,'20-A.SINAPI-I'!A:G,6,0),IF(D121="COMPOSIÇÕES",VLOOKUP(B121,'11.COMPOSIÇÕES GERAIS'!B:I,7,0),0))),"Em Elaboração")</f>
        <v>5.22</v>
      </c>
      <c r="I121" s="241">
        <f>IFERROR(IF(D121="SINAPI-S",VLOOKUP(B121,'20-B.SINAPI-S'!A:J,6,0),IF(D121="SINAPI-I",VLOOKUP(B121,'20-A.SINAPI-I'!A:G,7,0),IF(D121="COMPOSIÇÕES",VLOOKUP(B121,'11.COMPOSIÇÕES GERAIS'!B:I,8,0),VLOOKUP(B121,'12.COT.MERCADO'!A:I,8,0)))),"Em Elaboração")</f>
        <v>87.62</v>
      </c>
      <c r="J121" s="241">
        <f t="shared" si="13"/>
        <v>6.127877903</v>
      </c>
      <c r="K121" s="241">
        <f t="shared" si="14"/>
        <v>102.6323363</v>
      </c>
      <c r="L121" s="241">
        <f t="shared" si="15"/>
        <v>108.7602143</v>
      </c>
      <c r="M121" s="241">
        <f t="shared" si="16"/>
        <v>6.127877903</v>
      </c>
      <c r="N121" s="241">
        <f t="shared" si="17"/>
        <v>102.6323363</v>
      </c>
      <c r="O121" s="241">
        <f t="shared" si="18"/>
        <v>108.7602143</v>
      </c>
      <c r="P121" s="242">
        <f t="shared" si="3"/>
        <v>0.0003487906472</v>
      </c>
    </row>
    <row r="122">
      <c r="A122" s="236" t="s">
        <v>329</v>
      </c>
      <c r="B122" s="237">
        <f>VLOOKUP(A122,'Planilha_Sintética_Geral'!A:P,2,0)</f>
        <v>103029</v>
      </c>
      <c r="C122" s="238" t="str">
        <f t="shared" si="12"/>
        <v>SINAPI</v>
      </c>
      <c r="D122" s="238" t="s">
        <v>218</v>
      </c>
      <c r="E122" s="239" t="str">
        <f>IFERROR(IF(D122="SINAPI-S",VLOOKUP(B122,'20-B.SINAPI-S'!A:J,2,0),IF(D122="SINAPI-I",VLOOKUP(B122,'20-A.SINAPI-I'!A:G,2,0),IF(D122="COMPOSIÇÕES",VLOOKUP(B122,'11.COMPOSIÇÕES GERAIS'!B:I,2,0),VLOOKUP(B122,'12.COT.MERCADO'!A:I,2,0)))),"Em Elaboração")</f>
        <v>REGISTRO OU REGULADOR DE GÁS DE COZINHA - FORNECIMENTO E INSTALAÇÃO. AF_08/2021</v>
      </c>
      <c r="F122" s="240" t="str">
        <f>IFERROR(IF(D122="SINAPI-S",VLOOKUP(B122,'20-B.SINAPI-S'!A:J,3,0),IF(D122="SINAPI-I",VLOOKUP(B122,'20-A.SINAPI-I'!A:G,3,0),IF(D122="COMPOSIÇÕES",VLOOKUP(B122,'11.COMPOSIÇÕES GERAIS'!B:I,3,0),VLOOKUP(B122,'12.COT.MERCADO'!A:I,7,0)))),"Em Elaboração")</f>
        <v>UN</v>
      </c>
      <c r="G122" s="244">
        <f>VLOOKUP(A122,'Planilha_Sintética_Geral'!A:O,7,0)</f>
        <v>1</v>
      </c>
      <c r="H122" s="241">
        <f>IFERROR(IF(D122="SINAPI-S",VLOOKUP(B122,'20-B.SINAPI-S'!A:J,5,0),IF(D122="SINAPI-I",VLOOKUP(B122,'20-A.SINAPI-I'!A:G,6,0),IF(D122="COMPOSIÇÕES",VLOOKUP(B122,'11.COMPOSIÇÕES GERAIS'!B:I,7,0),0))),"Em Elaboração")</f>
        <v>4.76</v>
      </c>
      <c r="I122" s="241">
        <f>IFERROR(IF(D122="SINAPI-S",VLOOKUP(B122,'20-B.SINAPI-S'!A:J,6,0),IF(D122="SINAPI-I",VLOOKUP(B122,'20-A.SINAPI-I'!A:G,7,0),IF(D122="COMPOSIÇÕES",VLOOKUP(B122,'11.COMPOSIÇÕES GERAIS'!B:I,8,0),VLOOKUP(B122,'12.COT.MERCADO'!A:I,8,0)))),"Em Elaboração")</f>
        <v>46.63</v>
      </c>
      <c r="J122" s="241">
        <f t="shared" si="13"/>
        <v>5.587873337</v>
      </c>
      <c r="K122" s="241">
        <f t="shared" si="14"/>
        <v>54.6193317</v>
      </c>
      <c r="L122" s="241">
        <f t="shared" si="15"/>
        <v>60.20720504</v>
      </c>
      <c r="M122" s="241">
        <f t="shared" si="16"/>
        <v>5.587873337</v>
      </c>
      <c r="N122" s="241">
        <f t="shared" si="17"/>
        <v>54.6193317</v>
      </c>
      <c r="O122" s="241">
        <f t="shared" si="18"/>
        <v>60.20720504</v>
      </c>
      <c r="P122" s="242">
        <f t="shared" si="3"/>
        <v>0.0001930826466</v>
      </c>
    </row>
    <row r="123">
      <c r="A123" s="236" t="s">
        <v>330</v>
      </c>
      <c r="B123" s="237" t="str">
        <f>VLOOKUP(A123,'Planilha_Sintética_Geral'!A:P,2,0)</f>
        <v>MAN_PR_027</v>
      </c>
      <c r="C123" s="238" t="str">
        <f t="shared" si="12"/>
        <v>PRÓPRIO</v>
      </c>
      <c r="D123" s="243" t="s">
        <v>230</v>
      </c>
      <c r="E123" s="239" t="str">
        <f>IFERROR(IF(D123="SINAPI-S",VLOOKUP(B123,'20-B.SINAPI-S'!A:J,2,0),IF(D123="SINAPI-I",VLOOKUP(B123,'20-A.SINAPI-I'!A:G,2,0),IF(D123="COMPOSIÇÕES",VLOOKUP(B123,'11.COMPOSIÇÕES GERAIS'!B:I,2,0),VLOOKUP(B123,'12.COT.MERCADO'!A:I,2,0)))),"Em Elaboração")</f>
        <v>SUBSTITUIÇÃO DE PLUGUE 2P+T DE 20A, 250V</v>
      </c>
      <c r="F123" s="240" t="str">
        <f>IFERROR(IF(D123="SINAPI-S",VLOOKUP(B123,'20-B.SINAPI-S'!A:J,3,0),IF(D123="SINAPI-I",VLOOKUP(B123,'20-A.SINAPI-I'!A:G,3,0),IF(D123="COMPOSIÇÕES",VLOOKUP(B123,'11.COMPOSIÇÕES GERAIS'!B:I,3,0),VLOOKUP(B123,'12.COT.MERCADO'!A:I,7,0)))),"Em Elaboração")</f>
        <v>UN</v>
      </c>
      <c r="G123" s="244">
        <f>VLOOKUP(A123,'Planilha_Sintética_Geral'!A:O,7,0)</f>
        <v>18</v>
      </c>
      <c r="H123" s="241">
        <f>IFERROR(IF(D123="SINAPI-S",VLOOKUP(B123,'20-B.SINAPI-S'!A:J,5,0),IF(D123="SINAPI-I",VLOOKUP(B123,'20-A.SINAPI-I'!A:G,6,0),IF(D123="COMPOSIÇÕES",VLOOKUP(B123,'11.COMPOSIÇÕES GERAIS'!B:I,7,0),0))),"Em Elaboração")</f>
        <v>8.858</v>
      </c>
      <c r="I123" s="241">
        <f>IFERROR(IF(D123="SINAPI-S",VLOOKUP(B123,'20-B.SINAPI-S'!A:J,6,0),IF(D123="SINAPI-I",VLOOKUP(B123,'20-A.SINAPI-I'!A:G,7,0),IF(D123="COMPOSIÇÕES",VLOOKUP(B123,'11.COMPOSIÇÕES GERAIS'!B:I,8,0),VLOOKUP(B123,'12.COT.MERCADO'!A:I,8,0)))),"Em Elaboração")</f>
        <v>12.134</v>
      </c>
      <c r="J123" s="241">
        <f t="shared" si="13"/>
        <v>10.39860967</v>
      </c>
      <c r="K123" s="241">
        <f t="shared" si="14"/>
        <v>14.21297386</v>
      </c>
      <c r="L123" s="241">
        <f t="shared" si="15"/>
        <v>24.61158352</v>
      </c>
      <c r="M123" s="241">
        <f t="shared" si="16"/>
        <v>187.174974</v>
      </c>
      <c r="N123" s="241">
        <f t="shared" si="17"/>
        <v>255.8335294</v>
      </c>
      <c r="O123" s="241">
        <f t="shared" si="18"/>
        <v>443.0085034</v>
      </c>
      <c r="P123" s="242">
        <f t="shared" si="3"/>
        <v>0.001420714585</v>
      </c>
    </row>
    <row r="124">
      <c r="A124" s="236" t="s">
        <v>331</v>
      </c>
      <c r="B124" s="237">
        <f>VLOOKUP(A124,'Planilha_Sintética_Geral'!A:P,2,0)</f>
        <v>102137</v>
      </c>
      <c r="C124" s="238" t="str">
        <f t="shared" si="12"/>
        <v>SINAPI</v>
      </c>
      <c r="D124" s="238" t="s">
        <v>218</v>
      </c>
      <c r="E124" s="239" t="str">
        <f>IFERROR(IF(D124="SINAPI-S",VLOOKUP(B124,'20-B.SINAPI-S'!A:J,2,0),IF(D124="SINAPI-I",VLOOKUP(B124,'20-A.SINAPI-I'!A:G,2,0),IF(D124="COMPOSIÇÕES",VLOOKUP(B124,'11.COMPOSIÇÕES GERAIS'!B:I,2,0),VLOOKUP(B124,'12.COT.MERCADO'!A:I,2,0)))),"Em Elaboração")</f>
        <v>CHAVE DE BOIA AUTOMÁTICA SUPERIOR/INFERIOR 15A/250V - FORNECIMENTO E INSTALAÇÃO. AF_12/2020</v>
      </c>
      <c r="F124" s="240" t="str">
        <f>IFERROR(IF(D124="SINAPI-S",VLOOKUP(B124,'20-B.SINAPI-S'!A:J,3,0),IF(D124="SINAPI-I",VLOOKUP(B124,'20-A.SINAPI-I'!A:G,3,0),IF(D124="COMPOSIÇÕES",VLOOKUP(B124,'11.COMPOSIÇÕES GERAIS'!B:I,3,0),VLOOKUP(B124,'12.COT.MERCADO'!A:I,7,0)))),"Em Elaboração")</f>
        <v>UN</v>
      </c>
      <c r="G124" s="244">
        <f>VLOOKUP(A124,'Planilha_Sintética_Geral'!A:O,7,0)</f>
        <v>1</v>
      </c>
      <c r="H124" s="241">
        <f>IFERROR(IF(D124="SINAPI-S",VLOOKUP(B124,'20-B.SINAPI-S'!A:J,5,0),IF(D124="SINAPI-I",VLOOKUP(B124,'20-A.SINAPI-I'!A:G,6,0),IF(D124="COMPOSIÇÕES",VLOOKUP(B124,'11.COMPOSIÇÕES GERAIS'!B:I,7,0),0))),"Em Elaboração")</f>
        <v>28.03</v>
      </c>
      <c r="I124" s="241">
        <f>IFERROR(IF(D124="SINAPI-S",VLOOKUP(B124,'20-B.SINAPI-S'!A:J,6,0),IF(D124="SINAPI-I",VLOOKUP(B124,'20-A.SINAPI-I'!A:G,7,0),IF(D124="COMPOSIÇÕES",VLOOKUP(B124,'11.COMPOSIÇÕES GERAIS'!B:I,8,0),VLOOKUP(B124,'12.COT.MERCADO'!A:I,8,0)))),"Em Elaboração")</f>
        <v>49.55</v>
      </c>
      <c r="J124" s="241">
        <f t="shared" si="13"/>
        <v>32.90506085</v>
      </c>
      <c r="K124" s="241">
        <f t="shared" si="14"/>
        <v>58.03962869</v>
      </c>
      <c r="L124" s="241">
        <f t="shared" si="15"/>
        <v>90.94468954</v>
      </c>
      <c r="M124" s="241">
        <f t="shared" si="16"/>
        <v>32.90506085</v>
      </c>
      <c r="N124" s="241">
        <f t="shared" si="17"/>
        <v>58.03962869</v>
      </c>
      <c r="O124" s="241">
        <f t="shared" si="18"/>
        <v>90.94468954</v>
      </c>
      <c r="P124" s="242">
        <f t="shared" si="3"/>
        <v>0.0002916568098</v>
      </c>
    </row>
    <row r="125">
      <c r="A125" s="236" t="s">
        <v>332</v>
      </c>
      <c r="B125" s="237">
        <f>VLOOKUP(A125,'Planilha_Sintética_Geral'!A:P,2,0)</f>
        <v>100748</v>
      </c>
      <c r="C125" s="238" t="str">
        <f t="shared" si="12"/>
        <v>SINAPI</v>
      </c>
      <c r="D125" s="238" t="s">
        <v>218</v>
      </c>
      <c r="E125" s="239" t="str">
        <f>IFERROR(IF(D125="SINAPI-S",VLOOKUP(B125,'20-B.SINAPI-S'!A:J,2,0),IF(D125="SINAPI-I",VLOOKUP(B125,'20-A.SINAPI-I'!A:G,2,0),IF(D125="COMPOSIÇÕES",VLOOKUP(B125,'11.COMPOSIÇÕES GERAIS'!B:I,2,0),VLOOKUP(B125,'12.COT.MERCADO'!A:I,2,0)))),"Em Elaboração")</f>
        <v>PINTURA COM TINTA ALQUÍDICA DE ACABAMENTO (ESMALTE SINTÉTICO FOSCO) APLICADA A ROLO OU PINCEL SOBRE PERFIL METÁLICO EXECUTADO EM FÁBRICA (POR DEMÃO). AF_01/2020</v>
      </c>
      <c r="F125" s="240" t="str">
        <f>IFERROR(IF(D125="SINAPI-S",VLOOKUP(B125,'20-B.SINAPI-S'!A:J,3,0),IF(D125="SINAPI-I",VLOOKUP(B125,'20-A.SINAPI-I'!A:G,3,0),IF(D125="COMPOSIÇÕES",VLOOKUP(B125,'11.COMPOSIÇÕES GERAIS'!B:I,3,0),VLOOKUP(B125,'12.COT.MERCADO'!A:I,7,0)))),"Em Elaboração")</f>
        <v>M2</v>
      </c>
      <c r="G125" s="244">
        <f>VLOOKUP(A125,'Planilha_Sintética_Geral'!A:O,7,0)</f>
        <v>4</v>
      </c>
      <c r="H125" s="241">
        <f>IFERROR(IF(D125="SINAPI-S",VLOOKUP(B125,'20-B.SINAPI-S'!A:J,5,0),IF(D125="SINAPI-I",VLOOKUP(B125,'20-A.SINAPI-I'!A:G,6,0),IF(D125="COMPOSIÇÕES",VLOOKUP(B125,'11.COMPOSIÇÕES GERAIS'!B:I,7,0),0))),"Em Elaboração")</f>
        <v>5.26</v>
      </c>
      <c r="I125" s="241">
        <f>IFERROR(IF(D125="SINAPI-S",VLOOKUP(B125,'20-B.SINAPI-S'!A:J,6,0),IF(D125="SINAPI-I",VLOOKUP(B125,'20-A.SINAPI-I'!A:G,7,0),IF(D125="COMPOSIÇÕES",VLOOKUP(B125,'11.COMPOSIÇÕES GERAIS'!B:I,8,0),VLOOKUP(B125,'12.COT.MERCADO'!A:I,8,0)))),"Em Elaboração")</f>
        <v>7.01</v>
      </c>
      <c r="J125" s="241">
        <f t="shared" si="13"/>
        <v>6.174834822</v>
      </c>
      <c r="K125" s="241">
        <f t="shared" si="14"/>
        <v>8.211055442</v>
      </c>
      <c r="L125" s="241">
        <f t="shared" si="15"/>
        <v>14.38589026</v>
      </c>
      <c r="M125" s="241">
        <f t="shared" si="16"/>
        <v>24.69933929</v>
      </c>
      <c r="N125" s="241">
        <f t="shared" si="17"/>
        <v>32.84422177</v>
      </c>
      <c r="O125" s="241">
        <f t="shared" si="18"/>
        <v>57.54356106</v>
      </c>
      <c r="P125" s="242">
        <f t="shared" si="3"/>
        <v>0.0001845404226</v>
      </c>
    </row>
    <row r="126">
      <c r="A126" s="236" t="s">
        <v>333</v>
      </c>
      <c r="B126" s="237">
        <f>VLOOKUP(A126,'Planilha_Sintética_Geral'!A:P,2,0)</f>
        <v>86910</v>
      </c>
      <c r="C126" s="238" t="str">
        <f t="shared" si="12"/>
        <v>SINAPI</v>
      </c>
      <c r="D126" s="238" t="s">
        <v>218</v>
      </c>
      <c r="E126" s="239" t="str">
        <f>IFERROR(IF(D126="SINAPI-S",VLOOKUP(B126,'20-B.SINAPI-S'!A:J,2,0),IF(D126="SINAPI-I",VLOOKUP(B126,'20-A.SINAPI-I'!A:G,2,0),IF(D126="COMPOSIÇÕES",VLOOKUP(B126,'11.COMPOSIÇÕES GERAIS'!B:I,2,0),VLOOKUP(B126,'12.COT.MERCADO'!A:I,2,0)))),"Em Elaboração")</f>
        <v>TORNEIRA CROMADA TUBO MÓVEL, DE PAREDE, 1/2_x0094_ OU 3/4_x0094_, PARA PIA DE COZINHA, PADRÃO MÉDIO - FORNECIMENTO E INSTALAÇÃO. AF_01/2020</v>
      </c>
      <c r="F126" s="240" t="str">
        <f>IFERROR(IF(D126="SINAPI-S",VLOOKUP(B126,'20-B.SINAPI-S'!A:J,3,0),IF(D126="SINAPI-I",VLOOKUP(B126,'20-A.SINAPI-I'!A:G,3,0),IF(D126="COMPOSIÇÕES",VLOOKUP(B126,'11.COMPOSIÇÕES GERAIS'!B:I,3,0),VLOOKUP(B126,'12.COT.MERCADO'!A:I,7,0)))),"Em Elaboração")</f>
        <v>UN</v>
      </c>
      <c r="G126" s="244">
        <f>VLOOKUP(A126,'Planilha_Sintética_Geral'!A:O,7,0)</f>
        <v>1</v>
      </c>
      <c r="H126" s="241">
        <f>IFERROR(IF(D126="SINAPI-S",VLOOKUP(B126,'20-B.SINAPI-S'!A:J,5,0),IF(D126="SINAPI-I",VLOOKUP(B126,'20-A.SINAPI-I'!A:G,6,0),IF(D126="COMPOSIÇÕES",VLOOKUP(B126,'11.COMPOSIÇÕES GERAIS'!B:I,7,0),0))),"Em Elaboração")</f>
        <v>3.49</v>
      </c>
      <c r="I126" s="241">
        <f>IFERROR(IF(D126="SINAPI-S",VLOOKUP(B126,'20-B.SINAPI-S'!A:J,6,0),IF(D126="SINAPI-I",VLOOKUP(B126,'20-A.SINAPI-I'!A:G,7,0),IF(D126="COMPOSIÇÕES",VLOOKUP(B126,'11.COMPOSIÇÕES GERAIS'!B:I,8,0),VLOOKUP(B126,'12.COT.MERCADO'!A:I,8,0)))),"Em Elaboração")</f>
        <v>105.01</v>
      </c>
      <c r="J126" s="241">
        <f t="shared" si="13"/>
        <v>4.096991165</v>
      </c>
      <c r="K126" s="241">
        <f t="shared" si="14"/>
        <v>123.0018448</v>
      </c>
      <c r="L126" s="241">
        <f t="shared" si="15"/>
        <v>127.098836</v>
      </c>
      <c r="M126" s="241">
        <f t="shared" si="16"/>
        <v>4.096991165</v>
      </c>
      <c r="N126" s="241">
        <f t="shared" si="17"/>
        <v>123.0018448</v>
      </c>
      <c r="O126" s="241">
        <f t="shared" si="18"/>
        <v>127.098836</v>
      </c>
      <c r="P126" s="242">
        <f t="shared" si="3"/>
        <v>0.0004076020404</v>
      </c>
    </row>
    <row r="127">
      <c r="A127" s="236" t="s">
        <v>334</v>
      </c>
      <c r="B127" s="237">
        <f>VLOOKUP(A127,'Planilha_Sintética_Geral'!A:P,2,0)</f>
        <v>104475</v>
      </c>
      <c r="C127" s="238" t="str">
        <f t="shared" si="12"/>
        <v>SINAPI</v>
      </c>
      <c r="D127" s="238" t="s">
        <v>218</v>
      </c>
      <c r="E127" s="239" t="str">
        <f>IFERROR(IF(D127="SINAPI-S",VLOOKUP(B127,'20-B.SINAPI-S'!A:J,2,0),IF(D127="SINAPI-I",VLOOKUP(B127,'20-A.SINAPI-I'!A:G,2,0),IF(D127="COMPOSIÇÕES",VLOOKUP(B127,'11.COMPOSIÇÕES GERAIS'!B:I,2,0),VLOOKUP(B127,'12.COT.MERCADO'!A:I,2,0)))),"Em Elaboração")</f>
        <v>COMPOSIÇÃO PARAMÉTRICA DE PONTO ELÉTRICO DE TOMADA DE USO GERAL 2P+T (10A/250V) EM EDIFÍCIO RESIDENCIAL COM ELETRODUTO EMBUTIDO EM RASGOS NAS PAREDES, INCLUSO TOMADA, ELETRODUTO, CABO, RASGO, QUEBRA E CHUMBAMENTO. AF_11/2022</v>
      </c>
      <c r="F127" s="240" t="str">
        <f>IFERROR(IF(D127="SINAPI-S",VLOOKUP(B127,'20-B.SINAPI-S'!A:J,3,0),IF(D127="SINAPI-I",VLOOKUP(B127,'20-A.SINAPI-I'!A:G,3,0),IF(D127="COMPOSIÇÕES",VLOOKUP(B127,'11.COMPOSIÇÕES GERAIS'!B:I,3,0),VLOOKUP(B127,'12.COT.MERCADO'!A:I,7,0)))),"Em Elaboração")</f>
        <v>UN</v>
      </c>
      <c r="G127" s="244">
        <f>VLOOKUP(A127,'Planilha_Sintética_Geral'!A:O,7,0)</f>
        <v>3</v>
      </c>
      <c r="H127" s="241">
        <f>IFERROR(IF(D127="SINAPI-S",VLOOKUP(B127,'20-B.SINAPI-S'!A:J,5,0),IF(D127="SINAPI-I",VLOOKUP(B127,'20-A.SINAPI-I'!A:G,6,0),IF(D127="COMPOSIÇÕES",VLOOKUP(B127,'11.COMPOSIÇÕES GERAIS'!B:I,7,0),0))),"Em Elaboração")</f>
        <v>72.78</v>
      </c>
      <c r="I127" s="241">
        <f>IFERROR(IF(D127="SINAPI-S",VLOOKUP(B127,'20-B.SINAPI-S'!A:J,6,0),IF(D127="SINAPI-I",VLOOKUP(B127,'20-A.SINAPI-I'!A:G,7,0),IF(D127="COMPOSIÇÕES",VLOOKUP(B127,'11.COMPOSIÇÕES GERAIS'!B:I,8,0),VLOOKUP(B127,'12.COT.MERCADO'!A:I,8,0)))),"Em Elaboração")</f>
        <v>85.06</v>
      </c>
      <c r="J127" s="241">
        <f t="shared" si="13"/>
        <v>85.43811376</v>
      </c>
      <c r="K127" s="241">
        <f t="shared" si="14"/>
        <v>99.63371981</v>
      </c>
      <c r="L127" s="241">
        <f t="shared" si="15"/>
        <v>185.0718336</v>
      </c>
      <c r="M127" s="241">
        <f t="shared" si="16"/>
        <v>256.3143413</v>
      </c>
      <c r="N127" s="241">
        <f t="shared" si="17"/>
        <v>298.9011594</v>
      </c>
      <c r="O127" s="241">
        <f t="shared" si="18"/>
        <v>555.2155007</v>
      </c>
      <c r="P127" s="242">
        <f t="shared" si="3"/>
        <v>0.001780558958</v>
      </c>
    </row>
    <row r="128">
      <c r="A128" s="236" t="s">
        <v>335</v>
      </c>
      <c r="B128" s="237" t="str">
        <f>VLOOKUP(A128,'Planilha_Sintética_Geral'!A:P,2,0)</f>
        <v>MAN_PR_028</v>
      </c>
      <c r="C128" s="238" t="str">
        <f t="shared" si="12"/>
        <v>PRÓPRIO</v>
      </c>
      <c r="D128" s="243" t="s">
        <v>230</v>
      </c>
      <c r="E128" s="239" t="str">
        <f>IFERROR(IF(D128="SINAPI-S",VLOOKUP(B128,'20-B.SINAPI-S'!A:J,2,0),IF(D128="SINAPI-I",VLOOKUP(B128,'20-A.SINAPI-I'!A:G,2,0),IF(D128="COMPOSIÇÕES",VLOOKUP(B128,'11.COMPOSIÇÕES GERAIS'!B:I,2,0),VLOOKUP(B128,'12.COT.MERCADO'!A:I,2,0)))),"Em Elaboração")</f>
        <v>SERVIÇO DE LIMPEZA DE FOSSA SÉPTICA OU SUMIDOURO - VIAGEM DE 7M3</v>
      </c>
      <c r="F128" s="240" t="str">
        <f>IFERROR(IF(D128="SINAPI-S",VLOOKUP(B128,'20-B.SINAPI-S'!A:J,3,0),IF(D128="SINAPI-I",VLOOKUP(B128,'20-A.SINAPI-I'!A:G,3,0),IF(D128="COMPOSIÇÕES",VLOOKUP(B128,'11.COMPOSIÇÕES GERAIS'!B:I,3,0),VLOOKUP(B128,'12.COT.MERCADO'!A:I,7,0)))),"Em Elaboração")</f>
        <v>VG</v>
      </c>
      <c r="G128" s="244">
        <f>VLOOKUP(A128,'Planilha_Sintética_Geral'!A:O,7,0)</f>
        <v>1</v>
      </c>
      <c r="H128" s="241">
        <f>IFERROR(IF(D128="SINAPI-S",VLOOKUP(B128,'20-B.SINAPI-S'!A:J,5,0),IF(D128="SINAPI-I",VLOOKUP(B128,'20-A.SINAPI-I'!A:G,6,0),IF(D128="COMPOSIÇÕES",VLOOKUP(B128,'11.COMPOSIÇÕES GERAIS'!B:I,7,0),0))),"Em Elaboração")</f>
        <v>0</v>
      </c>
      <c r="I128" s="241">
        <f>IFERROR(IF(D128="SINAPI-S",VLOOKUP(B128,'20-B.SINAPI-S'!A:J,6,0),IF(D128="SINAPI-I",VLOOKUP(B128,'20-A.SINAPI-I'!A:G,7,0),IF(D128="COMPOSIÇÕES",VLOOKUP(B128,'11.COMPOSIÇÕES GERAIS'!B:I,8,0),VLOOKUP(B128,'12.COT.MERCADO'!A:I,8,0)))),"Em Elaboração")</f>
        <v>1364.44</v>
      </c>
      <c r="J128" s="241">
        <f t="shared" si="13"/>
        <v>0</v>
      </c>
      <c r="K128" s="241">
        <f t="shared" si="14"/>
        <v>1598.215761</v>
      </c>
      <c r="L128" s="241">
        <f t="shared" si="15"/>
        <v>1598.215761</v>
      </c>
      <c r="M128" s="241">
        <f t="shared" si="16"/>
        <v>0</v>
      </c>
      <c r="N128" s="241">
        <f t="shared" si="17"/>
        <v>1598.215761</v>
      </c>
      <c r="O128" s="241">
        <f t="shared" si="18"/>
        <v>1598.215761</v>
      </c>
      <c r="P128" s="242">
        <f t="shared" si="3"/>
        <v>0.005125428573</v>
      </c>
    </row>
    <row r="129">
      <c r="A129" s="236" t="s">
        <v>336</v>
      </c>
      <c r="B129" s="237" t="str">
        <f>VLOOKUP(A129,'Planilha_Sintética_Geral'!A:P,2,0)</f>
        <v>MAN_PR_029</v>
      </c>
      <c r="C129" s="238" t="str">
        <f t="shared" si="12"/>
        <v>PRÓPRIO</v>
      </c>
      <c r="D129" s="243" t="s">
        <v>230</v>
      </c>
      <c r="E129" s="239" t="str">
        <f>IFERROR(IF(D129="SINAPI-S",VLOOKUP(B129,'20-B.SINAPI-S'!A:J,2,0),IF(D129="SINAPI-I",VLOOKUP(B129,'20-A.SINAPI-I'!A:G,2,0),IF(D129="COMPOSIÇÕES",VLOOKUP(B129,'11.COMPOSIÇÕES GERAIS'!B:I,2,0),VLOOKUP(B129,'12.COT.MERCADO'!A:I,2,0)))),"Em Elaboração")</f>
        <v>TAMPA DE CONCRETO ARMADO PARA CAIXAS DE PASSAGEM 0,60X0,60X0,07M</v>
      </c>
      <c r="F129" s="240" t="str">
        <f>IFERROR(IF(D129="SINAPI-S",VLOOKUP(B129,'20-B.SINAPI-S'!A:J,3,0),IF(D129="SINAPI-I",VLOOKUP(B129,'20-A.SINAPI-I'!A:G,3,0),IF(D129="COMPOSIÇÕES",VLOOKUP(B129,'11.COMPOSIÇÕES GERAIS'!B:I,3,0),VLOOKUP(B129,'12.COT.MERCADO'!A:I,7,0)))),"Em Elaboração")</f>
        <v>UN</v>
      </c>
      <c r="G129" s="244">
        <f>VLOOKUP(A129,'Planilha_Sintética_Geral'!A:O,7,0)</f>
        <v>3</v>
      </c>
      <c r="H129" s="241">
        <f>IFERROR(IF(D129="SINAPI-S",VLOOKUP(B129,'20-B.SINAPI-S'!A:J,5,0),IF(D129="SINAPI-I",VLOOKUP(B129,'20-A.SINAPI-I'!A:G,6,0),IF(D129="COMPOSIÇÕES",VLOOKUP(B129,'11.COMPOSIÇÕES GERAIS'!B:I,7,0),0))),"Em Elaboração")</f>
        <v>8.372</v>
      </c>
      <c r="I129" s="241">
        <f>IFERROR(IF(D129="SINAPI-S",VLOOKUP(B129,'20-B.SINAPI-S'!A:J,6,0),IF(D129="SINAPI-I",VLOOKUP(B129,'20-A.SINAPI-I'!A:G,7,0),IF(D129="COMPOSIÇÕES",VLOOKUP(B129,'11.COMPOSIÇÕES GERAIS'!B:I,8,0),VLOOKUP(B129,'12.COT.MERCADO'!A:I,8,0)))),"Em Elaboração")</f>
        <v>27.01081</v>
      </c>
      <c r="J129" s="241">
        <f t="shared" si="13"/>
        <v>9.828083105</v>
      </c>
      <c r="K129" s="241">
        <f t="shared" si="14"/>
        <v>31.63869593</v>
      </c>
      <c r="L129" s="241">
        <f t="shared" si="15"/>
        <v>41.46677903</v>
      </c>
      <c r="M129" s="241">
        <f t="shared" si="16"/>
        <v>29.48424931</v>
      </c>
      <c r="N129" s="241">
        <f t="shared" si="17"/>
        <v>94.91608778</v>
      </c>
      <c r="O129" s="241">
        <f t="shared" si="18"/>
        <v>124.4003371</v>
      </c>
      <c r="P129" s="242">
        <f t="shared" si="3"/>
        <v>0.000398948038</v>
      </c>
    </row>
    <row r="130">
      <c r="A130" s="236" t="s">
        <v>337</v>
      </c>
      <c r="B130" s="237">
        <f>VLOOKUP(A130,'Planilha_Sintética_Geral'!A:P,2,0)</f>
        <v>99627</v>
      </c>
      <c r="C130" s="238" t="str">
        <f t="shared" si="12"/>
        <v>SINAPI</v>
      </c>
      <c r="D130" s="238" t="s">
        <v>218</v>
      </c>
      <c r="E130" s="239" t="str">
        <f>IFERROR(IF(D130="SINAPI-S",VLOOKUP(B130,'20-B.SINAPI-S'!A:J,2,0),IF(D130="SINAPI-I",VLOOKUP(B130,'20-A.SINAPI-I'!A:G,2,0),IF(D130="COMPOSIÇÕES",VLOOKUP(B130,'11.COMPOSIÇÕES GERAIS'!B:I,2,0),VLOOKUP(B130,'12.COT.MERCADO'!A:I,2,0)))),"Em Elaboração")</f>
        <v>VÁLVULA DE RETENÇÃO VERTICAL, DE BRONZE, ROSCÁVEL, 1/2" - FORNECIMENTO E INSTALAÇÃO. AF_08/2021</v>
      </c>
      <c r="F130" s="240" t="str">
        <f>IFERROR(IF(D130="SINAPI-S",VLOOKUP(B130,'20-B.SINAPI-S'!A:J,3,0),IF(D130="SINAPI-I",VLOOKUP(B130,'20-A.SINAPI-I'!A:G,3,0),IF(D130="COMPOSIÇÕES",VLOOKUP(B130,'11.COMPOSIÇÕES GERAIS'!B:I,3,0),VLOOKUP(B130,'12.COT.MERCADO'!A:I,7,0)))),"Em Elaboração")</f>
        <v>UN</v>
      </c>
      <c r="G130" s="244">
        <f>VLOOKUP(A130,'Planilha_Sintética_Geral'!A:O,7,0)</f>
        <v>1</v>
      </c>
      <c r="H130" s="241">
        <f>IFERROR(IF(D130="SINAPI-S",VLOOKUP(B130,'20-B.SINAPI-S'!A:J,5,0),IF(D130="SINAPI-I",VLOOKUP(B130,'20-A.SINAPI-I'!A:G,6,0),IF(D130="COMPOSIÇÕES",VLOOKUP(B130,'11.COMPOSIÇÕES GERAIS'!B:I,7,0),0))),"Em Elaboração")</f>
        <v>3.1</v>
      </c>
      <c r="I130" s="241">
        <f>IFERROR(IF(D130="SINAPI-S",VLOOKUP(B130,'20-B.SINAPI-S'!A:J,6,0),IF(D130="SINAPI-I",VLOOKUP(B130,'20-A.SINAPI-I'!A:G,7,0),IF(D130="COMPOSIÇÕES",VLOOKUP(B130,'11.COMPOSIÇÕES GERAIS'!B:I,8,0),VLOOKUP(B130,'12.COT.MERCADO'!A:I,8,0)))),"Em Elaboração")</f>
        <v>69.01</v>
      </c>
      <c r="J130" s="241">
        <f t="shared" si="13"/>
        <v>3.639161207</v>
      </c>
      <c r="K130" s="241">
        <f t="shared" si="14"/>
        <v>80.83379972</v>
      </c>
      <c r="L130" s="241">
        <f t="shared" si="15"/>
        <v>84.47296093</v>
      </c>
      <c r="M130" s="241">
        <f t="shared" si="16"/>
        <v>3.639161207</v>
      </c>
      <c r="N130" s="241">
        <f t="shared" si="17"/>
        <v>80.83379972</v>
      </c>
      <c r="O130" s="241">
        <f t="shared" si="18"/>
        <v>84.47296093</v>
      </c>
      <c r="P130" s="242">
        <f t="shared" si="3"/>
        <v>0.0002709021761</v>
      </c>
    </row>
    <row r="131">
      <c r="A131" s="236" t="s">
        <v>338</v>
      </c>
      <c r="B131" s="237" t="str">
        <f>VLOOKUP(A131,'Planilha_Sintética_Geral'!A:P,2,0)</f>
        <v>MAN_PR_017</v>
      </c>
      <c r="C131" s="238" t="str">
        <f t="shared" si="12"/>
        <v>PRÓPRIO</v>
      </c>
      <c r="D131" s="243" t="s">
        <v>230</v>
      </c>
      <c r="E131" s="239" t="str">
        <f>IFERROR(IF(D131="SINAPI-S",VLOOKUP(B131,'20-B.SINAPI-S'!A:J,2,0),IF(D131="SINAPI-I",VLOOKUP(B131,'20-A.SINAPI-I'!A:G,2,0),IF(D131="COMPOSIÇÕES",VLOOKUP(B131,'11.COMPOSIÇÕES GERAIS'!B:I,2,0),VLOOKUP(B131,'12.COT.MERCADO'!A:I,2,0)))),"Em Elaboração")</f>
        <v>FORNECIMENTO E INSTALAÇÃO DE KIT MOTOR PPA 1/4HP, 500KG, DESLIZANTE, INCLUÍNDO 2 CONTROLE E 5M DE CREMALHEIRA, NÃO INCLUSO EXECUÇÃO DE BASE DE FIXAÇÃO E GUIA</v>
      </c>
      <c r="F131" s="240" t="str">
        <f>IFERROR(IF(D131="SINAPI-S",VLOOKUP(B131,'20-B.SINAPI-S'!A:J,3,0),IF(D131="SINAPI-I",VLOOKUP(B131,'20-A.SINAPI-I'!A:G,3,0),IF(D131="COMPOSIÇÕES",VLOOKUP(B131,'11.COMPOSIÇÕES GERAIS'!B:I,3,0),VLOOKUP(B131,'12.COT.MERCADO'!A:I,7,0)))),"Em Elaboração")</f>
        <v>UN</v>
      </c>
      <c r="G131" s="244">
        <f>VLOOKUP(A131,'Planilha_Sintética_Geral'!A:O,7,0)</f>
        <v>1</v>
      </c>
      <c r="H131" s="241">
        <f>IFERROR(IF(D131="SINAPI-S",VLOOKUP(B131,'20-B.SINAPI-S'!A:J,5,0),IF(D131="SINAPI-I",VLOOKUP(B131,'20-A.SINAPI-I'!A:G,6,0),IF(D131="COMPOSIÇÕES",VLOOKUP(B131,'11.COMPOSIÇÕES GERAIS'!B:I,7,0),0))),"Em Elaboração")</f>
        <v>66.435</v>
      </c>
      <c r="I131" s="241">
        <f>IFERROR(IF(D131="SINAPI-S",VLOOKUP(B131,'20-B.SINAPI-S'!A:J,6,0),IF(D131="SINAPI-I",VLOOKUP(B131,'20-A.SINAPI-I'!A:G,7,0),IF(D131="COMPOSIÇÕES",VLOOKUP(B131,'11.COMPOSIÇÕES GERAIS'!B:I,8,0),VLOOKUP(B131,'12.COT.MERCADO'!A:I,8,0)))),"Em Elaboração")</f>
        <v>529.16</v>
      </c>
      <c r="J131" s="241">
        <f t="shared" si="13"/>
        <v>77.98957251</v>
      </c>
      <c r="K131" s="241">
        <f t="shared" si="14"/>
        <v>619.8234091</v>
      </c>
      <c r="L131" s="241">
        <f t="shared" si="15"/>
        <v>697.8129816</v>
      </c>
      <c r="M131" s="241">
        <f t="shared" si="16"/>
        <v>77.98957251</v>
      </c>
      <c r="N131" s="241">
        <f t="shared" si="17"/>
        <v>619.8234091</v>
      </c>
      <c r="O131" s="241">
        <f t="shared" si="18"/>
        <v>697.8129816</v>
      </c>
      <c r="P131" s="242">
        <f t="shared" si="3"/>
        <v>0.002237864674</v>
      </c>
    </row>
    <row r="132">
      <c r="A132" s="236" t="s">
        <v>339</v>
      </c>
      <c r="B132" s="237">
        <f>VLOOKUP(A132,'Planilha_Sintética_Geral'!A:P,2,0)</f>
        <v>90801</v>
      </c>
      <c r="C132" s="238" t="str">
        <f t="shared" si="12"/>
        <v>SINAPI</v>
      </c>
      <c r="D132" s="238" t="s">
        <v>218</v>
      </c>
      <c r="E132" s="239" t="str">
        <f>IFERROR(IF(D132="SINAPI-S",VLOOKUP(B132,'20-B.SINAPI-S'!A:J,2,0),IF(D132="SINAPI-I",VLOOKUP(B132,'20-A.SINAPI-I'!A:G,2,0),IF(D132="COMPOSIÇÕES",VLOOKUP(B132,'11.COMPOSIÇÕES GERAIS'!B:I,2,0),VLOOKUP(B132,'12.COT.MERCADO'!A:I,2,0)))),"Em Elaboração")</f>
        <v>BATENTE PARA PORTA DE MADEIRA, PADRÃO MÉDIO - FORNECIMENTO E MONTAGEM. AF_12/2019</v>
      </c>
      <c r="F132" s="240" t="str">
        <f>IFERROR(IF(D132="SINAPI-S",VLOOKUP(B132,'20-B.SINAPI-S'!A:J,3,0),IF(D132="SINAPI-I",VLOOKUP(B132,'20-A.SINAPI-I'!A:G,3,0),IF(D132="COMPOSIÇÕES",VLOOKUP(B132,'11.COMPOSIÇÕES GERAIS'!B:I,3,0),VLOOKUP(B132,'12.COT.MERCADO'!A:I,7,0)))),"Em Elaboração")</f>
        <v>UN</v>
      </c>
      <c r="G132" s="244">
        <f>VLOOKUP(A132,'Planilha_Sintética_Geral'!A:O,7,0)</f>
        <v>1</v>
      </c>
      <c r="H132" s="241">
        <f>IFERROR(IF(D132="SINAPI-S",VLOOKUP(B132,'20-B.SINAPI-S'!A:J,5,0),IF(D132="SINAPI-I",VLOOKUP(B132,'20-A.SINAPI-I'!A:G,6,0),IF(D132="COMPOSIÇÕES",VLOOKUP(B132,'11.COMPOSIÇÕES GERAIS'!B:I,7,0),0))),"Em Elaboração")</f>
        <v>86.92</v>
      </c>
      <c r="I132" s="241">
        <f>IFERROR(IF(D132="SINAPI-S",VLOOKUP(B132,'20-B.SINAPI-S'!A:J,6,0),IF(D132="SINAPI-I",VLOOKUP(B132,'20-A.SINAPI-I'!A:G,7,0),IF(D132="COMPOSIÇÕES",VLOOKUP(B132,'11.COMPOSIÇÕES GERAIS'!B:I,8,0),VLOOKUP(B132,'12.COT.MERCADO'!A:I,8,0)))),"Em Elaboração")</f>
        <v>312.15</v>
      </c>
      <c r="J132" s="241">
        <f t="shared" si="13"/>
        <v>102.0373846</v>
      </c>
      <c r="K132" s="241">
        <f t="shared" si="14"/>
        <v>365.6320907</v>
      </c>
      <c r="L132" s="241">
        <f t="shared" si="15"/>
        <v>467.6694753</v>
      </c>
      <c r="M132" s="241">
        <f t="shared" si="16"/>
        <v>102.0373846</v>
      </c>
      <c r="N132" s="241">
        <f t="shared" si="17"/>
        <v>365.6320907</v>
      </c>
      <c r="O132" s="241">
        <f t="shared" si="18"/>
        <v>467.6694753</v>
      </c>
      <c r="P132" s="242">
        <f t="shared" si="3"/>
        <v>0.00149980156</v>
      </c>
    </row>
    <row r="133">
      <c r="A133" s="236" t="s">
        <v>340</v>
      </c>
      <c r="B133" s="237">
        <f>VLOOKUP(A133,'Planilha_Sintética_Geral'!A:P,2,0)</f>
        <v>101895</v>
      </c>
      <c r="C133" s="238" t="str">
        <f t="shared" si="12"/>
        <v>SINAPI</v>
      </c>
      <c r="D133" s="238" t="s">
        <v>218</v>
      </c>
      <c r="E133" s="239" t="str">
        <f>IFERROR(IF(D133="SINAPI-S",VLOOKUP(B133,'20-B.SINAPI-S'!A:J,2,0),IF(D133="SINAPI-I",VLOOKUP(B133,'20-A.SINAPI-I'!A:G,2,0),IF(D133="COMPOSIÇÕES",VLOOKUP(B133,'11.COMPOSIÇÕES GERAIS'!B:I,2,0),VLOOKUP(B133,'12.COT.MERCADO'!A:I,2,0)))),"Em Elaboração")</f>
        <v>DISJUNTOR TERMOMAGNÉTICO TRIPOLAR , CORRENTE NOMINAL DE 125A - FORNECIMENTO E INSTALAÇÃO. AF_10/2020</v>
      </c>
      <c r="F133" s="240" t="str">
        <f>IFERROR(IF(D133="SINAPI-S",VLOOKUP(B133,'20-B.SINAPI-S'!A:J,3,0),IF(D133="SINAPI-I",VLOOKUP(B133,'20-A.SINAPI-I'!A:G,3,0),IF(D133="COMPOSIÇÕES",VLOOKUP(B133,'11.COMPOSIÇÕES GERAIS'!B:I,3,0),VLOOKUP(B133,'12.COT.MERCADO'!A:I,7,0)))),"Em Elaboração")</f>
        <v>UN</v>
      </c>
      <c r="G133" s="244">
        <f>VLOOKUP(A133,'Planilha_Sintética_Geral'!A:O,7,0)</f>
        <v>1</v>
      </c>
      <c r="H133" s="241">
        <f>IFERROR(IF(D133="SINAPI-S",VLOOKUP(B133,'20-B.SINAPI-S'!A:J,5,0),IF(D133="SINAPI-I",VLOOKUP(B133,'20-A.SINAPI-I'!A:G,6,0),IF(D133="COMPOSIÇÕES",VLOOKUP(B133,'11.COMPOSIÇÕES GERAIS'!B:I,7,0),0))),"Em Elaboração")</f>
        <v>58.6</v>
      </c>
      <c r="I133" s="241">
        <f>IFERROR(IF(D133="SINAPI-S",VLOOKUP(B133,'20-B.SINAPI-S'!A:J,6,0),IF(D133="SINAPI-I",VLOOKUP(B133,'20-A.SINAPI-I'!A:G,7,0),IF(D133="COMPOSIÇÕES",VLOOKUP(B133,'11.COMPOSIÇÕES GERAIS'!B:I,8,0),VLOOKUP(B133,'12.COT.MERCADO'!A:I,8,0)))),"Em Elaboração")</f>
        <v>388.79</v>
      </c>
      <c r="J133" s="241">
        <f t="shared" si="13"/>
        <v>68.79188604</v>
      </c>
      <c r="K133" s="241">
        <f t="shared" si="14"/>
        <v>455.4031734</v>
      </c>
      <c r="L133" s="241">
        <f t="shared" si="15"/>
        <v>524.1950594</v>
      </c>
      <c r="M133" s="241">
        <f t="shared" si="16"/>
        <v>68.79188604</v>
      </c>
      <c r="N133" s="241">
        <f t="shared" si="17"/>
        <v>455.4031734</v>
      </c>
      <c r="O133" s="241">
        <f t="shared" si="18"/>
        <v>524.1950594</v>
      </c>
      <c r="P133" s="242">
        <f t="shared" si="3"/>
        <v>0.001681077362</v>
      </c>
    </row>
    <row r="134">
      <c r="A134" s="236" t="s">
        <v>341</v>
      </c>
      <c r="B134" s="237" t="str">
        <f>VLOOKUP(A134,'Planilha_Sintética_Geral'!A:P,2,0)</f>
        <v>MAN_PR_030</v>
      </c>
      <c r="C134" s="238" t="str">
        <f t="shared" si="12"/>
        <v>PRÓPRIO</v>
      </c>
      <c r="D134" s="243" t="s">
        <v>230</v>
      </c>
      <c r="E134" s="239" t="str">
        <f>IFERROR(IF(D134="SINAPI-S",VLOOKUP(B134,'20-B.SINAPI-S'!A:J,2,0),IF(D134="SINAPI-I",VLOOKUP(B134,'20-A.SINAPI-I'!A:G,2,0),IF(D134="COMPOSIÇÕES",VLOOKUP(B134,'11.COMPOSIÇÕES GERAIS'!B:I,2,0),VLOOKUP(B134,'12.COT.MERCADO'!A:I,2,0)))),"Em Elaboração")</f>
        <v>FORNECIMENTO E INSTALAÇÃO DE LIXEIRA EM PLÁSTICO POLIPROPILENO (PP) COM PROTEÇÃO UV, COM CAPACIDADE DE 50L, PARA COLETA SELETIVA COM SUPORTE (POSTE)</v>
      </c>
      <c r="F134" s="240" t="str">
        <f>IFERROR(IF(D134="SINAPI-S",VLOOKUP(B134,'20-B.SINAPI-S'!A:J,3,0),IF(D134="SINAPI-I",VLOOKUP(B134,'20-A.SINAPI-I'!A:G,3,0),IF(D134="COMPOSIÇÕES",VLOOKUP(B134,'11.COMPOSIÇÕES GERAIS'!B:I,3,0),VLOOKUP(B134,'12.COT.MERCADO'!A:I,7,0)))),"Em Elaboração")</f>
        <v>UN</v>
      </c>
      <c r="G134" s="244">
        <f>VLOOKUP(A134,'Planilha_Sintética_Geral'!A:O,7,0)</f>
        <v>2</v>
      </c>
      <c r="H134" s="241">
        <f>IFERROR(IF(D134="SINAPI-S",VLOOKUP(B134,'20-B.SINAPI-S'!A:J,5,0),IF(D134="SINAPI-I",VLOOKUP(B134,'20-A.SINAPI-I'!A:G,6,0),IF(D134="COMPOSIÇÕES",VLOOKUP(B134,'11.COMPOSIÇÕES GERAIS'!B:I,7,0),0))),"Em Elaboração")</f>
        <v>15.46264</v>
      </c>
      <c r="I134" s="241">
        <f>IFERROR(IF(D134="SINAPI-S",VLOOKUP(B134,'20-B.SINAPI-S'!A:J,6,0),IF(D134="SINAPI-I",VLOOKUP(B134,'20-A.SINAPI-I'!A:G,7,0),IF(D134="COMPOSIÇÕES",VLOOKUP(B134,'11.COMPOSIÇÕES GERAIS'!B:I,8,0),VLOOKUP(B134,'12.COT.MERCADO'!A:I,8,0)))),"Em Elaboração")</f>
        <v>211.51668</v>
      </c>
      <c r="J134" s="241">
        <f t="shared" si="13"/>
        <v>18.15194827</v>
      </c>
      <c r="K134" s="241">
        <f t="shared" si="14"/>
        <v>247.7568026</v>
      </c>
      <c r="L134" s="241">
        <f t="shared" si="15"/>
        <v>265.9087509</v>
      </c>
      <c r="M134" s="241">
        <f t="shared" si="16"/>
        <v>36.30389655</v>
      </c>
      <c r="N134" s="241">
        <f t="shared" si="17"/>
        <v>495.5136052</v>
      </c>
      <c r="O134" s="241">
        <f t="shared" si="18"/>
        <v>531.8175018</v>
      </c>
      <c r="P134" s="242">
        <f t="shared" si="3"/>
        <v>0.001705522299</v>
      </c>
    </row>
    <row r="135">
      <c r="A135" s="236" t="s">
        <v>342</v>
      </c>
      <c r="B135" s="237">
        <f>VLOOKUP(A135,'Planilha_Sintética_Geral'!A:P,2,0)</f>
        <v>4221</v>
      </c>
      <c r="C135" s="238" t="str">
        <f t="shared" si="12"/>
        <v>SINAPI</v>
      </c>
      <c r="D135" s="243" t="s">
        <v>286</v>
      </c>
      <c r="E135" s="239" t="str">
        <f>IFERROR(IF(D135="SINAPI-S",VLOOKUP(B135,'20-B.SINAPI-S'!A:J,2,0),IF(D135="SINAPI-I",VLOOKUP(B135,'20-A.SINAPI-I'!A:G,2,0),IF(D135="COMPOSIÇÕES",VLOOKUP(B135,'11.COMPOSIÇÕES GERAIS'!B:I,2,0),VLOOKUP(B135,'12.COT.MERCADO'!A:I,2,0)))),"Em Elaboração")</f>
        <v>OLEO DIESEL COMBUSTIVEL COMUM</v>
      </c>
      <c r="F135" s="240" t="str">
        <f>IFERROR(IF(D135="SINAPI-S",VLOOKUP(B135,'20-B.SINAPI-S'!A:J,3,0),IF(D135="SINAPI-I",VLOOKUP(B135,'20-A.SINAPI-I'!A:G,3,0),IF(D135="COMPOSIÇÕES",VLOOKUP(B135,'11.COMPOSIÇÕES GERAIS'!B:I,3,0),VLOOKUP(B135,'12.COT.MERCADO'!A:I,7,0)))),"Em Elaboração")</f>
        <v>L</v>
      </c>
      <c r="G135" s="244">
        <f>VLOOKUP(A135,'Planilha_Sintética_Geral'!A:O,7,0)</f>
        <v>64</v>
      </c>
      <c r="H135" s="241">
        <f>IFERROR(IF(D135="SINAPI-S",VLOOKUP(B135,'20-B.SINAPI-S'!A:J,5,0),IF(D135="SINAPI-I",VLOOKUP(B135,'20-A.SINAPI-I'!A:G,6,0),IF(D135="COMPOSIÇÕES",VLOOKUP(B135,'11.COMPOSIÇÕES GERAIS'!B:I,7,0),0))),"Em Elaboração")</f>
        <v>0</v>
      </c>
      <c r="I135" s="241">
        <f>IFERROR(IF(D135="SINAPI-S",VLOOKUP(B135,'20-B.SINAPI-S'!A:J,6,0),IF(D135="SINAPI-I",VLOOKUP(B135,'20-A.SINAPI-I'!A:G,7,0),IF(D135="COMPOSIÇÕES",VLOOKUP(B135,'11.COMPOSIÇÕES GERAIS'!B:I,8,0),VLOOKUP(B135,'12.COT.MERCADO'!A:I,8,0)))),"Em Elaboração")</f>
        <v>4.55</v>
      </c>
      <c r="J135" s="241">
        <f t="shared" si="13"/>
        <v>0</v>
      </c>
      <c r="K135" s="241">
        <f t="shared" si="14"/>
        <v>5.329572362</v>
      </c>
      <c r="L135" s="241">
        <f t="shared" si="15"/>
        <v>5.329572362</v>
      </c>
      <c r="M135" s="241">
        <f t="shared" si="16"/>
        <v>0</v>
      </c>
      <c r="N135" s="241">
        <f t="shared" si="17"/>
        <v>341.0926312</v>
      </c>
      <c r="O135" s="241">
        <f t="shared" si="18"/>
        <v>341.0926312</v>
      </c>
      <c r="P135" s="242">
        <f t="shared" si="3"/>
        <v>0.001093873531</v>
      </c>
    </row>
    <row r="136">
      <c r="A136" s="236" t="s">
        <v>343</v>
      </c>
      <c r="B136" s="237">
        <f>VLOOKUP(A136,'Planilha_Sintética_Geral'!A:P,2,0)</f>
        <v>11186</v>
      </c>
      <c r="C136" s="238" t="str">
        <f t="shared" si="12"/>
        <v>SINAPI</v>
      </c>
      <c r="D136" s="243" t="s">
        <v>286</v>
      </c>
      <c r="E136" s="239" t="str">
        <f>IFERROR(IF(D136="SINAPI-S",VLOOKUP(B136,'20-B.SINAPI-S'!A:J,2,0),IF(D136="SINAPI-I",VLOOKUP(B136,'20-A.SINAPI-I'!A:G,2,0),IF(D136="COMPOSIÇÕES",VLOOKUP(B136,'11.COMPOSIÇÕES GERAIS'!B:I,2,0),VLOOKUP(B136,'12.COT.MERCADO'!A:I,2,0)))),"Em Elaboração")</f>
        <v>ESPELHO CRISTAL E = 4 MM</v>
      </c>
      <c r="F136" s="240" t="str">
        <f>IFERROR(IF(D136="SINAPI-S",VLOOKUP(B136,'20-B.SINAPI-S'!A:J,3,0),IF(D136="SINAPI-I",VLOOKUP(B136,'20-A.SINAPI-I'!A:G,3,0),IF(D136="COMPOSIÇÕES",VLOOKUP(B136,'11.COMPOSIÇÕES GERAIS'!B:I,3,0),VLOOKUP(B136,'12.COT.MERCADO'!A:I,7,0)))),"Em Elaboração")</f>
        <v>M2</v>
      </c>
      <c r="G136" s="244">
        <f>VLOOKUP(A136,'Planilha_Sintética_Geral'!A:O,7,0)</f>
        <v>1</v>
      </c>
      <c r="H136" s="241">
        <f>IFERROR(IF(D136="SINAPI-S",VLOOKUP(B136,'20-B.SINAPI-S'!A:J,5,0),IF(D136="SINAPI-I",VLOOKUP(B136,'20-A.SINAPI-I'!A:G,6,0),IF(D136="COMPOSIÇÕES",VLOOKUP(B136,'11.COMPOSIÇÕES GERAIS'!B:I,7,0),0))),"Em Elaboração")</f>
        <v>0</v>
      </c>
      <c r="I136" s="241">
        <f>IFERROR(IF(D136="SINAPI-S",VLOOKUP(B136,'20-B.SINAPI-S'!A:J,6,0),IF(D136="SINAPI-I",VLOOKUP(B136,'20-A.SINAPI-I'!A:G,7,0),IF(D136="COMPOSIÇÕES",VLOOKUP(B136,'11.COMPOSIÇÕES GERAIS'!B:I,8,0),VLOOKUP(B136,'12.COT.MERCADO'!A:I,8,0)))),"Em Elaboração")</f>
        <v>394.16</v>
      </c>
      <c r="J136" s="241">
        <f t="shared" si="13"/>
        <v>0</v>
      </c>
      <c r="K136" s="241">
        <f t="shared" si="14"/>
        <v>461.6932401</v>
      </c>
      <c r="L136" s="241">
        <f t="shared" si="15"/>
        <v>461.6932401</v>
      </c>
      <c r="M136" s="241">
        <f t="shared" si="16"/>
        <v>0</v>
      </c>
      <c r="N136" s="241">
        <f t="shared" si="17"/>
        <v>461.6932401</v>
      </c>
      <c r="O136" s="241">
        <f t="shared" si="18"/>
        <v>461.6932401</v>
      </c>
      <c r="P136" s="242">
        <f t="shared" si="3"/>
        <v>0.001480635958</v>
      </c>
    </row>
    <row r="137">
      <c r="A137" s="236" t="s">
        <v>344</v>
      </c>
      <c r="B137" s="237" t="str">
        <f>VLOOKUP(A137,'Planilha_Sintética_Geral'!A:P,2,0)</f>
        <v>MAN_PR_031</v>
      </c>
      <c r="C137" s="238" t="str">
        <f t="shared" si="12"/>
        <v>PRÓPRIO</v>
      </c>
      <c r="D137" s="243" t="s">
        <v>230</v>
      </c>
      <c r="E137" s="239" t="str">
        <f>IFERROR(IF(D137="SINAPI-S",VLOOKUP(B137,'20-B.SINAPI-S'!A:J,2,0),IF(D137="SINAPI-I",VLOOKUP(B137,'20-A.SINAPI-I'!A:G,2,0),IF(D137="COMPOSIÇÕES",VLOOKUP(B137,'11.COMPOSIÇÕES GERAIS'!B:I,2,0),VLOOKUP(B137,'12.COT.MERCADO'!A:I,2,0)))),"Em Elaboração")</f>
        <v>REPARO PARA VÁLVULA DE DESCARGA, COMPLETO - FORNECIMENTO E INSTALAÇÃO</v>
      </c>
      <c r="F137" s="240" t="str">
        <f>IFERROR(IF(D137="SINAPI-S",VLOOKUP(B137,'20-B.SINAPI-S'!A:J,3,0),IF(D137="SINAPI-I",VLOOKUP(B137,'20-A.SINAPI-I'!A:G,3,0),IF(D137="COMPOSIÇÕES",VLOOKUP(B137,'11.COMPOSIÇÕES GERAIS'!B:I,3,0),VLOOKUP(B137,'12.COT.MERCADO'!A:I,7,0)))),"Em Elaboração")</f>
        <v>UN</v>
      </c>
      <c r="G137" s="244">
        <f>VLOOKUP(A137,'Planilha_Sintética_Geral'!A:O,7,0)</f>
        <v>1</v>
      </c>
      <c r="H137" s="241">
        <f>IFERROR(IF(D137="SINAPI-S",VLOOKUP(B137,'20-B.SINAPI-S'!A:J,5,0),IF(D137="SINAPI-I",VLOOKUP(B137,'20-A.SINAPI-I'!A:G,6,0),IF(D137="COMPOSIÇÕES",VLOOKUP(B137,'11.COMPOSIÇÕES GERAIS'!B:I,7,0),0))),"Em Elaboração")</f>
        <v>34.736</v>
      </c>
      <c r="I137" s="241">
        <f>IFERROR(IF(D137="SINAPI-S",VLOOKUP(B137,'20-B.SINAPI-S'!A:J,6,0),IF(D137="SINAPI-I",VLOOKUP(B137,'20-A.SINAPI-I'!A:G,7,0),IF(D137="COMPOSIÇÕES",VLOOKUP(B137,'11.COMPOSIÇÕES GERAIS'!B:I,8,0),VLOOKUP(B137,'12.COT.MERCADO'!A:I,8,0)))),"Em Elaboração")</f>
        <v>85.614</v>
      </c>
      <c r="J137" s="241">
        <f t="shared" si="13"/>
        <v>40.77738829</v>
      </c>
      <c r="K137" s="241">
        <f t="shared" si="14"/>
        <v>100.2826392</v>
      </c>
      <c r="L137" s="241">
        <f t="shared" si="15"/>
        <v>141.0600275</v>
      </c>
      <c r="M137" s="241">
        <f t="shared" si="16"/>
        <v>40.77738829</v>
      </c>
      <c r="N137" s="241">
        <f t="shared" si="17"/>
        <v>100.2826392</v>
      </c>
      <c r="O137" s="241">
        <f t="shared" si="18"/>
        <v>141.0600275</v>
      </c>
      <c r="P137" s="242">
        <f t="shared" si="3"/>
        <v>0.0004523751503</v>
      </c>
    </row>
    <row r="138">
      <c r="A138" s="236" t="s">
        <v>345</v>
      </c>
      <c r="B138" s="237">
        <f>VLOOKUP(A138,'Planilha_Sintética_Geral'!A:P,2,0)</f>
        <v>100750</v>
      </c>
      <c r="C138" s="238" t="str">
        <f t="shared" si="12"/>
        <v>SINAPI</v>
      </c>
      <c r="D138" s="238" t="s">
        <v>218</v>
      </c>
      <c r="E138" s="239" t="str">
        <f>IFERROR(IF(D138="SINAPI-S",VLOOKUP(B138,'20-B.SINAPI-S'!A:J,2,0),IF(D138="SINAPI-I",VLOOKUP(B138,'20-A.SINAPI-I'!A:G,2,0),IF(D138="COMPOSIÇÕES",VLOOKUP(B138,'11.COMPOSIÇÕES GERAIS'!B:I,2,0),VLOOKUP(B138,'12.COT.MERCADO'!A:I,2,0)))),"Em Elaboração")</f>
        <v>PINTURA COM TINTA ALQUÍDICA DE ACABAMENTO (ESMALTE SINTÉTICO FOSCO) APLICADA A ROLO OU PINCEL SOBRE SUPERFÍCIES METÁLICAS (EXCETO PERFIL) EXECUTADO EM OBRA (POR DEMÃO). AF_01/2020</v>
      </c>
      <c r="F138" s="240" t="str">
        <f>IFERROR(IF(D138="SINAPI-S",VLOOKUP(B138,'20-B.SINAPI-S'!A:J,3,0),IF(D138="SINAPI-I",VLOOKUP(B138,'20-A.SINAPI-I'!A:G,3,0),IF(D138="COMPOSIÇÕES",VLOOKUP(B138,'11.COMPOSIÇÕES GERAIS'!B:I,3,0),VLOOKUP(B138,'12.COT.MERCADO'!A:I,7,0)))),"Em Elaboração")</f>
        <v>M2</v>
      </c>
      <c r="G138" s="244">
        <f>VLOOKUP(A138,'Planilha_Sintética_Geral'!A:O,7,0)</f>
        <v>5</v>
      </c>
      <c r="H138" s="241">
        <f>IFERROR(IF(D138="SINAPI-S",VLOOKUP(B138,'20-B.SINAPI-S'!A:J,5,0),IF(D138="SINAPI-I",VLOOKUP(B138,'20-A.SINAPI-I'!A:G,6,0),IF(D138="COMPOSIÇÕES",VLOOKUP(B138,'11.COMPOSIÇÕES GERAIS'!B:I,7,0),0))),"Em Elaboração")</f>
        <v>16.65</v>
      </c>
      <c r="I138" s="241">
        <f>IFERROR(IF(D138="SINAPI-S",VLOOKUP(B138,'20-B.SINAPI-S'!A:J,6,0),IF(D138="SINAPI-I",VLOOKUP(B138,'20-A.SINAPI-I'!A:G,7,0),IF(D138="COMPOSIÇÕES",VLOOKUP(B138,'11.COMPOSIÇÕES GERAIS'!B:I,8,0),VLOOKUP(B138,'12.COT.MERCADO'!A:I,8,0)))),"Em Elaboração")</f>
        <v>11.38</v>
      </c>
      <c r="J138" s="241">
        <f t="shared" si="13"/>
        <v>19.54581745</v>
      </c>
      <c r="K138" s="241">
        <f t="shared" si="14"/>
        <v>13.32978758</v>
      </c>
      <c r="L138" s="241">
        <f t="shared" si="15"/>
        <v>32.87560503</v>
      </c>
      <c r="M138" s="241">
        <f t="shared" si="16"/>
        <v>97.72908725</v>
      </c>
      <c r="N138" s="241">
        <f t="shared" si="17"/>
        <v>66.64893789</v>
      </c>
      <c r="O138" s="241">
        <f t="shared" si="18"/>
        <v>164.3780251</v>
      </c>
      <c r="P138" s="242">
        <f t="shared" si="3"/>
        <v>0.0005271552485</v>
      </c>
    </row>
    <row r="139">
      <c r="A139" s="236" t="s">
        <v>346</v>
      </c>
      <c r="B139" s="237" t="str">
        <f>VLOOKUP(A139,'Planilha_Sintética_Geral'!A:P,2,0)</f>
        <v>COT_MAN_074</v>
      </c>
      <c r="C139" s="238" t="str">
        <f t="shared" si="12"/>
        <v>PRÓPRIO</v>
      </c>
      <c r="D139" s="243" t="s">
        <v>110</v>
      </c>
      <c r="E139" s="239" t="str">
        <f>IFERROR(IF(D139="SINAPI-S",VLOOKUP(B139,'20-B.SINAPI-S'!A:J,2,0),IF(D139="SINAPI-I",VLOOKUP(B139,'20-A.SINAPI-I'!A:G,2,0),IF(D139="COMPOSIÇÕES",VLOOKUP(B139,'11.COMPOSIÇÕES GERAIS'!B:I,2,0),VLOOKUP(B139,'12.COT.MERCADO'!A:I,2,0)))),"Em Elaboração")</f>
        <v>EXECUÇÃO DO TESTE DE ESTANQUEIDADE PNEUMÁTICO EM CHUVEIRO AUTOMÁTICO SPRINKLER + ELABORAÇÃO DO RELATÓRIO TÉCNICO/LAUDO E FORNECIMENO DE ART</v>
      </c>
      <c r="F139" s="240" t="str">
        <f>IFERROR(IF(D139="SINAPI-S",VLOOKUP(B139,'20-B.SINAPI-S'!A:J,3,0),IF(D139="SINAPI-I",VLOOKUP(B139,'20-A.SINAPI-I'!A:G,3,0),IF(D139="COMPOSIÇÕES",VLOOKUP(B139,'11.COMPOSIÇÕES GERAIS'!B:I,3,0),VLOOKUP(B139,'12.COT.MERCADO'!A:I,7,0)))),"Em Elaboração")</f>
        <v>UN</v>
      </c>
      <c r="G139" s="244">
        <f>VLOOKUP(A139,'Planilha_Sintética_Geral'!A:O,7,0)</f>
        <v>1</v>
      </c>
      <c r="H139" s="241">
        <f>IFERROR(IF(D139="SINAPI-S",VLOOKUP(B139,'20-B.SINAPI-S'!A:J,5,0),IF(D139="SINAPI-I",VLOOKUP(B139,'20-A.SINAPI-I'!A:G,6,0),IF(D139="COMPOSIÇÕES",VLOOKUP(B139,'11.COMPOSIÇÕES GERAIS'!B:I,7,0),0))),"Em Elaboração")</f>
        <v>0</v>
      </c>
      <c r="I139" s="241">
        <f>IFERROR(IF(D139="SINAPI-S",VLOOKUP(B139,'20-B.SINAPI-S'!A:J,6,0),IF(D139="SINAPI-I",VLOOKUP(B139,'20-A.SINAPI-I'!A:G,7,0),IF(D139="COMPOSIÇÕES",VLOOKUP(B139,'11.COMPOSIÇÕES GERAIS'!B:I,8,0),VLOOKUP(B139,'12.COT.MERCADO'!A:I,8,0)))),"Em Elaboração")</f>
        <v>2800</v>
      </c>
      <c r="J139" s="241">
        <f t="shared" si="13"/>
        <v>0</v>
      </c>
      <c r="K139" s="241">
        <f t="shared" si="14"/>
        <v>3279.736838</v>
      </c>
      <c r="L139" s="241">
        <f t="shared" si="15"/>
        <v>3279.736838</v>
      </c>
      <c r="M139" s="241">
        <f t="shared" si="16"/>
        <v>0</v>
      </c>
      <c r="N139" s="241">
        <f t="shared" si="17"/>
        <v>3279.736838</v>
      </c>
      <c r="O139" s="241">
        <f t="shared" si="18"/>
        <v>3279.736838</v>
      </c>
      <c r="P139" s="242">
        <f t="shared" si="3"/>
        <v>0.01051801472</v>
      </c>
    </row>
    <row r="140">
      <c r="A140" s="236" t="s">
        <v>347</v>
      </c>
      <c r="B140" s="237" t="str">
        <f>VLOOKUP(A140,'Planilha_Sintética_Geral'!A:P,2,0)</f>
        <v>COT_MAN_075</v>
      </c>
      <c r="C140" s="238" t="str">
        <f t="shared" si="12"/>
        <v>PRÓPRIO</v>
      </c>
      <c r="D140" s="243" t="s">
        <v>110</v>
      </c>
      <c r="E140" s="239" t="str">
        <f>IFERROR(IF(D140="SINAPI-S",VLOOKUP(B140,'20-B.SINAPI-S'!A:J,2,0),IF(D140="SINAPI-I",VLOOKUP(B140,'20-A.SINAPI-I'!A:G,2,0),IF(D140="COMPOSIÇÕES",VLOOKUP(B140,'11.COMPOSIÇÕES GERAIS'!B:I,2,0),VLOOKUP(B140,'12.COT.MERCADO'!A:I,2,0)))),"Em Elaboração")</f>
        <v>EXECUÇÃO DE TESTE HIDROSTÁTICO EM HIDRANTES + ELABORAÇÃO DO RELATÓRIO TÉCNICO/LAUDO E FORNECIMENO DE ART</v>
      </c>
      <c r="F140" s="240" t="str">
        <f>IFERROR(IF(D140="SINAPI-S",VLOOKUP(B140,'20-B.SINAPI-S'!A:J,3,0),IF(D140="SINAPI-I",VLOOKUP(B140,'20-A.SINAPI-I'!A:G,3,0),IF(D140="COMPOSIÇÕES",VLOOKUP(B140,'11.COMPOSIÇÕES GERAIS'!B:I,3,0),VLOOKUP(B140,'12.COT.MERCADO'!A:I,7,0)))),"Em Elaboração")</f>
        <v>UN</v>
      </c>
      <c r="G140" s="244">
        <f>VLOOKUP(A140,'Planilha_Sintética_Geral'!A:O,7,0)</f>
        <v>3</v>
      </c>
      <c r="H140" s="241">
        <f>IFERROR(IF(D140="SINAPI-S",VLOOKUP(B140,'20-B.SINAPI-S'!A:J,5,0),IF(D140="SINAPI-I",VLOOKUP(B140,'20-A.SINAPI-I'!A:G,6,0),IF(D140="COMPOSIÇÕES",VLOOKUP(B140,'11.COMPOSIÇÕES GERAIS'!B:I,7,0),0))),"Em Elaboração")</f>
        <v>0</v>
      </c>
      <c r="I140" s="241">
        <f>IFERROR(IF(D140="SINAPI-S",VLOOKUP(B140,'20-B.SINAPI-S'!A:J,6,0),IF(D140="SINAPI-I",VLOOKUP(B140,'20-A.SINAPI-I'!A:G,7,0),IF(D140="COMPOSIÇÕES",VLOOKUP(B140,'11.COMPOSIÇÕES GERAIS'!B:I,8,0),VLOOKUP(B140,'12.COT.MERCADO'!A:I,8,0)))),"Em Elaboração")</f>
        <v>2500</v>
      </c>
      <c r="J140" s="241">
        <f t="shared" si="13"/>
        <v>0</v>
      </c>
      <c r="K140" s="241">
        <f t="shared" si="14"/>
        <v>2928.336463</v>
      </c>
      <c r="L140" s="241">
        <f t="shared" si="15"/>
        <v>2928.336463</v>
      </c>
      <c r="M140" s="241">
        <f t="shared" si="16"/>
        <v>0</v>
      </c>
      <c r="N140" s="241">
        <f t="shared" si="17"/>
        <v>8785.009389</v>
      </c>
      <c r="O140" s="241">
        <f t="shared" si="18"/>
        <v>8785.009389</v>
      </c>
      <c r="P140" s="242">
        <f t="shared" si="3"/>
        <v>0.02817325371</v>
      </c>
    </row>
    <row r="141">
      <c r="A141" s="236" t="s">
        <v>348</v>
      </c>
      <c r="B141" s="237" t="str">
        <f>VLOOKUP(A141,'Planilha_Sintética_Geral'!A:P,2,0)</f>
        <v>COT_MAN_076</v>
      </c>
      <c r="C141" s="238" t="str">
        <f t="shared" si="12"/>
        <v>PRÓPRIO</v>
      </c>
      <c r="D141" s="243" t="s">
        <v>110</v>
      </c>
      <c r="E141" s="239" t="str">
        <f>IFERROR(IF(D141="SINAPI-S",VLOOKUP(B141,'20-B.SINAPI-S'!A:J,2,0),IF(D141="SINAPI-I",VLOOKUP(B141,'20-A.SINAPI-I'!A:G,2,0),IF(D141="COMPOSIÇÕES",VLOOKUP(B141,'11.COMPOSIÇÕES GERAIS'!B:I,2,0),VLOOKUP(B141,'12.COT.MERCADO'!A:I,2,0)))),"Em Elaboração")</f>
        <v>EXECUÇÃO DE TESTE EM SISTEMAS DE ALARME DE INCÊNDIO + ELABORAÇÃO DO RELATÓRIO TÉCNICO/LAUDO E FORNECIMENO DE ART</v>
      </c>
      <c r="F141" s="240" t="str">
        <f>IFERROR(IF(D141="SINAPI-S",VLOOKUP(B141,'20-B.SINAPI-S'!A:J,3,0),IF(D141="SINAPI-I",VLOOKUP(B141,'20-A.SINAPI-I'!A:G,3,0),IF(D141="COMPOSIÇÕES",VLOOKUP(B141,'11.COMPOSIÇÕES GERAIS'!B:I,3,0),VLOOKUP(B141,'12.COT.MERCADO'!A:I,7,0)))),"Em Elaboração")</f>
        <v>UN</v>
      </c>
      <c r="G141" s="244">
        <f>VLOOKUP(A141,'Planilha_Sintética_Geral'!A:O,7,0)</f>
        <v>1</v>
      </c>
      <c r="H141" s="241">
        <f>IFERROR(IF(D141="SINAPI-S",VLOOKUP(B141,'20-B.SINAPI-S'!A:J,5,0),IF(D141="SINAPI-I",VLOOKUP(B141,'20-A.SINAPI-I'!A:G,6,0),IF(D141="COMPOSIÇÕES",VLOOKUP(B141,'11.COMPOSIÇÕES GERAIS'!B:I,7,0),0))),"Em Elaboração")</f>
        <v>0</v>
      </c>
      <c r="I141" s="241">
        <f>IFERROR(IF(D141="SINAPI-S",VLOOKUP(B141,'20-B.SINAPI-S'!A:J,6,0),IF(D141="SINAPI-I",VLOOKUP(B141,'20-A.SINAPI-I'!A:G,7,0),IF(D141="COMPOSIÇÕES",VLOOKUP(B141,'11.COMPOSIÇÕES GERAIS'!B:I,8,0),VLOOKUP(B141,'12.COT.MERCADO'!A:I,8,0)))),"Em Elaboração")</f>
        <v>1500</v>
      </c>
      <c r="J141" s="241">
        <f t="shared" si="13"/>
        <v>0</v>
      </c>
      <c r="K141" s="241">
        <f t="shared" si="14"/>
        <v>1757.001878</v>
      </c>
      <c r="L141" s="241">
        <f t="shared" si="15"/>
        <v>1757.001878</v>
      </c>
      <c r="M141" s="241">
        <f t="shared" si="16"/>
        <v>0</v>
      </c>
      <c r="N141" s="241">
        <f t="shared" si="17"/>
        <v>1757.001878</v>
      </c>
      <c r="O141" s="241">
        <f t="shared" si="18"/>
        <v>1757.001878</v>
      </c>
      <c r="P141" s="242">
        <f t="shared" si="3"/>
        <v>0.005634650743</v>
      </c>
    </row>
    <row r="142">
      <c r="A142" s="236" t="s">
        <v>349</v>
      </c>
      <c r="B142" s="237" t="str">
        <f>VLOOKUP(A142,'Planilha_Sintética_Geral'!A:P,2,0)</f>
        <v>COT_MAN_077</v>
      </c>
      <c r="C142" s="238" t="str">
        <f t="shared" si="12"/>
        <v>PRÓPRIO</v>
      </c>
      <c r="D142" s="243" t="s">
        <v>110</v>
      </c>
      <c r="E142" s="239" t="str">
        <f>IFERROR(IF(D142="SINAPI-S",VLOOKUP(B142,'20-B.SINAPI-S'!A:J,2,0),IF(D142="SINAPI-I",VLOOKUP(B142,'20-A.SINAPI-I'!A:G,2,0),IF(D142="COMPOSIÇÕES",VLOOKUP(B142,'11.COMPOSIÇÕES GERAIS'!B:I,2,0),VLOOKUP(B142,'12.COT.MERCADO'!A:I,2,0)))),"Em Elaboração")</f>
        <v>TESTE CMAR - ACABAMENTOS E REVESTIMENTOS + ELABORAÇÃO DO RELATÓRIO TÉCNICO/LAUDO E FORNECIMENO DE ART</v>
      </c>
      <c r="F142" s="240" t="str">
        <f>IFERROR(IF(D142="SINAPI-S",VLOOKUP(B142,'20-B.SINAPI-S'!A:J,3,0),IF(D142="SINAPI-I",VLOOKUP(B142,'20-A.SINAPI-I'!A:G,3,0),IF(D142="COMPOSIÇÕES",VLOOKUP(B142,'11.COMPOSIÇÕES GERAIS'!B:I,3,0),VLOOKUP(B142,'12.COT.MERCADO'!A:I,7,0)))),"Em Elaboração")</f>
        <v>UN</v>
      </c>
      <c r="G142" s="244">
        <f>VLOOKUP(A142,'Planilha_Sintética_Geral'!A:O,7,0)</f>
        <v>1</v>
      </c>
      <c r="H142" s="241">
        <f>IFERROR(IF(D142="SINAPI-S",VLOOKUP(B142,'20-B.SINAPI-S'!A:J,5,0),IF(D142="SINAPI-I",VLOOKUP(B142,'20-A.SINAPI-I'!A:G,6,0),IF(D142="COMPOSIÇÕES",VLOOKUP(B142,'11.COMPOSIÇÕES GERAIS'!B:I,7,0),0))),"Em Elaboração")</f>
        <v>0</v>
      </c>
      <c r="I142" s="241">
        <f>IFERROR(IF(D142="SINAPI-S",VLOOKUP(B142,'20-B.SINAPI-S'!A:J,6,0),IF(D142="SINAPI-I",VLOOKUP(B142,'20-A.SINAPI-I'!A:G,7,0),IF(D142="COMPOSIÇÕES",VLOOKUP(B142,'11.COMPOSIÇÕES GERAIS'!B:I,8,0),VLOOKUP(B142,'12.COT.MERCADO'!A:I,8,0)))),"Em Elaboração")</f>
        <v>1500</v>
      </c>
      <c r="J142" s="241">
        <f t="shared" si="13"/>
        <v>0</v>
      </c>
      <c r="K142" s="241">
        <f t="shared" si="14"/>
        <v>1757.001878</v>
      </c>
      <c r="L142" s="241">
        <f t="shared" si="15"/>
        <v>1757.001878</v>
      </c>
      <c r="M142" s="241">
        <f t="shared" si="16"/>
        <v>0</v>
      </c>
      <c r="N142" s="241">
        <f t="shared" si="17"/>
        <v>1757.001878</v>
      </c>
      <c r="O142" s="241">
        <f t="shared" si="18"/>
        <v>1757.001878</v>
      </c>
      <c r="P142" s="242">
        <f t="shared" si="3"/>
        <v>0.005634650743</v>
      </c>
    </row>
    <row r="143">
      <c r="A143" s="236" t="s">
        <v>350</v>
      </c>
      <c r="B143" s="237">
        <f>VLOOKUP(A143,'Planilha_Sintética_Geral'!A:P,2,0)</f>
        <v>99855</v>
      </c>
      <c r="C143" s="238" t="str">
        <f t="shared" si="12"/>
        <v>SINAPI</v>
      </c>
      <c r="D143" s="238" t="s">
        <v>218</v>
      </c>
      <c r="E143" s="239" t="str">
        <f>IFERROR(IF(D143="SINAPI-S",VLOOKUP(B143,'20-B.SINAPI-S'!A:J,2,0),IF(D143="SINAPI-I",VLOOKUP(B143,'20-A.SINAPI-I'!A:G,2,0),IF(D143="COMPOSIÇÕES",VLOOKUP(B143,'11.COMPOSIÇÕES GERAIS'!B:I,2,0),VLOOKUP(B143,'12.COT.MERCADO'!A:I,2,0)))),"Em Elaboração")</f>
        <v>CORRIMÃO SIMPLES, DIÂMETRO EXTERNO = 1 1/2_x0094_, EM AÇO GALVANIZADO. AF_04/2019_PS</v>
      </c>
      <c r="F143" s="240" t="str">
        <f>IFERROR(IF(D143="SINAPI-S",VLOOKUP(B143,'20-B.SINAPI-S'!A:J,3,0),IF(D143="SINAPI-I",VLOOKUP(B143,'20-A.SINAPI-I'!A:G,3,0),IF(D143="COMPOSIÇÕES",VLOOKUP(B143,'11.COMPOSIÇÕES GERAIS'!B:I,3,0),VLOOKUP(B143,'12.COT.MERCADO'!A:I,7,0)))),"Em Elaboração")</f>
        <v>M</v>
      </c>
      <c r="G143" s="244">
        <f>VLOOKUP(A143,'Planilha_Sintética_Geral'!A:O,7,0)</f>
        <v>8</v>
      </c>
      <c r="H143" s="241">
        <f>IFERROR(IF(D143="SINAPI-S",VLOOKUP(B143,'20-B.SINAPI-S'!A:J,5,0),IF(D143="SINAPI-I",VLOOKUP(B143,'20-A.SINAPI-I'!A:G,6,0),IF(D143="COMPOSIÇÕES",VLOOKUP(B143,'11.COMPOSIÇÕES GERAIS'!B:I,7,0),0))),"Em Elaboração")</f>
        <v>37.72</v>
      </c>
      <c r="I143" s="241">
        <f>IFERROR(IF(D143="SINAPI-S",VLOOKUP(B143,'20-B.SINAPI-S'!A:J,6,0),IF(D143="SINAPI-I",VLOOKUP(B143,'20-A.SINAPI-I'!A:G,7,0),IF(D143="COMPOSIÇÕES",VLOOKUP(B143,'11.COMPOSIÇÕES GERAIS'!B:I,8,0),VLOOKUP(B143,'12.COT.MERCADO'!A:I,8,0)))),"Em Elaboração")</f>
        <v>74.49</v>
      </c>
      <c r="J143" s="241">
        <f t="shared" si="13"/>
        <v>44.28037443</v>
      </c>
      <c r="K143" s="241">
        <f t="shared" si="14"/>
        <v>87.25271325</v>
      </c>
      <c r="L143" s="241">
        <f t="shared" si="15"/>
        <v>131.5330877</v>
      </c>
      <c r="M143" s="241">
        <f t="shared" si="16"/>
        <v>354.2429954</v>
      </c>
      <c r="N143" s="241">
        <f t="shared" si="17"/>
        <v>698.021706</v>
      </c>
      <c r="O143" s="241">
        <f t="shared" si="18"/>
        <v>1052.264701</v>
      </c>
      <c r="P143" s="242">
        <f t="shared" si="3"/>
        <v>0.00337458039</v>
      </c>
    </row>
    <row r="144">
      <c r="A144" s="236" t="s">
        <v>351</v>
      </c>
      <c r="B144" s="237" t="str">
        <f>VLOOKUP(A144,'Planilha_Sintética_Geral'!A:P,2,0)</f>
        <v>MAN_PR_033</v>
      </c>
      <c r="C144" s="238" t="str">
        <f t="shared" si="12"/>
        <v>PRÓPRIO</v>
      </c>
      <c r="D144" s="243" t="s">
        <v>230</v>
      </c>
      <c r="E144" s="239" t="str">
        <f>IFERROR(IF(D144="SINAPI-S",VLOOKUP(B144,'20-B.SINAPI-S'!A:J,2,0),IF(D144="SINAPI-I",VLOOKUP(B144,'20-A.SINAPI-I'!A:G,2,0),IF(D144="COMPOSIÇÕES",VLOOKUP(B144,'11.COMPOSIÇÕES GERAIS'!B:I,2,0),VLOOKUP(B144,'12.COT.MERCADO'!A:I,2,0)))),"Em Elaboração")</f>
        <v>FORNECIMENTO E INSTALAÇÃO DE PORTEIRO ELETRONICO. REF.: INTELBRAS IPR 8010 OU SIMILAR</v>
      </c>
      <c r="F144" s="240" t="str">
        <f>IFERROR(IF(D144="SINAPI-S",VLOOKUP(B144,'20-B.SINAPI-S'!A:J,3,0),IF(D144="SINAPI-I",VLOOKUP(B144,'20-A.SINAPI-I'!A:G,3,0),IF(D144="COMPOSIÇÕES",VLOOKUP(B144,'11.COMPOSIÇÕES GERAIS'!B:I,3,0),VLOOKUP(B144,'12.COT.MERCADO'!A:I,7,0)))),"Em Elaboração")</f>
        <v>UN</v>
      </c>
      <c r="G144" s="244">
        <f>VLOOKUP(A144,'Planilha_Sintética_Geral'!A:O,7,0)</f>
        <v>1</v>
      </c>
      <c r="H144" s="241">
        <f>IFERROR(IF(D144="SINAPI-S",VLOOKUP(B144,'20-B.SINAPI-S'!A:J,5,0),IF(D144="SINAPI-I",VLOOKUP(B144,'20-A.SINAPI-I'!A:G,6,0),IF(D144="COMPOSIÇÕES",VLOOKUP(B144,'11.COMPOSIÇÕES GERAIS'!B:I,7,0),0))),"Em Elaboração")</f>
        <v>44.29</v>
      </c>
      <c r="I144" s="241">
        <f>IFERROR(IF(D144="SINAPI-S",VLOOKUP(B144,'20-B.SINAPI-S'!A:J,6,0),IF(D144="SINAPI-I",VLOOKUP(B144,'20-A.SINAPI-I'!A:G,7,0),IF(D144="COMPOSIÇÕES",VLOOKUP(B144,'11.COMPOSIÇÕES GERAIS'!B:I,8,0),VLOOKUP(B144,'12.COT.MERCADO'!A:I,8,0)))),"Em Elaboração")</f>
        <v>219.93</v>
      </c>
      <c r="J144" s="241">
        <f t="shared" si="13"/>
        <v>51.99304834</v>
      </c>
      <c r="K144" s="241">
        <f t="shared" si="14"/>
        <v>257.6116153</v>
      </c>
      <c r="L144" s="241">
        <f t="shared" si="15"/>
        <v>309.6046637</v>
      </c>
      <c r="M144" s="241">
        <f t="shared" si="16"/>
        <v>51.99304834</v>
      </c>
      <c r="N144" s="241">
        <f t="shared" si="17"/>
        <v>257.6116153</v>
      </c>
      <c r="O144" s="241">
        <f t="shared" si="18"/>
        <v>309.6046637</v>
      </c>
      <c r="P144" s="242">
        <f t="shared" si="3"/>
        <v>0.0009928925917</v>
      </c>
    </row>
    <row r="145">
      <c r="A145" s="236" t="s">
        <v>352</v>
      </c>
      <c r="B145" s="237" t="str">
        <f>VLOOKUP(A145,'Planilha_Sintética_Geral'!A:P,2,0)</f>
        <v>MAN_PR_032</v>
      </c>
      <c r="C145" s="238" t="str">
        <f t="shared" si="12"/>
        <v>PRÓPRIO</v>
      </c>
      <c r="D145" s="243" t="s">
        <v>230</v>
      </c>
      <c r="E145" s="239" t="str">
        <f>IFERROR(IF(D145="SINAPI-S",VLOOKUP(B145,'20-B.SINAPI-S'!A:J,2,0),IF(D145="SINAPI-I",VLOOKUP(B145,'20-A.SINAPI-I'!A:G,2,0),IF(D145="COMPOSIÇÕES",VLOOKUP(B145,'11.COMPOSIÇÕES GERAIS'!B:I,2,0),VLOOKUP(B145,'12.COT.MERCADO'!A:I,2,0)))),"Em Elaboração")</f>
        <v>ESCADA DO TIPO MARINHEIRO EM AÇO GALVANIZADO COM PROTEÇÃO </v>
      </c>
      <c r="F145" s="240" t="str">
        <f>IFERROR(IF(D145="SINAPI-S",VLOOKUP(B145,'20-B.SINAPI-S'!A:J,3,0),IF(D145="SINAPI-I",VLOOKUP(B145,'20-A.SINAPI-I'!A:G,3,0),IF(D145="COMPOSIÇÕES",VLOOKUP(B145,'11.COMPOSIÇÕES GERAIS'!B:I,3,0),VLOOKUP(B145,'12.COT.MERCADO'!A:I,7,0)))),"Em Elaboração")</f>
        <v>M</v>
      </c>
      <c r="G145" s="244">
        <f>VLOOKUP(A145,'Planilha_Sintética_Geral'!A:O,7,0)</f>
        <v>2</v>
      </c>
      <c r="H145" s="241">
        <f>IFERROR(IF(D145="SINAPI-S",VLOOKUP(B145,'20-B.SINAPI-S'!A:J,5,0),IF(D145="SINAPI-I",VLOOKUP(B145,'20-A.SINAPI-I'!A:G,6,0),IF(D145="COMPOSIÇÕES",VLOOKUP(B145,'11.COMPOSIÇÕES GERAIS'!B:I,7,0),0))),"Em Elaboração")</f>
        <v>0</v>
      </c>
      <c r="I145" s="241">
        <f>IFERROR(IF(D145="SINAPI-S",VLOOKUP(B145,'20-B.SINAPI-S'!A:J,6,0),IF(D145="SINAPI-I",VLOOKUP(B145,'20-A.SINAPI-I'!A:G,7,0),IF(D145="COMPOSIÇÕES",VLOOKUP(B145,'11.COMPOSIÇÕES GERAIS'!B:I,8,0),VLOOKUP(B145,'12.COT.MERCADO'!A:I,8,0)))),"Em Elaboração")</f>
        <v>799.28</v>
      </c>
      <c r="J145" s="241">
        <f t="shared" si="13"/>
        <v>0</v>
      </c>
      <c r="K145" s="241">
        <f t="shared" si="14"/>
        <v>936.2243072</v>
      </c>
      <c r="L145" s="241">
        <f t="shared" si="15"/>
        <v>936.2243072</v>
      </c>
      <c r="M145" s="241">
        <f t="shared" si="16"/>
        <v>0</v>
      </c>
      <c r="N145" s="241">
        <f t="shared" si="17"/>
        <v>1872.448614</v>
      </c>
      <c r="O145" s="241">
        <f t="shared" si="18"/>
        <v>1872.448614</v>
      </c>
      <c r="P145" s="242">
        <f t="shared" si="3"/>
        <v>0.006004884861</v>
      </c>
    </row>
    <row r="146">
      <c r="A146" s="236" t="s">
        <v>353</v>
      </c>
      <c r="B146" s="237" t="str">
        <f>VLOOKUP(A146,'Planilha_Sintética_Geral'!A:P,2,0)</f>
        <v>MAN_PR_034</v>
      </c>
      <c r="C146" s="238" t="str">
        <f t="shared" si="12"/>
        <v>PRÓPRIO</v>
      </c>
      <c r="D146" s="243" t="s">
        <v>230</v>
      </c>
      <c r="E146" s="239" t="str">
        <f>IFERROR(IF(D146="SINAPI-S",VLOOKUP(B146,'20-B.SINAPI-S'!A:J,2,0),IF(D146="SINAPI-I",VLOOKUP(B146,'20-A.SINAPI-I'!A:G,2,0),IF(D146="COMPOSIÇÕES",VLOOKUP(B146,'11.COMPOSIÇÕES GERAIS'!B:I,2,0),VLOOKUP(B146,'12.COT.MERCADO'!A:I,2,0)))),"Em Elaboração")</f>
        <v>TRATAMENTO DE FISSURAS ESTÁVEIS (NÃO ATIVAS) EM ELEMENTO DE CONCRETO</v>
      </c>
      <c r="F146" s="240" t="str">
        <f>IFERROR(IF(D146="SINAPI-S",VLOOKUP(B146,'20-B.SINAPI-S'!A:J,3,0),IF(D146="SINAPI-I",VLOOKUP(B146,'20-A.SINAPI-I'!A:G,3,0),IF(D146="COMPOSIÇÕES",VLOOKUP(B146,'11.COMPOSIÇÕES GERAIS'!B:I,3,0),VLOOKUP(B146,'12.COT.MERCADO'!A:I,7,0)))),"Em Elaboração")</f>
        <v>M</v>
      </c>
      <c r="G146" s="244">
        <f>VLOOKUP(A146,'Planilha_Sintética_Geral'!A:O,7,0)</f>
        <v>17</v>
      </c>
      <c r="H146" s="241">
        <f>IFERROR(IF(D146="SINAPI-S",VLOOKUP(B146,'20-B.SINAPI-S'!A:J,5,0),IF(D146="SINAPI-I",VLOOKUP(B146,'20-A.SINAPI-I'!A:G,6,0),IF(D146="COMPOSIÇÕES",VLOOKUP(B146,'11.COMPOSIÇÕES GERAIS'!B:I,7,0),0))),"Em Elaboração")</f>
        <v>126.3</v>
      </c>
      <c r="I146" s="241">
        <f>IFERROR(IF(D146="SINAPI-S",VLOOKUP(B146,'20-B.SINAPI-S'!A:J,6,0),IF(D146="SINAPI-I",VLOOKUP(B146,'20-A.SINAPI-I'!A:G,7,0),IF(D146="COMPOSIÇÕES",VLOOKUP(B146,'11.COMPOSIÇÕES GERAIS'!B:I,8,0),VLOOKUP(B146,'12.COT.MERCADO'!A:I,8,0)))),"Em Elaboração")</f>
        <v>236.164</v>
      </c>
      <c r="J146" s="241">
        <f t="shared" si="13"/>
        <v>148.2664711</v>
      </c>
      <c r="K146" s="241">
        <f t="shared" si="14"/>
        <v>276.627061</v>
      </c>
      <c r="L146" s="241">
        <f t="shared" si="15"/>
        <v>424.8935321</v>
      </c>
      <c r="M146" s="241">
        <f t="shared" si="16"/>
        <v>2520.530009</v>
      </c>
      <c r="N146" s="241">
        <f t="shared" si="17"/>
        <v>4702.660036</v>
      </c>
      <c r="O146" s="241">
        <f t="shared" si="18"/>
        <v>7223.190045</v>
      </c>
      <c r="P146" s="242">
        <f t="shared" si="3"/>
        <v>0.02316454733</v>
      </c>
    </row>
    <row r="147">
      <c r="A147" s="236" t="s">
        <v>354</v>
      </c>
      <c r="B147" s="237">
        <f>VLOOKUP(A147,'Planilha_Sintética_Geral'!A:P,2,0)</f>
        <v>98554</v>
      </c>
      <c r="C147" s="238" t="str">
        <f t="shared" si="12"/>
        <v>SINAPI</v>
      </c>
      <c r="D147" s="238" t="s">
        <v>218</v>
      </c>
      <c r="E147" s="239" t="str">
        <f>IFERROR(IF(D147="SINAPI-S",VLOOKUP(B147,'20-B.SINAPI-S'!A:J,2,0),IF(D147="SINAPI-I",VLOOKUP(B147,'20-A.SINAPI-I'!A:G,2,0),IF(D147="COMPOSIÇÕES",VLOOKUP(B147,'11.COMPOSIÇÕES GERAIS'!B:I,2,0),VLOOKUP(B147,'12.COT.MERCADO'!A:I,2,0)))),"Em Elaboração")</f>
        <v>IMPERMEABILIZAÇÃO DE SUPERFÍCIE COM MEMBRANA À BASE DE RESINA ACRÍLICA, 3 DEMÃOS. AF_06/2018</v>
      </c>
      <c r="F147" s="240" t="str">
        <f>IFERROR(IF(D147="SINAPI-S",VLOOKUP(B147,'20-B.SINAPI-S'!A:J,3,0),IF(D147="SINAPI-I",VLOOKUP(B147,'20-A.SINAPI-I'!A:G,3,0),IF(D147="COMPOSIÇÕES",VLOOKUP(B147,'11.COMPOSIÇÕES GERAIS'!B:I,3,0),VLOOKUP(B147,'12.COT.MERCADO'!A:I,7,0)))),"Em Elaboração")</f>
        <v>M2</v>
      </c>
      <c r="G147" s="244">
        <f>VLOOKUP(A147,'Planilha_Sintética_Geral'!A:O,7,0)</f>
        <v>17</v>
      </c>
      <c r="H147" s="241">
        <f>IFERROR(IF(D147="SINAPI-S",VLOOKUP(B147,'20-B.SINAPI-S'!A:J,5,0),IF(D147="SINAPI-I",VLOOKUP(B147,'20-A.SINAPI-I'!A:G,6,0),IF(D147="COMPOSIÇÕES",VLOOKUP(B147,'11.COMPOSIÇÕES GERAIS'!B:I,7,0),0))),"Em Elaboração")</f>
        <v>16.45</v>
      </c>
      <c r="I147" s="241">
        <f>IFERROR(IF(D147="SINAPI-S",VLOOKUP(B147,'20-B.SINAPI-S'!A:J,6,0),IF(D147="SINAPI-I",VLOOKUP(B147,'20-A.SINAPI-I'!A:G,7,0),IF(D147="COMPOSIÇÕES",VLOOKUP(B147,'11.COMPOSIÇÕES GERAIS'!B:I,8,0),VLOOKUP(B147,'12.COT.MERCADO'!A:I,8,0)))),"Em Elaboração")</f>
        <v>32.46</v>
      </c>
      <c r="J147" s="241">
        <f t="shared" si="13"/>
        <v>19.31103286</v>
      </c>
      <c r="K147" s="241">
        <f t="shared" si="14"/>
        <v>38.02152063</v>
      </c>
      <c r="L147" s="241">
        <f t="shared" si="15"/>
        <v>57.33255349</v>
      </c>
      <c r="M147" s="241">
        <f t="shared" si="16"/>
        <v>328.2875586</v>
      </c>
      <c r="N147" s="241">
        <f t="shared" si="17"/>
        <v>646.3658508</v>
      </c>
      <c r="O147" s="241">
        <f t="shared" si="18"/>
        <v>974.6534093</v>
      </c>
      <c r="P147" s="242">
        <f t="shared" si="3"/>
        <v>0.003125683374</v>
      </c>
    </row>
    <row r="148">
      <c r="A148" s="236" t="s">
        <v>355</v>
      </c>
      <c r="B148" s="237" t="str">
        <f>VLOOKUP(A148,'Planilha_Sintética_Geral'!A:P,2,0)</f>
        <v>MAN_PR_035</v>
      </c>
      <c r="C148" s="238" t="str">
        <f t="shared" si="12"/>
        <v>PRÓPRIO</v>
      </c>
      <c r="D148" s="243" t="s">
        <v>230</v>
      </c>
      <c r="E148" s="239" t="str">
        <f>IFERROR(IF(D148="SINAPI-S",VLOOKUP(B148,'20-B.SINAPI-S'!A:J,2,0),IF(D148="SINAPI-I",VLOOKUP(B148,'20-A.SINAPI-I'!A:G,2,0),IF(D148="COMPOSIÇÕES",VLOOKUP(B148,'11.COMPOSIÇÕES GERAIS'!B:I,2,0),VLOOKUP(B148,'12.COT.MERCADO'!A:I,2,0)))),"Em Elaboração")</f>
        <v>LIMPEZA DE CAIXA D'AGUA OU CISTERNA, COM CAPACIDADE DE 2001 A 20000L, INCLUSIVE DESINFECCAO CONFORME NORMAS DA SANEPAR</v>
      </c>
      <c r="F148" s="240" t="str">
        <f>IFERROR(IF(D148="SINAPI-S",VLOOKUP(B148,'20-B.SINAPI-S'!A:J,3,0),IF(D148="SINAPI-I",VLOOKUP(B148,'20-A.SINAPI-I'!A:G,3,0),IF(D148="COMPOSIÇÕES",VLOOKUP(B148,'11.COMPOSIÇÕES GERAIS'!B:I,3,0),VLOOKUP(B148,'12.COT.MERCADO'!A:I,7,0)))),"Em Elaboração")</f>
        <v>UN</v>
      </c>
      <c r="G148" s="244">
        <f>VLOOKUP(A148,'Planilha_Sintética_Geral'!A:O,7,0)</f>
        <v>15</v>
      </c>
      <c r="H148" s="241">
        <f>IFERROR(IF(D148="SINAPI-S",VLOOKUP(B148,'20-B.SINAPI-S'!A:J,5,0),IF(D148="SINAPI-I",VLOOKUP(B148,'20-A.SINAPI-I'!A:G,6,0),IF(D148="COMPOSIÇÕES",VLOOKUP(B148,'11.COMPOSIÇÕES GERAIS'!B:I,7,0),0))),"Em Elaboração")</f>
        <v>679.194</v>
      </c>
      <c r="I148" s="241">
        <f>IFERROR(IF(D148="SINAPI-S",VLOOKUP(B148,'20-B.SINAPI-S'!A:J,6,0),IF(D148="SINAPI-I",VLOOKUP(B148,'20-A.SINAPI-I'!A:G,7,0),IF(D148="COMPOSIÇÕES",VLOOKUP(B148,'11.COMPOSIÇÕES GERAIS'!B:I,8,0),VLOOKUP(B148,'12.COT.MERCADO'!A:I,8,0)))),"Em Elaboração")</f>
        <v>246.40171</v>
      </c>
      <c r="J148" s="241">
        <f t="shared" si="13"/>
        <v>797.3214377</v>
      </c>
      <c r="K148" s="241">
        <f t="shared" si="14"/>
        <v>288.6188448</v>
      </c>
      <c r="L148" s="241">
        <f t="shared" si="15"/>
        <v>1085.940282</v>
      </c>
      <c r="M148" s="241">
        <f t="shared" si="16"/>
        <v>11959.82157</v>
      </c>
      <c r="N148" s="241">
        <f t="shared" si="17"/>
        <v>4329.282671</v>
      </c>
      <c r="O148" s="241">
        <f t="shared" si="18"/>
        <v>16289.10424</v>
      </c>
      <c r="P148" s="242">
        <f t="shared" si="3"/>
        <v>0.05223865407</v>
      </c>
    </row>
    <row r="149">
      <c r="A149" s="236" t="s">
        <v>356</v>
      </c>
      <c r="B149" s="237" t="str">
        <f>VLOOKUP(A149,'Planilha_Sintética_Geral'!A:P,2,0)</f>
        <v>MAN_PR_036</v>
      </c>
      <c r="C149" s="238" t="str">
        <f t="shared" si="12"/>
        <v>PRÓPRIO</v>
      </c>
      <c r="D149" s="243" t="s">
        <v>230</v>
      </c>
      <c r="E149" s="239" t="str">
        <f>IFERROR(IF(D149="SINAPI-S",VLOOKUP(B149,'20-B.SINAPI-S'!A:J,2,0),IF(D149="SINAPI-I",VLOOKUP(B149,'20-A.SINAPI-I'!A:G,2,0),IF(D149="COMPOSIÇÕES",VLOOKUP(B149,'11.COMPOSIÇÕES GERAIS'!B:I,2,0),VLOOKUP(B149,'12.COT.MERCADO'!A:I,2,0)))),"Em Elaboração")</f>
        <v>LIMPEZA DE CAIXA DE PASSAGEM OU DE GORDURA</v>
      </c>
      <c r="F149" s="240" t="str">
        <f>IFERROR(IF(D149="SINAPI-S",VLOOKUP(B149,'20-B.SINAPI-S'!A:J,3,0),IF(D149="SINAPI-I",VLOOKUP(B149,'20-A.SINAPI-I'!A:G,3,0),IF(D149="COMPOSIÇÕES",VLOOKUP(B149,'11.COMPOSIÇÕES GERAIS'!B:I,3,0),VLOOKUP(B149,'12.COT.MERCADO'!A:I,7,0)))),"Em Elaboração")</f>
        <v>UN</v>
      </c>
      <c r="G149" s="244">
        <f>VLOOKUP(A149,'Planilha_Sintética_Geral'!A:O,7,0)</f>
        <v>3</v>
      </c>
      <c r="H149" s="241">
        <f>IFERROR(IF(D149="SINAPI-S",VLOOKUP(B149,'20-B.SINAPI-S'!A:J,5,0),IF(D149="SINAPI-I",VLOOKUP(B149,'20-A.SINAPI-I'!A:G,6,0),IF(D149="COMPOSIÇÕES",VLOOKUP(B149,'11.COMPOSIÇÕES GERAIS'!B:I,7,0),0))),"Em Elaboração")</f>
        <v>22.0374</v>
      </c>
      <c r="I149" s="241">
        <f>IFERROR(IF(D149="SINAPI-S",VLOOKUP(B149,'20-B.SINAPI-S'!A:J,6,0),IF(D149="SINAPI-I",VLOOKUP(B149,'20-A.SINAPI-I'!A:G,7,0),IF(D149="COMPOSIÇÕES",VLOOKUP(B149,'11.COMPOSIÇÕES GERAIS'!B:I,8,0),VLOOKUP(B149,'12.COT.MERCADO'!A:I,8,0)))),"Em Elaboração")</f>
        <v>7.7352</v>
      </c>
      <c r="J149" s="241">
        <f t="shared" si="13"/>
        <v>25.87021006</v>
      </c>
      <c r="K149" s="241">
        <f t="shared" si="14"/>
        <v>9.060507283</v>
      </c>
      <c r="L149" s="241">
        <f t="shared" si="15"/>
        <v>34.93071734</v>
      </c>
      <c r="M149" s="241">
        <f t="shared" si="16"/>
        <v>77.61063018</v>
      </c>
      <c r="N149" s="241">
        <f t="shared" si="17"/>
        <v>27.18152185</v>
      </c>
      <c r="O149" s="241">
        <f t="shared" si="18"/>
        <v>104.792152</v>
      </c>
      <c r="P149" s="242">
        <f t="shared" si="3"/>
        <v>0.0003360651942</v>
      </c>
    </row>
    <row r="150">
      <c r="A150" s="236" t="s">
        <v>357</v>
      </c>
      <c r="B150" s="237">
        <f>VLOOKUP(A150,'Planilha_Sintética_Geral'!A:P,2,0)</f>
        <v>97587</v>
      </c>
      <c r="C150" s="238" t="str">
        <f t="shared" si="12"/>
        <v>SINAPI</v>
      </c>
      <c r="D150" s="238" t="s">
        <v>218</v>
      </c>
      <c r="E150" s="239" t="str">
        <f>IFERROR(IF(D150="SINAPI-S",VLOOKUP(B150,'20-B.SINAPI-S'!A:J,2,0),IF(D150="SINAPI-I",VLOOKUP(B150,'20-A.SINAPI-I'!A:G,2,0),IF(D150="COMPOSIÇÕES",VLOOKUP(B150,'11.COMPOSIÇÕES GERAIS'!B:I,2,0),VLOOKUP(B150,'12.COT.MERCADO'!A:I,2,0)))),"Em Elaboração")</f>
        <v>LUMINÁRIA TIPO CALHA, DE EMBUTIR, COM 2 LÂMPADAS FLUORESCENTES DE 14 W, COM REATOR DE PARTIDA RÁPIDA - FORNECIMENTO E INSTALAÇÃO. AF_02/2020</v>
      </c>
      <c r="F150" s="240" t="str">
        <f>IFERROR(IF(D150="SINAPI-S",VLOOKUP(B150,'20-B.SINAPI-S'!A:J,3,0),IF(D150="SINAPI-I",VLOOKUP(B150,'20-A.SINAPI-I'!A:G,3,0),IF(D150="COMPOSIÇÕES",VLOOKUP(B150,'11.COMPOSIÇÕES GERAIS'!B:I,3,0),VLOOKUP(B150,'12.COT.MERCADO'!A:I,7,0)))),"Em Elaboração")</f>
        <v>UN</v>
      </c>
      <c r="G150" s="244">
        <f>VLOOKUP(A150,'Planilha_Sintética_Geral'!A:O,7,0)</f>
        <v>4</v>
      </c>
      <c r="H150" s="241">
        <f>IFERROR(IF(D150="SINAPI-S",VLOOKUP(B150,'20-B.SINAPI-S'!A:J,5,0),IF(D150="SINAPI-I",VLOOKUP(B150,'20-A.SINAPI-I'!A:G,6,0),IF(D150="COMPOSIÇÕES",VLOOKUP(B150,'11.COMPOSIÇÕES GERAIS'!B:I,7,0),0))),"Em Elaboração")</f>
        <v>11.73</v>
      </c>
      <c r="I150" s="241">
        <f>IFERROR(IF(D150="SINAPI-S",VLOOKUP(B150,'20-B.SINAPI-S'!A:J,6,0),IF(D150="SINAPI-I",VLOOKUP(B150,'20-A.SINAPI-I'!A:G,7,0),IF(D150="COMPOSIÇÕES",VLOOKUP(B150,'11.COMPOSIÇÕES GERAIS'!B:I,8,0),VLOOKUP(B150,'12.COT.MERCADO'!A:I,8,0)))),"Em Elaboração")</f>
        <v>259.39</v>
      </c>
      <c r="J150" s="241">
        <f t="shared" si="13"/>
        <v>13.77011644</v>
      </c>
      <c r="K150" s="241">
        <f t="shared" si="14"/>
        <v>303.832478</v>
      </c>
      <c r="L150" s="241">
        <f t="shared" si="15"/>
        <v>317.6025945</v>
      </c>
      <c r="M150" s="241">
        <f t="shared" si="16"/>
        <v>55.08046575</v>
      </c>
      <c r="N150" s="241">
        <f t="shared" si="17"/>
        <v>1215.329912</v>
      </c>
      <c r="O150" s="241">
        <f t="shared" si="18"/>
        <v>1270.410378</v>
      </c>
      <c r="P150" s="242">
        <f t="shared" si="3"/>
        <v>0.004074166835</v>
      </c>
    </row>
    <row r="151">
      <c r="A151" s="236" t="s">
        <v>358</v>
      </c>
      <c r="B151" s="237">
        <f>VLOOKUP(A151,'Planilha_Sintética_Geral'!A:P,2,0)</f>
        <v>97638</v>
      </c>
      <c r="C151" s="238" t="str">
        <f t="shared" si="12"/>
        <v>SINAPI</v>
      </c>
      <c r="D151" s="238" t="s">
        <v>218</v>
      </c>
      <c r="E151" s="239" t="str">
        <f>IFERROR(IF(D151="SINAPI-S",VLOOKUP(B151,'20-B.SINAPI-S'!A:J,2,0),IF(D151="SINAPI-I",VLOOKUP(B151,'20-A.SINAPI-I'!A:G,2,0),IF(D151="COMPOSIÇÕES",VLOOKUP(B151,'11.COMPOSIÇÕES GERAIS'!B:I,2,0),VLOOKUP(B151,'12.COT.MERCADO'!A:I,2,0)))),"Em Elaboração")</f>
        <v>REMOÇÃO DE CHAPAS E PERFIS DE DRYWALL, DE FORMA MANUAL, SEM REAPROVEITAMENTO. AF_12/2017</v>
      </c>
      <c r="F151" s="240" t="str">
        <f>IFERROR(IF(D151="SINAPI-S",VLOOKUP(B151,'20-B.SINAPI-S'!A:J,3,0),IF(D151="SINAPI-I",VLOOKUP(B151,'20-A.SINAPI-I'!A:G,3,0),IF(D151="COMPOSIÇÕES",VLOOKUP(B151,'11.COMPOSIÇÕES GERAIS'!B:I,3,0),VLOOKUP(B151,'12.COT.MERCADO'!A:I,7,0)))),"Em Elaboração")</f>
        <v>M2</v>
      </c>
      <c r="G151" s="244">
        <f>VLOOKUP(A151,'Planilha_Sintética_Geral'!A:O,7,0)</f>
        <v>3</v>
      </c>
      <c r="H151" s="241">
        <f>IFERROR(IF(D151="SINAPI-S",VLOOKUP(B151,'20-B.SINAPI-S'!A:J,5,0),IF(D151="SINAPI-I",VLOOKUP(B151,'20-A.SINAPI-I'!A:G,6,0),IF(D151="COMPOSIÇÕES",VLOOKUP(B151,'11.COMPOSIÇÕES GERAIS'!B:I,7,0),0))),"Em Elaboração")</f>
        <v>6.83</v>
      </c>
      <c r="I151" s="241">
        <f>IFERROR(IF(D151="SINAPI-S",VLOOKUP(B151,'20-B.SINAPI-S'!A:J,6,0),IF(D151="SINAPI-I",VLOOKUP(B151,'20-A.SINAPI-I'!A:G,7,0),IF(D151="COMPOSIÇÕES",VLOOKUP(B151,'11.COMPOSIÇÕES GERAIS'!B:I,8,0),VLOOKUP(B151,'12.COT.MERCADO'!A:I,8,0)))),"Em Elaboração")</f>
        <v>2.55</v>
      </c>
      <c r="J151" s="241">
        <f t="shared" si="13"/>
        <v>8.017893885</v>
      </c>
      <c r="K151" s="241">
        <f t="shared" si="14"/>
        <v>2.986903192</v>
      </c>
      <c r="L151" s="241">
        <f t="shared" si="15"/>
        <v>11.00479708</v>
      </c>
      <c r="M151" s="241">
        <f t="shared" si="16"/>
        <v>24.05368166</v>
      </c>
      <c r="N151" s="241">
        <f t="shared" si="17"/>
        <v>8.960709576</v>
      </c>
      <c r="O151" s="241">
        <f t="shared" si="18"/>
        <v>33.01439123</v>
      </c>
      <c r="P151" s="242">
        <f t="shared" si="3"/>
        <v>0.0001058761328</v>
      </c>
    </row>
    <row r="152">
      <c r="A152" s="236" t="s">
        <v>359</v>
      </c>
      <c r="B152" s="237">
        <f>VLOOKUP(A152,'Planilha_Sintética_Geral'!A:P,2,0)</f>
        <v>92988</v>
      </c>
      <c r="C152" s="238" t="str">
        <f t="shared" si="12"/>
        <v>SINAPI</v>
      </c>
      <c r="D152" s="238" t="s">
        <v>218</v>
      </c>
      <c r="E152" s="239" t="str">
        <f>IFERROR(IF(D152="SINAPI-S",VLOOKUP(B152,'20-B.SINAPI-S'!A:J,2,0),IF(D152="SINAPI-I",VLOOKUP(B152,'20-A.SINAPI-I'!A:G,2,0),IF(D152="COMPOSIÇÕES",VLOOKUP(B152,'11.COMPOSIÇÕES GERAIS'!B:I,2,0),VLOOKUP(B152,'12.COT.MERCADO'!A:I,2,0)))),"Em Elaboração")</f>
        <v>CABO DE COBRE FLEXÍVEL ISOLADO, 50 MM², ANTI-CHAMA 0,6/1,0 KV, PARA REDE ENTERRADA DE DISTRIBUIÇÃO DE ENERGIA ELÉTRICA - FORNECIMENTO E INSTALAÇÃO. AF_12/2021</v>
      </c>
      <c r="F152" s="240" t="str">
        <f>IFERROR(IF(D152="SINAPI-S",VLOOKUP(B152,'20-B.SINAPI-S'!A:J,3,0),IF(D152="SINAPI-I",VLOOKUP(B152,'20-A.SINAPI-I'!A:G,3,0),IF(D152="COMPOSIÇÕES",VLOOKUP(B152,'11.COMPOSIÇÕES GERAIS'!B:I,3,0),VLOOKUP(B152,'12.COT.MERCADO'!A:I,7,0)))),"Em Elaboração")</f>
        <v>M</v>
      </c>
      <c r="G152" s="244">
        <f>VLOOKUP(A152,'Planilha_Sintética_Geral'!A:O,7,0)</f>
        <v>53</v>
      </c>
      <c r="H152" s="241">
        <f>IFERROR(IF(D152="SINAPI-S",VLOOKUP(B152,'20-B.SINAPI-S'!A:J,5,0),IF(D152="SINAPI-I",VLOOKUP(B152,'20-A.SINAPI-I'!A:G,6,0),IF(D152="COMPOSIÇÕES",VLOOKUP(B152,'11.COMPOSIÇÕES GERAIS'!B:I,7,0),0))),"Em Elaboração")</f>
        <v>3.65</v>
      </c>
      <c r="I152" s="241">
        <f>IFERROR(IF(D152="SINAPI-S",VLOOKUP(B152,'20-B.SINAPI-S'!A:J,6,0),IF(D152="SINAPI-I",VLOOKUP(B152,'20-A.SINAPI-I'!A:G,7,0),IF(D152="COMPOSIÇÕES",VLOOKUP(B152,'11.COMPOSIÇÕES GERAIS'!B:I,8,0),VLOOKUP(B152,'12.COT.MERCADO'!A:I,8,0)))),"Em Elaboração")</f>
        <v>50.59</v>
      </c>
      <c r="J152" s="241">
        <f t="shared" si="13"/>
        <v>4.284818841</v>
      </c>
      <c r="K152" s="241">
        <f t="shared" si="14"/>
        <v>59.25781666</v>
      </c>
      <c r="L152" s="241">
        <f t="shared" si="15"/>
        <v>63.5426355</v>
      </c>
      <c r="M152" s="241">
        <f t="shared" si="16"/>
        <v>227.0953985</v>
      </c>
      <c r="N152" s="241">
        <f t="shared" si="17"/>
        <v>3140.664283</v>
      </c>
      <c r="O152" s="241">
        <f t="shared" si="18"/>
        <v>3367.759682</v>
      </c>
      <c r="P152" s="242">
        <f t="shared" si="3"/>
        <v>0.01080030126</v>
      </c>
    </row>
    <row r="153">
      <c r="A153" s="236" t="s">
        <v>360</v>
      </c>
      <c r="B153" s="237">
        <f>VLOOKUP(A153,'Planilha_Sintética_Geral'!A:P,2,0)</f>
        <v>100702</v>
      </c>
      <c r="C153" s="238" t="str">
        <f t="shared" si="12"/>
        <v>SINAPI</v>
      </c>
      <c r="D153" s="238" t="s">
        <v>218</v>
      </c>
      <c r="E153" s="239" t="str">
        <f>IFERROR(IF(D153="SINAPI-S",VLOOKUP(B153,'20-B.SINAPI-S'!A:J,2,0),IF(D153="SINAPI-I",VLOOKUP(B153,'20-A.SINAPI-I'!A:G,2,0),IF(D153="COMPOSIÇÕES",VLOOKUP(B153,'11.COMPOSIÇÕES GERAIS'!B:I,2,0),VLOOKUP(B153,'12.COT.MERCADO'!A:I,2,0)))),"Em Elaboração")</f>
        <v>PORTA DE CORRER DE ALUMÍNIO, COM DUAS FOLHAS PARA VIDRO, INCLUSO VIDRO LISO INCOLOR, FECHADURA E PUXADOR, SEM ALIZAR. AF_12/2019</v>
      </c>
      <c r="F153" s="240" t="str">
        <f>IFERROR(IF(D153="SINAPI-S",VLOOKUP(B153,'20-B.SINAPI-S'!A:J,3,0),IF(D153="SINAPI-I",VLOOKUP(B153,'20-A.SINAPI-I'!A:G,3,0),IF(D153="COMPOSIÇÕES",VLOOKUP(B153,'11.COMPOSIÇÕES GERAIS'!B:I,3,0),VLOOKUP(B153,'12.COT.MERCADO'!A:I,7,0)))),"Em Elaboração")</f>
        <v>M2</v>
      </c>
      <c r="G153" s="244">
        <f>VLOOKUP(A153,'Planilha_Sintética_Geral'!A:O,7,0)</f>
        <v>1</v>
      </c>
      <c r="H153" s="241">
        <f>IFERROR(IF(D153="SINAPI-S",VLOOKUP(B153,'20-B.SINAPI-S'!A:J,5,0),IF(D153="SINAPI-I",VLOOKUP(B153,'20-A.SINAPI-I'!A:G,6,0),IF(D153="COMPOSIÇÕES",VLOOKUP(B153,'11.COMPOSIÇÕES GERAIS'!B:I,7,0),0))),"Em Elaboração")</f>
        <v>9.4</v>
      </c>
      <c r="I153" s="241">
        <f>IFERROR(IF(D153="SINAPI-S",VLOOKUP(B153,'20-B.SINAPI-S'!A:J,6,0),IF(D153="SINAPI-I",VLOOKUP(B153,'20-A.SINAPI-I'!A:G,7,0),IF(D153="COMPOSIÇÕES",VLOOKUP(B153,'11.COMPOSIÇÕES GERAIS'!B:I,8,0),VLOOKUP(B153,'12.COT.MERCADO'!A:I,8,0)))),"Em Elaboração")</f>
        <v>829.66</v>
      </c>
      <c r="J153" s="241">
        <f t="shared" si="13"/>
        <v>11.03487592</v>
      </c>
      <c r="K153" s="241">
        <f t="shared" si="14"/>
        <v>971.8094519</v>
      </c>
      <c r="L153" s="241">
        <f t="shared" si="15"/>
        <v>982.8443278</v>
      </c>
      <c r="M153" s="241">
        <f t="shared" si="16"/>
        <v>11.03487592</v>
      </c>
      <c r="N153" s="241">
        <f t="shared" si="17"/>
        <v>971.8094519</v>
      </c>
      <c r="O153" s="241">
        <f t="shared" si="18"/>
        <v>982.8443278</v>
      </c>
      <c r="P153" s="242">
        <f t="shared" si="3"/>
        <v>0.003151951396</v>
      </c>
    </row>
    <row r="154">
      <c r="A154" s="236" t="s">
        <v>361</v>
      </c>
      <c r="B154" s="237">
        <f>VLOOKUP(A154,'Planilha_Sintética_Geral'!A:P,2,0)</f>
        <v>94798</v>
      </c>
      <c r="C154" s="238" t="str">
        <f t="shared" si="12"/>
        <v>SINAPI</v>
      </c>
      <c r="D154" s="238" t="s">
        <v>218</v>
      </c>
      <c r="E154" s="239" t="str">
        <f>IFERROR(IF(D154="SINAPI-S",VLOOKUP(B154,'20-B.SINAPI-S'!A:J,2,0),IF(D154="SINAPI-I",VLOOKUP(B154,'20-A.SINAPI-I'!A:G,2,0),IF(D154="COMPOSIÇÕES",VLOOKUP(B154,'11.COMPOSIÇÕES GERAIS'!B:I,2,0),VLOOKUP(B154,'12.COT.MERCADO'!A:I,2,0)))),"Em Elaboração")</f>
        <v>TORNEIRA DE BOIA PARA CAIXA D'ÁGUA, ROSCÁVEL, 1 1/4" - FORNECIMENTO E INSTALAÇÃO. AF_08/2021</v>
      </c>
      <c r="F154" s="240" t="str">
        <f>IFERROR(IF(D154="SINAPI-S",VLOOKUP(B154,'20-B.SINAPI-S'!A:J,3,0),IF(D154="SINAPI-I",VLOOKUP(B154,'20-A.SINAPI-I'!A:G,3,0),IF(D154="COMPOSIÇÕES",VLOOKUP(B154,'11.COMPOSIÇÕES GERAIS'!B:I,3,0),VLOOKUP(B154,'12.COT.MERCADO'!A:I,7,0)))),"Em Elaboração")</f>
        <v>UN</v>
      </c>
      <c r="G154" s="244">
        <f>VLOOKUP(A154,'Planilha_Sintética_Geral'!A:O,7,0)</f>
        <v>1</v>
      </c>
      <c r="H154" s="241">
        <f>IFERROR(IF(D154="SINAPI-S",VLOOKUP(B154,'20-B.SINAPI-S'!A:J,5,0),IF(D154="SINAPI-I",VLOOKUP(B154,'20-A.SINAPI-I'!A:G,6,0),IF(D154="COMPOSIÇÕES",VLOOKUP(B154,'11.COMPOSIÇÕES GERAIS'!B:I,7,0),0))),"Em Elaboração")</f>
        <v>15.12</v>
      </c>
      <c r="I154" s="241">
        <f>IFERROR(IF(D154="SINAPI-S",VLOOKUP(B154,'20-B.SINAPI-S'!A:J,6,0),IF(D154="SINAPI-I",VLOOKUP(B154,'20-A.SINAPI-I'!A:G,7,0),IF(D154="COMPOSIÇÕES",VLOOKUP(B154,'11.COMPOSIÇÕES GERAIS'!B:I,8,0),VLOOKUP(B154,'12.COT.MERCADO'!A:I,8,0)))),"Em Elaboração")</f>
        <v>126.66</v>
      </c>
      <c r="J154" s="241">
        <f t="shared" si="13"/>
        <v>17.74971531</v>
      </c>
      <c r="K154" s="241">
        <f t="shared" si="14"/>
        <v>148.3612386</v>
      </c>
      <c r="L154" s="241">
        <f t="shared" si="15"/>
        <v>166.1109539</v>
      </c>
      <c r="M154" s="241">
        <f t="shared" si="16"/>
        <v>17.74971531</v>
      </c>
      <c r="N154" s="241">
        <f t="shared" si="17"/>
        <v>148.3612386</v>
      </c>
      <c r="O154" s="241">
        <f t="shared" si="18"/>
        <v>166.1109539</v>
      </c>
      <c r="P154" s="242">
        <f t="shared" si="3"/>
        <v>0.0005327126974</v>
      </c>
    </row>
    <row r="155">
      <c r="A155" s="236" t="s">
        <v>362</v>
      </c>
      <c r="B155" s="237">
        <f>VLOOKUP(A155,'Planilha_Sintética_Geral'!A:P,2,0)</f>
        <v>91995</v>
      </c>
      <c r="C155" s="238" t="str">
        <f t="shared" si="12"/>
        <v>SINAPI</v>
      </c>
      <c r="D155" s="238" t="s">
        <v>218</v>
      </c>
      <c r="E155" s="239" t="str">
        <f>IFERROR(IF(D155="SINAPI-S",VLOOKUP(B155,'20-B.SINAPI-S'!A:J,2,0),IF(D155="SINAPI-I",VLOOKUP(B155,'20-A.SINAPI-I'!A:G,2,0),IF(D155="COMPOSIÇÕES",VLOOKUP(B155,'11.COMPOSIÇÕES GERAIS'!B:I,2,0),VLOOKUP(B155,'12.COT.MERCADO'!A:I,2,0)))),"Em Elaboração")</f>
        <v>TOMADA MÉDIA DE EMBUTIR (1 MÓDULO), 2P+T 20 A, SEM SUPORTE E SEM PLACA - FORNECIMENTO E INSTALAÇÃO. AF_03/2023</v>
      </c>
      <c r="F155" s="240" t="str">
        <f>IFERROR(IF(D155="SINAPI-S",VLOOKUP(B155,'20-B.SINAPI-S'!A:J,3,0),IF(D155="SINAPI-I",VLOOKUP(B155,'20-A.SINAPI-I'!A:G,3,0),IF(D155="COMPOSIÇÕES",VLOOKUP(B155,'11.COMPOSIÇÕES GERAIS'!B:I,3,0),VLOOKUP(B155,'12.COT.MERCADO'!A:I,7,0)))),"Em Elaboração")</f>
        <v>UN</v>
      </c>
      <c r="G155" s="244">
        <f>VLOOKUP(A155,'Planilha_Sintética_Geral'!A:O,7,0)</f>
        <v>2</v>
      </c>
      <c r="H155" s="241">
        <f>IFERROR(IF(D155="SINAPI-S",VLOOKUP(B155,'20-B.SINAPI-S'!A:J,5,0),IF(D155="SINAPI-I",VLOOKUP(B155,'20-A.SINAPI-I'!A:G,6,0),IF(D155="COMPOSIÇÕES",VLOOKUP(B155,'11.COMPOSIÇÕES GERAIS'!B:I,7,0),0))),"Em Elaboração")</f>
        <v>14.02</v>
      </c>
      <c r="I155" s="241">
        <f>IFERROR(IF(D155="SINAPI-S",VLOOKUP(B155,'20-B.SINAPI-S'!A:J,6,0),IF(D155="SINAPI-I",VLOOKUP(B155,'20-A.SINAPI-I'!A:G,7,0),IF(D155="COMPOSIÇÕES",VLOOKUP(B155,'11.COMPOSIÇÕES GERAIS'!B:I,8,0),VLOOKUP(B155,'12.COT.MERCADO'!A:I,8,0)))),"Em Elaboração")</f>
        <v>15.77</v>
      </c>
      <c r="J155" s="241">
        <f t="shared" si="13"/>
        <v>16.45840004</v>
      </c>
      <c r="K155" s="241">
        <f t="shared" si="14"/>
        <v>18.47194641</v>
      </c>
      <c r="L155" s="241">
        <f t="shared" si="15"/>
        <v>34.93034645</v>
      </c>
      <c r="M155" s="241">
        <f t="shared" si="16"/>
        <v>32.91680008</v>
      </c>
      <c r="N155" s="241">
        <f t="shared" si="17"/>
        <v>36.94389282</v>
      </c>
      <c r="O155" s="241">
        <f t="shared" si="18"/>
        <v>69.86069289</v>
      </c>
      <c r="P155" s="242">
        <f t="shared" si="3"/>
        <v>0.0002240410839</v>
      </c>
    </row>
    <row r="156">
      <c r="A156" s="236" t="s">
        <v>363</v>
      </c>
      <c r="B156" s="237">
        <f>VLOOKUP(A156,'Planilha_Sintética_Geral'!A:P,2,0)</f>
        <v>102255</v>
      </c>
      <c r="C156" s="238" t="str">
        <f t="shared" si="12"/>
        <v>SINAPI</v>
      </c>
      <c r="D156" s="238" t="s">
        <v>218</v>
      </c>
      <c r="E156" s="239" t="str">
        <f>IFERROR(IF(D156="SINAPI-S",VLOOKUP(B156,'20-B.SINAPI-S'!A:J,2,0),IF(D156="SINAPI-I",VLOOKUP(B156,'20-A.SINAPI-I'!A:G,2,0),IF(D156="COMPOSIÇÕES",VLOOKUP(B156,'11.COMPOSIÇÕES GERAIS'!B:I,2,0),VLOOKUP(B156,'12.COT.MERCADO'!A:I,2,0)))),"Em Elaboração")</f>
        <v>TAPA VISTA DE MICTÓRIO EM GRANITO CINZA POLIDO, ESP = 3CM, ASSENTADO COM ARGAMASSA COLANTE AC III-E . AF_01/2021</v>
      </c>
      <c r="F156" s="240" t="str">
        <f>IFERROR(IF(D156="SINAPI-S",VLOOKUP(B156,'20-B.SINAPI-S'!A:J,3,0),IF(D156="SINAPI-I",VLOOKUP(B156,'20-A.SINAPI-I'!A:G,3,0),IF(D156="COMPOSIÇÕES",VLOOKUP(B156,'11.COMPOSIÇÕES GERAIS'!B:I,3,0),VLOOKUP(B156,'12.COT.MERCADO'!A:I,7,0)))),"Em Elaboração")</f>
        <v>M2</v>
      </c>
      <c r="G156" s="244">
        <f>VLOOKUP(A156,'Planilha_Sintética_Geral'!A:O,7,0)</f>
        <v>1</v>
      </c>
      <c r="H156" s="241">
        <f>IFERROR(IF(D156="SINAPI-S",VLOOKUP(B156,'20-B.SINAPI-S'!A:J,5,0),IF(D156="SINAPI-I",VLOOKUP(B156,'20-A.SINAPI-I'!A:G,6,0),IF(D156="COMPOSIÇÕES",VLOOKUP(B156,'11.COMPOSIÇÕES GERAIS'!B:I,7,0),0))),"Em Elaboração")</f>
        <v>166.21</v>
      </c>
      <c r="I156" s="241">
        <f>IFERROR(IF(D156="SINAPI-S",VLOOKUP(B156,'20-B.SINAPI-S'!A:J,6,0),IF(D156="SINAPI-I",VLOOKUP(B156,'20-A.SINAPI-I'!A:G,7,0),IF(D156="COMPOSIÇÕES",VLOOKUP(B156,'11.COMPOSIÇÕES GERAIS'!B:I,8,0),VLOOKUP(B156,'12.COT.MERCADO'!A:I,8,0)))),"Em Elaboração")</f>
        <v>722.06</v>
      </c>
      <c r="J156" s="241">
        <f t="shared" si="13"/>
        <v>195.1177368</v>
      </c>
      <c r="K156" s="241">
        <f t="shared" si="14"/>
        <v>845.7738505</v>
      </c>
      <c r="L156" s="241">
        <f t="shared" si="15"/>
        <v>1040.891587</v>
      </c>
      <c r="M156" s="241">
        <f t="shared" si="16"/>
        <v>195.1177368</v>
      </c>
      <c r="N156" s="241">
        <f t="shared" si="17"/>
        <v>845.7738505</v>
      </c>
      <c r="O156" s="241">
        <f t="shared" si="18"/>
        <v>1040.891587</v>
      </c>
      <c r="P156" s="242">
        <f t="shared" si="3"/>
        <v>0.003338107164</v>
      </c>
    </row>
    <row r="157">
      <c r="A157" s="236" t="s">
        <v>364</v>
      </c>
      <c r="B157" s="237" t="str">
        <f>VLOOKUP(A157,'Planilha_Sintética_Geral'!A:P,2,0)</f>
        <v>MAN_PR_037</v>
      </c>
      <c r="C157" s="238" t="str">
        <f t="shared" si="12"/>
        <v>PRÓPRIO</v>
      </c>
      <c r="D157" s="243" t="s">
        <v>230</v>
      </c>
      <c r="E157" s="239" t="str">
        <f>IFERROR(IF(D157="SINAPI-S",VLOOKUP(B157,'20-B.SINAPI-S'!A:J,2,0),IF(D157="SINAPI-I",VLOOKUP(B157,'20-A.SINAPI-I'!A:G,2,0),IF(D157="COMPOSIÇÕES",VLOOKUP(B157,'11.COMPOSIÇÕES GERAIS'!B:I,2,0),VLOOKUP(B157,'12.COT.MERCADO'!A:I,2,0)))),"Em Elaboração")</f>
        <v>LUBRIFICAÇÃO DE FERRAGEM</v>
      </c>
      <c r="F157" s="240" t="str">
        <f>IFERROR(IF(D157="SINAPI-S",VLOOKUP(B157,'20-B.SINAPI-S'!A:J,3,0),IF(D157="SINAPI-I",VLOOKUP(B157,'20-A.SINAPI-I'!A:G,3,0),IF(D157="COMPOSIÇÕES",VLOOKUP(B157,'11.COMPOSIÇÕES GERAIS'!B:I,3,0),VLOOKUP(B157,'12.COT.MERCADO'!A:I,7,0)))),"Em Elaboração")</f>
        <v>UN</v>
      </c>
      <c r="G157" s="244">
        <f>VLOOKUP(A157,'Planilha_Sintética_Geral'!A:O,7,0)</f>
        <v>1</v>
      </c>
      <c r="H157" s="241">
        <f>IFERROR(IF(D157="SINAPI-S",VLOOKUP(B157,'20-B.SINAPI-S'!A:J,5,0),IF(D157="SINAPI-I",VLOOKUP(B157,'20-A.SINAPI-I'!A:G,6,0),IF(D157="COMPOSIÇÕES",VLOOKUP(B157,'11.COMPOSIÇÕES GERAIS'!B:I,7,0),0))),"Em Elaboração")</f>
        <v>1.742</v>
      </c>
      <c r="I157" s="241">
        <f>IFERROR(IF(D157="SINAPI-S",VLOOKUP(B157,'20-B.SINAPI-S'!A:J,6,0),IF(D157="SINAPI-I",VLOOKUP(B157,'20-A.SINAPI-I'!A:G,7,0),IF(D157="COMPOSIÇÕES",VLOOKUP(B157,'11.COMPOSIÇÕES GERAIS'!B:I,8,0),VLOOKUP(B157,'12.COT.MERCADO'!A:I,8,0)))),"Em Elaboração")</f>
        <v>1.068935</v>
      </c>
      <c r="J157" s="241">
        <f t="shared" si="13"/>
        <v>2.044973814</v>
      </c>
      <c r="K157" s="241">
        <f t="shared" si="14"/>
        <v>1.252080535</v>
      </c>
      <c r="L157" s="241">
        <f t="shared" si="15"/>
        <v>3.297054349</v>
      </c>
      <c r="M157" s="241">
        <f t="shared" si="16"/>
        <v>2.044973814</v>
      </c>
      <c r="N157" s="241">
        <f t="shared" si="17"/>
        <v>1.252080535</v>
      </c>
      <c r="O157" s="241">
        <f t="shared" si="18"/>
        <v>3.297054349</v>
      </c>
      <c r="P157" s="242">
        <f t="shared" si="3"/>
        <v>0.00001057355144</v>
      </c>
    </row>
    <row r="158">
      <c r="A158" s="236" t="s">
        <v>365</v>
      </c>
      <c r="B158" s="237">
        <f>VLOOKUP(A158,'Planilha_Sintética_Geral'!A:P,2,0)</f>
        <v>88488</v>
      </c>
      <c r="C158" s="238" t="str">
        <f t="shared" si="12"/>
        <v>SINAPI</v>
      </c>
      <c r="D158" s="238" t="s">
        <v>218</v>
      </c>
      <c r="E158" s="239" t="str">
        <f>IFERROR(IF(D158="SINAPI-S",VLOOKUP(B158,'20-B.SINAPI-S'!A:J,2,0),IF(D158="SINAPI-I",VLOOKUP(B158,'20-A.SINAPI-I'!A:G,2,0),IF(D158="COMPOSIÇÕES",VLOOKUP(B158,'11.COMPOSIÇÕES GERAIS'!B:I,2,0),VLOOKUP(B158,'12.COT.MERCADO'!A:I,2,0)))),"Em Elaboração")</f>
        <v>PINTURA LÁTEX ACRÍLICA PREMIUM, APLICAÇÃO MANUAL EM TETO, DUAS DEMÃOS. AF_04/2023</v>
      </c>
      <c r="F158" s="240" t="str">
        <f>IFERROR(IF(D158="SINAPI-S",VLOOKUP(B158,'20-B.SINAPI-S'!A:J,3,0),IF(D158="SINAPI-I",VLOOKUP(B158,'20-A.SINAPI-I'!A:G,3,0),IF(D158="COMPOSIÇÕES",VLOOKUP(B158,'11.COMPOSIÇÕES GERAIS'!B:I,3,0),VLOOKUP(B158,'12.COT.MERCADO'!A:I,7,0)))),"Em Elaboração")</f>
        <v>M2</v>
      </c>
      <c r="G158" s="244">
        <f>VLOOKUP(A158,'Planilha_Sintética_Geral'!A:O,7,0)</f>
        <v>28</v>
      </c>
      <c r="H158" s="241">
        <f>IFERROR(IF(D158="SINAPI-S",VLOOKUP(B158,'20-B.SINAPI-S'!A:J,5,0),IF(D158="SINAPI-I",VLOOKUP(B158,'20-A.SINAPI-I'!A:G,6,0),IF(D158="COMPOSIÇÕES",VLOOKUP(B158,'11.COMPOSIÇÕES GERAIS'!B:I,7,0),0))),"Em Elaboração")</f>
        <v>6.89</v>
      </c>
      <c r="I158" s="241">
        <f>IFERROR(IF(D158="SINAPI-S",VLOOKUP(B158,'20-B.SINAPI-S'!A:J,6,0),IF(D158="SINAPI-I",VLOOKUP(B158,'20-A.SINAPI-I'!A:G,7,0),IF(D158="COMPOSIÇÕES",VLOOKUP(B158,'11.COMPOSIÇÕES GERAIS'!B:I,8,0),VLOOKUP(B158,'12.COT.MERCADO'!A:I,8,0)))),"Em Elaboração")</f>
        <v>8.95</v>
      </c>
      <c r="J158" s="241">
        <f t="shared" si="13"/>
        <v>8.088329263</v>
      </c>
      <c r="K158" s="241">
        <f t="shared" si="14"/>
        <v>10.48344454</v>
      </c>
      <c r="L158" s="241">
        <f t="shared" si="15"/>
        <v>18.5717738</v>
      </c>
      <c r="M158" s="241">
        <f t="shared" si="16"/>
        <v>226.4732194</v>
      </c>
      <c r="N158" s="241">
        <f t="shared" si="17"/>
        <v>293.536447</v>
      </c>
      <c r="O158" s="241">
        <f t="shared" si="18"/>
        <v>520.0096664</v>
      </c>
      <c r="P158" s="242">
        <f t="shared" si="3"/>
        <v>0.001667654936</v>
      </c>
    </row>
    <row r="159">
      <c r="A159" s="236" t="s">
        <v>366</v>
      </c>
      <c r="B159" s="237">
        <f>VLOOKUP(A159,'Planilha_Sintética_Geral'!A:P,2,0)</f>
        <v>86915</v>
      </c>
      <c r="C159" s="238" t="str">
        <f t="shared" si="12"/>
        <v>SINAPI</v>
      </c>
      <c r="D159" s="238" t="s">
        <v>218</v>
      </c>
      <c r="E159" s="239" t="str">
        <f>IFERROR(IF(D159="SINAPI-S",VLOOKUP(B159,'20-B.SINAPI-S'!A:J,2,0),IF(D159="SINAPI-I",VLOOKUP(B159,'20-A.SINAPI-I'!A:G,2,0),IF(D159="COMPOSIÇÕES",VLOOKUP(B159,'11.COMPOSIÇÕES GERAIS'!B:I,2,0),VLOOKUP(B159,'12.COT.MERCADO'!A:I,2,0)))),"Em Elaboração")</f>
        <v>TORNEIRA CROMADA DE MESA, 1/2_x0094_ OU 3/4_x0094_, PARA LAVATÓRIO, PADRÃO MÉDIO - FORNECIMENTO E INSTALAÇÃO. AF_01/2020</v>
      </c>
      <c r="F159" s="240" t="str">
        <f>IFERROR(IF(D159="SINAPI-S",VLOOKUP(B159,'20-B.SINAPI-S'!A:J,3,0),IF(D159="SINAPI-I",VLOOKUP(B159,'20-A.SINAPI-I'!A:G,3,0),IF(D159="COMPOSIÇÕES",VLOOKUP(B159,'11.COMPOSIÇÕES GERAIS'!B:I,3,0),VLOOKUP(B159,'12.COT.MERCADO'!A:I,7,0)))),"Em Elaboração")</f>
        <v>UN</v>
      </c>
      <c r="G159" s="244">
        <f>VLOOKUP(A159,'Planilha_Sintética_Geral'!A:O,7,0)</f>
        <v>1</v>
      </c>
      <c r="H159" s="241">
        <f>IFERROR(IF(D159="SINAPI-S",VLOOKUP(B159,'20-B.SINAPI-S'!A:J,5,0),IF(D159="SINAPI-I",VLOOKUP(B159,'20-A.SINAPI-I'!A:G,6,0),IF(D159="COMPOSIÇÕES",VLOOKUP(B159,'11.COMPOSIÇÕES GERAIS'!B:I,7,0),0))),"Em Elaboração")</f>
        <v>2.87</v>
      </c>
      <c r="I159" s="241">
        <f>IFERROR(IF(D159="SINAPI-S",VLOOKUP(B159,'20-B.SINAPI-S'!A:J,6,0),IF(D159="SINAPI-I",VLOOKUP(B159,'20-A.SINAPI-I'!A:G,7,0),IF(D159="COMPOSIÇÕES",VLOOKUP(B159,'11.COMPOSIÇÕES GERAIS'!B:I,8,0),VLOOKUP(B159,'12.COT.MERCADO'!A:I,8,0)))),"Em Elaboração")</f>
        <v>118.17</v>
      </c>
      <c r="J159" s="241">
        <f t="shared" si="13"/>
        <v>3.369158924</v>
      </c>
      <c r="K159" s="241">
        <f t="shared" si="14"/>
        <v>138.4166079</v>
      </c>
      <c r="L159" s="241">
        <f t="shared" si="15"/>
        <v>141.7857668</v>
      </c>
      <c r="M159" s="241">
        <f t="shared" si="16"/>
        <v>3.369158924</v>
      </c>
      <c r="N159" s="241">
        <f t="shared" si="17"/>
        <v>138.4166079</v>
      </c>
      <c r="O159" s="241">
        <f t="shared" si="18"/>
        <v>141.7857668</v>
      </c>
      <c r="P159" s="242">
        <f t="shared" si="3"/>
        <v>0.0004547025741</v>
      </c>
    </row>
    <row r="160">
      <c r="A160" s="236" t="s">
        <v>367</v>
      </c>
      <c r="B160" s="237">
        <f>VLOOKUP(A160,'Planilha_Sintética_Geral'!A:P,2,0)</f>
        <v>86885</v>
      </c>
      <c r="C160" s="238" t="str">
        <f t="shared" si="12"/>
        <v>SINAPI</v>
      </c>
      <c r="D160" s="238" t="s">
        <v>218</v>
      </c>
      <c r="E160" s="239" t="str">
        <f>IFERROR(IF(D160="SINAPI-S",VLOOKUP(B160,'20-B.SINAPI-S'!A:J,2,0),IF(D160="SINAPI-I",VLOOKUP(B160,'20-A.SINAPI-I'!A:G,2,0),IF(D160="COMPOSIÇÕES",VLOOKUP(B160,'11.COMPOSIÇÕES GERAIS'!B:I,2,0),VLOOKUP(B160,'12.COT.MERCADO'!A:I,2,0)))),"Em Elaboração")</f>
        <v>ENGATE FLEXÍVEL EM PLÁSTICO BRANCO, 1/2_x0094_ X 40CM - FORNECIMENTO E INSTALAÇÃO. AF_01/2020</v>
      </c>
      <c r="F160" s="240" t="str">
        <f>IFERROR(IF(D160="SINAPI-S",VLOOKUP(B160,'20-B.SINAPI-S'!A:J,3,0),IF(D160="SINAPI-I",VLOOKUP(B160,'20-A.SINAPI-I'!A:G,3,0),IF(D160="COMPOSIÇÕES",VLOOKUP(B160,'11.COMPOSIÇÕES GERAIS'!B:I,3,0),VLOOKUP(B160,'12.COT.MERCADO'!A:I,7,0)))),"Em Elaboração")</f>
        <v>UN</v>
      </c>
      <c r="G160" s="244">
        <f>VLOOKUP(A160,'Planilha_Sintética_Geral'!A:O,7,0)</f>
        <v>1</v>
      </c>
      <c r="H160" s="241">
        <f>IFERROR(IF(D160="SINAPI-S",VLOOKUP(B160,'20-B.SINAPI-S'!A:J,5,0),IF(D160="SINAPI-I",VLOOKUP(B160,'20-A.SINAPI-I'!A:G,6,0),IF(D160="COMPOSIÇÕES",VLOOKUP(B160,'11.COMPOSIÇÕES GERAIS'!B:I,7,0),0))),"Em Elaboração")</f>
        <v>4.58</v>
      </c>
      <c r="I160" s="241">
        <f>IFERROR(IF(D160="SINAPI-S",VLOOKUP(B160,'20-B.SINAPI-S'!A:J,6,0),IF(D160="SINAPI-I",VLOOKUP(B160,'20-A.SINAPI-I'!A:G,7,0),IF(D160="COMPOSIÇÕES",VLOOKUP(B160,'11.COMPOSIÇÕES GERAIS'!B:I,8,0),VLOOKUP(B160,'12.COT.MERCADO'!A:I,8,0)))),"Em Elaboração")</f>
        <v>8.8</v>
      </c>
      <c r="J160" s="241">
        <f t="shared" si="13"/>
        <v>5.376567203</v>
      </c>
      <c r="K160" s="241">
        <f t="shared" si="14"/>
        <v>10.30774435</v>
      </c>
      <c r="L160" s="241">
        <f t="shared" si="15"/>
        <v>15.68431155</v>
      </c>
      <c r="M160" s="241">
        <f t="shared" si="16"/>
        <v>5.376567203</v>
      </c>
      <c r="N160" s="241">
        <f t="shared" si="17"/>
        <v>10.30774435</v>
      </c>
      <c r="O160" s="241">
        <f t="shared" si="18"/>
        <v>15.68431155</v>
      </c>
      <c r="P160" s="242">
        <f t="shared" si="3"/>
        <v>0.00005029910261</v>
      </c>
    </row>
    <row r="161">
      <c r="A161" s="236" t="s">
        <v>368</v>
      </c>
      <c r="B161" s="237">
        <f>VLOOKUP(A161,'Planilha_Sintética_Geral'!A:P,2,0)</f>
        <v>100857</v>
      </c>
      <c r="C161" s="238" t="str">
        <f t="shared" si="12"/>
        <v>SINAPI</v>
      </c>
      <c r="D161" s="238" t="s">
        <v>218</v>
      </c>
      <c r="E161" s="239" t="str">
        <f>IFERROR(IF(D161="SINAPI-S",VLOOKUP(B161,'20-B.SINAPI-S'!A:J,2,0),IF(D161="SINAPI-I",VLOOKUP(B161,'20-A.SINAPI-I'!A:G,2,0),IF(D161="COMPOSIÇÕES",VLOOKUP(B161,'11.COMPOSIÇÕES GERAIS'!B:I,2,0),VLOOKUP(B161,'12.COT.MERCADO'!A:I,2,0)))),"Em Elaboração")</f>
        <v>ACABAMENTO MONOCOMANDO PARA CHUVEIRO _x0096_ FORNECIMENTO E INSTALAÇÃO. AF_01/2020</v>
      </c>
      <c r="F161" s="240" t="str">
        <f>IFERROR(IF(D161="SINAPI-S",VLOOKUP(B161,'20-B.SINAPI-S'!A:J,3,0),IF(D161="SINAPI-I",VLOOKUP(B161,'20-A.SINAPI-I'!A:G,3,0),IF(D161="COMPOSIÇÕES",VLOOKUP(B161,'11.COMPOSIÇÕES GERAIS'!B:I,3,0),VLOOKUP(B161,'12.COT.MERCADO'!A:I,7,0)))),"Em Elaboração")</f>
        <v>UN</v>
      </c>
      <c r="G161" s="244">
        <f>VLOOKUP(A161,'Planilha_Sintética_Geral'!A:O,7,0)</f>
        <v>1</v>
      </c>
      <c r="H161" s="241">
        <f>IFERROR(IF(D161="SINAPI-S",VLOOKUP(B161,'20-B.SINAPI-S'!A:J,5,0),IF(D161="SINAPI-I",VLOOKUP(B161,'20-A.SINAPI-I'!A:G,6,0),IF(D161="COMPOSIÇÕES",VLOOKUP(B161,'11.COMPOSIÇÕES GERAIS'!B:I,7,0),0))),"Em Elaboração")</f>
        <v>10.36</v>
      </c>
      <c r="I161" s="241">
        <f>IFERROR(IF(D161="SINAPI-S",VLOOKUP(B161,'20-B.SINAPI-S'!A:J,6,0),IF(D161="SINAPI-I",VLOOKUP(B161,'20-A.SINAPI-I'!A:G,7,0),IF(D161="COMPOSIÇÕES",VLOOKUP(B161,'11.COMPOSIÇÕES GERAIS'!B:I,8,0),VLOOKUP(B161,'12.COT.MERCADO'!A:I,8,0)))),"Em Elaboração")</f>
        <v>433.21</v>
      </c>
      <c r="J161" s="241">
        <f t="shared" si="13"/>
        <v>12.16184197</v>
      </c>
      <c r="K161" s="241">
        <f t="shared" si="14"/>
        <v>507.4338556</v>
      </c>
      <c r="L161" s="241">
        <f t="shared" si="15"/>
        <v>519.5956976</v>
      </c>
      <c r="M161" s="241">
        <f t="shared" si="16"/>
        <v>12.16184197</v>
      </c>
      <c r="N161" s="241">
        <f t="shared" si="17"/>
        <v>507.4338556</v>
      </c>
      <c r="O161" s="241">
        <f t="shared" si="18"/>
        <v>519.5956976</v>
      </c>
      <c r="P161" s="242">
        <f t="shared" si="3"/>
        <v>0.00166632735</v>
      </c>
    </row>
    <row r="162">
      <c r="A162" s="236" t="s">
        <v>369</v>
      </c>
      <c r="B162" s="237">
        <f>VLOOKUP(A162,'Planilha_Sintética_Geral'!A:P,2,0)</f>
        <v>102210</v>
      </c>
      <c r="C162" s="238" t="str">
        <f t="shared" si="12"/>
        <v>SINAPI</v>
      </c>
      <c r="D162" s="238" t="s">
        <v>218</v>
      </c>
      <c r="E162" s="239" t="str">
        <f>IFERROR(IF(D162="SINAPI-S",VLOOKUP(B162,'20-B.SINAPI-S'!A:J,2,0),IF(D162="SINAPI-I",VLOOKUP(B162,'20-A.SINAPI-I'!A:G,2,0),IF(D162="COMPOSIÇÕES",VLOOKUP(B162,'11.COMPOSIÇÕES GERAIS'!B:I,2,0),VLOOKUP(B162,'12.COT.MERCADO'!A:I,2,0)))),"Em Elaboração")</f>
        <v>PINTURA TINTA DE ACABAMENTO (PIGMENTADA) ESMALTE SINTÉTICO BRILHANTE EM MADEIRA, 1 DEMÃO. AF_01/2021</v>
      </c>
      <c r="F162" s="240" t="str">
        <f>IFERROR(IF(D162="SINAPI-S",VLOOKUP(B162,'20-B.SINAPI-S'!A:J,3,0),IF(D162="SINAPI-I",VLOOKUP(B162,'20-A.SINAPI-I'!A:G,3,0),IF(D162="COMPOSIÇÕES",VLOOKUP(B162,'11.COMPOSIÇÕES GERAIS'!B:I,3,0),VLOOKUP(B162,'12.COT.MERCADO'!A:I,7,0)))),"Em Elaboração")</f>
        <v>M2</v>
      </c>
      <c r="G162" s="244">
        <f>VLOOKUP(A162,'Planilha_Sintética_Geral'!A:O,7,0)</f>
        <v>2</v>
      </c>
      <c r="H162" s="241">
        <f>IFERROR(IF(D162="SINAPI-S",VLOOKUP(B162,'20-B.SINAPI-S'!A:J,5,0),IF(D162="SINAPI-I",VLOOKUP(B162,'20-A.SINAPI-I'!A:G,6,0),IF(D162="COMPOSIÇÕES",VLOOKUP(B162,'11.COMPOSIÇÕES GERAIS'!B:I,7,0),0))),"Em Elaboração")</f>
        <v>4.69</v>
      </c>
      <c r="I162" s="241">
        <f>IFERROR(IF(D162="SINAPI-S",VLOOKUP(B162,'20-B.SINAPI-S'!A:J,6,0),IF(D162="SINAPI-I",VLOOKUP(B162,'20-A.SINAPI-I'!A:G,7,0),IF(D162="COMPOSIÇÕES",VLOOKUP(B162,'11.COMPOSIÇÕES GERAIS'!B:I,8,0),VLOOKUP(B162,'12.COT.MERCADO'!A:I,8,0)))),"Em Elaboração")</f>
        <v>4.24</v>
      </c>
      <c r="J162" s="241">
        <f t="shared" si="13"/>
        <v>5.505698729</v>
      </c>
      <c r="K162" s="241">
        <f t="shared" si="14"/>
        <v>4.966458641</v>
      </c>
      <c r="L162" s="241">
        <f t="shared" si="15"/>
        <v>10.47215737</v>
      </c>
      <c r="M162" s="241">
        <f t="shared" si="16"/>
        <v>11.01139746</v>
      </c>
      <c r="N162" s="241">
        <f t="shared" si="17"/>
        <v>9.932917282</v>
      </c>
      <c r="O162" s="241">
        <f t="shared" si="18"/>
        <v>20.94431474</v>
      </c>
      <c r="P162" s="242">
        <f t="shared" si="3"/>
        <v>0.00006716777034</v>
      </c>
    </row>
    <row r="163">
      <c r="A163" s="236" t="s">
        <v>370</v>
      </c>
      <c r="B163" s="237">
        <f>VLOOKUP(A163,'Planilha_Sintética_Geral'!A:P,2,0)</f>
        <v>100751</v>
      </c>
      <c r="C163" s="238" t="str">
        <f t="shared" si="12"/>
        <v>SINAPI</v>
      </c>
      <c r="D163" s="238" t="s">
        <v>218</v>
      </c>
      <c r="E163" s="239" t="str">
        <f>IFERROR(IF(D163="SINAPI-S",VLOOKUP(B163,'20-B.SINAPI-S'!A:J,2,0),IF(D163="SINAPI-I",VLOOKUP(B163,'20-A.SINAPI-I'!A:G,2,0),IF(D163="COMPOSIÇÕES",VLOOKUP(B163,'11.COMPOSIÇÕES GERAIS'!B:I,2,0),VLOOKUP(B163,'12.COT.MERCADO'!A:I,2,0)))),"Em Elaboração")</f>
        <v>PINTURA COM TINTA EPOXÍDICA DE ACABAMENTO PULVERIZADA SOBRE PERFIL METÁLICO EXECUTADO EM FÁBRICA (02 DEMÃOS). AF_01/2020_PE</v>
      </c>
      <c r="F163" s="240" t="str">
        <f>IFERROR(IF(D163="SINAPI-S",VLOOKUP(B163,'20-B.SINAPI-S'!A:J,3,0),IF(D163="SINAPI-I",VLOOKUP(B163,'20-A.SINAPI-I'!A:G,3,0),IF(D163="COMPOSIÇÕES",VLOOKUP(B163,'11.COMPOSIÇÕES GERAIS'!B:I,3,0),VLOOKUP(B163,'12.COT.MERCADO'!A:I,7,0)))),"Em Elaboração")</f>
        <v>M2</v>
      </c>
      <c r="G163" s="244">
        <f>VLOOKUP(A163,'Planilha_Sintética_Geral'!A:O,7,0)</f>
        <v>2</v>
      </c>
      <c r="H163" s="241">
        <f>IFERROR(IF(D163="SINAPI-S",VLOOKUP(B163,'20-B.SINAPI-S'!A:J,5,0),IF(D163="SINAPI-I",VLOOKUP(B163,'20-A.SINAPI-I'!A:G,6,0),IF(D163="COMPOSIÇÕES",VLOOKUP(B163,'11.COMPOSIÇÕES GERAIS'!B:I,7,0),0))),"Em Elaboração")</f>
        <v>3.1</v>
      </c>
      <c r="I163" s="241">
        <f>IFERROR(IF(D163="SINAPI-S",VLOOKUP(B163,'20-B.SINAPI-S'!A:J,6,0),IF(D163="SINAPI-I",VLOOKUP(B163,'20-A.SINAPI-I'!A:G,7,0),IF(D163="COMPOSIÇÕES",VLOOKUP(B163,'11.COMPOSIÇÕES GERAIS'!B:I,8,0),VLOOKUP(B163,'12.COT.MERCADO'!A:I,8,0)))),"Em Elaboração")</f>
        <v>37.75</v>
      </c>
      <c r="J163" s="241">
        <f t="shared" si="13"/>
        <v>3.639161207</v>
      </c>
      <c r="K163" s="241">
        <f t="shared" si="14"/>
        <v>44.21788059</v>
      </c>
      <c r="L163" s="241">
        <f t="shared" si="15"/>
        <v>47.8570418</v>
      </c>
      <c r="M163" s="241">
        <f t="shared" si="16"/>
        <v>7.278322414</v>
      </c>
      <c r="N163" s="241">
        <f t="shared" si="17"/>
        <v>88.43576118</v>
      </c>
      <c r="O163" s="241">
        <f t="shared" si="18"/>
        <v>95.71408359</v>
      </c>
      <c r="P163" s="242">
        <f t="shared" si="3"/>
        <v>0.0003069521092</v>
      </c>
    </row>
    <row r="164">
      <c r="A164" s="236" t="s">
        <v>371</v>
      </c>
      <c r="B164" s="237">
        <f>VLOOKUP(A164,'Planilha_Sintética_Geral'!A:P,2,0)</f>
        <v>91929</v>
      </c>
      <c r="C164" s="238" t="str">
        <f t="shared" si="12"/>
        <v>SINAPI</v>
      </c>
      <c r="D164" s="238" t="s">
        <v>218</v>
      </c>
      <c r="E164" s="239" t="str">
        <f>IFERROR(IF(D164="SINAPI-S",VLOOKUP(B164,'20-B.SINAPI-S'!A:J,2,0),IF(D164="SINAPI-I",VLOOKUP(B164,'20-A.SINAPI-I'!A:G,2,0),IF(D164="COMPOSIÇÕES",VLOOKUP(B164,'11.COMPOSIÇÕES GERAIS'!B:I,2,0),VLOOKUP(B164,'12.COT.MERCADO'!A:I,2,0)))),"Em Elaboração")</f>
        <v>CABO DE COBRE FLEXÍVEL ISOLADO, 4 MM², ANTI-CHAMA 0,6/1,0 KV, PARA CIRCUITOS TERMINAIS - FORNECIMENTO E INSTALAÇÃO. AF_03/2023</v>
      </c>
      <c r="F164" s="240" t="str">
        <f>IFERROR(IF(D164="SINAPI-S",VLOOKUP(B164,'20-B.SINAPI-S'!A:J,3,0),IF(D164="SINAPI-I",VLOOKUP(B164,'20-A.SINAPI-I'!A:G,3,0),IF(D164="COMPOSIÇÕES",VLOOKUP(B164,'11.COMPOSIÇÕES GERAIS'!B:I,3,0),VLOOKUP(B164,'12.COT.MERCADO'!A:I,7,0)))),"Em Elaboração")</f>
        <v>M</v>
      </c>
      <c r="G164" s="244">
        <f>VLOOKUP(A164,'Planilha_Sintética_Geral'!A:O,7,0)</f>
        <v>34</v>
      </c>
      <c r="H164" s="241">
        <f>IFERROR(IF(D164="SINAPI-S",VLOOKUP(B164,'20-B.SINAPI-S'!A:J,5,0),IF(D164="SINAPI-I",VLOOKUP(B164,'20-A.SINAPI-I'!A:G,6,0),IF(D164="COMPOSIÇÕES",VLOOKUP(B164,'11.COMPOSIÇÕES GERAIS'!B:I,7,0),0))),"Em Elaboração")</f>
        <v>1.72</v>
      </c>
      <c r="I164" s="241">
        <f>IFERROR(IF(D164="SINAPI-S",VLOOKUP(B164,'20-B.SINAPI-S'!A:J,6,0),IF(D164="SINAPI-I",VLOOKUP(B164,'20-A.SINAPI-I'!A:G,7,0),IF(D164="COMPOSIÇÕES",VLOOKUP(B164,'11.COMPOSIÇÕES GERAIS'!B:I,8,0),VLOOKUP(B164,'12.COT.MERCADO'!A:I,8,0)))),"Em Elaboração")</f>
        <v>5.54</v>
      </c>
      <c r="J164" s="241">
        <f t="shared" si="13"/>
        <v>2.019147508</v>
      </c>
      <c r="K164" s="241">
        <f t="shared" si="14"/>
        <v>6.489193602</v>
      </c>
      <c r="L164" s="241">
        <f t="shared" si="15"/>
        <v>8.50834111</v>
      </c>
      <c r="M164" s="241">
        <f t="shared" si="16"/>
        <v>68.65101529</v>
      </c>
      <c r="N164" s="241">
        <f t="shared" si="17"/>
        <v>220.6325825</v>
      </c>
      <c r="O164" s="241">
        <f t="shared" si="18"/>
        <v>289.2835977</v>
      </c>
      <c r="P164" s="242">
        <f t="shared" si="3"/>
        <v>0.0009277235611</v>
      </c>
    </row>
    <row r="165">
      <c r="A165" s="236" t="s">
        <v>372</v>
      </c>
      <c r="B165" s="237">
        <f>VLOOKUP(A165,'Planilha_Sintética_Geral'!A:P,2,0)</f>
        <v>93656</v>
      </c>
      <c r="C165" s="238" t="str">
        <f t="shared" si="12"/>
        <v>SINAPI</v>
      </c>
      <c r="D165" s="238" t="s">
        <v>218</v>
      </c>
      <c r="E165" s="239" t="str">
        <f>IFERROR(IF(D165="SINAPI-S",VLOOKUP(B165,'20-B.SINAPI-S'!A:J,2,0),IF(D165="SINAPI-I",VLOOKUP(B165,'20-A.SINAPI-I'!A:G,2,0),IF(D165="COMPOSIÇÕES",VLOOKUP(B165,'11.COMPOSIÇÕES GERAIS'!B:I,2,0),VLOOKUP(B165,'12.COT.MERCADO'!A:I,2,0)))),"Em Elaboração")</f>
        <v>DISJUNTOR MONOPOLAR TIPO DIN, CORRENTE NOMINAL DE 25A - FORNECIMENTO E INSTALAÇÃO. AF_10/2020</v>
      </c>
      <c r="F165" s="240" t="str">
        <f>IFERROR(IF(D165="SINAPI-S",VLOOKUP(B165,'20-B.SINAPI-S'!A:J,3,0),IF(D165="SINAPI-I",VLOOKUP(B165,'20-A.SINAPI-I'!A:G,3,0),IF(D165="COMPOSIÇÕES",VLOOKUP(B165,'11.COMPOSIÇÕES GERAIS'!B:I,3,0),VLOOKUP(B165,'12.COT.MERCADO'!A:I,7,0)))),"Em Elaboração")</f>
        <v>UN</v>
      </c>
      <c r="G165" s="244">
        <f>VLOOKUP(A165,'Planilha_Sintética_Geral'!A:O,7,0)</f>
        <v>1</v>
      </c>
      <c r="H165" s="241">
        <f>IFERROR(IF(D165="SINAPI-S",VLOOKUP(B165,'20-B.SINAPI-S'!A:J,5,0),IF(D165="SINAPI-I",VLOOKUP(B165,'20-A.SINAPI-I'!A:G,6,0),IF(D165="COMPOSIÇÕES",VLOOKUP(B165,'11.COMPOSIÇÕES GERAIS'!B:I,7,0),0))),"Em Elaboração")</f>
        <v>2.93</v>
      </c>
      <c r="I165" s="241">
        <f>IFERROR(IF(D165="SINAPI-S",VLOOKUP(B165,'20-B.SINAPI-S'!A:J,6,0),IF(D165="SINAPI-I",VLOOKUP(B165,'20-A.SINAPI-I'!A:G,7,0),IF(D165="COMPOSIÇÕES",VLOOKUP(B165,'11.COMPOSIÇÕES GERAIS'!B:I,8,0),VLOOKUP(B165,'12.COT.MERCADO'!A:I,8,0)))),"Em Elaboração")</f>
        <v>11.51</v>
      </c>
      <c r="J165" s="241">
        <f t="shared" si="13"/>
        <v>3.439594302</v>
      </c>
      <c r="K165" s="241">
        <f t="shared" si="14"/>
        <v>13.48206107</v>
      </c>
      <c r="L165" s="241">
        <f t="shared" si="15"/>
        <v>16.92165538</v>
      </c>
      <c r="M165" s="241">
        <f t="shared" si="16"/>
        <v>3.439594302</v>
      </c>
      <c r="N165" s="241">
        <f t="shared" si="17"/>
        <v>13.48206107</v>
      </c>
      <c r="O165" s="241">
        <f t="shared" si="18"/>
        <v>16.92165538</v>
      </c>
      <c r="P165" s="242">
        <f t="shared" si="3"/>
        <v>0.00005426722603</v>
      </c>
    </row>
    <row r="166">
      <c r="A166" s="236" t="s">
        <v>373</v>
      </c>
      <c r="B166" s="237">
        <f>VLOOKUP(A166,'Planilha_Sintética_Geral'!A:P,2,0)</f>
        <v>95545</v>
      </c>
      <c r="C166" s="238" t="str">
        <f t="shared" si="12"/>
        <v>SINAPI</v>
      </c>
      <c r="D166" s="238" t="s">
        <v>218</v>
      </c>
      <c r="E166" s="239" t="str">
        <f>IFERROR(IF(D166="SINAPI-S",VLOOKUP(B166,'20-B.SINAPI-S'!A:J,2,0),IF(D166="SINAPI-I",VLOOKUP(B166,'20-A.SINAPI-I'!A:G,2,0),IF(D166="COMPOSIÇÕES",VLOOKUP(B166,'11.COMPOSIÇÕES GERAIS'!B:I,2,0),VLOOKUP(B166,'12.COT.MERCADO'!A:I,2,0)))),"Em Elaboração")</f>
        <v>SABONETEIRA DE PAREDE EM METAL CROMADO, INCLUSO FIXAÇÃO. AF_01/2020</v>
      </c>
      <c r="F166" s="240" t="str">
        <f>IFERROR(IF(D166="SINAPI-S",VLOOKUP(B166,'20-B.SINAPI-S'!A:J,3,0),IF(D166="SINAPI-I",VLOOKUP(B166,'20-A.SINAPI-I'!A:G,3,0),IF(D166="COMPOSIÇÕES",VLOOKUP(B166,'11.COMPOSIÇÕES GERAIS'!B:I,3,0),VLOOKUP(B166,'12.COT.MERCADO'!A:I,7,0)))),"Em Elaboração")</f>
        <v>UN</v>
      </c>
      <c r="G166" s="244">
        <f>VLOOKUP(A166,'Planilha_Sintética_Geral'!A:O,7,0)</f>
        <v>1</v>
      </c>
      <c r="H166" s="241">
        <f>IFERROR(IF(D166="SINAPI-S",VLOOKUP(B166,'20-B.SINAPI-S'!A:J,5,0),IF(D166="SINAPI-I",VLOOKUP(B166,'20-A.SINAPI-I'!A:G,6,0),IF(D166="COMPOSIÇÕES",VLOOKUP(B166,'11.COMPOSIÇÕES GERAIS'!B:I,7,0),0))),"Em Elaboração")</f>
        <v>9.49</v>
      </c>
      <c r="I166" s="241">
        <f>IFERROR(IF(D166="SINAPI-S",VLOOKUP(B166,'20-B.SINAPI-S'!A:J,6,0),IF(D166="SINAPI-I",VLOOKUP(B166,'20-A.SINAPI-I'!A:G,7,0),IF(D166="COMPOSIÇÕES",VLOOKUP(B166,'11.COMPOSIÇÕES GERAIS'!B:I,8,0),VLOOKUP(B166,'12.COT.MERCADO'!A:I,8,0)))),"Em Elaboração")</f>
        <v>76.95</v>
      </c>
      <c r="J166" s="241">
        <f t="shared" si="13"/>
        <v>11.14052899</v>
      </c>
      <c r="K166" s="241">
        <f t="shared" si="14"/>
        <v>90.13419633</v>
      </c>
      <c r="L166" s="241">
        <f t="shared" si="15"/>
        <v>101.2747253</v>
      </c>
      <c r="M166" s="241">
        <f t="shared" si="16"/>
        <v>11.14052899</v>
      </c>
      <c r="N166" s="241">
        <f t="shared" si="17"/>
        <v>90.13419633</v>
      </c>
      <c r="O166" s="241">
        <f t="shared" si="18"/>
        <v>101.2747253</v>
      </c>
      <c r="P166" s="242">
        <f t="shared" si="3"/>
        <v>0.0003247849154</v>
      </c>
    </row>
    <row r="167">
      <c r="A167" s="236" t="s">
        <v>374</v>
      </c>
      <c r="B167" s="237">
        <f>VLOOKUP(A167,'Planilha_Sintética_Geral'!A:P,2,0)</f>
        <v>86916</v>
      </c>
      <c r="C167" s="238" t="str">
        <f t="shared" si="12"/>
        <v>SINAPI</v>
      </c>
      <c r="D167" s="238" t="s">
        <v>218</v>
      </c>
      <c r="E167" s="239" t="str">
        <f>IFERROR(IF(D167="SINAPI-S",VLOOKUP(B167,'20-B.SINAPI-S'!A:J,2,0),IF(D167="SINAPI-I",VLOOKUP(B167,'20-A.SINAPI-I'!A:G,2,0),IF(D167="COMPOSIÇÕES",VLOOKUP(B167,'11.COMPOSIÇÕES GERAIS'!B:I,2,0),VLOOKUP(B167,'12.COT.MERCADO'!A:I,2,0)))),"Em Elaboração")</f>
        <v>TORNEIRA PLÁSTICA 3/4_x0094_ PARA TANQUE - FORNECIMENTO E INSTALAÇÃO. AF_01/2020</v>
      </c>
      <c r="F167" s="240" t="str">
        <f>IFERROR(IF(D167="SINAPI-S",VLOOKUP(B167,'20-B.SINAPI-S'!A:J,3,0),IF(D167="SINAPI-I",VLOOKUP(B167,'20-A.SINAPI-I'!A:G,3,0),IF(D167="COMPOSIÇÕES",VLOOKUP(B167,'11.COMPOSIÇÕES GERAIS'!B:I,3,0),VLOOKUP(B167,'12.COT.MERCADO'!A:I,7,0)))),"Em Elaboração")</f>
        <v>UN</v>
      </c>
      <c r="G167" s="244">
        <f>VLOOKUP(A167,'Planilha_Sintética_Geral'!A:O,7,0)</f>
        <v>1</v>
      </c>
      <c r="H167" s="241">
        <f>IFERROR(IF(D167="SINAPI-S",VLOOKUP(B167,'20-B.SINAPI-S'!A:J,5,0),IF(D167="SINAPI-I",VLOOKUP(B167,'20-A.SINAPI-I'!A:G,6,0),IF(D167="COMPOSIÇÕES",VLOOKUP(B167,'11.COMPOSIÇÕES GERAIS'!B:I,7,0),0))),"Em Elaboração")</f>
        <v>4.57</v>
      </c>
      <c r="I167" s="241">
        <f>IFERROR(IF(D167="SINAPI-S",VLOOKUP(B167,'20-B.SINAPI-S'!A:J,6,0),IF(D167="SINAPI-I",VLOOKUP(B167,'20-A.SINAPI-I'!A:G,7,0),IF(D167="COMPOSIÇÕES",VLOOKUP(B167,'11.COMPOSIÇÕES GERAIS'!B:I,8,0),VLOOKUP(B167,'12.COT.MERCADO'!A:I,8,0)))),"Em Elaboração")</f>
        <v>19.79</v>
      </c>
      <c r="J167" s="241">
        <f t="shared" si="13"/>
        <v>5.364827973</v>
      </c>
      <c r="K167" s="241">
        <f t="shared" si="14"/>
        <v>23.18071144</v>
      </c>
      <c r="L167" s="241">
        <f t="shared" si="15"/>
        <v>28.54553941</v>
      </c>
      <c r="M167" s="241">
        <f t="shared" si="16"/>
        <v>5.364827973</v>
      </c>
      <c r="N167" s="241">
        <f t="shared" si="17"/>
        <v>23.18071144</v>
      </c>
      <c r="O167" s="241">
        <f t="shared" si="18"/>
        <v>28.54553941</v>
      </c>
      <c r="P167" s="242">
        <f t="shared" si="3"/>
        <v>0.00009154466304</v>
      </c>
    </row>
    <row r="168">
      <c r="A168" s="236" t="s">
        <v>375</v>
      </c>
      <c r="B168" s="237" t="str">
        <f>VLOOKUP(A168,'Planilha_Sintética_Geral'!A:P,2,0)</f>
        <v>MAN_PR_038</v>
      </c>
      <c r="C168" s="238" t="str">
        <f t="shared" si="12"/>
        <v>PRÓPRIO</v>
      </c>
      <c r="D168" s="243" t="s">
        <v>230</v>
      </c>
      <c r="E168" s="239" t="str">
        <f>IFERROR(IF(D168="SINAPI-S",VLOOKUP(B168,'20-B.SINAPI-S'!A:J,2,0),IF(D168="SINAPI-I",VLOOKUP(B168,'20-A.SINAPI-I'!A:G,2,0),IF(D168="COMPOSIÇÕES",VLOOKUP(B168,'11.COMPOSIÇÕES GERAIS'!B:I,2,0),VLOOKUP(B168,'12.COT.MERCADO'!A:I,2,0)))),"Em Elaboração")</f>
        <v>FORNECIMENTO E INSTALAÇÃO DE REFLETOR LED 400W, CORPO DE ALUMÍNIO, VIDRO TEMPERADO, BIVOLT, TEMP. COR BRANCO FRIO COM PROTEÇÃO IP-67</v>
      </c>
      <c r="F168" s="240" t="str">
        <f>IFERROR(IF(D168="SINAPI-S",VLOOKUP(B168,'20-B.SINAPI-S'!A:J,3,0),IF(D168="SINAPI-I",VLOOKUP(B168,'20-A.SINAPI-I'!A:G,3,0),IF(D168="COMPOSIÇÕES",VLOOKUP(B168,'11.COMPOSIÇÕES GERAIS'!B:I,3,0),VLOOKUP(B168,'12.COT.MERCADO'!A:I,7,0)))),"Em Elaboração")</f>
        <v>UN</v>
      </c>
      <c r="G168" s="244">
        <f>VLOOKUP(A168,'Planilha_Sintética_Geral'!A:O,7,0)</f>
        <v>1</v>
      </c>
      <c r="H168" s="241">
        <f>IFERROR(IF(D168="SINAPI-S",VLOOKUP(B168,'20-B.SINAPI-S'!A:J,5,0),IF(D168="SINAPI-I",VLOOKUP(B168,'20-A.SINAPI-I'!A:G,6,0),IF(D168="COMPOSIÇÕES",VLOOKUP(B168,'11.COMPOSIÇÕES GERAIS'!B:I,7,0),0))),"Em Elaboração")</f>
        <v>18.305</v>
      </c>
      <c r="I168" s="241">
        <f>IFERROR(IF(D168="SINAPI-S",VLOOKUP(B168,'20-B.SINAPI-S'!A:J,6,0),IF(D168="SINAPI-I",VLOOKUP(B168,'20-A.SINAPI-I'!A:G,7,0),IF(D168="COMPOSIÇÕES",VLOOKUP(B168,'11.COMPOSIÇÕES GERAIS'!B:I,8,0),VLOOKUP(B168,'12.COT.MERCADO'!A:I,8,0)))),"Em Elaboração")</f>
        <v>290.338</v>
      </c>
      <c r="J168" s="241">
        <f t="shared" si="13"/>
        <v>21.48865997</v>
      </c>
      <c r="K168" s="241">
        <f t="shared" si="14"/>
        <v>340.0829408</v>
      </c>
      <c r="L168" s="241">
        <f t="shared" si="15"/>
        <v>361.5716007</v>
      </c>
      <c r="M168" s="241">
        <f t="shared" si="16"/>
        <v>21.48865997</v>
      </c>
      <c r="N168" s="241">
        <f t="shared" si="17"/>
        <v>340.0829408</v>
      </c>
      <c r="O168" s="241">
        <f t="shared" si="18"/>
        <v>361.5716007</v>
      </c>
      <c r="P168" s="242">
        <f t="shared" si="3"/>
        <v>0.001159548954</v>
      </c>
    </row>
    <row r="169">
      <c r="A169" s="236" t="s">
        <v>376</v>
      </c>
      <c r="B169" s="237">
        <f>VLOOKUP(A169,'Planilha_Sintética_Geral'!A:P,2,0)</f>
        <v>103304</v>
      </c>
      <c r="C169" s="238" t="str">
        <f t="shared" si="12"/>
        <v>SINAPI</v>
      </c>
      <c r="D169" s="238" t="s">
        <v>218</v>
      </c>
      <c r="E169" s="239" t="str">
        <f>IFERROR(IF(D169="SINAPI-S",VLOOKUP(B169,'20-B.SINAPI-S'!A:J,2,0),IF(D169="SINAPI-I",VLOOKUP(B169,'20-A.SINAPI-I'!A:G,2,0),IF(D169="COMPOSIÇÕES",VLOOKUP(B169,'11.COMPOSIÇÕES GERAIS'!B:I,2,0),VLOOKUP(B169,'12.COT.MERCADO'!A:I,2,0)))),"Em Elaboração")</f>
        <v>INSTALAÇÃO DE BANCO METÁLICO COM ENCOSTO, 1,60 M DE COMPRIMENTO, EM TUBO DE AÇO CARBONO COM PINTURA ELETROSTÁTICA, SOBRE PISO DE CONCRETO EXISTENTE. AF_11/2021</v>
      </c>
      <c r="F169" s="240" t="str">
        <f>IFERROR(IF(D169="SINAPI-S",VLOOKUP(B169,'20-B.SINAPI-S'!A:J,3,0),IF(D169="SINAPI-I",VLOOKUP(B169,'20-A.SINAPI-I'!A:G,3,0),IF(D169="COMPOSIÇÕES",VLOOKUP(B169,'11.COMPOSIÇÕES GERAIS'!B:I,3,0),VLOOKUP(B169,'12.COT.MERCADO'!A:I,7,0)))),"Em Elaboração")</f>
        <v>UN</v>
      </c>
      <c r="G169" s="244">
        <f>VLOOKUP(A169,'Planilha_Sintética_Geral'!A:O,7,0)</f>
        <v>1</v>
      </c>
      <c r="H169" s="241">
        <f>IFERROR(IF(D169="SINAPI-S",VLOOKUP(B169,'20-B.SINAPI-S'!A:J,5,0),IF(D169="SINAPI-I",VLOOKUP(B169,'20-A.SINAPI-I'!A:G,6,0),IF(D169="COMPOSIÇÕES",VLOOKUP(B169,'11.COMPOSIÇÕES GERAIS'!B:I,7,0),0))),"Em Elaboração")</f>
        <v>35.17</v>
      </c>
      <c r="I169" s="241">
        <f>IFERROR(IF(D169="SINAPI-S",VLOOKUP(B169,'20-B.SINAPI-S'!A:J,6,0),IF(D169="SINAPI-I",VLOOKUP(B169,'20-A.SINAPI-I'!A:G,7,0),IF(D169="COMPOSIÇÕES",VLOOKUP(B169,'11.COMPOSIÇÕES GERAIS'!B:I,8,0),VLOOKUP(B169,'12.COT.MERCADO'!A:I,8,0)))),"Em Elaboração")</f>
        <v>1220.46</v>
      </c>
      <c r="J169" s="241">
        <f t="shared" si="13"/>
        <v>41.28687086</v>
      </c>
      <c r="K169" s="241">
        <f t="shared" si="14"/>
        <v>1429.567008</v>
      </c>
      <c r="L169" s="241">
        <f t="shared" si="15"/>
        <v>1470.853879</v>
      </c>
      <c r="M169" s="241">
        <f t="shared" si="16"/>
        <v>41.28687086</v>
      </c>
      <c r="N169" s="241">
        <f t="shared" si="17"/>
        <v>1429.567008</v>
      </c>
      <c r="O169" s="241">
        <f t="shared" si="18"/>
        <v>1470.853879</v>
      </c>
      <c r="P169" s="242">
        <f t="shared" si="3"/>
        <v>0.00471698295</v>
      </c>
    </row>
    <row r="170">
      <c r="A170" s="236" t="s">
        <v>377</v>
      </c>
      <c r="B170" s="237">
        <f>VLOOKUP(A170,'Planilha_Sintética_Geral'!A:P,2,0)</f>
        <v>102167</v>
      </c>
      <c r="C170" s="238" t="str">
        <f t="shared" si="12"/>
        <v>SINAPI</v>
      </c>
      <c r="D170" s="238" t="s">
        <v>218</v>
      </c>
      <c r="E170" s="239" t="str">
        <f>IFERROR(IF(D170="SINAPI-S",VLOOKUP(B170,'20-B.SINAPI-S'!A:J,2,0),IF(D170="SINAPI-I",VLOOKUP(B170,'20-A.SINAPI-I'!A:G,2,0),IF(D170="COMPOSIÇÕES",VLOOKUP(B170,'11.COMPOSIÇÕES GERAIS'!B:I,2,0),VLOOKUP(B170,'12.COT.MERCADO'!A:I,2,0)))),"Em Elaboração")</f>
        <v>INSTALAÇÃO DE VIDRO LISO FUME, E = 6 MM, EM ESQUADRIA DE ALUMÍNIO OU PVC, FIXADO COM BAGUETE. AF_01/2021_PS</v>
      </c>
      <c r="F170" s="240" t="str">
        <f>IFERROR(IF(D170="SINAPI-S",VLOOKUP(B170,'20-B.SINAPI-S'!A:J,3,0),IF(D170="SINAPI-I",VLOOKUP(B170,'20-A.SINAPI-I'!A:G,3,0),IF(D170="COMPOSIÇÕES",VLOOKUP(B170,'11.COMPOSIÇÕES GERAIS'!B:I,3,0),VLOOKUP(B170,'12.COT.MERCADO'!A:I,7,0)))),"Em Elaboração")</f>
        <v>M2</v>
      </c>
      <c r="G170" s="244">
        <f>VLOOKUP(A170,'Planilha_Sintética_Geral'!A:O,7,0)</f>
        <v>1</v>
      </c>
      <c r="H170" s="241">
        <f>IFERROR(IF(D170="SINAPI-S",VLOOKUP(B170,'20-B.SINAPI-S'!A:J,5,0),IF(D170="SINAPI-I",VLOOKUP(B170,'20-A.SINAPI-I'!A:G,6,0),IF(D170="COMPOSIÇÕES",VLOOKUP(B170,'11.COMPOSIÇÕES GERAIS'!B:I,7,0),0))),"Em Elaboração")</f>
        <v>20.01</v>
      </c>
      <c r="I170" s="241">
        <f>IFERROR(IF(D170="SINAPI-S",VLOOKUP(B170,'20-B.SINAPI-S'!A:J,6,0),IF(D170="SINAPI-I",VLOOKUP(B170,'20-A.SINAPI-I'!A:G,7,0),IF(D170="COMPOSIÇÕES",VLOOKUP(B170,'11.COMPOSIÇÕES GERAIS'!B:I,8,0),VLOOKUP(B170,'12.COT.MERCADO'!A:I,8,0)))),"Em Elaboração")</f>
        <v>387.73</v>
      </c>
      <c r="J170" s="241">
        <f t="shared" si="13"/>
        <v>23.49019863</v>
      </c>
      <c r="K170" s="241">
        <f t="shared" si="14"/>
        <v>454.1615587</v>
      </c>
      <c r="L170" s="241">
        <f t="shared" si="15"/>
        <v>477.6517573</v>
      </c>
      <c r="M170" s="241">
        <f t="shared" si="16"/>
        <v>23.49019863</v>
      </c>
      <c r="N170" s="241">
        <f t="shared" si="17"/>
        <v>454.1615587</v>
      </c>
      <c r="O170" s="241">
        <f t="shared" si="18"/>
        <v>477.6517573</v>
      </c>
      <c r="P170" s="242">
        <f t="shared" si="3"/>
        <v>0.00153181443</v>
      </c>
    </row>
    <row r="171">
      <c r="A171" s="236" t="s">
        <v>378</v>
      </c>
      <c r="B171" s="237">
        <f>VLOOKUP(A171,'Planilha_Sintética_Geral'!A:P,2,0)</f>
        <v>98397</v>
      </c>
      <c r="C171" s="238" t="str">
        <f t="shared" si="12"/>
        <v>SINAPI</v>
      </c>
      <c r="D171" s="238" t="s">
        <v>218</v>
      </c>
      <c r="E171" s="239" t="str">
        <f>IFERROR(IF(D171="SINAPI-S",VLOOKUP(B171,'20-B.SINAPI-S'!A:J,2,0),IF(D171="SINAPI-I",VLOOKUP(B171,'20-A.SINAPI-I'!A:G,2,0),IF(D171="COMPOSIÇÕES",VLOOKUP(B171,'11.COMPOSIÇÕES GERAIS'!B:I,2,0),VLOOKUP(B171,'12.COT.MERCADO'!A:I,2,0)))),"Em Elaboração")</f>
        <v>PINTURA ANTICORROSIVA DE DUTO METÁLICO. AF_04/2018</v>
      </c>
      <c r="F171" s="240" t="str">
        <f>IFERROR(IF(D171="SINAPI-S",VLOOKUP(B171,'20-B.SINAPI-S'!A:J,3,0),IF(D171="SINAPI-I",VLOOKUP(B171,'20-A.SINAPI-I'!A:G,3,0),IF(D171="COMPOSIÇÕES",VLOOKUP(B171,'11.COMPOSIÇÕES GERAIS'!B:I,3,0),VLOOKUP(B171,'12.COT.MERCADO'!A:I,7,0)))),"Em Elaboração")</f>
        <v>M2</v>
      </c>
      <c r="G171" s="244">
        <f>VLOOKUP(A171,'Planilha_Sintética_Geral'!A:O,7,0)</f>
        <v>1</v>
      </c>
      <c r="H171" s="241">
        <f>IFERROR(IF(D171="SINAPI-S",VLOOKUP(B171,'20-B.SINAPI-S'!A:J,5,0),IF(D171="SINAPI-I",VLOOKUP(B171,'20-A.SINAPI-I'!A:G,6,0),IF(D171="COMPOSIÇÕES",VLOOKUP(B171,'11.COMPOSIÇÕES GERAIS'!B:I,7,0),0))),"Em Elaboração")</f>
        <v>6.08</v>
      </c>
      <c r="I171" s="241">
        <f>IFERROR(IF(D171="SINAPI-S",VLOOKUP(B171,'20-B.SINAPI-S'!A:J,6,0),IF(D171="SINAPI-I",VLOOKUP(B171,'20-A.SINAPI-I'!A:G,7,0),IF(D171="COMPOSIÇÕES",VLOOKUP(B171,'11.COMPOSIÇÕES GERAIS'!B:I,8,0),VLOOKUP(B171,'12.COT.MERCADO'!A:I,8,0)))),"Em Elaboração")</f>
        <v>8.07</v>
      </c>
      <c r="J171" s="241">
        <f t="shared" si="13"/>
        <v>7.137451658</v>
      </c>
      <c r="K171" s="241">
        <f t="shared" si="14"/>
        <v>9.452670102</v>
      </c>
      <c r="L171" s="241">
        <f t="shared" si="15"/>
        <v>16.59012176</v>
      </c>
      <c r="M171" s="241">
        <f t="shared" si="16"/>
        <v>7.137451658</v>
      </c>
      <c r="N171" s="241">
        <f t="shared" si="17"/>
        <v>9.452670102</v>
      </c>
      <c r="O171" s="241">
        <f t="shared" si="18"/>
        <v>16.59012176</v>
      </c>
      <c r="P171" s="242">
        <f t="shared" si="3"/>
        <v>0.00005320400796</v>
      </c>
    </row>
    <row r="172">
      <c r="A172" s="236" t="s">
        <v>379</v>
      </c>
      <c r="B172" s="237">
        <f>VLOOKUP(A172,'Planilha_Sintética_Geral'!A:P,2,0)</f>
        <v>102156</v>
      </c>
      <c r="C172" s="238" t="str">
        <f t="shared" si="12"/>
        <v>SINAPI</v>
      </c>
      <c r="D172" s="238" t="s">
        <v>218</v>
      </c>
      <c r="E172" s="239" t="str">
        <f>IFERROR(IF(D172="SINAPI-S",VLOOKUP(B172,'20-B.SINAPI-S'!A:J,2,0),IF(D172="SINAPI-I",VLOOKUP(B172,'20-A.SINAPI-I'!A:G,2,0),IF(D172="COMPOSIÇÕES",VLOOKUP(B172,'11.COMPOSIÇÕES GERAIS'!B:I,2,0),VLOOKUP(B172,'12.COT.MERCADO'!A:I,2,0)))),"Em Elaboração")</f>
        <v>INSTALAÇÃO DE VIDRO LISO INCOLOR, E = 6 MM, EM ESQUADRIA DE MADEIRA, FIXADO COM BAGUETE. AF_01/2021</v>
      </c>
      <c r="F172" s="240" t="str">
        <f>IFERROR(IF(D172="SINAPI-S",VLOOKUP(B172,'20-B.SINAPI-S'!A:J,3,0),IF(D172="SINAPI-I",VLOOKUP(B172,'20-A.SINAPI-I'!A:G,3,0),IF(D172="COMPOSIÇÕES",VLOOKUP(B172,'11.COMPOSIÇÕES GERAIS'!B:I,3,0),VLOOKUP(B172,'12.COT.MERCADO'!A:I,7,0)))),"Em Elaboração")</f>
        <v>M2</v>
      </c>
      <c r="G172" s="244">
        <f>VLOOKUP(A172,'Planilha_Sintética_Geral'!A:O,7,0)</f>
        <v>1</v>
      </c>
      <c r="H172" s="241">
        <f>IFERROR(IF(D172="SINAPI-S",VLOOKUP(B172,'20-B.SINAPI-S'!A:J,5,0),IF(D172="SINAPI-I",VLOOKUP(B172,'20-A.SINAPI-I'!A:G,6,0),IF(D172="COMPOSIÇÕES",VLOOKUP(B172,'11.COMPOSIÇÕES GERAIS'!B:I,7,0),0))),"Em Elaboração")</f>
        <v>16.45</v>
      </c>
      <c r="I172" s="241">
        <f>IFERROR(IF(D172="SINAPI-S",VLOOKUP(B172,'20-B.SINAPI-S'!A:J,6,0),IF(D172="SINAPI-I",VLOOKUP(B172,'20-A.SINAPI-I'!A:G,7,0),IF(D172="COMPOSIÇÕES",VLOOKUP(B172,'11.COMPOSIÇÕES GERAIS'!B:I,8,0),VLOOKUP(B172,'12.COT.MERCADO'!A:I,8,0)))),"Em Elaboração")</f>
        <v>209.12</v>
      </c>
      <c r="J172" s="241">
        <f t="shared" si="13"/>
        <v>19.31103286</v>
      </c>
      <c r="K172" s="241">
        <f t="shared" si="14"/>
        <v>244.9494884</v>
      </c>
      <c r="L172" s="241">
        <f t="shared" si="15"/>
        <v>264.2605213</v>
      </c>
      <c r="M172" s="241">
        <f t="shared" si="16"/>
        <v>19.31103286</v>
      </c>
      <c r="N172" s="241">
        <f t="shared" si="17"/>
        <v>244.9494884</v>
      </c>
      <c r="O172" s="241">
        <f t="shared" si="18"/>
        <v>264.2605213</v>
      </c>
      <c r="P172" s="242">
        <f t="shared" si="3"/>
        <v>0.000847475328</v>
      </c>
    </row>
    <row r="173">
      <c r="A173" s="236" t="s">
        <v>380</v>
      </c>
      <c r="B173" s="237" t="str">
        <f>VLOOKUP(A173,'Planilha_Sintética_Geral'!A:P,2,0)</f>
        <v>MAN_PR_039</v>
      </c>
      <c r="C173" s="238" t="str">
        <f t="shared" si="12"/>
        <v>PRÓPRIO</v>
      </c>
      <c r="D173" s="243" t="s">
        <v>230</v>
      </c>
      <c r="E173" s="239" t="str">
        <f>IFERROR(IF(D173="SINAPI-S",VLOOKUP(B173,'20-B.SINAPI-S'!A:J,2,0),IF(D173="SINAPI-I",VLOOKUP(B173,'20-A.SINAPI-I'!A:G,2,0),IF(D173="COMPOSIÇÕES",VLOOKUP(B173,'11.COMPOSIÇÕES GERAIS'!B:I,2,0),VLOOKUP(B173,'12.COT.MERCADO'!A:I,2,0)))),"Em Elaboração")</f>
        <v>FORNECIMENTO E INSTALAÇÃO DE BOX PARA BANHEIRO EM ALUMÍNIO BRANCO E VIDRO TEMPERADO INCOLOR 8MM, INCLUSIVE FERRAGENS, COMPLETO</v>
      </c>
      <c r="F173" s="240" t="str">
        <f>IFERROR(IF(D173="SINAPI-S",VLOOKUP(B173,'20-B.SINAPI-S'!A:J,3,0),IF(D173="SINAPI-I",VLOOKUP(B173,'20-A.SINAPI-I'!A:G,3,0),IF(D173="COMPOSIÇÕES",VLOOKUP(B173,'11.COMPOSIÇÕES GERAIS'!B:I,3,0),VLOOKUP(B173,'12.COT.MERCADO'!A:I,7,0)))),"Em Elaboração")</f>
        <v>M2</v>
      </c>
      <c r="G173" s="244">
        <f>VLOOKUP(A173,'Planilha_Sintética_Geral'!A:O,7,0)</f>
        <v>1</v>
      </c>
      <c r="H173" s="241">
        <f>IFERROR(IF(D173="SINAPI-S",VLOOKUP(B173,'20-B.SINAPI-S'!A:J,5,0),IF(D173="SINAPI-I",VLOOKUP(B173,'20-A.SINAPI-I'!A:G,6,0),IF(D173="COMPOSIÇÕES",VLOOKUP(B173,'11.COMPOSIÇÕES GERAIS'!B:I,7,0),0))),"Em Elaboração")</f>
        <v>0</v>
      </c>
      <c r="I173" s="241">
        <f>IFERROR(IF(D173="SINAPI-S",VLOOKUP(B173,'20-B.SINAPI-S'!A:J,6,0),IF(D173="SINAPI-I",VLOOKUP(B173,'20-A.SINAPI-I'!A:G,7,0),IF(D173="COMPOSIÇÕES",VLOOKUP(B173,'11.COMPOSIÇÕES GERAIS'!B:I,8,0),VLOOKUP(B173,'12.COT.MERCADO'!A:I,8,0)))),"Em Elaboração")</f>
        <v>394.73</v>
      </c>
      <c r="J173" s="241">
        <f t="shared" si="13"/>
        <v>0</v>
      </c>
      <c r="K173" s="241">
        <f t="shared" si="14"/>
        <v>462.3609008</v>
      </c>
      <c r="L173" s="241">
        <f t="shared" si="15"/>
        <v>462.3609008</v>
      </c>
      <c r="M173" s="241">
        <f t="shared" si="16"/>
        <v>0</v>
      </c>
      <c r="N173" s="241">
        <f t="shared" si="17"/>
        <v>462.3609008</v>
      </c>
      <c r="O173" s="241">
        <f t="shared" si="18"/>
        <v>462.3609008</v>
      </c>
      <c r="P173" s="242">
        <f t="shared" si="3"/>
        <v>0.001482777125</v>
      </c>
    </row>
    <row r="174">
      <c r="A174" s="236" t="s">
        <v>381</v>
      </c>
      <c r="B174" s="237">
        <f>VLOOKUP(A174,'Planilha_Sintética_Geral'!A:P,2,0)</f>
        <v>91958</v>
      </c>
      <c r="C174" s="238" t="str">
        <f t="shared" si="12"/>
        <v>SINAPI</v>
      </c>
      <c r="D174" s="238" t="s">
        <v>218</v>
      </c>
      <c r="E174" s="239" t="str">
        <f>IFERROR(IF(D174="SINAPI-S",VLOOKUP(B174,'20-B.SINAPI-S'!A:J,2,0),IF(D174="SINAPI-I",VLOOKUP(B174,'20-A.SINAPI-I'!A:G,2,0),IF(D174="COMPOSIÇÕES",VLOOKUP(B174,'11.COMPOSIÇÕES GERAIS'!B:I,2,0),VLOOKUP(B174,'12.COT.MERCADO'!A:I,2,0)))),"Em Elaboração")</f>
        <v>INTERRUPTOR SIMPLES (2 MÓDULOS), 10A/250V, SEM SUPORTE E SEM PLACA - FORNECIMENTO E INSTALAÇÃO. AF_03/2023</v>
      </c>
      <c r="F174" s="240" t="str">
        <f>IFERROR(IF(D174="SINAPI-S",VLOOKUP(B174,'20-B.SINAPI-S'!A:J,3,0),IF(D174="SINAPI-I",VLOOKUP(B174,'20-A.SINAPI-I'!A:G,3,0),IF(D174="COMPOSIÇÕES",VLOOKUP(B174,'11.COMPOSIÇÕES GERAIS'!B:I,3,0),VLOOKUP(B174,'12.COT.MERCADO'!A:I,7,0)))),"Em Elaboração")</f>
        <v>UN</v>
      </c>
      <c r="G174" s="244">
        <f>VLOOKUP(A174,'Planilha_Sintética_Geral'!A:O,7,0)</f>
        <v>1</v>
      </c>
      <c r="H174" s="241">
        <f>IFERROR(IF(D174="SINAPI-S",VLOOKUP(B174,'20-B.SINAPI-S'!A:J,5,0),IF(D174="SINAPI-I",VLOOKUP(B174,'20-A.SINAPI-I'!A:G,6,0),IF(D174="COMPOSIÇÕES",VLOOKUP(B174,'11.COMPOSIÇÕES GERAIS'!B:I,7,0),0))),"Em Elaboração")</f>
        <v>17.81</v>
      </c>
      <c r="I174" s="241">
        <f>IFERROR(IF(D174="SINAPI-S",VLOOKUP(B174,'20-B.SINAPI-S'!A:J,6,0),IF(D174="SINAPI-I",VLOOKUP(B174,'20-A.SINAPI-I'!A:G,7,0),IF(D174="COMPOSIÇÕES",VLOOKUP(B174,'11.COMPOSIÇÕES GERAIS'!B:I,8,0),VLOOKUP(B174,'12.COT.MERCADO'!A:I,8,0)))),"Em Elaboração")</f>
        <v>21.1</v>
      </c>
      <c r="J174" s="241">
        <f t="shared" si="13"/>
        <v>20.9075681</v>
      </c>
      <c r="K174" s="241">
        <f t="shared" si="14"/>
        <v>24.71515975</v>
      </c>
      <c r="L174" s="241">
        <f t="shared" si="15"/>
        <v>45.62272784</v>
      </c>
      <c r="M174" s="241">
        <f t="shared" si="16"/>
        <v>20.9075681</v>
      </c>
      <c r="N174" s="241">
        <f t="shared" si="17"/>
        <v>24.71515975</v>
      </c>
      <c r="O174" s="241">
        <f t="shared" si="18"/>
        <v>45.62272784</v>
      </c>
      <c r="P174" s="242">
        <f t="shared" si="3"/>
        <v>0.0001463106788</v>
      </c>
    </row>
    <row r="175">
      <c r="A175" s="236" t="s">
        <v>382</v>
      </c>
      <c r="B175" s="237">
        <f>VLOOKUP(A175,'Planilha_Sintética_Geral'!A:P,2,0)</f>
        <v>3267</v>
      </c>
      <c r="C175" s="238" t="str">
        <f t="shared" si="12"/>
        <v>SINAPI</v>
      </c>
      <c r="D175" s="243" t="s">
        <v>286</v>
      </c>
      <c r="E175" s="239" t="str">
        <f>IFERROR(IF(D175="SINAPI-S",VLOOKUP(B175,'20-B.SINAPI-S'!A:J,2,0),IF(D175="SINAPI-I",VLOOKUP(B175,'20-A.SINAPI-I'!A:G,2,0),IF(D175="COMPOSIÇÕES",VLOOKUP(B175,'11.COMPOSIÇÕES GERAIS'!B:I,2,0),VLOOKUP(B175,'12.COT.MERCADO'!A:I,2,0)))),"Em Elaboração")</f>
        <v>FLANGE SEXTAVADO DE FERRO GALVANIZADO, COM ROSCA BSP, DE 2 1/2"</v>
      </c>
      <c r="F175" s="240" t="str">
        <f>IFERROR(IF(D175="SINAPI-S",VLOOKUP(B175,'20-B.SINAPI-S'!A:J,3,0),IF(D175="SINAPI-I",VLOOKUP(B175,'20-A.SINAPI-I'!A:G,3,0),IF(D175="COMPOSIÇÕES",VLOOKUP(B175,'11.COMPOSIÇÕES GERAIS'!B:I,3,0),VLOOKUP(B175,'12.COT.MERCADO'!A:I,7,0)))),"Em Elaboração")</f>
        <v>UN</v>
      </c>
      <c r="G175" s="244">
        <f>VLOOKUP(A175,'Planilha_Sintética_Geral'!A:O,7,0)</f>
        <v>1</v>
      </c>
      <c r="H175" s="241">
        <f>IFERROR(IF(D175="SINAPI-S",VLOOKUP(B175,'20-B.SINAPI-S'!A:J,5,0),IF(D175="SINAPI-I",VLOOKUP(B175,'20-A.SINAPI-I'!A:G,6,0),IF(D175="COMPOSIÇÕES",VLOOKUP(B175,'11.COMPOSIÇÕES GERAIS'!B:I,7,0),0))),"Em Elaboração")</f>
        <v>0</v>
      </c>
      <c r="I175" s="241">
        <f>IFERROR(IF(D175="SINAPI-S",VLOOKUP(B175,'20-B.SINAPI-S'!A:J,6,0),IF(D175="SINAPI-I",VLOOKUP(B175,'20-A.SINAPI-I'!A:G,7,0),IF(D175="COMPOSIÇÕES",VLOOKUP(B175,'11.COMPOSIÇÕES GERAIS'!B:I,8,0),VLOOKUP(B175,'12.COT.MERCADO'!A:I,8,0)))),"Em Elaboração")</f>
        <v>107.57</v>
      </c>
      <c r="J175" s="241">
        <f t="shared" si="13"/>
        <v>0</v>
      </c>
      <c r="K175" s="241">
        <f t="shared" si="14"/>
        <v>126.0004613</v>
      </c>
      <c r="L175" s="241">
        <f t="shared" si="15"/>
        <v>126.0004613</v>
      </c>
      <c r="M175" s="241">
        <f t="shared" si="16"/>
        <v>0</v>
      </c>
      <c r="N175" s="241">
        <f t="shared" si="17"/>
        <v>126.0004613</v>
      </c>
      <c r="O175" s="241">
        <f t="shared" si="18"/>
        <v>126.0004613</v>
      </c>
      <c r="P175" s="242">
        <f t="shared" si="3"/>
        <v>0.0004040795869</v>
      </c>
    </row>
    <row r="176">
      <c r="A176" s="236" t="s">
        <v>383</v>
      </c>
      <c r="B176" s="237">
        <f>VLOOKUP(A176,'Planilha_Sintética_Geral'!A:P,2,0)</f>
        <v>102166</v>
      </c>
      <c r="C176" s="238" t="str">
        <f t="shared" si="12"/>
        <v>SINAPI</v>
      </c>
      <c r="D176" s="238" t="s">
        <v>218</v>
      </c>
      <c r="E176" s="239" t="str">
        <f>IFERROR(IF(D176="SINAPI-S",VLOOKUP(B176,'20-B.SINAPI-S'!A:J,2,0),IF(D176="SINAPI-I",VLOOKUP(B176,'20-A.SINAPI-I'!A:G,2,0),IF(D176="COMPOSIÇÕES",VLOOKUP(B176,'11.COMPOSIÇÕES GERAIS'!B:I,2,0),VLOOKUP(B176,'12.COT.MERCADO'!A:I,2,0)))),"Em Elaboração")</f>
        <v>INSTALAÇÃO DE VIDRO LISO INCOLOR, E = 6 MM, EM ESQUADRIA DE ALUMÍNIO OU PVC, FIXADO COM BAGUETE. AF_01/2021_PS</v>
      </c>
      <c r="F176" s="240" t="str">
        <f>IFERROR(IF(D176="SINAPI-S",VLOOKUP(B176,'20-B.SINAPI-S'!A:J,3,0),IF(D176="SINAPI-I",VLOOKUP(B176,'20-A.SINAPI-I'!A:G,3,0),IF(D176="COMPOSIÇÕES",VLOOKUP(B176,'11.COMPOSIÇÕES GERAIS'!B:I,3,0),VLOOKUP(B176,'12.COT.MERCADO'!A:I,7,0)))),"Em Elaboração")</f>
        <v>M2</v>
      </c>
      <c r="G176" s="244">
        <f>VLOOKUP(A176,'Planilha_Sintética_Geral'!A:O,7,0)</f>
        <v>1</v>
      </c>
      <c r="H176" s="241">
        <f>IFERROR(IF(D176="SINAPI-S",VLOOKUP(B176,'20-B.SINAPI-S'!A:J,5,0),IF(D176="SINAPI-I",VLOOKUP(B176,'20-A.SINAPI-I'!A:G,6,0),IF(D176="COMPOSIÇÕES",VLOOKUP(B176,'11.COMPOSIÇÕES GERAIS'!B:I,7,0),0))),"Em Elaboração")</f>
        <v>20.01</v>
      </c>
      <c r="I176" s="241">
        <f>IFERROR(IF(D176="SINAPI-S",VLOOKUP(B176,'20-B.SINAPI-S'!A:J,6,0),IF(D176="SINAPI-I",VLOOKUP(B176,'20-A.SINAPI-I'!A:G,7,0),IF(D176="COMPOSIÇÕES",VLOOKUP(B176,'11.COMPOSIÇÕES GERAIS'!B:I,8,0),VLOOKUP(B176,'12.COT.MERCADO'!A:I,8,0)))),"Em Elaboração")</f>
        <v>307.52</v>
      </c>
      <c r="J176" s="241">
        <f t="shared" si="13"/>
        <v>23.49019863</v>
      </c>
      <c r="K176" s="241">
        <f t="shared" si="14"/>
        <v>360.2088116</v>
      </c>
      <c r="L176" s="241">
        <f t="shared" si="15"/>
        <v>383.6990103</v>
      </c>
      <c r="M176" s="241">
        <f t="shared" si="16"/>
        <v>23.49019863</v>
      </c>
      <c r="N176" s="241">
        <f t="shared" si="17"/>
        <v>360.2088116</v>
      </c>
      <c r="O176" s="241">
        <f t="shared" si="18"/>
        <v>383.6990103</v>
      </c>
      <c r="P176" s="242">
        <f t="shared" si="3"/>
        <v>0.001230510872</v>
      </c>
    </row>
    <row r="177">
      <c r="A177" s="236" t="s">
        <v>384</v>
      </c>
      <c r="B177" s="237" t="str">
        <f>VLOOKUP(A177,'Planilha_Sintética_Geral'!A:P,2,0)</f>
        <v>MAN_PR_054</v>
      </c>
      <c r="C177" s="238" t="str">
        <f t="shared" si="12"/>
        <v>PRÓPRIO</v>
      </c>
      <c r="D177" s="243" t="s">
        <v>230</v>
      </c>
      <c r="E177" s="239" t="str">
        <f>IFERROR(IF(D177="SINAPI-S",VLOOKUP(B177,'20-B.SINAPI-S'!A:J,2,0),IF(D177="SINAPI-I",VLOOKUP(B177,'20-A.SINAPI-I'!A:G,2,0),IF(D177="COMPOSIÇÕES",VLOOKUP(B177,'11.COMPOSIÇÕES GERAIS'!B:I,2,0),VLOOKUP(B177,'12.COT.MERCADO'!A:I,2,0)))),"Em Elaboração")</f>
        <v>FORNECIMENTO E INSTALAÇÃO DE FUSÍVEL TIPO NH 00 DE 6A ATÉ 125A</v>
      </c>
      <c r="F177" s="240" t="str">
        <f>IFERROR(IF(D177="SINAPI-S",VLOOKUP(B177,'20-B.SINAPI-S'!A:J,3,0),IF(D177="SINAPI-I",VLOOKUP(B177,'20-A.SINAPI-I'!A:G,3,0),IF(D177="COMPOSIÇÕES",VLOOKUP(B177,'11.COMPOSIÇÕES GERAIS'!B:I,3,0),VLOOKUP(B177,'12.COT.MERCADO'!A:I,7,0)))),"Em Elaboração")</f>
        <v>UN</v>
      </c>
      <c r="G177" s="244">
        <f>VLOOKUP(A177,'Planilha_Sintética_Geral'!A:O,7,0)</f>
        <v>1</v>
      </c>
      <c r="H177" s="241">
        <f>IFERROR(IF(D177="SINAPI-S",VLOOKUP(B177,'20-B.SINAPI-S'!A:J,5,0),IF(D177="SINAPI-I",VLOOKUP(B177,'20-A.SINAPI-I'!A:G,6,0),IF(D177="COMPOSIÇÕES",VLOOKUP(B177,'11.COMPOSIÇÕES GERAIS'!B:I,7,0),0))),"Em Elaboração")</f>
        <v>8.858</v>
      </c>
      <c r="I177" s="241">
        <f>IFERROR(IF(D177="SINAPI-S",VLOOKUP(B177,'20-B.SINAPI-S'!A:J,6,0),IF(D177="SINAPI-I",VLOOKUP(B177,'20-A.SINAPI-I'!A:G,7,0),IF(D177="COMPOSIÇÕES",VLOOKUP(B177,'11.COMPOSIÇÕES GERAIS'!B:I,8,0),VLOOKUP(B177,'12.COT.MERCADO'!A:I,8,0)))),"Em Elaboração")</f>
        <v>34.644</v>
      </c>
      <c r="J177" s="241">
        <f t="shared" si="13"/>
        <v>10.39860967</v>
      </c>
      <c r="K177" s="241">
        <f t="shared" si="14"/>
        <v>40.57971537</v>
      </c>
      <c r="L177" s="241">
        <f t="shared" si="15"/>
        <v>50.97832504</v>
      </c>
      <c r="M177" s="241">
        <f t="shared" si="16"/>
        <v>10.39860967</v>
      </c>
      <c r="N177" s="241">
        <f t="shared" si="17"/>
        <v>40.57971537</v>
      </c>
      <c r="O177" s="241">
        <f t="shared" si="18"/>
        <v>50.97832504</v>
      </c>
      <c r="P177" s="242">
        <f t="shared" si="3"/>
        <v>0.0001634859135</v>
      </c>
    </row>
    <row r="178">
      <c r="A178" s="236" t="s">
        <v>385</v>
      </c>
      <c r="B178" s="237" t="str">
        <f>VLOOKUP(A178,'Planilha_Sintética_Geral'!A:P,2,0)</f>
        <v>MAN_PR_040</v>
      </c>
      <c r="C178" s="238" t="str">
        <f t="shared" si="12"/>
        <v>PRÓPRIO</v>
      </c>
      <c r="D178" s="243" t="s">
        <v>230</v>
      </c>
      <c r="E178" s="239" t="str">
        <f>IFERROR(IF(D178="SINAPI-S",VLOOKUP(B178,'20-B.SINAPI-S'!A:J,2,0),IF(D178="SINAPI-I",VLOOKUP(B178,'20-A.SINAPI-I'!A:G,2,0),IF(D178="COMPOSIÇÕES",VLOOKUP(B178,'11.COMPOSIÇÕES GERAIS'!B:I,2,0),VLOOKUP(B178,'12.COT.MERCADO'!A:I,2,0)))),"Em Elaboração")</f>
        <v>LAUDO TECNICO SPDA CONFORME NBR 5419, INCLUSIVE EMISSÃO DE ART</v>
      </c>
      <c r="F178" s="240" t="str">
        <f>IFERROR(IF(D178="SINAPI-S",VLOOKUP(B178,'20-B.SINAPI-S'!A:J,3,0),IF(D178="SINAPI-I",VLOOKUP(B178,'20-A.SINAPI-I'!A:G,3,0),IF(D178="COMPOSIÇÕES",VLOOKUP(B178,'11.COMPOSIÇÕES GERAIS'!B:I,3,0),VLOOKUP(B178,'12.COT.MERCADO'!A:I,7,0)))),"Em Elaboração")</f>
        <v>UN</v>
      </c>
      <c r="G178" s="244">
        <f>VLOOKUP(A178,'Planilha_Sintética_Geral'!A:O,7,0)</f>
        <v>1</v>
      </c>
      <c r="H178" s="241">
        <f>IFERROR(IF(D178="SINAPI-S",VLOOKUP(B178,'20-B.SINAPI-S'!A:J,5,0),IF(D178="SINAPI-I",VLOOKUP(B178,'20-A.SINAPI-I'!A:G,6,0),IF(D178="COMPOSIÇÕES",VLOOKUP(B178,'11.COMPOSIÇÕES GERAIS'!B:I,7,0),0))),"Em Elaboração")</f>
        <v>0</v>
      </c>
      <c r="I178" s="241">
        <f>IFERROR(IF(D178="SINAPI-S",VLOOKUP(B178,'20-B.SINAPI-S'!A:J,6,0),IF(D178="SINAPI-I",VLOOKUP(B178,'20-A.SINAPI-I'!A:G,7,0),IF(D178="COMPOSIÇÕES",VLOOKUP(B178,'11.COMPOSIÇÕES GERAIS'!B:I,8,0),VLOOKUP(B178,'12.COT.MERCADO'!A:I,8,0)))),"Em Elaboração")</f>
        <v>1500</v>
      </c>
      <c r="J178" s="241">
        <f t="shared" si="13"/>
        <v>0</v>
      </c>
      <c r="K178" s="241">
        <f t="shared" si="14"/>
        <v>1757.001878</v>
      </c>
      <c r="L178" s="241">
        <f t="shared" si="15"/>
        <v>1757.001878</v>
      </c>
      <c r="M178" s="241">
        <f t="shared" si="16"/>
        <v>0</v>
      </c>
      <c r="N178" s="241">
        <f t="shared" si="17"/>
        <v>1757.001878</v>
      </c>
      <c r="O178" s="241">
        <f t="shared" si="18"/>
        <v>1757.001878</v>
      </c>
      <c r="P178" s="242">
        <f t="shared" si="3"/>
        <v>0.005634650743</v>
      </c>
    </row>
    <row r="179">
      <c r="A179" s="236" t="s">
        <v>386</v>
      </c>
      <c r="B179" s="237">
        <f>VLOOKUP(A179,'Planilha_Sintética_Geral'!A:P,2,0)</f>
        <v>98115</v>
      </c>
      <c r="C179" s="238" t="str">
        <f t="shared" si="12"/>
        <v>SINAPI</v>
      </c>
      <c r="D179" s="238" t="s">
        <v>218</v>
      </c>
      <c r="E179" s="239" t="str">
        <f>IFERROR(IF(D179="SINAPI-S",VLOOKUP(B179,'20-B.SINAPI-S'!A:J,2,0),IF(D179="SINAPI-I",VLOOKUP(B179,'20-A.SINAPI-I'!A:G,2,0),IF(D179="COMPOSIÇÕES",VLOOKUP(B179,'11.COMPOSIÇÕES GERAIS'!B:I,2,0),VLOOKUP(B179,'12.COT.MERCADO'!A:I,2,0)))),"Em Elaboração")</f>
        <v>TAMPA CIRCULAR PARA ESGOTO E DRENAGEM, EM CONCRETO PRÉ-MOLDADO, DIÂMETRO INTERNO = 0,60 M E ALTURA = 0,10 M. AF_12/2020</v>
      </c>
      <c r="F179" s="240" t="str">
        <f>IFERROR(IF(D179="SINAPI-S",VLOOKUP(B179,'20-B.SINAPI-S'!A:J,3,0),IF(D179="SINAPI-I",VLOOKUP(B179,'20-A.SINAPI-I'!A:G,3,0),IF(D179="COMPOSIÇÕES",VLOOKUP(B179,'11.COMPOSIÇÕES GERAIS'!B:I,3,0),VLOOKUP(B179,'12.COT.MERCADO'!A:I,7,0)))),"Em Elaboração")</f>
        <v>UN</v>
      </c>
      <c r="G179" s="244">
        <f>VLOOKUP(A179,'Planilha_Sintética_Geral'!A:O,7,0)</f>
        <v>1</v>
      </c>
      <c r="H179" s="241">
        <f>IFERROR(IF(D179="SINAPI-S",VLOOKUP(B179,'20-B.SINAPI-S'!A:J,5,0),IF(D179="SINAPI-I",VLOOKUP(B179,'20-A.SINAPI-I'!A:G,6,0),IF(D179="COMPOSIÇÕES",VLOOKUP(B179,'11.COMPOSIÇÕES GERAIS'!B:I,7,0),0))),"Em Elaboração")</f>
        <v>54.37</v>
      </c>
      <c r="I179" s="241">
        <f>IFERROR(IF(D179="SINAPI-S",VLOOKUP(B179,'20-B.SINAPI-S'!A:J,6,0),IF(D179="SINAPI-I",VLOOKUP(B179,'20-A.SINAPI-I'!A:G,7,0),IF(D179="COMPOSIÇÕES",VLOOKUP(B179,'11.COMPOSIÇÕES GERAIS'!B:I,8,0),VLOOKUP(B179,'12.COT.MERCADO'!A:I,8,0)))),"Em Elaboração")</f>
        <v>51.51</v>
      </c>
      <c r="J179" s="241">
        <f t="shared" si="13"/>
        <v>63.82619188</v>
      </c>
      <c r="K179" s="241">
        <f t="shared" si="14"/>
        <v>60.33544448</v>
      </c>
      <c r="L179" s="241">
        <f t="shared" si="15"/>
        <v>124.1616364</v>
      </c>
      <c r="M179" s="241">
        <f t="shared" si="16"/>
        <v>63.82619188</v>
      </c>
      <c r="N179" s="241">
        <f t="shared" si="17"/>
        <v>60.33544448</v>
      </c>
      <c r="O179" s="241">
        <f t="shared" si="18"/>
        <v>124.1616364</v>
      </c>
      <c r="P179" s="242">
        <f t="shared" si="3"/>
        <v>0.0003981825321</v>
      </c>
    </row>
    <row r="180">
      <c r="A180" s="236" t="s">
        <v>387</v>
      </c>
      <c r="B180" s="237">
        <f>VLOOKUP(A180,'Planilha_Sintética_Geral'!A:P,2,0)</f>
        <v>102201</v>
      </c>
      <c r="C180" s="238" t="str">
        <f t="shared" si="12"/>
        <v>SINAPI</v>
      </c>
      <c r="D180" s="238" t="s">
        <v>218</v>
      </c>
      <c r="E180" s="239" t="str">
        <f>IFERROR(IF(D180="SINAPI-S",VLOOKUP(B180,'20-B.SINAPI-S'!A:J,2,0),IF(D180="SINAPI-I",VLOOKUP(B180,'20-A.SINAPI-I'!A:G,2,0),IF(D180="COMPOSIÇÕES",VLOOKUP(B180,'11.COMPOSIÇÕES GERAIS'!B:I,2,0),VLOOKUP(B180,'12.COT.MERCADO'!A:I,2,0)))),"Em Elaboração")</f>
        <v>APLICAÇÃO MASSA ACRÍLICA PARA MADEIRA, PARA PINTURA COM TINTA DE ACABAMENTO (PIGMENTADA). AF_01/2021</v>
      </c>
      <c r="F180" s="240" t="str">
        <f>IFERROR(IF(D180="SINAPI-S",VLOOKUP(B180,'20-B.SINAPI-S'!A:J,3,0),IF(D180="SINAPI-I",VLOOKUP(B180,'20-A.SINAPI-I'!A:G,3,0),IF(D180="COMPOSIÇÕES",VLOOKUP(B180,'11.COMPOSIÇÕES GERAIS'!B:I,3,0),VLOOKUP(B180,'12.COT.MERCADO'!A:I,7,0)))),"Em Elaboração")</f>
        <v>M2</v>
      </c>
      <c r="G180" s="244">
        <f>VLOOKUP(A180,'Planilha_Sintética_Geral'!A:O,7,0)</f>
        <v>1</v>
      </c>
      <c r="H180" s="241">
        <f>IFERROR(IF(D180="SINAPI-S",VLOOKUP(B180,'20-B.SINAPI-S'!A:J,5,0),IF(D180="SINAPI-I",VLOOKUP(B180,'20-A.SINAPI-I'!A:G,6,0),IF(D180="COMPOSIÇÕES",VLOOKUP(B180,'11.COMPOSIÇÕES GERAIS'!B:I,7,0),0))),"Em Elaboração")</f>
        <v>11.08</v>
      </c>
      <c r="I180" s="241">
        <f>IFERROR(IF(D180="SINAPI-S",VLOOKUP(B180,'20-B.SINAPI-S'!A:J,6,0),IF(D180="SINAPI-I",VLOOKUP(B180,'20-A.SINAPI-I'!A:G,7,0),IF(D180="COMPOSIÇÕES",VLOOKUP(B180,'11.COMPOSIÇÕES GERAIS'!B:I,8,0),VLOOKUP(B180,'12.COT.MERCADO'!A:I,8,0)))),"Em Elaboração")</f>
        <v>12.42</v>
      </c>
      <c r="J180" s="241">
        <f t="shared" si="13"/>
        <v>13.00706651</v>
      </c>
      <c r="K180" s="241">
        <f t="shared" si="14"/>
        <v>14.54797555</v>
      </c>
      <c r="L180" s="241">
        <f t="shared" si="15"/>
        <v>27.55504206</v>
      </c>
      <c r="M180" s="241">
        <f t="shared" si="16"/>
        <v>13.00706651</v>
      </c>
      <c r="N180" s="241">
        <f t="shared" si="17"/>
        <v>14.54797555</v>
      </c>
      <c r="O180" s="241">
        <f t="shared" si="18"/>
        <v>27.55504206</v>
      </c>
      <c r="P180" s="242">
        <f t="shared" si="3"/>
        <v>0.00008836816861</v>
      </c>
    </row>
    <row r="181">
      <c r="A181" s="236" t="s">
        <v>388</v>
      </c>
      <c r="B181" s="237">
        <f>VLOOKUP(A181,'Planilha_Sintética_Geral'!A:P,2,0)</f>
        <v>101564</v>
      </c>
      <c r="C181" s="238" t="str">
        <f t="shared" si="12"/>
        <v>SINAPI</v>
      </c>
      <c r="D181" s="238" t="s">
        <v>218</v>
      </c>
      <c r="E181" s="239" t="str">
        <f>IFERROR(IF(D181="SINAPI-S",VLOOKUP(B181,'20-B.SINAPI-S'!A:J,2,0),IF(D181="SINAPI-I",VLOOKUP(B181,'20-A.SINAPI-I'!A:G,2,0),IF(D181="COMPOSIÇÕES",VLOOKUP(B181,'11.COMPOSIÇÕES GERAIS'!B:I,2,0),VLOOKUP(B181,'12.COT.MERCADO'!A:I,2,0)))),"Em Elaboração")</f>
        <v>CABO DE COBRE FLEXÍVEL ISOLADO, 50 MM², 0,6/1,0 KV, PARA REDE AÉREA DE DISTRIBUIÇÃO DE ENERGIA ELÉTRICA DE BAIXA TENSÃO - FORNECIMENTO E INSTALAÇÃO. AF_07/2020</v>
      </c>
      <c r="F181" s="240" t="str">
        <f>IFERROR(IF(D181="SINAPI-S",VLOOKUP(B181,'20-B.SINAPI-S'!A:J,3,0),IF(D181="SINAPI-I",VLOOKUP(B181,'20-A.SINAPI-I'!A:G,3,0),IF(D181="COMPOSIÇÕES",VLOOKUP(B181,'11.COMPOSIÇÕES GERAIS'!B:I,3,0),VLOOKUP(B181,'12.COT.MERCADO'!A:I,7,0)))),"Em Elaboração")</f>
        <v>M</v>
      </c>
      <c r="G181" s="244">
        <f>VLOOKUP(A181,'Planilha_Sintética_Geral'!A:O,7,0)</f>
        <v>96</v>
      </c>
      <c r="H181" s="241">
        <f>IFERROR(IF(D181="SINAPI-S",VLOOKUP(B181,'20-B.SINAPI-S'!A:J,5,0),IF(D181="SINAPI-I",VLOOKUP(B181,'20-A.SINAPI-I'!A:G,6,0),IF(D181="COMPOSIÇÕES",VLOOKUP(B181,'11.COMPOSIÇÕES GERAIS'!B:I,7,0),0))),"Em Elaboração")</f>
        <v>0.07</v>
      </c>
      <c r="I181" s="241">
        <f>IFERROR(IF(D181="SINAPI-S",VLOOKUP(B181,'20-B.SINAPI-S'!A:J,6,0),IF(D181="SINAPI-I",VLOOKUP(B181,'20-A.SINAPI-I'!A:G,7,0),IF(D181="COMPOSIÇÕES",VLOOKUP(B181,'11.COMPOSIÇÕES GERAIS'!B:I,8,0),VLOOKUP(B181,'12.COT.MERCADO'!A:I,8,0)))),"Em Elaboração")</f>
        <v>50.48</v>
      </c>
      <c r="J181" s="241">
        <f t="shared" si="13"/>
        <v>0.0821746079</v>
      </c>
      <c r="K181" s="241">
        <f t="shared" si="14"/>
        <v>59.12896986</v>
      </c>
      <c r="L181" s="241">
        <f t="shared" si="15"/>
        <v>59.21114447</v>
      </c>
      <c r="M181" s="241">
        <f t="shared" si="16"/>
        <v>7.888762358</v>
      </c>
      <c r="N181" s="241">
        <f t="shared" si="17"/>
        <v>5676.381106</v>
      </c>
      <c r="O181" s="241">
        <f t="shared" si="18"/>
        <v>5684.269869</v>
      </c>
      <c r="P181" s="242">
        <f t="shared" si="3"/>
        <v>0.01822927786</v>
      </c>
    </row>
    <row r="182">
      <c r="A182" s="236" t="s">
        <v>389</v>
      </c>
      <c r="B182" s="237" t="str">
        <f>VLOOKUP(A182,'Planilha_Sintética_Geral'!A:P,2,0)</f>
        <v>MAN_PR_042</v>
      </c>
      <c r="C182" s="238" t="str">
        <f t="shared" si="12"/>
        <v>PRÓPRIO</v>
      </c>
      <c r="D182" s="243" t="s">
        <v>230</v>
      </c>
      <c r="E182" s="239" t="str">
        <f>IFERROR(IF(D182="SINAPI-S",VLOOKUP(B182,'20-B.SINAPI-S'!A:J,2,0),IF(D182="SINAPI-I",VLOOKUP(B182,'20-A.SINAPI-I'!A:G,2,0),IF(D182="COMPOSIÇÕES",VLOOKUP(B182,'11.COMPOSIÇÕES GERAIS'!B:I,2,0),VLOOKUP(B182,'12.COT.MERCADO'!A:I,2,0)))),"Em Elaboração")</f>
        <v>LIMPEZA E DESOBSTRUÇÃO DE CALHAS DE ZINCO</v>
      </c>
      <c r="F182" s="240" t="str">
        <f>IFERROR(IF(D182="SINAPI-S",VLOOKUP(B182,'20-B.SINAPI-S'!A:J,3,0),IF(D182="SINAPI-I",VLOOKUP(B182,'20-A.SINAPI-I'!A:G,3,0),IF(D182="COMPOSIÇÕES",VLOOKUP(B182,'11.COMPOSIÇÕES GERAIS'!B:I,3,0),VLOOKUP(B182,'12.COT.MERCADO'!A:I,7,0)))),"Em Elaboração")</f>
        <v>M</v>
      </c>
      <c r="G182" s="244">
        <f>VLOOKUP(A182,'Planilha_Sintética_Geral'!A:O,7,0)</f>
        <v>30</v>
      </c>
      <c r="H182" s="241">
        <f>IFERROR(IF(D182="SINAPI-S",VLOOKUP(B182,'20-B.SINAPI-S'!A:J,5,0),IF(D182="SINAPI-I",VLOOKUP(B182,'20-A.SINAPI-I'!A:G,6,0),IF(D182="COMPOSIÇÕES",VLOOKUP(B182,'11.COMPOSIÇÕES GERAIS'!B:I,7,0),0))),"Em Elaboração")</f>
        <v>17.42</v>
      </c>
      <c r="I182" s="241">
        <f>IFERROR(IF(D182="SINAPI-S",VLOOKUP(B182,'20-B.SINAPI-S'!A:J,6,0),IF(D182="SINAPI-I",VLOOKUP(B182,'20-A.SINAPI-I'!A:G,7,0),IF(D182="COMPOSIÇÕES",VLOOKUP(B182,'11.COMPOSIÇÕES GERAIS'!B:I,8,0),VLOOKUP(B182,'12.COT.MERCADO'!A:I,8,0)))),"Em Elaboração")</f>
        <v>7.7</v>
      </c>
      <c r="J182" s="241">
        <f t="shared" si="13"/>
        <v>20.44973814</v>
      </c>
      <c r="K182" s="241">
        <f t="shared" si="14"/>
        <v>9.019276306</v>
      </c>
      <c r="L182" s="241">
        <f t="shared" si="15"/>
        <v>29.46901444</v>
      </c>
      <c r="M182" s="241">
        <f t="shared" si="16"/>
        <v>613.4921441</v>
      </c>
      <c r="N182" s="241">
        <f t="shared" si="17"/>
        <v>270.5782892</v>
      </c>
      <c r="O182" s="241">
        <f t="shared" si="18"/>
        <v>884.0704333</v>
      </c>
      <c r="P182" s="242">
        <f t="shared" si="3"/>
        <v>0.002835186568</v>
      </c>
    </row>
    <row r="183">
      <c r="A183" s="236" t="s">
        <v>390</v>
      </c>
      <c r="B183" s="237">
        <f>VLOOKUP(A183,'Planilha_Sintética_Geral'!A:P,2,0)</f>
        <v>98575</v>
      </c>
      <c r="C183" s="238" t="str">
        <f t="shared" si="12"/>
        <v>SINAPI</v>
      </c>
      <c r="D183" s="238" t="s">
        <v>218</v>
      </c>
      <c r="E183" s="239" t="str">
        <f>IFERROR(IF(D183="SINAPI-S",VLOOKUP(B183,'20-B.SINAPI-S'!A:J,2,0),IF(D183="SINAPI-I",VLOOKUP(B183,'20-A.SINAPI-I'!A:G,2,0),IF(D183="COMPOSIÇÕES",VLOOKUP(B183,'11.COMPOSIÇÕES GERAIS'!B:I,2,0),VLOOKUP(B183,'12.COT.MERCADO'!A:I,2,0)))),"Em Elaboração")</f>
        <v>TRATAMENTO DE JUNTA DE DILATAÇÃO, COM TARUGO DE POLIETILENO E SELANTE PU, INCLUSO PREENCHIMENTO COM ESPUMA EXPANSIVA PU. AF_06/2018</v>
      </c>
      <c r="F183" s="240" t="str">
        <f>IFERROR(IF(D183="SINAPI-S",VLOOKUP(B183,'20-B.SINAPI-S'!A:J,3,0),IF(D183="SINAPI-I",VLOOKUP(B183,'20-A.SINAPI-I'!A:G,3,0),IF(D183="COMPOSIÇÕES",VLOOKUP(B183,'11.COMPOSIÇÕES GERAIS'!B:I,3,0),VLOOKUP(B183,'12.COT.MERCADO'!A:I,7,0)))),"Em Elaboração")</f>
        <v>M</v>
      </c>
      <c r="G183" s="244">
        <f>VLOOKUP(A183,'Planilha_Sintética_Geral'!A:O,7,0)</f>
        <v>1</v>
      </c>
      <c r="H183" s="241">
        <f>IFERROR(IF(D183="SINAPI-S",VLOOKUP(B183,'20-B.SINAPI-S'!A:J,5,0),IF(D183="SINAPI-I",VLOOKUP(B183,'20-A.SINAPI-I'!A:G,6,0),IF(D183="COMPOSIÇÕES",VLOOKUP(B183,'11.COMPOSIÇÕES GERAIS'!B:I,7,0),0))),"Em Elaboração")</f>
        <v>52.18</v>
      </c>
      <c r="I183" s="241">
        <f>IFERROR(IF(D183="SINAPI-S",VLOOKUP(B183,'20-B.SINAPI-S'!A:J,6,0),IF(D183="SINAPI-I",VLOOKUP(B183,'20-A.SINAPI-I'!A:G,7,0),IF(D183="COMPOSIÇÕES",VLOOKUP(B183,'11.COMPOSIÇÕES GERAIS'!B:I,8,0),VLOOKUP(B183,'12.COT.MERCADO'!A:I,8,0)))),"Em Elaboração")</f>
        <v>62.4</v>
      </c>
      <c r="J183" s="241">
        <f t="shared" si="13"/>
        <v>61.25530058</v>
      </c>
      <c r="K183" s="241">
        <f t="shared" si="14"/>
        <v>73.09127811</v>
      </c>
      <c r="L183" s="241">
        <f t="shared" si="15"/>
        <v>134.3465787</v>
      </c>
      <c r="M183" s="241">
        <f t="shared" si="16"/>
        <v>61.25530058</v>
      </c>
      <c r="N183" s="241">
        <f t="shared" si="17"/>
        <v>73.09127811</v>
      </c>
      <c r="O183" s="241">
        <f t="shared" si="18"/>
        <v>134.3465787</v>
      </c>
      <c r="P183" s="242">
        <f t="shared" si="3"/>
        <v>0.0004308453275</v>
      </c>
    </row>
    <row r="184">
      <c r="A184" s="236" t="s">
        <v>391</v>
      </c>
      <c r="B184" s="237">
        <f>VLOOKUP(A184,'Planilha_Sintética_Geral'!A:P,2,0)</f>
        <v>37400</v>
      </c>
      <c r="C184" s="238" t="str">
        <f t="shared" si="12"/>
        <v>SINAPI</v>
      </c>
      <c r="D184" s="243" t="s">
        <v>286</v>
      </c>
      <c r="E184" s="239" t="str">
        <f>IFERROR(IF(D184="SINAPI-S",VLOOKUP(B184,'20-B.SINAPI-S'!A:J,2,0),IF(D184="SINAPI-I",VLOOKUP(B184,'20-A.SINAPI-I'!A:G,2,0),IF(D184="COMPOSIÇÕES",VLOOKUP(B184,'11.COMPOSIÇÕES GERAIS'!B:I,2,0),VLOOKUP(B184,'12.COT.MERCADO'!A:I,2,0)))),"Em Elaboração")</f>
        <v>PAPELEIRA PLASTICA TIPO DISPENSER PARA PAPEL HIGIENICO ROLAO</v>
      </c>
      <c r="F184" s="240" t="str">
        <f>IFERROR(IF(D184="SINAPI-S",VLOOKUP(B184,'20-B.SINAPI-S'!A:J,3,0),IF(D184="SINAPI-I",VLOOKUP(B184,'20-A.SINAPI-I'!A:G,3,0),IF(D184="COMPOSIÇÕES",VLOOKUP(B184,'11.COMPOSIÇÕES GERAIS'!B:I,3,0),VLOOKUP(B184,'12.COT.MERCADO'!A:I,7,0)))),"Em Elaboração")</f>
        <v>UN</v>
      </c>
      <c r="G184" s="244">
        <f>VLOOKUP(A184,'Planilha_Sintética_Geral'!A:O,7,0)</f>
        <v>1</v>
      </c>
      <c r="H184" s="241">
        <f>IFERROR(IF(D184="SINAPI-S",VLOOKUP(B184,'20-B.SINAPI-S'!A:J,5,0),IF(D184="SINAPI-I",VLOOKUP(B184,'20-A.SINAPI-I'!A:G,6,0),IF(D184="COMPOSIÇÕES",VLOOKUP(B184,'11.COMPOSIÇÕES GERAIS'!B:I,7,0),0))),"Em Elaboração")</f>
        <v>0</v>
      </c>
      <c r="I184" s="241">
        <f>IFERROR(IF(D184="SINAPI-S",VLOOKUP(B184,'20-B.SINAPI-S'!A:J,6,0),IF(D184="SINAPI-I",VLOOKUP(B184,'20-A.SINAPI-I'!A:G,7,0),IF(D184="COMPOSIÇÕES",VLOOKUP(B184,'11.COMPOSIÇÕES GERAIS'!B:I,8,0),VLOOKUP(B184,'12.COT.MERCADO'!A:I,8,0)))),"Em Elaboração")</f>
        <v>46.74</v>
      </c>
      <c r="J184" s="241">
        <f t="shared" si="13"/>
        <v>0</v>
      </c>
      <c r="K184" s="241">
        <f t="shared" si="14"/>
        <v>54.74817851</v>
      </c>
      <c r="L184" s="241">
        <f t="shared" si="15"/>
        <v>54.74817851</v>
      </c>
      <c r="M184" s="241">
        <f t="shared" si="16"/>
        <v>0</v>
      </c>
      <c r="N184" s="241">
        <f t="shared" si="17"/>
        <v>54.74817851</v>
      </c>
      <c r="O184" s="241">
        <f t="shared" si="18"/>
        <v>54.74817851</v>
      </c>
      <c r="P184" s="242">
        <f t="shared" si="3"/>
        <v>0.0001755757171</v>
      </c>
    </row>
    <row r="185">
      <c r="A185" s="236" t="s">
        <v>392</v>
      </c>
      <c r="B185" s="237" t="str">
        <f>VLOOKUP(A185,'Planilha_Sintética_Geral'!A:P,2,0)</f>
        <v>MAN_PR_041</v>
      </c>
      <c r="C185" s="238" t="str">
        <f t="shared" si="12"/>
        <v>PRÓPRIO</v>
      </c>
      <c r="D185" s="243" t="s">
        <v>230</v>
      </c>
      <c r="E185" s="239" t="str">
        <f>IFERROR(IF(D185="SINAPI-S",VLOOKUP(B185,'20-B.SINAPI-S'!A:J,2,0),IF(D185="SINAPI-I",VLOOKUP(B185,'20-A.SINAPI-I'!A:G,2,0),IF(D185="COMPOSIÇÕES",VLOOKUP(B185,'11.COMPOSIÇÕES GERAIS'!B:I,2,0),VLOOKUP(B185,'12.COT.MERCADO'!A:I,2,0)))),"Em Elaboração")</f>
        <v>FORNECIMENTO E INSTALAÇÃO DE PONTO DE ATERRAMENTO, INCLUÍNDO 1M DE CABO DE COBRE NU 50MM2, HASTE E CAIXA DE INSPEÇÃO</v>
      </c>
      <c r="F185" s="240" t="str">
        <f>IFERROR(IF(D185="SINAPI-S",VLOOKUP(B185,'20-B.SINAPI-S'!A:J,3,0),IF(D185="SINAPI-I",VLOOKUP(B185,'20-A.SINAPI-I'!A:G,3,0),IF(D185="COMPOSIÇÕES",VLOOKUP(B185,'11.COMPOSIÇÕES GERAIS'!B:I,3,0),VLOOKUP(B185,'12.COT.MERCADO'!A:I,7,0)))),"Em Elaboração")</f>
        <v>UN</v>
      </c>
      <c r="G185" s="244">
        <f>VLOOKUP(A185,'Planilha_Sintética_Geral'!A:O,7,0)</f>
        <v>2</v>
      </c>
      <c r="H185" s="241">
        <f>IFERROR(IF(D185="SINAPI-S",VLOOKUP(B185,'20-B.SINAPI-S'!A:J,5,0),IF(D185="SINAPI-I",VLOOKUP(B185,'20-A.SINAPI-I'!A:G,6,0),IF(D185="COMPOSIÇÕES",VLOOKUP(B185,'11.COMPOSIÇÕES GERAIS'!B:I,7,0),0))),"Em Elaboração")</f>
        <v>19.46</v>
      </c>
      <c r="I185" s="241">
        <f>IFERROR(IF(D185="SINAPI-S",VLOOKUP(B185,'20-B.SINAPI-S'!A:J,6,0),IF(D185="SINAPI-I",VLOOKUP(B185,'20-A.SINAPI-I'!A:G,7,0),IF(D185="COMPOSIÇÕES",VLOOKUP(B185,'11.COMPOSIÇÕES GERAIS'!B:I,8,0),VLOOKUP(B185,'12.COT.MERCADO'!A:I,8,0)))),"Em Elaboração")</f>
        <v>176.56</v>
      </c>
      <c r="J185" s="241">
        <f t="shared" si="13"/>
        <v>22.844541</v>
      </c>
      <c r="K185" s="241">
        <f t="shared" si="14"/>
        <v>206.8108344</v>
      </c>
      <c r="L185" s="241">
        <f t="shared" si="15"/>
        <v>229.6553753</v>
      </c>
      <c r="M185" s="241">
        <f t="shared" si="16"/>
        <v>45.68908199</v>
      </c>
      <c r="N185" s="241">
        <f t="shared" si="17"/>
        <v>413.6216687</v>
      </c>
      <c r="O185" s="241">
        <f t="shared" si="18"/>
        <v>459.3107507</v>
      </c>
      <c r="P185" s="242">
        <f t="shared" si="3"/>
        <v>0.001472995388</v>
      </c>
    </row>
    <row r="186">
      <c r="A186" s="236" t="s">
        <v>393</v>
      </c>
      <c r="B186" s="237">
        <f>VLOOKUP(A186,'Planilha_Sintética_Geral'!A:P,2,0)</f>
        <v>97662</v>
      </c>
      <c r="C186" s="238" t="str">
        <f t="shared" si="12"/>
        <v>SINAPI</v>
      </c>
      <c r="D186" s="238" t="s">
        <v>218</v>
      </c>
      <c r="E186" s="239" t="str">
        <f>IFERROR(IF(D186="SINAPI-S",VLOOKUP(B186,'20-B.SINAPI-S'!A:J,2,0),IF(D186="SINAPI-I",VLOOKUP(B186,'20-A.SINAPI-I'!A:G,2,0),IF(D186="COMPOSIÇÕES",VLOOKUP(B186,'11.COMPOSIÇÕES GERAIS'!B:I,2,0),VLOOKUP(B186,'12.COT.MERCADO'!A:I,2,0)))),"Em Elaboração")</f>
        <v>REMOÇÃO DE TUBULAÇÕES (TUBOS E CONEXÕES) DE ÁGUA FRIA, DE FORMA MANUAL, SEM REAPROVEITAMENTO. AF_12/2017</v>
      </c>
      <c r="F186" s="240" t="str">
        <f>IFERROR(IF(D186="SINAPI-S",VLOOKUP(B186,'20-B.SINAPI-S'!A:J,3,0),IF(D186="SINAPI-I",VLOOKUP(B186,'20-A.SINAPI-I'!A:G,3,0),IF(D186="COMPOSIÇÕES",VLOOKUP(B186,'11.COMPOSIÇÕES GERAIS'!B:I,3,0),VLOOKUP(B186,'12.COT.MERCADO'!A:I,7,0)))),"Em Elaboração")</f>
        <v>M</v>
      </c>
      <c r="G186" s="244">
        <f>VLOOKUP(A186,'Planilha_Sintética_Geral'!A:O,7,0)</f>
        <v>9</v>
      </c>
      <c r="H186" s="241">
        <f>IFERROR(IF(D186="SINAPI-S",VLOOKUP(B186,'20-B.SINAPI-S'!A:J,5,0),IF(D186="SINAPI-I",VLOOKUP(B186,'20-A.SINAPI-I'!A:G,6,0),IF(D186="COMPOSIÇÕES",VLOOKUP(B186,'11.COMPOSIÇÕES GERAIS'!B:I,7,0),0))),"Em Elaboração")</f>
        <v>0.46</v>
      </c>
      <c r="I186" s="241">
        <f>IFERROR(IF(D186="SINAPI-S",VLOOKUP(B186,'20-B.SINAPI-S'!A:J,6,0),IF(D186="SINAPI-I",VLOOKUP(B186,'20-A.SINAPI-I'!A:G,7,0),IF(D186="COMPOSIÇÕES",VLOOKUP(B186,'11.COMPOSIÇÕES GERAIS'!B:I,8,0),VLOOKUP(B186,'12.COT.MERCADO'!A:I,8,0)))),"Em Elaboração")</f>
        <v>0.11</v>
      </c>
      <c r="J186" s="241">
        <f t="shared" si="13"/>
        <v>0.5400045662</v>
      </c>
      <c r="K186" s="241">
        <f t="shared" si="14"/>
        <v>0.1288468044</v>
      </c>
      <c r="L186" s="241">
        <f t="shared" si="15"/>
        <v>0.6688513706</v>
      </c>
      <c r="M186" s="241">
        <f t="shared" si="16"/>
        <v>4.860041096</v>
      </c>
      <c r="N186" s="241">
        <f t="shared" si="17"/>
        <v>1.159621239</v>
      </c>
      <c r="O186" s="241">
        <f t="shared" si="18"/>
        <v>6.019662335</v>
      </c>
      <c r="P186" s="242">
        <f t="shared" si="3"/>
        <v>0.00001930487114</v>
      </c>
    </row>
    <row r="187">
      <c r="A187" s="236" t="s">
        <v>394</v>
      </c>
      <c r="B187" s="237">
        <f>VLOOKUP(A187,'Planilha_Sintética_Geral'!A:P,2,0)</f>
        <v>96718</v>
      </c>
      <c r="C187" s="238" t="str">
        <f t="shared" si="12"/>
        <v>SINAPI</v>
      </c>
      <c r="D187" s="238" t="s">
        <v>218</v>
      </c>
      <c r="E187" s="239" t="str">
        <f>IFERROR(IF(D187="SINAPI-S",VLOOKUP(B187,'20-B.SINAPI-S'!A:J,2,0),IF(D187="SINAPI-I",VLOOKUP(B187,'20-A.SINAPI-I'!A:G,2,0),IF(D187="COMPOSIÇÕES",VLOOKUP(B187,'11.COMPOSIÇÕES GERAIS'!B:I,2,0),VLOOKUP(B187,'12.COT.MERCADO'!A:I,2,0)))),"Em Elaboração")</f>
        <v>TUBO, PPR, DN 20, CLASSE PN 20,  INSTALADO EM RESERVAÇÃO DE ÁGUA DE EDIFICAÇÃO QUE POSSUA RESERVATÓRIO DE FIBRA/FIBROCIMENTO _x0096_ FORNECIMENTO E INSTALAÇÃO. AF_06/2016</v>
      </c>
      <c r="F187" s="240" t="str">
        <f>IFERROR(IF(D187="SINAPI-S",VLOOKUP(B187,'20-B.SINAPI-S'!A:J,3,0),IF(D187="SINAPI-I",VLOOKUP(B187,'20-A.SINAPI-I'!A:G,3,0),IF(D187="COMPOSIÇÕES",VLOOKUP(B187,'11.COMPOSIÇÕES GERAIS'!B:I,3,0),VLOOKUP(B187,'12.COT.MERCADO'!A:I,7,0)))),"Em Elaboração")</f>
        <v>M</v>
      </c>
      <c r="G187" s="244">
        <f>VLOOKUP(A187,'Planilha_Sintética_Geral'!A:O,7,0)</f>
        <v>9</v>
      </c>
      <c r="H187" s="241">
        <f>IFERROR(IF(D187="SINAPI-S",VLOOKUP(B187,'20-B.SINAPI-S'!A:J,5,0),IF(D187="SINAPI-I",VLOOKUP(B187,'20-A.SINAPI-I'!A:G,6,0),IF(D187="COMPOSIÇÕES",VLOOKUP(B187,'11.COMPOSIÇÕES GERAIS'!B:I,7,0),0))),"Em Elaboração")</f>
        <v>0.28</v>
      </c>
      <c r="I187" s="241">
        <f>IFERROR(IF(D187="SINAPI-S",VLOOKUP(B187,'20-B.SINAPI-S'!A:J,6,0),IF(D187="SINAPI-I",VLOOKUP(B187,'20-A.SINAPI-I'!A:G,7,0),IF(D187="COMPOSIÇÕES",VLOOKUP(B187,'11.COMPOSIÇÕES GERAIS'!B:I,8,0),VLOOKUP(B187,'12.COT.MERCADO'!A:I,8,0)))),"Em Elaboração")</f>
        <v>11.17</v>
      </c>
      <c r="J187" s="241">
        <f t="shared" si="13"/>
        <v>0.3286984316</v>
      </c>
      <c r="K187" s="241">
        <f t="shared" si="14"/>
        <v>13.08380732</v>
      </c>
      <c r="L187" s="241">
        <f t="shared" si="15"/>
        <v>13.41250575</v>
      </c>
      <c r="M187" s="241">
        <f t="shared" si="16"/>
        <v>2.958285884</v>
      </c>
      <c r="N187" s="241">
        <f t="shared" si="17"/>
        <v>117.7542658</v>
      </c>
      <c r="O187" s="241">
        <f t="shared" si="18"/>
        <v>120.7125517</v>
      </c>
      <c r="P187" s="242">
        <f t="shared" si="3"/>
        <v>0.0003871214242</v>
      </c>
    </row>
    <row r="188">
      <c r="A188" s="236" t="s">
        <v>395</v>
      </c>
      <c r="B188" s="237">
        <f>VLOOKUP(A188,'Planilha_Sintética_Geral'!A:P,2,0)</f>
        <v>5901</v>
      </c>
      <c r="C188" s="238" t="str">
        <f t="shared" si="12"/>
        <v>SINAPI</v>
      </c>
      <c r="D188" s="238" t="s">
        <v>218</v>
      </c>
      <c r="E188" s="239" t="str">
        <f>IFERROR(IF(D188="SINAPI-S",VLOOKUP(B188,'20-B.SINAPI-S'!A:J,2,0),IF(D188="SINAPI-I",VLOOKUP(B188,'20-A.SINAPI-I'!A:G,2,0),IF(D188="COMPOSIÇÕES",VLOOKUP(B188,'11.COMPOSIÇÕES GERAIS'!B:I,2,0),VLOOKUP(B188,'12.COT.MERCADO'!A:I,2,0)))),"Em Elaboração")</f>
        <v>CAMINHÃO PIPA 10.000 L TRUCADO, PESO BRUTO TOTAL 23.000 KG, CARGA ÚTIL MÁXIMA 15.935 KG, DISTÂNCIA ENTRE EIXOS 4,8 M, POTÊNCIA 230 CV, INCLUSIVE TANQUE DE AÇO PARA TRANSPORTE DE ÁGUA - CHP DIURNO. AF_06/2014</v>
      </c>
      <c r="F188" s="240" t="str">
        <f>IFERROR(IF(D188="SINAPI-S",VLOOKUP(B188,'20-B.SINAPI-S'!A:J,3,0),IF(D188="SINAPI-I",VLOOKUP(B188,'20-A.SINAPI-I'!A:G,3,0),IF(D188="COMPOSIÇÕES",VLOOKUP(B188,'11.COMPOSIÇÕES GERAIS'!B:I,3,0),VLOOKUP(B188,'12.COT.MERCADO'!A:I,7,0)))),"Em Elaboração")</f>
        <v>CHP</v>
      </c>
      <c r="G188" s="244">
        <f>VLOOKUP(A188,'Planilha_Sintética_Geral'!A:O,7,0)</f>
        <v>1</v>
      </c>
      <c r="H188" s="241">
        <f>IFERROR(IF(D188="SINAPI-S",VLOOKUP(B188,'20-B.SINAPI-S'!A:J,5,0),IF(D188="SINAPI-I",VLOOKUP(B188,'20-A.SINAPI-I'!A:G,6,0),IF(D188="COMPOSIÇÕES",VLOOKUP(B188,'11.COMPOSIÇÕES GERAIS'!B:I,7,0),0))),"Em Elaboração")</f>
        <v>24.84</v>
      </c>
      <c r="I188" s="241">
        <f>IFERROR(IF(D188="SINAPI-S",VLOOKUP(B188,'20-B.SINAPI-S'!A:J,6,0),IF(D188="SINAPI-I",VLOOKUP(B188,'20-A.SINAPI-I'!A:G,7,0),IF(D188="COMPOSIÇÕES",VLOOKUP(B188,'11.COMPOSIÇÕES GERAIS'!B:I,8,0),VLOOKUP(B188,'12.COT.MERCADO'!A:I,8,0)))),"Em Elaboração")</f>
        <v>248.36</v>
      </c>
      <c r="J188" s="241">
        <f t="shared" si="13"/>
        <v>29.16024657</v>
      </c>
      <c r="K188" s="241">
        <f t="shared" si="14"/>
        <v>290.9126576</v>
      </c>
      <c r="L188" s="241">
        <f t="shared" si="15"/>
        <v>320.0729041</v>
      </c>
      <c r="M188" s="241">
        <f t="shared" si="16"/>
        <v>29.16024657</v>
      </c>
      <c r="N188" s="241">
        <f t="shared" si="17"/>
        <v>290.9126576</v>
      </c>
      <c r="O188" s="241">
        <f t="shared" si="18"/>
        <v>320.0729041</v>
      </c>
      <c r="P188" s="242">
        <f t="shared" si="3"/>
        <v>0.001026463916</v>
      </c>
    </row>
    <row r="189">
      <c r="A189" s="236" t="s">
        <v>396</v>
      </c>
      <c r="B189" s="237">
        <f>VLOOKUP(A189,'Planilha_Sintética_Geral'!A:P,2,0)</f>
        <v>97062</v>
      </c>
      <c r="C189" s="238" t="str">
        <f t="shared" si="12"/>
        <v>SINAPI</v>
      </c>
      <c r="D189" s="238" t="s">
        <v>218</v>
      </c>
      <c r="E189" s="239" t="str">
        <f>IFERROR(IF(D189="SINAPI-S",VLOOKUP(B189,'20-B.SINAPI-S'!A:J,2,0),IF(D189="SINAPI-I",VLOOKUP(B189,'20-A.SINAPI-I'!A:G,2,0),IF(D189="COMPOSIÇÕES",VLOOKUP(B189,'11.COMPOSIÇÕES GERAIS'!B:I,2,0),VLOOKUP(B189,'12.COT.MERCADO'!A:I,2,0)))),"Em Elaboração")</f>
        <v>COLOCAÇÃO DE TELA EM ANDAIME FACHADEIRO. AF_11/2017</v>
      </c>
      <c r="F189" s="240" t="str">
        <f>IFERROR(IF(D189="SINAPI-S",VLOOKUP(B189,'20-B.SINAPI-S'!A:J,3,0),IF(D189="SINAPI-I",VLOOKUP(B189,'20-A.SINAPI-I'!A:G,3,0),IF(D189="COMPOSIÇÕES",VLOOKUP(B189,'11.COMPOSIÇÕES GERAIS'!B:I,3,0),VLOOKUP(B189,'12.COT.MERCADO'!A:I,7,0)))),"Em Elaboração")</f>
        <v>M2</v>
      </c>
      <c r="G189" s="244">
        <f>VLOOKUP(A189,'Planilha_Sintética_Geral'!A:O,7,0)</f>
        <v>3</v>
      </c>
      <c r="H189" s="241">
        <f>IFERROR(IF(D189="SINAPI-S",VLOOKUP(B189,'20-B.SINAPI-S'!A:J,5,0),IF(D189="SINAPI-I",VLOOKUP(B189,'20-A.SINAPI-I'!A:G,6,0),IF(D189="COMPOSIÇÕES",VLOOKUP(B189,'11.COMPOSIÇÕES GERAIS'!B:I,7,0),0))),"Em Elaboração")</f>
        <v>3.11</v>
      </c>
      <c r="I189" s="241">
        <f>IFERROR(IF(D189="SINAPI-S",VLOOKUP(B189,'20-B.SINAPI-S'!A:J,6,0),IF(D189="SINAPI-I",VLOOKUP(B189,'20-A.SINAPI-I'!A:G,7,0),IF(D189="COMPOSIÇÕES",VLOOKUP(B189,'11.COMPOSIÇÕES GERAIS'!B:I,8,0),VLOOKUP(B189,'12.COT.MERCADO'!A:I,8,0)))),"Em Elaboração")</f>
        <v>3.83</v>
      </c>
      <c r="J189" s="241">
        <f t="shared" si="13"/>
        <v>3.650900437</v>
      </c>
      <c r="K189" s="241">
        <f t="shared" si="14"/>
        <v>4.486211461</v>
      </c>
      <c r="L189" s="241">
        <f t="shared" si="15"/>
        <v>8.137111898</v>
      </c>
      <c r="M189" s="241">
        <f t="shared" si="16"/>
        <v>10.95270131</v>
      </c>
      <c r="N189" s="241">
        <f t="shared" si="17"/>
        <v>13.45863438</v>
      </c>
      <c r="O189" s="241">
        <f t="shared" si="18"/>
        <v>24.41133569</v>
      </c>
      <c r="P189" s="242">
        <f t="shared" si="3"/>
        <v>0.00007828639943</v>
      </c>
    </row>
    <row r="190">
      <c r="A190" s="236" t="s">
        <v>397</v>
      </c>
      <c r="B190" s="237">
        <f>VLOOKUP(A190,'Planilha_Sintética_Geral'!A:P,2,0)</f>
        <v>97664</v>
      </c>
      <c r="C190" s="238" t="str">
        <f t="shared" si="12"/>
        <v>SINAPI</v>
      </c>
      <c r="D190" s="238" t="s">
        <v>218</v>
      </c>
      <c r="E190" s="239" t="str">
        <f>IFERROR(IF(D190="SINAPI-S",VLOOKUP(B190,'20-B.SINAPI-S'!A:J,2,0),IF(D190="SINAPI-I",VLOOKUP(B190,'20-A.SINAPI-I'!A:G,2,0),IF(D190="COMPOSIÇÕES",VLOOKUP(B190,'11.COMPOSIÇÕES GERAIS'!B:I,2,0),VLOOKUP(B190,'12.COT.MERCADO'!A:I,2,0)))),"Em Elaboração")</f>
        <v>REMOÇÃO DE ACESSÓRIOS, DE FORMA MANUAL, SEM REAPROVEITAMENTO. AF_12/2017</v>
      </c>
      <c r="F190" s="240" t="str">
        <f>IFERROR(IF(D190="SINAPI-S",VLOOKUP(B190,'20-B.SINAPI-S'!A:J,3,0),IF(D190="SINAPI-I",VLOOKUP(B190,'20-A.SINAPI-I'!A:G,3,0),IF(D190="COMPOSIÇÕES",VLOOKUP(B190,'11.COMPOSIÇÕES GERAIS'!B:I,3,0),VLOOKUP(B190,'12.COT.MERCADO'!A:I,7,0)))),"Em Elaboração")</f>
        <v>UN</v>
      </c>
      <c r="G190" s="244">
        <f>VLOOKUP(A190,'Planilha_Sintética_Geral'!A:O,7,0)</f>
        <v>1</v>
      </c>
      <c r="H190" s="241">
        <f>IFERROR(IF(D190="SINAPI-S",VLOOKUP(B190,'20-B.SINAPI-S'!A:J,5,0),IF(D190="SINAPI-I",VLOOKUP(B190,'20-A.SINAPI-I'!A:G,6,0),IF(D190="COMPOSIÇÕES",VLOOKUP(B190,'11.COMPOSIÇÕES GERAIS'!B:I,7,0),0))),"Em Elaboração")</f>
        <v>1.32</v>
      </c>
      <c r="I190" s="241">
        <f>IFERROR(IF(D190="SINAPI-S",VLOOKUP(B190,'20-B.SINAPI-S'!A:J,6,0),IF(D190="SINAPI-I",VLOOKUP(B190,'20-A.SINAPI-I'!A:G,7,0),IF(D190="COMPOSIÇÕES",VLOOKUP(B190,'11.COMPOSIÇÕES GERAIS'!B:I,8,0),VLOOKUP(B190,'12.COT.MERCADO'!A:I,8,0)))),"Em Elaboração")</f>
        <v>0.44</v>
      </c>
      <c r="J190" s="241">
        <f t="shared" si="13"/>
        <v>1.54957832</v>
      </c>
      <c r="K190" s="241">
        <f t="shared" si="14"/>
        <v>0.5153872175</v>
      </c>
      <c r="L190" s="241">
        <f t="shared" si="15"/>
        <v>2.064965538</v>
      </c>
      <c r="M190" s="241">
        <f t="shared" si="16"/>
        <v>1.54957832</v>
      </c>
      <c r="N190" s="241">
        <f t="shared" si="17"/>
        <v>0.5153872175</v>
      </c>
      <c r="O190" s="241">
        <f t="shared" si="18"/>
        <v>2.064965538</v>
      </c>
      <c r="P190" s="242">
        <f t="shared" si="3"/>
        <v>0.000006622280687</v>
      </c>
    </row>
    <row r="191">
      <c r="A191" s="236" t="s">
        <v>398</v>
      </c>
      <c r="B191" s="237">
        <f>VLOOKUP(A191,'Planilha_Sintética_Geral'!A:P,2,0)</f>
        <v>96985</v>
      </c>
      <c r="C191" s="238" t="str">
        <f t="shared" si="12"/>
        <v>SINAPI</v>
      </c>
      <c r="D191" s="238" t="s">
        <v>218</v>
      </c>
      <c r="E191" s="239" t="str">
        <f>IFERROR(IF(D191="SINAPI-S",VLOOKUP(B191,'20-B.SINAPI-S'!A:J,2,0),IF(D191="SINAPI-I",VLOOKUP(B191,'20-A.SINAPI-I'!A:G,2,0),IF(D191="COMPOSIÇÕES",VLOOKUP(B191,'11.COMPOSIÇÕES GERAIS'!B:I,2,0),VLOOKUP(B191,'12.COT.MERCADO'!A:I,2,0)))),"Em Elaboração")</f>
        <v>HASTE DE ATERRAMENTO 5/8  PARA SPDA - FORNECIMENTO E INSTALAÇÃO. AF_12/2017</v>
      </c>
      <c r="F191" s="240" t="str">
        <f>IFERROR(IF(D191="SINAPI-S",VLOOKUP(B191,'20-B.SINAPI-S'!A:J,3,0),IF(D191="SINAPI-I",VLOOKUP(B191,'20-A.SINAPI-I'!A:G,3,0),IF(D191="COMPOSIÇÕES",VLOOKUP(B191,'11.COMPOSIÇÕES GERAIS'!B:I,3,0),VLOOKUP(B191,'12.COT.MERCADO'!A:I,7,0)))),"Em Elaboração")</f>
        <v>UN</v>
      </c>
      <c r="G191" s="244">
        <f>VLOOKUP(A191,'Planilha_Sintética_Geral'!A:O,7,0)</f>
        <v>3</v>
      </c>
      <c r="H191" s="241">
        <f>IFERROR(IF(D191="SINAPI-S",VLOOKUP(B191,'20-B.SINAPI-S'!A:J,5,0),IF(D191="SINAPI-I",VLOOKUP(B191,'20-A.SINAPI-I'!A:G,6,0),IF(D191="COMPOSIÇÕES",VLOOKUP(B191,'11.COMPOSIÇÕES GERAIS'!B:I,7,0),0))),"Em Elaboração")</f>
        <v>11.2</v>
      </c>
      <c r="I191" s="241">
        <f>IFERROR(IF(D191="SINAPI-S",VLOOKUP(B191,'20-B.SINAPI-S'!A:J,6,0),IF(D191="SINAPI-I",VLOOKUP(B191,'20-A.SINAPI-I'!A:G,7,0),IF(D191="COMPOSIÇÕES",VLOOKUP(B191,'11.COMPOSIÇÕES GERAIS'!B:I,8,0),VLOOKUP(B191,'12.COT.MERCADO'!A:I,8,0)))),"Em Elaboração")</f>
        <v>67.24</v>
      </c>
      <c r="J191" s="241">
        <f t="shared" si="13"/>
        <v>13.14793726</v>
      </c>
      <c r="K191" s="241">
        <f t="shared" si="14"/>
        <v>78.7605375</v>
      </c>
      <c r="L191" s="241">
        <f t="shared" si="15"/>
        <v>91.90847477</v>
      </c>
      <c r="M191" s="241">
        <f t="shared" si="16"/>
        <v>39.44381179</v>
      </c>
      <c r="N191" s="241">
        <f t="shared" si="17"/>
        <v>236.2816125</v>
      </c>
      <c r="O191" s="241">
        <f t="shared" si="18"/>
        <v>275.7254243</v>
      </c>
      <c r="P191" s="242">
        <f t="shared" si="3"/>
        <v>0.0008842429178</v>
      </c>
    </row>
    <row r="192">
      <c r="A192" s="236" t="s">
        <v>399</v>
      </c>
      <c r="B192" s="237">
        <f>VLOOKUP(A192,'Planilha_Sintética_Geral'!A:P,2,0)</f>
        <v>103019</v>
      </c>
      <c r="C192" s="238" t="str">
        <f t="shared" si="12"/>
        <v>SINAPI</v>
      </c>
      <c r="D192" s="238" t="s">
        <v>218</v>
      </c>
      <c r="E192" s="239" t="str">
        <f>IFERROR(IF(D192="SINAPI-S",VLOOKUP(B192,'20-B.SINAPI-S'!A:J,2,0),IF(D192="SINAPI-I",VLOOKUP(B192,'20-A.SINAPI-I'!A:G,2,0),IF(D192="COMPOSIÇÕES",VLOOKUP(B192,'11.COMPOSIÇÕES GERAIS'!B:I,2,0),VLOOKUP(B192,'12.COT.MERCADO'!A:I,2,0)))),"Em Elaboração")</f>
        <v>REGISTRO OU VÁLVULA GLOBO ANGULAR EM LATÃO, PARA HIDRANTES EM INSTALAÇÃO PREDIAL DE INCÊNDIO, 45 GRAUS, 2 1/2" - FORNECIMENTO E INSTALAÇÃO. AF_08/2021</v>
      </c>
      <c r="F192" s="240" t="str">
        <f>IFERROR(IF(D192="SINAPI-S",VLOOKUP(B192,'20-B.SINAPI-S'!A:J,3,0),IF(D192="SINAPI-I",VLOOKUP(B192,'20-A.SINAPI-I'!A:G,3,0),IF(D192="COMPOSIÇÕES",VLOOKUP(B192,'11.COMPOSIÇÕES GERAIS'!B:I,3,0),VLOOKUP(B192,'12.COT.MERCADO'!A:I,7,0)))),"Em Elaboração")</f>
        <v>UN</v>
      </c>
      <c r="G192" s="244">
        <f>VLOOKUP(A192,'Planilha_Sintética_Geral'!A:O,7,0)</f>
        <v>1</v>
      </c>
      <c r="H192" s="241">
        <f>IFERROR(IF(D192="SINAPI-S",VLOOKUP(B192,'20-B.SINAPI-S'!A:J,5,0),IF(D192="SINAPI-I",VLOOKUP(B192,'20-A.SINAPI-I'!A:G,6,0),IF(D192="COMPOSIÇÕES",VLOOKUP(B192,'11.COMPOSIÇÕES GERAIS'!B:I,7,0),0))),"Em Elaboração")</f>
        <v>19.72</v>
      </c>
      <c r="I192" s="241">
        <f>IFERROR(IF(D192="SINAPI-S",VLOOKUP(B192,'20-B.SINAPI-S'!A:J,6,0),IF(D192="SINAPI-I",VLOOKUP(B192,'20-A.SINAPI-I'!A:G,7,0),IF(D192="COMPOSIÇÕES",VLOOKUP(B192,'11.COMPOSIÇÕES GERAIS'!B:I,8,0),VLOOKUP(B192,'12.COT.MERCADO'!A:I,8,0)))),"Em Elaboração")</f>
        <v>262.05</v>
      </c>
      <c r="J192" s="241">
        <f t="shared" si="13"/>
        <v>23.14976097</v>
      </c>
      <c r="K192" s="241">
        <f t="shared" si="14"/>
        <v>306.948228</v>
      </c>
      <c r="L192" s="241">
        <f t="shared" si="15"/>
        <v>330.097989</v>
      </c>
      <c r="M192" s="241">
        <f t="shared" si="16"/>
        <v>23.14976097</v>
      </c>
      <c r="N192" s="241">
        <f t="shared" si="17"/>
        <v>306.948228</v>
      </c>
      <c r="O192" s="241">
        <f t="shared" si="18"/>
        <v>330.097989</v>
      </c>
      <c r="P192" s="242">
        <f t="shared" si="3"/>
        <v>0.001058614053</v>
      </c>
    </row>
    <row r="193">
      <c r="A193" s="236" t="s">
        <v>400</v>
      </c>
      <c r="B193" s="237">
        <f>VLOOKUP(A193,'Planilha_Sintética_Geral'!A:P,2,0)</f>
        <v>97609</v>
      </c>
      <c r="C193" s="238" t="str">
        <f t="shared" si="12"/>
        <v>SINAPI</v>
      </c>
      <c r="D193" s="238" t="s">
        <v>218</v>
      </c>
      <c r="E193" s="239" t="str">
        <f>IFERROR(IF(D193="SINAPI-S",VLOOKUP(B193,'20-B.SINAPI-S'!A:J,2,0),IF(D193="SINAPI-I",VLOOKUP(B193,'20-A.SINAPI-I'!A:G,2,0),IF(D193="COMPOSIÇÕES",VLOOKUP(B193,'11.COMPOSIÇÕES GERAIS'!B:I,2,0),VLOOKUP(B193,'12.COT.MERCADO'!A:I,2,0)))),"Em Elaboração")</f>
        <v>LÂMPADA COMPACTA DE LED 6 W, BASE E27 - FORNECIMENTO E INSTALAÇÃO. AF_02/2020</v>
      </c>
      <c r="F193" s="240" t="str">
        <f>IFERROR(IF(D193="SINAPI-S",VLOOKUP(B193,'20-B.SINAPI-S'!A:J,3,0),IF(D193="SINAPI-I",VLOOKUP(B193,'20-A.SINAPI-I'!A:G,3,0),IF(D193="COMPOSIÇÕES",VLOOKUP(B193,'11.COMPOSIÇÕES GERAIS'!B:I,3,0),VLOOKUP(B193,'12.COT.MERCADO'!A:I,7,0)))),"Em Elaboração")</f>
        <v>UN</v>
      </c>
      <c r="G193" s="244">
        <f>VLOOKUP(A193,'Planilha_Sintética_Geral'!A:O,7,0)</f>
        <v>6</v>
      </c>
      <c r="H193" s="241">
        <f>IFERROR(IF(D193="SINAPI-S",VLOOKUP(B193,'20-B.SINAPI-S'!A:J,5,0),IF(D193="SINAPI-I",VLOOKUP(B193,'20-A.SINAPI-I'!A:G,6,0),IF(D193="COMPOSIÇÕES",VLOOKUP(B193,'11.COMPOSIÇÕES GERAIS'!B:I,7,0),0))),"Em Elaboração")</f>
        <v>5.47</v>
      </c>
      <c r="I193" s="241">
        <f>IFERROR(IF(D193="SINAPI-S",VLOOKUP(B193,'20-B.SINAPI-S'!A:J,6,0),IF(D193="SINAPI-I",VLOOKUP(B193,'20-A.SINAPI-I'!A:G,7,0),IF(D193="COMPOSIÇÕES",VLOOKUP(B193,'11.COMPOSIÇÕES GERAIS'!B:I,8,0),VLOOKUP(B193,'12.COT.MERCADO'!A:I,8,0)))),"Em Elaboração")</f>
        <v>11.81</v>
      </c>
      <c r="J193" s="241">
        <f t="shared" si="13"/>
        <v>6.421358646</v>
      </c>
      <c r="K193" s="241">
        <f t="shared" si="14"/>
        <v>13.83346145</v>
      </c>
      <c r="L193" s="241">
        <f t="shared" si="15"/>
        <v>20.2548201</v>
      </c>
      <c r="M193" s="241">
        <f t="shared" si="16"/>
        <v>38.52815188</v>
      </c>
      <c r="N193" s="241">
        <f t="shared" si="17"/>
        <v>83.0007687</v>
      </c>
      <c r="O193" s="241">
        <f t="shared" si="18"/>
        <v>121.5289206</v>
      </c>
      <c r="P193" s="242">
        <f t="shared" si="3"/>
        <v>0.0003897394939</v>
      </c>
    </row>
    <row r="194">
      <c r="A194" s="236" t="s">
        <v>401</v>
      </c>
      <c r="B194" s="245" t="str">
        <f>VLOOKUP(A194,'Planilha_Sintética_Geral'!A:P,2,0)</f>
        <v>MAN_PR_057</v>
      </c>
      <c r="C194" s="238" t="str">
        <f t="shared" si="12"/>
        <v>PRÓPRIO</v>
      </c>
      <c r="D194" s="243" t="s">
        <v>230</v>
      </c>
      <c r="E194" s="239" t="str">
        <f>IFERROR(IF(D194="SINAPI-S",VLOOKUP(B194,'20-B.SINAPI-S'!A:J,2,0),IF(D194="SINAPI-I",VLOOKUP(B194,'20-A.SINAPI-I'!A:G,2,0),IF(D194="COMPOSIÇÕES",VLOOKUP(B194,'11.COMPOSIÇÕES GERAIS'!B:I,2,0),VLOOKUP(B194,'12.COT.MERCADO'!A:I,2,0)))),"Em Elaboração")</f>
        <v>FORNECIMENTO E INSTALAÇÃO DE  MOLA HIDRÁULICA AÉREA PARA PORTAS ATÉ 950MM E PESO DE ATÉ 65KG, COM CORPO EM ALUMÍNIO E BRAÇO DE AÇO, SEM BRAÇO DE PARADA</v>
      </c>
      <c r="F194" s="240" t="str">
        <f>IFERROR(IF(D194="SINAPI-S",VLOOKUP(B194,'20-B.SINAPI-S'!A:J,3,0),IF(D194="SINAPI-I",VLOOKUP(B194,'20-A.SINAPI-I'!A:G,3,0),IF(D194="COMPOSIÇÕES",VLOOKUP(B194,'11.COMPOSIÇÕES GERAIS'!B:I,3,0),VLOOKUP(B194,'12.COT.MERCADO'!A:I,7,0)))),"Em Elaboração")</f>
        <v>UN</v>
      </c>
      <c r="G194" s="244">
        <f>VLOOKUP(A194,'Planilha_Sintética_Geral'!A:O,7,0)</f>
        <v>2</v>
      </c>
      <c r="H194" s="241">
        <f>IFERROR(IF(D194="SINAPI-S",VLOOKUP(B194,'20-B.SINAPI-S'!A:J,5,0),IF(D194="SINAPI-I",VLOOKUP(B194,'20-A.SINAPI-I'!A:G,6,0),IF(D194="COMPOSIÇÕES",VLOOKUP(B194,'11.COMPOSIÇÕES GERAIS'!B:I,7,0),0))),"Em Elaboração")</f>
        <v>17.256</v>
      </c>
      <c r="I194" s="241">
        <f>IFERROR(IF(D194="SINAPI-S",VLOOKUP(B194,'20-B.SINAPI-S'!A:J,6,0),IF(D194="SINAPI-I",VLOOKUP(B194,'20-A.SINAPI-I'!A:G,7,0),IF(D194="COMPOSIÇÕES",VLOOKUP(B194,'11.COMPOSIÇÕES GERAIS'!B:I,8,0),VLOOKUP(B194,'12.COT.MERCADO'!A:I,8,0)))),"Em Elaboração")</f>
        <v>185.046</v>
      </c>
      <c r="J194" s="241">
        <f t="shared" si="13"/>
        <v>20.25721477</v>
      </c>
      <c r="K194" s="241">
        <f t="shared" si="14"/>
        <v>216.7507796</v>
      </c>
      <c r="L194" s="241">
        <f t="shared" si="15"/>
        <v>237.0079944</v>
      </c>
      <c r="M194" s="241">
        <f t="shared" si="16"/>
        <v>40.51442954</v>
      </c>
      <c r="N194" s="241">
        <f t="shared" si="17"/>
        <v>433.5015593</v>
      </c>
      <c r="O194" s="241">
        <f t="shared" si="18"/>
        <v>474.0159888</v>
      </c>
      <c r="P194" s="242">
        <f t="shared" si="3"/>
        <v>0.001520154632</v>
      </c>
    </row>
    <row r="195">
      <c r="A195" s="236" t="s">
        <v>402</v>
      </c>
      <c r="B195" s="245">
        <f>VLOOKUP(A195,'Planilha_Sintética_Geral'!A:P,2,0)</f>
        <v>87244</v>
      </c>
      <c r="C195" s="238" t="str">
        <f t="shared" si="12"/>
        <v>SINAPI</v>
      </c>
      <c r="D195" s="238" t="s">
        <v>218</v>
      </c>
      <c r="E195" s="239" t="str">
        <f>IFERROR(IF(D195="SINAPI-S",VLOOKUP(B195,'20-B.SINAPI-S'!A:J,2,0),IF(D195="SINAPI-I",VLOOKUP(B195,'20-A.SINAPI-I'!A:G,2,0),IF(D195="COMPOSIÇÕES",VLOOKUP(B195,'11.COMPOSIÇÕES GERAIS'!B:I,2,0),VLOOKUP(B195,'12.COT.MERCADO'!A:I,2,0)))),"Em Elaboração")</f>
        <v>REVESTIMENTO CERÂMICO PARA PAREDES EXTERNAS EM PASTILHAS DE PORCELANA 5 X 5 CM (PLACAS DE 30 X 30 CM), ALINHADAS A PRUMO. AF_02/2023</v>
      </c>
      <c r="F195" s="240" t="str">
        <f>IFERROR(IF(D195="SINAPI-S",VLOOKUP(B195,'20-B.SINAPI-S'!A:J,3,0),IF(D195="SINAPI-I",VLOOKUP(B195,'20-A.SINAPI-I'!A:G,3,0),IF(D195="COMPOSIÇÕES",VLOOKUP(B195,'11.COMPOSIÇÕES GERAIS'!B:I,3,0),VLOOKUP(B195,'12.COT.MERCADO'!A:I,7,0)))),"Em Elaboração")</f>
        <v>M2</v>
      </c>
      <c r="G195" s="244">
        <f>VLOOKUP(A195,'Planilha_Sintética_Geral'!A:O,7,0)</f>
        <v>1</v>
      </c>
      <c r="H195" s="241">
        <f>IFERROR(IF(D195="SINAPI-S",VLOOKUP(B195,'20-B.SINAPI-S'!A:J,5,0),IF(D195="SINAPI-I",VLOOKUP(B195,'20-A.SINAPI-I'!A:G,6,0),IF(D195="COMPOSIÇÕES",VLOOKUP(B195,'11.COMPOSIÇÕES GERAIS'!B:I,7,0),0))),"Em Elaboração")</f>
        <v>38.39</v>
      </c>
      <c r="I195" s="241">
        <f>IFERROR(IF(D195="SINAPI-S",VLOOKUP(B195,'20-B.SINAPI-S'!A:J,6,0),IF(D195="SINAPI-I",VLOOKUP(B195,'20-A.SINAPI-I'!A:G,7,0),IF(D195="COMPOSIÇÕES",VLOOKUP(B195,'11.COMPOSIÇÕES GERAIS'!B:I,8,0),VLOOKUP(B195,'12.COT.MERCADO'!A:I,8,0)))),"Em Elaboração")</f>
        <v>186.75</v>
      </c>
      <c r="J195" s="241">
        <f t="shared" si="13"/>
        <v>45.06690282</v>
      </c>
      <c r="K195" s="241">
        <f t="shared" si="14"/>
        <v>218.7467338</v>
      </c>
      <c r="L195" s="241">
        <f t="shared" si="15"/>
        <v>263.8136366</v>
      </c>
      <c r="M195" s="241">
        <f t="shared" si="16"/>
        <v>45.06690282</v>
      </c>
      <c r="N195" s="241">
        <f t="shared" si="17"/>
        <v>218.7467338</v>
      </c>
      <c r="O195" s="241">
        <f t="shared" si="18"/>
        <v>263.8136366</v>
      </c>
      <c r="P195" s="242">
        <f t="shared" si="3"/>
        <v>0.0008460421826</v>
      </c>
    </row>
    <row r="196">
      <c r="A196" s="236" t="s">
        <v>403</v>
      </c>
      <c r="B196" s="245">
        <f>VLOOKUP(A196,'Planilha_Sintética_Geral'!A:P,2,0)</f>
        <v>97599</v>
      </c>
      <c r="C196" s="238" t="str">
        <f t="shared" si="12"/>
        <v>SINAPI</v>
      </c>
      <c r="D196" s="238" t="s">
        <v>218</v>
      </c>
      <c r="E196" s="239" t="str">
        <f>IFERROR(IF(D196="SINAPI-S",VLOOKUP(B196,'20-B.SINAPI-S'!A:J,2,0),IF(D196="SINAPI-I",VLOOKUP(B196,'20-A.SINAPI-I'!A:G,2,0),IF(D196="COMPOSIÇÕES",VLOOKUP(B196,'11.COMPOSIÇÕES GERAIS'!B:I,2,0),VLOOKUP(B196,'12.COT.MERCADO'!A:I,2,0)))),"Em Elaboração")</f>
        <v>LUMINÁRIA DE EMERGÊNCIA, COM 30 LÂMPADAS LED DE 2 W, SEM REATOR - FORNECIMENTO E INSTALAÇÃO. AF_02/2020</v>
      </c>
      <c r="F196" s="240" t="str">
        <f>IFERROR(IF(D196="SINAPI-S",VLOOKUP(B196,'20-B.SINAPI-S'!A:J,3,0),IF(D196="SINAPI-I",VLOOKUP(B196,'20-A.SINAPI-I'!A:G,3,0),IF(D196="COMPOSIÇÕES",VLOOKUP(B196,'11.COMPOSIÇÕES GERAIS'!B:I,3,0),VLOOKUP(B196,'12.COT.MERCADO'!A:I,7,0)))),"Em Elaboração")</f>
        <v>UN</v>
      </c>
      <c r="G196" s="244">
        <f>VLOOKUP(A196,'Planilha_Sintética_Geral'!A:O,7,0)</f>
        <v>9</v>
      </c>
      <c r="H196" s="241">
        <f>IFERROR(IF(D196="SINAPI-S",VLOOKUP(B196,'20-B.SINAPI-S'!A:J,5,0),IF(D196="SINAPI-I",VLOOKUP(B196,'20-A.SINAPI-I'!A:G,6,0),IF(D196="COMPOSIÇÕES",VLOOKUP(B196,'11.COMPOSIÇÕES GERAIS'!B:I,7,0),0))),"Em Elaboração")</f>
        <v>5.93</v>
      </c>
      <c r="I196" s="241">
        <f>IFERROR(IF(D196="SINAPI-S",VLOOKUP(B196,'20-B.SINAPI-S'!A:J,6,0),IF(D196="SINAPI-I",VLOOKUP(B196,'20-A.SINAPI-I'!A:G,7,0),IF(D196="COMPOSIÇÕES",VLOOKUP(B196,'11.COMPOSIÇÕES GERAIS'!B:I,8,0),VLOOKUP(B196,'12.COT.MERCADO'!A:I,8,0)))),"Em Elaboração")</f>
        <v>20.84</v>
      </c>
      <c r="J196" s="241">
        <f t="shared" si="13"/>
        <v>6.961363212</v>
      </c>
      <c r="K196" s="241">
        <f t="shared" si="14"/>
        <v>24.41061275</v>
      </c>
      <c r="L196" s="241">
        <f t="shared" si="15"/>
        <v>31.37197597</v>
      </c>
      <c r="M196" s="241">
        <f t="shared" si="16"/>
        <v>62.65226891</v>
      </c>
      <c r="N196" s="241">
        <f t="shared" si="17"/>
        <v>219.6955148</v>
      </c>
      <c r="O196" s="241">
        <f t="shared" si="18"/>
        <v>282.3477837</v>
      </c>
      <c r="P196" s="242">
        <f t="shared" si="3"/>
        <v>0.0009054806197</v>
      </c>
    </row>
    <row r="197">
      <c r="A197" s="236" t="s">
        <v>404</v>
      </c>
      <c r="B197" s="245" t="str">
        <f>VLOOKUP(A197,'Planilha_Sintética_Geral'!A:P,2,0)</f>
        <v>MAN_PR_043</v>
      </c>
      <c r="C197" s="238" t="str">
        <f t="shared" si="12"/>
        <v>PRÓPRIO</v>
      </c>
      <c r="D197" s="243" t="s">
        <v>230</v>
      </c>
      <c r="E197" s="239" t="str">
        <f>IFERROR(IF(D197="SINAPI-S",VLOOKUP(B197,'20-B.SINAPI-S'!A:J,2,0),IF(D197="SINAPI-I",VLOOKUP(B197,'20-A.SINAPI-I'!A:G,2,0),IF(D197="COMPOSIÇÕES",VLOOKUP(B197,'11.COMPOSIÇÕES GERAIS'!B:I,2,0),VLOOKUP(B197,'12.COT.MERCADO'!A:I,2,0)))),"Em Elaboração")</f>
        <v>SUBSTITUIÇÃO DE MANGUEIRA PARA COMPRESSOR DO TIPO ENGATE RÁPIDO - FORNECIMENTO E INSTALAÇÃO</v>
      </c>
      <c r="F197" s="240" t="str">
        <f>IFERROR(IF(D197="SINAPI-S",VLOOKUP(B197,'20-B.SINAPI-S'!A:J,3,0),IF(D197="SINAPI-I",VLOOKUP(B197,'20-A.SINAPI-I'!A:G,3,0),IF(D197="COMPOSIÇÕES",VLOOKUP(B197,'11.COMPOSIÇÕES GERAIS'!B:I,3,0),VLOOKUP(B197,'12.COT.MERCADO'!A:I,7,0)))),"Em Elaboração")</f>
        <v>UN</v>
      </c>
      <c r="G197" s="244">
        <f>VLOOKUP(A197,'Planilha_Sintética_Geral'!A:O,7,0)</f>
        <v>1</v>
      </c>
      <c r="H197" s="241">
        <f>IFERROR(IF(D197="SINAPI-S",VLOOKUP(B197,'20-B.SINAPI-S'!A:J,5,0),IF(D197="SINAPI-I",VLOOKUP(B197,'20-A.SINAPI-I'!A:G,6,0),IF(D197="COMPOSIÇÕES",VLOOKUP(B197,'11.COMPOSIÇÕES GERAIS'!B:I,7,0),0))),"Em Elaboração")</f>
        <v>2.0904</v>
      </c>
      <c r="I197" s="241">
        <f>IFERROR(IF(D197="SINAPI-S",VLOOKUP(B197,'20-B.SINAPI-S'!A:J,6,0),IF(D197="SINAPI-I",VLOOKUP(B197,'20-A.SINAPI-I'!A:G,7,0),IF(D197="COMPOSIÇÕES",VLOOKUP(B197,'11.COMPOSIÇÕES GERAIS'!B:I,8,0),VLOOKUP(B197,'12.COT.MERCADO'!A:I,8,0)))),"Em Elaboração")</f>
        <v>52.824</v>
      </c>
      <c r="J197" s="241">
        <f t="shared" si="13"/>
        <v>2.453968577</v>
      </c>
      <c r="K197" s="241">
        <f t="shared" si="14"/>
        <v>61.87457813</v>
      </c>
      <c r="L197" s="241">
        <f t="shared" si="15"/>
        <v>64.3285467</v>
      </c>
      <c r="M197" s="241">
        <f t="shared" si="16"/>
        <v>2.453968577</v>
      </c>
      <c r="N197" s="241">
        <f t="shared" si="17"/>
        <v>61.87457813</v>
      </c>
      <c r="O197" s="241">
        <f t="shared" si="18"/>
        <v>64.3285467</v>
      </c>
      <c r="P197" s="242">
        <f t="shared" si="3"/>
        <v>0.000206299662</v>
      </c>
    </row>
    <row r="198">
      <c r="A198" s="236" t="s">
        <v>405</v>
      </c>
      <c r="B198" s="245" t="str">
        <f>VLOOKUP(A198,'Planilha_Sintética_Geral'!A:P,2,0)</f>
        <v>MAN_PR_044</v>
      </c>
      <c r="C198" s="238" t="str">
        <f t="shared" si="12"/>
        <v>PRÓPRIO</v>
      </c>
      <c r="D198" s="243" t="s">
        <v>230</v>
      </c>
      <c r="E198" s="239" t="str">
        <f>IFERROR(IF(D198="SINAPI-S",VLOOKUP(B198,'20-B.SINAPI-S'!A:J,2,0),IF(D198="SINAPI-I",VLOOKUP(B198,'20-A.SINAPI-I'!A:G,2,0),IF(D198="COMPOSIÇÕES",VLOOKUP(B198,'11.COMPOSIÇÕES GERAIS'!B:I,2,0),VLOOKUP(B198,'12.COT.MERCADO'!A:I,2,0)))),"Em Elaboração")</f>
        <v>CALIBRADOR ELETRÔNICO PARA PNEUS, BIVOLT, BLINDADO. REF. STOKAIR-M2000 OU SIMILAR - FORNECIMENTO E INSTALAÇÃO</v>
      </c>
      <c r="F198" s="240" t="str">
        <f>IFERROR(IF(D198="SINAPI-S",VLOOKUP(B198,'20-B.SINAPI-S'!A:J,3,0),IF(D198="SINAPI-I",VLOOKUP(B198,'20-A.SINAPI-I'!A:G,3,0),IF(D198="COMPOSIÇÕES",VLOOKUP(B198,'11.COMPOSIÇÕES GERAIS'!B:I,3,0),VLOOKUP(B198,'12.COT.MERCADO'!A:I,7,0)))),"Em Elaboração")</f>
        <v>UN</v>
      </c>
      <c r="G198" s="244">
        <f>VLOOKUP(A198,'Planilha_Sintética_Geral'!A:O,7,0)</f>
        <v>1</v>
      </c>
      <c r="H198" s="241">
        <f>IFERROR(IF(D198="SINAPI-S",VLOOKUP(B198,'20-B.SINAPI-S'!A:J,5,0),IF(D198="SINAPI-I",VLOOKUP(B198,'20-A.SINAPI-I'!A:G,6,0),IF(D198="COMPOSIÇÕES",VLOOKUP(B198,'11.COMPOSIÇÕES GERAIS'!B:I,7,0),0))),"Em Elaboração")</f>
        <v>44.29</v>
      </c>
      <c r="I198" s="241">
        <f>IFERROR(IF(D198="SINAPI-S",VLOOKUP(B198,'20-B.SINAPI-S'!A:J,6,0),IF(D198="SINAPI-I",VLOOKUP(B198,'20-A.SINAPI-I'!A:G,7,0),IF(D198="COMPOSIÇÕES",VLOOKUP(B198,'11.COMPOSIÇÕES GERAIS'!B:I,8,0),VLOOKUP(B198,'12.COT.MERCADO'!A:I,8,0)))),"Em Elaboração")</f>
        <v>1106.34</v>
      </c>
      <c r="J198" s="241">
        <f t="shared" si="13"/>
        <v>51.99304834</v>
      </c>
      <c r="K198" s="241">
        <f t="shared" si="14"/>
        <v>1295.894305</v>
      </c>
      <c r="L198" s="241">
        <f t="shared" si="15"/>
        <v>1347.887353</v>
      </c>
      <c r="M198" s="241">
        <f t="shared" si="16"/>
        <v>51.99304834</v>
      </c>
      <c r="N198" s="241">
        <f t="shared" si="17"/>
        <v>1295.894305</v>
      </c>
      <c r="O198" s="241">
        <f t="shared" si="18"/>
        <v>1347.887353</v>
      </c>
      <c r="P198" s="242">
        <f t="shared" si="3"/>
        <v>0.004322633102</v>
      </c>
    </row>
    <row r="199">
      <c r="A199" s="236" t="s">
        <v>406</v>
      </c>
      <c r="B199" s="245">
        <f>VLOOKUP(A199,'Planilha_Sintética_Geral'!A:P,2,0)</f>
        <v>93203</v>
      </c>
      <c r="C199" s="238" t="str">
        <f t="shared" si="12"/>
        <v>SINAPI</v>
      </c>
      <c r="D199" s="238" t="s">
        <v>218</v>
      </c>
      <c r="E199" s="239" t="str">
        <f>IFERROR(IF(D199="SINAPI-S",VLOOKUP(B199,'20-B.SINAPI-S'!A:J,2,0),IF(D199="SINAPI-I",VLOOKUP(B199,'20-A.SINAPI-I'!A:G,2,0),IF(D199="COMPOSIÇÕES",VLOOKUP(B199,'11.COMPOSIÇÕES GERAIS'!B:I,2,0),VLOOKUP(B199,'12.COT.MERCADO'!A:I,2,0)))),"Em Elaboração")</f>
        <v>FIXAÇÃO (ENCUNHAMENTO) DE ALVENARIA DE VEDAÇÃO COM ESPUMA DE POLIURETANO EXPANSIVA. AF_03/2016</v>
      </c>
      <c r="F199" s="240" t="str">
        <f>IFERROR(IF(D199="SINAPI-S",VLOOKUP(B199,'20-B.SINAPI-S'!A:J,3,0),IF(D199="SINAPI-I",VLOOKUP(B199,'20-A.SINAPI-I'!A:G,3,0),IF(D199="COMPOSIÇÕES",VLOOKUP(B199,'11.COMPOSIÇÕES GERAIS'!B:I,3,0),VLOOKUP(B199,'12.COT.MERCADO'!A:I,7,0)))),"Em Elaboração")</f>
        <v>M</v>
      </c>
      <c r="G199" s="244">
        <f>VLOOKUP(A199,'Planilha_Sintética_Geral'!A:O,7,0)</f>
        <v>4</v>
      </c>
      <c r="H199" s="241">
        <f>IFERROR(IF(D199="SINAPI-S",VLOOKUP(B199,'20-B.SINAPI-S'!A:J,5,0),IF(D199="SINAPI-I",VLOOKUP(B199,'20-A.SINAPI-I'!A:G,6,0),IF(D199="COMPOSIÇÕES",VLOOKUP(B199,'11.COMPOSIÇÕES GERAIS'!B:I,7,0),0))),"Em Elaboração")</f>
        <v>2.16</v>
      </c>
      <c r="I199" s="241">
        <f>IFERROR(IF(D199="SINAPI-S",VLOOKUP(B199,'20-B.SINAPI-S'!A:J,6,0),IF(D199="SINAPI-I",VLOOKUP(B199,'20-A.SINAPI-I'!A:G,7,0),IF(D199="COMPOSIÇÕES",VLOOKUP(B199,'11.COMPOSIÇÕES GERAIS'!B:I,8,0),VLOOKUP(B199,'12.COT.MERCADO'!A:I,8,0)))),"Em Elaboração")</f>
        <v>12.8</v>
      </c>
      <c r="J199" s="241">
        <f t="shared" si="13"/>
        <v>2.535673615</v>
      </c>
      <c r="K199" s="241">
        <f t="shared" si="14"/>
        <v>14.99308269</v>
      </c>
      <c r="L199" s="241">
        <f t="shared" si="15"/>
        <v>17.5287563</v>
      </c>
      <c r="M199" s="241">
        <f t="shared" si="16"/>
        <v>10.14269446</v>
      </c>
      <c r="N199" s="241">
        <f t="shared" si="17"/>
        <v>59.97233076</v>
      </c>
      <c r="O199" s="241">
        <f t="shared" si="18"/>
        <v>70.11502522</v>
      </c>
      <c r="P199" s="242">
        <f t="shared" si="3"/>
        <v>0.0002248567198</v>
      </c>
    </row>
    <row r="200">
      <c r="A200" s="236" t="s">
        <v>407</v>
      </c>
      <c r="B200" s="245" t="str">
        <f>VLOOKUP(A200,'Planilha_Sintética_Geral'!A:P,2,0)</f>
        <v>MAN_PR_045</v>
      </c>
      <c r="C200" s="238" t="str">
        <f t="shared" si="12"/>
        <v>PRÓPRIO</v>
      </c>
      <c r="D200" s="243" t="s">
        <v>230</v>
      </c>
      <c r="E200" s="239" t="str">
        <f>IFERROR(IF(D200="SINAPI-S",VLOOKUP(B200,'20-B.SINAPI-S'!A:J,2,0),IF(D200="SINAPI-I",VLOOKUP(B200,'20-A.SINAPI-I'!A:G,2,0),IF(D200="COMPOSIÇÕES",VLOOKUP(B200,'11.COMPOSIÇÕES GERAIS'!B:I,2,0),VLOOKUP(B200,'12.COT.MERCADO'!A:I,2,0)))),"Em Elaboração")</f>
        <v>FECHADURA DE SOBREPOR PAR APORTA CORTA FOGO (SEM CHAVE) - FORNECIMENTO E INSTALAÇÃO</v>
      </c>
      <c r="F200" s="240" t="str">
        <f>IFERROR(IF(D200="SINAPI-S",VLOOKUP(B200,'20-B.SINAPI-S'!A:J,3,0),IF(D200="SINAPI-I",VLOOKUP(B200,'20-A.SINAPI-I'!A:G,3,0),IF(D200="COMPOSIÇÕES",VLOOKUP(B200,'11.COMPOSIÇÕES GERAIS'!B:I,3,0),VLOOKUP(B200,'12.COT.MERCADO'!A:I,7,0)))),"Em Elaboração")</f>
        <v>UN</v>
      </c>
      <c r="G200" s="244">
        <f>VLOOKUP(A200,'Planilha_Sintética_Geral'!A:O,7,0)</f>
        <v>2</v>
      </c>
      <c r="H200" s="241">
        <f>IFERROR(IF(D200="SINAPI-S",VLOOKUP(B200,'20-B.SINAPI-S'!A:J,5,0),IF(D200="SINAPI-I",VLOOKUP(B200,'20-A.SINAPI-I'!A:G,6,0),IF(D200="COMPOSIÇÕES",VLOOKUP(B200,'11.COMPOSIÇÕES GERAIS'!B:I,7,0),0))),"Em Elaboração")</f>
        <v>62.79</v>
      </c>
      <c r="I200" s="241">
        <f>IFERROR(IF(D200="SINAPI-S",VLOOKUP(B200,'20-B.SINAPI-S'!A:J,6,0),IF(D200="SINAPI-I",VLOOKUP(B200,'20-A.SINAPI-I'!A:G,7,0),IF(D200="COMPOSIÇÕES",VLOOKUP(B200,'11.COMPOSIÇÕES GERAIS'!B:I,8,0),VLOOKUP(B200,'12.COT.MERCADO'!A:I,8,0)))),"Em Elaboração")</f>
        <v>102.985</v>
      </c>
      <c r="J200" s="241">
        <f t="shared" si="13"/>
        <v>73.71062329</v>
      </c>
      <c r="K200" s="241">
        <f t="shared" si="14"/>
        <v>120.6298923</v>
      </c>
      <c r="L200" s="241">
        <f t="shared" si="15"/>
        <v>194.3405155</v>
      </c>
      <c r="M200" s="241">
        <f t="shared" si="16"/>
        <v>147.4212466</v>
      </c>
      <c r="N200" s="241">
        <f t="shared" si="17"/>
        <v>241.2597845</v>
      </c>
      <c r="O200" s="241">
        <f t="shared" si="18"/>
        <v>388.6810311</v>
      </c>
      <c r="P200" s="242">
        <f t="shared" si="3"/>
        <v>0.001246488059</v>
      </c>
    </row>
    <row r="201">
      <c r="A201" s="236" t="s">
        <v>408</v>
      </c>
      <c r="B201" s="245" t="str">
        <f>VLOOKUP(A201,'Planilha_Sintética_Geral'!A:P,2,0)</f>
        <v>MAN_PR_046</v>
      </c>
      <c r="C201" s="238" t="str">
        <f t="shared" si="12"/>
        <v>PRÓPRIO</v>
      </c>
      <c r="D201" s="243" t="s">
        <v>230</v>
      </c>
      <c r="E201" s="239" t="str">
        <f>IFERROR(IF(D201="SINAPI-S",VLOOKUP(B201,'20-B.SINAPI-S'!A:J,2,0),IF(D201="SINAPI-I",VLOOKUP(B201,'20-A.SINAPI-I'!A:G,2,0),IF(D201="COMPOSIÇÕES",VLOOKUP(B201,'11.COMPOSIÇÕES GERAIS'!B:I,2,0),VLOOKUP(B201,'12.COT.MERCADO'!A:I,2,0)))),"Em Elaboração")</f>
        <v>BOTOEIRA COM RETENÇÃO PARA QUADRO/PAINEL</v>
      </c>
      <c r="F201" s="240" t="str">
        <f>IFERROR(IF(D201="SINAPI-S",VLOOKUP(B201,'20-B.SINAPI-S'!A:J,3,0),IF(D201="SINAPI-I",VLOOKUP(B201,'20-A.SINAPI-I'!A:G,3,0),IF(D201="COMPOSIÇÕES",VLOOKUP(B201,'11.COMPOSIÇÕES GERAIS'!B:I,3,0),VLOOKUP(B201,'12.COT.MERCADO'!A:I,7,0)))),"Em Elaboração")</f>
        <v>UN</v>
      </c>
      <c r="G201" s="244">
        <f>VLOOKUP(A201,'Planilha_Sintética_Geral'!A:O,7,0)</f>
        <v>1</v>
      </c>
      <c r="H201" s="241">
        <f>IFERROR(IF(D201="SINAPI-S",VLOOKUP(B201,'20-B.SINAPI-S'!A:J,5,0),IF(D201="SINAPI-I",VLOOKUP(B201,'20-A.SINAPI-I'!A:G,6,0),IF(D201="COMPOSIÇÕES",VLOOKUP(B201,'11.COMPOSIÇÕES GERAIS'!B:I,7,0),0))),"Em Elaboração")</f>
        <v>13.287</v>
      </c>
      <c r="I201" s="241">
        <f>IFERROR(IF(D201="SINAPI-S",VLOOKUP(B201,'20-B.SINAPI-S'!A:J,6,0),IF(D201="SINAPI-I",VLOOKUP(B201,'20-A.SINAPI-I'!A:G,7,0),IF(D201="COMPOSIÇÕES",VLOOKUP(B201,'11.COMPOSIÇÕES GERAIS'!B:I,8,0),VLOOKUP(B201,'12.COT.MERCADO'!A:I,8,0)))),"Em Elaboração")</f>
        <v>38.246</v>
      </c>
      <c r="J201" s="241">
        <f t="shared" si="13"/>
        <v>15.5979145</v>
      </c>
      <c r="K201" s="241">
        <f t="shared" si="14"/>
        <v>44.79886254</v>
      </c>
      <c r="L201" s="241">
        <f t="shared" si="15"/>
        <v>60.39677705</v>
      </c>
      <c r="M201" s="241">
        <f t="shared" si="16"/>
        <v>15.5979145</v>
      </c>
      <c r="N201" s="241">
        <f t="shared" si="17"/>
        <v>44.79886254</v>
      </c>
      <c r="O201" s="241">
        <f t="shared" si="18"/>
        <v>60.39677705</v>
      </c>
      <c r="P201" s="242">
        <f t="shared" si="3"/>
        <v>0.0001936905981</v>
      </c>
    </row>
    <row r="202">
      <c r="A202" s="236" t="s">
        <v>409</v>
      </c>
      <c r="B202" s="245">
        <f>VLOOKUP(A202,'Planilha_Sintética_Geral'!A:P,2,0)</f>
        <v>101914</v>
      </c>
      <c r="C202" s="238" t="str">
        <f t="shared" si="12"/>
        <v>SINAPI</v>
      </c>
      <c r="D202" s="238" t="s">
        <v>218</v>
      </c>
      <c r="E202" s="239" t="str">
        <f>IFERROR(IF(D202="SINAPI-S",VLOOKUP(B202,'20-B.SINAPI-S'!A:J,2,0),IF(D202="SINAPI-I",VLOOKUP(B202,'20-A.SINAPI-I'!A:G,2,0),IF(D202="COMPOSIÇÕES",VLOOKUP(B202,'11.COMPOSIÇÕES GERAIS'!B:I,2,0),VLOOKUP(B202,'12.COT.MERCADO'!A:I,2,0)))),"Em Elaboração")</f>
        <v>CAIXA DE INCÊNDIO 60X90X17CM - FORNECIMENTO E INSTALAÇÃO. AF_10/2020</v>
      </c>
      <c r="F202" s="240" t="str">
        <f>IFERROR(IF(D202="SINAPI-S",VLOOKUP(B202,'20-B.SINAPI-S'!A:J,3,0),IF(D202="SINAPI-I",VLOOKUP(B202,'20-A.SINAPI-I'!A:G,3,0),IF(D202="COMPOSIÇÕES",VLOOKUP(B202,'11.COMPOSIÇÕES GERAIS'!B:I,3,0),VLOOKUP(B202,'12.COT.MERCADO'!A:I,7,0)))),"Em Elaboração")</f>
        <v>UN</v>
      </c>
      <c r="G202" s="244">
        <f>VLOOKUP(A202,'Planilha_Sintética_Geral'!A:O,7,0)</f>
        <v>1</v>
      </c>
      <c r="H202" s="241">
        <f>IFERROR(IF(D202="SINAPI-S",VLOOKUP(B202,'20-B.SINAPI-S'!A:J,5,0),IF(D202="SINAPI-I",VLOOKUP(B202,'20-A.SINAPI-I'!A:G,6,0),IF(D202="COMPOSIÇÕES",VLOOKUP(B202,'11.COMPOSIÇÕES GERAIS'!B:I,7,0),0))),"Em Elaboração")</f>
        <v>58.78</v>
      </c>
      <c r="I202" s="241">
        <f>IFERROR(IF(D202="SINAPI-S",VLOOKUP(B202,'20-B.SINAPI-S'!A:J,6,0),IF(D202="SINAPI-I",VLOOKUP(B202,'20-A.SINAPI-I'!A:G,7,0),IF(D202="COMPOSIÇÕES",VLOOKUP(B202,'11.COMPOSIÇÕES GERAIS'!B:I,8,0),VLOOKUP(B202,'12.COT.MERCADO'!A:I,8,0)))),"Em Elaboração")</f>
        <v>485.38</v>
      </c>
      <c r="J202" s="241">
        <f t="shared" si="13"/>
        <v>69.00319218</v>
      </c>
      <c r="K202" s="241">
        <f t="shared" si="14"/>
        <v>568.5423809</v>
      </c>
      <c r="L202" s="241">
        <f t="shared" si="15"/>
        <v>637.5455731</v>
      </c>
      <c r="M202" s="241">
        <f t="shared" si="16"/>
        <v>69.00319218</v>
      </c>
      <c r="N202" s="241">
        <f t="shared" si="17"/>
        <v>568.5423809</v>
      </c>
      <c r="O202" s="241">
        <f t="shared" si="18"/>
        <v>637.5455731</v>
      </c>
      <c r="P202" s="242">
        <f t="shared" si="3"/>
        <v>0.002044588957</v>
      </c>
    </row>
    <row r="203">
      <c r="A203" s="236" t="s">
        <v>410</v>
      </c>
      <c r="B203" s="245">
        <f>VLOOKUP(A203,'Planilha_Sintética_Geral'!A:P,2,0)</f>
        <v>102153</v>
      </c>
      <c r="C203" s="238" t="str">
        <f t="shared" si="12"/>
        <v>SINAPI</v>
      </c>
      <c r="D203" s="238" t="s">
        <v>218</v>
      </c>
      <c r="E203" s="239" t="str">
        <f>IFERROR(IF(D203="SINAPI-S",VLOOKUP(B203,'20-B.SINAPI-S'!A:J,2,0),IF(D203="SINAPI-I",VLOOKUP(B203,'20-A.SINAPI-I'!A:G,2,0),IF(D203="COMPOSIÇÕES",VLOOKUP(B203,'11.COMPOSIÇÕES GERAIS'!B:I,2,0),VLOOKUP(B203,'12.COT.MERCADO'!A:I,2,0)))),"Em Elaboração")</f>
        <v>INSTALAÇÃO DE VIDRO LISO FUME, E = 4 MM, EM ESQUADRIA DE MADEIRA, FIXADO COM BAGUETE. AF_01/2021</v>
      </c>
      <c r="F203" s="240" t="str">
        <f>IFERROR(IF(D203="SINAPI-S",VLOOKUP(B203,'20-B.SINAPI-S'!A:J,3,0),IF(D203="SINAPI-I",VLOOKUP(B203,'20-A.SINAPI-I'!A:G,3,0),IF(D203="COMPOSIÇÕES",VLOOKUP(B203,'11.COMPOSIÇÕES GERAIS'!B:I,3,0),VLOOKUP(B203,'12.COT.MERCADO'!A:I,7,0)))),"Em Elaboração")</f>
        <v>M2</v>
      </c>
      <c r="G203" s="244">
        <f>VLOOKUP(A203,'Planilha_Sintética_Geral'!A:O,7,0)</f>
        <v>1</v>
      </c>
      <c r="H203" s="241">
        <f>IFERROR(IF(D203="SINAPI-S",VLOOKUP(B203,'20-B.SINAPI-S'!A:J,5,0),IF(D203="SINAPI-I",VLOOKUP(B203,'20-A.SINAPI-I'!A:G,6,0),IF(D203="COMPOSIÇÕES",VLOOKUP(B203,'11.COMPOSIÇÕES GERAIS'!B:I,7,0),0))),"Em Elaboração")</f>
        <v>26.98</v>
      </c>
      <c r="I203" s="241">
        <f>IFERROR(IF(D203="SINAPI-S",VLOOKUP(B203,'20-B.SINAPI-S'!A:J,6,0),IF(D203="SINAPI-I",VLOOKUP(B203,'20-A.SINAPI-I'!A:G,7,0),IF(D203="COMPOSIÇÕES",VLOOKUP(B203,'11.COMPOSIÇÕES GERAIS'!B:I,8,0),VLOOKUP(B203,'12.COT.MERCADO'!A:I,8,0)))),"Em Elaboração")</f>
        <v>206.36</v>
      </c>
      <c r="J203" s="241">
        <f t="shared" si="13"/>
        <v>31.67244173</v>
      </c>
      <c r="K203" s="241">
        <f t="shared" si="14"/>
        <v>241.716605</v>
      </c>
      <c r="L203" s="241">
        <f t="shared" si="15"/>
        <v>273.3890467</v>
      </c>
      <c r="M203" s="241">
        <f t="shared" si="16"/>
        <v>31.67244173</v>
      </c>
      <c r="N203" s="241">
        <f t="shared" si="17"/>
        <v>241.716605</v>
      </c>
      <c r="O203" s="241">
        <f t="shared" si="18"/>
        <v>273.3890467</v>
      </c>
      <c r="P203" s="242">
        <f t="shared" si="3"/>
        <v>0.000876750227</v>
      </c>
    </row>
    <row r="204">
      <c r="A204" s="236" t="s">
        <v>411</v>
      </c>
      <c r="B204" s="245">
        <f>VLOOKUP(A204,'Planilha_Sintética_Geral'!A:P,2,0)</f>
        <v>95305</v>
      </c>
      <c r="C204" s="238" t="str">
        <f t="shared" si="12"/>
        <v>SINAPI</v>
      </c>
      <c r="D204" s="238" t="s">
        <v>218</v>
      </c>
      <c r="E204" s="239" t="str">
        <f>IFERROR(IF(D204="SINAPI-S",VLOOKUP(B204,'20-B.SINAPI-S'!A:J,2,0),IF(D204="SINAPI-I",VLOOKUP(B204,'20-A.SINAPI-I'!A:G,2,0),IF(D204="COMPOSIÇÕES",VLOOKUP(B204,'11.COMPOSIÇÕES GERAIS'!B:I,2,0),VLOOKUP(B204,'12.COT.MERCADO'!A:I,2,0)))),"Em Elaboração")</f>
        <v>TEXTURA ACRÍLICA, APLICAÇÃO MANUAL EM PAREDE, UMA DEMÃO. AF_04/2023</v>
      </c>
      <c r="F204" s="240" t="str">
        <f>IFERROR(IF(D204="SINAPI-S",VLOOKUP(B204,'20-B.SINAPI-S'!A:J,3,0),IF(D204="SINAPI-I",VLOOKUP(B204,'20-A.SINAPI-I'!A:G,3,0),IF(D204="COMPOSIÇÕES",VLOOKUP(B204,'11.COMPOSIÇÕES GERAIS'!B:I,3,0),VLOOKUP(B204,'12.COT.MERCADO'!A:I,7,0)))),"Em Elaboração")</f>
        <v>M2</v>
      </c>
      <c r="G204" s="244">
        <f>VLOOKUP(A204,'Planilha_Sintética_Geral'!A:O,7,0)</f>
        <v>4</v>
      </c>
      <c r="H204" s="241">
        <f>IFERROR(IF(D204="SINAPI-S",VLOOKUP(B204,'20-B.SINAPI-S'!A:J,5,0),IF(D204="SINAPI-I",VLOOKUP(B204,'20-A.SINAPI-I'!A:G,6,0),IF(D204="COMPOSIÇÕES",VLOOKUP(B204,'11.COMPOSIÇÕES GERAIS'!B:I,7,0),0))),"Em Elaboração")</f>
        <v>4.67</v>
      </c>
      <c r="I204" s="241">
        <f>IFERROR(IF(D204="SINAPI-S",VLOOKUP(B204,'20-B.SINAPI-S'!A:J,6,0),IF(D204="SINAPI-I",VLOOKUP(B204,'20-A.SINAPI-I'!A:G,7,0),IF(D204="COMPOSIÇÕES",VLOOKUP(B204,'11.COMPOSIÇÕES GERAIS'!B:I,8,0),VLOOKUP(B204,'12.COT.MERCADO'!A:I,8,0)))),"Em Elaboração")</f>
        <v>9.08</v>
      </c>
      <c r="J204" s="241">
        <f t="shared" si="13"/>
        <v>5.48222027</v>
      </c>
      <c r="K204" s="241">
        <f t="shared" si="14"/>
        <v>10.63571803</v>
      </c>
      <c r="L204" s="241">
        <f t="shared" si="15"/>
        <v>16.1179383</v>
      </c>
      <c r="M204" s="241">
        <f t="shared" si="16"/>
        <v>21.92888108</v>
      </c>
      <c r="N204" s="241">
        <f t="shared" si="17"/>
        <v>42.54287213</v>
      </c>
      <c r="O204" s="241">
        <f t="shared" si="18"/>
        <v>64.47175321</v>
      </c>
      <c r="P204" s="242">
        <f t="shared" si="3"/>
        <v>0.0002067589208</v>
      </c>
    </row>
    <row r="205">
      <c r="A205" s="236" t="s">
        <v>412</v>
      </c>
      <c r="B205" s="237" t="str">
        <f>VLOOKUP(A205,'Planilha_Sintética_Geral'!A:P,2,0)</f>
        <v>MAN_PR_062</v>
      </c>
      <c r="C205" s="238" t="str">
        <f t="shared" si="12"/>
        <v>PRÓPRIO</v>
      </c>
      <c r="D205" s="243" t="s">
        <v>230</v>
      </c>
      <c r="E205" s="239" t="str">
        <f>IFERROR(IF(D205="SINAPI-S",VLOOKUP(B205,'20-B.SINAPI-S'!A:J,2,0),IF(D205="SINAPI-I",VLOOKUP(B205,'20-A.SINAPI-I'!A:G,2,0),IF(D205="COMPOSIÇÕES",VLOOKUP(B205,'11.COMPOSIÇÕES GERAIS'!B:I,2,0),VLOOKUP(B205,'12.COT.MERCADO'!A:I,2,0)))),"Em Elaboração")</f>
        <v>KIT COMPLETO UNIVERSAL PARA REPARO EM CAIXA ACOPLADA - FORNECIMENTO E INSTALAÇÃO</v>
      </c>
      <c r="F205" s="240" t="str">
        <f>IFERROR(IF(D205="SINAPI-S",VLOOKUP(B205,'20-B.SINAPI-S'!A:J,3,0),IF(D205="SINAPI-I",VLOOKUP(B205,'20-A.SINAPI-I'!A:G,3,0),IF(D205="COMPOSIÇÕES",VLOOKUP(B205,'11.COMPOSIÇÕES GERAIS'!B:I,3,0),VLOOKUP(B205,'12.COT.MERCADO'!A:I,7,0)))),"Em Elaboração")</f>
        <v>UN</v>
      </c>
      <c r="G205" s="244">
        <f>VLOOKUP(A205,'Planilha_Sintética_Geral'!A:O,7,0)</f>
        <v>2</v>
      </c>
      <c r="H205" s="241">
        <f>IFERROR(IF(D205="SINAPI-S",VLOOKUP(B205,'20-B.SINAPI-S'!A:J,5,0),IF(D205="SINAPI-I",VLOOKUP(B205,'20-A.SINAPI-I'!A:G,6,0),IF(D205="COMPOSIÇÕES",VLOOKUP(B205,'11.COMPOSIÇÕES GERAIS'!B:I,7,0),0))),"Em Elaboração")</f>
        <v>43.42</v>
      </c>
      <c r="I205" s="241">
        <f>IFERROR(IF(D205="SINAPI-S",VLOOKUP(B205,'20-B.SINAPI-S'!A:J,6,0),IF(D205="SINAPI-I",VLOOKUP(B205,'20-A.SINAPI-I'!A:G,7,0),IF(D205="COMPOSIÇÕES",VLOOKUP(B205,'11.COMPOSIÇÕES GERAIS'!B:I,8,0),VLOOKUP(B205,'12.COT.MERCADO'!A:I,8,0)))),"Em Elaboração")</f>
        <v>145.94</v>
      </c>
      <c r="J205" s="241">
        <f t="shared" si="13"/>
        <v>50.97173536</v>
      </c>
      <c r="K205" s="241">
        <f t="shared" si="14"/>
        <v>170.9445694</v>
      </c>
      <c r="L205" s="241">
        <f t="shared" si="15"/>
        <v>221.9163047</v>
      </c>
      <c r="M205" s="241">
        <f t="shared" si="16"/>
        <v>101.9434707</v>
      </c>
      <c r="N205" s="241">
        <f t="shared" si="17"/>
        <v>341.8891387</v>
      </c>
      <c r="O205" s="241">
        <f t="shared" si="18"/>
        <v>443.8326094</v>
      </c>
      <c r="P205" s="242">
        <f t="shared" si="3"/>
        <v>0.001423357467</v>
      </c>
    </row>
    <row r="206">
      <c r="A206" s="236" t="s">
        <v>413</v>
      </c>
      <c r="B206" s="245">
        <f>VLOOKUP(A206,'Planilha_Sintética_Geral'!A:P,2,0)</f>
        <v>97614</v>
      </c>
      <c r="C206" s="238" t="str">
        <f t="shared" si="12"/>
        <v>SINAPI</v>
      </c>
      <c r="D206" s="238" t="s">
        <v>218</v>
      </c>
      <c r="E206" s="239" t="str">
        <f>IFERROR(IF(D206="SINAPI-S",VLOOKUP(B206,'20-B.SINAPI-S'!A:J,2,0),IF(D206="SINAPI-I",VLOOKUP(B206,'20-A.SINAPI-I'!A:G,2,0),IF(D206="COMPOSIÇÕES",VLOOKUP(B206,'11.COMPOSIÇÕES GERAIS'!B:I,2,0),VLOOKUP(B206,'12.COT.MERCADO'!A:I,2,0)))),"Em Elaboração")</f>
        <v>LÂMPADA COMPACTA DE VAPOR METÁLICO OVOIDE 150 W, BASE E27 - FORNECIMENTO E INSTALAÇÃO. AF_02/2020</v>
      </c>
      <c r="F206" s="240" t="str">
        <f>IFERROR(IF(D206="SINAPI-S",VLOOKUP(B206,'20-B.SINAPI-S'!A:J,3,0),IF(D206="SINAPI-I",VLOOKUP(B206,'20-A.SINAPI-I'!A:G,3,0),IF(D206="COMPOSIÇÕES",VLOOKUP(B206,'11.COMPOSIÇÕES GERAIS'!B:I,3,0),VLOOKUP(B206,'12.COT.MERCADO'!A:I,7,0)))),"Em Elaboração")</f>
        <v>UN</v>
      </c>
      <c r="G206" s="244">
        <f>VLOOKUP(A206,'Planilha_Sintética_Geral'!A:O,7,0)</f>
        <v>10</v>
      </c>
      <c r="H206" s="241">
        <f>IFERROR(IF(D206="SINAPI-S",VLOOKUP(B206,'20-B.SINAPI-S'!A:J,5,0),IF(D206="SINAPI-I",VLOOKUP(B206,'20-A.SINAPI-I'!A:G,6,0),IF(D206="COMPOSIÇÕES",VLOOKUP(B206,'11.COMPOSIÇÕES GERAIS'!B:I,7,0),0))),"Em Elaboração")</f>
        <v>5.45</v>
      </c>
      <c r="I206" s="241">
        <f>IFERROR(IF(D206="SINAPI-S",VLOOKUP(B206,'20-B.SINAPI-S'!A:J,6,0),IF(D206="SINAPI-I",VLOOKUP(B206,'20-A.SINAPI-I'!A:G,7,0),IF(D206="COMPOSIÇÕES",VLOOKUP(B206,'11.COMPOSIÇÕES GERAIS'!B:I,8,0),VLOOKUP(B206,'12.COT.MERCADO'!A:I,8,0)))),"Em Elaboração")</f>
        <v>54.43</v>
      </c>
      <c r="J206" s="241">
        <f t="shared" si="13"/>
        <v>6.397880187</v>
      </c>
      <c r="K206" s="241">
        <f t="shared" si="14"/>
        <v>63.75574147</v>
      </c>
      <c r="L206" s="241">
        <f t="shared" si="15"/>
        <v>70.15362166</v>
      </c>
      <c r="M206" s="241">
        <f t="shared" si="16"/>
        <v>63.97880187</v>
      </c>
      <c r="N206" s="241">
        <f t="shared" si="17"/>
        <v>637.5574147</v>
      </c>
      <c r="O206" s="241">
        <f t="shared" si="18"/>
        <v>701.5362166</v>
      </c>
      <c r="P206" s="242">
        <f t="shared" si="3"/>
        <v>0.002249804974</v>
      </c>
    </row>
    <row r="207">
      <c r="A207" s="236" t="s">
        <v>414</v>
      </c>
      <c r="B207" s="245" t="str">
        <f>VLOOKUP(A207,'Planilha_Sintética_Geral'!A:P,2,0)</f>
        <v>MAN_PR_047</v>
      </c>
      <c r="C207" s="238" t="str">
        <f t="shared" si="12"/>
        <v>PRÓPRIO</v>
      </c>
      <c r="D207" s="243" t="s">
        <v>230</v>
      </c>
      <c r="E207" s="239" t="str">
        <f>IFERROR(IF(D207="SINAPI-S",VLOOKUP(B207,'20-B.SINAPI-S'!A:J,2,0),IF(D207="SINAPI-I",VLOOKUP(B207,'20-A.SINAPI-I'!A:G,2,0),IF(D207="COMPOSIÇÕES",VLOOKUP(B207,'11.COMPOSIÇÕES GERAIS'!B:I,2,0),VLOOKUP(B207,'12.COT.MERCADO'!A:I,2,0)))),"Em Elaboração")</f>
        <v>DUCHA HIGIÊNCIA PLÁSTICA COM REGISTRO METÁLICO 1/2" - FORNECIMENTO E INSTALAÇÃO</v>
      </c>
      <c r="F207" s="240" t="str">
        <f>IFERROR(IF(D207="SINAPI-S",VLOOKUP(B207,'20-B.SINAPI-S'!A:J,3,0),IF(D207="SINAPI-I",VLOOKUP(B207,'20-A.SINAPI-I'!A:G,3,0),IF(D207="COMPOSIÇÕES",VLOOKUP(B207,'11.COMPOSIÇÕES GERAIS'!B:I,3,0),VLOOKUP(B207,'12.COT.MERCADO'!A:I,7,0)))),"Em Elaboração")</f>
        <v>UN</v>
      </c>
      <c r="G207" s="244">
        <f>VLOOKUP(A207,'Planilha_Sintética_Geral'!A:O,7,0)</f>
        <v>1</v>
      </c>
      <c r="H207" s="241">
        <f>IFERROR(IF(D207="SINAPI-S",VLOOKUP(B207,'20-B.SINAPI-S'!A:J,5,0),IF(D207="SINAPI-I",VLOOKUP(B207,'20-A.SINAPI-I'!A:G,6,0),IF(D207="COMPOSIÇÕES",VLOOKUP(B207,'11.COMPOSIÇÕES GERAIS'!B:I,7,0),0))),"Em Elaboração")</f>
        <v>12.3</v>
      </c>
      <c r="I207" s="241">
        <f>IFERROR(IF(D207="SINAPI-S",VLOOKUP(B207,'20-B.SINAPI-S'!A:J,6,0),IF(D207="SINAPI-I",VLOOKUP(B207,'20-A.SINAPI-I'!A:G,7,0),IF(D207="COMPOSIÇÕES",VLOOKUP(B207,'11.COMPOSIÇÕES GERAIS'!B:I,8,0),VLOOKUP(B207,'12.COT.MERCADO'!A:I,8,0)))),"Em Elaboração")</f>
        <v>120.264</v>
      </c>
      <c r="J207" s="241">
        <f t="shared" si="13"/>
        <v>14.43925253</v>
      </c>
      <c r="K207" s="241">
        <f t="shared" si="14"/>
        <v>140.8693825</v>
      </c>
      <c r="L207" s="241">
        <f t="shared" si="15"/>
        <v>155.3086351</v>
      </c>
      <c r="M207" s="241">
        <f t="shared" si="16"/>
        <v>14.43925253</v>
      </c>
      <c r="N207" s="241">
        <f t="shared" si="17"/>
        <v>140.8693825</v>
      </c>
      <c r="O207" s="241">
        <f t="shared" si="18"/>
        <v>155.3086351</v>
      </c>
      <c r="P207" s="242">
        <f t="shared" si="3"/>
        <v>0.0004980699947</v>
      </c>
    </row>
    <row r="208">
      <c r="A208" s="236" t="s">
        <v>415</v>
      </c>
      <c r="B208" s="245">
        <f>VLOOKUP(A208,'Planilha_Sintética_Geral'!A:P,2,0)</f>
        <v>86888</v>
      </c>
      <c r="C208" s="238" t="str">
        <f t="shared" si="12"/>
        <v>SINAPI</v>
      </c>
      <c r="D208" s="238" t="s">
        <v>218</v>
      </c>
      <c r="E208" s="239" t="str">
        <f>IFERROR(IF(D208="SINAPI-S",VLOOKUP(B208,'20-B.SINAPI-S'!A:J,2,0),IF(D208="SINAPI-I",VLOOKUP(B208,'20-A.SINAPI-I'!A:G,2,0),IF(D208="COMPOSIÇÕES",VLOOKUP(B208,'11.COMPOSIÇÕES GERAIS'!B:I,2,0),VLOOKUP(B208,'12.COT.MERCADO'!A:I,2,0)))),"Em Elaboração")</f>
        <v>VASO SANITÁRIO SIFONADO COM CAIXA ACOPLADA LOUÇA BRANCA - FORNECIMENTO E INSTALAÇÃO. AF_01/2020</v>
      </c>
      <c r="F208" s="240" t="str">
        <f>IFERROR(IF(D208="SINAPI-S",VLOOKUP(B208,'20-B.SINAPI-S'!A:J,3,0),IF(D208="SINAPI-I",VLOOKUP(B208,'20-A.SINAPI-I'!A:G,3,0),IF(D208="COMPOSIÇÕES",VLOOKUP(B208,'11.COMPOSIÇÕES GERAIS'!B:I,3,0),VLOOKUP(B208,'12.COT.MERCADO'!A:I,7,0)))),"Em Elaboração")</f>
        <v>UN</v>
      </c>
      <c r="G208" s="244">
        <f>VLOOKUP(A208,'Planilha_Sintética_Geral'!A:O,7,0)</f>
        <v>1</v>
      </c>
      <c r="H208" s="241">
        <f>IFERROR(IF(D208="SINAPI-S",VLOOKUP(B208,'20-B.SINAPI-S'!A:J,5,0),IF(D208="SINAPI-I",VLOOKUP(B208,'20-A.SINAPI-I'!A:G,6,0),IF(D208="COMPOSIÇÕES",VLOOKUP(B208,'11.COMPOSIÇÕES GERAIS'!B:I,7,0),0))),"Em Elaboração")</f>
        <v>26.79</v>
      </c>
      <c r="I208" s="241">
        <f>IFERROR(IF(D208="SINAPI-S",VLOOKUP(B208,'20-B.SINAPI-S'!A:J,6,0),IF(D208="SINAPI-I",VLOOKUP(B208,'20-A.SINAPI-I'!A:G,7,0),IF(D208="COMPOSIÇÕES",VLOOKUP(B208,'11.COMPOSIÇÕES GERAIS'!B:I,8,0),VLOOKUP(B208,'12.COT.MERCADO'!A:I,8,0)))),"Em Elaboração")</f>
        <v>494.12</v>
      </c>
      <c r="J208" s="241">
        <f t="shared" si="13"/>
        <v>31.44939637</v>
      </c>
      <c r="K208" s="241">
        <f t="shared" si="14"/>
        <v>578.7798452</v>
      </c>
      <c r="L208" s="241">
        <f t="shared" si="15"/>
        <v>610.2292416</v>
      </c>
      <c r="M208" s="241">
        <f t="shared" si="16"/>
        <v>31.44939637</v>
      </c>
      <c r="N208" s="241">
        <f t="shared" si="17"/>
        <v>578.7798452</v>
      </c>
      <c r="O208" s="241">
        <f t="shared" si="18"/>
        <v>610.2292416</v>
      </c>
      <c r="P208" s="242">
        <f t="shared" si="3"/>
        <v>0.001956986326</v>
      </c>
    </row>
    <row r="209">
      <c r="A209" s="236" t="s">
        <v>416</v>
      </c>
      <c r="B209" s="245">
        <f>VLOOKUP(A209,'Planilha_Sintética_Geral'!A:P,2,0)</f>
        <v>98576</v>
      </c>
      <c r="C209" s="238" t="str">
        <f t="shared" si="12"/>
        <v>SINAPI</v>
      </c>
      <c r="D209" s="238" t="s">
        <v>218</v>
      </c>
      <c r="E209" s="239" t="str">
        <f>IFERROR(IF(D209="SINAPI-S",VLOOKUP(B209,'20-B.SINAPI-S'!A:J,2,0),IF(D209="SINAPI-I",VLOOKUP(B209,'20-A.SINAPI-I'!A:G,2,0),IF(D209="COMPOSIÇÕES",VLOOKUP(B209,'11.COMPOSIÇÕES GERAIS'!B:I,2,0),VLOOKUP(B209,'12.COT.MERCADO'!A:I,2,0)))),"Em Elaboração")</f>
        <v>TRATAMENTO DE JUNTA DE DILATAÇÃO COM MANTA ASFÁLTICA ADERIDA COM MAÇARICO. AF_06/2018</v>
      </c>
      <c r="F209" s="240" t="str">
        <f>IFERROR(IF(D209="SINAPI-S",VLOOKUP(B209,'20-B.SINAPI-S'!A:J,3,0),IF(D209="SINAPI-I",VLOOKUP(B209,'20-A.SINAPI-I'!A:G,3,0),IF(D209="COMPOSIÇÕES",VLOOKUP(B209,'11.COMPOSIÇÕES GERAIS'!B:I,3,0),VLOOKUP(B209,'12.COT.MERCADO'!A:I,7,0)))),"Em Elaboração")</f>
        <v>M</v>
      </c>
      <c r="G209" s="244">
        <f>VLOOKUP(A209,'Planilha_Sintética_Geral'!A:O,7,0)</f>
        <v>1</v>
      </c>
      <c r="H209" s="241">
        <f>IFERROR(IF(D209="SINAPI-S",VLOOKUP(B209,'20-B.SINAPI-S'!A:J,5,0),IF(D209="SINAPI-I",VLOOKUP(B209,'20-A.SINAPI-I'!A:G,6,0),IF(D209="COMPOSIÇÕES",VLOOKUP(B209,'11.COMPOSIÇÕES GERAIS'!B:I,7,0),0))),"Em Elaboração")</f>
        <v>0.74</v>
      </c>
      <c r="I209" s="241">
        <f>IFERROR(IF(D209="SINAPI-S",VLOOKUP(B209,'20-B.SINAPI-S'!A:J,6,0),IF(D209="SINAPI-I",VLOOKUP(B209,'20-A.SINAPI-I'!A:G,7,0),IF(D209="COMPOSIÇÕES",VLOOKUP(B209,'11.COMPOSIÇÕES GERAIS'!B:I,8,0),VLOOKUP(B209,'12.COT.MERCADO'!A:I,8,0)))),"Em Elaboração")</f>
        <v>21.23</v>
      </c>
      <c r="J209" s="241">
        <f t="shared" si="13"/>
        <v>0.8687029978</v>
      </c>
      <c r="K209" s="241">
        <f t="shared" si="14"/>
        <v>24.86743324</v>
      </c>
      <c r="L209" s="241">
        <f t="shared" si="15"/>
        <v>25.73613624</v>
      </c>
      <c r="M209" s="241">
        <f t="shared" si="16"/>
        <v>0.8687029978</v>
      </c>
      <c r="N209" s="241">
        <f t="shared" si="17"/>
        <v>24.86743324</v>
      </c>
      <c r="O209" s="241">
        <f t="shared" si="18"/>
        <v>25.73613624</v>
      </c>
      <c r="P209" s="242">
        <f t="shared" si="3"/>
        <v>0.00008253499386</v>
      </c>
    </row>
    <row r="210">
      <c r="A210" s="236" t="s">
        <v>417</v>
      </c>
      <c r="B210" s="245">
        <f>VLOOKUP(A210,'Planilha_Sintética_Geral'!A:P,2,0)</f>
        <v>92001</v>
      </c>
      <c r="C210" s="238" t="str">
        <f t="shared" si="12"/>
        <v>SINAPI</v>
      </c>
      <c r="D210" s="238" t="s">
        <v>218</v>
      </c>
      <c r="E210" s="239" t="str">
        <f>IFERROR(IF(D210="SINAPI-S",VLOOKUP(B210,'20-B.SINAPI-S'!A:J,2,0),IF(D210="SINAPI-I",VLOOKUP(B210,'20-A.SINAPI-I'!A:G,2,0),IF(D210="COMPOSIÇÕES",VLOOKUP(B210,'11.COMPOSIÇÕES GERAIS'!B:I,2,0),VLOOKUP(B210,'12.COT.MERCADO'!A:I,2,0)))),"Em Elaboração")</f>
        <v>TOMADA BAIXA DE EMBUTIR (1 MÓDULO), 2P+T 20 A, INCLUINDO SUPORTE E PLACA - FORNECIMENTO E INSTALAÇÃO. AF_03/2023</v>
      </c>
      <c r="F210" s="240" t="str">
        <f>IFERROR(IF(D210="SINAPI-S",VLOOKUP(B210,'20-B.SINAPI-S'!A:J,3,0),IF(D210="SINAPI-I",VLOOKUP(B210,'20-A.SINAPI-I'!A:G,3,0),IF(D210="COMPOSIÇÕES",VLOOKUP(B210,'11.COMPOSIÇÕES GERAIS'!B:I,3,0),VLOOKUP(B210,'12.COT.MERCADO'!A:I,7,0)))),"Em Elaboração")</f>
        <v>UN</v>
      </c>
      <c r="G210" s="244">
        <f>VLOOKUP(A210,'Planilha_Sintética_Geral'!A:O,7,0)</f>
        <v>2</v>
      </c>
      <c r="H210" s="241">
        <f>IFERROR(IF(D210="SINAPI-S",VLOOKUP(B210,'20-B.SINAPI-S'!A:J,5,0),IF(D210="SINAPI-I",VLOOKUP(B210,'20-A.SINAPI-I'!A:G,6,0),IF(D210="COMPOSIÇÕES",VLOOKUP(B210,'11.COMPOSIÇÕES GERAIS'!B:I,7,0),0))),"Em Elaboração")</f>
        <v>16.42</v>
      </c>
      <c r="I210" s="241">
        <f>IFERROR(IF(D210="SINAPI-S",VLOOKUP(B210,'20-B.SINAPI-S'!A:J,6,0),IF(D210="SINAPI-I",VLOOKUP(B210,'20-A.SINAPI-I'!A:G,7,0),IF(D210="COMPOSIÇÕES",VLOOKUP(B210,'11.COMPOSIÇÕES GERAIS'!B:I,8,0),VLOOKUP(B210,'12.COT.MERCADO'!A:I,8,0)))),"Em Elaboração")</f>
        <v>21.33</v>
      </c>
      <c r="J210" s="241">
        <f t="shared" si="13"/>
        <v>19.27581517</v>
      </c>
      <c r="K210" s="241">
        <f t="shared" si="14"/>
        <v>24.9845667</v>
      </c>
      <c r="L210" s="241">
        <f t="shared" si="15"/>
        <v>44.26038187</v>
      </c>
      <c r="M210" s="241">
        <f t="shared" si="16"/>
        <v>38.55163034</v>
      </c>
      <c r="N210" s="241">
        <f t="shared" si="17"/>
        <v>49.9691334</v>
      </c>
      <c r="O210" s="241">
        <f t="shared" si="18"/>
        <v>88.52076374</v>
      </c>
      <c r="P210" s="242">
        <f t="shared" si="3"/>
        <v>0.0002838833546</v>
      </c>
    </row>
    <row r="211">
      <c r="A211" s="236" t="s">
        <v>418</v>
      </c>
      <c r="B211" s="245">
        <f>VLOOKUP(A211,'Planilha_Sintética_Geral'!A:P,2,0)</f>
        <v>97615</v>
      </c>
      <c r="C211" s="238" t="str">
        <f t="shared" si="12"/>
        <v>SINAPI</v>
      </c>
      <c r="D211" s="238" t="s">
        <v>218</v>
      </c>
      <c r="E211" s="239" t="str">
        <f>IFERROR(IF(D211="SINAPI-S",VLOOKUP(B211,'20-B.SINAPI-S'!A:J,2,0),IF(D211="SINAPI-I",VLOOKUP(B211,'20-A.SINAPI-I'!A:G,2,0),IF(D211="COMPOSIÇÕES",VLOOKUP(B211,'11.COMPOSIÇÕES GERAIS'!B:I,2,0),VLOOKUP(B211,'12.COT.MERCADO'!A:I,2,0)))),"Em Elaboração")</f>
        <v>LÂMPADA TUBULAR FLUORESCENTE T8 DE 16/18 W, BASE G13 - FORNECIMENTO E INSTALAÇÃO. AF_02/2020_PS</v>
      </c>
      <c r="F211" s="240" t="str">
        <f>IFERROR(IF(D211="SINAPI-S",VLOOKUP(B211,'20-B.SINAPI-S'!A:J,3,0),IF(D211="SINAPI-I",VLOOKUP(B211,'20-A.SINAPI-I'!A:G,3,0),IF(D211="COMPOSIÇÕES",VLOOKUP(B211,'11.COMPOSIÇÕES GERAIS'!B:I,3,0),VLOOKUP(B211,'12.COT.MERCADO'!A:I,7,0)))),"Em Elaboração")</f>
        <v>UN</v>
      </c>
      <c r="G211" s="244">
        <f>VLOOKUP(A211,'Planilha_Sintética_Geral'!A:O,7,0)</f>
        <v>2</v>
      </c>
      <c r="H211" s="241">
        <f>IFERROR(IF(D211="SINAPI-S",VLOOKUP(B211,'20-B.SINAPI-S'!A:J,5,0),IF(D211="SINAPI-I",VLOOKUP(B211,'20-A.SINAPI-I'!A:G,6,0),IF(D211="COMPOSIÇÕES",VLOOKUP(B211,'11.COMPOSIÇÕES GERAIS'!B:I,7,0),0))),"Em Elaboração")</f>
        <v>8.19</v>
      </c>
      <c r="I211" s="241">
        <f>IFERROR(IF(D211="SINAPI-S",VLOOKUP(B211,'20-B.SINAPI-S'!A:J,6,0),IF(D211="SINAPI-I",VLOOKUP(B211,'20-A.SINAPI-I'!A:G,7,0),IF(D211="COMPOSIÇÕES",VLOOKUP(B211,'11.COMPOSIÇÕES GERAIS'!B:I,8,0),VLOOKUP(B211,'12.COT.MERCADO'!A:I,8,0)))),"Em Elaboração")</f>
        <v>46.28</v>
      </c>
      <c r="J211" s="241">
        <f t="shared" si="13"/>
        <v>9.614429124</v>
      </c>
      <c r="K211" s="241">
        <f t="shared" si="14"/>
        <v>54.2093646</v>
      </c>
      <c r="L211" s="241">
        <f t="shared" si="15"/>
        <v>63.82379372</v>
      </c>
      <c r="M211" s="241">
        <f t="shared" si="16"/>
        <v>19.22885825</v>
      </c>
      <c r="N211" s="241">
        <f t="shared" si="17"/>
        <v>108.4187292</v>
      </c>
      <c r="O211" s="241">
        <f t="shared" si="18"/>
        <v>127.6475874</v>
      </c>
      <c r="P211" s="242">
        <f t="shared" si="3"/>
        <v>0.0004093618695</v>
      </c>
    </row>
    <row r="212">
      <c r="A212" s="236" t="s">
        <v>419</v>
      </c>
      <c r="B212" s="245">
        <f>VLOOKUP(A212,'Planilha_Sintética_Geral'!A:P,2,0)</f>
        <v>86881</v>
      </c>
      <c r="C212" s="238" t="str">
        <f t="shared" si="12"/>
        <v>SINAPI</v>
      </c>
      <c r="D212" s="238" t="s">
        <v>218</v>
      </c>
      <c r="E212" s="239" t="str">
        <f>IFERROR(IF(D212="SINAPI-S",VLOOKUP(B212,'20-B.SINAPI-S'!A:J,2,0),IF(D212="SINAPI-I",VLOOKUP(B212,'20-A.SINAPI-I'!A:G,2,0),IF(D212="COMPOSIÇÕES",VLOOKUP(B212,'11.COMPOSIÇÕES GERAIS'!B:I,2,0),VLOOKUP(B212,'12.COT.MERCADO'!A:I,2,0)))),"Em Elaboração")</f>
        <v>SIFÃO DO TIPO GARRAFA EM METAL CROMADO 1 X 1.1/2_x0094_ - FORNECIMENTO E INSTALAÇÃO. AF_01/2020</v>
      </c>
      <c r="F212" s="240" t="str">
        <f>IFERROR(IF(D212="SINAPI-S",VLOOKUP(B212,'20-B.SINAPI-S'!A:J,3,0),IF(D212="SINAPI-I",VLOOKUP(B212,'20-A.SINAPI-I'!A:G,3,0),IF(D212="COMPOSIÇÕES",VLOOKUP(B212,'11.COMPOSIÇÕES GERAIS'!B:I,3,0),VLOOKUP(B212,'12.COT.MERCADO'!A:I,7,0)))),"Em Elaboração")</f>
        <v>UN</v>
      </c>
      <c r="G212" s="244">
        <f>VLOOKUP(A212,'Planilha_Sintética_Geral'!A:O,7,0)</f>
        <v>1</v>
      </c>
      <c r="H212" s="241">
        <f>IFERROR(IF(D212="SINAPI-S",VLOOKUP(B212,'20-B.SINAPI-S'!A:J,5,0),IF(D212="SINAPI-I",VLOOKUP(B212,'20-A.SINAPI-I'!A:G,6,0),IF(D212="COMPOSIÇÕES",VLOOKUP(B212,'11.COMPOSIÇÕES GERAIS'!B:I,7,0),0))),"Em Elaboração")</f>
        <v>8.21</v>
      </c>
      <c r="I212" s="241">
        <f>IFERROR(IF(D212="SINAPI-S",VLOOKUP(B212,'20-B.SINAPI-S'!A:J,6,0),IF(D212="SINAPI-I",VLOOKUP(B212,'20-A.SINAPI-I'!A:G,7,0),IF(D212="COMPOSIÇÕES",VLOOKUP(B212,'11.COMPOSIÇÕES GERAIS'!B:I,8,0),VLOOKUP(B212,'12.COT.MERCADO'!A:I,8,0)))),"Em Elaboração")</f>
        <v>275.28</v>
      </c>
      <c r="J212" s="241">
        <f t="shared" si="13"/>
        <v>9.637907584</v>
      </c>
      <c r="K212" s="241">
        <f t="shared" si="14"/>
        <v>322.4449846</v>
      </c>
      <c r="L212" s="241">
        <f t="shared" si="15"/>
        <v>332.0828922</v>
      </c>
      <c r="M212" s="241">
        <f t="shared" si="16"/>
        <v>9.637907584</v>
      </c>
      <c r="N212" s="241">
        <f t="shared" si="17"/>
        <v>322.4449846</v>
      </c>
      <c r="O212" s="241">
        <f t="shared" si="18"/>
        <v>332.0828922</v>
      </c>
      <c r="P212" s="242">
        <f t="shared" si="3"/>
        <v>0.001064979576</v>
      </c>
    </row>
    <row r="213">
      <c r="A213" s="236" t="s">
        <v>420</v>
      </c>
      <c r="B213" s="237" t="str">
        <f>VLOOKUP(A213,'Planilha_Sintética_Geral'!A:P,2,0)</f>
        <v>MAN_PR_072</v>
      </c>
      <c r="C213" s="238" t="str">
        <f t="shared" si="12"/>
        <v>PRÓPRIO</v>
      </c>
      <c r="D213" s="243" t="s">
        <v>230</v>
      </c>
      <c r="E213" s="239" t="str">
        <f>IFERROR(IF(D213="SINAPI-S",VLOOKUP(B213,'20-B.SINAPI-S'!A:J,2,0),IF(D213="SINAPI-I",VLOOKUP(B213,'20-A.SINAPI-I'!A:G,2,0),IF(D213="COMPOSIÇÕES",VLOOKUP(B213,'11.COMPOSIÇÕES GERAIS'!B:I,2,0),VLOOKUP(B213,'12.COT.MERCADO'!A:I,2,0)))),"Em Elaboração")</f>
        <v>FORNECIMENTO E INSTALAÇÃO DE DISPOSITIVO DE PROTEÇÃO CONTRA SURTO DE TENSÃO DPS 20KA - 175V</v>
      </c>
      <c r="F213" s="240" t="str">
        <f>IFERROR(IF(D213="SINAPI-S",VLOOKUP(B213,'20-B.SINAPI-S'!A:J,3,0),IF(D213="SINAPI-I",VLOOKUP(B213,'20-A.SINAPI-I'!A:G,3,0),IF(D213="COMPOSIÇÕES",VLOOKUP(B213,'11.COMPOSIÇÕES GERAIS'!B:I,3,0),VLOOKUP(B213,'12.COT.MERCADO'!A:I,7,0)))),"Em Elaboração")</f>
        <v>UN</v>
      </c>
      <c r="G213" s="244">
        <f>VLOOKUP(A213,'Planilha_Sintética_Geral'!A:O,7,0)</f>
        <v>2</v>
      </c>
      <c r="H213" s="241">
        <f>IFERROR(IF(D213="SINAPI-S",VLOOKUP(B213,'20-B.SINAPI-S'!A:J,5,0),IF(D213="SINAPI-I",VLOOKUP(B213,'20-A.SINAPI-I'!A:G,6,0),IF(D213="COMPOSIÇÕES",VLOOKUP(B213,'11.COMPOSIÇÕES GERAIS'!B:I,7,0),0))),"Em Elaboração")</f>
        <v>13.287</v>
      </c>
      <c r="I213" s="241">
        <f>IFERROR(IF(D213="SINAPI-S",VLOOKUP(B213,'20-B.SINAPI-S'!A:J,6,0),IF(D213="SINAPI-I",VLOOKUP(B213,'20-A.SINAPI-I'!A:G,7,0),IF(D213="COMPOSIÇÕES",VLOOKUP(B213,'11.COMPOSIÇÕES GERAIS'!B:I,8,0),VLOOKUP(B213,'12.COT.MERCADO'!A:I,8,0)))),"Em Elaboração")</f>
        <v>73.466</v>
      </c>
      <c r="J213" s="241">
        <f t="shared" si="13"/>
        <v>15.5979145</v>
      </c>
      <c r="K213" s="241">
        <f t="shared" si="14"/>
        <v>86.05326663</v>
      </c>
      <c r="L213" s="241">
        <f t="shared" si="15"/>
        <v>101.6511811</v>
      </c>
      <c r="M213" s="241">
        <f t="shared" si="16"/>
        <v>31.195829</v>
      </c>
      <c r="N213" s="241">
        <f t="shared" si="17"/>
        <v>172.1065333</v>
      </c>
      <c r="O213" s="241">
        <f t="shared" si="18"/>
        <v>203.3023623</v>
      </c>
      <c r="P213" s="242">
        <f t="shared" si="3"/>
        <v>0.0006519843952</v>
      </c>
    </row>
    <row r="214">
      <c r="A214" s="236" t="s">
        <v>421</v>
      </c>
      <c r="B214" s="237">
        <f>VLOOKUP(A214,'Planilha_Sintética_Geral'!A:P,2,0)</f>
        <v>91927</v>
      </c>
      <c r="C214" s="238" t="str">
        <f t="shared" si="12"/>
        <v>SINAPI</v>
      </c>
      <c r="D214" s="238" t="s">
        <v>218</v>
      </c>
      <c r="E214" s="239" t="str">
        <f>IFERROR(IF(D214="SINAPI-S",VLOOKUP(B214,'20-B.SINAPI-S'!A:J,2,0),IF(D214="SINAPI-I",VLOOKUP(B214,'20-A.SINAPI-I'!A:G,2,0),IF(D214="COMPOSIÇÕES",VLOOKUP(B214,'11.COMPOSIÇÕES GERAIS'!B:I,2,0),VLOOKUP(B214,'12.COT.MERCADO'!A:I,2,0)))),"Em Elaboração")</f>
        <v>CABO DE COBRE FLEXÍVEL ISOLADO, 2,5 MM², ANTI-CHAMA 0,6/1,0 KV, PARA CIRCUITOS TERMINAIS - FORNECIMENTO E INSTALAÇÃO. AF_03/2023</v>
      </c>
      <c r="F214" s="240" t="str">
        <f>IFERROR(IF(D214="SINAPI-S",VLOOKUP(B214,'20-B.SINAPI-S'!A:J,3,0),IF(D214="SINAPI-I",VLOOKUP(B214,'20-A.SINAPI-I'!A:G,3,0),IF(D214="COMPOSIÇÕES",VLOOKUP(B214,'11.COMPOSIÇÕES GERAIS'!B:I,3,0),VLOOKUP(B214,'12.COT.MERCADO'!A:I,7,0)))),"Em Elaboração")</f>
        <v>M</v>
      </c>
      <c r="G214" s="244">
        <f>VLOOKUP(A214,'Planilha_Sintética_Geral'!A:O,7,0)</f>
        <v>21</v>
      </c>
      <c r="H214" s="241">
        <f>IFERROR(IF(D214="SINAPI-S",VLOOKUP(B214,'20-B.SINAPI-S'!A:J,5,0),IF(D214="SINAPI-I",VLOOKUP(B214,'20-A.SINAPI-I'!A:G,6,0),IF(D214="COMPOSIÇÕES",VLOOKUP(B214,'11.COMPOSIÇÕES GERAIS'!B:I,7,0),0))),"Em Elaboração")</f>
        <v>1.28</v>
      </c>
      <c r="I214" s="241">
        <f>IFERROR(IF(D214="SINAPI-S",VLOOKUP(B214,'20-B.SINAPI-S'!A:J,6,0),IF(D214="SINAPI-I",VLOOKUP(B214,'20-A.SINAPI-I'!A:G,7,0),IF(D214="COMPOSIÇÕES",VLOOKUP(B214,'11.COMPOSIÇÕES GERAIS'!B:I,8,0),VLOOKUP(B214,'12.COT.MERCADO'!A:I,8,0)))),"Em Elaboração")</f>
        <v>3.68</v>
      </c>
      <c r="J214" s="241">
        <f t="shared" si="13"/>
        <v>1.502621402</v>
      </c>
      <c r="K214" s="241">
        <f t="shared" si="14"/>
        <v>4.310511273</v>
      </c>
      <c r="L214" s="241">
        <f t="shared" si="15"/>
        <v>5.813132675</v>
      </c>
      <c r="M214" s="241">
        <f t="shared" si="16"/>
        <v>31.55504943</v>
      </c>
      <c r="N214" s="241">
        <f t="shared" si="17"/>
        <v>90.52073674</v>
      </c>
      <c r="O214" s="241">
        <f t="shared" si="18"/>
        <v>122.0757862</v>
      </c>
      <c r="P214" s="242">
        <f t="shared" si="3"/>
        <v>0.000391493275</v>
      </c>
    </row>
    <row r="215">
      <c r="A215" s="236" t="s">
        <v>422</v>
      </c>
      <c r="B215" s="237">
        <f>VLOOKUP(A215,'Planilha_Sintética_Geral'!A:P,2,0)</f>
        <v>86887</v>
      </c>
      <c r="C215" s="238" t="str">
        <f t="shared" si="12"/>
        <v>SINAPI</v>
      </c>
      <c r="D215" s="238" t="s">
        <v>218</v>
      </c>
      <c r="E215" s="239" t="str">
        <f>IFERROR(IF(D215="SINAPI-S",VLOOKUP(B215,'20-B.SINAPI-S'!A:J,2,0),IF(D215="SINAPI-I",VLOOKUP(B215,'20-A.SINAPI-I'!A:G,2,0),IF(D215="COMPOSIÇÕES",VLOOKUP(B215,'11.COMPOSIÇÕES GERAIS'!B:I,2,0),VLOOKUP(B215,'12.COT.MERCADO'!A:I,2,0)))),"Em Elaboração")</f>
        <v>ENGATE FLEXÍVEL EM INOX, 1/2  X 40CM - FORNECIMENTO E INSTALAÇÃO. AF_01/2020</v>
      </c>
      <c r="F215" s="240" t="str">
        <f>IFERROR(IF(D215="SINAPI-S",VLOOKUP(B215,'20-B.SINAPI-S'!A:J,3,0),IF(D215="SINAPI-I",VLOOKUP(B215,'20-A.SINAPI-I'!A:G,3,0),IF(D215="COMPOSIÇÕES",VLOOKUP(B215,'11.COMPOSIÇÕES GERAIS'!B:I,3,0),VLOOKUP(B215,'12.COT.MERCADO'!A:I,7,0)))),"Em Elaboração")</f>
        <v>UN</v>
      </c>
      <c r="G215" s="244">
        <f>VLOOKUP(A215,'Planilha_Sintética_Geral'!A:O,7,0)</f>
        <v>5</v>
      </c>
      <c r="H215" s="241">
        <f>IFERROR(IF(D215="SINAPI-S",VLOOKUP(B215,'20-B.SINAPI-S'!A:J,5,0),IF(D215="SINAPI-I",VLOOKUP(B215,'20-A.SINAPI-I'!A:G,6,0),IF(D215="COMPOSIÇÕES",VLOOKUP(B215,'11.COMPOSIÇÕES GERAIS'!B:I,7,0),0))),"Em Elaboração")</f>
        <v>4.57</v>
      </c>
      <c r="I215" s="241">
        <f>IFERROR(IF(D215="SINAPI-S",VLOOKUP(B215,'20-B.SINAPI-S'!A:J,6,0),IF(D215="SINAPI-I",VLOOKUP(B215,'20-A.SINAPI-I'!A:G,7,0),IF(D215="COMPOSIÇÕES",VLOOKUP(B215,'11.COMPOSIÇÕES GERAIS'!B:I,8,0),VLOOKUP(B215,'12.COT.MERCADO'!A:I,8,0)))),"Em Elaboração")</f>
        <v>69.98</v>
      </c>
      <c r="J215" s="241">
        <f t="shared" si="13"/>
        <v>5.364827973</v>
      </c>
      <c r="K215" s="241">
        <f t="shared" si="14"/>
        <v>81.96999427</v>
      </c>
      <c r="L215" s="241">
        <f t="shared" si="15"/>
        <v>87.33482224</v>
      </c>
      <c r="M215" s="241">
        <f t="shared" si="16"/>
        <v>26.82413986</v>
      </c>
      <c r="N215" s="241">
        <f t="shared" si="17"/>
        <v>409.8499713</v>
      </c>
      <c r="O215" s="241">
        <f t="shared" si="18"/>
        <v>436.6741112</v>
      </c>
      <c r="P215" s="242">
        <f t="shared" si="3"/>
        <v>0.001400400384</v>
      </c>
    </row>
    <row r="216">
      <c r="A216" s="236" t="s">
        <v>423</v>
      </c>
      <c r="B216" s="237">
        <f>VLOOKUP(A216,'Planilha_Sintética_Geral'!A:P,2,0)</f>
        <v>93666</v>
      </c>
      <c r="C216" s="238" t="str">
        <f t="shared" si="12"/>
        <v>SINAPI</v>
      </c>
      <c r="D216" s="238" t="s">
        <v>218</v>
      </c>
      <c r="E216" s="239" t="str">
        <f>IFERROR(IF(D216="SINAPI-S",VLOOKUP(B216,'20-B.SINAPI-S'!A:J,2,0),IF(D216="SINAPI-I",VLOOKUP(B216,'20-A.SINAPI-I'!A:G,2,0),IF(D216="COMPOSIÇÕES",VLOOKUP(B216,'11.COMPOSIÇÕES GERAIS'!B:I,2,0),VLOOKUP(B216,'12.COT.MERCADO'!A:I,2,0)))),"Em Elaboração")</f>
        <v>DISJUNTOR BIPOLAR TIPO DIN, CORRENTE NOMINAL DE 50A - FORNECIMENTO E INSTALAÇÃO. AF_10/2020</v>
      </c>
      <c r="F216" s="240" t="str">
        <f>IFERROR(IF(D216="SINAPI-S",VLOOKUP(B216,'20-B.SINAPI-S'!A:J,3,0),IF(D216="SINAPI-I",VLOOKUP(B216,'20-A.SINAPI-I'!A:G,3,0),IF(D216="COMPOSIÇÕES",VLOOKUP(B216,'11.COMPOSIÇÕES GERAIS'!B:I,3,0),VLOOKUP(B216,'12.COT.MERCADO'!A:I,7,0)))),"Em Elaboração")</f>
        <v>UN</v>
      </c>
      <c r="G216" s="244">
        <f>VLOOKUP(A216,'Planilha_Sintética_Geral'!A:O,7,0)</f>
        <v>1</v>
      </c>
      <c r="H216" s="241">
        <f>IFERROR(IF(D216="SINAPI-S",VLOOKUP(B216,'20-B.SINAPI-S'!A:J,5,0),IF(D216="SINAPI-I",VLOOKUP(B216,'20-A.SINAPI-I'!A:G,6,0),IF(D216="COMPOSIÇÕES",VLOOKUP(B216,'11.COMPOSIÇÕES GERAIS'!B:I,7,0),0))),"Em Elaboração")</f>
        <v>16.75</v>
      </c>
      <c r="I216" s="241">
        <f>IFERROR(IF(D216="SINAPI-S",VLOOKUP(B216,'20-B.SINAPI-S'!A:J,6,0),IF(D216="SINAPI-I",VLOOKUP(B216,'20-A.SINAPI-I'!A:G,7,0),IF(D216="COMPOSIÇÕES",VLOOKUP(B216,'11.COMPOSIÇÕES GERAIS'!B:I,8,0),VLOOKUP(B216,'12.COT.MERCADO'!A:I,8,0)))),"Em Elaboração")</f>
        <v>61.75</v>
      </c>
      <c r="J216" s="241">
        <f t="shared" si="13"/>
        <v>19.66320975</v>
      </c>
      <c r="K216" s="241">
        <f t="shared" si="14"/>
        <v>72.32991063</v>
      </c>
      <c r="L216" s="241">
        <f t="shared" si="15"/>
        <v>91.99312038</v>
      </c>
      <c r="M216" s="241">
        <f t="shared" si="16"/>
        <v>19.66320975</v>
      </c>
      <c r="N216" s="241">
        <f t="shared" si="17"/>
        <v>72.32991063</v>
      </c>
      <c r="O216" s="241">
        <f t="shared" si="18"/>
        <v>91.99312038</v>
      </c>
      <c r="P216" s="242">
        <f t="shared" si="3"/>
        <v>0.0002950190951</v>
      </c>
    </row>
    <row r="217">
      <c r="A217" s="236" t="s">
        <v>424</v>
      </c>
      <c r="B217" s="237">
        <f>VLOOKUP(A217,'Planilha_Sintética_Geral'!A:P,2,0)</f>
        <v>99624</v>
      </c>
      <c r="C217" s="238" t="str">
        <f t="shared" si="12"/>
        <v>SINAPI</v>
      </c>
      <c r="D217" s="238" t="s">
        <v>218</v>
      </c>
      <c r="E217" s="239" t="str">
        <f>IFERROR(IF(D217="SINAPI-S",VLOOKUP(B217,'20-B.SINAPI-S'!A:J,2,0),IF(D217="SINAPI-I",VLOOKUP(B217,'20-A.SINAPI-I'!A:G,2,0),IF(D217="COMPOSIÇÕES",VLOOKUP(B217,'11.COMPOSIÇÕES GERAIS'!B:I,2,0),VLOOKUP(B217,'12.COT.MERCADO'!A:I,2,0)))),"Em Elaboração")</f>
        <v>VÁLVULA DE RETENÇÃO HORIZONTAL, DE BRONZE, ROSCÁVEL, 2 1/2" - FORNECIMENTO E INSTALAÇÃO. AF_08/2021</v>
      </c>
      <c r="F217" s="240" t="str">
        <f>IFERROR(IF(D217="SINAPI-S",VLOOKUP(B217,'20-B.SINAPI-S'!A:J,3,0),IF(D217="SINAPI-I",VLOOKUP(B217,'20-A.SINAPI-I'!A:G,3,0),IF(D217="COMPOSIÇÕES",VLOOKUP(B217,'11.COMPOSIÇÕES GERAIS'!B:I,3,0),VLOOKUP(B217,'12.COT.MERCADO'!A:I,7,0)))),"Em Elaboração")</f>
        <v>UN</v>
      </c>
      <c r="G217" s="244">
        <f>VLOOKUP(A217,'Planilha_Sintética_Geral'!A:O,7,0)</f>
        <v>1</v>
      </c>
      <c r="H217" s="241">
        <f>IFERROR(IF(D217="SINAPI-S",VLOOKUP(B217,'20-B.SINAPI-S'!A:J,5,0),IF(D217="SINAPI-I",VLOOKUP(B217,'20-A.SINAPI-I'!A:G,6,0),IF(D217="COMPOSIÇÕES",VLOOKUP(B217,'11.COMPOSIÇÕES GERAIS'!B:I,7,0),0))),"Em Elaboração")</f>
        <v>19.72</v>
      </c>
      <c r="I217" s="241">
        <f>IFERROR(IF(D217="SINAPI-S",VLOOKUP(B217,'20-B.SINAPI-S'!A:J,6,0),IF(D217="SINAPI-I",VLOOKUP(B217,'20-A.SINAPI-I'!A:G,7,0),IF(D217="COMPOSIÇÕES",VLOOKUP(B217,'11.COMPOSIÇÕES GERAIS'!B:I,8,0),VLOOKUP(B217,'12.COT.MERCADO'!A:I,8,0)))),"Em Elaboração")</f>
        <v>521.49</v>
      </c>
      <c r="J217" s="241">
        <f t="shared" si="13"/>
        <v>23.14976097</v>
      </c>
      <c r="K217" s="241">
        <f t="shared" si="14"/>
        <v>610.8392728</v>
      </c>
      <c r="L217" s="241">
        <f t="shared" si="15"/>
        <v>633.9890338</v>
      </c>
      <c r="M217" s="241">
        <f t="shared" si="16"/>
        <v>23.14976097</v>
      </c>
      <c r="N217" s="241">
        <f t="shared" si="17"/>
        <v>610.8392728</v>
      </c>
      <c r="O217" s="241">
        <f t="shared" si="18"/>
        <v>633.9890338</v>
      </c>
      <c r="P217" s="242">
        <f t="shared" si="3"/>
        <v>0.002033183245</v>
      </c>
    </row>
    <row r="218">
      <c r="A218" s="236" t="s">
        <v>425</v>
      </c>
      <c r="B218" s="237">
        <f>VLOOKUP(A218,'Planilha_Sintética_Geral'!A:P,2,0)</f>
        <v>101902</v>
      </c>
      <c r="C218" s="238" t="str">
        <f t="shared" si="12"/>
        <v>SINAPI</v>
      </c>
      <c r="D218" s="238" t="s">
        <v>218</v>
      </c>
      <c r="E218" s="239" t="str">
        <f>IFERROR(IF(D218="SINAPI-S",VLOOKUP(B218,'20-B.SINAPI-S'!A:J,2,0),IF(D218="SINAPI-I",VLOOKUP(B218,'20-A.SINAPI-I'!A:G,2,0),IF(D218="COMPOSIÇÕES",VLOOKUP(B218,'11.COMPOSIÇÕES GERAIS'!B:I,2,0),VLOOKUP(B218,'12.COT.MERCADO'!A:I,2,0)))),"Em Elaboração")</f>
        <v>CONTATOR TRIPOLAR I NOMINAL 22A - FORNECIMENTO E INSTALAÇÃO. AF_10/2020</v>
      </c>
      <c r="F218" s="240" t="str">
        <f>IFERROR(IF(D218="SINAPI-S",VLOOKUP(B218,'20-B.SINAPI-S'!A:J,3,0),IF(D218="SINAPI-I",VLOOKUP(B218,'20-A.SINAPI-I'!A:G,3,0),IF(D218="COMPOSIÇÕES",VLOOKUP(B218,'11.COMPOSIÇÕES GERAIS'!B:I,3,0),VLOOKUP(B218,'12.COT.MERCADO'!A:I,7,0)))),"Em Elaboração")</f>
        <v>UN</v>
      </c>
      <c r="G218" s="244">
        <f>VLOOKUP(A218,'Planilha_Sintética_Geral'!A:O,7,0)</f>
        <v>1</v>
      </c>
      <c r="H218" s="241">
        <f>IFERROR(IF(D218="SINAPI-S",VLOOKUP(B218,'20-B.SINAPI-S'!A:J,5,0),IF(D218="SINAPI-I",VLOOKUP(B218,'20-A.SINAPI-I'!A:G,6,0),IF(D218="COMPOSIÇÕES",VLOOKUP(B218,'11.COMPOSIÇÕES GERAIS'!B:I,7,0),0))),"Em Elaboração")</f>
        <v>8.79</v>
      </c>
      <c r="I218" s="241">
        <f>IFERROR(IF(D218="SINAPI-S",VLOOKUP(B218,'20-B.SINAPI-S'!A:J,6,0),IF(D218="SINAPI-I",VLOOKUP(B218,'20-A.SINAPI-I'!A:G,7,0),IF(D218="COMPOSIÇÕES",VLOOKUP(B218,'11.COMPOSIÇÕES GERAIS'!B:I,8,0),VLOOKUP(B218,'12.COT.MERCADO'!A:I,8,0)))),"Em Elaboração")</f>
        <v>138.1</v>
      </c>
      <c r="J218" s="241">
        <f t="shared" si="13"/>
        <v>10.31878291</v>
      </c>
      <c r="K218" s="241">
        <f t="shared" si="14"/>
        <v>161.7613062</v>
      </c>
      <c r="L218" s="241">
        <f t="shared" si="15"/>
        <v>172.0800891</v>
      </c>
      <c r="M218" s="241">
        <f t="shared" si="16"/>
        <v>10.31878291</v>
      </c>
      <c r="N218" s="241">
        <f t="shared" si="17"/>
        <v>161.7613062</v>
      </c>
      <c r="O218" s="241">
        <f t="shared" si="18"/>
        <v>172.0800891</v>
      </c>
      <c r="P218" s="242">
        <f t="shared" si="3"/>
        <v>0.0005518555297</v>
      </c>
    </row>
    <row r="219">
      <c r="A219" s="236" t="s">
        <v>426</v>
      </c>
      <c r="B219" s="237" t="str">
        <f>VLOOKUP(A219,'Planilha_Sintética_Geral'!A:P,2,0)</f>
        <v>MAN_PR_070</v>
      </c>
      <c r="C219" s="238" t="str">
        <f t="shared" si="12"/>
        <v>PRÓPRIO</v>
      </c>
      <c r="D219" s="243" t="s">
        <v>230</v>
      </c>
      <c r="E219" s="239" t="str">
        <f>IFERROR(IF(D219="SINAPI-S",VLOOKUP(B219,'20-B.SINAPI-S'!A:J,2,0),IF(D219="SINAPI-I",VLOOKUP(B219,'20-A.SINAPI-I'!A:G,2,0),IF(D219="COMPOSIÇÕES",VLOOKUP(B219,'11.COMPOSIÇÕES GERAIS'!B:I,2,0),VLOOKUP(B219,'12.COT.MERCADO'!A:I,2,0)))),"Em Elaboração")</f>
        <v>FORNECIMENTO E INSTALAÇÃO DE RELÊ TÉRMICO BIMETAL PARA USO EM MOTORES TRIFÁSICOS, TENSÃO 380V, POTÊNCIA DE ATÉ 15 CV, CORRENTE NOMINAL MÁXIMA DE 22A</v>
      </c>
      <c r="F219" s="240" t="str">
        <f>IFERROR(IF(D219="SINAPI-S",VLOOKUP(B219,'20-B.SINAPI-S'!A:J,3,0),IF(D219="SINAPI-I",VLOOKUP(B219,'20-A.SINAPI-I'!A:G,3,0),IF(D219="COMPOSIÇÕES",VLOOKUP(B219,'11.COMPOSIÇÕES GERAIS'!B:I,3,0),VLOOKUP(B219,'12.COT.MERCADO'!A:I,7,0)))),"Em Elaboração")</f>
        <v>UN</v>
      </c>
      <c r="G219" s="244">
        <f>VLOOKUP(A219,'Planilha_Sintética_Geral'!A:O,7,0)</f>
        <v>5</v>
      </c>
      <c r="H219" s="241">
        <f>IFERROR(IF(D219="SINAPI-S",VLOOKUP(B219,'20-B.SINAPI-S'!A:J,5,0),IF(D219="SINAPI-I",VLOOKUP(B219,'20-A.SINAPI-I'!A:G,6,0),IF(D219="COMPOSIÇÕES",VLOOKUP(B219,'11.COMPOSIÇÕES GERAIS'!B:I,7,0),0))),"Em Elaboração")</f>
        <v>39.861</v>
      </c>
      <c r="I219" s="241">
        <f>IFERROR(IF(D219="SINAPI-S",VLOOKUP(B219,'20-B.SINAPI-S'!A:J,6,0),IF(D219="SINAPI-I",VLOOKUP(B219,'20-A.SINAPI-I'!A:G,7,0),IF(D219="COMPOSIÇÕES",VLOOKUP(B219,'11.COMPOSIÇÕES GERAIS'!B:I,8,0),VLOOKUP(B219,'12.COT.MERCADO'!A:I,8,0)))),"Em Elaboração")</f>
        <v>122.978</v>
      </c>
      <c r="J219" s="241">
        <f t="shared" si="13"/>
        <v>46.79374351</v>
      </c>
      <c r="K219" s="241">
        <f t="shared" si="14"/>
        <v>144.0483846</v>
      </c>
      <c r="L219" s="241">
        <f t="shared" si="15"/>
        <v>190.8421281</v>
      </c>
      <c r="M219" s="241">
        <f t="shared" si="16"/>
        <v>233.9687175</v>
      </c>
      <c r="N219" s="241">
        <f t="shared" si="17"/>
        <v>720.2419231</v>
      </c>
      <c r="O219" s="241">
        <f t="shared" si="18"/>
        <v>954.2106406</v>
      </c>
      <c r="P219" s="242">
        <f t="shared" si="3"/>
        <v>0.003060124046</v>
      </c>
    </row>
    <row r="220">
      <c r="A220" s="236" t="s">
        <v>427</v>
      </c>
      <c r="B220" s="237" t="str">
        <f>VLOOKUP(A220,'Planilha_Sintética_Geral'!A:P,2,0)</f>
        <v>MAN_PR_071</v>
      </c>
      <c r="C220" s="238" t="str">
        <f t="shared" si="12"/>
        <v>PRÓPRIO</v>
      </c>
      <c r="D220" s="243" t="s">
        <v>230</v>
      </c>
      <c r="E220" s="239" t="str">
        <f>IFERROR(IF(D220="SINAPI-S",VLOOKUP(B220,'20-B.SINAPI-S'!A:J,2,0),IF(D220="SINAPI-I",VLOOKUP(B220,'20-A.SINAPI-I'!A:G,2,0),IF(D220="COMPOSIÇÕES",VLOOKUP(B220,'11.COMPOSIÇÕES GERAIS'!B:I,2,0),VLOOKUP(B220,'12.COT.MERCADO'!A:I,2,0)))),"Em Elaboração")</f>
        <v>FORNECIMENTO E INSTALAÇÃO DE REFLETOR LED 5OW DE POTÊNCIA, BRANCO FRIO, 6500K, BIVOLT</v>
      </c>
      <c r="F220" s="240" t="str">
        <f>IFERROR(IF(D220="SINAPI-S",VLOOKUP(B220,'20-B.SINAPI-S'!A:J,3,0),IF(D220="SINAPI-I",VLOOKUP(B220,'20-A.SINAPI-I'!A:G,3,0),IF(D220="COMPOSIÇÕES",VLOOKUP(B220,'11.COMPOSIÇÕES GERAIS'!B:I,3,0),VLOOKUP(B220,'12.COT.MERCADO'!A:I,7,0)))),"Em Elaboração")</f>
        <v>UN</v>
      </c>
      <c r="G220" s="244">
        <f>VLOOKUP(A220,'Planilha_Sintética_Geral'!A:O,7,0)</f>
        <v>4</v>
      </c>
      <c r="H220" s="241">
        <f>IFERROR(IF(D220="SINAPI-S",VLOOKUP(B220,'20-B.SINAPI-S'!A:J,5,0),IF(D220="SINAPI-I",VLOOKUP(B220,'20-A.SINAPI-I'!A:G,6,0),IF(D220="COMPOSIÇÕES",VLOOKUP(B220,'11.COMPOSIÇÕES GERAIS'!B:I,7,0),0))),"Em Elaboração")</f>
        <v>18.305</v>
      </c>
      <c r="I220" s="241">
        <f>IFERROR(IF(D220="SINAPI-S",VLOOKUP(B220,'20-B.SINAPI-S'!A:J,6,0),IF(D220="SINAPI-I",VLOOKUP(B220,'20-A.SINAPI-I'!A:G,7,0),IF(D220="COMPOSIÇÕES",VLOOKUP(B220,'11.COMPOSIÇÕES GERAIS'!B:I,8,0),VLOOKUP(B220,'12.COT.MERCADO'!A:I,8,0)))),"Em Elaboração")</f>
        <v>50.288</v>
      </c>
      <c r="J220" s="241">
        <f t="shared" si="13"/>
        <v>21.48865997</v>
      </c>
      <c r="K220" s="241">
        <f t="shared" si="14"/>
        <v>58.90407362</v>
      </c>
      <c r="L220" s="241">
        <f t="shared" si="15"/>
        <v>80.39273358</v>
      </c>
      <c r="M220" s="241">
        <f t="shared" si="16"/>
        <v>85.95463986</v>
      </c>
      <c r="N220" s="241">
        <f t="shared" si="17"/>
        <v>235.6162945</v>
      </c>
      <c r="O220" s="241">
        <f t="shared" si="18"/>
        <v>321.5709343</v>
      </c>
      <c r="P220" s="242">
        <f t="shared" si="3"/>
        <v>0.001031268052</v>
      </c>
    </row>
    <row r="221">
      <c r="A221" s="236" t="s">
        <v>428</v>
      </c>
      <c r="B221" s="237" t="str">
        <f>VLOOKUP(A221,'Planilha_Sintética_Geral'!A:P,2,0)</f>
        <v>MAN_PR_056</v>
      </c>
      <c r="C221" s="238" t="str">
        <f t="shared" si="12"/>
        <v>PRÓPRIO</v>
      </c>
      <c r="D221" s="243" t="s">
        <v>230</v>
      </c>
      <c r="E221" s="239" t="str">
        <f>IFERROR(IF(D221="SINAPI-S",VLOOKUP(B221,'20-B.SINAPI-S'!A:J,2,0),IF(D221="SINAPI-I",VLOOKUP(B221,'20-A.SINAPI-I'!A:G,2,0),IF(D221="COMPOSIÇÕES",VLOOKUP(B221,'11.COMPOSIÇÕES GERAIS'!B:I,2,0),VLOOKUP(B221,'12.COT.MERCADO'!A:I,2,0)))),"Em Elaboração")</f>
        <v>FORNECIMENTO E INSTALAÇÃO DE ADAPTADOR DE PORCELANA PARA LÂMPADA BASE E40 PARA E27</v>
      </c>
      <c r="F221" s="240" t="str">
        <f>IFERROR(IF(D221="SINAPI-S",VLOOKUP(B221,'20-B.SINAPI-S'!A:J,3,0),IF(D221="SINAPI-I",VLOOKUP(B221,'20-A.SINAPI-I'!A:G,3,0),IF(D221="COMPOSIÇÕES",VLOOKUP(B221,'11.COMPOSIÇÕES GERAIS'!B:I,3,0),VLOOKUP(B221,'12.COT.MERCADO'!A:I,7,0)))),"Em Elaboração")</f>
        <v>UN</v>
      </c>
      <c r="G221" s="244">
        <f>VLOOKUP(A221,'Planilha_Sintética_Geral'!A:O,7,0)</f>
        <v>18</v>
      </c>
      <c r="H221" s="241">
        <f>IFERROR(IF(D221="SINAPI-S",VLOOKUP(B221,'20-B.SINAPI-S'!A:J,5,0),IF(D221="SINAPI-I",VLOOKUP(B221,'20-A.SINAPI-I'!A:G,6,0),IF(D221="COMPOSIÇÕES",VLOOKUP(B221,'11.COMPOSIÇÕES GERAIS'!B:I,7,0),0))),"Em Elaboração")</f>
        <v>6.6435</v>
      </c>
      <c r="I221" s="241">
        <f>IFERROR(IF(D221="SINAPI-S",VLOOKUP(B221,'20-B.SINAPI-S'!A:J,6,0),IF(D221="SINAPI-I",VLOOKUP(B221,'20-A.SINAPI-I'!A:G,7,0),IF(D221="COMPOSIÇÕES",VLOOKUP(B221,'11.COMPOSIÇÕES GERAIS'!B:I,8,0),VLOOKUP(B221,'12.COT.MERCADO'!A:I,8,0)))),"Em Elaboração")</f>
        <v>13.608</v>
      </c>
      <c r="J221" s="241">
        <f t="shared" si="13"/>
        <v>7.798957251</v>
      </c>
      <c r="K221" s="241">
        <f t="shared" si="14"/>
        <v>15.93952103</v>
      </c>
      <c r="L221" s="241">
        <f t="shared" si="15"/>
        <v>23.73847829</v>
      </c>
      <c r="M221" s="241">
        <f t="shared" si="16"/>
        <v>140.3812305</v>
      </c>
      <c r="N221" s="241">
        <f t="shared" si="17"/>
        <v>286.9113786</v>
      </c>
      <c r="O221" s="241">
        <f t="shared" si="18"/>
        <v>427.2926091</v>
      </c>
      <c r="P221" s="242">
        <f t="shared" si="3"/>
        <v>0.001370314197</v>
      </c>
    </row>
    <row r="222">
      <c r="A222" s="236" t="s">
        <v>429</v>
      </c>
      <c r="B222" s="237">
        <f>VLOOKUP(A222,'Planilha_Sintética_Geral'!A:P,2,0)</f>
        <v>94796</v>
      </c>
      <c r="C222" s="238" t="str">
        <f t="shared" si="12"/>
        <v>SINAPI</v>
      </c>
      <c r="D222" s="238" t="s">
        <v>218</v>
      </c>
      <c r="E222" s="239" t="str">
        <f>IFERROR(IF(D222="SINAPI-S",VLOOKUP(B222,'20-B.SINAPI-S'!A:J,2,0),IF(D222="SINAPI-I",VLOOKUP(B222,'20-A.SINAPI-I'!A:G,2,0),IF(D222="COMPOSIÇÕES",VLOOKUP(B222,'11.COMPOSIÇÕES GERAIS'!B:I,2,0),VLOOKUP(B222,'12.COT.MERCADO'!A:I,2,0)))),"Em Elaboração")</f>
        <v>TORNEIRA DE BOIA PARA CAIXA D'ÁGUA, ROSCÁVEL, 3/4" - FORNECIMENTO E INSTALAÇÃO. AF_08/2021</v>
      </c>
      <c r="F222" s="240" t="str">
        <f>IFERROR(IF(D222="SINAPI-S",VLOOKUP(B222,'20-B.SINAPI-S'!A:J,3,0),IF(D222="SINAPI-I",VLOOKUP(B222,'20-A.SINAPI-I'!A:G,3,0),IF(D222="COMPOSIÇÕES",VLOOKUP(B222,'11.COMPOSIÇÕES GERAIS'!B:I,3,0),VLOOKUP(B222,'12.COT.MERCADO'!A:I,7,0)))),"Em Elaboração")</f>
        <v>UN</v>
      </c>
      <c r="G222" s="244">
        <f>VLOOKUP(A222,'Planilha_Sintética_Geral'!A:O,7,0)</f>
        <v>1</v>
      </c>
      <c r="H222" s="241">
        <f>IFERROR(IF(D222="SINAPI-S",VLOOKUP(B222,'20-B.SINAPI-S'!A:J,5,0),IF(D222="SINAPI-I",VLOOKUP(B222,'20-A.SINAPI-I'!A:G,6,0),IF(D222="COMPOSIÇÕES",VLOOKUP(B222,'11.COMPOSIÇÕES GERAIS'!B:I,7,0),0))),"Em Elaboração")</f>
        <v>8.25</v>
      </c>
      <c r="I222" s="241">
        <f>IFERROR(IF(D222="SINAPI-S",VLOOKUP(B222,'20-B.SINAPI-S'!A:J,6,0),IF(D222="SINAPI-I",VLOOKUP(B222,'20-A.SINAPI-I'!A:G,7,0),IF(D222="COMPOSIÇÕES",VLOOKUP(B222,'11.COMPOSIÇÕES GERAIS'!B:I,8,0),VLOOKUP(B222,'12.COT.MERCADO'!A:I,8,0)))),"Em Elaboração")</f>
        <v>34.52</v>
      </c>
      <c r="J222" s="241">
        <f t="shared" si="13"/>
        <v>9.684864503</v>
      </c>
      <c r="K222" s="241">
        <f t="shared" si="14"/>
        <v>40.43446988</v>
      </c>
      <c r="L222" s="241">
        <f t="shared" si="15"/>
        <v>50.11933438</v>
      </c>
      <c r="M222" s="241">
        <f t="shared" si="16"/>
        <v>9.684864503</v>
      </c>
      <c r="N222" s="241">
        <f t="shared" si="17"/>
        <v>40.43446988</v>
      </c>
      <c r="O222" s="241">
        <f t="shared" si="18"/>
        <v>50.11933438</v>
      </c>
      <c r="P222" s="242">
        <f t="shared" si="3"/>
        <v>0.000160731157</v>
      </c>
    </row>
    <row r="223">
      <c r="A223" s="236" t="s">
        <v>430</v>
      </c>
      <c r="B223" s="237">
        <f>VLOOKUP(A223,'Planilha_Sintética_Geral'!A:P,2,0)</f>
        <v>97885</v>
      </c>
      <c r="C223" s="238" t="str">
        <f t="shared" si="12"/>
        <v>SINAPI</v>
      </c>
      <c r="D223" s="238" t="s">
        <v>218</v>
      </c>
      <c r="E223" s="239" t="str">
        <f>IFERROR(IF(D223="SINAPI-S",VLOOKUP(B223,'20-B.SINAPI-S'!A:J,2,0),IF(D223="SINAPI-I",VLOOKUP(B223,'20-A.SINAPI-I'!A:G,2,0),IF(D223="COMPOSIÇÕES",VLOOKUP(B223,'11.COMPOSIÇÕES GERAIS'!B:I,2,0),VLOOKUP(B223,'12.COT.MERCADO'!A:I,2,0)))),"Em Elaboração")</f>
        <v>CAIXA ENTERRADA ELÉTRICA RETANGULAR, EM CONCRETO PRÉ-MOLDADO, FUNDO COM BRITA, DIMENSÕES INTERNAS: 1X1X0,5 M. AF_12/2020</v>
      </c>
      <c r="F223" s="240" t="str">
        <f>IFERROR(IF(D223="SINAPI-S",VLOOKUP(B223,'20-B.SINAPI-S'!A:J,3,0),IF(D223="SINAPI-I",VLOOKUP(B223,'20-A.SINAPI-I'!A:G,3,0),IF(D223="COMPOSIÇÕES",VLOOKUP(B223,'11.COMPOSIÇÕES GERAIS'!B:I,3,0),VLOOKUP(B223,'12.COT.MERCADO'!A:I,7,0)))),"Em Elaboração")</f>
        <v>UN</v>
      </c>
      <c r="G223" s="244">
        <f>VLOOKUP(A223,'Planilha_Sintética_Geral'!A:O,7,0)</f>
        <v>4</v>
      </c>
      <c r="H223" s="241">
        <f>IFERROR(IF(D223="SINAPI-S",VLOOKUP(B223,'20-B.SINAPI-S'!A:J,5,0),IF(D223="SINAPI-I",VLOOKUP(B223,'20-A.SINAPI-I'!A:G,6,0),IF(D223="COMPOSIÇÕES",VLOOKUP(B223,'11.COMPOSIÇÕES GERAIS'!B:I,7,0),0))),"Em Elaboração")</f>
        <v>131.11</v>
      </c>
      <c r="I223" s="241">
        <f>IFERROR(IF(D223="SINAPI-S",VLOOKUP(B223,'20-B.SINAPI-S'!A:J,6,0),IF(D223="SINAPI-I",VLOOKUP(B223,'20-A.SINAPI-I'!A:G,7,0),IF(D223="COMPOSIÇÕES",VLOOKUP(B223,'11.COMPOSIÇÕES GERAIS'!B:I,8,0),VLOOKUP(B223,'12.COT.MERCADO'!A:I,8,0)))),"Em Elaboração")</f>
        <v>824.54</v>
      </c>
      <c r="J223" s="241">
        <f t="shared" si="13"/>
        <v>153.9130406</v>
      </c>
      <c r="K223" s="241">
        <f t="shared" si="14"/>
        <v>965.8122188</v>
      </c>
      <c r="L223" s="241">
        <f t="shared" si="15"/>
        <v>1119.725259</v>
      </c>
      <c r="M223" s="241">
        <f t="shared" si="16"/>
        <v>615.6521624</v>
      </c>
      <c r="N223" s="241">
        <f t="shared" si="17"/>
        <v>3863.248875</v>
      </c>
      <c r="O223" s="241">
        <f t="shared" si="18"/>
        <v>4478.901038</v>
      </c>
      <c r="P223" s="242">
        <f t="shared" si="3"/>
        <v>0.01436369726</v>
      </c>
    </row>
    <row r="224">
      <c r="A224" s="236" t="s">
        <v>431</v>
      </c>
      <c r="B224" s="237">
        <f>VLOOKUP(A224,'Planilha_Sintética_Geral'!A:P,2,0)</f>
        <v>92871</v>
      </c>
      <c r="C224" s="238" t="str">
        <f t="shared" si="12"/>
        <v>SINAPI</v>
      </c>
      <c r="D224" s="238" t="s">
        <v>218</v>
      </c>
      <c r="E224" s="239" t="str">
        <f>IFERROR(IF(D224="SINAPI-S",VLOOKUP(B224,'20-B.SINAPI-S'!A:J,2,0),IF(D224="SINAPI-I",VLOOKUP(B224,'20-A.SINAPI-I'!A:G,2,0),IF(D224="COMPOSIÇÕES",VLOOKUP(B224,'11.COMPOSIÇÕES GERAIS'!B:I,2,0),VLOOKUP(B224,'12.COT.MERCADO'!A:I,2,0)))),"Em Elaboração")</f>
        <v>CAIXA RETANGULAR 4" X 4" MÉDIA (1,30 M DO PISO), METÁLICA, INSTALADA EM PAREDE - FORNECIMENTO E INSTALAÇÃO. AF_03/2023</v>
      </c>
      <c r="F224" s="240" t="str">
        <f>IFERROR(IF(D224="SINAPI-S",VLOOKUP(B224,'20-B.SINAPI-S'!A:J,3,0),IF(D224="SINAPI-I",VLOOKUP(B224,'20-A.SINAPI-I'!A:G,3,0),IF(D224="COMPOSIÇÕES",VLOOKUP(B224,'11.COMPOSIÇÕES GERAIS'!B:I,3,0),VLOOKUP(B224,'12.COT.MERCADO'!A:I,7,0)))),"Em Elaboração")</f>
        <v>UN</v>
      </c>
      <c r="G224" s="244">
        <f>VLOOKUP(A224,'Planilha_Sintética_Geral'!A:O,7,0)</f>
        <v>1</v>
      </c>
      <c r="H224" s="241">
        <f>IFERROR(IF(D224="SINAPI-S",VLOOKUP(B224,'20-B.SINAPI-S'!A:J,5,0),IF(D224="SINAPI-I",VLOOKUP(B224,'20-A.SINAPI-I'!A:G,6,0),IF(D224="COMPOSIÇÕES",VLOOKUP(B224,'11.COMPOSIÇÕES GERAIS'!B:I,7,0),0))),"Em Elaboração")</f>
        <v>13.55</v>
      </c>
      <c r="I224" s="241">
        <f>IFERROR(IF(D224="SINAPI-S",VLOOKUP(B224,'20-B.SINAPI-S'!A:J,6,0),IF(D224="SINAPI-I",VLOOKUP(B224,'20-A.SINAPI-I'!A:G,7,0),IF(D224="COMPOSIÇÕES",VLOOKUP(B224,'11.COMPOSIÇÕES GERAIS'!B:I,8,0),VLOOKUP(B224,'12.COT.MERCADO'!A:I,8,0)))),"Em Elaboração")</f>
        <v>8.54</v>
      </c>
      <c r="J224" s="241">
        <f t="shared" si="13"/>
        <v>15.90665624</v>
      </c>
      <c r="K224" s="241">
        <f t="shared" si="14"/>
        <v>10.00319736</v>
      </c>
      <c r="L224" s="241">
        <f t="shared" si="15"/>
        <v>25.9098536</v>
      </c>
      <c r="M224" s="241">
        <f t="shared" si="16"/>
        <v>15.90665624</v>
      </c>
      <c r="N224" s="241">
        <f t="shared" si="17"/>
        <v>10.00319736</v>
      </c>
      <c r="O224" s="241">
        <f t="shared" si="18"/>
        <v>25.9098536</v>
      </c>
      <c r="P224" s="242">
        <f t="shared" si="3"/>
        <v>0.00008309210006</v>
      </c>
    </row>
    <row r="225">
      <c r="A225" s="236" t="s">
        <v>432</v>
      </c>
      <c r="B225" s="237" t="str">
        <f>VLOOKUP(A225,'Planilha_Sintética_Geral'!A:P,2,0)</f>
        <v>MAN_PR_059</v>
      </c>
      <c r="C225" s="238" t="str">
        <f t="shared" si="12"/>
        <v>PRÓPRIO</v>
      </c>
      <c r="D225" s="243" t="s">
        <v>230</v>
      </c>
      <c r="E225" s="239" t="str">
        <f>IFERROR(IF(D225="SINAPI-S",VLOOKUP(B225,'20-B.SINAPI-S'!A:J,2,0),IF(D225="SINAPI-I",VLOOKUP(B225,'20-A.SINAPI-I'!A:G,2,0),IF(D225="COMPOSIÇÕES",VLOOKUP(B225,'11.COMPOSIÇÕES GERAIS'!B:I,2,0),VLOOKUP(B225,'12.COT.MERCADO'!A:I,2,0)))),"Em Elaboração")</f>
        <v>FORNECIMENTO E INSTALAÇÃO DE CABO DE COBRE PP CORDPLAST 3 X 2,5MM2, 450/750V</v>
      </c>
      <c r="F225" s="240" t="str">
        <f>IFERROR(IF(D225="SINAPI-S",VLOOKUP(B225,'20-B.SINAPI-S'!A:J,3,0),IF(D225="SINAPI-I",VLOOKUP(B225,'20-A.SINAPI-I'!A:G,3,0),IF(D225="COMPOSIÇÕES",VLOOKUP(B225,'11.COMPOSIÇÕES GERAIS'!B:I,3,0),VLOOKUP(B225,'12.COT.MERCADO'!A:I,7,0)))),"Em Elaboração")</f>
        <v>M</v>
      </c>
      <c r="G225" s="244">
        <f>VLOOKUP(A225,'Planilha_Sintética_Geral'!A:O,7,0)</f>
        <v>26</v>
      </c>
      <c r="H225" s="241">
        <f>IFERROR(IF(D225="SINAPI-S",VLOOKUP(B225,'20-B.SINAPI-S'!A:J,5,0),IF(D225="SINAPI-I",VLOOKUP(B225,'20-A.SINAPI-I'!A:G,6,0),IF(D225="COMPOSIÇÕES",VLOOKUP(B225,'11.COMPOSIÇÕES GERAIS'!B:I,7,0),0))),"Em Elaboração")</f>
        <v>5.3148</v>
      </c>
      <c r="I225" s="241">
        <f>IFERROR(IF(D225="SINAPI-S",VLOOKUP(B225,'20-B.SINAPI-S'!A:J,6,0),IF(D225="SINAPI-I",VLOOKUP(B225,'20-A.SINAPI-I'!A:G,7,0),IF(D225="COMPOSIÇÕES",VLOOKUP(B225,'11.COMPOSIÇÕES GERAIS'!B:I,8,0),VLOOKUP(B225,'12.COT.MERCADO'!A:I,8,0)))),"Em Elaboração")</f>
        <v>10.9644</v>
      </c>
      <c r="J225" s="241">
        <f t="shared" si="13"/>
        <v>6.239165801</v>
      </c>
      <c r="K225" s="241">
        <f t="shared" si="14"/>
        <v>12.84298093</v>
      </c>
      <c r="L225" s="241">
        <f t="shared" si="15"/>
        <v>19.08214673</v>
      </c>
      <c r="M225" s="241">
        <f t="shared" si="16"/>
        <v>162.2183108</v>
      </c>
      <c r="N225" s="241">
        <f t="shared" si="17"/>
        <v>333.9175041</v>
      </c>
      <c r="O225" s="241">
        <f t="shared" si="18"/>
        <v>496.1358149</v>
      </c>
      <c r="P225" s="242">
        <f t="shared" si="3"/>
        <v>0.001591092231</v>
      </c>
    </row>
    <row r="226">
      <c r="A226" s="236" t="s">
        <v>433</v>
      </c>
      <c r="B226" s="237">
        <f>VLOOKUP(A226,'Planilha_Sintética_Geral'!A:P,2,0)</f>
        <v>11960</v>
      </c>
      <c r="C226" s="238" t="str">
        <f t="shared" si="12"/>
        <v>SINAPI</v>
      </c>
      <c r="D226" s="243" t="s">
        <v>286</v>
      </c>
      <c r="E226" s="239" t="str">
        <f>IFERROR(IF(D226="SINAPI-S",VLOOKUP(B226,'20-B.SINAPI-S'!A:J,2,0),IF(D226="SINAPI-I",VLOOKUP(B226,'20-A.SINAPI-I'!A:G,2,0),IF(D226="COMPOSIÇÕES",VLOOKUP(B226,'11.COMPOSIÇÕES GERAIS'!B:I,2,0),VLOOKUP(B226,'12.COT.MERCADO'!A:I,2,0)))),"Em Elaboração")</f>
        <v>PARAFUSO DE LATAO COM ROSCA SOBERBA, CABECA CHATA E FENDA SIMPLES, DIAMETRO 2,5 MM, COMPRIMENTO 12 MM</v>
      </c>
      <c r="F226" s="240" t="str">
        <f>IFERROR(IF(D226="SINAPI-S",VLOOKUP(B226,'20-B.SINAPI-S'!A:J,3,0),IF(D226="SINAPI-I",VLOOKUP(B226,'20-A.SINAPI-I'!A:G,3,0),IF(D226="COMPOSIÇÕES",VLOOKUP(B226,'11.COMPOSIÇÕES GERAIS'!B:I,3,0),VLOOKUP(B226,'12.COT.MERCADO'!A:I,7,0)))),"Em Elaboração")</f>
        <v>UN</v>
      </c>
      <c r="G226" s="244">
        <f>VLOOKUP(A226,'Planilha_Sintética_Geral'!A:O,7,0)</f>
        <v>17</v>
      </c>
      <c r="H226" s="241">
        <f>IFERROR(IF(D226="SINAPI-S",VLOOKUP(B226,'20-B.SINAPI-S'!A:J,5,0),IF(D226="SINAPI-I",VLOOKUP(B226,'20-A.SINAPI-I'!A:G,6,0),IF(D226="COMPOSIÇÕES",VLOOKUP(B226,'11.COMPOSIÇÕES GERAIS'!B:I,7,0),0))),"Em Elaboração")</f>
        <v>0</v>
      </c>
      <c r="I226" s="241">
        <f>IFERROR(IF(D226="SINAPI-S",VLOOKUP(B226,'20-B.SINAPI-S'!A:J,6,0),IF(D226="SINAPI-I",VLOOKUP(B226,'20-A.SINAPI-I'!A:G,7,0),IF(D226="COMPOSIÇÕES",VLOOKUP(B226,'11.COMPOSIÇÕES GERAIS'!B:I,8,0),VLOOKUP(B226,'12.COT.MERCADO'!A:I,8,0)))),"Em Elaboração")</f>
        <v>0.16</v>
      </c>
      <c r="J226" s="241">
        <f t="shared" si="13"/>
        <v>0</v>
      </c>
      <c r="K226" s="241">
        <f t="shared" si="14"/>
        <v>0.1874135336</v>
      </c>
      <c r="L226" s="241">
        <f t="shared" si="15"/>
        <v>0.1874135336</v>
      </c>
      <c r="M226" s="241">
        <f t="shared" si="16"/>
        <v>0</v>
      </c>
      <c r="N226" s="241">
        <f t="shared" si="17"/>
        <v>3.186030072</v>
      </c>
      <c r="O226" s="241">
        <f t="shared" si="18"/>
        <v>3.186030072</v>
      </c>
      <c r="P226" s="242">
        <f t="shared" si="3"/>
        <v>0.00001021750001</v>
      </c>
    </row>
    <row r="227">
      <c r="A227" s="236" t="s">
        <v>434</v>
      </c>
      <c r="B227" s="237" t="str">
        <f>VLOOKUP(A227,'Planilha_Sintética_Geral'!A:P,2,0)</f>
        <v>MAN_PR_073</v>
      </c>
      <c r="C227" s="238" t="str">
        <f t="shared" si="12"/>
        <v>PRÓPRIO</v>
      </c>
      <c r="D227" s="243" t="s">
        <v>230</v>
      </c>
      <c r="E227" s="239" t="str">
        <f>IFERROR(IF(D227="SINAPI-S",VLOOKUP(B227,'20-B.SINAPI-S'!A:J,2,0),IF(D227="SINAPI-I",VLOOKUP(B227,'20-A.SINAPI-I'!A:G,2,0),IF(D227="COMPOSIÇÕES",VLOOKUP(B227,'11.COMPOSIÇÕES GERAIS'!B:I,2,0),VLOOKUP(B227,'12.COT.MERCADO'!A:I,2,0)))),"Em Elaboração")</f>
        <v>CONECTOR DE DERIVAÇÃO PERFURANTE 10-95MM2</v>
      </c>
      <c r="F227" s="240" t="str">
        <f>IFERROR(IF(D227="SINAPI-S",VLOOKUP(B227,'20-B.SINAPI-S'!A:J,3,0),IF(D227="SINAPI-I",VLOOKUP(B227,'20-A.SINAPI-I'!A:G,3,0),IF(D227="COMPOSIÇÕES",VLOOKUP(B227,'11.COMPOSIÇÕES GERAIS'!B:I,3,0),VLOOKUP(B227,'12.COT.MERCADO'!A:I,7,0)))),"Em Elaboração")</f>
        <v>UN</v>
      </c>
      <c r="G227" s="244">
        <f>VLOOKUP(A227,'Planilha_Sintética_Geral'!A:O,7,0)</f>
        <v>4</v>
      </c>
      <c r="H227" s="241">
        <f>IFERROR(IF(D227="SINAPI-S",VLOOKUP(B227,'20-B.SINAPI-S'!A:J,5,0),IF(D227="SINAPI-I",VLOOKUP(B227,'20-A.SINAPI-I'!A:G,6,0),IF(D227="COMPOSIÇÕES",VLOOKUP(B227,'11.COMPOSIÇÕES GERAIS'!B:I,7,0),0))),"Em Elaboração")</f>
        <v>13.876</v>
      </c>
      <c r="I227" s="241">
        <f>IFERROR(IF(D227="SINAPI-S",VLOOKUP(B227,'20-B.SINAPI-S'!A:J,6,0),IF(D227="SINAPI-I",VLOOKUP(B227,'20-A.SINAPI-I'!A:G,7,0),IF(D227="COMPOSIÇÕES",VLOOKUP(B227,'11.COMPOSIÇÕES GERAIS'!B:I,8,0),VLOOKUP(B227,'12.COT.MERCADO'!A:I,8,0)))),"Em Elaboração")</f>
        <v>13.736</v>
      </c>
      <c r="J227" s="241">
        <f t="shared" si="13"/>
        <v>16.28935513</v>
      </c>
      <c r="K227" s="241">
        <f t="shared" si="14"/>
        <v>16.08945186</v>
      </c>
      <c r="L227" s="241">
        <f t="shared" si="15"/>
        <v>32.37880699</v>
      </c>
      <c r="M227" s="241">
        <f t="shared" si="16"/>
        <v>65.15742053</v>
      </c>
      <c r="N227" s="241">
        <f t="shared" si="17"/>
        <v>64.35780745</v>
      </c>
      <c r="O227" s="241">
        <f t="shared" si="18"/>
        <v>129.515228</v>
      </c>
      <c r="P227" s="242">
        <f t="shared" si="3"/>
        <v>0.000415351335</v>
      </c>
    </row>
    <row r="228">
      <c r="A228" s="236" t="s">
        <v>435</v>
      </c>
      <c r="B228" s="237">
        <f>VLOOKUP(A228,'Planilha_Sintética_Geral'!A:P,2,0)</f>
        <v>101894</v>
      </c>
      <c r="C228" s="238" t="str">
        <f t="shared" si="12"/>
        <v>SINAPI</v>
      </c>
      <c r="D228" s="238" t="s">
        <v>218</v>
      </c>
      <c r="E228" s="239" t="str">
        <f>IFERROR(IF(D228="SINAPI-S",VLOOKUP(B228,'20-B.SINAPI-S'!A:J,2,0),IF(D228="SINAPI-I",VLOOKUP(B228,'20-A.SINAPI-I'!A:G,2,0),IF(D228="COMPOSIÇÕES",VLOOKUP(B228,'11.COMPOSIÇÕES GERAIS'!B:I,2,0),VLOOKUP(B228,'12.COT.MERCADO'!A:I,2,0)))),"Em Elaboração")</f>
        <v>DISJUNTOR TRIPOLAR TIPO NEMA, CORRENTE NOMINAL DE 60 ATÉ 100A - FORNECIMENTO E INSTALAÇÃO. AF_10/2020</v>
      </c>
      <c r="F228" s="240" t="str">
        <f>IFERROR(IF(D228="SINAPI-S",VLOOKUP(B228,'20-B.SINAPI-S'!A:J,3,0),IF(D228="SINAPI-I",VLOOKUP(B228,'20-A.SINAPI-I'!A:G,3,0),IF(D228="COMPOSIÇÕES",VLOOKUP(B228,'11.COMPOSIÇÕES GERAIS'!B:I,3,0),VLOOKUP(B228,'12.COT.MERCADO'!A:I,7,0)))),"Em Elaboração")</f>
        <v>UN</v>
      </c>
      <c r="G228" s="244">
        <f>VLOOKUP(A228,'Planilha_Sintética_Geral'!A:O,7,0)</f>
        <v>1</v>
      </c>
      <c r="H228" s="241">
        <f>IFERROR(IF(D228="SINAPI-S",VLOOKUP(B228,'20-B.SINAPI-S'!A:J,5,0),IF(D228="SINAPI-I",VLOOKUP(B228,'20-A.SINAPI-I'!A:G,6,0),IF(D228="COMPOSIÇÕES",VLOOKUP(B228,'11.COMPOSIÇÕES GERAIS'!B:I,7,0),0))),"Em Elaboração")</f>
        <v>34.66</v>
      </c>
      <c r="I228" s="241">
        <f>IFERROR(IF(D228="SINAPI-S",VLOOKUP(B228,'20-B.SINAPI-S'!A:J,6,0),IF(D228="SINAPI-I",VLOOKUP(B228,'20-A.SINAPI-I'!A:G,7,0),IF(D228="COMPOSIÇÕES",VLOOKUP(B228,'11.COMPOSIÇÕES GERAIS'!B:I,8,0),VLOOKUP(B228,'12.COT.MERCADO'!A:I,8,0)))),"Em Elaboração")</f>
        <v>133.05</v>
      </c>
      <c r="J228" s="241">
        <f t="shared" si="13"/>
        <v>40.68817014</v>
      </c>
      <c r="K228" s="241">
        <f t="shared" si="14"/>
        <v>155.8460666</v>
      </c>
      <c r="L228" s="241">
        <f t="shared" si="15"/>
        <v>196.5342367</v>
      </c>
      <c r="M228" s="241">
        <f t="shared" si="16"/>
        <v>40.68817014</v>
      </c>
      <c r="N228" s="241">
        <f t="shared" si="17"/>
        <v>155.8460666</v>
      </c>
      <c r="O228" s="241">
        <f t="shared" si="18"/>
        <v>196.5342367</v>
      </c>
      <c r="P228" s="242">
        <f t="shared" si="3"/>
        <v>0.0006302792255</v>
      </c>
    </row>
    <row r="229">
      <c r="A229" s="236" t="s">
        <v>436</v>
      </c>
      <c r="B229" s="237">
        <f>VLOOKUP(A229,'Planilha_Sintética_Geral'!A:P,2,0)</f>
        <v>101901</v>
      </c>
      <c r="C229" s="238" t="str">
        <f t="shared" si="12"/>
        <v>SINAPI</v>
      </c>
      <c r="D229" s="238" t="s">
        <v>218</v>
      </c>
      <c r="E229" s="239" t="str">
        <f>IFERROR(IF(D229="SINAPI-S",VLOOKUP(B229,'20-B.SINAPI-S'!A:J,2,0),IF(D229="SINAPI-I",VLOOKUP(B229,'20-A.SINAPI-I'!A:G,2,0),IF(D229="COMPOSIÇÕES",VLOOKUP(B229,'11.COMPOSIÇÕES GERAIS'!B:I,2,0),VLOOKUP(B229,'12.COT.MERCADO'!A:I,2,0)))),"Em Elaboração")</f>
        <v>CONTATOR TRIPOLAR I NOMINAL 12A - FORNECIMENTO E INSTALAÇÃO. AF_10/2020</v>
      </c>
      <c r="F229" s="240" t="str">
        <f>IFERROR(IF(D229="SINAPI-S",VLOOKUP(B229,'20-B.SINAPI-S'!A:J,3,0),IF(D229="SINAPI-I",VLOOKUP(B229,'20-A.SINAPI-I'!A:G,3,0),IF(D229="COMPOSIÇÕES",VLOOKUP(B229,'11.COMPOSIÇÕES GERAIS'!B:I,3,0),VLOOKUP(B229,'12.COT.MERCADO'!A:I,7,0)))),"Em Elaboração")</f>
        <v>UN</v>
      </c>
      <c r="G229" s="244">
        <f>VLOOKUP(A229,'Planilha_Sintética_Geral'!A:O,7,0)</f>
        <v>1</v>
      </c>
      <c r="H229" s="241">
        <f>IFERROR(IF(D229="SINAPI-S",VLOOKUP(B229,'20-B.SINAPI-S'!A:J,5,0),IF(D229="SINAPI-I",VLOOKUP(B229,'20-A.SINAPI-I'!A:G,6,0),IF(D229="COMPOSIÇÕES",VLOOKUP(B229,'11.COMPOSIÇÕES GERAIS'!B:I,7,0),0))),"Em Elaboração")</f>
        <v>6.3</v>
      </c>
      <c r="I229" s="241">
        <f>IFERROR(IF(D229="SINAPI-S",VLOOKUP(B229,'20-B.SINAPI-S'!A:J,6,0),IF(D229="SINAPI-I",VLOOKUP(B229,'20-A.SINAPI-I'!A:G,7,0),IF(D229="COMPOSIÇÕES",VLOOKUP(B229,'11.COMPOSIÇÕES GERAIS'!B:I,8,0),VLOOKUP(B229,'12.COT.MERCADO'!A:I,8,0)))),"Em Elaboração")</f>
        <v>112.14</v>
      </c>
      <c r="J229" s="241">
        <f t="shared" si="13"/>
        <v>7.395714711</v>
      </c>
      <c r="K229" s="241">
        <f t="shared" si="14"/>
        <v>131.3534604</v>
      </c>
      <c r="L229" s="241">
        <f t="shared" si="15"/>
        <v>138.7491751</v>
      </c>
      <c r="M229" s="241">
        <f t="shared" si="16"/>
        <v>7.395714711</v>
      </c>
      <c r="N229" s="241">
        <f t="shared" si="17"/>
        <v>131.3534604</v>
      </c>
      <c r="O229" s="241">
        <f t="shared" si="18"/>
        <v>138.7491751</v>
      </c>
      <c r="P229" s="242">
        <f t="shared" si="3"/>
        <v>0.0004449643181</v>
      </c>
    </row>
    <row r="230">
      <c r="A230" s="236" t="s">
        <v>437</v>
      </c>
      <c r="B230" s="237" t="str">
        <f>VLOOKUP(A230,'Planilha_Sintética_Geral'!A:P,2,0)</f>
        <v>MAN_PR_058</v>
      </c>
      <c r="C230" s="238" t="str">
        <f t="shared" si="12"/>
        <v>PRÓPRIO</v>
      </c>
      <c r="D230" s="243" t="s">
        <v>230</v>
      </c>
      <c r="E230" s="239" t="str">
        <f>IFERROR(IF(D230="SINAPI-S",VLOOKUP(B230,'20-B.SINAPI-S'!A:J,2,0),IF(D230="SINAPI-I",VLOOKUP(B230,'20-A.SINAPI-I'!A:G,2,0),IF(D230="COMPOSIÇÕES",VLOOKUP(B230,'11.COMPOSIÇÕES GERAIS'!B:I,2,0),VLOOKUP(B230,'12.COT.MERCADO'!A:I,2,0)))),"Em Elaboração")</f>
        <v>FORNECIMENTO E INSTALAÇÃO DE BOBINA PARA CONTATOR CWM9 A CWM25, 380V</v>
      </c>
      <c r="F230" s="240" t="str">
        <f>IFERROR(IF(D230="SINAPI-S",VLOOKUP(B230,'20-B.SINAPI-S'!A:J,3,0),IF(D230="SINAPI-I",VLOOKUP(B230,'20-A.SINAPI-I'!A:G,3,0),IF(D230="COMPOSIÇÕES",VLOOKUP(B230,'11.COMPOSIÇÕES GERAIS'!B:I,3,0),VLOOKUP(B230,'12.COT.MERCADO'!A:I,7,0)))),"Em Elaboração")</f>
        <v>UN</v>
      </c>
      <c r="G230" s="244">
        <f>VLOOKUP(A230,'Planilha_Sintética_Geral'!A:O,7,0)</f>
        <v>1</v>
      </c>
      <c r="H230" s="241">
        <f>IFERROR(IF(D230="SINAPI-S",VLOOKUP(B230,'20-B.SINAPI-S'!A:J,5,0),IF(D230="SINAPI-I",VLOOKUP(B230,'20-A.SINAPI-I'!A:G,6,0),IF(D230="COMPOSIÇÕES",VLOOKUP(B230,'11.COMPOSIÇÕES GERAIS'!B:I,7,0),0))),"Em Elaboração")</f>
        <v>6.324612</v>
      </c>
      <c r="I230" s="241">
        <f>IFERROR(IF(D230="SINAPI-S",VLOOKUP(B230,'20-B.SINAPI-S'!A:J,6,0),IF(D230="SINAPI-I",VLOOKUP(B230,'20-A.SINAPI-I'!A:G,7,0),IF(D230="COMPOSIÇÕES",VLOOKUP(B230,'11.COMPOSIÇÕES GERAIS'!B:I,8,0),VLOOKUP(B230,'12.COT.MERCADO'!A:I,8,0)))),"Em Elaboração")</f>
        <v>44.754816</v>
      </c>
      <c r="J230" s="241">
        <f t="shared" si="13"/>
        <v>7.424607303</v>
      </c>
      <c r="K230" s="241">
        <f t="shared" si="14"/>
        <v>52.42286383</v>
      </c>
      <c r="L230" s="241">
        <f t="shared" si="15"/>
        <v>59.84747114</v>
      </c>
      <c r="M230" s="241">
        <f t="shared" si="16"/>
        <v>7.424607303</v>
      </c>
      <c r="N230" s="241">
        <f t="shared" si="17"/>
        <v>52.42286383</v>
      </c>
      <c r="O230" s="241">
        <f t="shared" si="18"/>
        <v>59.84747114</v>
      </c>
      <c r="P230" s="242">
        <f t="shared" si="3"/>
        <v>0.0001919289911</v>
      </c>
    </row>
    <row r="231">
      <c r="A231" s="236" t="s">
        <v>438</v>
      </c>
      <c r="B231" s="237">
        <f>VLOOKUP(A231,'Planilha_Sintética_Geral'!A:P,2,0)</f>
        <v>89379</v>
      </c>
      <c r="C231" s="238" t="str">
        <f t="shared" si="12"/>
        <v>SINAPI</v>
      </c>
      <c r="D231" s="238" t="s">
        <v>218</v>
      </c>
      <c r="E231" s="239" t="str">
        <f>IFERROR(IF(D231="SINAPI-S",VLOOKUP(B231,'20-B.SINAPI-S'!A:J,2,0),IF(D231="SINAPI-I",VLOOKUP(B231,'20-A.SINAPI-I'!A:G,2,0),IF(D231="COMPOSIÇÕES",VLOOKUP(B231,'11.COMPOSIÇÕES GERAIS'!B:I,2,0),VLOOKUP(B231,'12.COT.MERCADO'!A:I,2,0)))),"Em Elaboração")</f>
        <v>LUVA DE CORRER, PVC, SOLDÁVEL, DN 25MM, INSTALADO EM RAMAL OU SUB-RAMAL DE ÁGUA - FORNECIMENTO E INSTALAÇÃO. AF_12/2014</v>
      </c>
      <c r="F231" s="240" t="str">
        <f>IFERROR(IF(D231="SINAPI-S",VLOOKUP(B231,'20-B.SINAPI-S'!A:J,3,0),IF(D231="SINAPI-I",VLOOKUP(B231,'20-A.SINAPI-I'!A:G,3,0),IF(D231="COMPOSIÇÕES",VLOOKUP(B231,'11.COMPOSIÇÕES GERAIS'!B:I,3,0),VLOOKUP(B231,'12.COT.MERCADO'!A:I,7,0)))),"Em Elaboração")</f>
        <v>UN</v>
      </c>
      <c r="G231" s="244">
        <f>VLOOKUP(A231,'Planilha_Sintética_Geral'!A:O,7,0)</f>
        <v>1</v>
      </c>
      <c r="H231" s="241">
        <f>IFERROR(IF(D231="SINAPI-S",VLOOKUP(B231,'20-B.SINAPI-S'!A:J,5,0),IF(D231="SINAPI-I",VLOOKUP(B231,'20-A.SINAPI-I'!A:G,6,0),IF(D231="COMPOSIÇÕES",VLOOKUP(B231,'11.COMPOSIÇÕES GERAIS'!B:I,7,0),0))),"Em Elaboração")</f>
        <v>4.39</v>
      </c>
      <c r="I231" s="241">
        <f>IFERROR(IF(D231="SINAPI-S",VLOOKUP(B231,'20-B.SINAPI-S'!A:J,6,0),IF(D231="SINAPI-I",VLOOKUP(B231,'20-A.SINAPI-I'!A:G,7,0),IF(D231="COMPOSIÇÕES",VLOOKUP(B231,'11.COMPOSIÇÕES GERAIS'!B:I,8,0),VLOOKUP(B231,'12.COT.MERCADO'!A:I,8,0)))),"Em Elaboração")</f>
        <v>15.58</v>
      </c>
      <c r="J231" s="241">
        <f t="shared" si="13"/>
        <v>5.153521838</v>
      </c>
      <c r="K231" s="241">
        <f t="shared" si="14"/>
        <v>18.24939284</v>
      </c>
      <c r="L231" s="241">
        <f t="shared" si="15"/>
        <v>23.40291467</v>
      </c>
      <c r="M231" s="241">
        <f t="shared" si="16"/>
        <v>5.153521838</v>
      </c>
      <c r="N231" s="241">
        <f t="shared" si="17"/>
        <v>18.24939284</v>
      </c>
      <c r="O231" s="241">
        <f t="shared" si="18"/>
        <v>23.40291467</v>
      </c>
      <c r="P231" s="242">
        <f t="shared" si="3"/>
        <v>0.00007505242438</v>
      </c>
    </row>
    <row r="232">
      <c r="A232" s="236" t="s">
        <v>439</v>
      </c>
      <c r="B232" s="237">
        <f>VLOOKUP(A232,'Planilha_Sintética_Geral'!A:P,2,0)</f>
        <v>89381</v>
      </c>
      <c r="C232" s="238" t="str">
        <f t="shared" si="12"/>
        <v>SINAPI</v>
      </c>
      <c r="D232" s="238" t="s">
        <v>218</v>
      </c>
      <c r="E232" s="239" t="str">
        <f>IFERROR(IF(D232="SINAPI-S",VLOOKUP(B232,'20-B.SINAPI-S'!A:J,2,0),IF(D232="SINAPI-I",VLOOKUP(B232,'20-A.SINAPI-I'!A:G,2,0),IF(D232="COMPOSIÇÕES",VLOOKUP(B232,'11.COMPOSIÇÕES GERAIS'!B:I,2,0),VLOOKUP(B232,'12.COT.MERCADO'!A:I,2,0)))),"Em Elaboração")</f>
        <v>LUVA COM BUCHA DE LATÃO, PVC, SOLDÁVEL, DN 25MM X 3/4 , INSTALADO EM RAMAL OU SUB-RAMAL DE ÁGUA - FORNECIMENTO E INSTALAÇÃO. AF_06/2022</v>
      </c>
      <c r="F232" s="240" t="str">
        <f>IFERROR(IF(D232="SINAPI-S",VLOOKUP(B232,'20-B.SINAPI-S'!A:J,3,0),IF(D232="SINAPI-I",VLOOKUP(B232,'20-A.SINAPI-I'!A:G,3,0),IF(D232="COMPOSIÇÕES",VLOOKUP(B232,'11.COMPOSIÇÕES GERAIS'!B:I,3,0),VLOOKUP(B232,'12.COT.MERCADO'!A:I,7,0)))),"Em Elaboração")</f>
        <v>UN</v>
      </c>
      <c r="G232" s="244">
        <f>VLOOKUP(A232,'Planilha_Sintética_Geral'!A:O,7,0)</f>
        <v>1</v>
      </c>
      <c r="H232" s="241">
        <f>IFERROR(IF(D232="SINAPI-S",VLOOKUP(B232,'20-B.SINAPI-S'!A:J,5,0),IF(D232="SINAPI-I",VLOOKUP(B232,'20-A.SINAPI-I'!A:G,6,0),IF(D232="COMPOSIÇÕES",VLOOKUP(B232,'11.COMPOSIÇÕES GERAIS'!B:I,7,0),0))),"Em Elaboração")</f>
        <v>4.1</v>
      </c>
      <c r="I232" s="241">
        <f>IFERROR(IF(D232="SINAPI-S",VLOOKUP(B232,'20-B.SINAPI-S'!A:J,6,0),IF(D232="SINAPI-I",VLOOKUP(B232,'20-A.SINAPI-I'!A:G,7,0),IF(D232="COMPOSIÇÕES",VLOOKUP(B232,'11.COMPOSIÇÕES GERAIS'!B:I,8,0),VLOOKUP(B232,'12.COT.MERCADO'!A:I,8,0)))),"Em Elaboração")</f>
        <v>9.26</v>
      </c>
      <c r="J232" s="241">
        <f t="shared" si="13"/>
        <v>4.813084177</v>
      </c>
      <c r="K232" s="241">
        <f t="shared" si="14"/>
        <v>10.84655826</v>
      </c>
      <c r="L232" s="241">
        <f t="shared" si="15"/>
        <v>15.65964244</v>
      </c>
      <c r="M232" s="241">
        <f t="shared" si="16"/>
        <v>4.813084177</v>
      </c>
      <c r="N232" s="241">
        <f t="shared" si="17"/>
        <v>10.84655826</v>
      </c>
      <c r="O232" s="241">
        <f t="shared" si="18"/>
        <v>15.65964244</v>
      </c>
      <c r="P232" s="242">
        <f t="shared" si="3"/>
        <v>0.00005021998952</v>
      </c>
    </row>
    <row r="233">
      <c r="A233" s="236" t="s">
        <v>440</v>
      </c>
      <c r="B233" s="237">
        <f>VLOOKUP(A233,'Planilha_Sintética_Geral'!A:P,2,0)</f>
        <v>5104</v>
      </c>
      <c r="C233" s="238" t="str">
        <f t="shared" si="12"/>
        <v>SINAPI</v>
      </c>
      <c r="D233" s="243" t="s">
        <v>286</v>
      </c>
      <c r="E233" s="239" t="str">
        <f>IFERROR(IF(D233="SINAPI-S",VLOOKUP(B233,'20-B.SINAPI-S'!A:J,2,0),IF(D233="SINAPI-I",VLOOKUP(B233,'20-A.SINAPI-I'!A:G,2,0),IF(D233="COMPOSIÇÕES",VLOOKUP(B233,'11.COMPOSIÇÕES GERAIS'!B:I,2,0),VLOOKUP(B233,'12.COT.MERCADO'!A:I,2,0)))),"Em Elaboração")</f>
        <v>REBITE DE ALUMINIO VAZADO DE REPUXO, 3,2 X 8 MM (1KG = 1025 UNIDADES)</v>
      </c>
      <c r="F233" s="240" t="str">
        <f>IFERROR(IF(D233="SINAPI-S",VLOOKUP(B233,'20-B.SINAPI-S'!A:J,3,0),IF(D233="SINAPI-I",VLOOKUP(B233,'20-A.SINAPI-I'!A:G,3,0),IF(D233="COMPOSIÇÕES",VLOOKUP(B233,'11.COMPOSIÇÕES GERAIS'!B:I,3,0),VLOOKUP(B233,'12.COT.MERCADO'!A:I,7,0)))),"Em Elaboração")</f>
        <v>KG</v>
      </c>
      <c r="G233" s="244">
        <f>VLOOKUP(A233,'Planilha_Sintética_Geral'!A:O,7,0)</f>
        <v>43</v>
      </c>
      <c r="H233" s="241">
        <f>IFERROR(IF(D233="SINAPI-S",VLOOKUP(B233,'20-B.SINAPI-S'!A:J,5,0),IF(D233="SINAPI-I",VLOOKUP(B233,'20-A.SINAPI-I'!A:G,6,0),IF(D233="COMPOSIÇÕES",VLOOKUP(B233,'11.COMPOSIÇÕES GERAIS'!B:I,7,0),0))),"Em Elaboração")</f>
        <v>0</v>
      </c>
      <c r="I233" s="241">
        <f>IFERROR(IF(D233="SINAPI-S",VLOOKUP(B233,'20-B.SINAPI-S'!A:J,6,0),IF(D233="SINAPI-I",VLOOKUP(B233,'20-A.SINAPI-I'!A:G,7,0),IF(D233="COMPOSIÇÕES",VLOOKUP(B233,'11.COMPOSIÇÕES GERAIS'!B:I,8,0),VLOOKUP(B233,'12.COT.MERCADO'!A:I,8,0)))),"Em Elaboração")</f>
        <v>68.31</v>
      </c>
      <c r="J233" s="241">
        <f t="shared" si="13"/>
        <v>0</v>
      </c>
      <c r="K233" s="241">
        <f t="shared" si="14"/>
        <v>80.01386551</v>
      </c>
      <c r="L233" s="241">
        <f t="shared" si="15"/>
        <v>80.01386551</v>
      </c>
      <c r="M233" s="241">
        <f t="shared" si="16"/>
        <v>0</v>
      </c>
      <c r="N233" s="241">
        <f t="shared" si="17"/>
        <v>3440.596217</v>
      </c>
      <c r="O233" s="241">
        <f t="shared" si="18"/>
        <v>3440.596217</v>
      </c>
      <c r="P233" s="242">
        <f t="shared" si="3"/>
        <v>0.01103388578</v>
      </c>
    </row>
    <row r="234">
      <c r="A234" s="236" t="s">
        <v>441</v>
      </c>
      <c r="B234" s="237">
        <f>VLOOKUP(A234,'Planilha_Sintética_Geral'!A:P,2,0)</f>
        <v>86914</v>
      </c>
      <c r="C234" s="238" t="str">
        <f t="shared" si="12"/>
        <v>SINAPI</v>
      </c>
      <c r="D234" s="238" t="s">
        <v>218</v>
      </c>
      <c r="E234" s="239" t="str">
        <f>IFERROR(IF(D234="SINAPI-S",VLOOKUP(B234,'20-B.SINAPI-S'!A:J,2,0),IF(D234="SINAPI-I",VLOOKUP(B234,'20-A.SINAPI-I'!A:G,2,0),IF(D234="COMPOSIÇÕES",VLOOKUP(B234,'11.COMPOSIÇÕES GERAIS'!B:I,2,0),VLOOKUP(B234,'12.COT.MERCADO'!A:I,2,0)))),"Em Elaboração")</f>
        <v>TORNEIRA CROMADA 1/2_x0094_ OU 3/4_x0094_ PARA TANQUE, PADRÃO MÉDIO - FORNECIMENTO E INSTALAÇÃO. AF_01/2020</v>
      </c>
      <c r="F234" s="240" t="str">
        <f>IFERROR(IF(D234="SINAPI-S",VLOOKUP(B234,'20-B.SINAPI-S'!A:J,3,0),IF(D234="SINAPI-I",VLOOKUP(B234,'20-A.SINAPI-I'!A:G,3,0),IF(D234="COMPOSIÇÕES",VLOOKUP(B234,'11.COMPOSIÇÕES GERAIS'!B:I,3,0),VLOOKUP(B234,'12.COT.MERCADO'!A:I,7,0)))),"Em Elaboração")</f>
        <v>UN</v>
      </c>
      <c r="G234" s="244">
        <f>VLOOKUP(A234,'Planilha_Sintética_Geral'!A:O,7,0)</f>
        <v>1</v>
      </c>
      <c r="H234" s="241">
        <f>IFERROR(IF(D234="SINAPI-S",VLOOKUP(B234,'20-B.SINAPI-S'!A:J,5,0),IF(D234="SINAPI-I",VLOOKUP(B234,'20-A.SINAPI-I'!A:G,6,0),IF(D234="COMPOSIÇÕES",VLOOKUP(B234,'11.COMPOSIÇÕES GERAIS'!B:I,7,0),0))),"Em Elaboração")</f>
        <v>4.57</v>
      </c>
      <c r="I234" s="241">
        <f>IFERROR(IF(D234="SINAPI-S",VLOOKUP(B234,'20-B.SINAPI-S'!A:J,6,0),IF(D234="SINAPI-I",VLOOKUP(B234,'20-A.SINAPI-I'!A:G,7,0),IF(D234="COMPOSIÇÕES",VLOOKUP(B234,'11.COMPOSIÇÕES GERAIS'!B:I,8,0),VLOOKUP(B234,'12.COT.MERCADO'!A:I,8,0)))),"Em Elaboração")</f>
        <v>79.63</v>
      </c>
      <c r="J234" s="241">
        <f t="shared" si="13"/>
        <v>5.364827973</v>
      </c>
      <c r="K234" s="241">
        <f t="shared" si="14"/>
        <v>93.27337301</v>
      </c>
      <c r="L234" s="241">
        <f t="shared" si="15"/>
        <v>98.63820099</v>
      </c>
      <c r="M234" s="241">
        <f t="shared" si="16"/>
        <v>5.364827973</v>
      </c>
      <c r="N234" s="241">
        <f t="shared" si="17"/>
        <v>93.27337301</v>
      </c>
      <c r="O234" s="241">
        <f t="shared" si="18"/>
        <v>98.63820099</v>
      </c>
      <c r="P234" s="242">
        <f t="shared" si="3"/>
        <v>0.0003163296633</v>
      </c>
    </row>
    <row r="235">
      <c r="A235" s="236" t="s">
        <v>442</v>
      </c>
      <c r="B235" s="237">
        <f>VLOOKUP(A235,'Planilha_Sintética_Geral'!A:P,2,0)</f>
        <v>94498</v>
      </c>
      <c r="C235" s="238" t="str">
        <f t="shared" si="12"/>
        <v>SINAPI</v>
      </c>
      <c r="D235" s="238" t="s">
        <v>218</v>
      </c>
      <c r="E235" s="239" t="str">
        <f>IFERROR(IF(D235="SINAPI-S",VLOOKUP(B235,'20-B.SINAPI-S'!A:J,2,0),IF(D235="SINAPI-I",VLOOKUP(B235,'20-A.SINAPI-I'!A:G,2,0),IF(D235="COMPOSIÇÕES",VLOOKUP(B235,'11.COMPOSIÇÕES GERAIS'!B:I,2,0),VLOOKUP(B235,'12.COT.MERCADO'!A:I,2,0)))),"Em Elaboração")</f>
        <v>REGISTRO DE GAVETA BRUTO, LATÃO, ROSCÁVEL, 2" - FORNECIMENTO E INSTALAÇÃO. AF_08/2021</v>
      </c>
      <c r="F235" s="240" t="str">
        <f>IFERROR(IF(D235="SINAPI-S",VLOOKUP(B235,'20-B.SINAPI-S'!A:J,3,0),IF(D235="SINAPI-I",VLOOKUP(B235,'20-A.SINAPI-I'!A:G,3,0),IF(D235="COMPOSIÇÕES",VLOOKUP(B235,'11.COMPOSIÇÕES GERAIS'!B:I,3,0),VLOOKUP(B235,'12.COT.MERCADO'!A:I,7,0)))),"Em Elaboração")</f>
        <v>UN</v>
      </c>
      <c r="G235" s="244">
        <f>VLOOKUP(A235,'Planilha_Sintética_Geral'!A:O,7,0)</f>
        <v>1</v>
      </c>
      <c r="H235" s="241">
        <f>IFERROR(IF(D235="SINAPI-S",VLOOKUP(B235,'20-B.SINAPI-S'!A:J,5,0),IF(D235="SINAPI-I",VLOOKUP(B235,'20-A.SINAPI-I'!A:G,6,0),IF(D235="COMPOSIÇÕES",VLOOKUP(B235,'11.COMPOSIÇÕES GERAIS'!B:I,7,0),0))),"Em Elaboração")</f>
        <v>14.73</v>
      </c>
      <c r="I235" s="241">
        <f>IFERROR(IF(D235="SINAPI-S",VLOOKUP(B235,'20-B.SINAPI-S'!A:J,6,0),IF(D235="SINAPI-I",VLOOKUP(B235,'20-A.SINAPI-I'!A:G,7,0),IF(D235="COMPOSIÇÕES",VLOOKUP(B235,'11.COMPOSIÇÕES GERAIS'!B:I,8,0),VLOOKUP(B235,'12.COT.MERCADO'!A:I,8,0)))),"Em Elaboração")</f>
        <v>150.96</v>
      </c>
      <c r="J235" s="241">
        <f t="shared" si="13"/>
        <v>17.29188535</v>
      </c>
      <c r="K235" s="241">
        <f t="shared" si="14"/>
        <v>176.824669</v>
      </c>
      <c r="L235" s="241">
        <f t="shared" si="15"/>
        <v>194.1165543</v>
      </c>
      <c r="M235" s="241">
        <f t="shared" si="16"/>
        <v>17.29188535</v>
      </c>
      <c r="N235" s="241">
        <f t="shared" si="17"/>
        <v>176.824669</v>
      </c>
      <c r="O235" s="241">
        <f t="shared" si="18"/>
        <v>194.1165543</v>
      </c>
      <c r="P235" s="242">
        <f t="shared" si="3"/>
        <v>0.0006225257929</v>
      </c>
    </row>
    <row r="236">
      <c r="A236" s="236" t="s">
        <v>443</v>
      </c>
      <c r="B236" s="237">
        <f>VLOOKUP(A236,'Planilha_Sintética_Geral'!A:P,2,0)</f>
        <v>94975</v>
      </c>
      <c r="C236" s="238" t="str">
        <f t="shared" si="12"/>
        <v>SINAPI</v>
      </c>
      <c r="D236" s="238" t="s">
        <v>218</v>
      </c>
      <c r="E236" s="239" t="str">
        <f>IFERROR(IF(D236="SINAPI-S",VLOOKUP(B236,'20-B.SINAPI-S'!A:J,2,0),IF(D236="SINAPI-I",VLOOKUP(B236,'20-A.SINAPI-I'!A:G,2,0),IF(D236="COMPOSIÇÕES",VLOOKUP(B236,'11.COMPOSIÇÕES GERAIS'!B:I,2,0),VLOOKUP(B236,'12.COT.MERCADO'!A:I,2,0)))),"Em Elaboração")</f>
        <v>CONCRETO FCK = 15MPA, TRAÇO 1:3,4:3,5 (EM MASSA SECA DE CIMENTO/ AREIA MÉDIA/ BRITA 1) - PREPARO MANUAL. AF_05/2021</v>
      </c>
      <c r="F236" s="240" t="str">
        <f>IFERROR(IF(D236="SINAPI-S",VLOOKUP(B236,'20-B.SINAPI-S'!A:J,3,0),IF(D236="SINAPI-I",VLOOKUP(B236,'20-A.SINAPI-I'!A:G,3,0),IF(D236="COMPOSIÇÕES",VLOOKUP(B236,'11.COMPOSIÇÕES GERAIS'!B:I,3,0),VLOOKUP(B236,'12.COT.MERCADO'!A:I,7,0)))),"Em Elaboração")</f>
        <v>M3</v>
      </c>
      <c r="G236" s="244">
        <f>VLOOKUP(A236,'Planilha_Sintética_Geral'!A:O,7,0)</f>
        <v>1</v>
      </c>
      <c r="H236" s="241">
        <f>IFERROR(IF(D236="SINAPI-S",VLOOKUP(B236,'20-B.SINAPI-S'!A:J,5,0),IF(D236="SINAPI-I",VLOOKUP(B236,'20-A.SINAPI-I'!A:G,6,0),IF(D236="COMPOSIÇÕES",VLOOKUP(B236,'11.COMPOSIÇÕES GERAIS'!B:I,7,0),0))),"Em Elaboração")</f>
        <v>108.11</v>
      </c>
      <c r="I236" s="241">
        <f>IFERROR(IF(D236="SINAPI-S",VLOOKUP(B236,'20-B.SINAPI-S'!A:J,6,0),IF(D236="SINAPI-I",VLOOKUP(B236,'20-A.SINAPI-I'!A:G,7,0),IF(D236="COMPOSIÇÕES",VLOOKUP(B236,'11.COMPOSIÇÕES GERAIS'!B:I,8,0),VLOOKUP(B236,'12.COT.MERCADO'!A:I,8,0)))),"Em Elaboração")</f>
        <v>370.54</v>
      </c>
      <c r="J236" s="241">
        <f t="shared" si="13"/>
        <v>126.9128123</v>
      </c>
      <c r="K236" s="241">
        <f t="shared" si="14"/>
        <v>434.0263172</v>
      </c>
      <c r="L236" s="241">
        <f t="shared" si="15"/>
        <v>560.9391295</v>
      </c>
      <c r="M236" s="241">
        <f t="shared" si="16"/>
        <v>126.9128123</v>
      </c>
      <c r="N236" s="241">
        <f t="shared" si="17"/>
        <v>434.0263172</v>
      </c>
      <c r="O236" s="241">
        <f t="shared" si="18"/>
        <v>560.9391295</v>
      </c>
      <c r="P236" s="242">
        <f t="shared" si="3"/>
        <v>0.001798914459</v>
      </c>
    </row>
    <row r="237">
      <c r="A237" s="236" t="s">
        <v>444</v>
      </c>
      <c r="B237" s="237">
        <f>VLOOKUP(A237,'Planilha_Sintética_Geral'!A:P,2,0)</f>
        <v>101883</v>
      </c>
      <c r="C237" s="238" t="str">
        <f t="shared" si="12"/>
        <v>SINAPI</v>
      </c>
      <c r="D237" s="238" t="s">
        <v>218</v>
      </c>
      <c r="E237" s="239" t="str">
        <f>IFERROR(IF(D237="SINAPI-S",VLOOKUP(B237,'20-B.SINAPI-S'!A:J,2,0),IF(D237="SINAPI-I",VLOOKUP(B237,'20-A.SINAPI-I'!A:G,2,0),IF(D237="COMPOSIÇÕES",VLOOKUP(B237,'11.COMPOSIÇÕES GERAIS'!B:I,2,0),VLOOKUP(B237,'12.COT.MERCADO'!A:I,2,0)))),"Em Elaboração")</f>
        <v>QUADRO DE DISTRIBUIÇÃO DE ENERGIA EM CHAPA DE AÇO GALVANIZADO, DE EMBUTIR, COM BARRAMENTO TRIFÁSICO, PARA 18 DISJUNTORES DIN 100A - FORNECIMENTO E INSTALAÇÃO. AF_10/2020</v>
      </c>
      <c r="F237" s="240" t="str">
        <f>IFERROR(IF(D237="SINAPI-S",VLOOKUP(B237,'20-B.SINAPI-S'!A:J,3,0),IF(D237="SINAPI-I",VLOOKUP(B237,'20-A.SINAPI-I'!A:G,3,0),IF(D237="COMPOSIÇÕES",VLOOKUP(B237,'11.COMPOSIÇÕES GERAIS'!B:I,3,0),VLOOKUP(B237,'12.COT.MERCADO'!A:I,7,0)))),"Em Elaboração")</f>
        <v>UN</v>
      </c>
      <c r="G237" s="244">
        <f>VLOOKUP(A237,'Planilha_Sintética_Geral'!A:O,7,0)</f>
        <v>1</v>
      </c>
      <c r="H237" s="241">
        <f>IFERROR(IF(D237="SINAPI-S",VLOOKUP(B237,'20-B.SINAPI-S'!A:J,5,0),IF(D237="SINAPI-I",VLOOKUP(B237,'20-A.SINAPI-I'!A:G,6,0),IF(D237="COMPOSIÇÕES",VLOOKUP(B237,'11.COMPOSIÇÕES GERAIS'!B:I,7,0),0))),"Em Elaboração")</f>
        <v>26.22</v>
      </c>
      <c r="I237" s="241">
        <f>IFERROR(IF(D237="SINAPI-S",VLOOKUP(B237,'20-B.SINAPI-S'!A:J,6,0),IF(D237="SINAPI-I",VLOOKUP(B237,'20-A.SINAPI-I'!A:G,7,0),IF(D237="COMPOSIÇÕES",VLOOKUP(B237,'11.COMPOSIÇÕES GERAIS'!B:I,8,0),VLOOKUP(B237,'12.COT.MERCADO'!A:I,8,0)))),"Em Elaboração")</f>
        <v>501.55</v>
      </c>
      <c r="J237" s="241">
        <f t="shared" si="13"/>
        <v>30.78026027</v>
      </c>
      <c r="K237" s="241">
        <f t="shared" si="14"/>
        <v>587.4828612</v>
      </c>
      <c r="L237" s="241">
        <f t="shared" si="15"/>
        <v>618.2631214</v>
      </c>
      <c r="M237" s="241">
        <f t="shared" si="16"/>
        <v>30.78026027</v>
      </c>
      <c r="N237" s="241">
        <f t="shared" si="17"/>
        <v>587.4828612</v>
      </c>
      <c r="O237" s="241">
        <f t="shared" si="18"/>
        <v>618.2631214</v>
      </c>
      <c r="P237" s="242">
        <f t="shared" si="3"/>
        <v>0.00198275073</v>
      </c>
    </row>
    <row r="238">
      <c r="A238" s="236" t="s">
        <v>445</v>
      </c>
      <c r="B238" s="237">
        <f>VLOOKUP(A238,'Planilha_Sintética_Geral'!A:P,2,0)</f>
        <v>102163</v>
      </c>
      <c r="C238" s="238" t="str">
        <f t="shared" si="12"/>
        <v>SINAPI</v>
      </c>
      <c r="D238" s="238" t="s">
        <v>218</v>
      </c>
      <c r="E238" s="239" t="str">
        <f>IFERROR(IF(D238="SINAPI-S",VLOOKUP(B238,'20-B.SINAPI-S'!A:J,2,0),IF(D238="SINAPI-I",VLOOKUP(B238,'20-A.SINAPI-I'!A:G,2,0),IF(D238="COMPOSIÇÕES",VLOOKUP(B238,'11.COMPOSIÇÕES GERAIS'!B:I,2,0),VLOOKUP(B238,'12.COT.MERCADO'!A:I,2,0)))),"Em Elaboração")</f>
        <v>INSTALAÇÃO DE VIDRO LISO FUME, E = 4 MM, EM ESQUADRIA DE ALUMÍNIO OU PVC, FIXADO COM BAGUETE. AF_01/2021_PS</v>
      </c>
      <c r="F238" s="240" t="str">
        <f>IFERROR(IF(D238="SINAPI-S",VLOOKUP(B238,'20-B.SINAPI-S'!A:J,3,0),IF(D238="SINAPI-I",VLOOKUP(B238,'20-A.SINAPI-I'!A:G,3,0),IF(D238="COMPOSIÇÕES",VLOOKUP(B238,'11.COMPOSIÇÕES GERAIS'!B:I,3,0),VLOOKUP(B238,'12.COT.MERCADO'!A:I,7,0)))),"Em Elaboração")</f>
        <v>M2</v>
      </c>
      <c r="G238" s="244">
        <f>VLOOKUP(A238,'Planilha_Sintética_Geral'!A:O,7,0)</f>
        <v>1</v>
      </c>
      <c r="H238" s="241">
        <f>IFERROR(IF(D238="SINAPI-S",VLOOKUP(B238,'20-B.SINAPI-S'!A:J,5,0),IF(D238="SINAPI-I",VLOOKUP(B238,'20-A.SINAPI-I'!A:G,6,0),IF(D238="COMPOSIÇÕES",VLOOKUP(B238,'11.COMPOSIÇÕES GERAIS'!B:I,7,0),0))),"Em Elaboração")</f>
        <v>32.7</v>
      </c>
      <c r="I238" s="241">
        <f>IFERROR(IF(D238="SINAPI-S",VLOOKUP(B238,'20-B.SINAPI-S'!A:J,6,0),IF(D238="SINAPI-I",VLOOKUP(B238,'20-A.SINAPI-I'!A:G,7,0),IF(D238="COMPOSIÇÕES",VLOOKUP(B238,'11.COMPOSIÇÕES GERAIS'!B:I,8,0),VLOOKUP(B238,'12.COT.MERCADO'!A:I,8,0)))),"Em Elaboração")</f>
        <v>361.95</v>
      </c>
      <c r="J238" s="241">
        <f t="shared" si="13"/>
        <v>38.38728112</v>
      </c>
      <c r="K238" s="241">
        <f t="shared" si="14"/>
        <v>423.9645531</v>
      </c>
      <c r="L238" s="241">
        <f t="shared" si="15"/>
        <v>462.3518342</v>
      </c>
      <c r="M238" s="241">
        <f t="shared" si="16"/>
        <v>38.38728112</v>
      </c>
      <c r="N238" s="241">
        <f t="shared" si="17"/>
        <v>423.9645531</v>
      </c>
      <c r="O238" s="241">
        <f t="shared" si="18"/>
        <v>462.3518342</v>
      </c>
      <c r="P238" s="242">
        <f t="shared" si="3"/>
        <v>0.001482748049</v>
      </c>
    </row>
    <row r="239">
      <c r="A239" s="236" t="s">
        <v>446</v>
      </c>
      <c r="B239" s="237" t="str">
        <f>VLOOKUP(A239,'Planilha_Sintética_Geral'!A:P,2,0)</f>
        <v>MAN_PR_063</v>
      </c>
      <c r="C239" s="238" t="str">
        <f t="shared" si="12"/>
        <v>PRÓPRIO</v>
      </c>
      <c r="D239" s="243" t="s">
        <v>230</v>
      </c>
      <c r="E239" s="239" t="str">
        <f>IFERROR(IF(D239="SINAPI-S",VLOOKUP(B239,'20-B.SINAPI-S'!A:J,2,0),IF(D239="SINAPI-I",VLOOKUP(B239,'20-A.SINAPI-I'!A:G,2,0),IF(D239="COMPOSIÇÕES",VLOOKUP(B239,'11.COMPOSIÇÕES GERAIS'!B:I,2,0),VLOOKUP(B239,'12.COT.MERCADO'!A:I,2,0)))),"Em Elaboração")</f>
        <v>CERCA ELÉTRICA INDUSTRIAL INCLUSIVE FIXAÇÃO, CENTRAL DE CHOQUE, BATERIA, SIRENE,HASTES, ATERRAMENTO, FIOS E PLACAS DE ATENÇÃO</v>
      </c>
      <c r="F239" s="240" t="str">
        <f>IFERROR(IF(D239="SINAPI-S",VLOOKUP(B239,'20-B.SINAPI-S'!A:J,3,0),IF(D239="SINAPI-I",VLOOKUP(B239,'20-A.SINAPI-I'!A:G,3,0),IF(D239="COMPOSIÇÕES",VLOOKUP(B239,'11.COMPOSIÇÕES GERAIS'!B:I,3,0),VLOOKUP(B239,'12.COT.MERCADO'!A:I,7,0)))),"Em Elaboração")</f>
        <v>M</v>
      </c>
      <c r="G239" s="244">
        <f>VLOOKUP(A239,'Planilha_Sintética_Geral'!A:O,7,0)</f>
        <v>1</v>
      </c>
      <c r="H239" s="241">
        <f>IFERROR(IF(D239="SINAPI-S",VLOOKUP(B239,'20-B.SINAPI-S'!A:J,5,0),IF(D239="SINAPI-I",VLOOKUP(B239,'20-A.SINAPI-I'!A:G,6,0),IF(D239="COMPOSIÇÕES",VLOOKUP(B239,'11.COMPOSIÇÕES GERAIS'!B:I,7,0),0))),"Em Elaboração")</f>
        <v>10.54912</v>
      </c>
      <c r="I239" s="241">
        <f>IFERROR(IF(D239="SINAPI-S",VLOOKUP(B239,'20-B.SINAPI-S'!A:J,6,0),IF(D239="SINAPI-I",VLOOKUP(B239,'20-A.SINAPI-I'!A:G,7,0),IF(D239="COMPOSIÇÕES",VLOOKUP(B239,'11.COMPOSIÇÕES GERAIS'!B:I,8,0),VLOOKUP(B239,'12.COT.MERCADO'!A:I,8,0)))),"Em Elaboração")</f>
        <v>16.76027</v>
      </c>
      <c r="J239" s="241">
        <f t="shared" si="13"/>
        <v>12.38385428</v>
      </c>
      <c r="K239" s="241">
        <f t="shared" si="14"/>
        <v>19.63188391</v>
      </c>
      <c r="L239" s="241">
        <f t="shared" si="15"/>
        <v>32.01573819</v>
      </c>
      <c r="M239" s="241">
        <f t="shared" si="16"/>
        <v>12.38385428</v>
      </c>
      <c r="N239" s="241">
        <f t="shared" si="17"/>
        <v>19.63188391</v>
      </c>
      <c r="O239" s="241">
        <f t="shared" si="18"/>
        <v>32.01573819</v>
      </c>
      <c r="P239" s="242">
        <f t="shared" si="3"/>
        <v>0.0001026734833</v>
      </c>
    </row>
    <row r="240">
      <c r="A240" s="236" t="s">
        <v>447</v>
      </c>
      <c r="B240" s="237">
        <f>VLOOKUP(A240,'Planilha_Sintética_Geral'!A:P,2,0)</f>
        <v>87398</v>
      </c>
      <c r="C240" s="238" t="str">
        <f t="shared" si="12"/>
        <v>SINAPI</v>
      </c>
      <c r="D240" s="238" t="s">
        <v>218</v>
      </c>
      <c r="E240" s="239" t="str">
        <f>IFERROR(IF(D240="SINAPI-S",VLOOKUP(B240,'20-B.SINAPI-S'!A:J,2,0),IF(D240="SINAPI-I",VLOOKUP(B240,'20-A.SINAPI-I'!A:G,2,0),IF(D240="COMPOSIÇÕES",VLOOKUP(B240,'11.COMPOSIÇÕES GERAIS'!B:I,2,0),VLOOKUP(B240,'12.COT.MERCADO'!A:I,2,0)))),"Em Elaboração")</f>
        <v>ARGAMASSA INDUSTRIALIZADA MULTIUSO PARA REVESTIMENTOS E ASSENTAMENTO DA ALVENARIA, PREPARO MANUAL. AF_08/2019</v>
      </c>
      <c r="F240" s="240" t="str">
        <f>IFERROR(IF(D240="SINAPI-S",VLOOKUP(B240,'20-B.SINAPI-S'!A:J,3,0),IF(D240="SINAPI-I",VLOOKUP(B240,'20-A.SINAPI-I'!A:G,3,0),IF(D240="COMPOSIÇÕES",VLOOKUP(B240,'11.COMPOSIÇÕES GERAIS'!B:I,3,0),VLOOKUP(B240,'12.COT.MERCADO'!A:I,7,0)))),"Em Elaboração")</f>
        <v>M3</v>
      </c>
      <c r="G240" s="244">
        <f>VLOOKUP(A240,'Planilha_Sintética_Geral'!A:O,7,0)</f>
        <v>1</v>
      </c>
      <c r="H240" s="241">
        <f>IFERROR(IF(D240="SINAPI-S",VLOOKUP(B240,'20-B.SINAPI-S'!A:J,5,0),IF(D240="SINAPI-I",VLOOKUP(B240,'20-A.SINAPI-I'!A:G,6,0),IF(D240="COMPOSIÇÕES",VLOOKUP(B240,'11.COMPOSIÇÕES GERAIS'!B:I,7,0),0))),"Em Elaboração")</f>
        <v>219.3</v>
      </c>
      <c r="I240" s="241">
        <f>IFERROR(IF(D240="SINAPI-S",VLOOKUP(B240,'20-B.SINAPI-S'!A:J,6,0),IF(D240="SINAPI-I",VLOOKUP(B240,'20-A.SINAPI-I'!A:G,7,0),IF(D240="COMPOSIÇÕES",VLOOKUP(B240,'11.COMPOSIÇÕES GERAIS'!B:I,8,0),VLOOKUP(B240,'12.COT.MERCADO'!A:I,8,0)))),"Em Elaboração")</f>
        <v>1590.05</v>
      </c>
      <c r="J240" s="241">
        <f t="shared" si="13"/>
        <v>257.4413073</v>
      </c>
      <c r="K240" s="241">
        <f t="shared" si="14"/>
        <v>1862.480557</v>
      </c>
      <c r="L240" s="241">
        <f t="shared" si="15"/>
        <v>2119.921864</v>
      </c>
      <c r="M240" s="241">
        <f t="shared" si="16"/>
        <v>257.4413073</v>
      </c>
      <c r="N240" s="241">
        <f t="shared" si="17"/>
        <v>1862.480557</v>
      </c>
      <c r="O240" s="241">
        <f t="shared" si="18"/>
        <v>2119.921864</v>
      </c>
      <c r="P240" s="242">
        <f t="shared" si="3"/>
        <v>0.006798523928</v>
      </c>
    </row>
    <row r="241">
      <c r="A241" s="236" t="s">
        <v>448</v>
      </c>
      <c r="B241" s="237">
        <f>VLOOKUP(A241,'Planilha_Sintética_Geral'!A:P,2,0)</f>
        <v>5795</v>
      </c>
      <c r="C241" s="238" t="str">
        <f t="shared" si="12"/>
        <v>SINAPI</v>
      </c>
      <c r="D241" s="238" t="s">
        <v>218</v>
      </c>
      <c r="E241" s="239" t="str">
        <f>IFERROR(IF(D241="SINAPI-S",VLOOKUP(B241,'20-B.SINAPI-S'!A:J,2,0),IF(D241="SINAPI-I",VLOOKUP(B241,'20-A.SINAPI-I'!A:G,2,0),IF(D241="COMPOSIÇÕES",VLOOKUP(B241,'11.COMPOSIÇÕES GERAIS'!B:I,2,0),VLOOKUP(B241,'12.COT.MERCADO'!A:I,2,0)))),"Em Elaboração")</f>
        <v>MARTELETE OU ROMPEDOR PNEUMÁTICO MANUAL, 28 KG, COM SILENCIADOR - CHP DIURNO. AF_07/2016</v>
      </c>
      <c r="F241" s="240" t="str">
        <f>IFERROR(IF(D241="SINAPI-S",VLOOKUP(B241,'20-B.SINAPI-S'!A:J,3,0),IF(D241="SINAPI-I",VLOOKUP(B241,'20-A.SINAPI-I'!A:G,3,0),IF(D241="COMPOSIÇÕES",VLOOKUP(B241,'11.COMPOSIÇÕES GERAIS'!B:I,3,0),VLOOKUP(B241,'12.COT.MERCADO'!A:I,7,0)))),"Em Elaboração")</f>
        <v>CHP</v>
      </c>
      <c r="G241" s="244">
        <f>VLOOKUP(A241,'Planilha_Sintética_Geral'!A:O,7,0)</f>
        <v>1</v>
      </c>
      <c r="H241" s="241">
        <f>IFERROR(IF(D241="SINAPI-S",VLOOKUP(B241,'20-B.SINAPI-S'!A:J,5,0),IF(D241="SINAPI-I",VLOOKUP(B241,'20-A.SINAPI-I'!A:G,6,0),IF(D241="COMPOSIÇÕES",VLOOKUP(B241,'11.COMPOSIÇÕES GERAIS'!B:I,7,0),0))),"Em Elaboração")</f>
        <v>19.8</v>
      </c>
      <c r="I241" s="241">
        <f>IFERROR(IF(D241="SINAPI-S",VLOOKUP(B241,'20-B.SINAPI-S'!A:J,6,0),IF(D241="SINAPI-I",VLOOKUP(B241,'20-A.SINAPI-I'!A:G,7,0),IF(D241="COMPOSIÇÕES",VLOOKUP(B241,'11.COMPOSIÇÕES GERAIS'!B:I,8,0),VLOOKUP(B241,'12.COT.MERCADO'!A:I,8,0)))),"Em Elaboração")</f>
        <v>9.64</v>
      </c>
      <c r="J241" s="241">
        <f t="shared" si="13"/>
        <v>23.24367481</v>
      </c>
      <c r="K241" s="241">
        <f t="shared" si="14"/>
        <v>11.2916654</v>
      </c>
      <c r="L241" s="241">
        <f t="shared" si="15"/>
        <v>34.53534021</v>
      </c>
      <c r="M241" s="241">
        <f t="shared" si="16"/>
        <v>23.24367481</v>
      </c>
      <c r="N241" s="241">
        <f t="shared" si="17"/>
        <v>11.2916654</v>
      </c>
      <c r="O241" s="241">
        <f t="shared" si="18"/>
        <v>34.53534021</v>
      </c>
      <c r="P241" s="242">
        <f t="shared" si="3"/>
        <v>0.0001107537691</v>
      </c>
    </row>
    <row r="242">
      <c r="A242" s="236" t="s">
        <v>449</v>
      </c>
      <c r="B242" s="237">
        <f>VLOOKUP(A242,'Planilha_Sintética_Geral'!A:P,2,0)</f>
        <v>102608</v>
      </c>
      <c r="C242" s="238" t="str">
        <f t="shared" si="12"/>
        <v>SINAPI</v>
      </c>
      <c r="D242" s="238" t="s">
        <v>218</v>
      </c>
      <c r="E242" s="239" t="str">
        <f>IFERROR(IF(D242="SINAPI-S",VLOOKUP(B242,'20-B.SINAPI-S'!A:J,2,0),IF(D242="SINAPI-I",VLOOKUP(B242,'20-A.SINAPI-I'!A:G,2,0),IF(D242="COMPOSIÇÕES",VLOOKUP(B242,'11.COMPOSIÇÕES GERAIS'!B:I,2,0),VLOOKUP(B242,'12.COT.MERCADO'!A:I,2,0)))),"Em Elaboração")</f>
        <v>CAIXA D´ÁGUA EM POLIETILENO, 1500 LITROS - FORNECIMENTO E INSTALAÇÃO. AF_06/2021</v>
      </c>
      <c r="F242" s="240" t="str">
        <f>IFERROR(IF(D242="SINAPI-S",VLOOKUP(B242,'20-B.SINAPI-S'!A:J,3,0),IF(D242="SINAPI-I",VLOOKUP(B242,'20-A.SINAPI-I'!A:G,3,0),IF(D242="COMPOSIÇÕES",VLOOKUP(B242,'11.COMPOSIÇÕES GERAIS'!B:I,3,0),VLOOKUP(B242,'12.COT.MERCADO'!A:I,7,0)))),"Em Elaboração")</f>
        <v>UN</v>
      </c>
      <c r="G242" s="244">
        <f>VLOOKUP(A242,'Planilha_Sintética_Geral'!A:O,7,0)</f>
        <v>1</v>
      </c>
      <c r="H242" s="241">
        <f>IFERROR(IF(D242="SINAPI-S",VLOOKUP(B242,'20-B.SINAPI-S'!A:J,5,0),IF(D242="SINAPI-I",VLOOKUP(B242,'20-A.SINAPI-I'!A:G,6,0),IF(D242="COMPOSIÇÕES",VLOOKUP(B242,'11.COMPOSIÇÕES GERAIS'!B:I,7,0),0))),"Em Elaboração")</f>
        <v>8.7</v>
      </c>
      <c r="I242" s="241">
        <f>IFERROR(IF(D242="SINAPI-S",VLOOKUP(B242,'20-B.SINAPI-S'!A:J,6,0),IF(D242="SINAPI-I",VLOOKUP(B242,'20-A.SINAPI-I'!A:G,7,0),IF(D242="COMPOSIÇÕES",VLOOKUP(B242,'11.COMPOSIÇÕES GERAIS'!B:I,8,0),VLOOKUP(B242,'12.COT.MERCADO'!A:I,8,0)))),"Em Elaboração")</f>
        <v>1096.28</v>
      </c>
      <c r="J242" s="241">
        <f t="shared" si="13"/>
        <v>10.21312984</v>
      </c>
      <c r="K242" s="241">
        <f t="shared" si="14"/>
        <v>1284.110679</v>
      </c>
      <c r="L242" s="241">
        <f t="shared" si="15"/>
        <v>1294.323809</v>
      </c>
      <c r="M242" s="241">
        <f t="shared" si="16"/>
        <v>10.21312984</v>
      </c>
      <c r="N242" s="241">
        <f t="shared" si="17"/>
        <v>1284.110679</v>
      </c>
      <c r="O242" s="241">
        <f t="shared" si="18"/>
        <v>1294.323809</v>
      </c>
      <c r="P242" s="242">
        <f t="shared" si="3"/>
        <v>0.004150856469</v>
      </c>
    </row>
    <row r="243">
      <c r="A243" s="236" t="s">
        <v>450</v>
      </c>
      <c r="B243" s="237">
        <f>VLOOKUP(A243,'Planilha_Sintética_Geral'!A:P,2,0)</f>
        <v>89724</v>
      </c>
      <c r="C243" s="238" t="str">
        <f t="shared" si="12"/>
        <v>SINAPI</v>
      </c>
      <c r="D243" s="238" t="s">
        <v>218</v>
      </c>
      <c r="E243" s="239" t="str">
        <f>IFERROR(IF(D243="SINAPI-S",VLOOKUP(B243,'20-B.SINAPI-S'!A:J,2,0),IF(D243="SINAPI-I",VLOOKUP(B243,'20-A.SINAPI-I'!A:G,2,0),IF(D243="COMPOSIÇÕES",VLOOKUP(B243,'11.COMPOSIÇÕES GERAIS'!B:I,2,0),VLOOKUP(B243,'12.COT.MERCADO'!A:I,2,0)))),"Em Elaboração")</f>
        <v>JOELHO 90 GRAUS, PVC, SERIE NORMAL, ESGOTO PREDIAL, DN 40 MM, JUNTA SOLDÁVEL, FORNECIDO E INSTALADO EM RAMAL DE DESCARGA OU RAMAL DE ESGOTO SANITÁRIO. AF_08/2022</v>
      </c>
      <c r="F243" s="240" t="str">
        <f>IFERROR(IF(D243="SINAPI-S",VLOOKUP(B243,'20-B.SINAPI-S'!A:J,3,0),IF(D243="SINAPI-I",VLOOKUP(B243,'20-A.SINAPI-I'!A:G,3,0),IF(D243="COMPOSIÇÕES",VLOOKUP(B243,'11.COMPOSIÇÕES GERAIS'!B:I,3,0),VLOOKUP(B243,'12.COT.MERCADO'!A:I,7,0)))),"Em Elaboração")</f>
        <v>UN</v>
      </c>
      <c r="G243" s="244">
        <f>VLOOKUP(A243,'Planilha_Sintética_Geral'!A:O,7,0)</f>
        <v>1</v>
      </c>
      <c r="H243" s="241">
        <f>IFERROR(IF(D243="SINAPI-S",VLOOKUP(B243,'20-B.SINAPI-S'!A:J,5,0),IF(D243="SINAPI-I",VLOOKUP(B243,'20-A.SINAPI-I'!A:G,6,0),IF(D243="COMPOSIÇÕES",VLOOKUP(B243,'11.COMPOSIÇÕES GERAIS'!B:I,7,0),0))),"Em Elaboração")</f>
        <v>5.52</v>
      </c>
      <c r="I243" s="241">
        <f>IFERROR(IF(D243="SINAPI-S",VLOOKUP(B243,'20-B.SINAPI-S'!A:J,6,0),IF(D243="SINAPI-I",VLOOKUP(B243,'20-A.SINAPI-I'!A:G,7,0),IF(D243="COMPOSIÇÕES",VLOOKUP(B243,'11.COMPOSIÇÕES GERAIS'!B:I,8,0),VLOOKUP(B243,'12.COT.MERCADO'!A:I,8,0)))),"Em Elaboração")</f>
        <v>6.1</v>
      </c>
      <c r="J243" s="241">
        <f t="shared" si="13"/>
        <v>6.480054794</v>
      </c>
      <c r="K243" s="241">
        <f t="shared" si="14"/>
        <v>7.145140969</v>
      </c>
      <c r="L243" s="241">
        <f t="shared" si="15"/>
        <v>13.62519576</v>
      </c>
      <c r="M243" s="241">
        <f t="shared" si="16"/>
        <v>6.480054794</v>
      </c>
      <c r="N243" s="241">
        <f t="shared" si="17"/>
        <v>7.145140969</v>
      </c>
      <c r="O243" s="241">
        <f t="shared" si="18"/>
        <v>13.62519576</v>
      </c>
      <c r="P243" s="242">
        <f t="shared" si="3"/>
        <v>0.00004369558189</v>
      </c>
    </row>
    <row r="244">
      <c r="A244" s="236" t="s">
        <v>451</v>
      </c>
      <c r="B244" s="237">
        <f>VLOOKUP(A244,'Planilha_Sintética_Geral'!A:P,2,0)</f>
        <v>98110</v>
      </c>
      <c r="C244" s="238" t="str">
        <f t="shared" si="12"/>
        <v>SINAPI</v>
      </c>
      <c r="D244" s="238" t="s">
        <v>218</v>
      </c>
      <c r="E244" s="239" t="str">
        <f>IFERROR(IF(D244="SINAPI-S",VLOOKUP(B244,'20-B.SINAPI-S'!A:J,2,0),IF(D244="SINAPI-I",VLOOKUP(B244,'20-A.SINAPI-I'!A:G,2,0),IF(D244="COMPOSIÇÕES",VLOOKUP(B244,'11.COMPOSIÇÕES GERAIS'!B:I,2,0),VLOOKUP(B244,'12.COT.MERCADO'!A:I,2,0)))),"Em Elaboração")</f>
        <v>CAIXA DE GORDURA PEQUENA (CAPACIDADE: 19 L), CIRCULAR, EM PVC, DIÂMETRO INTERNO= 0,3 M. AF_12/2020</v>
      </c>
      <c r="F244" s="240" t="str">
        <f>IFERROR(IF(D244="SINAPI-S",VLOOKUP(B244,'20-B.SINAPI-S'!A:J,3,0),IF(D244="SINAPI-I",VLOOKUP(B244,'20-A.SINAPI-I'!A:G,3,0),IF(D244="COMPOSIÇÕES",VLOOKUP(B244,'11.COMPOSIÇÕES GERAIS'!B:I,3,0),VLOOKUP(B244,'12.COT.MERCADO'!A:I,7,0)))),"Em Elaboração")</f>
        <v>UN</v>
      </c>
      <c r="G244" s="244">
        <f>VLOOKUP(A244,'Planilha_Sintética_Geral'!A:O,7,0)</f>
        <v>1</v>
      </c>
      <c r="H244" s="241">
        <f>IFERROR(IF(D244="SINAPI-S",VLOOKUP(B244,'20-B.SINAPI-S'!A:J,5,0),IF(D244="SINAPI-I",VLOOKUP(B244,'20-A.SINAPI-I'!A:G,6,0),IF(D244="COMPOSIÇÕES",VLOOKUP(B244,'11.COMPOSIÇÕES GERAIS'!B:I,7,0),0))),"Em Elaboração")</f>
        <v>12.34</v>
      </c>
      <c r="I244" s="241">
        <f>IFERROR(IF(D244="SINAPI-S",VLOOKUP(B244,'20-B.SINAPI-S'!A:J,6,0),IF(D244="SINAPI-I",VLOOKUP(B244,'20-A.SINAPI-I'!A:G,7,0),IF(D244="COMPOSIÇÕES",VLOOKUP(B244,'11.COMPOSIÇÕES GERAIS'!B:I,8,0),VLOOKUP(B244,'12.COT.MERCADO'!A:I,8,0)))),"Em Elaboração")</f>
        <v>374.75</v>
      </c>
      <c r="J244" s="241">
        <f t="shared" si="13"/>
        <v>14.48620945</v>
      </c>
      <c r="K244" s="241">
        <f t="shared" si="14"/>
        <v>438.9576358</v>
      </c>
      <c r="L244" s="241">
        <f t="shared" si="15"/>
        <v>453.4438452</v>
      </c>
      <c r="M244" s="241">
        <f t="shared" si="16"/>
        <v>14.48620945</v>
      </c>
      <c r="N244" s="241">
        <f t="shared" si="17"/>
        <v>438.9576358</v>
      </c>
      <c r="O244" s="241">
        <f t="shared" si="18"/>
        <v>453.4438452</v>
      </c>
      <c r="P244" s="242">
        <f t="shared" si="3"/>
        <v>0.001454180403</v>
      </c>
    </row>
    <row r="245">
      <c r="A245" s="236" t="s">
        <v>452</v>
      </c>
      <c r="B245" s="237">
        <f>VLOOKUP(A245,'Planilha_Sintética_Geral'!A:P,2,0)</f>
        <v>104395</v>
      </c>
      <c r="C245" s="238" t="str">
        <f t="shared" si="12"/>
        <v>SINAPI</v>
      </c>
      <c r="D245" s="238" t="s">
        <v>218</v>
      </c>
      <c r="E245" s="239" t="str">
        <f>IFERROR(IF(D245="SINAPI-S",VLOOKUP(B245,'20-B.SINAPI-S'!A:J,2,0),IF(D245="SINAPI-I",VLOOKUP(B245,'20-A.SINAPI-I'!A:G,2,0),IF(D245="COMPOSIÇÕES",VLOOKUP(B245,'11.COMPOSIÇÕES GERAIS'!B:I,2,0),VLOOKUP(B245,'12.COT.MERCADO'!A:I,2,0)))),"Em Elaboração")</f>
        <v>CONDULETE DE PVC, TIPO E, PARA ELETRODUTO DE PVC SOLDÁVEL DN 20 MM (1/2''), APARENTE - FORNECIMENTO E INSTALAÇÃO. AF_10/2022</v>
      </c>
      <c r="F245" s="240" t="str">
        <f>IFERROR(IF(D245="SINAPI-S",VLOOKUP(B245,'20-B.SINAPI-S'!A:J,3,0),IF(D245="SINAPI-I",VLOOKUP(B245,'20-A.SINAPI-I'!A:G,3,0),IF(D245="COMPOSIÇÕES",VLOOKUP(B245,'11.COMPOSIÇÕES GERAIS'!B:I,3,0),VLOOKUP(B245,'12.COT.MERCADO'!A:I,7,0)))),"Em Elaboração")</f>
        <v>UN</v>
      </c>
      <c r="G245" s="244">
        <f>VLOOKUP(A245,'Planilha_Sintética_Geral'!A:O,7,0)</f>
        <v>2</v>
      </c>
      <c r="H245" s="241">
        <f>IFERROR(IF(D245="SINAPI-S",VLOOKUP(B245,'20-B.SINAPI-S'!A:J,5,0),IF(D245="SINAPI-I",VLOOKUP(B245,'20-A.SINAPI-I'!A:G,6,0),IF(D245="COMPOSIÇÕES",VLOOKUP(B245,'11.COMPOSIÇÕES GERAIS'!B:I,7,0),0))),"Em Elaboração")</f>
        <v>9.51</v>
      </c>
      <c r="I245" s="241">
        <f>IFERROR(IF(D245="SINAPI-S",VLOOKUP(B245,'20-B.SINAPI-S'!A:J,6,0),IF(D245="SINAPI-I",VLOOKUP(B245,'20-A.SINAPI-I'!A:G,7,0),IF(D245="COMPOSIÇÕES",VLOOKUP(B245,'11.COMPOSIÇÕES GERAIS'!B:I,8,0),VLOOKUP(B245,'12.COT.MERCADO'!A:I,8,0)))),"Em Elaboração")</f>
        <v>17.24</v>
      </c>
      <c r="J245" s="241">
        <f t="shared" si="13"/>
        <v>11.16400744</v>
      </c>
      <c r="K245" s="241">
        <f t="shared" si="14"/>
        <v>20.19380825</v>
      </c>
      <c r="L245" s="241">
        <f t="shared" si="15"/>
        <v>31.35781569</v>
      </c>
      <c r="M245" s="241">
        <f t="shared" si="16"/>
        <v>22.32801489</v>
      </c>
      <c r="N245" s="241">
        <f t="shared" si="17"/>
        <v>40.3876165</v>
      </c>
      <c r="O245" s="241">
        <f t="shared" si="18"/>
        <v>62.71563138</v>
      </c>
      <c r="P245" s="242">
        <f t="shared" si="3"/>
        <v>0.0002011270924</v>
      </c>
    </row>
    <row r="246">
      <c r="A246" s="236" t="s">
        <v>453</v>
      </c>
      <c r="B246" s="237">
        <f>VLOOKUP(A246,'Planilha_Sintética_Geral'!A:P,2,0)</f>
        <v>91884</v>
      </c>
      <c r="C246" s="238" t="str">
        <f t="shared" si="12"/>
        <v>SINAPI</v>
      </c>
      <c r="D246" s="238" t="s">
        <v>218</v>
      </c>
      <c r="E246" s="239" t="str">
        <f>IFERROR(IF(D246="SINAPI-S",VLOOKUP(B246,'20-B.SINAPI-S'!A:J,2,0),IF(D246="SINAPI-I",VLOOKUP(B246,'20-A.SINAPI-I'!A:G,2,0),IF(D246="COMPOSIÇÕES",VLOOKUP(B246,'11.COMPOSIÇÕES GERAIS'!B:I,2,0),VLOOKUP(B246,'12.COT.MERCADO'!A:I,2,0)))),"Em Elaboração")</f>
        <v>LUVA PARA ELETRODUTO, PVC, ROSCÁVEL, DN 25 MM (3/4"), PARA CIRCUITOS TERMINAIS, INSTALADA EM PAREDE - FORNECIMENTO E INSTALAÇÃO. AF_03/2023</v>
      </c>
      <c r="F246" s="240" t="str">
        <f>IFERROR(IF(D246="SINAPI-S",VLOOKUP(B246,'20-B.SINAPI-S'!A:J,3,0),IF(D246="SINAPI-I",VLOOKUP(B246,'20-A.SINAPI-I'!A:G,3,0),IF(D246="COMPOSIÇÕES",VLOOKUP(B246,'11.COMPOSIÇÕES GERAIS'!B:I,3,0),VLOOKUP(B246,'12.COT.MERCADO'!A:I,7,0)))),"Em Elaboração")</f>
        <v>UN</v>
      </c>
      <c r="G246" s="244">
        <f>VLOOKUP(A246,'Planilha_Sintética_Geral'!A:O,7,0)</f>
        <v>2</v>
      </c>
      <c r="H246" s="241">
        <f>IFERROR(IF(D246="SINAPI-S",VLOOKUP(B246,'20-B.SINAPI-S'!A:J,5,0),IF(D246="SINAPI-I",VLOOKUP(B246,'20-A.SINAPI-I'!A:G,6,0),IF(D246="COMPOSIÇÕES",VLOOKUP(B246,'11.COMPOSIÇÕES GERAIS'!B:I,7,0),0))),"Em Elaboração")</f>
        <v>8.77</v>
      </c>
      <c r="I246" s="241">
        <f>IFERROR(IF(D246="SINAPI-S",VLOOKUP(B246,'20-B.SINAPI-S'!A:J,6,0),IF(D246="SINAPI-I",VLOOKUP(B246,'20-A.SINAPI-I'!A:G,7,0),IF(D246="COMPOSIÇÕES",VLOOKUP(B246,'11.COMPOSIÇÕES GERAIS'!B:I,8,0),VLOOKUP(B246,'12.COT.MERCADO'!A:I,8,0)))),"Em Elaboração")</f>
        <v>4.73</v>
      </c>
      <c r="J246" s="241">
        <f t="shared" si="13"/>
        <v>10.29530445</v>
      </c>
      <c r="K246" s="241">
        <f t="shared" si="14"/>
        <v>5.540412588</v>
      </c>
      <c r="L246" s="241">
        <f t="shared" si="15"/>
        <v>15.83571703</v>
      </c>
      <c r="M246" s="241">
        <f t="shared" si="16"/>
        <v>20.59060889</v>
      </c>
      <c r="N246" s="241">
        <f t="shared" si="17"/>
        <v>11.08082518</v>
      </c>
      <c r="O246" s="241">
        <f t="shared" si="18"/>
        <v>31.67143407</v>
      </c>
      <c r="P246" s="242">
        <f t="shared" si="3"/>
        <v>0.0001015693106</v>
      </c>
    </row>
    <row r="247">
      <c r="A247" s="236" t="s">
        <v>454</v>
      </c>
      <c r="B247" s="237" t="str">
        <f>VLOOKUP(A247,'Planilha_Sintética_Geral'!A:P,2,0)</f>
        <v>MAN_PR_060</v>
      </c>
      <c r="C247" s="238" t="str">
        <f t="shared" si="12"/>
        <v>PRÓPRIO</v>
      </c>
      <c r="D247" s="243" t="s">
        <v>230</v>
      </c>
      <c r="E247" s="239" t="str">
        <f>IFERROR(IF(D247="SINAPI-S",VLOOKUP(B247,'20-B.SINAPI-S'!A:J,2,0),IF(D247="SINAPI-I",VLOOKUP(B247,'20-A.SINAPI-I'!A:G,2,0),IF(D247="COMPOSIÇÕES",VLOOKUP(B247,'11.COMPOSIÇÕES GERAIS'!B:I,2,0),VLOOKUP(B247,'12.COT.MERCADO'!A:I,2,0)))),"Em Elaboração")</f>
        <v>CONECTOR PARA CABOS 4MM2 3 VIAS. REF. WAGO 221-413 OU SIMILAR</v>
      </c>
      <c r="F247" s="240" t="str">
        <f>IFERROR(IF(D247="SINAPI-S",VLOOKUP(B247,'20-B.SINAPI-S'!A:J,3,0),IF(D247="SINAPI-I",VLOOKUP(B247,'20-A.SINAPI-I'!A:G,3,0),IF(D247="COMPOSIÇÕES",VLOOKUP(B247,'11.COMPOSIÇÕES GERAIS'!B:I,3,0),VLOOKUP(B247,'12.COT.MERCADO'!A:I,7,0)))),"Em Elaboração")</f>
        <v>UN</v>
      </c>
      <c r="G247" s="244">
        <f>VLOOKUP(A247,'Planilha_Sintética_Geral'!A:O,7,0)</f>
        <v>43</v>
      </c>
      <c r="H247" s="241">
        <f>IFERROR(IF(D247="SINAPI-S",VLOOKUP(B247,'20-B.SINAPI-S'!A:J,5,0),IF(D247="SINAPI-I",VLOOKUP(B247,'20-A.SINAPI-I'!A:G,6,0),IF(D247="COMPOSIÇÕES",VLOOKUP(B247,'11.COMPOSIÇÕES GERAIS'!B:I,7,0),0))),"Em Elaboração")</f>
        <v>7.383143</v>
      </c>
      <c r="I247" s="241">
        <f>IFERROR(IF(D247="SINAPI-S",VLOOKUP(B247,'20-B.SINAPI-S'!A:J,6,0),IF(D247="SINAPI-I",VLOOKUP(B247,'20-A.SINAPI-I'!A:G,7,0),IF(D247="COMPOSIÇÕES",VLOOKUP(B247,'11.COMPOSIÇÕES GERAIS'!B:I,8,0),VLOOKUP(B247,'12.COT.MERCADO'!A:I,8,0)))),"Em Elaboração")</f>
        <v>5.360524</v>
      </c>
      <c r="J247" s="241">
        <f t="shared" si="13"/>
        <v>8.667241159</v>
      </c>
      <c r="K247" s="241">
        <f t="shared" si="14"/>
        <v>6.278967156</v>
      </c>
      <c r="L247" s="241">
        <f t="shared" si="15"/>
        <v>14.94620831</v>
      </c>
      <c r="M247" s="241">
        <f t="shared" si="16"/>
        <v>372.6913698</v>
      </c>
      <c r="N247" s="241">
        <f t="shared" si="17"/>
        <v>269.9955877</v>
      </c>
      <c r="O247" s="241">
        <f t="shared" si="18"/>
        <v>642.6869575</v>
      </c>
      <c r="P247" s="242">
        <f t="shared" si="3"/>
        <v>0.002061077218</v>
      </c>
    </row>
    <row r="248">
      <c r="A248" s="236" t="s">
        <v>455</v>
      </c>
      <c r="B248" s="237" t="str">
        <f>VLOOKUP(A248,'Planilha_Sintética_Geral'!A:P,2,0)</f>
        <v>MAN_PR_064</v>
      </c>
      <c r="C248" s="238" t="str">
        <f t="shared" si="12"/>
        <v>PRÓPRIO</v>
      </c>
      <c r="D248" s="243" t="s">
        <v>230</v>
      </c>
      <c r="E248" s="239" t="str">
        <f>IFERROR(IF(D248="SINAPI-S",VLOOKUP(B248,'20-B.SINAPI-S'!A:J,2,0),IF(D248="SINAPI-I",VLOOKUP(B248,'20-A.SINAPI-I'!A:G,2,0),IF(D248="COMPOSIÇÕES",VLOOKUP(B248,'11.COMPOSIÇÕES GERAIS'!B:I,2,0),VLOOKUP(B248,'12.COT.MERCADO'!A:I,2,0)))),"Em Elaboração")</f>
        <v>FORNECIMENTO E INSTALAÇÃO DE CABO DE COBRE PP CORDPLAST 3 X 4,0MM2, 450/750V</v>
      </c>
      <c r="F248" s="240" t="str">
        <f>IFERROR(IF(D248="SINAPI-S",VLOOKUP(B248,'20-B.SINAPI-S'!A:J,3,0),IF(D248="SINAPI-I",VLOOKUP(B248,'20-A.SINAPI-I'!A:G,3,0),IF(D248="COMPOSIÇÕES",VLOOKUP(B248,'11.COMPOSIÇÕES GERAIS'!B:I,3,0),VLOOKUP(B248,'12.COT.MERCADO'!A:I,7,0)))),"Em Elaboração")</f>
        <v>M</v>
      </c>
      <c r="G248" s="244">
        <f>VLOOKUP(A248,'Planilha_Sintética_Geral'!A:O,7,0)</f>
        <v>4</v>
      </c>
      <c r="H248" s="241">
        <f>IFERROR(IF(D248="SINAPI-S",VLOOKUP(B248,'20-B.SINAPI-S'!A:J,5,0),IF(D248="SINAPI-I",VLOOKUP(B248,'20-A.SINAPI-I'!A:G,6,0),IF(D248="COMPOSIÇÕES",VLOOKUP(B248,'11.COMPOSIÇÕES GERAIS'!B:I,7,0),0))),"Em Elaboração")</f>
        <v>5.7577</v>
      </c>
      <c r="I248" s="241">
        <f>IFERROR(IF(D248="SINAPI-S",VLOOKUP(B248,'20-B.SINAPI-S'!A:J,6,0),IF(D248="SINAPI-I",VLOOKUP(B248,'20-A.SINAPI-I'!A:G,7,0),IF(D248="COMPOSIÇÕES",VLOOKUP(B248,'11.COMPOSIÇÕES GERAIS'!B:I,8,0),VLOOKUP(B248,'12.COT.MERCADO'!A:I,8,0)))),"Em Elaboração")</f>
        <v>17.0172</v>
      </c>
      <c r="J248" s="241">
        <f t="shared" si="13"/>
        <v>6.759096284</v>
      </c>
      <c r="K248" s="241">
        <f t="shared" si="14"/>
        <v>19.9328349</v>
      </c>
      <c r="L248" s="241">
        <f t="shared" si="15"/>
        <v>26.69193119</v>
      </c>
      <c r="M248" s="241">
        <f t="shared" si="16"/>
        <v>27.03638514</v>
      </c>
      <c r="N248" s="241">
        <f t="shared" si="17"/>
        <v>79.73133961</v>
      </c>
      <c r="O248" s="241">
        <f t="shared" si="18"/>
        <v>106.7677247</v>
      </c>
      <c r="P248" s="242">
        <f t="shared" si="3"/>
        <v>0.0003424007949</v>
      </c>
    </row>
    <row r="249">
      <c r="A249" s="236" t="s">
        <v>456</v>
      </c>
      <c r="B249" s="237">
        <f>VLOOKUP(A249,'Planilha_Sintética_Geral'!A:P,2,0)</f>
        <v>3777</v>
      </c>
      <c r="C249" s="238" t="str">
        <f t="shared" si="12"/>
        <v>SINAPI</v>
      </c>
      <c r="D249" s="243" t="s">
        <v>286</v>
      </c>
      <c r="E249" s="239" t="str">
        <f>IFERROR(IF(D249="SINAPI-S",VLOOKUP(B249,'20-B.SINAPI-S'!A:J,2,0),IF(D249="SINAPI-I",VLOOKUP(B249,'20-A.SINAPI-I'!A:G,2,0),IF(D249="COMPOSIÇÕES",VLOOKUP(B249,'11.COMPOSIÇÕES GERAIS'!B:I,2,0),VLOOKUP(B249,'12.COT.MERCADO'!A:I,2,0)))),"Em Elaboração")</f>
        <v>LONA PLASTICA PESADA PRETA, E = 150 MICRA</v>
      </c>
      <c r="F249" s="240" t="str">
        <f>IFERROR(IF(D249="SINAPI-S",VLOOKUP(B249,'20-B.SINAPI-S'!A:J,3,0),IF(D249="SINAPI-I",VLOOKUP(B249,'20-A.SINAPI-I'!A:G,3,0),IF(D249="COMPOSIÇÕES",VLOOKUP(B249,'11.COMPOSIÇÕES GERAIS'!B:I,3,0),VLOOKUP(B249,'12.COT.MERCADO'!A:I,7,0)))),"Em Elaboração")</f>
        <v>M2</v>
      </c>
      <c r="G249" s="244">
        <f>VLOOKUP(A249,'Planilha_Sintética_Geral'!A:O,7,0)</f>
        <v>43</v>
      </c>
      <c r="H249" s="241">
        <f>IFERROR(IF(D249="SINAPI-S",VLOOKUP(B249,'20-B.SINAPI-S'!A:J,5,0),IF(D249="SINAPI-I",VLOOKUP(B249,'20-A.SINAPI-I'!A:G,6,0),IF(D249="COMPOSIÇÕES",VLOOKUP(B249,'11.COMPOSIÇÕES GERAIS'!B:I,7,0),0))),"Em Elaboração")</f>
        <v>0</v>
      </c>
      <c r="I249" s="241">
        <f>IFERROR(IF(D249="SINAPI-S",VLOOKUP(B249,'20-B.SINAPI-S'!A:J,6,0),IF(D249="SINAPI-I",VLOOKUP(B249,'20-A.SINAPI-I'!A:G,7,0),IF(D249="COMPOSIÇÕES",VLOOKUP(B249,'11.COMPOSIÇÕES GERAIS'!B:I,8,0),VLOOKUP(B249,'12.COT.MERCADO'!A:I,8,0)))),"Em Elaboração")</f>
        <v>1.62</v>
      </c>
      <c r="J249" s="241">
        <f t="shared" si="13"/>
        <v>0</v>
      </c>
      <c r="K249" s="241">
        <f t="shared" si="14"/>
        <v>1.897562028</v>
      </c>
      <c r="L249" s="241">
        <f t="shared" si="15"/>
        <v>1.897562028</v>
      </c>
      <c r="M249" s="241">
        <f t="shared" si="16"/>
        <v>0</v>
      </c>
      <c r="N249" s="241">
        <f t="shared" si="17"/>
        <v>81.5951672</v>
      </c>
      <c r="O249" s="241">
        <f t="shared" si="18"/>
        <v>81.5951672</v>
      </c>
      <c r="P249" s="242">
        <f t="shared" si="3"/>
        <v>0.0002616731805</v>
      </c>
    </row>
    <row r="250">
      <c r="A250" s="236" t="s">
        <v>457</v>
      </c>
      <c r="B250" s="237">
        <f>VLOOKUP(A250,'Planilha_Sintética_Geral'!A:P,2,0)</f>
        <v>92273</v>
      </c>
      <c r="C250" s="238" t="str">
        <f t="shared" si="12"/>
        <v>SINAPI</v>
      </c>
      <c r="D250" s="238" t="s">
        <v>218</v>
      </c>
      <c r="E250" s="239" t="str">
        <f>IFERROR(IF(D250="SINAPI-S",VLOOKUP(B250,'20-B.SINAPI-S'!A:J,2,0),IF(D250="SINAPI-I",VLOOKUP(B250,'20-A.SINAPI-I'!A:G,2,0),IF(D250="COMPOSIÇÕES",VLOOKUP(B250,'11.COMPOSIÇÕES GERAIS'!B:I,2,0),VLOOKUP(B250,'12.COT.MERCADO'!A:I,2,0)))),"Em Elaboração")</f>
        <v>FABRICAÇÃO DE ESCORAS DO TIPO PONTALETE, EM MADEIRA, PARA PÉ-DIREITO SIMPLES. AF_09/2020</v>
      </c>
      <c r="F250" s="240" t="str">
        <f>IFERROR(IF(D250="SINAPI-S",VLOOKUP(B250,'20-B.SINAPI-S'!A:J,3,0),IF(D250="SINAPI-I",VLOOKUP(B250,'20-A.SINAPI-I'!A:G,3,0),IF(D250="COMPOSIÇÕES",VLOOKUP(B250,'11.COMPOSIÇÕES GERAIS'!B:I,3,0),VLOOKUP(B250,'12.COT.MERCADO'!A:I,7,0)))),"Em Elaboração")</f>
        <v>M</v>
      </c>
      <c r="G250" s="244">
        <f>VLOOKUP(A250,'Planilha_Sintética_Geral'!A:O,7,0)</f>
        <v>77</v>
      </c>
      <c r="H250" s="241">
        <f>IFERROR(IF(D250="SINAPI-S",VLOOKUP(B250,'20-B.SINAPI-S'!A:J,5,0),IF(D250="SINAPI-I",VLOOKUP(B250,'20-A.SINAPI-I'!A:G,6,0),IF(D250="COMPOSIÇÕES",VLOOKUP(B250,'11.COMPOSIÇÕES GERAIS'!B:I,7,0),0))),"Em Elaboração")</f>
        <v>3.52</v>
      </c>
      <c r="I250" s="241">
        <f>IFERROR(IF(D250="SINAPI-S",VLOOKUP(B250,'20-B.SINAPI-S'!A:J,6,0),IF(D250="SINAPI-I",VLOOKUP(B250,'20-A.SINAPI-I'!A:G,7,0),IF(D250="COMPOSIÇÕES",VLOOKUP(B250,'11.COMPOSIÇÕES GERAIS'!B:I,8,0),VLOOKUP(B250,'12.COT.MERCADO'!A:I,8,0)))),"Em Elaboração")</f>
        <v>10.57</v>
      </c>
      <c r="J250" s="241">
        <f t="shared" si="13"/>
        <v>4.132208854</v>
      </c>
      <c r="K250" s="241">
        <f t="shared" si="14"/>
        <v>12.38100656</v>
      </c>
      <c r="L250" s="241">
        <f t="shared" si="15"/>
        <v>16.51321542</v>
      </c>
      <c r="M250" s="241">
        <f t="shared" si="16"/>
        <v>318.1800818</v>
      </c>
      <c r="N250" s="241">
        <f t="shared" si="17"/>
        <v>953.3375055</v>
      </c>
      <c r="O250" s="241">
        <f t="shared" si="18"/>
        <v>1271.517587</v>
      </c>
      <c r="P250" s="242">
        <f t="shared" si="3"/>
        <v>0.004077717621</v>
      </c>
    </row>
    <row r="251">
      <c r="A251" s="236" t="s">
        <v>458</v>
      </c>
      <c r="B251" s="237">
        <f>VLOOKUP(A251,'Planilha_Sintética_Geral'!A:P,2,0)</f>
        <v>95801</v>
      </c>
      <c r="C251" s="238" t="str">
        <f t="shared" si="12"/>
        <v>SINAPI</v>
      </c>
      <c r="D251" s="238" t="s">
        <v>218</v>
      </c>
      <c r="E251" s="239" t="str">
        <f>IFERROR(IF(D251="SINAPI-S",VLOOKUP(B251,'20-B.SINAPI-S'!A:J,2,0),IF(D251="SINAPI-I",VLOOKUP(B251,'20-A.SINAPI-I'!A:G,2,0),IF(D251="COMPOSIÇÕES",VLOOKUP(B251,'11.COMPOSIÇÕES GERAIS'!B:I,2,0),VLOOKUP(B251,'12.COT.MERCADO'!A:I,2,0)))),"Em Elaboração")</f>
        <v>CONDULETE DE ALUMÍNIO, TIPO X, PARA ELETRODUTO DE AÇO GALVANIZADO DN 20 MM (3/4''), APARENTE - FORNECIMENTO E INSTALAÇÃO. AF_10/2022</v>
      </c>
      <c r="F251" s="240" t="str">
        <f>IFERROR(IF(D251="SINAPI-S",VLOOKUP(B251,'20-B.SINAPI-S'!A:J,3,0),IF(D251="SINAPI-I",VLOOKUP(B251,'20-A.SINAPI-I'!A:G,3,0),IF(D251="COMPOSIÇÕES",VLOOKUP(B251,'11.COMPOSIÇÕES GERAIS'!B:I,3,0),VLOOKUP(B251,'12.COT.MERCADO'!A:I,7,0)))),"Em Elaboração")</f>
        <v>UN</v>
      </c>
      <c r="G251" s="244">
        <f>VLOOKUP(A251,'Planilha_Sintética_Geral'!A:O,7,0)</f>
        <v>1</v>
      </c>
      <c r="H251" s="241">
        <f>IFERROR(IF(D251="SINAPI-S",VLOOKUP(B251,'20-B.SINAPI-S'!A:J,5,0),IF(D251="SINAPI-I",VLOOKUP(B251,'20-A.SINAPI-I'!A:G,6,0),IF(D251="COMPOSIÇÕES",VLOOKUP(B251,'11.COMPOSIÇÕES GERAIS'!B:I,7,0),0))),"Em Elaboração")</f>
        <v>17.75</v>
      </c>
      <c r="I251" s="241">
        <f>IFERROR(IF(D251="SINAPI-S",VLOOKUP(B251,'20-B.SINAPI-S'!A:J,6,0),IF(D251="SINAPI-I",VLOOKUP(B251,'20-A.SINAPI-I'!A:G,7,0),IF(D251="COMPOSIÇÕES",VLOOKUP(B251,'11.COMPOSIÇÕES GERAIS'!B:I,8,0),VLOOKUP(B251,'12.COT.MERCADO'!A:I,8,0)))),"Em Elaboração")</f>
        <v>28</v>
      </c>
      <c r="J251" s="241">
        <f t="shared" si="13"/>
        <v>20.83713272</v>
      </c>
      <c r="K251" s="241">
        <f t="shared" si="14"/>
        <v>32.79736838</v>
      </c>
      <c r="L251" s="241">
        <f t="shared" si="15"/>
        <v>53.6345011</v>
      </c>
      <c r="M251" s="241">
        <f t="shared" si="16"/>
        <v>20.83713272</v>
      </c>
      <c r="N251" s="241">
        <f t="shared" si="17"/>
        <v>32.79736838</v>
      </c>
      <c r="O251" s="241">
        <f t="shared" si="18"/>
        <v>53.6345011</v>
      </c>
      <c r="P251" s="242">
        <f t="shared" si="3"/>
        <v>0.0001720041881</v>
      </c>
    </row>
    <row r="252">
      <c r="A252" s="236" t="s">
        <v>459</v>
      </c>
      <c r="B252" s="237" t="str">
        <f>VLOOKUP(A252,'Planilha_Sintética_Geral'!A:P,2,0)</f>
        <v>MAN_PR_067</v>
      </c>
      <c r="C252" s="238" t="str">
        <f t="shared" si="12"/>
        <v>PRÓPRIO</v>
      </c>
      <c r="D252" s="243" t="s">
        <v>230</v>
      </c>
      <c r="E252" s="239" t="str">
        <f>IFERROR(IF(D252="SINAPI-S",VLOOKUP(B252,'20-B.SINAPI-S'!A:J,2,0),IF(D252="SINAPI-I",VLOOKUP(B252,'20-A.SINAPI-I'!A:G,2,0),IF(D252="COMPOSIÇÕES",VLOOKUP(B252,'11.COMPOSIÇÕES GERAIS'!B:I,2,0),VLOOKUP(B252,'12.COT.MERCADO'!A:I,2,0)))),"Em Elaboração")</f>
        <v>FORNECIMENTO E INSTALAÇÃO DE CONJUNTO MONTADO DE TOMADA 2P + T, ABNT, DE SOBREPOR, 20A, SISTEMA X</v>
      </c>
      <c r="F252" s="240" t="str">
        <f>IFERROR(IF(D252="SINAPI-S",VLOOKUP(B252,'20-B.SINAPI-S'!A:J,3,0),IF(D252="SINAPI-I",VLOOKUP(B252,'20-A.SINAPI-I'!A:G,3,0),IF(D252="COMPOSIÇÕES",VLOOKUP(B252,'11.COMPOSIÇÕES GERAIS'!B:I,3,0),VLOOKUP(B252,'12.COT.MERCADO'!A:I,7,0)))),"Em Elaboração")</f>
        <v>UN</v>
      </c>
      <c r="G252" s="244">
        <f>VLOOKUP(A252,'Planilha_Sintética_Geral'!A:O,7,0)</f>
        <v>7</v>
      </c>
      <c r="H252" s="241">
        <f>IFERROR(IF(D252="SINAPI-S",VLOOKUP(B252,'20-B.SINAPI-S'!A:J,5,0),IF(D252="SINAPI-I",VLOOKUP(B252,'20-A.SINAPI-I'!A:G,6,0),IF(D252="COMPOSIÇÕES",VLOOKUP(B252,'11.COMPOSIÇÕES GERAIS'!B:I,7,0),0))),"Em Elaboração")</f>
        <v>31.003</v>
      </c>
      <c r="I252" s="241">
        <f>IFERROR(IF(D252="SINAPI-S",VLOOKUP(B252,'20-B.SINAPI-S'!A:J,6,0),IF(D252="SINAPI-I",VLOOKUP(B252,'20-A.SINAPI-I'!A:G,7,0),IF(D252="COMPOSIÇÕES",VLOOKUP(B252,'11.COMPOSIÇÕES GERAIS'!B:I,8,0),VLOOKUP(B252,'12.COT.MERCADO'!A:I,8,0)))),"Em Elaboração")</f>
        <v>21.904</v>
      </c>
      <c r="J252" s="241">
        <f t="shared" si="13"/>
        <v>36.39513384</v>
      </c>
      <c r="K252" s="241">
        <f t="shared" si="14"/>
        <v>25.65691275</v>
      </c>
      <c r="L252" s="241">
        <f t="shared" si="15"/>
        <v>62.05204659</v>
      </c>
      <c r="M252" s="241">
        <f t="shared" si="16"/>
        <v>254.7659369</v>
      </c>
      <c r="N252" s="241">
        <f t="shared" si="17"/>
        <v>179.5983893</v>
      </c>
      <c r="O252" s="241">
        <f t="shared" si="18"/>
        <v>434.3643261</v>
      </c>
      <c r="P252" s="242">
        <f t="shared" si="3"/>
        <v>0.001392992975</v>
      </c>
    </row>
    <row r="253">
      <c r="A253" s="236" t="s">
        <v>460</v>
      </c>
      <c r="B253" s="237">
        <f>VLOOKUP(A253,'Planilha_Sintética_Geral'!A:P,2,0)</f>
        <v>39391</v>
      </c>
      <c r="C253" s="238" t="str">
        <f t="shared" si="12"/>
        <v>SINAPI</v>
      </c>
      <c r="D253" s="243" t="s">
        <v>286</v>
      </c>
      <c r="E253" s="239" t="str">
        <f>IFERROR(IF(D253="SINAPI-S",VLOOKUP(B253,'20-B.SINAPI-S'!A:J,2,0),IF(D253="SINAPI-I",VLOOKUP(B253,'20-A.SINAPI-I'!A:G,2,0),IF(D253="COMPOSIÇÕES",VLOOKUP(B253,'11.COMPOSIÇÕES GERAIS'!B:I,2,0),VLOOKUP(B253,'12.COT.MERCADO'!A:I,2,0)))),"Em Elaboração")</f>
        <v>LUMINARIA LED REFLETOR RETANGULAR BIVOLT, LUZ BRANCA, 50 W</v>
      </c>
      <c r="F253" s="240" t="str">
        <f>IFERROR(IF(D253="SINAPI-S",VLOOKUP(B253,'20-B.SINAPI-S'!A:J,3,0),IF(D253="SINAPI-I",VLOOKUP(B253,'20-A.SINAPI-I'!A:G,3,0),IF(D253="COMPOSIÇÕES",VLOOKUP(B253,'11.COMPOSIÇÕES GERAIS'!B:I,3,0),VLOOKUP(B253,'12.COT.MERCADO'!A:I,7,0)))),"Em Elaboração")</f>
        <v>UN</v>
      </c>
      <c r="G253" s="244">
        <f>VLOOKUP(A253,'Planilha_Sintética_Geral'!A:O,7,0)</f>
        <v>1</v>
      </c>
      <c r="H253" s="241">
        <f>IFERROR(IF(D253="SINAPI-S",VLOOKUP(B253,'20-B.SINAPI-S'!A:J,5,0),IF(D253="SINAPI-I",VLOOKUP(B253,'20-A.SINAPI-I'!A:G,6,0),IF(D253="COMPOSIÇÕES",VLOOKUP(B253,'11.COMPOSIÇÕES GERAIS'!B:I,7,0),0))),"Em Elaboração")</f>
        <v>0</v>
      </c>
      <c r="I253" s="241">
        <f>IFERROR(IF(D253="SINAPI-S",VLOOKUP(B253,'20-B.SINAPI-S'!A:J,6,0),IF(D253="SINAPI-I",VLOOKUP(B253,'20-A.SINAPI-I'!A:G,7,0),IF(D253="COMPOSIÇÕES",VLOOKUP(B253,'11.COMPOSIÇÕES GERAIS'!B:I,8,0),VLOOKUP(B253,'12.COT.MERCADO'!A:I,8,0)))),"Em Elaboração")</f>
        <v>44</v>
      </c>
      <c r="J253" s="241">
        <f t="shared" si="13"/>
        <v>0</v>
      </c>
      <c r="K253" s="241">
        <f t="shared" si="14"/>
        <v>51.53872175</v>
      </c>
      <c r="L253" s="241">
        <f t="shared" si="15"/>
        <v>51.53872175</v>
      </c>
      <c r="M253" s="241">
        <f t="shared" si="16"/>
        <v>0</v>
      </c>
      <c r="N253" s="241">
        <f t="shared" si="17"/>
        <v>51.53872175</v>
      </c>
      <c r="O253" s="241">
        <f t="shared" si="18"/>
        <v>51.53872175</v>
      </c>
      <c r="P253" s="242">
        <f t="shared" si="3"/>
        <v>0.0001652830885</v>
      </c>
    </row>
    <row r="254">
      <c r="A254" s="236" t="s">
        <v>461</v>
      </c>
      <c r="B254" s="237" t="str">
        <f>VLOOKUP(A254,'Planilha_Sintética_Geral'!A:P,2,0)</f>
        <v>MAN_PR_074</v>
      </c>
      <c r="C254" s="238" t="str">
        <f t="shared" si="12"/>
        <v>PRÓPRIO</v>
      </c>
      <c r="D254" s="243" t="s">
        <v>230</v>
      </c>
      <c r="E254" s="239" t="str">
        <f>IFERROR(IF(D254="SINAPI-S",VLOOKUP(B254,'20-B.SINAPI-S'!A:J,2,0),IF(D254="SINAPI-I",VLOOKUP(B254,'20-A.SINAPI-I'!A:G,2,0),IF(D254="COMPOSIÇÕES",VLOOKUP(B254,'11.COMPOSIÇÕES GERAIS'!B:I,2,0),VLOOKUP(B254,'12.COT.MERCADO'!A:I,2,0)))),"Em Elaboração")</f>
        <v>FORNECIMENTO E INSTALAÇÃO KIT DE PROTECAO ARSTOP PARA AR CONDICIONADO, TOMADA PADRAO 2P+T 20 A, COM DISJUNTOR BIPOLAR DIN 20A</v>
      </c>
      <c r="F254" s="240" t="str">
        <f>IFERROR(IF(D254="SINAPI-S",VLOOKUP(B254,'20-B.SINAPI-S'!A:J,3,0),IF(D254="SINAPI-I",VLOOKUP(B254,'20-A.SINAPI-I'!A:G,3,0),IF(D254="COMPOSIÇÕES",VLOOKUP(B254,'11.COMPOSIÇÕES GERAIS'!B:I,3,0),VLOOKUP(B254,'12.COT.MERCADO'!A:I,7,0)))),"Em Elaboração")</f>
        <v>UN</v>
      </c>
      <c r="G254" s="244">
        <f>VLOOKUP(A254,'Planilha_Sintética_Geral'!A:O,7,0)</f>
        <v>1</v>
      </c>
      <c r="H254" s="241">
        <f>IFERROR(IF(D254="SINAPI-S",VLOOKUP(B254,'20-B.SINAPI-S'!A:J,5,0),IF(D254="SINAPI-I",VLOOKUP(B254,'20-A.SINAPI-I'!A:G,6,0),IF(D254="COMPOSIÇÕES",VLOOKUP(B254,'11.COMPOSIÇÕES GERAIS'!B:I,7,0),0))),"Em Elaboração")</f>
        <v>44.29</v>
      </c>
      <c r="I254" s="241">
        <f>IFERROR(IF(D254="SINAPI-S",VLOOKUP(B254,'20-B.SINAPI-S'!A:J,6,0),IF(D254="SINAPI-I",VLOOKUP(B254,'20-A.SINAPI-I'!A:G,7,0),IF(D254="COMPOSIÇÕES",VLOOKUP(B254,'11.COMPOSIÇÕES GERAIS'!B:I,8,0),VLOOKUP(B254,'12.COT.MERCADO'!A:I,8,0)))),"Em Elaboração")</f>
        <v>75.52</v>
      </c>
      <c r="J254" s="241">
        <f t="shared" si="13"/>
        <v>51.99304834</v>
      </c>
      <c r="K254" s="241">
        <f t="shared" si="14"/>
        <v>88.45918787</v>
      </c>
      <c r="L254" s="241">
        <f t="shared" si="15"/>
        <v>140.4522362</v>
      </c>
      <c r="M254" s="241">
        <f t="shared" si="16"/>
        <v>51.99304834</v>
      </c>
      <c r="N254" s="241">
        <f t="shared" si="17"/>
        <v>88.45918787</v>
      </c>
      <c r="O254" s="241">
        <f t="shared" si="18"/>
        <v>140.4522362</v>
      </c>
      <c r="P254" s="242">
        <f t="shared" si="3"/>
        <v>0.0004504259825</v>
      </c>
    </row>
    <row r="255">
      <c r="A255" s="236" t="s">
        <v>462</v>
      </c>
      <c r="B255" s="237">
        <f>VLOOKUP(A255,'Planilha_Sintética_Geral'!A:P,2,0)</f>
        <v>101537</v>
      </c>
      <c r="C255" s="238" t="str">
        <f t="shared" si="12"/>
        <v>SINAPI</v>
      </c>
      <c r="D255" s="238" t="s">
        <v>218</v>
      </c>
      <c r="E255" s="239" t="str">
        <f>IFERROR(IF(D255="SINAPI-S",VLOOKUP(B255,'20-B.SINAPI-S'!A:J,2,0),IF(D255="SINAPI-I",VLOOKUP(B255,'20-A.SINAPI-I'!A:G,2,0),IF(D255="COMPOSIÇÕES",VLOOKUP(B255,'11.COMPOSIÇÕES GERAIS'!B:I,2,0),VLOOKUP(B255,'12.COT.MERCADO'!A:I,2,0)))),"Em Elaboração")</f>
        <v>APARELHO SINALIZADOR DE SAÍDA DE GARAGEM, COM CÉLULA FOTOELÉTRICA - FORNECIMENTO E INSTALAÇÃO. AF_07/2020</v>
      </c>
      <c r="F255" s="240" t="str">
        <f>IFERROR(IF(D255="SINAPI-S",VLOOKUP(B255,'20-B.SINAPI-S'!A:J,3,0),IF(D255="SINAPI-I",VLOOKUP(B255,'20-A.SINAPI-I'!A:G,3,0),IF(D255="COMPOSIÇÕES",VLOOKUP(B255,'11.COMPOSIÇÕES GERAIS'!B:I,3,0),VLOOKUP(B255,'12.COT.MERCADO'!A:I,7,0)))),"Em Elaboração")</f>
        <v>UN</v>
      </c>
      <c r="G255" s="244">
        <f>VLOOKUP(A255,'Planilha_Sintética_Geral'!A:O,7,0)</f>
        <v>1</v>
      </c>
      <c r="H255" s="241">
        <f>IFERROR(IF(D255="SINAPI-S",VLOOKUP(B255,'20-B.SINAPI-S'!A:J,5,0),IF(D255="SINAPI-I",VLOOKUP(B255,'20-A.SINAPI-I'!A:G,6,0),IF(D255="COMPOSIÇÕES",VLOOKUP(B255,'11.COMPOSIÇÕES GERAIS'!B:I,7,0),0))),"Em Elaboração")</f>
        <v>36.27</v>
      </c>
      <c r="I255" s="241">
        <f>IFERROR(IF(D255="SINAPI-S",VLOOKUP(B255,'20-B.SINAPI-S'!A:J,6,0),IF(D255="SINAPI-I",VLOOKUP(B255,'20-A.SINAPI-I'!A:G,7,0),IF(D255="COMPOSIÇÕES",VLOOKUP(B255,'11.COMPOSIÇÕES GERAIS'!B:I,8,0),VLOOKUP(B255,'12.COT.MERCADO'!A:I,8,0)))),"Em Elaboração")</f>
        <v>94.54</v>
      </c>
      <c r="J255" s="241">
        <f t="shared" si="13"/>
        <v>42.57818612</v>
      </c>
      <c r="K255" s="241">
        <f t="shared" si="14"/>
        <v>110.7379717</v>
      </c>
      <c r="L255" s="241">
        <f t="shared" si="15"/>
        <v>153.3161578</v>
      </c>
      <c r="M255" s="241">
        <f t="shared" si="16"/>
        <v>42.57818612</v>
      </c>
      <c r="N255" s="241">
        <f t="shared" si="17"/>
        <v>110.7379717</v>
      </c>
      <c r="O255" s="241">
        <f t="shared" si="18"/>
        <v>153.3161578</v>
      </c>
      <c r="P255" s="242">
        <f t="shared" si="3"/>
        <v>0.0004916801817</v>
      </c>
    </row>
    <row r="256">
      <c r="A256" s="236" t="s">
        <v>463</v>
      </c>
      <c r="B256" s="237" t="str">
        <f>VLOOKUP(A256,'Planilha_Sintética_Geral'!A:P,2,0)</f>
        <v>MAN_PR_065</v>
      </c>
      <c r="C256" s="238" t="str">
        <f t="shared" si="12"/>
        <v>PRÓPRIO</v>
      </c>
      <c r="D256" s="243" t="s">
        <v>230</v>
      </c>
      <c r="E256" s="239" t="str">
        <f>IFERROR(IF(D256="SINAPI-S",VLOOKUP(B256,'20-B.SINAPI-S'!A:J,2,0),IF(D256="SINAPI-I",VLOOKUP(B256,'20-A.SINAPI-I'!A:G,2,0),IF(D256="COMPOSIÇÕES",VLOOKUP(B256,'11.COMPOSIÇÕES GERAIS'!B:I,2,0),VLOOKUP(B256,'12.COT.MERCADO'!A:I,2,0)))),"Em Elaboração")</f>
        <v>FORNECIMENTO E INSTALAÇÃO DE GRELHA PARA RALO EM PVC, REDONDA, 10CM. REF. TIGRE OU SIMILAR</v>
      </c>
      <c r="F256" s="240" t="str">
        <f>IFERROR(IF(D256="SINAPI-S",VLOOKUP(B256,'20-B.SINAPI-S'!A:J,3,0),IF(D256="SINAPI-I",VLOOKUP(B256,'20-A.SINAPI-I'!A:G,3,0),IF(D256="COMPOSIÇÕES",VLOOKUP(B256,'11.COMPOSIÇÕES GERAIS'!B:I,3,0),VLOOKUP(B256,'12.COT.MERCADO'!A:I,7,0)))),"Em Elaboração")</f>
        <v>UN</v>
      </c>
      <c r="G256" s="244">
        <f>VLOOKUP(A256,'Planilha_Sintética_Geral'!A:O,7,0)</f>
        <v>3</v>
      </c>
      <c r="H256" s="241">
        <f>IFERROR(IF(D256="SINAPI-S",VLOOKUP(B256,'20-B.SINAPI-S'!A:J,5,0),IF(D256="SINAPI-I",VLOOKUP(B256,'20-A.SINAPI-I'!A:G,6,0),IF(D256="COMPOSIÇÕES",VLOOKUP(B256,'11.COMPOSIÇÕES GERAIS'!B:I,7,0),0))),"Em Elaboração")</f>
        <v>2.613</v>
      </c>
      <c r="I256" s="241">
        <f>IFERROR(IF(D256="SINAPI-S",VLOOKUP(B256,'20-B.SINAPI-S'!A:J,6,0),IF(D256="SINAPI-I",VLOOKUP(B256,'20-A.SINAPI-I'!A:G,7,0),IF(D256="COMPOSIÇÕES",VLOOKUP(B256,'11.COMPOSIÇÕES GERAIS'!B:I,8,0),VLOOKUP(B256,'12.COT.MERCADO'!A:I,8,0)))),"Em Elaboração")</f>
        <v>7.055</v>
      </c>
      <c r="J256" s="241">
        <f t="shared" si="13"/>
        <v>3.067460721</v>
      </c>
      <c r="K256" s="241">
        <f t="shared" si="14"/>
        <v>8.263765498</v>
      </c>
      <c r="L256" s="241">
        <f t="shared" si="15"/>
        <v>11.33122622</v>
      </c>
      <c r="M256" s="241">
        <f t="shared" si="16"/>
        <v>9.202382162</v>
      </c>
      <c r="N256" s="241">
        <f t="shared" si="17"/>
        <v>24.79129649</v>
      </c>
      <c r="O256" s="241">
        <f t="shared" si="18"/>
        <v>33.99367866</v>
      </c>
      <c r="P256" s="242">
        <f t="shared" si="3"/>
        <v>0.0001090166773</v>
      </c>
    </row>
    <row r="257">
      <c r="A257" s="236" t="s">
        <v>464</v>
      </c>
      <c r="B257" s="237">
        <f>VLOOKUP(A257,'Planilha_Sintética_Geral'!A:P,2,0)</f>
        <v>89557</v>
      </c>
      <c r="C257" s="238" t="str">
        <f t="shared" si="12"/>
        <v>SINAPI</v>
      </c>
      <c r="D257" s="238" t="s">
        <v>218</v>
      </c>
      <c r="E257" s="239" t="str">
        <f>IFERROR(IF(D257="SINAPI-S",VLOOKUP(B257,'20-B.SINAPI-S'!A:J,2,0),IF(D257="SINAPI-I",VLOOKUP(B257,'20-A.SINAPI-I'!A:G,2,0),IF(D257="COMPOSIÇÕES",VLOOKUP(B257,'11.COMPOSIÇÕES GERAIS'!B:I,2,0),VLOOKUP(B257,'12.COT.MERCADO'!A:I,2,0)))),"Em Elaboração")</f>
        <v>REDUÇÃO EXCÊNTRICA, PVC, SERIE R, ÁGUA PLUVIAL, DN 100 X 75 MM, JUNTA ELÁSTICA, FORNECIDO E INSTALADO EM RAMAL DE ENCAMINHAMENTO. AF_06/2022</v>
      </c>
      <c r="F257" s="240" t="str">
        <f>IFERROR(IF(D257="SINAPI-S",VLOOKUP(B257,'20-B.SINAPI-S'!A:J,3,0),IF(D257="SINAPI-I",VLOOKUP(B257,'20-A.SINAPI-I'!A:G,3,0),IF(D257="COMPOSIÇÕES",VLOOKUP(B257,'11.COMPOSIÇÕES GERAIS'!B:I,3,0),VLOOKUP(B257,'12.COT.MERCADO'!A:I,7,0)))),"Em Elaboração")</f>
        <v>UN</v>
      </c>
      <c r="G257" s="244">
        <f>VLOOKUP(A257,'Planilha_Sintética_Geral'!A:O,7,0)</f>
        <v>3</v>
      </c>
      <c r="H257" s="241">
        <f>IFERROR(IF(D257="SINAPI-S",VLOOKUP(B257,'20-B.SINAPI-S'!A:J,5,0),IF(D257="SINAPI-I",VLOOKUP(B257,'20-A.SINAPI-I'!A:G,6,0),IF(D257="COMPOSIÇÕES",VLOOKUP(B257,'11.COMPOSIÇÕES GERAIS'!B:I,7,0),0))),"Em Elaboração")</f>
        <v>3.21</v>
      </c>
      <c r="I257" s="241">
        <f>IFERROR(IF(D257="SINAPI-S",VLOOKUP(B257,'20-B.SINAPI-S'!A:J,6,0),IF(D257="SINAPI-I",VLOOKUP(B257,'20-A.SINAPI-I'!A:G,7,0),IF(D257="COMPOSIÇÕES",VLOOKUP(B257,'11.COMPOSIÇÕES GERAIS'!B:I,8,0),VLOOKUP(B257,'12.COT.MERCADO'!A:I,8,0)))),"Em Elaboração")</f>
        <v>30.34</v>
      </c>
      <c r="J257" s="241">
        <f t="shared" si="13"/>
        <v>3.768292734</v>
      </c>
      <c r="K257" s="241">
        <f t="shared" si="14"/>
        <v>35.53829131</v>
      </c>
      <c r="L257" s="241">
        <f t="shared" si="15"/>
        <v>39.30658405</v>
      </c>
      <c r="M257" s="241">
        <f t="shared" si="16"/>
        <v>11.3048782</v>
      </c>
      <c r="N257" s="241">
        <f t="shared" si="17"/>
        <v>106.6148739</v>
      </c>
      <c r="O257" s="241">
        <f t="shared" si="18"/>
        <v>117.9197521</v>
      </c>
      <c r="P257" s="242">
        <f t="shared" si="3"/>
        <v>0.0003781650022</v>
      </c>
    </row>
    <row r="258">
      <c r="A258" s="236" t="s">
        <v>465</v>
      </c>
      <c r="B258" s="237">
        <f>VLOOKUP(A258,'Planilha_Sintética_Geral'!A:P,2,0)</f>
        <v>104357</v>
      </c>
      <c r="C258" s="238" t="str">
        <f t="shared" si="12"/>
        <v>SINAPI</v>
      </c>
      <c r="D258" s="238" t="s">
        <v>218</v>
      </c>
      <c r="E258" s="239" t="str">
        <f>IFERROR(IF(D258="SINAPI-S",VLOOKUP(B258,'20-B.SINAPI-S'!A:J,2,0),IF(D258="SINAPI-I",VLOOKUP(B258,'20-A.SINAPI-I'!A:G,2,0),IF(D258="COMPOSIÇÕES",VLOOKUP(B258,'11.COMPOSIÇÕES GERAIS'!B:I,2,0),VLOOKUP(B258,'12.COT.MERCADO'!A:I,2,0)))),"Em Elaboração")</f>
        <v>CAP, PVC, SÉRIE NORMAL, ESGOTO PREDIAL, DN 100 MM, JUNTA ELÁSTICA, FORNECIDO E INSTALADO EM SUBCOLETOR AÉREO DE ESGOTO SANITÁRIO. AF_08/2022</v>
      </c>
      <c r="F258" s="240" t="str">
        <f>IFERROR(IF(D258="SINAPI-S",VLOOKUP(B258,'20-B.SINAPI-S'!A:J,3,0),IF(D258="SINAPI-I",VLOOKUP(B258,'20-A.SINAPI-I'!A:G,3,0),IF(D258="COMPOSIÇÕES",VLOOKUP(B258,'11.COMPOSIÇÕES GERAIS'!B:I,3,0),VLOOKUP(B258,'12.COT.MERCADO'!A:I,7,0)))),"Em Elaboração")</f>
        <v>UN</v>
      </c>
      <c r="G258" s="244">
        <f>VLOOKUP(A258,'Planilha_Sintética_Geral'!A:O,7,0)</f>
        <v>3</v>
      </c>
      <c r="H258" s="241">
        <f>IFERROR(IF(D258="SINAPI-S",VLOOKUP(B258,'20-B.SINAPI-S'!A:J,5,0),IF(D258="SINAPI-I",VLOOKUP(B258,'20-A.SINAPI-I'!A:G,6,0),IF(D258="COMPOSIÇÕES",VLOOKUP(B258,'11.COMPOSIÇÕES GERAIS'!B:I,7,0),0))),"Em Elaboração")</f>
        <v>4.01</v>
      </c>
      <c r="I258" s="241">
        <f>IFERROR(IF(D258="SINAPI-S",VLOOKUP(B258,'20-B.SINAPI-S'!A:J,6,0),IF(D258="SINAPI-I",VLOOKUP(B258,'20-A.SINAPI-I'!A:G,7,0),IF(D258="COMPOSIÇÕES",VLOOKUP(B258,'11.COMPOSIÇÕES GERAIS'!B:I,8,0),VLOOKUP(B258,'12.COT.MERCADO'!A:I,8,0)))),"Em Elaboração")</f>
        <v>16.64</v>
      </c>
      <c r="J258" s="241">
        <f t="shared" si="13"/>
        <v>4.70743111</v>
      </c>
      <c r="K258" s="241">
        <f t="shared" si="14"/>
        <v>19.4910075</v>
      </c>
      <c r="L258" s="241">
        <f t="shared" si="15"/>
        <v>24.19843861</v>
      </c>
      <c r="M258" s="241">
        <f t="shared" si="16"/>
        <v>14.12229333</v>
      </c>
      <c r="N258" s="241">
        <f t="shared" si="17"/>
        <v>58.47302249</v>
      </c>
      <c r="O258" s="241">
        <f t="shared" si="18"/>
        <v>72.59531582</v>
      </c>
      <c r="P258" s="242">
        <f t="shared" si="3"/>
        <v>0.0002328109351</v>
      </c>
    </row>
    <row r="259">
      <c r="A259" s="236" t="s">
        <v>466</v>
      </c>
      <c r="B259" s="237" t="str">
        <f>VLOOKUP(A259,'Planilha_Sintética_Geral'!A:P,2,0)</f>
        <v>MAN_PR_066</v>
      </c>
      <c r="C259" s="238" t="str">
        <f t="shared" si="12"/>
        <v>PRÓPRIO</v>
      </c>
      <c r="D259" s="243" t="s">
        <v>230</v>
      </c>
      <c r="E259" s="239" t="str">
        <f>IFERROR(IF(D259="SINAPI-S",VLOOKUP(B259,'20-B.SINAPI-S'!A:J,2,0),IF(D259="SINAPI-I",VLOOKUP(B259,'20-A.SINAPI-I'!A:G,2,0),IF(D259="COMPOSIÇÕES",VLOOKUP(B259,'11.COMPOSIÇÕES GERAIS'!B:I,2,0),VLOOKUP(B259,'12.COT.MERCADO'!A:I,2,0)))),"Em Elaboração")</f>
        <v>FORNECIMENTO E INSTALAÇÃO DE CAIXA P/ BOTOEIRA PLÁSTICA 1 FURO 22 mm</v>
      </c>
      <c r="F259" s="240" t="str">
        <f>IFERROR(IF(D259="SINAPI-S",VLOOKUP(B259,'20-B.SINAPI-S'!A:J,3,0),IF(D259="SINAPI-I",VLOOKUP(B259,'20-A.SINAPI-I'!A:G,3,0),IF(D259="COMPOSIÇÕES",VLOOKUP(B259,'11.COMPOSIÇÕES GERAIS'!B:I,3,0),VLOOKUP(B259,'12.COT.MERCADO'!A:I,7,0)))),"Em Elaboração")</f>
        <v>UN</v>
      </c>
      <c r="G259" s="244">
        <f>VLOOKUP(A259,'Planilha_Sintética_Geral'!A:O,7,0)</f>
        <v>2</v>
      </c>
      <c r="H259" s="241">
        <f>IFERROR(IF(D259="SINAPI-S",VLOOKUP(B259,'20-B.SINAPI-S'!A:J,5,0),IF(D259="SINAPI-I",VLOOKUP(B259,'20-A.SINAPI-I'!A:G,6,0),IF(D259="COMPOSIÇÕES",VLOOKUP(B259,'11.COMPOSIÇÕES GERAIS'!B:I,7,0),0))),"Em Elaboração")</f>
        <v>13.287</v>
      </c>
      <c r="I259" s="241">
        <f>IFERROR(IF(D259="SINAPI-S",VLOOKUP(B259,'20-B.SINAPI-S'!A:J,6,0),IF(D259="SINAPI-I",VLOOKUP(B259,'20-A.SINAPI-I'!A:G,7,0),IF(D259="COMPOSIÇÕES",VLOOKUP(B259,'11.COMPOSIÇÕES GERAIS'!B:I,8,0),VLOOKUP(B259,'12.COT.MERCADO'!A:I,8,0)))),"Em Elaboração")</f>
        <v>23.716</v>
      </c>
      <c r="J259" s="241">
        <f t="shared" si="13"/>
        <v>15.5979145</v>
      </c>
      <c r="K259" s="241">
        <f t="shared" si="14"/>
        <v>27.77937102</v>
      </c>
      <c r="L259" s="241">
        <f t="shared" si="15"/>
        <v>43.37728552</v>
      </c>
      <c r="M259" s="241">
        <f t="shared" si="16"/>
        <v>31.195829</v>
      </c>
      <c r="N259" s="241">
        <f t="shared" si="17"/>
        <v>55.55874204</v>
      </c>
      <c r="O259" s="241">
        <f t="shared" si="18"/>
        <v>86.75457105</v>
      </c>
      <c r="P259" s="242">
        <f t="shared" si="3"/>
        <v>0.0002782192292</v>
      </c>
    </row>
    <row r="260">
      <c r="A260" s="236" t="s">
        <v>467</v>
      </c>
      <c r="B260" s="237">
        <f>VLOOKUP(A260,'Planilha_Sintética_Geral'!A:P,2,0)</f>
        <v>11964</v>
      </c>
      <c r="C260" s="238" t="str">
        <f t="shared" si="12"/>
        <v>SINAPI</v>
      </c>
      <c r="D260" s="243" t="s">
        <v>286</v>
      </c>
      <c r="E260" s="239" t="str">
        <f>IFERROR(IF(D260="SINAPI-S",VLOOKUP(B260,'20-B.SINAPI-S'!A:J,2,0),IF(D260="SINAPI-I",VLOOKUP(B260,'20-A.SINAPI-I'!A:G,2,0),IF(D260="COMPOSIÇÕES",VLOOKUP(B260,'11.COMPOSIÇÕES GERAIS'!B:I,2,0),VLOOKUP(B260,'12.COT.MERCADO'!A:I,2,0)))),"Em Elaboração")</f>
        <v>PARAFUSO DE ACO TIPO CHUMBADOR PARABOLT, DIAMETRO 3/8", COMPRIMENTO 75 MM</v>
      </c>
      <c r="F260" s="240" t="str">
        <f>IFERROR(IF(D260="SINAPI-S",VLOOKUP(B260,'20-B.SINAPI-S'!A:J,3,0),IF(D260="SINAPI-I",VLOOKUP(B260,'20-A.SINAPI-I'!A:G,3,0),IF(D260="COMPOSIÇÕES",VLOOKUP(B260,'11.COMPOSIÇÕES GERAIS'!B:I,3,0),VLOOKUP(B260,'12.COT.MERCADO'!A:I,7,0)))),"Em Elaboração")</f>
        <v>UN</v>
      </c>
      <c r="G260" s="244">
        <f>VLOOKUP(A260,'Planilha_Sintética_Geral'!A:O,7,0)</f>
        <v>17</v>
      </c>
      <c r="H260" s="241">
        <f>IFERROR(IF(D260="SINAPI-S",VLOOKUP(B260,'20-B.SINAPI-S'!A:J,5,0),IF(D260="SINAPI-I",VLOOKUP(B260,'20-A.SINAPI-I'!A:G,6,0),IF(D260="COMPOSIÇÕES",VLOOKUP(B260,'11.COMPOSIÇÕES GERAIS'!B:I,7,0),0))),"Em Elaboração")</f>
        <v>0</v>
      </c>
      <c r="I260" s="241">
        <f>IFERROR(IF(D260="SINAPI-S",VLOOKUP(B260,'20-B.SINAPI-S'!A:J,6,0),IF(D260="SINAPI-I",VLOOKUP(B260,'20-A.SINAPI-I'!A:G,7,0),IF(D260="COMPOSIÇÕES",VLOOKUP(B260,'11.COMPOSIÇÕES GERAIS'!B:I,8,0),VLOOKUP(B260,'12.COT.MERCADO'!A:I,8,0)))),"Em Elaboração")</f>
        <v>2.65</v>
      </c>
      <c r="J260" s="241">
        <f t="shared" si="13"/>
        <v>0</v>
      </c>
      <c r="K260" s="241">
        <f t="shared" si="14"/>
        <v>3.104036651</v>
      </c>
      <c r="L260" s="241">
        <f t="shared" si="15"/>
        <v>3.104036651</v>
      </c>
      <c r="M260" s="241">
        <f t="shared" si="16"/>
        <v>0</v>
      </c>
      <c r="N260" s="241">
        <f t="shared" si="17"/>
        <v>52.76862306</v>
      </c>
      <c r="O260" s="241">
        <f t="shared" si="18"/>
        <v>52.76862306</v>
      </c>
      <c r="P260" s="242">
        <f t="shared" si="3"/>
        <v>0.000169227344</v>
      </c>
    </row>
    <row r="261">
      <c r="A261" s="236" t="s">
        <v>468</v>
      </c>
      <c r="B261" s="237">
        <f>VLOOKUP(A261,'Planilha_Sintética_Geral'!A:P,2,0)</f>
        <v>11267</v>
      </c>
      <c r="C261" s="238" t="str">
        <f t="shared" si="12"/>
        <v>SINAPI</v>
      </c>
      <c r="D261" s="243" t="s">
        <v>286</v>
      </c>
      <c r="E261" s="239" t="str">
        <f>IFERROR(IF(D261="SINAPI-S",VLOOKUP(B261,'20-B.SINAPI-S'!A:J,2,0),IF(D261="SINAPI-I",VLOOKUP(B261,'20-A.SINAPI-I'!A:G,2,0),IF(D261="COMPOSIÇÕES",VLOOKUP(B261,'11.COMPOSIÇÕES GERAIS'!B:I,2,0),VLOOKUP(B261,'12.COT.MERCADO'!A:I,2,0)))),"Em Elaboração")</f>
        <v>ARRUELA LISA, REDONDA, DE LATAO POLIDO, DIAMETRO NOMINAL 5/8", DIAMETRO EXTERNO = 34 MM, DIAMETRO DO FURO = 17 MM, ESPESSURA = *2,5* MM</v>
      </c>
      <c r="F261" s="240" t="str">
        <f>IFERROR(IF(D261="SINAPI-S",VLOOKUP(B261,'20-B.SINAPI-S'!A:J,3,0),IF(D261="SINAPI-I",VLOOKUP(B261,'20-A.SINAPI-I'!A:G,3,0),IF(D261="COMPOSIÇÕES",VLOOKUP(B261,'11.COMPOSIÇÕES GERAIS'!B:I,3,0),VLOOKUP(B261,'12.COT.MERCADO'!A:I,7,0)))),"Em Elaboração")</f>
        <v>UN</v>
      </c>
      <c r="G261" s="244">
        <f>VLOOKUP(A261,'Planilha_Sintética_Geral'!A:O,7,0)</f>
        <v>17</v>
      </c>
      <c r="H261" s="241">
        <f>IFERROR(IF(D261="SINAPI-S",VLOOKUP(B261,'20-B.SINAPI-S'!A:J,5,0),IF(D261="SINAPI-I",VLOOKUP(B261,'20-A.SINAPI-I'!A:G,6,0),IF(D261="COMPOSIÇÕES",VLOOKUP(B261,'11.COMPOSIÇÕES GERAIS'!B:I,7,0),0))),"Em Elaboração")</f>
        <v>0</v>
      </c>
      <c r="I261" s="241">
        <f>IFERROR(IF(D261="SINAPI-S",VLOOKUP(B261,'20-B.SINAPI-S'!A:J,6,0),IF(D261="SINAPI-I",VLOOKUP(B261,'20-A.SINAPI-I'!A:G,7,0),IF(D261="COMPOSIÇÕES",VLOOKUP(B261,'11.COMPOSIÇÕES GERAIS'!B:I,8,0),VLOOKUP(B261,'12.COT.MERCADO'!A:I,8,0)))),"Em Elaboração")</f>
        <v>1.56</v>
      </c>
      <c r="J261" s="241">
        <f t="shared" si="13"/>
        <v>0</v>
      </c>
      <c r="K261" s="241">
        <f t="shared" si="14"/>
        <v>1.827281953</v>
      </c>
      <c r="L261" s="241">
        <f t="shared" si="15"/>
        <v>1.827281953</v>
      </c>
      <c r="M261" s="241">
        <f t="shared" si="16"/>
        <v>0</v>
      </c>
      <c r="N261" s="241">
        <f t="shared" si="17"/>
        <v>31.0637932</v>
      </c>
      <c r="O261" s="241">
        <f t="shared" si="18"/>
        <v>31.0637932</v>
      </c>
      <c r="P261" s="242">
        <f t="shared" si="3"/>
        <v>0.00009962062513</v>
      </c>
    </row>
    <row r="262">
      <c r="A262" s="236" t="s">
        <v>469</v>
      </c>
      <c r="B262" s="237" t="str">
        <f>VLOOKUP(A262,'Planilha_Sintética_Geral'!A:P,2,0)</f>
        <v>MAN_PR_075</v>
      </c>
      <c r="C262" s="238" t="str">
        <f t="shared" si="12"/>
        <v>PRÓPRIO</v>
      </c>
      <c r="D262" s="243" t="s">
        <v>230</v>
      </c>
      <c r="E262" s="239" t="str">
        <f>IFERROR(IF(D262="SINAPI-S",VLOOKUP(B262,'20-B.SINAPI-S'!A:J,2,0),IF(D262="SINAPI-I",VLOOKUP(B262,'20-A.SINAPI-I'!A:G,2,0),IF(D262="COMPOSIÇÕES",VLOOKUP(B262,'11.COMPOSIÇÕES GERAIS'!B:I,2,0),VLOOKUP(B262,'12.COT.MERCADO'!A:I,2,0)))),"Em Elaboração")</f>
        <v>PINTURA ADESIVA P/ CONCRETO, A BASE DE RESINA EPOXI ( SIKADUR 32 )</v>
      </c>
      <c r="F262" s="240" t="str">
        <f>IFERROR(IF(D262="SINAPI-S",VLOOKUP(B262,'20-B.SINAPI-S'!A:J,3,0),IF(D262="SINAPI-I",VLOOKUP(B262,'20-A.SINAPI-I'!A:G,3,0),IF(D262="COMPOSIÇÕES",VLOOKUP(B262,'11.COMPOSIÇÕES GERAIS'!B:I,3,0),VLOOKUP(B262,'12.COT.MERCADO'!A:I,7,0)))),"Em Elaboração")</f>
        <v>KG    </v>
      </c>
      <c r="G262" s="244">
        <f>VLOOKUP(A262,'Planilha_Sintética_Geral'!A:O,7,0)</f>
        <v>1</v>
      </c>
      <c r="H262" s="241">
        <f>IFERROR(IF(D262="SINAPI-S",VLOOKUP(B262,'20-B.SINAPI-S'!A:J,5,0),IF(D262="SINAPI-I",VLOOKUP(B262,'20-A.SINAPI-I'!A:G,6,0),IF(D262="COMPOSIÇÕES",VLOOKUP(B262,'11.COMPOSIÇÕES GERAIS'!B:I,7,0),0))),"Em Elaboração")</f>
        <v>14.735</v>
      </c>
      <c r="I262" s="241">
        <f>IFERROR(IF(D262="SINAPI-S",VLOOKUP(B262,'20-B.SINAPI-S'!A:J,6,0),IF(D262="SINAPI-I",VLOOKUP(B262,'20-A.SINAPI-I'!A:G,7,0),IF(D262="COMPOSIÇÕES",VLOOKUP(B262,'11.COMPOSIÇÕES GERAIS'!B:I,8,0),VLOOKUP(B262,'12.COT.MERCADO'!A:I,8,0)))),"Em Elaboração")</f>
        <v>62.4295</v>
      </c>
      <c r="J262" s="241">
        <f t="shared" si="13"/>
        <v>17.29775496</v>
      </c>
      <c r="K262" s="241">
        <f t="shared" si="14"/>
        <v>73.12583248</v>
      </c>
      <c r="L262" s="241">
        <f t="shared" si="15"/>
        <v>90.42358745</v>
      </c>
      <c r="M262" s="241">
        <f t="shared" si="16"/>
        <v>17.29775496</v>
      </c>
      <c r="N262" s="241">
        <f t="shared" si="17"/>
        <v>73.12583248</v>
      </c>
      <c r="O262" s="241">
        <f t="shared" si="18"/>
        <v>90.42358745</v>
      </c>
      <c r="P262" s="242">
        <f t="shared" si="3"/>
        <v>0.0002899856515</v>
      </c>
    </row>
    <row r="263">
      <c r="A263" s="236" t="s">
        <v>470</v>
      </c>
      <c r="B263" s="237" t="str">
        <f>VLOOKUP(A263,'Planilha_Sintética_Geral'!A:P,2,0)</f>
        <v>MAN_PR_061</v>
      </c>
      <c r="C263" s="238" t="str">
        <f t="shared" si="12"/>
        <v>PRÓPRIO</v>
      </c>
      <c r="D263" s="243" t="s">
        <v>230</v>
      </c>
      <c r="E263" s="239" t="str">
        <f>IFERROR(IF(D263="SINAPI-S",VLOOKUP(B263,'20-B.SINAPI-S'!A:J,2,0),IF(D263="SINAPI-I",VLOOKUP(B263,'20-A.SINAPI-I'!A:G,2,0),IF(D263="COMPOSIÇÕES",VLOOKUP(B263,'11.COMPOSIÇÕES GERAIS'!B:I,2,0),VLOOKUP(B263,'12.COT.MERCADO'!A:I,2,0)))),"Em Elaboração")</f>
        <v>FORNECIMENTO E INSTALAÇÃO DE CANALETA EM ALUMÍNIO COM DIVISÓRIA PARA INSTALAÇÃO ELÉTRICA EM PISO, INCLUSIVE CONEXÕES, DIMENSÕES 20 X 10 MM</v>
      </c>
      <c r="F263" s="240" t="str">
        <f>IFERROR(IF(D263="SINAPI-S",VLOOKUP(B263,'20-B.SINAPI-S'!A:J,3,0),IF(D263="SINAPI-I",VLOOKUP(B263,'20-A.SINAPI-I'!A:G,3,0),IF(D263="COMPOSIÇÕES",VLOOKUP(B263,'11.COMPOSIÇÕES GERAIS'!B:I,3,0),VLOOKUP(B263,'12.COT.MERCADO'!A:I,7,0)))),"Em Elaboração")</f>
        <v>M</v>
      </c>
      <c r="G263" s="244">
        <f>VLOOKUP(A263,'Planilha_Sintética_Geral'!A:O,7,0)</f>
        <v>1</v>
      </c>
      <c r="H263" s="241">
        <f>IFERROR(IF(D263="SINAPI-S",VLOOKUP(B263,'20-B.SINAPI-S'!A:J,5,0),IF(D263="SINAPI-I",VLOOKUP(B263,'20-A.SINAPI-I'!A:G,6,0),IF(D263="COMPOSIÇÕES",VLOOKUP(B263,'11.COMPOSIÇÕES GERAIS'!B:I,7,0),0))),"Em Elaboração")</f>
        <v>15.5015</v>
      </c>
      <c r="I263" s="241">
        <f>IFERROR(IF(D263="SINAPI-S",VLOOKUP(B263,'20-B.SINAPI-S'!A:J,6,0),IF(D263="SINAPI-I",VLOOKUP(B263,'20-A.SINAPI-I'!A:G,7,0),IF(D263="COMPOSIÇÕES",VLOOKUP(B263,'11.COMPOSIÇÕES GERAIS'!B:I,8,0),VLOOKUP(B263,'12.COT.MERCADO'!A:I,8,0)))),"Em Elaboração")</f>
        <v>93.121</v>
      </c>
      <c r="J263" s="241">
        <f t="shared" si="13"/>
        <v>18.19756692</v>
      </c>
      <c r="K263" s="241">
        <f t="shared" si="14"/>
        <v>109.0758479</v>
      </c>
      <c r="L263" s="241">
        <f t="shared" si="15"/>
        <v>127.2734148</v>
      </c>
      <c r="M263" s="241">
        <f t="shared" si="16"/>
        <v>18.19756692</v>
      </c>
      <c r="N263" s="241">
        <f t="shared" si="17"/>
        <v>109.0758479</v>
      </c>
      <c r="O263" s="241">
        <f t="shared" si="18"/>
        <v>127.2734148</v>
      </c>
      <c r="P263" s="242">
        <f t="shared" si="3"/>
        <v>0.0004081619095</v>
      </c>
    </row>
    <row r="264">
      <c r="A264" s="236" t="s">
        <v>471</v>
      </c>
      <c r="B264" s="237">
        <f>VLOOKUP(A264,'Planilha_Sintética_Geral'!A:P,2,0)</f>
        <v>89049</v>
      </c>
      <c r="C264" s="238" t="str">
        <f t="shared" si="12"/>
        <v>SINAPI</v>
      </c>
      <c r="D264" s="238" t="s">
        <v>218</v>
      </c>
      <c r="E264" s="239" t="str">
        <f>IFERROR(IF(D264="SINAPI-S",VLOOKUP(B264,'20-B.SINAPI-S'!A:J,2,0),IF(D264="SINAPI-I",VLOOKUP(B264,'20-A.SINAPI-I'!A:G,2,0),IF(D264="COMPOSIÇÕES",VLOOKUP(B264,'11.COMPOSIÇÕES GERAIS'!B:I,2,0),VLOOKUP(B264,'12.COT.MERCADO'!A:I,2,0)))),"Em Elaboração")</f>
        <v>(COMPOSIÇÃO REPRESENTATIVA) DO SERVIÇO DE APLICAÇÃO MANUAL DE GESSO DESEMPENADO (SEM TALISCAS) EM TETO, ESPESSURA 0,5 CM, PARA EDIFICAÇÃO HABITACIONAL MULTIFAMILIAR (PRÉDIO). AF_11/2014</v>
      </c>
      <c r="F264" s="240" t="str">
        <f>IFERROR(IF(D264="SINAPI-S",VLOOKUP(B264,'20-B.SINAPI-S'!A:J,3,0),IF(D264="SINAPI-I",VLOOKUP(B264,'20-A.SINAPI-I'!A:G,3,0),IF(D264="COMPOSIÇÕES",VLOOKUP(B264,'11.COMPOSIÇÕES GERAIS'!B:I,3,0),VLOOKUP(B264,'12.COT.MERCADO'!A:I,7,0)))),"Em Elaboração")</f>
        <v>M2</v>
      </c>
      <c r="G264" s="244">
        <f>VLOOKUP(A264,'Planilha_Sintética_Geral'!A:O,7,0)</f>
        <v>1</v>
      </c>
      <c r="H264" s="241">
        <f>IFERROR(IF(D264="SINAPI-S",VLOOKUP(B264,'20-B.SINAPI-S'!A:J,5,0),IF(D264="SINAPI-I",VLOOKUP(B264,'20-A.SINAPI-I'!A:G,6,0),IF(D264="COMPOSIÇÕES",VLOOKUP(B264,'11.COMPOSIÇÕES GERAIS'!B:I,7,0),0))),"Em Elaboração")</f>
        <v>13.73</v>
      </c>
      <c r="I264" s="241">
        <f>IFERROR(IF(D264="SINAPI-S",VLOOKUP(B264,'20-B.SINAPI-S'!A:J,6,0),IF(D264="SINAPI-I",VLOOKUP(B264,'20-A.SINAPI-I'!A:G,7,0),IF(D264="COMPOSIÇÕES",VLOOKUP(B264,'11.COMPOSIÇÕES GERAIS'!B:I,8,0),VLOOKUP(B264,'12.COT.MERCADO'!A:I,8,0)))),"Em Elaboração")</f>
        <v>12.24</v>
      </c>
      <c r="J264" s="241">
        <f t="shared" si="13"/>
        <v>16.11796238</v>
      </c>
      <c r="K264" s="241">
        <f t="shared" si="14"/>
        <v>14.33713532</v>
      </c>
      <c r="L264" s="241">
        <f t="shared" si="15"/>
        <v>30.4550977</v>
      </c>
      <c r="M264" s="241">
        <f t="shared" si="16"/>
        <v>16.11796238</v>
      </c>
      <c r="N264" s="241">
        <f t="shared" si="17"/>
        <v>14.33713532</v>
      </c>
      <c r="O264" s="241">
        <f t="shared" si="18"/>
        <v>30.4550977</v>
      </c>
      <c r="P264" s="242">
        <f t="shared" si="3"/>
        <v>0.00009766855748</v>
      </c>
    </row>
    <row r="265">
      <c r="A265" s="236" t="s">
        <v>472</v>
      </c>
      <c r="B265" s="237">
        <f>VLOOKUP(A265,'Planilha_Sintética_Geral'!A:P,2,0)</f>
        <v>92016</v>
      </c>
      <c r="C265" s="238" t="str">
        <f t="shared" si="12"/>
        <v>SINAPI</v>
      </c>
      <c r="D265" s="238" t="s">
        <v>218</v>
      </c>
      <c r="E265" s="239" t="str">
        <f>IFERROR(IF(D265="SINAPI-S",VLOOKUP(B265,'20-B.SINAPI-S'!A:J,2,0),IF(D265="SINAPI-I",VLOOKUP(B265,'20-A.SINAPI-I'!A:G,2,0),IF(D265="COMPOSIÇÕES",VLOOKUP(B265,'11.COMPOSIÇÕES GERAIS'!B:I,2,0),VLOOKUP(B265,'12.COT.MERCADO'!A:I,2,0)))),"Em Elaboração")</f>
        <v>TOMADA BAIXA DE EMBUTIR (3 MÓDULOS), 2P+T 10 A, INCLUINDO SUPORTE E PLACA - FORNECIMENTO E INSTALAÇÃO. AF_03/2023</v>
      </c>
      <c r="F265" s="240" t="str">
        <f>IFERROR(IF(D265="SINAPI-S",VLOOKUP(B265,'20-B.SINAPI-S'!A:J,3,0),IF(D265="SINAPI-I",VLOOKUP(B265,'20-A.SINAPI-I'!A:G,3,0),IF(D265="COMPOSIÇÕES",VLOOKUP(B265,'11.COMPOSIÇÕES GERAIS'!B:I,3,0),VLOOKUP(B265,'12.COT.MERCADO'!A:I,7,0)))),"Em Elaboração")</f>
        <v>UN</v>
      </c>
      <c r="G265" s="244">
        <f>VLOOKUP(A265,'Planilha_Sintética_Geral'!A:O,7,0)</f>
        <v>1</v>
      </c>
      <c r="H265" s="241">
        <f>IFERROR(IF(D265="SINAPI-S",VLOOKUP(B265,'20-B.SINAPI-S'!A:J,5,0),IF(D265="SINAPI-I",VLOOKUP(B265,'20-A.SINAPI-I'!A:G,6,0),IF(D265="COMPOSIÇÕES",VLOOKUP(B265,'11.COMPOSIÇÕES GERAIS'!B:I,7,0),0))),"Em Elaboração")</f>
        <v>32.26</v>
      </c>
      <c r="I265" s="241">
        <f>IFERROR(IF(D265="SINAPI-S",VLOOKUP(B265,'20-B.SINAPI-S'!A:J,6,0),IF(D265="SINAPI-I",VLOOKUP(B265,'20-A.SINAPI-I'!A:G,7,0),IF(D265="COMPOSIÇÕES",VLOOKUP(B265,'11.COMPOSIÇÕES GERAIS'!B:I,8,0),VLOOKUP(B265,'12.COT.MERCADO'!A:I,8,0)))),"Em Elaboração")</f>
        <v>41.45</v>
      </c>
      <c r="J265" s="241">
        <f t="shared" si="13"/>
        <v>37.87075501</v>
      </c>
      <c r="K265" s="241">
        <f t="shared" si="14"/>
        <v>48.55181855</v>
      </c>
      <c r="L265" s="241">
        <f t="shared" si="15"/>
        <v>86.42257357</v>
      </c>
      <c r="M265" s="241">
        <f t="shared" si="16"/>
        <v>37.87075501</v>
      </c>
      <c r="N265" s="241">
        <f t="shared" si="17"/>
        <v>48.55181855</v>
      </c>
      <c r="O265" s="241">
        <f t="shared" si="18"/>
        <v>86.42257357</v>
      </c>
      <c r="P265" s="242">
        <f t="shared" si="3"/>
        <v>0.0002771545236</v>
      </c>
    </row>
    <row r="266">
      <c r="A266" s="236" t="s">
        <v>473</v>
      </c>
      <c r="B266" s="237">
        <f>VLOOKUP(A266,'Planilha_Sintética_Geral'!A:P,2,0)</f>
        <v>101633</v>
      </c>
      <c r="C266" s="238" t="str">
        <f t="shared" si="12"/>
        <v>SINAPI</v>
      </c>
      <c r="D266" s="238" t="s">
        <v>218</v>
      </c>
      <c r="E266" s="239" t="str">
        <f>IFERROR(IF(D266="SINAPI-S",VLOOKUP(B266,'20-B.SINAPI-S'!A:J,2,0),IF(D266="SINAPI-I",VLOOKUP(B266,'20-A.SINAPI-I'!A:G,2,0),IF(D266="COMPOSIÇÕES",VLOOKUP(B266,'11.COMPOSIÇÕES GERAIS'!B:I,2,0),VLOOKUP(B266,'12.COT.MERCADO'!A:I,2,0)))),"Em Elaboração")</f>
        <v>SUBSTITUIÇÃO DE RELÉ FOTOELÉTRICO PARA COMANDO DE ILUMINAÇÃO EXTERNA 1000 W - FORNECIMENTO E INSTALAÇÃO. AF_08/2020</v>
      </c>
      <c r="F266" s="240" t="str">
        <f>IFERROR(IF(D266="SINAPI-S",VLOOKUP(B266,'20-B.SINAPI-S'!A:J,3,0),IF(D266="SINAPI-I",VLOOKUP(B266,'20-A.SINAPI-I'!A:G,3,0),IF(D266="COMPOSIÇÕES",VLOOKUP(B266,'11.COMPOSIÇÕES GERAIS'!B:I,3,0),VLOOKUP(B266,'12.COT.MERCADO'!A:I,7,0)))),"Em Elaboração")</f>
        <v>UN</v>
      </c>
      <c r="G266" s="244">
        <f>VLOOKUP(A266,'Planilha_Sintética_Geral'!A:O,7,0)</f>
        <v>1</v>
      </c>
      <c r="H266" s="241">
        <f>IFERROR(IF(D266="SINAPI-S",VLOOKUP(B266,'20-B.SINAPI-S'!A:J,5,0),IF(D266="SINAPI-I",VLOOKUP(B266,'20-A.SINAPI-I'!A:G,6,0),IF(D266="COMPOSIÇÕES",VLOOKUP(B266,'11.COMPOSIÇÕES GERAIS'!B:I,7,0),0))),"Em Elaboração")</f>
        <v>8.19</v>
      </c>
      <c r="I266" s="241">
        <f>IFERROR(IF(D266="SINAPI-S",VLOOKUP(B266,'20-B.SINAPI-S'!A:J,6,0),IF(D266="SINAPI-I",VLOOKUP(B266,'20-A.SINAPI-I'!A:G,7,0),IF(D266="COMPOSIÇÕES",VLOOKUP(B266,'11.COMPOSIÇÕES GERAIS'!B:I,8,0),VLOOKUP(B266,'12.COT.MERCADO'!A:I,8,0)))),"Em Elaboração")</f>
        <v>85.47</v>
      </c>
      <c r="J266" s="241">
        <f t="shared" si="13"/>
        <v>9.614429124</v>
      </c>
      <c r="K266" s="241">
        <f t="shared" si="14"/>
        <v>100.113967</v>
      </c>
      <c r="L266" s="241">
        <f t="shared" si="15"/>
        <v>109.7283961</v>
      </c>
      <c r="M266" s="241">
        <f t="shared" si="16"/>
        <v>9.614429124</v>
      </c>
      <c r="N266" s="241">
        <f t="shared" si="17"/>
        <v>100.113967</v>
      </c>
      <c r="O266" s="241">
        <f t="shared" si="18"/>
        <v>109.7283961</v>
      </c>
      <c r="P266" s="242">
        <f t="shared" si="3"/>
        <v>0.0003518955765</v>
      </c>
    </row>
    <row r="267">
      <c r="A267" s="236" t="s">
        <v>474</v>
      </c>
      <c r="B267" s="237" t="str">
        <f>VLOOKUP(A267,'Planilha_Sintética_Geral'!A:P,2,0)</f>
        <v>MAN_PR_076</v>
      </c>
      <c r="C267" s="238" t="str">
        <f t="shared" si="12"/>
        <v>PRÓPRIO</v>
      </c>
      <c r="D267" s="243" t="s">
        <v>230</v>
      </c>
      <c r="E267" s="239" t="str">
        <f>IFERROR(IF(D267="SINAPI-S",VLOOKUP(B267,'20-B.SINAPI-S'!A:J,2,0),IF(D267="SINAPI-I",VLOOKUP(B267,'20-A.SINAPI-I'!A:G,2,0),IF(D267="COMPOSIÇÕES",VLOOKUP(B267,'11.COMPOSIÇÕES GERAIS'!B:I,2,0),VLOOKUP(B267,'12.COT.MERCADO'!A:I,2,0)))),"Em Elaboração")</f>
        <v>FORNECIMENTO E INSTALAÇÃO DE CAIXA PARA QUADRO DE COMANDO TIPO CC PLAST 30X20X17CM CINZA/TR</v>
      </c>
      <c r="F267" s="240" t="str">
        <f>IFERROR(IF(D267="SINAPI-S",VLOOKUP(B267,'20-B.SINAPI-S'!A:J,3,0),IF(D267="SINAPI-I",VLOOKUP(B267,'20-A.SINAPI-I'!A:G,3,0),IF(D267="COMPOSIÇÕES",VLOOKUP(B267,'11.COMPOSIÇÕES GERAIS'!B:I,3,0),VLOOKUP(B267,'12.COT.MERCADO'!A:I,7,0)))),"Em Elaboração")</f>
        <v>KG    </v>
      </c>
      <c r="G267" s="244">
        <f>VLOOKUP(A267,'Planilha_Sintética_Geral'!A:O,7,0)</f>
        <v>2</v>
      </c>
      <c r="H267" s="241">
        <f>IFERROR(IF(D267="SINAPI-S",VLOOKUP(B267,'20-B.SINAPI-S'!A:J,5,0),IF(D267="SINAPI-I",VLOOKUP(B267,'20-A.SINAPI-I'!A:G,6,0),IF(D267="COMPOSIÇÕES",VLOOKUP(B267,'11.COMPOSIÇÕES GERAIS'!B:I,7,0),0))),"Em Elaboração")</f>
        <v>55.3625</v>
      </c>
      <c r="I267" s="241">
        <f>IFERROR(IF(D267="SINAPI-S",VLOOKUP(B267,'20-B.SINAPI-S'!A:J,6,0),IF(D267="SINAPI-I",VLOOKUP(B267,'20-A.SINAPI-I'!A:G,7,0),IF(D267="COMPOSIÇÕES",VLOOKUP(B267,'11.COMPOSIÇÕES GERAIS'!B:I,8,0),VLOOKUP(B267,'12.COT.MERCADO'!A:I,8,0)))),"Em Elaboração")</f>
        <v>395.08</v>
      </c>
      <c r="J267" s="241">
        <f t="shared" si="13"/>
        <v>64.99131043</v>
      </c>
      <c r="K267" s="241">
        <f t="shared" si="14"/>
        <v>462.7708679</v>
      </c>
      <c r="L267" s="241">
        <f t="shared" si="15"/>
        <v>527.7621783</v>
      </c>
      <c r="M267" s="241">
        <f t="shared" si="16"/>
        <v>129.9826209</v>
      </c>
      <c r="N267" s="241">
        <f t="shared" si="17"/>
        <v>925.5417358</v>
      </c>
      <c r="O267" s="241">
        <f t="shared" si="18"/>
        <v>1055.524357</v>
      </c>
      <c r="P267" s="242">
        <f t="shared" si="3"/>
        <v>0.003385034003</v>
      </c>
    </row>
    <row r="268">
      <c r="A268" s="236" t="s">
        <v>475</v>
      </c>
      <c r="B268" s="237">
        <f>VLOOKUP(A268,'Planilha_Sintética_Geral'!A:P,2,0)</f>
        <v>103425</v>
      </c>
      <c r="C268" s="238" t="str">
        <f t="shared" si="12"/>
        <v>SINAPI</v>
      </c>
      <c r="D268" s="238" t="s">
        <v>218</v>
      </c>
      <c r="E268" s="239" t="str">
        <f>IFERROR(IF(D268="SINAPI-S",VLOOKUP(B268,'20-B.SINAPI-S'!A:J,2,0),IF(D268="SINAPI-I",VLOOKUP(B268,'20-A.SINAPI-I'!A:G,2,0),IF(D268="COMPOSIÇÕES",VLOOKUP(B268,'11.COMPOSIÇÕES GERAIS'!B:I,2,0),VLOOKUP(B268,'12.COT.MERCADO'!A:I,2,0)))),"Em Elaboração")</f>
        <v>LUVA, EM PEAD LISO PARA REDE DE ÁGUA OU ESGOTO, DIÂMETRO DE 20 MM, JUNTA SOLDADA POR ELETROFUSÃO (NÃO INCLUI A EXECUÇÃO DE SOLDA). AF_12/2021</v>
      </c>
      <c r="F268" s="240" t="str">
        <f>IFERROR(IF(D268="SINAPI-S",VLOOKUP(B268,'20-B.SINAPI-S'!A:J,3,0),IF(D268="SINAPI-I",VLOOKUP(B268,'20-A.SINAPI-I'!A:G,3,0),IF(D268="COMPOSIÇÕES",VLOOKUP(B268,'11.COMPOSIÇÕES GERAIS'!B:I,3,0),VLOOKUP(B268,'12.COT.MERCADO'!A:I,7,0)))),"Em Elaboração")</f>
        <v>UN</v>
      </c>
      <c r="G268" s="244">
        <f>VLOOKUP(A268,'Planilha_Sintética_Geral'!A:O,7,0)</f>
        <v>4</v>
      </c>
      <c r="H268" s="241">
        <f>IFERROR(IF(D268="SINAPI-S",VLOOKUP(B268,'20-B.SINAPI-S'!A:J,5,0),IF(D268="SINAPI-I",VLOOKUP(B268,'20-A.SINAPI-I'!A:G,6,0),IF(D268="COMPOSIÇÕES",VLOOKUP(B268,'11.COMPOSIÇÕES GERAIS'!B:I,7,0),0))),"Em Elaboração")</f>
        <v>3.3</v>
      </c>
      <c r="I268" s="241">
        <f>IFERROR(IF(D268="SINAPI-S",VLOOKUP(B268,'20-B.SINAPI-S'!A:J,6,0),IF(D268="SINAPI-I",VLOOKUP(B268,'20-A.SINAPI-I'!A:G,7,0),IF(D268="COMPOSIÇÕES",VLOOKUP(B268,'11.COMPOSIÇÕES GERAIS'!B:I,8,0),VLOOKUP(B268,'12.COT.MERCADO'!A:I,8,0)))),"Em Elaboração")</f>
        <v>13.63</v>
      </c>
      <c r="J268" s="241">
        <f t="shared" si="13"/>
        <v>3.873945801</v>
      </c>
      <c r="K268" s="241">
        <f t="shared" si="14"/>
        <v>15.9652904</v>
      </c>
      <c r="L268" s="241">
        <f t="shared" si="15"/>
        <v>19.8392362</v>
      </c>
      <c r="M268" s="241">
        <f t="shared" si="16"/>
        <v>15.4957832</v>
      </c>
      <c r="N268" s="241">
        <f t="shared" si="17"/>
        <v>63.86116158</v>
      </c>
      <c r="O268" s="241">
        <f t="shared" si="18"/>
        <v>79.35694479</v>
      </c>
      <c r="P268" s="242">
        <f t="shared" si="3"/>
        <v>0.0002544952704</v>
      </c>
    </row>
    <row r="269">
      <c r="A269" s="236" t="s">
        <v>476</v>
      </c>
      <c r="B269" s="237">
        <f>VLOOKUP(A269,'Planilha_Sintética_Geral'!A:P,2,0)</f>
        <v>1599</v>
      </c>
      <c r="C269" s="238" t="str">
        <f t="shared" si="12"/>
        <v>SINAPI</v>
      </c>
      <c r="D269" s="243" t="s">
        <v>286</v>
      </c>
      <c r="E269" s="239" t="str">
        <f>IFERROR(IF(D269="SINAPI-S",VLOOKUP(B269,'20-B.SINAPI-S'!A:J,2,0),IF(D269="SINAPI-I",VLOOKUP(B269,'20-A.SINAPI-I'!A:G,2,0),IF(D269="COMPOSIÇÕES",VLOOKUP(B269,'11.COMPOSIÇÕES GERAIS'!B:I,2,0),VLOOKUP(B269,'12.COT.MERCADO'!A:I,2,0)))),"Em Elaboração")</f>
        <v>CONECTOR DE ALUMINIO TIPO PRENSA CABO, BITOLA 3/4", PARA CABOS DE DIAMETRO DE 17,5 A 20 MM</v>
      </c>
      <c r="F269" s="240" t="str">
        <f>IFERROR(IF(D269="SINAPI-S",VLOOKUP(B269,'20-B.SINAPI-S'!A:J,3,0),IF(D269="SINAPI-I",VLOOKUP(B269,'20-A.SINAPI-I'!A:G,3,0),IF(D269="COMPOSIÇÕES",VLOOKUP(B269,'11.COMPOSIÇÕES GERAIS'!B:I,3,0),VLOOKUP(B269,'12.COT.MERCADO'!A:I,7,0)))),"Em Elaboração")</f>
        <v>UN</v>
      </c>
      <c r="G269" s="244">
        <f>VLOOKUP(A269,'Planilha_Sintética_Geral'!A:O,7,0)</f>
        <v>13</v>
      </c>
      <c r="H269" s="241">
        <f>IFERROR(IF(D269="SINAPI-S",VLOOKUP(B269,'20-B.SINAPI-S'!A:J,5,0),IF(D269="SINAPI-I",VLOOKUP(B269,'20-A.SINAPI-I'!A:G,6,0),IF(D269="COMPOSIÇÕES",VLOOKUP(B269,'11.COMPOSIÇÕES GERAIS'!B:I,7,0),0))),"Em Elaboração")</f>
        <v>0</v>
      </c>
      <c r="I269" s="241">
        <f>IFERROR(IF(D269="SINAPI-S",VLOOKUP(B269,'20-B.SINAPI-S'!A:J,6,0),IF(D269="SINAPI-I",VLOOKUP(B269,'20-A.SINAPI-I'!A:G,7,0),IF(D269="COMPOSIÇÕES",VLOOKUP(B269,'11.COMPOSIÇÕES GERAIS'!B:I,8,0),VLOOKUP(B269,'12.COT.MERCADO'!A:I,8,0)))),"Em Elaboração")</f>
        <v>14.93</v>
      </c>
      <c r="J269" s="241">
        <f t="shared" si="13"/>
        <v>0</v>
      </c>
      <c r="K269" s="241">
        <f t="shared" si="14"/>
        <v>17.48802536</v>
      </c>
      <c r="L269" s="241">
        <f t="shared" si="15"/>
        <v>17.48802536</v>
      </c>
      <c r="M269" s="241">
        <f t="shared" si="16"/>
        <v>0</v>
      </c>
      <c r="N269" s="241">
        <f t="shared" si="17"/>
        <v>227.3443296</v>
      </c>
      <c r="O269" s="241">
        <f t="shared" si="18"/>
        <v>227.3443296</v>
      </c>
      <c r="P269" s="242">
        <f t="shared" si="3"/>
        <v>0.0007290862418</v>
      </c>
    </row>
    <row r="270">
      <c r="A270" s="236" t="s">
        <v>477</v>
      </c>
      <c r="B270" s="237">
        <f>VLOOKUP(A270,'Planilha_Sintética_Geral'!A:P,2,0)</f>
        <v>100749</v>
      </c>
      <c r="C270" s="238" t="str">
        <f t="shared" si="12"/>
        <v>SINAPI</v>
      </c>
      <c r="D270" s="238" t="s">
        <v>218</v>
      </c>
      <c r="E270" s="239" t="str">
        <f>IFERROR(IF(D270="SINAPI-S",VLOOKUP(B270,'20-B.SINAPI-S'!A:J,2,0),IF(D270="SINAPI-I",VLOOKUP(B270,'20-A.SINAPI-I'!A:G,2,0),IF(D270="COMPOSIÇÕES",VLOOKUP(B270,'11.COMPOSIÇÕES GERAIS'!B:I,2,0),VLOOKUP(B270,'12.COT.MERCADO'!A:I,2,0)))),"Em Elaboração")</f>
        <v>PINTURA COM TINTA ALQUÍDICA DE ACABAMENTO (ESMALTE SINTÉTICO FOSCO) PULVERIZADA SOBRE SUPERFÍCIES METÁLICAS (EXCETO PERFIL) EXECUTADO EM OBRA (POR DEMÃO). AF_01/2020_PE</v>
      </c>
      <c r="F270" s="240" t="str">
        <f>IFERROR(IF(D270="SINAPI-S",VLOOKUP(B270,'20-B.SINAPI-S'!A:J,3,0),IF(D270="SINAPI-I",VLOOKUP(B270,'20-A.SINAPI-I'!A:G,3,0),IF(D270="COMPOSIÇÕES",VLOOKUP(B270,'11.COMPOSIÇÕES GERAIS'!B:I,3,0),VLOOKUP(B270,'12.COT.MERCADO'!A:I,7,0)))),"Em Elaboração")</f>
        <v>M2</v>
      </c>
      <c r="G270" s="244">
        <f>VLOOKUP(A270,'Planilha_Sintética_Geral'!A:O,7,0)</f>
        <v>1</v>
      </c>
      <c r="H270" s="241">
        <f>IFERROR(IF(D270="SINAPI-S",VLOOKUP(B270,'20-B.SINAPI-S'!A:J,5,0),IF(D270="SINAPI-I",VLOOKUP(B270,'20-A.SINAPI-I'!A:G,6,0),IF(D270="COMPOSIÇÕES",VLOOKUP(B270,'11.COMPOSIÇÕES GERAIS'!B:I,7,0),0))),"Em Elaboração")</f>
        <v>12.91</v>
      </c>
      <c r="I270" s="241">
        <f>IFERROR(IF(D270="SINAPI-S",VLOOKUP(B270,'20-B.SINAPI-S'!A:J,6,0),IF(D270="SINAPI-I",VLOOKUP(B270,'20-A.SINAPI-I'!A:G,7,0),IF(D270="COMPOSIÇÕES",VLOOKUP(B270,'11.COMPOSIÇÕES GERAIS'!B:I,8,0),VLOOKUP(B270,'12.COT.MERCADO'!A:I,8,0)))),"Em Elaboração")</f>
        <v>14.16</v>
      </c>
      <c r="J270" s="241">
        <f t="shared" si="13"/>
        <v>15.15534554</v>
      </c>
      <c r="K270" s="241">
        <f t="shared" si="14"/>
        <v>16.58609773</v>
      </c>
      <c r="L270" s="241">
        <f t="shared" si="15"/>
        <v>31.74144327</v>
      </c>
      <c r="M270" s="241">
        <f t="shared" si="16"/>
        <v>15.15534554</v>
      </c>
      <c r="N270" s="241">
        <f t="shared" si="17"/>
        <v>16.58609773</v>
      </c>
      <c r="O270" s="241">
        <f t="shared" si="18"/>
        <v>31.74144327</v>
      </c>
      <c r="P270" s="242">
        <f t="shared" si="3"/>
        <v>0.000101793828</v>
      </c>
    </row>
    <row r="271">
      <c r="A271" s="236" t="s">
        <v>478</v>
      </c>
      <c r="B271" s="237">
        <f>VLOOKUP(A271,'Planilha_Sintética_Geral'!A:P,2,0)</f>
        <v>1535</v>
      </c>
      <c r="C271" s="238" t="str">
        <f t="shared" si="12"/>
        <v>SINAPI</v>
      </c>
      <c r="D271" s="243" t="s">
        <v>286</v>
      </c>
      <c r="E271" s="239" t="str">
        <f>IFERROR(IF(D271="SINAPI-S",VLOOKUP(B271,'20-B.SINAPI-S'!A:J,2,0),IF(D271="SINAPI-I",VLOOKUP(B271,'20-A.SINAPI-I'!A:G,2,0),IF(D271="COMPOSIÇÕES",VLOOKUP(B271,'11.COMPOSIÇÕES GERAIS'!B:I,2,0),VLOOKUP(B271,'12.COT.MERCADO'!A:I,2,0)))),"Em Elaboração")</f>
        <v>TERMINAL METALICO A PRESSAO PARA 1 CABO DE 6 A 10 MM2, COM 1 FURO DE FIXACAO</v>
      </c>
      <c r="F271" s="240" t="str">
        <f>IFERROR(IF(D271="SINAPI-S",VLOOKUP(B271,'20-B.SINAPI-S'!A:J,3,0),IF(D271="SINAPI-I",VLOOKUP(B271,'20-A.SINAPI-I'!A:G,3,0),IF(D271="COMPOSIÇÕES",VLOOKUP(B271,'11.COMPOSIÇÕES GERAIS'!B:I,3,0),VLOOKUP(B271,'12.COT.MERCADO'!A:I,7,0)))),"Em Elaboração")</f>
        <v>UN</v>
      </c>
      <c r="G271" s="244">
        <f>VLOOKUP(A271,'Planilha_Sintética_Geral'!A:O,7,0)</f>
        <v>1</v>
      </c>
      <c r="H271" s="241">
        <f>IFERROR(IF(D271="SINAPI-S",VLOOKUP(B271,'20-B.SINAPI-S'!A:J,5,0),IF(D271="SINAPI-I",VLOOKUP(B271,'20-A.SINAPI-I'!A:G,6,0),IF(D271="COMPOSIÇÕES",VLOOKUP(B271,'11.COMPOSIÇÕES GERAIS'!B:I,7,0),0))),"Em Elaboração")</f>
        <v>0</v>
      </c>
      <c r="I271" s="241">
        <f>IFERROR(IF(D271="SINAPI-S",VLOOKUP(B271,'20-B.SINAPI-S'!A:J,6,0),IF(D271="SINAPI-I",VLOOKUP(B271,'20-A.SINAPI-I'!A:G,7,0),IF(D271="COMPOSIÇÕES",VLOOKUP(B271,'11.COMPOSIÇÕES GERAIS'!B:I,8,0),VLOOKUP(B271,'12.COT.MERCADO'!A:I,8,0)))),"Em Elaboração")</f>
        <v>5.44</v>
      </c>
      <c r="J271" s="241">
        <f t="shared" si="13"/>
        <v>0</v>
      </c>
      <c r="K271" s="241">
        <f t="shared" si="14"/>
        <v>6.372060143</v>
      </c>
      <c r="L271" s="241">
        <f t="shared" si="15"/>
        <v>6.372060143</v>
      </c>
      <c r="M271" s="241">
        <f t="shared" si="16"/>
        <v>0</v>
      </c>
      <c r="N271" s="241">
        <f t="shared" si="17"/>
        <v>6.372060143</v>
      </c>
      <c r="O271" s="241">
        <f t="shared" si="18"/>
        <v>6.372060143</v>
      </c>
      <c r="P271" s="242">
        <f t="shared" si="3"/>
        <v>0.00002043500003</v>
      </c>
    </row>
    <row r="272">
      <c r="A272" s="236" t="s">
        <v>479</v>
      </c>
      <c r="B272" s="237">
        <f>VLOOKUP(A272,'Planilha_Sintética_Geral'!A:P,2,0)</f>
        <v>1550</v>
      </c>
      <c r="C272" s="238" t="str">
        <f t="shared" si="12"/>
        <v>SINAPI</v>
      </c>
      <c r="D272" s="243" t="s">
        <v>286</v>
      </c>
      <c r="E272" s="239" t="str">
        <f>IFERROR(IF(D272="SINAPI-S",VLOOKUP(B272,'20-B.SINAPI-S'!A:J,2,0),IF(D272="SINAPI-I",VLOOKUP(B272,'20-A.SINAPI-I'!A:G,2,0),IF(D272="COMPOSIÇÕES",VLOOKUP(B272,'11.COMPOSIÇÕES GERAIS'!B:I,2,0),VLOOKUP(B272,'12.COT.MERCADO'!A:I,2,0)))),"Em Elaboração")</f>
        <v>CONECTOR METALICO TIPO PARAFUSO FENDIDO (SPLIT BOLT), PARA CABOS ATE 25 MM2</v>
      </c>
      <c r="F272" s="240" t="str">
        <f>IFERROR(IF(D272="SINAPI-S",VLOOKUP(B272,'20-B.SINAPI-S'!A:J,3,0),IF(D272="SINAPI-I",VLOOKUP(B272,'20-A.SINAPI-I'!A:G,3,0),IF(D272="COMPOSIÇÕES",VLOOKUP(B272,'11.COMPOSIÇÕES GERAIS'!B:I,3,0),VLOOKUP(B272,'12.COT.MERCADO'!A:I,7,0)))),"Em Elaboração")</f>
        <v>UN</v>
      </c>
      <c r="G272" s="244">
        <f>VLOOKUP(A272,'Planilha_Sintética_Geral'!A:O,7,0)</f>
        <v>1</v>
      </c>
      <c r="H272" s="241">
        <f>IFERROR(IF(D272="SINAPI-S",VLOOKUP(B272,'20-B.SINAPI-S'!A:J,5,0),IF(D272="SINAPI-I",VLOOKUP(B272,'20-A.SINAPI-I'!A:G,6,0),IF(D272="COMPOSIÇÕES",VLOOKUP(B272,'11.COMPOSIÇÕES GERAIS'!B:I,7,0),0))),"Em Elaboração")</f>
        <v>0</v>
      </c>
      <c r="I272" s="241">
        <f>IFERROR(IF(D272="SINAPI-S",VLOOKUP(B272,'20-B.SINAPI-S'!A:J,6,0),IF(D272="SINAPI-I",VLOOKUP(B272,'20-A.SINAPI-I'!A:G,7,0),IF(D272="COMPOSIÇÕES",VLOOKUP(B272,'11.COMPOSIÇÕES GERAIS'!B:I,8,0),VLOOKUP(B272,'12.COT.MERCADO'!A:I,8,0)))),"Em Elaboração")</f>
        <v>8.07</v>
      </c>
      <c r="J272" s="241">
        <f t="shared" si="13"/>
        <v>0</v>
      </c>
      <c r="K272" s="241">
        <f t="shared" si="14"/>
        <v>9.452670102</v>
      </c>
      <c r="L272" s="241">
        <f t="shared" si="15"/>
        <v>9.452670102</v>
      </c>
      <c r="M272" s="241">
        <f t="shared" si="16"/>
        <v>0</v>
      </c>
      <c r="N272" s="241">
        <f t="shared" si="17"/>
        <v>9.452670102</v>
      </c>
      <c r="O272" s="241">
        <f t="shared" si="18"/>
        <v>9.452670102</v>
      </c>
      <c r="P272" s="242">
        <f t="shared" si="3"/>
        <v>0.000030314421</v>
      </c>
    </row>
    <row r="273">
      <c r="A273" s="236" t="s">
        <v>480</v>
      </c>
      <c r="B273" s="237">
        <f>VLOOKUP(A273,'Planilha_Sintética_Geral'!A:P,2,0)</f>
        <v>101875</v>
      </c>
      <c r="C273" s="238" t="str">
        <f t="shared" si="12"/>
        <v>SINAPI</v>
      </c>
      <c r="D273" s="238" t="s">
        <v>218</v>
      </c>
      <c r="E273" s="239" t="str">
        <f>IFERROR(IF(D273="SINAPI-S",VLOOKUP(B273,'20-B.SINAPI-S'!A:J,2,0),IF(D273="SINAPI-I",VLOOKUP(B273,'20-A.SINAPI-I'!A:G,2,0),IF(D273="COMPOSIÇÕES",VLOOKUP(B273,'11.COMPOSIÇÕES GERAIS'!B:I,2,0),VLOOKUP(B273,'12.COT.MERCADO'!A:I,2,0)))),"Em Elaboração")</f>
        <v>QUADRO DE DISTRIBUIÇÃO DE ENERGIA EM CHAPA DE AÇO GALVANIZADO, DE EMBUTIR, COM BARRAMENTO TRIFÁSICO, PARA 12 DISJUNTORES DIN 100A - FORNECIMENTO E INSTALAÇÃO. AF_10/2020</v>
      </c>
      <c r="F273" s="240" t="str">
        <f>IFERROR(IF(D273="SINAPI-S",VLOOKUP(B273,'20-B.SINAPI-S'!A:J,3,0),IF(D273="SINAPI-I",VLOOKUP(B273,'20-A.SINAPI-I'!A:G,3,0),IF(D273="COMPOSIÇÕES",VLOOKUP(B273,'11.COMPOSIÇÕES GERAIS'!B:I,3,0),VLOOKUP(B273,'12.COT.MERCADO'!A:I,7,0)))),"Em Elaboração")</f>
        <v>UN</v>
      </c>
      <c r="G273" s="244">
        <f>VLOOKUP(A273,'Planilha_Sintética_Geral'!A:O,7,0)</f>
        <v>1</v>
      </c>
      <c r="H273" s="241">
        <f>IFERROR(IF(D273="SINAPI-S",VLOOKUP(B273,'20-B.SINAPI-S'!A:J,5,0),IF(D273="SINAPI-I",VLOOKUP(B273,'20-A.SINAPI-I'!A:G,6,0),IF(D273="COMPOSIÇÕES",VLOOKUP(B273,'11.COMPOSIÇÕES GERAIS'!B:I,7,0),0))),"Em Elaboração")</f>
        <v>23.57</v>
      </c>
      <c r="I273" s="241">
        <f>IFERROR(IF(D273="SINAPI-S",VLOOKUP(B273,'20-B.SINAPI-S'!A:J,6,0),IF(D273="SINAPI-I",VLOOKUP(B273,'20-A.SINAPI-I'!A:G,7,0),IF(D273="COMPOSIÇÕES",VLOOKUP(B273,'11.COMPOSIÇÕES GERAIS'!B:I,8,0),VLOOKUP(B273,'12.COT.MERCADO'!A:I,8,0)))),"Em Elaboração")</f>
        <v>360.53</v>
      </c>
      <c r="J273" s="241">
        <f t="shared" si="13"/>
        <v>27.6693644</v>
      </c>
      <c r="K273" s="241">
        <f t="shared" si="14"/>
        <v>422.301258</v>
      </c>
      <c r="L273" s="241">
        <f t="shared" si="15"/>
        <v>449.9706224</v>
      </c>
      <c r="M273" s="241">
        <f t="shared" si="16"/>
        <v>27.6693644</v>
      </c>
      <c r="N273" s="241">
        <f t="shared" si="17"/>
        <v>422.301258</v>
      </c>
      <c r="O273" s="241">
        <f t="shared" si="18"/>
        <v>449.9706224</v>
      </c>
      <c r="P273" s="242">
        <f t="shared" si="3"/>
        <v>0.001443041885</v>
      </c>
    </row>
    <row r="274">
      <c r="A274" s="236" t="s">
        <v>481</v>
      </c>
      <c r="B274" s="237">
        <f>VLOOKUP(A274,'Planilha_Sintética_Geral'!A:P,2,0)</f>
        <v>5678</v>
      </c>
      <c r="C274" s="238" t="str">
        <f t="shared" si="12"/>
        <v>SINAPI</v>
      </c>
      <c r="D274" s="238" t="s">
        <v>218</v>
      </c>
      <c r="E274" s="239" t="str">
        <f>IFERROR(IF(D274="SINAPI-S",VLOOKUP(B274,'20-B.SINAPI-S'!A:J,2,0),IF(D274="SINAPI-I",VLOOKUP(B274,'20-A.SINAPI-I'!A:G,2,0),IF(D274="COMPOSIÇÕES",VLOOKUP(B274,'11.COMPOSIÇÕES GERAIS'!B:I,2,0),VLOOKUP(B274,'12.COT.MERCADO'!A:I,2,0)))),"Em Elaboração")</f>
        <v>RETROESCAVADEIRA SOBRE RODAS COM CARREGADEIRA, TRAÇÃO 4X4, POTÊNCIA LÍQ. 88 HP, CAÇAMBA CARREG. CAP. MÍN. 1 M3, CAÇAMBA RETRO CAP. 0,26 M3, PESO OPERACIONAL MÍN. 6.674 KG, PROFUNDIDADE ESCAVAÇÃO MÁX. 4,37 M - CHP DIURNO. AF_06/2014</v>
      </c>
      <c r="F274" s="240" t="str">
        <f>IFERROR(IF(D274="SINAPI-S",VLOOKUP(B274,'20-B.SINAPI-S'!A:J,3,0),IF(D274="SINAPI-I",VLOOKUP(B274,'20-A.SINAPI-I'!A:G,3,0),IF(D274="COMPOSIÇÕES",VLOOKUP(B274,'11.COMPOSIÇÕES GERAIS'!B:I,3,0),VLOOKUP(B274,'12.COT.MERCADO'!A:I,7,0)))),"Em Elaboração")</f>
        <v>CHP</v>
      </c>
      <c r="G274" s="244">
        <f>VLOOKUP(A274,'Planilha_Sintética_Geral'!A:O,7,0)</f>
        <v>3</v>
      </c>
      <c r="H274" s="241">
        <f>IFERROR(IF(D274="SINAPI-S",VLOOKUP(B274,'20-B.SINAPI-S'!A:J,5,0),IF(D274="SINAPI-I",VLOOKUP(B274,'20-A.SINAPI-I'!A:G,6,0),IF(D274="COMPOSIÇÕES",VLOOKUP(B274,'11.COMPOSIÇÕES GERAIS'!B:I,7,0),0))),"Em Elaboração")</f>
        <v>25.12</v>
      </c>
      <c r="I274" s="241">
        <f>IFERROR(IF(D274="SINAPI-S",VLOOKUP(B274,'20-B.SINAPI-S'!A:J,6,0),IF(D274="SINAPI-I",VLOOKUP(B274,'20-A.SINAPI-I'!A:G,7,0),IF(D274="COMPOSIÇÕES",VLOOKUP(B274,'11.COMPOSIÇÕES GERAIS'!B:I,8,0),VLOOKUP(B274,'12.COT.MERCADO'!A:I,8,0)))),"Em Elaboração")</f>
        <v>105.04</v>
      </c>
      <c r="J274" s="241">
        <f t="shared" si="13"/>
        <v>29.48894501</v>
      </c>
      <c r="K274" s="241">
        <f t="shared" si="14"/>
        <v>123.0369848</v>
      </c>
      <c r="L274" s="241">
        <f t="shared" si="15"/>
        <v>152.5259298</v>
      </c>
      <c r="M274" s="241">
        <f t="shared" si="16"/>
        <v>88.46683502</v>
      </c>
      <c r="N274" s="241">
        <f t="shared" si="17"/>
        <v>369.1109545</v>
      </c>
      <c r="O274" s="241">
        <f t="shared" si="18"/>
        <v>457.5777895</v>
      </c>
      <c r="P274" s="242">
        <f t="shared" si="3"/>
        <v>0.001467437835</v>
      </c>
    </row>
    <row r="275">
      <c r="A275" s="236" t="s">
        <v>482</v>
      </c>
      <c r="B275" s="237">
        <f>VLOOKUP(A275,'Planilha_Sintética_Geral'!A:P,2,0)</f>
        <v>98101</v>
      </c>
      <c r="C275" s="238" t="str">
        <f t="shared" si="12"/>
        <v>SINAPI</v>
      </c>
      <c r="D275" s="238" t="s">
        <v>218</v>
      </c>
      <c r="E275" s="239" t="str">
        <f>IFERROR(IF(D275="SINAPI-S",VLOOKUP(B275,'20-B.SINAPI-S'!A:J,2,0),IF(D275="SINAPI-I",VLOOKUP(B275,'20-A.SINAPI-I'!A:G,2,0),IF(D275="COMPOSIÇÕES",VLOOKUP(B275,'11.COMPOSIÇÕES GERAIS'!B:I,2,0),VLOOKUP(B275,'12.COT.MERCADO'!A:I,2,0)))),"Em Elaboração")</f>
        <v>SUMIDOURO RETANGULAR, EM ALVENARIA COM BLOCOS DE CONCRETO, DIMENSÕES INTERNAS: 1,6 X 5,8 X H=3,0 M, ÁREA DE INFILTRAÇÃO: 50 M² (PARA 20 CONTRIBUINTES). . AF_12/2020</v>
      </c>
      <c r="F275" s="240" t="str">
        <f>IFERROR(IF(D275="SINAPI-S",VLOOKUP(B275,'20-B.SINAPI-S'!A:J,3,0),IF(D275="SINAPI-I",VLOOKUP(B275,'20-A.SINAPI-I'!A:G,3,0),IF(D275="COMPOSIÇÕES",VLOOKUP(B275,'11.COMPOSIÇÕES GERAIS'!B:I,3,0),VLOOKUP(B275,'12.COT.MERCADO'!A:I,7,0)))),"Em Elaboração")</f>
        <v>UN</v>
      </c>
      <c r="G275" s="244">
        <f>VLOOKUP(A275,'Planilha_Sintética_Geral'!A:O,7,0)</f>
        <v>1</v>
      </c>
      <c r="H275" s="241">
        <f>IFERROR(IF(D275="SINAPI-S",VLOOKUP(B275,'20-B.SINAPI-S'!A:J,5,0),IF(D275="SINAPI-I",VLOOKUP(B275,'20-A.SINAPI-I'!A:G,6,0),IF(D275="COMPOSIÇÕES",VLOOKUP(B275,'11.COMPOSIÇÕES GERAIS'!B:I,7,0),0))),"Em Elaboração")</f>
        <v>3340.85</v>
      </c>
      <c r="I275" s="241">
        <f>IFERROR(IF(D275="SINAPI-S",VLOOKUP(B275,'20-B.SINAPI-S'!A:J,6,0),IF(D275="SINAPI-I",VLOOKUP(B275,'20-A.SINAPI-I'!A:G,7,0),IF(D275="COMPOSIÇÕES",VLOOKUP(B275,'11.COMPOSIÇÕES GERAIS'!B:I,8,0),VLOOKUP(B275,'12.COT.MERCADO'!A:I,8,0)))),"Em Elaboração")</f>
        <v>5221.76</v>
      </c>
      <c r="J275" s="241">
        <f t="shared" si="13"/>
        <v>3921.900554</v>
      </c>
      <c r="K275" s="241">
        <f t="shared" si="14"/>
        <v>6116.428083</v>
      </c>
      <c r="L275" s="241">
        <f t="shared" si="15"/>
        <v>10038.32864</v>
      </c>
      <c r="M275" s="241">
        <f t="shared" si="16"/>
        <v>3921.900554</v>
      </c>
      <c r="N275" s="241">
        <f t="shared" si="17"/>
        <v>6116.428083</v>
      </c>
      <c r="O275" s="241">
        <f t="shared" si="18"/>
        <v>10038.32864</v>
      </c>
      <c r="P275" s="242">
        <f t="shared" si="3"/>
        <v>0.03219260983</v>
      </c>
    </row>
    <row r="276">
      <c r="A276" s="236" t="s">
        <v>483</v>
      </c>
      <c r="B276" s="237">
        <f>VLOOKUP(A276,'Planilha_Sintética_Geral'!A:P,2,0)</f>
        <v>98059</v>
      </c>
      <c r="C276" s="238" t="str">
        <f t="shared" si="12"/>
        <v>SINAPI</v>
      </c>
      <c r="D276" s="238" t="s">
        <v>218</v>
      </c>
      <c r="E276" s="239" t="str">
        <f>IFERROR(IF(D276="SINAPI-S",VLOOKUP(B276,'20-B.SINAPI-S'!A:J,2,0),IF(D276="SINAPI-I",VLOOKUP(B276,'20-A.SINAPI-I'!A:G,2,0),IF(D276="COMPOSIÇÕES",VLOOKUP(B276,'11.COMPOSIÇÕES GERAIS'!B:I,2,0),VLOOKUP(B276,'12.COT.MERCADO'!A:I,2,0)))),"Em Elaboração")</f>
        <v>FILTRO ANAERÓBIO CIRCULAR, EM CONCRETO PRÉ-MOLDADO, DIÂMETRO INTERNO = 1,88 M, ALTURA INTERNA = 1,50 M, VOLUME ÚTIL: 3331,1 L (PARA 19 CONTRIBUINTES). AF_12/2020_PA</v>
      </c>
      <c r="F276" s="240" t="str">
        <f>IFERROR(IF(D276="SINAPI-S",VLOOKUP(B276,'20-B.SINAPI-S'!A:J,3,0),IF(D276="SINAPI-I",VLOOKUP(B276,'20-A.SINAPI-I'!A:G,3,0),IF(D276="COMPOSIÇÕES",VLOOKUP(B276,'11.COMPOSIÇÕES GERAIS'!B:I,3,0),VLOOKUP(B276,'12.COT.MERCADO'!A:I,7,0)))),"Em Elaboração")</f>
        <v>UN</v>
      </c>
      <c r="G276" s="244">
        <f>VLOOKUP(A276,'Planilha_Sintética_Geral'!A:O,7,0)</f>
        <v>1</v>
      </c>
      <c r="H276" s="241">
        <f>IFERROR(IF(D276="SINAPI-S",VLOOKUP(B276,'20-B.SINAPI-S'!A:J,5,0),IF(D276="SINAPI-I",VLOOKUP(B276,'20-A.SINAPI-I'!A:G,6,0),IF(D276="COMPOSIÇÕES",VLOOKUP(B276,'11.COMPOSIÇÕES GERAIS'!B:I,7,0),0))),"Em Elaboração")</f>
        <v>417.22</v>
      </c>
      <c r="I276" s="241">
        <f>IFERROR(IF(D276="SINAPI-S",VLOOKUP(B276,'20-B.SINAPI-S'!A:J,6,0),IF(D276="SINAPI-I",VLOOKUP(B276,'20-A.SINAPI-I'!A:G,7,0),IF(D276="COMPOSIÇÕES",VLOOKUP(B276,'11.COMPOSIÇÕES GERAIS'!B:I,8,0),VLOOKUP(B276,'12.COT.MERCADO'!A:I,8,0)))),"Em Elaboração")</f>
        <v>2556.26</v>
      </c>
      <c r="J276" s="241">
        <f t="shared" si="13"/>
        <v>489.7841415</v>
      </c>
      <c r="K276" s="241">
        <f t="shared" si="14"/>
        <v>2994.235747</v>
      </c>
      <c r="L276" s="241">
        <f t="shared" si="15"/>
        <v>3484.019888</v>
      </c>
      <c r="M276" s="241">
        <f t="shared" si="16"/>
        <v>489.7841415</v>
      </c>
      <c r="N276" s="241">
        <f t="shared" si="17"/>
        <v>2994.235747</v>
      </c>
      <c r="O276" s="241">
        <f t="shared" si="18"/>
        <v>3484.019888</v>
      </c>
      <c r="P276" s="242">
        <f t="shared" si="3"/>
        <v>0.01117314415</v>
      </c>
    </row>
    <row r="277">
      <c r="A277" s="236" t="s">
        <v>484</v>
      </c>
      <c r="B277" s="237">
        <f>VLOOKUP(A277,'Planilha_Sintética_Geral'!A:P,2,0)</f>
        <v>98054</v>
      </c>
      <c r="C277" s="238" t="str">
        <f t="shared" si="12"/>
        <v>SINAPI</v>
      </c>
      <c r="D277" s="238" t="s">
        <v>218</v>
      </c>
      <c r="E277" s="239" t="str">
        <f>IFERROR(IF(D277="SINAPI-S",VLOOKUP(B277,'20-B.SINAPI-S'!A:J,2,0),IF(D277="SINAPI-I",VLOOKUP(B277,'20-A.SINAPI-I'!A:G,2,0),IF(D277="COMPOSIÇÕES",VLOOKUP(B277,'11.COMPOSIÇÕES GERAIS'!B:I,2,0),VLOOKUP(B277,'12.COT.MERCADO'!A:I,2,0)))),"Em Elaboração")</f>
        <v>TANQUE SÉPTICO CIRCULAR, EM CONCRETO PRÉ-MOLDADO, DIÂMETRO INTERNO = 1,88 M, ALTURA INTERNA = 2,50 M, VOLUME ÚTIL: 6245,8 L (PARA 32 CONTRIBUINTES). AF_12/2020_PA</v>
      </c>
      <c r="F277" s="240" t="str">
        <f>IFERROR(IF(D277="SINAPI-S",VLOOKUP(B277,'20-B.SINAPI-S'!A:J,3,0),IF(D277="SINAPI-I",VLOOKUP(B277,'20-A.SINAPI-I'!A:G,3,0),IF(D277="COMPOSIÇÕES",VLOOKUP(B277,'11.COMPOSIÇÕES GERAIS'!B:I,3,0),VLOOKUP(B277,'12.COT.MERCADO'!A:I,7,0)))),"Em Elaboração")</f>
        <v>UN</v>
      </c>
      <c r="G277" s="244">
        <f>VLOOKUP(A277,'Planilha_Sintética_Geral'!A:O,7,0)</f>
        <v>1</v>
      </c>
      <c r="H277" s="241">
        <f>IFERROR(IF(D277="SINAPI-S",VLOOKUP(B277,'20-B.SINAPI-S'!A:J,5,0),IF(D277="SINAPI-I",VLOOKUP(B277,'20-A.SINAPI-I'!A:G,6,0),IF(D277="COMPOSIÇÕES",VLOOKUP(B277,'11.COMPOSIÇÕES GERAIS'!B:I,7,0),0))),"Em Elaboração")</f>
        <v>343.09</v>
      </c>
      <c r="I277" s="241">
        <f>IFERROR(IF(D277="SINAPI-S",VLOOKUP(B277,'20-B.SINAPI-S'!A:J,6,0),IF(D277="SINAPI-I",VLOOKUP(B277,'20-A.SINAPI-I'!A:G,7,0),IF(D277="COMPOSIÇÕES",VLOOKUP(B277,'11.COMPOSIÇÕES GERAIS'!B:I,8,0),VLOOKUP(B277,'12.COT.MERCADO'!A:I,8,0)))),"Em Elaboração")</f>
        <v>3113.83</v>
      </c>
      <c r="J277" s="241">
        <f t="shared" si="13"/>
        <v>402.7612318</v>
      </c>
      <c r="K277" s="241">
        <f t="shared" si="14"/>
        <v>3647.336771</v>
      </c>
      <c r="L277" s="241">
        <f t="shared" si="15"/>
        <v>4050.098003</v>
      </c>
      <c r="M277" s="241">
        <f t="shared" si="16"/>
        <v>402.7612318</v>
      </c>
      <c r="N277" s="241">
        <f t="shared" si="17"/>
        <v>3647.336771</v>
      </c>
      <c r="O277" s="241">
        <f t="shared" si="18"/>
        <v>4050.098003</v>
      </c>
      <c r="P277" s="242">
        <f t="shared" si="3"/>
        <v>0.01298853918</v>
      </c>
    </row>
    <row r="278">
      <c r="A278" s="236" t="s">
        <v>485</v>
      </c>
      <c r="B278" s="237" t="str">
        <f>VLOOKUP(A278,'Planilha_Sintética_Geral'!A:P,2,0)</f>
        <v>COT_MAN_036</v>
      </c>
      <c r="C278" s="238" t="str">
        <f t="shared" si="12"/>
        <v>PRÓPRIO</v>
      </c>
      <c r="D278" s="243" t="s">
        <v>110</v>
      </c>
      <c r="E278" s="239" t="str">
        <f>IFERROR(IF(D278="SINAPI-S",VLOOKUP(B278,'20-B.SINAPI-S'!A:J,2,0),IF(D278="SINAPI-I",VLOOKUP(B278,'20-A.SINAPI-I'!A:G,2,0),IF(D278="COMPOSIÇÕES",VLOOKUP(B278,'11.COMPOSIÇÕES GERAIS'!B:I,2,0),VLOOKUP(B278,'12.COT.MERCADO'!A:I,2,0)))),"Em Elaboração")</f>
        <v>CONTROLE PARA PORTÃO ELETRÔNICO 4 VIAS DE LONGO ALCANCE. REF.: INTELBRAS EP 04 OU SIMILAR</v>
      </c>
      <c r="F278" s="240" t="str">
        <f>IFERROR(IF(D278="SINAPI-S",VLOOKUP(B278,'20-B.SINAPI-S'!A:J,3,0),IF(D278="SINAPI-I",VLOOKUP(B278,'20-A.SINAPI-I'!A:G,3,0),IF(D278="COMPOSIÇÕES",VLOOKUP(B278,'11.COMPOSIÇÕES GERAIS'!B:I,3,0),VLOOKUP(B278,'12.COT.MERCADO'!A:I,7,0)))),"Em Elaboração")</f>
        <v>UN</v>
      </c>
      <c r="G278" s="244">
        <f>VLOOKUP(A278,'Planilha_Sintética_Geral'!A:O,7,0)</f>
        <v>1</v>
      </c>
      <c r="H278" s="241">
        <f>IFERROR(IF(D278="SINAPI-S",VLOOKUP(B278,'20-B.SINAPI-S'!A:J,5,0),IF(D278="SINAPI-I",VLOOKUP(B278,'20-A.SINAPI-I'!A:G,6,0),IF(D278="COMPOSIÇÕES",VLOOKUP(B278,'11.COMPOSIÇÕES GERAIS'!B:I,7,0),0))),"Em Elaboração")</f>
        <v>0</v>
      </c>
      <c r="I278" s="241">
        <f>IFERROR(IF(D278="SINAPI-S",VLOOKUP(B278,'20-B.SINAPI-S'!A:J,6,0),IF(D278="SINAPI-I",VLOOKUP(B278,'20-A.SINAPI-I'!A:G,7,0),IF(D278="COMPOSIÇÕES",VLOOKUP(B278,'11.COMPOSIÇÕES GERAIS'!B:I,8,0),VLOOKUP(B278,'12.COT.MERCADO'!A:I,8,0)))),"Em Elaboração")</f>
        <v>34.48</v>
      </c>
      <c r="J278" s="241">
        <f t="shared" si="13"/>
        <v>0</v>
      </c>
      <c r="K278" s="241">
        <f t="shared" si="14"/>
        <v>40.3876165</v>
      </c>
      <c r="L278" s="241">
        <f t="shared" si="15"/>
        <v>40.3876165</v>
      </c>
      <c r="M278" s="241">
        <f t="shared" si="16"/>
        <v>0</v>
      </c>
      <c r="N278" s="241">
        <f t="shared" si="17"/>
        <v>40.3876165</v>
      </c>
      <c r="O278" s="241">
        <f t="shared" si="18"/>
        <v>40.3876165</v>
      </c>
      <c r="P278" s="242">
        <f t="shared" si="3"/>
        <v>0.0001295218384</v>
      </c>
    </row>
    <row r="279">
      <c r="A279" s="236" t="s">
        <v>486</v>
      </c>
      <c r="B279" s="237">
        <f>VLOOKUP(A279,'Planilha_Sintética_Geral'!A:P,2,0)</f>
        <v>100554</v>
      </c>
      <c r="C279" s="238" t="str">
        <f t="shared" si="12"/>
        <v>SINAPI</v>
      </c>
      <c r="D279" s="238" t="s">
        <v>218</v>
      </c>
      <c r="E279" s="239" t="str">
        <f>IFERROR(IF(D279="SINAPI-S",VLOOKUP(B279,'20-B.SINAPI-S'!A:J,2,0),IF(D279="SINAPI-I",VLOOKUP(B279,'20-A.SINAPI-I'!A:G,2,0),IF(D279="COMPOSIÇÕES",VLOOKUP(B279,'11.COMPOSIÇÕES GERAIS'!B:I,2,0),VLOOKUP(B279,'12.COT.MERCADO'!A:I,2,0)))),"Em Elaboração")</f>
        <v>CABO COAXIAL RG59 95% - FORNECIMENTO E INSTALAÇÃO. AF_11/2019</v>
      </c>
      <c r="F279" s="240" t="str">
        <f>IFERROR(IF(D279="SINAPI-S",VLOOKUP(B279,'20-B.SINAPI-S'!A:J,3,0),IF(D279="SINAPI-I",VLOOKUP(B279,'20-A.SINAPI-I'!A:G,3,0),IF(D279="COMPOSIÇÕES",VLOOKUP(B279,'11.COMPOSIÇÕES GERAIS'!B:I,3,0),VLOOKUP(B279,'12.COT.MERCADO'!A:I,7,0)))),"Em Elaboração")</f>
        <v>M</v>
      </c>
      <c r="G279" s="244">
        <f>VLOOKUP(A279,'Planilha_Sintética_Geral'!A:O,7,0)</f>
        <v>2</v>
      </c>
      <c r="H279" s="241">
        <f>IFERROR(IF(D279="SINAPI-S",VLOOKUP(B279,'20-B.SINAPI-S'!A:J,5,0),IF(D279="SINAPI-I",VLOOKUP(B279,'20-A.SINAPI-I'!A:G,6,0),IF(D279="COMPOSIÇÕES",VLOOKUP(B279,'11.COMPOSIÇÕES GERAIS'!B:I,7,0),0))),"Em Elaboração")</f>
        <v>3.16</v>
      </c>
      <c r="I279" s="241">
        <f>IFERROR(IF(D279="SINAPI-S",VLOOKUP(B279,'20-B.SINAPI-S'!A:J,6,0),IF(D279="SINAPI-I",VLOOKUP(B279,'20-A.SINAPI-I'!A:G,7,0),IF(D279="COMPOSIÇÕES",VLOOKUP(B279,'11.COMPOSIÇÕES GERAIS'!B:I,8,0),VLOOKUP(B279,'12.COT.MERCADO'!A:I,8,0)))),"Em Elaboração")</f>
        <v>3.04</v>
      </c>
      <c r="J279" s="241">
        <f t="shared" si="13"/>
        <v>3.709596585</v>
      </c>
      <c r="K279" s="241">
        <f t="shared" si="14"/>
        <v>3.560857139</v>
      </c>
      <c r="L279" s="241">
        <f t="shared" si="15"/>
        <v>7.270453724</v>
      </c>
      <c r="M279" s="241">
        <f t="shared" si="16"/>
        <v>7.41919317</v>
      </c>
      <c r="N279" s="241">
        <f t="shared" si="17"/>
        <v>7.121714278</v>
      </c>
      <c r="O279" s="241">
        <f t="shared" si="18"/>
        <v>14.54090745</v>
      </c>
      <c r="P279" s="242">
        <f t="shared" si="3"/>
        <v>0.00004663224097</v>
      </c>
    </row>
    <row r="280">
      <c r="A280" s="236" t="s">
        <v>487</v>
      </c>
      <c r="B280" s="237">
        <f>VLOOKUP(A280,'Planilha_Sintética_Geral'!A:P,2,0)</f>
        <v>38105</v>
      </c>
      <c r="C280" s="238" t="str">
        <f t="shared" si="12"/>
        <v>SINAPI</v>
      </c>
      <c r="D280" s="243" t="s">
        <v>286</v>
      </c>
      <c r="E280" s="239" t="str">
        <f>IFERROR(IF(D280="SINAPI-S",VLOOKUP(B280,'20-B.SINAPI-S'!A:J,2,0),IF(D280="SINAPI-I",VLOOKUP(B280,'20-A.SINAPI-I'!A:G,2,0),IF(D280="COMPOSIÇÕES",VLOOKUP(B280,'11.COMPOSIÇÕES GERAIS'!B:I,2,0),VLOOKUP(B280,'12.COT.MERCADO'!A:I,2,0)))),"Em Elaboração")</f>
        <v>TOMADA PARA ANTENA DE TV, CABO COAXIAL DE 9 MM (APENAS MODULO)</v>
      </c>
      <c r="F280" s="240" t="str">
        <f>IFERROR(IF(D280="SINAPI-S",VLOOKUP(B280,'20-B.SINAPI-S'!A:J,3,0),IF(D280="SINAPI-I",VLOOKUP(B280,'20-A.SINAPI-I'!A:G,3,0),IF(D280="COMPOSIÇÕES",VLOOKUP(B280,'11.COMPOSIÇÕES GERAIS'!B:I,3,0),VLOOKUP(B280,'12.COT.MERCADO'!A:I,7,0)))),"Em Elaboração")</f>
        <v>UN</v>
      </c>
      <c r="G280" s="244">
        <f>VLOOKUP(A280,'Planilha_Sintética_Geral'!A:O,7,0)</f>
        <v>1</v>
      </c>
      <c r="H280" s="241">
        <f>IFERROR(IF(D280="SINAPI-S",VLOOKUP(B280,'20-B.SINAPI-S'!A:J,5,0),IF(D280="SINAPI-I",VLOOKUP(B280,'20-A.SINAPI-I'!A:G,6,0),IF(D280="COMPOSIÇÕES",VLOOKUP(B280,'11.COMPOSIÇÕES GERAIS'!B:I,7,0),0))),"Em Elaboração")</f>
        <v>0</v>
      </c>
      <c r="I280" s="241">
        <f>IFERROR(IF(D280="SINAPI-S",VLOOKUP(B280,'20-B.SINAPI-S'!A:J,6,0),IF(D280="SINAPI-I",VLOOKUP(B280,'20-A.SINAPI-I'!A:G,7,0),IF(D280="COMPOSIÇÕES",VLOOKUP(B280,'11.COMPOSIÇÕES GERAIS'!B:I,8,0),VLOOKUP(B280,'12.COT.MERCADO'!A:I,8,0)))),"Em Elaboração")</f>
        <v>11.8</v>
      </c>
      <c r="J280" s="241">
        <f t="shared" si="13"/>
        <v>0</v>
      </c>
      <c r="K280" s="241">
        <f t="shared" si="14"/>
        <v>13.8217481</v>
      </c>
      <c r="L280" s="241">
        <f t="shared" si="15"/>
        <v>13.8217481</v>
      </c>
      <c r="M280" s="241">
        <f t="shared" si="16"/>
        <v>0</v>
      </c>
      <c r="N280" s="241">
        <f t="shared" si="17"/>
        <v>13.8217481</v>
      </c>
      <c r="O280" s="241">
        <f t="shared" si="18"/>
        <v>13.8217481</v>
      </c>
      <c r="P280" s="242">
        <f t="shared" si="3"/>
        <v>0.00004432591918</v>
      </c>
    </row>
    <row r="281">
      <c r="A281" s="236" t="s">
        <v>488</v>
      </c>
      <c r="B281" s="237">
        <f>VLOOKUP(A281,'Planilha_Sintética_Geral'!A:P,2,0)</f>
        <v>98300</v>
      </c>
      <c r="C281" s="238" t="str">
        <f t="shared" si="12"/>
        <v>SINAPI</v>
      </c>
      <c r="D281" s="238" t="s">
        <v>218</v>
      </c>
      <c r="E281" s="239" t="str">
        <f>IFERROR(IF(D281="SINAPI-S",VLOOKUP(B281,'20-B.SINAPI-S'!A:J,2,0),IF(D281="SINAPI-I",VLOOKUP(B281,'20-A.SINAPI-I'!A:G,2,0),IF(D281="COMPOSIÇÕES",VLOOKUP(B281,'11.COMPOSIÇÕES GERAIS'!B:I,2,0),VLOOKUP(B281,'12.COT.MERCADO'!A:I,2,0)))),"Em Elaboração")</f>
        <v>CABO COAXIAL RG6 95% - FORNECIMENTO E INSTALAÇÃO. AF_11/2019</v>
      </c>
      <c r="F281" s="240" t="str">
        <f>IFERROR(IF(D281="SINAPI-S",VLOOKUP(B281,'20-B.SINAPI-S'!A:J,3,0),IF(D281="SINAPI-I",VLOOKUP(B281,'20-A.SINAPI-I'!A:G,3,0),IF(D281="COMPOSIÇÕES",VLOOKUP(B281,'11.COMPOSIÇÕES GERAIS'!B:I,3,0),VLOOKUP(B281,'12.COT.MERCADO'!A:I,7,0)))),"Em Elaboração")</f>
        <v>M</v>
      </c>
      <c r="G281" s="244">
        <f>VLOOKUP(A281,'Planilha_Sintética_Geral'!A:O,7,0)</f>
        <v>4</v>
      </c>
      <c r="H281" s="241">
        <f>IFERROR(IF(D281="SINAPI-S",VLOOKUP(B281,'20-B.SINAPI-S'!A:J,5,0),IF(D281="SINAPI-I",VLOOKUP(B281,'20-A.SINAPI-I'!A:G,6,0),IF(D281="COMPOSIÇÕES",VLOOKUP(B281,'11.COMPOSIÇÕES GERAIS'!B:I,7,0),0))),"Em Elaboração")</f>
        <v>3.34</v>
      </c>
      <c r="I281" s="241">
        <f>IFERROR(IF(D281="SINAPI-S",VLOOKUP(B281,'20-B.SINAPI-S'!A:J,6,0),IF(D281="SINAPI-I",VLOOKUP(B281,'20-A.SINAPI-I'!A:G,7,0),IF(D281="COMPOSIÇÕES",VLOOKUP(B281,'11.COMPOSIÇÕES GERAIS'!B:I,8,0),VLOOKUP(B281,'12.COT.MERCADO'!A:I,8,0)))),"Em Elaboração")</f>
        <v>3.16</v>
      </c>
      <c r="J281" s="241">
        <f t="shared" si="13"/>
        <v>3.92090272</v>
      </c>
      <c r="K281" s="241">
        <f t="shared" si="14"/>
        <v>3.701417289</v>
      </c>
      <c r="L281" s="241">
        <f t="shared" si="15"/>
        <v>7.622320009</v>
      </c>
      <c r="M281" s="241">
        <f t="shared" si="16"/>
        <v>15.68361088</v>
      </c>
      <c r="N281" s="241">
        <f t="shared" si="17"/>
        <v>14.80566916</v>
      </c>
      <c r="O281" s="241">
        <f t="shared" si="18"/>
        <v>30.48928004</v>
      </c>
      <c r="P281" s="242">
        <f t="shared" si="3"/>
        <v>0.00009777817917</v>
      </c>
    </row>
    <row r="282">
      <c r="A282" s="236" t="s">
        <v>489</v>
      </c>
      <c r="B282" s="237">
        <f>VLOOKUP(A282,'Planilha_Sintética_Geral'!A:P,2,0)</f>
        <v>38394</v>
      </c>
      <c r="C282" s="238" t="str">
        <f t="shared" si="12"/>
        <v>SINAPI</v>
      </c>
      <c r="D282" s="243" t="s">
        <v>286</v>
      </c>
      <c r="E282" s="239" t="str">
        <f>IFERROR(IF(D282="SINAPI-S",VLOOKUP(B282,'20-B.SINAPI-S'!A:J,2,0),IF(D282="SINAPI-I",VLOOKUP(B282,'20-A.SINAPI-I'!A:G,2,0),IF(D282="COMPOSIÇÕES",VLOOKUP(B282,'11.COMPOSIÇÕES GERAIS'!B:I,2,0),VLOOKUP(B282,'12.COT.MERCADO'!A:I,2,0)))),"Em Elaboração")</f>
        <v>KIT ACESSORIOS PARA COMPRESSOR DE AR, 5 PECAS (PISTOLAS PINTURA, LIMPEZA E PULVERIZACAO, CALIBRADOR E MANGUEIRA)</v>
      </c>
      <c r="F282" s="240" t="str">
        <f>IFERROR(IF(D282="SINAPI-S",VLOOKUP(B282,'20-B.SINAPI-S'!A:J,3,0),IF(D282="SINAPI-I",VLOOKUP(B282,'20-A.SINAPI-I'!A:G,3,0),IF(D282="COMPOSIÇÕES",VLOOKUP(B282,'11.COMPOSIÇÕES GERAIS'!B:I,3,0),VLOOKUP(B282,'12.COT.MERCADO'!A:I,7,0)))),"Em Elaboração")</f>
        <v>UN</v>
      </c>
      <c r="G282" s="244">
        <f>VLOOKUP(A282,'Planilha_Sintética_Geral'!A:O,7,0)</f>
        <v>1</v>
      </c>
      <c r="H282" s="241">
        <f>IFERROR(IF(D282="SINAPI-S",VLOOKUP(B282,'20-B.SINAPI-S'!A:J,5,0),IF(D282="SINAPI-I",VLOOKUP(B282,'20-A.SINAPI-I'!A:G,6,0),IF(D282="COMPOSIÇÕES",VLOOKUP(B282,'11.COMPOSIÇÕES GERAIS'!B:I,7,0),0))),"Em Elaboração")</f>
        <v>0</v>
      </c>
      <c r="I282" s="241">
        <f>IFERROR(IF(D282="SINAPI-S",VLOOKUP(B282,'20-B.SINAPI-S'!A:J,6,0),IF(D282="SINAPI-I",VLOOKUP(B282,'20-A.SINAPI-I'!A:G,7,0),IF(D282="COMPOSIÇÕES",VLOOKUP(B282,'11.COMPOSIÇÕES GERAIS'!B:I,8,0),VLOOKUP(B282,'12.COT.MERCADO'!A:I,8,0)))),"Em Elaboração")</f>
        <v>312.47</v>
      </c>
      <c r="J282" s="241">
        <f t="shared" si="13"/>
        <v>0</v>
      </c>
      <c r="K282" s="241">
        <f t="shared" si="14"/>
        <v>366.0069178</v>
      </c>
      <c r="L282" s="241">
        <f t="shared" si="15"/>
        <v>366.0069178</v>
      </c>
      <c r="M282" s="241">
        <f t="shared" si="16"/>
        <v>0</v>
      </c>
      <c r="N282" s="241">
        <f t="shared" si="17"/>
        <v>366.0069178</v>
      </c>
      <c r="O282" s="241">
        <f t="shared" si="18"/>
        <v>366.0069178</v>
      </c>
      <c r="P282" s="242">
        <f t="shared" si="3"/>
        <v>0.001173772878</v>
      </c>
    </row>
    <row r="283">
      <c r="A283" s="236" t="s">
        <v>490</v>
      </c>
      <c r="B283" s="237">
        <f>VLOOKUP(A283,'Planilha_Sintética_Geral'!A:P,2,0)</f>
        <v>12892</v>
      </c>
      <c r="C283" s="238" t="str">
        <f t="shared" si="12"/>
        <v>SINAPI</v>
      </c>
      <c r="D283" s="243" t="s">
        <v>286</v>
      </c>
      <c r="E283" s="239" t="str">
        <f>IFERROR(IF(D283="SINAPI-S",VLOOKUP(B283,'20-B.SINAPI-S'!A:J,2,0),IF(D283="SINAPI-I",VLOOKUP(B283,'20-A.SINAPI-I'!A:G,2,0),IF(D283="COMPOSIÇÕES",VLOOKUP(B283,'11.COMPOSIÇÕES GERAIS'!B:I,2,0),VLOOKUP(B283,'12.COT.MERCADO'!A:I,2,0)))),"Em Elaboração")</f>
        <v>LUVA RASPA DE COURO, CANO CURTO (PUNHO *7* CM)</v>
      </c>
      <c r="F283" s="240" t="str">
        <f>IFERROR(IF(D283="SINAPI-S",VLOOKUP(B283,'20-B.SINAPI-S'!A:J,3,0),IF(D283="SINAPI-I",VLOOKUP(B283,'20-A.SINAPI-I'!A:G,3,0),IF(D283="COMPOSIÇÕES",VLOOKUP(B283,'11.COMPOSIÇÕES GERAIS'!B:I,3,0),VLOOKUP(B283,'12.COT.MERCADO'!A:I,7,0)))),"Em Elaboração")</f>
        <v>PAR</v>
      </c>
      <c r="G283" s="244">
        <f>VLOOKUP(A283,'Planilha_Sintética_Geral'!A:O,7,0)</f>
        <v>1</v>
      </c>
      <c r="H283" s="241">
        <f>IFERROR(IF(D283="SINAPI-S",VLOOKUP(B283,'20-B.SINAPI-S'!A:J,5,0),IF(D283="SINAPI-I",VLOOKUP(B283,'20-A.SINAPI-I'!A:G,6,0),IF(D283="COMPOSIÇÕES",VLOOKUP(B283,'11.COMPOSIÇÕES GERAIS'!B:I,7,0),0))),"Em Elaboração")</f>
        <v>0</v>
      </c>
      <c r="I283" s="241">
        <f>IFERROR(IF(D283="SINAPI-S",VLOOKUP(B283,'20-B.SINAPI-S'!A:J,6,0),IF(D283="SINAPI-I",VLOOKUP(B283,'20-A.SINAPI-I'!A:G,7,0),IF(D283="COMPOSIÇÕES",VLOOKUP(B283,'11.COMPOSIÇÕES GERAIS'!B:I,8,0),VLOOKUP(B283,'12.COT.MERCADO'!A:I,8,0)))),"Em Elaboração")</f>
        <v>13.5</v>
      </c>
      <c r="J283" s="241">
        <f t="shared" si="13"/>
        <v>0</v>
      </c>
      <c r="K283" s="241">
        <f t="shared" si="14"/>
        <v>15.8130169</v>
      </c>
      <c r="L283" s="241">
        <f t="shared" si="15"/>
        <v>15.8130169</v>
      </c>
      <c r="M283" s="241">
        <f t="shared" si="16"/>
        <v>0</v>
      </c>
      <c r="N283" s="241">
        <f t="shared" si="17"/>
        <v>15.8130169</v>
      </c>
      <c r="O283" s="241">
        <f t="shared" si="18"/>
        <v>15.8130169</v>
      </c>
      <c r="P283" s="242">
        <f t="shared" si="3"/>
        <v>0.00005071185668</v>
      </c>
    </row>
    <row r="284">
      <c r="A284" s="236" t="s">
        <v>491</v>
      </c>
      <c r="B284" s="237">
        <f>VLOOKUP(A284,'Planilha_Sintética_Geral'!A:P,2,0)</f>
        <v>38140</v>
      </c>
      <c r="C284" s="238" t="str">
        <f t="shared" si="12"/>
        <v>SINAPI</v>
      </c>
      <c r="D284" s="243" t="s">
        <v>286</v>
      </c>
      <c r="E284" s="239" t="str">
        <f>IFERROR(IF(D284="SINAPI-S",VLOOKUP(B284,'20-B.SINAPI-S'!A:J,2,0),IF(D284="SINAPI-I",VLOOKUP(B284,'20-A.SINAPI-I'!A:G,2,0),IF(D284="COMPOSIÇÕES",VLOOKUP(B284,'11.COMPOSIÇÕES GERAIS'!B:I,2,0),VLOOKUP(B284,'12.COT.MERCADO'!A:I,2,0)))),"Em Elaboração")</f>
        <v>DISCO DE CORTE DIAMANTADO SEGMENTADO PARA CONCRETO, DIAMETRO DE 110 MM, FURO DE 20 MM</v>
      </c>
      <c r="F284" s="240" t="str">
        <f>IFERROR(IF(D284="SINAPI-S",VLOOKUP(B284,'20-B.SINAPI-S'!A:J,3,0),IF(D284="SINAPI-I",VLOOKUP(B284,'20-A.SINAPI-I'!A:G,3,0),IF(D284="COMPOSIÇÕES",VLOOKUP(B284,'11.COMPOSIÇÕES GERAIS'!B:I,3,0),VLOOKUP(B284,'12.COT.MERCADO'!A:I,7,0)))),"Em Elaboração")</f>
        <v>UN</v>
      </c>
      <c r="G284" s="244">
        <f>VLOOKUP(A284,'Planilha_Sintética_Geral'!A:O,7,0)</f>
        <v>10</v>
      </c>
      <c r="H284" s="241">
        <f>IFERROR(IF(D284="SINAPI-S",VLOOKUP(B284,'20-B.SINAPI-S'!A:J,5,0),IF(D284="SINAPI-I",VLOOKUP(B284,'20-A.SINAPI-I'!A:G,6,0),IF(D284="COMPOSIÇÕES",VLOOKUP(B284,'11.COMPOSIÇÕES GERAIS'!B:I,7,0),0))),"Em Elaboração")</f>
        <v>0</v>
      </c>
      <c r="I284" s="241">
        <f>IFERROR(IF(D284="SINAPI-S",VLOOKUP(B284,'20-B.SINAPI-S'!A:J,6,0),IF(D284="SINAPI-I",VLOOKUP(B284,'20-A.SINAPI-I'!A:G,7,0),IF(D284="COMPOSIÇÕES",VLOOKUP(B284,'11.COMPOSIÇÕES GERAIS'!B:I,8,0),VLOOKUP(B284,'12.COT.MERCADO'!A:I,8,0)))),"Em Elaboração")</f>
        <v>28.59</v>
      </c>
      <c r="J284" s="241">
        <f t="shared" si="13"/>
        <v>0</v>
      </c>
      <c r="K284" s="241">
        <f t="shared" si="14"/>
        <v>33.48845579</v>
      </c>
      <c r="L284" s="241">
        <f t="shared" si="15"/>
        <v>33.48845579</v>
      </c>
      <c r="M284" s="241">
        <f t="shared" si="16"/>
        <v>0</v>
      </c>
      <c r="N284" s="241">
        <f t="shared" si="17"/>
        <v>334.8845579</v>
      </c>
      <c r="O284" s="241">
        <f t="shared" si="18"/>
        <v>334.8845579</v>
      </c>
      <c r="P284" s="242">
        <f t="shared" si="3"/>
        <v>0.001073964432</v>
      </c>
    </row>
    <row r="285">
      <c r="A285" s="236" t="s">
        <v>492</v>
      </c>
      <c r="B285" s="237">
        <f>VLOOKUP(A285,'Planilha_Sintética_Geral'!A:P,2,0)</f>
        <v>21012</v>
      </c>
      <c r="C285" s="238" t="str">
        <f t="shared" si="12"/>
        <v>SINAPI</v>
      </c>
      <c r="D285" s="243" t="s">
        <v>286</v>
      </c>
      <c r="E285" s="239" t="str">
        <f>IFERROR(IF(D285="SINAPI-S",VLOOKUP(B285,'20-B.SINAPI-S'!A:J,2,0),IF(D285="SINAPI-I",VLOOKUP(B285,'20-A.SINAPI-I'!A:G,2,0),IF(D285="COMPOSIÇÕES",VLOOKUP(B285,'11.COMPOSIÇÕES GERAIS'!B:I,2,0),VLOOKUP(B285,'12.COT.MERCADO'!A:I,2,0)))),"Em Elaboração")</f>
        <v>TUBO ACO GALVANIZADO COM COSTURA, CLASSE LEVE, DN 40 MM ( 1 1/2"),  E = 3,00 MM,  *3,48* KG/M (NBR 5580)</v>
      </c>
      <c r="F285" s="240" t="str">
        <f>IFERROR(IF(D285="SINAPI-S",VLOOKUP(B285,'20-B.SINAPI-S'!A:J,3,0),IF(D285="SINAPI-I",VLOOKUP(B285,'20-A.SINAPI-I'!A:G,3,0),IF(D285="COMPOSIÇÕES",VLOOKUP(B285,'11.COMPOSIÇÕES GERAIS'!B:I,3,0),VLOOKUP(B285,'12.COT.MERCADO'!A:I,7,0)))),"Em Elaboração")</f>
        <v>M</v>
      </c>
      <c r="G285" s="244">
        <f>VLOOKUP(A285,'Planilha_Sintética_Geral'!A:O,7,0)</f>
        <v>1</v>
      </c>
      <c r="H285" s="241">
        <f>IFERROR(IF(D285="SINAPI-S",VLOOKUP(B285,'20-B.SINAPI-S'!A:J,5,0),IF(D285="SINAPI-I",VLOOKUP(B285,'20-A.SINAPI-I'!A:G,6,0),IF(D285="COMPOSIÇÕES",VLOOKUP(B285,'11.COMPOSIÇÕES GERAIS'!B:I,7,0),0))),"Em Elaboração")</f>
        <v>0</v>
      </c>
      <c r="I285" s="241">
        <f>IFERROR(IF(D285="SINAPI-S",VLOOKUP(B285,'20-B.SINAPI-S'!A:J,6,0),IF(D285="SINAPI-I",VLOOKUP(B285,'20-A.SINAPI-I'!A:G,7,0),IF(D285="COMPOSIÇÕES",VLOOKUP(B285,'11.COMPOSIÇÕES GERAIS'!B:I,8,0),VLOOKUP(B285,'12.COT.MERCADO'!A:I,8,0)))),"Em Elaboração")</f>
        <v>51.23</v>
      </c>
      <c r="J285" s="241">
        <f t="shared" si="13"/>
        <v>0</v>
      </c>
      <c r="K285" s="241">
        <f t="shared" si="14"/>
        <v>60.0074708</v>
      </c>
      <c r="L285" s="241">
        <f t="shared" si="15"/>
        <v>60.0074708</v>
      </c>
      <c r="M285" s="241">
        <f t="shared" si="16"/>
        <v>0</v>
      </c>
      <c r="N285" s="241">
        <f t="shared" si="17"/>
        <v>60.0074708</v>
      </c>
      <c r="O285" s="241">
        <f t="shared" si="18"/>
        <v>60.0074708</v>
      </c>
      <c r="P285" s="242">
        <f t="shared" si="3"/>
        <v>0.000192442105</v>
      </c>
    </row>
    <row r="286">
      <c r="A286" s="236" t="s">
        <v>493</v>
      </c>
      <c r="B286" s="237">
        <f>VLOOKUP(A286,'Planilha_Sintética_Geral'!A:P,2,0)</f>
        <v>100808</v>
      </c>
      <c r="C286" s="238" t="str">
        <f t="shared" si="12"/>
        <v>SINAPI</v>
      </c>
      <c r="D286" s="238" t="s">
        <v>218</v>
      </c>
      <c r="E286" s="239" t="str">
        <f>IFERROR(IF(D286="SINAPI-S",VLOOKUP(B286,'20-B.SINAPI-S'!A:J,2,0),IF(D286="SINAPI-I",VLOOKUP(B286,'20-A.SINAPI-I'!A:G,2,0),IF(D286="COMPOSIÇÕES",VLOOKUP(B286,'11.COMPOSIÇÕES GERAIS'!B:I,2,0),VLOOKUP(B286,'12.COT.MERCADO'!A:I,2,0)))),"Em Elaboração")</f>
        <v>TUBO, PEX, MULTICAMADA, COM TUBO LUVA, DN 20, INSTALADO EM RAMAL INTERNO DE INSTALAÇÕES DE GÁS - FORNECIMENTO E INSTALAÇÃO. AF_01/2020</v>
      </c>
      <c r="F286" s="240" t="str">
        <f>IFERROR(IF(D286="SINAPI-S",VLOOKUP(B286,'20-B.SINAPI-S'!A:J,3,0),IF(D286="SINAPI-I",VLOOKUP(B286,'20-A.SINAPI-I'!A:G,3,0),IF(D286="COMPOSIÇÕES",VLOOKUP(B286,'11.COMPOSIÇÕES GERAIS'!B:I,3,0),VLOOKUP(B286,'12.COT.MERCADO'!A:I,7,0)))),"Em Elaboração")</f>
        <v>M</v>
      </c>
      <c r="G286" s="244">
        <f>VLOOKUP(A286,'Planilha_Sintética_Geral'!A:O,7,0)</f>
        <v>2</v>
      </c>
      <c r="H286" s="241">
        <f>IFERROR(IF(D286="SINAPI-S",VLOOKUP(B286,'20-B.SINAPI-S'!A:J,5,0),IF(D286="SINAPI-I",VLOOKUP(B286,'20-A.SINAPI-I'!A:G,6,0),IF(D286="COMPOSIÇÕES",VLOOKUP(B286,'11.COMPOSIÇÕES GERAIS'!B:I,7,0),0))),"Em Elaboração")</f>
        <v>14.68</v>
      </c>
      <c r="I286" s="241">
        <f>IFERROR(IF(D286="SINAPI-S",VLOOKUP(B286,'20-B.SINAPI-S'!A:J,6,0),IF(D286="SINAPI-I",VLOOKUP(B286,'20-A.SINAPI-I'!A:G,7,0),IF(D286="COMPOSIÇÕES",VLOOKUP(B286,'11.COMPOSIÇÕES GERAIS'!B:I,8,0),VLOOKUP(B286,'12.COT.MERCADO'!A:I,8,0)))),"Em Elaboração")</f>
        <v>22.61</v>
      </c>
      <c r="J286" s="241">
        <f t="shared" si="13"/>
        <v>17.2331892</v>
      </c>
      <c r="K286" s="241">
        <f t="shared" si="14"/>
        <v>26.48387497</v>
      </c>
      <c r="L286" s="241">
        <f t="shared" si="15"/>
        <v>43.71706417</v>
      </c>
      <c r="M286" s="241">
        <f t="shared" si="16"/>
        <v>34.4663784</v>
      </c>
      <c r="N286" s="241">
        <f t="shared" si="17"/>
        <v>52.96774994</v>
      </c>
      <c r="O286" s="241">
        <f t="shared" si="18"/>
        <v>87.43412834</v>
      </c>
      <c r="P286" s="242">
        <f t="shared" si="3"/>
        <v>0.0002803985485</v>
      </c>
    </row>
    <row r="287">
      <c r="A287" s="236" t="s">
        <v>494</v>
      </c>
      <c r="B287" s="237">
        <f>VLOOKUP(A287,'Planilha_Sintética_Geral'!A:P,2,0)</f>
        <v>100556</v>
      </c>
      <c r="C287" s="238" t="str">
        <f t="shared" si="12"/>
        <v>SINAPI</v>
      </c>
      <c r="D287" s="238" t="s">
        <v>218</v>
      </c>
      <c r="E287" s="239" t="str">
        <f>IFERROR(IF(D287="SINAPI-S",VLOOKUP(B287,'20-B.SINAPI-S'!A:J,2,0),IF(D287="SINAPI-I",VLOOKUP(B287,'20-A.SINAPI-I'!A:G,2,0),IF(D287="COMPOSIÇÕES",VLOOKUP(B287,'11.COMPOSIÇÕES GERAIS'!B:I,2,0),VLOOKUP(B287,'12.COT.MERCADO'!A:I,2,0)))),"Em Elaboração")</f>
        <v>CAIXA DE PASSAGEM PARA TELEFONE 15X15X10CM (SOBREPOR), FORNECIMENTO E INSTALACAO. AF_11/2019</v>
      </c>
      <c r="F287" s="240" t="str">
        <f>IFERROR(IF(D287="SINAPI-S",VLOOKUP(B287,'20-B.SINAPI-S'!A:J,3,0),IF(D287="SINAPI-I",VLOOKUP(B287,'20-A.SINAPI-I'!A:G,3,0),IF(D287="COMPOSIÇÕES",VLOOKUP(B287,'11.COMPOSIÇÕES GERAIS'!B:I,3,0),VLOOKUP(B287,'12.COT.MERCADO'!A:I,7,0)))),"Em Elaboração")</f>
        <v>UN</v>
      </c>
      <c r="G287" s="244">
        <f>VLOOKUP(A287,'Planilha_Sintética_Geral'!A:O,7,0)</f>
        <v>1</v>
      </c>
      <c r="H287" s="241">
        <f>IFERROR(IF(D287="SINAPI-S",VLOOKUP(B287,'20-B.SINAPI-S'!A:J,5,0),IF(D287="SINAPI-I",VLOOKUP(B287,'20-A.SINAPI-I'!A:G,6,0),IF(D287="COMPOSIÇÕES",VLOOKUP(B287,'11.COMPOSIÇÕES GERAIS'!B:I,7,0),0))),"Em Elaboração")</f>
        <v>15.32</v>
      </c>
      <c r="I287" s="241">
        <f>IFERROR(IF(D287="SINAPI-S",VLOOKUP(B287,'20-B.SINAPI-S'!A:J,6,0),IF(D287="SINAPI-I",VLOOKUP(B287,'20-A.SINAPI-I'!A:G,7,0),IF(D287="COMPOSIÇÕES",VLOOKUP(B287,'11.COMPOSIÇÕES GERAIS'!B:I,8,0),VLOOKUP(B287,'12.COT.MERCADO'!A:I,8,0)))),"Em Elaboração")</f>
        <v>27.26</v>
      </c>
      <c r="J287" s="241">
        <f t="shared" si="13"/>
        <v>17.9844999</v>
      </c>
      <c r="K287" s="241">
        <f t="shared" si="14"/>
        <v>31.93058079</v>
      </c>
      <c r="L287" s="241">
        <f t="shared" si="15"/>
        <v>49.91508069</v>
      </c>
      <c r="M287" s="241">
        <f t="shared" si="16"/>
        <v>17.9844999</v>
      </c>
      <c r="N287" s="241">
        <f t="shared" si="17"/>
        <v>31.93058079</v>
      </c>
      <c r="O287" s="241">
        <f t="shared" si="18"/>
        <v>49.91508069</v>
      </c>
      <c r="P287" s="242">
        <f t="shared" si="3"/>
        <v>0.0001600761218</v>
      </c>
    </row>
    <row r="288">
      <c r="A288" s="236" t="s">
        <v>495</v>
      </c>
      <c r="B288" s="237">
        <f>VLOOKUP(A288,'Planilha_Sintética_Geral'!A:P,2,0)</f>
        <v>99824</v>
      </c>
      <c r="C288" s="238" t="str">
        <f t="shared" si="12"/>
        <v>SINAPI</v>
      </c>
      <c r="D288" s="238" t="s">
        <v>218</v>
      </c>
      <c r="E288" s="239" t="str">
        <f>IFERROR(IF(D288="SINAPI-S",VLOOKUP(B288,'20-B.SINAPI-S'!A:J,2,0),IF(D288="SINAPI-I",VLOOKUP(B288,'20-A.SINAPI-I'!A:G,2,0),IF(D288="COMPOSIÇÕES",VLOOKUP(B288,'11.COMPOSIÇÕES GERAIS'!B:I,2,0),VLOOKUP(B288,'12.COT.MERCADO'!A:I,2,0)))),"Em Elaboração")</f>
        <v>LIMPEZA DE PORTA EM AÇO/ALUMÍNIO. AF_04/2019</v>
      </c>
      <c r="F288" s="240" t="str">
        <f>IFERROR(IF(D288="SINAPI-S",VLOOKUP(B288,'20-B.SINAPI-S'!A:J,3,0),IF(D288="SINAPI-I",VLOOKUP(B288,'20-A.SINAPI-I'!A:G,3,0),IF(D288="COMPOSIÇÕES",VLOOKUP(B288,'11.COMPOSIÇÕES GERAIS'!B:I,3,0),VLOOKUP(B288,'12.COT.MERCADO'!A:I,7,0)))),"Em Elaboração")</f>
        <v>M2</v>
      </c>
      <c r="G288" s="244">
        <f>VLOOKUP(A288,'Planilha_Sintética_Geral'!A:O,7,0)</f>
        <v>1</v>
      </c>
      <c r="H288" s="241">
        <f>IFERROR(IF(D288="SINAPI-S",VLOOKUP(B288,'20-B.SINAPI-S'!A:J,5,0),IF(D288="SINAPI-I",VLOOKUP(B288,'20-A.SINAPI-I'!A:G,6,0),IF(D288="COMPOSIÇÕES",VLOOKUP(B288,'11.COMPOSIÇÕES GERAIS'!B:I,7,0),0))),"Em Elaboração")</f>
        <v>1.64</v>
      </c>
      <c r="I288" s="241">
        <f>IFERROR(IF(D288="SINAPI-S",VLOOKUP(B288,'20-B.SINAPI-S'!A:J,6,0),IF(D288="SINAPI-I",VLOOKUP(B288,'20-A.SINAPI-I'!A:G,7,0),IF(D288="COMPOSIÇÕES",VLOOKUP(B288,'11.COMPOSIÇÕES GERAIS'!B:I,8,0),VLOOKUP(B288,'12.COT.MERCADO'!A:I,8,0)))),"Em Elaboração")</f>
        <v>1.29</v>
      </c>
      <c r="J288" s="241">
        <f t="shared" si="13"/>
        <v>1.925233671</v>
      </c>
      <c r="K288" s="241">
        <f t="shared" si="14"/>
        <v>1.511021615</v>
      </c>
      <c r="L288" s="241">
        <f t="shared" si="15"/>
        <v>3.436255286</v>
      </c>
      <c r="M288" s="241">
        <f t="shared" si="16"/>
        <v>1.925233671</v>
      </c>
      <c r="N288" s="241">
        <f t="shared" si="17"/>
        <v>1.511021615</v>
      </c>
      <c r="O288" s="241">
        <f t="shared" si="18"/>
        <v>3.436255286</v>
      </c>
      <c r="P288" s="242">
        <f t="shared" si="3"/>
        <v>0.00001101996454</v>
      </c>
    </row>
    <row r="289">
      <c r="A289" s="236" t="s">
        <v>496</v>
      </c>
      <c r="B289" s="237" t="str">
        <f>VLOOKUP(A289,'Planilha_Sintética_Geral'!A:P,2,0)</f>
        <v>MAN_PR_069</v>
      </c>
      <c r="C289" s="238" t="str">
        <f t="shared" si="12"/>
        <v>PRÓPRIO</v>
      </c>
      <c r="D289" s="243" t="s">
        <v>230</v>
      </c>
      <c r="E289" s="239" t="str">
        <f>IFERROR(IF(D289="SINAPI-S",VLOOKUP(B289,'20-B.SINAPI-S'!A:J,2,0),IF(D289="SINAPI-I",VLOOKUP(B289,'20-A.SINAPI-I'!A:G,2,0),IF(D289="COMPOSIÇÕES",VLOOKUP(B289,'11.COMPOSIÇÕES GERAIS'!B:I,2,0),VLOOKUP(B289,'12.COT.MERCADO'!A:I,2,0)))),"Em Elaboração")</f>
        <v>FORNECIMENTO E INSTALAÇÃO DE LÂMPADA LED BULBO E27, 60W DE POTÊNCIA, COR BRANCO FRIO 6500K</v>
      </c>
      <c r="F289" s="240" t="str">
        <f>IFERROR(IF(D289="SINAPI-S",VLOOKUP(B289,'20-B.SINAPI-S'!A:J,3,0),IF(D289="SINAPI-I",VLOOKUP(B289,'20-A.SINAPI-I'!A:G,3,0),IF(D289="COMPOSIÇÕES",VLOOKUP(B289,'11.COMPOSIÇÕES GERAIS'!B:I,3,0),VLOOKUP(B289,'12.COT.MERCADO'!A:I,7,0)))),"Em Elaboração")</f>
        <v>UN</v>
      </c>
      <c r="G289" s="244">
        <f>VLOOKUP(A289,'Planilha_Sintética_Geral'!A:O,7,0)</f>
        <v>1</v>
      </c>
      <c r="H289" s="241">
        <f>IFERROR(IF(D289="SINAPI-S",VLOOKUP(B289,'20-B.SINAPI-S'!A:J,5,0),IF(D289="SINAPI-I",VLOOKUP(B289,'20-A.SINAPI-I'!A:G,6,0),IF(D289="COMPOSIÇÕES",VLOOKUP(B289,'11.COMPOSIÇÕES GERAIS'!B:I,7,0),0))),"Em Elaboração")</f>
        <v>18.305</v>
      </c>
      <c r="I289" s="241">
        <f>IFERROR(IF(D289="SINAPI-S",VLOOKUP(B289,'20-B.SINAPI-S'!A:J,6,0),IF(D289="SINAPI-I",VLOOKUP(B289,'20-A.SINAPI-I'!A:G,7,0),IF(D289="COMPOSIÇÕES",VLOOKUP(B289,'11.COMPOSIÇÕES GERAIS'!B:I,8,0),VLOOKUP(B289,'12.COT.MERCADO'!A:I,8,0)))),"Em Elaboração")</f>
        <v>49.618</v>
      </c>
      <c r="J289" s="241">
        <f t="shared" si="13"/>
        <v>21.48865997</v>
      </c>
      <c r="K289" s="241">
        <f t="shared" si="14"/>
        <v>58.11927945</v>
      </c>
      <c r="L289" s="241">
        <f t="shared" si="15"/>
        <v>79.60793941</v>
      </c>
      <c r="M289" s="241">
        <f t="shared" si="16"/>
        <v>21.48865997</v>
      </c>
      <c r="N289" s="241">
        <f t="shared" si="17"/>
        <v>58.11927945</v>
      </c>
      <c r="O289" s="241">
        <f t="shared" si="18"/>
        <v>79.60793941</v>
      </c>
      <c r="P289" s="242">
        <f t="shared" si="3"/>
        <v>0.0002553002024</v>
      </c>
    </row>
    <row r="290">
      <c r="A290" s="236" t="s">
        <v>497</v>
      </c>
      <c r="B290" s="237">
        <f>VLOOKUP(A290,'Planilha_Sintética_Geral'!A:P,2,0)</f>
        <v>156</v>
      </c>
      <c r="C290" s="238" t="str">
        <f t="shared" si="12"/>
        <v>SINAPI</v>
      </c>
      <c r="D290" s="243" t="s">
        <v>286</v>
      </c>
      <c r="E290" s="239" t="str">
        <f>IFERROR(IF(D290="SINAPI-S",VLOOKUP(B290,'20-B.SINAPI-S'!A:J,2,0),IF(D290="SINAPI-I",VLOOKUP(B290,'20-A.SINAPI-I'!A:G,2,0),IF(D290="COMPOSIÇÕES",VLOOKUP(B290,'11.COMPOSIÇÕES GERAIS'!B:I,2,0),VLOOKUP(B290,'12.COT.MERCADO'!A:I,2,0)))),"Em Elaboração")</f>
        <v>ADESIVO ESTRUTURAL A BASE DE RESINA EPOXI, BICOMPONENTE, FLUIDO</v>
      </c>
      <c r="F290" s="240" t="str">
        <f>IFERROR(IF(D290="SINAPI-S",VLOOKUP(B290,'20-B.SINAPI-S'!A:J,3,0),IF(D290="SINAPI-I",VLOOKUP(B290,'20-A.SINAPI-I'!A:G,3,0),IF(D290="COMPOSIÇÕES",VLOOKUP(B290,'11.COMPOSIÇÕES GERAIS'!B:I,3,0),VLOOKUP(B290,'12.COT.MERCADO'!A:I,7,0)))),"Em Elaboração")</f>
        <v>KG</v>
      </c>
      <c r="G290" s="244">
        <f>VLOOKUP(A290,'Planilha_Sintética_Geral'!A:O,7,0)</f>
        <v>1</v>
      </c>
      <c r="H290" s="241">
        <f>IFERROR(IF(D290="SINAPI-S",VLOOKUP(B290,'20-B.SINAPI-S'!A:J,5,0),IF(D290="SINAPI-I",VLOOKUP(B290,'20-A.SINAPI-I'!A:G,6,0),IF(D290="COMPOSIÇÕES",VLOOKUP(B290,'11.COMPOSIÇÕES GERAIS'!B:I,7,0),0))),"Em Elaboração")</f>
        <v>0</v>
      </c>
      <c r="I290" s="241">
        <f>IFERROR(IF(D290="SINAPI-S",VLOOKUP(B290,'20-B.SINAPI-S'!A:J,6,0),IF(D290="SINAPI-I",VLOOKUP(B290,'20-A.SINAPI-I'!A:G,7,0),IF(D290="COMPOSIÇÕES",VLOOKUP(B290,'11.COMPOSIÇÕES GERAIS'!B:I,8,0),VLOOKUP(B290,'12.COT.MERCADO'!A:I,8,0)))),"Em Elaboração")</f>
        <v>51.8</v>
      </c>
      <c r="J290" s="241">
        <f t="shared" si="13"/>
        <v>0</v>
      </c>
      <c r="K290" s="241">
        <f t="shared" si="14"/>
        <v>60.67513151</v>
      </c>
      <c r="L290" s="241">
        <f t="shared" si="15"/>
        <v>60.67513151</v>
      </c>
      <c r="M290" s="241">
        <f t="shared" si="16"/>
        <v>0</v>
      </c>
      <c r="N290" s="241">
        <f t="shared" si="17"/>
        <v>60.67513151</v>
      </c>
      <c r="O290" s="241">
        <f t="shared" si="18"/>
        <v>60.67513151</v>
      </c>
      <c r="P290" s="242">
        <f t="shared" si="3"/>
        <v>0.0001945832723</v>
      </c>
    </row>
    <row r="291" ht="21.0" customHeight="1">
      <c r="A291" s="232">
        <v>44990.0</v>
      </c>
      <c r="B291" s="580" t="s">
        <v>498</v>
      </c>
      <c r="C291" s="44"/>
      <c r="D291" s="44"/>
      <c r="E291" s="44"/>
      <c r="F291" s="44"/>
      <c r="G291" s="44"/>
      <c r="H291" s="44"/>
      <c r="I291" s="44"/>
      <c r="J291" s="44"/>
      <c r="K291" s="44"/>
      <c r="L291" s="44"/>
      <c r="M291" s="581">
        <f t="shared" ref="M291:O291" si="19">SUM(M292:M318)</f>
        <v>176.7968611</v>
      </c>
      <c r="N291" s="581">
        <f t="shared" si="19"/>
        <v>85864.34414</v>
      </c>
      <c r="O291" s="581">
        <f t="shared" si="19"/>
        <v>86041.141</v>
      </c>
      <c r="P291" s="578">
        <f t="shared" si="3"/>
        <v>0.2759312811</v>
      </c>
    </row>
    <row r="292">
      <c r="A292" s="236" t="s">
        <v>499</v>
      </c>
      <c r="B292" s="237" t="str">
        <f>VLOOKUP(A292,'Planilha_Sintética_Geral'!A:P,2,0)</f>
        <v>SPLIT_SERV_001</v>
      </c>
      <c r="C292" s="238" t="str">
        <f t="shared" ref="C292:C318" si="20">IF(OR(D292="SINAPI-S",D292="SINAPI-I"),"SINAPI","PRÓPRIO")</f>
        <v>PRÓPRIO</v>
      </c>
      <c r="D292" s="243" t="s">
        <v>110</v>
      </c>
      <c r="E292" s="239" t="str">
        <f>IFERROR(IF(D292="SINAPI-S",VLOOKUP(B292,'20-B.SINAPI-S'!A:J,2,0),IF(D292="SINAPI-I",VLOOKUP(B292,'20-A.SINAPI-I'!A:G,2,0),IF(D292="COMPOSIÇÕES",VLOOKUP(B292,'11.COMPOSIÇÕES GERAIS'!B:I,2,0),VLOOKUP(B292,'12.COT.MERCADO'!A:I,2,0)))),"Em Elaboração")</f>
        <v>SERVIÇO DE MANUTENÇÃO PREVENTIVA E CORRETIVA DE APARELHOS DE AR CONDICIONADO SPLIT ATÉ 9.000 BTUS, COM FORNECIMENTO DE PEÇAS E MATERIAIS (COM EXCEÇÃO DO COMPRESSOR PARA AR CONDICIONADO, MOTOR VENTILADOR DA UNIDADE CONDENSADORA OU EVAPORADORA E PLACA DE COMANDO DA UNIDADE CONDENSADORA OU EVAPORADORA)</v>
      </c>
      <c r="F292" s="240" t="str">
        <f>IFERROR(IF(D292="SINAPI-S",VLOOKUP(B292,'20-B.SINAPI-S'!A:J,3,0),IF(D292="SINAPI-I",VLOOKUP(B292,'20-A.SINAPI-I'!A:G,3,0),IF(D292="COMPOSIÇÕES",VLOOKUP(B292,'11.COMPOSIÇÕES GERAIS'!B:I,3,0),VLOOKUP(B292,'12.COT.MERCADO'!A:I,7,0)))),"Em Elaboração")</f>
        <v>UN </v>
      </c>
      <c r="G292" s="244">
        <f>VLOOKUP(A292,'Planilha_Sintética_Geral'!A:O,7,0)</f>
        <v>62</v>
      </c>
      <c r="H292" s="241">
        <f>IFERROR(IF(D292="SINAPI-S",VLOOKUP(B292,'20-B.SINAPI-S'!A:J,5,0),IF(D292="SINAPI-I",VLOOKUP(B292,'20-A.SINAPI-I'!A:G,6,0),IF(D292="COMPOSIÇÕES",VLOOKUP(B292,'11.COMPOSIÇÕES GERAIS'!B:I,7,0),0))),"Em Elaboração")</f>
        <v>0</v>
      </c>
      <c r="I292" s="241">
        <f>IFERROR(IF(D292="SINAPI-S",VLOOKUP(B292,'20-B.SINAPI-S'!A:J,6,0),IF(D292="SINAPI-I",VLOOKUP(B292,'20-A.SINAPI-I'!A:G,7,0),IF(D292="COMPOSIÇÕES",VLOOKUP(B292,'11.COMPOSIÇÕES GERAIS'!B:I,8,0),VLOOKUP(B292,'12.COT.MERCADO'!A:I,8,0)))),"Em Elaboração")</f>
        <v>250</v>
      </c>
      <c r="J292" s="241">
        <f t="shared" ref="J292:J318" si="21">H292*(1+$J$5)</f>
        <v>0</v>
      </c>
      <c r="K292" s="241">
        <f t="shared" ref="K292:K318" si="22">I292*(1+$J$8)</f>
        <v>292.8336463</v>
      </c>
      <c r="L292" s="241">
        <f t="shared" ref="L292:L318" si="23">SUM(J292:K292)</f>
        <v>292.8336463</v>
      </c>
      <c r="M292" s="241">
        <f t="shared" ref="M292:M318" si="24">J292*G292</f>
        <v>0</v>
      </c>
      <c r="N292" s="241">
        <f t="shared" ref="N292:N318" si="25">K292*G292</f>
        <v>18155.68607</v>
      </c>
      <c r="O292" s="241">
        <f t="shared" ref="O292:O318" si="26">SUM(M292:N292)</f>
        <v>18155.68607</v>
      </c>
      <c r="P292" s="242">
        <f t="shared" si="3"/>
        <v>0.05822472434</v>
      </c>
    </row>
    <row r="293">
      <c r="A293" s="236" t="s">
        <v>501</v>
      </c>
      <c r="B293" s="237" t="str">
        <f>VLOOKUP(A293,'Planilha_Sintética_Geral'!A:P,2,0)</f>
        <v>SPLIT_SERV_002</v>
      </c>
      <c r="C293" s="238" t="str">
        <f t="shared" si="20"/>
        <v>PRÓPRIO</v>
      </c>
      <c r="D293" s="243" t="s">
        <v>110</v>
      </c>
      <c r="E293" s="239" t="str">
        <f>IFERROR(IF(D293="SINAPI-S",VLOOKUP(B293,'20-B.SINAPI-S'!A:J,2,0),IF(D293="SINAPI-I",VLOOKUP(B293,'20-A.SINAPI-I'!A:G,2,0),IF(D293="COMPOSIÇÕES",VLOOKUP(B293,'11.COMPOSIÇÕES GERAIS'!B:I,2,0),VLOOKUP(B293,'12.COT.MERCADO'!A:I,2,0)))),"Em Elaboração")</f>
        <v>SERVIÇO DE MANUTENÇÃO PREVENTIVA E CORRETIVA DE APARELHOS DE AR CONDICIONADO SPLIT ACIMA DE 9.000 BTUS ATÉ 12.000 BTUS, COM FORNECIMENTO DE PEÇAS E MATERIAIS (COM EXCEÇÃO DO COMPRESSOR PARA AR CONDICIONADO, MOTOR VENTILADOR DA UNIDADE CONDENSADORA OU EVAPORADORA E PLACA DE COMANDO DA UNIDADE CONDENSADORA OU EVAPORADORA)</v>
      </c>
      <c r="F293" s="240" t="str">
        <f>IFERROR(IF(D293="SINAPI-S",VLOOKUP(B293,'20-B.SINAPI-S'!A:J,3,0),IF(D293="SINAPI-I",VLOOKUP(B293,'20-A.SINAPI-I'!A:G,3,0),IF(D293="COMPOSIÇÕES",VLOOKUP(B293,'11.COMPOSIÇÕES GERAIS'!B:I,3,0),VLOOKUP(B293,'12.COT.MERCADO'!A:I,7,0)))),"Em Elaboração")</f>
        <v>UN </v>
      </c>
      <c r="G293" s="244">
        <f>VLOOKUP(A293,'Planilha_Sintética_Geral'!A:O,7,0)</f>
        <v>51</v>
      </c>
      <c r="H293" s="241">
        <f>IFERROR(IF(D293="SINAPI-S",VLOOKUP(B293,'20-B.SINAPI-S'!A:J,5,0),IF(D293="SINAPI-I",VLOOKUP(B293,'20-A.SINAPI-I'!A:G,6,0),IF(D293="COMPOSIÇÕES",VLOOKUP(B293,'11.COMPOSIÇÕES GERAIS'!B:I,7,0),0))),"Em Elaboração")</f>
        <v>0</v>
      </c>
      <c r="I293" s="241">
        <f>IFERROR(IF(D293="SINAPI-S",VLOOKUP(B293,'20-B.SINAPI-S'!A:J,6,0),IF(D293="SINAPI-I",VLOOKUP(B293,'20-A.SINAPI-I'!A:G,7,0),IF(D293="COMPOSIÇÕES",VLOOKUP(B293,'11.COMPOSIÇÕES GERAIS'!B:I,8,0),VLOOKUP(B293,'12.COT.MERCADO'!A:I,8,0)))),"Em Elaboração")</f>
        <v>250</v>
      </c>
      <c r="J293" s="241">
        <f t="shared" si="21"/>
        <v>0</v>
      </c>
      <c r="K293" s="241">
        <f t="shared" si="22"/>
        <v>292.8336463</v>
      </c>
      <c r="L293" s="241">
        <f t="shared" si="23"/>
        <v>292.8336463</v>
      </c>
      <c r="M293" s="241">
        <f t="shared" si="24"/>
        <v>0</v>
      </c>
      <c r="N293" s="241">
        <f t="shared" si="25"/>
        <v>14934.51596</v>
      </c>
      <c r="O293" s="241">
        <f t="shared" si="26"/>
        <v>14934.51596</v>
      </c>
      <c r="P293" s="242">
        <f t="shared" si="3"/>
        <v>0.04789453131</v>
      </c>
    </row>
    <row r="294">
      <c r="A294" s="236" t="s">
        <v>503</v>
      </c>
      <c r="B294" s="237" t="str">
        <f>VLOOKUP(A294,'Planilha_Sintética_Geral'!A:P,2,0)</f>
        <v>SPLIT_SERV_003</v>
      </c>
      <c r="C294" s="238" t="str">
        <f t="shared" si="20"/>
        <v>PRÓPRIO</v>
      </c>
      <c r="D294" s="243" t="s">
        <v>110</v>
      </c>
      <c r="E294" s="239" t="str">
        <f>IFERROR(IF(D294="SINAPI-S",VLOOKUP(B294,'20-B.SINAPI-S'!A:J,2,0),IF(D294="SINAPI-I",VLOOKUP(B294,'20-A.SINAPI-I'!A:G,2,0),IF(D294="COMPOSIÇÕES",VLOOKUP(B294,'11.COMPOSIÇÕES GERAIS'!B:I,2,0),VLOOKUP(B294,'12.COT.MERCADO'!A:I,2,0)))),"Em Elaboração")</f>
        <v>SERVIÇO DE MANUTENÇÃO PREVENTIVA E CORRETIVA DE APARELHOS DE AR CONDICIONADO SPLIT ACIMA DE 12.000 BTUS ATÉ 18.000 BTUS, COM FORNECIMENTO DE PEÇAS E MATERIAIS (COM EXCEÇÃO DO COMPRESSOR PARA AR CONDICIONADO, MOTOR VENTILADOR DA UNIDADE CONDENSADORA OU EVAPORADORA E PLACA DE COMANDO DA UNIDADE CONDENSADORA OU EVAPORADORA)</v>
      </c>
      <c r="F294" s="240" t="str">
        <f>IFERROR(IF(D294="SINAPI-S",VLOOKUP(B294,'20-B.SINAPI-S'!A:J,3,0),IF(D294="SINAPI-I",VLOOKUP(B294,'20-A.SINAPI-I'!A:G,3,0),IF(D294="COMPOSIÇÕES",VLOOKUP(B294,'11.COMPOSIÇÕES GERAIS'!B:I,3,0),VLOOKUP(B294,'12.COT.MERCADO'!A:I,7,0)))),"Em Elaboração")</f>
        <v>UN </v>
      </c>
      <c r="G294" s="244">
        <f>VLOOKUP(A294,'Planilha_Sintética_Geral'!A:O,7,0)</f>
        <v>23</v>
      </c>
      <c r="H294" s="241">
        <f>IFERROR(IF(D294="SINAPI-S",VLOOKUP(B294,'20-B.SINAPI-S'!A:J,5,0),IF(D294="SINAPI-I",VLOOKUP(B294,'20-A.SINAPI-I'!A:G,6,0),IF(D294="COMPOSIÇÕES",VLOOKUP(B294,'11.COMPOSIÇÕES GERAIS'!B:I,7,0),0))),"Em Elaboração")</f>
        <v>0</v>
      </c>
      <c r="I294" s="241">
        <f>IFERROR(IF(D294="SINAPI-S",VLOOKUP(B294,'20-B.SINAPI-S'!A:J,6,0),IF(D294="SINAPI-I",VLOOKUP(B294,'20-A.SINAPI-I'!A:G,7,0),IF(D294="COMPOSIÇÕES",VLOOKUP(B294,'11.COMPOSIÇÕES GERAIS'!B:I,8,0),VLOOKUP(B294,'12.COT.MERCADO'!A:I,8,0)))),"Em Elaboração")</f>
        <v>300</v>
      </c>
      <c r="J294" s="241">
        <f t="shared" si="21"/>
        <v>0</v>
      </c>
      <c r="K294" s="241">
        <f t="shared" si="22"/>
        <v>351.4003755</v>
      </c>
      <c r="L294" s="241">
        <f t="shared" si="23"/>
        <v>351.4003755</v>
      </c>
      <c r="M294" s="241">
        <f t="shared" si="24"/>
        <v>0</v>
      </c>
      <c r="N294" s="241">
        <f t="shared" si="25"/>
        <v>8082.208637</v>
      </c>
      <c r="O294" s="241">
        <f t="shared" si="26"/>
        <v>8082.208637</v>
      </c>
      <c r="P294" s="242">
        <f t="shared" si="3"/>
        <v>0.02591939342</v>
      </c>
    </row>
    <row r="295">
      <c r="A295" s="236" t="s">
        <v>505</v>
      </c>
      <c r="B295" s="237" t="str">
        <f>VLOOKUP(A295,'Planilha_Sintética_Geral'!A:P,2,0)</f>
        <v>SPLIT_SERV_004</v>
      </c>
      <c r="C295" s="238" t="str">
        <f t="shared" si="20"/>
        <v>PRÓPRIO</v>
      </c>
      <c r="D295" s="243" t="s">
        <v>110</v>
      </c>
      <c r="E295" s="239" t="str">
        <f>IFERROR(IF(D295="SINAPI-S",VLOOKUP(B295,'20-B.SINAPI-S'!A:J,2,0),IF(D295="SINAPI-I",VLOOKUP(B295,'20-A.SINAPI-I'!A:G,2,0),IF(D295="COMPOSIÇÕES",VLOOKUP(B295,'11.COMPOSIÇÕES GERAIS'!B:I,2,0),VLOOKUP(B295,'12.COT.MERCADO'!A:I,2,0)))),"Em Elaboração")</f>
        <v>SERVIÇO MENSAL DE MANUTENÇÃO PREVENTIVA E CORRETIVA DE APARELHOS DE AR CONDICIONADO SPLIT ACIMA DE 18.000 BTUS ATÉ 24.000 BTUS, COM FORNECIMENTO DE PEÇAS E MATERIAIS (COM EXCEÇÃO DO COMPRESSOR PARA AR CONDICIONADO, MOTOR VENTILADOR DA UNIDADE CONDENSADORA OU EVAPORADORA E PLACA DE COMANDO DA UNIDADE CONDENSADORA OU EVAPORADORA)</v>
      </c>
      <c r="F295" s="240" t="str">
        <f>IFERROR(IF(D295="SINAPI-S",VLOOKUP(B295,'20-B.SINAPI-S'!A:J,3,0),IF(D295="SINAPI-I",VLOOKUP(B295,'20-A.SINAPI-I'!A:G,3,0),IF(D295="COMPOSIÇÕES",VLOOKUP(B295,'11.COMPOSIÇÕES GERAIS'!B:I,3,0),VLOOKUP(B295,'12.COT.MERCADO'!A:I,7,0)))),"Em Elaboração")</f>
        <v>UN </v>
      </c>
      <c r="G295" s="244">
        <f>VLOOKUP(A295,'Planilha_Sintética_Geral'!A:O,7,0)</f>
        <v>16</v>
      </c>
      <c r="H295" s="241">
        <f>IFERROR(IF(D295="SINAPI-S",VLOOKUP(B295,'20-B.SINAPI-S'!A:J,5,0),IF(D295="SINAPI-I",VLOOKUP(B295,'20-A.SINAPI-I'!A:G,6,0),IF(D295="COMPOSIÇÕES",VLOOKUP(B295,'11.COMPOSIÇÕES GERAIS'!B:I,7,0),0))),"Em Elaboração")</f>
        <v>0</v>
      </c>
      <c r="I295" s="241">
        <f>IFERROR(IF(D295="SINAPI-S",VLOOKUP(B295,'20-B.SINAPI-S'!A:J,6,0),IF(D295="SINAPI-I",VLOOKUP(B295,'20-A.SINAPI-I'!A:G,7,0),IF(D295="COMPOSIÇÕES",VLOOKUP(B295,'11.COMPOSIÇÕES GERAIS'!B:I,8,0),VLOOKUP(B295,'12.COT.MERCADO'!A:I,8,0)))),"Em Elaboração")</f>
        <v>400</v>
      </c>
      <c r="J295" s="241">
        <f t="shared" si="21"/>
        <v>0</v>
      </c>
      <c r="K295" s="241">
        <f t="shared" si="22"/>
        <v>468.5338341</v>
      </c>
      <c r="L295" s="241">
        <f t="shared" si="23"/>
        <v>468.5338341</v>
      </c>
      <c r="M295" s="241">
        <f t="shared" si="24"/>
        <v>0</v>
      </c>
      <c r="N295" s="241">
        <f t="shared" si="25"/>
        <v>7496.541345</v>
      </c>
      <c r="O295" s="241">
        <f t="shared" si="26"/>
        <v>7496.541345</v>
      </c>
      <c r="P295" s="242">
        <f t="shared" si="3"/>
        <v>0.0240411765</v>
      </c>
    </row>
    <row r="296">
      <c r="A296" s="236" t="s">
        <v>507</v>
      </c>
      <c r="B296" s="237" t="str">
        <f>VLOOKUP(A296,'Planilha_Sintética_Geral'!A:P,2,0)</f>
        <v>SPLIT_SERV_005</v>
      </c>
      <c r="C296" s="238" t="str">
        <f t="shared" si="20"/>
        <v>PRÓPRIO</v>
      </c>
      <c r="D296" s="243" t="s">
        <v>110</v>
      </c>
      <c r="E296" s="239" t="str">
        <f>IFERROR(IF(D296="SINAPI-S",VLOOKUP(B296,'20-B.SINAPI-S'!A:J,2,0),IF(D296="SINAPI-I",VLOOKUP(B296,'20-A.SINAPI-I'!A:G,2,0),IF(D296="COMPOSIÇÕES",VLOOKUP(B296,'11.COMPOSIÇÕES GERAIS'!B:I,2,0),VLOOKUP(B296,'12.COT.MERCADO'!A:I,2,0)))),"Em Elaboração")</f>
        <v>SERVIÇO DE MANUTENÇÃO PREVENTIVA E CORRETIVA DE APARELHOS DE AR CONDICIONADO SPLIT ACIMA DE 24.000 BTUS ATÉ 30.000 BTUS, COM FORNECIMENTO DE PEÇAS E MATERIAIS (COM EXCEÇÃO DO COMPRESSOR PARA AR CONDICIONADO, MOTOR VENTILADOR DA UNIDADE CONDENSADORA OU EVAPORADORA E PLACA DE COMANDO DA UNIDADE CONDENSADORA OU EVAPORADORA)</v>
      </c>
      <c r="F296" s="240" t="str">
        <f>IFERROR(IF(D296="SINAPI-S",VLOOKUP(B296,'20-B.SINAPI-S'!A:J,3,0),IF(D296="SINAPI-I",VLOOKUP(B296,'20-A.SINAPI-I'!A:G,3,0),IF(D296="COMPOSIÇÕES",VLOOKUP(B296,'11.COMPOSIÇÕES GERAIS'!B:I,3,0),VLOOKUP(B296,'12.COT.MERCADO'!A:I,7,0)))),"Em Elaboração")</f>
        <v>UN </v>
      </c>
      <c r="G296" s="244">
        <f>VLOOKUP(A296,'Planilha_Sintética_Geral'!A:O,7,0)</f>
        <v>6</v>
      </c>
      <c r="H296" s="241">
        <f>IFERROR(IF(D296="SINAPI-S",VLOOKUP(B296,'20-B.SINAPI-S'!A:J,5,0),IF(D296="SINAPI-I",VLOOKUP(B296,'20-A.SINAPI-I'!A:G,6,0),IF(D296="COMPOSIÇÕES",VLOOKUP(B296,'11.COMPOSIÇÕES GERAIS'!B:I,7,0),0))),"Em Elaboração")</f>
        <v>0</v>
      </c>
      <c r="I296" s="241">
        <f>IFERROR(IF(D296="SINAPI-S",VLOOKUP(B296,'20-B.SINAPI-S'!A:J,6,0),IF(D296="SINAPI-I",VLOOKUP(B296,'20-A.SINAPI-I'!A:G,7,0),IF(D296="COMPOSIÇÕES",VLOOKUP(B296,'11.COMPOSIÇÕES GERAIS'!B:I,8,0),VLOOKUP(B296,'12.COT.MERCADO'!A:I,8,0)))),"Em Elaboração")</f>
        <v>450</v>
      </c>
      <c r="J296" s="241">
        <f t="shared" si="21"/>
        <v>0</v>
      </c>
      <c r="K296" s="241">
        <f t="shared" si="22"/>
        <v>527.1005633</v>
      </c>
      <c r="L296" s="241">
        <f t="shared" si="23"/>
        <v>527.1005633</v>
      </c>
      <c r="M296" s="241">
        <f t="shared" si="24"/>
        <v>0</v>
      </c>
      <c r="N296" s="241">
        <f t="shared" si="25"/>
        <v>3162.60338</v>
      </c>
      <c r="O296" s="241">
        <f t="shared" si="26"/>
        <v>3162.60338</v>
      </c>
      <c r="P296" s="242">
        <f t="shared" si="3"/>
        <v>0.01014237134</v>
      </c>
    </row>
    <row r="297">
      <c r="A297" s="236" t="s">
        <v>509</v>
      </c>
      <c r="B297" s="237" t="str">
        <f>VLOOKUP(A297,'Planilha_Sintética_Geral'!A:P,2,0)</f>
        <v>SPLIT_SERV_006</v>
      </c>
      <c r="C297" s="238" t="str">
        <f t="shared" si="20"/>
        <v>PRÓPRIO</v>
      </c>
      <c r="D297" s="243" t="s">
        <v>110</v>
      </c>
      <c r="E297" s="239" t="str">
        <f>IFERROR(IF(D297="SINAPI-S",VLOOKUP(B297,'20-B.SINAPI-S'!A:J,2,0),IF(D297="SINAPI-I",VLOOKUP(B297,'20-A.SINAPI-I'!A:G,2,0),IF(D297="COMPOSIÇÕES",VLOOKUP(B297,'11.COMPOSIÇÕES GERAIS'!B:I,2,0),VLOOKUP(B297,'12.COT.MERCADO'!A:I,2,0)))),"Em Elaboração")</f>
        <v>SERVIÇO DE MANUTENÇÃO PREVENTIVA E CORRETIVA DE APARELHOS DE AR CONDICIONADO SPLIT ACIMA DE 30.000 BTUS ATÉ 36.000 BTUS, COM FORNECIMENTO DE PEÇAS E MATERIAIS (COM EXCEÇÃO DO COMPRESSOR PARA AR CONDICIONADO, MOTOR VENTILADOR DA UNIDADE CONDENSADORA OU EVAPORADORA E PLACA DE COMANDO DA UNIDADE CONDENSADORA OU EVAPORADORA)</v>
      </c>
      <c r="F297" s="240" t="str">
        <f>IFERROR(IF(D297="SINAPI-S",VLOOKUP(B297,'20-B.SINAPI-S'!A:J,3,0),IF(D297="SINAPI-I",VLOOKUP(B297,'20-A.SINAPI-I'!A:G,3,0),IF(D297="COMPOSIÇÕES",VLOOKUP(B297,'11.COMPOSIÇÕES GERAIS'!B:I,3,0),VLOOKUP(B297,'12.COT.MERCADO'!A:I,7,0)))),"Em Elaboração")</f>
        <v>UN </v>
      </c>
      <c r="G297" s="244">
        <f>VLOOKUP(A297,'Planilha_Sintética_Geral'!A:O,7,0)</f>
        <v>2</v>
      </c>
      <c r="H297" s="241">
        <f>IFERROR(IF(D297="SINAPI-S",VLOOKUP(B297,'20-B.SINAPI-S'!A:J,5,0),IF(D297="SINAPI-I",VLOOKUP(B297,'20-A.SINAPI-I'!A:G,6,0),IF(D297="COMPOSIÇÕES",VLOOKUP(B297,'11.COMPOSIÇÕES GERAIS'!B:I,7,0),0))),"Em Elaboração")</f>
        <v>0</v>
      </c>
      <c r="I297" s="241">
        <f>IFERROR(IF(D297="SINAPI-S",VLOOKUP(B297,'20-B.SINAPI-S'!A:J,6,0),IF(D297="SINAPI-I",VLOOKUP(B297,'20-A.SINAPI-I'!A:G,7,0),IF(D297="COMPOSIÇÕES",VLOOKUP(B297,'11.COMPOSIÇÕES GERAIS'!B:I,8,0),VLOOKUP(B297,'12.COT.MERCADO'!A:I,8,0)))),"Em Elaboração")</f>
        <v>600</v>
      </c>
      <c r="J297" s="241">
        <f t="shared" si="21"/>
        <v>0</v>
      </c>
      <c r="K297" s="241">
        <f t="shared" si="22"/>
        <v>702.8007511</v>
      </c>
      <c r="L297" s="241">
        <f t="shared" si="23"/>
        <v>702.8007511</v>
      </c>
      <c r="M297" s="241">
        <f t="shared" si="24"/>
        <v>0</v>
      </c>
      <c r="N297" s="241">
        <f t="shared" si="25"/>
        <v>1405.601502</v>
      </c>
      <c r="O297" s="241">
        <f t="shared" si="26"/>
        <v>1405.601502</v>
      </c>
      <c r="P297" s="242">
        <f t="shared" si="3"/>
        <v>0.004507720594</v>
      </c>
    </row>
    <row r="298">
      <c r="A298" s="236" t="s">
        <v>511</v>
      </c>
      <c r="B298" s="237" t="str">
        <f>VLOOKUP(A298,'Planilha_Sintética_Geral'!A:P,2,0)</f>
        <v>SPLIT_SERV_007</v>
      </c>
      <c r="C298" s="238" t="str">
        <f t="shared" si="20"/>
        <v>PRÓPRIO</v>
      </c>
      <c r="D298" s="243" t="s">
        <v>110</v>
      </c>
      <c r="E298" s="239" t="str">
        <f>IFERROR(IF(D298="SINAPI-S",VLOOKUP(B298,'20-B.SINAPI-S'!A:J,2,0),IF(D298="SINAPI-I",VLOOKUP(B298,'20-A.SINAPI-I'!A:G,2,0),IF(D298="COMPOSIÇÕES",VLOOKUP(B298,'11.COMPOSIÇÕES GERAIS'!B:I,2,0),VLOOKUP(B298,'12.COT.MERCADO'!A:I,2,0)))),"Em Elaboração")</f>
        <v>SERVIÇO DE MANUTENÇÃO PREVENTIVA E CORRETIVA DE APARELHOS DE AR CONDICIONADO SPLIT ACIMA DE 36.000 BTUS ATÉ 48.000 BTUS, COM FORNECIMENTO DE PEÇAS E MATERIAIS (COM EXCEÇÃO DO COMPRESSOR PARA AR CONDICIONADO, MOTOR VENTILADOR DA UNIDADE CONDENSADORA OU EVAPORADORA E PLACA DE COMANDO DA UNIDADE CONDENSADORA OU EVAPORADORA)</v>
      </c>
      <c r="F298" s="240" t="str">
        <f>IFERROR(IF(D298="SINAPI-S",VLOOKUP(B298,'20-B.SINAPI-S'!A:J,3,0),IF(D298="SINAPI-I",VLOOKUP(B298,'20-A.SINAPI-I'!A:G,3,0),IF(D298="COMPOSIÇÕES",VLOOKUP(B298,'11.COMPOSIÇÕES GERAIS'!B:I,3,0),VLOOKUP(B298,'12.COT.MERCADO'!A:I,7,0)))),"Em Elaboração")</f>
        <v>UN </v>
      </c>
      <c r="G298" s="244">
        <f>VLOOKUP(A298,'Planilha_Sintética_Geral'!A:O,7,0)</f>
        <v>1</v>
      </c>
      <c r="H298" s="241">
        <f>IFERROR(IF(D298="SINAPI-S",VLOOKUP(B298,'20-B.SINAPI-S'!A:J,5,0),IF(D298="SINAPI-I",VLOOKUP(B298,'20-A.SINAPI-I'!A:G,6,0),IF(D298="COMPOSIÇÕES",VLOOKUP(B298,'11.COMPOSIÇÕES GERAIS'!B:I,7,0),0))),"Em Elaboração")</f>
        <v>0</v>
      </c>
      <c r="I298" s="241">
        <f>IFERROR(IF(D298="SINAPI-S",VLOOKUP(B298,'20-B.SINAPI-S'!A:J,6,0),IF(D298="SINAPI-I",VLOOKUP(B298,'20-A.SINAPI-I'!A:G,7,0),IF(D298="COMPOSIÇÕES",VLOOKUP(B298,'11.COMPOSIÇÕES GERAIS'!B:I,8,0),VLOOKUP(B298,'12.COT.MERCADO'!A:I,8,0)))),"Em Elaboração")</f>
        <v>470</v>
      </c>
      <c r="J298" s="241">
        <f t="shared" si="21"/>
        <v>0</v>
      </c>
      <c r="K298" s="241">
        <f t="shared" si="22"/>
        <v>550.527255</v>
      </c>
      <c r="L298" s="241">
        <f t="shared" si="23"/>
        <v>550.527255</v>
      </c>
      <c r="M298" s="241">
        <f t="shared" si="24"/>
        <v>0</v>
      </c>
      <c r="N298" s="241">
        <f t="shared" si="25"/>
        <v>550.527255</v>
      </c>
      <c r="O298" s="241">
        <f t="shared" si="26"/>
        <v>550.527255</v>
      </c>
      <c r="P298" s="242">
        <f t="shared" si="3"/>
        <v>0.001765523899</v>
      </c>
    </row>
    <row r="299">
      <c r="A299" s="236" t="s">
        <v>513</v>
      </c>
      <c r="B299" s="237" t="str">
        <f>VLOOKUP(A299,'Planilha_Sintética_Geral'!A:P,2,0)</f>
        <v>SPLIT_SERV_008</v>
      </c>
      <c r="C299" s="238" t="str">
        <f t="shared" si="20"/>
        <v>PRÓPRIO</v>
      </c>
      <c r="D299" s="243" t="s">
        <v>110</v>
      </c>
      <c r="E299" s="239" t="str">
        <f>IFERROR(IF(D299="SINAPI-S",VLOOKUP(B299,'20-B.SINAPI-S'!A:J,2,0),IF(D299="SINAPI-I",VLOOKUP(B299,'20-A.SINAPI-I'!A:G,2,0),IF(D299="COMPOSIÇÕES",VLOOKUP(B299,'11.COMPOSIÇÕES GERAIS'!B:I,2,0),VLOOKUP(B299,'12.COT.MERCADO'!A:I,2,0)))),"Em Elaboração")</f>
        <v>SERVIÇO DE MANUTENÇÃO PREVENTIVA E CORRETIVA DE APARELHOS DE AR CONDICIONADO SPLIT ACIMA DE 48.000 BTUS ATÉ 60.000 BTUS, COM FORNECIMENTO DE PEÇAS E MATERIAIS (COM EXCEÇÃO DO COMPRESSOR PARA AR CONDICIONADO, MOTOR VENTILADOR DA UNIDADE CONDENSADORA OU EVAPORADORA E PLACA DE COMANDO DA UNIDADE CONDENSADORA OU EVAPORADORA)</v>
      </c>
      <c r="F299" s="240" t="str">
        <f>IFERROR(IF(D299="SINAPI-S",VLOOKUP(B299,'20-B.SINAPI-S'!A:J,3,0),IF(D299="SINAPI-I",VLOOKUP(B299,'20-A.SINAPI-I'!A:G,3,0),IF(D299="COMPOSIÇÕES",VLOOKUP(B299,'11.COMPOSIÇÕES GERAIS'!B:I,3,0),VLOOKUP(B299,'12.COT.MERCADO'!A:I,7,0)))),"Em Elaboração")</f>
        <v>UN </v>
      </c>
      <c r="G299" s="244">
        <f>VLOOKUP(A299,'Planilha_Sintética_Geral'!A:O,7,0)</f>
        <v>1</v>
      </c>
      <c r="H299" s="241">
        <f>IFERROR(IF(D299="SINAPI-S",VLOOKUP(B299,'20-B.SINAPI-S'!A:J,5,0),IF(D299="SINAPI-I",VLOOKUP(B299,'20-A.SINAPI-I'!A:G,6,0),IF(D299="COMPOSIÇÕES",VLOOKUP(B299,'11.COMPOSIÇÕES GERAIS'!B:I,7,0),0))),"Em Elaboração")</f>
        <v>0</v>
      </c>
      <c r="I299" s="241">
        <f>IFERROR(IF(D299="SINAPI-S",VLOOKUP(B299,'20-B.SINAPI-S'!A:J,6,0),IF(D299="SINAPI-I",VLOOKUP(B299,'20-A.SINAPI-I'!A:G,7,0),IF(D299="COMPOSIÇÕES",VLOOKUP(B299,'11.COMPOSIÇÕES GERAIS'!B:I,8,0),VLOOKUP(B299,'12.COT.MERCADO'!A:I,8,0)))),"Em Elaboração")</f>
        <v>450</v>
      </c>
      <c r="J299" s="241">
        <f t="shared" si="21"/>
        <v>0</v>
      </c>
      <c r="K299" s="241">
        <f t="shared" si="22"/>
        <v>527.1005633</v>
      </c>
      <c r="L299" s="241">
        <f t="shared" si="23"/>
        <v>527.1005633</v>
      </c>
      <c r="M299" s="241">
        <f t="shared" si="24"/>
        <v>0</v>
      </c>
      <c r="N299" s="241">
        <f t="shared" si="25"/>
        <v>527.1005633</v>
      </c>
      <c r="O299" s="241">
        <f t="shared" si="26"/>
        <v>527.1005633</v>
      </c>
      <c r="P299" s="242">
        <f t="shared" si="3"/>
        <v>0.001690395223</v>
      </c>
    </row>
    <row r="300">
      <c r="A300" s="236" t="s">
        <v>515</v>
      </c>
      <c r="B300" s="237" t="str">
        <f>VLOOKUP(A300,'Planilha_Sintética_Geral'!A:P,2,0)</f>
        <v>SPLIT_SERV_009</v>
      </c>
      <c r="C300" s="238" t="str">
        <f t="shared" si="20"/>
        <v>PRÓPRIO</v>
      </c>
      <c r="D300" s="243" t="s">
        <v>110</v>
      </c>
      <c r="E300" s="239" t="str">
        <f>IFERROR(IF(D300="SINAPI-S",VLOOKUP(B300,'20-B.SINAPI-S'!A:J,2,0),IF(D300="SINAPI-I",VLOOKUP(B300,'20-A.SINAPI-I'!A:G,2,0),IF(D300="COMPOSIÇÕES",VLOOKUP(B300,'11.COMPOSIÇÕES GERAIS'!B:I,2,0),VLOOKUP(B300,'12.COT.MERCADO'!A:I,2,0)))),"Em Elaboração")</f>
        <v>SERVIÇO DE MANUTENÇÃO PREVENTIVA E CORRETIVA DE APARELHOS DE AR CONDICIONADO DO TIPO JANELA ATÉ 9.000 BTUS, COM FORNECIMENTO DE PEÇAS E MATERIAIS (COM EXCEÇÃO DO COMPRESSOR PARA AR CONDICIONADO, MOTOR VENTILADOR DA UNIDADE CONDENSADORA OU EVAPORADORA E PLACA DE COMANDO DA UNIDADE CONDENSADORA OU EVAPORADORA)</v>
      </c>
      <c r="F300" s="240" t="str">
        <f>IFERROR(IF(D300="SINAPI-S",VLOOKUP(B300,'20-B.SINAPI-S'!A:J,3,0),IF(D300="SINAPI-I",VLOOKUP(B300,'20-A.SINAPI-I'!A:G,3,0),IF(D300="COMPOSIÇÕES",VLOOKUP(B300,'11.COMPOSIÇÕES GERAIS'!B:I,3,0),VLOOKUP(B300,'12.COT.MERCADO'!A:I,7,0)))),"Em Elaboração")</f>
        <v>UN </v>
      </c>
      <c r="G300" s="244">
        <f>VLOOKUP(A300,'Planilha_Sintética_Geral'!A:O,7,0)</f>
        <v>12</v>
      </c>
      <c r="H300" s="241">
        <f>IFERROR(IF(D300="SINAPI-S",VLOOKUP(B300,'20-B.SINAPI-S'!A:J,5,0),IF(D300="SINAPI-I",VLOOKUP(B300,'20-A.SINAPI-I'!A:G,6,0),IF(D300="COMPOSIÇÕES",VLOOKUP(B300,'11.COMPOSIÇÕES GERAIS'!B:I,7,0),0))),"Em Elaboração")</f>
        <v>0</v>
      </c>
      <c r="I300" s="241">
        <f>IFERROR(IF(D300="SINAPI-S",VLOOKUP(B300,'20-B.SINAPI-S'!A:J,6,0),IF(D300="SINAPI-I",VLOOKUP(B300,'20-A.SINAPI-I'!A:G,7,0),IF(D300="COMPOSIÇÕES",VLOOKUP(B300,'11.COMPOSIÇÕES GERAIS'!B:I,8,0),VLOOKUP(B300,'12.COT.MERCADO'!A:I,8,0)))),"Em Elaboração")</f>
        <v>350</v>
      </c>
      <c r="J300" s="241">
        <f t="shared" si="21"/>
        <v>0</v>
      </c>
      <c r="K300" s="241">
        <f t="shared" si="22"/>
        <v>409.9671048</v>
      </c>
      <c r="L300" s="241">
        <f t="shared" si="23"/>
        <v>409.9671048</v>
      </c>
      <c r="M300" s="241">
        <f t="shared" si="24"/>
        <v>0</v>
      </c>
      <c r="N300" s="241">
        <f t="shared" si="25"/>
        <v>4919.605258</v>
      </c>
      <c r="O300" s="241">
        <f t="shared" si="26"/>
        <v>4919.605258</v>
      </c>
      <c r="P300" s="242">
        <f t="shared" si="3"/>
        <v>0.01577702208</v>
      </c>
    </row>
    <row r="301">
      <c r="A301" s="236" t="s">
        <v>517</v>
      </c>
      <c r="B301" s="237" t="str">
        <f>VLOOKUP(A301,'Planilha_Sintética_Geral'!A:P,2,0)</f>
        <v>SPLIT_SERV_010</v>
      </c>
      <c r="C301" s="238" t="str">
        <f t="shared" si="20"/>
        <v>PRÓPRIO</v>
      </c>
      <c r="D301" s="243" t="s">
        <v>110</v>
      </c>
      <c r="E301" s="239" t="str">
        <f>IFERROR(IF(D301="SINAPI-S",VLOOKUP(B301,'20-B.SINAPI-S'!A:J,2,0),IF(D301="SINAPI-I",VLOOKUP(B301,'20-A.SINAPI-I'!A:G,2,0),IF(D301="COMPOSIÇÕES",VLOOKUP(B301,'11.COMPOSIÇÕES GERAIS'!B:I,2,0),VLOOKUP(B301,'12.COT.MERCADO'!A:I,2,0)))),"Em Elaboração")</f>
        <v>SERVIÇO DE MANUTENÇÃO PREVENTIVA E CORRETIVA DE APARELHOS DE AR CONDICIONADO DO TIPO JANELA ACIMA DE 9.000 BTUS ATÉ 12.000 BTUS, COM FORNECIMENTO DE PEÇAS E MATERIAIS (COM EXCEÇÃO DO COMPRESSOR PARA AR CONDICIONADO, MOTOR VENTILADOR DA UNIDADE CONDENSADORA OU EVAPORADORA E PLACA DE COMANDO DA UNIDADE CONDENSADORA OU EVAPORADORA)</v>
      </c>
      <c r="F301" s="240" t="str">
        <f>IFERROR(IF(D301="SINAPI-S",VLOOKUP(B301,'20-B.SINAPI-S'!A:J,3,0),IF(D301="SINAPI-I",VLOOKUP(B301,'20-A.SINAPI-I'!A:G,3,0),IF(D301="COMPOSIÇÕES",VLOOKUP(B301,'11.COMPOSIÇÕES GERAIS'!B:I,3,0),VLOOKUP(B301,'12.COT.MERCADO'!A:I,7,0)))),"Em Elaboração")</f>
        <v>UN </v>
      </c>
      <c r="G301" s="244">
        <f>VLOOKUP(A301,'Planilha_Sintética_Geral'!A:O,7,0)</f>
        <v>4</v>
      </c>
      <c r="H301" s="241">
        <f>IFERROR(IF(D301="SINAPI-S",VLOOKUP(B301,'20-B.SINAPI-S'!A:J,5,0),IF(D301="SINAPI-I",VLOOKUP(B301,'20-A.SINAPI-I'!A:G,6,0),IF(D301="COMPOSIÇÕES",VLOOKUP(B301,'11.COMPOSIÇÕES GERAIS'!B:I,7,0),0))),"Em Elaboração")</f>
        <v>0</v>
      </c>
      <c r="I301" s="241">
        <f>IFERROR(IF(D301="SINAPI-S",VLOOKUP(B301,'20-B.SINAPI-S'!A:J,6,0),IF(D301="SINAPI-I",VLOOKUP(B301,'20-A.SINAPI-I'!A:G,7,0),IF(D301="COMPOSIÇÕES",VLOOKUP(B301,'11.COMPOSIÇÕES GERAIS'!B:I,8,0),VLOOKUP(B301,'12.COT.MERCADO'!A:I,8,0)))),"Em Elaboração")</f>
        <v>350</v>
      </c>
      <c r="J301" s="241">
        <f t="shared" si="21"/>
        <v>0</v>
      </c>
      <c r="K301" s="241">
        <f t="shared" si="22"/>
        <v>409.9671048</v>
      </c>
      <c r="L301" s="241">
        <f t="shared" si="23"/>
        <v>409.9671048</v>
      </c>
      <c r="M301" s="241">
        <f t="shared" si="24"/>
        <v>0</v>
      </c>
      <c r="N301" s="241">
        <f t="shared" si="25"/>
        <v>1639.868419</v>
      </c>
      <c r="O301" s="241">
        <f t="shared" si="26"/>
        <v>1639.868419</v>
      </c>
      <c r="P301" s="242">
        <f t="shared" si="3"/>
        <v>0.00525900736</v>
      </c>
    </row>
    <row r="302">
      <c r="A302" s="236" t="s">
        <v>519</v>
      </c>
      <c r="B302" s="237" t="str">
        <f>VLOOKUP(A302,'Planilha_Sintética_Geral'!A:P,2,0)</f>
        <v>SPLIT_SERV_011</v>
      </c>
      <c r="C302" s="238" t="str">
        <f t="shared" si="20"/>
        <v>PRÓPRIO</v>
      </c>
      <c r="D302" s="243" t="s">
        <v>110</v>
      </c>
      <c r="E302" s="239" t="str">
        <f>IFERROR(IF(D302="SINAPI-S",VLOOKUP(B302,'20-B.SINAPI-S'!A:J,2,0),IF(D302="SINAPI-I",VLOOKUP(B302,'20-A.SINAPI-I'!A:G,2,0),IF(D302="COMPOSIÇÕES",VLOOKUP(B302,'11.COMPOSIÇÕES GERAIS'!B:I,2,0),VLOOKUP(B302,'12.COT.MERCADO'!A:I,2,0)))),"Em Elaboração")</f>
        <v>SERVIÇO DE MANUTENÇÃO PREVENTIVA E CORRETIVA DE APARELHOS DE AR CONDICIONADO TIPO JANELA ACIMA DE 12.000 BTUS ATÉ 18.000 BTUS, COM FORNECIMENTO DE PEÇAS E MATERIAIS (COM EXCEÇÃO DO COMPRESSOR PARA AR CONDICIONADO, MOTOR VENTILADOR DA UNIDADE CONDENSADORA OU EVAPORADORA E PLACA DE COMANDO DA UNIDADE CONDENSADORA OU EVAPORADORA)</v>
      </c>
      <c r="F302" s="240" t="str">
        <f>IFERROR(IF(D302="SINAPI-S",VLOOKUP(B302,'20-B.SINAPI-S'!A:J,3,0),IF(D302="SINAPI-I",VLOOKUP(B302,'20-A.SINAPI-I'!A:G,3,0),IF(D302="COMPOSIÇÕES",VLOOKUP(B302,'11.COMPOSIÇÕES GERAIS'!B:I,3,0),VLOOKUP(B302,'12.COT.MERCADO'!A:I,7,0)))),"Em Elaboração")</f>
        <v>UN </v>
      </c>
      <c r="G302" s="244">
        <f>VLOOKUP(A302,'Planilha_Sintética_Geral'!A:O,7,0)</f>
        <v>2</v>
      </c>
      <c r="H302" s="241">
        <f>IFERROR(IF(D302="SINAPI-S",VLOOKUP(B302,'20-B.SINAPI-S'!A:J,5,0),IF(D302="SINAPI-I",VLOOKUP(B302,'20-A.SINAPI-I'!A:G,6,0),IF(D302="COMPOSIÇÕES",VLOOKUP(B302,'11.COMPOSIÇÕES GERAIS'!B:I,7,0),0))),"Em Elaboração")</f>
        <v>0</v>
      </c>
      <c r="I302" s="241">
        <f>IFERROR(IF(D302="SINAPI-S",VLOOKUP(B302,'20-B.SINAPI-S'!A:J,6,0),IF(D302="SINAPI-I",VLOOKUP(B302,'20-A.SINAPI-I'!A:G,7,0),IF(D302="COMPOSIÇÕES",VLOOKUP(B302,'11.COMPOSIÇÕES GERAIS'!B:I,8,0),VLOOKUP(B302,'12.COT.MERCADO'!A:I,8,0)))),"Em Elaboração")</f>
        <v>270</v>
      </c>
      <c r="J302" s="241">
        <f t="shared" si="21"/>
        <v>0</v>
      </c>
      <c r="K302" s="241">
        <f t="shared" si="22"/>
        <v>316.260338</v>
      </c>
      <c r="L302" s="241">
        <f t="shared" si="23"/>
        <v>316.260338</v>
      </c>
      <c r="M302" s="241">
        <f t="shared" si="24"/>
        <v>0</v>
      </c>
      <c r="N302" s="241">
        <f t="shared" si="25"/>
        <v>632.520676</v>
      </c>
      <c r="O302" s="241">
        <f t="shared" si="26"/>
        <v>632.520676</v>
      </c>
      <c r="P302" s="242">
        <f t="shared" si="3"/>
        <v>0.002028474267</v>
      </c>
    </row>
    <row r="303">
      <c r="A303" s="236" t="s">
        <v>521</v>
      </c>
      <c r="B303" s="237" t="str">
        <f>VLOOKUP(A303,'Planilha_Sintética_Geral'!A:P,2,0)</f>
        <v>SPLIT_SERV_012</v>
      </c>
      <c r="C303" s="238" t="str">
        <f t="shared" si="20"/>
        <v>PRÓPRIO</v>
      </c>
      <c r="D303" s="243" t="s">
        <v>110</v>
      </c>
      <c r="E303" s="239" t="str">
        <f>IFERROR(IF(D303="SINAPI-S",VLOOKUP(B303,'20-B.SINAPI-S'!A:J,2,0),IF(D303="SINAPI-I",VLOOKUP(B303,'20-A.SINAPI-I'!A:G,2,0),IF(D303="COMPOSIÇÕES",VLOOKUP(B303,'11.COMPOSIÇÕES GERAIS'!B:I,2,0),VLOOKUP(B303,'12.COT.MERCADO'!A:I,2,0)))),"Em Elaboração")</f>
        <v>SERVIÇO DE MANUTENÇÃO PREVENTIVA E CORRETIVA DE APARELHOS DE AR CONDICIONADO TIPO JANELA ACIMA DE 18.000 BTUS ATÉ 27.000 BTUS, COM FORNECIMENTO DE PEÇAS E MATERIAIS (COM EXCEÇÃO DO COMPRESSOR PARA AR CONDICIONADO, MOTOR VENTILADOR DA UNIDADE CONDENSADORA OU EVAPORADORA E PLACA DE COMANDO DA UNIDADE CONDENSADORA OU EVAPORADORA)</v>
      </c>
      <c r="F303" s="240" t="str">
        <f>IFERROR(IF(D303="SINAPI-S",VLOOKUP(B303,'20-B.SINAPI-S'!A:J,3,0),IF(D303="SINAPI-I",VLOOKUP(B303,'20-A.SINAPI-I'!A:G,3,0),IF(D303="COMPOSIÇÕES",VLOOKUP(B303,'11.COMPOSIÇÕES GERAIS'!B:I,3,0),VLOOKUP(B303,'12.COT.MERCADO'!A:I,7,0)))),"Em Elaboração")</f>
        <v>UN </v>
      </c>
      <c r="G303" s="244">
        <f>VLOOKUP(A303,'Planilha_Sintética_Geral'!A:O,7,0)</f>
        <v>11</v>
      </c>
      <c r="H303" s="241">
        <f>IFERROR(IF(D303="SINAPI-S",VLOOKUP(B303,'20-B.SINAPI-S'!A:J,5,0),IF(D303="SINAPI-I",VLOOKUP(B303,'20-A.SINAPI-I'!A:G,6,0),IF(D303="COMPOSIÇÕES",VLOOKUP(B303,'11.COMPOSIÇÕES GERAIS'!B:I,7,0),0))),"Em Elaboração")</f>
        <v>0</v>
      </c>
      <c r="I303" s="241">
        <f>IFERROR(IF(D303="SINAPI-S",VLOOKUP(B303,'20-B.SINAPI-S'!A:J,6,0),IF(D303="SINAPI-I",VLOOKUP(B303,'20-A.SINAPI-I'!A:G,7,0),IF(D303="COMPOSIÇÕES",VLOOKUP(B303,'11.COMPOSIÇÕES GERAIS'!B:I,8,0),VLOOKUP(B303,'12.COT.MERCADO'!A:I,8,0)))),"Em Elaboração")</f>
        <v>370</v>
      </c>
      <c r="J303" s="241">
        <f t="shared" si="21"/>
        <v>0</v>
      </c>
      <c r="K303" s="241">
        <f t="shared" si="22"/>
        <v>433.3937965</v>
      </c>
      <c r="L303" s="241">
        <f t="shared" si="23"/>
        <v>433.3937965</v>
      </c>
      <c r="M303" s="241">
        <f t="shared" si="24"/>
        <v>0</v>
      </c>
      <c r="N303" s="241">
        <f t="shared" si="25"/>
        <v>4767.331761</v>
      </c>
      <c r="O303" s="241">
        <f t="shared" si="26"/>
        <v>4767.331761</v>
      </c>
      <c r="P303" s="242">
        <f t="shared" si="3"/>
        <v>0.01528868568</v>
      </c>
    </row>
    <row r="304">
      <c r="A304" s="236" t="s">
        <v>523</v>
      </c>
      <c r="B304" s="237" t="str">
        <f>VLOOKUP(A304,'Planilha_Sintética_Geral'!A:P,2,0)</f>
        <v>REFRI. 001</v>
      </c>
      <c r="C304" s="238" t="str">
        <f t="shared" si="20"/>
        <v>PRÓPRIO</v>
      </c>
      <c r="D304" s="243" t="s">
        <v>230</v>
      </c>
      <c r="E304" s="239" t="str">
        <f>IFERROR(IF(D304="SINAPI-S",VLOOKUP(B304,'20-B.SINAPI-S'!A:J,2,0),IF(D304="SINAPI-I",VLOOKUP(B304,'20-A.SINAPI-I'!A:G,2,0),IF(D304="COMPOSIÇÕES",VLOOKUP(B304,'11.COMPOSIÇÕES GERAIS'!B:I,2,0),VLOOKUP(B304,'12.COT.MERCADO'!A:I,2,0)))),"Em Elaboração")</f>
        <v>FORNECIMENTO E INSTALAÇÃO DE TUBULAÇÃO EM COBRE P/ INTERLIGAÇÃO DO CONDENSADOR AO EVAPORADOR, INCLUSIVE ISOLAMENTO, ALIMENTAÇÃO ELÉTRICA, CONEXÕES E FIXAÇÕES, P/ CONDICIONADORES DE AR SPLIT SYSTEM ATÉ 9.000 BTUS.</v>
      </c>
      <c r="F304" s="240" t="str">
        <f>IFERROR(IF(D304="SINAPI-S",VLOOKUP(B304,'20-B.SINAPI-S'!A:J,3,0),IF(D304="SINAPI-I",VLOOKUP(B304,'20-A.SINAPI-I'!A:G,3,0),IF(D304="COMPOSIÇÕES",VLOOKUP(B304,'11.COMPOSIÇÕES GERAIS'!B:I,3,0),VLOOKUP(B304,'12.COT.MERCADO'!A:I,7,0)))),"Em Elaboração")</f>
        <v>M</v>
      </c>
      <c r="G304" s="244">
        <f>VLOOKUP(A304,'Planilha_Sintética_Geral'!A:O,7,0)</f>
        <v>12</v>
      </c>
      <c r="H304" s="241">
        <f>IFERROR(IF(D304="SINAPI-S",VLOOKUP(B304,'20-B.SINAPI-S'!A:J,5,0),IF(D304="SINAPI-I",VLOOKUP(B304,'20-A.SINAPI-I'!A:G,6,0),IF(D304="COMPOSIÇÕES",VLOOKUP(B304,'11.COMPOSIÇÕES GERAIS'!B:I,7,0),0))),"Em Elaboração")</f>
        <v>4.90609</v>
      </c>
      <c r="I304" s="241">
        <f>IFERROR(IF(D304="SINAPI-S",VLOOKUP(B304,'20-B.SINAPI-S'!A:J,6,0),IF(D304="SINAPI-I",VLOOKUP(B304,'20-A.SINAPI-I'!A:G,7,0),IF(D304="COMPOSIÇÕES",VLOOKUP(B304,'11.COMPOSIÇÕES GERAIS'!B:I,8,0),VLOOKUP(B304,'12.COT.MERCADO'!A:I,8,0)))),"Em Elaboração")</f>
        <v>94.88794</v>
      </c>
      <c r="J304" s="241">
        <f t="shared" si="21"/>
        <v>5.759371744</v>
      </c>
      <c r="K304" s="241">
        <f t="shared" si="22"/>
        <v>111.1455258</v>
      </c>
      <c r="L304" s="241">
        <f t="shared" si="23"/>
        <v>116.9048976</v>
      </c>
      <c r="M304" s="241">
        <f t="shared" si="24"/>
        <v>69.11246093</v>
      </c>
      <c r="N304" s="241">
        <f t="shared" si="25"/>
        <v>1333.74631</v>
      </c>
      <c r="O304" s="241">
        <f t="shared" si="26"/>
        <v>1402.858771</v>
      </c>
      <c r="P304" s="242">
        <f t="shared" si="3"/>
        <v>0.00449892474</v>
      </c>
    </row>
    <row r="305">
      <c r="A305" s="236" t="s">
        <v>525</v>
      </c>
      <c r="B305" s="237" t="str">
        <f>VLOOKUP(A305,'Planilha_Sintética_Geral'!A:P,2,0)</f>
        <v>REFRI. 002</v>
      </c>
      <c r="C305" s="238" t="str">
        <f t="shared" si="20"/>
        <v>PRÓPRIO</v>
      </c>
      <c r="D305" s="243" t="s">
        <v>230</v>
      </c>
      <c r="E305" s="239" t="str">
        <f>IFERROR(IF(D305="SINAPI-S",VLOOKUP(B305,'20-B.SINAPI-S'!A:J,2,0),IF(D305="SINAPI-I",VLOOKUP(B305,'20-A.SINAPI-I'!A:G,2,0),IF(D305="COMPOSIÇÕES",VLOOKUP(B305,'11.COMPOSIÇÕES GERAIS'!B:I,2,0),VLOOKUP(B305,'12.COT.MERCADO'!A:I,2,0)))),"Em Elaboração")</f>
        <v>FORNECIMENTO E INSTALAÇÃO DE TUBULAÇÃO EM COBRE P/ INTERLIGAÇÃO DO CONDENSADOR AO EVAPORADOR, INCLUSIVE ISOLAMENTO, ALIMENTAÇÃO ELÉTRICA, CONEXÕES E FIXAÇÕES, P/ CONDICIONADORES DE AR SPLIT SYSTEM ACIMA DE 9.000 BTUS ATÉ 12.000 BTUS.</v>
      </c>
      <c r="F305" s="240" t="str">
        <f>IFERROR(IF(D305="SINAPI-S",VLOOKUP(B305,'20-B.SINAPI-S'!A:J,3,0),IF(D305="SINAPI-I",VLOOKUP(B305,'20-A.SINAPI-I'!A:G,3,0),IF(D305="COMPOSIÇÕES",VLOOKUP(B305,'11.COMPOSIÇÕES GERAIS'!B:I,3,0),VLOOKUP(B305,'12.COT.MERCADO'!A:I,7,0)))),"Em Elaboração")</f>
        <v>M</v>
      </c>
      <c r="G305" s="244">
        <f>VLOOKUP(A305,'Planilha_Sintética_Geral'!A:O,7,0)</f>
        <v>10</v>
      </c>
      <c r="H305" s="241">
        <f>IFERROR(IF(D305="SINAPI-S",VLOOKUP(B305,'20-B.SINAPI-S'!A:J,5,0),IF(D305="SINAPI-I",VLOOKUP(B305,'20-A.SINAPI-I'!A:G,6,0),IF(D305="COMPOSIÇÕES",VLOOKUP(B305,'11.COMPOSIÇÕES GERAIS'!B:I,7,0),0))),"Em Elaboração")</f>
        <v>4.90609</v>
      </c>
      <c r="I305" s="241">
        <f>IFERROR(IF(D305="SINAPI-S",VLOOKUP(B305,'20-B.SINAPI-S'!A:J,6,0),IF(D305="SINAPI-I",VLOOKUP(B305,'20-A.SINAPI-I'!A:G,7,0),IF(D305="COMPOSIÇÕES",VLOOKUP(B305,'11.COMPOSIÇÕES GERAIS'!B:I,8,0),VLOOKUP(B305,'12.COT.MERCADO'!A:I,8,0)))),"Em Elaboração")</f>
        <v>107.18344</v>
      </c>
      <c r="J305" s="241">
        <f t="shared" si="21"/>
        <v>5.759371744</v>
      </c>
      <c r="K305" s="241">
        <f t="shared" si="22"/>
        <v>125.5476702</v>
      </c>
      <c r="L305" s="241">
        <f t="shared" si="23"/>
        <v>131.307042</v>
      </c>
      <c r="M305" s="241">
        <f t="shared" si="24"/>
        <v>57.59371744</v>
      </c>
      <c r="N305" s="241">
        <f t="shared" si="25"/>
        <v>1255.476702</v>
      </c>
      <c r="O305" s="241">
        <f t="shared" si="26"/>
        <v>1313.07042</v>
      </c>
      <c r="P305" s="242">
        <f t="shared" si="3"/>
        <v>0.004210976271</v>
      </c>
    </row>
    <row r="306">
      <c r="A306" s="236" t="s">
        <v>527</v>
      </c>
      <c r="B306" s="237" t="str">
        <f>VLOOKUP(A306,'Planilha_Sintética_Geral'!A:P,2,0)</f>
        <v>REFRI. 003</v>
      </c>
      <c r="C306" s="238" t="str">
        <f t="shared" si="20"/>
        <v>PRÓPRIO</v>
      </c>
      <c r="D306" s="243" t="s">
        <v>230</v>
      </c>
      <c r="E306" s="239" t="str">
        <f>IFERROR(IF(D306="SINAPI-S",VLOOKUP(B306,'20-B.SINAPI-S'!A:J,2,0),IF(D306="SINAPI-I",VLOOKUP(B306,'20-A.SINAPI-I'!A:G,2,0),IF(D306="COMPOSIÇÕES",VLOOKUP(B306,'11.COMPOSIÇÕES GERAIS'!B:I,2,0),VLOOKUP(B306,'12.COT.MERCADO'!A:I,2,0)))),"Em Elaboração")</f>
        <v>FORNECIMENTO E INSTALAÇÃO DE TUBULAÇÃO EM COBRE P/ INTERLIGAÇÃO DO CONDENSADOR AO EVAPORADOR, INCLUSIVE ISOLAMENTO, ALIMENTAÇÃO ELÉTRICA, CONEXÕES E FIXAÇÕES, P/ CONDICIONADORES DE AR SPLIT SYSTEM ACIMA DE 12.000 BTUS ATÉ 18.000 BTUS.</v>
      </c>
      <c r="F306" s="240" t="str">
        <f>IFERROR(IF(D306="SINAPI-S",VLOOKUP(B306,'20-B.SINAPI-S'!A:J,3,0),IF(D306="SINAPI-I",VLOOKUP(B306,'20-A.SINAPI-I'!A:G,3,0),IF(D306="COMPOSIÇÕES",VLOOKUP(B306,'11.COMPOSIÇÕES GERAIS'!B:I,3,0),VLOOKUP(B306,'12.COT.MERCADO'!A:I,7,0)))),"Em Elaboração")</f>
        <v>M</v>
      </c>
      <c r="G306" s="244">
        <f>VLOOKUP(A306,'Planilha_Sintética_Geral'!A:O,7,0)</f>
        <v>2</v>
      </c>
      <c r="H306" s="241">
        <f>IFERROR(IF(D306="SINAPI-S",VLOOKUP(B306,'20-B.SINAPI-S'!A:J,5,0),IF(D306="SINAPI-I",VLOOKUP(B306,'20-A.SINAPI-I'!A:G,6,0),IF(D306="COMPOSIÇÕES",VLOOKUP(B306,'11.COMPOSIÇÕES GERAIS'!B:I,7,0),0))),"Em Elaboração")</f>
        <v>5.22116</v>
      </c>
      <c r="I306" s="241">
        <f>IFERROR(IF(D306="SINAPI-S",VLOOKUP(B306,'20-B.SINAPI-S'!A:J,6,0),IF(D306="SINAPI-I",VLOOKUP(B306,'20-A.SINAPI-I'!A:G,7,0),IF(D306="COMPOSIÇÕES",VLOOKUP(B306,'11.COMPOSIÇÕES GERAIS'!B:I,8,0),VLOOKUP(B306,'12.COT.MERCADO'!A:I,8,0)))),"Em Elaboração")</f>
        <v>120.36486</v>
      </c>
      <c r="J306" s="241">
        <f t="shared" si="21"/>
        <v>6.129239654</v>
      </c>
      <c r="K306" s="241">
        <f t="shared" si="22"/>
        <v>140.9875234</v>
      </c>
      <c r="L306" s="241">
        <f t="shared" si="23"/>
        <v>147.116763</v>
      </c>
      <c r="M306" s="241">
        <f t="shared" si="24"/>
        <v>12.25847931</v>
      </c>
      <c r="N306" s="241">
        <f t="shared" si="25"/>
        <v>281.9750467</v>
      </c>
      <c r="O306" s="241">
        <f t="shared" si="26"/>
        <v>294.233526</v>
      </c>
      <c r="P306" s="242">
        <f t="shared" si="3"/>
        <v>0.0009435978282</v>
      </c>
    </row>
    <row r="307">
      <c r="A307" s="236" t="s">
        <v>529</v>
      </c>
      <c r="B307" s="237" t="str">
        <f>VLOOKUP(A307,'Planilha_Sintética_Geral'!A:P,2,0)</f>
        <v>REFRI. 004</v>
      </c>
      <c r="C307" s="238" t="str">
        <f t="shared" si="20"/>
        <v>PRÓPRIO</v>
      </c>
      <c r="D307" s="243" t="s">
        <v>230</v>
      </c>
      <c r="E307" s="239" t="str">
        <f>IFERROR(IF(D307="SINAPI-S",VLOOKUP(B307,'20-B.SINAPI-S'!A:J,2,0),IF(D307="SINAPI-I",VLOOKUP(B307,'20-A.SINAPI-I'!A:G,2,0),IF(D307="COMPOSIÇÕES",VLOOKUP(B307,'11.COMPOSIÇÕES GERAIS'!B:I,2,0),VLOOKUP(B307,'12.COT.MERCADO'!A:I,2,0)))),"Em Elaboração")</f>
        <v>FORNECIMENTO E INSTALAÇÃO DE TUBULAÇÃO EM COBRE P/ INTERLIGAÇÃO DO CONDENSADOR AO EVAPORADOR, INCLUSIVE ISOLAMENTO, ALIMENTAÇÃO ELÉTRICA, CONEXÕES E FIXAÇÕES, P/ CONDICIONADORES DE AR SPLIT SYSTEM DE ACIMA DE 18.000 BTUS ATÉ 24.000 BTUS.</v>
      </c>
      <c r="F307" s="240" t="str">
        <f>IFERROR(IF(D307="SINAPI-S",VLOOKUP(B307,'20-B.SINAPI-S'!A:J,3,0),IF(D307="SINAPI-I",VLOOKUP(B307,'20-A.SINAPI-I'!A:G,3,0),IF(D307="COMPOSIÇÕES",VLOOKUP(B307,'11.COMPOSIÇÕES GERAIS'!B:I,3,0),VLOOKUP(B307,'12.COT.MERCADO'!A:I,7,0)))),"Em Elaboração")</f>
        <v>M</v>
      </c>
      <c r="G307" s="244">
        <f>VLOOKUP(A307,'Planilha_Sintética_Geral'!A:O,7,0)</f>
        <v>2</v>
      </c>
      <c r="H307" s="241">
        <f>IFERROR(IF(D307="SINAPI-S",VLOOKUP(B307,'20-B.SINAPI-S'!A:J,5,0),IF(D307="SINAPI-I",VLOOKUP(B307,'20-A.SINAPI-I'!A:G,6,0),IF(D307="COMPOSIÇÕES",VLOOKUP(B307,'11.COMPOSIÇÕES GERAIS'!B:I,7,0),0))),"Em Elaboração")</f>
        <v>5.22116</v>
      </c>
      <c r="I307" s="241">
        <f>IFERROR(IF(D307="SINAPI-S",VLOOKUP(B307,'20-B.SINAPI-S'!A:J,6,0),IF(D307="SINAPI-I",VLOOKUP(B307,'20-A.SINAPI-I'!A:G,7,0),IF(D307="COMPOSIÇÕES",VLOOKUP(B307,'11.COMPOSIÇÕES GERAIS'!B:I,8,0),VLOOKUP(B307,'12.COT.MERCADO'!A:I,8,0)))),"Em Elaboração")</f>
        <v>120.36486</v>
      </c>
      <c r="J307" s="241">
        <f t="shared" si="21"/>
        <v>6.129239654</v>
      </c>
      <c r="K307" s="241">
        <f t="shared" si="22"/>
        <v>140.9875234</v>
      </c>
      <c r="L307" s="241">
        <f t="shared" si="23"/>
        <v>147.116763</v>
      </c>
      <c r="M307" s="241">
        <f t="shared" si="24"/>
        <v>12.25847931</v>
      </c>
      <c r="N307" s="241">
        <f t="shared" si="25"/>
        <v>281.9750467</v>
      </c>
      <c r="O307" s="241">
        <f t="shared" si="26"/>
        <v>294.233526</v>
      </c>
      <c r="P307" s="242">
        <f t="shared" si="3"/>
        <v>0.0009435978282</v>
      </c>
    </row>
    <row r="308">
      <c r="A308" s="236" t="s">
        <v>531</v>
      </c>
      <c r="B308" s="237" t="str">
        <f>VLOOKUP(A308,'Planilha_Sintética_Geral'!A:P,2,0)</f>
        <v>REFRI. 005</v>
      </c>
      <c r="C308" s="238" t="str">
        <f t="shared" si="20"/>
        <v>PRÓPRIO</v>
      </c>
      <c r="D308" s="243" t="s">
        <v>230</v>
      </c>
      <c r="E308" s="239" t="str">
        <f>IFERROR(IF(D308="SINAPI-S",VLOOKUP(B308,'20-B.SINAPI-S'!A:J,2,0),IF(D308="SINAPI-I",VLOOKUP(B308,'20-A.SINAPI-I'!A:G,2,0),IF(D308="COMPOSIÇÕES",VLOOKUP(B308,'11.COMPOSIÇÕES GERAIS'!B:I,2,0),VLOOKUP(B308,'12.COT.MERCADO'!A:I,2,0)))),"Em Elaboração")</f>
        <v>FORNECIMENTO E INSTALAÇÃO DE TUBULAÇÃO EM COBRE P/ INTERLIGAÇÃO DO CONDENSADOR AO EVAPORADOR, INCLUSIVE ISOLAMENTO, ALIMENTAÇÃO ELÉTRICA, CONEXÕES E FIXAÇÕES, P/ CONDICIONADORES DE AR SPLIT SYSTEM ACIMA DE 24.000 BTUS ATÉ 36.000 BTUS.</v>
      </c>
      <c r="F308" s="240" t="str">
        <f>IFERROR(IF(D308="SINAPI-S",VLOOKUP(B308,'20-B.SINAPI-S'!A:J,3,0),IF(D308="SINAPI-I",VLOOKUP(B308,'20-A.SINAPI-I'!A:G,3,0),IF(D308="COMPOSIÇÕES",VLOOKUP(B308,'11.COMPOSIÇÕES GERAIS'!B:I,3,0),VLOOKUP(B308,'12.COT.MERCADO'!A:I,7,0)))),"Em Elaboração")</f>
        <v>M</v>
      </c>
      <c r="G308" s="244">
        <f>VLOOKUP(A308,'Planilha_Sintética_Geral'!A:O,7,0)</f>
        <v>2</v>
      </c>
      <c r="H308" s="241">
        <f>IFERROR(IF(D308="SINAPI-S",VLOOKUP(B308,'20-B.SINAPI-S'!A:J,5,0),IF(D308="SINAPI-I",VLOOKUP(B308,'20-A.SINAPI-I'!A:G,6,0),IF(D308="COMPOSIÇÕES",VLOOKUP(B308,'11.COMPOSIÇÕES GERAIS'!B:I,7,0),0))),"Em Elaboração")</f>
        <v>5.44621</v>
      </c>
      <c r="I308" s="241">
        <f>IFERROR(IF(D308="SINAPI-S",VLOOKUP(B308,'20-B.SINAPI-S'!A:J,6,0),IF(D308="SINAPI-I",VLOOKUP(B308,'20-A.SINAPI-I'!A:G,7,0),IF(D308="COMPOSIÇÕES",VLOOKUP(B308,'11.COMPOSIÇÕES GERAIS'!B:I,8,0),VLOOKUP(B308,'12.COT.MERCADO'!A:I,8,0)))),"Em Elaboração")</f>
        <v>139.37416</v>
      </c>
      <c r="J308" s="241">
        <f t="shared" si="21"/>
        <v>6.393431018</v>
      </c>
      <c r="K308" s="241">
        <f t="shared" si="22"/>
        <v>163.2537739</v>
      </c>
      <c r="L308" s="241">
        <f t="shared" si="23"/>
        <v>169.6472049</v>
      </c>
      <c r="M308" s="241">
        <f t="shared" si="24"/>
        <v>12.78686204</v>
      </c>
      <c r="N308" s="241">
        <f t="shared" si="25"/>
        <v>326.5075478</v>
      </c>
      <c r="O308" s="241">
        <f t="shared" si="26"/>
        <v>339.2944098</v>
      </c>
      <c r="P308" s="242">
        <f t="shared" si="3"/>
        <v>0.00108810669</v>
      </c>
    </row>
    <row r="309">
      <c r="A309" s="236" t="s">
        <v>533</v>
      </c>
      <c r="B309" s="237" t="str">
        <f>VLOOKUP(A309,'Planilha_Sintética_Geral'!A:P,2,0)</f>
        <v>REFRI. 006</v>
      </c>
      <c r="C309" s="238" t="str">
        <f t="shared" si="20"/>
        <v>PRÓPRIO</v>
      </c>
      <c r="D309" s="243" t="s">
        <v>230</v>
      </c>
      <c r="E309" s="239" t="str">
        <f>IFERROR(IF(D309="SINAPI-S",VLOOKUP(B309,'20-B.SINAPI-S'!A:J,2,0),IF(D309="SINAPI-I",VLOOKUP(B309,'20-A.SINAPI-I'!A:G,2,0),IF(D309="COMPOSIÇÕES",VLOOKUP(B309,'11.COMPOSIÇÕES GERAIS'!B:I,2,0),VLOOKUP(B309,'12.COT.MERCADO'!A:I,2,0)))),"Em Elaboração")</f>
        <v>FORNECIMENTO E INSTALAÇÃO DE TUBULAÇÃO EM COBRE P/ INTERLIGAÇÃO DO CONDENSADOR AO EVAPORADOR, INCLUSIVE ISOLAMENTO, ALIMENTAÇÃO ELÉTRICA, CONEXÕES E FIXAÇÕES, P/ CONDICIONADORES DE AR SPLIT SYSTEM DE ACIMA DE 36.000 BUTS ATÉ 48.000 BTUS.</v>
      </c>
      <c r="F309" s="240" t="str">
        <f>IFERROR(IF(D309="SINAPI-S",VLOOKUP(B309,'20-B.SINAPI-S'!A:J,3,0),IF(D309="SINAPI-I",VLOOKUP(B309,'20-A.SINAPI-I'!A:G,3,0),IF(D309="COMPOSIÇÕES",VLOOKUP(B309,'11.COMPOSIÇÕES GERAIS'!B:I,3,0),VLOOKUP(B309,'12.COT.MERCADO'!A:I,7,0)))),"Em Elaboração")</f>
        <v>M</v>
      </c>
      <c r="G309" s="244">
        <f>VLOOKUP(A309,'Planilha_Sintética_Geral'!A:O,7,0)</f>
        <v>1</v>
      </c>
      <c r="H309" s="241">
        <f>IFERROR(IF(D309="SINAPI-S",VLOOKUP(B309,'20-B.SINAPI-S'!A:J,5,0),IF(D309="SINAPI-I",VLOOKUP(B309,'20-A.SINAPI-I'!A:G,6,0),IF(D309="COMPOSIÇÕES",VLOOKUP(B309,'11.COMPOSIÇÕES GERAIS'!B:I,7,0),0))),"Em Elaboração")</f>
        <v>5.44621</v>
      </c>
      <c r="I309" s="241">
        <f>IFERROR(IF(D309="SINAPI-S",VLOOKUP(B309,'20-B.SINAPI-S'!A:J,6,0),IF(D309="SINAPI-I",VLOOKUP(B309,'20-A.SINAPI-I'!A:G,7,0),IF(D309="COMPOSIÇÕES",VLOOKUP(B309,'11.COMPOSIÇÕES GERAIS'!B:I,8,0),VLOOKUP(B309,'12.COT.MERCADO'!A:I,8,0)))),"Em Elaboração")</f>
        <v>206.00716</v>
      </c>
      <c r="J309" s="241">
        <f t="shared" si="21"/>
        <v>6.393431018</v>
      </c>
      <c r="K309" s="241">
        <f t="shared" si="22"/>
        <v>241.3033113</v>
      </c>
      <c r="L309" s="241">
        <f t="shared" si="23"/>
        <v>247.6967423</v>
      </c>
      <c r="M309" s="241">
        <f t="shared" si="24"/>
        <v>6.393431018</v>
      </c>
      <c r="N309" s="241">
        <f t="shared" si="25"/>
        <v>241.3033113</v>
      </c>
      <c r="O309" s="241">
        <f t="shared" si="26"/>
        <v>247.6967423</v>
      </c>
      <c r="P309" s="242">
        <f t="shared" si="3"/>
        <v>0.0007943558005</v>
      </c>
    </row>
    <row r="310">
      <c r="A310" s="236" t="s">
        <v>535</v>
      </c>
      <c r="B310" s="237" t="str">
        <f>VLOOKUP(A310,'Planilha_Sintética_Geral'!A:P,2,0)</f>
        <v>REFRI. 007</v>
      </c>
      <c r="C310" s="238" t="str">
        <f t="shared" si="20"/>
        <v>PRÓPRIO</v>
      </c>
      <c r="D310" s="243" t="s">
        <v>230</v>
      </c>
      <c r="E310" s="239" t="str">
        <f>IFERROR(IF(D310="SINAPI-S",VLOOKUP(B310,'20-B.SINAPI-S'!A:J,2,0),IF(D310="SINAPI-I",VLOOKUP(B310,'20-A.SINAPI-I'!A:G,2,0),IF(D310="COMPOSIÇÕES",VLOOKUP(B310,'11.COMPOSIÇÕES GERAIS'!B:I,2,0),VLOOKUP(B310,'12.COT.MERCADO'!A:I,2,0)))),"Em Elaboração")</f>
        <v>FORNECIMENTO E INSTALAÇÃO DE TUBULAÇÃO EM COBRE P/ INTERLIGAÇÃO DO CONDENSADOR AO EVAPORADOR, INCLUSIVE ISOLAMENTO, ALIMENTAÇÃO ELÉTRICA, CONEXÕES E FIXAÇÕES, P/ CONDICIONADORES DE AR SPLIT SYSTEM DE ACIMA DE 48.000 BUTS ATÉ 60.000 BTUS.</v>
      </c>
      <c r="F310" s="240" t="str">
        <f>IFERROR(IF(D310="SINAPI-S",VLOOKUP(B310,'20-B.SINAPI-S'!A:J,3,0),IF(D310="SINAPI-I",VLOOKUP(B310,'20-A.SINAPI-I'!A:G,3,0),IF(D310="COMPOSIÇÕES",VLOOKUP(B310,'11.COMPOSIÇÕES GERAIS'!B:I,3,0),VLOOKUP(B310,'12.COT.MERCADO'!A:I,7,0)))),"Em Elaboração")</f>
        <v>M</v>
      </c>
      <c r="G310" s="244">
        <f>VLOOKUP(A310,'Planilha_Sintética_Geral'!A:O,7,0)</f>
        <v>1</v>
      </c>
      <c r="H310" s="241">
        <f>IFERROR(IF(D310="SINAPI-S",VLOOKUP(B310,'20-B.SINAPI-S'!A:J,5,0),IF(D310="SINAPI-I",VLOOKUP(B310,'20-A.SINAPI-I'!A:G,6,0),IF(D310="COMPOSIÇÕES",VLOOKUP(B310,'11.COMPOSIÇÕES GERAIS'!B:I,7,0),0))),"Em Elaboração")</f>
        <v>5.44621</v>
      </c>
      <c r="I310" s="241">
        <f>IFERROR(IF(D310="SINAPI-S",VLOOKUP(B310,'20-B.SINAPI-S'!A:J,6,0),IF(D310="SINAPI-I",VLOOKUP(B310,'20-A.SINAPI-I'!A:G,7,0),IF(D310="COMPOSIÇÕES",VLOOKUP(B310,'11.COMPOSIÇÕES GERAIS'!B:I,8,0),VLOOKUP(B310,'12.COT.MERCADO'!A:I,8,0)))),"Em Elaboração")</f>
        <v>206.00716</v>
      </c>
      <c r="J310" s="241">
        <f t="shared" si="21"/>
        <v>6.393431018</v>
      </c>
      <c r="K310" s="241">
        <f t="shared" si="22"/>
        <v>241.3033113</v>
      </c>
      <c r="L310" s="241">
        <f t="shared" si="23"/>
        <v>247.6967423</v>
      </c>
      <c r="M310" s="241">
        <f t="shared" si="24"/>
        <v>6.393431018</v>
      </c>
      <c r="N310" s="241">
        <f t="shared" si="25"/>
        <v>241.3033113</v>
      </c>
      <c r="O310" s="241">
        <f t="shared" si="26"/>
        <v>247.6967423</v>
      </c>
      <c r="P310" s="242">
        <f t="shared" si="3"/>
        <v>0.0007943558005</v>
      </c>
    </row>
    <row r="311">
      <c r="A311" s="236" t="s">
        <v>537</v>
      </c>
      <c r="B311" s="237" t="str">
        <f>VLOOKUP(A311,'Planilha_Sintética_Geral'!A:P,2,0)</f>
        <v>REFRI. 008</v>
      </c>
      <c r="C311" s="238" t="str">
        <f t="shared" si="20"/>
        <v>PRÓPRIO</v>
      </c>
      <c r="D311" s="243" t="s">
        <v>230</v>
      </c>
      <c r="E311" s="239" t="str">
        <f>IFERROR(IF(D311="SINAPI-S",VLOOKUP(B311,'20-B.SINAPI-S'!A:J,2,0),IF(D311="SINAPI-I",VLOOKUP(B311,'20-A.SINAPI-I'!A:G,2,0),IF(D311="COMPOSIÇÕES",VLOOKUP(B311,'11.COMPOSIÇÕES GERAIS'!B:I,2,0),VLOOKUP(B311,'12.COT.MERCADO'!A:I,2,0)))),"Em Elaboração")</f>
        <v>SERVIÇO DE INSTALAÇÃO DE CONDICIONADOR DE AR TIPO SPLIT HIGH WALL, ATÉ 9.000 BTU - CONTEMPLA MATERIAIS, MÃO DE OBRA, SUPORTE E TUBULAÇÃO ATÉ 3,0M</v>
      </c>
      <c r="F311" s="240" t="str">
        <f>IFERROR(IF(D311="SINAPI-S",VLOOKUP(B311,'20-B.SINAPI-S'!A:J,3,0),IF(D311="SINAPI-I",VLOOKUP(B311,'20-A.SINAPI-I'!A:G,3,0),IF(D311="COMPOSIÇÕES",VLOOKUP(B311,'11.COMPOSIÇÕES GERAIS'!B:I,3,0),VLOOKUP(B311,'12.COT.MERCADO'!A:I,7,0)))),"Em Elaboração")</f>
        <v>UN </v>
      </c>
      <c r="G311" s="244">
        <f>VLOOKUP(A311,'Planilha_Sintética_Geral'!A:O,7,0)</f>
        <v>1</v>
      </c>
      <c r="H311" s="241">
        <f>IFERROR(IF(D311="SINAPI-S",VLOOKUP(B311,'20-B.SINAPI-S'!A:J,5,0),IF(D311="SINAPI-I",VLOOKUP(B311,'20-A.SINAPI-I'!A:G,6,0),IF(D311="COMPOSIÇÕES",VLOOKUP(B311,'11.COMPOSIÇÕES GERAIS'!B:I,7,0),0))),"Em Elaboração")</f>
        <v>0</v>
      </c>
      <c r="I311" s="241">
        <f>IFERROR(IF(D311="SINAPI-S",VLOOKUP(B311,'20-B.SINAPI-S'!A:J,6,0),IF(D311="SINAPI-I",VLOOKUP(B311,'20-A.SINAPI-I'!A:G,7,0),IF(D311="COMPOSIÇÕES",VLOOKUP(B311,'11.COMPOSIÇÕES GERAIS'!B:I,8,0),VLOOKUP(B311,'12.COT.MERCADO'!A:I,8,0)))),"Em Elaboração")</f>
        <v>699</v>
      </c>
      <c r="J311" s="241">
        <f t="shared" si="21"/>
        <v>0</v>
      </c>
      <c r="K311" s="241">
        <f t="shared" si="22"/>
        <v>818.762875</v>
      </c>
      <c r="L311" s="241">
        <f t="shared" si="23"/>
        <v>818.762875</v>
      </c>
      <c r="M311" s="241">
        <f t="shared" si="24"/>
        <v>0</v>
      </c>
      <c r="N311" s="241">
        <f t="shared" si="25"/>
        <v>818.762875</v>
      </c>
      <c r="O311" s="241">
        <f t="shared" si="26"/>
        <v>818.762875</v>
      </c>
      <c r="P311" s="242">
        <f t="shared" si="3"/>
        <v>0.002625747246</v>
      </c>
    </row>
    <row r="312">
      <c r="A312" s="236" t="s">
        <v>539</v>
      </c>
      <c r="B312" s="237" t="str">
        <f>VLOOKUP(A312,'Planilha_Sintética_Geral'!A:P,2,0)</f>
        <v>REFRI. 009</v>
      </c>
      <c r="C312" s="238" t="str">
        <f t="shared" si="20"/>
        <v>PRÓPRIO</v>
      </c>
      <c r="D312" s="243" t="s">
        <v>230</v>
      </c>
      <c r="E312" s="239" t="str">
        <f>IFERROR(IF(D312="SINAPI-S",VLOOKUP(B312,'20-B.SINAPI-S'!A:J,2,0),IF(D312="SINAPI-I",VLOOKUP(B312,'20-A.SINAPI-I'!A:G,2,0),IF(D312="COMPOSIÇÕES",VLOOKUP(B312,'11.COMPOSIÇÕES GERAIS'!B:I,2,0),VLOOKUP(B312,'12.COT.MERCADO'!A:I,2,0)))),"Em Elaboração")</f>
        <v>SERVIÇO DE INSTALAÇÃO DE CONDICIONADOR DE AR TIPO SPLIT HIGH WALL, ACIMA DE 9.000 BTUS ATÉ 30.000 BTUS - CONTEMPLA MATERIAIS, MÃO DE OBRA, SUPORTE E TUBULAÇÃO ATÉ 3,0M</v>
      </c>
      <c r="F312" s="240" t="str">
        <f>IFERROR(IF(D312="SINAPI-S",VLOOKUP(B312,'20-B.SINAPI-S'!A:J,3,0),IF(D312="SINAPI-I",VLOOKUP(B312,'20-A.SINAPI-I'!A:G,3,0),IF(D312="COMPOSIÇÕES",VLOOKUP(B312,'11.COMPOSIÇÕES GERAIS'!B:I,3,0),VLOOKUP(B312,'12.COT.MERCADO'!A:I,7,0)))),"Em Elaboração")</f>
        <v>UN </v>
      </c>
      <c r="G312" s="244">
        <f>VLOOKUP(A312,'Planilha_Sintética_Geral'!A:O,7,0)</f>
        <v>2</v>
      </c>
      <c r="H312" s="241">
        <f>IFERROR(IF(D312="SINAPI-S",VLOOKUP(B312,'20-B.SINAPI-S'!A:J,5,0),IF(D312="SINAPI-I",VLOOKUP(B312,'20-A.SINAPI-I'!A:G,6,0),IF(D312="COMPOSIÇÕES",VLOOKUP(B312,'11.COMPOSIÇÕES GERAIS'!B:I,7,0),0))),"Em Elaboração")</f>
        <v>0</v>
      </c>
      <c r="I312" s="241">
        <f>IFERROR(IF(D312="SINAPI-S",VLOOKUP(B312,'20-B.SINAPI-S'!A:J,6,0),IF(D312="SINAPI-I",VLOOKUP(B312,'20-A.SINAPI-I'!A:G,7,0),IF(D312="COMPOSIÇÕES",VLOOKUP(B312,'11.COMPOSIÇÕES GERAIS'!B:I,8,0),VLOOKUP(B312,'12.COT.MERCADO'!A:I,8,0)))),"Em Elaboração")</f>
        <v>921</v>
      </c>
      <c r="J312" s="241">
        <f t="shared" si="21"/>
        <v>0</v>
      </c>
      <c r="K312" s="241">
        <f t="shared" si="22"/>
        <v>1078.799153</v>
      </c>
      <c r="L312" s="241">
        <f t="shared" si="23"/>
        <v>1078.799153</v>
      </c>
      <c r="M312" s="241">
        <f t="shared" si="24"/>
        <v>0</v>
      </c>
      <c r="N312" s="241">
        <f t="shared" si="25"/>
        <v>2157.598306</v>
      </c>
      <c r="O312" s="241">
        <f t="shared" si="26"/>
        <v>2157.598306</v>
      </c>
      <c r="P312" s="242">
        <f t="shared" si="3"/>
        <v>0.006919351112</v>
      </c>
    </row>
    <row r="313">
      <c r="A313" s="236" t="s">
        <v>541</v>
      </c>
      <c r="B313" s="237" t="str">
        <f>VLOOKUP(A313,'Planilha_Sintética_Geral'!A:P,2,0)</f>
        <v>REFRI. 010</v>
      </c>
      <c r="C313" s="238" t="str">
        <f t="shared" si="20"/>
        <v>PRÓPRIO</v>
      </c>
      <c r="D313" s="243" t="s">
        <v>230</v>
      </c>
      <c r="E313" s="239" t="str">
        <f>IFERROR(IF(D313="SINAPI-S",VLOOKUP(B313,'20-B.SINAPI-S'!A:J,2,0),IF(D313="SINAPI-I",VLOOKUP(B313,'20-A.SINAPI-I'!A:G,2,0),IF(D313="COMPOSIÇÕES",VLOOKUP(B313,'11.COMPOSIÇÕES GERAIS'!B:I,2,0),VLOOKUP(B313,'12.COT.MERCADO'!A:I,2,0)))),"Em Elaboração")</f>
        <v>SERVIÇO DE INSTALAÇÃO DE CONDICIONADOR DE AR TIPO SPLIT HIGH WALL, ACIMA DE 30.000 BTUS ATÉ 36.000 BTUS - CONTEMPLA MATERIAIS, MÃO DE OBRA, SUPORTE E TUBULAÇÃO ATÉ 3,0M</v>
      </c>
      <c r="F313" s="240" t="str">
        <f>IFERROR(IF(D313="SINAPI-S",VLOOKUP(B313,'20-B.SINAPI-S'!A:J,3,0),IF(D313="SINAPI-I",VLOOKUP(B313,'20-A.SINAPI-I'!A:G,3,0),IF(D313="COMPOSIÇÕES",VLOOKUP(B313,'11.COMPOSIÇÕES GERAIS'!B:I,3,0),VLOOKUP(B313,'12.COT.MERCADO'!A:I,7,0)))),"Em Elaboração")</f>
        <v>UN </v>
      </c>
      <c r="G313" s="244">
        <f>VLOOKUP(A313,'Planilha_Sintética_Geral'!A:O,7,0)</f>
        <v>1</v>
      </c>
      <c r="H313" s="241">
        <f>IFERROR(IF(D313="SINAPI-S",VLOOKUP(B313,'20-B.SINAPI-S'!A:J,5,0),IF(D313="SINAPI-I",VLOOKUP(B313,'20-A.SINAPI-I'!A:G,6,0),IF(D313="COMPOSIÇÕES",VLOOKUP(B313,'11.COMPOSIÇÕES GERAIS'!B:I,7,0),0))),"Em Elaboração")</f>
        <v>0</v>
      </c>
      <c r="I313" s="241">
        <f>IFERROR(IF(D313="SINAPI-S",VLOOKUP(B313,'20-B.SINAPI-S'!A:J,6,0),IF(D313="SINAPI-I",VLOOKUP(B313,'20-A.SINAPI-I'!A:G,7,0),IF(D313="COMPOSIÇÕES",VLOOKUP(B313,'11.COMPOSIÇÕES GERAIS'!B:I,8,0),VLOOKUP(B313,'12.COT.MERCADO'!A:I,8,0)))),"Em Elaboração")</f>
        <v>1999</v>
      </c>
      <c r="J313" s="241">
        <f t="shared" si="21"/>
        <v>0</v>
      </c>
      <c r="K313" s="241">
        <f t="shared" si="22"/>
        <v>2341.497836</v>
      </c>
      <c r="L313" s="241">
        <f t="shared" si="23"/>
        <v>2341.497836</v>
      </c>
      <c r="M313" s="241">
        <f t="shared" si="24"/>
        <v>0</v>
      </c>
      <c r="N313" s="241">
        <f t="shared" si="25"/>
        <v>2341.497836</v>
      </c>
      <c r="O313" s="241">
        <f t="shared" si="26"/>
        <v>2341.497836</v>
      </c>
      <c r="P313" s="242">
        <f t="shared" si="3"/>
        <v>0.007509111223</v>
      </c>
    </row>
    <row r="314">
      <c r="A314" s="236" t="s">
        <v>543</v>
      </c>
      <c r="B314" s="237" t="str">
        <f>VLOOKUP(A314,'Planilha_Sintética_Geral'!A:P,2,0)</f>
        <v>REFRI. 012</v>
      </c>
      <c r="C314" s="238" t="str">
        <f t="shared" si="20"/>
        <v>PRÓPRIO</v>
      </c>
      <c r="D314" s="243" t="s">
        <v>230</v>
      </c>
      <c r="E314" s="239" t="str">
        <f>IFERROR(IF(D314="SINAPI-S",VLOOKUP(B314,'20-B.SINAPI-S'!A:J,2,0),IF(D314="SINAPI-I",VLOOKUP(B314,'20-A.SINAPI-I'!A:G,2,0),IF(D314="COMPOSIÇÕES",VLOOKUP(B314,'11.COMPOSIÇÕES GERAIS'!B:I,2,0),VLOOKUP(B314,'12.COT.MERCADO'!A:I,2,0)))),"Em Elaboração")</f>
        <v>SERVIÇO DE INSTALAÇÃO DE CONDICIONADOR DE AR TIPO SPLIT PISO-TETO, ACIMA DE 18.000 BTUS ATÉ 24.000 BTUS - CONTEMPLA MATERIAIS, MÃO DE OBRA, SUPORTE E TUBULAÇÃO ATÉ 3,0M</v>
      </c>
      <c r="F314" s="240" t="str">
        <f>IFERROR(IF(D314="SINAPI-S",VLOOKUP(B314,'20-B.SINAPI-S'!A:J,3,0),IF(D314="SINAPI-I",VLOOKUP(B314,'20-A.SINAPI-I'!A:G,3,0),IF(D314="COMPOSIÇÕES",VLOOKUP(B314,'11.COMPOSIÇÕES GERAIS'!B:I,3,0),VLOOKUP(B314,'12.COT.MERCADO'!A:I,7,0)))),"Em Elaboração")</f>
        <v>UN </v>
      </c>
      <c r="G314" s="244">
        <f>VLOOKUP(A314,'Planilha_Sintética_Geral'!A:O,7,0)</f>
        <v>1</v>
      </c>
      <c r="H314" s="241">
        <f>IFERROR(IF(D314="SINAPI-S",VLOOKUP(B314,'20-B.SINAPI-S'!A:J,5,0),IF(D314="SINAPI-I",VLOOKUP(B314,'20-A.SINAPI-I'!A:G,6,0),IF(D314="COMPOSIÇÕES",VLOOKUP(B314,'11.COMPOSIÇÕES GERAIS'!B:I,7,0),0))),"Em Elaboração")</f>
        <v>0</v>
      </c>
      <c r="I314" s="241">
        <f>IFERROR(IF(D314="SINAPI-S",VLOOKUP(B314,'20-B.SINAPI-S'!A:J,6,0),IF(D314="SINAPI-I",VLOOKUP(B314,'20-A.SINAPI-I'!A:G,7,0),IF(D314="COMPOSIÇÕES",VLOOKUP(B314,'11.COMPOSIÇÕES GERAIS'!B:I,8,0),VLOOKUP(B314,'12.COT.MERCADO'!A:I,8,0)))),"Em Elaboração")</f>
        <v>1499</v>
      </c>
      <c r="J314" s="241">
        <f t="shared" si="21"/>
        <v>0</v>
      </c>
      <c r="K314" s="241">
        <f t="shared" si="22"/>
        <v>1755.830543</v>
      </c>
      <c r="L314" s="241">
        <f t="shared" si="23"/>
        <v>1755.830543</v>
      </c>
      <c r="M314" s="241">
        <f t="shared" si="24"/>
        <v>0</v>
      </c>
      <c r="N314" s="241">
        <f t="shared" si="25"/>
        <v>1755.830543</v>
      </c>
      <c r="O314" s="241">
        <f t="shared" si="26"/>
        <v>1755.830543</v>
      </c>
      <c r="P314" s="242">
        <f t="shared" si="3"/>
        <v>0.005630894309</v>
      </c>
    </row>
    <row r="315">
      <c r="A315" s="236" t="s">
        <v>545</v>
      </c>
      <c r="B315" s="237" t="str">
        <f>VLOOKUP(A315,'Planilha_Sintética_Geral'!A:P,2,0)</f>
        <v>REFRI. 013</v>
      </c>
      <c r="C315" s="238" t="str">
        <f t="shared" si="20"/>
        <v>PRÓPRIO</v>
      </c>
      <c r="D315" s="243" t="s">
        <v>230</v>
      </c>
      <c r="E315" s="239" t="str">
        <f>IFERROR(IF(D315="SINAPI-S",VLOOKUP(B315,'20-B.SINAPI-S'!A:J,2,0),IF(D315="SINAPI-I",VLOOKUP(B315,'20-A.SINAPI-I'!A:G,2,0),IF(D315="COMPOSIÇÕES",VLOOKUP(B315,'11.COMPOSIÇÕES GERAIS'!B:I,2,0),VLOOKUP(B315,'12.COT.MERCADO'!A:I,2,0)))),"Em Elaboração")</f>
        <v>SERVIÇO DE INSTALAÇÃO DE CONDICIONADOR DE AR TIPO SPLIT PISO-TETO, ACIMA DE 24.000 BTUS ATÉ 30.000 BTUS - CONTEMPLA MATERIAIS, MÃO DE OBRA, SUPORTE E TUBULAÇÃO ATÉ 3,0M</v>
      </c>
      <c r="F315" s="240" t="str">
        <f>IFERROR(IF(D315="SINAPI-S",VLOOKUP(B315,'20-B.SINAPI-S'!A:J,3,0),IF(D315="SINAPI-I",VLOOKUP(B315,'20-A.SINAPI-I'!A:G,3,0),IF(D315="COMPOSIÇÕES",VLOOKUP(B315,'11.COMPOSIÇÕES GERAIS'!B:I,3,0),VLOOKUP(B315,'12.COT.MERCADO'!A:I,7,0)))),"Em Elaboração")</f>
        <v>UN </v>
      </c>
      <c r="G315" s="244">
        <f>VLOOKUP(A315,'Planilha_Sintética_Geral'!A:O,7,0)</f>
        <v>1</v>
      </c>
      <c r="H315" s="241">
        <f>IFERROR(IF(D315="SINAPI-S",VLOOKUP(B315,'20-B.SINAPI-S'!A:J,5,0),IF(D315="SINAPI-I",VLOOKUP(B315,'20-A.SINAPI-I'!A:G,6,0),IF(D315="COMPOSIÇÕES",VLOOKUP(B315,'11.COMPOSIÇÕES GERAIS'!B:I,7,0),0))),"Em Elaboração")</f>
        <v>0</v>
      </c>
      <c r="I315" s="241">
        <f>IFERROR(IF(D315="SINAPI-S",VLOOKUP(B315,'20-B.SINAPI-S'!A:J,6,0),IF(D315="SINAPI-I",VLOOKUP(B315,'20-A.SINAPI-I'!A:G,7,0),IF(D315="COMPOSIÇÕES",VLOOKUP(B315,'11.COMPOSIÇÕES GERAIS'!B:I,8,0),VLOOKUP(B315,'12.COT.MERCADO'!A:I,8,0)))),"Em Elaboração")</f>
        <v>1499</v>
      </c>
      <c r="J315" s="241">
        <f t="shared" si="21"/>
        <v>0</v>
      </c>
      <c r="K315" s="241">
        <f t="shared" si="22"/>
        <v>1755.830543</v>
      </c>
      <c r="L315" s="241">
        <f t="shared" si="23"/>
        <v>1755.830543</v>
      </c>
      <c r="M315" s="241">
        <f t="shared" si="24"/>
        <v>0</v>
      </c>
      <c r="N315" s="241">
        <f t="shared" si="25"/>
        <v>1755.830543</v>
      </c>
      <c r="O315" s="241">
        <f t="shared" si="26"/>
        <v>1755.830543</v>
      </c>
      <c r="P315" s="242">
        <f t="shared" si="3"/>
        <v>0.005630894309</v>
      </c>
    </row>
    <row r="316">
      <c r="A316" s="236" t="s">
        <v>547</v>
      </c>
      <c r="B316" s="237" t="str">
        <f>VLOOKUP(A316,'Planilha_Sintética_Geral'!A:P,2,0)</f>
        <v>REFRI. 014</v>
      </c>
      <c r="C316" s="238" t="str">
        <f t="shared" si="20"/>
        <v>PRÓPRIO</v>
      </c>
      <c r="D316" s="243" t="s">
        <v>230</v>
      </c>
      <c r="E316" s="239" t="str">
        <f>IFERROR(IF(D316="SINAPI-S",VLOOKUP(B316,'20-B.SINAPI-S'!A:J,2,0),IF(D316="SINAPI-I",VLOOKUP(B316,'20-A.SINAPI-I'!A:G,2,0),IF(D316="COMPOSIÇÕES",VLOOKUP(B316,'11.COMPOSIÇÕES GERAIS'!B:I,2,0),VLOOKUP(B316,'12.COT.MERCADO'!A:I,2,0)))),"Em Elaboração")</f>
        <v>SERVIÇO DE INSTALAÇÃO DE CONDICIONADOR DE AR TIPO SPLIT PISO-TETO, ACIMA DE 30.000 BTUS ATÉ 36.000 BTUS - CONTEMPLA MATERIAIS, MÃO DE OBRA, SUPORTE E TUBULAÇÃO ATÉ 3,0M</v>
      </c>
      <c r="F316" s="240" t="str">
        <f>IFERROR(IF(D316="SINAPI-S",VLOOKUP(B316,'20-B.SINAPI-S'!A:J,3,0),IF(D316="SINAPI-I",VLOOKUP(B316,'20-A.SINAPI-I'!A:G,3,0),IF(D316="COMPOSIÇÕES",VLOOKUP(B316,'11.COMPOSIÇÕES GERAIS'!B:I,3,0),VLOOKUP(B316,'12.COT.MERCADO'!A:I,7,0)))),"Em Elaboração")</f>
        <v>UN </v>
      </c>
      <c r="G316" s="244">
        <f>VLOOKUP(A316,'Planilha_Sintética_Geral'!A:O,7,0)</f>
        <v>1</v>
      </c>
      <c r="H316" s="241">
        <f>IFERROR(IF(D316="SINAPI-S",VLOOKUP(B316,'20-B.SINAPI-S'!A:J,5,0),IF(D316="SINAPI-I",VLOOKUP(B316,'20-A.SINAPI-I'!A:G,6,0),IF(D316="COMPOSIÇÕES",VLOOKUP(B316,'11.COMPOSIÇÕES GERAIS'!B:I,7,0),0))),"Em Elaboração")</f>
        <v>0</v>
      </c>
      <c r="I316" s="241">
        <f>IFERROR(IF(D316="SINAPI-S",VLOOKUP(B316,'20-B.SINAPI-S'!A:J,6,0),IF(D316="SINAPI-I",VLOOKUP(B316,'20-A.SINAPI-I'!A:G,7,0),IF(D316="COMPOSIÇÕES",VLOOKUP(B316,'11.COMPOSIÇÕES GERAIS'!B:I,8,0),VLOOKUP(B316,'12.COT.MERCADO'!A:I,8,0)))),"Em Elaboração")</f>
        <v>1606</v>
      </c>
      <c r="J316" s="241">
        <f t="shared" si="21"/>
        <v>0</v>
      </c>
      <c r="K316" s="241">
        <f t="shared" si="22"/>
        <v>1881.163344</v>
      </c>
      <c r="L316" s="241">
        <f t="shared" si="23"/>
        <v>1881.163344</v>
      </c>
      <c r="M316" s="241">
        <f t="shared" si="24"/>
        <v>0</v>
      </c>
      <c r="N316" s="241">
        <f t="shared" si="25"/>
        <v>1881.163344</v>
      </c>
      <c r="O316" s="241">
        <f t="shared" si="26"/>
        <v>1881.163344</v>
      </c>
      <c r="P316" s="242">
        <f t="shared" si="3"/>
        <v>0.006032832729</v>
      </c>
    </row>
    <row r="317">
      <c r="A317" s="236" t="s">
        <v>549</v>
      </c>
      <c r="B317" s="237" t="str">
        <f>VLOOKUP(A317,'Planilha_Sintética_Geral'!A:P,2,0)</f>
        <v>REFRI. 015</v>
      </c>
      <c r="C317" s="238" t="str">
        <f t="shared" si="20"/>
        <v>PRÓPRIO</v>
      </c>
      <c r="D317" s="243" t="s">
        <v>230</v>
      </c>
      <c r="E317" s="239" t="str">
        <f>IFERROR(IF(D317="SINAPI-S",VLOOKUP(B317,'20-B.SINAPI-S'!A:J,2,0),IF(D317="SINAPI-I",VLOOKUP(B317,'20-A.SINAPI-I'!A:G,2,0),IF(D317="COMPOSIÇÕES",VLOOKUP(B317,'11.COMPOSIÇÕES GERAIS'!B:I,2,0),VLOOKUP(B317,'12.COT.MERCADO'!A:I,2,0)))),"Em Elaboração")</f>
        <v>SERVIÇO DE INSTALAÇÃO DE CONDICIONADOR DE AR TIPO SPLIT PISO-TETO, ACIMA DE 36.000 BTUS ATÉ 48.000 BTUS - CONTEMPLA MATERIAIS, MÃO DE OBRA, SUPORTE E TUBULAÇÃO ATÉ 3,0M</v>
      </c>
      <c r="F317" s="240" t="str">
        <f>IFERROR(IF(D317="SINAPI-S",VLOOKUP(B317,'20-B.SINAPI-S'!A:J,3,0),IF(D317="SINAPI-I",VLOOKUP(B317,'20-A.SINAPI-I'!A:G,3,0),IF(D317="COMPOSIÇÕES",VLOOKUP(B317,'11.COMPOSIÇÕES GERAIS'!B:I,3,0),VLOOKUP(B317,'12.COT.MERCADO'!A:I,7,0)))),"Em Elaboração")</f>
        <v>UN </v>
      </c>
      <c r="G317" s="244">
        <f>VLOOKUP(A317,'Planilha_Sintética_Geral'!A:O,7,0)</f>
        <v>1</v>
      </c>
      <c r="H317" s="241">
        <f>IFERROR(IF(D317="SINAPI-S",VLOOKUP(B317,'20-B.SINAPI-S'!A:J,5,0),IF(D317="SINAPI-I",VLOOKUP(B317,'20-A.SINAPI-I'!A:G,6,0),IF(D317="COMPOSIÇÕES",VLOOKUP(B317,'11.COMPOSIÇÕES GERAIS'!B:I,7,0),0))),"Em Elaboração")</f>
        <v>0</v>
      </c>
      <c r="I317" s="241">
        <f>IFERROR(IF(D317="SINAPI-S",VLOOKUP(B317,'20-B.SINAPI-S'!A:J,6,0),IF(D317="SINAPI-I",VLOOKUP(B317,'20-A.SINAPI-I'!A:G,7,0),IF(D317="COMPOSIÇÕES",VLOOKUP(B317,'11.COMPOSIÇÕES GERAIS'!B:I,8,0),VLOOKUP(B317,'12.COT.MERCADO'!A:I,8,0)))),"Em Elaboração")</f>
        <v>2099</v>
      </c>
      <c r="J317" s="241">
        <f t="shared" si="21"/>
        <v>0</v>
      </c>
      <c r="K317" s="241">
        <f t="shared" si="22"/>
        <v>2458.631294</v>
      </c>
      <c r="L317" s="241">
        <f t="shared" si="23"/>
        <v>2458.631294</v>
      </c>
      <c r="M317" s="241">
        <f t="shared" si="24"/>
        <v>0</v>
      </c>
      <c r="N317" s="241">
        <f t="shared" si="25"/>
        <v>2458.631294</v>
      </c>
      <c r="O317" s="241">
        <f t="shared" si="26"/>
        <v>2458.631294</v>
      </c>
      <c r="P317" s="242">
        <f t="shared" si="3"/>
        <v>0.007884754606</v>
      </c>
    </row>
    <row r="318">
      <c r="A318" s="236" t="s">
        <v>551</v>
      </c>
      <c r="B318" s="237" t="str">
        <f>VLOOKUP(A318,'Planilha_Sintética_Geral'!A:P,2,0)</f>
        <v>REFRI. 016</v>
      </c>
      <c r="C318" s="238" t="str">
        <f t="shared" si="20"/>
        <v>PRÓPRIO</v>
      </c>
      <c r="D318" s="243" t="s">
        <v>230</v>
      </c>
      <c r="E318" s="239" t="str">
        <f>IFERROR(IF(D318="SINAPI-S",VLOOKUP(B318,'20-B.SINAPI-S'!A:J,2,0),IF(D318="SINAPI-I",VLOOKUP(B318,'20-A.SINAPI-I'!A:G,2,0),IF(D318="COMPOSIÇÕES",VLOOKUP(B318,'11.COMPOSIÇÕES GERAIS'!B:I,2,0),VLOOKUP(B318,'12.COT.MERCADO'!A:I,2,0)))),"Em Elaboração")</f>
        <v>SERVIÇO DE INSTALAÇÃO DE CONDICIONADOR DE AR TIPO SPLIT PISO-TETO, ACIMA DE 48.000 BTUS ATÉ 60.000 BTUS - CONTEMPLA MATERIAIS, MÃO DE OBRA, SUPORTE E TUBULAÇÃO ATÉ 3,0M</v>
      </c>
      <c r="F318" s="240" t="str">
        <f>IFERROR(IF(D318="SINAPI-S",VLOOKUP(B318,'20-B.SINAPI-S'!A:J,3,0),IF(D318="SINAPI-I",VLOOKUP(B318,'20-A.SINAPI-I'!A:G,3,0),IF(D318="COMPOSIÇÕES",VLOOKUP(B318,'11.COMPOSIÇÕES GERAIS'!B:I,3,0),VLOOKUP(B318,'12.COT.MERCADO'!A:I,7,0)))),"Em Elaboração")</f>
        <v>UN </v>
      </c>
      <c r="G318" s="244">
        <f>VLOOKUP(A318,'Planilha_Sintética_Geral'!A:O,7,0)</f>
        <v>1</v>
      </c>
      <c r="H318" s="241">
        <f>IFERROR(IF(D318="SINAPI-S",VLOOKUP(B318,'20-B.SINAPI-S'!A:J,5,0),IF(D318="SINAPI-I",VLOOKUP(B318,'20-A.SINAPI-I'!A:G,6,0),IF(D318="COMPOSIÇÕES",VLOOKUP(B318,'11.COMPOSIÇÕES GERAIS'!B:I,7,0),0))),"Em Elaboração")</f>
        <v>0</v>
      </c>
      <c r="I318" s="241">
        <f>IFERROR(IF(D318="SINAPI-S",VLOOKUP(B318,'20-B.SINAPI-S'!A:J,6,0),IF(D318="SINAPI-I",VLOOKUP(B318,'20-A.SINAPI-I'!A:G,7,0),IF(D318="COMPOSIÇÕES",VLOOKUP(B318,'11.COMPOSIÇÕES GERAIS'!B:I,8,0),VLOOKUP(B318,'12.COT.MERCADO'!A:I,8,0)))),"Em Elaboração")</f>
        <v>2099</v>
      </c>
      <c r="J318" s="241">
        <f t="shared" si="21"/>
        <v>0</v>
      </c>
      <c r="K318" s="241">
        <f t="shared" si="22"/>
        <v>2458.631294</v>
      </c>
      <c r="L318" s="241">
        <f t="shared" si="23"/>
        <v>2458.631294</v>
      </c>
      <c r="M318" s="241">
        <f t="shared" si="24"/>
        <v>0</v>
      </c>
      <c r="N318" s="241">
        <f t="shared" si="25"/>
        <v>2458.631294</v>
      </c>
      <c r="O318" s="241">
        <f t="shared" si="26"/>
        <v>2458.631294</v>
      </c>
      <c r="P318" s="242">
        <f t="shared" si="3"/>
        <v>0.007884754606</v>
      </c>
    </row>
    <row r="319">
      <c r="A319" s="269"/>
      <c r="B319" s="270"/>
      <c r="L319" s="271" t="s">
        <v>1396</v>
      </c>
      <c r="M319" s="272">
        <f t="shared" ref="M319:O319" si="27">SUM(M11)</f>
        <v>58237.80867</v>
      </c>
      <c r="N319" s="272">
        <f t="shared" si="27"/>
        <v>253583.0934</v>
      </c>
      <c r="O319" s="272">
        <f t="shared" si="27"/>
        <v>311820.9021</v>
      </c>
    </row>
    <row r="320">
      <c r="A320" s="269"/>
      <c r="B320" s="270"/>
      <c r="M320" s="273">
        <f t="shared" ref="M320:N320" si="28">M319/$O319</f>
        <v>0.1867668533</v>
      </c>
      <c r="N320" s="273">
        <f t="shared" si="28"/>
        <v>0.8132331467</v>
      </c>
    </row>
    <row r="321">
      <c r="A321" s="269"/>
      <c r="B321" s="270"/>
      <c r="M321" s="274"/>
      <c r="N321" s="274"/>
      <c r="O321" s="275"/>
      <c r="P321" s="275"/>
    </row>
    <row r="322">
      <c r="A322" s="269"/>
      <c r="B322" s="270"/>
      <c r="L322" s="276"/>
      <c r="M322" s="277" t="s">
        <v>1397</v>
      </c>
      <c r="N322" s="27"/>
      <c r="O322" s="278">
        <f>SUMPRODUCT(H11:H318,G11:G318)+SUMPRODUCT(I11:I318,G11:G318)</f>
        <v>266100.3077</v>
      </c>
      <c r="P322" s="27"/>
    </row>
    <row r="323">
      <c r="A323" s="269"/>
      <c r="B323" s="270"/>
      <c r="L323" s="280"/>
      <c r="M323" s="281" t="s">
        <v>1398</v>
      </c>
      <c r="N323" s="50"/>
      <c r="O323" s="282">
        <f>O324-O322</f>
        <v>45720.59446</v>
      </c>
      <c r="P323" s="50"/>
    </row>
    <row r="324">
      <c r="A324" s="269"/>
      <c r="B324" s="270"/>
      <c r="L324" s="280"/>
      <c r="M324" s="281" t="s">
        <v>1399</v>
      </c>
      <c r="N324" s="50"/>
      <c r="O324" s="283">
        <f>SUM(O11)</f>
        <v>311820.9021</v>
      </c>
      <c r="P324" s="50"/>
    </row>
    <row r="325">
      <c r="A325" s="269"/>
      <c r="B325" s="270"/>
    </row>
  </sheetData>
  <mergeCells count="29">
    <mergeCell ref="A1:C1"/>
    <mergeCell ref="E1:K1"/>
    <mergeCell ref="M1:N1"/>
    <mergeCell ref="O1:P1"/>
    <mergeCell ref="F3:H3"/>
    <mergeCell ref="J3:O3"/>
    <mergeCell ref="F4:H5"/>
    <mergeCell ref="F9:F10"/>
    <mergeCell ref="G9:G10"/>
    <mergeCell ref="H9:I9"/>
    <mergeCell ref="J9:L9"/>
    <mergeCell ref="J7:O7"/>
    <mergeCell ref="J8:O8"/>
    <mergeCell ref="A9:A10"/>
    <mergeCell ref="B9:B10"/>
    <mergeCell ref="C9:C10"/>
    <mergeCell ref="D9:D10"/>
    <mergeCell ref="M9:O9"/>
    <mergeCell ref="M323:N323"/>
    <mergeCell ref="O323:P323"/>
    <mergeCell ref="M324:N324"/>
    <mergeCell ref="O324:P324"/>
    <mergeCell ref="E9:E10"/>
    <mergeCell ref="B11:L11"/>
    <mergeCell ref="B12:L12"/>
    <mergeCell ref="B23:L23"/>
    <mergeCell ref="B291:L291"/>
    <mergeCell ref="M322:N322"/>
    <mergeCell ref="O322:P322"/>
  </mergeCells>
  <dataValidations>
    <dataValidation type="list" allowBlank="1" showErrorMessage="1" sqref="D13:D22 D24:D290 D292:D318">
      <formula1>"SINAPI-S,SINAPI-I,COMPOSIÇÕES,COT.MERCADO"</formula1>
    </dataValidation>
  </dataValidations>
  <hyperlinks>
    <hyperlink display="SUMÁRIO" location="'QUADRO RESUMO'!B16:D17" ref="O1"/>
  </hyperlinks>
  <printOptions/>
  <pageMargins bottom="0.75" footer="0.0" header="0.0" left="0.25" right="0.25" top="0.75"/>
  <pageSetup fitToHeight="0" paperSize="9" orientation="landscape"/>
  <drawing r:id="rId1"/>
</worksheet>
</file>